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comments1.xml" ContentType="application/vnd.openxmlformats-officedocument.spreadsheetml.comments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drawings/drawing4.xml" ContentType="application/vnd.openxmlformats-officedocument.drawing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comments2.xml" ContentType="application/vnd.openxmlformats-officedocument.spreadsheetml.comments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comments3.xml" ContentType="application/vnd.openxmlformats-officedocument.spreadsheetml.comments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fileSharing readOnlyRecommended="1" userName="H ICT" reservationPassword="AF04"/>
  <workbookPr codeName="ThisWorkbook" autoCompressPictures="0"/>
  <workbookProtection workbookPassword="AF04" lockStructure="1" lockWindows="1"/>
  <bookViews>
    <workbookView xWindow="0" yWindow="960" windowWidth="12000" windowHeight="4065" activeTab="5"/>
  </bookViews>
  <sheets>
    <sheet name="Control" sheetId="60" r:id="rId1"/>
    <sheet name="Preferences" sheetId="24" r:id="rId2"/>
    <sheet name="Intermediate output" sheetId="59" r:id="rId3"/>
    <sheet name="Energy" sheetId="135" r:id="rId4"/>
    <sheet name="GHG" sheetId="175" r:id="rId5"/>
    <sheet name="Electricity" sheetId="176" r:id="rId6"/>
    <sheet name="Energy Security" sheetId="133" r:id="rId7"/>
    <sheet name="Land Use" sheetId="131" r:id="rId8"/>
    <sheet name="Flows" sheetId="177" r:id="rId9"/>
    <sheet name="Air Quality" sheetId="127" r:id="rId10"/>
    <sheet name="Costs per capita" sheetId="123" r:id="rId11"/>
    <sheet name="Costs" sheetId="105" r:id="rId12"/>
    <sheet name="Conversions" sheetId="6" r:id="rId13"/>
    <sheet name="Global assumptions" sheetId="35" r:id="rId14"/>
    <sheet name="Constants" sheetId="12" r:id="rId15"/>
    <sheet name="Structure of the model" sheetId="23" r:id="rId16"/>
    <sheet name="I.a" sheetId="140" r:id="rId17"/>
    <sheet name="I.b" sheetId="157" r:id="rId18"/>
    <sheet name="I.c" sheetId="139" r:id="rId19"/>
    <sheet name="I.d" sheetId="156" r:id="rId20"/>
    <sheet name="II.a" sheetId="141" r:id="rId21"/>
    <sheet name="III.a.1" sheetId="142" r:id="rId22"/>
    <sheet name="III.b.1" sheetId="143" r:id="rId23"/>
    <sheet name="III.b.2" sheetId="144" r:id="rId24"/>
    <sheet name="III.f" sheetId="147" r:id="rId25"/>
    <sheet name="III.g" sheetId="146" r:id="rId26"/>
    <sheet name="IV.a" sheetId="145" r:id="rId27"/>
    <sheet name="V.a" sheetId="110" r:id="rId28"/>
    <sheet name="V.b" sheetId="111" r:id="rId29"/>
    <sheet name="VI.a" sheetId="112" r:id="rId30"/>
    <sheet name="VI.b" sheetId="113" r:id="rId31"/>
    <sheet name="VII.a" sheetId="31" r:id="rId32"/>
    <sheet name="VII.b" sheetId="30" r:id="rId33"/>
    <sheet name="IX.a" sheetId="137" r:id="rId34"/>
    <sheet name="IX.c" sheetId="138" r:id="rId35"/>
    <sheet name="X.a" sheetId="49" r:id="rId36"/>
    <sheet name="X.b" sheetId="62" r:id="rId37"/>
    <sheet name="XI.a" sheetId="39" r:id="rId38"/>
    <sheet name="XII.a" sheetId="40" r:id="rId39"/>
    <sheet name="XII.b" sheetId="41" r:id="rId40"/>
    <sheet name="XV.a" sheetId="46" r:id="rId41"/>
    <sheet name="XV.b" sheetId="48" r:id="rId42"/>
    <sheet name="XVI.a" sheetId="116" r:id="rId43"/>
    <sheet name="XVI.b" sheetId="107" r:id="rId44"/>
    <sheet name="2010" sheetId="70" r:id="rId45"/>
    <sheet name="2015" sheetId="166" r:id="rId46"/>
    <sheet name="2020" sheetId="167" r:id="rId47"/>
    <sheet name="2025" sheetId="168" r:id="rId48"/>
    <sheet name="2030" sheetId="169" r:id="rId49"/>
    <sheet name="2035" sheetId="170" r:id="rId50"/>
    <sheet name="2040" sheetId="171" r:id="rId51"/>
    <sheet name="2045" sheetId="172" r:id="rId52"/>
    <sheet name="2050" sheetId="173" r:id="rId53"/>
  </sheets>
  <externalReferences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xlnm._FilterDatabase" localSheetId="11" hidden="1">Costs!$C$2:$C$42</definedName>
    <definedName name="_xlnm._FilterDatabase" localSheetId="2" hidden="1">'Intermediate output'!#REF!</definedName>
    <definedName name="Bio.Gas">'Intermediate output'!$AX$234:$BF$234</definedName>
    <definedName name="Bio.liquid">'Intermediate output'!$AX$227:$BF$227</definedName>
    <definedName name="Bio.Solid">'Intermediate output'!$AX$219:$BF$219</definedName>
    <definedName name="Constants.Density.Diesel">Constants!$C$38</definedName>
    <definedName name="Constants.Density.Ethanol">Constants!$C$36</definedName>
    <definedName name="Constants.Density.JetFuel">Constants!$C$37</definedName>
    <definedName name="Constants.Density.MotorSpirit">Constants!$C$35</definedName>
    <definedName name="Constants.GCV.ATF">Constants!$C$18</definedName>
    <definedName name="Constants.GCV.Coal">Constants!$C$8</definedName>
    <definedName name="Constants.GCV.Coke">Constants!$C$9</definedName>
    <definedName name="Constants.GCV.CokeBreeze">Constants!$C$10</definedName>
    <definedName name="Constants.GCV.CrudeOil">Constants!$C$14</definedName>
    <definedName name="Constants.GCV.Diesel">Constants!$C$17</definedName>
    <definedName name="Constants.GCV.LandfillGas">Constants!$C$25</definedName>
    <definedName name="Constants.GCV.MotorSpirit">Constants!$C$16</definedName>
    <definedName name="Constants.GCV.NaturalGasProduced">Constants!$C$21</definedName>
    <definedName name="Constants.GCV.PetroleumProducts">Constants!$C$15</definedName>
    <definedName name="Conversion.to.annual.energy">Conversions!$E$59</definedName>
    <definedName name="Conversion.to.average.power">Conversions!$E$58</definedName>
    <definedName name="Conversion.to.energy.per.second">Conversions!$E$60</definedName>
    <definedName name="Conversion.UKgallons.to.litres">Conversions!$E$65</definedName>
    <definedName name="Conversion.USgallons.to.litres">Conversions!$E$66</definedName>
    <definedName name="Conversions.Area.m2">Conversions!$E$48:$E$53</definedName>
    <definedName name="Conversions.Area.Units">Conversions!$B$48:$B$53</definedName>
    <definedName name="Conversions.Energy.Joules">Conversions!$E$5:$E$24</definedName>
    <definedName name="Conversions.Energy.Units">Conversions!$B$5:$B$24</definedName>
    <definedName name="Conversions.Money.GBP">Conversions!$F$71:$F$79</definedName>
    <definedName name="Conversions.Money.Units">Conversions!$B$71:$B$79</definedName>
    <definedName name="Conversions.Power.Units">Conversions!$B$30:$B$35</definedName>
    <definedName name="Conversions.Power.Watts">Conversions!$E$30:$E$35</definedName>
    <definedName name="Cost.FinanceCostTable">'Global assumptions'!$B$36:$I$86</definedName>
    <definedName name="discount_factors">'Global assumptions'!$D$28:$K$28</definedName>
    <definedName name="Discount_rate">'Global assumptions'!$C$27</definedName>
    <definedName name="EF.BlastFurnaceGas.CO2">Constants!$F$11</definedName>
    <definedName name="EF.Diesel.CH4">Constants!$G$9</definedName>
    <definedName name="EF.Diesel.CO2">Constants!$F$9</definedName>
    <definedName name="EF.Diesel.N2O">Constants!$H$9</definedName>
    <definedName name="EF.IndustrialCoal.CH4">Constants!$G$8</definedName>
    <definedName name="EF.IndustrialCoal.CO2">Constants!$F$8</definedName>
    <definedName name="EF.IndustrialCoal.N2O">Constants!$H$8</definedName>
    <definedName name="EF.NaturalGas.CH4">Constants!$G$10</definedName>
    <definedName name="EF.NaturalGas.CO2">Constants!$F$10</definedName>
    <definedName name="EF.NaturalGas.N2O">Constants!$H$10</definedName>
    <definedName name="Euro2002_">Conversions!$E$75</definedName>
    <definedName name="_xlnm.Extract" localSheetId="11">Costs!$B$135</definedName>
    <definedName name="GBP">Conversions!$E$79</definedName>
    <definedName name="GGBP">Conversions!$E$72</definedName>
    <definedName name="Global.NigeriaIncidentSolarEnergy">'Global assumptions'!$D$20</definedName>
    <definedName name="Global.NigeriaIncidentSolarEnergy_SouthFacing">'Global assumptions'!$D$21</definedName>
    <definedName name="GWP.CH4">Constants!$K$9</definedName>
    <definedName name="GWP.N2O">Constants!$K$10</definedName>
    <definedName name="I.a.scenario">Control!$E$5</definedName>
    <definedName name="I.b.Scenario">Control!$E$6</definedName>
    <definedName name="I.c.scenario">Control!$E$7</definedName>
    <definedName name="II.a.Scenario">Control!$E$8</definedName>
    <definedName name="III.a.1.Scenario">Control!$E$9</definedName>
    <definedName name="III.b.1.Scenario">Control!$E$10</definedName>
    <definedName name="III.b.2.scenario">Control!$E$11</definedName>
    <definedName name="III.f.Scenario">Control!$E$12</definedName>
    <definedName name="III.g.Scenario">Control!$E$13</definedName>
    <definedName name="input.choices">Control!$E$5:$E$46</definedName>
    <definedName name="input.descriptions">Control!$I$5:$L$46</definedName>
    <definedName name="input.example.pathways">Control!$N$4:$AC$49</definedName>
    <definedName name="input.long_descriptions">Control!$BP$5:$BS$47</definedName>
    <definedName name="input.names">Control!$D$5:$D$46</definedName>
    <definedName name="input.onepagenotes">Control!$G$5:$G$46</definedName>
    <definedName name="input.types">Control!$F$5:$F$46</definedName>
    <definedName name="IV.a.Scenario">Control!$E$14</definedName>
    <definedName name="IX.a.Scenario.Cooling">Control!$E$29</definedName>
    <definedName name="IX.a.Scenario.Efficiency">Control!$E$30</definedName>
    <definedName name="IX.c.Scenario.Demand">Control!$E$38</definedName>
    <definedName name="IX.c.Scenario.Efficiency">Control!$E$39</definedName>
    <definedName name="kGBP">Conversions!$E$74</definedName>
    <definedName name="MGBP">Conversions!$E$73</definedName>
    <definedName name="Money.Unit">Conversions!$D$71:$D$79</definedName>
    <definedName name="NAIRA2010_">Conversions!$E$78</definedName>
    <definedName name="output.airquality">'Air Quality'!$C$3:$D$4</definedName>
    <definedName name="output.areas">'Land Use'!$C$4:$L$19</definedName>
    <definedName name="output.capacity.automaticallybuilt">'Energy Security'!$D$127:$M$129</definedName>
    <definedName name="output.costpercapita.detail">'Costs per capita'!$E$172:$M$215</definedName>
    <definedName name="output.diversity">'Energy Security'!$D$31:$M$45</definedName>
    <definedName name="output.electricity.capacity">Electricity!$D$63:$M$80</definedName>
    <definedName name="output.electricity.demand">Electricity!$D$21:$M$26</definedName>
    <definedName name="output.electricity.ghg">Electricity!$D$111:$M$114</definedName>
    <definedName name="output.electricity.supply">Electricity!$D$41:$M$56</definedName>
    <definedName name="output.finalenergyde">Energy!$D$17:$M$22</definedName>
    <definedName name="output.finalenergydemand">Energy!$D$16:$M$22</definedName>
    <definedName name="output.flows">Flows!$C$5:$M$68</definedName>
    <definedName name="output.ghg.by.ipcc.sector">GHG!$D$13:$M$24</definedName>
    <definedName name="output.ghg.per.capita">GHG!$D$48:$M$59</definedName>
    <definedName name="output.ghg.percentage.reduction">GHG!$E$42</definedName>
    <definedName name="output.imports.proportion">'Energy Security'!$D$113:$M$120</definedName>
    <definedName name="output.imports.quantity">'Energy Security'!$D$91:$M$98</definedName>
    <definedName name="output.primaryenergysupply">Energy!$D$47:$M$57</definedName>
    <definedName name="output.shannonweinerindex">'Energy Security'!$D$65:$M$65</definedName>
    <definedName name="output.version">Control!$N$1</definedName>
    <definedName name="Peak_Electricity_Generation_Capacity">'Intermediate output'!$AX$122:$BF$122</definedName>
    <definedName name="plantsize.I.a" localSheetId="18">I.a!$F$45</definedName>
    <definedName name="plantsize.I.a">I.a!$F$45</definedName>
    <definedName name="plantsize.I.b" localSheetId="17">I.b!$F$44</definedName>
    <definedName name="plantsize.I.c">I.c!$F$42</definedName>
    <definedName name="plantsize.II.a" localSheetId="20">II.a!$F$52</definedName>
    <definedName name="plantsize.III.a.1" localSheetId="21">III.a.1!$F$43</definedName>
    <definedName name="plantsize.III.b.1" localSheetId="22">III.b.1!$F$39</definedName>
    <definedName name="plantsize.III.b.1" localSheetId="23">III.b.2!$F$39</definedName>
    <definedName name="plantsize.III.b.2" localSheetId="23">III.b.2!$F$39</definedName>
    <definedName name="plantsize.III.f" localSheetId="24">III.f!$E$38</definedName>
    <definedName name="plantsize.III.g">III.g!$E$40</definedName>
    <definedName name="plantsize.IV.a" localSheetId="25">III.g!$E$40</definedName>
    <definedName name="plantsize.IV.a" localSheetId="26">IV.a!$E$38</definedName>
    <definedName name="plantsize.V.a.Dry_bio_and_waste_to_gas">V.a!$F$94</definedName>
    <definedName name="plantsize.V.a.Dry_bio_and_waste_to_liquid">V.a!$F$93</definedName>
    <definedName name="plantsize.V.a.Dry_bio_and_waste_to_solid">V.a!$F$92</definedName>
    <definedName name="plantsize.V.a.Energy_crops_1st_generation_to_gas">V.a!$F$103</definedName>
    <definedName name="plantsize.V.a.Energy_crops_1st_generation_to_liquid">V.a!$F$102</definedName>
    <definedName name="plantsize.V.a.Energy_crops_1st_generation_to_solid">V.a!$F$101</definedName>
    <definedName name="plantsize.V.a.Energy_crops_2nd_generation_to_gas">V.a!$F$100</definedName>
    <definedName name="plantsize.V.a.Energy_crops_2nd_generation_to_liquid">V.a!$F$99</definedName>
    <definedName name="plantsize.V.a.Energy_crops_2nd_generation_to_solid">V.a!$F$98</definedName>
    <definedName name="plantsize.V.a.Gaseous_waste_to_gas">V.a!$F$106</definedName>
    <definedName name="plantsize.V.a.Gaseous_waste_to_liquid">V.a!$F$105</definedName>
    <definedName name="plantsize.V.a.Gaseous_waste_to_solid">V.a!$F$104</definedName>
    <definedName name="plantsize.V.a.Wet_bio_and_waste_to_gas">V.a!$F$97</definedName>
    <definedName name="plantsize.V.a.Wet_bio_and_waste_to_liquid">V.a!$F$96</definedName>
    <definedName name="plantsize.V.a.Wet_bio_and_waste_to_solid">V.a!$F$95</definedName>
    <definedName name="plantsize.VI.b.Capturing_landfill_gas">VI.b!$E$193</definedName>
    <definedName name="plantsize.VI.b.Landfill_site">VI.b!$E$188</definedName>
    <definedName name="plantsize.VI.b.Recovering_landfill_gas">VI.b!$E$194</definedName>
    <definedName name="plantsize.VI.b.Recovering_sewage_sludge">VI.b!$E$199</definedName>
    <definedName name="Preferences.AreaUnits">Preferences!$C$7</definedName>
    <definedName name="Preferences.EnergyUnits">Preferences!$C$3</definedName>
    <definedName name="Preferences.moneyunits">Preferences!$C$9</definedName>
    <definedName name="Preferences.PowerUnits">Preferences!$C$5</definedName>
    <definedName name="Preferences.Unit.Energy">Preferences!$F$3</definedName>
    <definedName name="Preferences.Unit.Power">Preferences!$F$5</definedName>
    <definedName name="Price1990">Conversions!$D$85</definedName>
    <definedName name="Price1991">Conversions!$D$86</definedName>
    <definedName name="Price1992">Conversions!$D$87</definedName>
    <definedName name="Price1993">Conversions!$D$88</definedName>
    <definedName name="Price1994">Conversions!$D$89</definedName>
    <definedName name="Price1995">Conversions!$D$90</definedName>
    <definedName name="Price1996">Conversions!$D$91</definedName>
    <definedName name="Price1997">Conversions!$D$92</definedName>
    <definedName name="Price1998">Conversions!$D$93</definedName>
    <definedName name="Price1999">Conversions!$D$94</definedName>
    <definedName name="Price2000">Conversions!$D$95</definedName>
    <definedName name="Price2001">Conversions!$D$96</definedName>
    <definedName name="Price2002">Conversions!$D$97</definedName>
    <definedName name="Price2003">Conversions!$D$98</definedName>
    <definedName name="Price2004">Conversions!$D$99</definedName>
    <definedName name="Price2005">Conversions!$D$100</definedName>
    <definedName name="Price2006">Conversions!$D$101</definedName>
    <definedName name="Price2007">Conversions!$D$102</definedName>
    <definedName name="Price2008">Conversions!$D$103</definedName>
    <definedName name="Price2009">Conversions!$D$104</definedName>
    <definedName name="Price2010">Conversions!$D$105</definedName>
    <definedName name="Price2011">Conversions!$D$106</definedName>
    <definedName name="TGBP">Conversions!$E$71</definedName>
    <definedName name="this.Year" localSheetId="44">'2010'!$E$2</definedName>
    <definedName name="this.Year" localSheetId="45">'2015'!$E$2</definedName>
    <definedName name="this.Year" localSheetId="46">'2020'!$E$2</definedName>
    <definedName name="this.Year" localSheetId="47">'2025'!$E$2</definedName>
    <definedName name="this.Year" localSheetId="48">'2030'!$E$2</definedName>
    <definedName name="this.Year" localSheetId="49">'2035'!$E$2</definedName>
    <definedName name="this.Year" localSheetId="50">'2040'!$E$2</definedName>
    <definedName name="this.Year" localSheetId="51">'2045'!$E$2</definedName>
    <definedName name="this.Year" localSheetId="52">'2050'!$E$2</definedName>
    <definedName name="Unit.acre">Conversions!$F$50</definedName>
    <definedName name="unit.bcm">Conversions!$F$24</definedName>
    <definedName name="Unit.boe">Conversions!$F$15</definedName>
    <definedName name="Unit.Btu">Conversions!$F$21</definedName>
    <definedName name="Unit.calorie">Conversions!$F$22</definedName>
    <definedName name="Unit.day">Conversions!$F$41</definedName>
    <definedName name="Unit.GJ">Conversions!$F$7</definedName>
    <definedName name="Unit.GW">Conversions!$F$30</definedName>
    <definedName name="Unit.GWh">Conversions!$F$13</definedName>
    <definedName name="Unit.GWyear">Conversions!$F$23</definedName>
    <definedName name="Unit.ha">Conversions!$F$48</definedName>
    <definedName name="Unit.hour">Conversions!$F$42</definedName>
    <definedName name="Unit.J">Conversions!$F$8</definedName>
    <definedName name="Unit.km2">Conversions!$F$51</definedName>
    <definedName name="Unit.ktoe">Conversions!$F$18</definedName>
    <definedName name="Unit.kW">Conversions!$F$32</definedName>
    <definedName name="Unit.kWh">Conversions!$F$10</definedName>
    <definedName name="Unit.kWh.p.d">Conversions!$F$11</definedName>
    <definedName name="Unit.m2">Conversions!$F$52</definedName>
    <definedName name="Unit.Mboe">Conversions!$F$16</definedName>
    <definedName name="Unit.mcm.d">Conversions!$F$34</definedName>
    <definedName name="Unit.Mha">Conversions!$F$49</definedName>
    <definedName name="Unit.minute">Conversions!$F$43</definedName>
    <definedName name="Unit.MJ">Conversions!$F$9</definedName>
    <definedName name="Unit.Mtoe">Conversions!$F$19</definedName>
    <definedName name="Unit.Mtoe.y">Conversions!$F$35</definedName>
    <definedName name="Unit.MW">Conversions!$F$31</definedName>
    <definedName name="Unit.MWh">Conversions!$F$14</definedName>
    <definedName name="Unit.PJ">Conversions!$F$5</definedName>
    <definedName name="Unit.therm">Conversions!$F$20</definedName>
    <definedName name="Unit.TJ">Conversions!$F$6</definedName>
    <definedName name="Unit.toe">Conversions!$F$17</definedName>
    <definedName name="Unit.TWh">Conversions!$F$12</definedName>
    <definedName name="Unit.W">Conversions!$F$33</definedName>
    <definedName name="Unit.Wales">Conversions!$F$53</definedName>
    <definedName name="Unit.year">Conversions!$F$40</definedName>
    <definedName name="USD2009_">Conversions!$E$76</definedName>
    <definedName name="USD2010_">Conversions!$E$77</definedName>
    <definedName name="V.a.Scenario">Control!$E$20</definedName>
    <definedName name="V.b.Scenario">Control!$E$21</definedName>
    <definedName name="VI.a.2.Scenario">Control!$E$18</definedName>
    <definedName name="VI.a.Bioenergy">Costs!$A$104</definedName>
    <definedName name="VI.a.Scenario">Control!$E$17</definedName>
    <definedName name="VI.b.Scenario">Control!$E$19</definedName>
    <definedName name="VII.a.Scenario">Control!$E$15</definedName>
    <definedName name="X.a.Scenario.Demand">Control!$E$32</definedName>
    <definedName name="X.a.Scenario.Technology">Control!$E$33</definedName>
    <definedName name="X.b.Scenario.Demand">Control!$E$41</definedName>
    <definedName name="X.b.Scenario.Technology">Control!$E$42</definedName>
    <definedName name="XI.a.Scenario.Efficiency">Control!$E$36</definedName>
    <definedName name="XI.a.Scenario.Output">Control!$E$35</definedName>
    <definedName name="XII.a.Scenario.Demand">Control!$E$24</definedName>
    <definedName name="XII.a.Scenario.ElecHydrogen">Control!$E$26</definedName>
    <definedName name="XII.a.Scenario.Technology">Control!$E$25</definedName>
    <definedName name="XII.b.Barge1.AQ" localSheetId="45">XII.b.Barge.AQ[]</definedName>
    <definedName name="XII.b.Barge1.AQ" localSheetId="46">XII.b.Barge.AQ[]</definedName>
    <definedName name="XII.b.Barge1.AQ" localSheetId="47">XII.b.Barge.AQ[]</definedName>
    <definedName name="XII.b.Barge1.AQ" localSheetId="48">XII.b.Barge.AQ[]</definedName>
    <definedName name="XII.b.Barge1.AQ" localSheetId="49">XII.b.Barge.AQ[]</definedName>
    <definedName name="XII.b.Barge1.AQ" localSheetId="50">XII.b.Barge.AQ[]</definedName>
    <definedName name="XII.b.Barge1.AQ" localSheetId="51">XII.b.Barge.AQ[]</definedName>
    <definedName name="XII.b.Barge1.AQ" localSheetId="52">XII.b.Barge.AQ[]</definedName>
    <definedName name="XII.b.Barge1.AQ">XII.b.Barge.AQ[]</definedName>
    <definedName name="XII.b.Scenario">Control!$E$27</definedName>
    <definedName name="XV.b.Scenario.Coal">Control!$E$44</definedName>
    <definedName name="XV.b.Scenario.Gas">Control!$E$46</definedName>
    <definedName name="XV.b.Scenario.Oil">Control!$E$45</definedName>
    <definedName name="Year.Emissions" localSheetId="44">'2010'!$BH$90:$CU$90</definedName>
    <definedName name="Year.Emissions" localSheetId="45">'2015'!$BH$90:$CU$90</definedName>
    <definedName name="Year.Emissions" localSheetId="46">'2020'!$BH$90:$CU$90</definedName>
    <definedName name="Year.Emissions" localSheetId="47">'2025'!$BH$90:$CU$90</definedName>
    <definedName name="Year.Emissions" localSheetId="48">'2030'!$BH$90:$CU$90</definedName>
    <definedName name="Year.Emissions" localSheetId="49">'2035'!$BH$90:$CU$90</definedName>
    <definedName name="Year.Emissions" localSheetId="50">'2040'!$BH$90:$CU$90</definedName>
    <definedName name="Year.Emissions" localSheetId="51">'2045'!$BH$90:$CU$90</definedName>
    <definedName name="Year.Emissions" localSheetId="52">'2050'!$BH$90:$CU$90</definedName>
    <definedName name="Year.Emissions.Total">'2010'!$CW$90</definedName>
    <definedName name="Year.EmissionsBySector" localSheetId="44">'2010'!$CW$6:$CW$91</definedName>
    <definedName name="Year.EmissionsBySector" localSheetId="45">'2015'!$CW$6:$CW$91</definedName>
    <definedName name="Year.EmissionsBySector" localSheetId="46">'2020'!$CW$6:$CW$91</definedName>
    <definedName name="Year.EmissionsBySector" localSheetId="47">'2025'!$CW$6:$CW$91</definedName>
    <definedName name="Year.EmissionsBySector" localSheetId="48">'2030'!$CW$6:$CW$91</definedName>
    <definedName name="Year.EmissionsBySector" localSheetId="49">'2035'!$CW$6:$CW$91</definedName>
    <definedName name="Year.EmissionsBySector" localSheetId="50">'2040'!$CW$6:$CW$91</definedName>
    <definedName name="Year.EmissionsBySector" localSheetId="51">'2045'!$CW$6:$CW$91</definedName>
    <definedName name="Year.EmissionsBySector" localSheetId="52">'2050'!$CW$6:$CW$91</definedName>
    <definedName name="Year.GHG" localSheetId="44">'2010'!$BH$6:$CU$6</definedName>
    <definedName name="Year.GHG" localSheetId="45">'2015'!$BH$6:$CU$6</definedName>
    <definedName name="Year.GHG" localSheetId="46">'2020'!$BH$6:$CU$6</definedName>
    <definedName name="Year.GHG" localSheetId="47">'2025'!$BH$6:$CU$6</definedName>
    <definedName name="Year.GHG" localSheetId="48">'2030'!$BH$6:$CU$6</definedName>
    <definedName name="Year.GHG" localSheetId="49">'2035'!$BH$6:$CU$6</definedName>
    <definedName name="Year.GHG" localSheetId="50">'2040'!$BH$6:$CU$6</definedName>
    <definedName name="Year.GHG" localSheetId="51">'2045'!$BH$6:$CU$6</definedName>
    <definedName name="Year.GHG" localSheetId="52">'2050'!$BH$6:$CU$6</definedName>
    <definedName name="Year.IPCC" localSheetId="44">'2010'!$BH$5:$CU$5</definedName>
    <definedName name="Year.IPCC" localSheetId="45">'2015'!$BH$5:$CU$5</definedName>
    <definedName name="Year.IPCC" localSheetId="46">'2020'!$BH$5:$CU$5</definedName>
    <definedName name="Year.IPCC" localSheetId="47">'2025'!$BH$5:$CU$5</definedName>
    <definedName name="Year.IPCC" localSheetId="48">'2030'!$BH$5:$CU$5</definedName>
    <definedName name="Year.IPCC" localSheetId="49">'2035'!$BH$5:$CU$5</definedName>
    <definedName name="Year.IPCC" localSheetId="50">'2040'!$BH$5:$CU$5</definedName>
    <definedName name="Year.IPCC" localSheetId="51">'2045'!$BH$5:$CU$5</definedName>
    <definedName name="Year.IPCC" localSheetId="52">'2050'!$BH$5:$CU$5</definedName>
    <definedName name="Year.Matrix" localSheetId="44">'2010'!$G$6:$BE$91</definedName>
    <definedName name="Year.Matrix" localSheetId="45">'2015'!$G$6:$BG$91</definedName>
    <definedName name="Year.Matrix" localSheetId="46">'2020'!$G$6:$BG$91</definedName>
    <definedName name="Year.Matrix" localSheetId="47">'2025'!$G$6:$BG$91</definedName>
    <definedName name="Year.Matrix" localSheetId="48">'2030'!$G$6:$BG$91</definedName>
    <definedName name="Year.Matrix" localSheetId="49">'2035'!$G$6:$BG$91</definedName>
    <definedName name="Year.Matrix" localSheetId="50">'2040'!$G$6:$BG$91</definedName>
    <definedName name="Year.Matrix" localSheetId="51">'2045'!$G$6:$BG$91</definedName>
    <definedName name="Year.Matrix" localSheetId="52">'2050'!$G$6:$BG$91</definedName>
    <definedName name="Year.Modules" localSheetId="44">'2010'!$C$6:$C$91</definedName>
    <definedName name="Year.Modules" localSheetId="45">'2015'!$C$6:$C$91</definedName>
    <definedName name="Year.Modules" localSheetId="46">'2020'!$C$6:$C$91</definedName>
    <definedName name="Year.Modules" localSheetId="47">'2025'!$C$6:$C$91</definedName>
    <definedName name="Year.Modules" localSheetId="48">'2030'!$C$6:$C$91</definedName>
    <definedName name="Year.Modules" localSheetId="49">'2035'!$C$6:$C$91</definedName>
    <definedName name="Year.Modules" localSheetId="50">'2040'!$C$6:$C$91</definedName>
    <definedName name="Year.Modules" localSheetId="51">'2045'!$C$6:$C$91</definedName>
    <definedName name="Year.Modules" localSheetId="52">'2050'!$C$6:$C$91</definedName>
    <definedName name="Year.NetBalance" localSheetId="44">'2010'!$G$90:$BE$90</definedName>
    <definedName name="Year.NetBalance" localSheetId="45">'2015'!$G$90:$BE$90</definedName>
    <definedName name="Year.NetBalance" localSheetId="46">'2020'!$G$90:$BE$90</definedName>
    <definedName name="Year.NetBalance" localSheetId="47">'2025'!$G$90:$BE$90</definedName>
    <definedName name="Year.NetBalance" localSheetId="48">'2030'!$G$90:$BE$90</definedName>
    <definedName name="Year.NetBalance" localSheetId="49">'2035'!$G$90:$BE$90</definedName>
    <definedName name="Year.NetBalance" localSheetId="50">'2040'!$G$90:$BE$90</definedName>
    <definedName name="Year.NetBalance" localSheetId="51">'2045'!$G$90:$BE$90</definedName>
    <definedName name="Year.NetBalance" localSheetId="52">'2050'!$G$90:$BE$90</definedName>
    <definedName name="Year.Vectors" localSheetId="44">'2010'!$G$5:$BE$5</definedName>
    <definedName name="Year.Vectors" localSheetId="45">'2015'!$G$5:$BE$5</definedName>
    <definedName name="Year.Vectors" localSheetId="46">'2020'!$G$5:$BE$5</definedName>
    <definedName name="Year.Vectors" localSheetId="47">'2025'!$G$5:$BE$5</definedName>
    <definedName name="Year.Vectors" localSheetId="48">'2030'!$G$5:$BE$5</definedName>
    <definedName name="Year.Vectors" localSheetId="49">'2035'!$G$5:$BE$5</definedName>
    <definedName name="Year.Vectors" localSheetId="50">'2040'!$G$5:$BE$5</definedName>
    <definedName name="Year.Vectors" localSheetId="51">'2045'!$G$5:$BE$5</definedName>
    <definedName name="Year.Vectors" localSheetId="52">'2050'!$G$5:$BE$5</definedName>
  </definedNames>
  <calcPr calcId="144525" concurrentCalc="0"/>
</workbook>
</file>

<file path=xl/calcChain.xml><?xml version="1.0" encoding="utf-8"?>
<calcChain xmlns="http://schemas.openxmlformats.org/spreadsheetml/2006/main">
  <c r="CR11" i="70" l="1"/>
  <c r="CR12" i="70"/>
  <c r="CR9" i="70"/>
  <c r="CR10" i="70"/>
  <c r="CR13" i="70"/>
  <c r="CR15" i="70"/>
  <c r="CR16" i="70"/>
  <c r="CR17" i="70"/>
  <c r="F284" i="39"/>
  <c r="F285" i="39"/>
  <c r="F286" i="39"/>
  <c r="F287" i="39"/>
  <c r="F288" i="39"/>
  <c r="F367" i="39"/>
  <c r="E9" i="39"/>
  <c r="F368" i="39"/>
  <c r="F369" i="39"/>
  <c r="CR22" i="70"/>
  <c r="CR23" i="70"/>
  <c r="CR24" i="70"/>
  <c r="CR34" i="70"/>
  <c r="CR35" i="70"/>
  <c r="CR36" i="70"/>
  <c r="CR38" i="70"/>
  <c r="CR39" i="70"/>
  <c r="CR40" i="70"/>
  <c r="CR42" i="70"/>
  <c r="CR43" i="70"/>
  <c r="CR44" i="70"/>
  <c r="CR45" i="70"/>
  <c r="CR46" i="70"/>
  <c r="CR47" i="70"/>
  <c r="CR49" i="70"/>
  <c r="CR50" i="70"/>
  <c r="CR53" i="70"/>
  <c r="CR54" i="70"/>
  <c r="CR57" i="70"/>
  <c r="CR61" i="70"/>
  <c r="CR63" i="70"/>
  <c r="CR59" i="70"/>
  <c r="CR64" i="70"/>
  <c r="CR66" i="70"/>
  <c r="CR71" i="70"/>
  <c r="CR73" i="70"/>
  <c r="CR74" i="70"/>
  <c r="CR77" i="70"/>
  <c r="CR79" i="70"/>
  <c r="CR80" i="70"/>
  <c r="CR83" i="70"/>
  <c r="CR84" i="70"/>
  <c r="CR85" i="70"/>
  <c r="CR87" i="70"/>
  <c r="CS11" i="70"/>
  <c r="CS12" i="70"/>
  <c r="CS9" i="70"/>
  <c r="CS10" i="70"/>
  <c r="CS13" i="70"/>
  <c r="CS15" i="70"/>
  <c r="CS16" i="70"/>
  <c r="CS17" i="70"/>
  <c r="CS19" i="70"/>
  <c r="CS20" i="70"/>
  <c r="CS22" i="70"/>
  <c r="CS23" i="70"/>
  <c r="CS24" i="70"/>
  <c r="CS28" i="70"/>
  <c r="CS34" i="70"/>
  <c r="CS35" i="70"/>
  <c r="CS36" i="70"/>
  <c r="CS38" i="70"/>
  <c r="CS39" i="70"/>
  <c r="CS40" i="70"/>
  <c r="CS42" i="70"/>
  <c r="CS43" i="70"/>
  <c r="CS44" i="70"/>
  <c r="CS45" i="70"/>
  <c r="CS46" i="70"/>
  <c r="CS47" i="70"/>
  <c r="CS49" i="70"/>
  <c r="CS50" i="70"/>
  <c r="CS53" i="70"/>
  <c r="CS54" i="70"/>
  <c r="CS57" i="70"/>
  <c r="CS61" i="70"/>
  <c r="CS63" i="70"/>
  <c r="CS59" i="70"/>
  <c r="CS64" i="70"/>
  <c r="CS66" i="70"/>
  <c r="CS71" i="70"/>
  <c r="CS73" i="70"/>
  <c r="CS74" i="70"/>
  <c r="CS77" i="70"/>
  <c r="CS79" i="70"/>
  <c r="CS80" i="70"/>
  <c r="CS83" i="70"/>
  <c r="CS84" i="70"/>
  <c r="CS85" i="70"/>
  <c r="CS87" i="70"/>
  <c r="CS90" i="70"/>
  <c r="CT11" i="70"/>
  <c r="CT12" i="70"/>
  <c r="CT9" i="70"/>
  <c r="CT10" i="70"/>
  <c r="CT13" i="70"/>
  <c r="CT15" i="70"/>
  <c r="CT16" i="70"/>
  <c r="CT17" i="70"/>
  <c r="CT19" i="70"/>
  <c r="CT20" i="70"/>
  <c r="CT22" i="70"/>
  <c r="CT23" i="70"/>
  <c r="CT24" i="70"/>
  <c r="CT28" i="70"/>
  <c r="CT34" i="70"/>
  <c r="CT35" i="70"/>
  <c r="CT36" i="70"/>
  <c r="CT38" i="70"/>
  <c r="CT39" i="70"/>
  <c r="CT40" i="70"/>
  <c r="CT42" i="70"/>
  <c r="CT43" i="70"/>
  <c r="CT44" i="70"/>
  <c r="CT45" i="70"/>
  <c r="CT46" i="70"/>
  <c r="CT47" i="70"/>
  <c r="CT49" i="70"/>
  <c r="CT50" i="70"/>
  <c r="CT53" i="70"/>
  <c r="CT54" i="70"/>
  <c r="CT57" i="70"/>
  <c r="CT61" i="70"/>
  <c r="CT63" i="70"/>
  <c r="CT59" i="70"/>
  <c r="CT64" i="70"/>
  <c r="CT66" i="70"/>
  <c r="CT71" i="70"/>
  <c r="CT73" i="70"/>
  <c r="CT74" i="70"/>
  <c r="CT77" i="70"/>
  <c r="CT79" i="70"/>
  <c r="CT80" i="70"/>
  <c r="CT83" i="70"/>
  <c r="CT84" i="70"/>
  <c r="CT85" i="70"/>
  <c r="CT87" i="70"/>
  <c r="CT90" i="70"/>
  <c r="CU11" i="70"/>
  <c r="CU12" i="70"/>
  <c r="CU9" i="70"/>
  <c r="CU10" i="70"/>
  <c r="CU13" i="70"/>
  <c r="CU15" i="70"/>
  <c r="CU16" i="70"/>
  <c r="CU17" i="70"/>
  <c r="CU19" i="70"/>
  <c r="CU20" i="70"/>
  <c r="CU22" i="70"/>
  <c r="CU23" i="70"/>
  <c r="CU24" i="70"/>
  <c r="CU28" i="70"/>
  <c r="CU34" i="70"/>
  <c r="CU35" i="70"/>
  <c r="CU36" i="70"/>
  <c r="CU38" i="70"/>
  <c r="CU39" i="70"/>
  <c r="CU40" i="70"/>
  <c r="CU42" i="70"/>
  <c r="CU43" i="70"/>
  <c r="CU44" i="70"/>
  <c r="CU45" i="70"/>
  <c r="CU46" i="70"/>
  <c r="CU47" i="70"/>
  <c r="CU49" i="70"/>
  <c r="CU50" i="70"/>
  <c r="CU53" i="70"/>
  <c r="CU54" i="70"/>
  <c r="CU57" i="70"/>
  <c r="CU61" i="70"/>
  <c r="CU63" i="70"/>
  <c r="CU59" i="70"/>
  <c r="CU64" i="70"/>
  <c r="CU66" i="70"/>
  <c r="CU71" i="70"/>
  <c r="CU73" i="70"/>
  <c r="CU74" i="70"/>
  <c r="CU83" i="70"/>
  <c r="CU84" i="70"/>
  <c r="CU85" i="70"/>
  <c r="CU87" i="70"/>
  <c r="CU90" i="70"/>
  <c r="CN11" i="70"/>
  <c r="CN12" i="70"/>
  <c r="CN9" i="70"/>
  <c r="CN10" i="70"/>
  <c r="CN13" i="70"/>
  <c r="CN15" i="70"/>
  <c r="CN16" i="70"/>
  <c r="CN17" i="70"/>
  <c r="CN19" i="70"/>
  <c r="CN20" i="70"/>
  <c r="CN22" i="70"/>
  <c r="CN23" i="70"/>
  <c r="CN24" i="70"/>
  <c r="CN28" i="70"/>
  <c r="CN34" i="70"/>
  <c r="CN35" i="70"/>
  <c r="CN36" i="70"/>
  <c r="CN38" i="70"/>
  <c r="CN39" i="70"/>
  <c r="CN40" i="70"/>
  <c r="CN42" i="70"/>
  <c r="CN43" i="70"/>
  <c r="CN44" i="70"/>
  <c r="CN45" i="70"/>
  <c r="CN46" i="70"/>
  <c r="CN47" i="70"/>
  <c r="CN49" i="70"/>
  <c r="CN50" i="70"/>
  <c r="CN53" i="70"/>
  <c r="CN54" i="70"/>
  <c r="CN57" i="70"/>
  <c r="CN61" i="70"/>
  <c r="CN63" i="70"/>
  <c r="CN59" i="70"/>
  <c r="CN64" i="70"/>
  <c r="CN66" i="70"/>
  <c r="CN71" i="70"/>
  <c r="CN73" i="70"/>
  <c r="CN74" i="70"/>
  <c r="CJ11" i="70"/>
  <c r="CJ12" i="70"/>
  <c r="CJ9" i="70"/>
  <c r="CJ10" i="70"/>
  <c r="CJ13" i="70"/>
  <c r="CJ15" i="70"/>
  <c r="CJ16" i="70"/>
  <c r="CJ17" i="70"/>
  <c r="CJ19" i="70"/>
  <c r="CJ20" i="70"/>
  <c r="CJ22" i="70"/>
  <c r="CJ23" i="70"/>
  <c r="CJ24" i="70"/>
  <c r="CJ28" i="70"/>
  <c r="CJ34" i="70"/>
  <c r="CJ35" i="70"/>
  <c r="CJ36" i="70"/>
  <c r="CJ38" i="70"/>
  <c r="CJ39" i="70"/>
  <c r="CJ40" i="70"/>
  <c r="CJ42" i="70"/>
  <c r="CJ43" i="70"/>
  <c r="CJ44" i="70"/>
  <c r="CJ45" i="70"/>
  <c r="CJ46" i="70"/>
  <c r="CJ47" i="70"/>
  <c r="CJ49" i="70"/>
  <c r="CJ50" i="70"/>
  <c r="CJ53" i="70"/>
  <c r="CJ54" i="70"/>
  <c r="CJ57" i="70"/>
  <c r="CJ61" i="70"/>
  <c r="CJ63" i="70"/>
  <c r="CJ59" i="70"/>
  <c r="CJ64" i="70"/>
  <c r="CJ66" i="70"/>
  <c r="CJ71" i="70"/>
  <c r="CJ73" i="70"/>
  <c r="CJ74" i="70"/>
  <c r="CJ77" i="70"/>
  <c r="CJ79" i="70"/>
  <c r="CJ80" i="70"/>
  <c r="CJ83" i="70"/>
  <c r="CJ84" i="70"/>
  <c r="CJ85" i="70"/>
  <c r="CJ87" i="70"/>
  <c r="CJ90" i="70"/>
  <c r="CK11" i="70"/>
  <c r="CK12" i="70"/>
  <c r="CK9" i="70"/>
  <c r="CK10" i="70"/>
  <c r="CK13" i="70"/>
  <c r="CK15" i="70"/>
  <c r="CK16" i="70"/>
  <c r="CK17" i="70"/>
  <c r="CK19" i="70"/>
  <c r="CK20" i="70"/>
  <c r="CK22" i="70"/>
  <c r="CK23" i="70"/>
  <c r="CK24" i="70"/>
  <c r="CK28" i="70"/>
  <c r="CK34" i="70"/>
  <c r="CK35" i="70"/>
  <c r="CK36" i="70"/>
  <c r="CK38" i="70"/>
  <c r="CK39" i="70"/>
  <c r="CK40" i="70"/>
  <c r="CK42" i="70"/>
  <c r="CK43" i="70"/>
  <c r="CK44" i="70"/>
  <c r="CK45" i="70"/>
  <c r="CK46" i="70"/>
  <c r="CK47" i="70"/>
  <c r="CK49" i="70"/>
  <c r="CK50" i="70"/>
  <c r="CK53" i="70"/>
  <c r="CK54" i="70"/>
  <c r="CK57" i="70"/>
  <c r="CK61" i="70"/>
  <c r="CK63" i="70"/>
  <c r="CK59" i="70"/>
  <c r="CK64" i="70"/>
  <c r="CK66" i="70"/>
  <c r="CK71" i="70"/>
  <c r="CK73" i="70"/>
  <c r="CK74" i="70"/>
  <c r="CK77" i="70"/>
  <c r="CK79" i="70"/>
  <c r="CK80" i="70"/>
  <c r="CK83" i="70"/>
  <c r="CK84" i="70"/>
  <c r="CK85" i="70"/>
  <c r="CK87" i="70"/>
  <c r="CK90" i="70"/>
  <c r="CL11" i="70"/>
  <c r="CL12" i="70"/>
  <c r="CL9" i="70"/>
  <c r="CL10" i="70"/>
  <c r="CL13" i="70"/>
  <c r="CL15" i="70"/>
  <c r="CL16" i="70"/>
  <c r="CL17" i="70"/>
  <c r="CL19" i="70"/>
  <c r="CL20" i="70"/>
  <c r="CL22" i="70"/>
  <c r="CL23" i="70"/>
  <c r="CL24" i="70"/>
  <c r="CL28" i="70"/>
  <c r="CL34" i="70"/>
  <c r="CL35" i="70"/>
  <c r="CL36" i="70"/>
  <c r="CL38" i="70"/>
  <c r="CL39" i="70"/>
  <c r="CL40" i="70"/>
  <c r="CL42" i="70"/>
  <c r="CL43" i="70"/>
  <c r="CL44" i="70"/>
  <c r="CL45" i="70"/>
  <c r="CL46" i="70"/>
  <c r="CL47" i="70"/>
  <c r="CL49" i="70"/>
  <c r="CL50" i="70"/>
  <c r="CL53" i="70"/>
  <c r="CL54" i="70"/>
  <c r="CL57" i="70"/>
  <c r="CL61" i="70"/>
  <c r="CL63" i="70"/>
  <c r="CL59" i="70"/>
  <c r="CL64" i="70"/>
  <c r="CL66" i="70"/>
  <c r="CL71" i="70"/>
  <c r="CL73" i="70"/>
  <c r="CL74" i="70"/>
  <c r="CL77" i="70"/>
  <c r="CL79" i="70"/>
  <c r="CL80" i="70"/>
  <c r="CL83" i="70"/>
  <c r="CL84" i="70"/>
  <c r="CL85" i="70"/>
  <c r="CL87" i="70"/>
  <c r="CL90" i="70"/>
  <c r="CM11" i="70"/>
  <c r="CM12" i="70"/>
  <c r="CM9" i="70"/>
  <c r="CM10" i="70"/>
  <c r="CM13" i="70"/>
  <c r="CM15" i="70"/>
  <c r="CM16" i="70"/>
  <c r="CM17" i="70"/>
  <c r="CM19" i="70"/>
  <c r="CM20" i="70"/>
  <c r="CM22" i="70"/>
  <c r="CM23" i="70"/>
  <c r="CM24" i="70"/>
  <c r="CM28" i="70"/>
  <c r="CM34" i="70"/>
  <c r="CM35" i="70"/>
  <c r="CM36" i="70"/>
  <c r="CM38" i="70"/>
  <c r="CM39" i="70"/>
  <c r="CM40" i="70"/>
  <c r="CM42" i="70"/>
  <c r="CM43" i="70"/>
  <c r="CM44" i="70"/>
  <c r="CM45" i="70"/>
  <c r="CM46" i="70"/>
  <c r="CM47" i="70"/>
  <c r="CM49" i="70"/>
  <c r="CM50" i="70"/>
  <c r="CM53" i="70"/>
  <c r="CM54" i="70"/>
  <c r="CM57" i="70"/>
  <c r="CM61" i="70"/>
  <c r="CM63" i="70"/>
  <c r="CM59" i="70"/>
  <c r="CM64" i="70"/>
  <c r="CM66" i="70"/>
  <c r="CM71" i="70"/>
  <c r="CM73" i="70"/>
  <c r="CM74" i="70"/>
  <c r="CM77" i="70"/>
  <c r="CM79" i="70"/>
  <c r="CM80" i="70"/>
  <c r="CM83" i="70"/>
  <c r="CM84" i="70"/>
  <c r="CM85" i="70"/>
  <c r="CM87" i="70"/>
  <c r="CM90" i="70"/>
  <c r="C7" i="35"/>
  <c r="E55" i="175"/>
  <c r="CF11" i="70"/>
  <c r="CF12" i="70"/>
  <c r="CF9" i="70"/>
  <c r="CF10" i="70"/>
  <c r="CF13" i="70"/>
  <c r="CF15" i="70"/>
  <c r="CF16" i="70"/>
  <c r="CF17" i="70"/>
  <c r="CF19" i="70"/>
  <c r="CF20" i="70"/>
  <c r="CF22" i="70"/>
  <c r="CF23" i="70"/>
  <c r="CF24" i="70"/>
  <c r="CF28" i="70"/>
  <c r="F541" i="113"/>
  <c r="CF34" i="70"/>
  <c r="CF35" i="70"/>
  <c r="CF36" i="70"/>
  <c r="CF38" i="70"/>
  <c r="CF39" i="70"/>
  <c r="CF40" i="70"/>
  <c r="CF42" i="70"/>
  <c r="CF43" i="70"/>
  <c r="CF44" i="70"/>
  <c r="CF45" i="70"/>
  <c r="CF46" i="70"/>
  <c r="CF47" i="70"/>
  <c r="CF49" i="70"/>
  <c r="CF50" i="70"/>
  <c r="CF53" i="70"/>
  <c r="CF54" i="70"/>
  <c r="CF57" i="70"/>
  <c r="CF61" i="70"/>
  <c r="CF63" i="70"/>
  <c r="CF59" i="70"/>
  <c r="CF64" i="70"/>
  <c r="CF66" i="70"/>
  <c r="CF71" i="70"/>
  <c r="CF73" i="70"/>
  <c r="CF74" i="70"/>
  <c r="CF77" i="70"/>
  <c r="CF79" i="70"/>
  <c r="CF80" i="70"/>
  <c r="CF83" i="70"/>
  <c r="CF84" i="70"/>
  <c r="CF85" i="70"/>
  <c r="CF87" i="70"/>
  <c r="CF90" i="70"/>
  <c r="CG11" i="70"/>
  <c r="CG12" i="70"/>
  <c r="CG9" i="70"/>
  <c r="CG10" i="70"/>
  <c r="CG13" i="70"/>
  <c r="CG15" i="70"/>
  <c r="CG16" i="70"/>
  <c r="CG17" i="70"/>
  <c r="CG19" i="70"/>
  <c r="CG20" i="70"/>
  <c r="CG22" i="70"/>
  <c r="CG23" i="70"/>
  <c r="CG24" i="70"/>
  <c r="CG28" i="70"/>
  <c r="E7" i="113"/>
  <c r="F55" i="113"/>
  <c r="F311" i="113"/>
  <c r="F388" i="113"/>
  <c r="F128" i="113"/>
  <c r="F389" i="113"/>
  <c r="F393" i="113"/>
  <c r="F394" i="113"/>
  <c r="F46" i="113"/>
  <c r="F310" i="113"/>
  <c r="F402" i="113"/>
  <c r="F119" i="113"/>
  <c r="F319" i="113"/>
  <c r="F407" i="113"/>
  <c r="F408" i="113"/>
  <c r="F410" i="113"/>
  <c r="F412" i="113"/>
  <c r="F542" i="113"/>
  <c r="CG34" i="70"/>
  <c r="CG35" i="70"/>
  <c r="CG36" i="70"/>
  <c r="CG38" i="70"/>
  <c r="CG39" i="70"/>
  <c r="CG40" i="70"/>
  <c r="CG42" i="70"/>
  <c r="CG43" i="70"/>
  <c r="CG44" i="70"/>
  <c r="CG45" i="70"/>
  <c r="CG46" i="70"/>
  <c r="CG47" i="70"/>
  <c r="CG49" i="70"/>
  <c r="CG50" i="70"/>
  <c r="CG53" i="70"/>
  <c r="CG54" i="70"/>
  <c r="CG57" i="70"/>
  <c r="CG61" i="70"/>
  <c r="CG63" i="70"/>
  <c r="CG59" i="70"/>
  <c r="CG64" i="70"/>
  <c r="CG66" i="70"/>
  <c r="CG71" i="70"/>
  <c r="CG73" i="70"/>
  <c r="CG74" i="70"/>
  <c r="CG77" i="70"/>
  <c r="CG79" i="70"/>
  <c r="CG80" i="70"/>
  <c r="CG83" i="70"/>
  <c r="CG84" i="70"/>
  <c r="CG85" i="70"/>
  <c r="CG87" i="70"/>
  <c r="CG90" i="70"/>
  <c r="CH11" i="70"/>
  <c r="CH12" i="70"/>
  <c r="CH9" i="70"/>
  <c r="CH10" i="70"/>
  <c r="CH13" i="70"/>
  <c r="CH15" i="70"/>
  <c r="CH16" i="70"/>
  <c r="CH17" i="70"/>
  <c r="CH19" i="70"/>
  <c r="CH20" i="70"/>
  <c r="CH22" i="70"/>
  <c r="CH23" i="70"/>
  <c r="CH24" i="70"/>
  <c r="CH28" i="70"/>
  <c r="F405" i="113"/>
  <c r="F543" i="113"/>
  <c r="CH34" i="70"/>
  <c r="CH35" i="70"/>
  <c r="CH36" i="70"/>
  <c r="CH38" i="70"/>
  <c r="CH39" i="70"/>
  <c r="CH40" i="70"/>
  <c r="CH42" i="70"/>
  <c r="CH43" i="70"/>
  <c r="CH44" i="70"/>
  <c r="CH45" i="70"/>
  <c r="CH46" i="70"/>
  <c r="CH47" i="70"/>
  <c r="CH49" i="70"/>
  <c r="CH50" i="70"/>
  <c r="CH53" i="70"/>
  <c r="CH54" i="70"/>
  <c r="CH57" i="70"/>
  <c r="CH61" i="70"/>
  <c r="CH63" i="70"/>
  <c r="CH59" i="70"/>
  <c r="CH64" i="70"/>
  <c r="CH66" i="70"/>
  <c r="CH71" i="70"/>
  <c r="CH73" i="70"/>
  <c r="CH74" i="70"/>
  <c r="CH77" i="70"/>
  <c r="CH79" i="70"/>
  <c r="CH80" i="70"/>
  <c r="CH83" i="70"/>
  <c r="CH84" i="70"/>
  <c r="CH85" i="70"/>
  <c r="CH87" i="70"/>
  <c r="CH90" i="70"/>
  <c r="CI11" i="70"/>
  <c r="CI12" i="70"/>
  <c r="CI9" i="70"/>
  <c r="CI10" i="70"/>
  <c r="CI13" i="70"/>
  <c r="CI15" i="70"/>
  <c r="CI16" i="70"/>
  <c r="CI17" i="70"/>
  <c r="CI19" i="70"/>
  <c r="CI20" i="70"/>
  <c r="CI22" i="70"/>
  <c r="CI23" i="70"/>
  <c r="CI24" i="70"/>
  <c r="CI28" i="70"/>
  <c r="CI34" i="70"/>
  <c r="CI35" i="70"/>
  <c r="CI36" i="70"/>
  <c r="CI38" i="70"/>
  <c r="CI39" i="70"/>
  <c r="CI40" i="70"/>
  <c r="CI42" i="70"/>
  <c r="CI43" i="70"/>
  <c r="CI44" i="70"/>
  <c r="CI45" i="70"/>
  <c r="CI46" i="70"/>
  <c r="CI47" i="70"/>
  <c r="CI49" i="70"/>
  <c r="CI50" i="70"/>
  <c r="CI53" i="70"/>
  <c r="CI54" i="70"/>
  <c r="CI57" i="70"/>
  <c r="CI61" i="70"/>
  <c r="CI63" i="70"/>
  <c r="CI59" i="70"/>
  <c r="CI64" i="70"/>
  <c r="CI66" i="70"/>
  <c r="CI71" i="70"/>
  <c r="CI73" i="70"/>
  <c r="CI74" i="70"/>
  <c r="CI77" i="70"/>
  <c r="CI79" i="70"/>
  <c r="CI80" i="70"/>
  <c r="CI83" i="70"/>
  <c r="CI84" i="70"/>
  <c r="CI85" i="70"/>
  <c r="CI87" i="70"/>
  <c r="CI90" i="70"/>
  <c r="E54" i="175"/>
  <c r="CB11" i="70"/>
  <c r="CB12" i="70"/>
  <c r="CB9" i="70"/>
  <c r="CB10" i="70"/>
  <c r="CB13" i="70"/>
  <c r="CB15" i="70"/>
  <c r="CB16" i="70"/>
  <c r="CB17" i="70"/>
  <c r="CB19" i="70"/>
  <c r="CB20" i="70"/>
  <c r="CB22" i="70"/>
  <c r="CB23" i="70"/>
  <c r="CB24" i="70"/>
  <c r="CB28" i="70"/>
  <c r="CB34" i="70"/>
  <c r="E9" i="112"/>
  <c r="F454" i="112"/>
  <c r="E51" i="6"/>
  <c r="F47" i="6"/>
  <c r="F51" i="6"/>
  <c r="F44" i="112"/>
  <c r="F299" i="112"/>
  <c r="F45" i="112"/>
  <c r="F300" i="112"/>
  <c r="F20" i="112"/>
  <c r="F21" i="112"/>
  <c r="F163" i="112"/>
  <c r="F455" i="112"/>
  <c r="F48" i="112"/>
  <c r="F303" i="112"/>
  <c r="F24" i="112"/>
  <c r="F164" i="112"/>
  <c r="F456" i="112"/>
  <c r="F169" i="112"/>
  <c r="F457" i="112"/>
  <c r="F458" i="112"/>
  <c r="F459" i="112"/>
  <c r="F564" i="112"/>
  <c r="CB35" i="70"/>
  <c r="CB36" i="70"/>
  <c r="CB38" i="70"/>
  <c r="CB39" i="70"/>
  <c r="CB40" i="70"/>
  <c r="CB42" i="70"/>
  <c r="CB43" i="70"/>
  <c r="CB44" i="70"/>
  <c r="CB45" i="70"/>
  <c r="CB46" i="70"/>
  <c r="CB47" i="70"/>
  <c r="CB49" i="70"/>
  <c r="CB50" i="70"/>
  <c r="CB53" i="70"/>
  <c r="CB54" i="70"/>
  <c r="CB57" i="70"/>
  <c r="CB61" i="70"/>
  <c r="CB63" i="70"/>
  <c r="CB59" i="70"/>
  <c r="CB64" i="70"/>
  <c r="CB66" i="70"/>
  <c r="CB71" i="70"/>
  <c r="CB73" i="70"/>
  <c r="CB74" i="70"/>
  <c r="CB77" i="70"/>
  <c r="CB79" i="70"/>
  <c r="CB80" i="70"/>
  <c r="CB83" i="70"/>
  <c r="CB84" i="70"/>
  <c r="CB85" i="70"/>
  <c r="CB87" i="70"/>
  <c r="CB90" i="70"/>
  <c r="CC11" i="70"/>
  <c r="CC12" i="70"/>
  <c r="CC9" i="70"/>
  <c r="CC10" i="70"/>
  <c r="CC13" i="70"/>
  <c r="CC15" i="70"/>
  <c r="CC16" i="70"/>
  <c r="CC17" i="70"/>
  <c r="CC19" i="70"/>
  <c r="CC20" i="70"/>
  <c r="CC22" i="70"/>
  <c r="CC23" i="70"/>
  <c r="CC24" i="70"/>
  <c r="CC28" i="70"/>
  <c r="CC34" i="70"/>
  <c r="CC35" i="70"/>
  <c r="CC36" i="70"/>
  <c r="CC38" i="70"/>
  <c r="CC39" i="70"/>
  <c r="CC40" i="70"/>
  <c r="CC42" i="70"/>
  <c r="CC43" i="70"/>
  <c r="CC44" i="70"/>
  <c r="CC45" i="70"/>
  <c r="CC46" i="70"/>
  <c r="CC47" i="70"/>
  <c r="CC49" i="70"/>
  <c r="CC50" i="70"/>
  <c r="CC53" i="70"/>
  <c r="CC54" i="70"/>
  <c r="CC57" i="70"/>
  <c r="CC61" i="70"/>
  <c r="CC63" i="70"/>
  <c r="CC59" i="70"/>
  <c r="CC64" i="70"/>
  <c r="CC66" i="70"/>
  <c r="CC71" i="70"/>
  <c r="CC73" i="70"/>
  <c r="CC74" i="70"/>
  <c r="CC77" i="70"/>
  <c r="CC79" i="70"/>
  <c r="CC80" i="70"/>
  <c r="CC83" i="70"/>
  <c r="CC84" i="70"/>
  <c r="CC85" i="70"/>
  <c r="CC87" i="70"/>
  <c r="CC90" i="70"/>
  <c r="CD11" i="70"/>
  <c r="CD12" i="70"/>
  <c r="CD9" i="70"/>
  <c r="CD10" i="70"/>
  <c r="CD13" i="70"/>
  <c r="CD15" i="70"/>
  <c r="CD16" i="70"/>
  <c r="CD17" i="70"/>
  <c r="CD19" i="70"/>
  <c r="CD20" i="70"/>
  <c r="CD22" i="70"/>
  <c r="CD23" i="70"/>
  <c r="CD24" i="70"/>
  <c r="CD28" i="70"/>
  <c r="CD34" i="70"/>
  <c r="CD35" i="70"/>
  <c r="CD36" i="70"/>
  <c r="CD38" i="70"/>
  <c r="CD39" i="70"/>
  <c r="CD40" i="70"/>
  <c r="CD42" i="70"/>
  <c r="CD43" i="70"/>
  <c r="CD44" i="70"/>
  <c r="CD45" i="70"/>
  <c r="CD46" i="70"/>
  <c r="CD47" i="70"/>
  <c r="CD49" i="70"/>
  <c r="CD50" i="70"/>
  <c r="CD53" i="70"/>
  <c r="CD54" i="70"/>
  <c r="CD57" i="70"/>
  <c r="CD61" i="70"/>
  <c r="CD63" i="70"/>
  <c r="CD59" i="70"/>
  <c r="CD64" i="70"/>
  <c r="CD66" i="70"/>
  <c r="CD71" i="70"/>
  <c r="CD73" i="70"/>
  <c r="CD74" i="70"/>
  <c r="CD77" i="70"/>
  <c r="CD79" i="70"/>
  <c r="CD80" i="70"/>
  <c r="CD83" i="70"/>
  <c r="CD84" i="70"/>
  <c r="CD85" i="70"/>
  <c r="CD87" i="70"/>
  <c r="CD90" i="70"/>
  <c r="CE11" i="70"/>
  <c r="CE12" i="70"/>
  <c r="CE9" i="70"/>
  <c r="CE10" i="70"/>
  <c r="CE13" i="70"/>
  <c r="CE15" i="70"/>
  <c r="CE16" i="70"/>
  <c r="CE17" i="70"/>
  <c r="CE19" i="70"/>
  <c r="CE20" i="70"/>
  <c r="CE22" i="70"/>
  <c r="CE23" i="70"/>
  <c r="CE24" i="70"/>
  <c r="CE28" i="70"/>
  <c r="CE34" i="70"/>
  <c r="CE35" i="70"/>
  <c r="CE36" i="70"/>
  <c r="CE38" i="70"/>
  <c r="CE39" i="70"/>
  <c r="CE40" i="70"/>
  <c r="CE42" i="70"/>
  <c r="CE43" i="70"/>
  <c r="CE44" i="70"/>
  <c r="CE45" i="70"/>
  <c r="CE46" i="70"/>
  <c r="CE47" i="70"/>
  <c r="CE49" i="70"/>
  <c r="CE50" i="70"/>
  <c r="CE53" i="70"/>
  <c r="CE54" i="70"/>
  <c r="CE57" i="70"/>
  <c r="CE61" i="70"/>
  <c r="CE63" i="70"/>
  <c r="CE59" i="70"/>
  <c r="CE64" i="70"/>
  <c r="CE66" i="70"/>
  <c r="CE71" i="70"/>
  <c r="CE73" i="70"/>
  <c r="CE74" i="70"/>
  <c r="CE77" i="70"/>
  <c r="CE79" i="70"/>
  <c r="CE80" i="70"/>
  <c r="CE83" i="70"/>
  <c r="CE84" i="70"/>
  <c r="CE85" i="70"/>
  <c r="CE87" i="70"/>
  <c r="CE90" i="70"/>
  <c r="E53" i="175"/>
  <c r="BX11" i="70"/>
  <c r="BX12" i="70"/>
  <c r="BX9" i="70"/>
  <c r="BX10" i="70"/>
  <c r="BX13" i="70"/>
  <c r="BX15" i="70"/>
  <c r="BX16" i="70"/>
  <c r="BX17" i="70"/>
  <c r="BX19" i="70"/>
  <c r="BX20" i="70"/>
  <c r="BX22" i="70"/>
  <c r="BX23" i="70"/>
  <c r="BX24" i="70"/>
  <c r="BX28" i="70"/>
  <c r="BX34" i="70"/>
  <c r="BX35" i="70"/>
  <c r="BX36" i="70"/>
  <c r="BX38" i="70"/>
  <c r="BX39" i="70"/>
  <c r="BX40" i="70"/>
  <c r="BX42" i="70"/>
  <c r="BX43" i="70"/>
  <c r="BX44" i="70"/>
  <c r="BX45" i="70"/>
  <c r="BX46" i="70"/>
  <c r="BX47" i="70"/>
  <c r="BX49" i="70"/>
  <c r="BX50" i="70"/>
  <c r="BX53" i="70"/>
  <c r="BX54" i="70"/>
  <c r="BX57" i="70"/>
  <c r="BX61" i="70"/>
  <c r="BX63" i="70"/>
  <c r="BX59" i="70"/>
  <c r="BX64" i="70"/>
  <c r="BX66" i="70"/>
  <c r="BX71" i="70"/>
  <c r="BX73" i="70"/>
  <c r="BX74" i="70"/>
  <c r="BX77" i="70"/>
  <c r="BX79" i="70"/>
  <c r="BX80" i="70"/>
  <c r="BX83" i="70"/>
  <c r="BX84" i="70"/>
  <c r="BX85" i="70"/>
  <c r="BX87" i="70"/>
  <c r="BX90" i="70"/>
  <c r="BY11" i="70"/>
  <c r="BY12" i="70"/>
  <c r="BY9" i="70"/>
  <c r="BY10" i="70"/>
  <c r="BY13" i="70"/>
  <c r="BY15" i="70"/>
  <c r="BY16" i="70"/>
  <c r="BY17" i="70"/>
  <c r="BY19" i="70"/>
  <c r="BY20" i="70"/>
  <c r="BY22" i="70"/>
  <c r="BY23" i="70"/>
  <c r="BY24" i="70"/>
  <c r="BY28" i="70"/>
  <c r="BY34" i="70"/>
  <c r="F312" i="112" a="1"/>
  <c r="F312" i="112"/>
  <c r="F314" i="112"/>
  <c r="F345" i="112" a="1"/>
  <c r="F345" i="112"/>
  <c r="F448" i="112"/>
  <c r="F322" i="112" a="1"/>
  <c r="F327" i="112"/>
  <c r="F416" i="112"/>
  <c r="F417" i="112"/>
  <c r="F418" i="112"/>
  <c r="F346" i="112"/>
  <c r="F449" i="112"/>
  <c r="F562" i="112"/>
  <c r="BY35" i="70"/>
  <c r="BY36" i="70"/>
  <c r="BY38" i="70"/>
  <c r="BY39" i="70"/>
  <c r="BY40" i="70"/>
  <c r="BY42" i="70"/>
  <c r="BY43" i="70"/>
  <c r="BY44" i="70"/>
  <c r="BY45" i="70"/>
  <c r="BY46" i="70"/>
  <c r="BY47" i="70"/>
  <c r="BY49" i="70"/>
  <c r="BY50" i="70"/>
  <c r="BY53" i="70"/>
  <c r="BY54" i="70"/>
  <c r="BY57" i="70"/>
  <c r="BY61" i="70"/>
  <c r="BY63" i="70"/>
  <c r="BY59" i="70"/>
  <c r="BY64" i="70"/>
  <c r="BY66" i="70"/>
  <c r="BY71" i="70"/>
  <c r="BY73" i="70"/>
  <c r="BY74" i="70"/>
  <c r="BY77" i="70"/>
  <c r="BY79" i="70"/>
  <c r="BY80" i="70"/>
  <c r="BY83" i="70"/>
  <c r="BY84" i="70"/>
  <c r="BY85" i="70"/>
  <c r="BY87" i="70"/>
  <c r="BY90" i="70"/>
  <c r="BZ11" i="70"/>
  <c r="BZ12" i="70"/>
  <c r="BZ9" i="70"/>
  <c r="BZ10" i="70"/>
  <c r="BZ13" i="70"/>
  <c r="BZ15" i="70"/>
  <c r="BZ16" i="70"/>
  <c r="BZ17" i="70"/>
  <c r="BZ19" i="70"/>
  <c r="BZ20" i="70"/>
  <c r="BZ22" i="70"/>
  <c r="BZ23" i="70"/>
  <c r="BZ24" i="70"/>
  <c r="BZ28" i="70"/>
  <c r="BZ34" i="70"/>
  <c r="F356" i="112"/>
  <c r="F450" i="112"/>
  <c r="F563" i="112"/>
  <c r="BZ35" i="70"/>
  <c r="BZ36" i="70"/>
  <c r="BZ38" i="70"/>
  <c r="BZ39" i="70"/>
  <c r="BZ40" i="70"/>
  <c r="BZ42" i="70"/>
  <c r="BZ43" i="70"/>
  <c r="BZ44" i="70"/>
  <c r="BZ45" i="70"/>
  <c r="BZ46" i="70"/>
  <c r="BZ47" i="70"/>
  <c r="BZ49" i="70"/>
  <c r="BZ50" i="70"/>
  <c r="BZ53" i="70"/>
  <c r="BZ54" i="70"/>
  <c r="BZ57" i="70"/>
  <c r="BZ61" i="70"/>
  <c r="BZ63" i="70"/>
  <c r="BZ59" i="70"/>
  <c r="BZ64" i="70"/>
  <c r="BZ66" i="70"/>
  <c r="BZ71" i="70"/>
  <c r="BZ73" i="70"/>
  <c r="BZ74" i="70"/>
  <c r="BZ77" i="70"/>
  <c r="BZ79" i="70"/>
  <c r="BZ80" i="70"/>
  <c r="BZ83" i="70"/>
  <c r="BZ84" i="70"/>
  <c r="BZ85" i="70"/>
  <c r="BZ87" i="70"/>
  <c r="BZ90" i="70"/>
  <c r="CA11" i="70"/>
  <c r="CA12" i="70"/>
  <c r="CA9" i="70"/>
  <c r="CA10" i="70"/>
  <c r="CA13" i="70"/>
  <c r="CA15" i="70"/>
  <c r="CA16" i="70"/>
  <c r="CA17" i="70"/>
  <c r="CA19" i="70"/>
  <c r="CA20" i="70"/>
  <c r="CA22" i="70"/>
  <c r="CA23" i="70"/>
  <c r="CA24" i="70"/>
  <c r="CA28" i="70"/>
  <c r="CA34" i="70"/>
  <c r="CA35" i="70"/>
  <c r="CA36" i="70"/>
  <c r="CA38" i="70"/>
  <c r="CA39" i="70"/>
  <c r="CA40" i="70"/>
  <c r="CA42" i="70"/>
  <c r="CA43" i="70"/>
  <c r="CA44" i="70"/>
  <c r="CA45" i="70"/>
  <c r="CA46" i="70"/>
  <c r="CA47" i="70"/>
  <c r="CA49" i="70"/>
  <c r="CA50" i="70"/>
  <c r="CA53" i="70"/>
  <c r="CA54" i="70"/>
  <c r="CA57" i="70"/>
  <c r="CA61" i="70"/>
  <c r="CA63" i="70"/>
  <c r="CA59" i="70"/>
  <c r="CA64" i="70"/>
  <c r="CA66" i="70"/>
  <c r="CA71" i="70"/>
  <c r="CA73" i="70"/>
  <c r="CA74" i="70"/>
  <c r="CA77" i="70"/>
  <c r="CA79" i="70"/>
  <c r="CA80" i="70"/>
  <c r="CA83" i="70"/>
  <c r="CA84" i="70"/>
  <c r="CA85" i="70"/>
  <c r="CA87" i="70"/>
  <c r="CA90" i="70"/>
  <c r="E52" i="175"/>
  <c r="BT11" i="70"/>
  <c r="BT12" i="70"/>
  <c r="BT9" i="70"/>
  <c r="BT10" i="70"/>
  <c r="BT13" i="70"/>
  <c r="BT15" i="70"/>
  <c r="BT16" i="70"/>
  <c r="BT17" i="70"/>
  <c r="BT19" i="70"/>
  <c r="BT20" i="70"/>
  <c r="BT22" i="70"/>
  <c r="BT23" i="70"/>
  <c r="BT24" i="70"/>
  <c r="BT28" i="70"/>
  <c r="BT34" i="70"/>
  <c r="BT35" i="70"/>
  <c r="BT36" i="70"/>
  <c r="BT38" i="70"/>
  <c r="BT39" i="70"/>
  <c r="BT40" i="70"/>
  <c r="BT42" i="70"/>
  <c r="BT43" i="70"/>
  <c r="BT44" i="70"/>
  <c r="BT45" i="70"/>
  <c r="BT46" i="70"/>
  <c r="BT47" i="70"/>
  <c r="BT49" i="70"/>
  <c r="BT50" i="70"/>
  <c r="BT53" i="70"/>
  <c r="BT54" i="70"/>
  <c r="BT57" i="70"/>
  <c r="BT61" i="70"/>
  <c r="BT63" i="70"/>
  <c r="BT59" i="70"/>
  <c r="BT64" i="70"/>
  <c r="BT66" i="70"/>
  <c r="BT71" i="70"/>
  <c r="BT73" i="70"/>
  <c r="BT74" i="70"/>
  <c r="BT77" i="70"/>
  <c r="BT79" i="70"/>
  <c r="BT80" i="70"/>
  <c r="BT83" i="70"/>
  <c r="BT84" i="70"/>
  <c r="BT85" i="70"/>
  <c r="BT87" i="70"/>
  <c r="BT90" i="70"/>
  <c r="BU11" i="70"/>
  <c r="BU12" i="70"/>
  <c r="BU9" i="70"/>
  <c r="BU10" i="70"/>
  <c r="BU13" i="70"/>
  <c r="BU15" i="70"/>
  <c r="BU16" i="70"/>
  <c r="BU17" i="70"/>
  <c r="BU19" i="70"/>
  <c r="BU20" i="70"/>
  <c r="BU22" i="70"/>
  <c r="BU23" i="70"/>
  <c r="BU24" i="70"/>
  <c r="BU28" i="70"/>
  <c r="BU34" i="70"/>
  <c r="BU35" i="70"/>
  <c r="BU36" i="70"/>
  <c r="BU38" i="70"/>
  <c r="BU39" i="70"/>
  <c r="BU40" i="70"/>
  <c r="BU42" i="70"/>
  <c r="BU43" i="70"/>
  <c r="BU44" i="70"/>
  <c r="BU45" i="70"/>
  <c r="BU46" i="70"/>
  <c r="BU47" i="70"/>
  <c r="BU49" i="70"/>
  <c r="BU50" i="70"/>
  <c r="BU53" i="70"/>
  <c r="BU54" i="70"/>
  <c r="BU57" i="70"/>
  <c r="BU61" i="70"/>
  <c r="BU63" i="70"/>
  <c r="BU59" i="70"/>
  <c r="BU64" i="70"/>
  <c r="BU66" i="70"/>
  <c r="BU71" i="70"/>
  <c r="BU73" i="70"/>
  <c r="BU74" i="70"/>
  <c r="BU77" i="70"/>
  <c r="BU79" i="70"/>
  <c r="BU80" i="70"/>
  <c r="BU83" i="70"/>
  <c r="BU84" i="70"/>
  <c r="BU85" i="70"/>
  <c r="BU87" i="70"/>
  <c r="BU90" i="70"/>
  <c r="BV11" i="70"/>
  <c r="BV12" i="70"/>
  <c r="BV9" i="70"/>
  <c r="BV10" i="70"/>
  <c r="BV13" i="70"/>
  <c r="BV15" i="70"/>
  <c r="BV16" i="70"/>
  <c r="BV17" i="70"/>
  <c r="BV19" i="70"/>
  <c r="BV20" i="70"/>
  <c r="BV22" i="70"/>
  <c r="BV23" i="70"/>
  <c r="BV24" i="70"/>
  <c r="BV28" i="70"/>
  <c r="BV34" i="70"/>
  <c r="BV35" i="70"/>
  <c r="BV36" i="70"/>
  <c r="BV38" i="70"/>
  <c r="BV39" i="70"/>
  <c r="BV40" i="70"/>
  <c r="BV42" i="70"/>
  <c r="BV43" i="70"/>
  <c r="BV44" i="70"/>
  <c r="BV45" i="70"/>
  <c r="BV46" i="70"/>
  <c r="BV47" i="70"/>
  <c r="BV49" i="70"/>
  <c r="BV50" i="70"/>
  <c r="BV53" i="70"/>
  <c r="BV54" i="70"/>
  <c r="BV57" i="70"/>
  <c r="BV61" i="70"/>
  <c r="BV63" i="70"/>
  <c r="BV59" i="70"/>
  <c r="BV64" i="70"/>
  <c r="BV66" i="70"/>
  <c r="BV71" i="70"/>
  <c r="BV73" i="70"/>
  <c r="BV74" i="70"/>
  <c r="BV77" i="70"/>
  <c r="BV79" i="70"/>
  <c r="BV80" i="70"/>
  <c r="BV83" i="70"/>
  <c r="BV84" i="70"/>
  <c r="BV85" i="70"/>
  <c r="BV87" i="70"/>
  <c r="BV90" i="70"/>
  <c r="BW11" i="70"/>
  <c r="BW12" i="70"/>
  <c r="BW9" i="70"/>
  <c r="BW10" i="70"/>
  <c r="BW13" i="70"/>
  <c r="BW15" i="70"/>
  <c r="BW16" i="70"/>
  <c r="BW17" i="70"/>
  <c r="BW19" i="70"/>
  <c r="BW20" i="70"/>
  <c r="BW22" i="70"/>
  <c r="BW23" i="70"/>
  <c r="BW24" i="70"/>
  <c r="BW28" i="70"/>
  <c r="BW34" i="70"/>
  <c r="BW35" i="70"/>
  <c r="BW36" i="70"/>
  <c r="BW38" i="70"/>
  <c r="BW39" i="70"/>
  <c r="BW40" i="70"/>
  <c r="BW42" i="70"/>
  <c r="BW43" i="70"/>
  <c r="BW44" i="70"/>
  <c r="BW45" i="70"/>
  <c r="BW46" i="70"/>
  <c r="BW47" i="70"/>
  <c r="BW49" i="70"/>
  <c r="BW50" i="70"/>
  <c r="BW53" i="70"/>
  <c r="BW54" i="70"/>
  <c r="BW57" i="70"/>
  <c r="BW61" i="70"/>
  <c r="BW63" i="70"/>
  <c r="BW59" i="70"/>
  <c r="BW64" i="70"/>
  <c r="BW66" i="70"/>
  <c r="BW71" i="70"/>
  <c r="BW73" i="70"/>
  <c r="BW74" i="70"/>
  <c r="BW77" i="70"/>
  <c r="BW79" i="70"/>
  <c r="BW80" i="70"/>
  <c r="BW83" i="70"/>
  <c r="BW84" i="70"/>
  <c r="BW85" i="70"/>
  <c r="BW87" i="70"/>
  <c r="BW90" i="70"/>
  <c r="E51" i="175"/>
  <c r="BP11" i="70"/>
  <c r="BP12" i="70"/>
  <c r="BP9" i="70"/>
  <c r="BP10" i="70"/>
  <c r="BP13" i="70"/>
  <c r="BP15" i="70"/>
  <c r="BP16" i="70"/>
  <c r="BP17" i="70"/>
  <c r="F458" i="39"/>
  <c r="BP19" i="70"/>
  <c r="BP20" i="70"/>
  <c r="BP22" i="70"/>
  <c r="BP23" i="70"/>
  <c r="BP24" i="70"/>
  <c r="BP28" i="70"/>
  <c r="BP34" i="70"/>
  <c r="BP35" i="70"/>
  <c r="BP36" i="70"/>
  <c r="BP38" i="70"/>
  <c r="BP39" i="70"/>
  <c r="BP40" i="70"/>
  <c r="BP42" i="70"/>
  <c r="BP43" i="70"/>
  <c r="BP44" i="70"/>
  <c r="BP45" i="70"/>
  <c r="BP46" i="70"/>
  <c r="BP47" i="70"/>
  <c r="BP49" i="70"/>
  <c r="BP50" i="70"/>
  <c r="BP53" i="70"/>
  <c r="BP54" i="70"/>
  <c r="BP57" i="70"/>
  <c r="BP61" i="70"/>
  <c r="BP63" i="70"/>
  <c r="BP59" i="70"/>
  <c r="BP64" i="70"/>
  <c r="BP66" i="70"/>
  <c r="BP71" i="70"/>
  <c r="BP73" i="70"/>
  <c r="BP74" i="70"/>
  <c r="BP77" i="70"/>
  <c r="BP79" i="70"/>
  <c r="BP80" i="70"/>
  <c r="BP83" i="70"/>
  <c r="BP84" i="70"/>
  <c r="BP85" i="70"/>
  <c r="BP87" i="70"/>
  <c r="BP90" i="70"/>
  <c r="BQ11" i="70"/>
  <c r="BQ12" i="70"/>
  <c r="BQ9" i="70"/>
  <c r="BQ10" i="70"/>
  <c r="BQ13" i="70"/>
  <c r="BQ15" i="70"/>
  <c r="BQ16" i="70"/>
  <c r="BQ17" i="70"/>
  <c r="F291" i="39"/>
  <c r="F292" i="39"/>
  <c r="F293" i="39"/>
  <c r="F294" i="39"/>
  <c r="F295" i="39"/>
  <c r="F459" i="39"/>
  <c r="BQ19" i="70"/>
  <c r="BQ20" i="70"/>
  <c r="BQ22" i="70"/>
  <c r="BQ23" i="70"/>
  <c r="BQ24" i="70"/>
  <c r="BQ28" i="70"/>
  <c r="BQ34" i="70"/>
  <c r="BQ35" i="70"/>
  <c r="BQ36" i="70"/>
  <c r="BQ38" i="70"/>
  <c r="BQ39" i="70"/>
  <c r="BQ40" i="70"/>
  <c r="BQ42" i="70"/>
  <c r="BQ43" i="70"/>
  <c r="BQ44" i="70"/>
  <c r="BQ45" i="70"/>
  <c r="BQ46" i="70"/>
  <c r="BQ47" i="70"/>
  <c r="BQ49" i="70"/>
  <c r="BQ50" i="70"/>
  <c r="BQ53" i="70"/>
  <c r="BQ54" i="70"/>
  <c r="BQ57" i="70"/>
  <c r="BQ61" i="70"/>
  <c r="BQ63" i="70"/>
  <c r="BQ59" i="70"/>
  <c r="BQ64" i="70"/>
  <c r="BQ66" i="70"/>
  <c r="BQ71" i="70"/>
  <c r="BQ73" i="70"/>
  <c r="BQ74" i="70"/>
  <c r="BQ77" i="70"/>
  <c r="BQ79" i="70"/>
  <c r="BQ80" i="70"/>
  <c r="BQ83" i="70"/>
  <c r="BQ84" i="70"/>
  <c r="BQ85" i="70"/>
  <c r="BQ87" i="70"/>
  <c r="BQ90" i="70"/>
  <c r="BR11" i="70"/>
  <c r="BR12" i="70"/>
  <c r="BR9" i="70"/>
  <c r="BR10" i="70"/>
  <c r="BR13" i="70"/>
  <c r="BR15" i="70"/>
  <c r="BR16" i="70"/>
  <c r="BR17" i="70"/>
  <c r="F298" i="39"/>
  <c r="F299" i="39"/>
  <c r="F300" i="39"/>
  <c r="F301" i="39"/>
  <c r="F302" i="39"/>
  <c r="F460" i="39"/>
  <c r="BR19" i="70"/>
  <c r="BR20" i="70"/>
  <c r="BR22" i="70"/>
  <c r="BR23" i="70"/>
  <c r="BR24" i="70"/>
  <c r="BR28" i="70"/>
  <c r="BR34" i="70"/>
  <c r="BR35" i="70"/>
  <c r="BR36" i="70"/>
  <c r="BR38" i="70"/>
  <c r="BR39" i="70"/>
  <c r="BR40" i="70"/>
  <c r="BR42" i="70"/>
  <c r="BR43" i="70"/>
  <c r="BR44" i="70"/>
  <c r="BR45" i="70"/>
  <c r="BR46" i="70"/>
  <c r="BR47" i="70"/>
  <c r="BR49" i="70"/>
  <c r="BR50" i="70"/>
  <c r="BR53" i="70"/>
  <c r="BR54" i="70"/>
  <c r="BR57" i="70"/>
  <c r="BR61" i="70"/>
  <c r="BR63" i="70"/>
  <c r="BR59" i="70"/>
  <c r="BR64" i="70"/>
  <c r="BR66" i="70"/>
  <c r="BR71" i="70"/>
  <c r="BR73" i="70"/>
  <c r="BR74" i="70"/>
  <c r="BR77" i="70"/>
  <c r="BR79" i="70"/>
  <c r="BR80" i="70"/>
  <c r="BR83" i="70"/>
  <c r="BR84" i="70"/>
  <c r="BR85" i="70"/>
  <c r="BR87" i="70"/>
  <c r="BR90" i="70"/>
  <c r="BS11" i="70"/>
  <c r="BS12" i="70"/>
  <c r="BS9" i="70"/>
  <c r="BS10" i="70"/>
  <c r="BS13" i="70"/>
  <c r="BS15" i="70"/>
  <c r="BS16" i="70"/>
  <c r="BS17" i="70"/>
  <c r="F305" i="39"/>
  <c r="F306" i="39"/>
  <c r="F307" i="39"/>
  <c r="F308" i="39"/>
  <c r="F309" i="39"/>
  <c r="F461" i="39"/>
  <c r="BS19" i="70"/>
  <c r="BS20" i="70"/>
  <c r="BS22" i="70"/>
  <c r="BS23" i="70"/>
  <c r="BS24" i="70"/>
  <c r="BS28" i="70"/>
  <c r="BS34" i="70"/>
  <c r="BS35" i="70"/>
  <c r="BS36" i="70"/>
  <c r="BS38" i="70"/>
  <c r="BS39" i="70"/>
  <c r="BS40" i="70"/>
  <c r="BS42" i="70"/>
  <c r="BS43" i="70"/>
  <c r="BS44" i="70"/>
  <c r="BS45" i="70"/>
  <c r="BS46" i="70"/>
  <c r="BS47" i="70"/>
  <c r="BS49" i="70"/>
  <c r="BS50" i="70"/>
  <c r="BS53" i="70"/>
  <c r="BS54" i="70"/>
  <c r="BS57" i="70"/>
  <c r="BS61" i="70"/>
  <c r="BS63" i="70"/>
  <c r="BS59" i="70"/>
  <c r="BS64" i="70"/>
  <c r="BS66" i="70"/>
  <c r="BS71" i="70"/>
  <c r="BS73" i="70"/>
  <c r="BS74" i="70"/>
  <c r="BS77" i="70"/>
  <c r="BS79" i="70"/>
  <c r="BS80" i="70"/>
  <c r="BS83" i="70"/>
  <c r="BS84" i="70"/>
  <c r="BS85" i="70"/>
  <c r="BS87" i="70"/>
  <c r="BS90" i="70"/>
  <c r="E50" i="175"/>
  <c r="BH11" i="70"/>
  <c r="BH12" i="70"/>
  <c r="BH9" i="70"/>
  <c r="BH10" i="70"/>
  <c r="BH13" i="70"/>
  <c r="E8" i="41"/>
  <c r="F272" i="41"/>
  <c r="C38" i="12"/>
  <c r="F273" i="41"/>
  <c r="F274" i="41"/>
  <c r="F279" i="41"/>
  <c r="E6" i="6"/>
  <c r="F4" i="6"/>
  <c r="E12" i="6"/>
  <c r="F6" i="6"/>
  <c r="F75" i="41"/>
  <c r="F280" i="41"/>
  <c r="F281" i="41"/>
  <c r="F297" i="41"/>
  <c r="F298" i="41"/>
  <c r="F299" i="41"/>
  <c r="E10" i="6"/>
  <c r="F10" i="6"/>
  <c r="F9" i="12"/>
  <c r="D77" i="12"/>
  <c r="F306" i="41"/>
  <c r="F285" i="41"/>
  <c r="F84" i="41"/>
  <c r="F286" i="41"/>
  <c r="F287" i="41"/>
  <c r="F311" i="41"/>
  <c r="F481" i="41"/>
  <c r="BH23" i="70"/>
  <c r="BH34" i="70"/>
  <c r="AK11" i="70"/>
  <c r="AK12" i="70"/>
  <c r="AK9" i="70"/>
  <c r="AK10" i="70"/>
  <c r="AK13" i="70"/>
  <c r="AK15" i="70"/>
  <c r="AK16" i="70"/>
  <c r="AK17" i="70"/>
  <c r="AK19" i="70"/>
  <c r="AK20" i="70"/>
  <c r="AK22" i="70"/>
  <c r="AK23" i="70"/>
  <c r="AK24" i="70"/>
  <c r="AK28" i="70"/>
  <c r="AK34" i="70"/>
  <c r="AK35" i="70"/>
  <c r="AK36" i="70"/>
  <c r="AK38" i="70"/>
  <c r="E9" i="48"/>
  <c r="F16" i="6"/>
  <c r="F31" i="48"/>
  <c r="F32" i="48"/>
  <c r="F50" i="48"/>
  <c r="F155" i="48"/>
  <c r="F220" i="48"/>
  <c r="AK39" i="70"/>
  <c r="AK40" i="70"/>
  <c r="AK42" i="70"/>
  <c r="AK43" i="70"/>
  <c r="AK44" i="70"/>
  <c r="AK45" i="70"/>
  <c r="AK46" i="70"/>
  <c r="AK47" i="70"/>
  <c r="AK49" i="70"/>
  <c r="AK50" i="70"/>
  <c r="AK53" i="70"/>
  <c r="AK54" i="70"/>
  <c r="AK57" i="70"/>
  <c r="AK61" i="70"/>
  <c r="AK63" i="70"/>
  <c r="AK59" i="70"/>
  <c r="AK64" i="70"/>
  <c r="AK66" i="70"/>
  <c r="AK71" i="70"/>
  <c r="AK73" i="70"/>
  <c r="AK74" i="70"/>
  <c r="AK77" i="70"/>
  <c r="AK79" i="70"/>
  <c r="AK80" i="70"/>
  <c r="AK83" i="70"/>
  <c r="AK85" i="70"/>
  <c r="AK87" i="70"/>
  <c r="AK90" i="70"/>
  <c r="F9" i="46"/>
  <c r="F97" i="46"/>
  <c r="F120" i="46"/>
  <c r="F22" i="46"/>
  <c r="F102" i="46"/>
  <c r="F122" i="46"/>
  <c r="F17" i="46"/>
  <c r="F121" i="46"/>
  <c r="F123" i="46"/>
  <c r="F126" i="46"/>
  <c r="F127" i="46"/>
  <c r="F128" i="46"/>
  <c r="F33" i="46"/>
  <c r="F132" i="46"/>
  <c r="F34" i="46"/>
  <c r="F133" i="46"/>
  <c r="F10" i="12"/>
  <c r="D78" i="12"/>
  <c r="F137" i="46"/>
  <c r="F184" i="46"/>
  <c r="BH38" i="70"/>
  <c r="F158" i="48"/>
  <c r="F164" i="48"/>
  <c r="F232" i="48"/>
  <c r="BH39" i="70"/>
  <c r="BH40" i="70"/>
  <c r="BH42" i="70"/>
  <c r="BH43" i="70"/>
  <c r="BH44" i="70"/>
  <c r="BH45" i="70"/>
  <c r="BH46" i="70"/>
  <c r="BH47" i="70"/>
  <c r="BH49" i="70"/>
  <c r="BH50" i="70"/>
  <c r="BH53" i="70"/>
  <c r="BH54" i="70"/>
  <c r="E7" i="157"/>
  <c r="F29" i="6"/>
  <c r="F30" i="6"/>
  <c r="F18" i="157"/>
  <c r="F19" i="157"/>
  <c r="F102" i="157"/>
  <c r="F103" i="157"/>
  <c r="F104" i="157"/>
  <c r="F33" i="6"/>
  <c r="F5" i="24"/>
  <c r="F42" i="6"/>
  <c r="F41" i="6"/>
  <c r="F40" i="6"/>
  <c r="F8" i="6"/>
  <c r="F3" i="24"/>
  <c r="F105" i="157"/>
  <c r="F107" i="157"/>
  <c r="F108" i="157"/>
  <c r="F109" i="157"/>
  <c r="F110" i="157"/>
  <c r="F8" i="12"/>
  <c r="D76" i="12"/>
  <c r="F114" i="157"/>
  <c r="F178" i="157"/>
  <c r="BH57" i="70"/>
  <c r="E7" i="140"/>
  <c r="F19" i="140"/>
  <c r="F20" i="140"/>
  <c r="F95" i="140"/>
  <c r="F104" i="140"/>
  <c r="F105" i="140"/>
  <c r="F106" i="140"/>
  <c r="F107" i="140"/>
  <c r="F109" i="140"/>
  <c r="F110" i="140"/>
  <c r="F111" i="140"/>
  <c r="F112" i="140"/>
  <c r="F113" i="140"/>
  <c r="F116" i="140"/>
  <c r="F178" i="140"/>
  <c r="BH61" i="70"/>
  <c r="E8" i="138"/>
  <c r="E23" i="6"/>
  <c r="F23" i="6"/>
  <c r="F20" i="138"/>
  <c r="F75" i="138"/>
  <c r="F69" i="138"/>
  <c r="F76" i="138"/>
  <c r="F80" i="138"/>
  <c r="F111" i="138"/>
  <c r="R11" i="70"/>
  <c r="R12" i="70"/>
  <c r="E8" i="137"/>
  <c r="F21" i="137"/>
  <c r="F82" i="137"/>
  <c r="D7" i="35"/>
  <c r="F83" i="137"/>
  <c r="F65" i="137"/>
  <c r="F84" i="137"/>
  <c r="F85" i="137"/>
  <c r="F89" i="137"/>
  <c r="F135" i="137"/>
  <c r="R9" i="70"/>
  <c r="R10" i="70"/>
  <c r="R13" i="70"/>
  <c r="E8" i="49"/>
  <c r="F29" i="49"/>
  <c r="F113" i="49"/>
  <c r="F114" i="49"/>
  <c r="F115" i="49"/>
  <c r="F93" i="49"/>
  <c r="F116" i="49"/>
  <c r="F21" i="49"/>
  <c r="F124" i="49"/>
  <c r="F125" i="49"/>
  <c r="F126" i="49"/>
  <c r="F127" i="49"/>
  <c r="F131" i="49"/>
  <c r="F195" i="49"/>
  <c r="R15" i="70"/>
  <c r="E8" i="62"/>
  <c r="F28" i="62"/>
  <c r="F101" i="62"/>
  <c r="F92" i="62"/>
  <c r="F102" i="62"/>
  <c r="F20" i="62"/>
  <c r="F110" i="62"/>
  <c r="F111" i="62"/>
  <c r="F115" i="62"/>
  <c r="F157" i="62"/>
  <c r="R16" i="70"/>
  <c r="R17" i="70"/>
  <c r="E17" i="6"/>
  <c r="E19" i="6"/>
  <c r="F19" i="6"/>
  <c r="F67" i="39"/>
  <c r="F68" i="39"/>
  <c r="F69" i="39"/>
  <c r="F70" i="39"/>
  <c r="F71" i="39"/>
  <c r="F72" i="39"/>
  <c r="F184" i="39"/>
  <c r="F235" i="39"/>
  <c r="G67" i="39"/>
  <c r="G68" i="39"/>
  <c r="G69" i="39"/>
  <c r="G70" i="39"/>
  <c r="G71" i="39"/>
  <c r="G72" i="39"/>
  <c r="F185" i="39"/>
  <c r="F236" i="39"/>
  <c r="H67" i="39"/>
  <c r="H68" i="39"/>
  <c r="H69" i="39"/>
  <c r="H70" i="39"/>
  <c r="H71" i="39"/>
  <c r="H72" i="39"/>
  <c r="F186" i="39"/>
  <c r="F237" i="39"/>
  <c r="I67" i="39"/>
  <c r="I68" i="39"/>
  <c r="I69" i="39"/>
  <c r="I70" i="39"/>
  <c r="I71" i="39"/>
  <c r="I72" i="39"/>
  <c r="F187" i="39"/>
  <c r="F238" i="39"/>
  <c r="F239" i="39"/>
  <c r="J67" i="39"/>
  <c r="J68" i="39"/>
  <c r="J69" i="39"/>
  <c r="J70" i="39"/>
  <c r="J71" i="39"/>
  <c r="J72" i="39"/>
  <c r="F193" i="39"/>
  <c r="F242" i="39"/>
  <c r="F442" i="39"/>
  <c r="R19" i="70"/>
  <c r="R20" i="70"/>
  <c r="F27" i="41"/>
  <c r="F276" i="41"/>
  <c r="F291" i="41"/>
  <c r="F72" i="41"/>
  <c r="F93" i="41"/>
  <c r="F292" i="41"/>
  <c r="F293" i="41"/>
  <c r="F301" i="41"/>
  <c r="F440" i="41"/>
  <c r="R23" i="70"/>
  <c r="R34" i="70"/>
  <c r="R77" i="70"/>
  <c r="R79" i="70"/>
  <c r="R80" i="70"/>
  <c r="F32" i="46"/>
  <c r="F131" i="46"/>
  <c r="F170" i="46"/>
  <c r="R38" i="70"/>
  <c r="E8" i="48"/>
  <c r="F12" i="6"/>
  <c r="F23" i="48"/>
  <c r="F24" i="48"/>
  <c r="F49" i="48"/>
  <c r="F149" i="48"/>
  <c r="F150" i="48"/>
  <c r="F157" i="48"/>
  <c r="F213" i="48"/>
  <c r="R39" i="70"/>
  <c r="R40" i="70"/>
  <c r="R71" i="70"/>
  <c r="R73" i="70"/>
  <c r="R74" i="70"/>
  <c r="R42" i="70"/>
  <c r="R43" i="70"/>
  <c r="R44" i="70"/>
  <c r="R45" i="70"/>
  <c r="R46" i="70"/>
  <c r="R47" i="70"/>
  <c r="R49" i="70"/>
  <c r="R50" i="70"/>
  <c r="R53" i="70"/>
  <c r="R54" i="70"/>
  <c r="R57" i="70"/>
  <c r="R59" i="70"/>
  <c r="R61" i="70"/>
  <c r="S11" i="70"/>
  <c r="S12" i="70"/>
  <c r="S9" i="70"/>
  <c r="S10" i="70"/>
  <c r="S13" i="70"/>
  <c r="S15" i="70"/>
  <c r="S16" i="70"/>
  <c r="S17" i="70"/>
  <c r="S19" i="70"/>
  <c r="S20" i="70"/>
  <c r="S22" i="70"/>
  <c r="S23" i="70"/>
  <c r="S24" i="70"/>
  <c r="S28" i="70"/>
  <c r="S34" i="70"/>
  <c r="S35" i="70"/>
  <c r="S36" i="70"/>
  <c r="S77" i="70"/>
  <c r="S79" i="70"/>
  <c r="S80" i="70"/>
  <c r="S38" i="70"/>
  <c r="S39" i="70"/>
  <c r="S40" i="70"/>
  <c r="E13" i="6"/>
  <c r="F13" i="6"/>
  <c r="F20" i="31"/>
  <c r="F15" i="31"/>
  <c r="F137" i="31"/>
  <c r="E7" i="31"/>
  <c r="F47" i="31"/>
  <c r="F48" i="31"/>
  <c r="F59" i="31"/>
  <c r="F131" i="31"/>
  <c r="F150" i="31"/>
  <c r="S71" i="70"/>
  <c r="E7" i="142"/>
  <c r="F18" i="142"/>
  <c r="F19" i="142"/>
  <c r="F27" i="142"/>
  <c r="F28" i="142"/>
  <c r="F81" i="142"/>
  <c r="F85" i="142"/>
  <c r="F86" i="142"/>
  <c r="F87" i="142"/>
  <c r="F88" i="142"/>
  <c r="F115" i="142"/>
  <c r="S42" i="70"/>
  <c r="E8" i="143"/>
  <c r="F19" i="143"/>
  <c r="F20" i="143"/>
  <c r="F71" i="143"/>
  <c r="F75" i="143"/>
  <c r="F76" i="143"/>
  <c r="F77" i="143"/>
  <c r="F79" i="143"/>
  <c r="F111" i="143"/>
  <c r="S43" i="70"/>
  <c r="E8" i="144"/>
  <c r="F19" i="144"/>
  <c r="F20" i="144"/>
  <c r="F71" i="144"/>
  <c r="F75" i="144"/>
  <c r="F76" i="144"/>
  <c r="F77" i="144"/>
  <c r="F79" i="144"/>
  <c r="F111" i="144"/>
  <c r="S44" i="70"/>
  <c r="E8" i="147"/>
  <c r="F19" i="147"/>
  <c r="F20" i="147"/>
  <c r="F63" i="147"/>
  <c r="F68" i="147"/>
  <c r="F69" i="147"/>
  <c r="F70" i="147"/>
  <c r="F71" i="147"/>
  <c r="F107" i="147"/>
  <c r="S45" i="70"/>
  <c r="E8" i="146"/>
  <c r="F19" i="146"/>
  <c r="F20" i="146"/>
  <c r="F65" i="146"/>
  <c r="F70" i="146"/>
  <c r="F71" i="146"/>
  <c r="F72" i="146"/>
  <c r="F73" i="146"/>
  <c r="F109" i="146"/>
  <c r="S46" i="70"/>
  <c r="S47" i="70"/>
  <c r="E8" i="145"/>
  <c r="F19" i="145"/>
  <c r="F20" i="145"/>
  <c r="F63" i="145"/>
  <c r="F68" i="145"/>
  <c r="F69" i="145"/>
  <c r="F70" i="145"/>
  <c r="F71" i="145"/>
  <c r="F109" i="145"/>
  <c r="S49" i="70"/>
  <c r="S50" i="70"/>
  <c r="E7" i="141"/>
  <c r="F18" i="141"/>
  <c r="F19" i="141"/>
  <c r="F28" i="141"/>
  <c r="F93" i="141"/>
  <c r="F97" i="141"/>
  <c r="F98" i="141"/>
  <c r="F99" i="141"/>
  <c r="F100" i="141"/>
  <c r="F103" i="141"/>
  <c r="F140" i="141"/>
  <c r="S53" i="70"/>
  <c r="S54" i="70"/>
  <c r="F166" i="157"/>
  <c r="S57" i="70"/>
  <c r="E7" i="139"/>
  <c r="F19" i="139"/>
  <c r="F20" i="139"/>
  <c r="F98" i="139"/>
  <c r="F99" i="139"/>
  <c r="F100" i="139"/>
  <c r="F101" i="139"/>
  <c r="F103" i="139"/>
  <c r="F158" i="139"/>
  <c r="S59" i="70"/>
  <c r="F166" i="140"/>
  <c r="S61" i="70"/>
  <c r="F104" i="139"/>
  <c r="F105" i="139"/>
  <c r="F106" i="139"/>
  <c r="F107" i="139"/>
  <c r="F111" i="139"/>
  <c r="F170" i="139"/>
  <c r="BH59" i="70"/>
  <c r="BH71" i="70"/>
  <c r="BH73" i="70"/>
  <c r="BH74" i="70"/>
  <c r="BH77" i="70"/>
  <c r="BH79" i="70"/>
  <c r="BH80" i="70"/>
  <c r="BH83" i="70"/>
  <c r="BH84" i="70"/>
  <c r="BH85" i="70"/>
  <c r="BH87" i="70"/>
  <c r="BI11" i="70"/>
  <c r="BI12" i="70"/>
  <c r="BI9" i="70"/>
  <c r="BI10" i="70"/>
  <c r="BI13" i="70"/>
  <c r="F94" i="49"/>
  <c r="F117" i="49"/>
  <c r="F132" i="49"/>
  <c r="F95" i="49"/>
  <c r="F118" i="49"/>
  <c r="F133" i="49"/>
  <c r="F96" i="49"/>
  <c r="F119" i="49"/>
  <c r="F134" i="49"/>
  <c r="F168" i="49" a="1"/>
  <c r="F168" i="49"/>
  <c r="F208" i="49"/>
  <c r="BI15" i="70"/>
  <c r="F93" i="62"/>
  <c r="F103" i="62"/>
  <c r="F116" i="62"/>
  <c r="G9" i="12"/>
  <c r="E77" i="12"/>
  <c r="F94" i="62"/>
  <c r="F104" i="62"/>
  <c r="F117" i="62"/>
  <c r="G10" i="12"/>
  <c r="E78" i="12"/>
  <c r="F95" i="62"/>
  <c r="F105" i="62"/>
  <c r="F118" i="62"/>
  <c r="G8" i="12"/>
  <c r="E68" i="12"/>
  <c r="E69" i="12"/>
  <c r="E70" i="12"/>
  <c r="E71" i="12"/>
  <c r="E72" i="12"/>
  <c r="E73" i="12"/>
  <c r="E76" i="12"/>
  <c r="F123" i="62" a="1"/>
  <c r="F123" i="62"/>
  <c r="F170" i="62"/>
  <c r="BI16" i="70"/>
  <c r="BI17" i="70"/>
  <c r="F194" i="39"/>
  <c r="F243" i="39"/>
  <c r="F195" i="39"/>
  <c r="F244" i="39"/>
  <c r="F196" i="39"/>
  <c r="F245" i="39"/>
  <c r="F197" i="39"/>
  <c r="F246" i="39"/>
  <c r="F344" i="39" a="1"/>
  <c r="F344" i="39"/>
  <c r="F456" i="39"/>
  <c r="BI19" i="70"/>
  <c r="BI20" i="70"/>
  <c r="F307" i="41"/>
  <c r="F312" i="41"/>
  <c r="F482" i="41"/>
  <c r="BI23" i="70"/>
  <c r="BI34" i="70"/>
  <c r="F138" i="46"/>
  <c r="F185" i="46"/>
  <c r="BI38" i="70"/>
  <c r="F165" i="48"/>
  <c r="F233" i="48"/>
  <c r="BI39" i="70"/>
  <c r="BI40" i="70"/>
  <c r="BI42" i="70"/>
  <c r="BI43" i="70"/>
  <c r="BI44" i="70"/>
  <c r="BI45" i="70"/>
  <c r="BI46" i="70"/>
  <c r="BI47" i="70"/>
  <c r="BI49" i="70"/>
  <c r="BI50" i="70"/>
  <c r="BI53" i="70"/>
  <c r="BI54" i="70"/>
  <c r="F115" i="157"/>
  <c r="F179" i="157"/>
  <c r="BI57" i="70"/>
  <c r="F117" i="140"/>
  <c r="F179" i="140"/>
  <c r="BI61" i="70"/>
  <c r="F112" i="139"/>
  <c r="F171" i="139"/>
  <c r="BI59" i="70"/>
  <c r="BI71" i="70"/>
  <c r="BI73" i="70"/>
  <c r="BI74" i="70"/>
  <c r="BI77" i="70"/>
  <c r="BI79" i="70"/>
  <c r="BI80" i="70"/>
  <c r="BI83" i="70"/>
  <c r="BI84" i="70"/>
  <c r="BI85" i="70"/>
  <c r="BI87" i="70"/>
  <c r="BJ11" i="70"/>
  <c r="BJ12" i="70"/>
  <c r="BJ9" i="70"/>
  <c r="BJ10" i="70"/>
  <c r="BJ13" i="70"/>
  <c r="F169" i="49" a="1"/>
  <c r="F169" i="49"/>
  <c r="F209" i="49"/>
  <c r="BJ15" i="70"/>
  <c r="H9" i="12"/>
  <c r="F77" i="12"/>
  <c r="H10" i="12"/>
  <c r="F78" i="12"/>
  <c r="F124" i="62" a="1"/>
  <c r="F124" i="62"/>
  <c r="F171" i="62"/>
  <c r="BJ16" i="70"/>
  <c r="BJ17" i="70"/>
  <c r="H8" i="12"/>
  <c r="F76" i="12"/>
  <c r="F345" i="39" a="1"/>
  <c r="F345" i="39"/>
  <c r="F457" i="39"/>
  <c r="BJ19" i="70"/>
  <c r="BJ20" i="70"/>
  <c r="F308" i="41"/>
  <c r="F313" i="41"/>
  <c r="F483" i="41"/>
  <c r="BJ23" i="70"/>
  <c r="BJ34" i="70"/>
  <c r="F139" i="46"/>
  <c r="F186" i="46"/>
  <c r="BJ38" i="70"/>
  <c r="F166" i="48"/>
  <c r="F234" i="48"/>
  <c r="BJ39" i="70"/>
  <c r="BJ40" i="70"/>
  <c r="BJ42" i="70"/>
  <c r="BJ43" i="70"/>
  <c r="BJ44" i="70"/>
  <c r="BJ45" i="70"/>
  <c r="BJ46" i="70"/>
  <c r="BJ47" i="70"/>
  <c r="BJ49" i="70"/>
  <c r="BJ50" i="70"/>
  <c r="BJ53" i="70"/>
  <c r="BJ54" i="70"/>
  <c r="F116" i="157"/>
  <c r="F180" i="157"/>
  <c r="BJ57" i="70"/>
  <c r="F118" i="140"/>
  <c r="F180" i="140"/>
  <c r="BJ61" i="70"/>
  <c r="F113" i="139"/>
  <c r="F172" i="139"/>
  <c r="BJ59" i="70"/>
  <c r="BJ71" i="70"/>
  <c r="BJ73" i="70"/>
  <c r="BJ74" i="70"/>
  <c r="BJ77" i="70"/>
  <c r="BJ79" i="70"/>
  <c r="BJ80" i="70"/>
  <c r="BJ83" i="70"/>
  <c r="BJ84" i="70"/>
  <c r="BJ85" i="70"/>
  <c r="BJ87" i="70"/>
  <c r="BK11" i="70"/>
  <c r="BK12" i="70"/>
  <c r="BK9" i="70"/>
  <c r="BK10" i="70"/>
  <c r="BK13" i="70"/>
  <c r="BK15" i="70"/>
  <c r="BK16" i="70"/>
  <c r="BK17" i="70"/>
  <c r="BK19" i="70"/>
  <c r="BK20" i="70"/>
  <c r="BK22" i="70"/>
  <c r="BK23" i="70"/>
  <c r="BK24" i="70"/>
  <c r="BK28" i="70"/>
  <c r="BK34" i="70"/>
  <c r="BK35" i="70"/>
  <c r="BK36" i="70"/>
  <c r="BK38" i="70"/>
  <c r="BK39" i="70"/>
  <c r="BK40" i="70"/>
  <c r="BK42" i="70"/>
  <c r="BK43" i="70"/>
  <c r="BK44" i="70"/>
  <c r="BK45" i="70"/>
  <c r="BK46" i="70"/>
  <c r="BK47" i="70"/>
  <c r="BK49" i="70"/>
  <c r="BK50" i="70"/>
  <c r="BK53" i="70"/>
  <c r="BK54" i="70"/>
  <c r="BK57" i="70"/>
  <c r="BK61" i="70"/>
  <c r="BK63" i="70"/>
  <c r="BK59" i="70"/>
  <c r="BK64" i="70"/>
  <c r="BK66" i="70"/>
  <c r="BK71" i="70"/>
  <c r="BK73" i="70"/>
  <c r="BK74" i="70"/>
  <c r="BK77" i="70"/>
  <c r="BK79" i="70"/>
  <c r="BK80" i="70"/>
  <c r="BK83" i="70"/>
  <c r="BK84" i="70"/>
  <c r="BK85" i="70"/>
  <c r="BK87" i="70"/>
  <c r="BK90" i="70"/>
  <c r="BL11" i="70"/>
  <c r="BL12" i="70"/>
  <c r="BL9" i="70"/>
  <c r="BL10" i="70"/>
  <c r="BL13" i="70"/>
  <c r="BL15" i="70"/>
  <c r="BL16" i="70"/>
  <c r="BL17" i="70"/>
  <c r="BL19" i="70"/>
  <c r="BL20" i="70"/>
  <c r="BL22" i="70"/>
  <c r="BL23" i="70"/>
  <c r="BL24" i="70"/>
  <c r="BL28" i="70"/>
  <c r="BL34" i="70"/>
  <c r="BL35" i="70"/>
  <c r="BL36" i="70"/>
  <c r="BL38" i="70"/>
  <c r="F162" i="48"/>
  <c r="F230" i="48"/>
  <c r="BL39" i="70"/>
  <c r="BL40" i="70"/>
  <c r="BL42" i="70"/>
  <c r="BL43" i="70"/>
  <c r="BL44" i="70"/>
  <c r="BL45" i="70"/>
  <c r="BL46" i="70"/>
  <c r="BL47" i="70"/>
  <c r="BL49" i="70"/>
  <c r="BL50" i="70"/>
  <c r="BL53" i="70"/>
  <c r="BL54" i="70"/>
  <c r="BL57" i="70"/>
  <c r="BL61" i="70"/>
  <c r="BL63" i="70"/>
  <c r="BL59" i="70"/>
  <c r="BL64" i="70"/>
  <c r="BL66" i="70"/>
  <c r="BL71" i="70"/>
  <c r="BL73" i="70"/>
  <c r="BL74" i="70"/>
  <c r="BL77" i="70"/>
  <c r="BL79" i="70"/>
  <c r="BL80" i="70"/>
  <c r="BL83" i="70"/>
  <c r="BL84" i="70"/>
  <c r="BL85" i="70"/>
  <c r="BL87" i="70"/>
  <c r="BL90" i="70"/>
  <c r="BM11" i="70"/>
  <c r="BM12" i="70"/>
  <c r="BM9" i="70"/>
  <c r="BM10" i="70"/>
  <c r="BM13" i="70"/>
  <c r="BM15" i="70"/>
  <c r="BM16" i="70"/>
  <c r="BM17" i="70"/>
  <c r="BM19" i="70"/>
  <c r="BM20" i="70"/>
  <c r="BM22" i="70"/>
  <c r="BM23" i="70"/>
  <c r="BM24" i="70"/>
  <c r="BM28" i="70"/>
  <c r="BM34" i="70"/>
  <c r="BM35" i="70"/>
  <c r="BM36" i="70"/>
  <c r="BM38" i="70"/>
  <c r="F161" i="48"/>
  <c r="F231" i="48"/>
  <c r="BM39" i="70"/>
  <c r="BM40" i="70"/>
  <c r="BM42" i="70"/>
  <c r="BM43" i="70"/>
  <c r="BM44" i="70"/>
  <c r="BM45" i="70"/>
  <c r="BM46" i="70"/>
  <c r="BM47" i="70"/>
  <c r="BM49" i="70"/>
  <c r="BM50" i="70"/>
  <c r="BM53" i="70"/>
  <c r="BM54" i="70"/>
  <c r="BM57" i="70"/>
  <c r="BM61" i="70"/>
  <c r="BM63" i="70"/>
  <c r="BM59" i="70"/>
  <c r="BM64" i="70"/>
  <c r="BM66" i="70"/>
  <c r="BM71" i="70"/>
  <c r="BM73" i="70"/>
  <c r="BM74" i="70"/>
  <c r="BM77" i="70"/>
  <c r="BM79" i="70"/>
  <c r="BM80" i="70"/>
  <c r="F25" i="116"/>
  <c r="F77" i="116"/>
  <c r="F129" i="116"/>
  <c r="BM83" i="70"/>
  <c r="BM84" i="70"/>
  <c r="BM85" i="70"/>
  <c r="BM87" i="70"/>
  <c r="BM90" i="70"/>
  <c r="BN11" i="70"/>
  <c r="BN12" i="70"/>
  <c r="BN9" i="70"/>
  <c r="BN10" i="70"/>
  <c r="BN13" i="70"/>
  <c r="BN15" i="70"/>
  <c r="BN16" i="70"/>
  <c r="BN17" i="70"/>
  <c r="BN19" i="70"/>
  <c r="BN20" i="70"/>
  <c r="BN22" i="70"/>
  <c r="BN23" i="70"/>
  <c r="BN24" i="70"/>
  <c r="BN28" i="70"/>
  <c r="BN34" i="70"/>
  <c r="BN35" i="70"/>
  <c r="BN36" i="70"/>
  <c r="BN38" i="70"/>
  <c r="BN39" i="70"/>
  <c r="BN40" i="70"/>
  <c r="BN42" i="70"/>
  <c r="BN43" i="70"/>
  <c r="BN44" i="70"/>
  <c r="BN45" i="70"/>
  <c r="BN46" i="70"/>
  <c r="BN47" i="70"/>
  <c r="BN49" i="70"/>
  <c r="BN50" i="70"/>
  <c r="BN53" i="70"/>
  <c r="BN54" i="70"/>
  <c r="BN57" i="70"/>
  <c r="BN61" i="70"/>
  <c r="BN63" i="70"/>
  <c r="BN59" i="70"/>
  <c r="BN64" i="70"/>
  <c r="BN66" i="70"/>
  <c r="BN71" i="70"/>
  <c r="BN73" i="70"/>
  <c r="BN74" i="70"/>
  <c r="BN77" i="70"/>
  <c r="BN79" i="70"/>
  <c r="BN80" i="70"/>
  <c r="BN83" i="70"/>
  <c r="BN84" i="70"/>
  <c r="BN85" i="70"/>
  <c r="BN87" i="70"/>
  <c r="BN90" i="70"/>
  <c r="BO11" i="70"/>
  <c r="BO12" i="70"/>
  <c r="BO9" i="70"/>
  <c r="BO10" i="70"/>
  <c r="BO13" i="70"/>
  <c r="BO15" i="70"/>
  <c r="BO16" i="70"/>
  <c r="BO17" i="70"/>
  <c r="BO19" i="70"/>
  <c r="BO20" i="70"/>
  <c r="BO22" i="70"/>
  <c r="BO23" i="70"/>
  <c r="BO24" i="70"/>
  <c r="BO28" i="70"/>
  <c r="BO34" i="70"/>
  <c r="BO35" i="70"/>
  <c r="BO36" i="70"/>
  <c r="BO38" i="70"/>
  <c r="BO39" i="70"/>
  <c r="BO40" i="70"/>
  <c r="BO42" i="70"/>
  <c r="BO43" i="70"/>
  <c r="BO44" i="70"/>
  <c r="BO45" i="70"/>
  <c r="BO46" i="70"/>
  <c r="BO47" i="70"/>
  <c r="BO49" i="70"/>
  <c r="BO50" i="70"/>
  <c r="BO53" i="70"/>
  <c r="BO54" i="70"/>
  <c r="BO57" i="70"/>
  <c r="BO61" i="70"/>
  <c r="BO63" i="70"/>
  <c r="BO59" i="70"/>
  <c r="BO64" i="70"/>
  <c r="BO66" i="70"/>
  <c r="BO71" i="70"/>
  <c r="BO73" i="70"/>
  <c r="BO74" i="70"/>
  <c r="BO77" i="70"/>
  <c r="BO79" i="70"/>
  <c r="BO80" i="70"/>
  <c r="BO83" i="70"/>
  <c r="BO84" i="70"/>
  <c r="BO85" i="70"/>
  <c r="BO87" i="70"/>
  <c r="BO90" i="70"/>
  <c r="E8" i="175"/>
  <c r="BH11" i="166"/>
  <c r="BH12" i="166"/>
  <c r="BH9" i="166"/>
  <c r="BH10" i="166"/>
  <c r="BH13" i="166"/>
  <c r="G272" i="41"/>
  <c r="G274" i="41"/>
  <c r="G279" i="41"/>
  <c r="H75" i="41"/>
  <c r="G75" i="41"/>
  <c r="G280" i="41"/>
  <c r="G281" i="41"/>
  <c r="G297" i="41"/>
  <c r="G299" i="41"/>
  <c r="G306" i="41"/>
  <c r="G285" i="41"/>
  <c r="H84" i="41"/>
  <c r="G84" i="41"/>
  <c r="G286" i="41"/>
  <c r="G287" i="41"/>
  <c r="G311" i="41"/>
  <c r="G481" i="41"/>
  <c r="BH23" i="166"/>
  <c r="BH34" i="166"/>
  <c r="AK11" i="166"/>
  <c r="AK12" i="166"/>
  <c r="AK9" i="166"/>
  <c r="AK10" i="166"/>
  <c r="AK13" i="166"/>
  <c r="AK15" i="166"/>
  <c r="AK16" i="166"/>
  <c r="AK17" i="166"/>
  <c r="AK19" i="166"/>
  <c r="AK20" i="166"/>
  <c r="AK22" i="166"/>
  <c r="AK23" i="166"/>
  <c r="AK24" i="166"/>
  <c r="AK28" i="166"/>
  <c r="AK34" i="166"/>
  <c r="AK35" i="166"/>
  <c r="AK36" i="166"/>
  <c r="AK38" i="166"/>
  <c r="G31" i="48"/>
  <c r="G32" i="48"/>
  <c r="G50" i="48"/>
  <c r="G155" i="48"/>
  <c r="G220" i="48"/>
  <c r="AK39" i="166"/>
  <c r="AK40" i="166"/>
  <c r="AK42" i="166"/>
  <c r="AK43" i="166"/>
  <c r="AK44" i="166"/>
  <c r="AK45" i="166"/>
  <c r="AK46" i="166"/>
  <c r="AK47" i="166"/>
  <c r="AK49" i="166"/>
  <c r="AK50" i="166"/>
  <c r="AK53" i="166"/>
  <c r="AK54" i="166"/>
  <c r="AK57" i="166"/>
  <c r="AK61" i="166"/>
  <c r="AK63" i="166"/>
  <c r="AK59" i="166"/>
  <c r="AK64" i="166"/>
  <c r="AK66" i="166"/>
  <c r="AK71" i="166"/>
  <c r="AK73" i="166"/>
  <c r="AK74" i="166"/>
  <c r="AK77" i="166"/>
  <c r="AK79" i="166"/>
  <c r="AK80" i="166"/>
  <c r="AK83" i="166"/>
  <c r="AK85" i="166"/>
  <c r="AK87" i="166"/>
  <c r="AK90" i="166"/>
  <c r="G9" i="46"/>
  <c r="G97" i="46"/>
  <c r="G120" i="46"/>
  <c r="G102" i="46"/>
  <c r="G122" i="46"/>
  <c r="G17" i="46"/>
  <c r="G121" i="46"/>
  <c r="G123" i="46"/>
  <c r="G126" i="46"/>
  <c r="G127" i="46"/>
  <c r="G128" i="46"/>
  <c r="G33" i="46"/>
  <c r="G132" i="46"/>
  <c r="G34" i="46"/>
  <c r="G133" i="46"/>
  <c r="G137" i="46"/>
  <c r="G184" i="46"/>
  <c r="BH38" i="166"/>
  <c r="G158" i="48"/>
  <c r="G164" i="48"/>
  <c r="G232" i="48"/>
  <c r="BH39" i="166"/>
  <c r="BH40" i="166"/>
  <c r="BH42" i="166"/>
  <c r="BH43" i="166"/>
  <c r="BH44" i="166"/>
  <c r="BH45" i="166"/>
  <c r="BH46" i="166"/>
  <c r="BH47" i="166"/>
  <c r="BH49" i="166"/>
  <c r="BH50" i="166"/>
  <c r="BH53" i="166"/>
  <c r="BH54" i="166"/>
  <c r="G18" i="157"/>
  <c r="G19" i="157"/>
  <c r="G102" i="157"/>
  <c r="G103" i="157"/>
  <c r="G104" i="157"/>
  <c r="G105" i="157"/>
  <c r="G107" i="157"/>
  <c r="G108" i="157"/>
  <c r="G109" i="157"/>
  <c r="G110" i="157"/>
  <c r="G114" i="157"/>
  <c r="G178" i="157"/>
  <c r="BH57" i="166"/>
  <c r="G19" i="140"/>
  <c r="G20" i="140"/>
  <c r="G95" i="140"/>
  <c r="G104" i="140"/>
  <c r="G105" i="140"/>
  <c r="G106" i="140"/>
  <c r="G107" i="140"/>
  <c r="G109" i="140"/>
  <c r="G110" i="140"/>
  <c r="G111" i="140"/>
  <c r="G112" i="140"/>
  <c r="G113" i="140"/>
  <c r="G116" i="140"/>
  <c r="G178" i="140"/>
  <c r="BH61" i="166"/>
  <c r="G20" i="138"/>
  <c r="G75" i="138"/>
  <c r="E9" i="138"/>
  <c r="N69" i="138"/>
  <c r="G69" i="138"/>
  <c r="G76" i="138"/>
  <c r="G80" i="138"/>
  <c r="G111" i="138"/>
  <c r="R11" i="166"/>
  <c r="R12" i="166"/>
  <c r="G21" i="137"/>
  <c r="G82" i="137"/>
  <c r="C8" i="35"/>
  <c r="D8" i="35"/>
  <c r="G83" i="137"/>
  <c r="E9" i="137"/>
  <c r="N65" i="137"/>
  <c r="G65" i="137"/>
  <c r="G84" i="137"/>
  <c r="G85" i="137"/>
  <c r="G89" i="137"/>
  <c r="G135" i="137"/>
  <c r="R9" i="166"/>
  <c r="R10" i="166"/>
  <c r="R13" i="166"/>
  <c r="G29" i="49"/>
  <c r="G113" i="49"/>
  <c r="G114" i="49"/>
  <c r="G115" i="49"/>
  <c r="E9" i="49"/>
  <c r="N93" i="49"/>
  <c r="G93" i="49"/>
  <c r="G116" i="49"/>
  <c r="G21" i="49"/>
  <c r="G124" i="49"/>
  <c r="G125" i="49"/>
  <c r="G126" i="49"/>
  <c r="G127" i="49"/>
  <c r="G131" i="49"/>
  <c r="G195" i="49"/>
  <c r="R15" i="166"/>
  <c r="G28" i="62"/>
  <c r="G101" i="62"/>
  <c r="E9" i="62"/>
  <c r="N92" i="62"/>
  <c r="G92" i="62"/>
  <c r="G102" i="62"/>
  <c r="G20" i="62"/>
  <c r="G110" i="62"/>
  <c r="G111" i="62"/>
  <c r="G115" i="62"/>
  <c r="G157" i="62"/>
  <c r="R16" i="166"/>
  <c r="R17" i="166"/>
  <c r="E8" i="39"/>
  <c r="G176" i="39"/>
  <c r="E184" i="39" a="1"/>
  <c r="E184" i="39"/>
  <c r="G184" i="39"/>
  <c r="G235" i="39"/>
  <c r="G177" i="39"/>
  <c r="I27" i="39"/>
  <c r="E185" i="39"/>
  <c r="G185" i="39"/>
  <c r="G236" i="39"/>
  <c r="I20" i="39"/>
  <c r="G178" i="39"/>
  <c r="I28" i="39"/>
  <c r="E186" i="39"/>
  <c r="G186" i="39"/>
  <c r="G237" i="39"/>
  <c r="I21" i="39"/>
  <c r="G179" i="39"/>
  <c r="I29" i="39"/>
  <c r="E187" i="39"/>
  <c r="G187" i="39"/>
  <c r="G238" i="39"/>
  <c r="G239" i="39"/>
  <c r="J193" i="39"/>
  <c r="G193" i="39"/>
  <c r="G242" i="39"/>
  <c r="G442" i="39"/>
  <c r="R19" i="166"/>
  <c r="R20" i="166"/>
  <c r="G27" i="41"/>
  <c r="G276" i="41"/>
  <c r="G291" i="41"/>
  <c r="H72" i="41"/>
  <c r="G72" i="41"/>
  <c r="G93" i="41"/>
  <c r="G292" i="41"/>
  <c r="G293" i="41"/>
  <c r="G301" i="41"/>
  <c r="G440" i="41"/>
  <c r="R23" i="166"/>
  <c r="R34" i="166"/>
  <c r="R77" i="166"/>
  <c r="R79" i="166"/>
  <c r="R80" i="166"/>
  <c r="G32" i="46"/>
  <c r="G131" i="46"/>
  <c r="G170" i="46"/>
  <c r="R38" i="166"/>
  <c r="G23" i="48"/>
  <c r="G24" i="48"/>
  <c r="G49" i="48"/>
  <c r="G149" i="48"/>
  <c r="G150" i="48"/>
  <c r="G157" i="48"/>
  <c r="G213" i="48"/>
  <c r="R39" i="166"/>
  <c r="R40" i="166"/>
  <c r="R71" i="166"/>
  <c r="R73" i="166"/>
  <c r="R74" i="166"/>
  <c r="R42" i="166"/>
  <c r="R43" i="166"/>
  <c r="R44" i="166"/>
  <c r="R45" i="166"/>
  <c r="R46" i="166"/>
  <c r="R47" i="166"/>
  <c r="R49" i="166"/>
  <c r="R50" i="166"/>
  <c r="R53" i="166"/>
  <c r="R54" i="166"/>
  <c r="R57" i="166"/>
  <c r="R59" i="166"/>
  <c r="R61" i="166"/>
  <c r="S11" i="166"/>
  <c r="S12" i="166"/>
  <c r="S9" i="166"/>
  <c r="S10" i="166"/>
  <c r="S13" i="166"/>
  <c r="S15" i="166"/>
  <c r="S16" i="166"/>
  <c r="S17" i="166"/>
  <c r="S19" i="166"/>
  <c r="S20" i="166"/>
  <c r="S22" i="166"/>
  <c r="S23" i="166"/>
  <c r="S24" i="166"/>
  <c r="S28" i="166"/>
  <c r="S34" i="166"/>
  <c r="S35" i="166"/>
  <c r="S36" i="166"/>
  <c r="S77" i="166"/>
  <c r="S79" i="166"/>
  <c r="S80" i="166"/>
  <c r="S38" i="166"/>
  <c r="S39" i="166"/>
  <c r="S40" i="166"/>
  <c r="G20" i="31"/>
  <c r="G15" i="31"/>
  <c r="G137" i="31"/>
  <c r="G47" i="31"/>
  <c r="G48" i="31"/>
  <c r="G59" i="31"/>
  <c r="G131" i="31"/>
  <c r="G150" i="31"/>
  <c r="S71" i="166"/>
  <c r="G18" i="142"/>
  <c r="G19" i="142"/>
  <c r="G27" i="142"/>
  <c r="G28" i="142"/>
  <c r="G81" i="142"/>
  <c r="G85" i="142"/>
  <c r="G86" i="142"/>
  <c r="G87" i="142"/>
  <c r="G88" i="142"/>
  <c r="G115" i="142"/>
  <c r="S42" i="166"/>
  <c r="G19" i="143"/>
  <c r="G20" i="143"/>
  <c r="G71" i="143"/>
  <c r="G75" i="143"/>
  <c r="G76" i="143"/>
  <c r="G77" i="143"/>
  <c r="G79" i="143"/>
  <c r="G111" i="143"/>
  <c r="S43" i="166"/>
  <c r="G19" i="144"/>
  <c r="G20" i="144"/>
  <c r="G71" i="144"/>
  <c r="G75" i="144"/>
  <c r="G76" i="144"/>
  <c r="G77" i="144"/>
  <c r="G79" i="144"/>
  <c r="G111" i="144"/>
  <c r="S44" i="166"/>
  <c r="G19" i="147"/>
  <c r="G20" i="147"/>
  <c r="G63" i="147"/>
  <c r="G68" i="147"/>
  <c r="G69" i="147"/>
  <c r="G70" i="147"/>
  <c r="G71" i="147"/>
  <c r="G107" i="147"/>
  <c r="S45" i="166"/>
  <c r="G19" i="146"/>
  <c r="G20" i="146"/>
  <c r="G65" i="146"/>
  <c r="G70" i="146"/>
  <c r="G71" i="146"/>
  <c r="G72" i="146"/>
  <c r="G73" i="146"/>
  <c r="G109" i="146"/>
  <c r="S46" i="166"/>
  <c r="S47" i="166"/>
  <c r="G19" i="145"/>
  <c r="G20" i="145"/>
  <c r="G63" i="145"/>
  <c r="G68" i="145"/>
  <c r="G69" i="145"/>
  <c r="G70" i="145"/>
  <c r="G71" i="145"/>
  <c r="G109" i="145"/>
  <c r="S49" i="166"/>
  <c r="S50" i="166"/>
  <c r="G18" i="141"/>
  <c r="G19" i="141"/>
  <c r="G28" i="141"/>
  <c r="G93" i="141"/>
  <c r="G97" i="141"/>
  <c r="G98" i="141"/>
  <c r="G99" i="141"/>
  <c r="G100" i="141"/>
  <c r="G103" i="141"/>
  <c r="G140" i="141"/>
  <c r="S53" i="166"/>
  <c r="S54" i="166"/>
  <c r="G166" i="157"/>
  <c r="S57" i="166"/>
  <c r="G19" i="139"/>
  <c r="G20" i="139"/>
  <c r="G98" i="139"/>
  <c r="G99" i="139"/>
  <c r="G100" i="139"/>
  <c r="G101" i="139"/>
  <c r="G103" i="139"/>
  <c r="G158" i="139"/>
  <c r="S59" i="166"/>
  <c r="G166" i="140"/>
  <c r="S61" i="166"/>
  <c r="G104" i="139"/>
  <c r="G105" i="139"/>
  <c r="G106" i="139"/>
  <c r="G107" i="139"/>
  <c r="G111" i="139"/>
  <c r="G170" i="139"/>
  <c r="BH59" i="166"/>
  <c r="BH71" i="166"/>
  <c r="BH73" i="166"/>
  <c r="BH74" i="166"/>
  <c r="BH77" i="166"/>
  <c r="BH79" i="166"/>
  <c r="BH80" i="166"/>
  <c r="BH83" i="166"/>
  <c r="BH84" i="166"/>
  <c r="BH85" i="166"/>
  <c r="BH87" i="166"/>
  <c r="BI11" i="166"/>
  <c r="BI12" i="166"/>
  <c r="BI9" i="166"/>
  <c r="BI10" i="166"/>
  <c r="BI13" i="166"/>
  <c r="N94" i="49"/>
  <c r="G94" i="49"/>
  <c r="G117" i="49"/>
  <c r="G132" i="49"/>
  <c r="N95" i="49"/>
  <c r="G95" i="49"/>
  <c r="G118" i="49"/>
  <c r="G133" i="49"/>
  <c r="N96" i="49"/>
  <c r="G96" i="49"/>
  <c r="G119" i="49"/>
  <c r="G134" i="49"/>
  <c r="G168" i="49" a="1"/>
  <c r="G168" i="49"/>
  <c r="G208" i="49"/>
  <c r="BI15" i="166"/>
  <c r="N93" i="62"/>
  <c r="G93" i="62"/>
  <c r="G103" i="62"/>
  <c r="G116" i="62"/>
  <c r="N94" i="62"/>
  <c r="G94" i="62"/>
  <c r="G104" i="62"/>
  <c r="G117" i="62"/>
  <c r="N95" i="62"/>
  <c r="G95" i="62"/>
  <c r="G105" i="62"/>
  <c r="G118" i="62"/>
  <c r="G123" i="62" a="1"/>
  <c r="G123" i="62"/>
  <c r="G170" i="62"/>
  <c r="BI16" i="166"/>
  <c r="BI17" i="166"/>
  <c r="J194" i="39"/>
  <c r="G194" i="39"/>
  <c r="G243" i="39"/>
  <c r="J195" i="39"/>
  <c r="G195" i="39"/>
  <c r="G244" i="39"/>
  <c r="J196" i="39"/>
  <c r="G196" i="39"/>
  <c r="G245" i="39"/>
  <c r="J197" i="39"/>
  <c r="G197" i="39"/>
  <c r="G246" i="39"/>
  <c r="G344" i="39" a="1"/>
  <c r="G344" i="39"/>
  <c r="G456" i="39"/>
  <c r="BI19" i="166"/>
  <c r="BI20" i="166"/>
  <c r="G307" i="41"/>
  <c r="G312" i="41"/>
  <c r="G482" i="41"/>
  <c r="BI23" i="166"/>
  <c r="BI34" i="166"/>
  <c r="G138" i="46"/>
  <c r="G185" i="46"/>
  <c r="BI38" i="166"/>
  <c r="G165" i="48"/>
  <c r="G233" i="48"/>
  <c r="BI39" i="166"/>
  <c r="BI40" i="166"/>
  <c r="BI42" i="166"/>
  <c r="BI43" i="166"/>
  <c r="BI44" i="166"/>
  <c r="BI45" i="166"/>
  <c r="BI46" i="166"/>
  <c r="BI47" i="166"/>
  <c r="BI49" i="166"/>
  <c r="BI50" i="166"/>
  <c r="BI53" i="166"/>
  <c r="BI54" i="166"/>
  <c r="G115" i="157"/>
  <c r="G179" i="157"/>
  <c r="BI57" i="166"/>
  <c r="G117" i="140"/>
  <c r="G179" i="140"/>
  <c r="BI61" i="166"/>
  <c r="G112" i="139"/>
  <c r="G171" i="139"/>
  <c r="BI59" i="166"/>
  <c r="BI71" i="166"/>
  <c r="BI73" i="166"/>
  <c r="BI74" i="166"/>
  <c r="BI77" i="166"/>
  <c r="BI79" i="166"/>
  <c r="BI80" i="166"/>
  <c r="BI83" i="166"/>
  <c r="BI84" i="166"/>
  <c r="BI85" i="166"/>
  <c r="BI87" i="166"/>
  <c r="BJ11" i="166"/>
  <c r="BJ12" i="166"/>
  <c r="BJ9" i="166"/>
  <c r="BJ10" i="166"/>
  <c r="BJ13" i="166"/>
  <c r="G169" i="49" a="1"/>
  <c r="G169" i="49"/>
  <c r="G209" i="49"/>
  <c r="BJ15" i="166"/>
  <c r="G124" i="62" a="1"/>
  <c r="G124" i="62"/>
  <c r="G171" i="62"/>
  <c r="BJ16" i="166"/>
  <c r="BJ17" i="166"/>
  <c r="G345" i="39" a="1"/>
  <c r="G345" i="39"/>
  <c r="G457" i="39"/>
  <c r="BJ19" i="166"/>
  <c r="BJ20" i="166"/>
  <c r="G308" i="41"/>
  <c r="G313" i="41"/>
  <c r="G483" i="41"/>
  <c r="BJ23" i="166"/>
  <c r="BJ34" i="166"/>
  <c r="G139" i="46"/>
  <c r="G186" i="46"/>
  <c r="BJ38" i="166"/>
  <c r="G166" i="48"/>
  <c r="G234" i="48"/>
  <c r="BJ39" i="166"/>
  <c r="BJ40" i="166"/>
  <c r="BJ42" i="166"/>
  <c r="BJ43" i="166"/>
  <c r="BJ44" i="166"/>
  <c r="BJ45" i="166"/>
  <c r="BJ46" i="166"/>
  <c r="BJ47" i="166"/>
  <c r="BJ49" i="166"/>
  <c r="BJ50" i="166"/>
  <c r="BJ53" i="166"/>
  <c r="BJ54" i="166"/>
  <c r="G116" i="157"/>
  <c r="G180" i="157"/>
  <c r="BJ57" i="166"/>
  <c r="G118" i="140"/>
  <c r="G180" i="140"/>
  <c r="BJ61" i="166"/>
  <c r="G113" i="139"/>
  <c r="G172" i="139"/>
  <c r="BJ59" i="166"/>
  <c r="BJ71" i="166"/>
  <c r="BJ73" i="166"/>
  <c r="BJ74" i="166"/>
  <c r="BJ77" i="166"/>
  <c r="BJ79" i="166"/>
  <c r="BJ80" i="166"/>
  <c r="BJ83" i="166"/>
  <c r="BJ84" i="166"/>
  <c r="BJ85" i="166"/>
  <c r="BJ87" i="166"/>
  <c r="BK11" i="166"/>
  <c r="BK12" i="166"/>
  <c r="BK9" i="166"/>
  <c r="BK10" i="166"/>
  <c r="BK13" i="166"/>
  <c r="BK15" i="166"/>
  <c r="BK16" i="166"/>
  <c r="BK17" i="166"/>
  <c r="BK19" i="166"/>
  <c r="BK20" i="166"/>
  <c r="BK22" i="166"/>
  <c r="BK23" i="166"/>
  <c r="BK24" i="166"/>
  <c r="BK28" i="166"/>
  <c r="BK34" i="166"/>
  <c r="BK35" i="166"/>
  <c r="BK36" i="166"/>
  <c r="BK38" i="166"/>
  <c r="BK39" i="166"/>
  <c r="BK40" i="166"/>
  <c r="BK42" i="166"/>
  <c r="BK43" i="166"/>
  <c r="BK44" i="166"/>
  <c r="BK45" i="166"/>
  <c r="BK46" i="166"/>
  <c r="BK47" i="166"/>
  <c r="BK49" i="166"/>
  <c r="BK50" i="166"/>
  <c r="BK53" i="166"/>
  <c r="BK54" i="166"/>
  <c r="BK57" i="166"/>
  <c r="BK61" i="166"/>
  <c r="BK63" i="166"/>
  <c r="BK59" i="166"/>
  <c r="BK64" i="166"/>
  <c r="BK66" i="166"/>
  <c r="BK71" i="166"/>
  <c r="BK73" i="166"/>
  <c r="BK74" i="166"/>
  <c r="BK77" i="166"/>
  <c r="BK79" i="166"/>
  <c r="BK80" i="166"/>
  <c r="BK83" i="166"/>
  <c r="BK84" i="166"/>
  <c r="BK85" i="166"/>
  <c r="BK87" i="166"/>
  <c r="BK90" i="166"/>
  <c r="BL11" i="166"/>
  <c r="BL12" i="166"/>
  <c r="BL9" i="166"/>
  <c r="BL10" i="166"/>
  <c r="BL13" i="166"/>
  <c r="BL15" i="166"/>
  <c r="BL16" i="166"/>
  <c r="BL17" i="166"/>
  <c r="BL19" i="166"/>
  <c r="BL20" i="166"/>
  <c r="BL22" i="166"/>
  <c r="BL23" i="166"/>
  <c r="BL24" i="166"/>
  <c r="BL28" i="166"/>
  <c r="BL34" i="166"/>
  <c r="BL35" i="166"/>
  <c r="BL36" i="166"/>
  <c r="BL38" i="166"/>
  <c r="G162" i="48"/>
  <c r="G230" i="48"/>
  <c r="BL39" i="166"/>
  <c r="BL40" i="166"/>
  <c r="BL42" i="166"/>
  <c r="BL43" i="166"/>
  <c r="BL44" i="166"/>
  <c r="BL45" i="166"/>
  <c r="BL46" i="166"/>
  <c r="BL47" i="166"/>
  <c r="BL49" i="166"/>
  <c r="BL50" i="166"/>
  <c r="BL53" i="166"/>
  <c r="BL54" i="166"/>
  <c r="BL57" i="166"/>
  <c r="BL61" i="166"/>
  <c r="BL63" i="166"/>
  <c r="BL59" i="166"/>
  <c r="BL64" i="166"/>
  <c r="BL66" i="166"/>
  <c r="BL71" i="166"/>
  <c r="BL73" i="166"/>
  <c r="BL74" i="166"/>
  <c r="BL77" i="166"/>
  <c r="BL79" i="166"/>
  <c r="BL80" i="166"/>
  <c r="BL83" i="166"/>
  <c r="BL84" i="166"/>
  <c r="BL85" i="166"/>
  <c r="BL87" i="166"/>
  <c r="BL90" i="166"/>
  <c r="BM11" i="166"/>
  <c r="BM12" i="166"/>
  <c r="BM9" i="166"/>
  <c r="BM10" i="166"/>
  <c r="BM13" i="166"/>
  <c r="BM15" i="166"/>
  <c r="BM16" i="166"/>
  <c r="BM17" i="166"/>
  <c r="BM19" i="166"/>
  <c r="BM20" i="166"/>
  <c r="BM22" i="166"/>
  <c r="BM23" i="166"/>
  <c r="BM24" i="166"/>
  <c r="BM28" i="166"/>
  <c r="BM34" i="166"/>
  <c r="BM35" i="166"/>
  <c r="BM36" i="166"/>
  <c r="BM38" i="166"/>
  <c r="G161" i="48"/>
  <c r="G231" i="48"/>
  <c r="BM39" i="166"/>
  <c r="BM40" i="166"/>
  <c r="BM42" i="166"/>
  <c r="BM43" i="166"/>
  <c r="BM44" i="166"/>
  <c r="BM45" i="166"/>
  <c r="BM46" i="166"/>
  <c r="BM47" i="166"/>
  <c r="BM49" i="166"/>
  <c r="BM50" i="166"/>
  <c r="BM53" i="166"/>
  <c r="BM54" i="166"/>
  <c r="BM57" i="166"/>
  <c r="BM61" i="166"/>
  <c r="BM63" i="166"/>
  <c r="BM59" i="166"/>
  <c r="BM64" i="166"/>
  <c r="BM66" i="166"/>
  <c r="BM71" i="166"/>
  <c r="BM73" i="166"/>
  <c r="BM74" i="166"/>
  <c r="BM77" i="166"/>
  <c r="BM79" i="166"/>
  <c r="BM80" i="166"/>
  <c r="V11" i="166"/>
  <c r="V12" i="166"/>
  <c r="V9" i="166"/>
  <c r="V10" i="166"/>
  <c r="V13" i="166"/>
  <c r="G197" i="49"/>
  <c r="V15" i="166"/>
  <c r="G159" i="62"/>
  <c r="V16" i="166"/>
  <c r="V17" i="166"/>
  <c r="G445" i="39"/>
  <c r="V19" i="166"/>
  <c r="V20" i="166"/>
  <c r="G442" i="41"/>
  <c r="V23" i="166"/>
  <c r="V34" i="166"/>
  <c r="G172" i="46"/>
  <c r="V38" i="166"/>
  <c r="G152" i="48"/>
  <c r="G215" i="48"/>
  <c r="V39" i="166"/>
  <c r="V40" i="166"/>
  <c r="V42" i="166"/>
  <c r="V43" i="166"/>
  <c r="V44" i="166"/>
  <c r="V45" i="166"/>
  <c r="V46" i="166"/>
  <c r="V47" i="166"/>
  <c r="V49" i="166"/>
  <c r="V50" i="166"/>
  <c r="V53" i="166"/>
  <c r="V54" i="166"/>
  <c r="V57" i="166"/>
  <c r="G167" i="140"/>
  <c r="V61" i="166"/>
  <c r="V63" i="166"/>
  <c r="V59" i="166"/>
  <c r="V64" i="166"/>
  <c r="V71" i="166"/>
  <c r="V73" i="166"/>
  <c r="V74" i="166"/>
  <c r="AE11" i="166"/>
  <c r="AE12" i="166"/>
  <c r="AE9" i="166"/>
  <c r="AE10" i="166"/>
  <c r="AE13" i="166"/>
  <c r="AE15" i="166"/>
  <c r="AE16" i="166"/>
  <c r="AE17" i="166"/>
  <c r="AE19" i="166"/>
  <c r="AE20" i="166"/>
  <c r="AE22" i="166"/>
  <c r="AE23" i="166"/>
  <c r="AE24" i="166"/>
  <c r="AE28" i="166"/>
  <c r="G19" i="113"/>
  <c r="G307" i="113"/>
  <c r="F316" i="113" a="1"/>
  <c r="G316" i="113"/>
  <c r="G345" i="113"/>
  <c r="G346" i="113" a="1"/>
  <c r="G346" i="113"/>
  <c r="G28" i="113"/>
  <c r="G308" i="113"/>
  <c r="F317" i="113" a="1"/>
  <c r="G317" i="113"/>
  <c r="G351" i="113"/>
  <c r="G352" i="113" a="1"/>
  <c r="G352" i="113"/>
  <c r="G37" i="113"/>
  <c r="G309" i="113"/>
  <c r="G110" i="113"/>
  <c r="G318" i="113"/>
  <c r="G357" i="113"/>
  <c r="G358" i="113" a="1"/>
  <c r="G358" i="113"/>
  <c r="E5" i="6"/>
  <c r="F5" i="6"/>
  <c r="F156" i="113"/>
  <c r="F157" i="113"/>
  <c r="F158" i="113"/>
  <c r="F160" i="113"/>
  <c r="G364" i="113"/>
  <c r="G347" i="113"/>
  <c r="G353" i="113"/>
  <c r="G359" i="113"/>
  <c r="G365" i="113"/>
  <c r="G369" i="113"/>
  <c r="G530" i="113"/>
  <c r="AE34" i="166"/>
  <c r="G44" i="112"/>
  <c r="G299" i="112"/>
  <c r="G45" i="112"/>
  <c r="G300" i="112"/>
  <c r="F46" i="112"/>
  <c r="F301" i="112"/>
  <c r="F325" i="112"/>
  <c r="E325" i="112"/>
  <c r="G325" i="112"/>
  <c r="E48" i="6"/>
  <c r="E49" i="6"/>
  <c r="F49" i="6"/>
  <c r="G402" i="112"/>
  <c r="G403" i="112"/>
  <c r="E7" i="6"/>
  <c r="F7" i="6"/>
  <c r="F178" i="112"/>
  <c r="F404" i="112"/>
  <c r="G405" i="112"/>
  <c r="F50" i="112"/>
  <c r="F305" i="112"/>
  <c r="F364" i="112"/>
  <c r="F48" i="6"/>
  <c r="F190" i="112"/>
  <c r="G364" i="112"/>
  <c r="F326" i="112"/>
  <c r="E326" i="112"/>
  <c r="G326" i="112"/>
  <c r="G407" i="112"/>
  <c r="G408" i="112"/>
  <c r="F179" i="112"/>
  <c r="F409" i="112"/>
  <c r="G410" i="112"/>
  <c r="G412" i="112"/>
  <c r="F413" i="112"/>
  <c r="G414" i="112"/>
  <c r="G423" i="112"/>
  <c r="G547" i="112"/>
  <c r="AE35" i="166"/>
  <c r="AE36" i="166"/>
  <c r="AE38" i="166"/>
  <c r="AE39" i="166"/>
  <c r="AE40" i="166"/>
  <c r="AE42" i="166"/>
  <c r="AE43" i="166"/>
  <c r="AE44" i="166"/>
  <c r="AE45" i="166"/>
  <c r="AE46" i="166"/>
  <c r="AE47" i="166"/>
  <c r="AE49" i="166"/>
  <c r="AE50" i="166"/>
  <c r="AE53" i="166"/>
  <c r="AE54" i="166"/>
  <c r="AE57" i="166"/>
  <c r="AE61" i="166"/>
  <c r="AE63" i="166"/>
  <c r="AE59" i="166"/>
  <c r="AE64" i="166"/>
  <c r="AE66" i="166"/>
  <c r="AE71" i="166"/>
  <c r="AE73" i="166"/>
  <c r="AE74" i="166"/>
  <c r="AE76" i="166"/>
  <c r="G15" i="110"/>
  <c r="G243" i="110"/>
  <c r="E7" i="110"/>
  <c r="F252" i="110"/>
  <c r="G253" i="110"/>
  <c r="G254" i="110"/>
  <c r="AF11" i="166"/>
  <c r="AF12" i="166"/>
  <c r="AF9" i="166"/>
  <c r="AF10" i="166"/>
  <c r="AF13" i="166"/>
  <c r="AF15" i="166"/>
  <c r="AF16" i="166"/>
  <c r="AF17" i="166"/>
  <c r="AF19" i="166"/>
  <c r="AF20" i="166"/>
  <c r="AF22" i="166"/>
  <c r="AF23" i="166"/>
  <c r="AF24" i="166"/>
  <c r="AF28" i="166"/>
  <c r="F331" i="113" a="1"/>
  <c r="G331" i="113"/>
  <c r="G375" i="113"/>
  <c r="G101" i="113"/>
  <c r="G376" i="113"/>
  <c r="F332" i="113" a="1"/>
  <c r="G332" i="113"/>
  <c r="G378" i="113"/>
  <c r="G379" i="113"/>
  <c r="G382" i="113"/>
  <c r="G119" i="113"/>
  <c r="G319" i="113"/>
  <c r="G407" i="113"/>
  <c r="G46" i="113"/>
  <c r="G310" i="113"/>
  <c r="G402" i="113"/>
  <c r="G408" i="113"/>
  <c r="G415" i="113"/>
  <c r="G531" i="113"/>
  <c r="AF34" i="166"/>
  <c r="E8" i="112"/>
  <c r="E312" i="112"/>
  <c r="G312" i="112"/>
  <c r="E314" i="112"/>
  <c r="G314" i="112"/>
  <c r="E327" i="112"/>
  <c r="G327" i="112"/>
  <c r="G416" i="112"/>
  <c r="G418" i="112"/>
  <c r="F180" i="112"/>
  <c r="F419" i="112"/>
  <c r="G420" i="112"/>
  <c r="G424" i="112"/>
  <c r="G548" i="112"/>
  <c r="AF35" i="166"/>
  <c r="AF36" i="166"/>
  <c r="AF38" i="166"/>
  <c r="AF39" i="166"/>
  <c r="AF40" i="166"/>
  <c r="AF42" i="166"/>
  <c r="AF43" i="166"/>
  <c r="AF44" i="166"/>
  <c r="AF45" i="166"/>
  <c r="AF46" i="166"/>
  <c r="AF47" i="166"/>
  <c r="AF49" i="166"/>
  <c r="AF50" i="166"/>
  <c r="AF53" i="166"/>
  <c r="AF54" i="166"/>
  <c r="AF57" i="166"/>
  <c r="AF61" i="166"/>
  <c r="AF63" i="166"/>
  <c r="AF59" i="166"/>
  <c r="AF64" i="166"/>
  <c r="AF66" i="166"/>
  <c r="AF71" i="166"/>
  <c r="AF73" i="166"/>
  <c r="AF74" i="166"/>
  <c r="AF76" i="166"/>
  <c r="G16" i="110"/>
  <c r="G261" i="110"/>
  <c r="F270" i="110"/>
  <c r="G271" i="110"/>
  <c r="G272" i="110"/>
  <c r="AC11" i="166"/>
  <c r="AC12" i="166"/>
  <c r="AC9" i="166"/>
  <c r="AC10" i="166"/>
  <c r="AC13" i="166"/>
  <c r="AC15" i="166"/>
  <c r="AC16" i="166"/>
  <c r="AC17" i="166"/>
  <c r="AC19" i="166"/>
  <c r="AC20" i="166"/>
  <c r="AC22" i="166"/>
  <c r="AC23" i="166"/>
  <c r="AC24" i="166"/>
  <c r="AC28" i="166"/>
  <c r="AC34" i="166"/>
  <c r="F324" i="112"/>
  <c r="E324" i="112"/>
  <c r="G324" i="112"/>
  <c r="G46" i="112"/>
  <c r="G301" i="112"/>
  <c r="G47" i="112"/>
  <c r="G302" i="112"/>
  <c r="G389" i="112"/>
  <c r="F177" i="112"/>
  <c r="F390" i="112"/>
  <c r="G391" i="112"/>
  <c r="G397" i="112"/>
  <c r="G546" i="112"/>
  <c r="AC35" i="166"/>
  <c r="AC36" i="166"/>
  <c r="AC38" i="166"/>
  <c r="AC39" i="166"/>
  <c r="AC40" i="166"/>
  <c r="AC42" i="166"/>
  <c r="AC43" i="166"/>
  <c r="AC44" i="166"/>
  <c r="AC45" i="166"/>
  <c r="AC46" i="166"/>
  <c r="AC47" i="166"/>
  <c r="AC49" i="166"/>
  <c r="AC50" i="166"/>
  <c r="AC53" i="166"/>
  <c r="AC54" i="166"/>
  <c r="AC57" i="166"/>
  <c r="AC61" i="166"/>
  <c r="AC63" i="166"/>
  <c r="AC59" i="166"/>
  <c r="AC64" i="166"/>
  <c r="AC66" i="166"/>
  <c r="AC71" i="166"/>
  <c r="AC73" i="166"/>
  <c r="AC74" i="166"/>
  <c r="AC76" i="166"/>
  <c r="G18" i="110"/>
  <c r="G279" i="110"/>
  <c r="F288" i="110"/>
  <c r="G289" i="110"/>
  <c r="G290" i="110"/>
  <c r="AD11" i="166"/>
  <c r="AD12" i="166"/>
  <c r="AD9" i="166"/>
  <c r="AD10" i="166"/>
  <c r="AD13" i="166"/>
  <c r="AD15" i="166"/>
  <c r="AD16" i="166"/>
  <c r="AD17" i="166"/>
  <c r="AD19" i="166"/>
  <c r="AD20" i="166"/>
  <c r="AD22" i="166"/>
  <c r="AD23" i="166"/>
  <c r="AD24" i="166"/>
  <c r="AD28" i="166"/>
  <c r="AD34" i="166"/>
  <c r="F323" i="112"/>
  <c r="E323" i="112"/>
  <c r="G323" i="112"/>
  <c r="G379" i="112"/>
  <c r="F176" i="112"/>
  <c r="F380" i="112"/>
  <c r="G381" i="112"/>
  <c r="G384" i="112"/>
  <c r="G545" i="112"/>
  <c r="AD35" i="166"/>
  <c r="AD36" i="166"/>
  <c r="AD38" i="166"/>
  <c r="AD39" i="166"/>
  <c r="AD40" i="166"/>
  <c r="AD42" i="166"/>
  <c r="AD43" i="166"/>
  <c r="AD44" i="166"/>
  <c r="AD45" i="166"/>
  <c r="AD46" i="166"/>
  <c r="AD47" i="166"/>
  <c r="AD49" i="166"/>
  <c r="AD50" i="166"/>
  <c r="AD53" i="166"/>
  <c r="AD54" i="166"/>
  <c r="AD57" i="166"/>
  <c r="AD61" i="166"/>
  <c r="AD63" i="166"/>
  <c r="AD59" i="166"/>
  <c r="AD64" i="166"/>
  <c r="AD66" i="166"/>
  <c r="AD71" i="166"/>
  <c r="AD73" i="166"/>
  <c r="AD74" i="166"/>
  <c r="AD76" i="166"/>
  <c r="G19" i="110"/>
  <c r="G296" i="110"/>
  <c r="F305" i="110"/>
  <c r="F306" i="110"/>
  <c r="G307" i="110"/>
  <c r="AG11" i="166"/>
  <c r="AG12" i="166"/>
  <c r="AG9" i="166"/>
  <c r="AG10" i="166"/>
  <c r="AG13" i="166"/>
  <c r="AG15" i="166"/>
  <c r="AG16" i="166"/>
  <c r="AG17" i="166"/>
  <c r="AG19" i="166"/>
  <c r="AG20" i="166"/>
  <c r="AG22" i="166"/>
  <c r="AG23" i="166"/>
  <c r="AG24" i="166"/>
  <c r="AG28" i="166"/>
  <c r="G55" i="113"/>
  <c r="G311" i="113"/>
  <c r="G388" i="113"/>
  <c r="G128" i="113"/>
  <c r="G389" i="113"/>
  <c r="G137" i="113"/>
  <c r="G390" i="113"/>
  <c r="G391" i="113"/>
  <c r="F172" i="113"/>
  <c r="G397" i="113"/>
  <c r="G532" i="113"/>
  <c r="AG34" i="166"/>
  <c r="AG35" i="166"/>
  <c r="AG36" i="166"/>
  <c r="AG38" i="166"/>
  <c r="AG39" i="166"/>
  <c r="AG40" i="166"/>
  <c r="AG42" i="166"/>
  <c r="AG43" i="166"/>
  <c r="AG44" i="166"/>
  <c r="AG45" i="166"/>
  <c r="AG46" i="166"/>
  <c r="AG47" i="166"/>
  <c r="AG49" i="166"/>
  <c r="AG50" i="166"/>
  <c r="AG53" i="166"/>
  <c r="AG54" i="166"/>
  <c r="AG57" i="166"/>
  <c r="AG61" i="166"/>
  <c r="AG63" i="166"/>
  <c r="AG59" i="166"/>
  <c r="AG64" i="166"/>
  <c r="AG66" i="166"/>
  <c r="AG71" i="166"/>
  <c r="AG73" i="166"/>
  <c r="AG74" i="166"/>
  <c r="AG76" i="166"/>
  <c r="G17" i="110"/>
  <c r="G314" i="110"/>
  <c r="F323" i="110"/>
  <c r="G324" i="110"/>
  <c r="G325" i="110"/>
  <c r="G336" i="110"/>
  <c r="G416" i="110"/>
  <c r="V77" i="166"/>
  <c r="V11" i="70"/>
  <c r="V12" i="70"/>
  <c r="V9" i="70"/>
  <c r="V10" i="70"/>
  <c r="V13" i="70"/>
  <c r="F197" i="49"/>
  <c r="V15" i="70"/>
  <c r="F159" i="62"/>
  <c r="V16" i="70"/>
  <c r="V17" i="70"/>
  <c r="F445" i="39"/>
  <c r="V19" i="70"/>
  <c r="V20" i="70"/>
  <c r="F442" i="41"/>
  <c r="V23" i="70"/>
  <c r="V34" i="70"/>
  <c r="F172" i="46"/>
  <c r="V38" i="70"/>
  <c r="F152" i="48"/>
  <c r="F215" i="48"/>
  <c r="V39" i="70"/>
  <c r="V40" i="70"/>
  <c r="V42" i="70"/>
  <c r="V43" i="70"/>
  <c r="V44" i="70"/>
  <c r="V45" i="70"/>
  <c r="V46" i="70"/>
  <c r="V47" i="70"/>
  <c r="V49" i="70"/>
  <c r="V50" i="70"/>
  <c r="V53" i="70"/>
  <c r="V54" i="70"/>
  <c r="V57" i="70"/>
  <c r="F167" i="140"/>
  <c r="V61" i="70"/>
  <c r="V63" i="70"/>
  <c r="V59" i="70"/>
  <c r="V64" i="70"/>
  <c r="V71" i="70"/>
  <c r="V73" i="70"/>
  <c r="V74" i="70"/>
  <c r="AE11" i="70"/>
  <c r="AE12" i="70"/>
  <c r="AE9" i="70"/>
  <c r="AE10" i="70"/>
  <c r="AE13" i="70"/>
  <c r="AE15" i="70"/>
  <c r="AE16" i="70"/>
  <c r="AE17" i="70"/>
  <c r="AE19" i="70"/>
  <c r="AE20" i="70"/>
  <c r="AE22" i="70"/>
  <c r="AE23" i="70"/>
  <c r="AE24" i="70"/>
  <c r="AE28" i="70"/>
  <c r="F19" i="113"/>
  <c r="F307" i="113"/>
  <c r="F316" i="113"/>
  <c r="F345" i="113"/>
  <c r="F346" i="113" a="1"/>
  <c r="F346" i="113"/>
  <c r="F28" i="113"/>
  <c r="F308" i="113"/>
  <c r="F317" i="113"/>
  <c r="F351" i="113"/>
  <c r="F352" i="113" a="1"/>
  <c r="F352" i="113"/>
  <c r="F37" i="113"/>
  <c r="F309" i="113"/>
  <c r="F110" i="113"/>
  <c r="F318" i="113"/>
  <c r="F357" i="113"/>
  <c r="F358" i="113" a="1"/>
  <c r="F358" i="113"/>
  <c r="F364" i="113"/>
  <c r="F347" i="113"/>
  <c r="F353" i="113"/>
  <c r="F359" i="113"/>
  <c r="F365" i="113"/>
  <c r="F369" i="113"/>
  <c r="F530" i="113"/>
  <c r="AE34" i="70"/>
  <c r="F402" i="112"/>
  <c r="F403" i="112"/>
  <c r="F405" i="112"/>
  <c r="F407" i="112"/>
  <c r="F408" i="112"/>
  <c r="F410" i="112"/>
  <c r="F412" i="112"/>
  <c r="F414" i="112"/>
  <c r="F423" i="112"/>
  <c r="F547" i="112"/>
  <c r="AE35" i="70"/>
  <c r="AE36" i="70"/>
  <c r="AE38" i="70"/>
  <c r="AE39" i="70"/>
  <c r="AE40" i="70"/>
  <c r="AE42" i="70"/>
  <c r="AE43" i="70"/>
  <c r="AE44" i="70"/>
  <c r="AE45" i="70"/>
  <c r="AE46" i="70"/>
  <c r="AE47" i="70"/>
  <c r="AE49" i="70"/>
  <c r="AE50" i="70"/>
  <c r="AE53" i="70"/>
  <c r="AE54" i="70"/>
  <c r="AE57" i="70"/>
  <c r="AE61" i="70"/>
  <c r="AE63" i="70"/>
  <c r="AE59" i="70"/>
  <c r="AE64" i="70"/>
  <c r="AE66" i="70"/>
  <c r="AE71" i="70"/>
  <c r="AE73" i="70"/>
  <c r="AE74" i="70"/>
  <c r="AE76" i="70"/>
  <c r="F15" i="110"/>
  <c r="F243" i="110"/>
  <c r="F253" i="110"/>
  <c r="F254" i="110"/>
  <c r="AF11" i="70"/>
  <c r="AF12" i="70"/>
  <c r="AF9" i="70"/>
  <c r="AF10" i="70"/>
  <c r="AF13" i="70"/>
  <c r="AF15" i="70"/>
  <c r="AF16" i="70"/>
  <c r="AF17" i="70"/>
  <c r="AF19" i="70"/>
  <c r="AF20" i="70"/>
  <c r="AF22" i="70"/>
  <c r="AF23" i="70"/>
  <c r="AF24" i="70"/>
  <c r="AF28" i="70"/>
  <c r="F331" i="113"/>
  <c r="F375" i="113"/>
  <c r="F101" i="113"/>
  <c r="F376" i="113"/>
  <c r="F332" i="113"/>
  <c r="F378" i="113"/>
  <c r="F379" i="113"/>
  <c r="F382" i="113"/>
  <c r="F415" i="113"/>
  <c r="F531" i="113"/>
  <c r="AF34" i="70"/>
  <c r="F420" i="112"/>
  <c r="F424" i="112"/>
  <c r="F548" i="112"/>
  <c r="AF35" i="70"/>
  <c r="AF36" i="70"/>
  <c r="AF38" i="70"/>
  <c r="AF39" i="70"/>
  <c r="AF40" i="70"/>
  <c r="AF42" i="70"/>
  <c r="AF43" i="70"/>
  <c r="AF44" i="70"/>
  <c r="AF45" i="70"/>
  <c r="AF46" i="70"/>
  <c r="AF47" i="70"/>
  <c r="AF49" i="70"/>
  <c r="AF50" i="70"/>
  <c r="AF53" i="70"/>
  <c r="AF54" i="70"/>
  <c r="AF57" i="70"/>
  <c r="AF61" i="70"/>
  <c r="AF63" i="70"/>
  <c r="AF59" i="70"/>
  <c r="AF64" i="70"/>
  <c r="AF66" i="70"/>
  <c r="AF71" i="70"/>
  <c r="AF73" i="70"/>
  <c r="AF74" i="70"/>
  <c r="AF76" i="70"/>
  <c r="F16" i="110"/>
  <c r="F261" i="110"/>
  <c r="F271" i="110"/>
  <c r="F272" i="110"/>
  <c r="AC11" i="70"/>
  <c r="AC12" i="70"/>
  <c r="AC9" i="70"/>
  <c r="AC10" i="70"/>
  <c r="AC13" i="70"/>
  <c r="AC15" i="70"/>
  <c r="AC16" i="70"/>
  <c r="AC17" i="70"/>
  <c r="AC19" i="70"/>
  <c r="AC20" i="70"/>
  <c r="AC22" i="70"/>
  <c r="AC23" i="70"/>
  <c r="AC24" i="70"/>
  <c r="AC28" i="70"/>
  <c r="AC34" i="70"/>
  <c r="F47" i="112"/>
  <c r="F302" i="112"/>
  <c r="F389" i="112"/>
  <c r="F391" i="112"/>
  <c r="F397" i="112"/>
  <c r="F546" i="112"/>
  <c r="AC35" i="70"/>
  <c r="AC36" i="70"/>
  <c r="AC38" i="70"/>
  <c r="AC39" i="70"/>
  <c r="AC40" i="70"/>
  <c r="AC42" i="70"/>
  <c r="AC43" i="70"/>
  <c r="AC44" i="70"/>
  <c r="AC45" i="70"/>
  <c r="AC46" i="70"/>
  <c r="AC47" i="70"/>
  <c r="AC49" i="70"/>
  <c r="AC50" i="70"/>
  <c r="AC53" i="70"/>
  <c r="AC54" i="70"/>
  <c r="AC57" i="70"/>
  <c r="AC61" i="70"/>
  <c r="AC63" i="70"/>
  <c r="AC59" i="70"/>
  <c r="AC64" i="70"/>
  <c r="AC66" i="70"/>
  <c r="AC71" i="70"/>
  <c r="AC73" i="70"/>
  <c r="AC74" i="70"/>
  <c r="AC76" i="70"/>
  <c r="F18" i="110"/>
  <c r="F279" i="110"/>
  <c r="F289" i="110"/>
  <c r="F290" i="110"/>
  <c r="AD11" i="70"/>
  <c r="AD12" i="70"/>
  <c r="AD9" i="70"/>
  <c r="AD10" i="70"/>
  <c r="AD13" i="70"/>
  <c r="AD15" i="70"/>
  <c r="AD16" i="70"/>
  <c r="AD17" i="70"/>
  <c r="AD19" i="70"/>
  <c r="AD20" i="70"/>
  <c r="AD22" i="70"/>
  <c r="AD23" i="70"/>
  <c r="AD24" i="70"/>
  <c r="AD28" i="70"/>
  <c r="AD34" i="70"/>
  <c r="F379" i="112"/>
  <c r="F381" i="112"/>
  <c r="F384" i="112"/>
  <c r="F545" i="112"/>
  <c r="AD35" i="70"/>
  <c r="AD36" i="70"/>
  <c r="AD38" i="70"/>
  <c r="AD39" i="70"/>
  <c r="AD40" i="70"/>
  <c r="AD42" i="70"/>
  <c r="AD43" i="70"/>
  <c r="AD44" i="70"/>
  <c r="AD45" i="70"/>
  <c r="AD46" i="70"/>
  <c r="AD47" i="70"/>
  <c r="AD49" i="70"/>
  <c r="AD50" i="70"/>
  <c r="AD53" i="70"/>
  <c r="AD54" i="70"/>
  <c r="AD57" i="70"/>
  <c r="AD61" i="70"/>
  <c r="AD63" i="70"/>
  <c r="AD59" i="70"/>
  <c r="AD64" i="70"/>
  <c r="AD66" i="70"/>
  <c r="AD71" i="70"/>
  <c r="AD73" i="70"/>
  <c r="AD74" i="70"/>
  <c r="AD76" i="70"/>
  <c r="F19" i="110"/>
  <c r="F296" i="110"/>
  <c r="F307" i="110"/>
  <c r="AG11" i="70"/>
  <c r="AG12" i="70"/>
  <c r="AG9" i="70"/>
  <c r="AG10" i="70"/>
  <c r="AG13" i="70"/>
  <c r="AG15" i="70"/>
  <c r="AG16" i="70"/>
  <c r="AG17" i="70"/>
  <c r="AG19" i="70"/>
  <c r="AG20" i="70"/>
  <c r="AG22" i="70"/>
  <c r="AG23" i="70"/>
  <c r="AG24" i="70"/>
  <c r="AG28" i="70"/>
  <c r="F137" i="113"/>
  <c r="F390" i="113"/>
  <c r="F391" i="113"/>
  <c r="F397" i="113"/>
  <c r="F532" i="113"/>
  <c r="AG34" i="70"/>
  <c r="AG35" i="70"/>
  <c r="AG36" i="70"/>
  <c r="AG38" i="70"/>
  <c r="AG39" i="70"/>
  <c r="AG40" i="70"/>
  <c r="AG42" i="70"/>
  <c r="AG43" i="70"/>
  <c r="AG44" i="70"/>
  <c r="AG45" i="70"/>
  <c r="AG46" i="70"/>
  <c r="AG47" i="70"/>
  <c r="AG49" i="70"/>
  <c r="AG50" i="70"/>
  <c r="AG53" i="70"/>
  <c r="AG54" i="70"/>
  <c r="AG57" i="70"/>
  <c r="AG61" i="70"/>
  <c r="AG63" i="70"/>
  <c r="AG59" i="70"/>
  <c r="AG64" i="70"/>
  <c r="AG66" i="70"/>
  <c r="AG71" i="70"/>
  <c r="AG73" i="70"/>
  <c r="AG74" i="70"/>
  <c r="AG76" i="70"/>
  <c r="F17" i="110"/>
  <c r="F314" i="110"/>
  <c r="F324" i="110"/>
  <c r="F325" i="110"/>
  <c r="F336" i="110"/>
  <c r="F416" i="110"/>
  <c r="V77" i="70"/>
  <c r="BM84" i="166"/>
  <c r="BN11" i="166"/>
  <c r="BN12" i="166"/>
  <c r="BN9" i="166"/>
  <c r="BN10" i="166"/>
  <c r="BN13" i="166"/>
  <c r="BN15" i="166"/>
  <c r="BN16" i="166"/>
  <c r="BN17" i="166"/>
  <c r="BN19" i="166"/>
  <c r="BN20" i="166"/>
  <c r="BN22" i="166"/>
  <c r="BN23" i="166"/>
  <c r="BN24" i="166"/>
  <c r="BN28" i="166"/>
  <c r="BN34" i="166"/>
  <c r="BN35" i="166"/>
  <c r="BN36" i="166"/>
  <c r="BN38" i="166"/>
  <c r="BN39" i="166"/>
  <c r="BN40" i="166"/>
  <c r="BN42" i="166"/>
  <c r="BN43" i="166"/>
  <c r="BN44" i="166"/>
  <c r="BN45" i="166"/>
  <c r="BN46" i="166"/>
  <c r="BN47" i="166"/>
  <c r="BN49" i="166"/>
  <c r="BN50" i="166"/>
  <c r="BN53" i="166"/>
  <c r="BN54" i="166"/>
  <c r="BN57" i="166"/>
  <c r="BN61" i="166"/>
  <c r="BN63" i="166"/>
  <c r="BN59" i="166"/>
  <c r="BN64" i="166"/>
  <c r="BN66" i="166"/>
  <c r="BN71" i="166"/>
  <c r="BN73" i="166"/>
  <c r="BN74" i="166"/>
  <c r="BN77" i="166"/>
  <c r="BN79" i="166"/>
  <c r="BN80" i="166"/>
  <c r="BN83" i="166"/>
  <c r="BN84" i="166"/>
  <c r="BN85" i="166"/>
  <c r="BN87" i="166"/>
  <c r="BN90" i="166"/>
  <c r="BO11" i="166"/>
  <c r="BO12" i="166"/>
  <c r="BO9" i="166"/>
  <c r="BO10" i="166"/>
  <c r="BO13" i="166"/>
  <c r="BO15" i="166"/>
  <c r="BO16" i="166"/>
  <c r="BO17" i="166"/>
  <c r="BO19" i="166"/>
  <c r="BO20" i="166"/>
  <c r="BO22" i="166"/>
  <c r="BO23" i="166"/>
  <c r="BO24" i="166"/>
  <c r="BO28" i="166"/>
  <c r="BO34" i="166"/>
  <c r="BO35" i="166"/>
  <c r="BO36" i="166"/>
  <c r="BO38" i="166"/>
  <c r="BO39" i="166"/>
  <c r="BO40" i="166"/>
  <c r="BO42" i="166"/>
  <c r="BO43" i="166"/>
  <c r="BO44" i="166"/>
  <c r="BO45" i="166"/>
  <c r="BO46" i="166"/>
  <c r="BO47" i="166"/>
  <c r="BO49" i="166"/>
  <c r="BO50" i="166"/>
  <c r="BO53" i="166"/>
  <c r="BO54" i="166"/>
  <c r="BO57" i="166"/>
  <c r="BO61" i="166"/>
  <c r="BO63" i="166"/>
  <c r="BO59" i="166"/>
  <c r="BO64" i="166"/>
  <c r="BO66" i="166"/>
  <c r="BO71" i="166"/>
  <c r="BO73" i="166"/>
  <c r="BO74" i="166"/>
  <c r="BO77" i="166"/>
  <c r="BO79" i="166"/>
  <c r="BO80" i="166"/>
  <c r="BO83" i="166"/>
  <c r="BO84" i="166"/>
  <c r="BO85" i="166"/>
  <c r="BO87" i="166"/>
  <c r="BO90" i="166"/>
  <c r="BH11" i="167"/>
  <c r="BH12" i="167"/>
  <c r="BH9" i="167"/>
  <c r="BH10" i="167"/>
  <c r="BH13" i="167"/>
  <c r="H272" i="41"/>
  <c r="H274" i="41"/>
  <c r="H279" i="41"/>
  <c r="H280" i="41"/>
  <c r="H281" i="41"/>
  <c r="H297" i="41"/>
  <c r="H299" i="41"/>
  <c r="H306" i="41"/>
  <c r="H285" i="41"/>
  <c r="H286" i="41"/>
  <c r="H287" i="41"/>
  <c r="H311" i="41"/>
  <c r="H481" i="41"/>
  <c r="BH23" i="167"/>
  <c r="BH34" i="167"/>
  <c r="AK11" i="167"/>
  <c r="AK12" i="167"/>
  <c r="AK9" i="167"/>
  <c r="AK10" i="167"/>
  <c r="AK13" i="167"/>
  <c r="AK15" i="167"/>
  <c r="AK16" i="167"/>
  <c r="AK17" i="167"/>
  <c r="AK19" i="167"/>
  <c r="AK20" i="167"/>
  <c r="AK22" i="167"/>
  <c r="AK23" i="167"/>
  <c r="AK24" i="167"/>
  <c r="AK28" i="167"/>
  <c r="AK34" i="167"/>
  <c r="AK35" i="167"/>
  <c r="AK36" i="167"/>
  <c r="AK38" i="167"/>
  <c r="H31" i="48"/>
  <c r="H32" i="48"/>
  <c r="H50" i="48"/>
  <c r="H155" i="48"/>
  <c r="H220" i="48"/>
  <c r="AK39" i="167"/>
  <c r="AK40" i="167"/>
  <c r="AK42" i="167"/>
  <c r="AK43" i="167"/>
  <c r="AK44" i="167"/>
  <c r="AK45" i="167"/>
  <c r="AK46" i="167"/>
  <c r="AK47" i="167"/>
  <c r="AK49" i="167"/>
  <c r="AK50" i="167"/>
  <c r="AK53" i="167"/>
  <c r="AK54" i="167"/>
  <c r="AK57" i="167"/>
  <c r="AK61" i="167"/>
  <c r="AK63" i="167"/>
  <c r="AK59" i="167"/>
  <c r="AK64" i="167"/>
  <c r="AK66" i="167"/>
  <c r="AK71" i="167"/>
  <c r="AK73" i="167"/>
  <c r="AK74" i="167"/>
  <c r="AK77" i="167"/>
  <c r="AK79" i="167"/>
  <c r="AK80" i="167"/>
  <c r="AK83" i="167"/>
  <c r="AK85" i="167"/>
  <c r="AK87" i="167"/>
  <c r="AK90" i="167"/>
  <c r="H9" i="46"/>
  <c r="H97" i="46"/>
  <c r="H120" i="46"/>
  <c r="H102" i="46"/>
  <c r="H122" i="46"/>
  <c r="H17" i="46"/>
  <c r="H121" i="46"/>
  <c r="H123" i="46"/>
  <c r="H126" i="46"/>
  <c r="H127" i="46"/>
  <c r="H128" i="46"/>
  <c r="H33" i="46"/>
  <c r="H132" i="46"/>
  <c r="H34" i="46"/>
  <c r="H133" i="46"/>
  <c r="H137" i="46"/>
  <c r="H184" i="46"/>
  <c r="BH38" i="167"/>
  <c r="H158" i="48"/>
  <c r="H164" i="48"/>
  <c r="H232" i="48"/>
  <c r="BH39" i="167"/>
  <c r="BH40" i="167"/>
  <c r="BH42" i="167"/>
  <c r="BH43" i="167"/>
  <c r="BH44" i="167"/>
  <c r="BH45" i="167"/>
  <c r="BH46" i="167"/>
  <c r="BH47" i="167"/>
  <c r="BH49" i="167"/>
  <c r="BH50" i="167"/>
  <c r="BH53" i="167"/>
  <c r="BH54" i="167"/>
  <c r="H18" i="157"/>
  <c r="H19" i="157"/>
  <c r="H102" i="157"/>
  <c r="H103" i="157"/>
  <c r="H104" i="157"/>
  <c r="H105" i="157"/>
  <c r="H107" i="157"/>
  <c r="H108" i="157"/>
  <c r="H109" i="157"/>
  <c r="H110" i="157"/>
  <c r="H114" i="157"/>
  <c r="H178" i="157"/>
  <c r="BH57" i="167"/>
  <c r="H19" i="140"/>
  <c r="H20" i="140"/>
  <c r="H95" i="140"/>
  <c r="H104" i="140"/>
  <c r="H105" i="140"/>
  <c r="H106" i="140"/>
  <c r="H107" i="140"/>
  <c r="H109" i="140"/>
  <c r="H110" i="140"/>
  <c r="H111" i="140"/>
  <c r="H112" i="140"/>
  <c r="H113" i="140"/>
  <c r="H116" i="140"/>
  <c r="H178" i="140"/>
  <c r="BH61" i="167"/>
  <c r="H20" i="138"/>
  <c r="H75" i="138"/>
  <c r="H69" i="138"/>
  <c r="H76" i="138"/>
  <c r="H80" i="138"/>
  <c r="H111" i="138"/>
  <c r="R11" i="167"/>
  <c r="R12" i="167"/>
  <c r="H21" i="137"/>
  <c r="H82" i="137"/>
  <c r="C9" i="35"/>
  <c r="D9" i="35"/>
  <c r="H83" i="137"/>
  <c r="H65" i="137"/>
  <c r="H84" i="137"/>
  <c r="H85" i="137"/>
  <c r="H89" i="137"/>
  <c r="H135" i="137"/>
  <c r="R9" i="167"/>
  <c r="R10" i="167"/>
  <c r="R13" i="167"/>
  <c r="H29" i="49"/>
  <c r="H113" i="49"/>
  <c r="H114" i="49"/>
  <c r="H115" i="49"/>
  <c r="H93" i="49"/>
  <c r="H116" i="49"/>
  <c r="H21" i="49"/>
  <c r="H124" i="49"/>
  <c r="H125" i="49"/>
  <c r="H126" i="49"/>
  <c r="H127" i="49"/>
  <c r="H131" i="49"/>
  <c r="H195" i="49"/>
  <c r="R15" i="167"/>
  <c r="H28" i="62"/>
  <c r="H101" i="62"/>
  <c r="H92" i="62"/>
  <c r="H102" i="62"/>
  <c r="H20" i="62"/>
  <c r="H110" i="62"/>
  <c r="H111" i="62"/>
  <c r="H115" i="62"/>
  <c r="H157" i="62"/>
  <c r="R16" i="167"/>
  <c r="R17" i="167"/>
  <c r="H176" i="39"/>
  <c r="H184" i="39"/>
  <c r="H235" i="39"/>
  <c r="H177" i="39"/>
  <c r="H185" i="39"/>
  <c r="H236" i="39"/>
  <c r="H178" i="39"/>
  <c r="H186" i="39"/>
  <c r="H237" i="39"/>
  <c r="H179" i="39"/>
  <c r="H187" i="39"/>
  <c r="H238" i="39"/>
  <c r="H239" i="39"/>
  <c r="H193" i="39"/>
  <c r="H242" i="39"/>
  <c r="H442" i="39"/>
  <c r="R19" i="167"/>
  <c r="R20" i="167"/>
  <c r="H27" i="41"/>
  <c r="H276" i="41"/>
  <c r="H291" i="41"/>
  <c r="H93" i="41"/>
  <c r="H292" i="41"/>
  <c r="H293" i="41"/>
  <c r="H301" i="41"/>
  <c r="H440" i="41"/>
  <c r="R23" i="167"/>
  <c r="R34" i="167"/>
  <c r="R77" i="167"/>
  <c r="R79" i="167"/>
  <c r="R80" i="167"/>
  <c r="H32" i="46"/>
  <c r="H131" i="46"/>
  <c r="H170" i="46"/>
  <c r="R38" i="167"/>
  <c r="H23" i="48"/>
  <c r="H24" i="48"/>
  <c r="H49" i="48"/>
  <c r="H149" i="48"/>
  <c r="H150" i="48"/>
  <c r="H157" i="48"/>
  <c r="H213" i="48"/>
  <c r="R39" i="167"/>
  <c r="R40" i="167"/>
  <c r="R71" i="167"/>
  <c r="R73" i="167"/>
  <c r="R74" i="167"/>
  <c r="R42" i="167"/>
  <c r="R43" i="167"/>
  <c r="R44" i="167"/>
  <c r="R45" i="167"/>
  <c r="R46" i="167"/>
  <c r="R47" i="167"/>
  <c r="R49" i="167"/>
  <c r="R50" i="167"/>
  <c r="R53" i="167"/>
  <c r="R54" i="167"/>
  <c r="R57" i="167"/>
  <c r="R59" i="167"/>
  <c r="R61" i="167"/>
  <c r="S11" i="167"/>
  <c r="S12" i="167"/>
  <c r="S9" i="167"/>
  <c r="S10" i="167"/>
  <c r="S13" i="167"/>
  <c r="S15" i="167"/>
  <c r="S16" i="167"/>
  <c r="S17" i="167"/>
  <c r="S19" i="167"/>
  <c r="S20" i="167"/>
  <c r="S22" i="167"/>
  <c r="S23" i="167"/>
  <c r="S24" i="167"/>
  <c r="S28" i="167"/>
  <c r="S34" i="167"/>
  <c r="S35" i="167"/>
  <c r="S36" i="167"/>
  <c r="S77" i="167"/>
  <c r="S79" i="167"/>
  <c r="S80" i="167"/>
  <c r="S38" i="167"/>
  <c r="S39" i="167"/>
  <c r="S40" i="167"/>
  <c r="H20" i="31"/>
  <c r="H15" i="31"/>
  <c r="H137" i="31"/>
  <c r="H47" i="31"/>
  <c r="H48" i="31"/>
  <c r="H59" i="31"/>
  <c r="H131" i="31"/>
  <c r="H150" i="31"/>
  <c r="S71" i="167"/>
  <c r="H18" i="142"/>
  <c r="H19" i="142"/>
  <c r="H27" i="142"/>
  <c r="H28" i="142"/>
  <c r="H81" i="142"/>
  <c r="H85" i="142"/>
  <c r="H86" i="142"/>
  <c r="H87" i="142"/>
  <c r="H88" i="142"/>
  <c r="H115" i="142"/>
  <c r="S42" i="167"/>
  <c r="H19" i="143"/>
  <c r="H20" i="143"/>
  <c r="H71" i="143"/>
  <c r="H75" i="143"/>
  <c r="H76" i="143"/>
  <c r="H77" i="143"/>
  <c r="H79" i="143"/>
  <c r="H111" i="143"/>
  <c r="S43" i="167"/>
  <c r="H19" i="144"/>
  <c r="H20" i="144"/>
  <c r="H71" i="144"/>
  <c r="H75" i="144"/>
  <c r="H76" i="144"/>
  <c r="H77" i="144"/>
  <c r="H79" i="144"/>
  <c r="H111" i="144"/>
  <c r="S44" i="167"/>
  <c r="H19" i="147"/>
  <c r="H20" i="147"/>
  <c r="H63" i="147"/>
  <c r="H68" i="147"/>
  <c r="H69" i="147"/>
  <c r="H70" i="147"/>
  <c r="H71" i="147"/>
  <c r="H107" i="147"/>
  <c r="S45" i="167"/>
  <c r="H19" i="146"/>
  <c r="H20" i="146"/>
  <c r="H65" i="146"/>
  <c r="H70" i="146"/>
  <c r="H71" i="146"/>
  <c r="H72" i="146"/>
  <c r="H73" i="146"/>
  <c r="H109" i="146"/>
  <c r="S46" i="167"/>
  <c r="S47" i="167"/>
  <c r="H19" i="145"/>
  <c r="H20" i="145"/>
  <c r="H63" i="145"/>
  <c r="H68" i="145"/>
  <c r="H69" i="145"/>
  <c r="H70" i="145"/>
  <c r="H71" i="145"/>
  <c r="H109" i="145"/>
  <c r="S49" i="167"/>
  <c r="S50" i="167"/>
  <c r="H18" i="141"/>
  <c r="H19" i="141"/>
  <c r="H28" i="141"/>
  <c r="H93" i="141"/>
  <c r="H97" i="141"/>
  <c r="H98" i="141"/>
  <c r="H99" i="141"/>
  <c r="H100" i="141"/>
  <c r="H103" i="141"/>
  <c r="H140" i="141"/>
  <c r="S53" i="167"/>
  <c r="S54" i="167"/>
  <c r="H166" i="157"/>
  <c r="S57" i="167"/>
  <c r="H19" i="139"/>
  <c r="H20" i="139"/>
  <c r="H98" i="139"/>
  <c r="H99" i="139"/>
  <c r="H100" i="139"/>
  <c r="H101" i="139"/>
  <c r="H103" i="139"/>
  <c r="H158" i="139"/>
  <c r="S59" i="167"/>
  <c r="H166" i="140"/>
  <c r="S61" i="167"/>
  <c r="H104" i="139"/>
  <c r="H105" i="139"/>
  <c r="H106" i="139"/>
  <c r="H107" i="139"/>
  <c r="H111" i="139"/>
  <c r="H170" i="139"/>
  <c r="BH59" i="167"/>
  <c r="BH71" i="167"/>
  <c r="BH73" i="167"/>
  <c r="BH74" i="167"/>
  <c r="BH77" i="167"/>
  <c r="BH79" i="167"/>
  <c r="BH80" i="167"/>
  <c r="BH83" i="167"/>
  <c r="BH84" i="167"/>
  <c r="BH85" i="167"/>
  <c r="BH87" i="167"/>
  <c r="BI11" i="167"/>
  <c r="BI12" i="167"/>
  <c r="BI9" i="167"/>
  <c r="BI10" i="167"/>
  <c r="BI13" i="167"/>
  <c r="H94" i="49"/>
  <c r="H117" i="49"/>
  <c r="H132" i="49"/>
  <c r="H95" i="49"/>
  <c r="H118" i="49"/>
  <c r="H133" i="49"/>
  <c r="H96" i="49"/>
  <c r="H119" i="49"/>
  <c r="H134" i="49"/>
  <c r="H168" i="49" a="1"/>
  <c r="H168" i="49"/>
  <c r="H208" i="49"/>
  <c r="BI15" i="167"/>
  <c r="H93" i="62"/>
  <c r="H103" i="62"/>
  <c r="H116" i="62"/>
  <c r="H94" i="62"/>
  <c r="H104" i="62"/>
  <c r="H117" i="62"/>
  <c r="H95" i="62"/>
  <c r="H105" i="62"/>
  <c r="H118" i="62"/>
  <c r="H123" i="62" a="1"/>
  <c r="H123" i="62"/>
  <c r="H170" i="62"/>
  <c r="BI16" i="167"/>
  <c r="BI17" i="167"/>
  <c r="H194" i="39"/>
  <c r="H243" i="39"/>
  <c r="H195" i="39"/>
  <c r="H244" i="39"/>
  <c r="H196" i="39"/>
  <c r="H245" i="39"/>
  <c r="H197" i="39"/>
  <c r="H246" i="39"/>
  <c r="H344" i="39" a="1"/>
  <c r="H344" i="39"/>
  <c r="H456" i="39"/>
  <c r="BI19" i="167"/>
  <c r="BI20" i="167"/>
  <c r="H307" i="41"/>
  <c r="H312" i="41"/>
  <c r="H482" i="41"/>
  <c r="BI23" i="167"/>
  <c r="BI34" i="167"/>
  <c r="H138" i="46"/>
  <c r="H185" i="46"/>
  <c r="BI38" i="167"/>
  <c r="H165" i="48"/>
  <c r="H233" i="48"/>
  <c r="BI39" i="167"/>
  <c r="BI40" i="167"/>
  <c r="BI42" i="167"/>
  <c r="BI43" i="167"/>
  <c r="BI44" i="167"/>
  <c r="BI45" i="167"/>
  <c r="BI46" i="167"/>
  <c r="BI47" i="167"/>
  <c r="BI49" i="167"/>
  <c r="BI50" i="167"/>
  <c r="BI53" i="167"/>
  <c r="BI54" i="167"/>
  <c r="H115" i="157"/>
  <c r="H179" i="157"/>
  <c r="BI57" i="167"/>
  <c r="H117" i="140"/>
  <c r="H179" i="140"/>
  <c r="BI61" i="167"/>
  <c r="H112" i="139"/>
  <c r="H171" i="139"/>
  <c r="BI59" i="167"/>
  <c r="BI71" i="167"/>
  <c r="BI73" i="167"/>
  <c r="BI74" i="167"/>
  <c r="BI77" i="167"/>
  <c r="BI79" i="167"/>
  <c r="BI80" i="167"/>
  <c r="BI83" i="167"/>
  <c r="BI84" i="167"/>
  <c r="BI85" i="167"/>
  <c r="BI87" i="167"/>
  <c r="BJ11" i="167"/>
  <c r="BJ12" i="167"/>
  <c r="BJ9" i="167"/>
  <c r="BJ10" i="167"/>
  <c r="BJ13" i="167"/>
  <c r="H169" i="49" a="1"/>
  <c r="H169" i="49"/>
  <c r="H209" i="49"/>
  <c r="BJ15" i="167"/>
  <c r="H124" i="62" a="1"/>
  <c r="H124" i="62"/>
  <c r="H171" i="62"/>
  <c r="BJ16" i="167"/>
  <c r="BJ17" i="167"/>
  <c r="H345" i="39" a="1"/>
  <c r="H345" i="39"/>
  <c r="H457" i="39"/>
  <c r="BJ19" i="167"/>
  <c r="BJ20" i="167"/>
  <c r="H308" i="41"/>
  <c r="H313" i="41"/>
  <c r="H483" i="41"/>
  <c r="BJ23" i="167"/>
  <c r="BJ34" i="167"/>
  <c r="H139" i="46"/>
  <c r="H186" i="46"/>
  <c r="BJ38" i="167"/>
  <c r="H166" i="48"/>
  <c r="H234" i="48"/>
  <c r="BJ39" i="167"/>
  <c r="BJ40" i="167"/>
  <c r="BJ42" i="167"/>
  <c r="BJ43" i="167"/>
  <c r="BJ44" i="167"/>
  <c r="BJ45" i="167"/>
  <c r="BJ46" i="167"/>
  <c r="BJ47" i="167"/>
  <c r="BJ49" i="167"/>
  <c r="BJ50" i="167"/>
  <c r="BJ53" i="167"/>
  <c r="BJ54" i="167"/>
  <c r="H116" i="157"/>
  <c r="H180" i="157"/>
  <c r="BJ57" i="167"/>
  <c r="H118" i="140"/>
  <c r="H180" i="140"/>
  <c r="BJ61" i="167"/>
  <c r="H113" i="139"/>
  <c r="H172" i="139"/>
  <c r="BJ59" i="167"/>
  <c r="BJ71" i="167"/>
  <c r="BJ73" i="167"/>
  <c r="BJ74" i="167"/>
  <c r="BJ77" i="167"/>
  <c r="BJ79" i="167"/>
  <c r="BJ80" i="167"/>
  <c r="BJ83" i="167"/>
  <c r="BJ84" i="167"/>
  <c r="BJ85" i="167"/>
  <c r="BJ87" i="167"/>
  <c r="BK11" i="167"/>
  <c r="BK12" i="167"/>
  <c r="BK9" i="167"/>
  <c r="BK10" i="167"/>
  <c r="BK13" i="167"/>
  <c r="BK15" i="167"/>
  <c r="BK16" i="167"/>
  <c r="BK17" i="167"/>
  <c r="BK19" i="167"/>
  <c r="BK20" i="167"/>
  <c r="BK22" i="167"/>
  <c r="BK23" i="167"/>
  <c r="BK24" i="167"/>
  <c r="BK28" i="167"/>
  <c r="BK34" i="167"/>
  <c r="BK35" i="167"/>
  <c r="BK36" i="167"/>
  <c r="BK38" i="167"/>
  <c r="BK39" i="167"/>
  <c r="BK40" i="167"/>
  <c r="BK42" i="167"/>
  <c r="BK43" i="167"/>
  <c r="BK44" i="167"/>
  <c r="BK45" i="167"/>
  <c r="BK46" i="167"/>
  <c r="BK47" i="167"/>
  <c r="BK49" i="167"/>
  <c r="BK50" i="167"/>
  <c r="BK53" i="167"/>
  <c r="BK54" i="167"/>
  <c r="BK57" i="167"/>
  <c r="BK61" i="167"/>
  <c r="BK63" i="167"/>
  <c r="BK59" i="167"/>
  <c r="BK64" i="167"/>
  <c r="BK66" i="167"/>
  <c r="BK71" i="167"/>
  <c r="BK73" i="167"/>
  <c r="BK74" i="167"/>
  <c r="BK77" i="167"/>
  <c r="BK79" i="167"/>
  <c r="BK80" i="167"/>
  <c r="BK83" i="167"/>
  <c r="BK84" i="167"/>
  <c r="BK85" i="167"/>
  <c r="BK87" i="167"/>
  <c r="BK90" i="167"/>
  <c r="BL11" i="167"/>
  <c r="BL12" i="167"/>
  <c r="BL9" i="167"/>
  <c r="BL10" i="167"/>
  <c r="BL13" i="167"/>
  <c r="BL15" i="167"/>
  <c r="BL16" i="167"/>
  <c r="BL17" i="167"/>
  <c r="BL19" i="167"/>
  <c r="BL20" i="167"/>
  <c r="BL22" i="167"/>
  <c r="BL23" i="167"/>
  <c r="BL24" i="167"/>
  <c r="BL28" i="167"/>
  <c r="BL34" i="167"/>
  <c r="BL35" i="167"/>
  <c r="BL36" i="167"/>
  <c r="BL38" i="167"/>
  <c r="H162" i="48"/>
  <c r="H230" i="48"/>
  <c r="BL39" i="167"/>
  <c r="BL40" i="167"/>
  <c r="BL42" i="167"/>
  <c r="BL43" i="167"/>
  <c r="BL44" i="167"/>
  <c r="BL45" i="167"/>
  <c r="BL46" i="167"/>
  <c r="BL47" i="167"/>
  <c r="BL49" i="167"/>
  <c r="BL50" i="167"/>
  <c r="BL53" i="167"/>
  <c r="BL54" i="167"/>
  <c r="BL57" i="167"/>
  <c r="BL61" i="167"/>
  <c r="BL63" i="167"/>
  <c r="BL59" i="167"/>
  <c r="BL64" i="167"/>
  <c r="BL66" i="167"/>
  <c r="BL71" i="167"/>
  <c r="BL73" i="167"/>
  <c r="BL74" i="167"/>
  <c r="BL77" i="167"/>
  <c r="BL79" i="167"/>
  <c r="BL80" i="167"/>
  <c r="BL83" i="167"/>
  <c r="BL84" i="167"/>
  <c r="BL85" i="167"/>
  <c r="BL87" i="167"/>
  <c r="BL90" i="167"/>
  <c r="BM11" i="167"/>
  <c r="BM12" i="167"/>
  <c r="BM9" i="167"/>
  <c r="BM10" i="167"/>
  <c r="BM13" i="167"/>
  <c r="BM15" i="167"/>
  <c r="BM16" i="167"/>
  <c r="BM17" i="167"/>
  <c r="BM19" i="167"/>
  <c r="BM20" i="167"/>
  <c r="BM22" i="167"/>
  <c r="BM23" i="167"/>
  <c r="BM24" i="167"/>
  <c r="BM28" i="167"/>
  <c r="BM34" i="167"/>
  <c r="BM35" i="167"/>
  <c r="BM36" i="167"/>
  <c r="BM38" i="167"/>
  <c r="H161" i="48"/>
  <c r="H231" i="48"/>
  <c r="BM39" i="167"/>
  <c r="BM40" i="167"/>
  <c r="BM42" i="167"/>
  <c r="BM43" i="167"/>
  <c r="BM44" i="167"/>
  <c r="BM45" i="167"/>
  <c r="BM46" i="167"/>
  <c r="BM47" i="167"/>
  <c r="BM49" i="167"/>
  <c r="BM50" i="167"/>
  <c r="BM53" i="167"/>
  <c r="BM54" i="167"/>
  <c r="BM57" i="167"/>
  <c r="BM61" i="167"/>
  <c r="BM63" i="167"/>
  <c r="BM59" i="167"/>
  <c r="BM64" i="167"/>
  <c r="BM66" i="167"/>
  <c r="BM71" i="167"/>
  <c r="BM73" i="167"/>
  <c r="BM74" i="167"/>
  <c r="BM77" i="167"/>
  <c r="BM79" i="167"/>
  <c r="BM80" i="167"/>
  <c r="V11" i="167"/>
  <c r="V12" i="167"/>
  <c r="V9" i="167"/>
  <c r="V10" i="167"/>
  <c r="V13" i="167"/>
  <c r="H197" i="49"/>
  <c r="V15" i="167"/>
  <c r="H159" i="62"/>
  <c r="V16" i="167"/>
  <c r="V17" i="167"/>
  <c r="H445" i="39"/>
  <c r="V19" i="167"/>
  <c r="V20" i="167"/>
  <c r="H442" i="41"/>
  <c r="V23" i="167"/>
  <c r="V34" i="167"/>
  <c r="H172" i="46"/>
  <c r="V38" i="167"/>
  <c r="H152" i="48"/>
  <c r="H215" i="48"/>
  <c r="V39" i="167"/>
  <c r="V40" i="167"/>
  <c r="V42" i="167"/>
  <c r="V43" i="167"/>
  <c r="V44" i="167"/>
  <c r="V45" i="167"/>
  <c r="V46" i="167"/>
  <c r="V47" i="167"/>
  <c r="V49" i="167"/>
  <c r="V50" i="167"/>
  <c r="V53" i="167"/>
  <c r="V54" i="167"/>
  <c r="V57" i="167"/>
  <c r="H167" i="140"/>
  <c r="V61" i="167"/>
  <c r="V63" i="167"/>
  <c r="V59" i="167"/>
  <c r="V64" i="167"/>
  <c r="V71" i="167"/>
  <c r="V73" i="167"/>
  <c r="V74" i="167"/>
  <c r="AE11" i="167"/>
  <c r="AE12" i="167"/>
  <c r="AE9" i="167"/>
  <c r="AE10" i="167"/>
  <c r="AE13" i="167"/>
  <c r="AE15" i="167"/>
  <c r="AE16" i="167"/>
  <c r="AE17" i="167"/>
  <c r="AE19" i="167"/>
  <c r="AE20" i="167"/>
  <c r="AE22" i="167"/>
  <c r="AE23" i="167"/>
  <c r="AE24" i="167"/>
  <c r="AE28" i="167"/>
  <c r="H19" i="113"/>
  <c r="H307" i="113"/>
  <c r="H316" i="113"/>
  <c r="H345" i="113"/>
  <c r="H346" i="113" a="1"/>
  <c r="H346" i="113"/>
  <c r="H28" i="113"/>
  <c r="H308" i="113"/>
  <c r="H317" i="113"/>
  <c r="H351" i="113"/>
  <c r="H352" i="113" a="1"/>
  <c r="H352" i="113"/>
  <c r="H37" i="113"/>
  <c r="H309" i="113"/>
  <c r="H110" i="113"/>
  <c r="H318" i="113"/>
  <c r="H357" i="113"/>
  <c r="H358" i="113" a="1"/>
  <c r="H358" i="113"/>
  <c r="H364" i="113"/>
  <c r="H347" i="113"/>
  <c r="H353" i="113"/>
  <c r="H359" i="113"/>
  <c r="H365" i="113"/>
  <c r="H369" i="113"/>
  <c r="H530" i="113"/>
  <c r="AE34" i="167"/>
  <c r="H44" i="112"/>
  <c r="H299" i="112"/>
  <c r="H45" i="112"/>
  <c r="H300" i="112"/>
  <c r="H325" i="112"/>
  <c r="H402" i="112"/>
  <c r="H403" i="112"/>
  <c r="H405" i="112"/>
  <c r="H364" i="112"/>
  <c r="H326" i="112"/>
  <c r="H407" i="112"/>
  <c r="H408" i="112"/>
  <c r="H410" i="112"/>
  <c r="H412" i="112"/>
  <c r="H414" i="112"/>
  <c r="H423" i="112"/>
  <c r="H547" i="112"/>
  <c r="AE35" i="167"/>
  <c r="AE36" i="167"/>
  <c r="AE38" i="167"/>
  <c r="AE39" i="167"/>
  <c r="AE40" i="167"/>
  <c r="AE42" i="167"/>
  <c r="AE43" i="167"/>
  <c r="AE44" i="167"/>
  <c r="AE45" i="167"/>
  <c r="AE46" i="167"/>
  <c r="AE47" i="167"/>
  <c r="AE49" i="167"/>
  <c r="AE50" i="167"/>
  <c r="AE53" i="167"/>
  <c r="AE54" i="167"/>
  <c r="AE57" i="167"/>
  <c r="AE61" i="167"/>
  <c r="AE63" i="167"/>
  <c r="AE59" i="167"/>
  <c r="AE64" i="167"/>
  <c r="AE66" i="167"/>
  <c r="AE71" i="167"/>
  <c r="AE73" i="167"/>
  <c r="AE74" i="167"/>
  <c r="AE76" i="167"/>
  <c r="H15" i="110"/>
  <c r="H243" i="110"/>
  <c r="H253" i="110"/>
  <c r="H254" i="110"/>
  <c r="AF11" i="167"/>
  <c r="AF12" i="167"/>
  <c r="AF9" i="167"/>
  <c r="AF10" i="167"/>
  <c r="AF13" i="167"/>
  <c r="AF15" i="167"/>
  <c r="AF16" i="167"/>
  <c r="AF17" i="167"/>
  <c r="AF19" i="167"/>
  <c r="AF20" i="167"/>
  <c r="AF22" i="167"/>
  <c r="AF23" i="167"/>
  <c r="AF24" i="167"/>
  <c r="AF28" i="167"/>
  <c r="H331" i="113"/>
  <c r="H375" i="113"/>
  <c r="H101" i="113"/>
  <c r="H376" i="113"/>
  <c r="H332" i="113"/>
  <c r="H378" i="113"/>
  <c r="H379" i="113"/>
  <c r="H382" i="113"/>
  <c r="H119" i="113"/>
  <c r="H319" i="113"/>
  <c r="H407" i="113"/>
  <c r="H46" i="113"/>
  <c r="H310" i="113"/>
  <c r="H402" i="113"/>
  <c r="H408" i="113"/>
  <c r="H415" i="113"/>
  <c r="H531" i="113"/>
  <c r="AF34" i="167"/>
  <c r="H312" i="112"/>
  <c r="H314" i="112"/>
  <c r="H327" i="112"/>
  <c r="H416" i="112"/>
  <c r="H418" i="112"/>
  <c r="H420" i="112"/>
  <c r="H424" i="112"/>
  <c r="H548" i="112"/>
  <c r="AF35" i="167"/>
  <c r="AF36" i="167"/>
  <c r="AF38" i="167"/>
  <c r="AF39" i="167"/>
  <c r="AF40" i="167"/>
  <c r="AF42" i="167"/>
  <c r="AF43" i="167"/>
  <c r="AF44" i="167"/>
  <c r="AF45" i="167"/>
  <c r="AF46" i="167"/>
  <c r="AF47" i="167"/>
  <c r="AF49" i="167"/>
  <c r="AF50" i="167"/>
  <c r="AF53" i="167"/>
  <c r="AF54" i="167"/>
  <c r="AF57" i="167"/>
  <c r="AF61" i="167"/>
  <c r="AF63" i="167"/>
  <c r="AF59" i="167"/>
  <c r="AF64" i="167"/>
  <c r="AF66" i="167"/>
  <c r="AF71" i="167"/>
  <c r="AF73" i="167"/>
  <c r="AF74" i="167"/>
  <c r="AF76" i="167"/>
  <c r="H16" i="110"/>
  <c r="H261" i="110"/>
  <c r="H271" i="110"/>
  <c r="H272" i="110"/>
  <c r="AC11" i="167"/>
  <c r="AC12" i="167"/>
  <c r="AC9" i="167"/>
  <c r="AC10" i="167"/>
  <c r="AC13" i="167"/>
  <c r="AC15" i="167"/>
  <c r="AC16" i="167"/>
  <c r="AC17" i="167"/>
  <c r="AC19" i="167"/>
  <c r="AC20" i="167"/>
  <c r="AC22" i="167"/>
  <c r="AC23" i="167"/>
  <c r="AC24" i="167"/>
  <c r="AC28" i="167"/>
  <c r="AC34" i="167"/>
  <c r="H324" i="112"/>
  <c r="H46" i="112"/>
  <c r="H301" i="112"/>
  <c r="H47" i="112"/>
  <c r="H302" i="112"/>
  <c r="H389" i="112"/>
  <c r="H391" i="112"/>
  <c r="H397" i="112"/>
  <c r="H546" i="112"/>
  <c r="AC35" i="167"/>
  <c r="AC36" i="167"/>
  <c r="AC38" i="167"/>
  <c r="AC39" i="167"/>
  <c r="AC40" i="167"/>
  <c r="AC42" i="167"/>
  <c r="AC43" i="167"/>
  <c r="AC44" i="167"/>
  <c r="AC45" i="167"/>
  <c r="AC46" i="167"/>
  <c r="AC47" i="167"/>
  <c r="AC49" i="167"/>
  <c r="AC50" i="167"/>
  <c r="AC53" i="167"/>
  <c r="AC54" i="167"/>
  <c r="AC57" i="167"/>
  <c r="AC61" i="167"/>
  <c r="AC63" i="167"/>
  <c r="AC59" i="167"/>
  <c r="AC64" i="167"/>
  <c r="AC66" i="167"/>
  <c r="AC71" i="167"/>
  <c r="AC73" i="167"/>
  <c r="AC74" i="167"/>
  <c r="AC76" i="167"/>
  <c r="H18" i="110"/>
  <c r="H279" i="110"/>
  <c r="H289" i="110"/>
  <c r="H290" i="110"/>
  <c r="AD11" i="167"/>
  <c r="AD12" i="167"/>
  <c r="AD9" i="167"/>
  <c r="AD10" i="167"/>
  <c r="AD13" i="167"/>
  <c r="AD15" i="167"/>
  <c r="AD16" i="167"/>
  <c r="AD17" i="167"/>
  <c r="AD19" i="167"/>
  <c r="AD20" i="167"/>
  <c r="AD22" i="167"/>
  <c r="AD23" i="167"/>
  <c r="AD24" i="167"/>
  <c r="AD28" i="167"/>
  <c r="AD34" i="167"/>
  <c r="H323" i="112"/>
  <c r="H379" i="112"/>
  <c r="H381" i="112"/>
  <c r="H384" i="112"/>
  <c r="H545" i="112"/>
  <c r="AD35" i="167"/>
  <c r="AD36" i="167"/>
  <c r="AD38" i="167"/>
  <c r="AD39" i="167"/>
  <c r="AD40" i="167"/>
  <c r="AD42" i="167"/>
  <c r="AD43" i="167"/>
  <c r="AD44" i="167"/>
  <c r="AD45" i="167"/>
  <c r="AD46" i="167"/>
  <c r="AD47" i="167"/>
  <c r="AD49" i="167"/>
  <c r="AD50" i="167"/>
  <c r="AD53" i="167"/>
  <c r="AD54" i="167"/>
  <c r="AD57" i="167"/>
  <c r="AD61" i="167"/>
  <c r="AD63" i="167"/>
  <c r="AD59" i="167"/>
  <c r="AD64" i="167"/>
  <c r="AD66" i="167"/>
  <c r="AD71" i="167"/>
  <c r="AD73" i="167"/>
  <c r="AD74" i="167"/>
  <c r="AD76" i="167"/>
  <c r="H19" i="110"/>
  <c r="H296" i="110"/>
  <c r="H307" i="110"/>
  <c r="AG11" i="167"/>
  <c r="AG12" i="167"/>
  <c r="AG9" i="167"/>
  <c r="AG10" i="167"/>
  <c r="AG13" i="167"/>
  <c r="AG15" i="167"/>
  <c r="AG16" i="167"/>
  <c r="AG17" i="167"/>
  <c r="AG19" i="167"/>
  <c r="AG20" i="167"/>
  <c r="AG22" i="167"/>
  <c r="AG23" i="167"/>
  <c r="AG24" i="167"/>
  <c r="AG28" i="167"/>
  <c r="H55" i="113"/>
  <c r="H311" i="113"/>
  <c r="H388" i="113"/>
  <c r="H128" i="113"/>
  <c r="H389" i="113"/>
  <c r="H137" i="113"/>
  <c r="H390" i="113"/>
  <c r="H391" i="113"/>
  <c r="H397" i="113"/>
  <c r="H532" i="113"/>
  <c r="AG34" i="167"/>
  <c r="AG35" i="167"/>
  <c r="AG36" i="167"/>
  <c r="AG38" i="167"/>
  <c r="AG39" i="167"/>
  <c r="AG40" i="167"/>
  <c r="AG42" i="167"/>
  <c r="AG43" i="167"/>
  <c r="AG44" i="167"/>
  <c r="AG45" i="167"/>
  <c r="AG46" i="167"/>
  <c r="AG47" i="167"/>
  <c r="AG49" i="167"/>
  <c r="AG50" i="167"/>
  <c r="AG53" i="167"/>
  <c r="AG54" i="167"/>
  <c r="AG57" i="167"/>
  <c r="AG61" i="167"/>
  <c r="AG63" i="167"/>
  <c r="AG59" i="167"/>
  <c r="AG64" i="167"/>
  <c r="AG66" i="167"/>
  <c r="AG71" i="167"/>
  <c r="AG73" i="167"/>
  <c r="AG74" i="167"/>
  <c r="AG76" i="167"/>
  <c r="H17" i="110"/>
  <c r="H314" i="110"/>
  <c r="H324" i="110"/>
  <c r="H325" i="110"/>
  <c r="H336" i="110"/>
  <c r="H416" i="110"/>
  <c r="V77" i="167"/>
  <c r="BM84" i="167"/>
  <c r="BN11" i="167"/>
  <c r="BN12" i="167"/>
  <c r="BN9" i="167"/>
  <c r="BN10" i="167"/>
  <c r="BN13" i="167"/>
  <c r="BN15" i="167"/>
  <c r="BN16" i="167"/>
  <c r="BN17" i="167"/>
  <c r="BN19" i="167"/>
  <c r="BN20" i="167"/>
  <c r="BN22" i="167"/>
  <c r="BN23" i="167"/>
  <c r="BN24" i="167"/>
  <c r="BN28" i="167"/>
  <c r="BN34" i="167"/>
  <c r="BN35" i="167"/>
  <c r="BN36" i="167"/>
  <c r="BN38" i="167"/>
  <c r="BN39" i="167"/>
  <c r="BN40" i="167"/>
  <c r="BN42" i="167"/>
  <c r="BN43" i="167"/>
  <c r="BN44" i="167"/>
  <c r="BN45" i="167"/>
  <c r="BN46" i="167"/>
  <c r="BN47" i="167"/>
  <c r="BN49" i="167"/>
  <c r="BN50" i="167"/>
  <c r="BN53" i="167"/>
  <c r="BN54" i="167"/>
  <c r="BN57" i="167"/>
  <c r="BN61" i="167"/>
  <c r="BN63" i="167"/>
  <c r="BN59" i="167"/>
  <c r="BN64" i="167"/>
  <c r="BN66" i="167"/>
  <c r="BN71" i="167"/>
  <c r="BN73" i="167"/>
  <c r="BN74" i="167"/>
  <c r="BN77" i="167"/>
  <c r="BN79" i="167"/>
  <c r="BN80" i="167"/>
  <c r="BN83" i="167"/>
  <c r="BN84" i="167"/>
  <c r="BN85" i="167"/>
  <c r="BN87" i="167"/>
  <c r="BN90" i="167"/>
  <c r="BO11" i="167"/>
  <c r="BO12" i="167"/>
  <c r="BO9" i="167"/>
  <c r="BO10" i="167"/>
  <c r="BO13" i="167"/>
  <c r="BO15" i="167"/>
  <c r="BO16" i="167"/>
  <c r="BO17" i="167"/>
  <c r="BO19" i="167"/>
  <c r="BO20" i="167"/>
  <c r="BO22" i="167"/>
  <c r="BO23" i="167"/>
  <c r="BO24" i="167"/>
  <c r="BO28" i="167"/>
  <c r="BO34" i="167"/>
  <c r="BO35" i="167"/>
  <c r="BO36" i="167"/>
  <c r="BO38" i="167"/>
  <c r="BO39" i="167"/>
  <c r="BO40" i="167"/>
  <c r="BO42" i="167"/>
  <c r="BO43" i="167"/>
  <c r="BO44" i="167"/>
  <c r="BO45" i="167"/>
  <c r="BO46" i="167"/>
  <c r="BO47" i="167"/>
  <c r="BO49" i="167"/>
  <c r="BO50" i="167"/>
  <c r="BO53" i="167"/>
  <c r="BO54" i="167"/>
  <c r="BO57" i="167"/>
  <c r="BO61" i="167"/>
  <c r="BO63" i="167"/>
  <c r="BO59" i="167"/>
  <c r="BO64" i="167"/>
  <c r="BO66" i="167"/>
  <c r="BO71" i="167"/>
  <c r="BO73" i="167"/>
  <c r="BO74" i="167"/>
  <c r="BO77" i="167"/>
  <c r="BO79" i="167"/>
  <c r="BO80" i="167"/>
  <c r="BO83" i="167"/>
  <c r="BO84" i="167"/>
  <c r="BO85" i="167"/>
  <c r="BO87" i="167"/>
  <c r="BO90" i="167"/>
  <c r="BH11" i="168"/>
  <c r="BH12" i="168"/>
  <c r="BH9" i="168"/>
  <c r="BH10" i="168"/>
  <c r="BH13" i="168"/>
  <c r="I272" i="41"/>
  <c r="I274" i="41"/>
  <c r="I279" i="41"/>
  <c r="J75" i="41"/>
  <c r="I75" i="41"/>
  <c r="I280" i="41"/>
  <c r="I281" i="41"/>
  <c r="I297" i="41"/>
  <c r="I299" i="41"/>
  <c r="I306" i="41"/>
  <c r="I285" i="41"/>
  <c r="J84" i="41"/>
  <c r="I84" i="41"/>
  <c r="I286" i="41"/>
  <c r="I287" i="41"/>
  <c r="I311" i="41"/>
  <c r="I481" i="41"/>
  <c r="BH23" i="168"/>
  <c r="BH34" i="168"/>
  <c r="AK11" i="168"/>
  <c r="AK12" i="168"/>
  <c r="AK9" i="168"/>
  <c r="AK10" i="168"/>
  <c r="AK13" i="168"/>
  <c r="AK15" i="168"/>
  <c r="AK16" i="168"/>
  <c r="AK17" i="168"/>
  <c r="AK19" i="168"/>
  <c r="AK20" i="168"/>
  <c r="AK22" i="168"/>
  <c r="AK23" i="168"/>
  <c r="AK24" i="168"/>
  <c r="AK28" i="168"/>
  <c r="AK34" i="168"/>
  <c r="AK35" i="168"/>
  <c r="AK36" i="168"/>
  <c r="AK38" i="168"/>
  <c r="I31" i="48"/>
  <c r="I32" i="48"/>
  <c r="I50" i="48"/>
  <c r="I155" i="48"/>
  <c r="I220" i="48"/>
  <c r="AK39" i="168"/>
  <c r="AK40" i="168"/>
  <c r="AK42" i="168"/>
  <c r="AK43" i="168"/>
  <c r="AK44" i="168"/>
  <c r="AK45" i="168"/>
  <c r="AK46" i="168"/>
  <c r="AK47" i="168"/>
  <c r="AK49" i="168"/>
  <c r="AK50" i="168"/>
  <c r="AK53" i="168"/>
  <c r="AK54" i="168"/>
  <c r="AK57" i="168"/>
  <c r="AK61" i="168"/>
  <c r="AK63" i="168"/>
  <c r="AK59" i="168"/>
  <c r="AK64" i="168"/>
  <c r="AK66" i="168"/>
  <c r="AK71" i="168"/>
  <c r="AK73" i="168"/>
  <c r="AK74" i="168"/>
  <c r="AK77" i="168"/>
  <c r="AK79" i="168"/>
  <c r="AK80" i="168"/>
  <c r="AK83" i="168"/>
  <c r="AK85" i="168"/>
  <c r="AK87" i="168"/>
  <c r="AK90" i="168"/>
  <c r="I9" i="46"/>
  <c r="I97" i="46"/>
  <c r="I120" i="46"/>
  <c r="I102" i="46"/>
  <c r="I122" i="46"/>
  <c r="I17" i="46"/>
  <c r="I121" i="46"/>
  <c r="I123" i="46"/>
  <c r="I126" i="46"/>
  <c r="I127" i="46"/>
  <c r="I128" i="46"/>
  <c r="I33" i="46"/>
  <c r="I132" i="46"/>
  <c r="I34" i="46"/>
  <c r="I133" i="46"/>
  <c r="I137" i="46"/>
  <c r="I184" i="46"/>
  <c r="BH38" i="168"/>
  <c r="I158" i="48"/>
  <c r="I164" i="48"/>
  <c r="I232" i="48"/>
  <c r="BH39" i="168"/>
  <c r="BH40" i="168"/>
  <c r="BH42" i="168"/>
  <c r="BH43" i="168"/>
  <c r="BH44" i="168"/>
  <c r="BH45" i="168"/>
  <c r="BH46" i="168"/>
  <c r="BH47" i="168"/>
  <c r="BH49" i="168"/>
  <c r="BH50" i="168"/>
  <c r="BH53" i="168"/>
  <c r="BH54" i="168"/>
  <c r="I18" i="157"/>
  <c r="I19" i="157"/>
  <c r="I102" i="157"/>
  <c r="I103" i="157"/>
  <c r="I104" i="157"/>
  <c r="I105" i="157"/>
  <c r="I107" i="157"/>
  <c r="I108" i="157"/>
  <c r="I109" i="157"/>
  <c r="I110" i="157"/>
  <c r="I114" i="157"/>
  <c r="I178" i="157"/>
  <c r="BH57" i="168"/>
  <c r="I19" i="140"/>
  <c r="I20" i="140"/>
  <c r="I95" i="140"/>
  <c r="I104" i="140"/>
  <c r="I105" i="140"/>
  <c r="I106" i="140"/>
  <c r="I107" i="140"/>
  <c r="I109" i="140"/>
  <c r="I110" i="140"/>
  <c r="I111" i="140"/>
  <c r="I112" i="140"/>
  <c r="I113" i="140"/>
  <c r="I116" i="140"/>
  <c r="I178" i="140"/>
  <c r="BH61" i="168"/>
  <c r="I20" i="138"/>
  <c r="I75" i="138"/>
  <c r="I69" i="138"/>
  <c r="I76" i="138"/>
  <c r="I80" i="138"/>
  <c r="I111" i="138"/>
  <c r="R11" i="168"/>
  <c r="R12" i="168"/>
  <c r="I21" i="137"/>
  <c r="I82" i="137"/>
  <c r="C10" i="35"/>
  <c r="D10" i="35"/>
  <c r="I83" i="137"/>
  <c r="I65" i="137"/>
  <c r="I84" i="137"/>
  <c r="I85" i="137"/>
  <c r="I89" i="137"/>
  <c r="I135" i="137"/>
  <c r="R9" i="168"/>
  <c r="R10" i="168"/>
  <c r="R13" i="168"/>
  <c r="I29" i="49"/>
  <c r="I113" i="49"/>
  <c r="I114" i="49"/>
  <c r="I115" i="49"/>
  <c r="I93" i="49"/>
  <c r="I116" i="49"/>
  <c r="I21" i="49"/>
  <c r="I124" i="49"/>
  <c r="I125" i="49"/>
  <c r="I126" i="49"/>
  <c r="I127" i="49"/>
  <c r="I131" i="49"/>
  <c r="I195" i="49"/>
  <c r="R15" i="168"/>
  <c r="I28" i="62"/>
  <c r="I101" i="62"/>
  <c r="I92" i="62"/>
  <c r="I102" i="62"/>
  <c r="I20" i="62"/>
  <c r="I110" i="62"/>
  <c r="I111" i="62"/>
  <c r="I115" i="62"/>
  <c r="I157" i="62"/>
  <c r="R16" i="168"/>
  <c r="R17" i="168"/>
  <c r="I176" i="39"/>
  <c r="I184" i="39"/>
  <c r="I235" i="39"/>
  <c r="I177" i="39"/>
  <c r="I185" i="39"/>
  <c r="I236" i="39"/>
  <c r="I178" i="39"/>
  <c r="I186" i="39"/>
  <c r="I237" i="39"/>
  <c r="I179" i="39"/>
  <c r="I187" i="39"/>
  <c r="I238" i="39"/>
  <c r="I239" i="39"/>
  <c r="I193" i="39"/>
  <c r="I242" i="39"/>
  <c r="I442" i="39"/>
  <c r="R19" i="168"/>
  <c r="R20" i="168"/>
  <c r="I27" i="41"/>
  <c r="I276" i="41"/>
  <c r="I291" i="41"/>
  <c r="J72" i="41"/>
  <c r="I72" i="41"/>
  <c r="I93" i="41"/>
  <c r="I292" i="41"/>
  <c r="I293" i="41"/>
  <c r="I301" i="41"/>
  <c r="I440" i="41"/>
  <c r="R23" i="168"/>
  <c r="R34" i="168"/>
  <c r="R77" i="168"/>
  <c r="R79" i="168"/>
  <c r="R80" i="168"/>
  <c r="I32" i="46"/>
  <c r="I131" i="46"/>
  <c r="I170" i="46"/>
  <c r="R38" i="168"/>
  <c r="I23" i="48"/>
  <c r="I24" i="48"/>
  <c r="I49" i="48"/>
  <c r="I149" i="48"/>
  <c r="I150" i="48"/>
  <c r="I157" i="48"/>
  <c r="I213" i="48"/>
  <c r="R39" i="168"/>
  <c r="R40" i="168"/>
  <c r="R71" i="168"/>
  <c r="R73" i="168"/>
  <c r="R74" i="168"/>
  <c r="R42" i="168"/>
  <c r="R43" i="168"/>
  <c r="R44" i="168"/>
  <c r="R45" i="168"/>
  <c r="R46" i="168"/>
  <c r="R47" i="168"/>
  <c r="R49" i="168"/>
  <c r="R50" i="168"/>
  <c r="R53" i="168"/>
  <c r="R54" i="168"/>
  <c r="R57" i="168"/>
  <c r="R59" i="168"/>
  <c r="R61" i="168"/>
  <c r="S11" i="168"/>
  <c r="S12" i="168"/>
  <c r="S9" i="168"/>
  <c r="S10" i="168"/>
  <c r="S13" i="168"/>
  <c r="S15" i="168"/>
  <c r="S16" i="168"/>
  <c r="S17" i="168"/>
  <c r="S19" i="168"/>
  <c r="S20" i="168"/>
  <c r="S22" i="168"/>
  <c r="S23" i="168"/>
  <c r="S24" i="168"/>
  <c r="S28" i="168"/>
  <c r="S34" i="168"/>
  <c r="S35" i="168"/>
  <c r="S36" i="168"/>
  <c r="S77" i="168"/>
  <c r="S79" i="168"/>
  <c r="S80" i="168"/>
  <c r="S38" i="168"/>
  <c r="S39" i="168"/>
  <c r="S40" i="168"/>
  <c r="I20" i="31"/>
  <c r="I15" i="31"/>
  <c r="I137" i="31"/>
  <c r="I47" i="31"/>
  <c r="I48" i="31"/>
  <c r="I59" i="31"/>
  <c r="I131" i="31"/>
  <c r="I150" i="31"/>
  <c r="S71" i="168"/>
  <c r="I18" i="142"/>
  <c r="I19" i="142"/>
  <c r="I27" i="142"/>
  <c r="I28" i="142"/>
  <c r="I81" i="142"/>
  <c r="I85" i="142"/>
  <c r="I86" i="142"/>
  <c r="I87" i="142"/>
  <c r="I88" i="142"/>
  <c r="I115" i="142"/>
  <c r="S42" i="168"/>
  <c r="I19" i="143"/>
  <c r="I20" i="143"/>
  <c r="I71" i="143"/>
  <c r="I75" i="143"/>
  <c r="I76" i="143"/>
  <c r="I77" i="143"/>
  <c r="I79" i="143"/>
  <c r="I111" i="143"/>
  <c r="S43" i="168"/>
  <c r="I19" i="144"/>
  <c r="I20" i="144"/>
  <c r="I71" i="144"/>
  <c r="I75" i="144"/>
  <c r="I76" i="144"/>
  <c r="I77" i="144"/>
  <c r="I79" i="144"/>
  <c r="I111" i="144"/>
  <c r="S44" i="168"/>
  <c r="I19" i="147"/>
  <c r="I20" i="147"/>
  <c r="I63" i="147"/>
  <c r="I68" i="147"/>
  <c r="I69" i="147"/>
  <c r="I70" i="147"/>
  <c r="I71" i="147"/>
  <c r="I107" i="147"/>
  <c r="S45" i="168"/>
  <c r="I19" i="146"/>
  <c r="I20" i="146"/>
  <c r="I65" i="146"/>
  <c r="I70" i="146"/>
  <c r="I71" i="146"/>
  <c r="I72" i="146"/>
  <c r="I73" i="146"/>
  <c r="I109" i="146"/>
  <c r="S46" i="168"/>
  <c r="S47" i="168"/>
  <c r="I19" i="145"/>
  <c r="I20" i="145"/>
  <c r="I63" i="145"/>
  <c r="I68" i="145"/>
  <c r="I69" i="145"/>
  <c r="I70" i="145"/>
  <c r="I71" i="145"/>
  <c r="I109" i="145"/>
  <c r="S49" i="168"/>
  <c r="S50" i="168"/>
  <c r="I18" i="141"/>
  <c r="I19" i="141"/>
  <c r="I28" i="141"/>
  <c r="I93" i="141"/>
  <c r="I97" i="141"/>
  <c r="I98" i="141"/>
  <c r="I99" i="141"/>
  <c r="I100" i="141"/>
  <c r="I103" i="141"/>
  <c r="I140" i="141"/>
  <c r="S53" i="168"/>
  <c r="S54" i="168"/>
  <c r="I166" i="157"/>
  <c r="S57" i="168"/>
  <c r="I19" i="139"/>
  <c r="I20" i="139"/>
  <c r="I98" i="139"/>
  <c r="I99" i="139"/>
  <c r="I100" i="139"/>
  <c r="I101" i="139"/>
  <c r="I103" i="139"/>
  <c r="I158" i="139"/>
  <c r="S59" i="168"/>
  <c r="I166" i="140"/>
  <c r="S61" i="168"/>
  <c r="I104" i="139"/>
  <c r="I105" i="139"/>
  <c r="I106" i="139"/>
  <c r="I107" i="139"/>
  <c r="I111" i="139"/>
  <c r="I170" i="139"/>
  <c r="BH59" i="168"/>
  <c r="BH71" i="168"/>
  <c r="BH73" i="168"/>
  <c r="BH74" i="168"/>
  <c r="BH77" i="168"/>
  <c r="BH79" i="168"/>
  <c r="BH80" i="168"/>
  <c r="BH83" i="168"/>
  <c r="BH84" i="168"/>
  <c r="BH85" i="168"/>
  <c r="BH87" i="168"/>
  <c r="BI11" i="168"/>
  <c r="BI12" i="168"/>
  <c r="BI9" i="168"/>
  <c r="BI10" i="168"/>
  <c r="BI13" i="168"/>
  <c r="I94" i="49"/>
  <c r="I117" i="49"/>
  <c r="I132" i="49"/>
  <c r="I95" i="49"/>
  <c r="I118" i="49"/>
  <c r="I133" i="49"/>
  <c r="I96" i="49"/>
  <c r="I119" i="49"/>
  <c r="I134" i="49"/>
  <c r="I168" i="49" a="1"/>
  <c r="I168" i="49"/>
  <c r="I208" i="49"/>
  <c r="BI15" i="168"/>
  <c r="I93" i="62"/>
  <c r="I103" i="62"/>
  <c r="I116" i="62"/>
  <c r="I94" i="62"/>
  <c r="I104" i="62"/>
  <c r="I117" i="62"/>
  <c r="I95" i="62"/>
  <c r="I105" i="62"/>
  <c r="I118" i="62"/>
  <c r="I123" i="62" a="1"/>
  <c r="I123" i="62"/>
  <c r="I170" i="62"/>
  <c r="BI16" i="168"/>
  <c r="BI17" i="168"/>
  <c r="I194" i="39"/>
  <c r="I243" i="39"/>
  <c r="I195" i="39"/>
  <c r="I244" i="39"/>
  <c r="I196" i="39"/>
  <c r="I245" i="39"/>
  <c r="I197" i="39"/>
  <c r="I246" i="39"/>
  <c r="I344" i="39" a="1"/>
  <c r="I344" i="39"/>
  <c r="I456" i="39"/>
  <c r="BI19" i="168"/>
  <c r="BI20" i="168"/>
  <c r="I307" i="41"/>
  <c r="I312" i="41"/>
  <c r="I482" i="41"/>
  <c r="BI23" i="168"/>
  <c r="BI34" i="168"/>
  <c r="I138" i="46"/>
  <c r="I185" i="46"/>
  <c r="BI38" i="168"/>
  <c r="I165" i="48"/>
  <c r="I233" i="48"/>
  <c r="BI39" i="168"/>
  <c r="BI40" i="168"/>
  <c r="BI42" i="168"/>
  <c r="BI43" i="168"/>
  <c r="BI44" i="168"/>
  <c r="BI45" i="168"/>
  <c r="BI46" i="168"/>
  <c r="BI47" i="168"/>
  <c r="BI49" i="168"/>
  <c r="BI50" i="168"/>
  <c r="BI53" i="168"/>
  <c r="BI54" i="168"/>
  <c r="I115" i="157"/>
  <c r="I179" i="157"/>
  <c r="BI57" i="168"/>
  <c r="I117" i="140"/>
  <c r="I179" i="140"/>
  <c r="BI61" i="168"/>
  <c r="I112" i="139"/>
  <c r="I171" i="139"/>
  <c r="BI59" i="168"/>
  <c r="BI71" i="168"/>
  <c r="BI73" i="168"/>
  <c r="BI74" i="168"/>
  <c r="BI77" i="168"/>
  <c r="BI79" i="168"/>
  <c r="BI80" i="168"/>
  <c r="BI83" i="168"/>
  <c r="BI84" i="168"/>
  <c r="BI85" i="168"/>
  <c r="BI87" i="168"/>
  <c r="BJ11" i="168"/>
  <c r="BJ12" i="168"/>
  <c r="BJ9" i="168"/>
  <c r="BJ10" i="168"/>
  <c r="BJ13" i="168"/>
  <c r="I169" i="49" a="1"/>
  <c r="I169" i="49"/>
  <c r="I209" i="49"/>
  <c r="BJ15" i="168"/>
  <c r="I124" i="62" a="1"/>
  <c r="I124" i="62"/>
  <c r="I171" i="62"/>
  <c r="BJ16" i="168"/>
  <c r="BJ17" i="168"/>
  <c r="I345" i="39" a="1"/>
  <c r="I345" i="39"/>
  <c r="I457" i="39"/>
  <c r="BJ19" i="168"/>
  <c r="BJ20" i="168"/>
  <c r="I308" i="41"/>
  <c r="I313" i="41"/>
  <c r="I483" i="41"/>
  <c r="BJ23" i="168"/>
  <c r="BJ34" i="168"/>
  <c r="I139" i="46"/>
  <c r="I186" i="46"/>
  <c r="BJ38" i="168"/>
  <c r="I166" i="48"/>
  <c r="I234" i="48"/>
  <c r="BJ39" i="168"/>
  <c r="BJ40" i="168"/>
  <c r="BJ42" i="168"/>
  <c r="BJ43" i="168"/>
  <c r="BJ44" i="168"/>
  <c r="BJ45" i="168"/>
  <c r="BJ46" i="168"/>
  <c r="BJ47" i="168"/>
  <c r="BJ49" i="168"/>
  <c r="BJ50" i="168"/>
  <c r="BJ53" i="168"/>
  <c r="BJ54" i="168"/>
  <c r="I116" i="157"/>
  <c r="I180" i="157"/>
  <c r="BJ57" i="168"/>
  <c r="I118" i="140"/>
  <c r="I180" i="140"/>
  <c r="BJ61" i="168"/>
  <c r="I113" i="139"/>
  <c r="I172" i="139"/>
  <c r="BJ59" i="168"/>
  <c r="BJ71" i="168"/>
  <c r="BJ73" i="168"/>
  <c r="BJ74" i="168"/>
  <c r="BJ77" i="168"/>
  <c r="BJ79" i="168"/>
  <c r="BJ80" i="168"/>
  <c r="BJ83" i="168"/>
  <c r="BJ84" i="168"/>
  <c r="BJ85" i="168"/>
  <c r="BJ87" i="168"/>
  <c r="BK11" i="168"/>
  <c r="BK12" i="168"/>
  <c r="BK9" i="168"/>
  <c r="BK10" i="168"/>
  <c r="BK13" i="168"/>
  <c r="BK15" i="168"/>
  <c r="BK16" i="168"/>
  <c r="BK17" i="168"/>
  <c r="BK19" i="168"/>
  <c r="BK20" i="168"/>
  <c r="BK22" i="168"/>
  <c r="BK23" i="168"/>
  <c r="BK24" i="168"/>
  <c r="BK28" i="168"/>
  <c r="BK34" i="168"/>
  <c r="BK35" i="168"/>
  <c r="BK36" i="168"/>
  <c r="BK38" i="168"/>
  <c r="BK39" i="168"/>
  <c r="BK40" i="168"/>
  <c r="BK42" i="168"/>
  <c r="BK43" i="168"/>
  <c r="BK44" i="168"/>
  <c r="BK45" i="168"/>
  <c r="BK46" i="168"/>
  <c r="BK47" i="168"/>
  <c r="BK49" i="168"/>
  <c r="BK50" i="168"/>
  <c r="BK53" i="168"/>
  <c r="BK54" i="168"/>
  <c r="BK57" i="168"/>
  <c r="BK61" i="168"/>
  <c r="BK63" i="168"/>
  <c r="BK59" i="168"/>
  <c r="BK64" i="168"/>
  <c r="BK66" i="168"/>
  <c r="BK71" i="168"/>
  <c r="BK73" i="168"/>
  <c r="BK74" i="168"/>
  <c r="BK77" i="168"/>
  <c r="BK79" i="168"/>
  <c r="BK80" i="168"/>
  <c r="BK83" i="168"/>
  <c r="BK84" i="168"/>
  <c r="BK85" i="168"/>
  <c r="BK87" i="168"/>
  <c r="BK90" i="168"/>
  <c r="BL11" i="168"/>
  <c r="BL12" i="168"/>
  <c r="BL9" i="168"/>
  <c r="BL10" i="168"/>
  <c r="BL13" i="168"/>
  <c r="BL15" i="168"/>
  <c r="BL16" i="168"/>
  <c r="BL17" i="168"/>
  <c r="BL19" i="168"/>
  <c r="BL20" i="168"/>
  <c r="BL22" i="168"/>
  <c r="BL23" i="168"/>
  <c r="BL24" i="168"/>
  <c r="BL28" i="168"/>
  <c r="BL34" i="168"/>
  <c r="BL35" i="168"/>
  <c r="BL36" i="168"/>
  <c r="BL38" i="168"/>
  <c r="I162" i="48"/>
  <c r="I230" i="48"/>
  <c r="BL39" i="168"/>
  <c r="BL40" i="168"/>
  <c r="BL42" i="168"/>
  <c r="BL43" i="168"/>
  <c r="BL44" i="168"/>
  <c r="BL45" i="168"/>
  <c r="BL46" i="168"/>
  <c r="BL47" i="168"/>
  <c r="BL49" i="168"/>
  <c r="BL50" i="168"/>
  <c r="BL53" i="168"/>
  <c r="BL54" i="168"/>
  <c r="BL57" i="168"/>
  <c r="BL61" i="168"/>
  <c r="BL63" i="168"/>
  <c r="BL59" i="168"/>
  <c r="BL64" i="168"/>
  <c r="BL66" i="168"/>
  <c r="BL71" i="168"/>
  <c r="BL73" i="168"/>
  <c r="BL74" i="168"/>
  <c r="BL77" i="168"/>
  <c r="BL79" i="168"/>
  <c r="BL80" i="168"/>
  <c r="BL83" i="168"/>
  <c r="BL84" i="168"/>
  <c r="BL85" i="168"/>
  <c r="BL87" i="168"/>
  <c r="BL90" i="168"/>
  <c r="BM11" i="168"/>
  <c r="BM12" i="168"/>
  <c r="BM9" i="168"/>
  <c r="BM10" i="168"/>
  <c r="BM13" i="168"/>
  <c r="BM15" i="168"/>
  <c r="BM16" i="168"/>
  <c r="BM17" i="168"/>
  <c r="BM19" i="168"/>
  <c r="BM20" i="168"/>
  <c r="BM22" i="168"/>
  <c r="BM23" i="168"/>
  <c r="BM24" i="168"/>
  <c r="BM28" i="168"/>
  <c r="BM34" i="168"/>
  <c r="BM35" i="168"/>
  <c r="BM36" i="168"/>
  <c r="BM38" i="168"/>
  <c r="I161" i="48"/>
  <c r="I231" i="48"/>
  <c r="BM39" i="168"/>
  <c r="BM40" i="168"/>
  <c r="BM42" i="168"/>
  <c r="BM43" i="168"/>
  <c r="BM44" i="168"/>
  <c r="BM45" i="168"/>
  <c r="BM46" i="168"/>
  <c r="BM47" i="168"/>
  <c r="BM49" i="168"/>
  <c r="BM50" i="168"/>
  <c r="BM53" i="168"/>
  <c r="BM54" i="168"/>
  <c r="BM57" i="168"/>
  <c r="BM61" i="168"/>
  <c r="BM63" i="168"/>
  <c r="BM59" i="168"/>
  <c r="BM64" i="168"/>
  <c r="BM66" i="168"/>
  <c r="BM71" i="168"/>
  <c r="BM73" i="168"/>
  <c r="BM74" i="168"/>
  <c r="BM77" i="168"/>
  <c r="BM79" i="168"/>
  <c r="BM80" i="168"/>
  <c r="V11" i="168"/>
  <c r="V12" i="168"/>
  <c r="V9" i="168"/>
  <c r="V10" i="168"/>
  <c r="V13" i="168"/>
  <c r="I197" i="49"/>
  <c r="V15" i="168"/>
  <c r="I159" i="62"/>
  <c r="V16" i="168"/>
  <c r="V17" i="168"/>
  <c r="I445" i="39"/>
  <c r="V19" i="168"/>
  <c r="V20" i="168"/>
  <c r="I442" i="41"/>
  <c r="V23" i="168"/>
  <c r="V34" i="168"/>
  <c r="I172" i="46"/>
  <c r="V38" i="168"/>
  <c r="I152" i="48"/>
  <c r="I215" i="48"/>
  <c r="V39" i="168"/>
  <c r="V40" i="168"/>
  <c r="V42" i="168"/>
  <c r="V43" i="168"/>
  <c r="V44" i="168"/>
  <c r="V45" i="168"/>
  <c r="V46" i="168"/>
  <c r="V47" i="168"/>
  <c r="V49" i="168"/>
  <c r="V50" i="168"/>
  <c r="V53" i="168"/>
  <c r="V54" i="168"/>
  <c r="V57" i="168"/>
  <c r="I167" i="140"/>
  <c r="V61" i="168"/>
  <c r="V63" i="168"/>
  <c r="V59" i="168"/>
  <c r="V64" i="168"/>
  <c r="V71" i="168"/>
  <c r="V73" i="168"/>
  <c r="V74" i="168"/>
  <c r="AE11" i="168"/>
  <c r="AE12" i="168"/>
  <c r="AE9" i="168"/>
  <c r="AE10" i="168"/>
  <c r="AE13" i="168"/>
  <c r="AE15" i="168"/>
  <c r="AE16" i="168"/>
  <c r="AE17" i="168"/>
  <c r="AE19" i="168"/>
  <c r="AE20" i="168"/>
  <c r="AE22" i="168"/>
  <c r="AE23" i="168"/>
  <c r="AE24" i="168"/>
  <c r="AE28" i="168"/>
  <c r="I19" i="113"/>
  <c r="I307" i="113"/>
  <c r="I316" i="113"/>
  <c r="I345" i="113"/>
  <c r="I346" i="113" a="1"/>
  <c r="I346" i="113"/>
  <c r="I28" i="113"/>
  <c r="I308" i="113"/>
  <c r="I317" i="113"/>
  <c r="I351" i="113"/>
  <c r="I352" i="113" a="1"/>
  <c r="I352" i="113"/>
  <c r="I37" i="113"/>
  <c r="I309" i="113"/>
  <c r="I110" i="113"/>
  <c r="I318" i="113"/>
  <c r="I357" i="113"/>
  <c r="I358" i="113" a="1"/>
  <c r="I358" i="113"/>
  <c r="I364" i="113"/>
  <c r="I347" i="113"/>
  <c r="I353" i="113"/>
  <c r="I359" i="113"/>
  <c r="I365" i="113"/>
  <c r="I369" i="113"/>
  <c r="I530" i="113"/>
  <c r="AE34" i="168"/>
  <c r="I44" i="112"/>
  <c r="I299" i="112"/>
  <c r="I45" i="112"/>
  <c r="I300" i="112"/>
  <c r="I325" i="112"/>
  <c r="I402" i="112"/>
  <c r="I403" i="112"/>
  <c r="I405" i="112"/>
  <c r="I364" i="112"/>
  <c r="I326" i="112"/>
  <c r="I407" i="112"/>
  <c r="I408" i="112"/>
  <c r="I410" i="112"/>
  <c r="I412" i="112"/>
  <c r="I414" i="112"/>
  <c r="I423" i="112"/>
  <c r="I547" i="112"/>
  <c r="AE35" i="168"/>
  <c r="AE36" i="168"/>
  <c r="AE38" i="168"/>
  <c r="AE39" i="168"/>
  <c r="AE40" i="168"/>
  <c r="AE42" i="168"/>
  <c r="AE43" i="168"/>
  <c r="AE44" i="168"/>
  <c r="AE45" i="168"/>
  <c r="AE46" i="168"/>
  <c r="AE47" i="168"/>
  <c r="AE49" i="168"/>
  <c r="AE50" i="168"/>
  <c r="AE53" i="168"/>
  <c r="AE54" i="168"/>
  <c r="AE57" i="168"/>
  <c r="AE61" i="168"/>
  <c r="AE63" i="168"/>
  <c r="AE59" i="168"/>
  <c r="AE64" i="168"/>
  <c r="AE66" i="168"/>
  <c r="AE71" i="168"/>
  <c r="AE73" i="168"/>
  <c r="AE74" i="168"/>
  <c r="AE76" i="168"/>
  <c r="I15" i="110"/>
  <c r="I243" i="110"/>
  <c r="I253" i="110"/>
  <c r="I254" i="110"/>
  <c r="AF11" i="168"/>
  <c r="AF12" i="168"/>
  <c r="AF9" i="168"/>
  <c r="AF10" i="168"/>
  <c r="AF13" i="168"/>
  <c r="AF15" i="168"/>
  <c r="AF16" i="168"/>
  <c r="AF17" i="168"/>
  <c r="AF19" i="168"/>
  <c r="AF20" i="168"/>
  <c r="AF22" i="168"/>
  <c r="AF23" i="168"/>
  <c r="AF24" i="168"/>
  <c r="AF28" i="168"/>
  <c r="I331" i="113"/>
  <c r="I375" i="113"/>
  <c r="I101" i="113"/>
  <c r="I376" i="113"/>
  <c r="I332" i="113"/>
  <c r="I378" i="113"/>
  <c r="I379" i="113"/>
  <c r="I382" i="113"/>
  <c r="I119" i="113"/>
  <c r="I319" i="113"/>
  <c r="I407" i="113"/>
  <c r="I46" i="113"/>
  <c r="I310" i="113"/>
  <c r="I402" i="113"/>
  <c r="I408" i="113"/>
  <c r="I415" i="113"/>
  <c r="I531" i="113"/>
  <c r="AF34" i="168"/>
  <c r="I312" i="112"/>
  <c r="I314" i="112"/>
  <c r="I327" i="112"/>
  <c r="I416" i="112"/>
  <c r="I418" i="112"/>
  <c r="I420" i="112"/>
  <c r="I424" i="112"/>
  <c r="I548" i="112"/>
  <c r="AF35" i="168"/>
  <c r="AF36" i="168"/>
  <c r="AF38" i="168"/>
  <c r="AF39" i="168"/>
  <c r="AF40" i="168"/>
  <c r="AF42" i="168"/>
  <c r="AF43" i="168"/>
  <c r="AF44" i="168"/>
  <c r="AF45" i="168"/>
  <c r="AF46" i="168"/>
  <c r="AF47" i="168"/>
  <c r="AF49" i="168"/>
  <c r="AF50" i="168"/>
  <c r="AF53" i="168"/>
  <c r="AF54" i="168"/>
  <c r="AF57" i="168"/>
  <c r="AF61" i="168"/>
  <c r="AF63" i="168"/>
  <c r="AF59" i="168"/>
  <c r="AF64" i="168"/>
  <c r="AF66" i="168"/>
  <c r="AF71" i="168"/>
  <c r="AF73" i="168"/>
  <c r="AF74" i="168"/>
  <c r="AF76" i="168"/>
  <c r="I16" i="110"/>
  <c r="I261" i="110"/>
  <c r="I271" i="110"/>
  <c r="I272" i="110"/>
  <c r="AC11" i="168"/>
  <c r="AC12" i="168"/>
  <c r="AC9" i="168"/>
  <c r="AC10" i="168"/>
  <c r="AC13" i="168"/>
  <c r="AC15" i="168"/>
  <c r="AC16" i="168"/>
  <c r="AC17" i="168"/>
  <c r="AC19" i="168"/>
  <c r="AC20" i="168"/>
  <c r="AC22" i="168"/>
  <c r="AC23" i="168"/>
  <c r="AC24" i="168"/>
  <c r="AC28" i="168"/>
  <c r="AC34" i="168"/>
  <c r="I324" i="112"/>
  <c r="I46" i="112"/>
  <c r="I301" i="112"/>
  <c r="I47" i="112"/>
  <c r="I302" i="112"/>
  <c r="I389" i="112"/>
  <c r="I391" i="112"/>
  <c r="I397" i="112"/>
  <c r="I546" i="112"/>
  <c r="AC35" i="168"/>
  <c r="AC36" i="168"/>
  <c r="AC38" i="168"/>
  <c r="AC39" i="168"/>
  <c r="AC40" i="168"/>
  <c r="AC42" i="168"/>
  <c r="AC43" i="168"/>
  <c r="AC44" i="168"/>
  <c r="AC45" i="168"/>
  <c r="AC46" i="168"/>
  <c r="AC47" i="168"/>
  <c r="AC49" i="168"/>
  <c r="AC50" i="168"/>
  <c r="AC53" i="168"/>
  <c r="AC54" i="168"/>
  <c r="AC57" i="168"/>
  <c r="AC61" i="168"/>
  <c r="AC63" i="168"/>
  <c r="AC59" i="168"/>
  <c r="AC64" i="168"/>
  <c r="AC66" i="168"/>
  <c r="AC71" i="168"/>
  <c r="AC73" i="168"/>
  <c r="AC74" i="168"/>
  <c r="AC76" i="168"/>
  <c r="I18" i="110"/>
  <c r="I279" i="110"/>
  <c r="I289" i="110"/>
  <c r="I290" i="110"/>
  <c r="AD11" i="168"/>
  <c r="AD12" i="168"/>
  <c r="AD9" i="168"/>
  <c r="AD10" i="168"/>
  <c r="AD13" i="168"/>
  <c r="AD15" i="168"/>
  <c r="AD16" i="168"/>
  <c r="AD17" i="168"/>
  <c r="AD19" i="168"/>
  <c r="AD20" i="168"/>
  <c r="AD22" i="168"/>
  <c r="AD23" i="168"/>
  <c r="AD24" i="168"/>
  <c r="AD28" i="168"/>
  <c r="AD34" i="168"/>
  <c r="I323" i="112"/>
  <c r="I379" i="112"/>
  <c r="I381" i="112"/>
  <c r="I384" i="112"/>
  <c r="I545" i="112"/>
  <c r="AD35" i="168"/>
  <c r="AD36" i="168"/>
  <c r="AD38" i="168"/>
  <c r="AD39" i="168"/>
  <c r="AD40" i="168"/>
  <c r="AD42" i="168"/>
  <c r="AD43" i="168"/>
  <c r="AD44" i="168"/>
  <c r="AD45" i="168"/>
  <c r="AD46" i="168"/>
  <c r="AD47" i="168"/>
  <c r="AD49" i="168"/>
  <c r="AD50" i="168"/>
  <c r="AD53" i="168"/>
  <c r="AD54" i="168"/>
  <c r="AD57" i="168"/>
  <c r="AD61" i="168"/>
  <c r="AD63" i="168"/>
  <c r="AD59" i="168"/>
  <c r="AD64" i="168"/>
  <c r="AD66" i="168"/>
  <c r="AD71" i="168"/>
  <c r="AD73" i="168"/>
  <c r="AD74" i="168"/>
  <c r="AD76" i="168"/>
  <c r="I19" i="110"/>
  <c r="I296" i="110"/>
  <c r="I307" i="110"/>
  <c r="AG11" i="168"/>
  <c r="AG12" i="168"/>
  <c r="AG9" i="168"/>
  <c r="AG10" i="168"/>
  <c r="AG13" i="168"/>
  <c r="AG15" i="168"/>
  <c r="AG16" i="168"/>
  <c r="AG17" i="168"/>
  <c r="AG19" i="168"/>
  <c r="AG20" i="168"/>
  <c r="AG22" i="168"/>
  <c r="AG23" i="168"/>
  <c r="AG24" i="168"/>
  <c r="AG28" i="168"/>
  <c r="I55" i="113"/>
  <c r="I311" i="113"/>
  <c r="I388" i="113"/>
  <c r="I128" i="113"/>
  <c r="I389" i="113"/>
  <c r="I137" i="113"/>
  <c r="I390" i="113"/>
  <c r="I391" i="113"/>
  <c r="I397" i="113"/>
  <c r="I532" i="113"/>
  <c r="AG34" i="168"/>
  <c r="AG35" i="168"/>
  <c r="AG36" i="168"/>
  <c r="AG38" i="168"/>
  <c r="AG39" i="168"/>
  <c r="AG40" i="168"/>
  <c r="AG42" i="168"/>
  <c r="AG43" i="168"/>
  <c r="AG44" i="168"/>
  <c r="AG45" i="168"/>
  <c r="AG46" i="168"/>
  <c r="AG47" i="168"/>
  <c r="AG49" i="168"/>
  <c r="AG50" i="168"/>
  <c r="AG53" i="168"/>
  <c r="AG54" i="168"/>
  <c r="AG57" i="168"/>
  <c r="AG61" i="168"/>
  <c r="AG63" i="168"/>
  <c r="AG59" i="168"/>
  <c r="AG64" i="168"/>
  <c r="AG66" i="168"/>
  <c r="AG71" i="168"/>
  <c r="AG73" i="168"/>
  <c r="AG74" i="168"/>
  <c r="AG76" i="168"/>
  <c r="I17" i="110"/>
  <c r="I314" i="110"/>
  <c r="I324" i="110"/>
  <c r="I325" i="110"/>
  <c r="I336" i="110"/>
  <c r="I416" i="110"/>
  <c r="V77" i="168"/>
  <c r="BM84" i="168"/>
  <c r="BN11" i="168"/>
  <c r="BN12" i="168"/>
  <c r="BN9" i="168"/>
  <c r="BN10" i="168"/>
  <c r="BN13" i="168"/>
  <c r="BN15" i="168"/>
  <c r="BN16" i="168"/>
  <c r="BN17" i="168"/>
  <c r="BN19" i="168"/>
  <c r="BN20" i="168"/>
  <c r="BN22" i="168"/>
  <c r="BN23" i="168"/>
  <c r="BN24" i="168"/>
  <c r="BN28" i="168"/>
  <c r="BN34" i="168"/>
  <c r="BN35" i="168"/>
  <c r="BN36" i="168"/>
  <c r="BN38" i="168"/>
  <c r="BN39" i="168"/>
  <c r="BN40" i="168"/>
  <c r="BN42" i="168"/>
  <c r="BN43" i="168"/>
  <c r="BN44" i="168"/>
  <c r="BN45" i="168"/>
  <c r="BN46" i="168"/>
  <c r="BN47" i="168"/>
  <c r="BN49" i="168"/>
  <c r="BN50" i="168"/>
  <c r="BN53" i="168"/>
  <c r="BN54" i="168"/>
  <c r="BN57" i="168"/>
  <c r="BN61" i="168"/>
  <c r="BN63" i="168"/>
  <c r="BN59" i="168"/>
  <c r="BN64" i="168"/>
  <c r="BN66" i="168"/>
  <c r="BN71" i="168"/>
  <c r="BN73" i="168"/>
  <c r="BN74" i="168"/>
  <c r="BN77" i="168"/>
  <c r="BN79" i="168"/>
  <c r="BN80" i="168"/>
  <c r="BN83" i="168"/>
  <c r="BN84" i="168"/>
  <c r="BN85" i="168"/>
  <c r="BN87" i="168"/>
  <c r="BN90" i="168"/>
  <c r="BO11" i="168"/>
  <c r="BO12" i="168"/>
  <c r="BO9" i="168"/>
  <c r="BO10" i="168"/>
  <c r="BO13" i="168"/>
  <c r="BO15" i="168"/>
  <c r="BO16" i="168"/>
  <c r="BO17" i="168"/>
  <c r="BO19" i="168"/>
  <c r="BO20" i="168"/>
  <c r="BO22" i="168"/>
  <c r="BO23" i="168"/>
  <c r="BO24" i="168"/>
  <c r="BO28" i="168"/>
  <c r="BO34" i="168"/>
  <c r="BO35" i="168"/>
  <c r="BO36" i="168"/>
  <c r="BO38" i="168"/>
  <c r="BO39" i="168"/>
  <c r="BO40" i="168"/>
  <c r="BO42" i="168"/>
  <c r="BO43" i="168"/>
  <c r="BO44" i="168"/>
  <c r="BO45" i="168"/>
  <c r="BO46" i="168"/>
  <c r="BO47" i="168"/>
  <c r="BO49" i="168"/>
  <c r="BO50" i="168"/>
  <c r="BO53" i="168"/>
  <c r="BO54" i="168"/>
  <c r="BO57" i="168"/>
  <c r="BO61" i="168"/>
  <c r="BO63" i="168"/>
  <c r="BO59" i="168"/>
  <c r="BO64" i="168"/>
  <c r="BO66" i="168"/>
  <c r="BO71" i="168"/>
  <c r="BO73" i="168"/>
  <c r="BO74" i="168"/>
  <c r="BO77" i="168"/>
  <c r="BO79" i="168"/>
  <c r="BO80" i="168"/>
  <c r="BO83" i="168"/>
  <c r="BO84" i="168"/>
  <c r="BO85" i="168"/>
  <c r="BO87" i="168"/>
  <c r="BO90" i="168"/>
  <c r="BH11" i="169"/>
  <c r="BH12" i="169"/>
  <c r="BH9" i="169"/>
  <c r="BH10" i="169"/>
  <c r="BH13" i="169"/>
  <c r="J272" i="41"/>
  <c r="J274" i="41"/>
  <c r="J279" i="41"/>
  <c r="J280" i="41"/>
  <c r="J281" i="41"/>
  <c r="J297" i="41"/>
  <c r="J299" i="41"/>
  <c r="J306" i="41"/>
  <c r="J285" i="41"/>
  <c r="J286" i="41"/>
  <c r="J287" i="41"/>
  <c r="J311" i="41"/>
  <c r="J481" i="41"/>
  <c r="BH23" i="169"/>
  <c r="BH34" i="169"/>
  <c r="AK11" i="169"/>
  <c r="AK12" i="169"/>
  <c r="AK9" i="169"/>
  <c r="AK10" i="169"/>
  <c r="AK13" i="169"/>
  <c r="AK15" i="169"/>
  <c r="AK16" i="169"/>
  <c r="AK17" i="169"/>
  <c r="AK19" i="169"/>
  <c r="AK20" i="169"/>
  <c r="AK22" i="169"/>
  <c r="AK23" i="169"/>
  <c r="AK24" i="169"/>
  <c r="AK28" i="169"/>
  <c r="AK34" i="169"/>
  <c r="AK35" i="169"/>
  <c r="AK36" i="169"/>
  <c r="AK38" i="169"/>
  <c r="J31" i="48"/>
  <c r="J32" i="48"/>
  <c r="J50" i="48"/>
  <c r="J155" i="48"/>
  <c r="J220" i="48"/>
  <c r="AK39" i="169"/>
  <c r="AK40" i="169"/>
  <c r="AK42" i="169"/>
  <c r="AK43" i="169"/>
  <c r="AK44" i="169"/>
  <c r="AK45" i="169"/>
  <c r="AK46" i="169"/>
  <c r="AK47" i="169"/>
  <c r="AK49" i="169"/>
  <c r="AK50" i="169"/>
  <c r="AK53" i="169"/>
  <c r="AK54" i="169"/>
  <c r="AK57" i="169"/>
  <c r="AK61" i="169"/>
  <c r="AK63" i="169"/>
  <c r="AK59" i="169"/>
  <c r="AK64" i="169"/>
  <c r="AK66" i="169"/>
  <c r="AK71" i="169"/>
  <c r="AK73" i="169"/>
  <c r="AK74" i="169"/>
  <c r="AK77" i="169"/>
  <c r="AK79" i="169"/>
  <c r="AK80" i="169"/>
  <c r="AK83" i="169"/>
  <c r="AK85" i="169"/>
  <c r="AK87" i="169"/>
  <c r="AK90" i="169"/>
  <c r="J9" i="46"/>
  <c r="J97" i="46"/>
  <c r="J120" i="46"/>
  <c r="J102" i="46"/>
  <c r="J122" i="46"/>
  <c r="J17" i="46"/>
  <c r="J121" i="46"/>
  <c r="J123" i="46"/>
  <c r="J126" i="46"/>
  <c r="J127" i="46"/>
  <c r="J128" i="46"/>
  <c r="J33" i="46"/>
  <c r="J132" i="46"/>
  <c r="J34" i="46"/>
  <c r="J133" i="46"/>
  <c r="J137" i="46"/>
  <c r="J184" i="46"/>
  <c r="BH38" i="169"/>
  <c r="J158" i="48"/>
  <c r="J164" i="48"/>
  <c r="J232" i="48"/>
  <c r="BH39" i="169"/>
  <c r="BH40" i="169"/>
  <c r="BH42" i="169"/>
  <c r="BH43" i="169"/>
  <c r="BH44" i="169"/>
  <c r="BH45" i="169"/>
  <c r="BH46" i="169"/>
  <c r="BH47" i="169"/>
  <c r="BH49" i="169"/>
  <c r="BH50" i="169"/>
  <c r="BH53" i="169"/>
  <c r="BH54" i="169"/>
  <c r="J18" i="157"/>
  <c r="J19" i="157"/>
  <c r="J102" i="157"/>
  <c r="J103" i="157"/>
  <c r="J104" i="157"/>
  <c r="J105" i="157"/>
  <c r="J107" i="157"/>
  <c r="J108" i="157"/>
  <c r="J109" i="157"/>
  <c r="J110" i="157"/>
  <c r="J114" i="157"/>
  <c r="J178" i="157"/>
  <c r="BH57" i="169"/>
  <c r="J19" i="140"/>
  <c r="J20" i="140"/>
  <c r="J95" i="140"/>
  <c r="J104" i="140"/>
  <c r="J105" i="140"/>
  <c r="J106" i="140"/>
  <c r="J107" i="140"/>
  <c r="J109" i="140"/>
  <c r="J110" i="140"/>
  <c r="J111" i="140"/>
  <c r="J112" i="140"/>
  <c r="J113" i="140"/>
  <c r="J116" i="140"/>
  <c r="J178" i="140"/>
  <c r="BH61" i="169"/>
  <c r="J20" i="138"/>
  <c r="J75" i="138"/>
  <c r="J69" i="138"/>
  <c r="J76" i="138"/>
  <c r="J80" i="138"/>
  <c r="J111" i="138"/>
  <c r="R11" i="169"/>
  <c r="R12" i="169"/>
  <c r="J21" i="137"/>
  <c r="J82" i="137"/>
  <c r="C11" i="35"/>
  <c r="D11" i="35"/>
  <c r="J83" i="137"/>
  <c r="J65" i="137"/>
  <c r="J84" i="137"/>
  <c r="J85" i="137"/>
  <c r="J89" i="137"/>
  <c r="J135" i="137"/>
  <c r="R9" i="169"/>
  <c r="R10" i="169"/>
  <c r="R13" i="169"/>
  <c r="J29" i="49"/>
  <c r="J113" i="49"/>
  <c r="J114" i="49"/>
  <c r="J115" i="49"/>
  <c r="J93" i="49"/>
  <c r="J116" i="49"/>
  <c r="J21" i="49"/>
  <c r="J124" i="49"/>
  <c r="J125" i="49"/>
  <c r="J126" i="49"/>
  <c r="J127" i="49"/>
  <c r="J131" i="49"/>
  <c r="J195" i="49"/>
  <c r="R15" i="169"/>
  <c r="J28" i="62"/>
  <c r="J101" i="62"/>
  <c r="J92" i="62"/>
  <c r="J102" i="62"/>
  <c r="J20" i="62"/>
  <c r="J110" i="62"/>
  <c r="J111" i="62"/>
  <c r="J115" i="62"/>
  <c r="J157" i="62"/>
  <c r="R16" i="169"/>
  <c r="R17" i="169"/>
  <c r="O18" i="39"/>
  <c r="J176" i="39"/>
  <c r="J184" i="39"/>
  <c r="J235" i="39"/>
  <c r="O19" i="39"/>
  <c r="J177" i="39"/>
  <c r="J185" i="39"/>
  <c r="J236" i="39"/>
  <c r="O20" i="39"/>
  <c r="J178" i="39"/>
  <c r="J186" i="39"/>
  <c r="J237" i="39"/>
  <c r="O21" i="39"/>
  <c r="J179" i="39"/>
  <c r="J187" i="39"/>
  <c r="J238" i="39"/>
  <c r="J239" i="39"/>
  <c r="J242" i="39"/>
  <c r="J442" i="39"/>
  <c r="R19" i="169"/>
  <c r="R20" i="169"/>
  <c r="J27" i="41"/>
  <c r="J276" i="41"/>
  <c r="J291" i="41"/>
  <c r="J93" i="41"/>
  <c r="J292" i="41"/>
  <c r="J293" i="41"/>
  <c r="J301" i="41"/>
  <c r="J440" i="41"/>
  <c r="R23" i="169"/>
  <c r="R34" i="169"/>
  <c r="R77" i="169"/>
  <c r="R79" i="169"/>
  <c r="R80" i="169"/>
  <c r="J32" i="46"/>
  <c r="J131" i="46"/>
  <c r="J170" i="46"/>
  <c r="R38" i="169"/>
  <c r="J23" i="48"/>
  <c r="J24" i="48"/>
  <c r="J49" i="48"/>
  <c r="J149" i="48"/>
  <c r="J150" i="48"/>
  <c r="J157" i="48"/>
  <c r="J213" i="48"/>
  <c r="R39" i="169"/>
  <c r="R40" i="169"/>
  <c r="R71" i="169"/>
  <c r="R73" i="169"/>
  <c r="R74" i="169"/>
  <c r="R42" i="169"/>
  <c r="R43" i="169"/>
  <c r="R44" i="169"/>
  <c r="R45" i="169"/>
  <c r="R46" i="169"/>
  <c r="R47" i="169"/>
  <c r="R49" i="169"/>
  <c r="R50" i="169"/>
  <c r="R53" i="169"/>
  <c r="R54" i="169"/>
  <c r="R57" i="169"/>
  <c r="R59" i="169"/>
  <c r="R61" i="169"/>
  <c r="S11" i="169"/>
  <c r="S12" i="169"/>
  <c r="S9" i="169"/>
  <c r="S10" i="169"/>
  <c r="S13" i="169"/>
  <c r="S15" i="169"/>
  <c r="S16" i="169"/>
  <c r="S17" i="169"/>
  <c r="S19" i="169"/>
  <c r="S20" i="169"/>
  <c r="S22" i="169"/>
  <c r="S23" i="169"/>
  <c r="S24" i="169"/>
  <c r="S28" i="169"/>
  <c r="S34" i="169"/>
  <c r="S35" i="169"/>
  <c r="S36" i="169"/>
  <c r="S77" i="169"/>
  <c r="S79" i="169"/>
  <c r="S80" i="169"/>
  <c r="S38" i="169"/>
  <c r="S39" i="169"/>
  <c r="S40" i="169"/>
  <c r="J20" i="31"/>
  <c r="J15" i="31"/>
  <c r="J137" i="31"/>
  <c r="J47" i="31"/>
  <c r="J48" i="31"/>
  <c r="J59" i="31"/>
  <c r="J131" i="31"/>
  <c r="J150" i="31"/>
  <c r="S71" i="169"/>
  <c r="J18" i="142"/>
  <c r="J19" i="142"/>
  <c r="J27" i="142"/>
  <c r="J28" i="142"/>
  <c r="J81" i="142"/>
  <c r="J85" i="142"/>
  <c r="J86" i="142"/>
  <c r="J87" i="142"/>
  <c r="J88" i="142"/>
  <c r="J115" i="142"/>
  <c r="S42" i="169"/>
  <c r="J19" i="143"/>
  <c r="J20" i="143"/>
  <c r="J71" i="143"/>
  <c r="J75" i="143"/>
  <c r="J76" i="143"/>
  <c r="J77" i="143"/>
  <c r="J79" i="143"/>
  <c r="J111" i="143"/>
  <c r="S43" i="169"/>
  <c r="J19" i="144"/>
  <c r="J20" i="144"/>
  <c r="J71" i="144"/>
  <c r="J75" i="144"/>
  <c r="J76" i="144"/>
  <c r="J77" i="144"/>
  <c r="J79" i="144"/>
  <c r="J111" i="144"/>
  <c r="S44" i="169"/>
  <c r="J19" i="147"/>
  <c r="J20" i="147"/>
  <c r="J63" i="147"/>
  <c r="J68" i="147"/>
  <c r="J69" i="147"/>
  <c r="J70" i="147"/>
  <c r="J71" i="147"/>
  <c r="J107" i="147"/>
  <c r="S45" i="169"/>
  <c r="J19" i="146"/>
  <c r="J20" i="146"/>
  <c r="J65" i="146"/>
  <c r="J70" i="146"/>
  <c r="J71" i="146"/>
  <c r="J72" i="146"/>
  <c r="J73" i="146"/>
  <c r="J109" i="146"/>
  <c r="S46" i="169"/>
  <c r="S47" i="169"/>
  <c r="J19" i="145"/>
  <c r="J20" i="145"/>
  <c r="J63" i="145"/>
  <c r="J68" i="145"/>
  <c r="J69" i="145"/>
  <c r="J70" i="145"/>
  <c r="J71" i="145"/>
  <c r="J109" i="145"/>
  <c r="S49" i="169"/>
  <c r="S50" i="169"/>
  <c r="J18" i="141"/>
  <c r="J19" i="141"/>
  <c r="J28" i="141"/>
  <c r="J93" i="141"/>
  <c r="J97" i="141"/>
  <c r="J98" i="141"/>
  <c r="J99" i="141"/>
  <c r="J100" i="141"/>
  <c r="J103" i="141"/>
  <c r="J140" i="141"/>
  <c r="S53" i="169"/>
  <c r="S54" i="169"/>
  <c r="J166" i="157"/>
  <c r="S57" i="169"/>
  <c r="J19" i="139"/>
  <c r="J20" i="139"/>
  <c r="J98" i="139"/>
  <c r="J99" i="139"/>
  <c r="J100" i="139"/>
  <c r="J101" i="139"/>
  <c r="J103" i="139"/>
  <c r="J158" i="139"/>
  <c r="S59" i="169"/>
  <c r="J166" i="140"/>
  <c r="S61" i="169"/>
  <c r="J104" i="139"/>
  <c r="J105" i="139"/>
  <c r="J106" i="139"/>
  <c r="J107" i="139"/>
  <c r="J111" i="139"/>
  <c r="J170" i="139"/>
  <c r="BH59" i="169"/>
  <c r="BH71" i="169"/>
  <c r="BH73" i="169"/>
  <c r="BH74" i="169"/>
  <c r="BH77" i="169"/>
  <c r="BH79" i="169"/>
  <c r="BH80" i="169"/>
  <c r="BH83" i="169"/>
  <c r="BH84" i="169"/>
  <c r="BH85" i="169"/>
  <c r="BH87" i="169"/>
  <c r="BI11" i="169"/>
  <c r="BI12" i="169"/>
  <c r="BI9" i="169"/>
  <c r="BI10" i="169"/>
  <c r="BI13" i="169"/>
  <c r="J94" i="49"/>
  <c r="J117" i="49"/>
  <c r="J132" i="49"/>
  <c r="J95" i="49"/>
  <c r="J118" i="49"/>
  <c r="J133" i="49"/>
  <c r="J96" i="49"/>
  <c r="J119" i="49"/>
  <c r="J134" i="49"/>
  <c r="J168" i="49" a="1"/>
  <c r="J168" i="49"/>
  <c r="J208" i="49"/>
  <c r="BI15" i="169"/>
  <c r="J93" i="62"/>
  <c r="J103" i="62"/>
  <c r="J116" i="62"/>
  <c r="J94" i="62"/>
  <c r="J104" i="62"/>
  <c r="J117" i="62"/>
  <c r="J95" i="62"/>
  <c r="J105" i="62"/>
  <c r="J118" i="62"/>
  <c r="J123" i="62" a="1"/>
  <c r="J123" i="62"/>
  <c r="J170" i="62"/>
  <c r="BI16" i="169"/>
  <c r="BI17" i="169"/>
  <c r="J243" i="39"/>
  <c r="J244" i="39"/>
  <c r="J245" i="39"/>
  <c r="J246" i="39"/>
  <c r="J344" i="39" a="1"/>
  <c r="J344" i="39"/>
  <c r="J456" i="39"/>
  <c r="BI19" i="169"/>
  <c r="BI20" i="169"/>
  <c r="J307" i="41"/>
  <c r="J312" i="41"/>
  <c r="J482" i="41"/>
  <c r="BI23" i="169"/>
  <c r="BI34" i="169"/>
  <c r="J138" i="46"/>
  <c r="J185" i="46"/>
  <c r="BI38" i="169"/>
  <c r="J165" i="48"/>
  <c r="J233" i="48"/>
  <c r="BI39" i="169"/>
  <c r="BI40" i="169"/>
  <c r="BI42" i="169"/>
  <c r="BI43" i="169"/>
  <c r="BI44" i="169"/>
  <c r="BI45" i="169"/>
  <c r="BI46" i="169"/>
  <c r="BI47" i="169"/>
  <c r="BI49" i="169"/>
  <c r="BI50" i="169"/>
  <c r="BI53" i="169"/>
  <c r="BI54" i="169"/>
  <c r="J115" i="157"/>
  <c r="J179" i="157"/>
  <c r="BI57" i="169"/>
  <c r="J117" i="140"/>
  <c r="J179" i="140"/>
  <c r="BI61" i="169"/>
  <c r="J112" i="139"/>
  <c r="J171" i="139"/>
  <c r="BI59" i="169"/>
  <c r="BI71" i="169"/>
  <c r="BI73" i="169"/>
  <c r="BI74" i="169"/>
  <c r="BI77" i="169"/>
  <c r="BI79" i="169"/>
  <c r="BI80" i="169"/>
  <c r="BI83" i="169"/>
  <c r="BI84" i="169"/>
  <c r="BI85" i="169"/>
  <c r="BI87" i="169"/>
  <c r="BJ11" i="169"/>
  <c r="BJ12" i="169"/>
  <c r="BJ9" i="169"/>
  <c r="BJ10" i="169"/>
  <c r="BJ13" i="169"/>
  <c r="J169" i="49" a="1"/>
  <c r="J169" i="49"/>
  <c r="J209" i="49"/>
  <c r="BJ15" i="169"/>
  <c r="J124" i="62" a="1"/>
  <c r="J124" i="62"/>
  <c r="J171" i="62"/>
  <c r="BJ16" i="169"/>
  <c r="BJ17" i="169"/>
  <c r="J345" i="39" a="1"/>
  <c r="J345" i="39"/>
  <c r="J457" i="39"/>
  <c r="BJ19" i="169"/>
  <c r="BJ20" i="169"/>
  <c r="J308" i="41"/>
  <c r="J313" i="41"/>
  <c r="J483" i="41"/>
  <c r="BJ23" i="169"/>
  <c r="BJ34" i="169"/>
  <c r="J139" i="46"/>
  <c r="J186" i="46"/>
  <c r="BJ38" i="169"/>
  <c r="J166" i="48"/>
  <c r="J234" i="48"/>
  <c r="BJ39" i="169"/>
  <c r="BJ40" i="169"/>
  <c r="BJ42" i="169"/>
  <c r="BJ43" i="169"/>
  <c r="BJ44" i="169"/>
  <c r="BJ45" i="169"/>
  <c r="BJ46" i="169"/>
  <c r="BJ47" i="169"/>
  <c r="BJ49" i="169"/>
  <c r="BJ50" i="169"/>
  <c r="BJ53" i="169"/>
  <c r="BJ54" i="169"/>
  <c r="J116" i="157"/>
  <c r="J180" i="157"/>
  <c r="BJ57" i="169"/>
  <c r="J118" i="140"/>
  <c r="J180" i="140"/>
  <c r="BJ61" i="169"/>
  <c r="J113" i="139"/>
  <c r="J172" i="139"/>
  <c r="BJ59" i="169"/>
  <c r="BJ71" i="169"/>
  <c r="BJ73" i="169"/>
  <c r="BJ74" i="169"/>
  <c r="BJ77" i="169"/>
  <c r="BJ79" i="169"/>
  <c r="BJ80" i="169"/>
  <c r="BJ83" i="169"/>
  <c r="BJ84" i="169"/>
  <c r="BJ85" i="169"/>
  <c r="BJ87" i="169"/>
  <c r="BK11" i="169"/>
  <c r="BK12" i="169"/>
  <c r="BK9" i="169"/>
  <c r="BK10" i="169"/>
  <c r="BK13" i="169"/>
  <c r="BK15" i="169"/>
  <c r="BK16" i="169"/>
  <c r="BK17" i="169"/>
  <c r="BK19" i="169"/>
  <c r="BK20" i="169"/>
  <c r="BK22" i="169"/>
  <c r="BK23" i="169"/>
  <c r="BK24" i="169"/>
  <c r="BK28" i="169"/>
  <c r="BK34" i="169"/>
  <c r="BK35" i="169"/>
  <c r="BK36" i="169"/>
  <c r="BK38" i="169"/>
  <c r="BK39" i="169"/>
  <c r="BK40" i="169"/>
  <c r="BK42" i="169"/>
  <c r="BK43" i="169"/>
  <c r="BK44" i="169"/>
  <c r="BK45" i="169"/>
  <c r="BK46" i="169"/>
  <c r="BK47" i="169"/>
  <c r="BK49" i="169"/>
  <c r="BK50" i="169"/>
  <c r="BK53" i="169"/>
  <c r="BK54" i="169"/>
  <c r="BK57" i="169"/>
  <c r="BK61" i="169"/>
  <c r="BK63" i="169"/>
  <c r="BK59" i="169"/>
  <c r="BK64" i="169"/>
  <c r="BK66" i="169"/>
  <c r="BK71" i="169"/>
  <c r="BK73" i="169"/>
  <c r="BK74" i="169"/>
  <c r="BK77" i="169"/>
  <c r="BK79" i="169"/>
  <c r="BK80" i="169"/>
  <c r="BK83" i="169"/>
  <c r="BK84" i="169"/>
  <c r="BK85" i="169"/>
  <c r="BK87" i="169"/>
  <c r="BK90" i="169"/>
  <c r="BL11" i="169"/>
  <c r="BL12" i="169"/>
  <c r="BL9" i="169"/>
  <c r="BL10" i="169"/>
  <c r="BL13" i="169"/>
  <c r="BL15" i="169"/>
  <c r="BL16" i="169"/>
  <c r="BL17" i="169"/>
  <c r="BL19" i="169"/>
  <c r="BL20" i="169"/>
  <c r="BL22" i="169"/>
  <c r="BL23" i="169"/>
  <c r="BL24" i="169"/>
  <c r="BL28" i="169"/>
  <c r="BL34" i="169"/>
  <c r="BL35" i="169"/>
  <c r="BL36" i="169"/>
  <c r="BL38" i="169"/>
  <c r="J162" i="48"/>
  <c r="J230" i="48"/>
  <c r="BL39" i="169"/>
  <c r="BL40" i="169"/>
  <c r="BL42" i="169"/>
  <c r="BL43" i="169"/>
  <c r="BL44" i="169"/>
  <c r="BL45" i="169"/>
  <c r="BL46" i="169"/>
  <c r="BL47" i="169"/>
  <c r="BL49" i="169"/>
  <c r="BL50" i="169"/>
  <c r="BL53" i="169"/>
  <c r="BL54" i="169"/>
  <c r="BL57" i="169"/>
  <c r="BL61" i="169"/>
  <c r="BL63" i="169"/>
  <c r="BL59" i="169"/>
  <c r="BL64" i="169"/>
  <c r="BL66" i="169"/>
  <c r="BL71" i="169"/>
  <c r="BL73" i="169"/>
  <c r="BL74" i="169"/>
  <c r="BL77" i="169"/>
  <c r="BL79" i="169"/>
  <c r="BL80" i="169"/>
  <c r="BL83" i="169"/>
  <c r="BL84" i="169"/>
  <c r="BL85" i="169"/>
  <c r="BL87" i="169"/>
  <c r="BL90" i="169"/>
  <c r="BM11" i="169"/>
  <c r="BM12" i="169"/>
  <c r="BM9" i="169"/>
  <c r="BM10" i="169"/>
  <c r="BM13" i="169"/>
  <c r="BM15" i="169"/>
  <c r="BM16" i="169"/>
  <c r="BM17" i="169"/>
  <c r="BM19" i="169"/>
  <c r="BM20" i="169"/>
  <c r="BM22" i="169"/>
  <c r="BM23" i="169"/>
  <c r="BM24" i="169"/>
  <c r="BM28" i="169"/>
  <c r="BM34" i="169"/>
  <c r="BM35" i="169"/>
  <c r="BM36" i="169"/>
  <c r="BM38" i="169"/>
  <c r="J161" i="48"/>
  <c r="J231" i="48"/>
  <c r="BM39" i="169"/>
  <c r="BM40" i="169"/>
  <c r="BM42" i="169"/>
  <c r="BM43" i="169"/>
  <c r="BM44" i="169"/>
  <c r="BM45" i="169"/>
  <c r="BM46" i="169"/>
  <c r="BM47" i="169"/>
  <c r="BM49" i="169"/>
  <c r="BM50" i="169"/>
  <c r="BM53" i="169"/>
  <c r="BM54" i="169"/>
  <c r="BM57" i="169"/>
  <c r="BM61" i="169"/>
  <c r="BM63" i="169"/>
  <c r="BM59" i="169"/>
  <c r="BM64" i="169"/>
  <c r="BM66" i="169"/>
  <c r="BM71" i="169"/>
  <c r="BM73" i="169"/>
  <c r="BM74" i="169"/>
  <c r="BM77" i="169"/>
  <c r="BM79" i="169"/>
  <c r="BM80" i="169"/>
  <c r="V11" i="169"/>
  <c r="V12" i="169"/>
  <c r="V9" i="169"/>
  <c r="V10" i="169"/>
  <c r="V13" i="169"/>
  <c r="J197" i="49"/>
  <c r="V15" i="169"/>
  <c r="J159" i="62"/>
  <c r="V16" i="169"/>
  <c r="V17" i="169"/>
  <c r="J445" i="39"/>
  <c r="V19" i="169"/>
  <c r="V20" i="169"/>
  <c r="J442" i="41"/>
  <c r="V23" i="169"/>
  <c r="V34" i="169"/>
  <c r="J172" i="46"/>
  <c r="V38" i="169"/>
  <c r="J152" i="48"/>
  <c r="J215" i="48"/>
  <c r="V39" i="169"/>
  <c r="V40" i="169"/>
  <c r="V42" i="169"/>
  <c r="V43" i="169"/>
  <c r="V44" i="169"/>
  <c r="V45" i="169"/>
  <c r="V46" i="169"/>
  <c r="V47" i="169"/>
  <c r="V49" i="169"/>
  <c r="V50" i="169"/>
  <c r="V53" i="169"/>
  <c r="V54" i="169"/>
  <c r="V57" i="169"/>
  <c r="J167" i="140"/>
  <c r="V61" i="169"/>
  <c r="V63" i="169"/>
  <c r="V59" i="169"/>
  <c r="V64" i="169"/>
  <c r="V71" i="169"/>
  <c r="V73" i="169"/>
  <c r="V74" i="169"/>
  <c r="AE11" i="169"/>
  <c r="AE12" i="169"/>
  <c r="AE9" i="169"/>
  <c r="AE10" i="169"/>
  <c r="AE13" i="169"/>
  <c r="AE15" i="169"/>
  <c r="AE16" i="169"/>
  <c r="AE17" i="169"/>
  <c r="AE19" i="169"/>
  <c r="AE20" i="169"/>
  <c r="AE22" i="169"/>
  <c r="AE23" i="169"/>
  <c r="AE24" i="169"/>
  <c r="AE28" i="169"/>
  <c r="J19" i="113"/>
  <c r="J307" i="113"/>
  <c r="J316" i="113"/>
  <c r="J345" i="113"/>
  <c r="J346" i="113" a="1"/>
  <c r="J346" i="113"/>
  <c r="J28" i="113"/>
  <c r="J308" i="113"/>
  <c r="J317" i="113"/>
  <c r="J351" i="113"/>
  <c r="J352" i="113" a="1"/>
  <c r="J352" i="113"/>
  <c r="J37" i="113"/>
  <c r="J309" i="113"/>
  <c r="J110" i="113"/>
  <c r="J318" i="113"/>
  <c r="J357" i="113"/>
  <c r="J358" i="113" a="1"/>
  <c r="J358" i="113"/>
  <c r="J364" i="113"/>
  <c r="J347" i="113"/>
  <c r="J353" i="113"/>
  <c r="J359" i="113"/>
  <c r="J365" i="113"/>
  <c r="J369" i="113"/>
  <c r="J530" i="113"/>
  <c r="AE34" i="169"/>
  <c r="J44" i="112"/>
  <c r="J299" i="112"/>
  <c r="J45" i="112"/>
  <c r="J300" i="112"/>
  <c r="J325" i="112"/>
  <c r="J402" i="112"/>
  <c r="J403" i="112"/>
  <c r="J405" i="112"/>
  <c r="J364" i="112"/>
  <c r="J326" i="112"/>
  <c r="J407" i="112"/>
  <c r="J408" i="112"/>
  <c r="J410" i="112"/>
  <c r="J412" i="112"/>
  <c r="J414" i="112"/>
  <c r="J423" i="112"/>
  <c r="J547" i="112"/>
  <c r="AE35" i="169"/>
  <c r="AE36" i="169"/>
  <c r="AE38" i="169"/>
  <c r="AE39" i="169"/>
  <c r="AE40" i="169"/>
  <c r="AE42" i="169"/>
  <c r="AE43" i="169"/>
  <c r="AE44" i="169"/>
  <c r="AE45" i="169"/>
  <c r="AE46" i="169"/>
  <c r="AE47" i="169"/>
  <c r="AE49" i="169"/>
  <c r="AE50" i="169"/>
  <c r="AE53" i="169"/>
  <c r="AE54" i="169"/>
  <c r="AE57" i="169"/>
  <c r="AE61" i="169"/>
  <c r="AE63" i="169"/>
  <c r="AE59" i="169"/>
  <c r="AE64" i="169"/>
  <c r="AE66" i="169"/>
  <c r="AE71" i="169"/>
  <c r="AE73" i="169"/>
  <c r="AE74" i="169"/>
  <c r="AE76" i="169"/>
  <c r="J15" i="110"/>
  <c r="J243" i="110"/>
  <c r="J253" i="110"/>
  <c r="J254" i="110"/>
  <c r="AF11" i="169"/>
  <c r="AF12" i="169"/>
  <c r="AF9" i="169"/>
  <c r="AF10" i="169"/>
  <c r="AF13" i="169"/>
  <c r="AF15" i="169"/>
  <c r="AF16" i="169"/>
  <c r="AF17" i="169"/>
  <c r="AF19" i="169"/>
  <c r="AF20" i="169"/>
  <c r="AF22" i="169"/>
  <c r="AF23" i="169"/>
  <c r="AF24" i="169"/>
  <c r="AF28" i="169"/>
  <c r="J331" i="113"/>
  <c r="J375" i="113"/>
  <c r="J101" i="113"/>
  <c r="J376" i="113"/>
  <c r="J332" i="113"/>
  <c r="J378" i="113"/>
  <c r="J379" i="113"/>
  <c r="J382" i="113"/>
  <c r="J119" i="113"/>
  <c r="J319" i="113"/>
  <c r="J407" i="113"/>
  <c r="J46" i="113"/>
  <c r="J310" i="113"/>
  <c r="J402" i="113"/>
  <c r="J408" i="113"/>
  <c r="J415" i="113"/>
  <c r="J531" i="113"/>
  <c r="AF34" i="169"/>
  <c r="J312" i="112"/>
  <c r="J314" i="112"/>
  <c r="J327" i="112"/>
  <c r="J416" i="112"/>
  <c r="J418" i="112"/>
  <c r="J420" i="112"/>
  <c r="J424" i="112"/>
  <c r="J548" i="112"/>
  <c r="AF35" i="169"/>
  <c r="AF36" i="169"/>
  <c r="AF38" i="169"/>
  <c r="AF39" i="169"/>
  <c r="AF40" i="169"/>
  <c r="AF42" i="169"/>
  <c r="AF43" i="169"/>
  <c r="AF44" i="169"/>
  <c r="AF45" i="169"/>
  <c r="AF46" i="169"/>
  <c r="AF47" i="169"/>
  <c r="AF49" i="169"/>
  <c r="AF50" i="169"/>
  <c r="AF53" i="169"/>
  <c r="AF54" i="169"/>
  <c r="AF57" i="169"/>
  <c r="AF61" i="169"/>
  <c r="AF63" i="169"/>
  <c r="AF59" i="169"/>
  <c r="AF64" i="169"/>
  <c r="AF66" i="169"/>
  <c r="AF71" i="169"/>
  <c r="AF73" i="169"/>
  <c r="AF74" i="169"/>
  <c r="AF76" i="169"/>
  <c r="J16" i="110"/>
  <c r="J261" i="110"/>
  <c r="J271" i="110"/>
  <c r="J272" i="110"/>
  <c r="AC11" i="169"/>
  <c r="AC12" i="169"/>
  <c r="AC9" i="169"/>
  <c r="AC10" i="169"/>
  <c r="AC13" i="169"/>
  <c r="AC15" i="169"/>
  <c r="AC16" i="169"/>
  <c r="AC17" i="169"/>
  <c r="AC19" i="169"/>
  <c r="AC20" i="169"/>
  <c r="AC22" i="169"/>
  <c r="AC23" i="169"/>
  <c r="AC24" i="169"/>
  <c r="AC28" i="169"/>
  <c r="AC34" i="169"/>
  <c r="J324" i="112"/>
  <c r="J46" i="112"/>
  <c r="J301" i="112"/>
  <c r="J47" i="112"/>
  <c r="J302" i="112"/>
  <c r="J389" i="112"/>
  <c r="J391" i="112"/>
  <c r="J397" i="112"/>
  <c r="J546" i="112"/>
  <c r="AC35" i="169"/>
  <c r="AC36" i="169"/>
  <c r="AC38" i="169"/>
  <c r="AC39" i="169"/>
  <c r="AC40" i="169"/>
  <c r="AC42" i="169"/>
  <c r="AC43" i="169"/>
  <c r="AC44" i="169"/>
  <c r="AC45" i="169"/>
  <c r="AC46" i="169"/>
  <c r="AC47" i="169"/>
  <c r="AC49" i="169"/>
  <c r="AC50" i="169"/>
  <c r="AC53" i="169"/>
  <c r="AC54" i="169"/>
  <c r="AC57" i="169"/>
  <c r="AC61" i="169"/>
  <c r="AC63" i="169"/>
  <c r="AC59" i="169"/>
  <c r="AC64" i="169"/>
  <c r="AC66" i="169"/>
  <c r="AC71" i="169"/>
  <c r="AC73" i="169"/>
  <c r="AC74" i="169"/>
  <c r="AC76" i="169"/>
  <c r="J18" i="110"/>
  <c r="J279" i="110"/>
  <c r="J289" i="110"/>
  <c r="J290" i="110"/>
  <c r="AD11" i="169"/>
  <c r="AD12" i="169"/>
  <c r="AD9" i="169"/>
  <c r="AD10" i="169"/>
  <c r="AD13" i="169"/>
  <c r="AD15" i="169"/>
  <c r="AD16" i="169"/>
  <c r="AD17" i="169"/>
  <c r="AD19" i="169"/>
  <c r="AD20" i="169"/>
  <c r="AD22" i="169"/>
  <c r="AD23" i="169"/>
  <c r="AD24" i="169"/>
  <c r="AD28" i="169"/>
  <c r="AD34" i="169"/>
  <c r="J323" i="112"/>
  <c r="J379" i="112"/>
  <c r="J381" i="112"/>
  <c r="J384" i="112"/>
  <c r="J545" i="112"/>
  <c r="AD35" i="169"/>
  <c r="AD36" i="169"/>
  <c r="AD38" i="169"/>
  <c r="AD39" i="169"/>
  <c r="AD40" i="169"/>
  <c r="AD42" i="169"/>
  <c r="AD43" i="169"/>
  <c r="AD44" i="169"/>
  <c r="AD45" i="169"/>
  <c r="AD46" i="169"/>
  <c r="AD47" i="169"/>
  <c r="AD49" i="169"/>
  <c r="AD50" i="169"/>
  <c r="AD53" i="169"/>
  <c r="AD54" i="169"/>
  <c r="AD57" i="169"/>
  <c r="AD61" i="169"/>
  <c r="AD63" i="169"/>
  <c r="AD59" i="169"/>
  <c r="AD64" i="169"/>
  <c r="AD66" i="169"/>
  <c r="AD71" i="169"/>
  <c r="AD73" i="169"/>
  <c r="AD74" i="169"/>
  <c r="AD76" i="169"/>
  <c r="J19" i="110"/>
  <c r="J296" i="110"/>
  <c r="J307" i="110"/>
  <c r="AG11" i="169"/>
  <c r="AG12" i="169"/>
  <c r="AG9" i="169"/>
  <c r="AG10" i="169"/>
  <c r="AG13" i="169"/>
  <c r="AG15" i="169"/>
  <c r="AG16" i="169"/>
  <c r="AG17" i="169"/>
  <c r="AG19" i="169"/>
  <c r="AG20" i="169"/>
  <c r="AG22" i="169"/>
  <c r="AG23" i="169"/>
  <c r="AG24" i="169"/>
  <c r="AG28" i="169"/>
  <c r="J55" i="113"/>
  <c r="J311" i="113"/>
  <c r="J388" i="113"/>
  <c r="J128" i="113"/>
  <c r="J389" i="113"/>
  <c r="J137" i="113"/>
  <c r="J390" i="113"/>
  <c r="J391" i="113"/>
  <c r="J397" i="113"/>
  <c r="J532" i="113"/>
  <c r="AG34" i="169"/>
  <c r="AG35" i="169"/>
  <c r="AG36" i="169"/>
  <c r="AG38" i="169"/>
  <c r="AG39" i="169"/>
  <c r="AG40" i="169"/>
  <c r="AG42" i="169"/>
  <c r="AG43" i="169"/>
  <c r="AG44" i="169"/>
  <c r="AG45" i="169"/>
  <c r="AG46" i="169"/>
  <c r="AG47" i="169"/>
  <c r="AG49" i="169"/>
  <c r="AG50" i="169"/>
  <c r="AG53" i="169"/>
  <c r="AG54" i="169"/>
  <c r="AG57" i="169"/>
  <c r="AG61" i="169"/>
  <c r="AG63" i="169"/>
  <c r="AG59" i="169"/>
  <c r="AG64" i="169"/>
  <c r="AG66" i="169"/>
  <c r="AG71" i="169"/>
  <c r="AG73" i="169"/>
  <c r="AG74" i="169"/>
  <c r="AG76" i="169"/>
  <c r="J17" i="110"/>
  <c r="J314" i="110"/>
  <c r="J324" i="110"/>
  <c r="J325" i="110"/>
  <c r="J336" i="110"/>
  <c r="J416" i="110"/>
  <c r="V77" i="169"/>
  <c r="BM84" i="169"/>
  <c r="BN11" i="169"/>
  <c r="BN12" i="169"/>
  <c r="BN9" i="169"/>
  <c r="BN10" i="169"/>
  <c r="BN13" i="169"/>
  <c r="BN15" i="169"/>
  <c r="BN16" i="169"/>
  <c r="BN17" i="169"/>
  <c r="BN19" i="169"/>
  <c r="BN20" i="169"/>
  <c r="BN22" i="169"/>
  <c r="BN23" i="169"/>
  <c r="BN24" i="169"/>
  <c r="BN28" i="169"/>
  <c r="BN34" i="169"/>
  <c r="BN35" i="169"/>
  <c r="BN36" i="169"/>
  <c r="BN38" i="169"/>
  <c r="BN39" i="169"/>
  <c r="BN40" i="169"/>
  <c r="BN42" i="169"/>
  <c r="BN43" i="169"/>
  <c r="BN44" i="169"/>
  <c r="BN45" i="169"/>
  <c r="BN46" i="169"/>
  <c r="BN47" i="169"/>
  <c r="BN49" i="169"/>
  <c r="BN50" i="169"/>
  <c r="BN53" i="169"/>
  <c r="BN54" i="169"/>
  <c r="BN57" i="169"/>
  <c r="BN61" i="169"/>
  <c r="BN63" i="169"/>
  <c r="BN59" i="169"/>
  <c r="BN64" i="169"/>
  <c r="BN66" i="169"/>
  <c r="BN71" i="169"/>
  <c r="BN73" i="169"/>
  <c r="BN74" i="169"/>
  <c r="BN77" i="169"/>
  <c r="BN79" i="169"/>
  <c r="BN80" i="169"/>
  <c r="BN83" i="169"/>
  <c r="BN84" i="169"/>
  <c r="BN85" i="169"/>
  <c r="BN87" i="169"/>
  <c r="BN90" i="169"/>
  <c r="BO11" i="169"/>
  <c r="BO12" i="169"/>
  <c r="BO9" i="169"/>
  <c r="BO10" i="169"/>
  <c r="BO13" i="169"/>
  <c r="BO15" i="169"/>
  <c r="BO16" i="169"/>
  <c r="BO17" i="169"/>
  <c r="BO19" i="169"/>
  <c r="BO20" i="169"/>
  <c r="BO22" i="169"/>
  <c r="BO23" i="169"/>
  <c r="BO24" i="169"/>
  <c r="BO28" i="169"/>
  <c r="BO34" i="169"/>
  <c r="BO35" i="169"/>
  <c r="BO36" i="169"/>
  <c r="BO38" i="169"/>
  <c r="BO39" i="169"/>
  <c r="BO40" i="169"/>
  <c r="BO42" i="169"/>
  <c r="BO43" i="169"/>
  <c r="BO44" i="169"/>
  <c r="BO45" i="169"/>
  <c r="BO46" i="169"/>
  <c r="BO47" i="169"/>
  <c r="BO49" i="169"/>
  <c r="BO50" i="169"/>
  <c r="BO53" i="169"/>
  <c r="BO54" i="169"/>
  <c r="BO57" i="169"/>
  <c r="BO61" i="169"/>
  <c r="BO63" i="169"/>
  <c r="BO59" i="169"/>
  <c r="BO64" i="169"/>
  <c r="BO66" i="169"/>
  <c r="BO71" i="169"/>
  <c r="BO73" i="169"/>
  <c r="BO74" i="169"/>
  <c r="BO77" i="169"/>
  <c r="BO79" i="169"/>
  <c r="BO80" i="169"/>
  <c r="BO83" i="169"/>
  <c r="BO84" i="169"/>
  <c r="BO85" i="169"/>
  <c r="BO87" i="169"/>
  <c r="BO90" i="169"/>
  <c r="BH11" i="170"/>
  <c r="BH12" i="170"/>
  <c r="BH9" i="170"/>
  <c r="BH10" i="170"/>
  <c r="BH13" i="170"/>
  <c r="K272" i="41"/>
  <c r="K274" i="41"/>
  <c r="K279" i="41"/>
  <c r="L75" i="41"/>
  <c r="K75" i="41"/>
  <c r="K280" i="41"/>
  <c r="K281" i="41"/>
  <c r="K297" i="41"/>
  <c r="K299" i="41"/>
  <c r="K306" i="41"/>
  <c r="K285" i="41"/>
  <c r="L84" i="41"/>
  <c r="K84" i="41"/>
  <c r="K286" i="41"/>
  <c r="K287" i="41"/>
  <c r="K311" i="41"/>
  <c r="K481" i="41"/>
  <c r="BH23" i="170"/>
  <c r="BH34" i="170"/>
  <c r="AK11" i="170"/>
  <c r="AK12" i="170"/>
  <c r="AK9" i="170"/>
  <c r="AK10" i="170"/>
  <c r="AK13" i="170"/>
  <c r="AK15" i="170"/>
  <c r="AK16" i="170"/>
  <c r="AK17" i="170"/>
  <c r="AK19" i="170"/>
  <c r="AK20" i="170"/>
  <c r="AK22" i="170"/>
  <c r="AK23" i="170"/>
  <c r="AK24" i="170"/>
  <c r="AK28" i="170"/>
  <c r="AK34" i="170"/>
  <c r="AK35" i="170"/>
  <c r="AK36" i="170"/>
  <c r="AK38" i="170"/>
  <c r="K31" i="48"/>
  <c r="K32" i="48"/>
  <c r="K50" i="48"/>
  <c r="K155" i="48"/>
  <c r="K220" i="48"/>
  <c r="AK39" i="170"/>
  <c r="AK40" i="170"/>
  <c r="AK42" i="170"/>
  <c r="AK43" i="170"/>
  <c r="AK44" i="170"/>
  <c r="AK45" i="170"/>
  <c r="AK46" i="170"/>
  <c r="AK47" i="170"/>
  <c r="AK49" i="170"/>
  <c r="AK50" i="170"/>
  <c r="AK53" i="170"/>
  <c r="AK54" i="170"/>
  <c r="AK57" i="170"/>
  <c r="AK61" i="170"/>
  <c r="AK63" i="170"/>
  <c r="AK59" i="170"/>
  <c r="AK64" i="170"/>
  <c r="AK66" i="170"/>
  <c r="AK71" i="170"/>
  <c r="AK73" i="170"/>
  <c r="AK74" i="170"/>
  <c r="AK77" i="170"/>
  <c r="AK79" i="170"/>
  <c r="AK80" i="170"/>
  <c r="AK83" i="170"/>
  <c r="AK85" i="170"/>
  <c r="AK87" i="170"/>
  <c r="AK90" i="170"/>
  <c r="K9" i="46"/>
  <c r="K97" i="46"/>
  <c r="K120" i="46"/>
  <c r="K102" i="46"/>
  <c r="K122" i="46"/>
  <c r="K17" i="46"/>
  <c r="K121" i="46"/>
  <c r="K123" i="46"/>
  <c r="K126" i="46"/>
  <c r="K127" i="46"/>
  <c r="K128" i="46"/>
  <c r="K33" i="46"/>
  <c r="K132" i="46"/>
  <c r="K34" i="46"/>
  <c r="K133" i="46"/>
  <c r="K137" i="46"/>
  <c r="K184" i="46"/>
  <c r="BH38" i="170"/>
  <c r="K158" i="48"/>
  <c r="K164" i="48"/>
  <c r="K232" i="48"/>
  <c r="BH39" i="170"/>
  <c r="BH40" i="170"/>
  <c r="BH42" i="170"/>
  <c r="BH43" i="170"/>
  <c r="BH44" i="170"/>
  <c r="BH45" i="170"/>
  <c r="BH46" i="170"/>
  <c r="BH47" i="170"/>
  <c r="BH49" i="170"/>
  <c r="BH50" i="170"/>
  <c r="BH53" i="170"/>
  <c r="BH54" i="170"/>
  <c r="K18" i="157"/>
  <c r="K19" i="157"/>
  <c r="K102" i="157"/>
  <c r="K103" i="157"/>
  <c r="K104" i="157"/>
  <c r="K105" i="157"/>
  <c r="K107" i="157"/>
  <c r="K108" i="157"/>
  <c r="K109" i="157"/>
  <c r="K110" i="157"/>
  <c r="K114" i="157"/>
  <c r="K178" i="157"/>
  <c r="BH57" i="170"/>
  <c r="K19" i="140"/>
  <c r="K20" i="140"/>
  <c r="K95" i="140"/>
  <c r="K104" i="140"/>
  <c r="K105" i="140"/>
  <c r="K106" i="140"/>
  <c r="K107" i="140"/>
  <c r="K109" i="140"/>
  <c r="K110" i="140"/>
  <c r="K111" i="140"/>
  <c r="K112" i="140"/>
  <c r="K113" i="140"/>
  <c r="K116" i="140"/>
  <c r="K178" i="140"/>
  <c r="BH61" i="170"/>
  <c r="K20" i="138"/>
  <c r="K75" i="138"/>
  <c r="K69" i="138"/>
  <c r="K76" i="138"/>
  <c r="K80" i="138"/>
  <c r="K111" i="138"/>
  <c r="R11" i="170"/>
  <c r="R12" i="170"/>
  <c r="K21" i="137"/>
  <c r="K82" i="137"/>
  <c r="C12" i="35"/>
  <c r="D12" i="35"/>
  <c r="K83" i="137"/>
  <c r="K65" i="137"/>
  <c r="K84" i="137"/>
  <c r="K85" i="137"/>
  <c r="K89" i="137"/>
  <c r="K135" i="137"/>
  <c r="R9" i="170"/>
  <c r="R10" i="170"/>
  <c r="R13" i="170"/>
  <c r="K29" i="49"/>
  <c r="K113" i="49"/>
  <c r="K114" i="49"/>
  <c r="K115" i="49"/>
  <c r="K93" i="49"/>
  <c r="K116" i="49"/>
  <c r="K21" i="49"/>
  <c r="K124" i="49"/>
  <c r="K125" i="49"/>
  <c r="K126" i="49"/>
  <c r="K127" i="49"/>
  <c r="K131" i="49"/>
  <c r="K195" i="49"/>
  <c r="R15" i="170"/>
  <c r="K28" i="62"/>
  <c r="K101" i="62"/>
  <c r="K92" i="62"/>
  <c r="K102" i="62"/>
  <c r="K20" i="62"/>
  <c r="K110" i="62"/>
  <c r="K111" i="62"/>
  <c r="K115" i="62"/>
  <c r="K157" i="62"/>
  <c r="R16" i="170"/>
  <c r="R17" i="170"/>
  <c r="K176" i="39"/>
  <c r="K184" i="39"/>
  <c r="K235" i="39"/>
  <c r="K177" i="39"/>
  <c r="K185" i="39"/>
  <c r="K236" i="39"/>
  <c r="K178" i="39"/>
  <c r="K186" i="39"/>
  <c r="K237" i="39"/>
  <c r="K179" i="39"/>
  <c r="K187" i="39"/>
  <c r="K238" i="39"/>
  <c r="K239" i="39"/>
  <c r="L193" i="39"/>
  <c r="K193" i="39"/>
  <c r="K242" i="39"/>
  <c r="K442" i="39"/>
  <c r="R19" i="170"/>
  <c r="R20" i="170"/>
  <c r="K27" i="41"/>
  <c r="K276" i="41"/>
  <c r="K291" i="41"/>
  <c r="L72" i="41"/>
  <c r="K72" i="41"/>
  <c r="K93" i="41"/>
  <c r="K292" i="41"/>
  <c r="K293" i="41"/>
  <c r="K301" i="41"/>
  <c r="K440" i="41"/>
  <c r="R23" i="170"/>
  <c r="R34" i="170"/>
  <c r="R77" i="170"/>
  <c r="R79" i="170"/>
  <c r="R80" i="170"/>
  <c r="K32" i="46"/>
  <c r="K131" i="46"/>
  <c r="K170" i="46"/>
  <c r="R38" i="170"/>
  <c r="K23" i="48"/>
  <c r="K24" i="48"/>
  <c r="K49" i="48"/>
  <c r="K149" i="48"/>
  <c r="K150" i="48"/>
  <c r="K157" i="48"/>
  <c r="K213" i="48"/>
  <c r="R39" i="170"/>
  <c r="R40" i="170"/>
  <c r="R71" i="170"/>
  <c r="R73" i="170"/>
  <c r="R74" i="170"/>
  <c r="R42" i="170"/>
  <c r="R43" i="170"/>
  <c r="R44" i="170"/>
  <c r="R45" i="170"/>
  <c r="R46" i="170"/>
  <c r="R47" i="170"/>
  <c r="R49" i="170"/>
  <c r="R50" i="170"/>
  <c r="R53" i="170"/>
  <c r="R54" i="170"/>
  <c r="R57" i="170"/>
  <c r="R59" i="170"/>
  <c r="R61" i="170"/>
  <c r="S11" i="170"/>
  <c r="S12" i="170"/>
  <c r="S9" i="170"/>
  <c r="S10" i="170"/>
  <c r="S13" i="170"/>
  <c r="S15" i="170"/>
  <c r="S16" i="170"/>
  <c r="S17" i="170"/>
  <c r="S19" i="170"/>
  <c r="S20" i="170"/>
  <c r="S22" i="170"/>
  <c r="S23" i="170"/>
  <c r="S24" i="170"/>
  <c r="S28" i="170"/>
  <c r="S34" i="170"/>
  <c r="S35" i="170"/>
  <c r="S36" i="170"/>
  <c r="S77" i="170"/>
  <c r="S79" i="170"/>
  <c r="S80" i="170"/>
  <c r="S38" i="170"/>
  <c r="S39" i="170"/>
  <c r="S40" i="170"/>
  <c r="K20" i="31"/>
  <c r="K15" i="31"/>
  <c r="K137" i="31"/>
  <c r="K47" i="31"/>
  <c r="K48" i="31"/>
  <c r="K59" i="31"/>
  <c r="K131" i="31"/>
  <c r="K150" i="31"/>
  <c r="S71" i="170"/>
  <c r="K18" i="142"/>
  <c r="K19" i="142"/>
  <c r="K27" i="142"/>
  <c r="K28" i="142"/>
  <c r="K81" i="142"/>
  <c r="K85" i="142"/>
  <c r="K86" i="142"/>
  <c r="K87" i="142"/>
  <c r="K88" i="142"/>
  <c r="K115" i="142"/>
  <c r="S42" i="170"/>
  <c r="K19" i="143"/>
  <c r="K20" i="143"/>
  <c r="K71" i="143"/>
  <c r="K75" i="143"/>
  <c r="K76" i="143"/>
  <c r="K77" i="143"/>
  <c r="K79" i="143"/>
  <c r="K111" i="143"/>
  <c r="S43" i="170"/>
  <c r="K19" i="144"/>
  <c r="K20" i="144"/>
  <c r="K71" i="144"/>
  <c r="K75" i="144"/>
  <c r="K76" i="144"/>
  <c r="K77" i="144"/>
  <c r="K79" i="144"/>
  <c r="K111" i="144"/>
  <c r="S44" i="170"/>
  <c r="K19" i="147"/>
  <c r="K20" i="147"/>
  <c r="K63" i="147"/>
  <c r="K68" i="147"/>
  <c r="K69" i="147"/>
  <c r="K70" i="147"/>
  <c r="K71" i="147"/>
  <c r="K107" i="147"/>
  <c r="S45" i="170"/>
  <c r="K19" i="146"/>
  <c r="K20" i="146"/>
  <c r="K65" i="146"/>
  <c r="K70" i="146"/>
  <c r="K71" i="146"/>
  <c r="K72" i="146"/>
  <c r="K73" i="146"/>
  <c r="K109" i="146"/>
  <c r="S46" i="170"/>
  <c r="S47" i="170"/>
  <c r="K19" i="145"/>
  <c r="K20" i="145"/>
  <c r="K63" i="145"/>
  <c r="K68" i="145"/>
  <c r="K69" i="145"/>
  <c r="K70" i="145"/>
  <c r="K71" i="145"/>
  <c r="K109" i="145"/>
  <c r="S49" i="170"/>
  <c r="S50" i="170"/>
  <c r="K18" i="141"/>
  <c r="K19" i="141"/>
  <c r="K28" i="141"/>
  <c r="K93" i="141"/>
  <c r="K97" i="141"/>
  <c r="K98" i="141"/>
  <c r="K99" i="141"/>
  <c r="K100" i="141"/>
  <c r="K103" i="141"/>
  <c r="K140" i="141"/>
  <c r="S53" i="170"/>
  <c r="S54" i="170"/>
  <c r="K166" i="157"/>
  <c r="S57" i="170"/>
  <c r="K19" i="139"/>
  <c r="K20" i="139"/>
  <c r="K98" i="139"/>
  <c r="K99" i="139"/>
  <c r="K100" i="139"/>
  <c r="K101" i="139"/>
  <c r="K103" i="139"/>
  <c r="K158" i="139"/>
  <c r="S59" i="170"/>
  <c r="K166" i="140"/>
  <c r="S61" i="170"/>
  <c r="K104" i="139"/>
  <c r="K105" i="139"/>
  <c r="K106" i="139"/>
  <c r="K107" i="139"/>
  <c r="K111" i="139"/>
  <c r="K170" i="139"/>
  <c r="BH59" i="170"/>
  <c r="BH71" i="170"/>
  <c r="BH73" i="170"/>
  <c r="BH74" i="170"/>
  <c r="BH77" i="170"/>
  <c r="BH79" i="170"/>
  <c r="BH80" i="170"/>
  <c r="BH83" i="170"/>
  <c r="BH84" i="170"/>
  <c r="BH85" i="170"/>
  <c r="BH87" i="170"/>
  <c r="BI11" i="170"/>
  <c r="BI12" i="170"/>
  <c r="BI9" i="170"/>
  <c r="BI10" i="170"/>
  <c r="BI13" i="170"/>
  <c r="K94" i="49"/>
  <c r="K117" i="49"/>
  <c r="K132" i="49"/>
  <c r="K95" i="49"/>
  <c r="K118" i="49"/>
  <c r="K133" i="49"/>
  <c r="K96" i="49"/>
  <c r="K119" i="49"/>
  <c r="K134" i="49"/>
  <c r="K168" i="49" a="1"/>
  <c r="K168" i="49"/>
  <c r="K208" i="49"/>
  <c r="BI15" i="170"/>
  <c r="K93" i="62"/>
  <c r="K103" i="62"/>
  <c r="K116" i="62"/>
  <c r="K94" i="62"/>
  <c r="K104" i="62"/>
  <c r="K117" i="62"/>
  <c r="K95" i="62"/>
  <c r="K105" i="62"/>
  <c r="K118" i="62"/>
  <c r="K123" i="62" a="1"/>
  <c r="K123" i="62"/>
  <c r="K170" i="62"/>
  <c r="BI16" i="170"/>
  <c r="BI17" i="170"/>
  <c r="L194" i="39"/>
  <c r="K194" i="39"/>
  <c r="K243" i="39"/>
  <c r="L195" i="39"/>
  <c r="K195" i="39"/>
  <c r="K244" i="39"/>
  <c r="L196" i="39"/>
  <c r="K196" i="39"/>
  <c r="K245" i="39"/>
  <c r="L197" i="39"/>
  <c r="K197" i="39"/>
  <c r="K246" i="39"/>
  <c r="K344" i="39" a="1"/>
  <c r="K344" i="39"/>
  <c r="K456" i="39"/>
  <c r="BI19" i="170"/>
  <c r="BI20" i="170"/>
  <c r="K307" i="41"/>
  <c r="K312" i="41"/>
  <c r="K482" i="41"/>
  <c r="BI23" i="170"/>
  <c r="BI34" i="170"/>
  <c r="K138" i="46"/>
  <c r="K185" i="46"/>
  <c r="BI38" i="170"/>
  <c r="K165" i="48"/>
  <c r="K233" i="48"/>
  <c r="BI39" i="170"/>
  <c r="BI40" i="170"/>
  <c r="BI42" i="170"/>
  <c r="BI43" i="170"/>
  <c r="BI44" i="170"/>
  <c r="BI45" i="170"/>
  <c r="BI46" i="170"/>
  <c r="BI47" i="170"/>
  <c r="BI49" i="170"/>
  <c r="BI50" i="170"/>
  <c r="BI53" i="170"/>
  <c r="BI54" i="170"/>
  <c r="K115" i="157"/>
  <c r="K179" i="157"/>
  <c r="BI57" i="170"/>
  <c r="K117" i="140"/>
  <c r="K179" i="140"/>
  <c r="BI61" i="170"/>
  <c r="K112" i="139"/>
  <c r="K171" i="139"/>
  <c r="BI59" i="170"/>
  <c r="BI71" i="170"/>
  <c r="BI73" i="170"/>
  <c r="BI74" i="170"/>
  <c r="BI77" i="170"/>
  <c r="BI79" i="170"/>
  <c r="BI80" i="170"/>
  <c r="BI83" i="170"/>
  <c r="BI84" i="170"/>
  <c r="BI85" i="170"/>
  <c r="BI87" i="170"/>
  <c r="BJ11" i="170"/>
  <c r="BJ12" i="170"/>
  <c r="BJ9" i="170"/>
  <c r="BJ10" i="170"/>
  <c r="BJ13" i="170"/>
  <c r="K169" i="49" a="1"/>
  <c r="K169" i="49"/>
  <c r="K209" i="49"/>
  <c r="BJ15" i="170"/>
  <c r="K124" i="62" a="1"/>
  <c r="K124" i="62"/>
  <c r="K171" i="62"/>
  <c r="BJ16" i="170"/>
  <c r="BJ17" i="170"/>
  <c r="K345" i="39" a="1"/>
  <c r="K345" i="39"/>
  <c r="K457" i="39"/>
  <c r="BJ19" i="170"/>
  <c r="BJ20" i="170"/>
  <c r="K308" i="41"/>
  <c r="K313" i="41"/>
  <c r="K483" i="41"/>
  <c r="BJ23" i="170"/>
  <c r="BJ34" i="170"/>
  <c r="K139" i="46"/>
  <c r="K186" i="46"/>
  <c r="BJ38" i="170"/>
  <c r="K166" i="48"/>
  <c r="K234" i="48"/>
  <c r="BJ39" i="170"/>
  <c r="BJ40" i="170"/>
  <c r="BJ42" i="170"/>
  <c r="BJ43" i="170"/>
  <c r="BJ44" i="170"/>
  <c r="BJ45" i="170"/>
  <c r="BJ46" i="170"/>
  <c r="BJ47" i="170"/>
  <c r="BJ49" i="170"/>
  <c r="BJ50" i="170"/>
  <c r="BJ53" i="170"/>
  <c r="BJ54" i="170"/>
  <c r="K116" i="157"/>
  <c r="K180" i="157"/>
  <c r="BJ57" i="170"/>
  <c r="K118" i="140"/>
  <c r="K180" i="140"/>
  <c r="BJ61" i="170"/>
  <c r="K113" i="139"/>
  <c r="K172" i="139"/>
  <c r="BJ59" i="170"/>
  <c r="BJ71" i="170"/>
  <c r="BJ73" i="170"/>
  <c r="BJ74" i="170"/>
  <c r="BJ77" i="170"/>
  <c r="BJ79" i="170"/>
  <c r="BJ80" i="170"/>
  <c r="BJ83" i="170"/>
  <c r="BJ84" i="170"/>
  <c r="BJ85" i="170"/>
  <c r="BJ87" i="170"/>
  <c r="BK11" i="170"/>
  <c r="BK12" i="170"/>
  <c r="BK9" i="170"/>
  <c r="BK10" i="170"/>
  <c r="BK13" i="170"/>
  <c r="BK15" i="170"/>
  <c r="BK16" i="170"/>
  <c r="BK17" i="170"/>
  <c r="BK19" i="170"/>
  <c r="BK20" i="170"/>
  <c r="BK22" i="170"/>
  <c r="BK23" i="170"/>
  <c r="BK24" i="170"/>
  <c r="BK28" i="170"/>
  <c r="BK34" i="170"/>
  <c r="BK35" i="170"/>
  <c r="BK36" i="170"/>
  <c r="BK38" i="170"/>
  <c r="BK39" i="170"/>
  <c r="BK40" i="170"/>
  <c r="BK42" i="170"/>
  <c r="BK43" i="170"/>
  <c r="BK44" i="170"/>
  <c r="BK45" i="170"/>
  <c r="BK46" i="170"/>
  <c r="BK47" i="170"/>
  <c r="BK49" i="170"/>
  <c r="BK50" i="170"/>
  <c r="BK53" i="170"/>
  <c r="BK54" i="170"/>
  <c r="BK57" i="170"/>
  <c r="BK61" i="170"/>
  <c r="BK63" i="170"/>
  <c r="BK59" i="170"/>
  <c r="BK64" i="170"/>
  <c r="BK66" i="170"/>
  <c r="BK71" i="170"/>
  <c r="BK73" i="170"/>
  <c r="BK74" i="170"/>
  <c r="BK77" i="170"/>
  <c r="BK79" i="170"/>
  <c r="BK80" i="170"/>
  <c r="BK83" i="170"/>
  <c r="BK84" i="170"/>
  <c r="BK85" i="170"/>
  <c r="BK87" i="170"/>
  <c r="BK90" i="170"/>
  <c r="BL11" i="170"/>
  <c r="BL12" i="170"/>
  <c r="BL9" i="170"/>
  <c r="BL10" i="170"/>
  <c r="BL13" i="170"/>
  <c r="BL15" i="170"/>
  <c r="BL16" i="170"/>
  <c r="BL17" i="170"/>
  <c r="BL19" i="170"/>
  <c r="BL20" i="170"/>
  <c r="BL22" i="170"/>
  <c r="BL23" i="170"/>
  <c r="BL24" i="170"/>
  <c r="BL28" i="170"/>
  <c r="BL34" i="170"/>
  <c r="BL35" i="170"/>
  <c r="BL36" i="170"/>
  <c r="BL38" i="170"/>
  <c r="K162" i="48"/>
  <c r="K230" i="48"/>
  <c r="BL39" i="170"/>
  <c r="BL40" i="170"/>
  <c r="BL42" i="170"/>
  <c r="BL43" i="170"/>
  <c r="BL44" i="170"/>
  <c r="BL45" i="170"/>
  <c r="BL46" i="170"/>
  <c r="BL47" i="170"/>
  <c r="BL49" i="170"/>
  <c r="BL50" i="170"/>
  <c r="BL53" i="170"/>
  <c r="BL54" i="170"/>
  <c r="BL57" i="170"/>
  <c r="BL61" i="170"/>
  <c r="BL63" i="170"/>
  <c r="BL59" i="170"/>
  <c r="BL64" i="170"/>
  <c r="BL66" i="170"/>
  <c r="BL71" i="170"/>
  <c r="BL73" i="170"/>
  <c r="BL74" i="170"/>
  <c r="BL77" i="170"/>
  <c r="BL79" i="170"/>
  <c r="BL80" i="170"/>
  <c r="BL83" i="170"/>
  <c r="BL84" i="170"/>
  <c r="BL85" i="170"/>
  <c r="BL87" i="170"/>
  <c r="BL90" i="170"/>
  <c r="BM11" i="170"/>
  <c r="BM12" i="170"/>
  <c r="BM9" i="170"/>
  <c r="BM10" i="170"/>
  <c r="BM13" i="170"/>
  <c r="BM15" i="170"/>
  <c r="BM16" i="170"/>
  <c r="BM17" i="170"/>
  <c r="BM19" i="170"/>
  <c r="BM20" i="170"/>
  <c r="BM22" i="170"/>
  <c r="BM23" i="170"/>
  <c r="BM24" i="170"/>
  <c r="BM28" i="170"/>
  <c r="BM34" i="170"/>
  <c r="BM35" i="170"/>
  <c r="BM36" i="170"/>
  <c r="BM38" i="170"/>
  <c r="K161" i="48"/>
  <c r="K231" i="48"/>
  <c r="BM39" i="170"/>
  <c r="BM40" i="170"/>
  <c r="BM42" i="170"/>
  <c r="BM43" i="170"/>
  <c r="BM44" i="170"/>
  <c r="BM45" i="170"/>
  <c r="BM46" i="170"/>
  <c r="BM47" i="170"/>
  <c r="BM49" i="170"/>
  <c r="BM50" i="170"/>
  <c r="BM53" i="170"/>
  <c r="BM54" i="170"/>
  <c r="BM57" i="170"/>
  <c r="BM61" i="170"/>
  <c r="BM63" i="170"/>
  <c r="BM59" i="170"/>
  <c r="BM64" i="170"/>
  <c r="BM66" i="170"/>
  <c r="BM71" i="170"/>
  <c r="BM73" i="170"/>
  <c r="BM74" i="170"/>
  <c r="BM77" i="170"/>
  <c r="BM79" i="170"/>
  <c r="BM80" i="170"/>
  <c r="V11" i="170"/>
  <c r="V12" i="170"/>
  <c r="V9" i="170"/>
  <c r="V10" i="170"/>
  <c r="V13" i="170"/>
  <c r="K197" i="49"/>
  <c r="V15" i="170"/>
  <c r="K159" i="62"/>
  <c r="V16" i="170"/>
  <c r="V17" i="170"/>
  <c r="K445" i="39"/>
  <c r="V19" i="170"/>
  <c r="V20" i="170"/>
  <c r="K442" i="41"/>
  <c r="V23" i="170"/>
  <c r="V34" i="170"/>
  <c r="K172" i="46"/>
  <c r="V38" i="170"/>
  <c r="K152" i="48"/>
  <c r="K215" i="48"/>
  <c r="V39" i="170"/>
  <c r="V40" i="170"/>
  <c r="V42" i="170"/>
  <c r="V43" i="170"/>
  <c r="V44" i="170"/>
  <c r="V45" i="170"/>
  <c r="V46" i="170"/>
  <c r="V47" i="170"/>
  <c r="V49" i="170"/>
  <c r="V50" i="170"/>
  <c r="V53" i="170"/>
  <c r="V54" i="170"/>
  <c r="V57" i="170"/>
  <c r="K167" i="140"/>
  <c r="V61" i="170"/>
  <c r="V63" i="170"/>
  <c r="V59" i="170"/>
  <c r="V64" i="170"/>
  <c r="V71" i="170"/>
  <c r="V73" i="170"/>
  <c r="V74" i="170"/>
  <c r="AE11" i="170"/>
  <c r="AE12" i="170"/>
  <c r="AE9" i="170"/>
  <c r="AE10" i="170"/>
  <c r="AE13" i="170"/>
  <c r="AE15" i="170"/>
  <c r="AE16" i="170"/>
  <c r="AE17" i="170"/>
  <c r="AE19" i="170"/>
  <c r="AE20" i="170"/>
  <c r="AE22" i="170"/>
  <c r="AE23" i="170"/>
  <c r="AE24" i="170"/>
  <c r="AE28" i="170"/>
  <c r="K19" i="113"/>
  <c r="K307" i="113"/>
  <c r="K316" i="113"/>
  <c r="K345" i="113"/>
  <c r="K346" i="113" a="1"/>
  <c r="K346" i="113"/>
  <c r="K28" i="113"/>
  <c r="K308" i="113"/>
  <c r="K317" i="113"/>
  <c r="K351" i="113"/>
  <c r="K352" i="113" a="1"/>
  <c r="K352" i="113"/>
  <c r="K37" i="113"/>
  <c r="K309" i="113"/>
  <c r="K110" i="113"/>
  <c r="K318" i="113"/>
  <c r="K357" i="113"/>
  <c r="K358" i="113" a="1"/>
  <c r="K358" i="113"/>
  <c r="K364" i="113"/>
  <c r="K347" i="113"/>
  <c r="K353" i="113"/>
  <c r="K359" i="113"/>
  <c r="K365" i="113"/>
  <c r="K369" i="113"/>
  <c r="K530" i="113"/>
  <c r="AE34" i="170"/>
  <c r="K44" i="112"/>
  <c r="K299" i="112"/>
  <c r="K45" i="112"/>
  <c r="K300" i="112"/>
  <c r="K325" i="112"/>
  <c r="K402" i="112"/>
  <c r="K403" i="112"/>
  <c r="K405" i="112"/>
  <c r="K364" i="112"/>
  <c r="K326" i="112"/>
  <c r="K407" i="112"/>
  <c r="K408" i="112"/>
  <c r="K410" i="112"/>
  <c r="K412" i="112"/>
  <c r="K414" i="112"/>
  <c r="K423" i="112"/>
  <c r="K547" i="112"/>
  <c r="AE35" i="170"/>
  <c r="AE36" i="170"/>
  <c r="AE38" i="170"/>
  <c r="AE39" i="170"/>
  <c r="AE40" i="170"/>
  <c r="AE42" i="170"/>
  <c r="AE43" i="170"/>
  <c r="AE44" i="170"/>
  <c r="AE45" i="170"/>
  <c r="AE46" i="170"/>
  <c r="AE47" i="170"/>
  <c r="AE49" i="170"/>
  <c r="AE50" i="170"/>
  <c r="AE53" i="170"/>
  <c r="AE54" i="170"/>
  <c r="AE57" i="170"/>
  <c r="AE61" i="170"/>
  <c r="AE63" i="170"/>
  <c r="AE59" i="170"/>
  <c r="AE64" i="170"/>
  <c r="AE66" i="170"/>
  <c r="AE71" i="170"/>
  <c r="AE73" i="170"/>
  <c r="AE74" i="170"/>
  <c r="AE76" i="170"/>
  <c r="K15" i="110"/>
  <c r="K243" i="110"/>
  <c r="K253" i="110"/>
  <c r="K254" i="110"/>
  <c r="AF11" i="170"/>
  <c r="AF12" i="170"/>
  <c r="AF9" i="170"/>
  <c r="AF10" i="170"/>
  <c r="AF13" i="170"/>
  <c r="AF15" i="170"/>
  <c r="AF16" i="170"/>
  <c r="AF17" i="170"/>
  <c r="AF19" i="170"/>
  <c r="AF20" i="170"/>
  <c r="AF22" i="170"/>
  <c r="AF23" i="170"/>
  <c r="AF24" i="170"/>
  <c r="AF28" i="170"/>
  <c r="K331" i="113"/>
  <c r="K375" i="113"/>
  <c r="K101" i="113"/>
  <c r="K376" i="113"/>
  <c r="K332" i="113"/>
  <c r="K378" i="113"/>
  <c r="K379" i="113"/>
  <c r="K382" i="113"/>
  <c r="K119" i="113"/>
  <c r="K319" i="113"/>
  <c r="K407" i="113"/>
  <c r="K46" i="113"/>
  <c r="K310" i="113"/>
  <c r="K402" i="113"/>
  <c r="K408" i="113"/>
  <c r="K415" i="113"/>
  <c r="K531" i="113"/>
  <c r="AF34" i="170"/>
  <c r="K312" i="112"/>
  <c r="K314" i="112"/>
  <c r="K327" i="112"/>
  <c r="K416" i="112"/>
  <c r="K418" i="112"/>
  <c r="K420" i="112"/>
  <c r="K424" i="112"/>
  <c r="K548" i="112"/>
  <c r="AF35" i="170"/>
  <c r="AF36" i="170"/>
  <c r="AF38" i="170"/>
  <c r="AF39" i="170"/>
  <c r="AF40" i="170"/>
  <c r="AF42" i="170"/>
  <c r="AF43" i="170"/>
  <c r="AF44" i="170"/>
  <c r="AF45" i="170"/>
  <c r="AF46" i="170"/>
  <c r="AF47" i="170"/>
  <c r="AF49" i="170"/>
  <c r="AF50" i="170"/>
  <c r="AF53" i="170"/>
  <c r="AF54" i="170"/>
  <c r="AF57" i="170"/>
  <c r="AF61" i="170"/>
  <c r="AF63" i="170"/>
  <c r="AF59" i="170"/>
  <c r="AF64" i="170"/>
  <c r="AF66" i="170"/>
  <c r="AF71" i="170"/>
  <c r="AF73" i="170"/>
  <c r="AF74" i="170"/>
  <c r="AF76" i="170"/>
  <c r="K16" i="110"/>
  <c r="K261" i="110"/>
  <c r="K271" i="110"/>
  <c r="K272" i="110"/>
  <c r="AC11" i="170"/>
  <c r="AC12" i="170"/>
  <c r="AC9" i="170"/>
  <c r="AC10" i="170"/>
  <c r="AC13" i="170"/>
  <c r="AC15" i="170"/>
  <c r="AC16" i="170"/>
  <c r="AC17" i="170"/>
  <c r="AC19" i="170"/>
  <c r="AC20" i="170"/>
  <c r="AC22" i="170"/>
  <c r="AC23" i="170"/>
  <c r="AC24" i="170"/>
  <c r="AC28" i="170"/>
  <c r="AC34" i="170"/>
  <c r="K324" i="112"/>
  <c r="K46" i="112"/>
  <c r="K301" i="112"/>
  <c r="K47" i="112"/>
  <c r="K302" i="112"/>
  <c r="K389" i="112"/>
  <c r="K391" i="112"/>
  <c r="K397" i="112"/>
  <c r="K546" i="112"/>
  <c r="AC35" i="170"/>
  <c r="AC36" i="170"/>
  <c r="AC38" i="170"/>
  <c r="AC39" i="170"/>
  <c r="AC40" i="170"/>
  <c r="AC42" i="170"/>
  <c r="AC43" i="170"/>
  <c r="AC44" i="170"/>
  <c r="AC45" i="170"/>
  <c r="AC46" i="170"/>
  <c r="AC47" i="170"/>
  <c r="AC49" i="170"/>
  <c r="AC50" i="170"/>
  <c r="AC53" i="170"/>
  <c r="AC54" i="170"/>
  <c r="AC57" i="170"/>
  <c r="AC61" i="170"/>
  <c r="AC63" i="170"/>
  <c r="AC59" i="170"/>
  <c r="AC64" i="170"/>
  <c r="AC66" i="170"/>
  <c r="AC71" i="170"/>
  <c r="AC73" i="170"/>
  <c r="AC74" i="170"/>
  <c r="AC76" i="170"/>
  <c r="K18" i="110"/>
  <c r="K279" i="110"/>
  <c r="K289" i="110"/>
  <c r="K290" i="110"/>
  <c r="AD11" i="170"/>
  <c r="AD12" i="170"/>
  <c r="AD9" i="170"/>
  <c r="AD10" i="170"/>
  <c r="AD13" i="170"/>
  <c r="AD15" i="170"/>
  <c r="AD16" i="170"/>
  <c r="AD17" i="170"/>
  <c r="AD19" i="170"/>
  <c r="AD20" i="170"/>
  <c r="AD22" i="170"/>
  <c r="AD23" i="170"/>
  <c r="AD24" i="170"/>
  <c r="AD28" i="170"/>
  <c r="AD34" i="170"/>
  <c r="K323" i="112"/>
  <c r="K379" i="112"/>
  <c r="K381" i="112"/>
  <c r="K384" i="112"/>
  <c r="K545" i="112"/>
  <c r="AD35" i="170"/>
  <c r="AD36" i="170"/>
  <c r="AD38" i="170"/>
  <c r="AD39" i="170"/>
  <c r="AD40" i="170"/>
  <c r="AD42" i="170"/>
  <c r="AD43" i="170"/>
  <c r="AD44" i="170"/>
  <c r="AD45" i="170"/>
  <c r="AD46" i="170"/>
  <c r="AD47" i="170"/>
  <c r="AD49" i="170"/>
  <c r="AD50" i="170"/>
  <c r="AD53" i="170"/>
  <c r="AD54" i="170"/>
  <c r="AD57" i="170"/>
  <c r="AD61" i="170"/>
  <c r="AD63" i="170"/>
  <c r="AD59" i="170"/>
  <c r="AD64" i="170"/>
  <c r="AD66" i="170"/>
  <c r="AD71" i="170"/>
  <c r="AD73" i="170"/>
  <c r="AD74" i="170"/>
  <c r="AD76" i="170"/>
  <c r="K19" i="110"/>
  <c r="K296" i="110"/>
  <c r="K307" i="110"/>
  <c r="AG11" i="170"/>
  <c r="AG12" i="170"/>
  <c r="AG9" i="170"/>
  <c r="AG10" i="170"/>
  <c r="AG13" i="170"/>
  <c r="AG15" i="170"/>
  <c r="AG16" i="170"/>
  <c r="AG17" i="170"/>
  <c r="AG19" i="170"/>
  <c r="AG20" i="170"/>
  <c r="AG22" i="170"/>
  <c r="AG23" i="170"/>
  <c r="AG24" i="170"/>
  <c r="AG28" i="170"/>
  <c r="K55" i="113"/>
  <c r="K311" i="113"/>
  <c r="K388" i="113"/>
  <c r="K128" i="113"/>
  <c r="K389" i="113"/>
  <c r="K137" i="113"/>
  <c r="K390" i="113"/>
  <c r="K391" i="113"/>
  <c r="K397" i="113"/>
  <c r="K532" i="113"/>
  <c r="AG34" i="170"/>
  <c r="AG35" i="170"/>
  <c r="AG36" i="170"/>
  <c r="AG38" i="170"/>
  <c r="AG39" i="170"/>
  <c r="AG40" i="170"/>
  <c r="AG42" i="170"/>
  <c r="AG43" i="170"/>
  <c r="AG44" i="170"/>
  <c r="AG45" i="170"/>
  <c r="AG46" i="170"/>
  <c r="AG47" i="170"/>
  <c r="AG49" i="170"/>
  <c r="AG50" i="170"/>
  <c r="AG53" i="170"/>
  <c r="AG54" i="170"/>
  <c r="AG57" i="170"/>
  <c r="AG61" i="170"/>
  <c r="AG63" i="170"/>
  <c r="AG59" i="170"/>
  <c r="AG64" i="170"/>
  <c r="AG66" i="170"/>
  <c r="AG71" i="170"/>
  <c r="AG73" i="170"/>
  <c r="AG74" i="170"/>
  <c r="AG76" i="170"/>
  <c r="K17" i="110"/>
  <c r="K314" i="110"/>
  <c r="K324" i="110"/>
  <c r="K325" i="110"/>
  <c r="K336" i="110"/>
  <c r="K416" i="110"/>
  <c r="V77" i="170"/>
  <c r="BM84" i="170"/>
  <c r="BN11" i="170"/>
  <c r="BN12" i="170"/>
  <c r="BN9" i="170"/>
  <c r="BN10" i="170"/>
  <c r="BN13" i="170"/>
  <c r="BN15" i="170"/>
  <c r="BN16" i="170"/>
  <c r="BN17" i="170"/>
  <c r="BN19" i="170"/>
  <c r="BN20" i="170"/>
  <c r="BN22" i="170"/>
  <c r="BN23" i="170"/>
  <c r="BN24" i="170"/>
  <c r="BN28" i="170"/>
  <c r="BN34" i="170"/>
  <c r="BN35" i="170"/>
  <c r="BN36" i="170"/>
  <c r="BN38" i="170"/>
  <c r="BN39" i="170"/>
  <c r="BN40" i="170"/>
  <c r="BN42" i="170"/>
  <c r="BN43" i="170"/>
  <c r="BN44" i="170"/>
  <c r="BN45" i="170"/>
  <c r="BN46" i="170"/>
  <c r="BN47" i="170"/>
  <c r="BN49" i="170"/>
  <c r="BN50" i="170"/>
  <c r="BN53" i="170"/>
  <c r="BN54" i="170"/>
  <c r="BN57" i="170"/>
  <c r="BN61" i="170"/>
  <c r="BN63" i="170"/>
  <c r="BN59" i="170"/>
  <c r="BN64" i="170"/>
  <c r="BN66" i="170"/>
  <c r="BN71" i="170"/>
  <c r="BN73" i="170"/>
  <c r="BN74" i="170"/>
  <c r="BN77" i="170"/>
  <c r="BN79" i="170"/>
  <c r="BN80" i="170"/>
  <c r="BN83" i="170"/>
  <c r="BN84" i="170"/>
  <c r="BN85" i="170"/>
  <c r="BN87" i="170"/>
  <c r="BN90" i="170"/>
  <c r="BO11" i="170"/>
  <c r="BO12" i="170"/>
  <c r="BO9" i="170"/>
  <c r="BO10" i="170"/>
  <c r="BO13" i="170"/>
  <c r="BO15" i="170"/>
  <c r="BO16" i="170"/>
  <c r="BO17" i="170"/>
  <c r="BO19" i="170"/>
  <c r="BO20" i="170"/>
  <c r="BO22" i="170"/>
  <c r="BO23" i="170"/>
  <c r="BO24" i="170"/>
  <c r="BO28" i="170"/>
  <c r="BO34" i="170"/>
  <c r="BO35" i="170"/>
  <c r="BO36" i="170"/>
  <c r="BO38" i="170"/>
  <c r="BO39" i="170"/>
  <c r="BO40" i="170"/>
  <c r="BO42" i="170"/>
  <c r="BO43" i="170"/>
  <c r="BO44" i="170"/>
  <c r="BO45" i="170"/>
  <c r="BO46" i="170"/>
  <c r="BO47" i="170"/>
  <c r="BO49" i="170"/>
  <c r="BO50" i="170"/>
  <c r="BO53" i="170"/>
  <c r="BO54" i="170"/>
  <c r="BO57" i="170"/>
  <c r="BO61" i="170"/>
  <c r="BO63" i="170"/>
  <c r="BO59" i="170"/>
  <c r="BO64" i="170"/>
  <c r="BO66" i="170"/>
  <c r="BO71" i="170"/>
  <c r="BO73" i="170"/>
  <c r="BO74" i="170"/>
  <c r="BO77" i="170"/>
  <c r="BO79" i="170"/>
  <c r="BO80" i="170"/>
  <c r="BO83" i="170"/>
  <c r="BO84" i="170"/>
  <c r="BO85" i="170"/>
  <c r="BO87" i="170"/>
  <c r="BO90" i="170"/>
  <c r="BH11" i="171"/>
  <c r="BH12" i="171"/>
  <c r="BH9" i="171"/>
  <c r="BH10" i="171"/>
  <c r="BH13" i="171"/>
  <c r="L272" i="41"/>
  <c r="L274" i="41"/>
  <c r="L279" i="41"/>
  <c r="L280" i="41"/>
  <c r="L281" i="41"/>
  <c r="L297" i="41"/>
  <c r="L299" i="41"/>
  <c r="L306" i="41"/>
  <c r="L285" i="41"/>
  <c r="L286" i="41"/>
  <c r="L287" i="41"/>
  <c r="L311" i="41"/>
  <c r="L481" i="41"/>
  <c r="BH23" i="171"/>
  <c r="BH34" i="171"/>
  <c r="AK11" i="171"/>
  <c r="AK12" i="171"/>
  <c r="AK9" i="171"/>
  <c r="AK10" i="171"/>
  <c r="AK13" i="171"/>
  <c r="AK15" i="171"/>
  <c r="AK16" i="171"/>
  <c r="AK17" i="171"/>
  <c r="AK19" i="171"/>
  <c r="AK20" i="171"/>
  <c r="AK22" i="171"/>
  <c r="AK23" i="171"/>
  <c r="AK24" i="171"/>
  <c r="AK28" i="171"/>
  <c r="AK34" i="171"/>
  <c r="AK35" i="171"/>
  <c r="AK36" i="171"/>
  <c r="AK38" i="171"/>
  <c r="L31" i="48"/>
  <c r="L32" i="48"/>
  <c r="L50" i="48"/>
  <c r="L155" i="48"/>
  <c r="L220" i="48"/>
  <c r="AK39" i="171"/>
  <c r="AK40" i="171"/>
  <c r="AK42" i="171"/>
  <c r="AK43" i="171"/>
  <c r="AK44" i="171"/>
  <c r="AK45" i="171"/>
  <c r="AK46" i="171"/>
  <c r="AK47" i="171"/>
  <c r="AK49" i="171"/>
  <c r="AK50" i="171"/>
  <c r="AK53" i="171"/>
  <c r="AK54" i="171"/>
  <c r="AK57" i="171"/>
  <c r="AK61" i="171"/>
  <c r="AK63" i="171"/>
  <c r="AK59" i="171"/>
  <c r="AK64" i="171"/>
  <c r="AK66" i="171"/>
  <c r="AK71" i="171"/>
  <c r="AK73" i="171"/>
  <c r="AK74" i="171"/>
  <c r="AK77" i="171"/>
  <c r="AK79" i="171"/>
  <c r="AK80" i="171"/>
  <c r="AK83" i="171"/>
  <c r="AK85" i="171"/>
  <c r="AK87" i="171"/>
  <c r="AK90" i="171"/>
  <c r="L9" i="46"/>
  <c r="L97" i="46"/>
  <c r="L120" i="46"/>
  <c r="L102" i="46"/>
  <c r="L122" i="46"/>
  <c r="L17" i="46"/>
  <c r="L121" i="46"/>
  <c r="L123" i="46"/>
  <c r="L126" i="46"/>
  <c r="L127" i="46"/>
  <c r="L128" i="46"/>
  <c r="L33" i="46"/>
  <c r="L132" i="46"/>
  <c r="L34" i="46"/>
  <c r="L133" i="46"/>
  <c r="L137" i="46"/>
  <c r="L184" i="46"/>
  <c r="BH38" i="171"/>
  <c r="L158" i="48"/>
  <c r="L164" i="48"/>
  <c r="L232" i="48"/>
  <c r="BH39" i="171"/>
  <c r="BH40" i="171"/>
  <c r="BH42" i="171"/>
  <c r="BH43" i="171"/>
  <c r="BH44" i="171"/>
  <c r="BH45" i="171"/>
  <c r="BH46" i="171"/>
  <c r="BH47" i="171"/>
  <c r="BH49" i="171"/>
  <c r="BH50" i="171"/>
  <c r="BH53" i="171"/>
  <c r="BH54" i="171"/>
  <c r="L18" i="157"/>
  <c r="L19" i="157"/>
  <c r="L102" i="157"/>
  <c r="L103" i="157"/>
  <c r="L104" i="157"/>
  <c r="L105" i="157"/>
  <c r="L107" i="157"/>
  <c r="L108" i="157"/>
  <c r="L109" i="157"/>
  <c r="L110" i="157"/>
  <c r="L114" i="157"/>
  <c r="L178" i="157"/>
  <c r="BH57" i="171"/>
  <c r="L19" i="140"/>
  <c r="L20" i="140"/>
  <c r="L95" i="140"/>
  <c r="L104" i="140"/>
  <c r="L105" i="140"/>
  <c r="L106" i="140"/>
  <c r="L107" i="140"/>
  <c r="L109" i="140"/>
  <c r="L110" i="140"/>
  <c r="L111" i="140"/>
  <c r="L112" i="140"/>
  <c r="L113" i="140"/>
  <c r="L116" i="140"/>
  <c r="L178" i="140"/>
  <c r="BH61" i="171"/>
  <c r="L20" i="138"/>
  <c r="L75" i="138"/>
  <c r="L69" i="138"/>
  <c r="L76" i="138"/>
  <c r="L80" i="138"/>
  <c r="L111" i="138"/>
  <c r="R11" i="171"/>
  <c r="R12" i="171"/>
  <c r="L21" i="137"/>
  <c r="L82" i="137"/>
  <c r="C13" i="35"/>
  <c r="D13" i="35"/>
  <c r="L83" i="137"/>
  <c r="L65" i="137"/>
  <c r="L84" i="137"/>
  <c r="L85" i="137"/>
  <c r="L89" i="137"/>
  <c r="L135" i="137"/>
  <c r="R9" i="171"/>
  <c r="R10" i="171"/>
  <c r="R13" i="171"/>
  <c r="L29" i="49"/>
  <c r="L113" i="49"/>
  <c r="L114" i="49"/>
  <c r="L115" i="49"/>
  <c r="L93" i="49"/>
  <c r="L116" i="49"/>
  <c r="L21" i="49"/>
  <c r="L124" i="49"/>
  <c r="L125" i="49"/>
  <c r="L126" i="49"/>
  <c r="L127" i="49"/>
  <c r="L131" i="49"/>
  <c r="L195" i="49"/>
  <c r="R15" i="171"/>
  <c r="L28" i="62"/>
  <c r="L101" i="62"/>
  <c r="L92" i="62"/>
  <c r="L102" i="62"/>
  <c r="L20" i="62"/>
  <c r="L110" i="62"/>
  <c r="L111" i="62"/>
  <c r="L115" i="62"/>
  <c r="L157" i="62"/>
  <c r="R16" i="171"/>
  <c r="R17" i="171"/>
  <c r="L176" i="39"/>
  <c r="L184" i="39"/>
  <c r="L235" i="39"/>
  <c r="L177" i="39"/>
  <c r="L185" i="39"/>
  <c r="L236" i="39"/>
  <c r="L178" i="39"/>
  <c r="L186" i="39"/>
  <c r="L237" i="39"/>
  <c r="L179" i="39"/>
  <c r="L187" i="39"/>
  <c r="L238" i="39"/>
  <c r="L239" i="39"/>
  <c r="L242" i="39"/>
  <c r="L442" i="39"/>
  <c r="R19" i="171"/>
  <c r="R20" i="171"/>
  <c r="L27" i="41"/>
  <c r="L276" i="41"/>
  <c r="L291" i="41"/>
  <c r="L93" i="41"/>
  <c r="L292" i="41"/>
  <c r="L293" i="41"/>
  <c r="L301" i="41"/>
  <c r="L440" i="41"/>
  <c r="R23" i="171"/>
  <c r="R34" i="171"/>
  <c r="R77" i="171"/>
  <c r="R79" i="171"/>
  <c r="R80" i="171"/>
  <c r="L32" i="46"/>
  <c r="L131" i="46"/>
  <c r="L170" i="46"/>
  <c r="R38" i="171"/>
  <c r="L23" i="48"/>
  <c r="L24" i="48"/>
  <c r="L49" i="48"/>
  <c r="L149" i="48"/>
  <c r="L150" i="48"/>
  <c r="L157" i="48"/>
  <c r="L213" i="48"/>
  <c r="R39" i="171"/>
  <c r="R40" i="171"/>
  <c r="R71" i="171"/>
  <c r="R73" i="171"/>
  <c r="R74" i="171"/>
  <c r="R42" i="171"/>
  <c r="R43" i="171"/>
  <c r="R44" i="171"/>
  <c r="R45" i="171"/>
  <c r="R46" i="171"/>
  <c r="R47" i="171"/>
  <c r="R49" i="171"/>
  <c r="R50" i="171"/>
  <c r="R53" i="171"/>
  <c r="R54" i="171"/>
  <c r="R57" i="171"/>
  <c r="R59" i="171"/>
  <c r="R61" i="171"/>
  <c r="S11" i="171"/>
  <c r="S12" i="171"/>
  <c r="S9" i="171"/>
  <c r="S10" i="171"/>
  <c r="S13" i="171"/>
  <c r="S15" i="171"/>
  <c r="S16" i="171"/>
  <c r="S17" i="171"/>
  <c r="S19" i="171"/>
  <c r="S20" i="171"/>
  <c r="S22" i="171"/>
  <c r="S23" i="171"/>
  <c r="S24" i="171"/>
  <c r="S28" i="171"/>
  <c r="S34" i="171"/>
  <c r="S35" i="171"/>
  <c r="S36" i="171"/>
  <c r="S77" i="171"/>
  <c r="S79" i="171"/>
  <c r="S80" i="171"/>
  <c r="S38" i="171"/>
  <c r="S39" i="171"/>
  <c r="S40" i="171"/>
  <c r="L20" i="31"/>
  <c r="L15" i="31"/>
  <c r="L137" i="31"/>
  <c r="L47" i="31"/>
  <c r="L48" i="31"/>
  <c r="L59" i="31"/>
  <c r="L131" i="31"/>
  <c r="L150" i="31"/>
  <c r="S71" i="171"/>
  <c r="L18" i="142"/>
  <c r="L19" i="142"/>
  <c r="L27" i="142"/>
  <c r="L28" i="142"/>
  <c r="L81" i="142"/>
  <c r="L85" i="142"/>
  <c r="L86" i="142"/>
  <c r="L87" i="142"/>
  <c r="L88" i="142"/>
  <c r="L115" i="142"/>
  <c r="S42" i="171"/>
  <c r="L19" i="143"/>
  <c r="L20" i="143"/>
  <c r="L71" i="143"/>
  <c r="L75" i="143"/>
  <c r="L76" i="143"/>
  <c r="L77" i="143"/>
  <c r="L79" i="143"/>
  <c r="L111" i="143"/>
  <c r="S43" i="171"/>
  <c r="L19" i="144"/>
  <c r="L20" i="144"/>
  <c r="L71" i="144"/>
  <c r="L75" i="144"/>
  <c r="L76" i="144"/>
  <c r="L77" i="144"/>
  <c r="L79" i="144"/>
  <c r="L111" i="144"/>
  <c r="S44" i="171"/>
  <c r="L19" i="147"/>
  <c r="L20" i="147"/>
  <c r="L63" i="147"/>
  <c r="L68" i="147"/>
  <c r="L69" i="147"/>
  <c r="L70" i="147"/>
  <c r="L71" i="147"/>
  <c r="L107" i="147"/>
  <c r="S45" i="171"/>
  <c r="L19" i="146"/>
  <c r="L20" i="146"/>
  <c r="L65" i="146"/>
  <c r="L70" i="146"/>
  <c r="L71" i="146"/>
  <c r="L72" i="146"/>
  <c r="L73" i="146"/>
  <c r="L109" i="146"/>
  <c r="S46" i="171"/>
  <c r="S47" i="171"/>
  <c r="L19" i="145"/>
  <c r="L20" i="145"/>
  <c r="L63" i="145"/>
  <c r="L68" i="145"/>
  <c r="L69" i="145"/>
  <c r="L70" i="145"/>
  <c r="L71" i="145"/>
  <c r="L109" i="145"/>
  <c r="S49" i="171"/>
  <c r="S50" i="171"/>
  <c r="L18" i="141"/>
  <c r="L19" i="141"/>
  <c r="L28" i="141"/>
  <c r="L93" i="141"/>
  <c r="L97" i="141"/>
  <c r="L98" i="141"/>
  <c r="L99" i="141"/>
  <c r="L100" i="141"/>
  <c r="L103" i="141"/>
  <c r="L140" i="141"/>
  <c r="S53" i="171"/>
  <c r="S54" i="171"/>
  <c r="L166" i="157"/>
  <c r="S57" i="171"/>
  <c r="L19" i="139"/>
  <c r="L20" i="139"/>
  <c r="L98" i="139"/>
  <c r="L99" i="139"/>
  <c r="L100" i="139"/>
  <c r="L101" i="139"/>
  <c r="L103" i="139"/>
  <c r="L158" i="139"/>
  <c r="S59" i="171"/>
  <c r="L166" i="140"/>
  <c r="S61" i="171"/>
  <c r="L104" i="139"/>
  <c r="L105" i="139"/>
  <c r="L106" i="139"/>
  <c r="L107" i="139"/>
  <c r="L111" i="139"/>
  <c r="L170" i="139"/>
  <c r="BH59" i="171"/>
  <c r="BH71" i="171"/>
  <c r="BH73" i="171"/>
  <c r="BH74" i="171"/>
  <c r="BH77" i="171"/>
  <c r="BH79" i="171"/>
  <c r="BH80" i="171"/>
  <c r="BH83" i="171"/>
  <c r="BH84" i="171"/>
  <c r="BH85" i="171"/>
  <c r="BH87" i="171"/>
  <c r="BI11" i="171"/>
  <c r="BI12" i="171"/>
  <c r="BI9" i="171"/>
  <c r="BI10" i="171"/>
  <c r="BI13" i="171"/>
  <c r="L94" i="49"/>
  <c r="L117" i="49"/>
  <c r="L132" i="49"/>
  <c r="L95" i="49"/>
  <c r="L118" i="49"/>
  <c r="L133" i="49"/>
  <c r="L96" i="49"/>
  <c r="L119" i="49"/>
  <c r="L134" i="49"/>
  <c r="L168" i="49" a="1"/>
  <c r="L168" i="49"/>
  <c r="L208" i="49"/>
  <c r="BI15" i="171"/>
  <c r="L93" i="62"/>
  <c r="L103" i="62"/>
  <c r="L116" i="62"/>
  <c r="L94" i="62"/>
  <c r="L104" i="62"/>
  <c r="L117" i="62"/>
  <c r="L95" i="62"/>
  <c r="L105" i="62"/>
  <c r="L118" i="62"/>
  <c r="L123" i="62" a="1"/>
  <c r="L123" i="62"/>
  <c r="L170" i="62"/>
  <c r="BI16" i="171"/>
  <c r="BI17" i="171"/>
  <c r="L243" i="39"/>
  <c r="L244" i="39"/>
  <c r="L245" i="39"/>
  <c r="L246" i="39"/>
  <c r="L344" i="39" a="1"/>
  <c r="L344" i="39"/>
  <c r="L456" i="39"/>
  <c r="BI19" i="171"/>
  <c r="BI20" i="171"/>
  <c r="L307" i="41"/>
  <c r="L312" i="41"/>
  <c r="L482" i="41"/>
  <c r="BI23" i="171"/>
  <c r="BI34" i="171"/>
  <c r="L138" i="46"/>
  <c r="L185" i="46"/>
  <c r="BI38" i="171"/>
  <c r="L165" i="48"/>
  <c r="L233" i="48"/>
  <c r="BI39" i="171"/>
  <c r="BI40" i="171"/>
  <c r="BI42" i="171"/>
  <c r="BI43" i="171"/>
  <c r="BI44" i="171"/>
  <c r="BI45" i="171"/>
  <c r="BI46" i="171"/>
  <c r="BI47" i="171"/>
  <c r="BI49" i="171"/>
  <c r="BI50" i="171"/>
  <c r="BI53" i="171"/>
  <c r="BI54" i="171"/>
  <c r="L115" i="157"/>
  <c r="L179" i="157"/>
  <c r="BI57" i="171"/>
  <c r="L117" i="140"/>
  <c r="L179" i="140"/>
  <c r="BI61" i="171"/>
  <c r="L112" i="139"/>
  <c r="L171" i="139"/>
  <c r="BI59" i="171"/>
  <c r="BI71" i="171"/>
  <c r="BI73" i="171"/>
  <c r="BI74" i="171"/>
  <c r="BI77" i="171"/>
  <c r="BI79" i="171"/>
  <c r="BI80" i="171"/>
  <c r="BI83" i="171"/>
  <c r="BI84" i="171"/>
  <c r="BI85" i="171"/>
  <c r="BI87" i="171"/>
  <c r="BJ11" i="171"/>
  <c r="BJ12" i="171"/>
  <c r="BJ9" i="171"/>
  <c r="BJ10" i="171"/>
  <c r="BJ13" i="171"/>
  <c r="L169" i="49" a="1"/>
  <c r="L169" i="49"/>
  <c r="L209" i="49"/>
  <c r="BJ15" i="171"/>
  <c r="L124" i="62" a="1"/>
  <c r="L124" i="62"/>
  <c r="L171" i="62"/>
  <c r="BJ16" i="171"/>
  <c r="BJ17" i="171"/>
  <c r="L345" i="39" a="1"/>
  <c r="L345" i="39"/>
  <c r="L457" i="39"/>
  <c r="BJ19" i="171"/>
  <c r="BJ20" i="171"/>
  <c r="L308" i="41"/>
  <c r="L313" i="41"/>
  <c r="L483" i="41"/>
  <c r="BJ23" i="171"/>
  <c r="BJ34" i="171"/>
  <c r="L139" i="46"/>
  <c r="L186" i="46"/>
  <c r="BJ38" i="171"/>
  <c r="L166" i="48"/>
  <c r="L234" i="48"/>
  <c r="BJ39" i="171"/>
  <c r="BJ40" i="171"/>
  <c r="BJ42" i="171"/>
  <c r="BJ43" i="171"/>
  <c r="BJ44" i="171"/>
  <c r="BJ45" i="171"/>
  <c r="BJ46" i="171"/>
  <c r="BJ47" i="171"/>
  <c r="BJ49" i="171"/>
  <c r="BJ50" i="171"/>
  <c r="BJ53" i="171"/>
  <c r="BJ54" i="171"/>
  <c r="L116" i="157"/>
  <c r="L180" i="157"/>
  <c r="BJ57" i="171"/>
  <c r="L118" i="140"/>
  <c r="L180" i="140"/>
  <c r="BJ61" i="171"/>
  <c r="L113" i="139"/>
  <c r="L172" i="139"/>
  <c r="BJ59" i="171"/>
  <c r="BJ71" i="171"/>
  <c r="BJ73" i="171"/>
  <c r="BJ74" i="171"/>
  <c r="BJ77" i="171"/>
  <c r="BJ79" i="171"/>
  <c r="BJ80" i="171"/>
  <c r="BJ83" i="171"/>
  <c r="BJ84" i="171"/>
  <c r="BJ85" i="171"/>
  <c r="BJ87" i="171"/>
  <c r="BK11" i="171"/>
  <c r="BK12" i="171"/>
  <c r="BK9" i="171"/>
  <c r="BK10" i="171"/>
  <c r="BK13" i="171"/>
  <c r="BK15" i="171"/>
  <c r="BK16" i="171"/>
  <c r="BK17" i="171"/>
  <c r="BK19" i="171"/>
  <c r="BK20" i="171"/>
  <c r="BK22" i="171"/>
  <c r="BK23" i="171"/>
  <c r="BK24" i="171"/>
  <c r="BK28" i="171"/>
  <c r="BK34" i="171"/>
  <c r="BK35" i="171"/>
  <c r="BK36" i="171"/>
  <c r="BK38" i="171"/>
  <c r="BK39" i="171"/>
  <c r="BK40" i="171"/>
  <c r="BK42" i="171"/>
  <c r="BK43" i="171"/>
  <c r="BK44" i="171"/>
  <c r="BK45" i="171"/>
  <c r="BK46" i="171"/>
  <c r="BK47" i="171"/>
  <c r="BK49" i="171"/>
  <c r="BK50" i="171"/>
  <c r="BK53" i="171"/>
  <c r="BK54" i="171"/>
  <c r="BK57" i="171"/>
  <c r="BK61" i="171"/>
  <c r="BK63" i="171"/>
  <c r="BK59" i="171"/>
  <c r="BK64" i="171"/>
  <c r="BK66" i="171"/>
  <c r="BK71" i="171"/>
  <c r="BK73" i="171"/>
  <c r="BK74" i="171"/>
  <c r="BK77" i="171"/>
  <c r="BK79" i="171"/>
  <c r="BK80" i="171"/>
  <c r="BK83" i="171"/>
  <c r="BK84" i="171"/>
  <c r="BK85" i="171"/>
  <c r="BK87" i="171"/>
  <c r="BK90" i="171"/>
  <c r="BL11" i="171"/>
  <c r="BL12" i="171"/>
  <c r="BL9" i="171"/>
  <c r="BL10" i="171"/>
  <c r="BL13" i="171"/>
  <c r="BL15" i="171"/>
  <c r="BL16" i="171"/>
  <c r="BL17" i="171"/>
  <c r="BL19" i="171"/>
  <c r="BL20" i="171"/>
  <c r="BL22" i="171"/>
  <c r="BL23" i="171"/>
  <c r="BL24" i="171"/>
  <c r="BL28" i="171"/>
  <c r="BL34" i="171"/>
  <c r="BL35" i="171"/>
  <c r="BL36" i="171"/>
  <c r="BL38" i="171"/>
  <c r="L162" i="48"/>
  <c r="L230" i="48"/>
  <c r="BL39" i="171"/>
  <c r="BL40" i="171"/>
  <c r="BL42" i="171"/>
  <c r="BL43" i="171"/>
  <c r="BL44" i="171"/>
  <c r="BL45" i="171"/>
  <c r="BL46" i="171"/>
  <c r="BL47" i="171"/>
  <c r="BL49" i="171"/>
  <c r="BL50" i="171"/>
  <c r="BL53" i="171"/>
  <c r="BL54" i="171"/>
  <c r="BL57" i="171"/>
  <c r="BL61" i="171"/>
  <c r="BL63" i="171"/>
  <c r="BL59" i="171"/>
  <c r="BL64" i="171"/>
  <c r="BL66" i="171"/>
  <c r="BL71" i="171"/>
  <c r="BL73" i="171"/>
  <c r="BL74" i="171"/>
  <c r="BL77" i="171"/>
  <c r="BL79" i="171"/>
  <c r="BL80" i="171"/>
  <c r="BL83" i="171"/>
  <c r="BL84" i="171"/>
  <c r="BL85" i="171"/>
  <c r="BL87" i="171"/>
  <c r="BL90" i="171"/>
  <c r="BM11" i="171"/>
  <c r="BM12" i="171"/>
  <c r="BM9" i="171"/>
  <c r="BM10" i="171"/>
  <c r="BM13" i="171"/>
  <c r="BM15" i="171"/>
  <c r="BM16" i="171"/>
  <c r="BM17" i="171"/>
  <c r="BM19" i="171"/>
  <c r="BM20" i="171"/>
  <c r="BM22" i="171"/>
  <c r="BM23" i="171"/>
  <c r="BM24" i="171"/>
  <c r="BM28" i="171"/>
  <c r="BM34" i="171"/>
  <c r="BM35" i="171"/>
  <c r="BM36" i="171"/>
  <c r="BM38" i="171"/>
  <c r="L161" i="48"/>
  <c r="L231" i="48"/>
  <c r="BM39" i="171"/>
  <c r="BM40" i="171"/>
  <c r="BM42" i="171"/>
  <c r="BM43" i="171"/>
  <c r="BM44" i="171"/>
  <c r="BM45" i="171"/>
  <c r="BM46" i="171"/>
  <c r="BM47" i="171"/>
  <c r="BM49" i="171"/>
  <c r="BM50" i="171"/>
  <c r="BM53" i="171"/>
  <c r="BM54" i="171"/>
  <c r="BM57" i="171"/>
  <c r="BM61" i="171"/>
  <c r="BM63" i="171"/>
  <c r="BM59" i="171"/>
  <c r="BM64" i="171"/>
  <c r="BM66" i="171"/>
  <c r="BM71" i="171"/>
  <c r="BM73" i="171"/>
  <c r="BM74" i="171"/>
  <c r="BM77" i="171"/>
  <c r="BM79" i="171"/>
  <c r="BM80" i="171"/>
  <c r="V11" i="171"/>
  <c r="V12" i="171"/>
  <c r="V9" i="171"/>
  <c r="V10" i="171"/>
  <c r="V13" i="171"/>
  <c r="L197" i="49"/>
  <c r="V15" i="171"/>
  <c r="L159" i="62"/>
  <c r="V16" i="171"/>
  <c r="V17" i="171"/>
  <c r="L445" i="39"/>
  <c r="V19" i="171"/>
  <c r="V20" i="171"/>
  <c r="L442" i="41"/>
  <c r="V23" i="171"/>
  <c r="V34" i="171"/>
  <c r="L172" i="46"/>
  <c r="V38" i="171"/>
  <c r="L152" i="48"/>
  <c r="L215" i="48"/>
  <c r="V39" i="171"/>
  <c r="V40" i="171"/>
  <c r="V42" i="171"/>
  <c r="V43" i="171"/>
  <c r="V44" i="171"/>
  <c r="V45" i="171"/>
  <c r="V46" i="171"/>
  <c r="V47" i="171"/>
  <c r="V49" i="171"/>
  <c r="V50" i="171"/>
  <c r="V53" i="171"/>
  <c r="V54" i="171"/>
  <c r="V57" i="171"/>
  <c r="L167" i="140"/>
  <c r="V61" i="171"/>
  <c r="V63" i="171"/>
  <c r="V59" i="171"/>
  <c r="V64" i="171"/>
  <c r="V71" i="171"/>
  <c r="V73" i="171"/>
  <c r="V74" i="171"/>
  <c r="AE11" i="171"/>
  <c r="AE12" i="171"/>
  <c r="AE9" i="171"/>
  <c r="AE10" i="171"/>
  <c r="AE13" i="171"/>
  <c r="AE15" i="171"/>
  <c r="AE16" i="171"/>
  <c r="AE17" i="171"/>
  <c r="AE19" i="171"/>
  <c r="AE20" i="171"/>
  <c r="AE22" i="171"/>
  <c r="AE23" i="171"/>
  <c r="AE24" i="171"/>
  <c r="AE28" i="171"/>
  <c r="L19" i="113"/>
  <c r="L307" i="113"/>
  <c r="L316" i="113"/>
  <c r="L345" i="113"/>
  <c r="L346" i="113" a="1"/>
  <c r="L346" i="113"/>
  <c r="L28" i="113"/>
  <c r="L308" i="113"/>
  <c r="L317" i="113"/>
  <c r="L351" i="113"/>
  <c r="L352" i="113" a="1"/>
  <c r="L352" i="113"/>
  <c r="L37" i="113"/>
  <c r="L309" i="113"/>
  <c r="L110" i="113"/>
  <c r="L318" i="113"/>
  <c r="L357" i="113"/>
  <c r="L358" i="113" a="1"/>
  <c r="L358" i="113"/>
  <c r="L364" i="113"/>
  <c r="L347" i="113"/>
  <c r="L353" i="113"/>
  <c r="L359" i="113"/>
  <c r="L365" i="113"/>
  <c r="L369" i="113"/>
  <c r="L530" i="113"/>
  <c r="AE34" i="171"/>
  <c r="L44" i="112"/>
  <c r="L299" i="112"/>
  <c r="L45" i="112"/>
  <c r="L300" i="112"/>
  <c r="L325" i="112"/>
  <c r="L402" i="112"/>
  <c r="L403" i="112"/>
  <c r="L405" i="112"/>
  <c r="L364" i="112"/>
  <c r="L326" i="112"/>
  <c r="L407" i="112"/>
  <c r="L408" i="112"/>
  <c r="L410" i="112"/>
  <c r="L412" i="112"/>
  <c r="L414" i="112"/>
  <c r="L423" i="112"/>
  <c r="L547" i="112"/>
  <c r="AE35" i="171"/>
  <c r="AE36" i="171"/>
  <c r="AE38" i="171"/>
  <c r="AE39" i="171"/>
  <c r="AE40" i="171"/>
  <c r="AE42" i="171"/>
  <c r="AE43" i="171"/>
  <c r="AE44" i="171"/>
  <c r="AE45" i="171"/>
  <c r="AE46" i="171"/>
  <c r="AE47" i="171"/>
  <c r="AE49" i="171"/>
  <c r="AE50" i="171"/>
  <c r="AE53" i="171"/>
  <c r="AE54" i="171"/>
  <c r="AE57" i="171"/>
  <c r="AE61" i="171"/>
  <c r="AE63" i="171"/>
  <c r="AE59" i="171"/>
  <c r="AE64" i="171"/>
  <c r="AE66" i="171"/>
  <c r="AE71" i="171"/>
  <c r="AE73" i="171"/>
  <c r="AE74" i="171"/>
  <c r="AE76" i="171"/>
  <c r="L15" i="110"/>
  <c r="L243" i="110"/>
  <c r="L253" i="110"/>
  <c r="L254" i="110"/>
  <c r="AF11" i="171"/>
  <c r="AF12" i="171"/>
  <c r="AF9" i="171"/>
  <c r="AF10" i="171"/>
  <c r="AF13" i="171"/>
  <c r="AF15" i="171"/>
  <c r="AF16" i="171"/>
  <c r="AF17" i="171"/>
  <c r="AF19" i="171"/>
  <c r="AF20" i="171"/>
  <c r="AF22" i="171"/>
  <c r="AF23" i="171"/>
  <c r="AF24" i="171"/>
  <c r="AF28" i="171"/>
  <c r="L331" i="113"/>
  <c r="L375" i="113"/>
  <c r="L101" i="113"/>
  <c r="L376" i="113"/>
  <c r="L332" i="113"/>
  <c r="L378" i="113"/>
  <c r="L379" i="113"/>
  <c r="L382" i="113"/>
  <c r="L119" i="113"/>
  <c r="L319" i="113"/>
  <c r="L407" i="113"/>
  <c r="L46" i="113"/>
  <c r="L310" i="113"/>
  <c r="L402" i="113"/>
  <c r="L408" i="113"/>
  <c r="L415" i="113"/>
  <c r="L531" i="113"/>
  <c r="AF34" i="171"/>
  <c r="L312" i="112"/>
  <c r="L314" i="112"/>
  <c r="L327" i="112"/>
  <c r="L416" i="112"/>
  <c r="L418" i="112"/>
  <c r="L420" i="112"/>
  <c r="L424" i="112"/>
  <c r="L548" i="112"/>
  <c r="AF35" i="171"/>
  <c r="AF36" i="171"/>
  <c r="AF38" i="171"/>
  <c r="AF39" i="171"/>
  <c r="AF40" i="171"/>
  <c r="AF42" i="171"/>
  <c r="AF43" i="171"/>
  <c r="AF44" i="171"/>
  <c r="AF45" i="171"/>
  <c r="AF46" i="171"/>
  <c r="AF47" i="171"/>
  <c r="AF49" i="171"/>
  <c r="AF50" i="171"/>
  <c r="AF53" i="171"/>
  <c r="AF54" i="171"/>
  <c r="AF57" i="171"/>
  <c r="AF61" i="171"/>
  <c r="AF63" i="171"/>
  <c r="AF59" i="171"/>
  <c r="AF64" i="171"/>
  <c r="AF66" i="171"/>
  <c r="AF71" i="171"/>
  <c r="AF73" i="171"/>
  <c r="AF74" i="171"/>
  <c r="AF76" i="171"/>
  <c r="L16" i="110"/>
  <c r="L261" i="110"/>
  <c r="L271" i="110"/>
  <c r="L272" i="110"/>
  <c r="AC11" i="171"/>
  <c r="AC12" i="171"/>
  <c r="AC9" i="171"/>
  <c r="AC10" i="171"/>
  <c r="AC13" i="171"/>
  <c r="AC15" i="171"/>
  <c r="AC16" i="171"/>
  <c r="AC17" i="171"/>
  <c r="AC19" i="171"/>
  <c r="AC20" i="171"/>
  <c r="AC22" i="171"/>
  <c r="AC23" i="171"/>
  <c r="AC24" i="171"/>
  <c r="AC28" i="171"/>
  <c r="AC34" i="171"/>
  <c r="L324" i="112"/>
  <c r="L46" i="112"/>
  <c r="L301" i="112"/>
  <c r="L47" i="112"/>
  <c r="L302" i="112"/>
  <c r="L389" i="112"/>
  <c r="L391" i="112"/>
  <c r="L397" i="112"/>
  <c r="L546" i="112"/>
  <c r="AC35" i="171"/>
  <c r="AC36" i="171"/>
  <c r="AC38" i="171"/>
  <c r="AC39" i="171"/>
  <c r="AC40" i="171"/>
  <c r="AC42" i="171"/>
  <c r="AC43" i="171"/>
  <c r="AC44" i="171"/>
  <c r="AC45" i="171"/>
  <c r="AC46" i="171"/>
  <c r="AC47" i="171"/>
  <c r="AC49" i="171"/>
  <c r="AC50" i="171"/>
  <c r="AC53" i="171"/>
  <c r="AC54" i="171"/>
  <c r="AC57" i="171"/>
  <c r="AC61" i="171"/>
  <c r="AC63" i="171"/>
  <c r="AC59" i="171"/>
  <c r="AC64" i="171"/>
  <c r="AC66" i="171"/>
  <c r="AC71" i="171"/>
  <c r="AC73" i="171"/>
  <c r="AC74" i="171"/>
  <c r="AC76" i="171"/>
  <c r="L18" i="110"/>
  <c r="L279" i="110"/>
  <c r="L289" i="110"/>
  <c r="L290" i="110"/>
  <c r="AD11" i="171"/>
  <c r="AD12" i="171"/>
  <c r="AD9" i="171"/>
  <c r="AD10" i="171"/>
  <c r="AD13" i="171"/>
  <c r="AD15" i="171"/>
  <c r="AD16" i="171"/>
  <c r="AD17" i="171"/>
  <c r="AD19" i="171"/>
  <c r="AD20" i="171"/>
  <c r="AD22" i="171"/>
  <c r="AD23" i="171"/>
  <c r="AD24" i="171"/>
  <c r="AD28" i="171"/>
  <c r="AD34" i="171"/>
  <c r="L323" i="112"/>
  <c r="L379" i="112"/>
  <c r="L381" i="112"/>
  <c r="L384" i="112"/>
  <c r="L545" i="112"/>
  <c r="AD35" i="171"/>
  <c r="AD36" i="171"/>
  <c r="AD38" i="171"/>
  <c r="AD39" i="171"/>
  <c r="AD40" i="171"/>
  <c r="AD42" i="171"/>
  <c r="AD43" i="171"/>
  <c r="AD44" i="171"/>
  <c r="AD45" i="171"/>
  <c r="AD46" i="171"/>
  <c r="AD47" i="171"/>
  <c r="AD49" i="171"/>
  <c r="AD50" i="171"/>
  <c r="AD53" i="171"/>
  <c r="AD54" i="171"/>
  <c r="AD57" i="171"/>
  <c r="AD61" i="171"/>
  <c r="AD63" i="171"/>
  <c r="AD59" i="171"/>
  <c r="AD64" i="171"/>
  <c r="AD66" i="171"/>
  <c r="AD71" i="171"/>
  <c r="AD73" i="171"/>
  <c r="AD74" i="171"/>
  <c r="AD76" i="171"/>
  <c r="L19" i="110"/>
  <c r="L296" i="110"/>
  <c r="L307" i="110"/>
  <c r="AG11" i="171"/>
  <c r="AG12" i="171"/>
  <c r="AG9" i="171"/>
  <c r="AG10" i="171"/>
  <c r="AG13" i="171"/>
  <c r="AG15" i="171"/>
  <c r="AG16" i="171"/>
  <c r="AG17" i="171"/>
  <c r="AG19" i="171"/>
  <c r="AG20" i="171"/>
  <c r="AG22" i="171"/>
  <c r="AG23" i="171"/>
  <c r="AG24" i="171"/>
  <c r="AG28" i="171"/>
  <c r="L55" i="113"/>
  <c r="L311" i="113"/>
  <c r="L388" i="113"/>
  <c r="L128" i="113"/>
  <c r="L389" i="113"/>
  <c r="L137" i="113"/>
  <c r="L390" i="113"/>
  <c r="L391" i="113"/>
  <c r="L397" i="113"/>
  <c r="L532" i="113"/>
  <c r="AG34" i="171"/>
  <c r="AG35" i="171"/>
  <c r="AG36" i="171"/>
  <c r="AG38" i="171"/>
  <c r="AG39" i="171"/>
  <c r="AG40" i="171"/>
  <c r="AG42" i="171"/>
  <c r="AG43" i="171"/>
  <c r="AG44" i="171"/>
  <c r="AG45" i="171"/>
  <c r="AG46" i="171"/>
  <c r="AG47" i="171"/>
  <c r="AG49" i="171"/>
  <c r="AG50" i="171"/>
  <c r="AG53" i="171"/>
  <c r="AG54" i="171"/>
  <c r="AG57" i="171"/>
  <c r="AG61" i="171"/>
  <c r="AG63" i="171"/>
  <c r="AG59" i="171"/>
  <c r="AG64" i="171"/>
  <c r="AG66" i="171"/>
  <c r="AG71" i="171"/>
  <c r="AG73" i="171"/>
  <c r="AG74" i="171"/>
  <c r="AG76" i="171"/>
  <c r="L17" i="110"/>
  <c r="L314" i="110"/>
  <c r="L324" i="110"/>
  <c r="L325" i="110"/>
  <c r="L336" i="110"/>
  <c r="L416" i="110"/>
  <c r="V77" i="171"/>
  <c r="BM84" i="171"/>
  <c r="BN11" i="171"/>
  <c r="BN12" i="171"/>
  <c r="BN9" i="171"/>
  <c r="BN10" i="171"/>
  <c r="BN13" i="171"/>
  <c r="BN15" i="171"/>
  <c r="BN16" i="171"/>
  <c r="BN17" i="171"/>
  <c r="BN19" i="171"/>
  <c r="BN20" i="171"/>
  <c r="BN22" i="171"/>
  <c r="BN23" i="171"/>
  <c r="BN24" i="171"/>
  <c r="BN28" i="171"/>
  <c r="BN34" i="171"/>
  <c r="BN35" i="171"/>
  <c r="BN36" i="171"/>
  <c r="BN38" i="171"/>
  <c r="BN39" i="171"/>
  <c r="BN40" i="171"/>
  <c r="BN42" i="171"/>
  <c r="BN43" i="171"/>
  <c r="BN44" i="171"/>
  <c r="BN45" i="171"/>
  <c r="BN46" i="171"/>
  <c r="BN47" i="171"/>
  <c r="BN49" i="171"/>
  <c r="BN50" i="171"/>
  <c r="BN53" i="171"/>
  <c r="BN54" i="171"/>
  <c r="BN57" i="171"/>
  <c r="BN61" i="171"/>
  <c r="BN63" i="171"/>
  <c r="BN59" i="171"/>
  <c r="BN64" i="171"/>
  <c r="BN66" i="171"/>
  <c r="BN71" i="171"/>
  <c r="BN73" i="171"/>
  <c r="BN74" i="171"/>
  <c r="BN77" i="171"/>
  <c r="BN79" i="171"/>
  <c r="BN80" i="171"/>
  <c r="BN83" i="171"/>
  <c r="BN84" i="171"/>
  <c r="BN85" i="171"/>
  <c r="BN87" i="171"/>
  <c r="BN90" i="171"/>
  <c r="BO11" i="171"/>
  <c r="BO12" i="171"/>
  <c r="BO9" i="171"/>
  <c r="BO10" i="171"/>
  <c r="BO13" i="171"/>
  <c r="BO15" i="171"/>
  <c r="BO16" i="171"/>
  <c r="BO17" i="171"/>
  <c r="BO19" i="171"/>
  <c r="BO20" i="171"/>
  <c r="BO22" i="171"/>
  <c r="BO23" i="171"/>
  <c r="BO24" i="171"/>
  <c r="BO28" i="171"/>
  <c r="BO34" i="171"/>
  <c r="BO35" i="171"/>
  <c r="BO36" i="171"/>
  <c r="BO38" i="171"/>
  <c r="BO39" i="171"/>
  <c r="BO40" i="171"/>
  <c r="BO42" i="171"/>
  <c r="BO43" i="171"/>
  <c r="BO44" i="171"/>
  <c r="BO45" i="171"/>
  <c r="BO46" i="171"/>
  <c r="BO47" i="171"/>
  <c r="BO49" i="171"/>
  <c r="BO50" i="171"/>
  <c r="BO53" i="171"/>
  <c r="BO54" i="171"/>
  <c r="BO57" i="171"/>
  <c r="BO61" i="171"/>
  <c r="BO63" i="171"/>
  <c r="BO59" i="171"/>
  <c r="BO64" i="171"/>
  <c r="BO66" i="171"/>
  <c r="BO71" i="171"/>
  <c r="BO73" i="171"/>
  <c r="BO74" i="171"/>
  <c r="BO77" i="171"/>
  <c r="BO79" i="171"/>
  <c r="BO80" i="171"/>
  <c r="BO83" i="171"/>
  <c r="BO84" i="171"/>
  <c r="BO85" i="171"/>
  <c r="BO87" i="171"/>
  <c r="BO90" i="171"/>
  <c r="BH11" i="172"/>
  <c r="BH12" i="172"/>
  <c r="BH9" i="172"/>
  <c r="BH10" i="172"/>
  <c r="BH13" i="172"/>
  <c r="M272" i="41"/>
  <c r="M274" i="41"/>
  <c r="M279" i="41"/>
  <c r="N75" i="41"/>
  <c r="M75" i="41"/>
  <c r="M280" i="41"/>
  <c r="M281" i="41"/>
  <c r="M297" i="41"/>
  <c r="M299" i="41"/>
  <c r="M306" i="41"/>
  <c r="M285" i="41"/>
  <c r="N84" i="41"/>
  <c r="M84" i="41"/>
  <c r="M286" i="41"/>
  <c r="M287" i="41"/>
  <c r="M311" i="41"/>
  <c r="M481" i="41"/>
  <c r="BH23" i="172"/>
  <c r="BH34" i="172"/>
  <c r="AK11" i="172"/>
  <c r="AK12" i="172"/>
  <c r="AK9" i="172"/>
  <c r="AK10" i="172"/>
  <c r="AK13" i="172"/>
  <c r="AK15" i="172"/>
  <c r="AK16" i="172"/>
  <c r="AK17" i="172"/>
  <c r="AK19" i="172"/>
  <c r="AK20" i="172"/>
  <c r="AK22" i="172"/>
  <c r="AK23" i="172"/>
  <c r="AK24" i="172"/>
  <c r="AK28" i="172"/>
  <c r="AK34" i="172"/>
  <c r="AK35" i="172"/>
  <c r="AK36" i="172"/>
  <c r="AK38" i="172"/>
  <c r="M31" i="48"/>
  <c r="M32" i="48"/>
  <c r="M50" i="48"/>
  <c r="M155" i="48"/>
  <c r="M220" i="48"/>
  <c r="AK39" i="172"/>
  <c r="AK40" i="172"/>
  <c r="AK42" i="172"/>
  <c r="AK43" i="172"/>
  <c r="AK44" i="172"/>
  <c r="AK45" i="172"/>
  <c r="AK46" i="172"/>
  <c r="AK47" i="172"/>
  <c r="AK49" i="172"/>
  <c r="AK50" i="172"/>
  <c r="AK53" i="172"/>
  <c r="AK54" i="172"/>
  <c r="AK57" i="172"/>
  <c r="AK61" i="172"/>
  <c r="AK63" i="172"/>
  <c r="AK59" i="172"/>
  <c r="AK64" i="172"/>
  <c r="AK66" i="172"/>
  <c r="AK71" i="172"/>
  <c r="AK73" i="172"/>
  <c r="AK74" i="172"/>
  <c r="AK77" i="172"/>
  <c r="AK79" i="172"/>
  <c r="AK80" i="172"/>
  <c r="AK83" i="172"/>
  <c r="AK85" i="172"/>
  <c r="AK87" i="172"/>
  <c r="AK90" i="172"/>
  <c r="M9" i="46"/>
  <c r="M97" i="46"/>
  <c r="M120" i="46"/>
  <c r="M102" i="46"/>
  <c r="M122" i="46"/>
  <c r="M17" i="46"/>
  <c r="M121" i="46"/>
  <c r="M123" i="46"/>
  <c r="M126" i="46"/>
  <c r="M127" i="46"/>
  <c r="M128" i="46"/>
  <c r="M33" i="46"/>
  <c r="M132" i="46"/>
  <c r="M34" i="46"/>
  <c r="M133" i="46"/>
  <c r="M137" i="46"/>
  <c r="M184" i="46"/>
  <c r="BH38" i="172"/>
  <c r="M158" i="48"/>
  <c r="M164" i="48"/>
  <c r="M232" i="48"/>
  <c r="BH39" i="172"/>
  <c r="BH40" i="172"/>
  <c r="BH42" i="172"/>
  <c r="BH43" i="172"/>
  <c r="BH44" i="172"/>
  <c r="BH45" i="172"/>
  <c r="BH46" i="172"/>
  <c r="BH47" i="172"/>
  <c r="BH49" i="172"/>
  <c r="BH50" i="172"/>
  <c r="BH53" i="172"/>
  <c r="BH54" i="172"/>
  <c r="M18" i="157"/>
  <c r="M19" i="157"/>
  <c r="M102" i="157"/>
  <c r="M103" i="157"/>
  <c r="M104" i="157"/>
  <c r="M105" i="157"/>
  <c r="M107" i="157"/>
  <c r="M108" i="157"/>
  <c r="M109" i="157"/>
  <c r="M110" i="157"/>
  <c r="M114" i="157"/>
  <c r="M178" i="157"/>
  <c r="BH57" i="172"/>
  <c r="M19" i="140"/>
  <c r="M20" i="140"/>
  <c r="M95" i="140"/>
  <c r="M104" i="140"/>
  <c r="M105" i="140"/>
  <c r="M106" i="140"/>
  <c r="M107" i="140"/>
  <c r="M109" i="140"/>
  <c r="M110" i="140"/>
  <c r="M111" i="140"/>
  <c r="M112" i="140"/>
  <c r="M113" i="140"/>
  <c r="M116" i="140"/>
  <c r="M178" i="140"/>
  <c r="BH61" i="172"/>
  <c r="M20" i="138"/>
  <c r="M75" i="138"/>
  <c r="M69" i="138"/>
  <c r="M76" i="138"/>
  <c r="M80" i="138"/>
  <c r="M111" i="138"/>
  <c r="R11" i="172"/>
  <c r="R12" i="172"/>
  <c r="M21" i="137"/>
  <c r="M82" i="137"/>
  <c r="C14" i="35"/>
  <c r="D14" i="35"/>
  <c r="M83" i="137"/>
  <c r="M65" i="137"/>
  <c r="M84" i="137"/>
  <c r="M85" i="137"/>
  <c r="M89" i="137"/>
  <c r="M135" i="137"/>
  <c r="R9" i="172"/>
  <c r="R10" i="172"/>
  <c r="R13" i="172"/>
  <c r="M29" i="49"/>
  <c r="M113" i="49"/>
  <c r="M114" i="49"/>
  <c r="M115" i="49"/>
  <c r="M93" i="49"/>
  <c r="M116" i="49"/>
  <c r="M21" i="49"/>
  <c r="M124" i="49"/>
  <c r="M125" i="49"/>
  <c r="M126" i="49"/>
  <c r="M127" i="49"/>
  <c r="M131" i="49"/>
  <c r="M195" i="49"/>
  <c r="R15" i="172"/>
  <c r="M28" i="62"/>
  <c r="M101" i="62"/>
  <c r="M92" i="62"/>
  <c r="M102" i="62"/>
  <c r="M20" i="62"/>
  <c r="M110" i="62"/>
  <c r="M111" i="62"/>
  <c r="M115" i="62"/>
  <c r="M157" i="62"/>
  <c r="R16" i="172"/>
  <c r="R17" i="172"/>
  <c r="M176" i="39"/>
  <c r="M184" i="39"/>
  <c r="M235" i="39"/>
  <c r="M177" i="39"/>
  <c r="M185" i="39"/>
  <c r="M236" i="39"/>
  <c r="M178" i="39"/>
  <c r="M186" i="39"/>
  <c r="M237" i="39"/>
  <c r="M179" i="39"/>
  <c r="M187" i="39"/>
  <c r="M238" i="39"/>
  <c r="M239" i="39"/>
  <c r="N193" i="39"/>
  <c r="M193" i="39"/>
  <c r="M242" i="39"/>
  <c r="M442" i="39"/>
  <c r="R19" i="172"/>
  <c r="R20" i="172"/>
  <c r="M27" i="41"/>
  <c r="M276" i="41"/>
  <c r="M291" i="41"/>
  <c r="N72" i="41"/>
  <c r="M72" i="41"/>
  <c r="M93" i="41"/>
  <c r="M292" i="41"/>
  <c r="M293" i="41"/>
  <c r="M301" i="41"/>
  <c r="M440" i="41"/>
  <c r="R23" i="172"/>
  <c r="R34" i="172"/>
  <c r="R77" i="172"/>
  <c r="R79" i="172"/>
  <c r="R80" i="172"/>
  <c r="M32" i="46"/>
  <c r="M131" i="46"/>
  <c r="M170" i="46"/>
  <c r="R38" i="172"/>
  <c r="M23" i="48"/>
  <c r="M24" i="48"/>
  <c r="M49" i="48"/>
  <c r="M149" i="48"/>
  <c r="M150" i="48"/>
  <c r="M157" i="48"/>
  <c r="M213" i="48"/>
  <c r="R39" i="172"/>
  <c r="R40" i="172"/>
  <c r="R71" i="172"/>
  <c r="R73" i="172"/>
  <c r="R74" i="172"/>
  <c r="R42" i="172"/>
  <c r="R43" i="172"/>
  <c r="R44" i="172"/>
  <c r="R45" i="172"/>
  <c r="R46" i="172"/>
  <c r="R47" i="172"/>
  <c r="R49" i="172"/>
  <c r="R50" i="172"/>
  <c r="R53" i="172"/>
  <c r="R54" i="172"/>
  <c r="R57" i="172"/>
  <c r="R59" i="172"/>
  <c r="R61" i="172"/>
  <c r="S11" i="172"/>
  <c r="S12" i="172"/>
  <c r="S9" i="172"/>
  <c r="S10" i="172"/>
  <c r="S13" i="172"/>
  <c r="S15" i="172"/>
  <c r="S16" i="172"/>
  <c r="S17" i="172"/>
  <c r="S19" i="172"/>
  <c r="S20" i="172"/>
  <c r="S22" i="172"/>
  <c r="S23" i="172"/>
  <c r="S24" i="172"/>
  <c r="S28" i="172"/>
  <c r="S34" i="172"/>
  <c r="S35" i="172"/>
  <c r="S36" i="172"/>
  <c r="S77" i="172"/>
  <c r="S79" i="172"/>
  <c r="S80" i="172"/>
  <c r="S38" i="172"/>
  <c r="S39" i="172"/>
  <c r="S40" i="172"/>
  <c r="M20" i="31"/>
  <c r="M15" i="31"/>
  <c r="M137" i="31"/>
  <c r="M47" i="31"/>
  <c r="M48" i="31"/>
  <c r="M59" i="31"/>
  <c r="M131" i="31"/>
  <c r="M150" i="31"/>
  <c r="S71" i="172"/>
  <c r="M18" i="142"/>
  <c r="M19" i="142"/>
  <c r="M27" i="142"/>
  <c r="M28" i="142"/>
  <c r="M81" i="142"/>
  <c r="M85" i="142"/>
  <c r="M86" i="142"/>
  <c r="M87" i="142"/>
  <c r="M88" i="142"/>
  <c r="M115" i="142"/>
  <c r="S42" i="172"/>
  <c r="M19" i="143"/>
  <c r="M20" i="143"/>
  <c r="M71" i="143"/>
  <c r="M75" i="143"/>
  <c r="M76" i="143"/>
  <c r="M77" i="143"/>
  <c r="M79" i="143"/>
  <c r="M111" i="143"/>
  <c r="S43" i="172"/>
  <c r="M19" i="144"/>
  <c r="M20" i="144"/>
  <c r="M71" i="144"/>
  <c r="M75" i="144"/>
  <c r="M76" i="144"/>
  <c r="M77" i="144"/>
  <c r="M79" i="144"/>
  <c r="M111" i="144"/>
  <c r="S44" i="172"/>
  <c r="M19" i="147"/>
  <c r="M20" i="147"/>
  <c r="M63" i="147"/>
  <c r="M68" i="147"/>
  <c r="M69" i="147"/>
  <c r="M70" i="147"/>
  <c r="M71" i="147"/>
  <c r="M107" i="147"/>
  <c r="S45" i="172"/>
  <c r="M19" i="146"/>
  <c r="M20" i="146"/>
  <c r="M65" i="146"/>
  <c r="M70" i="146"/>
  <c r="M71" i="146"/>
  <c r="M72" i="146"/>
  <c r="M73" i="146"/>
  <c r="M109" i="146"/>
  <c r="S46" i="172"/>
  <c r="S47" i="172"/>
  <c r="M19" i="145"/>
  <c r="M20" i="145"/>
  <c r="M63" i="145"/>
  <c r="M68" i="145"/>
  <c r="M69" i="145"/>
  <c r="M70" i="145"/>
  <c r="M71" i="145"/>
  <c r="M109" i="145"/>
  <c r="S49" i="172"/>
  <c r="S50" i="172"/>
  <c r="M18" i="141"/>
  <c r="M19" i="141"/>
  <c r="M28" i="141"/>
  <c r="M93" i="141"/>
  <c r="M97" i="141"/>
  <c r="M98" i="141"/>
  <c r="M99" i="141"/>
  <c r="M100" i="141"/>
  <c r="M103" i="141"/>
  <c r="M140" i="141"/>
  <c r="S53" i="172"/>
  <c r="S54" i="172"/>
  <c r="M166" i="157"/>
  <c r="S57" i="172"/>
  <c r="M19" i="139"/>
  <c r="M20" i="139"/>
  <c r="M98" i="139"/>
  <c r="M99" i="139"/>
  <c r="M100" i="139"/>
  <c r="M101" i="139"/>
  <c r="M103" i="139"/>
  <c r="M158" i="139"/>
  <c r="S59" i="172"/>
  <c r="M166" i="140"/>
  <c r="S61" i="172"/>
  <c r="M104" i="139"/>
  <c r="M105" i="139"/>
  <c r="M106" i="139"/>
  <c r="M107" i="139"/>
  <c r="M111" i="139"/>
  <c r="M170" i="139"/>
  <c r="BH59" i="172"/>
  <c r="BH71" i="172"/>
  <c r="BH73" i="172"/>
  <c r="BH74" i="172"/>
  <c r="BH77" i="172"/>
  <c r="BH79" i="172"/>
  <c r="BH80" i="172"/>
  <c r="BH83" i="172"/>
  <c r="BH84" i="172"/>
  <c r="BH85" i="172"/>
  <c r="BH87" i="172"/>
  <c r="BI11" i="172"/>
  <c r="BI12" i="172"/>
  <c r="BI9" i="172"/>
  <c r="BI10" i="172"/>
  <c r="BI13" i="172"/>
  <c r="M94" i="49"/>
  <c r="M117" i="49"/>
  <c r="M132" i="49"/>
  <c r="M95" i="49"/>
  <c r="M118" i="49"/>
  <c r="M133" i="49"/>
  <c r="M96" i="49"/>
  <c r="M119" i="49"/>
  <c r="M134" i="49"/>
  <c r="M168" i="49" a="1"/>
  <c r="M168" i="49"/>
  <c r="M208" i="49"/>
  <c r="BI15" i="172"/>
  <c r="M93" i="62"/>
  <c r="M103" i="62"/>
  <c r="M116" i="62"/>
  <c r="M94" i="62"/>
  <c r="M104" i="62"/>
  <c r="M117" i="62"/>
  <c r="M95" i="62"/>
  <c r="M105" i="62"/>
  <c r="M118" i="62"/>
  <c r="M123" i="62" a="1"/>
  <c r="M123" i="62"/>
  <c r="M170" i="62"/>
  <c r="BI16" i="172"/>
  <c r="BI17" i="172"/>
  <c r="N194" i="39"/>
  <c r="M194" i="39"/>
  <c r="M243" i="39"/>
  <c r="N195" i="39"/>
  <c r="M195" i="39"/>
  <c r="M244" i="39"/>
  <c r="N196" i="39"/>
  <c r="M196" i="39"/>
  <c r="M245" i="39"/>
  <c r="N197" i="39"/>
  <c r="M197" i="39"/>
  <c r="M246" i="39"/>
  <c r="M344" i="39" a="1"/>
  <c r="M344" i="39"/>
  <c r="M456" i="39"/>
  <c r="BI19" i="172"/>
  <c r="BI20" i="172"/>
  <c r="M307" i="41"/>
  <c r="M312" i="41"/>
  <c r="M482" i="41"/>
  <c r="BI23" i="172"/>
  <c r="BI34" i="172"/>
  <c r="M138" i="46"/>
  <c r="M185" i="46"/>
  <c r="BI38" i="172"/>
  <c r="M165" i="48"/>
  <c r="M233" i="48"/>
  <c r="BI39" i="172"/>
  <c r="BI40" i="172"/>
  <c r="BI42" i="172"/>
  <c r="BI43" i="172"/>
  <c r="BI44" i="172"/>
  <c r="BI45" i="172"/>
  <c r="BI46" i="172"/>
  <c r="BI47" i="172"/>
  <c r="BI49" i="172"/>
  <c r="BI50" i="172"/>
  <c r="BI53" i="172"/>
  <c r="BI54" i="172"/>
  <c r="M115" i="157"/>
  <c r="M179" i="157"/>
  <c r="BI57" i="172"/>
  <c r="M117" i="140"/>
  <c r="M179" i="140"/>
  <c r="BI61" i="172"/>
  <c r="M112" i="139"/>
  <c r="M171" i="139"/>
  <c r="BI59" i="172"/>
  <c r="BI71" i="172"/>
  <c r="BI73" i="172"/>
  <c r="BI74" i="172"/>
  <c r="BI77" i="172"/>
  <c r="BI79" i="172"/>
  <c r="BI80" i="172"/>
  <c r="BI83" i="172"/>
  <c r="BI84" i="172"/>
  <c r="BI85" i="172"/>
  <c r="BI87" i="172"/>
  <c r="BJ11" i="172"/>
  <c r="BJ12" i="172"/>
  <c r="BJ9" i="172"/>
  <c r="BJ10" i="172"/>
  <c r="BJ13" i="172"/>
  <c r="M169" i="49" a="1"/>
  <c r="M169" i="49"/>
  <c r="M209" i="49"/>
  <c r="BJ15" i="172"/>
  <c r="M124" i="62" a="1"/>
  <c r="M124" i="62"/>
  <c r="M171" i="62"/>
  <c r="BJ16" i="172"/>
  <c r="BJ17" i="172"/>
  <c r="M345" i="39" a="1"/>
  <c r="M345" i="39"/>
  <c r="M457" i="39"/>
  <c r="BJ19" i="172"/>
  <c r="BJ20" i="172"/>
  <c r="M308" i="41"/>
  <c r="M313" i="41"/>
  <c r="M483" i="41"/>
  <c r="BJ23" i="172"/>
  <c r="BJ34" i="172"/>
  <c r="M139" i="46"/>
  <c r="M186" i="46"/>
  <c r="BJ38" i="172"/>
  <c r="M166" i="48"/>
  <c r="M234" i="48"/>
  <c r="BJ39" i="172"/>
  <c r="BJ40" i="172"/>
  <c r="BJ42" i="172"/>
  <c r="BJ43" i="172"/>
  <c r="BJ44" i="172"/>
  <c r="BJ45" i="172"/>
  <c r="BJ46" i="172"/>
  <c r="BJ47" i="172"/>
  <c r="BJ49" i="172"/>
  <c r="BJ50" i="172"/>
  <c r="BJ53" i="172"/>
  <c r="BJ54" i="172"/>
  <c r="M116" i="157"/>
  <c r="M180" i="157"/>
  <c r="BJ57" i="172"/>
  <c r="M118" i="140"/>
  <c r="M180" i="140"/>
  <c r="BJ61" i="172"/>
  <c r="M113" i="139"/>
  <c r="M172" i="139"/>
  <c r="BJ59" i="172"/>
  <c r="BJ71" i="172"/>
  <c r="BJ73" i="172"/>
  <c r="BJ74" i="172"/>
  <c r="BJ77" i="172"/>
  <c r="BJ79" i="172"/>
  <c r="BJ80" i="172"/>
  <c r="BJ83" i="172"/>
  <c r="BJ84" i="172"/>
  <c r="BJ85" i="172"/>
  <c r="BJ87" i="172"/>
  <c r="BK11" i="172"/>
  <c r="BK12" i="172"/>
  <c r="BK9" i="172"/>
  <c r="BK10" i="172"/>
  <c r="BK13" i="172"/>
  <c r="BK15" i="172"/>
  <c r="BK16" i="172"/>
  <c r="BK17" i="172"/>
  <c r="BK19" i="172"/>
  <c r="BK20" i="172"/>
  <c r="BK22" i="172"/>
  <c r="BK23" i="172"/>
  <c r="BK24" i="172"/>
  <c r="BK28" i="172"/>
  <c r="BK34" i="172"/>
  <c r="BK35" i="172"/>
  <c r="BK36" i="172"/>
  <c r="BK38" i="172"/>
  <c r="BK39" i="172"/>
  <c r="BK40" i="172"/>
  <c r="BK42" i="172"/>
  <c r="BK43" i="172"/>
  <c r="BK44" i="172"/>
  <c r="BK45" i="172"/>
  <c r="BK46" i="172"/>
  <c r="BK47" i="172"/>
  <c r="BK49" i="172"/>
  <c r="BK50" i="172"/>
  <c r="BK53" i="172"/>
  <c r="BK54" i="172"/>
  <c r="BK57" i="172"/>
  <c r="BK61" i="172"/>
  <c r="BK63" i="172"/>
  <c r="BK59" i="172"/>
  <c r="BK64" i="172"/>
  <c r="BK66" i="172"/>
  <c r="BK71" i="172"/>
  <c r="BK73" i="172"/>
  <c r="BK74" i="172"/>
  <c r="BK77" i="172"/>
  <c r="BK79" i="172"/>
  <c r="BK80" i="172"/>
  <c r="BK83" i="172"/>
  <c r="BK84" i="172"/>
  <c r="BK85" i="172"/>
  <c r="BK87" i="172"/>
  <c r="BK90" i="172"/>
  <c r="BL11" i="172"/>
  <c r="BL12" i="172"/>
  <c r="BL9" i="172"/>
  <c r="BL10" i="172"/>
  <c r="BL13" i="172"/>
  <c r="BL15" i="172"/>
  <c r="BL16" i="172"/>
  <c r="BL17" i="172"/>
  <c r="BL19" i="172"/>
  <c r="BL20" i="172"/>
  <c r="BL22" i="172"/>
  <c r="BL23" i="172"/>
  <c r="BL24" i="172"/>
  <c r="BL28" i="172"/>
  <c r="BL34" i="172"/>
  <c r="BL35" i="172"/>
  <c r="BL36" i="172"/>
  <c r="BL38" i="172"/>
  <c r="M162" i="48"/>
  <c r="M230" i="48"/>
  <c r="BL39" i="172"/>
  <c r="BL40" i="172"/>
  <c r="BL42" i="172"/>
  <c r="BL43" i="172"/>
  <c r="BL44" i="172"/>
  <c r="BL45" i="172"/>
  <c r="BL46" i="172"/>
  <c r="BL47" i="172"/>
  <c r="BL49" i="172"/>
  <c r="BL50" i="172"/>
  <c r="BL53" i="172"/>
  <c r="BL54" i="172"/>
  <c r="BL57" i="172"/>
  <c r="BL61" i="172"/>
  <c r="BL63" i="172"/>
  <c r="BL59" i="172"/>
  <c r="BL64" i="172"/>
  <c r="BL66" i="172"/>
  <c r="BL71" i="172"/>
  <c r="BL73" i="172"/>
  <c r="BL74" i="172"/>
  <c r="BL77" i="172"/>
  <c r="BL79" i="172"/>
  <c r="BL80" i="172"/>
  <c r="BL83" i="172"/>
  <c r="BL84" i="172"/>
  <c r="BL85" i="172"/>
  <c r="BL87" i="172"/>
  <c r="BL90" i="172"/>
  <c r="BM11" i="172"/>
  <c r="BM12" i="172"/>
  <c r="BM9" i="172"/>
  <c r="BM10" i="172"/>
  <c r="BM13" i="172"/>
  <c r="BM15" i="172"/>
  <c r="BM16" i="172"/>
  <c r="BM17" i="172"/>
  <c r="BM19" i="172"/>
  <c r="BM20" i="172"/>
  <c r="BM22" i="172"/>
  <c r="BM23" i="172"/>
  <c r="BM24" i="172"/>
  <c r="BM28" i="172"/>
  <c r="BM34" i="172"/>
  <c r="BM35" i="172"/>
  <c r="BM36" i="172"/>
  <c r="BM38" i="172"/>
  <c r="M161" i="48"/>
  <c r="M231" i="48"/>
  <c r="BM39" i="172"/>
  <c r="BM40" i="172"/>
  <c r="BM42" i="172"/>
  <c r="BM43" i="172"/>
  <c r="BM44" i="172"/>
  <c r="BM45" i="172"/>
  <c r="BM46" i="172"/>
  <c r="BM47" i="172"/>
  <c r="BM49" i="172"/>
  <c r="BM50" i="172"/>
  <c r="BM53" i="172"/>
  <c r="BM54" i="172"/>
  <c r="BM57" i="172"/>
  <c r="BM61" i="172"/>
  <c r="BM63" i="172"/>
  <c r="BM59" i="172"/>
  <c r="BM64" i="172"/>
  <c r="BM66" i="172"/>
  <c r="BM71" i="172"/>
  <c r="BM73" i="172"/>
  <c r="BM74" i="172"/>
  <c r="BM77" i="172"/>
  <c r="BM79" i="172"/>
  <c r="BM80" i="172"/>
  <c r="V11" i="172"/>
  <c r="V12" i="172"/>
  <c r="V9" i="172"/>
  <c r="V10" i="172"/>
  <c r="V13" i="172"/>
  <c r="M197" i="49"/>
  <c r="V15" i="172"/>
  <c r="M159" i="62"/>
  <c r="V16" i="172"/>
  <c r="V17" i="172"/>
  <c r="M445" i="39"/>
  <c r="V19" i="172"/>
  <c r="V20" i="172"/>
  <c r="M442" i="41"/>
  <c r="V23" i="172"/>
  <c r="V34" i="172"/>
  <c r="M172" i="46"/>
  <c r="V38" i="172"/>
  <c r="M152" i="48"/>
  <c r="M215" i="48"/>
  <c r="V39" i="172"/>
  <c r="V40" i="172"/>
  <c r="V42" i="172"/>
  <c r="V43" i="172"/>
  <c r="V44" i="172"/>
  <c r="V45" i="172"/>
  <c r="V46" i="172"/>
  <c r="V47" i="172"/>
  <c r="V49" i="172"/>
  <c r="V50" i="172"/>
  <c r="V53" i="172"/>
  <c r="V54" i="172"/>
  <c r="V57" i="172"/>
  <c r="M167" i="140"/>
  <c r="V61" i="172"/>
  <c r="V63" i="172"/>
  <c r="V59" i="172"/>
  <c r="V64" i="172"/>
  <c r="V71" i="172"/>
  <c r="V73" i="172"/>
  <c r="V74" i="172"/>
  <c r="AE11" i="172"/>
  <c r="AE12" i="172"/>
  <c r="AE9" i="172"/>
  <c r="AE10" i="172"/>
  <c r="AE13" i="172"/>
  <c r="AE15" i="172"/>
  <c r="AE16" i="172"/>
  <c r="AE17" i="172"/>
  <c r="AE19" i="172"/>
  <c r="AE20" i="172"/>
  <c r="AE22" i="172"/>
  <c r="AE23" i="172"/>
  <c r="AE24" i="172"/>
  <c r="AE28" i="172"/>
  <c r="M19" i="113"/>
  <c r="M307" i="113"/>
  <c r="M316" i="113"/>
  <c r="M345" i="113"/>
  <c r="M346" i="113" a="1"/>
  <c r="M346" i="113"/>
  <c r="M28" i="113"/>
  <c r="M308" i="113"/>
  <c r="M317" i="113"/>
  <c r="M351" i="113"/>
  <c r="M352" i="113" a="1"/>
  <c r="M352" i="113"/>
  <c r="M37" i="113"/>
  <c r="M309" i="113"/>
  <c r="M110" i="113"/>
  <c r="M318" i="113"/>
  <c r="M357" i="113"/>
  <c r="M358" i="113" a="1"/>
  <c r="M358" i="113"/>
  <c r="M364" i="113"/>
  <c r="M347" i="113"/>
  <c r="M353" i="113"/>
  <c r="M359" i="113"/>
  <c r="M365" i="113"/>
  <c r="M369" i="113"/>
  <c r="M530" i="113"/>
  <c r="AE34" i="172"/>
  <c r="M44" i="112"/>
  <c r="M299" i="112"/>
  <c r="M45" i="112"/>
  <c r="M300" i="112"/>
  <c r="M325" i="112"/>
  <c r="M402" i="112"/>
  <c r="M403" i="112"/>
  <c r="M405" i="112"/>
  <c r="M364" i="112"/>
  <c r="M326" i="112"/>
  <c r="M407" i="112"/>
  <c r="M408" i="112"/>
  <c r="M410" i="112"/>
  <c r="M412" i="112"/>
  <c r="M414" i="112"/>
  <c r="M423" i="112"/>
  <c r="M547" i="112"/>
  <c r="AE35" i="172"/>
  <c r="AE36" i="172"/>
  <c r="AE38" i="172"/>
  <c r="AE39" i="172"/>
  <c r="AE40" i="172"/>
  <c r="AE42" i="172"/>
  <c r="AE43" i="172"/>
  <c r="AE44" i="172"/>
  <c r="AE45" i="172"/>
  <c r="AE46" i="172"/>
  <c r="AE47" i="172"/>
  <c r="AE49" i="172"/>
  <c r="AE50" i="172"/>
  <c r="AE53" i="172"/>
  <c r="AE54" i="172"/>
  <c r="AE57" i="172"/>
  <c r="AE61" i="172"/>
  <c r="AE63" i="172"/>
  <c r="AE59" i="172"/>
  <c r="AE64" i="172"/>
  <c r="AE66" i="172"/>
  <c r="AE71" i="172"/>
  <c r="AE73" i="172"/>
  <c r="AE74" i="172"/>
  <c r="AE76" i="172"/>
  <c r="M15" i="110"/>
  <c r="M243" i="110"/>
  <c r="M253" i="110"/>
  <c r="M254" i="110"/>
  <c r="AF11" i="172"/>
  <c r="AF12" i="172"/>
  <c r="AF9" i="172"/>
  <c r="AF10" i="172"/>
  <c r="AF13" i="172"/>
  <c r="AF15" i="172"/>
  <c r="AF16" i="172"/>
  <c r="AF17" i="172"/>
  <c r="AF19" i="172"/>
  <c r="AF20" i="172"/>
  <c r="AF22" i="172"/>
  <c r="AF23" i="172"/>
  <c r="AF24" i="172"/>
  <c r="AF28" i="172"/>
  <c r="M331" i="113"/>
  <c r="M375" i="113"/>
  <c r="M101" i="113"/>
  <c r="M376" i="113"/>
  <c r="M332" i="113"/>
  <c r="M378" i="113"/>
  <c r="M379" i="113"/>
  <c r="M382" i="113"/>
  <c r="M119" i="113"/>
  <c r="M319" i="113"/>
  <c r="M407" i="113"/>
  <c r="M46" i="113"/>
  <c r="M310" i="113"/>
  <c r="M402" i="113"/>
  <c r="M408" i="113"/>
  <c r="M415" i="113"/>
  <c r="M531" i="113"/>
  <c r="AF34" i="172"/>
  <c r="M312" i="112"/>
  <c r="M314" i="112"/>
  <c r="M327" i="112"/>
  <c r="M416" i="112"/>
  <c r="M418" i="112"/>
  <c r="M420" i="112"/>
  <c r="M424" i="112"/>
  <c r="M548" i="112"/>
  <c r="AF35" i="172"/>
  <c r="AF36" i="172"/>
  <c r="AF38" i="172"/>
  <c r="AF39" i="172"/>
  <c r="AF40" i="172"/>
  <c r="AF42" i="172"/>
  <c r="AF43" i="172"/>
  <c r="AF44" i="172"/>
  <c r="AF45" i="172"/>
  <c r="AF46" i="172"/>
  <c r="AF47" i="172"/>
  <c r="AF49" i="172"/>
  <c r="AF50" i="172"/>
  <c r="AF53" i="172"/>
  <c r="AF54" i="172"/>
  <c r="AF57" i="172"/>
  <c r="AF61" i="172"/>
  <c r="AF63" i="172"/>
  <c r="AF59" i="172"/>
  <c r="AF64" i="172"/>
  <c r="AF66" i="172"/>
  <c r="AF71" i="172"/>
  <c r="AF73" i="172"/>
  <c r="AF74" i="172"/>
  <c r="AF76" i="172"/>
  <c r="M16" i="110"/>
  <c r="M261" i="110"/>
  <c r="M271" i="110"/>
  <c r="M272" i="110"/>
  <c r="AC11" i="172"/>
  <c r="AC12" i="172"/>
  <c r="AC9" i="172"/>
  <c r="AC10" i="172"/>
  <c r="AC13" i="172"/>
  <c r="AC15" i="172"/>
  <c r="AC16" i="172"/>
  <c r="AC17" i="172"/>
  <c r="AC19" i="172"/>
  <c r="AC20" i="172"/>
  <c r="AC22" i="172"/>
  <c r="AC23" i="172"/>
  <c r="AC24" i="172"/>
  <c r="AC28" i="172"/>
  <c r="AC34" i="172"/>
  <c r="M324" i="112"/>
  <c r="M46" i="112"/>
  <c r="M301" i="112"/>
  <c r="M47" i="112"/>
  <c r="M302" i="112"/>
  <c r="M389" i="112"/>
  <c r="M391" i="112"/>
  <c r="M397" i="112"/>
  <c r="M546" i="112"/>
  <c r="AC35" i="172"/>
  <c r="AC36" i="172"/>
  <c r="AC38" i="172"/>
  <c r="AC39" i="172"/>
  <c r="AC40" i="172"/>
  <c r="AC42" i="172"/>
  <c r="AC43" i="172"/>
  <c r="AC44" i="172"/>
  <c r="AC45" i="172"/>
  <c r="AC46" i="172"/>
  <c r="AC47" i="172"/>
  <c r="AC49" i="172"/>
  <c r="AC50" i="172"/>
  <c r="AC53" i="172"/>
  <c r="AC54" i="172"/>
  <c r="AC57" i="172"/>
  <c r="AC61" i="172"/>
  <c r="AC63" i="172"/>
  <c r="AC59" i="172"/>
  <c r="AC64" i="172"/>
  <c r="AC66" i="172"/>
  <c r="AC71" i="172"/>
  <c r="AC73" i="172"/>
  <c r="AC74" i="172"/>
  <c r="AC76" i="172"/>
  <c r="M18" i="110"/>
  <c r="M279" i="110"/>
  <c r="M289" i="110"/>
  <c r="M290" i="110"/>
  <c r="AD11" i="172"/>
  <c r="AD12" i="172"/>
  <c r="AD9" i="172"/>
  <c r="AD10" i="172"/>
  <c r="AD13" i="172"/>
  <c r="AD15" i="172"/>
  <c r="AD16" i="172"/>
  <c r="AD17" i="172"/>
  <c r="AD19" i="172"/>
  <c r="AD20" i="172"/>
  <c r="AD22" i="172"/>
  <c r="AD23" i="172"/>
  <c r="AD24" i="172"/>
  <c r="AD28" i="172"/>
  <c r="AD34" i="172"/>
  <c r="M323" i="112"/>
  <c r="M379" i="112"/>
  <c r="M381" i="112"/>
  <c r="M384" i="112"/>
  <c r="M545" i="112"/>
  <c r="AD35" i="172"/>
  <c r="AD36" i="172"/>
  <c r="AD38" i="172"/>
  <c r="AD39" i="172"/>
  <c r="AD40" i="172"/>
  <c r="AD42" i="172"/>
  <c r="AD43" i="172"/>
  <c r="AD44" i="172"/>
  <c r="AD45" i="172"/>
  <c r="AD46" i="172"/>
  <c r="AD47" i="172"/>
  <c r="AD49" i="172"/>
  <c r="AD50" i="172"/>
  <c r="AD53" i="172"/>
  <c r="AD54" i="172"/>
  <c r="AD57" i="172"/>
  <c r="AD61" i="172"/>
  <c r="AD63" i="172"/>
  <c r="AD59" i="172"/>
  <c r="AD64" i="172"/>
  <c r="AD66" i="172"/>
  <c r="AD71" i="172"/>
  <c r="AD73" i="172"/>
  <c r="AD74" i="172"/>
  <c r="AD76" i="172"/>
  <c r="M19" i="110"/>
  <c r="M296" i="110"/>
  <c r="M307" i="110"/>
  <c r="AG11" i="172"/>
  <c r="AG12" i="172"/>
  <c r="AG9" i="172"/>
  <c r="AG10" i="172"/>
  <c r="AG13" i="172"/>
  <c r="AG15" i="172"/>
  <c r="AG16" i="172"/>
  <c r="AG17" i="172"/>
  <c r="AG19" i="172"/>
  <c r="AG20" i="172"/>
  <c r="AG22" i="172"/>
  <c r="AG23" i="172"/>
  <c r="AG24" i="172"/>
  <c r="AG28" i="172"/>
  <c r="M55" i="113"/>
  <c r="M311" i="113"/>
  <c r="M388" i="113"/>
  <c r="M128" i="113"/>
  <c r="M389" i="113"/>
  <c r="M137" i="113"/>
  <c r="M390" i="113"/>
  <c r="M391" i="113"/>
  <c r="M397" i="113"/>
  <c r="M532" i="113"/>
  <c r="AG34" i="172"/>
  <c r="AG35" i="172"/>
  <c r="AG36" i="172"/>
  <c r="AG38" i="172"/>
  <c r="AG39" i="172"/>
  <c r="AG40" i="172"/>
  <c r="AG42" i="172"/>
  <c r="AG43" i="172"/>
  <c r="AG44" i="172"/>
  <c r="AG45" i="172"/>
  <c r="AG46" i="172"/>
  <c r="AG47" i="172"/>
  <c r="AG49" i="172"/>
  <c r="AG50" i="172"/>
  <c r="AG53" i="172"/>
  <c r="AG54" i="172"/>
  <c r="AG57" i="172"/>
  <c r="AG61" i="172"/>
  <c r="AG63" i="172"/>
  <c r="AG59" i="172"/>
  <c r="AG64" i="172"/>
  <c r="AG66" i="172"/>
  <c r="AG71" i="172"/>
  <c r="AG73" i="172"/>
  <c r="AG74" i="172"/>
  <c r="AG76" i="172"/>
  <c r="M17" i="110"/>
  <c r="M314" i="110"/>
  <c r="M324" i="110"/>
  <c r="M325" i="110"/>
  <c r="M336" i="110"/>
  <c r="M416" i="110"/>
  <c r="V77" i="172"/>
  <c r="BM84" i="172"/>
  <c r="BN11" i="172"/>
  <c r="BN12" i="172"/>
  <c r="BN9" i="172"/>
  <c r="BN10" i="172"/>
  <c r="BN13" i="172"/>
  <c r="BN15" i="172"/>
  <c r="BN16" i="172"/>
  <c r="BN17" i="172"/>
  <c r="BN19" i="172"/>
  <c r="BN20" i="172"/>
  <c r="BN22" i="172"/>
  <c r="BN23" i="172"/>
  <c r="BN24" i="172"/>
  <c r="BN28" i="172"/>
  <c r="BN34" i="172"/>
  <c r="BN35" i="172"/>
  <c r="BN36" i="172"/>
  <c r="BN38" i="172"/>
  <c r="BN39" i="172"/>
  <c r="BN40" i="172"/>
  <c r="BN42" i="172"/>
  <c r="BN43" i="172"/>
  <c r="BN44" i="172"/>
  <c r="BN45" i="172"/>
  <c r="BN46" i="172"/>
  <c r="BN47" i="172"/>
  <c r="BN49" i="172"/>
  <c r="BN50" i="172"/>
  <c r="BN53" i="172"/>
  <c r="BN54" i="172"/>
  <c r="BN57" i="172"/>
  <c r="BN61" i="172"/>
  <c r="BN63" i="172"/>
  <c r="BN59" i="172"/>
  <c r="BN64" i="172"/>
  <c r="BN66" i="172"/>
  <c r="BN71" i="172"/>
  <c r="BN73" i="172"/>
  <c r="BN74" i="172"/>
  <c r="BN77" i="172"/>
  <c r="BN79" i="172"/>
  <c r="BN80" i="172"/>
  <c r="BN83" i="172"/>
  <c r="BN84" i="172"/>
  <c r="BN85" i="172"/>
  <c r="BN87" i="172"/>
  <c r="BN90" i="172"/>
  <c r="BO11" i="172"/>
  <c r="BO12" i="172"/>
  <c r="BO9" i="172"/>
  <c r="BO10" i="172"/>
  <c r="BO13" i="172"/>
  <c r="BO15" i="172"/>
  <c r="BO16" i="172"/>
  <c r="BO17" i="172"/>
  <c r="BO19" i="172"/>
  <c r="BO20" i="172"/>
  <c r="BO22" i="172"/>
  <c r="BO23" i="172"/>
  <c r="BO24" i="172"/>
  <c r="BO28" i="172"/>
  <c r="BO34" i="172"/>
  <c r="BO35" i="172"/>
  <c r="BO36" i="172"/>
  <c r="BO38" i="172"/>
  <c r="BO39" i="172"/>
  <c r="BO40" i="172"/>
  <c r="BO42" i="172"/>
  <c r="BO43" i="172"/>
  <c r="BO44" i="172"/>
  <c r="BO45" i="172"/>
  <c r="BO46" i="172"/>
  <c r="BO47" i="172"/>
  <c r="BO49" i="172"/>
  <c r="BO50" i="172"/>
  <c r="BO53" i="172"/>
  <c r="BO54" i="172"/>
  <c r="BO57" i="172"/>
  <c r="BO61" i="172"/>
  <c r="BO63" i="172"/>
  <c r="BO59" i="172"/>
  <c r="BO64" i="172"/>
  <c r="BO66" i="172"/>
  <c r="BO71" i="172"/>
  <c r="BO73" i="172"/>
  <c r="BO74" i="172"/>
  <c r="BO77" i="172"/>
  <c r="BO79" i="172"/>
  <c r="BO80" i="172"/>
  <c r="BO83" i="172"/>
  <c r="BO84" i="172"/>
  <c r="BO85" i="172"/>
  <c r="BO87" i="172"/>
  <c r="BO90" i="172"/>
  <c r="BH11" i="173"/>
  <c r="BH12" i="173"/>
  <c r="BH9" i="173"/>
  <c r="BH10" i="173"/>
  <c r="BH13" i="173"/>
  <c r="N272" i="41"/>
  <c r="N274" i="41"/>
  <c r="N279" i="41"/>
  <c r="N280" i="41"/>
  <c r="N281" i="41"/>
  <c r="N297" i="41"/>
  <c r="N299" i="41"/>
  <c r="N306" i="41"/>
  <c r="N285" i="41"/>
  <c r="N286" i="41"/>
  <c r="N287" i="41"/>
  <c r="N311" i="41"/>
  <c r="N481" i="41"/>
  <c r="BH23" i="173"/>
  <c r="BH34" i="173"/>
  <c r="AK11" i="173"/>
  <c r="AK12" i="173"/>
  <c r="AK9" i="173"/>
  <c r="AK10" i="173"/>
  <c r="AK13" i="173"/>
  <c r="AK15" i="173"/>
  <c r="AK16" i="173"/>
  <c r="AK17" i="173"/>
  <c r="AK19" i="173"/>
  <c r="AK20" i="173"/>
  <c r="AK22" i="173"/>
  <c r="AK23" i="173"/>
  <c r="AK24" i="173"/>
  <c r="AK28" i="173"/>
  <c r="AK34" i="173"/>
  <c r="AK35" i="173"/>
  <c r="AK36" i="173"/>
  <c r="AK38" i="173"/>
  <c r="N31" i="48"/>
  <c r="N32" i="48"/>
  <c r="N50" i="48"/>
  <c r="N155" i="48"/>
  <c r="N220" i="48"/>
  <c r="AK39" i="173"/>
  <c r="AK40" i="173"/>
  <c r="AK42" i="173"/>
  <c r="AK43" i="173"/>
  <c r="AK44" i="173"/>
  <c r="AK45" i="173"/>
  <c r="AK46" i="173"/>
  <c r="AK47" i="173"/>
  <c r="AK49" i="173"/>
  <c r="AK50" i="173"/>
  <c r="AK53" i="173"/>
  <c r="AK54" i="173"/>
  <c r="AK57" i="173"/>
  <c r="AK61" i="173"/>
  <c r="AK63" i="173"/>
  <c r="AK59" i="173"/>
  <c r="AK64" i="173"/>
  <c r="AK66" i="173"/>
  <c r="AK71" i="173"/>
  <c r="AK73" i="173"/>
  <c r="AK74" i="173"/>
  <c r="AK77" i="173"/>
  <c r="AK79" i="173"/>
  <c r="AK80" i="173"/>
  <c r="AK83" i="173"/>
  <c r="AK85" i="173"/>
  <c r="AK87" i="173"/>
  <c r="AK90" i="173"/>
  <c r="N9" i="46"/>
  <c r="N97" i="46"/>
  <c r="N120" i="46"/>
  <c r="N102" i="46"/>
  <c r="N122" i="46"/>
  <c r="N17" i="46"/>
  <c r="N121" i="46"/>
  <c r="N123" i="46"/>
  <c r="N126" i="46"/>
  <c r="N127" i="46"/>
  <c r="N128" i="46"/>
  <c r="N33" i="46"/>
  <c r="N132" i="46"/>
  <c r="N34" i="46"/>
  <c r="N133" i="46"/>
  <c r="N137" i="46"/>
  <c r="N184" i="46"/>
  <c r="BH38" i="173"/>
  <c r="N158" i="48"/>
  <c r="N164" i="48"/>
  <c r="N232" i="48"/>
  <c r="BH39" i="173"/>
  <c r="BH40" i="173"/>
  <c r="BH42" i="173"/>
  <c r="BH43" i="173"/>
  <c r="BH44" i="173"/>
  <c r="BH45" i="173"/>
  <c r="BH46" i="173"/>
  <c r="BH47" i="173"/>
  <c r="BH49" i="173"/>
  <c r="BH50" i="173"/>
  <c r="BH53" i="173"/>
  <c r="BH54" i="173"/>
  <c r="N18" i="157"/>
  <c r="N19" i="157"/>
  <c r="N102" i="157"/>
  <c r="N103" i="157"/>
  <c r="N104" i="157"/>
  <c r="N105" i="157"/>
  <c r="N107" i="157"/>
  <c r="N108" i="157"/>
  <c r="N109" i="157"/>
  <c r="N110" i="157"/>
  <c r="N114" i="157"/>
  <c r="N178" i="157"/>
  <c r="BH57" i="173"/>
  <c r="N19" i="140"/>
  <c r="N20" i="140"/>
  <c r="N95" i="140"/>
  <c r="N104" i="140"/>
  <c r="N105" i="140"/>
  <c r="N106" i="140"/>
  <c r="N107" i="140"/>
  <c r="N109" i="140"/>
  <c r="N110" i="140"/>
  <c r="N111" i="140"/>
  <c r="N112" i="140"/>
  <c r="N113" i="140"/>
  <c r="N116" i="140"/>
  <c r="N178" i="140"/>
  <c r="BH61" i="173"/>
  <c r="N20" i="138"/>
  <c r="N75" i="138"/>
  <c r="N76" i="138"/>
  <c r="N80" i="138"/>
  <c r="N111" i="138"/>
  <c r="R11" i="173"/>
  <c r="R12" i="173"/>
  <c r="N21" i="137"/>
  <c r="N82" i="137"/>
  <c r="C15" i="35"/>
  <c r="D15" i="35"/>
  <c r="N83" i="137"/>
  <c r="N84" i="137"/>
  <c r="N85" i="137"/>
  <c r="N89" i="137"/>
  <c r="N135" i="137"/>
  <c r="R9" i="173"/>
  <c r="R10" i="173"/>
  <c r="R13" i="173"/>
  <c r="N29" i="49"/>
  <c r="N113" i="49"/>
  <c r="N114" i="49"/>
  <c r="N115" i="49"/>
  <c r="N116" i="49"/>
  <c r="N21" i="49"/>
  <c r="N124" i="49"/>
  <c r="N125" i="49"/>
  <c r="N126" i="49"/>
  <c r="N127" i="49"/>
  <c r="N131" i="49"/>
  <c r="N195" i="49"/>
  <c r="R15" i="173"/>
  <c r="N28" i="62"/>
  <c r="N101" i="62"/>
  <c r="N102" i="62"/>
  <c r="N20" i="62"/>
  <c r="N110" i="62"/>
  <c r="N111" i="62"/>
  <c r="N115" i="62"/>
  <c r="N157" i="62"/>
  <c r="R16" i="173"/>
  <c r="R17" i="173"/>
  <c r="N176" i="39"/>
  <c r="N184" i="39"/>
  <c r="N235" i="39"/>
  <c r="N177" i="39"/>
  <c r="N185" i="39"/>
  <c r="N236" i="39"/>
  <c r="N178" i="39"/>
  <c r="N186" i="39"/>
  <c r="N237" i="39"/>
  <c r="N179" i="39"/>
  <c r="N187" i="39"/>
  <c r="N238" i="39"/>
  <c r="N239" i="39"/>
  <c r="N242" i="39"/>
  <c r="N442" i="39"/>
  <c r="R19" i="173"/>
  <c r="R20" i="173"/>
  <c r="N27" i="41"/>
  <c r="N276" i="41"/>
  <c r="N291" i="41"/>
  <c r="N93" i="41"/>
  <c r="N292" i="41"/>
  <c r="N293" i="41"/>
  <c r="N301" i="41"/>
  <c r="N440" i="41"/>
  <c r="R23" i="173"/>
  <c r="R34" i="173"/>
  <c r="R77" i="173"/>
  <c r="R79" i="173"/>
  <c r="R80" i="173"/>
  <c r="N32" i="46"/>
  <c r="N131" i="46"/>
  <c r="N170" i="46"/>
  <c r="R38" i="173"/>
  <c r="N23" i="48"/>
  <c r="N24" i="48"/>
  <c r="N49" i="48"/>
  <c r="N149" i="48"/>
  <c r="N150" i="48"/>
  <c r="N157" i="48"/>
  <c r="N213" i="48"/>
  <c r="R39" i="173"/>
  <c r="R40" i="173"/>
  <c r="R71" i="173"/>
  <c r="R73" i="173"/>
  <c r="R74" i="173"/>
  <c r="R42" i="173"/>
  <c r="R43" i="173"/>
  <c r="R44" i="173"/>
  <c r="R45" i="173"/>
  <c r="R46" i="173"/>
  <c r="R47" i="173"/>
  <c r="R49" i="173"/>
  <c r="R50" i="173"/>
  <c r="R53" i="173"/>
  <c r="R54" i="173"/>
  <c r="R57" i="173"/>
  <c r="R59" i="173"/>
  <c r="R61" i="173"/>
  <c r="S11" i="173"/>
  <c r="S12" i="173"/>
  <c r="S9" i="173"/>
  <c r="S10" i="173"/>
  <c r="S13" i="173"/>
  <c r="S15" i="173"/>
  <c r="S16" i="173"/>
  <c r="S17" i="173"/>
  <c r="S19" i="173"/>
  <c r="S20" i="173"/>
  <c r="S22" i="173"/>
  <c r="S23" i="173"/>
  <c r="S24" i="173"/>
  <c r="S28" i="173"/>
  <c r="S34" i="173"/>
  <c r="S35" i="173"/>
  <c r="S36" i="173"/>
  <c r="S77" i="173"/>
  <c r="S79" i="173"/>
  <c r="S80" i="173"/>
  <c r="S38" i="173"/>
  <c r="S39" i="173"/>
  <c r="S40" i="173"/>
  <c r="N20" i="31"/>
  <c r="N15" i="31"/>
  <c r="N137" i="31"/>
  <c r="N47" i="31"/>
  <c r="N48" i="31"/>
  <c r="N59" i="31"/>
  <c r="N131" i="31"/>
  <c r="N150" i="31"/>
  <c r="S71" i="173"/>
  <c r="N18" i="142"/>
  <c r="N19" i="142"/>
  <c r="N27" i="142"/>
  <c r="N28" i="142"/>
  <c r="N81" i="142"/>
  <c r="N85" i="142"/>
  <c r="N86" i="142"/>
  <c r="N87" i="142"/>
  <c r="N88" i="142"/>
  <c r="N115" i="142"/>
  <c r="S42" i="173"/>
  <c r="N19" i="143"/>
  <c r="N20" i="143"/>
  <c r="N71" i="143"/>
  <c r="N75" i="143"/>
  <c r="N76" i="143"/>
  <c r="N77" i="143"/>
  <c r="N79" i="143"/>
  <c r="N111" i="143"/>
  <c r="S43" i="173"/>
  <c r="N19" i="144"/>
  <c r="N20" i="144"/>
  <c r="N71" i="144"/>
  <c r="N75" i="144"/>
  <c r="N76" i="144"/>
  <c r="N77" i="144"/>
  <c r="N79" i="144"/>
  <c r="N111" i="144"/>
  <c r="S44" i="173"/>
  <c r="N19" i="147"/>
  <c r="N20" i="147"/>
  <c r="N63" i="147"/>
  <c r="N68" i="147"/>
  <c r="N69" i="147"/>
  <c r="N70" i="147"/>
  <c r="N71" i="147"/>
  <c r="N107" i="147"/>
  <c r="S45" i="173"/>
  <c r="N19" i="146"/>
  <c r="N20" i="146"/>
  <c r="N65" i="146"/>
  <c r="N70" i="146"/>
  <c r="N71" i="146"/>
  <c r="N72" i="146"/>
  <c r="N73" i="146"/>
  <c r="N109" i="146"/>
  <c r="S46" i="173"/>
  <c r="S47" i="173"/>
  <c r="N19" i="145"/>
  <c r="N20" i="145"/>
  <c r="N63" i="145"/>
  <c r="N68" i="145"/>
  <c r="N69" i="145"/>
  <c r="N70" i="145"/>
  <c r="N71" i="145"/>
  <c r="N109" i="145"/>
  <c r="S49" i="173"/>
  <c r="S50" i="173"/>
  <c r="N18" i="141"/>
  <c r="N19" i="141"/>
  <c r="N28" i="141"/>
  <c r="N93" i="141"/>
  <c r="N97" i="141"/>
  <c r="N98" i="141"/>
  <c r="N99" i="141"/>
  <c r="N100" i="141"/>
  <c r="N103" i="141"/>
  <c r="N140" i="141"/>
  <c r="S53" i="173"/>
  <c r="S54" i="173"/>
  <c r="N166" i="157"/>
  <c r="S57" i="173"/>
  <c r="N19" i="139"/>
  <c r="N20" i="139"/>
  <c r="N98" i="139"/>
  <c r="N99" i="139"/>
  <c r="N100" i="139"/>
  <c r="N101" i="139"/>
  <c r="N103" i="139"/>
  <c r="N158" i="139"/>
  <c r="S59" i="173"/>
  <c r="N166" i="140"/>
  <c r="S61" i="173"/>
  <c r="N104" i="139"/>
  <c r="N105" i="139"/>
  <c r="N106" i="139"/>
  <c r="N107" i="139"/>
  <c r="N111" i="139"/>
  <c r="N170" i="139"/>
  <c r="BH59" i="173"/>
  <c r="BH71" i="173"/>
  <c r="BH73" i="173"/>
  <c r="BH74" i="173"/>
  <c r="BH77" i="173"/>
  <c r="BH79" i="173"/>
  <c r="BH80" i="173"/>
  <c r="BH83" i="173"/>
  <c r="BH84" i="173"/>
  <c r="BH85" i="173"/>
  <c r="BH87" i="173"/>
  <c r="BI11" i="173"/>
  <c r="BI12" i="173"/>
  <c r="BI9" i="173"/>
  <c r="BI10" i="173"/>
  <c r="BI13" i="173"/>
  <c r="N117" i="49"/>
  <c r="N132" i="49"/>
  <c r="N118" i="49"/>
  <c r="N133" i="49"/>
  <c r="N119" i="49"/>
  <c r="N134" i="49"/>
  <c r="N168" i="49" a="1"/>
  <c r="N168" i="49"/>
  <c r="N208" i="49"/>
  <c r="BI15" i="173"/>
  <c r="N103" i="62"/>
  <c r="N116" i="62"/>
  <c r="N104" i="62"/>
  <c r="N117" i="62"/>
  <c r="N105" i="62"/>
  <c r="N118" i="62"/>
  <c r="N123" i="62" a="1"/>
  <c r="N123" i="62"/>
  <c r="N170" i="62"/>
  <c r="BI16" i="173"/>
  <c r="BI17" i="173"/>
  <c r="N243" i="39"/>
  <c r="N244" i="39"/>
  <c r="N245" i="39"/>
  <c r="N246" i="39"/>
  <c r="N344" i="39" a="1"/>
  <c r="N344" i="39"/>
  <c r="N456" i="39"/>
  <c r="BI19" i="173"/>
  <c r="BI20" i="173"/>
  <c r="N307" i="41"/>
  <c r="N312" i="41"/>
  <c r="N482" i="41"/>
  <c r="BI23" i="173"/>
  <c r="BI34" i="173"/>
  <c r="N138" i="46"/>
  <c r="N185" i="46"/>
  <c r="BI38" i="173"/>
  <c r="N165" i="48"/>
  <c r="N233" i="48"/>
  <c r="BI39" i="173"/>
  <c r="BI40" i="173"/>
  <c r="BI42" i="173"/>
  <c r="BI43" i="173"/>
  <c r="BI44" i="173"/>
  <c r="BI45" i="173"/>
  <c r="BI46" i="173"/>
  <c r="BI47" i="173"/>
  <c r="BI49" i="173"/>
  <c r="BI50" i="173"/>
  <c r="BI53" i="173"/>
  <c r="BI54" i="173"/>
  <c r="N115" i="157"/>
  <c r="N179" i="157"/>
  <c r="BI57" i="173"/>
  <c r="N117" i="140"/>
  <c r="N179" i="140"/>
  <c r="BI61" i="173"/>
  <c r="N112" i="139"/>
  <c r="N171" i="139"/>
  <c r="BI59" i="173"/>
  <c r="BI71" i="173"/>
  <c r="BI73" i="173"/>
  <c r="BI74" i="173"/>
  <c r="BI77" i="173"/>
  <c r="BI79" i="173"/>
  <c r="BI80" i="173"/>
  <c r="BI83" i="173"/>
  <c r="BI84" i="173"/>
  <c r="BI85" i="173"/>
  <c r="BI87" i="173"/>
  <c r="BJ11" i="173"/>
  <c r="BJ12" i="173"/>
  <c r="BJ9" i="173"/>
  <c r="BJ10" i="173"/>
  <c r="BJ13" i="173"/>
  <c r="N169" i="49" a="1"/>
  <c r="N169" i="49"/>
  <c r="N209" i="49"/>
  <c r="BJ15" i="173"/>
  <c r="N124" i="62" a="1"/>
  <c r="N124" i="62"/>
  <c r="N171" i="62"/>
  <c r="BJ16" i="173"/>
  <c r="BJ17" i="173"/>
  <c r="N345" i="39" a="1"/>
  <c r="N345" i="39"/>
  <c r="N457" i="39"/>
  <c r="BJ19" i="173"/>
  <c r="BJ20" i="173"/>
  <c r="N308" i="41"/>
  <c r="N313" i="41"/>
  <c r="N483" i="41"/>
  <c r="BJ23" i="173"/>
  <c r="BJ34" i="173"/>
  <c r="N139" i="46"/>
  <c r="N186" i="46"/>
  <c r="BJ38" i="173"/>
  <c r="N166" i="48"/>
  <c r="N234" i="48"/>
  <c r="BJ39" i="173"/>
  <c r="BJ40" i="173"/>
  <c r="BJ42" i="173"/>
  <c r="BJ43" i="173"/>
  <c r="BJ44" i="173"/>
  <c r="BJ45" i="173"/>
  <c r="BJ46" i="173"/>
  <c r="BJ47" i="173"/>
  <c r="BJ49" i="173"/>
  <c r="BJ50" i="173"/>
  <c r="BJ53" i="173"/>
  <c r="BJ54" i="173"/>
  <c r="N116" i="157"/>
  <c r="N180" i="157"/>
  <c r="BJ57" i="173"/>
  <c r="N118" i="140"/>
  <c r="N180" i="140"/>
  <c r="BJ61" i="173"/>
  <c r="N113" i="139"/>
  <c r="N172" i="139"/>
  <c r="BJ59" i="173"/>
  <c r="BJ71" i="173"/>
  <c r="BJ73" i="173"/>
  <c r="BJ74" i="173"/>
  <c r="BJ77" i="173"/>
  <c r="BJ79" i="173"/>
  <c r="BJ80" i="173"/>
  <c r="BJ83" i="173"/>
  <c r="BJ84" i="173"/>
  <c r="BJ85" i="173"/>
  <c r="BJ87" i="173"/>
  <c r="BK11" i="173"/>
  <c r="BK12" i="173"/>
  <c r="BK9" i="173"/>
  <c r="BK10" i="173"/>
  <c r="BK13" i="173"/>
  <c r="BK15" i="173"/>
  <c r="BK16" i="173"/>
  <c r="BK17" i="173"/>
  <c r="BK19" i="173"/>
  <c r="BK20" i="173"/>
  <c r="BK22" i="173"/>
  <c r="BK23" i="173"/>
  <c r="BK24" i="173"/>
  <c r="BK28" i="173"/>
  <c r="BK34" i="173"/>
  <c r="BK35" i="173"/>
  <c r="BK36" i="173"/>
  <c r="BK38" i="173"/>
  <c r="BK39" i="173"/>
  <c r="BK40" i="173"/>
  <c r="BK42" i="173"/>
  <c r="BK43" i="173"/>
  <c r="BK44" i="173"/>
  <c r="BK45" i="173"/>
  <c r="BK46" i="173"/>
  <c r="BK47" i="173"/>
  <c r="BK49" i="173"/>
  <c r="BK50" i="173"/>
  <c r="BK53" i="173"/>
  <c r="BK54" i="173"/>
  <c r="BK57" i="173"/>
  <c r="BK61" i="173"/>
  <c r="BK63" i="173"/>
  <c r="BK59" i="173"/>
  <c r="BK64" i="173"/>
  <c r="BK66" i="173"/>
  <c r="BK71" i="173"/>
  <c r="BK73" i="173"/>
  <c r="BK74" i="173"/>
  <c r="BK77" i="173"/>
  <c r="BK79" i="173"/>
  <c r="BK80" i="173"/>
  <c r="BK83" i="173"/>
  <c r="BK84" i="173"/>
  <c r="BK85" i="173"/>
  <c r="BK87" i="173"/>
  <c r="BK90" i="173"/>
  <c r="BL11" i="173"/>
  <c r="BL12" i="173"/>
  <c r="BL9" i="173"/>
  <c r="BL10" i="173"/>
  <c r="BL13" i="173"/>
  <c r="BL15" i="173"/>
  <c r="BL16" i="173"/>
  <c r="BL17" i="173"/>
  <c r="BL19" i="173"/>
  <c r="BL20" i="173"/>
  <c r="BL22" i="173"/>
  <c r="BL23" i="173"/>
  <c r="BL24" i="173"/>
  <c r="BL28" i="173"/>
  <c r="BL34" i="173"/>
  <c r="BL35" i="173"/>
  <c r="BL36" i="173"/>
  <c r="BL38" i="173"/>
  <c r="N162" i="48"/>
  <c r="N230" i="48"/>
  <c r="BL39" i="173"/>
  <c r="BL40" i="173"/>
  <c r="BL42" i="173"/>
  <c r="BL43" i="173"/>
  <c r="BL44" i="173"/>
  <c r="BL45" i="173"/>
  <c r="BL46" i="173"/>
  <c r="BL47" i="173"/>
  <c r="BL49" i="173"/>
  <c r="BL50" i="173"/>
  <c r="BL53" i="173"/>
  <c r="BL54" i="173"/>
  <c r="BL57" i="173"/>
  <c r="BL61" i="173"/>
  <c r="BL63" i="173"/>
  <c r="BL59" i="173"/>
  <c r="BL64" i="173"/>
  <c r="BL66" i="173"/>
  <c r="BL71" i="173"/>
  <c r="BL73" i="173"/>
  <c r="BL74" i="173"/>
  <c r="BL77" i="173"/>
  <c r="BL79" i="173"/>
  <c r="BL80" i="173"/>
  <c r="BL83" i="173"/>
  <c r="BL84" i="173"/>
  <c r="BL85" i="173"/>
  <c r="BL87" i="173"/>
  <c r="BL90" i="173"/>
  <c r="BM11" i="173"/>
  <c r="BM12" i="173"/>
  <c r="BM9" i="173"/>
  <c r="BM10" i="173"/>
  <c r="BM13" i="173"/>
  <c r="BM15" i="173"/>
  <c r="BM16" i="173"/>
  <c r="BM17" i="173"/>
  <c r="BM19" i="173"/>
  <c r="BM20" i="173"/>
  <c r="BM22" i="173"/>
  <c r="BM23" i="173"/>
  <c r="BM24" i="173"/>
  <c r="BM28" i="173"/>
  <c r="BM34" i="173"/>
  <c r="BM35" i="173"/>
  <c r="BM36" i="173"/>
  <c r="BM38" i="173"/>
  <c r="N161" i="48"/>
  <c r="N231" i="48"/>
  <c r="BM39" i="173"/>
  <c r="BM40" i="173"/>
  <c r="BM42" i="173"/>
  <c r="BM43" i="173"/>
  <c r="BM44" i="173"/>
  <c r="BM45" i="173"/>
  <c r="BM46" i="173"/>
  <c r="BM47" i="173"/>
  <c r="BM49" i="173"/>
  <c r="BM50" i="173"/>
  <c r="BM53" i="173"/>
  <c r="BM54" i="173"/>
  <c r="BM57" i="173"/>
  <c r="BM61" i="173"/>
  <c r="BM63" i="173"/>
  <c r="BM59" i="173"/>
  <c r="BM64" i="173"/>
  <c r="BM66" i="173"/>
  <c r="BM71" i="173"/>
  <c r="BM73" i="173"/>
  <c r="BM74" i="173"/>
  <c r="BM77" i="173"/>
  <c r="BM79" i="173"/>
  <c r="BM80" i="173"/>
  <c r="V11" i="173"/>
  <c r="V12" i="173"/>
  <c r="V9" i="173"/>
  <c r="V10" i="173"/>
  <c r="V13" i="173"/>
  <c r="N197" i="49"/>
  <c r="V15" i="173"/>
  <c r="N159" i="62"/>
  <c r="V16" i="173"/>
  <c r="V17" i="173"/>
  <c r="N445" i="39"/>
  <c r="V19" i="173"/>
  <c r="V20" i="173"/>
  <c r="N442" i="41"/>
  <c r="V23" i="173"/>
  <c r="V34" i="173"/>
  <c r="N172" i="46"/>
  <c r="V38" i="173"/>
  <c r="N152" i="48"/>
  <c r="N215" i="48"/>
  <c r="V39" i="173"/>
  <c r="V40" i="173"/>
  <c r="V42" i="173"/>
  <c r="V43" i="173"/>
  <c r="V44" i="173"/>
  <c r="V45" i="173"/>
  <c r="V46" i="173"/>
  <c r="V47" i="173"/>
  <c r="V49" i="173"/>
  <c r="V50" i="173"/>
  <c r="V53" i="173"/>
  <c r="V54" i="173"/>
  <c r="V57" i="173"/>
  <c r="N167" i="140"/>
  <c r="V61" i="173"/>
  <c r="V63" i="173"/>
  <c r="V59" i="173"/>
  <c r="V64" i="173"/>
  <c r="V71" i="173"/>
  <c r="V73" i="173"/>
  <c r="V74" i="173"/>
  <c r="AE11" i="173"/>
  <c r="AE12" i="173"/>
  <c r="AE9" i="173"/>
  <c r="AE10" i="173"/>
  <c r="AE13" i="173"/>
  <c r="AE15" i="173"/>
  <c r="AE16" i="173"/>
  <c r="AE17" i="173"/>
  <c r="AE19" i="173"/>
  <c r="AE20" i="173"/>
  <c r="AE22" i="173"/>
  <c r="AE23" i="173"/>
  <c r="AE24" i="173"/>
  <c r="AE28" i="173"/>
  <c r="N19" i="113"/>
  <c r="N307" i="113"/>
  <c r="N316" i="113"/>
  <c r="N345" i="113"/>
  <c r="N346" i="113" a="1"/>
  <c r="N346" i="113"/>
  <c r="N28" i="113"/>
  <c r="N308" i="113"/>
  <c r="N317" i="113"/>
  <c r="N351" i="113"/>
  <c r="N352" i="113" a="1"/>
  <c r="N352" i="113"/>
  <c r="N37" i="113"/>
  <c r="N309" i="113"/>
  <c r="N110" i="113"/>
  <c r="N318" i="113"/>
  <c r="N357" i="113"/>
  <c r="N358" i="113" a="1"/>
  <c r="N358" i="113"/>
  <c r="N364" i="113"/>
  <c r="N347" i="113"/>
  <c r="N353" i="113"/>
  <c r="N359" i="113"/>
  <c r="N365" i="113"/>
  <c r="N369" i="113"/>
  <c r="N530" i="113"/>
  <c r="AE34" i="173"/>
  <c r="N44" i="112"/>
  <c r="N299" i="112"/>
  <c r="N45" i="112"/>
  <c r="N300" i="112"/>
  <c r="N325" i="112"/>
  <c r="N402" i="112"/>
  <c r="N403" i="112"/>
  <c r="N405" i="112"/>
  <c r="N364" i="112"/>
  <c r="N326" i="112"/>
  <c r="N407" i="112"/>
  <c r="N408" i="112"/>
  <c r="N410" i="112"/>
  <c r="N412" i="112"/>
  <c r="N414" i="112"/>
  <c r="N423" i="112"/>
  <c r="N547" i="112"/>
  <c r="AE35" i="173"/>
  <c r="AE36" i="173"/>
  <c r="AE38" i="173"/>
  <c r="AE39" i="173"/>
  <c r="AE40" i="173"/>
  <c r="AE42" i="173"/>
  <c r="AE43" i="173"/>
  <c r="AE44" i="173"/>
  <c r="AE45" i="173"/>
  <c r="AE46" i="173"/>
  <c r="AE47" i="173"/>
  <c r="AE49" i="173"/>
  <c r="AE50" i="173"/>
  <c r="AE53" i="173"/>
  <c r="AE54" i="173"/>
  <c r="AE57" i="173"/>
  <c r="AE61" i="173"/>
  <c r="AE63" i="173"/>
  <c r="AE59" i="173"/>
  <c r="AE64" i="173"/>
  <c r="AE66" i="173"/>
  <c r="AE71" i="173"/>
  <c r="AE73" i="173"/>
  <c r="AE74" i="173"/>
  <c r="AE76" i="173"/>
  <c r="N15" i="110"/>
  <c r="N243" i="110"/>
  <c r="N253" i="110"/>
  <c r="N254" i="110"/>
  <c r="AF11" i="173"/>
  <c r="AF12" i="173"/>
  <c r="AF9" i="173"/>
  <c r="AF10" i="173"/>
  <c r="AF13" i="173"/>
  <c r="AF15" i="173"/>
  <c r="AF16" i="173"/>
  <c r="AF17" i="173"/>
  <c r="AF19" i="173"/>
  <c r="AF20" i="173"/>
  <c r="AF22" i="173"/>
  <c r="AF23" i="173"/>
  <c r="AF24" i="173"/>
  <c r="AF28" i="173"/>
  <c r="N331" i="113"/>
  <c r="N375" i="113"/>
  <c r="N101" i="113"/>
  <c r="N376" i="113"/>
  <c r="N332" i="113"/>
  <c r="N378" i="113"/>
  <c r="N379" i="113"/>
  <c r="N382" i="113"/>
  <c r="N119" i="113"/>
  <c r="N319" i="113"/>
  <c r="N407" i="113"/>
  <c r="N46" i="113"/>
  <c r="N310" i="113"/>
  <c r="N402" i="113"/>
  <c r="N408" i="113"/>
  <c r="N415" i="113"/>
  <c r="N531" i="113"/>
  <c r="AF34" i="173"/>
  <c r="N312" i="112"/>
  <c r="N314" i="112"/>
  <c r="N327" i="112"/>
  <c r="N416" i="112"/>
  <c r="N418" i="112"/>
  <c r="N420" i="112"/>
  <c r="N424" i="112"/>
  <c r="N548" i="112"/>
  <c r="AF35" i="173"/>
  <c r="AF36" i="173"/>
  <c r="AF38" i="173"/>
  <c r="AF39" i="173"/>
  <c r="AF40" i="173"/>
  <c r="AF42" i="173"/>
  <c r="AF43" i="173"/>
  <c r="AF44" i="173"/>
  <c r="AF45" i="173"/>
  <c r="AF46" i="173"/>
  <c r="AF47" i="173"/>
  <c r="AF49" i="173"/>
  <c r="AF50" i="173"/>
  <c r="AF53" i="173"/>
  <c r="AF54" i="173"/>
  <c r="AF57" i="173"/>
  <c r="AF61" i="173"/>
  <c r="AF63" i="173"/>
  <c r="AF59" i="173"/>
  <c r="AF64" i="173"/>
  <c r="AF66" i="173"/>
  <c r="AF71" i="173"/>
  <c r="AF73" i="173"/>
  <c r="AF74" i="173"/>
  <c r="AF76" i="173"/>
  <c r="N16" i="110"/>
  <c r="N261" i="110"/>
  <c r="N271" i="110"/>
  <c r="N272" i="110"/>
  <c r="AC11" i="173"/>
  <c r="AC12" i="173"/>
  <c r="AC9" i="173"/>
  <c r="AC10" i="173"/>
  <c r="AC13" i="173"/>
  <c r="AC15" i="173"/>
  <c r="AC16" i="173"/>
  <c r="AC17" i="173"/>
  <c r="AC19" i="173"/>
  <c r="AC20" i="173"/>
  <c r="AC22" i="173"/>
  <c r="AC23" i="173"/>
  <c r="AC24" i="173"/>
  <c r="AC28" i="173"/>
  <c r="AC34" i="173"/>
  <c r="N324" i="112"/>
  <c r="N46" i="112"/>
  <c r="N301" i="112"/>
  <c r="N47" i="112"/>
  <c r="N302" i="112"/>
  <c r="N389" i="112"/>
  <c r="N391" i="112"/>
  <c r="N397" i="112"/>
  <c r="N546" i="112"/>
  <c r="AC35" i="173"/>
  <c r="AC36" i="173"/>
  <c r="AC38" i="173"/>
  <c r="AC39" i="173"/>
  <c r="AC40" i="173"/>
  <c r="AC42" i="173"/>
  <c r="AC43" i="173"/>
  <c r="AC44" i="173"/>
  <c r="AC45" i="173"/>
  <c r="AC46" i="173"/>
  <c r="AC47" i="173"/>
  <c r="AC49" i="173"/>
  <c r="AC50" i="173"/>
  <c r="AC53" i="173"/>
  <c r="AC54" i="173"/>
  <c r="AC57" i="173"/>
  <c r="AC61" i="173"/>
  <c r="AC63" i="173"/>
  <c r="AC59" i="173"/>
  <c r="AC64" i="173"/>
  <c r="AC66" i="173"/>
  <c r="AC71" i="173"/>
  <c r="AC73" i="173"/>
  <c r="AC74" i="173"/>
  <c r="AC76" i="173"/>
  <c r="N18" i="110"/>
  <c r="N279" i="110"/>
  <c r="N289" i="110"/>
  <c r="N290" i="110"/>
  <c r="AD11" i="173"/>
  <c r="AD12" i="173"/>
  <c r="AD9" i="173"/>
  <c r="AD10" i="173"/>
  <c r="AD13" i="173"/>
  <c r="AD15" i="173"/>
  <c r="AD16" i="173"/>
  <c r="AD17" i="173"/>
  <c r="AD19" i="173"/>
  <c r="AD20" i="173"/>
  <c r="AD22" i="173"/>
  <c r="AD23" i="173"/>
  <c r="AD24" i="173"/>
  <c r="AD28" i="173"/>
  <c r="AD34" i="173"/>
  <c r="N323" i="112"/>
  <c r="N379" i="112"/>
  <c r="N381" i="112"/>
  <c r="N384" i="112"/>
  <c r="N545" i="112"/>
  <c r="AD35" i="173"/>
  <c r="AD36" i="173"/>
  <c r="AD38" i="173"/>
  <c r="AD39" i="173"/>
  <c r="AD40" i="173"/>
  <c r="AD42" i="173"/>
  <c r="AD43" i="173"/>
  <c r="AD44" i="173"/>
  <c r="AD45" i="173"/>
  <c r="AD46" i="173"/>
  <c r="AD47" i="173"/>
  <c r="AD49" i="173"/>
  <c r="AD50" i="173"/>
  <c r="AD53" i="173"/>
  <c r="AD54" i="173"/>
  <c r="AD57" i="173"/>
  <c r="AD61" i="173"/>
  <c r="AD63" i="173"/>
  <c r="AD59" i="173"/>
  <c r="AD64" i="173"/>
  <c r="AD66" i="173"/>
  <c r="AD71" i="173"/>
  <c r="AD73" i="173"/>
  <c r="AD74" i="173"/>
  <c r="AD76" i="173"/>
  <c r="N19" i="110"/>
  <c r="N296" i="110"/>
  <c r="N307" i="110"/>
  <c r="AG11" i="173"/>
  <c r="AG12" i="173"/>
  <c r="AG9" i="173"/>
  <c r="AG10" i="173"/>
  <c r="AG13" i="173"/>
  <c r="AG15" i="173"/>
  <c r="AG16" i="173"/>
  <c r="AG17" i="173"/>
  <c r="AG19" i="173"/>
  <c r="AG20" i="173"/>
  <c r="AG22" i="173"/>
  <c r="AG23" i="173"/>
  <c r="AG24" i="173"/>
  <c r="AG28" i="173"/>
  <c r="N55" i="113"/>
  <c r="N311" i="113"/>
  <c r="N388" i="113"/>
  <c r="N128" i="113"/>
  <c r="N389" i="113"/>
  <c r="N137" i="113"/>
  <c r="N390" i="113"/>
  <c r="N391" i="113"/>
  <c r="N397" i="113"/>
  <c r="N532" i="113"/>
  <c r="AG34" i="173"/>
  <c r="AG35" i="173"/>
  <c r="AG36" i="173"/>
  <c r="AG38" i="173"/>
  <c r="AG39" i="173"/>
  <c r="AG40" i="173"/>
  <c r="AG42" i="173"/>
  <c r="AG43" i="173"/>
  <c r="AG44" i="173"/>
  <c r="AG45" i="173"/>
  <c r="AG46" i="173"/>
  <c r="AG47" i="173"/>
  <c r="AG49" i="173"/>
  <c r="AG50" i="173"/>
  <c r="AG53" i="173"/>
  <c r="AG54" i="173"/>
  <c r="AG57" i="173"/>
  <c r="AG61" i="173"/>
  <c r="AG63" i="173"/>
  <c r="AG59" i="173"/>
  <c r="AG64" i="173"/>
  <c r="AG66" i="173"/>
  <c r="AG71" i="173"/>
  <c r="AG73" i="173"/>
  <c r="AG74" i="173"/>
  <c r="AG76" i="173"/>
  <c r="N17" i="110"/>
  <c r="N314" i="110"/>
  <c r="N324" i="110"/>
  <c r="N325" i="110"/>
  <c r="N336" i="110"/>
  <c r="N416" i="110"/>
  <c r="V77" i="173"/>
  <c r="BM84" i="173"/>
  <c r="BN11" i="173"/>
  <c r="BN12" i="173"/>
  <c r="BN9" i="173"/>
  <c r="BN10" i="173"/>
  <c r="BN13" i="173"/>
  <c r="BN15" i="173"/>
  <c r="BN16" i="173"/>
  <c r="BN17" i="173"/>
  <c r="BN19" i="173"/>
  <c r="BN20" i="173"/>
  <c r="BN22" i="173"/>
  <c r="BN23" i="173"/>
  <c r="BN24" i="173"/>
  <c r="BN28" i="173"/>
  <c r="BN34" i="173"/>
  <c r="BN35" i="173"/>
  <c r="BN36" i="173"/>
  <c r="BN38" i="173"/>
  <c r="BN39" i="173"/>
  <c r="BN40" i="173"/>
  <c r="BN42" i="173"/>
  <c r="BN43" i="173"/>
  <c r="BN44" i="173"/>
  <c r="BN45" i="173"/>
  <c r="BN46" i="173"/>
  <c r="BN47" i="173"/>
  <c r="BN49" i="173"/>
  <c r="BN50" i="173"/>
  <c r="BN53" i="173"/>
  <c r="BN54" i="173"/>
  <c r="BN57" i="173"/>
  <c r="BN61" i="173"/>
  <c r="BN63" i="173"/>
  <c r="BN59" i="173"/>
  <c r="BN64" i="173"/>
  <c r="BN66" i="173"/>
  <c r="BN71" i="173"/>
  <c r="BN73" i="173"/>
  <c r="BN74" i="173"/>
  <c r="BN77" i="173"/>
  <c r="BN79" i="173"/>
  <c r="BN80" i="173"/>
  <c r="BN83" i="173"/>
  <c r="BN84" i="173"/>
  <c r="BN85" i="173"/>
  <c r="BN87" i="173"/>
  <c r="BN90" i="173"/>
  <c r="BO11" i="173"/>
  <c r="BO12" i="173"/>
  <c r="BO9" i="173"/>
  <c r="BO10" i="173"/>
  <c r="BO13" i="173"/>
  <c r="BO15" i="173"/>
  <c r="BO16" i="173"/>
  <c r="BO17" i="173"/>
  <c r="BO19" i="173"/>
  <c r="BO20" i="173"/>
  <c r="BO22" i="173"/>
  <c r="BO23" i="173"/>
  <c r="BO24" i="173"/>
  <c r="BO28" i="173"/>
  <c r="BO34" i="173"/>
  <c r="BO35" i="173"/>
  <c r="BO36" i="173"/>
  <c r="BO38" i="173"/>
  <c r="BO39" i="173"/>
  <c r="BO40" i="173"/>
  <c r="BO42" i="173"/>
  <c r="BO43" i="173"/>
  <c r="BO44" i="173"/>
  <c r="BO45" i="173"/>
  <c r="BO46" i="173"/>
  <c r="BO47" i="173"/>
  <c r="BO49" i="173"/>
  <c r="BO50" i="173"/>
  <c r="BO53" i="173"/>
  <c r="BO54" i="173"/>
  <c r="BO57" i="173"/>
  <c r="BO61" i="173"/>
  <c r="BO63" i="173"/>
  <c r="BO59" i="173"/>
  <c r="BO64" i="173"/>
  <c r="BO66" i="173"/>
  <c r="BO71" i="173"/>
  <c r="BO73" i="173"/>
  <c r="BO74" i="173"/>
  <c r="BO77" i="173"/>
  <c r="BO79" i="173"/>
  <c r="BO80" i="173"/>
  <c r="BO83" i="173"/>
  <c r="BO84" i="173"/>
  <c r="BO85" i="173"/>
  <c r="BO87" i="173"/>
  <c r="BO90" i="173"/>
  <c r="BP11" i="173"/>
  <c r="BP12" i="173"/>
  <c r="BP9" i="173"/>
  <c r="BP10" i="173"/>
  <c r="BP13" i="173"/>
  <c r="BP15" i="173"/>
  <c r="BP16" i="173"/>
  <c r="BP17" i="173"/>
  <c r="N210" i="39"/>
  <c r="N284" i="39"/>
  <c r="N211" i="39"/>
  <c r="N285" i="39"/>
  <c r="N212" i="39"/>
  <c r="N286" i="39"/>
  <c r="N213" i="39"/>
  <c r="N287" i="39"/>
  <c r="N288" i="39"/>
  <c r="N458" i="39"/>
  <c r="BP19" i="173"/>
  <c r="BP20" i="173"/>
  <c r="BP22" i="173"/>
  <c r="BP23" i="173"/>
  <c r="BP24" i="173"/>
  <c r="BP28" i="173"/>
  <c r="BP34" i="173"/>
  <c r="BP35" i="173"/>
  <c r="BP36" i="173"/>
  <c r="BP38" i="173"/>
  <c r="BP39" i="173"/>
  <c r="BP40" i="173"/>
  <c r="BP42" i="173"/>
  <c r="BP43" i="173"/>
  <c r="BP44" i="173"/>
  <c r="BP45" i="173"/>
  <c r="BP46" i="173"/>
  <c r="BP47" i="173"/>
  <c r="BP49" i="173"/>
  <c r="BP50" i="173"/>
  <c r="BP53" i="173"/>
  <c r="BP54" i="173"/>
  <c r="BP57" i="173"/>
  <c r="BP61" i="173"/>
  <c r="BP63" i="173"/>
  <c r="BP59" i="173"/>
  <c r="BP64" i="173"/>
  <c r="BP66" i="173"/>
  <c r="BP71" i="173"/>
  <c r="BP73" i="173"/>
  <c r="BP74" i="173"/>
  <c r="BP77" i="173"/>
  <c r="BP79" i="173"/>
  <c r="BP80" i="173"/>
  <c r="BP83" i="173"/>
  <c r="BP84" i="173"/>
  <c r="BP85" i="173"/>
  <c r="BP87" i="173"/>
  <c r="BP90" i="173"/>
  <c r="BQ11" i="173"/>
  <c r="BQ12" i="173"/>
  <c r="BQ9" i="173"/>
  <c r="BQ10" i="173"/>
  <c r="BQ13" i="173"/>
  <c r="BQ15" i="173"/>
  <c r="BQ16" i="173"/>
  <c r="BQ17" i="173"/>
  <c r="N291" i="39"/>
  <c r="N292" i="39"/>
  <c r="N293" i="39"/>
  <c r="N294" i="39"/>
  <c r="N295" i="39"/>
  <c r="N459" i="39"/>
  <c r="BQ19" i="173"/>
  <c r="BQ20" i="173"/>
  <c r="BQ22" i="173"/>
  <c r="BQ23" i="173"/>
  <c r="BQ24" i="173"/>
  <c r="BQ28" i="173"/>
  <c r="BQ34" i="173"/>
  <c r="BQ35" i="173"/>
  <c r="BQ36" i="173"/>
  <c r="BQ38" i="173"/>
  <c r="BQ39" i="173"/>
  <c r="BQ40" i="173"/>
  <c r="BQ42" i="173"/>
  <c r="BQ43" i="173"/>
  <c r="BQ44" i="173"/>
  <c r="BQ45" i="173"/>
  <c r="BQ46" i="173"/>
  <c r="BQ47" i="173"/>
  <c r="BQ49" i="173"/>
  <c r="BQ50" i="173"/>
  <c r="BQ53" i="173"/>
  <c r="BQ54" i="173"/>
  <c r="BQ57" i="173"/>
  <c r="BQ61" i="173"/>
  <c r="BQ63" i="173"/>
  <c r="BQ59" i="173"/>
  <c r="BQ64" i="173"/>
  <c r="BQ66" i="173"/>
  <c r="BQ71" i="173"/>
  <c r="BQ73" i="173"/>
  <c r="BQ74" i="173"/>
  <c r="BQ77" i="173"/>
  <c r="BQ79" i="173"/>
  <c r="BQ80" i="173"/>
  <c r="BQ83" i="173"/>
  <c r="BQ84" i="173"/>
  <c r="BQ85" i="173"/>
  <c r="BQ87" i="173"/>
  <c r="BQ90" i="173"/>
  <c r="BR11" i="173"/>
  <c r="BR12" i="173"/>
  <c r="BR9" i="173"/>
  <c r="BR10" i="173"/>
  <c r="BR13" i="173"/>
  <c r="BR15" i="173"/>
  <c r="BR16" i="173"/>
  <c r="BR17" i="173"/>
  <c r="N298" i="39"/>
  <c r="N299" i="39"/>
  <c r="N300" i="39"/>
  <c r="N301" i="39"/>
  <c r="N302" i="39"/>
  <c r="N460" i="39"/>
  <c r="BR19" i="173"/>
  <c r="BR20" i="173"/>
  <c r="BR22" i="173"/>
  <c r="BR23" i="173"/>
  <c r="BR24" i="173"/>
  <c r="BR28" i="173"/>
  <c r="BR34" i="173"/>
  <c r="BR35" i="173"/>
  <c r="BR36" i="173"/>
  <c r="BR38" i="173"/>
  <c r="BR39" i="173"/>
  <c r="BR40" i="173"/>
  <c r="BR42" i="173"/>
  <c r="BR43" i="173"/>
  <c r="BR44" i="173"/>
  <c r="BR45" i="173"/>
  <c r="BR46" i="173"/>
  <c r="BR47" i="173"/>
  <c r="BR49" i="173"/>
  <c r="BR50" i="173"/>
  <c r="BR53" i="173"/>
  <c r="BR54" i="173"/>
  <c r="BR57" i="173"/>
  <c r="BR61" i="173"/>
  <c r="BR63" i="173"/>
  <c r="BR59" i="173"/>
  <c r="BR64" i="173"/>
  <c r="BR66" i="173"/>
  <c r="BR71" i="173"/>
  <c r="BR73" i="173"/>
  <c r="BR74" i="173"/>
  <c r="BR77" i="173"/>
  <c r="BR79" i="173"/>
  <c r="BR80" i="173"/>
  <c r="BR83" i="173"/>
  <c r="BR84" i="173"/>
  <c r="BR85" i="173"/>
  <c r="BR87" i="173"/>
  <c r="BR90" i="173"/>
  <c r="BS11" i="173"/>
  <c r="BS12" i="173"/>
  <c r="BS9" i="173"/>
  <c r="BS10" i="173"/>
  <c r="BS13" i="173"/>
  <c r="BS15" i="173"/>
  <c r="BS16" i="173"/>
  <c r="BS17" i="173"/>
  <c r="N305" i="39"/>
  <c r="N306" i="39"/>
  <c r="N307" i="39"/>
  <c r="N308" i="39"/>
  <c r="N309" i="39"/>
  <c r="N461" i="39"/>
  <c r="BS19" i="173"/>
  <c r="BS20" i="173"/>
  <c r="BS22" i="173"/>
  <c r="BS23" i="173"/>
  <c r="BS24" i="173"/>
  <c r="BS28" i="173"/>
  <c r="BS34" i="173"/>
  <c r="BS35" i="173"/>
  <c r="BS36" i="173"/>
  <c r="BS38" i="173"/>
  <c r="BS39" i="173"/>
  <c r="BS40" i="173"/>
  <c r="BS42" i="173"/>
  <c r="BS43" i="173"/>
  <c r="BS44" i="173"/>
  <c r="BS45" i="173"/>
  <c r="BS46" i="173"/>
  <c r="BS47" i="173"/>
  <c r="BS49" i="173"/>
  <c r="BS50" i="173"/>
  <c r="BS53" i="173"/>
  <c r="BS54" i="173"/>
  <c r="BS57" i="173"/>
  <c r="BS61" i="173"/>
  <c r="BS63" i="173"/>
  <c r="BS59" i="173"/>
  <c r="BS64" i="173"/>
  <c r="BS66" i="173"/>
  <c r="BS71" i="173"/>
  <c r="BS73" i="173"/>
  <c r="BS74" i="173"/>
  <c r="BS77" i="173"/>
  <c r="BS79" i="173"/>
  <c r="BS80" i="173"/>
  <c r="BS83" i="173"/>
  <c r="BS84" i="173"/>
  <c r="BS85" i="173"/>
  <c r="BS87" i="173"/>
  <c r="BS90" i="173"/>
  <c r="M50" i="175"/>
  <c r="BT11" i="173"/>
  <c r="BT12" i="173"/>
  <c r="BT9" i="173"/>
  <c r="BT10" i="173"/>
  <c r="BT13" i="173"/>
  <c r="BT15" i="173"/>
  <c r="BT16" i="173"/>
  <c r="BT17" i="173"/>
  <c r="BT19" i="173"/>
  <c r="BT20" i="173"/>
  <c r="BT22" i="173"/>
  <c r="BT23" i="173"/>
  <c r="BT24" i="173"/>
  <c r="BT28" i="173"/>
  <c r="BT34" i="173"/>
  <c r="BT35" i="173"/>
  <c r="BT36" i="173"/>
  <c r="BT38" i="173"/>
  <c r="BT39" i="173"/>
  <c r="BT40" i="173"/>
  <c r="BT42" i="173"/>
  <c r="BT43" i="173"/>
  <c r="BT44" i="173"/>
  <c r="BT45" i="173"/>
  <c r="BT46" i="173"/>
  <c r="BT47" i="173"/>
  <c r="BT49" i="173"/>
  <c r="BT50" i="173"/>
  <c r="BT53" i="173"/>
  <c r="BT54" i="173"/>
  <c r="BT57" i="173"/>
  <c r="BT61" i="173"/>
  <c r="BT63" i="173"/>
  <c r="BT59" i="173"/>
  <c r="BT64" i="173"/>
  <c r="BT66" i="173"/>
  <c r="BT71" i="173"/>
  <c r="BT73" i="173"/>
  <c r="BT74" i="173"/>
  <c r="BT77" i="173"/>
  <c r="BT79" i="173"/>
  <c r="BT80" i="173"/>
  <c r="BT83" i="173"/>
  <c r="BT84" i="173"/>
  <c r="BT85" i="173"/>
  <c r="BT87" i="173"/>
  <c r="BT90" i="173"/>
  <c r="BU11" i="173"/>
  <c r="BU12" i="173"/>
  <c r="BU9" i="173"/>
  <c r="BU10" i="173"/>
  <c r="BU13" i="173"/>
  <c r="BU15" i="173"/>
  <c r="BU16" i="173"/>
  <c r="BU17" i="173"/>
  <c r="BU19" i="173"/>
  <c r="BU20" i="173"/>
  <c r="BU22" i="173"/>
  <c r="BU23" i="173"/>
  <c r="BU24" i="173"/>
  <c r="BU28" i="173"/>
  <c r="BU34" i="173"/>
  <c r="BU35" i="173"/>
  <c r="BU36" i="173"/>
  <c r="BU38" i="173"/>
  <c r="BU39" i="173"/>
  <c r="BU40" i="173"/>
  <c r="BU42" i="173"/>
  <c r="BU43" i="173"/>
  <c r="BU44" i="173"/>
  <c r="BU45" i="173"/>
  <c r="BU46" i="173"/>
  <c r="BU47" i="173"/>
  <c r="BU49" i="173"/>
  <c r="BU50" i="173"/>
  <c r="BU53" i="173"/>
  <c r="BU54" i="173"/>
  <c r="BU57" i="173"/>
  <c r="BU61" i="173"/>
  <c r="BU63" i="173"/>
  <c r="BU59" i="173"/>
  <c r="BU64" i="173"/>
  <c r="BU66" i="173"/>
  <c r="BU71" i="173"/>
  <c r="BU73" i="173"/>
  <c r="BU74" i="173"/>
  <c r="BU77" i="173"/>
  <c r="BU79" i="173"/>
  <c r="BU80" i="173"/>
  <c r="BU83" i="173"/>
  <c r="BU84" i="173"/>
  <c r="BU85" i="173"/>
  <c r="BU87" i="173"/>
  <c r="BU90" i="173"/>
  <c r="BV11" i="173"/>
  <c r="BV12" i="173"/>
  <c r="BV9" i="173"/>
  <c r="BV10" i="173"/>
  <c r="BV13" i="173"/>
  <c r="BV15" i="173"/>
  <c r="BV16" i="173"/>
  <c r="BV17" i="173"/>
  <c r="BV19" i="173"/>
  <c r="BV20" i="173"/>
  <c r="BV22" i="173"/>
  <c r="BV23" i="173"/>
  <c r="BV24" i="173"/>
  <c r="BV28" i="173"/>
  <c r="BV34" i="173"/>
  <c r="BV35" i="173"/>
  <c r="BV36" i="173"/>
  <c r="BV38" i="173"/>
  <c r="BV39" i="173"/>
  <c r="BV40" i="173"/>
  <c r="BV42" i="173"/>
  <c r="BV43" i="173"/>
  <c r="BV44" i="173"/>
  <c r="BV45" i="173"/>
  <c r="BV46" i="173"/>
  <c r="BV47" i="173"/>
  <c r="BV49" i="173"/>
  <c r="BV50" i="173"/>
  <c r="BV53" i="173"/>
  <c r="BV54" i="173"/>
  <c r="BV57" i="173"/>
  <c r="BV61" i="173"/>
  <c r="BV63" i="173"/>
  <c r="BV59" i="173"/>
  <c r="BV64" i="173"/>
  <c r="BV66" i="173"/>
  <c r="BV71" i="173"/>
  <c r="BV73" i="173"/>
  <c r="BV74" i="173"/>
  <c r="BV77" i="173"/>
  <c r="BV79" i="173"/>
  <c r="BV80" i="173"/>
  <c r="BV83" i="173"/>
  <c r="BV84" i="173"/>
  <c r="BV85" i="173"/>
  <c r="BV87" i="173"/>
  <c r="BV90" i="173"/>
  <c r="BW11" i="173"/>
  <c r="BW12" i="173"/>
  <c r="BW9" i="173"/>
  <c r="BW10" i="173"/>
  <c r="BW13" i="173"/>
  <c r="BW15" i="173"/>
  <c r="BW16" i="173"/>
  <c r="BW17" i="173"/>
  <c r="BW19" i="173"/>
  <c r="BW20" i="173"/>
  <c r="BW22" i="173"/>
  <c r="BW23" i="173"/>
  <c r="BW24" i="173"/>
  <c r="BW28" i="173"/>
  <c r="BW34" i="173"/>
  <c r="BW35" i="173"/>
  <c r="BW36" i="173"/>
  <c r="BW38" i="173"/>
  <c r="BW39" i="173"/>
  <c r="BW40" i="173"/>
  <c r="BW42" i="173"/>
  <c r="BW43" i="173"/>
  <c r="BW44" i="173"/>
  <c r="BW45" i="173"/>
  <c r="BW46" i="173"/>
  <c r="BW47" i="173"/>
  <c r="BW49" i="173"/>
  <c r="BW50" i="173"/>
  <c r="BW53" i="173"/>
  <c r="BW54" i="173"/>
  <c r="BW57" i="173"/>
  <c r="BW61" i="173"/>
  <c r="BW63" i="173"/>
  <c r="BW59" i="173"/>
  <c r="BW64" i="173"/>
  <c r="BW66" i="173"/>
  <c r="BW71" i="173"/>
  <c r="BW73" i="173"/>
  <c r="BW74" i="173"/>
  <c r="BW77" i="173"/>
  <c r="BW79" i="173"/>
  <c r="BW80" i="173"/>
  <c r="BW83" i="173"/>
  <c r="BW84" i="173"/>
  <c r="BW85" i="173"/>
  <c r="BW87" i="173"/>
  <c r="BW90" i="173"/>
  <c r="M51" i="175"/>
  <c r="BX11" i="173"/>
  <c r="BX12" i="173"/>
  <c r="BX9" i="173"/>
  <c r="BX10" i="173"/>
  <c r="BX13" i="173"/>
  <c r="BX15" i="173"/>
  <c r="BX16" i="173"/>
  <c r="BX17" i="173"/>
  <c r="BX19" i="173"/>
  <c r="BX20" i="173"/>
  <c r="BX22" i="173"/>
  <c r="BX23" i="173"/>
  <c r="BX24" i="173"/>
  <c r="BX28" i="173"/>
  <c r="BX34" i="173"/>
  <c r="BX35" i="173"/>
  <c r="BX36" i="173"/>
  <c r="BX38" i="173"/>
  <c r="BX39" i="173"/>
  <c r="BX40" i="173"/>
  <c r="BX42" i="173"/>
  <c r="BX43" i="173"/>
  <c r="BX44" i="173"/>
  <c r="BX45" i="173"/>
  <c r="BX46" i="173"/>
  <c r="BX47" i="173"/>
  <c r="BX49" i="173"/>
  <c r="BX50" i="173"/>
  <c r="BX53" i="173"/>
  <c r="BX54" i="173"/>
  <c r="BX57" i="173"/>
  <c r="BX61" i="173"/>
  <c r="BX63" i="173"/>
  <c r="BX59" i="173"/>
  <c r="BX64" i="173"/>
  <c r="BX66" i="173"/>
  <c r="BX71" i="173"/>
  <c r="BX73" i="173"/>
  <c r="BX74" i="173"/>
  <c r="BX77" i="173"/>
  <c r="BX79" i="173"/>
  <c r="BX80" i="173"/>
  <c r="BX83" i="173"/>
  <c r="BX84" i="173"/>
  <c r="BX85" i="173"/>
  <c r="BX87" i="173"/>
  <c r="BX90" i="173"/>
  <c r="BY11" i="173"/>
  <c r="BY12" i="173"/>
  <c r="BY9" i="173"/>
  <c r="BY10" i="173"/>
  <c r="BY13" i="173"/>
  <c r="BY15" i="173"/>
  <c r="BY16" i="173"/>
  <c r="BY17" i="173"/>
  <c r="BY19" i="173"/>
  <c r="BY20" i="173"/>
  <c r="BY22" i="173"/>
  <c r="BY23" i="173"/>
  <c r="BY24" i="173"/>
  <c r="BY28" i="173"/>
  <c r="BY34" i="173"/>
  <c r="F339" i="112"/>
  <c r="G345" i="112"/>
  <c r="G339" i="112"/>
  <c r="H345" i="112"/>
  <c r="H339" i="112"/>
  <c r="I345" i="112"/>
  <c r="I339" i="112"/>
  <c r="J345" i="112"/>
  <c r="J339" i="112"/>
  <c r="K345" i="112"/>
  <c r="K339" i="112"/>
  <c r="L345" i="112"/>
  <c r="L339" i="112"/>
  <c r="M345" i="112"/>
  <c r="M339" i="112"/>
  <c r="N345" i="112"/>
  <c r="N448" i="112"/>
  <c r="F340" i="112"/>
  <c r="G346" i="112"/>
  <c r="G340" i="112"/>
  <c r="H346" i="112"/>
  <c r="H340" i="112"/>
  <c r="I346" i="112"/>
  <c r="I340" i="112"/>
  <c r="J346" i="112"/>
  <c r="J340" i="112"/>
  <c r="K346" i="112"/>
  <c r="K340" i="112"/>
  <c r="L346" i="112"/>
  <c r="L340" i="112"/>
  <c r="M346" i="112"/>
  <c r="M340" i="112"/>
  <c r="N346" i="112"/>
  <c r="N449" i="112"/>
  <c r="N562" i="112"/>
  <c r="BY35" i="173"/>
  <c r="BY36" i="173"/>
  <c r="BY38" i="173"/>
  <c r="BY39" i="173"/>
  <c r="BY40" i="173"/>
  <c r="BY42" i="173"/>
  <c r="BY43" i="173"/>
  <c r="BY44" i="173"/>
  <c r="BY45" i="173"/>
  <c r="BY46" i="173"/>
  <c r="BY47" i="173"/>
  <c r="BY49" i="173"/>
  <c r="BY50" i="173"/>
  <c r="BY53" i="173"/>
  <c r="BY54" i="173"/>
  <c r="BY57" i="173"/>
  <c r="BY61" i="173"/>
  <c r="BY63" i="173"/>
  <c r="BY59" i="173"/>
  <c r="BY64" i="173"/>
  <c r="BY66" i="173"/>
  <c r="BY71" i="173"/>
  <c r="BY73" i="173"/>
  <c r="BY74" i="173"/>
  <c r="BY77" i="173"/>
  <c r="BY79" i="173"/>
  <c r="BY80" i="173"/>
  <c r="BY83" i="173"/>
  <c r="BY84" i="173"/>
  <c r="BY85" i="173"/>
  <c r="BY87" i="173"/>
  <c r="BY90" i="173"/>
  <c r="BZ11" i="173"/>
  <c r="BZ12" i="173"/>
  <c r="BZ9" i="173"/>
  <c r="BZ10" i="173"/>
  <c r="BZ13" i="173"/>
  <c r="BZ15" i="173"/>
  <c r="BZ16" i="173"/>
  <c r="BZ17" i="173"/>
  <c r="BZ19" i="173"/>
  <c r="BZ20" i="173"/>
  <c r="BZ22" i="173"/>
  <c r="BZ23" i="173"/>
  <c r="BZ24" i="173"/>
  <c r="BZ28" i="173"/>
  <c r="BZ34" i="173"/>
  <c r="F351" i="112"/>
  <c r="G356" i="112"/>
  <c r="G351" i="112"/>
  <c r="H356" i="112"/>
  <c r="H351" i="112"/>
  <c r="I356" i="112"/>
  <c r="I351" i="112"/>
  <c r="J356" i="112"/>
  <c r="J351" i="112"/>
  <c r="K356" i="112"/>
  <c r="K351" i="112"/>
  <c r="L356" i="112"/>
  <c r="L351" i="112"/>
  <c r="M356" i="112"/>
  <c r="M351" i="112"/>
  <c r="N356" i="112"/>
  <c r="N450" i="112"/>
  <c r="N563" i="112"/>
  <c r="BZ35" i="173"/>
  <c r="BZ36" i="173"/>
  <c r="BZ38" i="173"/>
  <c r="BZ39" i="173"/>
  <c r="BZ40" i="173"/>
  <c r="BZ42" i="173"/>
  <c r="BZ43" i="173"/>
  <c r="BZ44" i="173"/>
  <c r="BZ45" i="173"/>
  <c r="BZ46" i="173"/>
  <c r="BZ47" i="173"/>
  <c r="BZ49" i="173"/>
  <c r="BZ50" i="173"/>
  <c r="BZ53" i="173"/>
  <c r="BZ54" i="173"/>
  <c r="BZ57" i="173"/>
  <c r="BZ61" i="173"/>
  <c r="BZ63" i="173"/>
  <c r="BZ59" i="173"/>
  <c r="BZ64" i="173"/>
  <c r="BZ66" i="173"/>
  <c r="BZ71" i="173"/>
  <c r="BZ73" i="173"/>
  <c r="BZ74" i="173"/>
  <c r="BZ77" i="173"/>
  <c r="BZ79" i="173"/>
  <c r="BZ80" i="173"/>
  <c r="BZ83" i="173"/>
  <c r="BZ84" i="173"/>
  <c r="BZ85" i="173"/>
  <c r="BZ87" i="173"/>
  <c r="BZ90" i="173"/>
  <c r="CA11" i="173"/>
  <c r="CA12" i="173"/>
  <c r="CA9" i="173"/>
  <c r="CA10" i="173"/>
  <c r="CA13" i="173"/>
  <c r="CA15" i="173"/>
  <c r="CA16" i="173"/>
  <c r="CA17" i="173"/>
  <c r="CA19" i="173"/>
  <c r="CA20" i="173"/>
  <c r="CA22" i="173"/>
  <c r="CA23" i="173"/>
  <c r="CA24" i="173"/>
  <c r="CA28" i="173"/>
  <c r="CA34" i="173"/>
  <c r="CA35" i="173"/>
  <c r="CA36" i="173"/>
  <c r="CA38" i="173"/>
  <c r="CA39" i="173"/>
  <c r="CA40" i="173"/>
  <c r="CA42" i="173"/>
  <c r="CA43" i="173"/>
  <c r="CA44" i="173"/>
  <c r="CA45" i="173"/>
  <c r="CA46" i="173"/>
  <c r="CA47" i="173"/>
  <c r="CA49" i="173"/>
  <c r="CA50" i="173"/>
  <c r="CA53" i="173"/>
  <c r="CA54" i="173"/>
  <c r="CA57" i="173"/>
  <c r="CA61" i="173"/>
  <c r="CA63" i="173"/>
  <c r="CA59" i="173"/>
  <c r="CA64" i="173"/>
  <c r="CA66" i="173"/>
  <c r="CA71" i="173"/>
  <c r="CA73" i="173"/>
  <c r="CA74" i="173"/>
  <c r="CA77" i="173"/>
  <c r="CA79" i="173"/>
  <c r="CA80" i="173"/>
  <c r="CA83" i="173"/>
  <c r="CA84" i="173"/>
  <c r="CA85" i="173"/>
  <c r="CA87" i="173"/>
  <c r="CA90" i="173"/>
  <c r="M52" i="175"/>
  <c r="CB11" i="173"/>
  <c r="CB12" i="173"/>
  <c r="CB9" i="173"/>
  <c r="CB10" i="173"/>
  <c r="CB13" i="173"/>
  <c r="CB15" i="173"/>
  <c r="CB16" i="173"/>
  <c r="CB17" i="173"/>
  <c r="CB19" i="173"/>
  <c r="CB20" i="173"/>
  <c r="CB22" i="173"/>
  <c r="CB23" i="173"/>
  <c r="CB24" i="173"/>
  <c r="CB28" i="173"/>
  <c r="CB34" i="173"/>
  <c r="N454" i="112"/>
  <c r="N455" i="112"/>
  <c r="N48" i="112"/>
  <c r="N303" i="112"/>
  <c r="N456" i="112"/>
  <c r="N457" i="112"/>
  <c r="N458" i="112"/>
  <c r="N459" i="112"/>
  <c r="N564" i="112"/>
  <c r="CB35" i="173"/>
  <c r="CB36" i="173"/>
  <c r="CB38" i="173"/>
  <c r="CB39" i="173"/>
  <c r="CB40" i="173"/>
  <c r="CB42" i="173"/>
  <c r="CB43" i="173"/>
  <c r="CB44" i="173"/>
  <c r="CB45" i="173"/>
  <c r="CB46" i="173"/>
  <c r="CB47" i="173"/>
  <c r="CB49" i="173"/>
  <c r="CB50" i="173"/>
  <c r="CB53" i="173"/>
  <c r="CB54" i="173"/>
  <c r="CB57" i="173"/>
  <c r="CB61" i="173"/>
  <c r="CB63" i="173"/>
  <c r="CB59" i="173"/>
  <c r="CB64" i="173"/>
  <c r="CB66" i="173"/>
  <c r="CB71" i="173"/>
  <c r="CB73" i="173"/>
  <c r="CB74" i="173"/>
  <c r="CB77" i="173"/>
  <c r="CB79" i="173"/>
  <c r="CB80" i="173"/>
  <c r="CB83" i="173"/>
  <c r="CB84" i="173"/>
  <c r="CB85" i="173"/>
  <c r="CB87" i="173"/>
  <c r="CB90" i="173"/>
  <c r="CC11" i="173"/>
  <c r="CC12" i="173"/>
  <c r="CC9" i="173"/>
  <c r="CC10" i="173"/>
  <c r="CC13" i="173"/>
  <c r="CC15" i="173"/>
  <c r="CC16" i="173"/>
  <c r="CC17" i="173"/>
  <c r="CC19" i="173"/>
  <c r="CC20" i="173"/>
  <c r="CC22" i="173"/>
  <c r="CC23" i="173"/>
  <c r="CC24" i="173"/>
  <c r="CC28" i="173"/>
  <c r="CC34" i="173"/>
  <c r="CC35" i="173"/>
  <c r="CC36" i="173"/>
  <c r="CC38" i="173"/>
  <c r="CC39" i="173"/>
  <c r="CC40" i="173"/>
  <c r="CC42" i="173"/>
  <c r="CC43" i="173"/>
  <c r="CC44" i="173"/>
  <c r="CC45" i="173"/>
  <c r="CC46" i="173"/>
  <c r="CC47" i="173"/>
  <c r="CC49" i="173"/>
  <c r="CC50" i="173"/>
  <c r="CC53" i="173"/>
  <c r="CC54" i="173"/>
  <c r="CC57" i="173"/>
  <c r="CC61" i="173"/>
  <c r="CC63" i="173"/>
  <c r="CC59" i="173"/>
  <c r="CC64" i="173"/>
  <c r="CC66" i="173"/>
  <c r="CC71" i="173"/>
  <c r="CC73" i="173"/>
  <c r="CC74" i="173"/>
  <c r="CC77" i="173"/>
  <c r="CC79" i="173"/>
  <c r="CC80" i="173"/>
  <c r="CC83" i="173"/>
  <c r="CC84" i="173"/>
  <c r="CC85" i="173"/>
  <c r="CC87" i="173"/>
  <c r="CC90" i="173"/>
  <c r="CD11" i="173"/>
  <c r="CD12" i="173"/>
  <c r="CD9" i="173"/>
  <c r="CD10" i="173"/>
  <c r="CD13" i="173"/>
  <c r="CD15" i="173"/>
  <c r="CD16" i="173"/>
  <c r="CD17" i="173"/>
  <c r="CD19" i="173"/>
  <c r="CD20" i="173"/>
  <c r="CD22" i="173"/>
  <c r="CD23" i="173"/>
  <c r="CD24" i="173"/>
  <c r="CD28" i="173"/>
  <c r="CD34" i="173"/>
  <c r="CD35" i="173"/>
  <c r="CD36" i="173"/>
  <c r="CD38" i="173"/>
  <c r="CD39" i="173"/>
  <c r="CD40" i="173"/>
  <c r="CD42" i="173"/>
  <c r="CD43" i="173"/>
  <c r="CD44" i="173"/>
  <c r="CD45" i="173"/>
  <c r="CD46" i="173"/>
  <c r="CD47" i="173"/>
  <c r="CD49" i="173"/>
  <c r="CD50" i="173"/>
  <c r="CD53" i="173"/>
  <c r="CD54" i="173"/>
  <c r="CD57" i="173"/>
  <c r="CD61" i="173"/>
  <c r="CD63" i="173"/>
  <c r="CD59" i="173"/>
  <c r="CD64" i="173"/>
  <c r="CD66" i="173"/>
  <c r="CD71" i="173"/>
  <c r="CD73" i="173"/>
  <c r="CD74" i="173"/>
  <c r="CD77" i="173"/>
  <c r="CD79" i="173"/>
  <c r="CD80" i="173"/>
  <c r="CD83" i="173"/>
  <c r="CD84" i="173"/>
  <c r="CD85" i="173"/>
  <c r="CD87" i="173"/>
  <c r="CD90" i="173"/>
  <c r="CE11" i="173"/>
  <c r="CE12" i="173"/>
  <c r="CE9" i="173"/>
  <c r="CE10" i="173"/>
  <c r="CE13" i="173"/>
  <c r="CE15" i="173"/>
  <c r="CE16" i="173"/>
  <c r="CE17" i="173"/>
  <c r="CE19" i="173"/>
  <c r="CE20" i="173"/>
  <c r="CE22" i="173"/>
  <c r="CE23" i="173"/>
  <c r="CE24" i="173"/>
  <c r="CE28" i="173"/>
  <c r="CE34" i="173"/>
  <c r="CE35" i="173"/>
  <c r="CE36" i="173"/>
  <c r="CE38" i="173"/>
  <c r="CE39" i="173"/>
  <c r="CE40" i="173"/>
  <c r="CE42" i="173"/>
  <c r="CE43" i="173"/>
  <c r="CE44" i="173"/>
  <c r="CE45" i="173"/>
  <c r="CE46" i="173"/>
  <c r="CE47" i="173"/>
  <c r="CE49" i="173"/>
  <c r="CE50" i="173"/>
  <c r="CE53" i="173"/>
  <c r="CE54" i="173"/>
  <c r="CE57" i="173"/>
  <c r="CE61" i="173"/>
  <c r="CE63" i="173"/>
  <c r="CE59" i="173"/>
  <c r="CE64" i="173"/>
  <c r="CE66" i="173"/>
  <c r="CE71" i="173"/>
  <c r="CE73" i="173"/>
  <c r="CE74" i="173"/>
  <c r="CE77" i="173"/>
  <c r="CE79" i="173"/>
  <c r="CE80" i="173"/>
  <c r="CE83" i="173"/>
  <c r="CE84" i="173"/>
  <c r="CE85" i="173"/>
  <c r="CE87" i="173"/>
  <c r="CE90" i="173"/>
  <c r="M53" i="175"/>
  <c r="CF11" i="173"/>
  <c r="CF12" i="173"/>
  <c r="CF9" i="173"/>
  <c r="CF10" i="173"/>
  <c r="CF13" i="173"/>
  <c r="CF15" i="173"/>
  <c r="CF16" i="173"/>
  <c r="CF17" i="173"/>
  <c r="CF19" i="173"/>
  <c r="CF20" i="173"/>
  <c r="CF22" i="173"/>
  <c r="CF23" i="173"/>
  <c r="CF24" i="173"/>
  <c r="CF28" i="173"/>
  <c r="N541" i="113"/>
  <c r="CF34" i="173"/>
  <c r="CF35" i="173"/>
  <c r="CF36" i="173"/>
  <c r="CF38" i="173"/>
  <c r="CF39" i="173"/>
  <c r="CF40" i="173"/>
  <c r="CF42" i="173"/>
  <c r="CF43" i="173"/>
  <c r="CF44" i="173"/>
  <c r="CF45" i="173"/>
  <c r="CF46" i="173"/>
  <c r="CF47" i="173"/>
  <c r="CF49" i="173"/>
  <c r="CF50" i="173"/>
  <c r="CF53" i="173"/>
  <c r="CF54" i="173"/>
  <c r="CF57" i="173"/>
  <c r="CF61" i="173"/>
  <c r="CF63" i="173"/>
  <c r="CF59" i="173"/>
  <c r="CF64" i="173"/>
  <c r="CF66" i="173"/>
  <c r="CF71" i="173"/>
  <c r="CF73" i="173"/>
  <c r="CF74" i="173"/>
  <c r="CF77" i="173"/>
  <c r="CF79" i="173"/>
  <c r="CF80" i="173"/>
  <c r="CF83" i="173"/>
  <c r="CF84" i="173"/>
  <c r="CF85" i="173"/>
  <c r="CF87" i="173"/>
  <c r="CF90" i="173"/>
  <c r="CG11" i="173"/>
  <c r="CG12" i="173"/>
  <c r="CG9" i="173"/>
  <c r="CG10" i="173"/>
  <c r="CG13" i="173"/>
  <c r="CG15" i="173"/>
  <c r="CG16" i="173"/>
  <c r="CG17" i="173"/>
  <c r="CG19" i="173"/>
  <c r="CG20" i="173"/>
  <c r="CG22" i="173"/>
  <c r="CG23" i="173"/>
  <c r="CG24" i="173"/>
  <c r="CG28" i="173"/>
  <c r="N393" i="113"/>
  <c r="N394" i="113"/>
  <c r="N410" i="113"/>
  <c r="N412" i="113"/>
  <c r="N542" i="113"/>
  <c r="CG34" i="173"/>
  <c r="CG35" i="173"/>
  <c r="CG36" i="173"/>
  <c r="CG38" i="173"/>
  <c r="CG39" i="173"/>
  <c r="CG40" i="173"/>
  <c r="CG42" i="173"/>
  <c r="CG43" i="173"/>
  <c r="CG44" i="173"/>
  <c r="CG45" i="173"/>
  <c r="CG46" i="173"/>
  <c r="CG47" i="173"/>
  <c r="CG49" i="173"/>
  <c r="CG50" i="173"/>
  <c r="CG53" i="173"/>
  <c r="CG54" i="173"/>
  <c r="CG57" i="173"/>
  <c r="CG61" i="173"/>
  <c r="CG63" i="173"/>
  <c r="CG59" i="173"/>
  <c r="CG64" i="173"/>
  <c r="CG66" i="173"/>
  <c r="CG71" i="173"/>
  <c r="CG73" i="173"/>
  <c r="CG74" i="173"/>
  <c r="CG77" i="173"/>
  <c r="CG79" i="173"/>
  <c r="CG80" i="173"/>
  <c r="CG83" i="173"/>
  <c r="CG84" i="173"/>
  <c r="CG85" i="173"/>
  <c r="CG87" i="173"/>
  <c r="CG90" i="173"/>
  <c r="CH11" i="173"/>
  <c r="CH12" i="173"/>
  <c r="CH9" i="173"/>
  <c r="CH10" i="173"/>
  <c r="CH13" i="173"/>
  <c r="CH15" i="173"/>
  <c r="CH16" i="173"/>
  <c r="CH17" i="173"/>
  <c r="CH19" i="173"/>
  <c r="CH20" i="173"/>
  <c r="CH22" i="173"/>
  <c r="CH23" i="173"/>
  <c r="CH24" i="173"/>
  <c r="CH28" i="173"/>
  <c r="N405" i="113"/>
  <c r="N543" i="113"/>
  <c r="CH34" i="173"/>
  <c r="CH35" i="173"/>
  <c r="CH36" i="173"/>
  <c r="CH38" i="173"/>
  <c r="CH39" i="173"/>
  <c r="CH40" i="173"/>
  <c r="CH42" i="173"/>
  <c r="CH43" i="173"/>
  <c r="CH44" i="173"/>
  <c r="CH45" i="173"/>
  <c r="CH46" i="173"/>
  <c r="CH47" i="173"/>
  <c r="CH49" i="173"/>
  <c r="CH50" i="173"/>
  <c r="CH53" i="173"/>
  <c r="CH54" i="173"/>
  <c r="CH57" i="173"/>
  <c r="CH61" i="173"/>
  <c r="CH63" i="173"/>
  <c r="CH59" i="173"/>
  <c r="CH64" i="173"/>
  <c r="CH66" i="173"/>
  <c r="CH71" i="173"/>
  <c r="CH73" i="173"/>
  <c r="CH74" i="173"/>
  <c r="CH77" i="173"/>
  <c r="CH79" i="173"/>
  <c r="CH80" i="173"/>
  <c r="CH83" i="173"/>
  <c r="CH84" i="173"/>
  <c r="CH85" i="173"/>
  <c r="CH87" i="173"/>
  <c r="CH90" i="173"/>
  <c r="CI11" i="173"/>
  <c r="CI12" i="173"/>
  <c r="CI9" i="173"/>
  <c r="CI10" i="173"/>
  <c r="CI13" i="173"/>
  <c r="CI15" i="173"/>
  <c r="CI16" i="173"/>
  <c r="CI17" i="173"/>
  <c r="CI19" i="173"/>
  <c r="CI20" i="173"/>
  <c r="CI22" i="173"/>
  <c r="CI23" i="173"/>
  <c r="CI24" i="173"/>
  <c r="CI28" i="173"/>
  <c r="CI34" i="173"/>
  <c r="CI35" i="173"/>
  <c r="CI36" i="173"/>
  <c r="CI38" i="173"/>
  <c r="CI39" i="173"/>
  <c r="CI40" i="173"/>
  <c r="CI42" i="173"/>
  <c r="CI43" i="173"/>
  <c r="CI44" i="173"/>
  <c r="CI45" i="173"/>
  <c r="CI46" i="173"/>
  <c r="CI47" i="173"/>
  <c r="CI49" i="173"/>
  <c r="CI50" i="173"/>
  <c r="CI53" i="173"/>
  <c r="CI54" i="173"/>
  <c r="CI57" i="173"/>
  <c r="CI61" i="173"/>
  <c r="CI63" i="173"/>
  <c r="CI59" i="173"/>
  <c r="CI64" i="173"/>
  <c r="CI66" i="173"/>
  <c r="CI71" i="173"/>
  <c r="CI73" i="173"/>
  <c r="CI74" i="173"/>
  <c r="CI77" i="173"/>
  <c r="CI79" i="173"/>
  <c r="CI80" i="173"/>
  <c r="CI83" i="173"/>
  <c r="CI84" i="173"/>
  <c r="CI85" i="173"/>
  <c r="CI87" i="173"/>
  <c r="CI90" i="173"/>
  <c r="M54" i="175"/>
  <c r="CJ11" i="173"/>
  <c r="CJ12" i="173"/>
  <c r="CJ9" i="173"/>
  <c r="CJ10" i="173"/>
  <c r="CJ13" i="173"/>
  <c r="CJ15" i="173"/>
  <c r="CJ16" i="173"/>
  <c r="CJ17" i="173"/>
  <c r="CJ19" i="173"/>
  <c r="CJ20" i="173"/>
  <c r="CJ22" i="173"/>
  <c r="CJ23" i="173"/>
  <c r="CJ24" i="173"/>
  <c r="CJ28" i="173"/>
  <c r="CJ34" i="173"/>
  <c r="CJ35" i="173"/>
  <c r="CJ36" i="173"/>
  <c r="CJ38" i="173"/>
  <c r="CJ39" i="173"/>
  <c r="CJ40" i="173"/>
  <c r="CJ42" i="173"/>
  <c r="CJ43" i="173"/>
  <c r="CJ44" i="173"/>
  <c r="CJ45" i="173"/>
  <c r="CJ46" i="173"/>
  <c r="CJ47" i="173"/>
  <c r="CJ49" i="173"/>
  <c r="CJ50" i="173"/>
  <c r="CJ53" i="173"/>
  <c r="CJ54" i="173"/>
  <c r="CJ57" i="173"/>
  <c r="CJ61" i="173"/>
  <c r="CJ63" i="173"/>
  <c r="CJ59" i="173"/>
  <c r="CJ64" i="173"/>
  <c r="CJ66" i="173"/>
  <c r="CJ71" i="173"/>
  <c r="CJ73" i="173"/>
  <c r="CJ74" i="173"/>
  <c r="CJ77" i="173"/>
  <c r="CJ79" i="173"/>
  <c r="CJ80" i="173"/>
  <c r="CJ83" i="173"/>
  <c r="CJ84" i="173"/>
  <c r="CJ85" i="173"/>
  <c r="CJ87" i="173"/>
  <c r="CJ90" i="173"/>
  <c r="CK11" i="173"/>
  <c r="CK12" i="173"/>
  <c r="CK9" i="173"/>
  <c r="CK10" i="173"/>
  <c r="CK13" i="173"/>
  <c r="CK15" i="173"/>
  <c r="CK16" i="173"/>
  <c r="CK17" i="173"/>
  <c r="CK19" i="173"/>
  <c r="CK20" i="173"/>
  <c r="CK22" i="173"/>
  <c r="CK23" i="173"/>
  <c r="CK24" i="173"/>
  <c r="CK28" i="173"/>
  <c r="CK34" i="173"/>
  <c r="CK35" i="173"/>
  <c r="CK36" i="173"/>
  <c r="CK38" i="173"/>
  <c r="CK39" i="173"/>
  <c r="CK40" i="173"/>
  <c r="CK42" i="173"/>
  <c r="CK43" i="173"/>
  <c r="CK44" i="173"/>
  <c r="CK45" i="173"/>
  <c r="CK46" i="173"/>
  <c r="CK47" i="173"/>
  <c r="CK49" i="173"/>
  <c r="CK50" i="173"/>
  <c r="CK53" i="173"/>
  <c r="CK54" i="173"/>
  <c r="CK57" i="173"/>
  <c r="CK61" i="173"/>
  <c r="CK63" i="173"/>
  <c r="CK59" i="173"/>
  <c r="CK64" i="173"/>
  <c r="CK66" i="173"/>
  <c r="CK71" i="173"/>
  <c r="CK73" i="173"/>
  <c r="CK74" i="173"/>
  <c r="CK77" i="173"/>
  <c r="CK79" i="173"/>
  <c r="CK80" i="173"/>
  <c r="CK83" i="173"/>
  <c r="CK84" i="173"/>
  <c r="CK85" i="173"/>
  <c r="CK87" i="173"/>
  <c r="CK90" i="173"/>
  <c r="CL11" i="173"/>
  <c r="CL12" i="173"/>
  <c r="CL9" i="173"/>
  <c r="CL10" i="173"/>
  <c r="CL13" i="173"/>
  <c r="CL15" i="173"/>
  <c r="CL16" i="173"/>
  <c r="CL17" i="173"/>
  <c r="CL19" i="173"/>
  <c r="CL20" i="173"/>
  <c r="CL22" i="173"/>
  <c r="CL23" i="173"/>
  <c r="CL24" i="173"/>
  <c r="CL28" i="173"/>
  <c r="CL34" i="173"/>
  <c r="CL35" i="173"/>
  <c r="CL36" i="173"/>
  <c r="CL38" i="173"/>
  <c r="CL39" i="173"/>
  <c r="CL40" i="173"/>
  <c r="CL42" i="173"/>
  <c r="CL43" i="173"/>
  <c r="CL44" i="173"/>
  <c r="CL45" i="173"/>
  <c r="CL46" i="173"/>
  <c r="CL47" i="173"/>
  <c r="CL49" i="173"/>
  <c r="CL50" i="173"/>
  <c r="CL53" i="173"/>
  <c r="CL54" i="173"/>
  <c r="CL57" i="173"/>
  <c r="CL61" i="173"/>
  <c r="CL63" i="173"/>
  <c r="CL59" i="173"/>
  <c r="CL64" i="173"/>
  <c r="CL66" i="173"/>
  <c r="CL71" i="173"/>
  <c r="CL73" i="173"/>
  <c r="CL74" i="173"/>
  <c r="CL77" i="173"/>
  <c r="CL79" i="173"/>
  <c r="CL80" i="173"/>
  <c r="CL83" i="173"/>
  <c r="CL84" i="173"/>
  <c r="CL85" i="173"/>
  <c r="CL87" i="173"/>
  <c r="CL90" i="173"/>
  <c r="CM11" i="173"/>
  <c r="CM12" i="173"/>
  <c r="CM9" i="173"/>
  <c r="CM10" i="173"/>
  <c r="CM13" i="173"/>
  <c r="CM15" i="173"/>
  <c r="CM16" i="173"/>
  <c r="CM17" i="173"/>
  <c r="CM19" i="173"/>
  <c r="CM20" i="173"/>
  <c r="CM22" i="173"/>
  <c r="CM23" i="173"/>
  <c r="CM24" i="173"/>
  <c r="CM28" i="173"/>
  <c r="CM34" i="173"/>
  <c r="CM35" i="173"/>
  <c r="CM36" i="173"/>
  <c r="CM38" i="173"/>
  <c r="CM39" i="173"/>
  <c r="CM40" i="173"/>
  <c r="CM42" i="173"/>
  <c r="CM43" i="173"/>
  <c r="CM44" i="173"/>
  <c r="CM45" i="173"/>
  <c r="CM46" i="173"/>
  <c r="CM47" i="173"/>
  <c r="CM49" i="173"/>
  <c r="CM50" i="173"/>
  <c r="CM53" i="173"/>
  <c r="CM54" i="173"/>
  <c r="CM57" i="173"/>
  <c r="CM61" i="173"/>
  <c r="CM63" i="173"/>
  <c r="CM59" i="173"/>
  <c r="CM64" i="173"/>
  <c r="CM66" i="173"/>
  <c r="CM71" i="173"/>
  <c r="CM73" i="173"/>
  <c r="CM74" i="173"/>
  <c r="CM77" i="173"/>
  <c r="CM79" i="173"/>
  <c r="CM80" i="173"/>
  <c r="CM83" i="173"/>
  <c r="CM84" i="173"/>
  <c r="CM85" i="173"/>
  <c r="CM87" i="173"/>
  <c r="CM90" i="173"/>
  <c r="M55" i="175"/>
  <c r="CN11" i="173"/>
  <c r="CN12" i="173"/>
  <c r="CN9" i="173"/>
  <c r="CN10" i="173"/>
  <c r="CN13" i="173"/>
  <c r="CN15" i="173"/>
  <c r="CN16" i="173"/>
  <c r="CN17" i="173"/>
  <c r="CN19" i="173"/>
  <c r="CN20" i="173"/>
  <c r="CN22" i="173"/>
  <c r="CN23" i="173"/>
  <c r="CN24" i="173"/>
  <c r="CN28" i="173"/>
  <c r="CN34" i="173"/>
  <c r="CN35" i="173"/>
  <c r="CN36" i="173"/>
  <c r="CN38" i="173"/>
  <c r="CN39" i="173"/>
  <c r="CN40" i="173"/>
  <c r="CN42" i="173"/>
  <c r="CN43" i="173"/>
  <c r="CN44" i="173"/>
  <c r="CN45" i="173"/>
  <c r="CN46" i="173"/>
  <c r="CN47" i="173"/>
  <c r="CN49" i="173"/>
  <c r="CN50" i="173"/>
  <c r="CN53" i="173"/>
  <c r="CN54" i="173"/>
  <c r="CN57" i="173"/>
  <c r="CN61" i="173"/>
  <c r="CN63" i="173"/>
  <c r="CN59" i="173"/>
  <c r="CN64" i="173"/>
  <c r="CN66" i="173"/>
  <c r="CN71" i="173"/>
  <c r="CN73" i="173"/>
  <c r="CN74" i="173"/>
  <c r="CR11" i="173"/>
  <c r="CR12" i="173"/>
  <c r="CR9" i="173"/>
  <c r="CR10" i="173"/>
  <c r="CR13" i="173"/>
  <c r="CR15" i="173"/>
  <c r="CR16" i="173"/>
  <c r="CR17" i="173"/>
  <c r="N367" i="39"/>
  <c r="N368" i="39"/>
  <c r="N369" i="39"/>
  <c r="CR22" i="173"/>
  <c r="CR23" i="173"/>
  <c r="CR24" i="173"/>
  <c r="CR34" i="173"/>
  <c r="CR35" i="173"/>
  <c r="CR36" i="173"/>
  <c r="CR38" i="173"/>
  <c r="CR39" i="173"/>
  <c r="CR40" i="173"/>
  <c r="CR42" i="173"/>
  <c r="CR43" i="173"/>
  <c r="CR44" i="173"/>
  <c r="CR45" i="173"/>
  <c r="CR46" i="173"/>
  <c r="CR47" i="173"/>
  <c r="CR49" i="173"/>
  <c r="CR50" i="173"/>
  <c r="CR53" i="173"/>
  <c r="CR54" i="173"/>
  <c r="CR57" i="173"/>
  <c r="CR61" i="173"/>
  <c r="CR63" i="173"/>
  <c r="CR59" i="173"/>
  <c r="CR64" i="173"/>
  <c r="CR66" i="173"/>
  <c r="CR71" i="173"/>
  <c r="CR73" i="173"/>
  <c r="CR74" i="173"/>
  <c r="CR77" i="173"/>
  <c r="CR79" i="173"/>
  <c r="CR80" i="173"/>
  <c r="CR83" i="173"/>
  <c r="CR84" i="173"/>
  <c r="CR85" i="173"/>
  <c r="CR87" i="173"/>
  <c r="CS11" i="173"/>
  <c r="CS12" i="173"/>
  <c r="CS9" i="173"/>
  <c r="CS10" i="173"/>
  <c r="CS13" i="173"/>
  <c r="CS15" i="173"/>
  <c r="CS16" i="173"/>
  <c r="CS17" i="173"/>
  <c r="CS19" i="173"/>
  <c r="CS20" i="173"/>
  <c r="CS22" i="173"/>
  <c r="CS23" i="173"/>
  <c r="CS24" i="173"/>
  <c r="CS28" i="173"/>
  <c r="CS34" i="173"/>
  <c r="CS35" i="173"/>
  <c r="CS36" i="173"/>
  <c r="CS38" i="173"/>
  <c r="CS39" i="173"/>
  <c r="CS40" i="173"/>
  <c r="CS42" i="173"/>
  <c r="CS43" i="173"/>
  <c r="CS44" i="173"/>
  <c r="CS45" i="173"/>
  <c r="CS46" i="173"/>
  <c r="CS47" i="173"/>
  <c r="CS49" i="173"/>
  <c r="CS50" i="173"/>
  <c r="CS53" i="173"/>
  <c r="CS54" i="173"/>
  <c r="CS57" i="173"/>
  <c r="CS61" i="173"/>
  <c r="CS63" i="173"/>
  <c r="CS59" i="173"/>
  <c r="CS64" i="173"/>
  <c r="CS66" i="173"/>
  <c r="CS71" i="173"/>
  <c r="CS73" i="173"/>
  <c r="CS74" i="173"/>
  <c r="CS77" i="173"/>
  <c r="CS79" i="173"/>
  <c r="CS80" i="173"/>
  <c r="CS83" i="173"/>
  <c r="CS84" i="173"/>
  <c r="CS85" i="173"/>
  <c r="CS87" i="173"/>
  <c r="CS90" i="173"/>
  <c r="CT11" i="173"/>
  <c r="CT12" i="173"/>
  <c r="CT9" i="173"/>
  <c r="CT10" i="173"/>
  <c r="CT13" i="173"/>
  <c r="CT15" i="173"/>
  <c r="CT16" i="173"/>
  <c r="CT17" i="173"/>
  <c r="CT19" i="173"/>
  <c r="CT20" i="173"/>
  <c r="CT22" i="173"/>
  <c r="CT23" i="173"/>
  <c r="CT24" i="173"/>
  <c r="CT28" i="173"/>
  <c r="CT34" i="173"/>
  <c r="CT35" i="173"/>
  <c r="CT36" i="173"/>
  <c r="CT38" i="173"/>
  <c r="CT39" i="173"/>
  <c r="CT40" i="173"/>
  <c r="CT42" i="173"/>
  <c r="CT43" i="173"/>
  <c r="CT44" i="173"/>
  <c r="CT45" i="173"/>
  <c r="CT46" i="173"/>
  <c r="CT47" i="173"/>
  <c r="CT49" i="173"/>
  <c r="CT50" i="173"/>
  <c r="CT53" i="173"/>
  <c r="CT54" i="173"/>
  <c r="CT57" i="173"/>
  <c r="CT61" i="173"/>
  <c r="CT63" i="173"/>
  <c r="CT59" i="173"/>
  <c r="CT64" i="173"/>
  <c r="CT66" i="173"/>
  <c r="CT71" i="173"/>
  <c r="CT73" i="173"/>
  <c r="CT74" i="173"/>
  <c r="CT77" i="173"/>
  <c r="CT79" i="173"/>
  <c r="CT80" i="173"/>
  <c r="CT83" i="173"/>
  <c r="CT84" i="173"/>
  <c r="CT85" i="173"/>
  <c r="CT87" i="173"/>
  <c r="CT90" i="173"/>
  <c r="CU11" i="173"/>
  <c r="CU12" i="173"/>
  <c r="CU9" i="173"/>
  <c r="CU10" i="173"/>
  <c r="CU13" i="173"/>
  <c r="CU15" i="173"/>
  <c r="CU16" i="173"/>
  <c r="CU17" i="173"/>
  <c r="CU19" i="173"/>
  <c r="CU20" i="173"/>
  <c r="CU22" i="173"/>
  <c r="CU23" i="173"/>
  <c r="CU24" i="173"/>
  <c r="CU28" i="173"/>
  <c r="CU34" i="173"/>
  <c r="CU35" i="173"/>
  <c r="CU36" i="173"/>
  <c r="CU38" i="173"/>
  <c r="CU39" i="173"/>
  <c r="CU40" i="173"/>
  <c r="CU42" i="173"/>
  <c r="CU43" i="173"/>
  <c r="CU44" i="173"/>
  <c r="CU45" i="173"/>
  <c r="CU46" i="173"/>
  <c r="CU47" i="173"/>
  <c r="CU49" i="173"/>
  <c r="CU50" i="173"/>
  <c r="CU53" i="173"/>
  <c r="CU54" i="173"/>
  <c r="CU57" i="173"/>
  <c r="CU61" i="173"/>
  <c r="CU63" i="173"/>
  <c r="CU59" i="173"/>
  <c r="CU64" i="173"/>
  <c r="CU66" i="173"/>
  <c r="CU71" i="173"/>
  <c r="CU73" i="173"/>
  <c r="CU74" i="173"/>
  <c r="CU83" i="173"/>
  <c r="CU84" i="173"/>
  <c r="CU85" i="173"/>
  <c r="CU87" i="173"/>
  <c r="CU90" i="173"/>
  <c r="BP11" i="172"/>
  <c r="BP12" i="172"/>
  <c r="BP9" i="172"/>
  <c r="BP10" i="172"/>
  <c r="BP13" i="172"/>
  <c r="BP15" i="172"/>
  <c r="BP16" i="172"/>
  <c r="BP17" i="172"/>
  <c r="E202" i="39" a="1"/>
  <c r="E202" i="39"/>
  <c r="M202" i="39"/>
  <c r="M210" i="39"/>
  <c r="M284" i="39"/>
  <c r="E203" i="39"/>
  <c r="M203" i="39"/>
  <c r="M211" i="39"/>
  <c r="M285" i="39"/>
  <c r="E204" i="39"/>
  <c r="M204" i="39"/>
  <c r="M212" i="39"/>
  <c r="M286" i="39"/>
  <c r="E205" i="39"/>
  <c r="M205" i="39"/>
  <c r="M213" i="39"/>
  <c r="M287" i="39"/>
  <c r="M288" i="39"/>
  <c r="M458" i="39"/>
  <c r="BP19" i="172"/>
  <c r="BP20" i="172"/>
  <c r="BP22" i="172"/>
  <c r="BP23" i="172"/>
  <c r="BP24" i="172"/>
  <c r="BP28" i="172"/>
  <c r="BP34" i="172"/>
  <c r="BP35" i="172"/>
  <c r="BP36" i="172"/>
  <c r="BP38" i="172"/>
  <c r="BP39" i="172"/>
  <c r="BP40" i="172"/>
  <c r="BP42" i="172"/>
  <c r="BP43" i="172"/>
  <c r="BP44" i="172"/>
  <c r="BP45" i="172"/>
  <c r="BP46" i="172"/>
  <c r="BP47" i="172"/>
  <c r="BP49" i="172"/>
  <c r="BP50" i="172"/>
  <c r="BP53" i="172"/>
  <c r="BP54" i="172"/>
  <c r="BP57" i="172"/>
  <c r="BP61" i="172"/>
  <c r="BP63" i="172"/>
  <c r="BP59" i="172"/>
  <c r="BP64" i="172"/>
  <c r="BP66" i="172"/>
  <c r="BP71" i="172"/>
  <c r="BP73" i="172"/>
  <c r="BP74" i="172"/>
  <c r="BP77" i="172"/>
  <c r="BP79" i="172"/>
  <c r="BP80" i="172"/>
  <c r="BP83" i="172"/>
  <c r="BP84" i="172"/>
  <c r="BP85" i="172"/>
  <c r="BP87" i="172"/>
  <c r="BP90" i="172"/>
  <c r="BQ11" i="172"/>
  <c r="BQ12" i="172"/>
  <c r="BQ9" i="172"/>
  <c r="BQ10" i="172"/>
  <c r="BQ13" i="172"/>
  <c r="BQ15" i="172"/>
  <c r="BQ16" i="172"/>
  <c r="BQ17" i="172"/>
  <c r="M291" i="39"/>
  <c r="M292" i="39"/>
  <c r="M293" i="39"/>
  <c r="M294" i="39"/>
  <c r="M295" i="39"/>
  <c r="M459" i="39"/>
  <c r="BQ19" i="172"/>
  <c r="BQ20" i="172"/>
  <c r="BQ22" i="172"/>
  <c r="BQ23" i="172"/>
  <c r="BQ24" i="172"/>
  <c r="BQ28" i="172"/>
  <c r="BQ34" i="172"/>
  <c r="BQ35" i="172"/>
  <c r="BQ36" i="172"/>
  <c r="BQ38" i="172"/>
  <c r="BQ39" i="172"/>
  <c r="BQ40" i="172"/>
  <c r="BQ42" i="172"/>
  <c r="BQ43" i="172"/>
  <c r="BQ44" i="172"/>
  <c r="BQ45" i="172"/>
  <c r="BQ46" i="172"/>
  <c r="BQ47" i="172"/>
  <c r="BQ49" i="172"/>
  <c r="BQ50" i="172"/>
  <c r="BQ53" i="172"/>
  <c r="BQ54" i="172"/>
  <c r="BQ57" i="172"/>
  <c r="BQ61" i="172"/>
  <c r="BQ63" i="172"/>
  <c r="BQ59" i="172"/>
  <c r="BQ64" i="172"/>
  <c r="BQ66" i="172"/>
  <c r="BQ71" i="172"/>
  <c r="BQ73" i="172"/>
  <c r="BQ74" i="172"/>
  <c r="BQ77" i="172"/>
  <c r="BQ79" i="172"/>
  <c r="BQ80" i="172"/>
  <c r="BQ83" i="172"/>
  <c r="BQ84" i="172"/>
  <c r="BQ85" i="172"/>
  <c r="BQ87" i="172"/>
  <c r="BQ90" i="172"/>
  <c r="BR11" i="172"/>
  <c r="BR12" i="172"/>
  <c r="BR9" i="172"/>
  <c r="BR10" i="172"/>
  <c r="BR13" i="172"/>
  <c r="BR15" i="172"/>
  <c r="BR16" i="172"/>
  <c r="BR17" i="172"/>
  <c r="M298" i="39"/>
  <c r="M299" i="39"/>
  <c r="M300" i="39"/>
  <c r="M301" i="39"/>
  <c r="M302" i="39"/>
  <c r="M460" i="39"/>
  <c r="BR19" i="172"/>
  <c r="BR20" i="172"/>
  <c r="BR22" i="172"/>
  <c r="BR23" i="172"/>
  <c r="BR24" i="172"/>
  <c r="BR28" i="172"/>
  <c r="BR34" i="172"/>
  <c r="BR35" i="172"/>
  <c r="BR36" i="172"/>
  <c r="BR38" i="172"/>
  <c r="BR39" i="172"/>
  <c r="BR40" i="172"/>
  <c r="BR42" i="172"/>
  <c r="BR43" i="172"/>
  <c r="BR44" i="172"/>
  <c r="BR45" i="172"/>
  <c r="BR46" i="172"/>
  <c r="BR47" i="172"/>
  <c r="BR49" i="172"/>
  <c r="BR50" i="172"/>
  <c r="BR53" i="172"/>
  <c r="BR54" i="172"/>
  <c r="BR57" i="172"/>
  <c r="BR61" i="172"/>
  <c r="BR63" i="172"/>
  <c r="BR59" i="172"/>
  <c r="BR64" i="172"/>
  <c r="BR66" i="172"/>
  <c r="BR71" i="172"/>
  <c r="BR73" i="172"/>
  <c r="BR74" i="172"/>
  <c r="BR77" i="172"/>
  <c r="BR79" i="172"/>
  <c r="BR80" i="172"/>
  <c r="BR83" i="172"/>
  <c r="BR84" i="172"/>
  <c r="BR85" i="172"/>
  <c r="BR87" i="172"/>
  <c r="BR90" i="172"/>
  <c r="BS11" i="172"/>
  <c r="BS12" i="172"/>
  <c r="BS9" i="172"/>
  <c r="BS10" i="172"/>
  <c r="BS13" i="172"/>
  <c r="BS15" i="172"/>
  <c r="BS16" i="172"/>
  <c r="BS17" i="172"/>
  <c r="M305" i="39"/>
  <c r="M306" i="39"/>
  <c r="M307" i="39"/>
  <c r="M308" i="39"/>
  <c r="M309" i="39"/>
  <c r="M461" i="39"/>
  <c r="BS19" i="172"/>
  <c r="BS20" i="172"/>
  <c r="BS22" i="172"/>
  <c r="BS23" i="172"/>
  <c r="BS24" i="172"/>
  <c r="BS28" i="172"/>
  <c r="BS34" i="172"/>
  <c r="BS35" i="172"/>
  <c r="BS36" i="172"/>
  <c r="BS38" i="172"/>
  <c r="BS39" i="172"/>
  <c r="BS40" i="172"/>
  <c r="BS42" i="172"/>
  <c r="BS43" i="172"/>
  <c r="BS44" i="172"/>
  <c r="BS45" i="172"/>
  <c r="BS46" i="172"/>
  <c r="BS47" i="172"/>
  <c r="BS49" i="172"/>
  <c r="BS50" i="172"/>
  <c r="BS53" i="172"/>
  <c r="BS54" i="172"/>
  <c r="BS57" i="172"/>
  <c r="BS61" i="172"/>
  <c r="BS63" i="172"/>
  <c r="BS59" i="172"/>
  <c r="BS64" i="172"/>
  <c r="BS66" i="172"/>
  <c r="BS71" i="172"/>
  <c r="BS73" i="172"/>
  <c r="BS74" i="172"/>
  <c r="BS77" i="172"/>
  <c r="BS79" i="172"/>
  <c r="BS80" i="172"/>
  <c r="BS83" i="172"/>
  <c r="BS84" i="172"/>
  <c r="BS85" i="172"/>
  <c r="BS87" i="172"/>
  <c r="BS90" i="172"/>
  <c r="L50" i="175"/>
  <c r="BT11" i="172"/>
  <c r="BT12" i="172"/>
  <c r="BT9" i="172"/>
  <c r="BT10" i="172"/>
  <c r="BT13" i="172"/>
  <c r="BT15" i="172"/>
  <c r="BT16" i="172"/>
  <c r="BT17" i="172"/>
  <c r="BT19" i="172"/>
  <c r="BT20" i="172"/>
  <c r="BT22" i="172"/>
  <c r="BT23" i="172"/>
  <c r="BT24" i="172"/>
  <c r="BT28" i="172"/>
  <c r="BT34" i="172"/>
  <c r="BT35" i="172"/>
  <c r="BT36" i="172"/>
  <c r="BT38" i="172"/>
  <c r="BT39" i="172"/>
  <c r="BT40" i="172"/>
  <c r="BT42" i="172"/>
  <c r="BT43" i="172"/>
  <c r="BT44" i="172"/>
  <c r="BT45" i="172"/>
  <c r="BT46" i="172"/>
  <c r="BT47" i="172"/>
  <c r="BT49" i="172"/>
  <c r="BT50" i="172"/>
  <c r="BT53" i="172"/>
  <c r="BT54" i="172"/>
  <c r="BT57" i="172"/>
  <c r="BT61" i="172"/>
  <c r="BT63" i="172"/>
  <c r="BT59" i="172"/>
  <c r="BT64" i="172"/>
  <c r="BT66" i="172"/>
  <c r="BT71" i="172"/>
  <c r="BT73" i="172"/>
  <c r="BT74" i="172"/>
  <c r="BT77" i="172"/>
  <c r="BT79" i="172"/>
  <c r="BT80" i="172"/>
  <c r="BT83" i="172"/>
  <c r="BT84" i="172"/>
  <c r="BT85" i="172"/>
  <c r="BT87" i="172"/>
  <c r="BT90" i="172"/>
  <c r="BU11" i="172"/>
  <c r="BU12" i="172"/>
  <c r="BU9" i="172"/>
  <c r="BU10" i="172"/>
  <c r="BU13" i="172"/>
  <c r="BU15" i="172"/>
  <c r="BU16" i="172"/>
  <c r="BU17" i="172"/>
  <c r="BU19" i="172"/>
  <c r="BU20" i="172"/>
  <c r="BU22" i="172"/>
  <c r="BU23" i="172"/>
  <c r="BU24" i="172"/>
  <c r="BU28" i="172"/>
  <c r="BU34" i="172"/>
  <c r="BU35" i="172"/>
  <c r="BU36" i="172"/>
  <c r="BU38" i="172"/>
  <c r="BU39" i="172"/>
  <c r="BU40" i="172"/>
  <c r="BU42" i="172"/>
  <c r="BU43" i="172"/>
  <c r="BU44" i="172"/>
  <c r="BU45" i="172"/>
  <c r="BU46" i="172"/>
  <c r="BU47" i="172"/>
  <c r="BU49" i="172"/>
  <c r="BU50" i="172"/>
  <c r="BU53" i="172"/>
  <c r="BU54" i="172"/>
  <c r="BU57" i="172"/>
  <c r="BU61" i="172"/>
  <c r="BU63" i="172"/>
  <c r="BU59" i="172"/>
  <c r="BU64" i="172"/>
  <c r="BU66" i="172"/>
  <c r="BU71" i="172"/>
  <c r="BU73" i="172"/>
  <c r="BU74" i="172"/>
  <c r="BU77" i="172"/>
  <c r="BU79" i="172"/>
  <c r="BU80" i="172"/>
  <c r="BU83" i="172"/>
  <c r="BU84" i="172"/>
  <c r="BU85" i="172"/>
  <c r="BU87" i="172"/>
  <c r="BU90" i="172"/>
  <c r="BV11" i="172"/>
  <c r="BV12" i="172"/>
  <c r="BV9" i="172"/>
  <c r="BV10" i="172"/>
  <c r="BV13" i="172"/>
  <c r="BV15" i="172"/>
  <c r="BV16" i="172"/>
  <c r="BV17" i="172"/>
  <c r="BV19" i="172"/>
  <c r="BV20" i="172"/>
  <c r="BV22" i="172"/>
  <c r="BV23" i="172"/>
  <c r="BV24" i="172"/>
  <c r="BV28" i="172"/>
  <c r="BV34" i="172"/>
  <c r="BV35" i="172"/>
  <c r="BV36" i="172"/>
  <c r="BV38" i="172"/>
  <c r="BV39" i="172"/>
  <c r="BV40" i="172"/>
  <c r="BV42" i="172"/>
  <c r="BV43" i="172"/>
  <c r="BV44" i="172"/>
  <c r="BV45" i="172"/>
  <c r="BV46" i="172"/>
  <c r="BV47" i="172"/>
  <c r="BV49" i="172"/>
  <c r="BV50" i="172"/>
  <c r="BV53" i="172"/>
  <c r="BV54" i="172"/>
  <c r="BV57" i="172"/>
  <c r="BV61" i="172"/>
  <c r="BV63" i="172"/>
  <c r="BV59" i="172"/>
  <c r="BV64" i="172"/>
  <c r="BV66" i="172"/>
  <c r="BV71" i="172"/>
  <c r="BV73" i="172"/>
  <c r="BV74" i="172"/>
  <c r="BV77" i="172"/>
  <c r="BV79" i="172"/>
  <c r="BV80" i="172"/>
  <c r="BV83" i="172"/>
  <c r="BV84" i="172"/>
  <c r="BV85" i="172"/>
  <c r="BV87" i="172"/>
  <c r="BV90" i="172"/>
  <c r="BW11" i="172"/>
  <c r="BW12" i="172"/>
  <c r="BW9" i="172"/>
  <c r="BW10" i="172"/>
  <c r="BW13" i="172"/>
  <c r="BW15" i="172"/>
  <c r="BW16" i="172"/>
  <c r="BW17" i="172"/>
  <c r="BW19" i="172"/>
  <c r="BW20" i="172"/>
  <c r="BW22" i="172"/>
  <c r="BW23" i="172"/>
  <c r="BW24" i="172"/>
  <c r="BW28" i="172"/>
  <c r="BW34" i="172"/>
  <c r="BW35" i="172"/>
  <c r="BW36" i="172"/>
  <c r="BW38" i="172"/>
  <c r="BW39" i="172"/>
  <c r="BW40" i="172"/>
  <c r="BW42" i="172"/>
  <c r="BW43" i="172"/>
  <c r="BW44" i="172"/>
  <c r="BW45" i="172"/>
  <c r="BW46" i="172"/>
  <c r="BW47" i="172"/>
  <c r="BW49" i="172"/>
  <c r="BW50" i="172"/>
  <c r="BW53" i="172"/>
  <c r="BW54" i="172"/>
  <c r="BW57" i="172"/>
  <c r="BW61" i="172"/>
  <c r="BW63" i="172"/>
  <c r="BW59" i="172"/>
  <c r="BW64" i="172"/>
  <c r="BW66" i="172"/>
  <c r="BW71" i="172"/>
  <c r="BW73" i="172"/>
  <c r="BW74" i="172"/>
  <c r="BW77" i="172"/>
  <c r="BW79" i="172"/>
  <c r="BW80" i="172"/>
  <c r="BW83" i="172"/>
  <c r="BW84" i="172"/>
  <c r="BW85" i="172"/>
  <c r="BW87" i="172"/>
  <c r="BW90" i="172"/>
  <c r="L51" i="175"/>
  <c r="BX11" i="172"/>
  <c r="BX12" i="172"/>
  <c r="BX9" i="172"/>
  <c r="BX10" i="172"/>
  <c r="BX13" i="172"/>
  <c r="BX15" i="172"/>
  <c r="BX16" i="172"/>
  <c r="BX17" i="172"/>
  <c r="BX19" i="172"/>
  <c r="BX20" i="172"/>
  <c r="BX22" i="172"/>
  <c r="BX23" i="172"/>
  <c r="BX24" i="172"/>
  <c r="BX28" i="172"/>
  <c r="BX34" i="172"/>
  <c r="BX35" i="172"/>
  <c r="BX36" i="172"/>
  <c r="BX38" i="172"/>
  <c r="BX39" i="172"/>
  <c r="BX40" i="172"/>
  <c r="BX42" i="172"/>
  <c r="BX43" i="172"/>
  <c r="BX44" i="172"/>
  <c r="BX45" i="172"/>
  <c r="BX46" i="172"/>
  <c r="BX47" i="172"/>
  <c r="BX49" i="172"/>
  <c r="BX50" i="172"/>
  <c r="BX53" i="172"/>
  <c r="BX54" i="172"/>
  <c r="BX57" i="172"/>
  <c r="BX61" i="172"/>
  <c r="BX63" i="172"/>
  <c r="BX59" i="172"/>
  <c r="BX64" i="172"/>
  <c r="BX66" i="172"/>
  <c r="BX71" i="172"/>
  <c r="BX73" i="172"/>
  <c r="BX74" i="172"/>
  <c r="BX77" i="172"/>
  <c r="BX79" i="172"/>
  <c r="BX80" i="172"/>
  <c r="BX83" i="172"/>
  <c r="BX84" i="172"/>
  <c r="BX85" i="172"/>
  <c r="BX87" i="172"/>
  <c r="BX90" i="172"/>
  <c r="BY11" i="172"/>
  <c r="BY12" i="172"/>
  <c r="BY9" i="172"/>
  <c r="BY10" i="172"/>
  <c r="BY13" i="172"/>
  <c r="BY15" i="172"/>
  <c r="BY16" i="172"/>
  <c r="BY17" i="172"/>
  <c r="BY19" i="172"/>
  <c r="BY20" i="172"/>
  <c r="BY22" i="172"/>
  <c r="BY23" i="172"/>
  <c r="BY24" i="172"/>
  <c r="BY28" i="172"/>
  <c r="BY34" i="172"/>
  <c r="M448" i="112"/>
  <c r="M449" i="112"/>
  <c r="M562" i="112"/>
  <c r="BY35" i="172"/>
  <c r="BY36" i="172"/>
  <c r="BY38" i="172"/>
  <c r="BY39" i="172"/>
  <c r="BY40" i="172"/>
  <c r="BY42" i="172"/>
  <c r="BY43" i="172"/>
  <c r="BY44" i="172"/>
  <c r="BY45" i="172"/>
  <c r="BY46" i="172"/>
  <c r="BY47" i="172"/>
  <c r="BY49" i="172"/>
  <c r="BY50" i="172"/>
  <c r="BY53" i="172"/>
  <c r="BY54" i="172"/>
  <c r="BY57" i="172"/>
  <c r="BY61" i="172"/>
  <c r="BY63" i="172"/>
  <c r="BY59" i="172"/>
  <c r="BY64" i="172"/>
  <c r="BY66" i="172"/>
  <c r="BY71" i="172"/>
  <c r="BY73" i="172"/>
  <c r="BY74" i="172"/>
  <c r="BY77" i="172"/>
  <c r="BY79" i="172"/>
  <c r="BY80" i="172"/>
  <c r="BY83" i="172"/>
  <c r="BY84" i="172"/>
  <c r="BY85" i="172"/>
  <c r="BY87" i="172"/>
  <c r="BY90" i="172"/>
  <c r="BZ11" i="172"/>
  <c r="BZ12" i="172"/>
  <c r="BZ9" i="172"/>
  <c r="BZ10" i="172"/>
  <c r="BZ13" i="172"/>
  <c r="BZ15" i="172"/>
  <c r="BZ16" i="172"/>
  <c r="BZ17" i="172"/>
  <c r="BZ19" i="172"/>
  <c r="BZ20" i="172"/>
  <c r="BZ22" i="172"/>
  <c r="BZ23" i="172"/>
  <c r="BZ24" i="172"/>
  <c r="BZ28" i="172"/>
  <c r="BZ34" i="172"/>
  <c r="M450" i="112"/>
  <c r="M563" i="112"/>
  <c r="BZ35" i="172"/>
  <c r="BZ36" i="172"/>
  <c r="BZ38" i="172"/>
  <c r="BZ39" i="172"/>
  <c r="BZ40" i="172"/>
  <c r="BZ42" i="172"/>
  <c r="BZ43" i="172"/>
  <c r="BZ44" i="172"/>
  <c r="BZ45" i="172"/>
  <c r="BZ46" i="172"/>
  <c r="BZ47" i="172"/>
  <c r="BZ49" i="172"/>
  <c r="BZ50" i="172"/>
  <c r="BZ53" i="172"/>
  <c r="BZ54" i="172"/>
  <c r="BZ57" i="172"/>
  <c r="BZ61" i="172"/>
  <c r="BZ63" i="172"/>
  <c r="BZ59" i="172"/>
  <c r="BZ64" i="172"/>
  <c r="BZ66" i="172"/>
  <c r="BZ71" i="172"/>
  <c r="BZ73" i="172"/>
  <c r="BZ74" i="172"/>
  <c r="BZ77" i="172"/>
  <c r="BZ79" i="172"/>
  <c r="BZ80" i="172"/>
  <c r="BZ83" i="172"/>
  <c r="BZ84" i="172"/>
  <c r="BZ85" i="172"/>
  <c r="BZ87" i="172"/>
  <c r="BZ90" i="172"/>
  <c r="CA11" i="172"/>
  <c r="CA12" i="172"/>
  <c r="CA9" i="172"/>
  <c r="CA10" i="172"/>
  <c r="CA13" i="172"/>
  <c r="CA15" i="172"/>
  <c r="CA16" i="172"/>
  <c r="CA17" i="172"/>
  <c r="CA19" i="172"/>
  <c r="CA20" i="172"/>
  <c r="CA22" i="172"/>
  <c r="CA23" i="172"/>
  <c r="CA24" i="172"/>
  <c r="CA28" i="172"/>
  <c r="CA34" i="172"/>
  <c r="CA35" i="172"/>
  <c r="CA36" i="172"/>
  <c r="CA38" i="172"/>
  <c r="CA39" i="172"/>
  <c r="CA40" i="172"/>
  <c r="CA42" i="172"/>
  <c r="CA43" i="172"/>
  <c r="CA44" i="172"/>
  <c r="CA45" i="172"/>
  <c r="CA46" i="172"/>
  <c r="CA47" i="172"/>
  <c r="CA49" i="172"/>
  <c r="CA50" i="172"/>
  <c r="CA53" i="172"/>
  <c r="CA54" i="172"/>
  <c r="CA57" i="172"/>
  <c r="CA61" i="172"/>
  <c r="CA63" i="172"/>
  <c r="CA59" i="172"/>
  <c r="CA64" i="172"/>
  <c r="CA66" i="172"/>
  <c r="CA71" i="172"/>
  <c r="CA73" i="172"/>
  <c r="CA74" i="172"/>
  <c r="CA77" i="172"/>
  <c r="CA79" i="172"/>
  <c r="CA80" i="172"/>
  <c r="CA83" i="172"/>
  <c r="CA84" i="172"/>
  <c r="CA85" i="172"/>
  <c r="CA87" i="172"/>
  <c r="CA90" i="172"/>
  <c r="L52" i="175"/>
  <c r="CB11" i="172"/>
  <c r="CB12" i="172"/>
  <c r="CB9" i="172"/>
  <c r="CB10" i="172"/>
  <c r="CB13" i="172"/>
  <c r="CB15" i="172"/>
  <c r="CB16" i="172"/>
  <c r="CB17" i="172"/>
  <c r="CB19" i="172"/>
  <c r="CB20" i="172"/>
  <c r="CB22" i="172"/>
  <c r="CB23" i="172"/>
  <c r="CB24" i="172"/>
  <c r="CB28" i="172"/>
  <c r="CB34" i="172"/>
  <c r="M454" i="112"/>
  <c r="M455" i="112"/>
  <c r="M48" i="112"/>
  <c r="M303" i="112"/>
  <c r="M456" i="112"/>
  <c r="M457" i="112"/>
  <c r="M458" i="112"/>
  <c r="M459" i="112"/>
  <c r="M564" i="112"/>
  <c r="CB35" i="172"/>
  <c r="CB36" i="172"/>
  <c r="CB38" i="172"/>
  <c r="CB39" i="172"/>
  <c r="CB40" i="172"/>
  <c r="CB42" i="172"/>
  <c r="CB43" i="172"/>
  <c r="CB44" i="172"/>
  <c r="CB45" i="172"/>
  <c r="CB46" i="172"/>
  <c r="CB47" i="172"/>
  <c r="CB49" i="172"/>
  <c r="CB50" i="172"/>
  <c r="CB53" i="172"/>
  <c r="CB54" i="172"/>
  <c r="CB57" i="172"/>
  <c r="CB61" i="172"/>
  <c r="CB63" i="172"/>
  <c r="CB59" i="172"/>
  <c r="CB64" i="172"/>
  <c r="CB66" i="172"/>
  <c r="CB71" i="172"/>
  <c r="CB73" i="172"/>
  <c r="CB74" i="172"/>
  <c r="CB77" i="172"/>
  <c r="CB79" i="172"/>
  <c r="CB80" i="172"/>
  <c r="CB83" i="172"/>
  <c r="CB84" i="172"/>
  <c r="CB85" i="172"/>
  <c r="CB87" i="172"/>
  <c r="CB90" i="172"/>
  <c r="CC11" i="172"/>
  <c r="CC12" i="172"/>
  <c r="CC9" i="172"/>
  <c r="CC10" i="172"/>
  <c r="CC13" i="172"/>
  <c r="CC15" i="172"/>
  <c r="CC16" i="172"/>
  <c r="CC17" i="172"/>
  <c r="CC19" i="172"/>
  <c r="CC20" i="172"/>
  <c r="CC22" i="172"/>
  <c r="CC23" i="172"/>
  <c r="CC24" i="172"/>
  <c r="CC28" i="172"/>
  <c r="CC34" i="172"/>
  <c r="CC35" i="172"/>
  <c r="CC36" i="172"/>
  <c r="CC38" i="172"/>
  <c r="CC39" i="172"/>
  <c r="CC40" i="172"/>
  <c r="CC42" i="172"/>
  <c r="CC43" i="172"/>
  <c r="CC44" i="172"/>
  <c r="CC45" i="172"/>
  <c r="CC46" i="172"/>
  <c r="CC47" i="172"/>
  <c r="CC49" i="172"/>
  <c r="CC50" i="172"/>
  <c r="CC53" i="172"/>
  <c r="CC54" i="172"/>
  <c r="CC57" i="172"/>
  <c r="CC61" i="172"/>
  <c r="CC63" i="172"/>
  <c r="CC59" i="172"/>
  <c r="CC64" i="172"/>
  <c r="CC66" i="172"/>
  <c r="CC71" i="172"/>
  <c r="CC73" i="172"/>
  <c r="CC74" i="172"/>
  <c r="CC77" i="172"/>
  <c r="CC79" i="172"/>
  <c r="CC80" i="172"/>
  <c r="CC83" i="172"/>
  <c r="CC84" i="172"/>
  <c r="CC85" i="172"/>
  <c r="CC87" i="172"/>
  <c r="CC90" i="172"/>
  <c r="CD11" i="172"/>
  <c r="CD12" i="172"/>
  <c r="CD9" i="172"/>
  <c r="CD10" i="172"/>
  <c r="CD13" i="172"/>
  <c r="CD15" i="172"/>
  <c r="CD16" i="172"/>
  <c r="CD17" i="172"/>
  <c r="CD19" i="172"/>
  <c r="CD20" i="172"/>
  <c r="CD22" i="172"/>
  <c r="CD23" i="172"/>
  <c r="CD24" i="172"/>
  <c r="CD28" i="172"/>
  <c r="CD34" i="172"/>
  <c r="CD35" i="172"/>
  <c r="CD36" i="172"/>
  <c r="CD38" i="172"/>
  <c r="CD39" i="172"/>
  <c r="CD40" i="172"/>
  <c r="CD42" i="172"/>
  <c r="CD43" i="172"/>
  <c r="CD44" i="172"/>
  <c r="CD45" i="172"/>
  <c r="CD46" i="172"/>
  <c r="CD47" i="172"/>
  <c r="CD49" i="172"/>
  <c r="CD50" i="172"/>
  <c r="CD53" i="172"/>
  <c r="CD54" i="172"/>
  <c r="CD57" i="172"/>
  <c r="CD61" i="172"/>
  <c r="CD63" i="172"/>
  <c r="CD59" i="172"/>
  <c r="CD64" i="172"/>
  <c r="CD66" i="172"/>
  <c r="CD71" i="172"/>
  <c r="CD73" i="172"/>
  <c r="CD74" i="172"/>
  <c r="CD77" i="172"/>
  <c r="CD79" i="172"/>
  <c r="CD80" i="172"/>
  <c r="CD83" i="172"/>
  <c r="CD84" i="172"/>
  <c r="CD85" i="172"/>
  <c r="CD87" i="172"/>
  <c r="CD90" i="172"/>
  <c r="CE11" i="172"/>
  <c r="CE12" i="172"/>
  <c r="CE9" i="172"/>
  <c r="CE10" i="172"/>
  <c r="CE13" i="172"/>
  <c r="CE15" i="172"/>
  <c r="CE16" i="172"/>
  <c r="CE17" i="172"/>
  <c r="CE19" i="172"/>
  <c r="CE20" i="172"/>
  <c r="CE22" i="172"/>
  <c r="CE23" i="172"/>
  <c r="CE24" i="172"/>
  <c r="CE28" i="172"/>
  <c r="CE34" i="172"/>
  <c r="CE35" i="172"/>
  <c r="CE36" i="172"/>
  <c r="CE38" i="172"/>
  <c r="CE39" i="172"/>
  <c r="CE40" i="172"/>
  <c r="CE42" i="172"/>
  <c r="CE43" i="172"/>
  <c r="CE44" i="172"/>
  <c r="CE45" i="172"/>
  <c r="CE46" i="172"/>
  <c r="CE47" i="172"/>
  <c r="CE49" i="172"/>
  <c r="CE50" i="172"/>
  <c r="CE53" i="172"/>
  <c r="CE54" i="172"/>
  <c r="CE57" i="172"/>
  <c r="CE61" i="172"/>
  <c r="CE63" i="172"/>
  <c r="CE59" i="172"/>
  <c r="CE64" i="172"/>
  <c r="CE66" i="172"/>
  <c r="CE71" i="172"/>
  <c r="CE73" i="172"/>
  <c r="CE74" i="172"/>
  <c r="CE77" i="172"/>
  <c r="CE79" i="172"/>
  <c r="CE80" i="172"/>
  <c r="CE83" i="172"/>
  <c r="CE84" i="172"/>
  <c r="CE85" i="172"/>
  <c r="CE87" i="172"/>
  <c r="CE90" i="172"/>
  <c r="L53" i="175"/>
  <c r="CF11" i="172"/>
  <c r="CF12" i="172"/>
  <c r="CF9" i="172"/>
  <c r="CF10" i="172"/>
  <c r="CF13" i="172"/>
  <c r="CF15" i="172"/>
  <c r="CF16" i="172"/>
  <c r="CF17" i="172"/>
  <c r="CF19" i="172"/>
  <c r="CF20" i="172"/>
  <c r="CF22" i="172"/>
  <c r="CF23" i="172"/>
  <c r="CF24" i="172"/>
  <c r="CF28" i="172"/>
  <c r="M541" i="113"/>
  <c r="CF34" i="172"/>
  <c r="CF35" i="172"/>
  <c r="CF36" i="172"/>
  <c r="CF38" i="172"/>
  <c r="CF39" i="172"/>
  <c r="CF40" i="172"/>
  <c r="CF42" i="172"/>
  <c r="CF43" i="172"/>
  <c r="CF44" i="172"/>
  <c r="CF45" i="172"/>
  <c r="CF46" i="172"/>
  <c r="CF47" i="172"/>
  <c r="CF49" i="172"/>
  <c r="CF50" i="172"/>
  <c r="CF53" i="172"/>
  <c r="CF54" i="172"/>
  <c r="CF57" i="172"/>
  <c r="CF61" i="172"/>
  <c r="CF63" i="172"/>
  <c r="CF59" i="172"/>
  <c r="CF64" i="172"/>
  <c r="CF66" i="172"/>
  <c r="CF71" i="172"/>
  <c r="CF73" i="172"/>
  <c r="CF74" i="172"/>
  <c r="CF77" i="172"/>
  <c r="CF79" i="172"/>
  <c r="CF80" i="172"/>
  <c r="CF83" i="172"/>
  <c r="CF84" i="172"/>
  <c r="CF85" i="172"/>
  <c r="CF87" i="172"/>
  <c r="CF90" i="172"/>
  <c r="CG11" i="172"/>
  <c r="CG12" i="172"/>
  <c r="CG9" i="172"/>
  <c r="CG10" i="172"/>
  <c r="CG13" i="172"/>
  <c r="CG15" i="172"/>
  <c r="CG16" i="172"/>
  <c r="CG17" i="172"/>
  <c r="CG19" i="172"/>
  <c r="CG20" i="172"/>
  <c r="CG22" i="172"/>
  <c r="CG23" i="172"/>
  <c r="CG24" i="172"/>
  <c r="CG28" i="172"/>
  <c r="M393" i="113"/>
  <c r="M394" i="113"/>
  <c r="M410" i="113"/>
  <c r="M412" i="113"/>
  <c r="M542" i="113"/>
  <c r="CG34" i="172"/>
  <c r="CG35" i="172"/>
  <c r="CG36" i="172"/>
  <c r="CG38" i="172"/>
  <c r="CG39" i="172"/>
  <c r="CG40" i="172"/>
  <c r="CG42" i="172"/>
  <c r="CG43" i="172"/>
  <c r="CG44" i="172"/>
  <c r="CG45" i="172"/>
  <c r="CG46" i="172"/>
  <c r="CG47" i="172"/>
  <c r="CG49" i="172"/>
  <c r="CG50" i="172"/>
  <c r="CG53" i="172"/>
  <c r="CG54" i="172"/>
  <c r="CG57" i="172"/>
  <c r="CG61" i="172"/>
  <c r="CG63" i="172"/>
  <c r="CG59" i="172"/>
  <c r="CG64" i="172"/>
  <c r="CG66" i="172"/>
  <c r="CG71" i="172"/>
  <c r="CG73" i="172"/>
  <c r="CG74" i="172"/>
  <c r="CG77" i="172"/>
  <c r="CG79" i="172"/>
  <c r="CG80" i="172"/>
  <c r="CG83" i="172"/>
  <c r="CG84" i="172"/>
  <c r="CG85" i="172"/>
  <c r="CG87" i="172"/>
  <c r="CG90" i="172"/>
  <c r="CH11" i="172"/>
  <c r="CH12" i="172"/>
  <c r="CH9" i="172"/>
  <c r="CH10" i="172"/>
  <c r="CH13" i="172"/>
  <c r="CH15" i="172"/>
  <c r="CH16" i="172"/>
  <c r="CH17" i="172"/>
  <c r="CH19" i="172"/>
  <c r="CH20" i="172"/>
  <c r="CH22" i="172"/>
  <c r="CH23" i="172"/>
  <c r="CH24" i="172"/>
  <c r="CH28" i="172"/>
  <c r="M405" i="113"/>
  <c r="M543" i="113"/>
  <c r="CH34" i="172"/>
  <c r="CH35" i="172"/>
  <c r="CH36" i="172"/>
  <c r="CH38" i="172"/>
  <c r="CH39" i="172"/>
  <c r="CH40" i="172"/>
  <c r="CH42" i="172"/>
  <c r="CH43" i="172"/>
  <c r="CH44" i="172"/>
  <c r="CH45" i="172"/>
  <c r="CH46" i="172"/>
  <c r="CH47" i="172"/>
  <c r="CH49" i="172"/>
  <c r="CH50" i="172"/>
  <c r="CH53" i="172"/>
  <c r="CH54" i="172"/>
  <c r="CH57" i="172"/>
  <c r="CH61" i="172"/>
  <c r="CH63" i="172"/>
  <c r="CH59" i="172"/>
  <c r="CH64" i="172"/>
  <c r="CH66" i="172"/>
  <c r="CH71" i="172"/>
  <c r="CH73" i="172"/>
  <c r="CH74" i="172"/>
  <c r="CH77" i="172"/>
  <c r="CH79" i="172"/>
  <c r="CH80" i="172"/>
  <c r="CH83" i="172"/>
  <c r="CH84" i="172"/>
  <c r="CH85" i="172"/>
  <c r="CH87" i="172"/>
  <c r="CH90" i="172"/>
  <c r="CI11" i="172"/>
  <c r="CI12" i="172"/>
  <c r="CI9" i="172"/>
  <c r="CI10" i="172"/>
  <c r="CI13" i="172"/>
  <c r="CI15" i="172"/>
  <c r="CI16" i="172"/>
  <c r="CI17" i="172"/>
  <c r="CI19" i="172"/>
  <c r="CI20" i="172"/>
  <c r="CI22" i="172"/>
  <c r="CI23" i="172"/>
  <c r="CI24" i="172"/>
  <c r="CI28" i="172"/>
  <c r="CI34" i="172"/>
  <c r="CI35" i="172"/>
  <c r="CI36" i="172"/>
  <c r="CI38" i="172"/>
  <c r="CI39" i="172"/>
  <c r="CI40" i="172"/>
  <c r="CI42" i="172"/>
  <c r="CI43" i="172"/>
  <c r="CI44" i="172"/>
  <c r="CI45" i="172"/>
  <c r="CI46" i="172"/>
  <c r="CI47" i="172"/>
  <c r="CI49" i="172"/>
  <c r="CI50" i="172"/>
  <c r="CI53" i="172"/>
  <c r="CI54" i="172"/>
  <c r="CI57" i="172"/>
  <c r="CI61" i="172"/>
  <c r="CI63" i="172"/>
  <c r="CI59" i="172"/>
  <c r="CI64" i="172"/>
  <c r="CI66" i="172"/>
  <c r="CI71" i="172"/>
  <c r="CI73" i="172"/>
  <c r="CI74" i="172"/>
  <c r="CI77" i="172"/>
  <c r="CI79" i="172"/>
  <c r="CI80" i="172"/>
  <c r="CI83" i="172"/>
  <c r="CI84" i="172"/>
  <c r="CI85" i="172"/>
  <c r="CI87" i="172"/>
  <c r="CI90" i="172"/>
  <c r="L54" i="175"/>
  <c r="CJ11" i="172"/>
  <c r="CJ12" i="172"/>
  <c r="CJ9" i="172"/>
  <c r="CJ10" i="172"/>
  <c r="CJ13" i="172"/>
  <c r="CJ15" i="172"/>
  <c r="CJ16" i="172"/>
  <c r="CJ17" i="172"/>
  <c r="CJ19" i="172"/>
  <c r="CJ20" i="172"/>
  <c r="CJ22" i="172"/>
  <c r="CJ23" i="172"/>
  <c r="CJ24" i="172"/>
  <c r="CJ28" i="172"/>
  <c r="CJ34" i="172"/>
  <c r="CJ35" i="172"/>
  <c r="CJ36" i="172"/>
  <c r="CJ38" i="172"/>
  <c r="CJ39" i="172"/>
  <c r="CJ40" i="172"/>
  <c r="CJ42" i="172"/>
  <c r="CJ43" i="172"/>
  <c r="CJ44" i="172"/>
  <c r="CJ45" i="172"/>
  <c r="CJ46" i="172"/>
  <c r="CJ47" i="172"/>
  <c r="CJ49" i="172"/>
  <c r="CJ50" i="172"/>
  <c r="CJ53" i="172"/>
  <c r="CJ54" i="172"/>
  <c r="CJ57" i="172"/>
  <c r="CJ61" i="172"/>
  <c r="CJ63" i="172"/>
  <c r="CJ59" i="172"/>
  <c r="CJ64" i="172"/>
  <c r="CJ66" i="172"/>
  <c r="CJ71" i="172"/>
  <c r="CJ73" i="172"/>
  <c r="CJ74" i="172"/>
  <c r="CJ77" i="172"/>
  <c r="CJ79" i="172"/>
  <c r="CJ80" i="172"/>
  <c r="CJ83" i="172"/>
  <c r="CJ84" i="172"/>
  <c r="CJ85" i="172"/>
  <c r="CJ87" i="172"/>
  <c r="CJ90" i="172"/>
  <c r="CK11" i="172"/>
  <c r="CK12" i="172"/>
  <c r="CK9" i="172"/>
  <c r="CK10" i="172"/>
  <c r="CK13" i="172"/>
  <c r="CK15" i="172"/>
  <c r="CK16" i="172"/>
  <c r="CK17" i="172"/>
  <c r="CK19" i="172"/>
  <c r="CK20" i="172"/>
  <c r="CK22" i="172"/>
  <c r="CK23" i="172"/>
  <c r="CK24" i="172"/>
  <c r="CK28" i="172"/>
  <c r="CK34" i="172"/>
  <c r="CK35" i="172"/>
  <c r="CK36" i="172"/>
  <c r="CK38" i="172"/>
  <c r="CK39" i="172"/>
  <c r="CK40" i="172"/>
  <c r="CK42" i="172"/>
  <c r="CK43" i="172"/>
  <c r="CK44" i="172"/>
  <c r="CK45" i="172"/>
  <c r="CK46" i="172"/>
  <c r="CK47" i="172"/>
  <c r="CK49" i="172"/>
  <c r="CK50" i="172"/>
  <c r="CK53" i="172"/>
  <c r="CK54" i="172"/>
  <c r="CK57" i="172"/>
  <c r="CK61" i="172"/>
  <c r="CK63" i="172"/>
  <c r="CK59" i="172"/>
  <c r="CK64" i="172"/>
  <c r="CK66" i="172"/>
  <c r="CK71" i="172"/>
  <c r="CK73" i="172"/>
  <c r="CK74" i="172"/>
  <c r="CK77" i="172"/>
  <c r="CK79" i="172"/>
  <c r="CK80" i="172"/>
  <c r="CK83" i="172"/>
  <c r="CK84" i="172"/>
  <c r="CK85" i="172"/>
  <c r="CK87" i="172"/>
  <c r="CK90" i="172"/>
  <c r="CL11" i="172"/>
  <c r="CL12" i="172"/>
  <c r="CL9" i="172"/>
  <c r="CL10" i="172"/>
  <c r="CL13" i="172"/>
  <c r="CL15" i="172"/>
  <c r="CL16" i="172"/>
  <c r="CL17" i="172"/>
  <c r="CL19" i="172"/>
  <c r="CL20" i="172"/>
  <c r="CL22" i="172"/>
  <c r="CL23" i="172"/>
  <c r="CL24" i="172"/>
  <c r="CL28" i="172"/>
  <c r="CL34" i="172"/>
  <c r="CL35" i="172"/>
  <c r="CL36" i="172"/>
  <c r="CL38" i="172"/>
  <c r="CL39" i="172"/>
  <c r="CL40" i="172"/>
  <c r="CL42" i="172"/>
  <c r="CL43" i="172"/>
  <c r="CL44" i="172"/>
  <c r="CL45" i="172"/>
  <c r="CL46" i="172"/>
  <c r="CL47" i="172"/>
  <c r="CL49" i="172"/>
  <c r="CL50" i="172"/>
  <c r="CL53" i="172"/>
  <c r="CL54" i="172"/>
  <c r="CL57" i="172"/>
  <c r="CL61" i="172"/>
  <c r="CL63" i="172"/>
  <c r="CL59" i="172"/>
  <c r="CL64" i="172"/>
  <c r="CL66" i="172"/>
  <c r="CL71" i="172"/>
  <c r="CL73" i="172"/>
  <c r="CL74" i="172"/>
  <c r="CL77" i="172"/>
  <c r="CL79" i="172"/>
  <c r="CL80" i="172"/>
  <c r="CL83" i="172"/>
  <c r="CL84" i="172"/>
  <c r="CL85" i="172"/>
  <c r="CL87" i="172"/>
  <c r="CL90" i="172"/>
  <c r="CM11" i="172"/>
  <c r="CM12" i="172"/>
  <c r="CM9" i="172"/>
  <c r="CM10" i="172"/>
  <c r="CM13" i="172"/>
  <c r="CM15" i="172"/>
  <c r="CM16" i="172"/>
  <c r="CM17" i="172"/>
  <c r="CM19" i="172"/>
  <c r="CM20" i="172"/>
  <c r="CM22" i="172"/>
  <c r="CM23" i="172"/>
  <c r="CM24" i="172"/>
  <c r="CM28" i="172"/>
  <c r="CM34" i="172"/>
  <c r="CM35" i="172"/>
  <c r="CM36" i="172"/>
  <c r="CM38" i="172"/>
  <c r="CM39" i="172"/>
  <c r="CM40" i="172"/>
  <c r="CM42" i="172"/>
  <c r="CM43" i="172"/>
  <c r="CM44" i="172"/>
  <c r="CM45" i="172"/>
  <c r="CM46" i="172"/>
  <c r="CM47" i="172"/>
  <c r="CM49" i="172"/>
  <c r="CM50" i="172"/>
  <c r="CM53" i="172"/>
  <c r="CM54" i="172"/>
  <c r="CM57" i="172"/>
  <c r="CM61" i="172"/>
  <c r="CM63" i="172"/>
  <c r="CM59" i="172"/>
  <c r="CM64" i="172"/>
  <c r="CM66" i="172"/>
  <c r="CM71" i="172"/>
  <c r="CM73" i="172"/>
  <c r="CM74" i="172"/>
  <c r="CM77" i="172"/>
  <c r="CM79" i="172"/>
  <c r="CM80" i="172"/>
  <c r="CM83" i="172"/>
  <c r="CM84" i="172"/>
  <c r="CM85" i="172"/>
  <c r="CM87" i="172"/>
  <c r="CM90" i="172"/>
  <c r="L55" i="175"/>
  <c r="CN11" i="172"/>
  <c r="CN12" i="172"/>
  <c r="CN9" i="172"/>
  <c r="CN10" i="172"/>
  <c r="CN13" i="172"/>
  <c r="CN15" i="172"/>
  <c r="CN16" i="172"/>
  <c r="CN17" i="172"/>
  <c r="CN19" i="172"/>
  <c r="CN20" i="172"/>
  <c r="CN22" i="172"/>
  <c r="CN23" i="172"/>
  <c r="CN24" i="172"/>
  <c r="CN28" i="172"/>
  <c r="CN34" i="172"/>
  <c r="CN35" i="172"/>
  <c r="CN36" i="172"/>
  <c r="CN38" i="172"/>
  <c r="CN39" i="172"/>
  <c r="CN40" i="172"/>
  <c r="CN42" i="172"/>
  <c r="CN43" i="172"/>
  <c r="CN44" i="172"/>
  <c r="CN45" i="172"/>
  <c r="CN46" i="172"/>
  <c r="CN47" i="172"/>
  <c r="CN49" i="172"/>
  <c r="CN50" i="172"/>
  <c r="CN53" i="172"/>
  <c r="CN54" i="172"/>
  <c r="CN57" i="172"/>
  <c r="CN61" i="172"/>
  <c r="CN63" i="172"/>
  <c r="CN59" i="172"/>
  <c r="CN64" i="172"/>
  <c r="CN66" i="172"/>
  <c r="CN71" i="172"/>
  <c r="CN73" i="172"/>
  <c r="CN74" i="172"/>
  <c r="CR11" i="172"/>
  <c r="CR12" i="172"/>
  <c r="CR9" i="172"/>
  <c r="CR10" i="172"/>
  <c r="CR13" i="172"/>
  <c r="CR15" i="172"/>
  <c r="CR16" i="172"/>
  <c r="CR17" i="172"/>
  <c r="M367" i="39"/>
  <c r="M368" i="39"/>
  <c r="M369" i="39"/>
  <c r="CR22" i="172"/>
  <c r="CR23" i="172"/>
  <c r="CR24" i="172"/>
  <c r="CR34" i="172"/>
  <c r="CR35" i="172"/>
  <c r="CR36" i="172"/>
  <c r="CR38" i="172"/>
  <c r="CR39" i="172"/>
  <c r="CR40" i="172"/>
  <c r="CR42" i="172"/>
  <c r="CR43" i="172"/>
  <c r="CR44" i="172"/>
  <c r="CR45" i="172"/>
  <c r="CR46" i="172"/>
  <c r="CR47" i="172"/>
  <c r="CR49" i="172"/>
  <c r="CR50" i="172"/>
  <c r="CR53" i="172"/>
  <c r="CR54" i="172"/>
  <c r="CR57" i="172"/>
  <c r="CR61" i="172"/>
  <c r="CR63" i="172"/>
  <c r="CR59" i="172"/>
  <c r="CR64" i="172"/>
  <c r="CR66" i="172"/>
  <c r="CR71" i="172"/>
  <c r="CR73" i="172"/>
  <c r="CR74" i="172"/>
  <c r="CR77" i="172"/>
  <c r="CR79" i="172"/>
  <c r="CR80" i="172"/>
  <c r="CR83" i="172"/>
  <c r="CR84" i="172"/>
  <c r="CR85" i="172"/>
  <c r="CR87" i="172"/>
  <c r="CS11" i="172"/>
  <c r="CS12" i="172"/>
  <c r="CS9" i="172"/>
  <c r="CS10" i="172"/>
  <c r="CS13" i="172"/>
  <c r="CS15" i="172"/>
  <c r="CS16" i="172"/>
  <c r="CS17" i="172"/>
  <c r="CS19" i="172"/>
  <c r="CS20" i="172"/>
  <c r="CS22" i="172"/>
  <c r="CS23" i="172"/>
  <c r="CS24" i="172"/>
  <c r="CS28" i="172"/>
  <c r="CS34" i="172"/>
  <c r="CS35" i="172"/>
  <c r="CS36" i="172"/>
  <c r="CS38" i="172"/>
  <c r="CS39" i="172"/>
  <c r="CS40" i="172"/>
  <c r="CS42" i="172"/>
  <c r="CS43" i="172"/>
  <c r="CS44" i="172"/>
  <c r="CS45" i="172"/>
  <c r="CS46" i="172"/>
  <c r="CS47" i="172"/>
  <c r="CS49" i="172"/>
  <c r="CS50" i="172"/>
  <c r="CS53" i="172"/>
  <c r="CS54" i="172"/>
  <c r="CS57" i="172"/>
  <c r="CS61" i="172"/>
  <c r="CS63" i="172"/>
  <c r="CS59" i="172"/>
  <c r="CS64" i="172"/>
  <c r="CS66" i="172"/>
  <c r="CS71" i="172"/>
  <c r="CS73" i="172"/>
  <c r="CS74" i="172"/>
  <c r="CS77" i="172"/>
  <c r="CS79" i="172"/>
  <c r="CS80" i="172"/>
  <c r="CS83" i="172"/>
  <c r="CS84" i="172"/>
  <c r="CS85" i="172"/>
  <c r="CS87" i="172"/>
  <c r="CS90" i="172"/>
  <c r="CT11" i="172"/>
  <c r="CT12" i="172"/>
  <c r="CT9" i="172"/>
  <c r="CT10" i="172"/>
  <c r="CT13" i="172"/>
  <c r="CT15" i="172"/>
  <c r="CT16" i="172"/>
  <c r="CT17" i="172"/>
  <c r="CT19" i="172"/>
  <c r="CT20" i="172"/>
  <c r="CT22" i="172"/>
  <c r="CT23" i="172"/>
  <c r="CT24" i="172"/>
  <c r="CT28" i="172"/>
  <c r="CT34" i="172"/>
  <c r="CT35" i="172"/>
  <c r="CT36" i="172"/>
  <c r="CT38" i="172"/>
  <c r="CT39" i="172"/>
  <c r="CT40" i="172"/>
  <c r="CT42" i="172"/>
  <c r="CT43" i="172"/>
  <c r="CT44" i="172"/>
  <c r="CT45" i="172"/>
  <c r="CT46" i="172"/>
  <c r="CT47" i="172"/>
  <c r="CT49" i="172"/>
  <c r="CT50" i="172"/>
  <c r="CT53" i="172"/>
  <c r="CT54" i="172"/>
  <c r="CT57" i="172"/>
  <c r="CT61" i="172"/>
  <c r="CT63" i="172"/>
  <c r="CT59" i="172"/>
  <c r="CT64" i="172"/>
  <c r="CT66" i="172"/>
  <c r="CT71" i="172"/>
  <c r="CT73" i="172"/>
  <c r="CT74" i="172"/>
  <c r="CT77" i="172"/>
  <c r="CT79" i="172"/>
  <c r="CT80" i="172"/>
  <c r="CT83" i="172"/>
  <c r="CT84" i="172"/>
  <c r="CT85" i="172"/>
  <c r="CT87" i="172"/>
  <c r="CT90" i="172"/>
  <c r="CU11" i="172"/>
  <c r="CU12" i="172"/>
  <c r="CU9" i="172"/>
  <c r="CU10" i="172"/>
  <c r="CU13" i="172"/>
  <c r="CU15" i="172"/>
  <c r="CU16" i="172"/>
  <c r="CU17" i="172"/>
  <c r="CU19" i="172"/>
  <c r="CU20" i="172"/>
  <c r="CU22" i="172"/>
  <c r="CU23" i="172"/>
  <c r="CU24" i="172"/>
  <c r="CU28" i="172"/>
  <c r="CU34" i="172"/>
  <c r="CU35" i="172"/>
  <c r="CU36" i="172"/>
  <c r="CU38" i="172"/>
  <c r="CU39" i="172"/>
  <c r="CU40" i="172"/>
  <c r="CU42" i="172"/>
  <c r="CU43" i="172"/>
  <c r="CU44" i="172"/>
  <c r="CU45" i="172"/>
  <c r="CU46" i="172"/>
  <c r="CU47" i="172"/>
  <c r="CU49" i="172"/>
  <c r="CU50" i="172"/>
  <c r="CU53" i="172"/>
  <c r="CU54" i="172"/>
  <c r="CU57" i="172"/>
  <c r="CU61" i="172"/>
  <c r="CU63" i="172"/>
  <c r="CU59" i="172"/>
  <c r="CU64" i="172"/>
  <c r="CU66" i="172"/>
  <c r="CU71" i="172"/>
  <c r="CU73" i="172"/>
  <c r="CU74" i="172"/>
  <c r="CU83" i="172"/>
  <c r="CU84" i="172"/>
  <c r="CU85" i="172"/>
  <c r="CU87" i="172"/>
  <c r="CU90" i="172"/>
  <c r="BP11" i="171"/>
  <c r="BP12" i="171"/>
  <c r="BP9" i="171"/>
  <c r="BP10" i="171"/>
  <c r="BP13" i="171"/>
  <c r="BP15" i="171"/>
  <c r="BP16" i="171"/>
  <c r="BP17" i="171"/>
  <c r="L202" i="39"/>
  <c r="L210" i="39"/>
  <c r="L284" i="39"/>
  <c r="L203" i="39"/>
  <c r="L211" i="39"/>
  <c r="L285" i="39"/>
  <c r="L204" i="39"/>
  <c r="L212" i="39"/>
  <c r="L286" i="39"/>
  <c r="L205" i="39"/>
  <c r="L213" i="39"/>
  <c r="L287" i="39"/>
  <c r="L288" i="39"/>
  <c r="L458" i="39"/>
  <c r="BP19" i="171"/>
  <c r="BP20" i="171"/>
  <c r="BP22" i="171"/>
  <c r="BP23" i="171"/>
  <c r="BP24" i="171"/>
  <c r="BP28" i="171"/>
  <c r="BP34" i="171"/>
  <c r="BP35" i="171"/>
  <c r="BP36" i="171"/>
  <c r="BP38" i="171"/>
  <c r="BP39" i="171"/>
  <c r="BP40" i="171"/>
  <c r="BP42" i="171"/>
  <c r="BP43" i="171"/>
  <c r="BP44" i="171"/>
  <c r="BP45" i="171"/>
  <c r="BP46" i="171"/>
  <c r="BP47" i="171"/>
  <c r="BP49" i="171"/>
  <c r="BP50" i="171"/>
  <c r="BP53" i="171"/>
  <c r="BP54" i="171"/>
  <c r="BP57" i="171"/>
  <c r="BP61" i="171"/>
  <c r="BP63" i="171"/>
  <c r="BP59" i="171"/>
  <c r="BP64" i="171"/>
  <c r="BP66" i="171"/>
  <c r="BP71" i="171"/>
  <c r="BP73" i="171"/>
  <c r="BP74" i="171"/>
  <c r="BP77" i="171"/>
  <c r="BP79" i="171"/>
  <c r="BP80" i="171"/>
  <c r="BP83" i="171"/>
  <c r="BP84" i="171"/>
  <c r="BP85" i="171"/>
  <c r="BP87" i="171"/>
  <c r="BP90" i="171"/>
  <c r="BQ11" i="171"/>
  <c r="BQ12" i="171"/>
  <c r="BQ9" i="171"/>
  <c r="BQ10" i="171"/>
  <c r="BQ13" i="171"/>
  <c r="BQ15" i="171"/>
  <c r="BQ16" i="171"/>
  <c r="BQ17" i="171"/>
  <c r="L291" i="39"/>
  <c r="L292" i="39"/>
  <c r="L293" i="39"/>
  <c r="L294" i="39"/>
  <c r="L295" i="39"/>
  <c r="L459" i="39"/>
  <c r="BQ19" i="171"/>
  <c r="BQ20" i="171"/>
  <c r="BQ22" i="171"/>
  <c r="BQ23" i="171"/>
  <c r="BQ24" i="171"/>
  <c r="BQ28" i="171"/>
  <c r="BQ34" i="171"/>
  <c r="BQ35" i="171"/>
  <c r="BQ36" i="171"/>
  <c r="BQ38" i="171"/>
  <c r="BQ39" i="171"/>
  <c r="BQ40" i="171"/>
  <c r="BQ42" i="171"/>
  <c r="BQ43" i="171"/>
  <c r="BQ44" i="171"/>
  <c r="BQ45" i="171"/>
  <c r="BQ46" i="171"/>
  <c r="BQ47" i="171"/>
  <c r="BQ49" i="171"/>
  <c r="BQ50" i="171"/>
  <c r="BQ53" i="171"/>
  <c r="BQ54" i="171"/>
  <c r="BQ57" i="171"/>
  <c r="BQ61" i="171"/>
  <c r="BQ63" i="171"/>
  <c r="BQ59" i="171"/>
  <c r="BQ64" i="171"/>
  <c r="BQ66" i="171"/>
  <c r="BQ71" i="171"/>
  <c r="BQ73" i="171"/>
  <c r="BQ74" i="171"/>
  <c r="BQ77" i="171"/>
  <c r="BQ79" i="171"/>
  <c r="BQ80" i="171"/>
  <c r="BQ83" i="171"/>
  <c r="BQ84" i="171"/>
  <c r="BQ85" i="171"/>
  <c r="BQ87" i="171"/>
  <c r="BQ90" i="171"/>
  <c r="BR11" i="171"/>
  <c r="BR12" i="171"/>
  <c r="BR9" i="171"/>
  <c r="BR10" i="171"/>
  <c r="BR13" i="171"/>
  <c r="BR15" i="171"/>
  <c r="BR16" i="171"/>
  <c r="BR17" i="171"/>
  <c r="L298" i="39"/>
  <c r="L299" i="39"/>
  <c r="L300" i="39"/>
  <c r="L301" i="39"/>
  <c r="L302" i="39"/>
  <c r="L460" i="39"/>
  <c r="BR19" i="171"/>
  <c r="BR20" i="171"/>
  <c r="BR22" i="171"/>
  <c r="BR23" i="171"/>
  <c r="BR24" i="171"/>
  <c r="BR28" i="171"/>
  <c r="BR34" i="171"/>
  <c r="BR35" i="171"/>
  <c r="BR36" i="171"/>
  <c r="BR38" i="171"/>
  <c r="BR39" i="171"/>
  <c r="BR40" i="171"/>
  <c r="BR42" i="171"/>
  <c r="BR43" i="171"/>
  <c r="BR44" i="171"/>
  <c r="BR45" i="171"/>
  <c r="BR46" i="171"/>
  <c r="BR47" i="171"/>
  <c r="BR49" i="171"/>
  <c r="BR50" i="171"/>
  <c r="BR53" i="171"/>
  <c r="BR54" i="171"/>
  <c r="BR57" i="171"/>
  <c r="BR61" i="171"/>
  <c r="BR63" i="171"/>
  <c r="BR59" i="171"/>
  <c r="BR64" i="171"/>
  <c r="BR66" i="171"/>
  <c r="BR71" i="171"/>
  <c r="BR73" i="171"/>
  <c r="BR74" i="171"/>
  <c r="BR77" i="171"/>
  <c r="BR79" i="171"/>
  <c r="BR80" i="171"/>
  <c r="BR83" i="171"/>
  <c r="BR84" i="171"/>
  <c r="BR85" i="171"/>
  <c r="BR87" i="171"/>
  <c r="BR90" i="171"/>
  <c r="BS11" i="171"/>
  <c r="BS12" i="171"/>
  <c r="BS9" i="171"/>
  <c r="BS10" i="171"/>
  <c r="BS13" i="171"/>
  <c r="BS15" i="171"/>
  <c r="BS16" i="171"/>
  <c r="BS17" i="171"/>
  <c r="L305" i="39"/>
  <c r="L306" i="39"/>
  <c r="L307" i="39"/>
  <c r="L308" i="39"/>
  <c r="L309" i="39"/>
  <c r="L461" i="39"/>
  <c r="BS19" i="171"/>
  <c r="BS20" i="171"/>
  <c r="BS22" i="171"/>
  <c r="BS23" i="171"/>
  <c r="BS24" i="171"/>
  <c r="BS28" i="171"/>
  <c r="BS34" i="171"/>
  <c r="BS35" i="171"/>
  <c r="BS36" i="171"/>
  <c r="BS38" i="171"/>
  <c r="BS39" i="171"/>
  <c r="BS40" i="171"/>
  <c r="BS42" i="171"/>
  <c r="BS43" i="171"/>
  <c r="BS44" i="171"/>
  <c r="BS45" i="171"/>
  <c r="BS46" i="171"/>
  <c r="BS47" i="171"/>
  <c r="BS49" i="171"/>
  <c r="BS50" i="171"/>
  <c r="BS53" i="171"/>
  <c r="BS54" i="171"/>
  <c r="BS57" i="171"/>
  <c r="BS61" i="171"/>
  <c r="BS63" i="171"/>
  <c r="BS59" i="171"/>
  <c r="BS64" i="171"/>
  <c r="BS66" i="171"/>
  <c r="BS71" i="171"/>
  <c r="BS73" i="171"/>
  <c r="BS74" i="171"/>
  <c r="BS77" i="171"/>
  <c r="BS79" i="171"/>
  <c r="BS80" i="171"/>
  <c r="BS83" i="171"/>
  <c r="BS84" i="171"/>
  <c r="BS85" i="171"/>
  <c r="BS87" i="171"/>
  <c r="BS90" i="171"/>
  <c r="K50" i="175"/>
  <c r="BT11" i="171"/>
  <c r="BT12" i="171"/>
  <c r="BT9" i="171"/>
  <c r="BT10" i="171"/>
  <c r="BT13" i="171"/>
  <c r="BT15" i="171"/>
  <c r="BT16" i="171"/>
  <c r="BT17" i="171"/>
  <c r="BT19" i="171"/>
  <c r="BT20" i="171"/>
  <c r="BT22" i="171"/>
  <c r="BT23" i="171"/>
  <c r="BT24" i="171"/>
  <c r="BT28" i="171"/>
  <c r="BT34" i="171"/>
  <c r="BT35" i="171"/>
  <c r="BT36" i="171"/>
  <c r="BT38" i="171"/>
  <c r="BT39" i="171"/>
  <c r="BT40" i="171"/>
  <c r="BT42" i="171"/>
  <c r="BT43" i="171"/>
  <c r="BT44" i="171"/>
  <c r="BT45" i="171"/>
  <c r="BT46" i="171"/>
  <c r="BT47" i="171"/>
  <c r="BT49" i="171"/>
  <c r="BT50" i="171"/>
  <c r="BT53" i="171"/>
  <c r="BT54" i="171"/>
  <c r="BT57" i="171"/>
  <c r="BT61" i="171"/>
  <c r="BT63" i="171"/>
  <c r="BT59" i="171"/>
  <c r="BT64" i="171"/>
  <c r="BT66" i="171"/>
  <c r="BT71" i="171"/>
  <c r="BT73" i="171"/>
  <c r="BT74" i="171"/>
  <c r="BT77" i="171"/>
  <c r="BT79" i="171"/>
  <c r="BT80" i="171"/>
  <c r="BT83" i="171"/>
  <c r="BT84" i="171"/>
  <c r="BT85" i="171"/>
  <c r="BT87" i="171"/>
  <c r="BT90" i="171"/>
  <c r="BU11" i="171"/>
  <c r="BU12" i="171"/>
  <c r="BU9" i="171"/>
  <c r="BU10" i="171"/>
  <c r="BU13" i="171"/>
  <c r="BU15" i="171"/>
  <c r="BU16" i="171"/>
  <c r="BU17" i="171"/>
  <c r="BU19" i="171"/>
  <c r="BU20" i="171"/>
  <c r="BU22" i="171"/>
  <c r="BU23" i="171"/>
  <c r="BU24" i="171"/>
  <c r="BU28" i="171"/>
  <c r="BU34" i="171"/>
  <c r="BU35" i="171"/>
  <c r="BU36" i="171"/>
  <c r="BU38" i="171"/>
  <c r="BU39" i="171"/>
  <c r="BU40" i="171"/>
  <c r="BU42" i="171"/>
  <c r="BU43" i="171"/>
  <c r="BU44" i="171"/>
  <c r="BU45" i="171"/>
  <c r="BU46" i="171"/>
  <c r="BU47" i="171"/>
  <c r="BU49" i="171"/>
  <c r="BU50" i="171"/>
  <c r="BU53" i="171"/>
  <c r="BU54" i="171"/>
  <c r="BU57" i="171"/>
  <c r="BU61" i="171"/>
  <c r="BU63" i="171"/>
  <c r="BU59" i="171"/>
  <c r="BU64" i="171"/>
  <c r="BU66" i="171"/>
  <c r="BU71" i="171"/>
  <c r="BU73" i="171"/>
  <c r="BU74" i="171"/>
  <c r="BU77" i="171"/>
  <c r="BU79" i="171"/>
  <c r="BU80" i="171"/>
  <c r="BU83" i="171"/>
  <c r="BU84" i="171"/>
  <c r="BU85" i="171"/>
  <c r="BU87" i="171"/>
  <c r="BU90" i="171"/>
  <c r="BV11" i="171"/>
  <c r="BV12" i="171"/>
  <c r="BV9" i="171"/>
  <c r="BV10" i="171"/>
  <c r="BV13" i="171"/>
  <c r="BV15" i="171"/>
  <c r="BV16" i="171"/>
  <c r="BV17" i="171"/>
  <c r="BV19" i="171"/>
  <c r="BV20" i="171"/>
  <c r="BV22" i="171"/>
  <c r="BV23" i="171"/>
  <c r="BV24" i="171"/>
  <c r="BV28" i="171"/>
  <c r="BV34" i="171"/>
  <c r="BV35" i="171"/>
  <c r="BV36" i="171"/>
  <c r="BV38" i="171"/>
  <c r="BV39" i="171"/>
  <c r="BV40" i="171"/>
  <c r="BV42" i="171"/>
  <c r="BV43" i="171"/>
  <c r="BV44" i="171"/>
  <c r="BV45" i="171"/>
  <c r="BV46" i="171"/>
  <c r="BV47" i="171"/>
  <c r="BV49" i="171"/>
  <c r="BV50" i="171"/>
  <c r="BV53" i="171"/>
  <c r="BV54" i="171"/>
  <c r="BV57" i="171"/>
  <c r="BV61" i="171"/>
  <c r="BV63" i="171"/>
  <c r="BV59" i="171"/>
  <c r="BV64" i="171"/>
  <c r="BV66" i="171"/>
  <c r="BV71" i="171"/>
  <c r="BV73" i="171"/>
  <c r="BV74" i="171"/>
  <c r="BV77" i="171"/>
  <c r="BV79" i="171"/>
  <c r="BV80" i="171"/>
  <c r="BV83" i="171"/>
  <c r="BV84" i="171"/>
  <c r="BV85" i="171"/>
  <c r="BV87" i="171"/>
  <c r="BV90" i="171"/>
  <c r="BW11" i="171"/>
  <c r="BW12" i="171"/>
  <c r="BW9" i="171"/>
  <c r="BW10" i="171"/>
  <c r="BW13" i="171"/>
  <c r="BW15" i="171"/>
  <c r="BW16" i="171"/>
  <c r="BW17" i="171"/>
  <c r="BW19" i="171"/>
  <c r="BW20" i="171"/>
  <c r="BW22" i="171"/>
  <c r="BW23" i="171"/>
  <c r="BW24" i="171"/>
  <c r="BW28" i="171"/>
  <c r="BW34" i="171"/>
  <c r="BW35" i="171"/>
  <c r="BW36" i="171"/>
  <c r="BW38" i="171"/>
  <c r="BW39" i="171"/>
  <c r="BW40" i="171"/>
  <c r="BW42" i="171"/>
  <c r="BW43" i="171"/>
  <c r="BW44" i="171"/>
  <c r="BW45" i="171"/>
  <c r="BW46" i="171"/>
  <c r="BW47" i="171"/>
  <c r="BW49" i="171"/>
  <c r="BW50" i="171"/>
  <c r="BW53" i="171"/>
  <c r="BW54" i="171"/>
  <c r="BW57" i="171"/>
  <c r="BW61" i="171"/>
  <c r="BW63" i="171"/>
  <c r="BW59" i="171"/>
  <c r="BW64" i="171"/>
  <c r="BW66" i="171"/>
  <c r="BW71" i="171"/>
  <c r="BW73" i="171"/>
  <c r="BW74" i="171"/>
  <c r="BW77" i="171"/>
  <c r="BW79" i="171"/>
  <c r="BW80" i="171"/>
  <c r="BW83" i="171"/>
  <c r="BW84" i="171"/>
  <c r="BW85" i="171"/>
  <c r="BW87" i="171"/>
  <c r="BW90" i="171"/>
  <c r="K51" i="175"/>
  <c r="BX11" i="171"/>
  <c r="BX12" i="171"/>
  <c r="BX9" i="171"/>
  <c r="BX10" i="171"/>
  <c r="BX13" i="171"/>
  <c r="BX15" i="171"/>
  <c r="BX16" i="171"/>
  <c r="BX17" i="171"/>
  <c r="BX19" i="171"/>
  <c r="BX20" i="171"/>
  <c r="BX22" i="171"/>
  <c r="BX23" i="171"/>
  <c r="BX24" i="171"/>
  <c r="BX28" i="171"/>
  <c r="BX34" i="171"/>
  <c r="BX35" i="171"/>
  <c r="BX36" i="171"/>
  <c r="BX38" i="171"/>
  <c r="BX39" i="171"/>
  <c r="BX40" i="171"/>
  <c r="BX42" i="171"/>
  <c r="BX43" i="171"/>
  <c r="BX44" i="171"/>
  <c r="BX45" i="171"/>
  <c r="BX46" i="171"/>
  <c r="BX47" i="171"/>
  <c r="BX49" i="171"/>
  <c r="BX50" i="171"/>
  <c r="BX53" i="171"/>
  <c r="BX54" i="171"/>
  <c r="BX57" i="171"/>
  <c r="BX61" i="171"/>
  <c r="BX63" i="171"/>
  <c r="BX59" i="171"/>
  <c r="BX64" i="171"/>
  <c r="BX66" i="171"/>
  <c r="BX71" i="171"/>
  <c r="BX73" i="171"/>
  <c r="BX74" i="171"/>
  <c r="BX77" i="171"/>
  <c r="BX79" i="171"/>
  <c r="BX80" i="171"/>
  <c r="BX83" i="171"/>
  <c r="BX84" i="171"/>
  <c r="BX85" i="171"/>
  <c r="BX87" i="171"/>
  <c r="BX90" i="171"/>
  <c r="BY11" i="171"/>
  <c r="BY12" i="171"/>
  <c r="BY9" i="171"/>
  <c r="BY10" i="171"/>
  <c r="BY13" i="171"/>
  <c r="BY15" i="171"/>
  <c r="BY16" i="171"/>
  <c r="BY17" i="171"/>
  <c r="BY19" i="171"/>
  <c r="BY20" i="171"/>
  <c r="BY22" i="171"/>
  <c r="BY23" i="171"/>
  <c r="BY24" i="171"/>
  <c r="BY28" i="171"/>
  <c r="BY34" i="171"/>
  <c r="L448" i="112"/>
  <c r="L449" i="112"/>
  <c r="L562" i="112"/>
  <c r="BY35" i="171"/>
  <c r="BY36" i="171"/>
  <c r="BY38" i="171"/>
  <c r="BY39" i="171"/>
  <c r="BY40" i="171"/>
  <c r="BY42" i="171"/>
  <c r="BY43" i="171"/>
  <c r="BY44" i="171"/>
  <c r="BY45" i="171"/>
  <c r="BY46" i="171"/>
  <c r="BY47" i="171"/>
  <c r="BY49" i="171"/>
  <c r="BY50" i="171"/>
  <c r="BY53" i="171"/>
  <c r="BY54" i="171"/>
  <c r="BY57" i="171"/>
  <c r="BY61" i="171"/>
  <c r="BY63" i="171"/>
  <c r="BY59" i="171"/>
  <c r="BY64" i="171"/>
  <c r="BY66" i="171"/>
  <c r="BY71" i="171"/>
  <c r="BY73" i="171"/>
  <c r="BY74" i="171"/>
  <c r="BY77" i="171"/>
  <c r="BY79" i="171"/>
  <c r="BY80" i="171"/>
  <c r="BY83" i="171"/>
  <c r="BY84" i="171"/>
  <c r="BY85" i="171"/>
  <c r="BY87" i="171"/>
  <c r="BY90" i="171"/>
  <c r="BZ11" i="171"/>
  <c r="BZ12" i="171"/>
  <c r="BZ9" i="171"/>
  <c r="BZ10" i="171"/>
  <c r="BZ13" i="171"/>
  <c r="BZ15" i="171"/>
  <c r="BZ16" i="171"/>
  <c r="BZ17" i="171"/>
  <c r="BZ19" i="171"/>
  <c r="BZ20" i="171"/>
  <c r="BZ22" i="171"/>
  <c r="BZ23" i="171"/>
  <c r="BZ24" i="171"/>
  <c r="BZ28" i="171"/>
  <c r="BZ34" i="171"/>
  <c r="L450" i="112"/>
  <c r="L563" i="112"/>
  <c r="BZ35" i="171"/>
  <c r="BZ36" i="171"/>
  <c r="BZ38" i="171"/>
  <c r="BZ39" i="171"/>
  <c r="BZ40" i="171"/>
  <c r="BZ42" i="171"/>
  <c r="BZ43" i="171"/>
  <c r="BZ44" i="171"/>
  <c r="BZ45" i="171"/>
  <c r="BZ46" i="171"/>
  <c r="BZ47" i="171"/>
  <c r="BZ49" i="171"/>
  <c r="BZ50" i="171"/>
  <c r="BZ53" i="171"/>
  <c r="BZ54" i="171"/>
  <c r="BZ57" i="171"/>
  <c r="BZ61" i="171"/>
  <c r="BZ63" i="171"/>
  <c r="BZ59" i="171"/>
  <c r="BZ64" i="171"/>
  <c r="BZ66" i="171"/>
  <c r="BZ71" i="171"/>
  <c r="BZ73" i="171"/>
  <c r="BZ74" i="171"/>
  <c r="BZ77" i="171"/>
  <c r="BZ79" i="171"/>
  <c r="BZ80" i="171"/>
  <c r="BZ83" i="171"/>
  <c r="BZ84" i="171"/>
  <c r="BZ85" i="171"/>
  <c r="BZ87" i="171"/>
  <c r="BZ90" i="171"/>
  <c r="CA11" i="171"/>
  <c r="CA12" i="171"/>
  <c r="CA9" i="171"/>
  <c r="CA10" i="171"/>
  <c r="CA13" i="171"/>
  <c r="CA15" i="171"/>
  <c r="CA16" i="171"/>
  <c r="CA17" i="171"/>
  <c r="CA19" i="171"/>
  <c r="CA20" i="171"/>
  <c r="CA22" i="171"/>
  <c r="CA23" i="171"/>
  <c r="CA24" i="171"/>
  <c r="CA28" i="171"/>
  <c r="CA34" i="171"/>
  <c r="CA35" i="171"/>
  <c r="CA36" i="171"/>
  <c r="CA38" i="171"/>
  <c r="CA39" i="171"/>
  <c r="CA40" i="171"/>
  <c r="CA42" i="171"/>
  <c r="CA43" i="171"/>
  <c r="CA44" i="171"/>
  <c r="CA45" i="171"/>
  <c r="CA46" i="171"/>
  <c r="CA47" i="171"/>
  <c r="CA49" i="171"/>
  <c r="CA50" i="171"/>
  <c r="CA53" i="171"/>
  <c r="CA54" i="171"/>
  <c r="CA57" i="171"/>
  <c r="CA61" i="171"/>
  <c r="CA63" i="171"/>
  <c r="CA59" i="171"/>
  <c r="CA64" i="171"/>
  <c r="CA66" i="171"/>
  <c r="CA71" i="171"/>
  <c r="CA73" i="171"/>
  <c r="CA74" i="171"/>
  <c r="CA77" i="171"/>
  <c r="CA79" i="171"/>
  <c r="CA80" i="171"/>
  <c r="CA83" i="171"/>
  <c r="CA84" i="171"/>
  <c r="CA85" i="171"/>
  <c r="CA87" i="171"/>
  <c r="CA90" i="171"/>
  <c r="K52" i="175"/>
  <c r="CB11" i="171"/>
  <c r="CB12" i="171"/>
  <c r="CB9" i="171"/>
  <c r="CB10" i="171"/>
  <c r="CB13" i="171"/>
  <c r="CB15" i="171"/>
  <c r="CB16" i="171"/>
  <c r="CB17" i="171"/>
  <c r="CB19" i="171"/>
  <c r="CB20" i="171"/>
  <c r="CB22" i="171"/>
  <c r="CB23" i="171"/>
  <c r="CB24" i="171"/>
  <c r="CB28" i="171"/>
  <c r="CB34" i="171"/>
  <c r="L454" i="112"/>
  <c r="L455" i="112"/>
  <c r="L48" i="112"/>
  <c r="L303" i="112"/>
  <c r="L456" i="112"/>
  <c r="L457" i="112"/>
  <c r="L458" i="112"/>
  <c r="L459" i="112"/>
  <c r="L564" i="112"/>
  <c r="CB35" i="171"/>
  <c r="CB36" i="171"/>
  <c r="CB38" i="171"/>
  <c r="CB39" i="171"/>
  <c r="CB40" i="171"/>
  <c r="CB42" i="171"/>
  <c r="CB43" i="171"/>
  <c r="CB44" i="171"/>
  <c r="CB45" i="171"/>
  <c r="CB46" i="171"/>
  <c r="CB47" i="171"/>
  <c r="CB49" i="171"/>
  <c r="CB50" i="171"/>
  <c r="CB53" i="171"/>
  <c r="CB54" i="171"/>
  <c r="CB57" i="171"/>
  <c r="CB61" i="171"/>
  <c r="CB63" i="171"/>
  <c r="CB59" i="171"/>
  <c r="CB64" i="171"/>
  <c r="CB66" i="171"/>
  <c r="CB71" i="171"/>
  <c r="CB73" i="171"/>
  <c r="CB74" i="171"/>
  <c r="CB77" i="171"/>
  <c r="CB79" i="171"/>
  <c r="CB80" i="171"/>
  <c r="CB83" i="171"/>
  <c r="CB84" i="171"/>
  <c r="CB85" i="171"/>
  <c r="CB87" i="171"/>
  <c r="CB90" i="171"/>
  <c r="CC11" i="171"/>
  <c r="CC12" i="171"/>
  <c r="CC9" i="171"/>
  <c r="CC10" i="171"/>
  <c r="CC13" i="171"/>
  <c r="CC15" i="171"/>
  <c r="CC16" i="171"/>
  <c r="CC17" i="171"/>
  <c r="CC19" i="171"/>
  <c r="CC20" i="171"/>
  <c r="CC22" i="171"/>
  <c r="CC23" i="171"/>
  <c r="CC24" i="171"/>
  <c r="CC28" i="171"/>
  <c r="CC34" i="171"/>
  <c r="CC35" i="171"/>
  <c r="CC36" i="171"/>
  <c r="CC38" i="171"/>
  <c r="CC39" i="171"/>
  <c r="CC40" i="171"/>
  <c r="CC42" i="171"/>
  <c r="CC43" i="171"/>
  <c r="CC44" i="171"/>
  <c r="CC45" i="171"/>
  <c r="CC46" i="171"/>
  <c r="CC47" i="171"/>
  <c r="CC49" i="171"/>
  <c r="CC50" i="171"/>
  <c r="CC53" i="171"/>
  <c r="CC54" i="171"/>
  <c r="CC57" i="171"/>
  <c r="CC61" i="171"/>
  <c r="CC63" i="171"/>
  <c r="CC59" i="171"/>
  <c r="CC64" i="171"/>
  <c r="CC66" i="171"/>
  <c r="CC71" i="171"/>
  <c r="CC73" i="171"/>
  <c r="CC74" i="171"/>
  <c r="CC77" i="171"/>
  <c r="CC79" i="171"/>
  <c r="CC80" i="171"/>
  <c r="CC83" i="171"/>
  <c r="CC84" i="171"/>
  <c r="CC85" i="171"/>
  <c r="CC87" i="171"/>
  <c r="CC90" i="171"/>
  <c r="CD11" i="171"/>
  <c r="CD12" i="171"/>
  <c r="CD9" i="171"/>
  <c r="CD10" i="171"/>
  <c r="CD13" i="171"/>
  <c r="CD15" i="171"/>
  <c r="CD16" i="171"/>
  <c r="CD17" i="171"/>
  <c r="CD19" i="171"/>
  <c r="CD20" i="171"/>
  <c r="CD22" i="171"/>
  <c r="CD23" i="171"/>
  <c r="CD24" i="171"/>
  <c r="CD28" i="171"/>
  <c r="CD34" i="171"/>
  <c r="CD35" i="171"/>
  <c r="CD36" i="171"/>
  <c r="CD38" i="171"/>
  <c r="CD39" i="171"/>
  <c r="CD40" i="171"/>
  <c r="CD42" i="171"/>
  <c r="CD43" i="171"/>
  <c r="CD44" i="171"/>
  <c r="CD45" i="171"/>
  <c r="CD46" i="171"/>
  <c r="CD47" i="171"/>
  <c r="CD49" i="171"/>
  <c r="CD50" i="171"/>
  <c r="CD53" i="171"/>
  <c r="CD54" i="171"/>
  <c r="CD57" i="171"/>
  <c r="CD61" i="171"/>
  <c r="CD63" i="171"/>
  <c r="CD59" i="171"/>
  <c r="CD64" i="171"/>
  <c r="CD66" i="171"/>
  <c r="CD71" i="171"/>
  <c r="CD73" i="171"/>
  <c r="CD74" i="171"/>
  <c r="CD77" i="171"/>
  <c r="CD79" i="171"/>
  <c r="CD80" i="171"/>
  <c r="CD83" i="171"/>
  <c r="CD84" i="171"/>
  <c r="CD85" i="171"/>
  <c r="CD87" i="171"/>
  <c r="CD90" i="171"/>
  <c r="CE11" i="171"/>
  <c r="CE12" i="171"/>
  <c r="CE9" i="171"/>
  <c r="CE10" i="171"/>
  <c r="CE13" i="171"/>
  <c r="CE15" i="171"/>
  <c r="CE16" i="171"/>
  <c r="CE17" i="171"/>
  <c r="CE19" i="171"/>
  <c r="CE20" i="171"/>
  <c r="CE22" i="171"/>
  <c r="CE23" i="171"/>
  <c r="CE24" i="171"/>
  <c r="CE28" i="171"/>
  <c r="CE34" i="171"/>
  <c r="CE35" i="171"/>
  <c r="CE36" i="171"/>
  <c r="CE38" i="171"/>
  <c r="CE39" i="171"/>
  <c r="CE40" i="171"/>
  <c r="CE42" i="171"/>
  <c r="CE43" i="171"/>
  <c r="CE44" i="171"/>
  <c r="CE45" i="171"/>
  <c r="CE46" i="171"/>
  <c r="CE47" i="171"/>
  <c r="CE49" i="171"/>
  <c r="CE50" i="171"/>
  <c r="CE53" i="171"/>
  <c r="CE54" i="171"/>
  <c r="CE57" i="171"/>
  <c r="CE61" i="171"/>
  <c r="CE63" i="171"/>
  <c r="CE59" i="171"/>
  <c r="CE64" i="171"/>
  <c r="CE66" i="171"/>
  <c r="CE71" i="171"/>
  <c r="CE73" i="171"/>
  <c r="CE74" i="171"/>
  <c r="CE77" i="171"/>
  <c r="CE79" i="171"/>
  <c r="CE80" i="171"/>
  <c r="CE83" i="171"/>
  <c r="CE84" i="171"/>
  <c r="CE85" i="171"/>
  <c r="CE87" i="171"/>
  <c r="CE90" i="171"/>
  <c r="K53" i="175"/>
  <c r="CF11" i="171"/>
  <c r="CF12" i="171"/>
  <c r="CF9" i="171"/>
  <c r="CF10" i="171"/>
  <c r="CF13" i="171"/>
  <c r="CF15" i="171"/>
  <c r="CF16" i="171"/>
  <c r="CF17" i="171"/>
  <c r="CF19" i="171"/>
  <c r="CF20" i="171"/>
  <c r="CF22" i="171"/>
  <c r="CF23" i="171"/>
  <c r="CF24" i="171"/>
  <c r="CF28" i="171"/>
  <c r="L541" i="113"/>
  <c r="CF34" i="171"/>
  <c r="CF35" i="171"/>
  <c r="CF36" i="171"/>
  <c r="CF38" i="171"/>
  <c r="CF39" i="171"/>
  <c r="CF40" i="171"/>
  <c r="CF42" i="171"/>
  <c r="CF43" i="171"/>
  <c r="CF44" i="171"/>
  <c r="CF45" i="171"/>
  <c r="CF46" i="171"/>
  <c r="CF47" i="171"/>
  <c r="CF49" i="171"/>
  <c r="CF50" i="171"/>
  <c r="CF53" i="171"/>
  <c r="CF54" i="171"/>
  <c r="CF57" i="171"/>
  <c r="CF61" i="171"/>
  <c r="CF63" i="171"/>
  <c r="CF59" i="171"/>
  <c r="CF64" i="171"/>
  <c r="CF66" i="171"/>
  <c r="CF71" i="171"/>
  <c r="CF73" i="171"/>
  <c r="CF74" i="171"/>
  <c r="CF77" i="171"/>
  <c r="CF79" i="171"/>
  <c r="CF80" i="171"/>
  <c r="CF83" i="171"/>
  <c r="CF84" i="171"/>
  <c r="CF85" i="171"/>
  <c r="CF87" i="171"/>
  <c r="CF90" i="171"/>
  <c r="CG11" i="171"/>
  <c r="CG12" i="171"/>
  <c r="CG9" i="171"/>
  <c r="CG10" i="171"/>
  <c r="CG13" i="171"/>
  <c r="CG15" i="171"/>
  <c r="CG16" i="171"/>
  <c r="CG17" i="171"/>
  <c r="CG19" i="171"/>
  <c r="CG20" i="171"/>
  <c r="CG22" i="171"/>
  <c r="CG23" i="171"/>
  <c r="CG24" i="171"/>
  <c r="CG28" i="171"/>
  <c r="L393" i="113"/>
  <c r="L394" i="113"/>
  <c r="L410" i="113"/>
  <c r="L412" i="113"/>
  <c r="L542" i="113"/>
  <c r="CG34" i="171"/>
  <c r="CG35" i="171"/>
  <c r="CG36" i="171"/>
  <c r="CG38" i="171"/>
  <c r="CG39" i="171"/>
  <c r="CG40" i="171"/>
  <c r="CG42" i="171"/>
  <c r="CG43" i="171"/>
  <c r="CG44" i="171"/>
  <c r="CG45" i="171"/>
  <c r="CG46" i="171"/>
  <c r="CG47" i="171"/>
  <c r="CG49" i="171"/>
  <c r="CG50" i="171"/>
  <c r="CG53" i="171"/>
  <c r="CG54" i="171"/>
  <c r="CG57" i="171"/>
  <c r="CG61" i="171"/>
  <c r="CG63" i="171"/>
  <c r="CG59" i="171"/>
  <c r="CG64" i="171"/>
  <c r="CG66" i="171"/>
  <c r="CG71" i="171"/>
  <c r="CG73" i="171"/>
  <c r="CG74" i="171"/>
  <c r="CG77" i="171"/>
  <c r="CG79" i="171"/>
  <c r="CG80" i="171"/>
  <c r="CG83" i="171"/>
  <c r="CG84" i="171"/>
  <c r="CG85" i="171"/>
  <c r="CG87" i="171"/>
  <c r="CG90" i="171"/>
  <c r="CH11" i="171"/>
  <c r="CH12" i="171"/>
  <c r="CH9" i="171"/>
  <c r="CH10" i="171"/>
  <c r="CH13" i="171"/>
  <c r="CH15" i="171"/>
  <c r="CH16" i="171"/>
  <c r="CH17" i="171"/>
  <c r="CH19" i="171"/>
  <c r="CH20" i="171"/>
  <c r="CH22" i="171"/>
  <c r="CH23" i="171"/>
  <c r="CH24" i="171"/>
  <c r="CH28" i="171"/>
  <c r="L405" i="113"/>
  <c r="L543" i="113"/>
  <c r="CH34" i="171"/>
  <c r="CH35" i="171"/>
  <c r="CH36" i="171"/>
  <c r="CH38" i="171"/>
  <c r="CH39" i="171"/>
  <c r="CH40" i="171"/>
  <c r="CH42" i="171"/>
  <c r="CH43" i="171"/>
  <c r="CH44" i="171"/>
  <c r="CH45" i="171"/>
  <c r="CH46" i="171"/>
  <c r="CH47" i="171"/>
  <c r="CH49" i="171"/>
  <c r="CH50" i="171"/>
  <c r="CH53" i="171"/>
  <c r="CH54" i="171"/>
  <c r="CH57" i="171"/>
  <c r="CH61" i="171"/>
  <c r="CH63" i="171"/>
  <c r="CH59" i="171"/>
  <c r="CH64" i="171"/>
  <c r="CH66" i="171"/>
  <c r="CH71" i="171"/>
  <c r="CH73" i="171"/>
  <c r="CH74" i="171"/>
  <c r="CH77" i="171"/>
  <c r="CH79" i="171"/>
  <c r="CH80" i="171"/>
  <c r="CH83" i="171"/>
  <c r="CH84" i="171"/>
  <c r="CH85" i="171"/>
  <c r="CH87" i="171"/>
  <c r="CH90" i="171"/>
  <c r="CI11" i="171"/>
  <c r="CI12" i="171"/>
  <c r="CI9" i="171"/>
  <c r="CI10" i="171"/>
  <c r="CI13" i="171"/>
  <c r="CI15" i="171"/>
  <c r="CI16" i="171"/>
  <c r="CI17" i="171"/>
  <c r="CI19" i="171"/>
  <c r="CI20" i="171"/>
  <c r="CI22" i="171"/>
  <c r="CI23" i="171"/>
  <c r="CI24" i="171"/>
  <c r="CI28" i="171"/>
  <c r="CI34" i="171"/>
  <c r="CI35" i="171"/>
  <c r="CI36" i="171"/>
  <c r="CI38" i="171"/>
  <c r="CI39" i="171"/>
  <c r="CI40" i="171"/>
  <c r="CI42" i="171"/>
  <c r="CI43" i="171"/>
  <c r="CI44" i="171"/>
  <c r="CI45" i="171"/>
  <c r="CI46" i="171"/>
  <c r="CI47" i="171"/>
  <c r="CI49" i="171"/>
  <c r="CI50" i="171"/>
  <c r="CI53" i="171"/>
  <c r="CI54" i="171"/>
  <c r="CI57" i="171"/>
  <c r="CI61" i="171"/>
  <c r="CI63" i="171"/>
  <c r="CI59" i="171"/>
  <c r="CI64" i="171"/>
  <c r="CI66" i="171"/>
  <c r="CI71" i="171"/>
  <c r="CI73" i="171"/>
  <c r="CI74" i="171"/>
  <c r="CI77" i="171"/>
  <c r="CI79" i="171"/>
  <c r="CI80" i="171"/>
  <c r="CI83" i="171"/>
  <c r="CI84" i="171"/>
  <c r="CI85" i="171"/>
  <c r="CI87" i="171"/>
  <c r="CI90" i="171"/>
  <c r="K54" i="175"/>
  <c r="CJ11" i="171"/>
  <c r="CJ12" i="171"/>
  <c r="CJ9" i="171"/>
  <c r="CJ10" i="171"/>
  <c r="CJ13" i="171"/>
  <c r="CJ15" i="171"/>
  <c r="CJ16" i="171"/>
  <c r="CJ17" i="171"/>
  <c r="CJ19" i="171"/>
  <c r="CJ20" i="171"/>
  <c r="CJ22" i="171"/>
  <c r="CJ23" i="171"/>
  <c r="CJ24" i="171"/>
  <c r="CJ28" i="171"/>
  <c r="CJ34" i="171"/>
  <c r="CJ35" i="171"/>
  <c r="CJ36" i="171"/>
  <c r="CJ38" i="171"/>
  <c r="CJ39" i="171"/>
  <c r="CJ40" i="171"/>
  <c r="CJ42" i="171"/>
  <c r="CJ43" i="171"/>
  <c r="CJ44" i="171"/>
  <c r="CJ45" i="171"/>
  <c r="CJ46" i="171"/>
  <c r="CJ47" i="171"/>
  <c r="CJ49" i="171"/>
  <c r="CJ50" i="171"/>
  <c r="CJ53" i="171"/>
  <c r="CJ54" i="171"/>
  <c r="CJ57" i="171"/>
  <c r="CJ61" i="171"/>
  <c r="CJ63" i="171"/>
  <c r="CJ59" i="171"/>
  <c r="CJ64" i="171"/>
  <c r="CJ66" i="171"/>
  <c r="CJ71" i="171"/>
  <c r="CJ73" i="171"/>
  <c r="CJ74" i="171"/>
  <c r="CJ77" i="171"/>
  <c r="CJ79" i="171"/>
  <c r="CJ80" i="171"/>
  <c r="CJ83" i="171"/>
  <c r="CJ84" i="171"/>
  <c r="CJ85" i="171"/>
  <c r="CJ87" i="171"/>
  <c r="CJ90" i="171"/>
  <c r="CK11" i="171"/>
  <c r="CK12" i="171"/>
  <c r="CK9" i="171"/>
  <c r="CK10" i="171"/>
  <c r="CK13" i="171"/>
  <c r="CK15" i="171"/>
  <c r="CK16" i="171"/>
  <c r="CK17" i="171"/>
  <c r="CK19" i="171"/>
  <c r="CK20" i="171"/>
  <c r="CK22" i="171"/>
  <c r="CK23" i="171"/>
  <c r="CK24" i="171"/>
  <c r="CK28" i="171"/>
  <c r="CK34" i="171"/>
  <c r="CK35" i="171"/>
  <c r="CK36" i="171"/>
  <c r="CK38" i="171"/>
  <c r="CK39" i="171"/>
  <c r="CK40" i="171"/>
  <c r="CK42" i="171"/>
  <c r="CK43" i="171"/>
  <c r="CK44" i="171"/>
  <c r="CK45" i="171"/>
  <c r="CK46" i="171"/>
  <c r="CK47" i="171"/>
  <c r="CK49" i="171"/>
  <c r="CK50" i="171"/>
  <c r="CK53" i="171"/>
  <c r="CK54" i="171"/>
  <c r="CK57" i="171"/>
  <c r="CK61" i="171"/>
  <c r="CK63" i="171"/>
  <c r="CK59" i="171"/>
  <c r="CK64" i="171"/>
  <c r="CK66" i="171"/>
  <c r="CK71" i="171"/>
  <c r="CK73" i="171"/>
  <c r="CK74" i="171"/>
  <c r="CK77" i="171"/>
  <c r="CK79" i="171"/>
  <c r="CK80" i="171"/>
  <c r="CK83" i="171"/>
  <c r="CK84" i="171"/>
  <c r="CK85" i="171"/>
  <c r="CK87" i="171"/>
  <c r="CK90" i="171"/>
  <c r="CL11" i="171"/>
  <c r="CL12" i="171"/>
  <c r="CL9" i="171"/>
  <c r="CL10" i="171"/>
  <c r="CL13" i="171"/>
  <c r="CL15" i="171"/>
  <c r="CL16" i="171"/>
  <c r="CL17" i="171"/>
  <c r="CL19" i="171"/>
  <c r="CL20" i="171"/>
  <c r="CL22" i="171"/>
  <c r="CL23" i="171"/>
  <c r="CL24" i="171"/>
  <c r="CL28" i="171"/>
  <c r="CL34" i="171"/>
  <c r="CL35" i="171"/>
  <c r="CL36" i="171"/>
  <c r="CL38" i="171"/>
  <c r="CL39" i="171"/>
  <c r="CL40" i="171"/>
  <c r="CL42" i="171"/>
  <c r="CL43" i="171"/>
  <c r="CL44" i="171"/>
  <c r="CL45" i="171"/>
  <c r="CL46" i="171"/>
  <c r="CL47" i="171"/>
  <c r="CL49" i="171"/>
  <c r="CL50" i="171"/>
  <c r="CL53" i="171"/>
  <c r="CL54" i="171"/>
  <c r="CL57" i="171"/>
  <c r="CL61" i="171"/>
  <c r="CL63" i="171"/>
  <c r="CL59" i="171"/>
  <c r="CL64" i="171"/>
  <c r="CL66" i="171"/>
  <c r="CL71" i="171"/>
  <c r="CL73" i="171"/>
  <c r="CL74" i="171"/>
  <c r="CL77" i="171"/>
  <c r="CL79" i="171"/>
  <c r="CL80" i="171"/>
  <c r="CL83" i="171"/>
  <c r="CL84" i="171"/>
  <c r="CL85" i="171"/>
  <c r="CL87" i="171"/>
  <c r="CL90" i="171"/>
  <c r="CM11" i="171"/>
  <c r="CM12" i="171"/>
  <c r="CM9" i="171"/>
  <c r="CM10" i="171"/>
  <c r="CM13" i="171"/>
  <c r="CM15" i="171"/>
  <c r="CM16" i="171"/>
  <c r="CM17" i="171"/>
  <c r="CM19" i="171"/>
  <c r="CM20" i="171"/>
  <c r="CM22" i="171"/>
  <c r="CM23" i="171"/>
  <c r="CM24" i="171"/>
  <c r="CM28" i="171"/>
  <c r="CM34" i="171"/>
  <c r="CM35" i="171"/>
  <c r="CM36" i="171"/>
  <c r="CM38" i="171"/>
  <c r="CM39" i="171"/>
  <c r="CM40" i="171"/>
  <c r="CM42" i="171"/>
  <c r="CM43" i="171"/>
  <c r="CM44" i="171"/>
  <c r="CM45" i="171"/>
  <c r="CM46" i="171"/>
  <c r="CM47" i="171"/>
  <c r="CM49" i="171"/>
  <c r="CM50" i="171"/>
  <c r="CM53" i="171"/>
  <c r="CM54" i="171"/>
  <c r="CM57" i="171"/>
  <c r="CM61" i="171"/>
  <c r="CM63" i="171"/>
  <c r="CM59" i="171"/>
  <c r="CM64" i="171"/>
  <c r="CM66" i="171"/>
  <c r="CM71" i="171"/>
  <c r="CM73" i="171"/>
  <c r="CM74" i="171"/>
  <c r="CM77" i="171"/>
  <c r="CM79" i="171"/>
  <c r="CM80" i="171"/>
  <c r="CM83" i="171"/>
  <c r="CM84" i="171"/>
  <c r="CM85" i="171"/>
  <c r="CM87" i="171"/>
  <c r="CM90" i="171"/>
  <c r="K55" i="175"/>
  <c r="CN11" i="171"/>
  <c r="CN12" i="171"/>
  <c r="CN9" i="171"/>
  <c r="CN10" i="171"/>
  <c r="CN13" i="171"/>
  <c r="CN15" i="171"/>
  <c r="CN16" i="171"/>
  <c r="CN17" i="171"/>
  <c r="CN19" i="171"/>
  <c r="CN20" i="171"/>
  <c r="CN22" i="171"/>
  <c r="CN23" i="171"/>
  <c r="CN24" i="171"/>
  <c r="CN28" i="171"/>
  <c r="CN34" i="171"/>
  <c r="CN35" i="171"/>
  <c r="CN36" i="171"/>
  <c r="CN38" i="171"/>
  <c r="CN39" i="171"/>
  <c r="CN40" i="171"/>
  <c r="CN42" i="171"/>
  <c r="CN43" i="171"/>
  <c r="CN44" i="171"/>
  <c r="CN45" i="171"/>
  <c r="CN46" i="171"/>
  <c r="CN47" i="171"/>
  <c r="CN49" i="171"/>
  <c r="CN50" i="171"/>
  <c r="CN53" i="171"/>
  <c r="CN54" i="171"/>
  <c r="CN57" i="171"/>
  <c r="CN61" i="171"/>
  <c r="CN63" i="171"/>
  <c r="CN59" i="171"/>
  <c r="CN64" i="171"/>
  <c r="CN66" i="171"/>
  <c r="CN71" i="171"/>
  <c r="CN73" i="171"/>
  <c r="CN74" i="171"/>
  <c r="CR11" i="171"/>
  <c r="CR12" i="171"/>
  <c r="CR9" i="171"/>
  <c r="CR10" i="171"/>
  <c r="CR13" i="171"/>
  <c r="CR15" i="171"/>
  <c r="CR16" i="171"/>
  <c r="CR17" i="171"/>
  <c r="L367" i="39"/>
  <c r="L368" i="39"/>
  <c r="L369" i="39"/>
  <c r="CR22" i="171"/>
  <c r="CR23" i="171"/>
  <c r="CR24" i="171"/>
  <c r="CR34" i="171"/>
  <c r="CR35" i="171"/>
  <c r="CR36" i="171"/>
  <c r="CR38" i="171"/>
  <c r="CR39" i="171"/>
  <c r="CR40" i="171"/>
  <c r="CR42" i="171"/>
  <c r="CR43" i="171"/>
  <c r="CR44" i="171"/>
  <c r="CR45" i="171"/>
  <c r="CR46" i="171"/>
  <c r="CR47" i="171"/>
  <c r="CR49" i="171"/>
  <c r="CR50" i="171"/>
  <c r="CR53" i="171"/>
  <c r="CR54" i="171"/>
  <c r="CR57" i="171"/>
  <c r="CR61" i="171"/>
  <c r="CR63" i="171"/>
  <c r="CR59" i="171"/>
  <c r="CR64" i="171"/>
  <c r="CR66" i="171"/>
  <c r="CR71" i="171"/>
  <c r="CR73" i="171"/>
  <c r="CR74" i="171"/>
  <c r="CR77" i="171"/>
  <c r="CR79" i="171"/>
  <c r="CR80" i="171"/>
  <c r="CR83" i="171"/>
  <c r="CR84" i="171"/>
  <c r="CR85" i="171"/>
  <c r="CR87" i="171"/>
  <c r="CS11" i="171"/>
  <c r="CS12" i="171"/>
  <c r="CS9" i="171"/>
  <c r="CS10" i="171"/>
  <c r="CS13" i="171"/>
  <c r="CS15" i="171"/>
  <c r="CS16" i="171"/>
  <c r="CS17" i="171"/>
  <c r="CS19" i="171"/>
  <c r="CS20" i="171"/>
  <c r="CS22" i="171"/>
  <c r="CS23" i="171"/>
  <c r="CS24" i="171"/>
  <c r="CS28" i="171"/>
  <c r="CS34" i="171"/>
  <c r="CS35" i="171"/>
  <c r="CS36" i="171"/>
  <c r="CS38" i="171"/>
  <c r="CS39" i="171"/>
  <c r="CS40" i="171"/>
  <c r="CS42" i="171"/>
  <c r="CS43" i="171"/>
  <c r="CS44" i="171"/>
  <c r="CS45" i="171"/>
  <c r="CS46" i="171"/>
  <c r="CS47" i="171"/>
  <c r="CS49" i="171"/>
  <c r="CS50" i="171"/>
  <c r="CS53" i="171"/>
  <c r="CS54" i="171"/>
  <c r="CS57" i="171"/>
  <c r="CS61" i="171"/>
  <c r="CS63" i="171"/>
  <c r="CS59" i="171"/>
  <c r="CS64" i="171"/>
  <c r="CS66" i="171"/>
  <c r="CS71" i="171"/>
  <c r="CS73" i="171"/>
  <c r="CS74" i="171"/>
  <c r="CS77" i="171"/>
  <c r="CS79" i="171"/>
  <c r="CS80" i="171"/>
  <c r="CS83" i="171"/>
  <c r="CS84" i="171"/>
  <c r="CS85" i="171"/>
  <c r="CS87" i="171"/>
  <c r="CS90" i="171"/>
  <c r="CT11" i="171"/>
  <c r="CT12" i="171"/>
  <c r="CT9" i="171"/>
  <c r="CT10" i="171"/>
  <c r="CT13" i="171"/>
  <c r="CT15" i="171"/>
  <c r="CT16" i="171"/>
  <c r="CT17" i="171"/>
  <c r="CT19" i="171"/>
  <c r="CT20" i="171"/>
  <c r="CT22" i="171"/>
  <c r="CT23" i="171"/>
  <c r="CT24" i="171"/>
  <c r="CT28" i="171"/>
  <c r="CT34" i="171"/>
  <c r="CT35" i="171"/>
  <c r="CT36" i="171"/>
  <c r="CT38" i="171"/>
  <c r="CT39" i="171"/>
  <c r="CT40" i="171"/>
  <c r="CT42" i="171"/>
  <c r="CT43" i="171"/>
  <c r="CT44" i="171"/>
  <c r="CT45" i="171"/>
  <c r="CT46" i="171"/>
  <c r="CT47" i="171"/>
  <c r="CT49" i="171"/>
  <c r="CT50" i="171"/>
  <c r="CT53" i="171"/>
  <c r="CT54" i="171"/>
  <c r="CT57" i="171"/>
  <c r="CT61" i="171"/>
  <c r="CT63" i="171"/>
  <c r="CT59" i="171"/>
  <c r="CT64" i="171"/>
  <c r="CT66" i="171"/>
  <c r="CT71" i="171"/>
  <c r="CT73" i="171"/>
  <c r="CT74" i="171"/>
  <c r="CT77" i="171"/>
  <c r="CT79" i="171"/>
  <c r="CT80" i="171"/>
  <c r="CT83" i="171"/>
  <c r="CT84" i="171"/>
  <c r="CT85" i="171"/>
  <c r="CT87" i="171"/>
  <c r="CT90" i="171"/>
  <c r="CU11" i="171"/>
  <c r="CU12" i="171"/>
  <c r="CU9" i="171"/>
  <c r="CU10" i="171"/>
  <c r="CU13" i="171"/>
  <c r="CU15" i="171"/>
  <c r="CU16" i="171"/>
  <c r="CU17" i="171"/>
  <c r="CU19" i="171"/>
  <c r="CU20" i="171"/>
  <c r="CU22" i="171"/>
  <c r="CU23" i="171"/>
  <c r="CU24" i="171"/>
  <c r="CU28" i="171"/>
  <c r="CU34" i="171"/>
  <c r="CU35" i="171"/>
  <c r="CU36" i="171"/>
  <c r="CU38" i="171"/>
  <c r="CU39" i="171"/>
  <c r="CU40" i="171"/>
  <c r="CU42" i="171"/>
  <c r="CU43" i="171"/>
  <c r="CU44" i="171"/>
  <c r="CU45" i="171"/>
  <c r="CU46" i="171"/>
  <c r="CU47" i="171"/>
  <c r="CU49" i="171"/>
  <c r="CU50" i="171"/>
  <c r="CU53" i="171"/>
  <c r="CU54" i="171"/>
  <c r="CU57" i="171"/>
  <c r="CU61" i="171"/>
  <c r="CU63" i="171"/>
  <c r="CU59" i="171"/>
  <c r="CU64" i="171"/>
  <c r="CU66" i="171"/>
  <c r="CU71" i="171"/>
  <c r="CU73" i="171"/>
  <c r="CU74" i="171"/>
  <c r="CU83" i="171"/>
  <c r="CU84" i="171"/>
  <c r="CU85" i="171"/>
  <c r="CU87" i="171"/>
  <c r="CU90" i="171"/>
  <c r="BP11" i="170"/>
  <c r="BP12" i="170"/>
  <c r="BP9" i="170"/>
  <c r="BP10" i="170"/>
  <c r="BP13" i="170"/>
  <c r="BP15" i="170"/>
  <c r="BP16" i="170"/>
  <c r="BP17" i="170"/>
  <c r="K202" i="39"/>
  <c r="K210" i="39"/>
  <c r="K284" i="39"/>
  <c r="K203" i="39"/>
  <c r="K211" i="39"/>
  <c r="K285" i="39"/>
  <c r="K204" i="39"/>
  <c r="K212" i="39"/>
  <c r="K286" i="39"/>
  <c r="K205" i="39"/>
  <c r="K213" i="39"/>
  <c r="K287" i="39"/>
  <c r="K288" i="39"/>
  <c r="K458" i="39"/>
  <c r="BP19" i="170"/>
  <c r="BP20" i="170"/>
  <c r="BP22" i="170"/>
  <c r="BP23" i="170"/>
  <c r="BP24" i="170"/>
  <c r="BP28" i="170"/>
  <c r="BP34" i="170"/>
  <c r="BP35" i="170"/>
  <c r="BP36" i="170"/>
  <c r="BP38" i="170"/>
  <c r="BP39" i="170"/>
  <c r="BP40" i="170"/>
  <c r="BP42" i="170"/>
  <c r="BP43" i="170"/>
  <c r="BP44" i="170"/>
  <c r="BP45" i="170"/>
  <c r="BP46" i="170"/>
  <c r="BP47" i="170"/>
  <c r="BP49" i="170"/>
  <c r="BP50" i="170"/>
  <c r="BP53" i="170"/>
  <c r="BP54" i="170"/>
  <c r="BP57" i="170"/>
  <c r="BP61" i="170"/>
  <c r="BP63" i="170"/>
  <c r="BP59" i="170"/>
  <c r="BP64" i="170"/>
  <c r="BP66" i="170"/>
  <c r="BP71" i="170"/>
  <c r="BP73" i="170"/>
  <c r="BP74" i="170"/>
  <c r="BP77" i="170"/>
  <c r="BP79" i="170"/>
  <c r="BP80" i="170"/>
  <c r="BP83" i="170"/>
  <c r="BP84" i="170"/>
  <c r="BP85" i="170"/>
  <c r="BP87" i="170"/>
  <c r="BP90" i="170"/>
  <c r="BQ11" i="170"/>
  <c r="BQ12" i="170"/>
  <c r="BQ9" i="170"/>
  <c r="BQ10" i="170"/>
  <c r="BQ13" i="170"/>
  <c r="BQ15" i="170"/>
  <c r="BQ16" i="170"/>
  <c r="BQ17" i="170"/>
  <c r="K291" i="39"/>
  <c r="K292" i="39"/>
  <c r="K293" i="39"/>
  <c r="K294" i="39"/>
  <c r="K295" i="39"/>
  <c r="K459" i="39"/>
  <c r="BQ19" i="170"/>
  <c r="BQ20" i="170"/>
  <c r="BQ22" i="170"/>
  <c r="BQ23" i="170"/>
  <c r="BQ24" i="170"/>
  <c r="BQ28" i="170"/>
  <c r="BQ34" i="170"/>
  <c r="BQ35" i="170"/>
  <c r="BQ36" i="170"/>
  <c r="BQ38" i="170"/>
  <c r="BQ39" i="170"/>
  <c r="BQ40" i="170"/>
  <c r="BQ42" i="170"/>
  <c r="BQ43" i="170"/>
  <c r="BQ44" i="170"/>
  <c r="BQ45" i="170"/>
  <c r="BQ46" i="170"/>
  <c r="BQ47" i="170"/>
  <c r="BQ49" i="170"/>
  <c r="BQ50" i="170"/>
  <c r="BQ53" i="170"/>
  <c r="BQ54" i="170"/>
  <c r="BQ57" i="170"/>
  <c r="BQ61" i="170"/>
  <c r="BQ63" i="170"/>
  <c r="BQ59" i="170"/>
  <c r="BQ64" i="170"/>
  <c r="BQ66" i="170"/>
  <c r="BQ71" i="170"/>
  <c r="BQ73" i="170"/>
  <c r="BQ74" i="170"/>
  <c r="BQ77" i="170"/>
  <c r="BQ79" i="170"/>
  <c r="BQ80" i="170"/>
  <c r="BQ83" i="170"/>
  <c r="BQ84" i="170"/>
  <c r="BQ85" i="170"/>
  <c r="BQ87" i="170"/>
  <c r="BQ90" i="170"/>
  <c r="BR11" i="170"/>
  <c r="BR12" i="170"/>
  <c r="BR9" i="170"/>
  <c r="BR10" i="170"/>
  <c r="BR13" i="170"/>
  <c r="BR15" i="170"/>
  <c r="BR16" i="170"/>
  <c r="BR17" i="170"/>
  <c r="K298" i="39"/>
  <c r="K299" i="39"/>
  <c r="K300" i="39"/>
  <c r="K301" i="39"/>
  <c r="K302" i="39"/>
  <c r="K460" i="39"/>
  <c r="BR19" i="170"/>
  <c r="BR20" i="170"/>
  <c r="BR22" i="170"/>
  <c r="BR23" i="170"/>
  <c r="BR24" i="170"/>
  <c r="BR28" i="170"/>
  <c r="BR34" i="170"/>
  <c r="BR35" i="170"/>
  <c r="BR36" i="170"/>
  <c r="BR38" i="170"/>
  <c r="BR39" i="170"/>
  <c r="BR40" i="170"/>
  <c r="BR42" i="170"/>
  <c r="BR43" i="170"/>
  <c r="BR44" i="170"/>
  <c r="BR45" i="170"/>
  <c r="BR46" i="170"/>
  <c r="BR47" i="170"/>
  <c r="BR49" i="170"/>
  <c r="BR50" i="170"/>
  <c r="BR53" i="170"/>
  <c r="BR54" i="170"/>
  <c r="BR57" i="170"/>
  <c r="BR61" i="170"/>
  <c r="BR63" i="170"/>
  <c r="BR59" i="170"/>
  <c r="BR64" i="170"/>
  <c r="BR66" i="170"/>
  <c r="BR71" i="170"/>
  <c r="BR73" i="170"/>
  <c r="BR74" i="170"/>
  <c r="BR77" i="170"/>
  <c r="BR79" i="170"/>
  <c r="BR80" i="170"/>
  <c r="BR83" i="170"/>
  <c r="BR84" i="170"/>
  <c r="BR85" i="170"/>
  <c r="BR87" i="170"/>
  <c r="BR90" i="170"/>
  <c r="BS11" i="170"/>
  <c r="BS12" i="170"/>
  <c r="BS9" i="170"/>
  <c r="BS10" i="170"/>
  <c r="BS13" i="170"/>
  <c r="BS15" i="170"/>
  <c r="BS16" i="170"/>
  <c r="BS17" i="170"/>
  <c r="K305" i="39"/>
  <c r="K306" i="39"/>
  <c r="K307" i="39"/>
  <c r="K308" i="39"/>
  <c r="K309" i="39"/>
  <c r="K461" i="39"/>
  <c r="BS19" i="170"/>
  <c r="BS20" i="170"/>
  <c r="BS22" i="170"/>
  <c r="BS23" i="170"/>
  <c r="BS24" i="170"/>
  <c r="BS28" i="170"/>
  <c r="BS34" i="170"/>
  <c r="BS35" i="170"/>
  <c r="BS36" i="170"/>
  <c r="BS38" i="170"/>
  <c r="BS39" i="170"/>
  <c r="BS40" i="170"/>
  <c r="BS42" i="170"/>
  <c r="BS43" i="170"/>
  <c r="BS44" i="170"/>
  <c r="BS45" i="170"/>
  <c r="BS46" i="170"/>
  <c r="BS47" i="170"/>
  <c r="BS49" i="170"/>
  <c r="BS50" i="170"/>
  <c r="BS53" i="170"/>
  <c r="BS54" i="170"/>
  <c r="BS57" i="170"/>
  <c r="BS61" i="170"/>
  <c r="BS63" i="170"/>
  <c r="BS59" i="170"/>
  <c r="BS64" i="170"/>
  <c r="BS66" i="170"/>
  <c r="BS71" i="170"/>
  <c r="BS73" i="170"/>
  <c r="BS74" i="170"/>
  <c r="BS77" i="170"/>
  <c r="BS79" i="170"/>
  <c r="BS80" i="170"/>
  <c r="BS83" i="170"/>
  <c r="BS84" i="170"/>
  <c r="BS85" i="170"/>
  <c r="BS87" i="170"/>
  <c r="BS90" i="170"/>
  <c r="J50" i="175"/>
  <c r="BT11" i="170"/>
  <c r="BT12" i="170"/>
  <c r="BT9" i="170"/>
  <c r="BT10" i="170"/>
  <c r="BT13" i="170"/>
  <c r="BT15" i="170"/>
  <c r="BT16" i="170"/>
  <c r="BT17" i="170"/>
  <c r="BT19" i="170"/>
  <c r="BT20" i="170"/>
  <c r="BT22" i="170"/>
  <c r="BT23" i="170"/>
  <c r="BT24" i="170"/>
  <c r="BT28" i="170"/>
  <c r="BT34" i="170"/>
  <c r="BT35" i="170"/>
  <c r="BT36" i="170"/>
  <c r="BT38" i="170"/>
  <c r="BT39" i="170"/>
  <c r="BT40" i="170"/>
  <c r="BT42" i="170"/>
  <c r="BT43" i="170"/>
  <c r="BT44" i="170"/>
  <c r="BT45" i="170"/>
  <c r="BT46" i="170"/>
  <c r="BT47" i="170"/>
  <c r="BT49" i="170"/>
  <c r="BT50" i="170"/>
  <c r="BT53" i="170"/>
  <c r="BT54" i="170"/>
  <c r="BT57" i="170"/>
  <c r="BT61" i="170"/>
  <c r="BT63" i="170"/>
  <c r="BT59" i="170"/>
  <c r="BT64" i="170"/>
  <c r="BT66" i="170"/>
  <c r="BT71" i="170"/>
  <c r="BT73" i="170"/>
  <c r="BT74" i="170"/>
  <c r="BT77" i="170"/>
  <c r="BT79" i="170"/>
  <c r="BT80" i="170"/>
  <c r="BT83" i="170"/>
  <c r="BT84" i="170"/>
  <c r="BT85" i="170"/>
  <c r="BT87" i="170"/>
  <c r="BT90" i="170"/>
  <c r="BU11" i="170"/>
  <c r="BU12" i="170"/>
  <c r="BU9" i="170"/>
  <c r="BU10" i="170"/>
  <c r="BU13" i="170"/>
  <c r="BU15" i="170"/>
  <c r="BU16" i="170"/>
  <c r="BU17" i="170"/>
  <c r="BU19" i="170"/>
  <c r="BU20" i="170"/>
  <c r="BU22" i="170"/>
  <c r="BU23" i="170"/>
  <c r="BU24" i="170"/>
  <c r="BU28" i="170"/>
  <c r="BU34" i="170"/>
  <c r="BU35" i="170"/>
  <c r="BU36" i="170"/>
  <c r="BU38" i="170"/>
  <c r="BU39" i="170"/>
  <c r="BU40" i="170"/>
  <c r="BU42" i="170"/>
  <c r="BU43" i="170"/>
  <c r="BU44" i="170"/>
  <c r="BU45" i="170"/>
  <c r="BU46" i="170"/>
  <c r="BU47" i="170"/>
  <c r="BU49" i="170"/>
  <c r="BU50" i="170"/>
  <c r="BU53" i="170"/>
  <c r="BU54" i="170"/>
  <c r="BU57" i="170"/>
  <c r="BU61" i="170"/>
  <c r="BU63" i="170"/>
  <c r="BU59" i="170"/>
  <c r="BU64" i="170"/>
  <c r="BU66" i="170"/>
  <c r="BU71" i="170"/>
  <c r="BU73" i="170"/>
  <c r="BU74" i="170"/>
  <c r="BU77" i="170"/>
  <c r="BU79" i="170"/>
  <c r="BU80" i="170"/>
  <c r="BU83" i="170"/>
  <c r="BU84" i="170"/>
  <c r="BU85" i="170"/>
  <c r="BU87" i="170"/>
  <c r="BU90" i="170"/>
  <c r="BV11" i="170"/>
  <c r="BV12" i="170"/>
  <c r="BV9" i="170"/>
  <c r="BV10" i="170"/>
  <c r="BV13" i="170"/>
  <c r="BV15" i="170"/>
  <c r="BV16" i="170"/>
  <c r="BV17" i="170"/>
  <c r="BV19" i="170"/>
  <c r="BV20" i="170"/>
  <c r="BV22" i="170"/>
  <c r="BV23" i="170"/>
  <c r="BV24" i="170"/>
  <c r="BV28" i="170"/>
  <c r="BV34" i="170"/>
  <c r="BV35" i="170"/>
  <c r="BV36" i="170"/>
  <c r="BV38" i="170"/>
  <c r="BV39" i="170"/>
  <c r="BV40" i="170"/>
  <c r="BV42" i="170"/>
  <c r="BV43" i="170"/>
  <c r="BV44" i="170"/>
  <c r="BV45" i="170"/>
  <c r="BV46" i="170"/>
  <c r="BV47" i="170"/>
  <c r="BV49" i="170"/>
  <c r="BV50" i="170"/>
  <c r="BV53" i="170"/>
  <c r="BV54" i="170"/>
  <c r="BV57" i="170"/>
  <c r="BV61" i="170"/>
  <c r="BV63" i="170"/>
  <c r="BV59" i="170"/>
  <c r="BV64" i="170"/>
  <c r="BV66" i="170"/>
  <c r="BV71" i="170"/>
  <c r="BV73" i="170"/>
  <c r="BV74" i="170"/>
  <c r="BV77" i="170"/>
  <c r="BV79" i="170"/>
  <c r="BV80" i="170"/>
  <c r="BV83" i="170"/>
  <c r="BV84" i="170"/>
  <c r="BV85" i="170"/>
  <c r="BV87" i="170"/>
  <c r="BV90" i="170"/>
  <c r="BW11" i="170"/>
  <c r="BW12" i="170"/>
  <c r="BW9" i="170"/>
  <c r="BW10" i="170"/>
  <c r="BW13" i="170"/>
  <c r="BW15" i="170"/>
  <c r="BW16" i="170"/>
  <c r="BW17" i="170"/>
  <c r="BW19" i="170"/>
  <c r="BW20" i="170"/>
  <c r="BW22" i="170"/>
  <c r="BW23" i="170"/>
  <c r="BW24" i="170"/>
  <c r="BW28" i="170"/>
  <c r="BW34" i="170"/>
  <c r="BW35" i="170"/>
  <c r="BW36" i="170"/>
  <c r="BW38" i="170"/>
  <c r="BW39" i="170"/>
  <c r="BW40" i="170"/>
  <c r="BW42" i="170"/>
  <c r="BW43" i="170"/>
  <c r="BW44" i="170"/>
  <c r="BW45" i="170"/>
  <c r="BW46" i="170"/>
  <c r="BW47" i="170"/>
  <c r="BW49" i="170"/>
  <c r="BW50" i="170"/>
  <c r="BW53" i="170"/>
  <c r="BW54" i="170"/>
  <c r="BW57" i="170"/>
  <c r="BW61" i="170"/>
  <c r="BW63" i="170"/>
  <c r="BW59" i="170"/>
  <c r="BW64" i="170"/>
  <c r="BW66" i="170"/>
  <c r="BW71" i="170"/>
  <c r="BW73" i="170"/>
  <c r="BW74" i="170"/>
  <c r="BW77" i="170"/>
  <c r="BW79" i="170"/>
  <c r="BW80" i="170"/>
  <c r="BW83" i="170"/>
  <c r="BW84" i="170"/>
  <c r="BW85" i="170"/>
  <c r="BW87" i="170"/>
  <c r="BW90" i="170"/>
  <c r="J51" i="175"/>
  <c r="BX11" i="170"/>
  <c r="BX12" i="170"/>
  <c r="BX9" i="170"/>
  <c r="BX10" i="170"/>
  <c r="BX13" i="170"/>
  <c r="BX15" i="170"/>
  <c r="BX16" i="170"/>
  <c r="BX17" i="170"/>
  <c r="BX19" i="170"/>
  <c r="BX20" i="170"/>
  <c r="BX22" i="170"/>
  <c r="BX23" i="170"/>
  <c r="BX24" i="170"/>
  <c r="BX28" i="170"/>
  <c r="BX34" i="170"/>
  <c r="BX35" i="170"/>
  <c r="BX36" i="170"/>
  <c r="BX38" i="170"/>
  <c r="BX39" i="170"/>
  <c r="BX40" i="170"/>
  <c r="BX42" i="170"/>
  <c r="BX43" i="170"/>
  <c r="BX44" i="170"/>
  <c r="BX45" i="170"/>
  <c r="BX46" i="170"/>
  <c r="BX47" i="170"/>
  <c r="BX49" i="170"/>
  <c r="BX50" i="170"/>
  <c r="BX53" i="170"/>
  <c r="BX54" i="170"/>
  <c r="BX57" i="170"/>
  <c r="BX61" i="170"/>
  <c r="BX63" i="170"/>
  <c r="BX59" i="170"/>
  <c r="BX64" i="170"/>
  <c r="BX66" i="170"/>
  <c r="BX71" i="170"/>
  <c r="BX73" i="170"/>
  <c r="BX74" i="170"/>
  <c r="BX77" i="170"/>
  <c r="BX79" i="170"/>
  <c r="BX80" i="170"/>
  <c r="BX83" i="170"/>
  <c r="BX84" i="170"/>
  <c r="BX85" i="170"/>
  <c r="BX87" i="170"/>
  <c r="BX90" i="170"/>
  <c r="BY11" i="170"/>
  <c r="BY12" i="170"/>
  <c r="BY9" i="170"/>
  <c r="BY10" i="170"/>
  <c r="BY13" i="170"/>
  <c r="BY15" i="170"/>
  <c r="BY16" i="170"/>
  <c r="BY17" i="170"/>
  <c r="BY19" i="170"/>
  <c r="BY20" i="170"/>
  <c r="BY22" i="170"/>
  <c r="BY23" i="170"/>
  <c r="BY24" i="170"/>
  <c r="BY28" i="170"/>
  <c r="BY34" i="170"/>
  <c r="K448" i="112"/>
  <c r="K449" i="112"/>
  <c r="K562" i="112"/>
  <c r="BY35" i="170"/>
  <c r="BY36" i="170"/>
  <c r="BY38" i="170"/>
  <c r="BY39" i="170"/>
  <c r="BY40" i="170"/>
  <c r="BY42" i="170"/>
  <c r="BY43" i="170"/>
  <c r="BY44" i="170"/>
  <c r="BY45" i="170"/>
  <c r="BY46" i="170"/>
  <c r="BY47" i="170"/>
  <c r="BY49" i="170"/>
  <c r="BY50" i="170"/>
  <c r="BY53" i="170"/>
  <c r="BY54" i="170"/>
  <c r="BY57" i="170"/>
  <c r="BY61" i="170"/>
  <c r="BY63" i="170"/>
  <c r="BY59" i="170"/>
  <c r="BY64" i="170"/>
  <c r="BY66" i="170"/>
  <c r="BY71" i="170"/>
  <c r="BY73" i="170"/>
  <c r="BY74" i="170"/>
  <c r="BY77" i="170"/>
  <c r="BY79" i="170"/>
  <c r="BY80" i="170"/>
  <c r="BY83" i="170"/>
  <c r="BY84" i="170"/>
  <c r="BY85" i="170"/>
  <c r="BY87" i="170"/>
  <c r="BY90" i="170"/>
  <c r="BZ11" i="170"/>
  <c r="BZ12" i="170"/>
  <c r="BZ9" i="170"/>
  <c r="BZ10" i="170"/>
  <c r="BZ13" i="170"/>
  <c r="BZ15" i="170"/>
  <c r="BZ16" i="170"/>
  <c r="BZ17" i="170"/>
  <c r="BZ19" i="170"/>
  <c r="BZ20" i="170"/>
  <c r="BZ22" i="170"/>
  <c r="BZ23" i="170"/>
  <c r="BZ24" i="170"/>
  <c r="BZ28" i="170"/>
  <c r="BZ34" i="170"/>
  <c r="K450" i="112"/>
  <c r="K563" i="112"/>
  <c r="BZ35" i="170"/>
  <c r="BZ36" i="170"/>
  <c r="BZ38" i="170"/>
  <c r="BZ39" i="170"/>
  <c r="BZ40" i="170"/>
  <c r="BZ42" i="170"/>
  <c r="BZ43" i="170"/>
  <c r="BZ44" i="170"/>
  <c r="BZ45" i="170"/>
  <c r="BZ46" i="170"/>
  <c r="BZ47" i="170"/>
  <c r="BZ49" i="170"/>
  <c r="BZ50" i="170"/>
  <c r="BZ53" i="170"/>
  <c r="BZ54" i="170"/>
  <c r="BZ57" i="170"/>
  <c r="BZ61" i="170"/>
  <c r="BZ63" i="170"/>
  <c r="BZ59" i="170"/>
  <c r="BZ64" i="170"/>
  <c r="BZ66" i="170"/>
  <c r="BZ71" i="170"/>
  <c r="BZ73" i="170"/>
  <c r="BZ74" i="170"/>
  <c r="BZ77" i="170"/>
  <c r="BZ79" i="170"/>
  <c r="BZ80" i="170"/>
  <c r="BZ83" i="170"/>
  <c r="BZ84" i="170"/>
  <c r="BZ85" i="170"/>
  <c r="BZ87" i="170"/>
  <c r="BZ90" i="170"/>
  <c r="CA11" i="170"/>
  <c r="CA12" i="170"/>
  <c r="CA9" i="170"/>
  <c r="CA10" i="170"/>
  <c r="CA13" i="170"/>
  <c r="CA15" i="170"/>
  <c r="CA16" i="170"/>
  <c r="CA17" i="170"/>
  <c r="CA19" i="170"/>
  <c r="CA20" i="170"/>
  <c r="CA22" i="170"/>
  <c r="CA23" i="170"/>
  <c r="CA24" i="170"/>
  <c r="CA28" i="170"/>
  <c r="CA34" i="170"/>
  <c r="CA35" i="170"/>
  <c r="CA36" i="170"/>
  <c r="CA38" i="170"/>
  <c r="CA39" i="170"/>
  <c r="CA40" i="170"/>
  <c r="CA42" i="170"/>
  <c r="CA43" i="170"/>
  <c r="CA44" i="170"/>
  <c r="CA45" i="170"/>
  <c r="CA46" i="170"/>
  <c r="CA47" i="170"/>
  <c r="CA49" i="170"/>
  <c r="CA50" i="170"/>
  <c r="CA53" i="170"/>
  <c r="CA54" i="170"/>
  <c r="CA57" i="170"/>
  <c r="CA61" i="170"/>
  <c r="CA63" i="170"/>
  <c r="CA59" i="170"/>
  <c r="CA64" i="170"/>
  <c r="CA66" i="170"/>
  <c r="CA71" i="170"/>
  <c r="CA73" i="170"/>
  <c r="CA74" i="170"/>
  <c r="CA77" i="170"/>
  <c r="CA79" i="170"/>
  <c r="CA80" i="170"/>
  <c r="CA83" i="170"/>
  <c r="CA84" i="170"/>
  <c r="CA85" i="170"/>
  <c r="CA87" i="170"/>
  <c r="CA90" i="170"/>
  <c r="J52" i="175"/>
  <c r="CB11" i="170"/>
  <c r="CB12" i="170"/>
  <c r="CB9" i="170"/>
  <c r="CB10" i="170"/>
  <c r="CB13" i="170"/>
  <c r="CB15" i="170"/>
  <c r="CB16" i="170"/>
  <c r="CB17" i="170"/>
  <c r="CB19" i="170"/>
  <c r="CB20" i="170"/>
  <c r="CB22" i="170"/>
  <c r="CB23" i="170"/>
  <c r="CB24" i="170"/>
  <c r="CB28" i="170"/>
  <c r="CB34" i="170"/>
  <c r="K454" i="112"/>
  <c r="K455" i="112"/>
  <c r="K48" i="112"/>
  <c r="K303" i="112"/>
  <c r="K456" i="112"/>
  <c r="K457" i="112"/>
  <c r="K458" i="112"/>
  <c r="K459" i="112"/>
  <c r="K564" i="112"/>
  <c r="CB35" i="170"/>
  <c r="CB36" i="170"/>
  <c r="CB38" i="170"/>
  <c r="CB39" i="170"/>
  <c r="CB40" i="170"/>
  <c r="CB42" i="170"/>
  <c r="CB43" i="170"/>
  <c r="CB44" i="170"/>
  <c r="CB45" i="170"/>
  <c r="CB46" i="170"/>
  <c r="CB47" i="170"/>
  <c r="CB49" i="170"/>
  <c r="CB50" i="170"/>
  <c r="CB53" i="170"/>
  <c r="CB54" i="170"/>
  <c r="CB57" i="170"/>
  <c r="CB61" i="170"/>
  <c r="CB63" i="170"/>
  <c r="CB59" i="170"/>
  <c r="CB64" i="170"/>
  <c r="CB66" i="170"/>
  <c r="CB71" i="170"/>
  <c r="CB73" i="170"/>
  <c r="CB74" i="170"/>
  <c r="CB77" i="170"/>
  <c r="CB79" i="170"/>
  <c r="CB80" i="170"/>
  <c r="CB83" i="170"/>
  <c r="CB84" i="170"/>
  <c r="CB85" i="170"/>
  <c r="CB87" i="170"/>
  <c r="CB90" i="170"/>
  <c r="CC11" i="170"/>
  <c r="CC12" i="170"/>
  <c r="CC9" i="170"/>
  <c r="CC10" i="170"/>
  <c r="CC13" i="170"/>
  <c r="CC15" i="170"/>
  <c r="CC16" i="170"/>
  <c r="CC17" i="170"/>
  <c r="CC19" i="170"/>
  <c r="CC20" i="170"/>
  <c r="CC22" i="170"/>
  <c r="CC23" i="170"/>
  <c r="CC24" i="170"/>
  <c r="CC28" i="170"/>
  <c r="CC34" i="170"/>
  <c r="CC35" i="170"/>
  <c r="CC36" i="170"/>
  <c r="CC38" i="170"/>
  <c r="CC39" i="170"/>
  <c r="CC40" i="170"/>
  <c r="CC42" i="170"/>
  <c r="CC43" i="170"/>
  <c r="CC44" i="170"/>
  <c r="CC45" i="170"/>
  <c r="CC46" i="170"/>
  <c r="CC47" i="170"/>
  <c r="CC49" i="170"/>
  <c r="CC50" i="170"/>
  <c r="CC53" i="170"/>
  <c r="CC54" i="170"/>
  <c r="CC57" i="170"/>
  <c r="CC61" i="170"/>
  <c r="CC63" i="170"/>
  <c r="CC59" i="170"/>
  <c r="CC64" i="170"/>
  <c r="CC66" i="170"/>
  <c r="CC71" i="170"/>
  <c r="CC73" i="170"/>
  <c r="CC74" i="170"/>
  <c r="CC77" i="170"/>
  <c r="CC79" i="170"/>
  <c r="CC80" i="170"/>
  <c r="CC83" i="170"/>
  <c r="CC84" i="170"/>
  <c r="CC85" i="170"/>
  <c r="CC87" i="170"/>
  <c r="CC90" i="170"/>
  <c r="CD11" i="170"/>
  <c r="CD12" i="170"/>
  <c r="CD9" i="170"/>
  <c r="CD10" i="170"/>
  <c r="CD13" i="170"/>
  <c r="CD15" i="170"/>
  <c r="CD16" i="170"/>
  <c r="CD17" i="170"/>
  <c r="CD19" i="170"/>
  <c r="CD20" i="170"/>
  <c r="CD22" i="170"/>
  <c r="CD23" i="170"/>
  <c r="CD24" i="170"/>
  <c r="CD28" i="170"/>
  <c r="CD34" i="170"/>
  <c r="CD35" i="170"/>
  <c r="CD36" i="170"/>
  <c r="CD38" i="170"/>
  <c r="CD39" i="170"/>
  <c r="CD40" i="170"/>
  <c r="CD42" i="170"/>
  <c r="CD43" i="170"/>
  <c r="CD44" i="170"/>
  <c r="CD45" i="170"/>
  <c r="CD46" i="170"/>
  <c r="CD47" i="170"/>
  <c r="CD49" i="170"/>
  <c r="CD50" i="170"/>
  <c r="CD53" i="170"/>
  <c r="CD54" i="170"/>
  <c r="CD57" i="170"/>
  <c r="CD61" i="170"/>
  <c r="CD63" i="170"/>
  <c r="CD59" i="170"/>
  <c r="CD64" i="170"/>
  <c r="CD66" i="170"/>
  <c r="CD71" i="170"/>
  <c r="CD73" i="170"/>
  <c r="CD74" i="170"/>
  <c r="CD77" i="170"/>
  <c r="CD79" i="170"/>
  <c r="CD80" i="170"/>
  <c r="CD83" i="170"/>
  <c r="CD84" i="170"/>
  <c r="CD85" i="170"/>
  <c r="CD87" i="170"/>
  <c r="CD90" i="170"/>
  <c r="CE11" i="170"/>
  <c r="CE12" i="170"/>
  <c r="CE9" i="170"/>
  <c r="CE10" i="170"/>
  <c r="CE13" i="170"/>
  <c r="CE15" i="170"/>
  <c r="CE16" i="170"/>
  <c r="CE17" i="170"/>
  <c r="CE19" i="170"/>
  <c r="CE20" i="170"/>
  <c r="CE22" i="170"/>
  <c r="CE23" i="170"/>
  <c r="CE24" i="170"/>
  <c r="CE28" i="170"/>
  <c r="CE34" i="170"/>
  <c r="CE35" i="170"/>
  <c r="CE36" i="170"/>
  <c r="CE38" i="170"/>
  <c r="CE39" i="170"/>
  <c r="CE40" i="170"/>
  <c r="CE42" i="170"/>
  <c r="CE43" i="170"/>
  <c r="CE44" i="170"/>
  <c r="CE45" i="170"/>
  <c r="CE46" i="170"/>
  <c r="CE47" i="170"/>
  <c r="CE49" i="170"/>
  <c r="CE50" i="170"/>
  <c r="CE53" i="170"/>
  <c r="CE54" i="170"/>
  <c r="CE57" i="170"/>
  <c r="CE61" i="170"/>
  <c r="CE63" i="170"/>
  <c r="CE59" i="170"/>
  <c r="CE64" i="170"/>
  <c r="CE66" i="170"/>
  <c r="CE71" i="170"/>
  <c r="CE73" i="170"/>
  <c r="CE74" i="170"/>
  <c r="CE77" i="170"/>
  <c r="CE79" i="170"/>
  <c r="CE80" i="170"/>
  <c r="CE83" i="170"/>
  <c r="CE84" i="170"/>
  <c r="CE85" i="170"/>
  <c r="CE87" i="170"/>
  <c r="CE90" i="170"/>
  <c r="J53" i="175"/>
  <c r="CF11" i="170"/>
  <c r="CF12" i="170"/>
  <c r="CF9" i="170"/>
  <c r="CF10" i="170"/>
  <c r="CF13" i="170"/>
  <c r="CF15" i="170"/>
  <c r="CF16" i="170"/>
  <c r="CF17" i="170"/>
  <c r="CF19" i="170"/>
  <c r="CF20" i="170"/>
  <c r="CF22" i="170"/>
  <c r="CF23" i="170"/>
  <c r="CF24" i="170"/>
  <c r="CF28" i="170"/>
  <c r="K541" i="113"/>
  <c r="CF34" i="170"/>
  <c r="CF35" i="170"/>
  <c r="CF36" i="170"/>
  <c r="CF38" i="170"/>
  <c r="CF39" i="170"/>
  <c r="CF40" i="170"/>
  <c r="CF42" i="170"/>
  <c r="CF43" i="170"/>
  <c r="CF44" i="170"/>
  <c r="CF45" i="170"/>
  <c r="CF46" i="170"/>
  <c r="CF47" i="170"/>
  <c r="CF49" i="170"/>
  <c r="CF50" i="170"/>
  <c r="CF53" i="170"/>
  <c r="CF54" i="170"/>
  <c r="CF57" i="170"/>
  <c r="CF61" i="170"/>
  <c r="CF63" i="170"/>
  <c r="CF59" i="170"/>
  <c r="CF64" i="170"/>
  <c r="CF66" i="170"/>
  <c r="CF71" i="170"/>
  <c r="CF73" i="170"/>
  <c r="CF74" i="170"/>
  <c r="CF77" i="170"/>
  <c r="CF79" i="170"/>
  <c r="CF80" i="170"/>
  <c r="CF83" i="170"/>
  <c r="CF84" i="170"/>
  <c r="CF85" i="170"/>
  <c r="CF87" i="170"/>
  <c r="CF90" i="170"/>
  <c r="CG11" i="170"/>
  <c r="CG12" i="170"/>
  <c r="CG9" i="170"/>
  <c r="CG10" i="170"/>
  <c r="CG13" i="170"/>
  <c r="CG15" i="170"/>
  <c r="CG16" i="170"/>
  <c r="CG17" i="170"/>
  <c r="CG19" i="170"/>
  <c r="CG20" i="170"/>
  <c r="CG22" i="170"/>
  <c r="CG23" i="170"/>
  <c r="CG24" i="170"/>
  <c r="CG28" i="170"/>
  <c r="K393" i="113"/>
  <c r="K394" i="113"/>
  <c r="K410" i="113"/>
  <c r="K412" i="113"/>
  <c r="K542" i="113"/>
  <c r="CG34" i="170"/>
  <c r="CG35" i="170"/>
  <c r="CG36" i="170"/>
  <c r="CG38" i="170"/>
  <c r="CG39" i="170"/>
  <c r="CG40" i="170"/>
  <c r="CG42" i="170"/>
  <c r="CG43" i="170"/>
  <c r="CG44" i="170"/>
  <c r="CG45" i="170"/>
  <c r="CG46" i="170"/>
  <c r="CG47" i="170"/>
  <c r="CG49" i="170"/>
  <c r="CG50" i="170"/>
  <c r="CG53" i="170"/>
  <c r="CG54" i="170"/>
  <c r="CG57" i="170"/>
  <c r="CG61" i="170"/>
  <c r="CG63" i="170"/>
  <c r="CG59" i="170"/>
  <c r="CG64" i="170"/>
  <c r="CG66" i="170"/>
  <c r="CG71" i="170"/>
  <c r="CG73" i="170"/>
  <c r="CG74" i="170"/>
  <c r="CG77" i="170"/>
  <c r="CG79" i="170"/>
  <c r="CG80" i="170"/>
  <c r="CG83" i="170"/>
  <c r="CG84" i="170"/>
  <c r="CG85" i="170"/>
  <c r="CG87" i="170"/>
  <c r="CG90" i="170"/>
  <c r="CH11" i="170"/>
  <c r="CH12" i="170"/>
  <c r="CH9" i="170"/>
  <c r="CH10" i="170"/>
  <c r="CH13" i="170"/>
  <c r="CH15" i="170"/>
  <c r="CH16" i="170"/>
  <c r="CH17" i="170"/>
  <c r="CH19" i="170"/>
  <c r="CH20" i="170"/>
  <c r="CH22" i="170"/>
  <c r="CH23" i="170"/>
  <c r="CH24" i="170"/>
  <c r="CH28" i="170"/>
  <c r="K405" i="113"/>
  <c r="K543" i="113"/>
  <c r="CH34" i="170"/>
  <c r="CH35" i="170"/>
  <c r="CH36" i="170"/>
  <c r="CH38" i="170"/>
  <c r="CH39" i="170"/>
  <c r="CH40" i="170"/>
  <c r="CH42" i="170"/>
  <c r="CH43" i="170"/>
  <c r="CH44" i="170"/>
  <c r="CH45" i="170"/>
  <c r="CH46" i="170"/>
  <c r="CH47" i="170"/>
  <c r="CH49" i="170"/>
  <c r="CH50" i="170"/>
  <c r="CH53" i="170"/>
  <c r="CH54" i="170"/>
  <c r="CH57" i="170"/>
  <c r="CH61" i="170"/>
  <c r="CH63" i="170"/>
  <c r="CH59" i="170"/>
  <c r="CH64" i="170"/>
  <c r="CH66" i="170"/>
  <c r="CH71" i="170"/>
  <c r="CH73" i="170"/>
  <c r="CH74" i="170"/>
  <c r="CH77" i="170"/>
  <c r="CH79" i="170"/>
  <c r="CH80" i="170"/>
  <c r="CH83" i="170"/>
  <c r="CH84" i="170"/>
  <c r="CH85" i="170"/>
  <c r="CH87" i="170"/>
  <c r="CH90" i="170"/>
  <c r="CI11" i="170"/>
  <c r="CI12" i="170"/>
  <c r="CI9" i="170"/>
  <c r="CI10" i="170"/>
  <c r="CI13" i="170"/>
  <c r="CI15" i="170"/>
  <c r="CI16" i="170"/>
  <c r="CI17" i="170"/>
  <c r="CI19" i="170"/>
  <c r="CI20" i="170"/>
  <c r="CI22" i="170"/>
  <c r="CI23" i="170"/>
  <c r="CI24" i="170"/>
  <c r="CI28" i="170"/>
  <c r="CI34" i="170"/>
  <c r="CI35" i="170"/>
  <c r="CI36" i="170"/>
  <c r="CI38" i="170"/>
  <c r="CI39" i="170"/>
  <c r="CI40" i="170"/>
  <c r="CI42" i="170"/>
  <c r="CI43" i="170"/>
  <c r="CI44" i="170"/>
  <c r="CI45" i="170"/>
  <c r="CI46" i="170"/>
  <c r="CI47" i="170"/>
  <c r="CI49" i="170"/>
  <c r="CI50" i="170"/>
  <c r="CI53" i="170"/>
  <c r="CI54" i="170"/>
  <c r="CI57" i="170"/>
  <c r="CI61" i="170"/>
  <c r="CI63" i="170"/>
  <c r="CI59" i="170"/>
  <c r="CI64" i="170"/>
  <c r="CI66" i="170"/>
  <c r="CI71" i="170"/>
  <c r="CI73" i="170"/>
  <c r="CI74" i="170"/>
  <c r="CI77" i="170"/>
  <c r="CI79" i="170"/>
  <c r="CI80" i="170"/>
  <c r="CI83" i="170"/>
  <c r="CI84" i="170"/>
  <c r="CI85" i="170"/>
  <c r="CI87" i="170"/>
  <c r="CI90" i="170"/>
  <c r="J54" i="175"/>
  <c r="CJ11" i="170"/>
  <c r="CJ12" i="170"/>
  <c r="CJ9" i="170"/>
  <c r="CJ10" i="170"/>
  <c r="CJ13" i="170"/>
  <c r="CJ15" i="170"/>
  <c r="CJ16" i="170"/>
  <c r="CJ17" i="170"/>
  <c r="CJ19" i="170"/>
  <c r="CJ20" i="170"/>
  <c r="CJ22" i="170"/>
  <c r="CJ23" i="170"/>
  <c r="CJ24" i="170"/>
  <c r="CJ28" i="170"/>
  <c r="CJ34" i="170"/>
  <c r="CJ35" i="170"/>
  <c r="CJ36" i="170"/>
  <c r="CJ38" i="170"/>
  <c r="CJ39" i="170"/>
  <c r="CJ40" i="170"/>
  <c r="CJ42" i="170"/>
  <c r="CJ43" i="170"/>
  <c r="CJ44" i="170"/>
  <c r="CJ45" i="170"/>
  <c r="CJ46" i="170"/>
  <c r="CJ47" i="170"/>
  <c r="CJ49" i="170"/>
  <c r="CJ50" i="170"/>
  <c r="CJ53" i="170"/>
  <c r="CJ54" i="170"/>
  <c r="CJ57" i="170"/>
  <c r="CJ61" i="170"/>
  <c r="CJ63" i="170"/>
  <c r="CJ59" i="170"/>
  <c r="CJ64" i="170"/>
  <c r="CJ66" i="170"/>
  <c r="CJ71" i="170"/>
  <c r="CJ73" i="170"/>
  <c r="CJ74" i="170"/>
  <c r="CJ77" i="170"/>
  <c r="CJ79" i="170"/>
  <c r="CJ80" i="170"/>
  <c r="CJ83" i="170"/>
  <c r="CJ84" i="170"/>
  <c r="CJ85" i="170"/>
  <c r="CJ87" i="170"/>
  <c r="CJ90" i="170"/>
  <c r="CK11" i="170"/>
  <c r="CK12" i="170"/>
  <c r="CK9" i="170"/>
  <c r="CK10" i="170"/>
  <c r="CK13" i="170"/>
  <c r="CK15" i="170"/>
  <c r="CK16" i="170"/>
  <c r="CK17" i="170"/>
  <c r="CK19" i="170"/>
  <c r="CK20" i="170"/>
  <c r="CK22" i="170"/>
  <c r="CK23" i="170"/>
  <c r="CK24" i="170"/>
  <c r="CK28" i="170"/>
  <c r="CK34" i="170"/>
  <c r="CK35" i="170"/>
  <c r="CK36" i="170"/>
  <c r="CK38" i="170"/>
  <c r="CK39" i="170"/>
  <c r="CK40" i="170"/>
  <c r="CK42" i="170"/>
  <c r="CK43" i="170"/>
  <c r="CK44" i="170"/>
  <c r="CK45" i="170"/>
  <c r="CK46" i="170"/>
  <c r="CK47" i="170"/>
  <c r="CK49" i="170"/>
  <c r="CK50" i="170"/>
  <c r="CK53" i="170"/>
  <c r="CK54" i="170"/>
  <c r="CK57" i="170"/>
  <c r="CK61" i="170"/>
  <c r="CK63" i="170"/>
  <c r="CK59" i="170"/>
  <c r="CK64" i="170"/>
  <c r="CK66" i="170"/>
  <c r="CK71" i="170"/>
  <c r="CK73" i="170"/>
  <c r="CK74" i="170"/>
  <c r="CK77" i="170"/>
  <c r="CK79" i="170"/>
  <c r="CK80" i="170"/>
  <c r="CK83" i="170"/>
  <c r="CK84" i="170"/>
  <c r="CK85" i="170"/>
  <c r="CK87" i="170"/>
  <c r="CK90" i="170"/>
  <c r="CL11" i="170"/>
  <c r="CL12" i="170"/>
  <c r="CL9" i="170"/>
  <c r="CL10" i="170"/>
  <c r="CL13" i="170"/>
  <c r="CL15" i="170"/>
  <c r="CL16" i="170"/>
  <c r="CL17" i="170"/>
  <c r="CL19" i="170"/>
  <c r="CL20" i="170"/>
  <c r="CL22" i="170"/>
  <c r="CL23" i="170"/>
  <c r="CL24" i="170"/>
  <c r="CL28" i="170"/>
  <c r="CL34" i="170"/>
  <c r="CL35" i="170"/>
  <c r="CL36" i="170"/>
  <c r="CL38" i="170"/>
  <c r="CL39" i="170"/>
  <c r="CL40" i="170"/>
  <c r="CL42" i="170"/>
  <c r="CL43" i="170"/>
  <c r="CL44" i="170"/>
  <c r="CL45" i="170"/>
  <c r="CL46" i="170"/>
  <c r="CL47" i="170"/>
  <c r="CL49" i="170"/>
  <c r="CL50" i="170"/>
  <c r="CL53" i="170"/>
  <c r="CL54" i="170"/>
  <c r="CL57" i="170"/>
  <c r="CL61" i="170"/>
  <c r="CL63" i="170"/>
  <c r="CL59" i="170"/>
  <c r="CL64" i="170"/>
  <c r="CL66" i="170"/>
  <c r="CL71" i="170"/>
  <c r="CL73" i="170"/>
  <c r="CL74" i="170"/>
  <c r="CL77" i="170"/>
  <c r="CL79" i="170"/>
  <c r="CL80" i="170"/>
  <c r="CL83" i="170"/>
  <c r="CL84" i="170"/>
  <c r="CL85" i="170"/>
  <c r="CL87" i="170"/>
  <c r="CL90" i="170"/>
  <c r="CM11" i="170"/>
  <c r="CM12" i="170"/>
  <c r="CM9" i="170"/>
  <c r="CM10" i="170"/>
  <c r="CM13" i="170"/>
  <c r="CM15" i="170"/>
  <c r="CM16" i="170"/>
  <c r="CM17" i="170"/>
  <c r="CM19" i="170"/>
  <c r="CM20" i="170"/>
  <c r="CM22" i="170"/>
  <c r="CM23" i="170"/>
  <c r="CM24" i="170"/>
  <c r="CM28" i="170"/>
  <c r="CM34" i="170"/>
  <c r="CM35" i="170"/>
  <c r="CM36" i="170"/>
  <c r="CM38" i="170"/>
  <c r="CM39" i="170"/>
  <c r="CM40" i="170"/>
  <c r="CM42" i="170"/>
  <c r="CM43" i="170"/>
  <c r="CM44" i="170"/>
  <c r="CM45" i="170"/>
  <c r="CM46" i="170"/>
  <c r="CM47" i="170"/>
  <c r="CM49" i="170"/>
  <c r="CM50" i="170"/>
  <c r="CM53" i="170"/>
  <c r="CM54" i="170"/>
  <c r="CM57" i="170"/>
  <c r="CM61" i="170"/>
  <c r="CM63" i="170"/>
  <c r="CM59" i="170"/>
  <c r="CM64" i="170"/>
  <c r="CM66" i="170"/>
  <c r="CM71" i="170"/>
  <c r="CM73" i="170"/>
  <c r="CM74" i="170"/>
  <c r="CM77" i="170"/>
  <c r="CM79" i="170"/>
  <c r="CM80" i="170"/>
  <c r="CM83" i="170"/>
  <c r="CM84" i="170"/>
  <c r="CM85" i="170"/>
  <c r="CM87" i="170"/>
  <c r="CM90" i="170"/>
  <c r="J55" i="175"/>
  <c r="CN11" i="170"/>
  <c r="CN12" i="170"/>
  <c r="CN9" i="170"/>
  <c r="CN10" i="170"/>
  <c r="CN13" i="170"/>
  <c r="CN15" i="170"/>
  <c r="CN16" i="170"/>
  <c r="CN17" i="170"/>
  <c r="CN19" i="170"/>
  <c r="CN20" i="170"/>
  <c r="CN22" i="170"/>
  <c r="CN23" i="170"/>
  <c r="CN24" i="170"/>
  <c r="CN28" i="170"/>
  <c r="CN34" i="170"/>
  <c r="CN35" i="170"/>
  <c r="CN36" i="170"/>
  <c r="CN38" i="170"/>
  <c r="CN39" i="170"/>
  <c r="CN40" i="170"/>
  <c r="CN42" i="170"/>
  <c r="CN43" i="170"/>
  <c r="CN44" i="170"/>
  <c r="CN45" i="170"/>
  <c r="CN46" i="170"/>
  <c r="CN47" i="170"/>
  <c r="CN49" i="170"/>
  <c r="CN50" i="170"/>
  <c r="CN53" i="170"/>
  <c r="CN54" i="170"/>
  <c r="CN57" i="170"/>
  <c r="CN61" i="170"/>
  <c r="CN63" i="170"/>
  <c r="CN59" i="170"/>
  <c r="CN64" i="170"/>
  <c r="CN66" i="170"/>
  <c r="CN71" i="170"/>
  <c r="CN73" i="170"/>
  <c r="CN74" i="170"/>
  <c r="CR11" i="170"/>
  <c r="CR12" i="170"/>
  <c r="CR9" i="170"/>
  <c r="CR10" i="170"/>
  <c r="CR13" i="170"/>
  <c r="CR15" i="170"/>
  <c r="CR16" i="170"/>
  <c r="CR17" i="170"/>
  <c r="K367" i="39"/>
  <c r="K368" i="39"/>
  <c r="K369" i="39"/>
  <c r="CR22" i="170"/>
  <c r="CR23" i="170"/>
  <c r="CR24" i="170"/>
  <c r="CR34" i="170"/>
  <c r="CR35" i="170"/>
  <c r="CR36" i="170"/>
  <c r="CR38" i="170"/>
  <c r="CR39" i="170"/>
  <c r="CR40" i="170"/>
  <c r="CR42" i="170"/>
  <c r="CR43" i="170"/>
  <c r="CR44" i="170"/>
  <c r="CR45" i="170"/>
  <c r="CR46" i="170"/>
  <c r="CR47" i="170"/>
  <c r="CR49" i="170"/>
  <c r="CR50" i="170"/>
  <c r="CR53" i="170"/>
  <c r="CR54" i="170"/>
  <c r="CR57" i="170"/>
  <c r="CR61" i="170"/>
  <c r="CR63" i="170"/>
  <c r="CR59" i="170"/>
  <c r="CR64" i="170"/>
  <c r="CR66" i="170"/>
  <c r="CR71" i="170"/>
  <c r="CR73" i="170"/>
  <c r="CR74" i="170"/>
  <c r="CR77" i="170"/>
  <c r="CR79" i="170"/>
  <c r="CR80" i="170"/>
  <c r="CR83" i="170"/>
  <c r="CR84" i="170"/>
  <c r="CR85" i="170"/>
  <c r="CR87" i="170"/>
  <c r="CS11" i="170"/>
  <c r="CS12" i="170"/>
  <c r="CS9" i="170"/>
  <c r="CS10" i="170"/>
  <c r="CS13" i="170"/>
  <c r="CS15" i="170"/>
  <c r="CS16" i="170"/>
  <c r="CS17" i="170"/>
  <c r="CS19" i="170"/>
  <c r="CS20" i="170"/>
  <c r="CS22" i="170"/>
  <c r="CS23" i="170"/>
  <c r="CS24" i="170"/>
  <c r="CS28" i="170"/>
  <c r="CS34" i="170"/>
  <c r="CS35" i="170"/>
  <c r="CS36" i="170"/>
  <c r="CS38" i="170"/>
  <c r="CS39" i="170"/>
  <c r="CS40" i="170"/>
  <c r="CS42" i="170"/>
  <c r="CS43" i="170"/>
  <c r="CS44" i="170"/>
  <c r="CS45" i="170"/>
  <c r="CS46" i="170"/>
  <c r="CS47" i="170"/>
  <c r="CS49" i="170"/>
  <c r="CS50" i="170"/>
  <c r="CS53" i="170"/>
  <c r="CS54" i="170"/>
  <c r="CS57" i="170"/>
  <c r="CS61" i="170"/>
  <c r="CS63" i="170"/>
  <c r="CS59" i="170"/>
  <c r="CS64" i="170"/>
  <c r="CS66" i="170"/>
  <c r="CS71" i="170"/>
  <c r="CS73" i="170"/>
  <c r="CS74" i="170"/>
  <c r="CS77" i="170"/>
  <c r="CS79" i="170"/>
  <c r="CS80" i="170"/>
  <c r="CS83" i="170"/>
  <c r="CS84" i="170"/>
  <c r="CS85" i="170"/>
  <c r="CS87" i="170"/>
  <c r="CS90" i="170"/>
  <c r="CT11" i="170"/>
  <c r="CT12" i="170"/>
  <c r="CT9" i="170"/>
  <c r="CT10" i="170"/>
  <c r="CT13" i="170"/>
  <c r="CT15" i="170"/>
  <c r="CT16" i="170"/>
  <c r="CT17" i="170"/>
  <c r="CT19" i="170"/>
  <c r="CT20" i="170"/>
  <c r="CT22" i="170"/>
  <c r="CT23" i="170"/>
  <c r="CT24" i="170"/>
  <c r="CT28" i="170"/>
  <c r="CT34" i="170"/>
  <c r="CT35" i="170"/>
  <c r="CT36" i="170"/>
  <c r="CT38" i="170"/>
  <c r="CT39" i="170"/>
  <c r="CT40" i="170"/>
  <c r="CT42" i="170"/>
  <c r="CT43" i="170"/>
  <c r="CT44" i="170"/>
  <c r="CT45" i="170"/>
  <c r="CT46" i="170"/>
  <c r="CT47" i="170"/>
  <c r="CT49" i="170"/>
  <c r="CT50" i="170"/>
  <c r="CT53" i="170"/>
  <c r="CT54" i="170"/>
  <c r="CT57" i="170"/>
  <c r="CT61" i="170"/>
  <c r="CT63" i="170"/>
  <c r="CT59" i="170"/>
  <c r="CT64" i="170"/>
  <c r="CT66" i="170"/>
  <c r="CT71" i="170"/>
  <c r="CT73" i="170"/>
  <c r="CT74" i="170"/>
  <c r="CT77" i="170"/>
  <c r="CT79" i="170"/>
  <c r="CT80" i="170"/>
  <c r="CT83" i="170"/>
  <c r="CT84" i="170"/>
  <c r="CT85" i="170"/>
  <c r="CT87" i="170"/>
  <c r="CT90" i="170"/>
  <c r="CU11" i="170"/>
  <c r="CU12" i="170"/>
  <c r="CU9" i="170"/>
  <c r="CU10" i="170"/>
  <c r="CU13" i="170"/>
  <c r="CU15" i="170"/>
  <c r="CU16" i="170"/>
  <c r="CU17" i="170"/>
  <c r="CU19" i="170"/>
  <c r="CU20" i="170"/>
  <c r="CU22" i="170"/>
  <c r="CU23" i="170"/>
  <c r="CU24" i="170"/>
  <c r="CU28" i="170"/>
  <c r="CU34" i="170"/>
  <c r="CU35" i="170"/>
  <c r="CU36" i="170"/>
  <c r="CU38" i="170"/>
  <c r="CU39" i="170"/>
  <c r="CU40" i="170"/>
  <c r="CU42" i="170"/>
  <c r="CU43" i="170"/>
  <c r="CU44" i="170"/>
  <c r="CU45" i="170"/>
  <c r="CU46" i="170"/>
  <c r="CU47" i="170"/>
  <c r="CU49" i="170"/>
  <c r="CU50" i="170"/>
  <c r="CU53" i="170"/>
  <c r="CU54" i="170"/>
  <c r="CU57" i="170"/>
  <c r="CU61" i="170"/>
  <c r="CU63" i="170"/>
  <c r="CU59" i="170"/>
  <c r="CU64" i="170"/>
  <c r="CU66" i="170"/>
  <c r="CU71" i="170"/>
  <c r="CU73" i="170"/>
  <c r="CU74" i="170"/>
  <c r="CU83" i="170"/>
  <c r="CU84" i="170"/>
  <c r="CU85" i="170"/>
  <c r="CU87" i="170"/>
  <c r="CU90" i="170"/>
  <c r="BP11" i="169"/>
  <c r="BP12" i="169"/>
  <c r="BP9" i="169"/>
  <c r="BP10" i="169"/>
  <c r="BP13" i="169"/>
  <c r="BP15" i="169"/>
  <c r="BP16" i="169"/>
  <c r="BP17" i="169"/>
  <c r="J202" i="39"/>
  <c r="J210" i="39"/>
  <c r="J284" i="39"/>
  <c r="J203" i="39"/>
  <c r="J211" i="39"/>
  <c r="J285" i="39"/>
  <c r="J204" i="39"/>
  <c r="J212" i="39"/>
  <c r="J286" i="39"/>
  <c r="J205" i="39"/>
  <c r="J213" i="39"/>
  <c r="J287" i="39"/>
  <c r="J288" i="39"/>
  <c r="J458" i="39"/>
  <c r="BP19" i="169"/>
  <c r="BP20" i="169"/>
  <c r="BP22" i="169"/>
  <c r="BP23" i="169"/>
  <c r="BP24" i="169"/>
  <c r="BP28" i="169"/>
  <c r="BP34" i="169"/>
  <c r="BP35" i="169"/>
  <c r="BP36" i="169"/>
  <c r="BP38" i="169"/>
  <c r="BP39" i="169"/>
  <c r="BP40" i="169"/>
  <c r="BP42" i="169"/>
  <c r="BP43" i="169"/>
  <c r="BP44" i="169"/>
  <c r="BP45" i="169"/>
  <c r="BP46" i="169"/>
  <c r="BP47" i="169"/>
  <c r="BP49" i="169"/>
  <c r="BP50" i="169"/>
  <c r="BP53" i="169"/>
  <c r="BP54" i="169"/>
  <c r="BP57" i="169"/>
  <c r="BP61" i="169"/>
  <c r="BP63" i="169"/>
  <c r="BP59" i="169"/>
  <c r="BP64" i="169"/>
  <c r="BP66" i="169"/>
  <c r="BP71" i="169"/>
  <c r="BP73" i="169"/>
  <c r="BP74" i="169"/>
  <c r="BP77" i="169"/>
  <c r="BP79" i="169"/>
  <c r="BP80" i="169"/>
  <c r="BP83" i="169"/>
  <c r="BP84" i="169"/>
  <c r="BP85" i="169"/>
  <c r="BP87" i="169"/>
  <c r="BP90" i="169"/>
  <c r="BQ11" i="169"/>
  <c r="BQ12" i="169"/>
  <c r="BQ9" i="169"/>
  <c r="BQ10" i="169"/>
  <c r="BQ13" i="169"/>
  <c r="BQ15" i="169"/>
  <c r="BQ16" i="169"/>
  <c r="BQ17" i="169"/>
  <c r="J291" i="39"/>
  <c r="J292" i="39"/>
  <c r="J293" i="39"/>
  <c r="J294" i="39"/>
  <c r="J295" i="39"/>
  <c r="J459" i="39"/>
  <c r="BQ19" i="169"/>
  <c r="BQ20" i="169"/>
  <c r="BQ22" i="169"/>
  <c r="BQ23" i="169"/>
  <c r="BQ24" i="169"/>
  <c r="BQ28" i="169"/>
  <c r="BQ34" i="169"/>
  <c r="BQ35" i="169"/>
  <c r="BQ36" i="169"/>
  <c r="BQ38" i="169"/>
  <c r="BQ39" i="169"/>
  <c r="BQ40" i="169"/>
  <c r="BQ42" i="169"/>
  <c r="BQ43" i="169"/>
  <c r="BQ44" i="169"/>
  <c r="BQ45" i="169"/>
  <c r="BQ46" i="169"/>
  <c r="BQ47" i="169"/>
  <c r="BQ49" i="169"/>
  <c r="BQ50" i="169"/>
  <c r="BQ53" i="169"/>
  <c r="BQ54" i="169"/>
  <c r="BQ57" i="169"/>
  <c r="BQ61" i="169"/>
  <c r="BQ63" i="169"/>
  <c r="BQ59" i="169"/>
  <c r="BQ64" i="169"/>
  <c r="BQ66" i="169"/>
  <c r="BQ71" i="169"/>
  <c r="BQ73" i="169"/>
  <c r="BQ74" i="169"/>
  <c r="BQ77" i="169"/>
  <c r="BQ79" i="169"/>
  <c r="BQ80" i="169"/>
  <c r="BQ83" i="169"/>
  <c r="BQ84" i="169"/>
  <c r="BQ85" i="169"/>
  <c r="BQ87" i="169"/>
  <c r="BQ90" i="169"/>
  <c r="BR11" i="169"/>
  <c r="BR12" i="169"/>
  <c r="BR9" i="169"/>
  <c r="BR10" i="169"/>
  <c r="BR13" i="169"/>
  <c r="BR15" i="169"/>
  <c r="BR16" i="169"/>
  <c r="BR17" i="169"/>
  <c r="J298" i="39"/>
  <c r="J299" i="39"/>
  <c r="J300" i="39"/>
  <c r="J301" i="39"/>
  <c r="J302" i="39"/>
  <c r="J460" i="39"/>
  <c r="BR19" i="169"/>
  <c r="BR20" i="169"/>
  <c r="BR22" i="169"/>
  <c r="BR23" i="169"/>
  <c r="BR24" i="169"/>
  <c r="BR28" i="169"/>
  <c r="BR34" i="169"/>
  <c r="BR35" i="169"/>
  <c r="BR36" i="169"/>
  <c r="BR38" i="169"/>
  <c r="BR39" i="169"/>
  <c r="BR40" i="169"/>
  <c r="BR42" i="169"/>
  <c r="BR43" i="169"/>
  <c r="BR44" i="169"/>
  <c r="BR45" i="169"/>
  <c r="BR46" i="169"/>
  <c r="BR47" i="169"/>
  <c r="BR49" i="169"/>
  <c r="BR50" i="169"/>
  <c r="BR53" i="169"/>
  <c r="BR54" i="169"/>
  <c r="BR57" i="169"/>
  <c r="BR61" i="169"/>
  <c r="BR63" i="169"/>
  <c r="BR59" i="169"/>
  <c r="BR64" i="169"/>
  <c r="BR66" i="169"/>
  <c r="BR71" i="169"/>
  <c r="BR73" i="169"/>
  <c r="BR74" i="169"/>
  <c r="BR77" i="169"/>
  <c r="BR79" i="169"/>
  <c r="BR80" i="169"/>
  <c r="BR83" i="169"/>
  <c r="BR84" i="169"/>
  <c r="BR85" i="169"/>
  <c r="BR87" i="169"/>
  <c r="BR90" i="169"/>
  <c r="BS11" i="169"/>
  <c r="BS12" i="169"/>
  <c r="BS9" i="169"/>
  <c r="BS10" i="169"/>
  <c r="BS13" i="169"/>
  <c r="BS15" i="169"/>
  <c r="BS16" i="169"/>
  <c r="BS17" i="169"/>
  <c r="J305" i="39"/>
  <c r="J306" i="39"/>
  <c r="J307" i="39"/>
  <c r="J308" i="39"/>
  <c r="J309" i="39"/>
  <c r="J461" i="39"/>
  <c r="BS19" i="169"/>
  <c r="BS20" i="169"/>
  <c r="BS22" i="169"/>
  <c r="BS23" i="169"/>
  <c r="BS24" i="169"/>
  <c r="BS28" i="169"/>
  <c r="BS34" i="169"/>
  <c r="BS35" i="169"/>
  <c r="BS36" i="169"/>
  <c r="BS38" i="169"/>
  <c r="BS39" i="169"/>
  <c r="BS40" i="169"/>
  <c r="BS42" i="169"/>
  <c r="BS43" i="169"/>
  <c r="BS44" i="169"/>
  <c r="BS45" i="169"/>
  <c r="BS46" i="169"/>
  <c r="BS47" i="169"/>
  <c r="BS49" i="169"/>
  <c r="BS50" i="169"/>
  <c r="BS53" i="169"/>
  <c r="BS54" i="169"/>
  <c r="BS57" i="169"/>
  <c r="BS61" i="169"/>
  <c r="BS63" i="169"/>
  <c r="BS59" i="169"/>
  <c r="BS64" i="169"/>
  <c r="BS66" i="169"/>
  <c r="BS71" i="169"/>
  <c r="BS73" i="169"/>
  <c r="BS74" i="169"/>
  <c r="BS77" i="169"/>
  <c r="BS79" i="169"/>
  <c r="BS80" i="169"/>
  <c r="BS83" i="169"/>
  <c r="BS84" i="169"/>
  <c r="BS85" i="169"/>
  <c r="BS87" i="169"/>
  <c r="BS90" i="169"/>
  <c r="I50" i="175"/>
  <c r="BT11" i="169"/>
  <c r="BT12" i="169"/>
  <c r="BT9" i="169"/>
  <c r="BT10" i="169"/>
  <c r="BT13" i="169"/>
  <c r="BT15" i="169"/>
  <c r="BT16" i="169"/>
  <c r="BT17" i="169"/>
  <c r="BT19" i="169"/>
  <c r="BT20" i="169"/>
  <c r="BT22" i="169"/>
  <c r="BT23" i="169"/>
  <c r="BT24" i="169"/>
  <c r="BT28" i="169"/>
  <c r="BT34" i="169"/>
  <c r="BT35" i="169"/>
  <c r="BT36" i="169"/>
  <c r="BT38" i="169"/>
  <c r="BT39" i="169"/>
  <c r="BT40" i="169"/>
  <c r="BT42" i="169"/>
  <c r="BT43" i="169"/>
  <c r="BT44" i="169"/>
  <c r="BT45" i="169"/>
  <c r="BT46" i="169"/>
  <c r="BT47" i="169"/>
  <c r="BT49" i="169"/>
  <c r="BT50" i="169"/>
  <c r="BT53" i="169"/>
  <c r="BT54" i="169"/>
  <c r="BT57" i="169"/>
  <c r="BT61" i="169"/>
  <c r="BT63" i="169"/>
  <c r="BT59" i="169"/>
  <c r="BT64" i="169"/>
  <c r="BT66" i="169"/>
  <c r="BT71" i="169"/>
  <c r="BT73" i="169"/>
  <c r="BT74" i="169"/>
  <c r="BT77" i="169"/>
  <c r="BT79" i="169"/>
  <c r="BT80" i="169"/>
  <c r="BT83" i="169"/>
  <c r="BT84" i="169"/>
  <c r="BT85" i="169"/>
  <c r="BT87" i="169"/>
  <c r="BT90" i="169"/>
  <c r="BU11" i="169"/>
  <c r="BU12" i="169"/>
  <c r="BU9" i="169"/>
  <c r="BU10" i="169"/>
  <c r="BU13" i="169"/>
  <c r="BU15" i="169"/>
  <c r="BU16" i="169"/>
  <c r="BU17" i="169"/>
  <c r="BU19" i="169"/>
  <c r="BU20" i="169"/>
  <c r="BU22" i="169"/>
  <c r="BU23" i="169"/>
  <c r="BU24" i="169"/>
  <c r="BU28" i="169"/>
  <c r="BU34" i="169"/>
  <c r="BU35" i="169"/>
  <c r="BU36" i="169"/>
  <c r="BU38" i="169"/>
  <c r="BU39" i="169"/>
  <c r="BU40" i="169"/>
  <c r="BU42" i="169"/>
  <c r="BU43" i="169"/>
  <c r="BU44" i="169"/>
  <c r="BU45" i="169"/>
  <c r="BU46" i="169"/>
  <c r="BU47" i="169"/>
  <c r="BU49" i="169"/>
  <c r="BU50" i="169"/>
  <c r="BU53" i="169"/>
  <c r="BU54" i="169"/>
  <c r="BU57" i="169"/>
  <c r="BU61" i="169"/>
  <c r="BU63" i="169"/>
  <c r="BU59" i="169"/>
  <c r="BU64" i="169"/>
  <c r="BU66" i="169"/>
  <c r="BU71" i="169"/>
  <c r="BU73" i="169"/>
  <c r="BU74" i="169"/>
  <c r="BU77" i="169"/>
  <c r="BU79" i="169"/>
  <c r="BU80" i="169"/>
  <c r="BU83" i="169"/>
  <c r="BU84" i="169"/>
  <c r="BU85" i="169"/>
  <c r="BU87" i="169"/>
  <c r="BU90" i="169"/>
  <c r="BV11" i="169"/>
  <c r="BV12" i="169"/>
  <c r="BV9" i="169"/>
  <c r="BV10" i="169"/>
  <c r="BV13" i="169"/>
  <c r="BV15" i="169"/>
  <c r="BV16" i="169"/>
  <c r="BV17" i="169"/>
  <c r="BV19" i="169"/>
  <c r="BV20" i="169"/>
  <c r="BV22" i="169"/>
  <c r="BV23" i="169"/>
  <c r="BV24" i="169"/>
  <c r="BV28" i="169"/>
  <c r="BV34" i="169"/>
  <c r="BV35" i="169"/>
  <c r="BV36" i="169"/>
  <c r="BV38" i="169"/>
  <c r="BV39" i="169"/>
  <c r="BV40" i="169"/>
  <c r="BV42" i="169"/>
  <c r="BV43" i="169"/>
  <c r="BV44" i="169"/>
  <c r="BV45" i="169"/>
  <c r="BV46" i="169"/>
  <c r="BV47" i="169"/>
  <c r="BV49" i="169"/>
  <c r="BV50" i="169"/>
  <c r="BV53" i="169"/>
  <c r="BV54" i="169"/>
  <c r="BV57" i="169"/>
  <c r="BV61" i="169"/>
  <c r="BV63" i="169"/>
  <c r="BV59" i="169"/>
  <c r="BV64" i="169"/>
  <c r="BV66" i="169"/>
  <c r="BV71" i="169"/>
  <c r="BV73" i="169"/>
  <c r="BV74" i="169"/>
  <c r="BV77" i="169"/>
  <c r="BV79" i="169"/>
  <c r="BV80" i="169"/>
  <c r="BV83" i="169"/>
  <c r="BV84" i="169"/>
  <c r="BV85" i="169"/>
  <c r="BV87" i="169"/>
  <c r="BV90" i="169"/>
  <c r="BW11" i="169"/>
  <c r="BW12" i="169"/>
  <c r="BW9" i="169"/>
  <c r="BW10" i="169"/>
  <c r="BW13" i="169"/>
  <c r="BW15" i="169"/>
  <c r="BW16" i="169"/>
  <c r="BW17" i="169"/>
  <c r="BW19" i="169"/>
  <c r="BW20" i="169"/>
  <c r="BW22" i="169"/>
  <c r="BW23" i="169"/>
  <c r="BW24" i="169"/>
  <c r="BW28" i="169"/>
  <c r="BW34" i="169"/>
  <c r="BW35" i="169"/>
  <c r="BW36" i="169"/>
  <c r="BW38" i="169"/>
  <c r="BW39" i="169"/>
  <c r="BW40" i="169"/>
  <c r="BW42" i="169"/>
  <c r="BW43" i="169"/>
  <c r="BW44" i="169"/>
  <c r="BW45" i="169"/>
  <c r="BW46" i="169"/>
  <c r="BW47" i="169"/>
  <c r="BW49" i="169"/>
  <c r="BW50" i="169"/>
  <c r="BW53" i="169"/>
  <c r="BW54" i="169"/>
  <c r="BW57" i="169"/>
  <c r="BW61" i="169"/>
  <c r="BW63" i="169"/>
  <c r="BW59" i="169"/>
  <c r="BW64" i="169"/>
  <c r="BW66" i="169"/>
  <c r="BW71" i="169"/>
  <c r="BW73" i="169"/>
  <c r="BW74" i="169"/>
  <c r="BW77" i="169"/>
  <c r="BW79" i="169"/>
  <c r="BW80" i="169"/>
  <c r="BW83" i="169"/>
  <c r="BW84" i="169"/>
  <c r="BW85" i="169"/>
  <c r="BW87" i="169"/>
  <c r="BW90" i="169"/>
  <c r="I51" i="175"/>
  <c r="BX11" i="169"/>
  <c r="BX12" i="169"/>
  <c r="BX9" i="169"/>
  <c r="BX10" i="169"/>
  <c r="BX13" i="169"/>
  <c r="BX15" i="169"/>
  <c r="BX16" i="169"/>
  <c r="BX17" i="169"/>
  <c r="BX19" i="169"/>
  <c r="BX20" i="169"/>
  <c r="BX22" i="169"/>
  <c r="BX23" i="169"/>
  <c r="BX24" i="169"/>
  <c r="BX28" i="169"/>
  <c r="BX34" i="169"/>
  <c r="BX35" i="169"/>
  <c r="BX36" i="169"/>
  <c r="BX38" i="169"/>
  <c r="BX39" i="169"/>
  <c r="BX40" i="169"/>
  <c r="BX42" i="169"/>
  <c r="BX43" i="169"/>
  <c r="BX44" i="169"/>
  <c r="BX45" i="169"/>
  <c r="BX46" i="169"/>
  <c r="BX47" i="169"/>
  <c r="BX49" i="169"/>
  <c r="BX50" i="169"/>
  <c r="BX53" i="169"/>
  <c r="BX54" i="169"/>
  <c r="BX57" i="169"/>
  <c r="BX61" i="169"/>
  <c r="BX63" i="169"/>
  <c r="BX59" i="169"/>
  <c r="BX64" i="169"/>
  <c r="BX66" i="169"/>
  <c r="BX71" i="169"/>
  <c r="BX73" i="169"/>
  <c r="BX74" i="169"/>
  <c r="BX77" i="169"/>
  <c r="BX79" i="169"/>
  <c r="BX80" i="169"/>
  <c r="BX83" i="169"/>
  <c r="BX84" i="169"/>
  <c r="BX85" i="169"/>
  <c r="BX87" i="169"/>
  <c r="BX90" i="169"/>
  <c r="BY11" i="169"/>
  <c r="BY12" i="169"/>
  <c r="BY9" i="169"/>
  <c r="BY10" i="169"/>
  <c r="BY13" i="169"/>
  <c r="BY15" i="169"/>
  <c r="BY16" i="169"/>
  <c r="BY17" i="169"/>
  <c r="BY19" i="169"/>
  <c r="BY20" i="169"/>
  <c r="BY22" i="169"/>
  <c r="BY23" i="169"/>
  <c r="BY24" i="169"/>
  <c r="BY28" i="169"/>
  <c r="BY34" i="169"/>
  <c r="J448" i="112"/>
  <c r="J449" i="112"/>
  <c r="J562" i="112"/>
  <c r="BY35" i="169"/>
  <c r="BY36" i="169"/>
  <c r="BY38" i="169"/>
  <c r="BY39" i="169"/>
  <c r="BY40" i="169"/>
  <c r="BY42" i="169"/>
  <c r="BY43" i="169"/>
  <c r="BY44" i="169"/>
  <c r="BY45" i="169"/>
  <c r="BY46" i="169"/>
  <c r="BY47" i="169"/>
  <c r="BY49" i="169"/>
  <c r="BY50" i="169"/>
  <c r="BY53" i="169"/>
  <c r="BY54" i="169"/>
  <c r="BY57" i="169"/>
  <c r="BY61" i="169"/>
  <c r="BY63" i="169"/>
  <c r="BY59" i="169"/>
  <c r="BY64" i="169"/>
  <c r="BY66" i="169"/>
  <c r="BY71" i="169"/>
  <c r="BY73" i="169"/>
  <c r="BY74" i="169"/>
  <c r="BY77" i="169"/>
  <c r="BY79" i="169"/>
  <c r="BY80" i="169"/>
  <c r="BY83" i="169"/>
  <c r="BY84" i="169"/>
  <c r="BY85" i="169"/>
  <c r="BY87" i="169"/>
  <c r="BY90" i="169"/>
  <c r="BZ11" i="169"/>
  <c r="BZ12" i="169"/>
  <c r="BZ9" i="169"/>
  <c r="BZ10" i="169"/>
  <c r="BZ13" i="169"/>
  <c r="BZ15" i="169"/>
  <c r="BZ16" i="169"/>
  <c r="BZ17" i="169"/>
  <c r="BZ19" i="169"/>
  <c r="BZ20" i="169"/>
  <c r="BZ22" i="169"/>
  <c r="BZ23" i="169"/>
  <c r="BZ24" i="169"/>
  <c r="BZ28" i="169"/>
  <c r="BZ34" i="169"/>
  <c r="J450" i="112"/>
  <c r="J563" i="112"/>
  <c r="BZ35" i="169"/>
  <c r="BZ36" i="169"/>
  <c r="BZ38" i="169"/>
  <c r="BZ39" i="169"/>
  <c r="BZ40" i="169"/>
  <c r="BZ42" i="169"/>
  <c r="BZ43" i="169"/>
  <c r="BZ44" i="169"/>
  <c r="BZ45" i="169"/>
  <c r="BZ46" i="169"/>
  <c r="BZ47" i="169"/>
  <c r="BZ49" i="169"/>
  <c r="BZ50" i="169"/>
  <c r="BZ53" i="169"/>
  <c r="BZ54" i="169"/>
  <c r="BZ57" i="169"/>
  <c r="BZ61" i="169"/>
  <c r="BZ63" i="169"/>
  <c r="BZ59" i="169"/>
  <c r="BZ64" i="169"/>
  <c r="BZ66" i="169"/>
  <c r="BZ71" i="169"/>
  <c r="BZ73" i="169"/>
  <c r="BZ74" i="169"/>
  <c r="BZ77" i="169"/>
  <c r="BZ79" i="169"/>
  <c r="BZ80" i="169"/>
  <c r="BZ83" i="169"/>
  <c r="BZ84" i="169"/>
  <c r="BZ85" i="169"/>
  <c r="BZ87" i="169"/>
  <c r="BZ90" i="169"/>
  <c r="CA11" i="169"/>
  <c r="CA12" i="169"/>
  <c r="CA9" i="169"/>
  <c r="CA10" i="169"/>
  <c r="CA13" i="169"/>
  <c r="CA15" i="169"/>
  <c r="CA16" i="169"/>
  <c r="CA17" i="169"/>
  <c r="CA19" i="169"/>
  <c r="CA20" i="169"/>
  <c r="CA22" i="169"/>
  <c r="CA23" i="169"/>
  <c r="CA24" i="169"/>
  <c r="CA28" i="169"/>
  <c r="CA34" i="169"/>
  <c r="CA35" i="169"/>
  <c r="CA36" i="169"/>
  <c r="CA38" i="169"/>
  <c r="CA39" i="169"/>
  <c r="CA40" i="169"/>
  <c r="CA42" i="169"/>
  <c r="CA43" i="169"/>
  <c r="CA44" i="169"/>
  <c r="CA45" i="169"/>
  <c r="CA46" i="169"/>
  <c r="CA47" i="169"/>
  <c r="CA49" i="169"/>
  <c r="CA50" i="169"/>
  <c r="CA53" i="169"/>
  <c r="CA54" i="169"/>
  <c r="CA57" i="169"/>
  <c r="CA61" i="169"/>
  <c r="CA63" i="169"/>
  <c r="CA59" i="169"/>
  <c r="CA64" i="169"/>
  <c r="CA66" i="169"/>
  <c r="CA71" i="169"/>
  <c r="CA73" i="169"/>
  <c r="CA74" i="169"/>
  <c r="CA77" i="169"/>
  <c r="CA79" i="169"/>
  <c r="CA80" i="169"/>
  <c r="CA83" i="169"/>
  <c r="CA84" i="169"/>
  <c r="CA85" i="169"/>
  <c r="CA87" i="169"/>
  <c r="CA90" i="169"/>
  <c r="I52" i="175"/>
  <c r="CB11" i="169"/>
  <c r="CB12" i="169"/>
  <c r="CB9" i="169"/>
  <c r="CB10" i="169"/>
  <c r="CB13" i="169"/>
  <c r="CB15" i="169"/>
  <c r="CB16" i="169"/>
  <c r="CB17" i="169"/>
  <c r="CB19" i="169"/>
  <c r="CB20" i="169"/>
  <c r="CB22" i="169"/>
  <c r="CB23" i="169"/>
  <c r="CB24" i="169"/>
  <c r="CB28" i="169"/>
  <c r="CB34" i="169"/>
  <c r="J454" i="112"/>
  <c r="J455" i="112"/>
  <c r="J48" i="112"/>
  <c r="J303" i="112"/>
  <c r="J456" i="112"/>
  <c r="J457" i="112"/>
  <c r="J458" i="112"/>
  <c r="J459" i="112"/>
  <c r="J564" i="112"/>
  <c r="CB35" i="169"/>
  <c r="CB36" i="169"/>
  <c r="CB38" i="169"/>
  <c r="CB39" i="169"/>
  <c r="CB40" i="169"/>
  <c r="CB42" i="169"/>
  <c r="CB43" i="169"/>
  <c r="CB44" i="169"/>
  <c r="CB45" i="169"/>
  <c r="CB46" i="169"/>
  <c r="CB47" i="169"/>
  <c r="CB49" i="169"/>
  <c r="CB50" i="169"/>
  <c r="CB53" i="169"/>
  <c r="CB54" i="169"/>
  <c r="CB57" i="169"/>
  <c r="CB61" i="169"/>
  <c r="CB63" i="169"/>
  <c r="CB59" i="169"/>
  <c r="CB64" i="169"/>
  <c r="CB66" i="169"/>
  <c r="CB71" i="169"/>
  <c r="CB73" i="169"/>
  <c r="CB74" i="169"/>
  <c r="CB77" i="169"/>
  <c r="CB79" i="169"/>
  <c r="CB80" i="169"/>
  <c r="CB83" i="169"/>
  <c r="CB84" i="169"/>
  <c r="CB85" i="169"/>
  <c r="CB87" i="169"/>
  <c r="CB90" i="169"/>
  <c r="CC11" i="169"/>
  <c r="CC12" i="169"/>
  <c r="CC9" i="169"/>
  <c r="CC10" i="169"/>
  <c r="CC13" i="169"/>
  <c r="CC15" i="169"/>
  <c r="CC16" i="169"/>
  <c r="CC17" i="169"/>
  <c r="CC19" i="169"/>
  <c r="CC20" i="169"/>
  <c r="CC22" i="169"/>
  <c r="CC23" i="169"/>
  <c r="CC24" i="169"/>
  <c r="CC28" i="169"/>
  <c r="CC34" i="169"/>
  <c r="CC35" i="169"/>
  <c r="CC36" i="169"/>
  <c r="CC38" i="169"/>
  <c r="CC39" i="169"/>
  <c r="CC40" i="169"/>
  <c r="CC42" i="169"/>
  <c r="CC43" i="169"/>
  <c r="CC44" i="169"/>
  <c r="CC45" i="169"/>
  <c r="CC46" i="169"/>
  <c r="CC47" i="169"/>
  <c r="CC49" i="169"/>
  <c r="CC50" i="169"/>
  <c r="CC53" i="169"/>
  <c r="CC54" i="169"/>
  <c r="CC57" i="169"/>
  <c r="CC61" i="169"/>
  <c r="CC63" i="169"/>
  <c r="CC59" i="169"/>
  <c r="CC64" i="169"/>
  <c r="CC66" i="169"/>
  <c r="CC71" i="169"/>
  <c r="CC73" i="169"/>
  <c r="CC74" i="169"/>
  <c r="CC77" i="169"/>
  <c r="CC79" i="169"/>
  <c r="CC80" i="169"/>
  <c r="CC83" i="169"/>
  <c r="CC84" i="169"/>
  <c r="CC85" i="169"/>
  <c r="CC87" i="169"/>
  <c r="CC90" i="169"/>
  <c r="CD11" i="169"/>
  <c r="CD12" i="169"/>
  <c r="CD9" i="169"/>
  <c r="CD10" i="169"/>
  <c r="CD13" i="169"/>
  <c r="CD15" i="169"/>
  <c r="CD16" i="169"/>
  <c r="CD17" i="169"/>
  <c r="CD19" i="169"/>
  <c r="CD20" i="169"/>
  <c r="CD22" i="169"/>
  <c r="CD23" i="169"/>
  <c r="CD24" i="169"/>
  <c r="CD28" i="169"/>
  <c r="CD34" i="169"/>
  <c r="CD35" i="169"/>
  <c r="CD36" i="169"/>
  <c r="CD38" i="169"/>
  <c r="CD39" i="169"/>
  <c r="CD40" i="169"/>
  <c r="CD42" i="169"/>
  <c r="CD43" i="169"/>
  <c r="CD44" i="169"/>
  <c r="CD45" i="169"/>
  <c r="CD46" i="169"/>
  <c r="CD47" i="169"/>
  <c r="CD49" i="169"/>
  <c r="CD50" i="169"/>
  <c r="CD53" i="169"/>
  <c r="CD54" i="169"/>
  <c r="CD57" i="169"/>
  <c r="CD61" i="169"/>
  <c r="CD63" i="169"/>
  <c r="CD59" i="169"/>
  <c r="CD64" i="169"/>
  <c r="CD66" i="169"/>
  <c r="CD71" i="169"/>
  <c r="CD73" i="169"/>
  <c r="CD74" i="169"/>
  <c r="CD77" i="169"/>
  <c r="CD79" i="169"/>
  <c r="CD80" i="169"/>
  <c r="CD83" i="169"/>
  <c r="CD84" i="169"/>
  <c r="CD85" i="169"/>
  <c r="CD87" i="169"/>
  <c r="CD90" i="169"/>
  <c r="CE11" i="169"/>
  <c r="CE12" i="169"/>
  <c r="CE9" i="169"/>
  <c r="CE10" i="169"/>
  <c r="CE13" i="169"/>
  <c r="CE15" i="169"/>
  <c r="CE16" i="169"/>
  <c r="CE17" i="169"/>
  <c r="CE19" i="169"/>
  <c r="CE20" i="169"/>
  <c r="CE22" i="169"/>
  <c r="CE23" i="169"/>
  <c r="CE24" i="169"/>
  <c r="CE28" i="169"/>
  <c r="CE34" i="169"/>
  <c r="CE35" i="169"/>
  <c r="CE36" i="169"/>
  <c r="CE38" i="169"/>
  <c r="CE39" i="169"/>
  <c r="CE40" i="169"/>
  <c r="CE42" i="169"/>
  <c r="CE43" i="169"/>
  <c r="CE44" i="169"/>
  <c r="CE45" i="169"/>
  <c r="CE46" i="169"/>
  <c r="CE47" i="169"/>
  <c r="CE49" i="169"/>
  <c r="CE50" i="169"/>
  <c r="CE53" i="169"/>
  <c r="CE54" i="169"/>
  <c r="CE57" i="169"/>
  <c r="CE61" i="169"/>
  <c r="CE63" i="169"/>
  <c r="CE59" i="169"/>
  <c r="CE64" i="169"/>
  <c r="CE66" i="169"/>
  <c r="CE71" i="169"/>
  <c r="CE73" i="169"/>
  <c r="CE74" i="169"/>
  <c r="CE77" i="169"/>
  <c r="CE79" i="169"/>
  <c r="CE80" i="169"/>
  <c r="CE83" i="169"/>
  <c r="CE84" i="169"/>
  <c r="CE85" i="169"/>
  <c r="CE87" i="169"/>
  <c r="CE90" i="169"/>
  <c r="I53" i="175"/>
  <c r="CF11" i="169"/>
  <c r="CF12" i="169"/>
  <c r="CF9" i="169"/>
  <c r="CF10" i="169"/>
  <c r="CF13" i="169"/>
  <c r="CF15" i="169"/>
  <c r="CF16" i="169"/>
  <c r="CF17" i="169"/>
  <c r="CF19" i="169"/>
  <c r="CF20" i="169"/>
  <c r="CF22" i="169"/>
  <c r="CF23" i="169"/>
  <c r="CF24" i="169"/>
  <c r="CF28" i="169"/>
  <c r="J541" i="113"/>
  <c r="CF34" i="169"/>
  <c r="CF35" i="169"/>
  <c r="CF36" i="169"/>
  <c r="CF38" i="169"/>
  <c r="CF39" i="169"/>
  <c r="CF40" i="169"/>
  <c r="CF42" i="169"/>
  <c r="CF43" i="169"/>
  <c r="CF44" i="169"/>
  <c r="CF45" i="169"/>
  <c r="CF46" i="169"/>
  <c r="CF47" i="169"/>
  <c r="CF49" i="169"/>
  <c r="CF50" i="169"/>
  <c r="CF53" i="169"/>
  <c r="CF54" i="169"/>
  <c r="CF57" i="169"/>
  <c r="CF61" i="169"/>
  <c r="CF63" i="169"/>
  <c r="CF59" i="169"/>
  <c r="CF64" i="169"/>
  <c r="CF66" i="169"/>
  <c r="CF71" i="169"/>
  <c r="CF73" i="169"/>
  <c r="CF74" i="169"/>
  <c r="CF77" i="169"/>
  <c r="CF79" i="169"/>
  <c r="CF80" i="169"/>
  <c r="CF83" i="169"/>
  <c r="CF84" i="169"/>
  <c r="CF85" i="169"/>
  <c r="CF87" i="169"/>
  <c r="CF90" i="169"/>
  <c r="CG11" i="169"/>
  <c r="CG12" i="169"/>
  <c r="CG9" i="169"/>
  <c r="CG10" i="169"/>
  <c r="CG13" i="169"/>
  <c r="CG15" i="169"/>
  <c r="CG16" i="169"/>
  <c r="CG17" i="169"/>
  <c r="CG19" i="169"/>
  <c r="CG20" i="169"/>
  <c r="CG22" i="169"/>
  <c r="CG23" i="169"/>
  <c r="CG24" i="169"/>
  <c r="CG28" i="169"/>
  <c r="J393" i="113"/>
  <c r="J394" i="113"/>
  <c r="J410" i="113"/>
  <c r="J412" i="113"/>
  <c r="J542" i="113"/>
  <c r="CG34" i="169"/>
  <c r="CG35" i="169"/>
  <c r="CG36" i="169"/>
  <c r="CG38" i="169"/>
  <c r="CG39" i="169"/>
  <c r="CG40" i="169"/>
  <c r="CG42" i="169"/>
  <c r="CG43" i="169"/>
  <c r="CG44" i="169"/>
  <c r="CG45" i="169"/>
  <c r="CG46" i="169"/>
  <c r="CG47" i="169"/>
  <c r="CG49" i="169"/>
  <c r="CG50" i="169"/>
  <c r="CG53" i="169"/>
  <c r="CG54" i="169"/>
  <c r="CG57" i="169"/>
  <c r="CG61" i="169"/>
  <c r="CG63" i="169"/>
  <c r="CG59" i="169"/>
  <c r="CG64" i="169"/>
  <c r="CG66" i="169"/>
  <c r="CG71" i="169"/>
  <c r="CG73" i="169"/>
  <c r="CG74" i="169"/>
  <c r="CG77" i="169"/>
  <c r="CG79" i="169"/>
  <c r="CG80" i="169"/>
  <c r="CG83" i="169"/>
  <c r="CG84" i="169"/>
  <c r="CG85" i="169"/>
  <c r="CG87" i="169"/>
  <c r="CG90" i="169"/>
  <c r="CH11" i="169"/>
  <c r="CH12" i="169"/>
  <c r="CH9" i="169"/>
  <c r="CH10" i="169"/>
  <c r="CH13" i="169"/>
  <c r="CH15" i="169"/>
  <c r="CH16" i="169"/>
  <c r="CH17" i="169"/>
  <c r="CH19" i="169"/>
  <c r="CH20" i="169"/>
  <c r="CH22" i="169"/>
  <c r="CH23" i="169"/>
  <c r="CH24" i="169"/>
  <c r="CH28" i="169"/>
  <c r="J405" i="113"/>
  <c r="J543" i="113"/>
  <c r="CH34" i="169"/>
  <c r="CH35" i="169"/>
  <c r="CH36" i="169"/>
  <c r="CH38" i="169"/>
  <c r="CH39" i="169"/>
  <c r="CH40" i="169"/>
  <c r="CH42" i="169"/>
  <c r="CH43" i="169"/>
  <c r="CH44" i="169"/>
  <c r="CH45" i="169"/>
  <c r="CH46" i="169"/>
  <c r="CH47" i="169"/>
  <c r="CH49" i="169"/>
  <c r="CH50" i="169"/>
  <c r="CH53" i="169"/>
  <c r="CH54" i="169"/>
  <c r="CH57" i="169"/>
  <c r="CH61" i="169"/>
  <c r="CH63" i="169"/>
  <c r="CH59" i="169"/>
  <c r="CH64" i="169"/>
  <c r="CH66" i="169"/>
  <c r="CH71" i="169"/>
  <c r="CH73" i="169"/>
  <c r="CH74" i="169"/>
  <c r="CH77" i="169"/>
  <c r="CH79" i="169"/>
  <c r="CH80" i="169"/>
  <c r="CH83" i="169"/>
  <c r="CH84" i="169"/>
  <c r="CH85" i="169"/>
  <c r="CH87" i="169"/>
  <c r="CH90" i="169"/>
  <c r="CI11" i="169"/>
  <c r="CI12" i="169"/>
  <c r="CI9" i="169"/>
  <c r="CI10" i="169"/>
  <c r="CI13" i="169"/>
  <c r="CI15" i="169"/>
  <c r="CI16" i="169"/>
  <c r="CI17" i="169"/>
  <c r="CI19" i="169"/>
  <c r="CI20" i="169"/>
  <c r="CI22" i="169"/>
  <c r="CI23" i="169"/>
  <c r="CI24" i="169"/>
  <c r="CI28" i="169"/>
  <c r="CI34" i="169"/>
  <c r="CI35" i="169"/>
  <c r="CI36" i="169"/>
  <c r="CI38" i="169"/>
  <c r="CI39" i="169"/>
  <c r="CI40" i="169"/>
  <c r="CI42" i="169"/>
  <c r="CI43" i="169"/>
  <c r="CI44" i="169"/>
  <c r="CI45" i="169"/>
  <c r="CI46" i="169"/>
  <c r="CI47" i="169"/>
  <c r="CI49" i="169"/>
  <c r="CI50" i="169"/>
  <c r="CI53" i="169"/>
  <c r="CI54" i="169"/>
  <c r="CI57" i="169"/>
  <c r="CI61" i="169"/>
  <c r="CI63" i="169"/>
  <c r="CI59" i="169"/>
  <c r="CI64" i="169"/>
  <c r="CI66" i="169"/>
  <c r="CI71" i="169"/>
  <c r="CI73" i="169"/>
  <c r="CI74" i="169"/>
  <c r="CI77" i="169"/>
  <c r="CI79" i="169"/>
  <c r="CI80" i="169"/>
  <c r="CI83" i="169"/>
  <c r="CI84" i="169"/>
  <c r="CI85" i="169"/>
  <c r="CI87" i="169"/>
  <c r="CI90" i="169"/>
  <c r="I54" i="175"/>
  <c r="CJ11" i="169"/>
  <c r="CJ12" i="169"/>
  <c r="CJ9" i="169"/>
  <c r="CJ10" i="169"/>
  <c r="CJ13" i="169"/>
  <c r="CJ15" i="169"/>
  <c r="CJ16" i="169"/>
  <c r="CJ17" i="169"/>
  <c r="CJ19" i="169"/>
  <c r="CJ20" i="169"/>
  <c r="CJ22" i="169"/>
  <c r="CJ23" i="169"/>
  <c r="CJ24" i="169"/>
  <c r="CJ28" i="169"/>
  <c r="CJ34" i="169"/>
  <c r="CJ35" i="169"/>
  <c r="CJ36" i="169"/>
  <c r="CJ38" i="169"/>
  <c r="CJ39" i="169"/>
  <c r="CJ40" i="169"/>
  <c r="CJ42" i="169"/>
  <c r="CJ43" i="169"/>
  <c r="CJ44" i="169"/>
  <c r="CJ45" i="169"/>
  <c r="CJ46" i="169"/>
  <c r="CJ47" i="169"/>
  <c r="CJ49" i="169"/>
  <c r="CJ50" i="169"/>
  <c r="CJ53" i="169"/>
  <c r="CJ54" i="169"/>
  <c r="CJ57" i="169"/>
  <c r="CJ61" i="169"/>
  <c r="CJ63" i="169"/>
  <c r="CJ59" i="169"/>
  <c r="CJ64" i="169"/>
  <c r="CJ66" i="169"/>
  <c r="CJ71" i="169"/>
  <c r="CJ73" i="169"/>
  <c r="CJ74" i="169"/>
  <c r="CJ77" i="169"/>
  <c r="CJ79" i="169"/>
  <c r="CJ80" i="169"/>
  <c r="CJ83" i="169"/>
  <c r="CJ84" i="169"/>
  <c r="CJ85" i="169"/>
  <c r="CJ87" i="169"/>
  <c r="CJ90" i="169"/>
  <c r="CK11" i="169"/>
  <c r="CK12" i="169"/>
  <c r="CK9" i="169"/>
  <c r="CK10" i="169"/>
  <c r="CK13" i="169"/>
  <c r="CK15" i="169"/>
  <c r="CK16" i="169"/>
  <c r="CK17" i="169"/>
  <c r="CK19" i="169"/>
  <c r="CK20" i="169"/>
  <c r="CK22" i="169"/>
  <c r="CK23" i="169"/>
  <c r="CK24" i="169"/>
  <c r="CK28" i="169"/>
  <c r="CK34" i="169"/>
  <c r="CK35" i="169"/>
  <c r="CK36" i="169"/>
  <c r="CK38" i="169"/>
  <c r="CK39" i="169"/>
  <c r="CK40" i="169"/>
  <c r="CK42" i="169"/>
  <c r="CK43" i="169"/>
  <c r="CK44" i="169"/>
  <c r="CK45" i="169"/>
  <c r="CK46" i="169"/>
  <c r="CK47" i="169"/>
  <c r="CK49" i="169"/>
  <c r="CK50" i="169"/>
  <c r="CK53" i="169"/>
  <c r="CK54" i="169"/>
  <c r="CK57" i="169"/>
  <c r="CK61" i="169"/>
  <c r="CK63" i="169"/>
  <c r="CK59" i="169"/>
  <c r="CK64" i="169"/>
  <c r="CK66" i="169"/>
  <c r="CK71" i="169"/>
  <c r="CK73" i="169"/>
  <c r="CK74" i="169"/>
  <c r="CK77" i="169"/>
  <c r="CK79" i="169"/>
  <c r="CK80" i="169"/>
  <c r="CK83" i="169"/>
  <c r="CK84" i="169"/>
  <c r="CK85" i="169"/>
  <c r="CK87" i="169"/>
  <c r="CK90" i="169"/>
  <c r="CL11" i="169"/>
  <c r="CL12" i="169"/>
  <c r="CL9" i="169"/>
  <c r="CL10" i="169"/>
  <c r="CL13" i="169"/>
  <c r="CL15" i="169"/>
  <c r="CL16" i="169"/>
  <c r="CL17" i="169"/>
  <c r="CL19" i="169"/>
  <c r="CL20" i="169"/>
  <c r="CL22" i="169"/>
  <c r="CL23" i="169"/>
  <c r="CL24" i="169"/>
  <c r="CL28" i="169"/>
  <c r="CL34" i="169"/>
  <c r="CL35" i="169"/>
  <c r="CL36" i="169"/>
  <c r="CL38" i="169"/>
  <c r="CL39" i="169"/>
  <c r="CL40" i="169"/>
  <c r="CL42" i="169"/>
  <c r="CL43" i="169"/>
  <c r="CL44" i="169"/>
  <c r="CL45" i="169"/>
  <c r="CL46" i="169"/>
  <c r="CL47" i="169"/>
  <c r="CL49" i="169"/>
  <c r="CL50" i="169"/>
  <c r="CL53" i="169"/>
  <c r="CL54" i="169"/>
  <c r="CL57" i="169"/>
  <c r="CL61" i="169"/>
  <c r="CL63" i="169"/>
  <c r="CL59" i="169"/>
  <c r="CL64" i="169"/>
  <c r="CL66" i="169"/>
  <c r="CL71" i="169"/>
  <c r="CL73" i="169"/>
  <c r="CL74" i="169"/>
  <c r="CL77" i="169"/>
  <c r="CL79" i="169"/>
  <c r="CL80" i="169"/>
  <c r="CL83" i="169"/>
  <c r="CL84" i="169"/>
  <c r="CL85" i="169"/>
  <c r="CL87" i="169"/>
  <c r="CL90" i="169"/>
  <c r="CM11" i="169"/>
  <c r="CM12" i="169"/>
  <c r="CM9" i="169"/>
  <c r="CM10" i="169"/>
  <c r="CM13" i="169"/>
  <c r="CM15" i="169"/>
  <c r="CM16" i="169"/>
  <c r="CM17" i="169"/>
  <c r="CM19" i="169"/>
  <c r="CM20" i="169"/>
  <c r="CM22" i="169"/>
  <c r="CM23" i="169"/>
  <c r="CM24" i="169"/>
  <c r="CM28" i="169"/>
  <c r="CM34" i="169"/>
  <c r="CM35" i="169"/>
  <c r="CM36" i="169"/>
  <c r="CM38" i="169"/>
  <c r="CM39" i="169"/>
  <c r="CM40" i="169"/>
  <c r="CM42" i="169"/>
  <c r="CM43" i="169"/>
  <c r="CM44" i="169"/>
  <c r="CM45" i="169"/>
  <c r="CM46" i="169"/>
  <c r="CM47" i="169"/>
  <c r="CM49" i="169"/>
  <c r="CM50" i="169"/>
  <c r="CM53" i="169"/>
  <c r="CM54" i="169"/>
  <c r="CM57" i="169"/>
  <c r="CM61" i="169"/>
  <c r="CM63" i="169"/>
  <c r="CM59" i="169"/>
  <c r="CM64" i="169"/>
  <c r="CM66" i="169"/>
  <c r="CM71" i="169"/>
  <c r="CM73" i="169"/>
  <c r="CM74" i="169"/>
  <c r="CM77" i="169"/>
  <c r="CM79" i="169"/>
  <c r="CM80" i="169"/>
  <c r="CM83" i="169"/>
  <c r="CM84" i="169"/>
  <c r="CM85" i="169"/>
  <c r="CM87" i="169"/>
  <c r="CM90" i="169"/>
  <c r="I55" i="175"/>
  <c r="CN11" i="169"/>
  <c r="CN12" i="169"/>
  <c r="CN9" i="169"/>
  <c r="CN10" i="169"/>
  <c r="CN13" i="169"/>
  <c r="CN15" i="169"/>
  <c r="CN16" i="169"/>
  <c r="CN17" i="169"/>
  <c r="CN19" i="169"/>
  <c r="CN20" i="169"/>
  <c r="CN22" i="169"/>
  <c r="CN23" i="169"/>
  <c r="CN24" i="169"/>
  <c r="CN28" i="169"/>
  <c r="CN34" i="169"/>
  <c r="CN35" i="169"/>
  <c r="CN36" i="169"/>
  <c r="CN38" i="169"/>
  <c r="CN39" i="169"/>
  <c r="CN40" i="169"/>
  <c r="CN42" i="169"/>
  <c r="CN43" i="169"/>
  <c r="CN44" i="169"/>
  <c r="CN45" i="169"/>
  <c r="CN46" i="169"/>
  <c r="CN47" i="169"/>
  <c r="CN49" i="169"/>
  <c r="CN50" i="169"/>
  <c r="CN53" i="169"/>
  <c r="CN54" i="169"/>
  <c r="CN57" i="169"/>
  <c r="CN61" i="169"/>
  <c r="CN63" i="169"/>
  <c r="CN59" i="169"/>
  <c r="CN64" i="169"/>
  <c r="CN66" i="169"/>
  <c r="CN71" i="169"/>
  <c r="CN73" i="169"/>
  <c r="CN74" i="169"/>
  <c r="CR11" i="169"/>
  <c r="CR12" i="169"/>
  <c r="CR9" i="169"/>
  <c r="CR10" i="169"/>
  <c r="CR13" i="169"/>
  <c r="CR15" i="169"/>
  <c r="CR16" i="169"/>
  <c r="CR17" i="169"/>
  <c r="J367" i="39"/>
  <c r="J368" i="39"/>
  <c r="J369" i="39"/>
  <c r="CR22" i="169"/>
  <c r="CR23" i="169"/>
  <c r="CR24" i="169"/>
  <c r="CR34" i="169"/>
  <c r="CR35" i="169"/>
  <c r="CR36" i="169"/>
  <c r="CR38" i="169"/>
  <c r="CR39" i="169"/>
  <c r="CR40" i="169"/>
  <c r="CR42" i="169"/>
  <c r="CR43" i="169"/>
  <c r="CR44" i="169"/>
  <c r="CR45" i="169"/>
  <c r="CR46" i="169"/>
  <c r="CR47" i="169"/>
  <c r="CR49" i="169"/>
  <c r="CR50" i="169"/>
  <c r="CR53" i="169"/>
  <c r="CR54" i="169"/>
  <c r="CR57" i="169"/>
  <c r="CR61" i="169"/>
  <c r="CR63" i="169"/>
  <c r="CR59" i="169"/>
  <c r="CR64" i="169"/>
  <c r="CR66" i="169"/>
  <c r="CR71" i="169"/>
  <c r="CR73" i="169"/>
  <c r="CR74" i="169"/>
  <c r="CR77" i="169"/>
  <c r="CR79" i="169"/>
  <c r="CR80" i="169"/>
  <c r="CR83" i="169"/>
  <c r="CR84" i="169"/>
  <c r="CR85" i="169"/>
  <c r="CR87" i="169"/>
  <c r="CS11" i="169"/>
  <c r="CS12" i="169"/>
  <c r="CS9" i="169"/>
  <c r="CS10" i="169"/>
  <c r="CS13" i="169"/>
  <c r="CS15" i="169"/>
  <c r="CS16" i="169"/>
  <c r="CS17" i="169"/>
  <c r="CS19" i="169"/>
  <c r="CS20" i="169"/>
  <c r="CS22" i="169"/>
  <c r="CS23" i="169"/>
  <c r="CS24" i="169"/>
  <c r="CS28" i="169"/>
  <c r="CS34" i="169"/>
  <c r="CS35" i="169"/>
  <c r="CS36" i="169"/>
  <c r="CS38" i="169"/>
  <c r="CS39" i="169"/>
  <c r="CS40" i="169"/>
  <c r="CS42" i="169"/>
  <c r="CS43" i="169"/>
  <c r="CS44" i="169"/>
  <c r="CS45" i="169"/>
  <c r="CS46" i="169"/>
  <c r="CS47" i="169"/>
  <c r="CS49" i="169"/>
  <c r="CS50" i="169"/>
  <c r="CS53" i="169"/>
  <c r="CS54" i="169"/>
  <c r="CS57" i="169"/>
  <c r="CS61" i="169"/>
  <c r="CS63" i="169"/>
  <c r="CS59" i="169"/>
  <c r="CS64" i="169"/>
  <c r="CS66" i="169"/>
  <c r="CS71" i="169"/>
  <c r="CS73" i="169"/>
  <c r="CS74" i="169"/>
  <c r="CS77" i="169"/>
  <c r="CS79" i="169"/>
  <c r="CS80" i="169"/>
  <c r="CS83" i="169"/>
  <c r="CS84" i="169"/>
  <c r="CS85" i="169"/>
  <c r="CS87" i="169"/>
  <c r="CS90" i="169"/>
  <c r="CT11" i="169"/>
  <c r="CT12" i="169"/>
  <c r="CT9" i="169"/>
  <c r="CT10" i="169"/>
  <c r="CT13" i="169"/>
  <c r="CT15" i="169"/>
  <c r="CT16" i="169"/>
  <c r="CT17" i="169"/>
  <c r="CT19" i="169"/>
  <c r="CT20" i="169"/>
  <c r="CT22" i="169"/>
  <c r="CT23" i="169"/>
  <c r="CT24" i="169"/>
  <c r="CT28" i="169"/>
  <c r="CT34" i="169"/>
  <c r="CT35" i="169"/>
  <c r="CT36" i="169"/>
  <c r="CT38" i="169"/>
  <c r="CT39" i="169"/>
  <c r="CT40" i="169"/>
  <c r="CT42" i="169"/>
  <c r="CT43" i="169"/>
  <c r="CT44" i="169"/>
  <c r="CT45" i="169"/>
  <c r="CT46" i="169"/>
  <c r="CT47" i="169"/>
  <c r="CT49" i="169"/>
  <c r="CT50" i="169"/>
  <c r="CT53" i="169"/>
  <c r="CT54" i="169"/>
  <c r="CT57" i="169"/>
  <c r="CT61" i="169"/>
  <c r="CT63" i="169"/>
  <c r="CT59" i="169"/>
  <c r="CT64" i="169"/>
  <c r="CT66" i="169"/>
  <c r="CT71" i="169"/>
  <c r="CT73" i="169"/>
  <c r="CT74" i="169"/>
  <c r="CT77" i="169"/>
  <c r="CT79" i="169"/>
  <c r="CT80" i="169"/>
  <c r="CT83" i="169"/>
  <c r="CT84" i="169"/>
  <c r="CT85" i="169"/>
  <c r="CT87" i="169"/>
  <c r="CT90" i="169"/>
  <c r="CU11" i="169"/>
  <c r="CU12" i="169"/>
  <c r="CU9" i="169"/>
  <c r="CU10" i="169"/>
  <c r="CU13" i="169"/>
  <c r="CU15" i="169"/>
  <c r="CU16" i="169"/>
  <c r="CU17" i="169"/>
  <c r="CU19" i="169"/>
  <c r="CU20" i="169"/>
  <c r="CU22" i="169"/>
  <c r="CU23" i="169"/>
  <c r="CU24" i="169"/>
  <c r="CU28" i="169"/>
  <c r="CU34" i="169"/>
  <c r="CU35" i="169"/>
  <c r="CU36" i="169"/>
  <c r="CU38" i="169"/>
  <c r="CU39" i="169"/>
  <c r="CU40" i="169"/>
  <c r="CU42" i="169"/>
  <c r="CU43" i="169"/>
  <c r="CU44" i="169"/>
  <c r="CU45" i="169"/>
  <c r="CU46" i="169"/>
  <c r="CU47" i="169"/>
  <c r="CU49" i="169"/>
  <c r="CU50" i="169"/>
  <c r="CU53" i="169"/>
  <c r="CU54" i="169"/>
  <c r="CU57" i="169"/>
  <c r="CU61" i="169"/>
  <c r="CU63" i="169"/>
  <c r="CU59" i="169"/>
  <c r="CU64" i="169"/>
  <c r="CU66" i="169"/>
  <c r="CU71" i="169"/>
  <c r="CU73" i="169"/>
  <c r="CU74" i="169"/>
  <c r="CU83" i="169"/>
  <c r="CU84" i="169"/>
  <c r="CU85" i="169"/>
  <c r="CU87" i="169"/>
  <c r="CU90" i="169"/>
  <c r="BP11" i="168"/>
  <c r="BP12" i="168"/>
  <c r="BP9" i="168"/>
  <c r="BP10" i="168"/>
  <c r="BP13" i="168"/>
  <c r="BP15" i="168"/>
  <c r="BP16" i="168"/>
  <c r="BP17" i="168"/>
  <c r="I202" i="39"/>
  <c r="I210" i="39"/>
  <c r="I284" i="39"/>
  <c r="I203" i="39"/>
  <c r="I211" i="39"/>
  <c r="I285" i="39"/>
  <c r="I204" i="39"/>
  <c r="I212" i="39"/>
  <c r="I286" i="39"/>
  <c r="I205" i="39"/>
  <c r="I213" i="39"/>
  <c r="I287" i="39"/>
  <c r="I288" i="39"/>
  <c r="I458" i="39"/>
  <c r="BP19" i="168"/>
  <c r="BP20" i="168"/>
  <c r="BP22" i="168"/>
  <c r="BP23" i="168"/>
  <c r="BP24" i="168"/>
  <c r="BP28" i="168"/>
  <c r="BP34" i="168"/>
  <c r="BP35" i="168"/>
  <c r="BP36" i="168"/>
  <c r="BP38" i="168"/>
  <c r="BP39" i="168"/>
  <c r="BP40" i="168"/>
  <c r="BP42" i="168"/>
  <c r="BP43" i="168"/>
  <c r="BP44" i="168"/>
  <c r="BP45" i="168"/>
  <c r="BP46" i="168"/>
  <c r="BP47" i="168"/>
  <c r="BP49" i="168"/>
  <c r="BP50" i="168"/>
  <c r="BP53" i="168"/>
  <c r="BP54" i="168"/>
  <c r="BP57" i="168"/>
  <c r="BP61" i="168"/>
  <c r="BP63" i="168"/>
  <c r="BP59" i="168"/>
  <c r="BP64" i="168"/>
  <c r="BP66" i="168"/>
  <c r="BP71" i="168"/>
  <c r="BP73" i="168"/>
  <c r="BP74" i="168"/>
  <c r="BP77" i="168"/>
  <c r="BP79" i="168"/>
  <c r="BP80" i="168"/>
  <c r="BP83" i="168"/>
  <c r="BP84" i="168"/>
  <c r="BP85" i="168"/>
  <c r="BP87" i="168"/>
  <c r="BP90" i="168"/>
  <c r="BQ11" i="168"/>
  <c r="BQ12" i="168"/>
  <c r="BQ9" i="168"/>
  <c r="BQ10" i="168"/>
  <c r="BQ13" i="168"/>
  <c r="BQ15" i="168"/>
  <c r="BQ16" i="168"/>
  <c r="BQ17" i="168"/>
  <c r="I291" i="39"/>
  <c r="I292" i="39"/>
  <c r="I293" i="39"/>
  <c r="I294" i="39"/>
  <c r="I295" i="39"/>
  <c r="I459" i="39"/>
  <c r="BQ19" i="168"/>
  <c r="BQ20" i="168"/>
  <c r="BQ22" i="168"/>
  <c r="BQ23" i="168"/>
  <c r="BQ24" i="168"/>
  <c r="BQ28" i="168"/>
  <c r="BQ34" i="168"/>
  <c r="BQ35" i="168"/>
  <c r="BQ36" i="168"/>
  <c r="BQ38" i="168"/>
  <c r="BQ39" i="168"/>
  <c r="BQ40" i="168"/>
  <c r="BQ42" i="168"/>
  <c r="BQ43" i="168"/>
  <c r="BQ44" i="168"/>
  <c r="BQ45" i="168"/>
  <c r="BQ46" i="168"/>
  <c r="BQ47" i="168"/>
  <c r="BQ49" i="168"/>
  <c r="BQ50" i="168"/>
  <c r="BQ53" i="168"/>
  <c r="BQ54" i="168"/>
  <c r="BQ57" i="168"/>
  <c r="BQ61" i="168"/>
  <c r="BQ63" i="168"/>
  <c r="BQ59" i="168"/>
  <c r="BQ64" i="168"/>
  <c r="BQ66" i="168"/>
  <c r="BQ71" i="168"/>
  <c r="BQ73" i="168"/>
  <c r="BQ74" i="168"/>
  <c r="BQ77" i="168"/>
  <c r="BQ79" i="168"/>
  <c r="BQ80" i="168"/>
  <c r="BQ83" i="168"/>
  <c r="BQ84" i="168"/>
  <c r="BQ85" i="168"/>
  <c r="BQ87" i="168"/>
  <c r="BQ90" i="168"/>
  <c r="BR11" i="168"/>
  <c r="BR12" i="168"/>
  <c r="BR9" i="168"/>
  <c r="BR10" i="168"/>
  <c r="BR13" i="168"/>
  <c r="BR15" i="168"/>
  <c r="BR16" i="168"/>
  <c r="BR17" i="168"/>
  <c r="I298" i="39"/>
  <c r="I299" i="39"/>
  <c r="I300" i="39"/>
  <c r="I301" i="39"/>
  <c r="I302" i="39"/>
  <c r="I460" i="39"/>
  <c r="BR19" i="168"/>
  <c r="BR20" i="168"/>
  <c r="BR22" i="168"/>
  <c r="BR23" i="168"/>
  <c r="BR24" i="168"/>
  <c r="BR28" i="168"/>
  <c r="BR34" i="168"/>
  <c r="BR35" i="168"/>
  <c r="BR36" i="168"/>
  <c r="BR38" i="168"/>
  <c r="BR39" i="168"/>
  <c r="BR40" i="168"/>
  <c r="BR42" i="168"/>
  <c r="BR43" i="168"/>
  <c r="BR44" i="168"/>
  <c r="BR45" i="168"/>
  <c r="BR46" i="168"/>
  <c r="BR47" i="168"/>
  <c r="BR49" i="168"/>
  <c r="BR50" i="168"/>
  <c r="BR53" i="168"/>
  <c r="BR54" i="168"/>
  <c r="BR57" i="168"/>
  <c r="BR61" i="168"/>
  <c r="BR63" i="168"/>
  <c r="BR59" i="168"/>
  <c r="BR64" i="168"/>
  <c r="BR66" i="168"/>
  <c r="BR71" i="168"/>
  <c r="BR73" i="168"/>
  <c r="BR74" i="168"/>
  <c r="BR77" i="168"/>
  <c r="BR79" i="168"/>
  <c r="BR80" i="168"/>
  <c r="BR83" i="168"/>
  <c r="BR84" i="168"/>
  <c r="BR85" i="168"/>
  <c r="BR87" i="168"/>
  <c r="BR90" i="168"/>
  <c r="BS11" i="168"/>
  <c r="BS12" i="168"/>
  <c r="BS9" i="168"/>
  <c r="BS10" i="168"/>
  <c r="BS13" i="168"/>
  <c r="BS15" i="168"/>
  <c r="BS16" i="168"/>
  <c r="BS17" i="168"/>
  <c r="I305" i="39"/>
  <c r="I306" i="39"/>
  <c r="I307" i="39"/>
  <c r="I308" i="39"/>
  <c r="I309" i="39"/>
  <c r="I461" i="39"/>
  <c r="BS19" i="168"/>
  <c r="BS20" i="168"/>
  <c r="BS22" i="168"/>
  <c r="BS23" i="168"/>
  <c r="BS24" i="168"/>
  <c r="BS28" i="168"/>
  <c r="BS34" i="168"/>
  <c r="BS35" i="168"/>
  <c r="BS36" i="168"/>
  <c r="BS38" i="168"/>
  <c r="BS39" i="168"/>
  <c r="BS40" i="168"/>
  <c r="BS42" i="168"/>
  <c r="BS43" i="168"/>
  <c r="BS44" i="168"/>
  <c r="BS45" i="168"/>
  <c r="BS46" i="168"/>
  <c r="BS47" i="168"/>
  <c r="BS49" i="168"/>
  <c r="BS50" i="168"/>
  <c r="BS53" i="168"/>
  <c r="BS54" i="168"/>
  <c r="BS57" i="168"/>
  <c r="BS61" i="168"/>
  <c r="BS63" i="168"/>
  <c r="BS59" i="168"/>
  <c r="BS64" i="168"/>
  <c r="BS66" i="168"/>
  <c r="BS71" i="168"/>
  <c r="BS73" i="168"/>
  <c r="BS74" i="168"/>
  <c r="BS77" i="168"/>
  <c r="BS79" i="168"/>
  <c r="BS80" i="168"/>
  <c r="BS83" i="168"/>
  <c r="BS84" i="168"/>
  <c r="BS85" i="168"/>
  <c r="BS87" i="168"/>
  <c r="BS90" i="168"/>
  <c r="H50" i="175"/>
  <c r="BT11" i="168"/>
  <c r="BT12" i="168"/>
  <c r="BT9" i="168"/>
  <c r="BT10" i="168"/>
  <c r="BT13" i="168"/>
  <c r="BT15" i="168"/>
  <c r="BT16" i="168"/>
  <c r="BT17" i="168"/>
  <c r="BT19" i="168"/>
  <c r="BT20" i="168"/>
  <c r="BT22" i="168"/>
  <c r="BT23" i="168"/>
  <c r="BT24" i="168"/>
  <c r="BT28" i="168"/>
  <c r="BT34" i="168"/>
  <c r="BT35" i="168"/>
  <c r="BT36" i="168"/>
  <c r="BT38" i="168"/>
  <c r="BT39" i="168"/>
  <c r="BT40" i="168"/>
  <c r="BT42" i="168"/>
  <c r="BT43" i="168"/>
  <c r="BT44" i="168"/>
  <c r="BT45" i="168"/>
  <c r="BT46" i="168"/>
  <c r="BT47" i="168"/>
  <c r="BT49" i="168"/>
  <c r="BT50" i="168"/>
  <c r="BT53" i="168"/>
  <c r="BT54" i="168"/>
  <c r="BT57" i="168"/>
  <c r="BT61" i="168"/>
  <c r="BT63" i="168"/>
  <c r="BT59" i="168"/>
  <c r="BT64" i="168"/>
  <c r="BT66" i="168"/>
  <c r="BT71" i="168"/>
  <c r="BT73" i="168"/>
  <c r="BT74" i="168"/>
  <c r="BT77" i="168"/>
  <c r="BT79" i="168"/>
  <c r="BT80" i="168"/>
  <c r="BT83" i="168"/>
  <c r="BT84" i="168"/>
  <c r="BT85" i="168"/>
  <c r="BT87" i="168"/>
  <c r="BT90" i="168"/>
  <c r="BU11" i="168"/>
  <c r="BU12" i="168"/>
  <c r="BU9" i="168"/>
  <c r="BU10" i="168"/>
  <c r="BU13" i="168"/>
  <c r="BU15" i="168"/>
  <c r="BU16" i="168"/>
  <c r="BU17" i="168"/>
  <c r="BU19" i="168"/>
  <c r="BU20" i="168"/>
  <c r="BU22" i="168"/>
  <c r="BU23" i="168"/>
  <c r="BU24" i="168"/>
  <c r="BU28" i="168"/>
  <c r="BU34" i="168"/>
  <c r="BU35" i="168"/>
  <c r="BU36" i="168"/>
  <c r="BU38" i="168"/>
  <c r="BU39" i="168"/>
  <c r="BU40" i="168"/>
  <c r="BU42" i="168"/>
  <c r="BU43" i="168"/>
  <c r="BU44" i="168"/>
  <c r="BU45" i="168"/>
  <c r="BU46" i="168"/>
  <c r="BU47" i="168"/>
  <c r="BU49" i="168"/>
  <c r="BU50" i="168"/>
  <c r="BU53" i="168"/>
  <c r="BU54" i="168"/>
  <c r="BU57" i="168"/>
  <c r="BU61" i="168"/>
  <c r="BU63" i="168"/>
  <c r="BU59" i="168"/>
  <c r="BU64" i="168"/>
  <c r="BU66" i="168"/>
  <c r="BU71" i="168"/>
  <c r="BU73" i="168"/>
  <c r="BU74" i="168"/>
  <c r="BU77" i="168"/>
  <c r="BU79" i="168"/>
  <c r="BU80" i="168"/>
  <c r="BU83" i="168"/>
  <c r="BU84" i="168"/>
  <c r="BU85" i="168"/>
  <c r="BU87" i="168"/>
  <c r="BU90" i="168"/>
  <c r="BV11" i="168"/>
  <c r="BV12" i="168"/>
  <c r="BV9" i="168"/>
  <c r="BV10" i="168"/>
  <c r="BV13" i="168"/>
  <c r="BV15" i="168"/>
  <c r="BV16" i="168"/>
  <c r="BV17" i="168"/>
  <c r="BV19" i="168"/>
  <c r="BV20" i="168"/>
  <c r="BV22" i="168"/>
  <c r="BV23" i="168"/>
  <c r="BV24" i="168"/>
  <c r="BV28" i="168"/>
  <c r="BV34" i="168"/>
  <c r="BV35" i="168"/>
  <c r="BV36" i="168"/>
  <c r="BV38" i="168"/>
  <c r="BV39" i="168"/>
  <c r="BV40" i="168"/>
  <c r="BV42" i="168"/>
  <c r="BV43" i="168"/>
  <c r="BV44" i="168"/>
  <c r="BV45" i="168"/>
  <c r="BV46" i="168"/>
  <c r="BV47" i="168"/>
  <c r="BV49" i="168"/>
  <c r="BV50" i="168"/>
  <c r="BV53" i="168"/>
  <c r="BV54" i="168"/>
  <c r="BV57" i="168"/>
  <c r="BV61" i="168"/>
  <c r="BV63" i="168"/>
  <c r="BV59" i="168"/>
  <c r="BV64" i="168"/>
  <c r="BV66" i="168"/>
  <c r="BV71" i="168"/>
  <c r="BV73" i="168"/>
  <c r="BV74" i="168"/>
  <c r="BV77" i="168"/>
  <c r="BV79" i="168"/>
  <c r="BV80" i="168"/>
  <c r="BV83" i="168"/>
  <c r="BV84" i="168"/>
  <c r="BV85" i="168"/>
  <c r="BV87" i="168"/>
  <c r="BV90" i="168"/>
  <c r="BW11" i="168"/>
  <c r="BW12" i="168"/>
  <c r="BW9" i="168"/>
  <c r="BW10" i="168"/>
  <c r="BW13" i="168"/>
  <c r="BW15" i="168"/>
  <c r="BW16" i="168"/>
  <c r="BW17" i="168"/>
  <c r="BW19" i="168"/>
  <c r="BW20" i="168"/>
  <c r="BW22" i="168"/>
  <c r="BW23" i="168"/>
  <c r="BW24" i="168"/>
  <c r="BW28" i="168"/>
  <c r="BW34" i="168"/>
  <c r="BW35" i="168"/>
  <c r="BW36" i="168"/>
  <c r="BW38" i="168"/>
  <c r="BW39" i="168"/>
  <c r="BW40" i="168"/>
  <c r="BW42" i="168"/>
  <c r="BW43" i="168"/>
  <c r="BW44" i="168"/>
  <c r="BW45" i="168"/>
  <c r="BW46" i="168"/>
  <c r="BW47" i="168"/>
  <c r="BW49" i="168"/>
  <c r="BW50" i="168"/>
  <c r="BW53" i="168"/>
  <c r="BW54" i="168"/>
  <c r="BW57" i="168"/>
  <c r="BW61" i="168"/>
  <c r="BW63" i="168"/>
  <c r="BW59" i="168"/>
  <c r="BW64" i="168"/>
  <c r="BW66" i="168"/>
  <c r="BW71" i="168"/>
  <c r="BW73" i="168"/>
  <c r="BW74" i="168"/>
  <c r="BW77" i="168"/>
  <c r="BW79" i="168"/>
  <c r="BW80" i="168"/>
  <c r="BW83" i="168"/>
  <c r="BW84" i="168"/>
  <c r="BW85" i="168"/>
  <c r="BW87" i="168"/>
  <c r="BW90" i="168"/>
  <c r="H51" i="175"/>
  <c r="BX11" i="168"/>
  <c r="BX12" i="168"/>
  <c r="BX9" i="168"/>
  <c r="BX10" i="168"/>
  <c r="BX13" i="168"/>
  <c r="BX15" i="168"/>
  <c r="BX16" i="168"/>
  <c r="BX17" i="168"/>
  <c r="BX19" i="168"/>
  <c r="BX20" i="168"/>
  <c r="BX22" i="168"/>
  <c r="BX23" i="168"/>
  <c r="BX24" i="168"/>
  <c r="BX28" i="168"/>
  <c r="BX34" i="168"/>
  <c r="BX35" i="168"/>
  <c r="BX36" i="168"/>
  <c r="BX38" i="168"/>
  <c r="BX39" i="168"/>
  <c r="BX40" i="168"/>
  <c r="BX42" i="168"/>
  <c r="BX43" i="168"/>
  <c r="BX44" i="168"/>
  <c r="BX45" i="168"/>
  <c r="BX46" i="168"/>
  <c r="BX47" i="168"/>
  <c r="BX49" i="168"/>
  <c r="BX50" i="168"/>
  <c r="BX53" i="168"/>
  <c r="BX54" i="168"/>
  <c r="BX57" i="168"/>
  <c r="BX61" i="168"/>
  <c r="BX63" i="168"/>
  <c r="BX59" i="168"/>
  <c r="BX64" i="168"/>
  <c r="BX66" i="168"/>
  <c r="BX71" i="168"/>
  <c r="BX73" i="168"/>
  <c r="BX74" i="168"/>
  <c r="BX77" i="168"/>
  <c r="BX79" i="168"/>
  <c r="BX80" i="168"/>
  <c r="BX83" i="168"/>
  <c r="BX84" i="168"/>
  <c r="BX85" i="168"/>
  <c r="BX87" i="168"/>
  <c r="BX90" i="168"/>
  <c r="BY11" i="168"/>
  <c r="BY12" i="168"/>
  <c r="BY9" i="168"/>
  <c r="BY10" i="168"/>
  <c r="BY13" i="168"/>
  <c r="BY15" i="168"/>
  <c r="BY16" i="168"/>
  <c r="BY17" i="168"/>
  <c r="BY19" i="168"/>
  <c r="BY20" i="168"/>
  <c r="BY22" i="168"/>
  <c r="BY23" i="168"/>
  <c r="BY24" i="168"/>
  <c r="BY28" i="168"/>
  <c r="BY34" i="168"/>
  <c r="I448" i="112"/>
  <c r="I449" i="112"/>
  <c r="I562" i="112"/>
  <c r="BY35" i="168"/>
  <c r="BY36" i="168"/>
  <c r="BY38" i="168"/>
  <c r="BY39" i="168"/>
  <c r="BY40" i="168"/>
  <c r="BY42" i="168"/>
  <c r="BY43" i="168"/>
  <c r="BY44" i="168"/>
  <c r="BY45" i="168"/>
  <c r="BY46" i="168"/>
  <c r="BY47" i="168"/>
  <c r="BY49" i="168"/>
  <c r="BY50" i="168"/>
  <c r="BY53" i="168"/>
  <c r="BY54" i="168"/>
  <c r="BY57" i="168"/>
  <c r="BY61" i="168"/>
  <c r="BY63" i="168"/>
  <c r="BY59" i="168"/>
  <c r="BY64" i="168"/>
  <c r="BY66" i="168"/>
  <c r="BY71" i="168"/>
  <c r="BY73" i="168"/>
  <c r="BY74" i="168"/>
  <c r="BY77" i="168"/>
  <c r="BY79" i="168"/>
  <c r="BY80" i="168"/>
  <c r="BY83" i="168"/>
  <c r="BY84" i="168"/>
  <c r="BY85" i="168"/>
  <c r="BY87" i="168"/>
  <c r="BY90" i="168"/>
  <c r="BZ11" i="168"/>
  <c r="BZ12" i="168"/>
  <c r="BZ9" i="168"/>
  <c r="BZ10" i="168"/>
  <c r="BZ13" i="168"/>
  <c r="BZ15" i="168"/>
  <c r="BZ16" i="168"/>
  <c r="BZ17" i="168"/>
  <c r="BZ19" i="168"/>
  <c r="BZ20" i="168"/>
  <c r="BZ22" i="168"/>
  <c r="BZ23" i="168"/>
  <c r="BZ24" i="168"/>
  <c r="BZ28" i="168"/>
  <c r="BZ34" i="168"/>
  <c r="I450" i="112"/>
  <c r="I563" i="112"/>
  <c r="BZ35" i="168"/>
  <c r="BZ36" i="168"/>
  <c r="BZ38" i="168"/>
  <c r="BZ39" i="168"/>
  <c r="BZ40" i="168"/>
  <c r="BZ42" i="168"/>
  <c r="BZ43" i="168"/>
  <c r="BZ44" i="168"/>
  <c r="BZ45" i="168"/>
  <c r="BZ46" i="168"/>
  <c r="BZ47" i="168"/>
  <c r="BZ49" i="168"/>
  <c r="BZ50" i="168"/>
  <c r="BZ53" i="168"/>
  <c r="BZ54" i="168"/>
  <c r="BZ57" i="168"/>
  <c r="BZ61" i="168"/>
  <c r="BZ63" i="168"/>
  <c r="BZ59" i="168"/>
  <c r="BZ64" i="168"/>
  <c r="BZ66" i="168"/>
  <c r="BZ71" i="168"/>
  <c r="BZ73" i="168"/>
  <c r="BZ74" i="168"/>
  <c r="BZ77" i="168"/>
  <c r="BZ79" i="168"/>
  <c r="BZ80" i="168"/>
  <c r="BZ83" i="168"/>
  <c r="BZ84" i="168"/>
  <c r="BZ85" i="168"/>
  <c r="BZ87" i="168"/>
  <c r="BZ90" i="168"/>
  <c r="CA11" i="168"/>
  <c r="CA12" i="168"/>
  <c r="CA9" i="168"/>
  <c r="CA10" i="168"/>
  <c r="CA13" i="168"/>
  <c r="CA15" i="168"/>
  <c r="CA16" i="168"/>
  <c r="CA17" i="168"/>
  <c r="CA19" i="168"/>
  <c r="CA20" i="168"/>
  <c r="CA22" i="168"/>
  <c r="CA23" i="168"/>
  <c r="CA24" i="168"/>
  <c r="CA28" i="168"/>
  <c r="CA34" i="168"/>
  <c r="CA35" i="168"/>
  <c r="CA36" i="168"/>
  <c r="CA38" i="168"/>
  <c r="CA39" i="168"/>
  <c r="CA40" i="168"/>
  <c r="CA42" i="168"/>
  <c r="CA43" i="168"/>
  <c r="CA44" i="168"/>
  <c r="CA45" i="168"/>
  <c r="CA46" i="168"/>
  <c r="CA47" i="168"/>
  <c r="CA49" i="168"/>
  <c r="CA50" i="168"/>
  <c r="CA53" i="168"/>
  <c r="CA54" i="168"/>
  <c r="CA57" i="168"/>
  <c r="CA61" i="168"/>
  <c r="CA63" i="168"/>
  <c r="CA59" i="168"/>
  <c r="CA64" i="168"/>
  <c r="CA66" i="168"/>
  <c r="CA71" i="168"/>
  <c r="CA73" i="168"/>
  <c r="CA74" i="168"/>
  <c r="CA77" i="168"/>
  <c r="CA79" i="168"/>
  <c r="CA80" i="168"/>
  <c r="CA83" i="168"/>
  <c r="CA84" i="168"/>
  <c r="CA85" i="168"/>
  <c r="CA87" i="168"/>
  <c r="CA90" i="168"/>
  <c r="H52" i="175"/>
  <c r="CB11" i="168"/>
  <c r="CB12" i="168"/>
  <c r="CB9" i="168"/>
  <c r="CB10" i="168"/>
  <c r="CB13" i="168"/>
  <c r="CB15" i="168"/>
  <c r="CB16" i="168"/>
  <c r="CB17" i="168"/>
  <c r="CB19" i="168"/>
  <c r="CB20" i="168"/>
  <c r="CB22" i="168"/>
  <c r="CB23" i="168"/>
  <c r="CB24" i="168"/>
  <c r="CB28" i="168"/>
  <c r="CB34" i="168"/>
  <c r="I454" i="112"/>
  <c r="I455" i="112"/>
  <c r="I48" i="112"/>
  <c r="I303" i="112"/>
  <c r="I456" i="112"/>
  <c r="I457" i="112"/>
  <c r="I458" i="112"/>
  <c r="I459" i="112"/>
  <c r="I564" i="112"/>
  <c r="CB35" i="168"/>
  <c r="CB36" i="168"/>
  <c r="CB38" i="168"/>
  <c r="CB39" i="168"/>
  <c r="CB40" i="168"/>
  <c r="CB42" i="168"/>
  <c r="CB43" i="168"/>
  <c r="CB44" i="168"/>
  <c r="CB45" i="168"/>
  <c r="CB46" i="168"/>
  <c r="CB47" i="168"/>
  <c r="CB49" i="168"/>
  <c r="CB50" i="168"/>
  <c r="CB53" i="168"/>
  <c r="CB54" i="168"/>
  <c r="CB57" i="168"/>
  <c r="CB61" i="168"/>
  <c r="CB63" i="168"/>
  <c r="CB59" i="168"/>
  <c r="CB64" i="168"/>
  <c r="CB66" i="168"/>
  <c r="CB71" i="168"/>
  <c r="CB73" i="168"/>
  <c r="CB74" i="168"/>
  <c r="CB77" i="168"/>
  <c r="CB79" i="168"/>
  <c r="CB80" i="168"/>
  <c r="CB83" i="168"/>
  <c r="CB84" i="168"/>
  <c r="CB85" i="168"/>
  <c r="CB87" i="168"/>
  <c r="CB90" i="168"/>
  <c r="CC11" i="168"/>
  <c r="CC12" i="168"/>
  <c r="CC9" i="168"/>
  <c r="CC10" i="168"/>
  <c r="CC13" i="168"/>
  <c r="CC15" i="168"/>
  <c r="CC16" i="168"/>
  <c r="CC17" i="168"/>
  <c r="CC19" i="168"/>
  <c r="CC20" i="168"/>
  <c r="CC22" i="168"/>
  <c r="CC23" i="168"/>
  <c r="CC24" i="168"/>
  <c r="CC28" i="168"/>
  <c r="CC34" i="168"/>
  <c r="CC35" i="168"/>
  <c r="CC36" i="168"/>
  <c r="CC38" i="168"/>
  <c r="CC39" i="168"/>
  <c r="CC40" i="168"/>
  <c r="CC42" i="168"/>
  <c r="CC43" i="168"/>
  <c r="CC44" i="168"/>
  <c r="CC45" i="168"/>
  <c r="CC46" i="168"/>
  <c r="CC47" i="168"/>
  <c r="CC49" i="168"/>
  <c r="CC50" i="168"/>
  <c r="CC53" i="168"/>
  <c r="CC54" i="168"/>
  <c r="CC57" i="168"/>
  <c r="CC61" i="168"/>
  <c r="CC63" i="168"/>
  <c r="CC59" i="168"/>
  <c r="CC64" i="168"/>
  <c r="CC66" i="168"/>
  <c r="CC71" i="168"/>
  <c r="CC73" i="168"/>
  <c r="CC74" i="168"/>
  <c r="CC77" i="168"/>
  <c r="CC79" i="168"/>
  <c r="CC80" i="168"/>
  <c r="CC83" i="168"/>
  <c r="CC84" i="168"/>
  <c r="CC85" i="168"/>
  <c r="CC87" i="168"/>
  <c r="CC90" i="168"/>
  <c r="CD11" i="168"/>
  <c r="CD12" i="168"/>
  <c r="CD9" i="168"/>
  <c r="CD10" i="168"/>
  <c r="CD13" i="168"/>
  <c r="CD15" i="168"/>
  <c r="CD16" i="168"/>
  <c r="CD17" i="168"/>
  <c r="CD19" i="168"/>
  <c r="CD20" i="168"/>
  <c r="CD22" i="168"/>
  <c r="CD23" i="168"/>
  <c r="CD24" i="168"/>
  <c r="CD28" i="168"/>
  <c r="CD34" i="168"/>
  <c r="CD35" i="168"/>
  <c r="CD36" i="168"/>
  <c r="CD38" i="168"/>
  <c r="CD39" i="168"/>
  <c r="CD40" i="168"/>
  <c r="CD42" i="168"/>
  <c r="CD43" i="168"/>
  <c r="CD44" i="168"/>
  <c r="CD45" i="168"/>
  <c r="CD46" i="168"/>
  <c r="CD47" i="168"/>
  <c r="CD49" i="168"/>
  <c r="CD50" i="168"/>
  <c r="CD53" i="168"/>
  <c r="CD54" i="168"/>
  <c r="CD57" i="168"/>
  <c r="CD61" i="168"/>
  <c r="CD63" i="168"/>
  <c r="CD59" i="168"/>
  <c r="CD64" i="168"/>
  <c r="CD66" i="168"/>
  <c r="CD71" i="168"/>
  <c r="CD73" i="168"/>
  <c r="CD74" i="168"/>
  <c r="CD77" i="168"/>
  <c r="CD79" i="168"/>
  <c r="CD80" i="168"/>
  <c r="CD83" i="168"/>
  <c r="CD84" i="168"/>
  <c r="CD85" i="168"/>
  <c r="CD87" i="168"/>
  <c r="CD90" i="168"/>
  <c r="CE11" i="168"/>
  <c r="CE12" i="168"/>
  <c r="CE9" i="168"/>
  <c r="CE10" i="168"/>
  <c r="CE13" i="168"/>
  <c r="CE15" i="168"/>
  <c r="CE16" i="168"/>
  <c r="CE17" i="168"/>
  <c r="CE19" i="168"/>
  <c r="CE20" i="168"/>
  <c r="CE22" i="168"/>
  <c r="CE23" i="168"/>
  <c r="CE24" i="168"/>
  <c r="CE28" i="168"/>
  <c r="CE34" i="168"/>
  <c r="CE35" i="168"/>
  <c r="CE36" i="168"/>
  <c r="CE38" i="168"/>
  <c r="CE39" i="168"/>
  <c r="CE40" i="168"/>
  <c r="CE42" i="168"/>
  <c r="CE43" i="168"/>
  <c r="CE44" i="168"/>
  <c r="CE45" i="168"/>
  <c r="CE46" i="168"/>
  <c r="CE47" i="168"/>
  <c r="CE49" i="168"/>
  <c r="CE50" i="168"/>
  <c r="CE53" i="168"/>
  <c r="CE54" i="168"/>
  <c r="CE57" i="168"/>
  <c r="CE61" i="168"/>
  <c r="CE63" i="168"/>
  <c r="CE59" i="168"/>
  <c r="CE64" i="168"/>
  <c r="CE66" i="168"/>
  <c r="CE71" i="168"/>
  <c r="CE73" i="168"/>
  <c r="CE74" i="168"/>
  <c r="CE77" i="168"/>
  <c r="CE79" i="168"/>
  <c r="CE80" i="168"/>
  <c r="CE83" i="168"/>
  <c r="CE84" i="168"/>
  <c r="CE85" i="168"/>
  <c r="CE87" i="168"/>
  <c r="CE90" i="168"/>
  <c r="H53" i="175"/>
  <c r="CF11" i="168"/>
  <c r="CF12" i="168"/>
  <c r="CF9" i="168"/>
  <c r="CF10" i="168"/>
  <c r="CF13" i="168"/>
  <c r="CF15" i="168"/>
  <c r="CF16" i="168"/>
  <c r="CF17" i="168"/>
  <c r="CF19" i="168"/>
  <c r="CF20" i="168"/>
  <c r="CF22" i="168"/>
  <c r="CF23" i="168"/>
  <c r="CF24" i="168"/>
  <c r="CF28" i="168"/>
  <c r="I541" i="113"/>
  <c r="CF34" i="168"/>
  <c r="CF35" i="168"/>
  <c r="CF36" i="168"/>
  <c r="CF38" i="168"/>
  <c r="CF39" i="168"/>
  <c r="CF40" i="168"/>
  <c r="CF42" i="168"/>
  <c r="CF43" i="168"/>
  <c r="CF44" i="168"/>
  <c r="CF45" i="168"/>
  <c r="CF46" i="168"/>
  <c r="CF47" i="168"/>
  <c r="CF49" i="168"/>
  <c r="CF50" i="168"/>
  <c r="CF53" i="168"/>
  <c r="CF54" i="168"/>
  <c r="CF57" i="168"/>
  <c r="CF61" i="168"/>
  <c r="CF63" i="168"/>
  <c r="CF59" i="168"/>
  <c r="CF64" i="168"/>
  <c r="CF66" i="168"/>
  <c r="CF71" i="168"/>
  <c r="CF73" i="168"/>
  <c r="CF74" i="168"/>
  <c r="CF77" i="168"/>
  <c r="CF79" i="168"/>
  <c r="CF80" i="168"/>
  <c r="CF83" i="168"/>
  <c r="CF84" i="168"/>
  <c r="CF85" i="168"/>
  <c r="CF87" i="168"/>
  <c r="CF90" i="168"/>
  <c r="CG11" i="168"/>
  <c r="CG12" i="168"/>
  <c r="CG9" i="168"/>
  <c r="CG10" i="168"/>
  <c r="CG13" i="168"/>
  <c r="CG15" i="168"/>
  <c r="CG16" i="168"/>
  <c r="CG17" i="168"/>
  <c r="CG19" i="168"/>
  <c r="CG20" i="168"/>
  <c r="CG22" i="168"/>
  <c r="CG23" i="168"/>
  <c r="CG24" i="168"/>
  <c r="CG28" i="168"/>
  <c r="I393" i="113"/>
  <c r="I394" i="113"/>
  <c r="I410" i="113"/>
  <c r="I412" i="113"/>
  <c r="I542" i="113"/>
  <c r="CG34" i="168"/>
  <c r="CG35" i="168"/>
  <c r="CG36" i="168"/>
  <c r="CG38" i="168"/>
  <c r="CG39" i="168"/>
  <c r="CG40" i="168"/>
  <c r="CG42" i="168"/>
  <c r="CG43" i="168"/>
  <c r="CG44" i="168"/>
  <c r="CG45" i="168"/>
  <c r="CG46" i="168"/>
  <c r="CG47" i="168"/>
  <c r="CG49" i="168"/>
  <c r="CG50" i="168"/>
  <c r="CG53" i="168"/>
  <c r="CG54" i="168"/>
  <c r="CG57" i="168"/>
  <c r="CG61" i="168"/>
  <c r="CG63" i="168"/>
  <c r="CG59" i="168"/>
  <c r="CG64" i="168"/>
  <c r="CG66" i="168"/>
  <c r="CG71" i="168"/>
  <c r="CG73" i="168"/>
  <c r="CG74" i="168"/>
  <c r="CG77" i="168"/>
  <c r="CG79" i="168"/>
  <c r="CG80" i="168"/>
  <c r="CG83" i="168"/>
  <c r="CG84" i="168"/>
  <c r="CG85" i="168"/>
  <c r="CG87" i="168"/>
  <c r="CG90" i="168"/>
  <c r="CH11" i="168"/>
  <c r="CH12" i="168"/>
  <c r="CH9" i="168"/>
  <c r="CH10" i="168"/>
  <c r="CH13" i="168"/>
  <c r="CH15" i="168"/>
  <c r="CH16" i="168"/>
  <c r="CH17" i="168"/>
  <c r="CH19" i="168"/>
  <c r="CH20" i="168"/>
  <c r="CH22" i="168"/>
  <c r="CH23" i="168"/>
  <c r="CH24" i="168"/>
  <c r="CH28" i="168"/>
  <c r="I405" i="113"/>
  <c r="I543" i="113"/>
  <c r="CH34" i="168"/>
  <c r="CH35" i="168"/>
  <c r="CH36" i="168"/>
  <c r="CH38" i="168"/>
  <c r="CH39" i="168"/>
  <c r="CH40" i="168"/>
  <c r="CH42" i="168"/>
  <c r="CH43" i="168"/>
  <c r="CH44" i="168"/>
  <c r="CH45" i="168"/>
  <c r="CH46" i="168"/>
  <c r="CH47" i="168"/>
  <c r="CH49" i="168"/>
  <c r="CH50" i="168"/>
  <c r="CH53" i="168"/>
  <c r="CH54" i="168"/>
  <c r="CH57" i="168"/>
  <c r="CH61" i="168"/>
  <c r="CH63" i="168"/>
  <c r="CH59" i="168"/>
  <c r="CH64" i="168"/>
  <c r="CH66" i="168"/>
  <c r="CH71" i="168"/>
  <c r="CH73" i="168"/>
  <c r="CH74" i="168"/>
  <c r="CH77" i="168"/>
  <c r="CH79" i="168"/>
  <c r="CH80" i="168"/>
  <c r="CH83" i="168"/>
  <c r="CH84" i="168"/>
  <c r="CH85" i="168"/>
  <c r="CH87" i="168"/>
  <c r="CH90" i="168"/>
  <c r="CI11" i="168"/>
  <c r="CI12" i="168"/>
  <c r="CI9" i="168"/>
  <c r="CI10" i="168"/>
  <c r="CI13" i="168"/>
  <c r="CI15" i="168"/>
  <c r="CI16" i="168"/>
  <c r="CI17" i="168"/>
  <c r="CI19" i="168"/>
  <c r="CI20" i="168"/>
  <c r="CI22" i="168"/>
  <c r="CI23" i="168"/>
  <c r="CI24" i="168"/>
  <c r="CI28" i="168"/>
  <c r="CI34" i="168"/>
  <c r="CI35" i="168"/>
  <c r="CI36" i="168"/>
  <c r="CI38" i="168"/>
  <c r="CI39" i="168"/>
  <c r="CI40" i="168"/>
  <c r="CI42" i="168"/>
  <c r="CI43" i="168"/>
  <c r="CI44" i="168"/>
  <c r="CI45" i="168"/>
  <c r="CI46" i="168"/>
  <c r="CI47" i="168"/>
  <c r="CI49" i="168"/>
  <c r="CI50" i="168"/>
  <c r="CI53" i="168"/>
  <c r="CI54" i="168"/>
  <c r="CI57" i="168"/>
  <c r="CI61" i="168"/>
  <c r="CI63" i="168"/>
  <c r="CI59" i="168"/>
  <c r="CI64" i="168"/>
  <c r="CI66" i="168"/>
  <c r="CI71" i="168"/>
  <c r="CI73" i="168"/>
  <c r="CI74" i="168"/>
  <c r="CI77" i="168"/>
  <c r="CI79" i="168"/>
  <c r="CI80" i="168"/>
  <c r="CI83" i="168"/>
  <c r="CI84" i="168"/>
  <c r="CI85" i="168"/>
  <c r="CI87" i="168"/>
  <c r="CI90" i="168"/>
  <c r="H54" i="175"/>
  <c r="CJ11" i="168"/>
  <c r="CJ12" i="168"/>
  <c r="CJ9" i="168"/>
  <c r="CJ10" i="168"/>
  <c r="CJ13" i="168"/>
  <c r="CJ15" i="168"/>
  <c r="CJ16" i="168"/>
  <c r="CJ17" i="168"/>
  <c r="CJ19" i="168"/>
  <c r="CJ20" i="168"/>
  <c r="CJ22" i="168"/>
  <c r="CJ23" i="168"/>
  <c r="CJ24" i="168"/>
  <c r="CJ28" i="168"/>
  <c r="CJ34" i="168"/>
  <c r="CJ35" i="168"/>
  <c r="CJ36" i="168"/>
  <c r="CJ38" i="168"/>
  <c r="CJ39" i="168"/>
  <c r="CJ40" i="168"/>
  <c r="CJ42" i="168"/>
  <c r="CJ43" i="168"/>
  <c r="CJ44" i="168"/>
  <c r="CJ45" i="168"/>
  <c r="CJ46" i="168"/>
  <c r="CJ47" i="168"/>
  <c r="CJ49" i="168"/>
  <c r="CJ50" i="168"/>
  <c r="CJ53" i="168"/>
  <c r="CJ54" i="168"/>
  <c r="CJ57" i="168"/>
  <c r="CJ61" i="168"/>
  <c r="CJ63" i="168"/>
  <c r="CJ59" i="168"/>
  <c r="CJ64" i="168"/>
  <c r="CJ66" i="168"/>
  <c r="CJ71" i="168"/>
  <c r="CJ73" i="168"/>
  <c r="CJ74" i="168"/>
  <c r="CJ77" i="168"/>
  <c r="CJ79" i="168"/>
  <c r="CJ80" i="168"/>
  <c r="CJ83" i="168"/>
  <c r="CJ84" i="168"/>
  <c r="CJ85" i="168"/>
  <c r="CJ87" i="168"/>
  <c r="CJ90" i="168"/>
  <c r="CK11" i="168"/>
  <c r="CK12" i="168"/>
  <c r="CK9" i="168"/>
  <c r="CK10" i="168"/>
  <c r="CK13" i="168"/>
  <c r="CK15" i="168"/>
  <c r="CK16" i="168"/>
  <c r="CK17" i="168"/>
  <c r="CK19" i="168"/>
  <c r="CK20" i="168"/>
  <c r="CK22" i="168"/>
  <c r="CK23" i="168"/>
  <c r="CK24" i="168"/>
  <c r="CK28" i="168"/>
  <c r="CK34" i="168"/>
  <c r="CK35" i="168"/>
  <c r="CK36" i="168"/>
  <c r="CK38" i="168"/>
  <c r="CK39" i="168"/>
  <c r="CK40" i="168"/>
  <c r="CK42" i="168"/>
  <c r="CK43" i="168"/>
  <c r="CK44" i="168"/>
  <c r="CK45" i="168"/>
  <c r="CK46" i="168"/>
  <c r="CK47" i="168"/>
  <c r="CK49" i="168"/>
  <c r="CK50" i="168"/>
  <c r="CK53" i="168"/>
  <c r="CK54" i="168"/>
  <c r="CK57" i="168"/>
  <c r="CK61" i="168"/>
  <c r="CK63" i="168"/>
  <c r="CK59" i="168"/>
  <c r="CK64" i="168"/>
  <c r="CK66" i="168"/>
  <c r="CK71" i="168"/>
  <c r="CK73" i="168"/>
  <c r="CK74" i="168"/>
  <c r="CK77" i="168"/>
  <c r="CK79" i="168"/>
  <c r="CK80" i="168"/>
  <c r="CK83" i="168"/>
  <c r="CK84" i="168"/>
  <c r="CK85" i="168"/>
  <c r="CK87" i="168"/>
  <c r="CK90" i="168"/>
  <c r="CL11" i="168"/>
  <c r="CL12" i="168"/>
  <c r="CL9" i="168"/>
  <c r="CL10" i="168"/>
  <c r="CL13" i="168"/>
  <c r="CL15" i="168"/>
  <c r="CL16" i="168"/>
  <c r="CL17" i="168"/>
  <c r="CL19" i="168"/>
  <c r="CL20" i="168"/>
  <c r="CL22" i="168"/>
  <c r="CL23" i="168"/>
  <c r="CL24" i="168"/>
  <c r="CL28" i="168"/>
  <c r="CL34" i="168"/>
  <c r="CL35" i="168"/>
  <c r="CL36" i="168"/>
  <c r="CL38" i="168"/>
  <c r="CL39" i="168"/>
  <c r="CL40" i="168"/>
  <c r="CL42" i="168"/>
  <c r="CL43" i="168"/>
  <c r="CL44" i="168"/>
  <c r="CL45" i="168"/>
  <c r="CL46" i="168"/>
  <c r="CL47" i="168"/>
  <c r="CL49" i="168"/>
  <c r="CL50" i="168"/>
  <c r="CL53" i="168"/>
  <c r="CL54" i="168"/>
  <c r="CL57" i="168"/>
  <c r="CL61" i="168"/>
  <c r="CL63" i="168"/>
  <c r="CL59" i="168"/>
  <c r="CL64" i="168"/>
  <c r="CL66" i="168"/>
  <c r="CL71" i="168"/>
  <c r="CL73" i="168"/>
  <c r="CL74" i="168"/>
  <c r="CL77" i="168"/>
  <c r="CL79" i="168"/>
  <c r="CL80" i="168"/>
  <c r="CL83" i="168"/>
  <c r="CL84" i="168"/>
  <c r="CL85" i="168"/>
  <c r="CL87" i="168"/>
  <c r="CL90" i="168"/>
  <c r="CM11" i="168"/>
  <c r="CM12" i="168"/>
  <c r="CM9" i="168"/>
  <c r="CM10" i="168"/>
  <c r="CM13" i="168"/>
  <c r="CM15" i="168"/>
  <c r="CM16" i="168"/>
  <c r="CM17" i="168"/>
  <c r="CM19" i="168"/>
  <c r="CM20" i="168"/>
  <c r="CM22" i="168"/>
  <c r="CM23" i="168"/>
  <c r="CM24" i="168"/>
  <c r="CM28" i="168"/>
  <c r="CM34" i="168"/>
  <c r="CM35" i="168"/>
  <c r="CM36" i="168"/>
  <c r="CM38" i="168"/>
  <c r="CM39" i="168"/>
  <c r="CM40" i="168"/>
  <c r="CM42" i="168"/>
  <c r="CM43" i="168"/>
  <c r="CM44" i="168"/>
  <c r="CM45" i="168"/>
  <c r="CM46" i="168"/>
  <c r="CM47" i="168"/>
  <c r="CM49" i="168"/>
  <c r="CM50" i="168"/>
  <c r="CM53" i="168"/>
  <c r="CM54" i="168"/>
  <c r="CM57" i="168"/>
  <c r="CM61" i="168"/>
  <c r="CM63" i="168"/>
  <c r="CM59" i="168"/>
  <c r="CM64" i="168"/>
  <c r="CM66" i="168"/>
  <c r="CM71" i="168"/>
  <c r="CM73" i="168"/>
  <c r="CM74" i="168"/>
  <c r="CM77" i="168"/>
  <c r="CM79" i="168"/>
  <c r="CM80" i="168"/>
  <c r="CM83" i="168"/>
  <c r="CM84" i="168"/>
  <c r="CM85" i="168"/>
  <c r="CM87" i="168"/>
  <c r="CM90" i="168"/>
  <c r="H55" i="175"/>
  <c r="CN11" i="168"/>
  <c r="CN12" i="168"/>
  <c r="CN9" i="168"/>
  <c r="CN10" i="168"/>
  <c r="CN13" i="168"/>
  <c r="CN15" i="168"/>
  <c r="CN16" i="168"/>
  <c r="CN17" i="168"/>
  <c r="CN19" i="168"/>
  <c r="CN20" i="168"/>
  <c r="CN22" i="168"/>
  <c r="CN23" i="168"/>
  <c r="CN24" i="168"/>
  <c r="CN28" i="168"/>
  <c r="CN34" i="168"/>
  <c r="CN35" i="168"/>
  <c r="CN36" i="168"/>
  <c r="CN38" i="168"/>
  <c r="CN39" i="168"/>
  <c r="CN40" i="168"/>
  <c r="CN42" i="168"/>
  <c r="CN43" i="168"/>
  <c r="CN44" i="168"/>
  <c r="CN45" i="168"/>
  <c r="CN46" i="168"/>
  <c r="CN47" i="168"/>
  <c r="CN49" i="168"/>
  <c r="CN50" i="168"/>
  <c r="CN53" i="168"/>
  <c r="CN54" i="168"/>
  <c r="CN57" i="168"/>
  <c r="CN61" i="168"/>
  <c r="CN63" i="168"/>
  <c r="CN59" i="168"/>
  <c r="CN64" i="168"/>
  <c r="CN66" i="168"/>
  <c r="CN71" i="168"/>
  <c r="CN73" i="168"/>
  <c r="CN74" i="168"/>
  <c r="CR11" i="168"/>
  <c r="CR12" i="168"/>
  <c r="CR9" i="168"/>
  <c r="CR10" i="168"/>
  <c r="CR13" i="168"/>
  <c r="CR15" i="168"/>
  <c r="CR16" i="168"/>
  <c r="CR17" i="168"/>
  <c r="I367" i="39"/>
  <c r="I368" i="39"/>
  <c r="I369" i="39"/>
  <c r="CR22" i="168"/>
  <c r="CR23" i="168"/>
  <c r="CR24" i="168"/>
  <c r="CR34" i="168"/>
  <c r="CR35" i="168"/>
  <c r="CR36" i="168"/>
  <c r="CR38" i="168"/>
  <c r="CR39" i="168"/>
  <c r="CR40" i="168"/>
  <c r="CR42" i="168"/>
  <c r="CR43" i="168"/>
  <c r="CR44" i="168"/>
  <c r="CR45" i="168"/>
  <c r="CR46" i="168"/>
  <c r="CR47" i="168"/>
  <c r="CR49" i="168"/>
  <c r="CR50" i="168"/>
  <c r="CR53" i="168"/>
  <c r="CR54" i="168"/>
  <c r="CR57" i="168"/>
  <c r="CR61" i="168"/>
  <c r="CR63" i="168"/>
  <c r="CR59" i="168"/>
  <c r="CR64" i="168"/>
  <c r="CR66" i="168"/>
  <c r="CR71" i="168"/>
  <c r="CR73" i="168"/>
  <c r="CR74" i="168"/>
  <c r="CR77" i="168"/>
  <c r="CR79" i="168"/>
  <c r="CR80" i="168"/>
  <c r="CR83" i="168"/>
  <c r="CR84" i="168"/>
  <c r="CR85" i="168"/>
  <c r="CR87" i="168"/>
  <c r="CS11" i="168"/>
  <c r="CS12" i="168"/>
  <c r="CS9" i="168"/>
  <c r="CS10" i="168"/>
  <c r="CS13" i="168"/>
  <c r="CS15" i="168"/>
  <c r="CS16" i="168"/>
  <c r="CS17" i="168"/>
  <c r="CS19" i="168"/>
  <c r="CS20" i="168"/>
  <c r="CS22" i="168"/>
  <c r="CS23" i="168"/>
  <c r="CS24" i="168"/>
  <c r="CS28" i="168"/>
  <c r="CS34" i="168"/>
  <c r="CS35" i="168"/>
  <c r="CS36" i="168"/>
  <c r="CS38" i="168"/>
  <c r="CS39" i="168"/>
  <c r="CS40" i="168"/>
  <c r="CS42" i="168"/>
  <c r="CS43" i="168"/>
  <c r="CS44" i="168"/>
  <c r="CS45" i="168"/>
  <c r="CS46" i="168"/>
  <c r="CS47" i="168"/>
  <c r="CS49" i="168"/>
  <c r="CS50" i="168"/>
  <c r="CS53" i="168"/>
  <c r="CS54" i="168"/>
  <c r="CS57" i="168"/>
  <c r="CS61" i="168"/>
  <c r="CS63" i="168"/>
  <c r="CS59" i="168"/>
  <c r="CS64" i="168"/>
  <c r="CS66" i="168"/>
  <c r="CS71" i="168"/>
  <c r="CS73" i="168"/>
  <c r="CS74" i="168"/>
  <c r="CS77" i="168"/>
  <c r="CS79" i="168"/>
  <c r="CS80" i="168"/>
  <c r="CS83" i="168"/>
  <c r="CS84" i="168"/>
  <c r="CS85" i="168"/>
  <c r="CS87" i="168"/>
  <c r="CS90" i="168"/>
  <c r="CT11" i="168"/>
  <c r="CT12" i="168"/>
  <c r="CT9" i="168"/>
  <c r="CT10" i="168"/>
  <c r="CT13" i="168"/>
  <c r="CT15" i="168"/>
  <c r="CT16" i="168"/>
  <c r="CT17" i="168"/>
  <c r="CT19" i="168"/>
  <c r="CT20" i="168"/>
  <c r="CT22" i="168"/>
  <c r="CT23" i="168"/>
  <c r="CT24" i="168"/>
  <c r="CT28" i="168"/>
  <c r="CT34" i="168"/>
  <c r="CT35" i="168"/>
  <c r="CT36" i="168"/>
  <c r="CT38" i="168"/>
  <c r="CT39" i="168"/>
  <c r="CT40" i="168"/>
  <c r="CT42" i="168"/>
  <c r="CT43" i="168"/>
  <c r="CT44" i="168"/>
  <c r="CT45" i="168"/>
  <c r="CT46" i="168"/>
  <c r="CT47" i="168"/>
  <c r="CT49" i="168"/>
  <c r="CT50" i="168"/>
  <c r="CT53" i="168"/>
  <c r="CT54" i="168"/>
  <c r="CT57" i="168"/>
  <c r="CT61" i="168"/>
  <c r="CT63" i="168"/>
  <c r="CT59" i="168"/>
  <c r="CT64" i="168"/>
  <c r="CT66" i="168"/>
  <c r="CT71" i="168"/>
  <c r="CT73" i="168"/>
  <c r="CT74" i="168"/>
  <c r="CT77" i="168"/>
  <c r="CT79" i="168"/>
  <c r="CT80" i="168"/>
  <c r="CT83" i="168"/>
  <c r="CT84" i="168"/>
  <c r="CT85" i="168"/>
  <c r="CT87" i="168"/>
  <c r="CT90" i="168"/>
  <c r="CU11" i="168"/>
  <c r="CU12" i="168"/>
  <c r="CU9" i="168"/>
  <c r="CU10" i="168"/>
  <c r="CU13" i="168"/>
  <c r="CU15" i="168"/>
  <c r="CU16" i="168"/>
  <c r="CU17" i="168"/>
  <c r="CU19" i="168"/>
  <c r="CU20" i="168"/>
  <c r="CU22" i="168"/>
  <c r="CU23" i="168"/>
  <c r="CU24" i="168"/>
  <c r="CU28" i="168"/>
  <c r="CU34" i="168"/>
  <c r="CU35" i="168"/>
  <c r="CU36" i="168"/>
  <c r="CU38" i="168"/>
  <c r="CU39" i="168"/>
  <c r="CU40" i="168"/>
  <c r="CU42" i="168"/>
  <c r="CU43" i="168"/>
  <c r="CU44" i="168"/>
  <c r="CU45" i="168"/>
  <c r="CU46" i="168"/>
  <c r="CU47" i="168"/>
  <c r="CU49" i="168"/>
  <c r="CU50" i="168"/>
  <c r="CU53" i="168"/>
  <c r="CU54" i="168"/>
  <c r="CU57" i="168"/>
  <c r="CU61" i="168"/>
  <c r="CU63" i="168"/>
  <c r="CU59" i="168"/>
  <c r="CU64" i="168"/>
  <c r="CU66" i="168"/>
  <c r="CU71" i="168"/>
  <c r="CU73" i="168"/>
  <c r="CU74" i="168"/>
  <c r="CU83" i="168"/>
  <c r="CU84" i="168"/>
  <c r="CU85" i="168"/>
  <c r="CU87" i="168"/>
  <c r="CU90" i="168"/>
  <c r="BP11" i="167"/>
  <c r="BP12" i="167"/>
  <c r="BP9" i="167"/>
  <c r="BP10" i="167"/>
  <c r="BP13" i="167"/>
  <c r="BP15" i="167"/>
  <c r="BP16" i="167"/>
  <c r="BP17" i="167"/>
  <c r="H202" i="39"/>
  <c r="H210" i="39"/>
  <c r="H284" i="39"/>
  <c r="H203" i="39"/>
  <c r="H211" i="39"/>
  <c r="H285" i="39"/>
  <c r="H204" i="39"/>
  <c r="H212" i="39"/>
  <c r="H286" i="39"/>
  <c r="H205" i="39"/>
  <c r="H213" i="39"/>
  <c r="H287" i="39"/>
  <c r="H288" i="39"/>
  <c r="H458" i="39"/>
  <c r="BP19" i="167"/>
  <c r="BP20" i="167"/>
  <c r="BP22" i="167"/>
  <c r="BP23" i="167"/>
  <c r="BP24" i="167"/>
  <c r="BP28" i="167"/>
  <c r="BP34" i="167"/>
  <c r="BP35" i="167"/>
  <c r="BP36" i="167"/>
  <c r="BP38" i="167"/>
  <c r="BP39" i="167"/>
  <c r="BP40" i="167"/>
  <c r="BP42" i="167"/>
  <c r="BP43" i="167"/>
  <c r="BP44" i="167"/>
  <c r="BP45" i="167"/>
  <c r="BP46" i="167"/>
  <c r="BP47" i="167"/>
  <c r="BP49" i="167"/>
  <c r="BP50" i="167"/>
  <c r="BP53" i="167"/>
  <c r="BP54" i="167"/>
  <c r="BP57" i="167"/>
  <c r="BP61" i="167"/>
  <c r="BP63" i="167"/>
  <c r="BP59" i="167"/>
  <c r="BP64" i="167"/>
  <c r="BP66" i="167"/>
  <c r="BP71" i="167"/>
  <c r="BP73" i="167"/>
  <c r="BP74" i="167"/>
  <c r="BP77" i="167"/>
  <c r="BP79" i="167"/>
  <c r="BP80" i="167"/>
  <c r="BP83" i="167"/>
  <c r="BP84" i="167"/>
  <c r="BP85" i="167"/>
  <c r="BP87" i="167"/>
  <c r="BP90" i="167"/>
  <c r="BQ11" i="167"/>
  <c r="BQ12" i="167"/>
  <c r="BQ9" i="167"/>
  <c r="BQ10" i="167"/>
  <c r="BQ13" i="167"/>
  <c r="BQ15" i="167"/>
  <c r="BQ16" i="167"/>
  <c r="BQ17" i="167"/>
  <c r="H291" i="39"/>
  <c r="H292" i="39"/>
  <c r="H293" i="39"/>
  <c r="H294" i="39"/>
  <c r="H295" i="39"/>
  <c r="H459" i="39"/>
  <c r="BQ19" i="167"/>
  <c r="BQ20" i="167"/>
  <c r="BQ22" i="167"/>
  <c r="BQ23" i="167"/>
  <c r="BQ24" i="167"/>
  <c r="BQ28" i="167"/>
  <c r="BQ34" i="167"/>
  <c r="BQ35" i="167"/>
  <c r="BQ36" i="167"/>
  <c r="BQ38" i="167"/>
  <c r="BQ39" i="167"/>
  <c r="BQ40" i="167"/>
  <c r="BQ42" i="167"/>
  <c r="BQ43" i="167"/>
  <c r="BQ44" i="167"/>
  <c r="BQ45" i="167"/>
  <c r="BQ46" i="167"/>
  <c r="BQ47" i="167"/>
  <c r="BQ49" i="167"/>
  <c r="BQ50" i="167"/>
  <c r="BQ53" i="167"/>
  <c r="BQ54" i="167"/>
  <c r="BQ57" i="167"/>
  <c r="BQ61" i="167"/>
  <c r="BQ63" i="167"/>
  <c r="BQ59" i="167"/>
  <c r="BQ64" i="167"/>
  <c r="BQ66" i="167"/>
  <c r="BQ71" i="167"/>
  <c r="BQ73" i="167"/>
  <c r="BQ74" i="167"/>
  <c r="BQ77" i="167"/>
  <c r="BQ79" i="167"/>
  <c r="BQ80" i="167"/>
  <c r="BQ83" i="167"/>
  <c r="BQ84" i="167"/>
  <c r="BQ85" i="167"/>
  <c r="BQ87" i="167"/>
  <c r="BQ90" i="167"/>
  <c r="BR11" i="167"/>
  <c r="BR12" i="167"/>
  <c r="BR9" i="167"/>
  <c r="BR10" i="167"/>
  <c r="BR13" i="167"/>
  <c r="BR15" i="167"/>
  <c r="BR16" i="167"/>
  <c r="BR17" i="167"/>
  <c r="H298" i="39"/>
  <c r="H299" i="39"/>
  <c r="H300" i="39"/>
  <c r="H301" i="39"/>
  <c r="H302" i="39"/>
  <c r="H460" i="39"/>
  <c r="BR19" i="167"/>
  <c r="BR20" i="167"/>
  <c r="BR22" i="167"/>
  <c r="BR23" i="167"/>
  <c r="BR24" i="167"/>
  <c r="BR28" i="167"/>
  <c r="BR34" i="167"/>
  <c r="BR35" i="167"/>
  <c r="BR36" i="167"/>
  <c r="BR38" i="167"/>
  <c r="BR39" i="167"/>
  <c r="BR40" i="167"/>
  <c r="BR42" i="167"/>
  <c r="BR43" i="167"/>
  <c r="BR44" i="167"/>
  <c r="BR45" i="167"/>
  <c r="BR46" i="167"/>
  <c r="BR47" i="167"/>
  <c r="BR49" i="167"/>
  <c r="BR50" i="167"/>
  <c r="BR53" i="167"/>
  <c r="BR54" i="167"/>
  <c r="BR57" i="167"/>
  <c r="BR61" i="167"/>
  <c r="BR63" i="167"/>
  <c r="BR59" i="167"/>
  <c r="BR64" i="167"/>
  <c r="BR66" i="167"/>
  <c r="BR71" i="167"/>
  <c r="BR73" i="167"/>
  <c r="BR74" i="167"/>
  <c r="BR77" i="167"/>
  <c r="BR79" i="167"/>
  <c r="BR80" i="167"/>
  <c r="BR83" i="167"/>
  <c r="BR84" i="167"/>
  <c r="BR85" i="167"/>
  <c r="BR87" i="167"/>
  <c r="BR90" i="167"/>
  <c r="BS11" i="167"/>
  <c r="BS12" i="167"/>
  <c r="BS9" i="167"/>
  <c r="BS10" i="167"/>
  <c r="BS13" i="167"/>
  <c r="BS15" i="167"/>
  <c r="BS16" i="167"/>
  <c r="BS17" i="167"/>
  <c r="H305" i="39"/>
  <c r="H306" i="39"/>
  <c r="H307" i="39"/>
  <c r="H308" i="39"/>
  <c r="H309" i="39"/>
  <c r="H461" i="39"/>
  <c r="BS19" i="167"/>
  <c r="BS20" i="167"/>
  <c r="BS22" i="167"/>
  <c r="BS23" i="167"/>
  <c r="BS24" i="167"/>
  <c r="BS28" i="167"/>
  <c r="BS34" i="167"/>
  <c r="BS35" i="167"/>
  <c r="BS36" i="167"/>
  <c r="BS38" i="167"/>
  <c r="BS39" i="167"/>
  <c r="BS40" i="167"/>
  <c r="BS42" i="167"/>
  <c r="BS43" i="167"/>
  <c r="BS44" i="167"/>
  <c r="BS45" i="167"/>
  <c r="BS46" i="167"/>
  <c r="BS47" i="167"/>
  <c r="BS49" i="167"/>
  <c r="BS50" i="167"/>
  <c r="BS53" i="167"/>
  <c r="BS54" i="167"/>
  <c r="BS57" i="167"/>
  <c r="BS61" i="167"/>
  <c r="BS63" i="167"/>
  <c r="BS59" i="167"/>
  <c r="BS64" i="167"/>
  <c r="BS66" i="167"/>
  <c r="BS71" i="167"/>
  <c r="BS73" i="167"/>
  <c r="BS74" i="167"/>
  <c r="BS77" i="167"/>
  <c r="BS79" i="167"/>
  <c r="BS80" i="167"/>
  <c r="BS83" i="167"/>
  <c r="BS84" i="167"/>
  <c r="BS85" i="167"/>
  <c r="BS87" i="167"/>
  <c r="BS90" i="167"/>
  <c r="G50" i="175"/>
  <c r="BT11" i="167"/>
  <c r="BT12" i="167"/>
  <c r="BT9" i="167"/>
  <c r="BT10" i="167"/>
  <c r="BT13" i="167"/>
  <c r="BT15" i="167"/>
  <c r="BT16" i="167"/>
  <c r="BT17" i="167"/>
  <c r="BT19" i="167"/>
  <c r="BT20" i="167"/>
  <c r="BT22" i="167"/>
  <c r="BT23" i="167"/>
  <c r="BT24" i="167"/>
  <c r="BT28" i="167"/>
  <c r="BT34" i="167"/>
  <c r="BT35" i="167"/>
  <c r="BT36" i="167"/>
  <c r="BT38" i="167"/>
  <c r="BT39" i="167"/>
  <c r="BT40" i="167"/>
  <c r="BT42" i="167"/>
  <c r="BT43" i="167"/>
  <c r="BT44" i="167"/>
  <c r="BT45" i="167"/>
  <c r="BT46" i="167"/>
  <c r="BT47" i="167"/>
  <c r="BT49" i="167"/>
  <c r="BT50" i="167"/>
  <c r="BT53" i="167"/>
  <c r="BT54" i="167"/>
  <c r="BT57" i="167"/>
  <c r="BT61" i="167"/>
  <c r="BT63" i="167"/>
  <c r="BT59" i="167"/>
  <c r="BT64" i="167"/>
  <c r="BT66" i="167"/>
  <c r="BT71" i="167"/>
  <c r="BT73" i="167"/>
  <c r="BT74" i="167"/>
  <c r="BT77" i="167"/>
  <c r="BT79" i="167"/>
  <c r="BT80" i="167"/>
  <c r="BT83" i="167"/>
  <c r="BT84" i="167"/>
  <c r="BT85" i="167"/>
  <c r="BT87" i="167"/>
  <c r="BT90" i="167"/>
  <c r="BU11" i="167"/>
  <c r="BU12" i="167"/>
  <c r="BU9" i="167"/>
  <c r="BU10" i="167"/>
  <c r="BU13" i="167"/>
  <c r="BU15" i="167"/>
  <c r="BU16" i="167"/>
  <c r="BU17" i="167"/>
  <c r="BU19" i="167"/>
  <c r="BU20" i="167"/>
  <c r="BU22" i="167"/>
  <c r="BU23" i="167"/>
  <c r="BU24" i="167"/>
  <c r="BU28" i="167"/>
  <c r="BU34" i="167"/>
  <c r="BU35" i="167"/>
  <c r="BU36" i="167"/>
  <c r="BU38" i="167"/>
  <c r="BU39" i="167"/>
  <c r="BU40" i="167"/>
  <c r="BU42" i="167"/>
  <c r="BU43" i="167"/>
  <c r="BU44" i="167"/>
  <c r="BU45" i="167"/>
  <c r="BU46" i="167"/>
  <c r="BU47" i="167"/>
  <c r="BU49" i="167"/>
  <c r="BU50" i="167"/>
  <c r="BU53" i="167"/>
  <c r="BU54" i="167"/>
  <c r="BU57" i="167"/>
  <c r="BU61" i="167"/>
  <c r="BU63" i="167"/>
  <c r="BU59" i="167"/>
  <c r="BU64" i="167"/>
  <c r="BU66" i="167"/>
  <c r="BU71" i="167"/>
  <c r="BU73" i="167"/>
  <c r="BU74" i="167"/>
  <c r="BU77" i="167"/>
  <c r="BU79" i="167"/>
  <c r="BU80" i="167"/>
  <c r="BU83" i="167"/>
  <c r="BU84" i="167"/>
  <c r="BU85" i="167"/>
  <c r="BU87" i="167"/>
  <c r="BU90" i="167"/>
  <c r="BV11" i="167"/>
  <c r="BV12" i="167"/>
  <c r="BV9" i="167"/>
  <c r="BV10" i="167"/>
  <c r="BV13" i="167"/>
  <c r="BV15" i="167"/>
  <c r="BV16" i="167"/>
  <c r="BV17" i="167"/>
  <c r="BV19" i="167"/>
  <c r="BV20" i="167"/>
  <c r="BV22" i="167"/>
  <c r="BV23" i="167"/>
  <c r="BV24" i="167"/>
  <c r="BV28" i="167"/>
  <c r="BV34" i="167"/>
  <c r="BV35" i="167"/>
  <c r="BV36" i="167"/>
  <c r="BV38" i="167"/>
  <c r="BV39" i="167"/>
  <c r="BV40" i="167"/>
  <c r="BV42" i="167"/>
  <c r="BV43" i="167"/>
  <c r="BV44" i="167"/>
  <c r="BV45" i="167"/>
  <c r="BV46" i="167"/>
  <c r="BV47" i="167"/>
  <c r="BV49" i="167"/>
  <c r="BV50" i="167"/>
  <c r="BV53" i="167"/>
  <c r="BV54" i="167"/>
  <c r="BV57" i="167"/>
  <c r="BV61" i="167"/>
  <c r="BV63" i="167"/>
  <c r="BV59" i="167"/>
  <c r="BV64" i="167"/>
  <c r="BV66" i="167"/>
  <c r="BV71" i="167"/>
  <c r="BV73" i="167"/>
  <c r="BV74" i="167"/>
  <c r="BV77" i="167"/>
  <c r="BV79" i="167"/>
  <c r="BV80" i="167"/>
  <c r="BV83" i="167"/>
  <c r="BV84" i="167"/>
  <c r="BV85" i="167"/>
  <c r="BV87" i="167"/>
  <c r="BV90" i="167"/>
  <c r="BW11" i="167"/>
  <c r="BW12" i="167"/>
  <c r="BW9" i="167"/>
  <c r="BW10" i="167"/>
  <c r="BW13" i="167"/>
  <c r="BW15" i="167"/>
  <c r="BW16" i="167"/>
  <c r="BW17" i="167"/>
  <c r="BW19" i="167"/>
  <c r="BW20" i="167"/>
  <c r="BW22" i="167"/>
  <c r="BW23" i="167"/>
  <c r="BW24" i="167"/>
  <c r="BW28" i="167"/>
  <c r="BW34" i="167"/>
  <c r="BW35" i="167"/>
  <c r="BW36" i="167"/>
  <c r="BW38" i="167"/>
  <c r="BW39" i="167"/>
  <c r="BW40" i="167"/>
  <c r="BW42" i="167"/>
  <c r="BW43" i="167"/>
  <c r="BW44" i="167"/>
  <c r="BW45" i="167"/>
  <c r="BW46" i="167"/>
  <c r="BW47" i="167"/>
  <c r="BW49" i="167"/>
  <c r="BW50" i="167"/>
  <c r="BW53" i="167"/>
  <c r="BW54" i="167"/>
  <c r="BW57" i="167"/>
  <c r="BW61" i="167"/>
  <c r="BW63" i="167"/>
  <c r="BW59" i="167"/>
  <c r="BW64" i="167"/>
  <c r="BW66" i="167"/>
  <c r="BW71" i="167"/>
  <c r="BW73" i="167"/>
  <c r="BW74" i="167"/>
  <c r="BW77" i="167"/>
  <c r="BW79" i="167"/>
  <c r="BW80" i="167"/>
  <c r="BW83" i="167"/>
  <c r="BW84" i="167"/>
  <c r="BW85" i="167"/>
  <c r="BW87" i="167"/>
  <c r="BW90" i="167"/>
  <c r="G51" i="175"/>
  <c r="BX11" i="167"/>
  <c r="BX12" i="167"/>
  <c r="BX9" i="167"/>
  <c r="BX10" i="167"/>
  <c r="BX13" i="167"/>
  <c r="BX15" i="167"/>
  <c r="BX16" i="167"/>
  <c r="BX17" i="167"/>
  <c r="BX19" i="167"/>
  <c r="BX20" i="167"/>
  <c r="BX22" i="167"/>
  <c r="BX23" i="167"/>
  <c r="BX24" i="167"/>
  <c r="BX28" i="167"/>
  <c r="BX34" i="167"/>
  <c r="BX35" i="167"/>
  <c r="BX36" i="167"/>
  <c r="BX38" i="167"/>
  <c r="BX39" i="167"/>
  <c r="BX40" i="167"/>
  <c r="BX42" i="167"/>
  <c r="BX43" i="167"/>
  <c r="BX44" i="167"/>
  <c r="BX45" i="167"/>
  <c r="BX46" i="167"/>
  <c r="BX47" i="167"/>
  <c r="BX49" i="167"/>
  <c r="BX50" i="167"/>
  <c r="BX53" i="167"/>
  <c r="BX54" i="167"/>
  <c r="BX57" i="167"/>
  <c r="BX61" i="167"/>
  <c r="BX63" i="167"/>
  <c r="BX59" i="167"/>
  <c r="BX64" i="167"/>
  <c r="BX66" i="167"/>
  <c r="BX71" i="167"/>
  <c r="BX73" i="167"/>
  <c r="BX74" i="167"/>
  <c r="BX77" i="167"/>
  <c r="BX79" i="167"/>
  <c r="BX80" i="167"/>
  <c r="BX83" i="167"/>
  <c r="BX84" i="167"/>
  <c r="BX85" i="167"/>
  <c r="BX87" i="167"/>
  <c r="BX90" i="167"/>
  <c r="BY11" i="167"/>
  <c r="BY12" i="167"/>
  <c r="BY9" i="167"/>
  <c r="BY10" i="167"/>
  <c r="BY13" i="167"/>
  <c r="BY15" i="167"/>
  <c r="BY16" i="167"/>
  <c r="BY17" i="167"/>
  <c r="BY19" i="167"/>
  <c r="BY20" i="167"/>
  <c r="BY22" i="167"/>
  <c r="BY23" i="167"/>
  <c r="BY24" i="167"/>
  <c r="BY28" i="167"/>
  <c r="BY34" i="167"/>
  <c r="H448" i="112"/>
  <c r="H449" i="112"/>
  <c r="H562" i="112"/>
  <c r="BY35" i="167"/>
  <c r="BY36" i="167"/>
  <c r="BY38" i="167"/>
  <c r="BY39" i="167"/>
  <c r="BY40" i="167"/>
  <c r="BY42" i="167"/>
  <c r="BY43" i="167"/>
  <c r="BY44" i="167"/>
  <c r="BY45" i="167"/>
  <c r="BY46" i="167"/>
  <c r="BY47" i="167"/>
  <c r="BY49" i="167"/>
  <c r="BY50" i="167"/>
  <c r="BY53" i="167"/>
  <c r="BY54" i="167"/>
  <c r="BY57" i="167"/>
  <c r="BY61" i="167"/>
  <c r="BY63" i="167"/>
  <c r="BY59" i="167"/>
  <c r="BY64" i="167"/>
  <c r="BY66" i="167"/>
  <c r="BY71" i="167"/>
  <c r="BY73" i="167"/>
  <c r="BY74" i="167"/>
  <c r="BY77" i="167"/>
  <c r="BY79" i="167"/>
  <c r="BY80" i="167"/>
  <c r="BY83" i="167"/>
  <c r="BY84" i="167"/>
  <c r="BY85" i="167"/>
  <c r="BY87" i="167"/>
  <c r="BY90" i="167"/>
  <c r="BZ11" i="167"/>
  <c r="BZ12" i="167"/>
  <c r="BZ9" i="167"/>
  <c r="BZ10" i="167"/>
  <c r="BZ13" i="167"/>
  <c r="BZ15" i="167"/>
  <c r="BZ16" i="167"/>
  <c r="BZ17" i="167"/>
  <c r="BZ19" i="167"/>
  <c r="BZ20" i="167"/>
  <c r="BZ22" i="167"/>
  <c r="BZ23" i="167"/>
  <c r="BZ24" i="167"/>
  <c r="BZ28" i="167"/>
  <c r="BZ34" i="167"/>
  <c r="H450" i="112"/>
  <c r="H563" i="112"/>
  <c r="BZ35" i="167"/>
  <c r="BZ36" i="167"/>
  <c r="BZ38" i="167"/>
  <c r="BZ39" i="167"/>
  <c r="BZ40" i="167"/>
  <c r="BZ42" i="167"/>
  <c r="BZ43" i="167"/>
  <c r="BZ44" i="167"/>
  <c r="BZ45" i="167"/>
  <c r="BZ46" i="167"/>
  <c r="BZ47" i="167"/>
  <c r="BZ49" i="167"/>
  <c r="BZ50" i="167"/>
  <c r="BZ53" i="167"/>
  <c r="BZ54" i="167"/>
  <c r="BZ57" i="167"/>
  <c r="BZ61" i="167"/>
  <c r="BZ63" i="167"/>
  <c r="BZ59" i="167"/>
  <c r="BZ64" i="167"/>
  <c r="BZ66" i="167"/>
  <c r="BZ71" i="167"/>
  <c r="BZ73" i="167"/>
  <c r="BZ74" i="167"/>
  <c r="BZ77" i="167"/>
  <c r="BZ79" i="167"/>
  <c r="BZ80" i="167"/>
  <c r="BZ83" i="167"/>
  <c r="BZ84" i="167"/>
  <c r="BZ85" i="167"/>
  <c r="BZ87" i="167"/>
  <c r="BZ90" i="167"/>
  <c r="CA11" i="167"/>
  <c r="CA12" i="167"/>
  <c r="CA9" i="167"/>
  <c r="CA10" i="167"/>
  <c r="CA13" i="167"/>
  <c r="CA15" i="167"/>
  <c r="CA16" i="167"/>
  <c r="CA17" i="167"/>
  <c r="CA19" i="167"/>
  <c r="CA20" i="167"/>
  <c r="CA22" i="167"/>
  <c r="CA23" i="167"/>
  <c r="CA24" i="167"/>
  <c r="CA28" i="167"/>
  <c r="CA34" i="167"/>
  <c r="CA35" i="167"/>
  <c r="CA36" i="167"/>
  <c r="CA38" i="167"/>
  <c r="CA39" i="167"/>
  <c r="CA40" i="167"/>
  <c r="CA42" i="167"/>
  <c r="CA43" i="167"/>
  <c r="CA44" i="167"/>
  <c r="CA45" i="167"/>
  <c r="CA46" i="167"/>
  <c r="CA47" i="167"/>
  <c r="CA49" i="167"/>
  <c r="CA50" i="167"/>
  <c r="CA53" i="167"/>
  <c r="CA54" i="167"/>
  <c r="CA57" i="167"/>
  <c r="CA61" i="167"/>
  <c r="CA63" i="167"/>
  <c r="CA59" i="167"/>
  <c r="CA64" i="167"/>
  <c r="CA66" i="167"/>
  <c r="CA71" i="167"/>
  <c r="CA73" i="167"/>
  <c r="CA74" i="167"/>
  <c r="CA77" i="167"/>
  <c r="CA79" i="167"/>
  <c r="CA80" i="167"/>
  <c r="CA83" i="167"/>
  <c r="CA84" i="167"/>
  <c r="CA85" i="167"/>
  <c r="CA87" i="167"/>
  <c r="CA90" i="167"/>
  <c r="G52" i="175"/>
  <c r="CB11" i="167"/>
  <c r="CB12" i="167"/>
  <c r="CB9" i="167"/>
  <c r="CB10" i="167"/>
  <c r="CB13" i="167"/>
  <c r="CB15" i="167"/>
  <c r="CB16" i="167"/>
  <c r="CB17" i="167"/>
  <c r="CB19" i="167"/>
  <c r="CB20" i="167"/>
  <c r="CB22" i="167"/>
  <c r="CB23" i="167"/>
  <c r="CB24" i="167"/>
  <c r="CB28" i="167"/>
  <c r="CB34" i="167"/>
  <c r="H454" i="112"/>
  <c r="H455" i="112"/>
  <c r="H48" i="112"/>
  <c r="H303" i="112"/>
  <c r="H456" i="112"/>
  <c r="H457" i="112"/>
  <c r="H458" i="112"/>
  <c r="H459" i="112"/>
  <c r="H564" i="112"/>
  <c r="CB35" i="167"/>
  <c r="CB36" i="167"/>
  <c r="CB38" i="167"/>
  <c r="CB39" i="167"/>
  <c r="CB40" i="167"/>
  <c r="CB42" i="167"/>
  <c r="CB43" i="167"/>
  <c r="CB44" i="167"/>
  <c r="CB45" i="167"/>
  <c r="CB46" i="167"/>
  <c r="CB47" i="167"/>
  <c r="CB49" i="167"/>
  <c r="CB50" i="167"/>
  <c r="CB53" i="167"/>
  <c r="CB54" i="167"/>
  <c r="CB57" i="167"/>
  <c r="CB61" i="167"/>
  <c r="CB63" i="167"/>
  <c r="CB59" i="167"/>
  <c r="CB64" i="167"/>
  <c r="CB66" i="167"/>
  <c r="CB71" i="167"/>
  <c r="CB73" i="167"/>
  <c r="CB74" i="167"/>
  <c r="CB77" i="167"/>
  <c r="CB79" i="167"/>
  <c r="CB80" i="167"/>
  <c r="CB83" i="167"/>
  <c r="CB84" i="167"/>
  <c r="CB85" i="167"/>
  <c r="CB87" i="167"/>
  <c r="CB90" i="167"/>
  <c r="CC11" i="167"/>
  <c r="CC12" i="167"/>
  <c r="CC9" i="167"/>
  <c r="CC10" i="167"/>
  <c r="CC13" i="167"/>
  <c r="CC15" i="167"/>
  <c r="CC16" i="167"/>
  <c r="CC17" i="167"/>
  <c r="CC19" i="167"/>
  <c r="CC20" i="167"/>
  <c r="CC22" i="167"/>
  <c r="CC23" i="167"/>
  <c r="CC24" i="167"/>
  <c r="CC28" i="167"/>
  <c r="CC34" i="167"/>
  <c r="CC35" i="167"/>
  <c r="CC36" i="167"/>
  <c r="CC38" i="167"/>
  <c r="CC39" i="167"/>
  <c r="CC40" i="167"/>
  <c r="CC42" i="167"/>
  <c r="CC43" i="167"/>
  <c r="CC44" i="167"/>
  <c r="CC45" i="167"/>
  <c r="CC46" i="167"/>
  <c r="CC47" i="167"/>
  <c r="CC49" i="167"/>
  <c r="CC50" i="167"/>
  <c r="CC53" i="167"/>
  <c r="CC54" i="167"/>
  <c r="CC57" i="167"/>
  <c r="CC61" i="167"/>
  <c r="CC63" i="167"/>
  <c r="CC59" i="167"/>
  <c r="CC64" i="167"/>
  <c r="CC66" i="167"/>
  <c r="CC71" i="167"/>
  <c r="CC73" i="167"/>
  <c r="CC74" i="167"/>
  <c r="CC77" i="167"/>
  <c r="CC79" i="167"/>
  <c r="CC80" i="167"/>
  <c r="CC83" i="167"/>
  <c r="CC84" i="167"/>
  <c r="CC85" i="167"/>
  <c r="CC87" i="167"/>
  <c r="CC90" i="167"/>
  <c r="CD11" i="167"/>
  <c r="CD12" i="167"/>
  <c r="CD9" i="167"/>
  <c r="CD10" i="167"/>
  <c r="CD13" i="167"/>
  <c r="CD15" i="167"/>
  <c r="CD16" i="167"/>
  <c r="CD17" i="167"/>
  <c r="CD19" i="167"/>
  <c r="CD20" i="167"/>
  <c r="CD22" i="167"/>
  <c r="CD23" i="167"/>
  <c r="CD24" i="167"/>
  <c r="CD28" i="167"/>
  <c r="CD34" i="167"/>
  <c r="CD35" i="167"/>
  <c r="CD36" i="167"/>
  <c r="CD38" i="167"/>
  <c r="CD39" i="167"/>
  <c r="CD40" i="167"/>
  <c r="CD42" i="167"/>
  <c r="CD43" i="167"/>
  <c r="CD44" i="167"/>
  <c r="CD45" i="167"/>
  <c r="CD46" i="167"/>
  <c r="CD47" i="167"/>
  <c r="CD49" i="167"/>
  <c r="CD50" i="167"/>
  <c r="CD53" i="167"/>
  <c r="CD54" i="167"/>
  <c r="CD57" i="167"/>
  <c r="CD61" i="167"/>
  <c r="CD63" i="167"/>
  <c r="CD59" i="167"/>
  <c r="CD64" i="167"/>
  <c r="CD66" i="167"/>
  <c r="CD71" i="167"/>
  <c r="CD73" i="167"/>
  <c r="CD74" i="167"/>
  <c r="CD77" i="167"/>
  <c r="CD79" i="167"/>
  <c r="CD80" i="167"/>
  <c r="CD83" i="167"/>
  <c r="CD84" i="167"/>
  <c r="CD85" i="167"/>
  <c r="CD87" i="167"/>
  <c r="CD90" i="167"/>
  <c r="CE11" i="167"/>
  <c r="CE12" i="167"/>
  <c r="CE9" i="167"/>
  <c r="CE10" i="167"/>
  <c r="CE13" i="167"/>
  <c r="CE15" i="167"/>
  <c r="CE16" i="167"/>
  <c r="CE17" i="167"/>
  <c r="CE19" i="167"/>
  <c r="CE20" i="167"/>
  <c r="CE22" i="167"/>
  <c r="CE23" i="167"/>
  <c r="CE24" i="167"/>
  <c r="CE28" i="167"/>
  <c r="CE34" i="167"/>
  <c r="CE35" i="167"/>
  <c r="CE36" i="167"/>
  <c r="CE38" i="167"/>
  <c r="CE39" i="167"/>
  <c r="CE40" i="167"/>
  <c r="CE42" i="167"/>
  <c r="CE43" i="167"/>
  <c r="CE44" i="167"/>
  <c r="CE45" i="167"/>
  <c r="CE46" i="167"/>
  <c r="CE47" i="167"/>
  <c r="CE49" i="167"/>
  <c r="CE50" i="167"/>
  <c r="CE53" i="167"/>
  <c r="CE54" i="167"/>
  <c r="CE57" i="167"/>
  <c r="CE61" i="167"/>
  <c r="CE63" i="167"/>
  <c r="CE59" i="167"/>
  <c r="CE64" i="167"/>
  <c r="CE66" i="167"/>
  <c r="CE71" i="167"/>
  <c r="CE73" i="167"/>
  <c r="CE74" i="167"/>
  <c r="CE77" i="167"/>
  <c r="CE79" i="167"/>
  <c r="CE80" i="167"/>
  <c r="CE83" i="167"/>
  <c r="CE84" i="167"/>
  <c r="CE85" i="167"/>
  <c r="CE87" i="167"/>
  <c r="CE90" i="167"/>
  <c r="G53" i="175"/>
  <c r="CF11" i="167"/>
  <c r="CF12" i="167"/>
  <c r="CF9" i="167"/>
  <c r="CF10" i="167"/>
  <c r="CF13" i="167"/>
  <c r="CF15" i="167"/>
  <c r="CF16" i="167"/>
  <c r="CF17" i="167"/>
  <c r="CF19" i="167"/>
  <c r="CF20" i="167"/>
  <c r="CF22" i="167"/>
  <c r="CF23" i="167"/>
  <c r="CF24" i="167"/>
  <c r="CF28" i="167"/>
  <c r="H541" i="113"/>
  <c r="CF34" i="167"/>
  <c r="CF35" i="167"/>
  <c r="CF36" i="167"/>
  <c r="CF38" i="167"/>
  <c r="CF39" i="167"/>
  <c r="CF40" i="167"/>
  <c r="CF42" i="167"/>
  <c r="CF43" i="167"/>
  <c r="CF44" i="167"/>
  <c r="CF45" i="167"/>
  <c r="CF46" i="167"/>
  <c r="CF47" i="167"/>
  <c r="CF49" i="167"/>
  <c r="CF50" i="167"/>
  <c r="CF53" i="167"/>
  <c r="CF54" i="167"/>
  <c r="CF57" i="167"/>
  <c r="CF61" i="167"/>
  <c r="CF63" i="167"/>
  <c r="CF59" i="167"/>
  <c r="CF64" i="167"/>
  <c r="CF66" i="167"/>
  <c r="CF71" i="167"/>
  <c r="CF73" i="167"/>
  <c r="CF74" i="167"/>
  <c r="CF77" i="167"/>
  <c r="CF79" i="167"/>
  <c r="CF80" i="167"/>
  <c r="CF83" i="167"/>
  <c r="CF84" i="167"/>
  <c r="CF85" i="167"/>
  <c r="CF87" i="167"/>
  <c r="CF90" i="167"/>
  <c r="CG11" i="167"/>
  <c r="CG12" i="167"/>
  <c r="CG9" i="167"/>
  <c r="CG10" i="167"/>
  <c r="CG13" i="167"/>
  <c r="CG15" i="167"/>
  <c r="CG16" i="167"/>
  <c r="CG17" i="167"/>
  <c r="CG19" i="167"/>
  <c r="CG20" i="167"/>
  <c r="CG22" i="167"/>
  <c r="CG23" i="167"/>
  <c r="CG24" i="167"/>
  <c r="CG28" i="167"/>
  <c r="H393" i="113"/>
  <c r="H394" i="113"/>
  <c r="H410" i="113"/>
  <c r="H412" i="113"/>
  <c r="H542" i="113"/>
  <c r="CG34" i="167"/>
  <c r="CG35" i="167"/>
  <c r="CG36" i="167"/>
  <c r="CG38" i="167"/>
  <c r="CG39" i="167"/>
  <c r="CG40" i="167"/>
  <c r="CG42" i="167"/>
  <c r="CG43" i="167"/>
  <c r="CG44" i="167"/>
  <c r="CG45" i="167"/>
  <c r="CG46" i="167"/>
  <c r="CG47" i="167"/>
  <c r="CG49" i="167"/>
  <c r="CG50" i="167"/>
  <c r="CG53" i="167"/>
  <c r="CG54" i="167"/>
  <c r="CG57" i="167"/>
  <c r="CG61" i="167"/>
  <c r="CG63" i="167"/>
  <c r="CG59" i="167"/>
  <c r="CG64" i="167"/>
  <c r="CG66" i="167"/>
  <c r="CG71" i="167"/>
  <c r="CG73" i="167"/>
  <c r="CG74" i="167"/>
  <c r="CG77" i="167"/>
  <c r="CG79" i="167"/>
  <c r="CG80" i="167"/>
  <c r="CG83" i="167"/>
  <c r="CG84" i="167"/>
  <c r="CG85" i="167"/>
  <c r="CG87" i="167"/>
  <c r="CG90" i="167"/>
  <c r="CH11" i="167"/>
  <c r="CH12" i="167"/>
  <c r="CH9" i="167"/>
  <c r="CH10" i="167"/>
  <c r="CH13" i="167"/>
  <c r="CH15" i="167"/>
  <c r="CH16" i="167"/>
  <c r="CH17" i="167"/>
  <c r="CH19" i="167"/>
  <c r="CH20" i="167"/>
  <c r="CH22" i="167"/>
  <c r="CH23" i="167"/>
  <c r="CH24" i="167"/>
  <c r="CH28" i="167"/>
  <c r="H405" i="113"/>
  <c r="H543" i="113"/>
  <c r="CH34" i="167"/>
  <c r="CH35" i="167"/>
  <c r="CH36" i="167"/>
  <c r="CH38" i="167"/>
  <c r="CH39" i="167"/>
  <c r="CH40" i="167"/>
  <c r="CH42" i="167"/>
  <c r="CH43" i="167"/>
  <c r="CH44" i="167"/>
  <c r="CH45" i="167"/>
  <c r="CH46" i="167"/>
  <c r="CH47" i="167"/>
  <c r="CH49" i="167"/>
  <c r="CH50" i="167"/>
  <c r="CH53" i="167"/>
  <c r="CH54" i="167"/>
  <c r="CH57" i="167"/>
  <c r="CH61" i="167"/>
  <c r="CH63" i="167"/>
  <c r="CH59" i="167"/>
  <c r="CH64" i="167"/>
  <c r="CH66" i="167"/>
  <c r="CH71" i="167"/>
  <c r="CH73" i="167"/>
  <c r="CH74" i="167"/>
  <c r="CH77" i="167"/>
  <c r="CH79" i="167"/>
  <c r="CH80" i="167"/>
  <c r="CH83" i="167"/>
  <c r="CH84" i="167"/>
  <c r="CH85" i="167"/>
  <c r="CH87" i="167"/>
  <c r="CH90" i="167"/>
  <c r="CI11" i="167"/>
  <c r="CI12" i="167"/>
  <c r="CI9" i="167"/>
  <c r="CI10" i="167"/>
  <c r="CI13" i="167"/>
  <c r="CI15" i="167"/>
  <c r="CI16" i="167"/>
  <c r="CI17" i="167"/>
  <c r="CI19" i="167"/>
  <c r="CI20" i="167"/>
  <c r="CI22" i="167"/>
  <c r="CI23" i="167"/>
  <c r="CI24" i="167"/>
  <c r="CI28" i="167"/>
  <c r="CI34" i="167"/>
  <c r="CI35" i="167"/>
  <c r="CI36" i="167"/>
  <c r="CI38" i="167"/>
  <c r="CI39" i="167"/>
  <c r="CI40" i="167"/>
  <c r="CI42" i="167"/>
  <c r="CI43" i="167"/>
  <c r="CI44" i="167"/>
  <c r="CI45" i="167"/>
  <c r="CI46" i="167"/>
  <c r="CI47" i="167"/>
  <c r="CI49" i="167"/>
  <c r="CI50" i="167"/>
  <c r="CI53" i="167"/>
  <c r="CI54" i="167"/>
  <c r="CI57" i="167"/>
  <c r="CI61" i="167"/>
  <c r="CI63" i="167"/>
  <c r="CI59" i="167"/>
  <c r="CI64" i="167"/>
  <c r="CI66" i="167"/>
  <c r="CI71" i="167"/>
  <c r="CI73" i="167"/>
  <c r="CI74" i="167"/>
  <c r="CI77" i="167"/>
  <c r="CI79" i="167"/>
  <c r="CI80" i="167"/>
  <c r="CI83" i="167"/>
  <c r="CI84" i="167"/>
  <c r="CI85" i="167"/>
  <c r="CI87" i="167"/>
  <c r="CI90" i="167"/>
  <c r="G54" i="175"/>
  <c r="CJ11" i="167"/>
  <c r="CJ12" i="167"/>
  <c r="CJ9" i="167"/>
  <c r="CJ10" i="167"/>
  <c r="CJ13" i="167"/>
  <c r="CJ15" i="167"/>
  <c r="CJ16" i="167"/>
  <c r="CJ17" i="167"/>
  <c r="CJ19" i="167"/>
  <c r="CJ20" i="167"/>
  <c r="CJ22" i="167"/>
  <c r="CJ23" i="167"/>
  <c r="CJ24" i="167"/>
  <c r="CJ28" i="167"/>
  <c r="CJ34" i="167"/>
  <c r="CJ35" i="167"/>
  <c r="CJ36" i="167"/>
  <c r="CJ38" i="167"/>
  <c r="CJ39" i="167"/>
  <c r="CJ40" i="167"/>
  <c r="CJ42" i="167"/>
  <c r="CJ43" i="167"/>
  <c r="CJ44" i="167"/>
  <c r="CJ45" i="167"/>
  <c r="CJ46" i="167"/>
  <c r="CJ47" i="167"/>
  <c r="CJ49" i="167"/>
  <c r="CJ50" i="167"/>
  <c r="CJ53" i="167"/>
  <c r="CJ54" i="167"/>
  <c r="CJ57" i="167"/>
  <c r="CJ61" i="167"/>
  <c r="CJ63" i="167"/>
  <c r="CJ59" i="167"/>
  <c r="CJ64" i="167"/>
  <c r="CJ66" i="167"/>
  <c r="CJ71" i="167"/>
  <c r="CJ73" i="167"/>
  <c r="CJ74" i="167"/>
  <c r="CJ77" i="167"/>
  <c r="CJ79" i="167"/>
  <c r="CJ80" i="167"/>
  <c r="CJ83" i="167"/>
  <c r="CJ84" i="167"/>
  <c r="CJ85" i="167"/>
  <c r="CJ87" i="167"/>
  <c r="CJ90" i="167"/>
  <c r="CK11" i="167"/>
  <c r="CK12" i="167"/>
  <c r="CK9" i="167"/>
  <c r="CK10" i="167"/>
  <c r="CK13" i="167"/>
  <c r="CK15" i="167"/>
  <c r="CK16" i="167"/>
  <c r="CK17" i="167"/>
  <c r="CK19" i="167"/>
  <c r="CK20" i="167"/>
  <c r="CK22" i="167"/>
  <c r="CK23" i="167"/>
  <c r="CK24" i="167"/>
  <c r="CK28" i="167"/>
  <c r="CK34" i="167"/>
  <c r="CK35" i="167"/>
  <c r="CK36" i="167"/>
  <c r="CK38" i="167"/>
  <c r="CK39" i="167"/>
  <c r="CK40" i="167"/>
  <c r="CK42" i="167"/>
  <c r="CK43" i="167"/>
  <c r="CK44" i="167"/>
  <c r="CK45" i="167"/>
  <c r="CK46" i="167"/>
  <c r="CK47" i="167"/>
  <c r="CK49" i="167"/>
  <c r="CK50" i="167"/>
  <c r="CK53" i="167"/>
  <c r="CK54" i="167"/>
  <c r="CK57" i="167"/>
  <c r="CK61" i="167"/>
  <c r="CK63" i="167"/>
  <c r="CK59" i="167"/>
  <c r="CK64" i="167"/>
  <c r="CK66" i="167"/>
  <c r="CK71" i="167"/>
  <c r="CK73" i="167"/>
  <c r="CK74" i="167"/>
  <c r="CK77" i="167"/>
  <c r="CK79" i="167"/>
  <c r="CK80" i="167"/>
  <c r="CK83" i="167"/>
  <c r="CK84" i="167"/>
  <c r="CK85" i="167"/>
  <c r="CK87" i="167"/>
  <c r="CK90" i="167"/>
  <c r="CL11" i="167"/>
  <c r="CL12" i="167"/>
  <c r="CL9" i="167"/>
  <c r="CL10" i="167"/>
  <c r="CL13" i="167"/>
  <c r="CL15" i="167"/>
  <c r="CL16" i="167"/>
  <c r="CL17" i="167"/>
  <c r="CL19" i="167"/>
  <c r="CL20" i="167"/>
  <c r="CL22" i="167"/>
  <c r="CL23" i="167"/>
  <c r="CL24" i="167"/>
  <c r="CL28" i="167"/>
  <c r="CL34" i="167"/>
  <c r="CL35" i="167"/>
  <c r="CL36" i="167"/>
  <c r="CL38" i="167"/>
  <c r="CL39" i="167"/>
  <c r="CL40" i="167"/>
  <c r="CL42" i="167"/>
  <c r="CL43" i="167"/>
  <c r="CL44" i="167"/>
  <c r="CL45" i="167"/>
  <c r="CL46" i="167"/>
  <c r="CL47" i="167"/>
  <c r="CL49" i="167"/>
  <c r="CL50" i="167"/>
  <c r="CL53" i="167"/>
  <c r="CL54" i="167"/>
  <c r="CL57" i="167"/>
  <c r="CL61" i="167"/>
  <c r="CL63" i="167"/>
  <c r="CL59" i="167"/>
  <c r="CL64" i="167"/>
  <c r="CL66" i="167"/>
  <c r="CL71" i="167"/>
  <c r="CL73" i="167"/>
  <c r="CL74" i="167"/>
  <c r="CL77" i="167"/>
  <c r="CL79" i="167"/>
  <c r="CL80" i="167"/>
  <c r="CL83" i="167"/>
  <c r="CL84" i="167"/>
  <c r="CL85" i="167"/>
  <c r="CL87" i="167"/>
  <c r="CL90" i="167"/>
  <c r="CM11" i="167"/>
  <c r="CM12" i="167"/>
  <c r="CM9" i="167"/>
  <c r="CM10" i="167"/>
  <c r="CM13" i="167"/>
  <c r="CM15" i="167"/>
  <c r="CM16" i="167"/>
  <c r="CM17" i="167"/>
  <c r="CM19" i="167"/>
  <c r="CM20" i="167"/>
  <c r="CM22" i="167"/>
  <c r="CM23" i="167"/>
  <c r="CM24" i="167"/>
  <c r="CM28" i="167"/>
  <c r="CM34" i="167"/>
  <c r="CM35" i="167"/>
  <c r="CM36" i="167"/>
  <c r="CM38" i="167"/>
  <c r="CM39" i="167"/>
  <c r="CM40" i="167"/>
  <c r="CM42" i="167"/>
  <c r="CM43" i="167"/>
  <c r="CM44" i="167"/>
  <c r="CM45" i="167"/>
  <c r="CM46" i="167"/>
  <c r="CM47" i="167"/>
  <c r="CM49" i="167"/>
  <c r="CM50" i="167"/>
  <c r="CM53" i="167"/>
  <c r="CM54" i="167"/>
  <c r="CM57" i="167"/>
  <c r="CM61" i="167"/>
  <c r="CM63" i="167"/>
  <c r="CM59" i="167"/>
  <c r="CM64" i="167"/>
  <c r="CM66" i="167"/>
  <c r="CM71" i="167"/>
  <c r="CM73" i="167"/>
  <c r="CM74" i="167"/>
  <c r="CM77" i="167"/>
  <c r="CM79" i="167"/>
  <c r="CM80" i="167"/>
  <c r="CM83" i="167"/>
  <c r="CM84" i="167"/>
  <c r="CM85" i="167"/>
  <c r="CM87" i="167"/>
  <c r="CM90" i="167"/>
  <c r="G55" i="175"/>
  <c r="CN11" i="167"/>
  <c r="CN12" i="167"/>
  <c r="CN9" i="167"/>
  <c r="CN10" i="167"/>
  <c r="CN13" i="167"/>
  <c r="CN15" i="167"/>
  <c r="CN16" i="167"/>
  <c r="CN17" i="167"/>
  <c r="CN19" i="167"/>
  <c r="CN20" i="167"/>
  <c r="CN22" i="167"/>
  <c r="CN23" i="167"/>
  <c r="CN24" i="167"/>
  <c r="CN28" i="167"/>
  <c r="CN34" i="167"/>
  <c r="CN35" i="167"/>
  <c r="CN36" i="167"/>
  <c r="CN38" i="167"/>
  <c r="CN39" i="167"/>
  <c r="CN40" i="167"/>
  <c r="CN42" i="167"/>
  <c r="CN43" i="167"/>
  <c r="CN44" i="167"/>
  <c r="CN45" i="167"/>
  <c r="CN46" i="167"/>
  <c r="CN47" i="167"/>
  <c r="CN49" i="167"/>
  <c r="CN50" i="167"/>
  <c r="CN53" i="167"/>
  <c r="CN54" i="167"/>
  <c r="CN57" i="167"/>
  <c r="CN61" i="167"/>
  <c r="CN63" i="167"/>
  <c r="CN59" i="167"/>
  <c r="CN64" i="167"/>
  <c r="CN66" i="167"/>
  <c r="CN71" i="167"/>
  <c r="CN73" i="167"/>
  <c r="CN74" i="167"/>
  <c r="CR11" i="167"/>
  <c r="CR12" i="167"/>
  <c r="CR9" i="167"/>
  <c r="CR10" i="167"/>
  <c r="CR13" i="167"/>
  <c r="CR15" i="167"/>
  <c r="CR16" i="167"/>
  <c r="CR17" i="167"/>
  <c r="H367" i="39"/>
  <c r="H368" i="39"/>
  <c r="H369" i="39"/>
  <c r="CR22" i="167"/>
  <c r="CR23" i="167"/>
  <c r="CR24" i="167"/>
  <c r="CR34" i="167"/>
  <c r="CR35" i="167"/>
  <c r="CR36" i="167"/>
  <c r="CR38" i="167"/>
  <c r="CR39" i="167"/>
  <c r="CR40" i="167"/>
  <c r="CR42" i="167"/>
  <c r="CR43" i="167"/>
  <c r="CR44" i="167"/>
  <c r="CR45" i="167"/>
  <c r="CR46" i="167"/>
  <c r="CR47" i="167"/>
  <c r="CR49" i="167"/>
  <c r="CR50" i="167"/>
  <c r="CR53" i="167"/>
  <c r="CR54" i="167"/>
  <c r="CR57" i="167"/>
  <c r="CR61" i="167"/>
  <c r="CR63" i="167"/>
  <c r="CR59" i="167"/>
  <c r="CR64" i="167"/>
  <c r="CR66" i="167"/>
  <c r="CR71" i="167"/>
  <c r="CR73" i="167"/>
  <c r="CR74" i="167"/>
  <c r="CR77" i="167"/>
  <c r="CR79" i="167"/>
  <c r="CR80" i="167"/>
  <c r="CR83" i="167"/>
  <c r="CR84" i="167"/>
  <c r="CR85" i="167"/>
  <c r="CR87" i="167"/>
  <c r="CS11" i="167"/>
  <c r="CS12" i="167"/>
  <c r="CS9" i="167"/>
  <c r="CS10" i="167"/>
  <c r="CS13" i="167"/>
  <c r="CS15" i="167"/>
  <c r="CS16" i="167"/>
  <c r="CS17" i="167"/>
  <c r="CS19" i="167"/>
  <c r="CS20" i="167"/>
  <c r="CS22" i="167"/>
  <c r="CS23" i="167"/>
  <c r="CS24" i="167"/>
  <c r="CS28" i="167"/>
  <c r="CS34" i="167"/>
  <c r="CS35" i="167"/>
  <c r="CS36" i="167"/>
  <c r="CS38" i="167"/>
  <c r="CS39" i="167"/>
  <c r="CS40" i="167"/>
  <c r="CS42" i="167"/>
  <c r="CS43" i="167"/>
  <c r="CS44" i="167"/>
  <c r="CS45" i="167"/>
  <c r="CS46" i="167"/>
  <c r="CS47" i="167"/>
  <c r="CS49" i="167"/>
  <c r="CS50" i="167"/>
  <c r="CS53" i="167"/>
  <c r="CS54" i="167"/>
  <c r="CS57" i="167"/>
  <c r="CS61" i="167"/>
  <c r="CS63" i="167"/>
  <c r="CS59" i="167"/>
  <c r="CS64" i="167"/>
  <c r="CS66" i="167"/>
  <c r="CS71" i="167"/>
  <c r="CS73" i="167"/>
  <c r="CS74" i="167"/>
  <c r="CS77" i="167"/>
  <c r="CS79" i="167"/>
  <c r="CS80" i="167"/>
  <c r="CS83" i="167"/>
  <c r="CS84" i="167"/>
  <c r="CS85" i="167"/>
  <c r="CS87" i="167"/>
  <c r="CS90" i="167"/>
  <c r="CT11" i="167"/>
  <c r="CT12" i="167"/>
  <c r="CT9" i="167"/>
  <c r="CT10" i="167"/>
  <c r="CT13" i="167"/>
  <c r="CT15" i="167"/>
  <c r="CT16" i="167"/>
  <c r="CT17" i="167"/>
  <c r="CT19" i="167"/>
  <c r="CT20" i="167"/>
  <c r="CT22" i="167"/>
  <c r="CT23" i="167"/>
  <c r="CT24" i="167"/>
  <c r="CT28" i="167"/>
  <c r="CT34" i="167"/>
  <c r="CT35" i="167"/>
  <c r="CT36" i="167"/>
  <c r="CT38" i="167"/>
  <c r="CT39" i="167"/>
  <c r="CT40" i="167"/>
  <c r="CT42" i="167"/>
  <c r="CT43" i="167"/>
  <c r="CT44" i="167"/>
  <c r="CT45" i="167"/>
  <c r="CT46" i="167"/>
  <c r="CT47" i="167"/>
  <c r="CT49" i="167"/>
  <c r="CT50" i="167"/>
  <c r="CT53" i="167"/>
  <c r="CT54" i="167"/>
  <c r="CT57" i="167"/>
  <c r="CT61" i="167"/>
  <c r="CT63" i="167"/>
  <c r="CT59" i="167"/>
  <c r="CT64" i="167"/>
  <c r="CT66" i="167"/>
  <c r="CT71" i="167"/>
  <c r="CT73" i="167"/>
  <c r="CT74" i="167"/>
  <c r="CT77" i="167"/>
  <c r="CT79" i="167"/>
  <c r="CT80" i="167"/>
  <c r="CT83" i="167"/>
  <c r="CT84" i="167"/>
  <c r="CT85" i="167"/>
  <c r="CT87" i="167"/>
  <c r="CT90" i="167"/>
  <c r="CU11" i="167"/>
  <c r="CU12" i="167"/>
  <c r="CU9" i="167"/>
  <c r="CU10" i="167"/>
  <c r="CU13" i="167"/>
  <c r="CU15" i="167"/>
  <c r="CU16" i="167"/>
  <c r="CU17" i="167"/>
  <c r="CU19" i="167"/>
  <c r="CU20" i="167"/>
  <c r="CU22" i="167"/>
  <c r="CU23" i="167"/>
  <c r="CU24" i="167"/>
  <c r="CU28" i="167"/>
  <c r="CU34" i="167"/>
  <c r="CU35" i="167"/>
  <c r="CU36" i="167"/>
  <c r="CU38" i="167"/>
  <c r="CU39" i="167"/>
  <c r="CU40" i="167"/>
  <c r="CU42" i="167"/>
  <c r="CU43" i="167"/>
  <c r="CU44" i="167"/>
  <c r="CU45" i="167"/>
  <c r="CU46" i="167"/>
  <c r="CU47" i="167"/>
  <c r="CU49" i="167"/>
  <c r="CU50" i="167"/>
  <c r="CU53" i="167"/>
  <c r="CU54" i="167"/>
  <c r="CU57" i="167"/>
  <c r="CU61" i="167"/>
  <c r="CU63" i="167"/>
  <c r="CU59" i="167"/>
  <c r="CU64" i="167"/>
  <c r="CU66" i="167"/>
  <c r="CU71" i="167"/>
  <c r="CU73" i="167"/>
  <c r="CU74" i="167"/>
  <c r="CU83" i="167"/>
  <c r="CU84" i="167"/>
  <c r="CU85" i="167"/>
  <c r="CU87" i="167"/>
  <c r="CU90" i="167"/>
  <c r="BP11" i="166"/>
  <c r="BP12" i="166"/>
  <c r="BP9" i="166"/>
  <c r="BP10" i="166"/>
  <c r="BP13" i="166"/>
  <c r="BP15" i="166"/>
  <c r="BP16" i="166"/>
  <c r="BP17" i="166"/>
  <c r="G202" i="39"/>
  <c r="G210" i="39"/>
  <c r="G284" i="39"/>
  <c r="G203" i="39"/>
  <c r="G211" i="39"/>
  <c r="G285" i="39"/>
  <c r="G204" i="39"/>
  <c r="G212" i="39"/>
  <c r="G286" i="39"/>
  <c r="G205" i="39"/>
  <c r="G213" i="39"/>
  <c r="G287" i="39"/>
  <c r="G288" i="39"/>
  <c r="G458" i="39"/>
  <c r="BP19" i="166"/>
  <c r="BP20" i="166"/>
  <c r="BP22" i="166"/>
  <c r="BP23" i="166"/>
  <c r="BP24" i="166"/>
  <c r="BP28" i="166"/>
  <c r="BP34" i="166"/>
  <c r="BP35" i="166"/>
  <c r="BP36" i="166"/>
  <c r="BP38" i="166"/>
  <c r="BP39" i="166"/>
  <c r="BP40" i="166"/>
  <c r="BP42" i="166"/>
  <c r="BP43" i="166"/>
  <c r="BP44" i="166"/>
  <c r="BP45" i="166"/>
  <c r="BP46" i="166"/>
  <c r="BP47" i="166"/>
  <c r="BP49" i="166"/>
  <c r="BP50" i="166"/>
  <c r="BP53" i="166"/>
  <c r="BP54" i="166"/>
  <c r="BP57" i="166"/>
  <c r="BP61" i="166"/>
  <c r="BP63" i="166"/>
  <c r="BP59" i="166"/>
  <c r="BP64" i="166"/>
  <c r="BP66" i="166"/>
  <c r="BP71" i="166"/>
  <c r="BP73" i="166"/>
  <c r="BP74" i="166"/>
  <c r="BP77" i="166"/>
  <c r="BP79" i="166"/>
  <c r="BP80" i="166"/>
  <c r="BP83" i="166"/>
  <c r="BP84" i="166"/>
  <c r="BP85" i="166"/>
  <c r="BP87" i="166"/>
  <c r="BP90" i="166"/>
  <c r="BQ11" i="166"/>
  <c r="BQ12" i="166"/>
  <c r="BQ9" i="166"/>
  <c r="BQ10" i="166"/>
  <c r="BQ13" i="166"/>
  <c r="BQ15" i="166"/>
  <c r="BQ16" i="166"/>
  <c r="BQ17" i="166"/>
  <c r="G291" i="39"/>
  <c r="G292" i="39"/>
  <c r="G293" i="39"/>
  <c r="G294" i="39"/>
  <c r="G295" i="39"/>
  <c r="G459" i="39"/>
  <c r="BQ19" i="166"/>
  <c r="BQ20" i="166"/>
  <c r="BQ22" i="166"/>
  <c r="BQ23" i="166"/>
  <c r="BQ24" i="166"/>
  <c r="BQ28" i="166"/>
  <c r="BQ34" i="166"/>
  <c r="BQ35" i="166"/>
  <c r="BQ36" i="166"/>
  <c r="BQ38" i="166"/>
  <c r="BQ39" i="166"/>
  <c r="BQ40" i="166"/>
  <c r="BQ42" i="166"/>
  <c r="BQ43" i="166"/>
  <c r="BQ44" i="166"/>
  <c r="BQ45" i="166"/>
  <c r="BQ46" i="166"/>
  <c r="BQ47" i="166"/>
  <c r="BQ49" i="166"/>
  <c r="BQ50" i="166"/>
  <c r="BQ53" i="166"/>
  <c r="BQ54" i="166"/>
  <c r="BQ57" i="166"/>
  <c r="BQ61" i="166"/>
  <c r="BQ63" i="166"/>
  <c r="BQ59" i="166"/>
  <c r="BQ64" i="166"/>
  <c r="BQ66" i="166"/>
  <c r="BQ71" i="166"/>
  <c r="BQ73" i="166"/>
  <c r="BQ74" i="166"/>
  <c r="BQ77" i="166"/>
  <c r="BQ79" i="166"/>
  <c r="BQ80" i="166"/>
  <c r="BQ83" i="166"/>
  <c r="BQ84" i="166"/>
  <c r="BQ85" i="166"/>
  <c r="BQ87" i="166"/>
  <c r="BQ90" i="166"/>
  <c r="BR11" i="166"/>
  <c r="BR12" i="166"/>
  <c r="BR9" i="166"/>
  <c r="BR10" i="166"/>
  <c r="BR13" i="166"/>
  <c r="BR15" i="166"/>
  <c r="BR16" i="166"/>
  <c r="BR17" i="166"/>
  <c r="G298" i="39"/>
  <c r="G299" i="39"/>
  <c r="G300" i="39"/>
  <c r="G301" i="39"/>
  <c r="G302" i="39"/>
  <c r="G460" i="39"/>
  <c r="BR19" i="166"/>
  <c r="BR20" i="166"/>
  <c r="BR22" i="166"/>
  <c r="BR23" i="166"/>
  <c r="BR24" i="166"/>
  <c r="BR28" i="166"/>
  <c r="BR34" i="166"/>
  <c r="BR35" i="166"/>
  <c r="BR36" i="166"/>
  <c r="BR38" i="166"/>
  <c r="BR39" i="166"/>
  <c r="BR40" i="166"/>
  <c r="BR42" i="166"/>
  <c r="BR43" i="166"/>
  <c r="BR44" i="166"/>
  <c r="BR45" i="166"/>
  <c r="BR46" i="166"/>
  <c r="BR47" i="166"/>
  <c r="BR49" i="166"/>
  <c r="BR50" i="166"/>
  <c r="BR53" i="166"/>
  <c r="BR54" i="166"/>
  <c r="BR57" i="166"/>
  <c r="BR61" i="166"/>
  <c r="BR63" i="166"/>
  <c r="BR59" i="166"/>
  <c r="BR64" i="166"/>
  <c r="BR66" i="166"/>
  <c r="BR71" i="166"/>
  <c r="BR73" i="166"/>
  <c r="BR74" i="166"/>
  <c r="BR77" i="166"/>
  <c r="BR79" i="166"/>
  <c r="BR80" i="166"/>
  <c r="BR83" i="166"/>
  <c r="BR84" i="166"/>
  <c r="BR85" i="166"/>
  <c r="BR87" i="166"/>
  <c r="BR90" i="166"/>
  <c r="BS11" i="166"/>
  <c r="BS12" i="166"/>
  <c r="BS9" i="166"/>
  <c r="BS10" i="166"/>
  <c r="BS13" i="166"/>
  <c r="BS15" i="166"/>
  <c r="BS16" i="166"/>
  <c r="BS17" i="166"/>
  <c r="G305" i="39"/>
  <c r="G306" i="39"/>
  <c r="G307" i="39"/>
  <c r="G308" i="39"/>
  <c r="G309" i="39"/>
  <c r="G461" i="39"/>
  <c r="BS19" i="166"/>
  <c r="BS20" i="166"/>
  <c r="BS22" i="166"/>
  <c r="BS23" i="166"/>
  <c r="BS24" i="166"/>
  <c r="BS28" i="166"/>
  <c r="BS34" i="166"/>
  <c r="BS35" i="166"/>
  <c r="BS36" i="166"/>
  <c r="BS38" i="166"/>
  <c r="BS39" i="166"/>
  <c r="BS40" i="166"/>
  <c r="BS42" i="166"/>
  <c r="BS43" i="166"/>
  <c r="BS44" i="166"/>
  <c r="BS45" i="166"/>
  <c r="BS46" i="166"/>
  <c r="BS47" i="166"/>
  <c r="BS49" i="166"/>
  <c r="BS50" i="166"/>
  <c r="BS53" i="166"/>
  <c r="BS54" i="166"/>
  <c r="BS57" i="166"/>
  <c r="BS61" i="166"/>
  <c r="BS63" i="166"/>
  <c r="BS59" i="166"/>
  <c r="BS64" i="166"/>
  <c r="BS66" i="166"/>
  <c r="BS71" i="166"/>
  <c r="BS73" i="166"/>
  <c r="BS74" i="166"/>
  <c r="BS77" i="166"/>
  <c r="BS79" i="166"/>
  <c r="BS80" i="166"/>
  <c r="BS83" i="166"/>
  <c r="BS84" i="166"/>
  <c r="BS85" i="166"/>
  <c r="BS87" i="166"/>
  <c r="BS90" i="166"/>
  <c r="F50" i="175"/>
  <c r="BT11" i="166"/>
  <c r="BT12" i="166"/>
  <c r="BT9" i="166"/>
  <c r="BT10" i="166"/>
  <c r="BT13" i="166"/>
  <c r="BT15" i="166"/>
  <c r="BT16" i="166"/>
  <c r="BT17" i="166"/>
  <c r="BT19" i="166"/>
  <c r="BT20" i="166"/>
  <c r="BT22" i="166"/>
  <c r="BT23" i="166"/>
  <c r="BT24" i="166"/>
  <c r="BT28" i="166"/>
  <c r="BT34" i="166"/>
  <c r="BT35" i="166"/>
  <c r="BT36" i="166"/>
  <c r="BT38" i="166"/>
  <c r="BT39" i="166"/>
  <c r="BT40" i="166"/>
  <c r="BT42" i="166"/>
  <c r="BT43" i="166"/>
  <c r="BT44" i="166"/>
  <c r="BT45" i="166"/>
  <c r="BT46" i="166"/>
  <c r="BT47" i="166"/>
  <c r="BT49" i="166"/>
  <c r="BT50" i="166"/>
  <c r="BT53" i="166"/>
  <c r="BT54" i="166"/>
  <c r="BT57" i="166"/>
  <c r="BT61" i="166"/>
  <c r="BT63" i="166"/>
  <c r="BT59" i="166"/>
  <c r="BT64" i="166"/>
  <c r="BT66" i="166"/>
  <c r="BT71" i="166"/>
  <c r="BT73" i="166"/>
  <c r="BT74" i="166"/>
  <c r="BT77" i="166"/>
  <c r="BT79" i="166"/>
  <c r="BT80" i="166"/>
  <c r="BT83" i="166"/>
  <c r="BT84" i="166"/>
  <c r="BT85" i="166"/>
  <c r="BT87" i="166"/>
  <c r="BT90" i="166"/>
  <c r="BU11" i="166"/>
  <c r="BU12" i="166"/>
  <c r="BU9" i="166"/>
  <c r="BU10" i="166"/>
  <c r="BU13" i="166"/>
  <c r="BU15" i="166"/>
  <c r="BU16" i="166"/>
  <c r="BU17" i="166"/>
  <c r="BU19" i="166"/>
  <c r="BU20" i="166"/>
  <c r="BU22" i="166"/>
  <c r="BU23" i="166"/>
  <c r="BU24" i="166"/>
  <c r="BU28" i="166"/>
  <c r="BU34" i="166"/>
  <c r="BU35" i="166"/>
  <c r="BU36" i="166"/>
  <c r="BU38" i="166"/>
  <c r="BU39" i="166"/>
  <c r="BU40" i="166"/>
  <c r="BU42" i="166"/>
  <c r="BU43" i="166"/>
  <c r="BU44" i="166"/>
  <c r="BU45" i="166"/>
  <c r="BU46" i="166"/>
  <c r="BU47" i="166"/>
  <c r="BU49" i="166"/>
  <c r="BU50" i="166"/>
  <c r="BU53" i="166"/>
  <c r="BU54" i="166"/>
  <c r="BU57" i="166"/>
  <c r="BU61" i="166"/>
  <c r="BU63" i="166"/>
  <c r="BU59" i="166"/>
  <c r="BU64" i="166"/>
  <c r="BU66" i="166"/>
  <c r="BU71" i="166"/>
  <c r="BU73" i="166"/>
  <c r="BU74" i="166"/>
  <c r="BU77" i="166"/>
  <c r="BU79" i="166"/>
  <c r="BU80" i="166"/>
  <c r="BU83" i="166"/>
  <c r="BU84" i="166"/>
  <c r="BU85" i="166"/>
  <c r="BU87" i="166"/>
  <c r="BU90" i="166"/>
  <c r="BV11" i="166"/>
  <c r="BV12" i="166"/>
  <c r="BV9" i="166"/>
  <c r="BV10" i="166"/>
  <c r="BV13" i="166"/>
  <c r="BV15" i="166"/>
  <c r="BV16" i="166"/>
  <c r="BV17" i="166"/>
  <c r="BV19" i="166"/>
  <c r="BV20" i="166"/>
  <c r="BV22" i="166"/>
  <c r="BV23" i="166"/>
  <c r="BV24" i="166"/>
  <c r="BV28" i="166"/>
  <c r="BV34" i="166"/>
  <c r="BV35" i="166"/>
  <c r="BV36" i="166"/>
  <c r="BV38" i="166"/>
  <c r="BV39" i="166"/>
  <c r="BV40" i="166"/>
  <c r="BV42" i="166"/>
  <c r="BV43" i="166"/>
  <c r="BV44" i="166"/>
  <c r="BV45" i="166"/>
  <c r="BV46" i="166"/>
  <c r="BV47" i="166"/>
  <c r="BV49" i="166"/>
  <c r="BV50" i="166"/>
  <c r="BV53" i="166"/>
  <c r="BV54" i="166"/>
  <c r="BV57" i="166"/>
  <c r="BV61" i="166"/>
  <c r="BV63" i="166"/>
  <c r="BV59" i="166"/>
  <c r="BV64" i="166"/>
  <c r="BV66" i="166"/>
  <c r="BV71" i="166"/>
  <c r="BV73" i="166"/>
  <c r="BV74" i="166"/>
  <c r="BV77" i="166"/>
  <c r="BV79" i="166"/>
  <c r="BV80" i="166"/>
  <c r="BV83" i="166"/>
  <c r="BV84" i="166"/>
  <c r="BV85" i="166"/>
  <c r="BV87" i="166"/>
  <c r="BV90" i="166"/>
  <c r="BW11" i="166"/>
  <c r="BW12" i="166"/>
  <c r="BW9" i="166"/>
  <c r="BW10" i="166"/>
  <c r="BW13" i="166"/>
  <c r="BW15" i="166"/>
  <c r="BW16" i="166"/>
  <c r="BW17" i="166"/>
  <c r="BW19" i="166"/>
  <c r="BW20" i="166"/>
  <c r="BW22" i="166"/>
  <c r="BW23" i="166"/>
  <c r="BW24" i="166"/>
  <c r="BW28" i="166"/>
  <c r="BW34" i="166"/>
  <c r="BW35" i="166"/>
  <c r="BW36" i="166"/>
  <c r="BW38" i="166"/>
  <c r="BW39" i="166"/>
  <c r="BW40" i="166"/>
  <c r="BW42" i="166"/>
  <c r="BW43" i="166"/>
  <c r="BW44" i="166"/>
  <c r="BW45" i="166"/>
  <c r="BW46" i="166"/>
  <c r="BW47" i="166"/>
  <c r="BW49" i="166"/>
  <c r="BW50" i="166"/>
  <c r="BW53" i="166"/>
  <c r="BW54" i="166"/>
  <c r="BW57" i="166"/>
  <c r="BW61" i="166"/>
  <c r="BW63" i="166"/>
  <c r="BW59" i="166"/>
  <c r="BW64" i="166"/>
  <c r="BW66" i="166"/>
  <c r="BW71" i="166"/>
  <c r="BW73" i="166"/>
  <c r="BW74" i="166"/>
  <c r="BW77" i="166"/>
  <c r="BW79" i="166"/>
  <c r="BW80" i="166"/>
  <c r="BW83" i="166"/>
  <c r="BW84" i="166"/>
  <c r="BW85" i="166"/>
  <c r="BW87" i="166"/>
  <c r="BW90" i="166"/>
  <c r="F51" i="175"/>
  <c r="BX11" i="166"/>
  <c r="BX12" i="166"/>
  <c r="BX9" i="166"/>
  <c r="BX10" i="166"/>
  <c r="BX13" i="166"/>
  <c r="BX15" i="166"/>
  <c r="BX16" i="166"/>
  <c r="BX17" i="166"/>
  <c r="BX19" i="166"/>
  <c r="BX20" i="166"/>
  <c r="BX22" i="166"/>
  <c r="BX23" i="166"/>
  <c r="BX24" i="166"/>
  <c r="BX28" i="166"/>
  <c r="BX34" i="166"/>
  <c r="BX35" i="166"/>
  <c r="BX36" i="166"/>
  <c r="BX38" i="166"/>
  <c r="BX39" i="166"/>
  <c r="BX40" i="166"/>
  <c r="BX42" i="166"/>
  <c r="BX43" i="166"/>
  <c r="BX44" i="166"/>
  <c r="BX45" i="166"/>
  <c r="BX46" i="166"/>
  <c r="BX47" i="166"/>
  <c r="BX49" i="166"/>
  <c r="BX50" i="166"/>
  <c r="BX53" i="166"/>
  <c r="BX54" i="166"/>
  <c r="BX57" i="166"/>
  <c r="BX61" i="166"/>
  <c r="BX63" i="166"/>
  <c r="BX59" i="166"/>
  <c r="BX64" i="166"/>
  <c r="BX66" i="166"/>
  <c r="BX71" i="166"/>
  <c r="BX73" i="166"/>
  <c r="BX74" i="166"/>
  <c r="BX77" i="166"/>
  <c r="BX79" i="166"/>
  <c r="BX80" i="166"/>
  <c r="BX83" i="166"/>
  <c r="BX84" i="166"/>
  <c r="BX85" i="166"/>
  <c r="BX87" i="166"/>
  <c r="BX90" i="166"/>
  <c r="BY11" i="166"/>
  <c r="BY12" i="166"/>
  <c r="BY9" i="166"/>
  <c r="BY10" i="166"/>
  <c r="BY13" i="166"/>
  <c r="BY15" i="166"/>
  <c r="BY16" i="166"/>
  <c r="BY17" i="166"/>
  <c r="BY19" i="166"/>
  <c r="BY20" i="166"/>
  <c r="BY22" i="166"/>
  <c r="BY23" i="166"/>
  <c r="BY24" i="166"/>
  <c r="BY28" i="166"/>
  <c r="BY34" i="166"/>
  <c r="G448" i="112"/>
  <c r="G449" i="112"/>
  <c r="G562" i="112"/>
  <c r="BY35" i="166"/>
  <c r="BY36" i="166"/>
  <c r="BY38" i="166"/>
  <c r="BY39" i="166"/>
  <c r="BY40" i="166"/>
  <c r="BY42" i="166"/>
  <c r="BY43" i="166"/>
  <c r="BY44" i="166"/>
  <c r="BY45" i="166"/>
  <c r="BY46" i="166"/>
  <c r="BY47" i="166"/>
  <c r="BY49" i="166"/>
  <c r="BY50" i="166"/>
  <c r="BY53" i="166"/>
  <c r="BY54" i="166"/>
  <c r="BY57" i="166"/>
  <c r="BY61" i="166"/>
  <c r="BY63" i="166"/>
  <c r="BY59" i="166"/>
  <c r="BY64" i="166"/>
  <c r="BY66" i="166"/>
  <c r="BY71" i="166"/>
  <c r="BY73" i="166"/>
  <c r="BY74" i="166"/>
  <c r="BY77" i="166"/>
  <c r="BY79" i="166"/>
  <c r="BY80" i="166"/>
  <c r="BY83" i="166"/>
  <c r="BY84" i="166"/>
  <c r="BY85" i="166"/>
  <c r="BY87" i="166"/>
  <c r="BY90" i="166"/>
  <c r="BZ11" i="166"/>
  <c r="BZ12" i="166"/>
  <c r="BZ9" i="166"/>
  <c r="BZ10" i="166"/>
  <c r="BZ13" i="166"/>
  <c r="BZ15" i="166"/>
  <c r="BZ16" i="166"/>
  <c r="BZ17" i="166"/>
  <c r="BZ19" i="166"/>
  <c r="BZ20" i="166"/>
  <c r="BZ22" i="166"/>
  <c r="BZ23" i="166"/>
  <c r="BZ24" i="166"/>
  <c r="BZ28" i="166"/>
  <c r="BZ34" i="166"/>
  <c r="G450" i="112"/>
  <c r="G563" i="112"/>
  <c r="BZ35" i="166"/>
  <c r="BZ36" i="166"/>
  <c r="BZ38" i="166"/>
  <c r="BZ39" i="166"/>
  <c r="BZ40" i="166"/>
  <c r="BZ42" i="166"/>
  <c r="BZ43" i="166"/>
  <c r="BZ44" i="166"/>
  <c r="BZ45" i="166"/>
  <c r="BZ46" i="166"/>
  <c r="BZ47" i="166"/>
  <c r="BZ49" i="166"/>
  <c r="BZ50" i="166"/>
  <c r="BZ53" i="166"/>
  <c r="BZ54" i="166"/>
  <c r="BZ57" i="166"/>
  <c r="BZ61" i="166"/>
  <c r="BZ63" i="166"/>
  <c r="BZ59" i="166"/>
  <c r="BZ64" i="166"/>
  <c r="BZ66" i="166"/>
  <c r="BZ71" i="166"/>
  <c r="BZ73" i="166"/>
  <c r="BZ74" i="166"/>
  <c r="BZ77" i="166"/>
  <c r="BZ79" i="166"/>
  <c r="BZ80" i="166"/>
  <c r="BZ83" i="166"/>
  <c r="BZ84" i="166"/>
  <c r="BZ85" i="166"/>
  <c r="BZ87" i="166"/>
  <c r="BZ90" i="166"/>
  <c r="CA11" i="166"/>
  <c r="CA12" i="166"/>
  <c r="CA9" i="166"/>
  <c r="CA10" i="166"/>
  <c r="CA13" i="166"/>
  <c r="CA15" i="166"/>
  <c r="CA16" i="166"/>
  <c r="CA17" i="166"/>
  <c r="CA19" i="166"/>
  <c r="CA20" i="166"/>
  <c r="CA22" i="166"/>
  <c r="CA23" i="166"/>
  <c r="CA24" i="166"/>
  <c r="CA28" i="166"/>
  <c r="CA34" i="166"/>
  <c r="CA35" i="166"/>
  <c r="CA36" i="166"/>
  <c r="CA38" i="166"/>
  <c r="CA39" i="166"/>
  <c r="CA40" i="166"/>
  <c r="CA42" i="166"/>
  <c r="CA43" i="166"/>
  <c r="CA44" i="166"/>
  <c r="CA45" i="166"/>
  <c r="CA46" i="166"/>
  <c r="CA47" i="166"/>
  <c r="CA49" i="166"/>
  <c r="CA50" i="166"/>
  <c r="CA53" i="166"/>
  <c r="CA54" i="166"/>
  <c r="CA57" i="166"/>
  <c r="CA61" i="166"/>
  <c r="CA63" i="166"/>
  <c r="CA59" i="166"/>
  <c r="CA64" i="166"/>
  <c r="CA66" i="166"/>
  <c r="CA71" i="166"/>
  <c r="CA73" i="166"/>
  <c r="CA74" i="166"/>
  <c r="CA77" i="166"/>
  <c r="CA79" i="166"/>
  <c r="CA80" i="166"/>
  <c r="CA83" i="166"/>
  <c r="CA84" i="166"/>
  <c r="CA85" i="166"/>
  <c r="CA87" i="166"/>
  <c r="CA90" i="166"/>
  <c r="F52" i="175"/>
  <c r="CB11" i="166"/>
  <c r="CB12" i="166"/>
  <c r="CB9" i="166"/>
  <c r="CB10" i="166"/>
  <c r="CB13" i="166"/>
  <c r="CB15" i="166"/>
  <c r="CB16" i="166"/>
  <c r="CB17" i="166"/>
  <c r="CB19" i="166"/>
  <c r="CB20" i="166"/>
  <c r="CB22" i="166"/>
  <c r="CB23" i="166"/>
  <c r="CB24" i="166"/>
  <c r="CB28" i="166"/>
  <c r="CB34" i="166"/>
  <c r="G454" i="112"/>
  <c r="G455" i="112"/>
  <c r="G48" i="112"/>
  <c r="G303" i="112"/>
  <c r="G456" i="112"/>
  <c r="G457" i="112"/>
  <c r="G458" i="112"/>
  <c r="G459" i="112"/>
  <c r="G564" i="112"/>
  <c r="CB35" i="166"/>
  <c r="CB36" i="166"/>
  <c r="CB38" i="166"/>
  <c r="CB39" i="166"/>
  <c r="CB40" i="166"/>
  <c r="CB42" i="166"/>
  <c r="CB43" i="166"/>
  <c r="CB44" i="166"/>
  <c r="CB45" i="166"/>
  <c r="CB46" i="166"/>
  <c r="CB47" i="166"/>
  <c r="CB49" i="166"/>
  <c r="CB50" i="166"/>
  <c r="CB53" i="166"/>
  <c r="CB54" i="166"/>
  <c r="CB57" i="166"/>
  <c r="CB61" i="166"/>
  <c r="CB63" i="166"/>
  <c r="CB59" i="166"/>
  <c r="CB64" i="166"/>
  <c r="CB66" i="166"/>
  <c r="CB71" i="166"/>
  <c r="CB73" i="166"/>
  <c r="CB74" i="166"/>
  <c r="CB77" i="166"/>
  <c r="CB79" i="166"/>
  <c r="CB80" i="166"/>
  <c r="CB83" i="166"/>
  <c r="CB84" i="166"/>
  <c r="CB85" i="166"/>
  <c r="CB87" i="166"/>
  <c r="CB90" i="166"/>
  <c r="CC11" i="166"/>
  <c r="CC12" i="166"/>
  <c r="CC9" i="166"/>
  <c r="CC10" i="166"/>
  <c r="CC13" i="166"/>
  <c r="CC15" i="166"/>
  <c r="CC16" i="166"/>
  <c r="CC17" i="166"/>
  <c r="CC19" i="166"/>
  <c r="CC20" i="166"/>
  <c r="CC22" i="166"/>
  <c r="CC23" i="166"/>
  <c r="CC24" i="166"/>
  <c r="CC28" i="166"/>
  <c r="CC34" i="166"/>
  <c r="CC35" i="166"/>
  <c r="CC36" i="166"/>
  <c r="CC38" i="166"/>
  <c r="CC39" i="166"/>
  <c r="CC40" i="166"/>
  <c r="CC42" i="166"/>
  <c r="CC43" i="166"/>
  <c r="CC44" i="166"/>
  <c r="CC45" i="166"/>
  <c r="CC46" i="166"/>
  <c r="CC47" i="166"/>
  <c r="CC49" i="166"/>
  <c r="CC50" i="166"/>
  <c r="CC53" i="166"/>
  <c r="CC54" i="166"/>
  <c r="CC57" i="166"/>
  <c r="CC61" i="166"/>
  <c r="CC63" i="166"/>
  <c r="CC59" i="166"/>
  <c r="CC64" i="166"/>
  <c r="CC66" i="166"/>
  <c r="CC71" i="166"/>
  <c r="CC73" i="166"/>
  <c r="CC74" i="166"/>
  <c r="CC77" i="166"/>
  <c r="CC79" i="166"/>
  <c r="CC80" i="166"/>
  <c r="CC83" i="166"/>
  <c r="CC84" i="166"/>
  <c r="CC85" i="166"/>
  <c r="CC87" i="166"/>
  <c r="CC90" i="166"/>
  <c r="CD11" i="166"/>
  <c r="CD12" i="166"/>
  <c r="CD9" i="166"/>
  <c r="CD10" i="166"/>
  <c r="CD13" i="166"/>
  <c r="CD15" i="166"/>
  <c r="CD16" i="166"/>
  <c r="CD17" i="166"/>
  <c r="CD19" i="166"/>
  <c r="CD20" i="166"/>
  <c r="CD22" i="166"/>
  <c r="CD23" i="166"/>
  <c r="CD24" i="166"/>
  <c r="CD28" i="166"/>
  <c r="CD34" i="166"/>
  <c r="CD35" i="166"/>
  <c r="CD36" i="166"/>
  <c r="CD38" i="166"/>
  <c r="CD39" i="166"/>
  <c r="CD40" i="166"/>
  <c r="CD42" i="166"/>
  <c r="CD43" i="166"/>
  <c r="CD44" i="166"/>
  <c r="CD45" i="166"/>
  <c r="CD46" i="166"/>
  <c r="CD47" i="166"/>
  <c r="CD49" i="166"/>
  <c r="CD50" i="166"/>
  <c r="CD53" i="166"/>
  <c r="CD54" i="166"/>
  <c r="CD57" i="166"/>
  <c r="CD61" i="166"/>
  <c r="CD63" i="166"/>
  <c r="CD59" i="166"/>
  <c r="CD64" i="166"/>
  <c r="CD66" i="166"/>
  <c r="CD71" i="166"/>
  <c r="CD73" i="166"/>
  <c r="CD74" i="166"/>
  <c r="CD77" i="166"/>
  <c r="CD79" i="166"/>
  <c r="CD80" i="166"/>
  <c r="CD83" i="166"/>
  <c r="CD84" i="166"/>
  <c r="CD85" i="166"/>
  <c r="CD87" i="166"/>
  <c r="CD90" i="166"/>
  <c r="CE11" i="166"/>
  <c r="CE12" i="166"/>
  <c r="CE9" i="166"/>
  <c r="CE10" i="166"/>
  <c r="CE13" i="166"/>
  <c r="CE15" i="166"/>
  <c r="CE16" i="166"/>
  <c r="CE17" i="166"/>
  <c r="CE19" i="166"/>
  <c r="CE20" i="166"/>
  <c r="CE22" i="166"/>
  <c r="CE23" i="166"/>
  <c r="CE24" i="166"/>
  <c r="CE28" i="166"/>
  <c r="CE34" i="166"/>
  <c r="CE35" i="166"/>
  <c r="CE36" i="166"/>
  <c r="CE38" i="166"/>
  <c r="CE39" i="166"/>
  <c r="CE40" i="166"/>
  <c r="CE42" i="166"/>
  <c r="CE43" i="166"/>
  <c r="CE44" i="166"/>
  <c r="CE45" i="166"/>
  <c r="CE46" i="166"/>
  <c r="CE47" i="166"/>
  <c r="CE49" i="166"/>
  <c r="CE50" i="166"/>
  <c r="CE53" i="166"/>
  <c r="CE54" i="166"/>
  <c r="CE57" i="166"/>
  <c r="CE61" i="166"/>
  <c r="CE63" i="166"/>
  <c r="CE59" i="166"/>
  <c r="CE64" i="166"/>
  <c r="CE66" i="166"/>
  <c r="CE71" i="166"/>
  <c r="CE73" i="166"/>
  <c r="CE74" i="166"/>
  <c r="CE77" i="166"/>
  <c r="CE79" i="166"/>
  <c r="CE80" i="166"/>
  <c r="CE83" i="166"/>
  <c r="CE84" i="166"/>
  <c r="CE85" i="166"/>
  <c r="CE87" i="166"/>
  <c r="CE90" i="166"/>
  <c r="F53" i="175"/>
  <c r="CF11" i="166"/>
  <c r="CF12" i="166"/>
  <c r="CF9" i="166"/>
  <c r="CF10" i="166"/>
  <c r="CF13" i="166"/>
  <c r="CF15" i="166"/>
  <c r="CF16" i="166"/>
  <c r="CF17" i="166"/>
  <c r="CF19" i="166"/>
  <c r="CF20" i="166"/>
  <c r="CF22" i="166"/>
  <c r="CF23" i="166"/>
  <c r="CF24" i="166"/>
  <c r="CF28" i="166"/>
  <c r="G541" i="113"/>
  <c r="CF34" i="166"/>
  <c r="CF35" i="166"/>
  <c r="CF36" i="166"/>
  <c r="CF38" i="166"/>
  <c r="CF39" i="166"/>
  <c r="CF40" i="166"/>
  <c r="CF42" i="166"/>
  <c r="CF43" i="166"/>
  <c r="CF44" i="166"/>
  <c r="CF45" i="166"/>
  <c r="CF46" i="166"/>
  <c r="CF47" i="166"/>
  <c r="CF49" i="166"/>
  <c r="CF50" i="166"/>
  <c r="CF53" i="166"/>
  <c r="CF54" i="166"/>
  <c r="CF57" i="166"/>
  <c r="CF61" i="166"/>
  <c r="CF63" i="166"/>
  <c r="CF59" i="166"/>
  <c r="CF64" i="166"/>
  <c r="CF66" i="166"/>
  <c r="CF71" i="166"/>
  <c r="CF73" i="166"/>
  <c r="CF74" i="166"/>
  <c r="CF77" i="166"/>
  <c r="CF79" i="166"/>
  <c r="CF80" i="166"/>
  <c r="CF83" i="166"/>
  <c r="CF84" i="166"/>
  <c r="CF85" i="166"/>
  <c r="CF87" i="166"/>
  <c r="CF90" i="166"/>
  <c r="CG11" i="166"/>
  <c r="CG12" i="166"/>
  <c r="CG9" i="166"/>
  <c r="CG10" i="166"/>
  <c r="CG13" i="166"/>
  <c r="CG15" i="166"/>
  <c r="CG16" i="166"/>
  <c r="CG17" i="166"/>
  <c r="CG19" i="166"/>
  <c r="CG20" i="166"/>
  <c r="CG22" i="166"/>
  <c r="CG23" i="166"/>
  <c r="CG24" i="166"/>
  <c r="CG28" i="166"/>
  <c r="G393" i="113"/>
  <c r="G394" i="113"/>
  <c r="G410" i="113"/>
  <c r="G412" i="113"/>
  <c r="G542" i="113"/>
  <c r="CG34" i="166"/>
  <c r="CG35" i="166"/>
  <c r="CG36" i="166"/>
  <c r="CG38" i="166"/>
  <c r="CG39" i="166"/>
  <c r="CG40" i="166"/>
  <c r="CG42" i="166"/>
  <c r="CG43" i="166"/>
  <c r="CG44" i="166"/>
  <c r="CG45" i="166"/>
  <c r="CG46" i="166"/>
  <c r="CG47" i="166"/>
  <c r="CG49" i="166"/>
  <c r="CG50" i="166"/>
  <c r="CG53" i="166"/>
  <c r="CG54" i="166"/>
  <c r="CG57" i="166"/>
  <c r="CG61" i="166"/>
  <c r="CG63" i="166"/>
  <c r="CG59" i="166"/>
  <c r="CG64" i="166"/>
  <c r="CG66" i="166"/>
  <c r="CG71" i="166"/>
  <c r="CG73" i="166"/>
  <c r="CG74" i="166"/>
  <c r="CG77" i="166"/>
  <c r="CG79" i="166"/>
  <c r="CG80" i="166"/>
  <c r="CG83" i="166"/>
  <c r="CG84" i="166"/>
  <c r="CG85" i="166"/>
  <c r="CG87" i="166"/>
  <c r="CG90" i="166"/>
  <c r="CH11" i="166"/>
  <c r="CH12" i="166"/>
  <c r="CH9" i="166"/>
  <c r="CH10" i="166"/>
  <c r="CH13" i="166"/>
  <c r="CH15" i="166"/>
  <c r="CH16" i="166"/>
  <c r="CH17" i="166"/>
  <c r="CH19" i="166"/>
  <c r="CH20" i="166"/>
  <c r="CH22" i="166"/>
  <c r="CH23" i="166"/>
  <c r="CH24" i="166"/>
  <c r="CH28" i="166"/>
  <c r="G405" i="113"/>
  <c r="G543" i="113"/>
  <c r="CH34" i="166"/>
  <c r="CH35" i="166"/>
  <c r="CH36" i="166"/>
  <c r="CH38" i="166"/>
  <c r="CH39" i="166"/>
  <c r="CH40" i="166"/>
  <c r="CH42" i="166"/>
  <c r="CH43" i="166"/>
  <c r="CH44" i="166"/>
  <c r="CH45" i="166"/>
  <c r="CH46" i="166"/>
  <c r="CH47" i="166"/>
  <c r="CH49" i="166"/>
  <c r="CH50" i="166"/>
  <c r="CH53" i="166"/>
  <c r="CH54" i="166"/>
  <c r="CH57" i="166"/>
  <c r="CH61" i="166"/>
  <c r="CH63" i="166"/>
  <c r="CH59" i="166"/>
  <c r="CH64" i="166"/>
  <c r="CH66" i="166"/>
  <c r="CH71" i="166"/>
  <c r="CH73" i="166"/>
  <c r="CH74" i="166"/>
  <c r="CH77" i="166"/>
  <c r="CH79" i="166"/>
  <c r="CH80" i="166"/>
  <c r="CH83" i="166"/>
  <c r="CH84" i="166"/>
  <c r="CH85" i="166"/>
  <c r="CH87" i="166"/>
  <c r="CH90" i="166"/>
  <c r="CI11" i="166"/>
  <c r="CI12" i="166"/>
  <c r="CI9" i="166"/>
  <c r="CI10" i="166"/>
  <c r="CI13" i="166"/>
  <c r="CI15" i="166"/>
  <c r="CI16" i="166"/>
  <c r="CI17" i="166"/>
  <c r="CI19" i="166"/>
  <c r="CI20" i="166"/>
  <c r="CI22" i="166"/>
  <c r="CI23" i="166"/>
  <c r="CI24" i="166"/>
  <c r="CI28" i="166"/>
  <c r="CI34" i="166"/>
  <c r="CI35" i="166"/>
  <c r="CI36" i="166"/>
  <c r="CI38" i="166"/>
  <c r="CI39" i="166"/>
  <c r="CI40" i="166"/>
  <c r="CI42" i="166"/>
  <c r="CI43" i="166"/>
  <c r="CI44" i="166"/>
  <c r="CI45" i="166"/>
  <c r="CI46" i="166"/>
  <c r="CI47" i="166"/>
  <c r="CI49" i="166"/>
  <c r="CI50" i="166"/>
  <c r="CI53" i="166"/>
  <c r="CI54" i="166"/>
  <c r="CI57" i="166"/>
  <c r="CI61" i="166"/>
  <c r="CI63" i="166"/>
  <c r="CI59" i="166"/>
  <c r="CI64" i="166"/>
  <c r="CI66" i="166"/>
  <c r="CI71" i="166"/>
  <c r="CI73" i="166"/>
  <c r="CI74" i="166"/>
  <c r="CI77" i="166"/>
  <c r="CI79" i="166"/>
  <c r="CI80" i="166"/>
  <c r="CI83" i="166"/>
  <c r="CI84" i="166"/>
  <c r="CI85" i="166"/>
  <c r="CI87" i="166"/>
  <c r="CI90" i="166"/>
  <c r="F54" i="175"/>
  <c r="CJ11" i="166"/>
  <c r="CJ12" i="166"/>
  <c r="CJ9" i="166"/>
  <c r="CJ10" i="166"/>
  <c r="CJ13" i="166"/>
  <c r="CJ15" i="166"/>
  <c r="CJ16" i="166"/>
  <c r="CJ17" i="166"/>
  <c r="CJ19" i="166"/>
  <c r="CJ20" i="166"/>
  <c r="CJ22" i="166"/>
  <c r="CJ23" i="166"/>
  <c r="CJ24" i="166"/>
  <c r="CJ28" i="166"/>
  <c r="CJ34" i="166"/>
  <c r="CJ35" i="166"/>
  <c r="CJ36" i="166"/>
  <c r="CJ38" i="166"/>
  <c r="CJ39" i="166"/>
  <c r="CJ40" i="166"/>
  <c r="CJ42" i="166"/>
  <c r="CJ43" i="166"/>
  <c r="CJ44" i="166"/>
  <c r="CJ45" i="166"/>
  <c r="CJ46" i="166"/>
  <c r="CJ47" i="166"/>
  <c r="CJ49" i="166"/>
  <c r="CJ50" i="166"/>
  <c r="CJ53" i="166"/>
  <c r="CJ54" i="166"/>
  <c r="CJ57" i="166"/>
  <c r="CJ61" i="166"/>
  <c r="CJ63" i="166"/>
  <c r="CJ59" i="166"/>
  <c r="CJ64" i="166"/>
  <c r="CJ66" i="166"/>
  <c r="CJ71" i="166"/>
  <c r="CJ73" i="166"/>
  <c r="CJ74" i="166"/>
  <c r="CJ77" i="166"/>
  <c r="CJ79" i="166"/>
  <c r="CJ80" i="166"/>
  <c r="CJ83" i="166"/>
  <c r="CJ84" i="166"/>
  <c r="CJ85" i="166"/>
  <c r="CJ87" i="166"/>
  <c r="CJ90" i="166"/>
  <c r="CK11" i="166"/>
  <c r="CK12" i="166"/>
  <c r="CK9" i="166"/>
  <c r="CK10" i="166"/>
  <c r="CK13" i="166"/>
  <c r="CK15" i="166"/>
  <c r="CK16" i="166"/>
  <c r="CK17" i="166"/>
  <c r="CK19" i="166"/>
  <c r="CK20" i="166"/>
  <c r="CK22" i="166"/>
  <c r="CK23" i="166"/>
  <c r="CK24" i="166"/>
  <c r="CK28" i="166"/>
  <c r="CK34" i="166"/>
  <c r="CK35" i="166"/>
  <c r="CK36" i="166"/>
  <c r="CK38" i="166"/>
  <c r="CK39" i="166"/>
  <c r="CK40" i="166"/>
  <c r="CK42" i="166"/>
  <c r="CK43" i="166"/>
  <c r="CK44" i="166"/>
  <c r="CK45" i="166"/>
  <c r="CK46" i="166"/>
  <c r="CK47" i="166"/>
  <c r="CK49" i="166"/>
  <c r="CK50" i="166"/>
  <c r="CK53" i="166"/>
  <c r="CK54" i="166"/>
  <c r="CK57" i="166"/>
  <c r="CK61" i="166"/>
  <c r="CK63" i="166"/>
  <c r="CK59" i="166"/>
  <c r="CK64" i="166"/>
  <c r="CK66" i="166"/>
  <c r="CK71" i="166"/>
  <c r="CK73" i="166"/>
  <c r="CK74" i="166"/>
  <c r="CK77" i="166"/>
  <c r="CK79" i="166"/>
  <c r="CK80" i="166"/>
  <c r="CK83" i="166"/>
  <c r="CK84" i="166"/>
  <c r="CK85" i="166"/>
  <c r="CK87" i="166"/>
  <c r="CK90" i="166"/>
  <c r="CL11" i="166"/>
  <c r="CL12" i="166"/>
  <c r="CL9" i="166"/>
  <c r="CL10" i="166"/>
  <c r="CL13" i="166"/>
  <c r="CL15" i="166"/>
  <c r="CL16" i="166"/>
  <c r="CL17" i="166"/>
  <c r="CL19" i="166"/>
  <c r="CL20" i="166"/>
  <c r="CL22" i="166"/>
  <c r="CL23" i="166"/>
  <c r="CL24" i="166"/>
  <c r="CL28" i="166"/>
  <c r="CL34" i="166"/>
  <c r="CL35" i="166"/>
  <c r="CL36" i="166"/>
  <c r="CL38" i="166"/>
  <c r="CL39" i="166"/>
  <c r="CL40" i="166"/>
  <c r="CL42" i="166"/>
  <c r="CL43" i="166"/>
  <c r="CL44" i="166"/>
  <c r="CL45" i="166"/>
  <c r="CL46" i="166"/>
  <c r="CL47" i="166"/>
  <c r="CL49" i="166"/>
  <c r="CL50" i="166"/>
  <c r="CL53" i="166"/>
  <c r="CL54" i="166"/>
  <c r="CL57" i="166"/>
  <c r="CL61" i="166"/>
  <c r="CL63" i="166"/>
  <c r="CL59" i="166"/>
  <c r="CL64" i="166"/>
  <c r="CL66" i="166"/>
  <c r="CL71" i="166"/>
  <c r="CL73" i="166"/>
  <c r="CL74" i="166"/>
  <c r="CL77" i="166"/>
  <c r="CL79" i="166"/>
  <c r="CL80" i="166"/>
  <c r="CL83" i="166"/>
  <c r="CL84" i="166"/>
  <c r="CL85" i="166"/>
  <c r="CL87" i="166"/>
  <c r="CL90" i="166"/>
  <c r="CM11" i="166"/>
  <c r="CM12" i="166"/>
  <c r="CM9" i="166"/>
  <c r="CM10" i="166"/>
  <c r="CM13" i="166"/>
  <c r="CM15" i="166"/>
  <c r="CM16" i="166"/>
  <c r="CM17" i="166"/>
  <c r="CM19" i="166"/>
  <c r="CM20" i="166"/>
  <c r="CM22" i="166"/>
  <c r="CM23" i="166"/>
  <c r="CM24" i="166"/>
  <c r="CM28" i="166"/>
  <c r="CM34" i="166"/>
  <c r="CM35" i="166"/>
  <c r="CM36" i="166"/>
  <c r="CM38" i="166"/>
  <c r="CM39" i="166"/>
  <c r="CM40" i="166"/>
  <c r="CM42" i="166"/>
  <c r="CM43" i="166"/>
  <c r="CM44" i="166"/>
  <c r="CM45" i="166"/>
  <c r="CM46" i="166"/>
  <c r="CM47" i="166"/>
  <c r="CM49" i="166"/>
  <c r="CM50" i="166"/>
  <c r="CM53" i="166"/>
  <c r="CM54" i="166"/>
  <c r="CM57" i="166"/>
  <c r="CM61" i="166"/>
  <c r="CM63" i="166"/>
  <c r="CM59" i="166"/>
  <c r="CM64" i="166"/>
  <c r="CM66" i="166"/>
  <c r="CM71" i="166"/>
  <c r="CM73" i="166"/>
  <c r="CM74" i="166"/>
  <c r="CM77" i="166"/>
  <c r="CM79" i="166"/>
  <c r="CM80" i="166"/>
  <c r="CM83" i="166"/>
  <c r="CM84" i="166"/>
  <c r="CM85" i="166"/>
  <c r="CM87" i="166"/>
  <c r="CM90" i="166"/>
  <c r="F55" i="175"/>
  <c r="CN11" i="166"/>
  <c r="CN12" i="166"/>
  <c r="CN9" i="166"/>
  <c r="CN10" i="166"/>
  <c r="CN13" i="166"/>
  <c r="CN15" i="166"/>
  <c r="CN16" i="166"/>
  <c r="CN17" i="166"/>
  <c r="CN19" i="166"/>
  <c r="CN20" i="166"/>
  <c r="CN22" i="166"/>
  <c r="CN23" i="166"/>
  <c r="CN24" i="166"/>
  <c r="CN28" i="166"/>
  <c r="CN34" i="166"/>
  <c r="CN35" i="166"/>
  <c r="CN36" i="166"/>
  <c r="CN38" i="166"/>
  <c r="CN39" i="166"/>
  <c r="CN40" i="166"/>
  <c r="CN42" i="166"/>
  <c r="CN43" i="166"/>
  <c r="CN44" i="166"/>
  <c r="CN45" i="166"/>
  <c r="CN46" i="166"/>
  <c r="CN47" i="166"/>
  <c r="CN49" i="166"/>
  <c r="CN50" i="166"/>
  <c r="CN53" i="166"/>
  <c r="CN54" i="166"/>
  <c r="CN57" i="166"/>
  <c r="CN61" i="166"/>
  <c r="CN63" i="166"/>
  <c r="CN59" i="166"/>
  <c r="CN64" i="166"/>
  <c r="CN66" i="166"/>
  <c r="CN71" i="166"/>
  <c r="CN73" i="166"/>
  <c r="CN74" i="166"/>
  <c r="CR11" i="166"/>
  <c r="CR12" i="166"/>
  <c r="CR9" i="166"/>
  <c r="CR10" i="166"/>
  <c r="CR13" i="166"/>
  <c r="CR15" i="166"/>
  <c r="CR16" i="166"/>
  <c r="CR17" i="166"/>
  <c r="G367" i="39"/>
  <c r="G368" i="39"/>
  <c r="G369" i="39"/>
  <c r="CR22" i="166"/>
  <c r="CR23" i="166"/>
  <c r="CR24" i="166"/>
  <c r="CR34" i="166"/>
  <c r="CR35" i="166"/>
  <c r="CR36" i="166"/>
  <c r="CR38" i="166"/>
  <c r="CR39" i="166"/>
  <c r="CR40" i="166"/>
  <c r="CR42" i="166"/>
  <c r="CR43" i="166"/>
  <c r="CR44" i="166"/>
  <c r="CR45" i="166"/>
  <c r="CR46" i="166"/>
  <c r="CR47" i="166"/>
  <c r="CR49" i="166"/>
  <c r="CR50" i="166"/>
  <c r="CR53" i="166"/>
  <c r="CR54" i="166"/>
  <c r="CR57" i="166"/>
  <c r="CR61" i="166"/>
  <c r="CR63" i="166"/>
  <c r="CR59" i="166"/>
  <c r="CR64" i="166"/>
  <c r="CR66" i="166"/>
  <c r="CR71" i="166"/>
  <c r="CR73" i="166"/>
  <c r="CR74" i="166"/>
  <c r="CR77" i="166"/>
  <c r="CR79" i="166"/>
  <c r="CR80" i="166"/>
  <c r="CR83" i="166"/>
  <c r="CR84" i="166"/>
  <c r="CR85" i="166"/>
  <c r="CR87" i="166"/>
  <c r="CS11" i="166"/>
  <c r="CS12" i="166"/>
  <c r="CS9" i="166"/>
  <c r="CS10" i="166"/>
  <c r="CS13" i="166"/>
  <c r="CS15" i="166"/>
  <c r="CS16" i="166"/>
  <c r="CS17" i="166"/>
  <c r="CS19" i="166"/>
  <c r="CS20" i="166"/>
  <c r="CS22" i="166"/>
  <c r="CS23" i="166"/>
  <c r="CS24" i="166"/>
  <c r="CS28" i="166"/>
  <c r="CS34" i="166"/>
  <c r="CS35" i="166"/>
  <c r="CS36" i="166"/>
  <c r="CS38" i="166"/>
  <c r="CS39" i="166"/>
  <c r="CS40" i="166"/>
  <c r="CS42" i="166"/>
  <c r="CS43" i="166"/>
  <c r="CS44" i="166"/>
  <c r="CS45" i="166"/>
  <c r="CS46" i="166"/>
  <c r="CS47" i="166"/>
  <c r="CS49" i="166"/>
  <c r="CS50" i="166"/>
  <c r="CS53" i="166"/>
  <c r="CS54" i="166"/>
  <c r="CS57" i="166"/>
  <c r="CS61" i="166"/>
  <c r="CS63" i="166"/>
  <c r="CS59" i="166"/>
  <c r="CS64" i="166"/>
  <c r="CS66" i="166"/>
  <c r="CS71" i="166"/>
  <c r="CS73" i="166"/>
  <c r="CS74" i="166"/>
  <c r="CS77" i="166"/>
  <c r="CS79" i="166"/>
  <c r="CS80" i="166"/>
  <c r="CS83" i="166"/>
  <c r="CS84" i="166"/>
  <c r="CS85" i="166"/>
  <c r="CS87" i="166"/>
  <c r="CS90" i="166"/>
  <c r="CT11" i="166"/>
  <c r="CT12" i="166"/>
  <c r="CT9" i="166"/>
  <c r="CT10" i="166"/>
  <c r="CT13" i="166"/>
  <c r="CT15" i="166"/>
  <c r="CT16" i="166"/>
  <c r="CT17" i="166"/>
  <c r="CT19" i="166"/>
  <c r="CT20" i="166"/>
  <c r="CT22" i="166"/>
  <c r="CT23" i="166"/>
  <c r="CT24" i="166"/>
  <c r="CT28" i="166"/>
  <c r="CT34" i="166"/>
  <c r="CT35" i="166"/>
  <c r="CT36" i="166"/>
  <c r="CT38" i="166"/>
  <c r="CT39" i="166"/>
  <c r="CT40" i="166"/>
  <c r="CT42" i="166"/>
  <c r="CT43" i="166"/>
  <c r="CT44" i="166"/>
  <c r="CT45" i="166"/>
  <c r="CT46" i="166"/>
  <c r="CT47" i="166"/>
  <c r="CT49" i="166"/>
  <c r="CT50" i="166"/>
  <c r="CT53" i="166"/>
  <c r="CT54" i="166"/>
  <c r="CT57" i="166"/>
  <c r="CT61" i="166"/>
  <c r="CT63" i="166"/>
  <c r="CT59" i="166"/>
  <c r="CT64" i="166"/>
  <c r="CT66" i="166"/>
  <c r="CT71" i="166"/>
  <c r="CT73" i="166"/>
  <c r="CT74" i="166"/>
  <c r="CT77" i="166"/>
  <c r="CT79" i="166"/>
  <c r="CT80" i="166"/>
  <c r="CT83" i="166"/>
  <c r="CT84" i="166"/>
  <c r="CT85" i="166"/>
  <c r="CT87" i="166"/>
  <c r="CT90" i="166"/>
  <c r="CU11" i="166"/>
  <c r="CU12" i="166"/>
  <c r="CU9" i="166"/>
  <c r="CU10" i="166"/>
  <c r="CU13" i="166"/>
  <c r="CU15" i="166"/>
  <c r="CU16" i="166"/>
  <c r="CU17" i="166"/>
  <c r="CU19" i="166"/>
  <c r="CU20" i="166"/>
  <c r="CU22" i="166"/>
  <c r="CU23" i="166"/>
  <c r="CU24" i="166"/>
  <c r="CU28" i="166"/>
  <c r="CU34" i="166"/>
  <c r="CU35" i="166"/>
  <c r="CU36" i="166"/>
  <c r="CU38" i="166"/>
  <c r="CU39" i="166"/>
  <c r="CU40" i="166"/>
  <c r="CU42" i="166"/>
  <c r="CU43" i="166"/>
  <c r="CU44" i="166"/>
  <c r="CU45" i="166"/>
  <c r="CU46" i="166"/>
  <c r="CU47" i="166"/>
  <c r="CU49" i="166"/>
  <c r="CU50" i="166"/>
  <c r="CU53" i="166"/>
  <c r="CU54" i="166"/>
  <c r="CU57" i="166"/>
  <c r="CU61" i="166"/>
  <c r="CU63" i="166"/>
  <c r="CU59" i="166"/>
  <c r="CU64" i="166"/>
  <c r="CU66" i="166"/>
  <c r="CU71" i="166"/>
  <c r="CU73" i="166"/>
  <c r="CU74" i="166"/>
  <c r="CU83" i="166"/>
  <c r="CU84" i="166"/>
  <c r="CU85" i="166"/>
  <c r="CU87" i="166"/>
  <c r="CU90" i="166"/>
  <c r="D57" i="175"/>
  <c r="D56" i="175"/>
  <c r="D55" i="175"/>
  <c r="D54" i="175"/>
  <c r="D53" i="175"/>
  <c r="D52" i="175"/>
  <c r="D51" i="175"/>
  <c r="D50" i="175"/>
  <c r="F15" i="175"/>
  <c r="F16" i="175"/>
  <c r="F17" i="175"/>
  <c r="F18" i="175"/>
  <c r="F19" i="175"/>
  <c r="F20" i="175"/>
  <c r="G15" i="175"/>
  <c r="G16" i="175"/>
  <c r="G17" i="175"/>
  <c r="G18" i="175"/>
  <c r="G19" i="175"/>
  <c r="G20" i="175"/>
  <c r="H15" i="175"/>
  <c r="H16" i="175"/>
  <c r="H17" i="175"/>
  <c r="H18" i="175"/>
  <c r="H19" i="175"/>
  <c r="H20" i="175"/>
  <c r="I15" i="175"/>
  <c r="I16" i="175"/>
  <c r="I17" i="175"/>
  <c r="I18" i="175"/>
  <c r="I19" i="175"/>
  <c r="I20" i="175"/>
  <c r="J15" i="175"/>
  <c r="J16" i="175"/>
  <c r="J17" i="175"/>
  <c r="J18" i="175"/>
  <c r="J19" i="175"/>
  <c r="J20" i="175"/>
  <c r="K15" i="175"/>
  <c r="K16" i="175"/>
  <c r="K17" i="175"/>
  <c r="K18" i="175"/>
  <c r="K19" i="175"/>
  <c r="K20" i="175"/>
  <c r="L15" i="175"/>
  <c r="L16" i="175"/>
  <c r="L17" i="175"/>
  <c r="L18" i="175"/>
  <c r="L19" i="175"/>
  <c r="L20" i="175"/>
  <c r="M15" i="175"/>
  <c r="M16" i="175"/>
  <c r="M17" i="175"/>
  <c r="M18" i="175"/>
  <c r="M19" i="175"/>
  <c r="M20" i="175"/>
  <c r="E15" i="175"/>
  <c r="E16" i="175"/>
  <c r="E17" i="175"/>
  <c r="E18" i="175"/>
  <c r="E19" i="175"/>
  <c r="E20" i="175"/>
  <c r="F78" i="6"/>
  <c r="E70" i="6"/>
  <c r="E78" i="6"/>
  <c r="N492" i="40"/>
  <c r="N491" i="40"/>
  <c r="N490" i="40"/>
  <c r="N489" i="40"/>
  <c r="N488" i="40"/>
  <c r="N487" i="40"/>
  <c r="N486" i="40"/>
  <c r="N485" i="40"/>
  <c r="N484" i="40"/>
  <c r="N483" i="40"/>
  <c r="N482" i="40"/>
  <c r="N481" i="40"/>
  <c r="N480" i="40"/>
  <c r="N479" i="40"/>
  <c r="F492" i="40"/>
  <c r="F491" i="40"/>
  <c r="F489" i="40"/>
  <c r="F488" i="40"/>
  <c r="N475" i="40"/>
  <c r="N474" i="40"/>
  <c r="N473" i="40"/>
  <c r="N472" i="40"/>
  <c r="N471" i="40"/>
  <c r="N470" i="40"/>
  <c r="N469" i="40"/>
  <c r="N468" i="40"/>
  <c r="N467" i="40"/>
  <c r="N466" i="40"/>
  <c r="N465" i="40"/>
  <c r="N464" i="40"/>
  <c r="N463" i="40"/>
  <c r="N462" i="40"/>
  <c r="F475" i="40"/>
  <c r="F474" i="40"/>
  <c r="F472" i="40"/>
  <c r="F471" i="40"/>
  <c r="N458" i="40"/>
  <c r="N457" i="40"/>
  <c r="N456" i="40"/>
  <c r="N455" i="40"/>
  <c r="N454" i="40"/>
  <c r="N453" i="40"/>
  <c r="N452" i="40"/>
  <c r="N451" i="40"/>
  <c r="N450" i="40"/>
  <c r="N449" i="40"/>
  <c r="N448" i="40"/>
  <c r="N447" i="40"/>
  <c r="N446" i="40"/>
  <c r="N445" i="40"/>
  <c r="F458" i="40"/>
  <c r="F457" i="40"/>
  <c r="F455" i="40"/>
  <c r="F454" i="40"/>
  <c r="N441" i="40"/>
  <c r="N440" i="40"/>
  <c r="N439" i="40"/>
  <c r="N438" i="40"/>
  <c r="N437" i="40"/>
  <c r="N436" i="40"/>
  <c r="N435" i="40"/>
  <c r="N434" i="40"/>
  <c r="N433" i="40"/>
  <c r="N432" i="40"/>
  <c r="N431" i="40"/>
  <c r="N430" i="40"/>
  <c r="N429" i="40"/>
  <c r="N428" i="40"/>
  <c r="F436" i="40"/>
  <c r="F435" i="40"/>
  <c r="F434" i="40"/>
  <c r="F433" i="40"/>
  <c r="F432" i="40"/>
  <c r="F431" i="40"/>
  <c r="F430" i="40"/>
  <c r="F429" i="40"/>
  <c r="N424" i="40"/>
  <c r="N423" i="40"/>
  <c r="N422" i="40"/>
  <c r="N421" i="40"/>
  <c r="N420" i="40"/>
  <c r="N419" i="40"/>
  <c r="N418" i="40"/>
  <c r="N417" i="40"/>
  <c r="N416" i="40"/>
  <c r="N415" i="40"/>
  <c r="N414" i="40"/>
  <c r="N413" i="40"/>
  <c r="N412" i="40"/>
  <c r="N411" i="40"/>
  <c r="F419" i="40"/>
  <c r="F418" i="40"/>
  <c r="F417" i="40"/>
  <c r="F416" i="40"/>
  <c r="F415" i="40"/>
  <c r="F414" i="40"/>
  <c r="F413" i="40"/>
  <c r="F412" i="40"/>
  <c r="N407" i="40"/>
  <c r="N406" i="40"/>
  <c r="N405" i="40"/>
  <c r="N404" i="40"/>
  <c r="N403" i="40"/>
  <c r="N402" i="40"/>
  <c r="N401" i="40"/>
  <c r="N400" i="40"/>
  <c r="N399" i="40"/>
  <c r="N398" i="40"/>
  <c r="N397" i="40"/>
  <c r="N396" i="40"/>
  <c r="N395" i="40"/>
  <c r="N394" i="40"/>
  <c r="F407" i="40"/>
  <c r="F406" i="40"/>
  <c r="F405" i="40"/>
  <c r="F404" i="40"/>
  <c r="F403" i="40"/>
  <c r="F402" i="40"/>
  <c r="F401" i="40"/>
  <c r="F400" i="40"/>
  <c r="F399" i="40"/>
  <c r="F398" i="40"/>
  <c r="F397" i="40"/>
  <c r="F396" i="40"/>
  <c r="F395" i="40"/>
  <c r="F420" i="40"/>
  <c r="F421" i="40"/>
  <c r="F423" i="40"/>
  <c r="F424" i="40"/>
  <c r="F437" i="40"/>
  <c r="F438" i="40"/>
  <c r="F440" i="40"/>
  <c r="F441" i="40"/>
  <c r="F952" i="40"/>
  <c r="E30" i="105"/>
  <c r="F292" i="40"/>
  <c r="F521" i="40"/>
  <c r="E8" i="40"/>
  <c r="F516" i="40"/>
  <c r="F517" i="40"/>
  <c r="F518" i="40"/>
  <c r="F530" i="40"/>
  <c r="E9" i="40"/>
  <c r="F306" i="40" a="1"/>
  <c r="F309" i="40"/>
  <c r="F310" i="40"/>
  <c r="E10" i="40"/>
  <c r="F328" i="40"/>
  <c r="F547" i="40"/>
  <c r="F342" i="40" a="1"/>
  <c r="F342" i="40"/>
  <c r="F566" i="40"/>
  <c r="F156" i="40"/>
  <c r="F585" i="40"/>
  <c r="F483" i="40"/>
  <c r="F744" i="40"/>
  <c r="F293" i="40"/>
  <c r="F522" i="40"/>
  <c r="F531" i="40"/>
  <c r="F313" i="40"/>
  <c r="F314" i="40"/>
  <c r="F332" i="40"/>
  <c r="F551" i="40"/>
  <c r="F343" i="40"/>
  <c r="F570" i="40"/>
  <c r="F157" i="40"/>
  <c r="F589" i="40"/>
  <c r="F487" i="40"/>
  <c r="F748" i="40"/>
  <c r="F953" i="40"/>
  <c r="O30" i="105"/>
  <c r="Y30" i="105"/>
  <c r="AI30" i="105"/>
  <c r="AI30" i="123"/>
  <c r="N292" i="40"/>
  <c r="G292" i="40"/>
  <c r="G521" i="40"/>
  <c r="G516" i="40"/>
  <c r="G517" i="40"/>
  <c r="G518" i="40"/>
  <c r="G530" i="40"/>
  <c r="G309" i="40"/>
  <c r="G310" i="40"/>
  <c r="G328" i="40"/>
  <c r="G547" i="40"/>
  <c r="F345" i="40"/>
  <c r="N342" i="40" a="1"/>
  <c r="N345" i="40"/>
  <c r="G345" i="40"/>
  <c r="G566" i="40"/>
  <c r="N156" i="40"/>
  <c r="G156" i="40"/>
  <c r="G585" i="40"/>
  <c r="G604" i="40"/>
  <c r="G623" i="40"/>
  <c r="E432" i="40"/>
  <c r="G432" i="40"/>
  <c r="G684" i="40"/>
  <c r="N293" i="40"/>
  <c r="G293" i="40"/>
  <c r="G522" i="40"/>
  <c r="G531" i="40"/>
  <c r="G313" i="40"/>
  <c r="G314" i="40"/>
  <c r="G332" i="40"/>
  <c r="G551" i="40"/>
  <c r="F346" i="40"/>
  <c r="N346" i="40"/>
  <c r="G346" i="40"/>
  <c r="G570" i="40"/>
  <c r="N157" i="40"/>
  <c r="G157" i="40"/>
  <c r="G589" i="40"/>
  <c r="G608" i="40"/>
  <c r="G627" i="40"/>
  <c r="E436" i="40"/>
  <c r="G436" i="40"/>
  <c r="G688" i="40"/>
  <c r="G952" i="40"/>
  <c r="F30" i="105"/>
  <c r="E483" i="40"/>
  <c r="G483" i="40"/>
  <c r="G744" i="40"/>
  <c r="E487" i="40"/>
  <c r="G487" i="40"/>
  <c r="G748" i="40"/>
  <c r="G953" i="40"/>
  <c r="P30" i="105"/>
  <c r="Z30" i="105"/>
  <c r="AJ30" i="105"/>
  <c r="AJ30" i="123"/>
  <c r="H292" i="40"/>
  <c r="H521" i="40"/>
  <c r="H516" i="40"/>
  <c r="H517" i="40"/>
  <c r="H518" i="40"/>
  <c r="H530" i="40"/>
  <c r="H309" i="40"/>
  <c r="H310" i="40"/>
  <c r="H328" i="40"/>
  <c r="H547" i="40"/>
  <c r="H345" i="40"/>
  <c r="H566" i="40"/>
  <c r="H156" i="40"/>
  <c r="H585" i="40"/>
  <c r="H604" i="40"/>
  <c r="H623" i="40"/>
  <c r="H432" i="40"/>
  <c r="H684" i="40"/>
  <c r="H293" i="40"/>
  <c r="H522" i="40"/>
  <c r="H531" i="40"/>
  <c r="H313" i="40"/>
  <c r="H314" i="40"/>
  <c r="H332" i="40"/>
  <c r="H551" i="40"/>
  <c r="H346" i="40"/>
  <c r="H570" i="40"/>
  <c r="H157" i="40"/>
  <c r="H589" i="40"/>
  <c r="H608" i="40"/>
  <c r="H627" i="40"/>
  <c r="H436" i="40"/>
  <c r="H688" i="40"/>
  <c r="H952" i="40"/>
  <c r="G30" i="105"/>
  <c r="H483" i="40"/>
  <c r="H744" i="40"/>
  <c r="H487" i="40"/>
  <c r="H748" i="40"/>
  <c r="H953" i="40"/>
  <c r="Q30" i="105"/>
  <c r="AA30" i="105"/>
  <c r="AK30" i="105"/>
  <c r="AK30" i="123"/>
  <c r="I292" i="40"/>
  <c r="I521" i="40"/>
  <c r="I516" i="40"/>
  <c r="I517" i="40"/>
  <c r="I518" i="40"/>
  <c r="I530" i="40"/>
  <c r="I309" i="40"/>
  <c r="I310" i="40"/>
  <c r="I328" i="40"/>
  <c r="I547" i="40"/>
  <c r="I345" i="40"/>
  <c r="I566" i="40"/>
  <c r="I156" i="40"/>
  <c r="I585" i="40"/>
  <c r="I604" i="40"/>
  <c r="I623" i="40"/>
  <c r="I432" i="40"/>
  <c r="I684" i="40"/>
  <c r="I293" i="40"/>
  <c r="I522" i="40"/>
  <c r="I531" i="40"/>
  <c r="I313" i="40"/>
  <c r="I314" i="40"/>
  <c r="I332" i="40"/>
  <c r="I551" i="40"/>
  <c r="I346" i="40"/>
  <c r="I570" i="40"/>
  <c r="I157" i="40"/>
  <c r="I589" i="40"/>
  <c r="I608" i="40"/>
  <c r="I627" i="40"/>
  <c r="I436" i="40"/>
  <c r="I688" i="40"/>
  <c r="I952" i="40"/>
  <c r="H30" i="105"/>
  <c r="I483" i="40"/>
  <c r="I744" i="40"/>
  <c r="I487" i="40"/>
  <c r="I748" i="40"/>
  <c r="I953" i="40"/>
  <c r="R30" i="105"/>
  <c r="AB30" i="105"/>
  <c r="AL30" i="105"/>
  <c r="AL30" i="123"/>
  <c r="J292" i="40"/>
  <c r="J521" i="40"/>
  <c r="J516" i="40"/>
  <c r="J517" i="40"/>
  <c r="J518" i="40"/>
  <c r="J530" i="40"/>
  <c r="J309" i="40"/>
  <c r="J310" i="40"/>
  <c r="J328" i="40"/>
  <c r="J547" i="40"/>
  <c r="J345" i="40"/>
  <c r="J566" i="40"/>
  <c r="J156" i="40"/>
  <c r="J585" i="40"/>
  <c r="J604" i="40"/>
  <c r="J623" i="40"/>
  <c r="J432" i="40"/>
  <c r="J684" i="40"/>
  <c r="J293" i="40"/>
  <c r="J522" i="40"/>
  <c r="J531" i="40"/>
  <c r="J313" i="40"/>
  <c r="J314" i="40"/>
  <c r="J332" i="40"/>
  <c r="J551" i="40"/>
  <c r="J346" i="40"/>
  <c r="J570" i="40"/>
  <c r="J157" i="40"/>
  <c r="J589" i="40"/>
  <c r="J608" i="40"/>
  <c r="J627" i="40"/>
  <c r="J436" i="40"/>
  <c r="J688" i="40"/>
  <c r="J952" i="40"/>
  <c r="I30" i="105"/>
  <c r="J483" i="40"/>
  <c r="J744" i="40"/>
  <c r="J487" i="40"/>
  <c r="J748" i="40"/>
  <c r="J953" i="40"/>
  <c r="S30" i="105"/>
  <c r="AC30" i="105"/>
  <c r="AM30" i="105"/>
  <c r="AM30" i="123"/>
  <c r="K292" i="40"/>
  <c r="K521" i="40"/>
  <c r="K516" i="40"/>
  <c r="K517" i="40"/>
  <c r="K518" i="40"/>
  <c r="K530" i="40"/>
  <c r="K309" i="40"/>
  <c r="K310" i="40"/>
  <c r="K328" i="40"/>
  <c r="K547" i="40"/>
  <c r="K345" i="40"/>
  <c r="K566" i="40"/>
  <c r="K156" i="40"/>
  <c r="K585" i="40"/>
  <c r="K604" i="40"/>
  <c r="K623" i="40"/>
  <c r="K432" i="40"/>
  <c r="K684" i="40"/>
  <c r="K293" i="40"/>
  <c r="K522" i="40"/>
  <c r="K531" i="40"/>
  <c r="K313" i="40"/>
  <c r="K314" i="40"/>
  <c r="K332" i="40"/>
  <c r="K551" i="40"/>
  <c r="K346" i="40"/>
  <c r="K570" i="40"/>
  <c r="K157" i="40"/>
  <c r="K589" i="40"/>
  <c r="K608" i="40"/>
  <c r="K627" i="40"/>
  <c r="K436" i="40"/>
  <c r="K688" i="40"/>
  <c r="K952" i="40"/>
  <c r="J30" i="105"/>
  <c r="K483" i="40"/>
  <c r="K744" i="40"/>
  <c r="K487" i="40"/>
  <c r="K748" i="40"/>
  <c r="K953" i="40"/>
  <c r="T30" i="105"/>
  <c r="AD30" i="105"/>
  <c r="AN30" i="105"/>
  <c r="AN30" i="123"/>
  <c r="L292" i="40"/>
  <c r="L521" i="40"/>
  <c r="L516" i="40"/>
  <c r="L517" i="40"/>
  <c r="L518" i="40"/>
  <c r="L530" i="40"/>
  <c r="L309" i="40"/>
  <c r="L310" i="40"/>
  <c r="L328" i="40"/>
  <c r="L547" i="40"/>
  <c r="L345" i="40"/>
  <c r="L566" i="40"/>
  <c r="L156" i="40"/>
  <c r="L585" i="40"/>
  <c r="L604" i="40"/>
  <c r="L623" i="40"/>
  <c r="L432" i="40"/>
  <c r="L684" i="40"/>
  <c r="L293" i="40"/>
  <c r="L522" i="40"/>
  <c r="L531" i="40"/>
  <c r="L313" i="40"/>
  <c r="L314" i="40"/>
  <c r="L332" i="40"/>
  <c r="L551" i="40"/>
  <c r="L346" i="40"/>
  <c r="L570" i="40"/>
  <c r="L157" i="40"/>
  <c r="L589" i="40"/>
  <c r="L608" i="40"/>
  <c r="L627" i="40"/>
  <c r="L436" i="40"/>
  <c r="L688" i="40"/>
  <c r="L952" i="40"/>
  <c r="K30" i="105"/>
  <c r="L483" i="40"/>
  <c r="L744" i="40"/>
  <c r="L487" i="40"/>
  <c r="L748" i="40"/>
  <c r="L953" i="40"/>
  <c r="U30" i="105"/>
  <c r="AE30" i="105"/>
  <c r="AO30" i="105"/>
  <c r="AO30" i="123"/>
  <c r="M292" i="40"/>
  <c r="M521" i="40"/>
  <c r="M516" i="40"/>
  <c r="M517" i="40"/>
  <c r="M518" i="40"/>
  <c r="M530" i="40"/>
  <c r="M309" i="40"/>
  <c r="M310" i="40"/>
  <c r="M328" i="40"/>
  <c r="M547" i="40"/>
  <c r="M345" i="40"/>
  <c r="M566" i="40"/>
  <c r="M156" i="40"/>
  <c r="M585" i="40"/>
  <c r="M604" i="40"/>
  <c r="M623" i="40"/>
  <c r="M432" i="40"/>
  <c r="M684" i="40"/>
  <c r="M293" i="40"/>
  <c r="M522" i="40"/>
  <c r="M531" i="40"/>
  <c r="M313" i="40"/>
  <c r="M314" i="40"/>
  <c r="M332" i="40"/>
  <c r="M551" i="40"/>
  <c r="M346" i="40"/>
  <c r="M570" i="40"/>
  <c r="M157" i="40"/>
  <c r="M589" i="40"/>
  <c r="M608" i="40"/>
  <c r="M627" i="40"/>
  <c r="M436" i="40"/>
  <c r="M688" i="40"/>
  <c r="M952" i="40"/>
  <c r="L30" i="105"/>
  <c r="M483" i="40"/>
  <c r="M744" i="40"/>
  <c r="M487" i="40"/>
  <c r="M748" i="40"/>
  <c r="M953" i="40"/>
  <c r="V30" i="105"/>
  <c r="AF30" i="105"/>
  <c r="AP30" i="105"/>
  <c r="AP30" i="123"/>
  <c r="N521" i="40"/>
  <c r="N516" i="40"/>
  <c r="N517" i="40"/>
  <c r="N518" i="40"/>
  <c r="N530" i="40"/>
  <c r="N309" i="40"/>
  <c r="N310" i="40"/>
  <c r="N328" i="40"/>
  <c r="N547" i="40"/>
  <c r="N566" i="40"/>
  <c r="N585" i="40"/>
  <c r="N604" i="40"/>
  <c r="N623" i="40"/>
  <c r="N684" i="40"/>
  <c r="N522" i="40"/>
  <c r="N531" i="40"/>
  <c r="N313" i="40"/>
  <c r="N314" i="40"/>
  <c r="N332" i="40"/>
  <c r="N551" i="40"/>
  <c r="N570" i="40"/>
  <c r="N589" i="40"/>
  <c r="N608" i="40"/>
  <c r="N627" i="40"/>
  <c r="N688" i="40"/>
  <c r="N952" i="40"/>
  <c r="M30" i="105"/>
  <c r="N744" i="40"/>
  <c r="N748" i="40"/>
  <c r="N953" i="40"/>
  <c r="W30" i="105"/>
  <c r="AG30" i="105"/>
  <c r="AQ30" i="105"/>
  <c r="AQ30" i="123"/>
  <c r="AS30" i="123"/>
  <c r="F199" i="123"/>
  <c r="F950" i="40"/>
  <c r="E74" i="105"/>
  <c r="F466" i="40"/>
  <c r="F724" i="40"/>
  <c r="F470" i="40"/>
  <c r="F728" i="40"/>
  <c r="F951" i="40"/>
  <c r="O74" i="105"/>
  <c r="Y74" i="105"/>
  <c r="AI74" i="105"/>
  <c r="AI74" i="123"/>
  <c r="E415" i="40"/>
  <c r="G415" i="40"/>
  <c r="G663" i="40"/>
  <c r="E419" i="40"/>
  <c r="G419" i="40"/>
  <c r="G667" i="40"/>
  <c r="G950" i="40"/>
  <c r="F74" i="105"/>
  <c r="E466" i="40"/>
  <c r="G466" i="40"/>
  <c r="G724" i="40"/>
  <c r="E470" i="40"/>
  <c r="G470" i="40"/>
  <c r="G728" i="40"/>
  <c r="G951" i="40"/>
  <c r="P74" i="105"/>
  <c r="Z74" i="105"/>
  <c r="AJ74" i="105"/>
  <c r="AJ74" i="123"/>
  <c r="H415" i="40"/>
  <c r="H663" i="40"/>
  <c r="H419" i="40"/>
  <c r="H667" i="40"/>
  <c r="H950" i="40"/>
  <c r="G74" i="105"/>
  <c r="H466" i="40"/>
  <c r="H724" i="40"/>
  <c r="H470" i="40"/>
  <c r="H728" i="40"/>
  <c r="H951" i="40"/>
  <c r="Q74" i="105"/>
  <c r="AA74" i="105"/>
  <c r="AK74" i="105"/>
  <c r="AK74" i="123"/>
  <c r="I415" i="40"/>
  <c r="I663" i="40"/>
  <c r="I419" i="40"/>
  <c r="I667" i="40"/>
  <c r="I950" i="40"/>
  <c r="H74" i="105"/>
  <c r="I466" i="40"/>
  <c r="I724" i="40"/>
  <c r="I470" i="40"/>
  <c r="I728" i="40"/>
  <c r="I951" i="40"/>
  <c r="R74" i="105"/>
  <c r="AB74" i="105"/>
  <c r="AL74" i="105"/>
  <c r="AL74" i="123"/>
  <c r="J415" i="40"/>
  <c r="J663" i="40"/>
  <c r="J419" i="40"/>
  <c r="J667" i="40"/>
  <c r="J950" i="40"/>
  <c r="I74" i="105"/>
  <c r="J466" i="40"/>
  <c r="J724" i="40"/>
  <c r="J470" i="40"/>
  <c r="J728" i="40"/>
  <c r="J951" i="40"/>
  <c r="S74" i="105"/>
  <c r="AC74" i="105"/>
  <c r="AM74" i="105"/>
  <c r="AM74" i="123"/>
  <c r="K415" i="40"/>
  <c r="K663" i="40"/>
  <c r="K419" i="40"/>
  <c r="K667" i="40"/>
  <c r="K950" i="40"/>
  <c r="J74" i="105"/>
  <c r="K466" i="40"/>
  <c r="K724" i="40"/>
  <c r="K470" i="40"/>
  <c r="K728" i="40"/>
  <c r="K951" i="40"/>
  <c r="T74" i="105"/>
  <c r="AD74" i="105"/>
  <c r="AN74" i="105"/>
  <c r="AN74" i="123"/>
  <c r="L415" i="40"/>
  <c r="L663" i="40"/>
  <c r="L419" i="40"/>
  <c r="L667" i="40"/>
  <c r="L950" i="40"/>
  <c r="K74" i="105"/>
  <c r="L466" i="40"/>
  <c r="L724" i="40"/>
  <c r="L470" i="40"/>
  <c r="L728" i="40"/>
  <c r="L951" i="40"/>
  <c r="U74" i="105"/>
  <c r="AE74" i="105"/>
  <c r="AO74" i="105"/>
  <c r="AO74" i="123"/>
  <c r="M415" i="40"/>
  <c r="M663" i="40"/>
  <c r="M419" i="40"/>
  <c r="M667" i="40"/>
  <c r="M950" i="40"/>
  <c r="L74" i="105"/>
  <c r="M466" i="40"/>
  <c r="M724" i="40"/>
  <c r="M470" i="40"/>
  <c r="M728" i="40"/>
  <c r="M951" i="40"/>
  <c r="V74" i="105"/>
  <c r="AF74" i="105"/>
  <c r="AP74" i="105"/>
  <c r="AP74" i="123"/>
  <c r="N663" i="40"/>
  <c r="N667" i="40"/>
  <c r="N950" i="40"/>
  <c r="M74" i="105"/>
  <c r="N724" i="40"/>
  <c r="N728" i="40"/>
  <c r="N951" i="40"/>
  <c r="W74" i="105"/>
  <c r="AG74" i="105"/>
  <c r="AQ74" i="105"/>
  <c r="AQ74" i="123"/>
  <c r="AS74" i="123"/>
  <c r="G199" i="123"/>
  <c r="F938" i="40"/>
  <c r="E118" i="105"/>
  <c r="F331" i="40"/>
  <c r="F550" i="40"/>
  <c r="F569" i="40"/>
  <c r="F588" i="40"/>
  <c r="F452" i="40"/>
  <c r="F707" i="40"/>
  <c r="F327" i="40"/>
  <c r="F546" i="40"/>
  <c r="F565" i="40"/>
  <c r="F584" i="40"/>
  <c r="F448" i="40"/>
  <c r="F703" i="40"/>
  <c r="F939" i="40"/>
  <c r="O118" i="105"/>
  <c r="Y118" i="105"/>
  <c r="AI118" i="105"/>
  <c r="AI119" i="123"/>
  <c r="G331" i="40"/>
  <c r="G550" i="40"/>
  <c r="G569" i="40"/>
  <c r="G588" i="40"/>
  <c r="G607" i="40"/>
  <c r="G626" i="40"/>
  <c r="E401" i="40"/>
  <c r="G401" i="40"/>
  <c r="G645" i="40"/>
  <c r="G327" i="40"/>
  <c r="G546" i="40"/>
  <c r="G565" i="40"/>
  <c r="G584" i="40"/>
  <c r="G603" i="40"/>
  <c r="G622" i="40"/>
  <c r="E397" i="40"/>
  <c r="G397" i="40"/>
  <c r="G641" i="40"/>
  <c r="G938" i="40"/>
  <c r="F118" i="105"/>
  <c r="E452" i="40"/>
  <c r="G452" i="40"/>
  <c r="G707" i="40"/>
  <c r="E448" i="40"/>
  <c r="G448" i="40"/>
  <c r="G703" i="40"/>
  <c r="G939" i="40"/>
  <c r="P118" i="105"/>
  <c r="Z118" i="105"/>
  <c r="AJ118" i="105"/>
  <c r="AJ119" i="123"/>
  <c r="H331" i="40"/>
  <c r="H550" i="40"/>
  <c r="H569" i="40"/>
  <c r="H588" i="40"/>
  <c r="H607" i="40"/>
  <c r="H626" i="40"/>
  <c r="H401" i="40"/>
  <c r="H645" i="40"/>
  <c r="H327" i="40"/>
  <c r="H546" i="40"/>
  <c r="H565" i="40"/>
  <c r="H584" i="40"/>
  <c r="H603" i="40"/>
  <c r="H622" i="40"/>
  <c r="H397" i="40"/>
  <c r="H641" i="40"/>
  <c r="H938" i="40"/>
  <c r="G118" i="105"/>
  <c r="H452" i="40"/>
  <c r="H707" i="40"/>
  <c r="H448" i="40"/>
  <c r="H703" i="40"/>
  <c r="H939" i="40"/>
  <c r="Q118" i="105"/>
  <c r="AA118" i="105"/>
  <c r="AK118" i="105"/>
  <c r="AK119" i="123"/>
  <c r="I331" i="40"/>
  <c r="I550" i="40"/>
  <c r="I569" i="40"/>
  <c r="I588" i="40"/>
  <c r="I607" i="40"/>
  <c r="I626" i="40"/>
  <c r="I401" i="40"/>
  <c r="I645" i="40"/>
  <c r="I327" i="40"/>
  <c r="I546" i="40"/>
  <c r="I565" i="40"/>
  <c r="I584" i="40"/>
  <c r="I603" i="40"/>
  <c r="I622" i="40"/>
  <c r="I397" i="40"/>
  <c r="I641" i="40"/>
  <c r="I938" i="40"/>
  <c r="H118" i="105"/>
  <c r="I452" i="40"/>
  <c r="I707" i="40"/>
  <c r="I448" i="40"/>
  <c r="I703" i="40"/>
  <c r="I939" i="40"/>
  <c r="R118" i="105"/>
  <c r="AB118" i="105"/>
  <c r="AL118" i="105"/>
  <c r="AL119" i="123"/>
  <c r="J331" i="40"/>
  <c r="J550" i="40"/>
  <c r="J569" i="40"/>
  <c r="J588" i="40"/>
  <c r="J607" i="40"/>
  <c r="J626" i="40"/>
  <c r="J401" i="40"/>
  <c r="J645" i="40"/>
  <c r="J327" i="40"/>
  <c r="J546" i="40"/>
  <c r="J565" i="40"/>
  <c r="J584" i="40"/>
  <c r="J603" i="40"/>
  <c r="J622" i="40"/>
  <c r="J397" i="40"/>
  <c r="J641" i="40"/>
  <c r="J938" i="40"/>
  <c r="I118" i="105"/>
  <c r="J452" i="40"/>
  <c r="J707" i="40"/>
  <c r="J448" i="40"/>
  <c r="J703" i="40"/>
  <c r="J939" i="40"/>
  <c r="S118" i="105"/>
  <c r="AC118" i="105"/>
  <c r="AM118" i="105"/>
  <c r="AM119" i="123"/>
  <c r="K331" i="40"/>
  <c r="K550" i="40"/>
  <c r="K569" i="40"/>
  <c r="K588" i="40"/>
  <c r="K607" i="40"/>
  <c r="K626" i="40"/>
  <c r="K401" i="40"/>
  <c r="K645" i="40"/>
  <c r="K327" i="40"/>
  <c r="K546" i="40"/>
  <c r="K565" i="40"/>
  <c r="K584" i="40"/>
  <c r="K603" i="40"/>
  <c r="K622" i="40"/>
  <c r="K397" i="40"/>
  <c r="K641" i="40"/>
  <c r="K938" i="40"/>
  <c r="J118" i="105"/>
  <c r="K452" i="40"/>
  <c r="K707" i="40"/>
  <c r="K448" i="40"/>
  <c r="K703" i="40"/>
  <c r="K939" i="40"/>
  <c r="T118" i="105"/>
  <c r="AD118" i="105"/>
  <c r="AN118" i="105"/>
  <c r="AN119" i="123"/>
  <c r="L331" i="40"/>
  <c r="L550" i="40"/>
  <c r="L569" i="40"/>
  <c r="L588" i="40"/>
  <c r="L607" i="40"/>
  <c r="L626" i="40"/>
  <c r="L401" i="40"/>
  <c r="L645" i="40"/>
  <c r="L327" i="40"/>
  <c r="L546" i="40"/>
  <c r="L565" i="40"/>
  <c r="L584" i="40"/>
  <c r="L603" i="40"/>
  <c r="L622" i="40"/>
  <c r="L397" i="40"/>
  <c r="L641" i="40"/>
  <c r="L938" i="40"/>
  <c r="K118" i="105"/>
  <c r="L452" i="40"/>
  <c r="L707" i="40"/>
  <c r="L448" i="40"/>
  <c r="L703" i="40"/>
  <c r="L939" i="40"/>
  <c r="U118" i="105"/>
  <c r="AE118" i="105"/>
  <c r="AO118" i="105"/>
  <c r="AO119" i="123"/>
  <c r="M331" i="40"/>
  <c r="M550" i="40"/>
  <c r="M569" i="40"/>
  <c r="M588" i="40"/>
  <c r="M607" i="40"/>
  <c r="M626" i="40"/>
  <c r="M401" i="40"/>
  <c r="M645" i="40"/>
  <c r="M327" i="40"/>
  <c r="M546" i="40"/>
  <c r="M565" i="40"/>
  <c r="M584" i="40"/>
  <c r="M603" i="40"/>
  <c r="M622" i="40"/>
  <c r="M397" i="40"/>
  <c r="M641" i="40"/>
  <c r="M938" i="40"/>
  <c r="L118" i="105"/>
  <c r="M452" i="40"/>
  <c r="M707" i="40"/>
  <c r="M448" i="40"/>
  <c r="M703" i="40"/>
  <c r="M939" i="40"/>
  <c r="V118" i="105"/>
  <c r="AF118" i="105"/>
  <c r="AP118" i="105"/>
  <c r="AP119" i="123"/>
  <c r="N331" i="40"/>
  <c r="N550" i="40"/>
  <c r="N569" i="40"/>
  <c r="N588" i="40"/>
  <c r="N607" i="40"/>
  <c r="N626" i="40"/>
  <c r="N645" i="40"/>
  <c r="N327" i="40"/>
  <c r="N546" i="40"/>
  <c r="N565" i="40"/>
  <c r="N584" i="40"/>
  <c r="N603" i="40"/>
  <c r="N622" i="40"/>
  <c r="N641" i="40"/>
  <c r="N938" i="40"/>
  <c r="M118" i="105"/>
  <c r="N707" i="40"/>
  <c r="N703" i="40"/>
  <c r="N939" i="40"/>
  <c r="W118" i="105"/>
  <c r="AG118" i="105"/>
  <c r="AQ118" i="105"/>
  <c r="AQ119" i="123"/>
  <c r="AS119" i="123"/>
  <c r="H199" i="123"/>
  <c r="I199" i="123"/>
  <c r="AV30" i="105"/>
  <c r="AW30" i="105"/>
  <c r="AY30" i="105"/>
  <c r="BI30" i="105"/>
  <c r="CF30" i="105"/>
  <c r="CF30" i="123"/>
  <c r="AZ30" i="105"/>
  <c r="BJ30" i="105"/>
  <c r="CG30" i="105"/>
  <c r="CG30" i="123"/>
  <c r="BA30" i="105"/>
  <c r="BK30" i="105"/>
  <c r="CH30" i="105"/>
  <c r="CH30" i="123"/>
  <c r="BB30" i="105"/>
  <c r="BL30" i="105"/>
  <c r="CI30" i="105"/>
  <c r="CI30" i="123"/>
  <c r="BC30" i="105"/>
  <c r="BM30" i="105"/>
  <c r="CJ30" i="105"/>
  <c r="CJ30" i="123"/>
  <c r="BD30" i="105"/>
  <c r="BN30" i="105"/>
  <c r="CK30" i="105"/>
  <c r="CK30" i="123"/>
  <c r="BE30" i="105"/>
  <c r="BO30" i="105"/>
  <c r="CL30" i="105"/>
  <c r="CL30" i="123"/>
  <c r="BF30" i="105"/>
  <c r="BP30" i="105"/>
  <c r="CM30" i="105"/>
  <c r="CM30" i="123"/>
  <c r="BG30" i="105"/>
  <c r="BQ30" i="105"/>
  <c r="CN30" i="105"/>
  <c r="CN30" i="123"/>
  <c r="CP30" i="123"/>
  <c r="K199" i="123"/>
  <c r="AV118" i="105"/>
  <c r="AW118" i="105"/>
  <c r="AY118" i="105"/>
  <c r="BI118" i="105"/>
  <c r="CF118" i="105"/>
  <c r="CF119" i="123"/>
  <c r="AZ118" i="105"/>
  <c r="BJ118" i="105"/>
  <c r="CG118" i="105"/>
  <c r="CG119" i="123"/>
  <c r="BA118" i="105"/>
  <c r="BK118" i="105"/>
  <c r="CH118" i="105"/>
  <c r="CH119" i="123"/>
  <c r="BB118" i="105"/>
  <c r="BL118" i="105"/>
  <c r="CI118" i="105"/>
  <c r="CI119" i="123"/>
  <c r="BC118" i="105"/>
  <c r="BM118" i="105"/>
  <c r="CJ118" i="105"/>
  <c r="CJ119" i="123"/>
  <c r="BD118" i="105"/>
  <c r="BN118" i="105"/>
  <c r="CK118" i="105"/>
  <c r="CK119" i="123"/>
  <c r="BE118" i="105"/>
  <c r="BO118" i="105"/>
  <c r="CL118" i="105"/>
  <c r="CL119" i="123"/>
  <c r="BF118" i="105"/>
  <c r="BP118" i="105"/>
  <c r="CM118" i="105"/>
  <c r="CM119" i="123"/>
  <c r="BG118" i="105"/>
  <c r="BQ118" i="105"/>
  <c r="CN118" i="105"/>
  <c r="CN119" i="123"/>
  <c r="CP119" i="123"/>
  <c r="L199" i="123"/>
  <c r="M199" i="123"/>
  <c r="E73" i="6"/>
  <c r="D100" i="6"/>
  <c r="F6" i="35"/>
  <c r="G6" i="35"/>
  <c r="E7" i="35"/>
  <c r="F7" i="35"/>
  <c r="G7" i="35"/>
  <c r="E8" i="35"/>
  <c r="F8" i="35"/>
  <c r="G8" i="35"/>
  <c r="E9" i="35"/>
  <c r="F9" i="35"/>
  <c r="G9" i="35"/>
  <c r="E10" i="35"/>
  <c r="F10" i="35"/>
  <c r="G10" i="35"/>
  <c r="E11" i="35"/>
  <c r="F11" i="35"/>
  <c r="G11" i="35"/>
  <c r="E12" i="35"/>
  <c r="F12" i="35"/>
  <c r="G12" i="35"/>
  <c r="E13" i="35"/>
  <c r="F13" i="35"/>
  <c r="G13" i="35"/>
  <c r="E14" i="35"/>
  <c r="F14" i="35"/>
  <c r="G14" i="35"/>
  <c r="E15" i="35"/>
  <c r="F15" i="35"/>
  <c r="G15" i="35"/>
  <c r="G17" i="35"/>
  <c r="G20" i="112"/>
  <c r="G21" i="112"/>
  <c r="G24" i="112"/>
  <c r="H20" i="112"/>
  <c r="H21" i="112"/>
  <c r="H24" i="112"/>
  <c r="I20" i="112"/>
  <c r="I21" i="112"/>
  <c r="I24" i="112"/>
  <c r="J20" i="112"/>
  <c r="J21" i="112"/>
  <c r="J24" i="112"/>
  <c r="K20" i="112"/>
  <c r="K21" i="112"/>
  <c r="K24" i="112"/>
  <c r="L20" i="112"/>
  <c r="L21" i="112"/>
  <c r="L24" i="112"/>
  <c r="M20" i="112"/>
  <c r="M21" i="112"/>
  <c r="M24" i="112"/>
  <c r="N20" i="112"/>
  <c r="N21" i="112"/>
  <c r="N24" i="112"/>
  <c r="F81" i="41"/>
  <c r="H81" i="41"/>
  <c r="G81" i="41"/>
  <c r="G29" i="48"/>
  <c r="F29" i="48"/>
  <c r="G15" i="157"/>
  <c r="G16" i="140"/>
  <c r="G17" i="138"/>
  <c r="G18" i="137"/>
  <c r="G26" i="137"/>
  <c r="G26" i="49"/>
  <c r="G18" i="49"/>
  <c r="G25" i="62"/>
  <c r="G17" i="62"/>
  <c r="G24" i="41"/>
  <c r="G90" i="41"/>
  <c r="G22" i="112"/>
  <c r="G23" i="112"/>
  <c r="F22" i="112"/>
  <c r="F23" i="112"/>
  <c r="G21" i="48"/>
  <c r="G44" i="31"/>
  <c r="G15" i="142"/>
  <c r="G24" i="142"/>
  <c r="G16" i="143"/>
  <c r="G16" i="144"/>
  <c r="G16" i="147"/>
  <c r="G16" i="146"/>
  <c r="G16" i="145"/>
  <c r="G15" i="141"/>
  <c r="G16" i="139"/>
  <c r="F21" i="48"/>
  <c r="F26" i="112"/>
  <c r="F26" i="49"/>
  <c r="F25" i="62"/>
  <c r="F16" i="140"/>
  <c r="H29" i="48"/>
  <c r="H15" i="157"/>
  <c r="H16" i="140"/>
  <c r="H17" i="138"/>
  <c r="H18" i="137"/>
  <c r="H26" i="49"/>
  <c r="H18" i="49"/>
  <c r="H25" i="62"/>
  <c r="H17" i="62"/>
  <c r="H24" i="41"/>
  <c r="H90" i="41"/>
  <c r="H22" i="112"/>
  <c r="H23" i="112"/>
  <c r="H21" i="48"/>
  <c r="H44" i="31"/>
  <c r="H15" i="142"/>
  <c r="H24" i="142"/>
  <c r="H16" i="143"/>
  <c r="H16" i="144"/>
  <c r="H16" i="147"/>
  <c r="H16" i="146"/>
  <c r="H16" i="145"/>
  <c r="H15" i="141"/>
  <c r="H16" i="139"/>
  <c r="J81" i="41"/>
  <c r="I81" i="41"/>
  <c r="I29" i="48"/>
  <c r="I15" i="157"/>
  <c r="I16" i="140"/>
  <c r="I17" i="138"/>
  <c r="I18" i="137"/>
  <c r="I26" i="49"/>
  <c r="I18" i="49"/>
  <c r="I25" i="62"/>
  <c r="I17" i="62"/>
  <c r="I24" i="41"/>
  <c r="I90" i="41"/>
  <c r="I22" i="112"/>
  <c r="I23" i="112"/>
  <c r="I21" i="48"/>
  <c r="I44" i="31"/>
  <c r="I15" i="142"/>
  <c r="I24" i="142"/>
  <c r="I16" i="143"/>
  <c r="I16" i="144"/>
  <c r="I16" i="147"/>
  <c r="I16" i="146"/>
  <c r="I16" i="145"/>
  <c r="I15" i="141"/>
  <c r="I16" i="139"/>
  <c r="J29" i="48"/>
  <c r="J15" i="157"/>
  <c r="J16" i="140"/>
  <c r="J17" i="138"/>
  <c r="J18" i="137"/>
  <c r="J26" i="49"/>
  <c r="J18" i="49"/>
  <c r="J25" i="62"/>
  <c r="J17" i="62"/>
  <c r="J24" i="41"/>
  <c r="J90" i="41"/>
  <c r="J22" i="112"/>
  <c r="J23" i="112"/>
  <c r="J21" i="48"/>
  <c r="J44" i="31"/>
  <c r="J15" i="142"/>
  <c r="J24" i="142"/>
  <c r="J16" i="143"/>
  <c r="J16" i="144"/>
  <c r="J16" i="147"/>
  <c r="J16" i="146"/>
  <c r="J16" i="145"/>
  <c r="J15" i="141"/>
  <c r="J16" i="139"/>
  <c r="L81" i="41"/>
  <c r="K81" i="41"/>
  <c r="K29" i="48"/>
  <c r="K15" i="157"/>
  <c r="K16" i="140"/>
  <c r="K17" i="138"/>
  <c r="K18" i="137"/>
  <c r="K26" i="49"/>
  <c r="K18" i="49"/>
  <c r="K25" i="62"/>
  <c r="K17" i="62"/>
  <c r="K24" i="41"/>
  <c r="K90" i="41"/>
  <c r="K22" i="112"/>
  <c r="K23" i="112"/>
  <c r="K21" i="48"/>
  <c r="K44" i="31"/>
  <c r="K15" i="142"/>
  <c r="K24" i="142"/>
  <c r="K16" i="143"/>
  <c r="K16" i="144"/>
  <c r="K16" i="147"/>
  <c r="K16" i="146"/>
  <c r="K16" i="145"/>
  <c r="K15" i="141"/>
  <c r="K16" i="139"/>
  <c r="L29" i="48"/>
  <c r="L15" i="157"/>
  <c r="L16" i="140"/>
  <c r="L17" i="138"/>
  <c r="L18" i="137"/>
  <c r="L26" i="49"/>
  <c r="L18" i="49"/>
  <c r="L25" i="62"/>
  <c r="L17" i="62"/>
  <c r="L24" i="41"/>
  <c r="L90" i="41"/>
  <c r="L22" i="112"/>
  <c r="L23" i="112"/>
  <c r="L21" i="48"/>
  <c r="L44" i="31"/>
  <c r="L15" i="142"/>
  <c r="L24" i="142"/>
  <c r="L16" i="143"/>
  <c r="L16" i="144"/>
  <c r="L16" i="147"/>
  <c r="L16" i="146"/>
  <c r="L16" i="145"/>
  <c r="L15" i="141"/>
  <c r="L16" i="139"/>
  <c r="N81" i="41"/>
  <c r="M81" i="41"/>
  <c r="M29" i="48"/>
  <c r="M15" i="157"/>
  <c r="M16" i="140"/>
  <c r="M17" i="138"/>
  <c r="M18" i="137"/>
  <c r="M26" i="49"/>
  <c r="M18" i="49"/>
  <c r="M25" i="62"/>
  <c r="M17" i="62"/>
  <c r="M24" i="41"/>
  <c r="M90" i="41"/>
  <c r="M22" i="112"/>
  <c r="M23" i="112"/>
  <c r="M21" i="48"/>
  <c r="M44" i="31"/>
  <c r="M15" i="142"/>
  <c r="M24" i="142"/>
  <c r="M16" i="143"/>
  <c r="M16" i="144"/>
  <c r="M16" i="147"/>
  <c r="M16" i="146"/>
  <c r="M16" i="145"/>
  <c r="M15" i="141"/>
  <c r="M16" i="139"/>
  <c r="N29" i="48"/>
  <c r="N15" i="157"/>
  <c r="N16" i="140"/>
  <c r="N17" i="138"/>
  <c r="N18" i="137"/>
  <c r="N26" i="49"/>
  <c r="N18" i="49"/>
  <c r="N25" i="62"/>
  <c r="N17" i="62"/>
  <c r="N24" i="41"/>
  <c r="N90" i="41"/>
  <c r="N22" i="112"/>
  <c r="N23" i="112"/>
  <c r="N21" i="48"/>
  <c r="N44" i="31"/>
  <c r="N15" i="142"/>
  <c r="N24" i="142"/>
  <c r="N16" i="143"/>
  <c r="N16" i="144"/>
  <c r="N16" i="147"/>
  <c r="N16" i="146"/>
  <c r="N16" i="145"/>
  <c r="N15" i="141"/>
  <c r="N16" i="139"/>
  <c r="F18" i="49"/>
  <c r="F17" i="62"/>
  <c r="F15" i="157"/>
  <c r="F17" i="138"/>
  <c r="F18" i="137"/>
  <c r="F24" i="41"/>
  <c r="F90" i="41"/>
  <c r="F44" i="31"/>
  <c r="F15" i="142"/>
  <c r="F24" i="142"/>
  <c r="F16" i="143"/>
  <c r="F16" i="144"/>
  <c r="F16" i="147"/>
  <c r="F16" i="146"/>
  <c r="F16" i="145"/>
  <c r="F15" i="141"/>
  <c r="F16" i="139"/>
  <c r="F918" i="40"/>
  <c r="E116" i="105"/>
  <c r="AV116" i="105"/>
  <c r="AW116" i="105"/>
  <c r="AY116" i="105"/>
  <c r="BI116" i="105"/>
  <c r="CF116" i="105"/>
  <c r="G311" i="40"/>
  <c r="G312" i="40"/>
  <c r="G329" i="40"/>
  <c r="G548" i="40"/>
  <c r="G567" i="40"/>
  <c r="G586" i="40"/>
  <c r="F311" i="40"/>
  <c r="F312" i="40"/>
  <c r="F329" i="40"/>
  <c r="F548" i="40"/>
  <c r="F567" i="40"/>
  <c r="F586" i="40"/>
  <c r="G605" i="40"/>
  <c r="G624" i="40"/>
  <c r="E399" i="40"/>
  <c r="G399" i="40"/>
  <c r="G643" i="40"/>
  <c r="G307" i="40"/>
  <c r="G308" i="40"/>
  <c r="G325" i="40"/>
  <c r="G544" i="40"/>
  <c r="N342" i="40"/>
  <c r="G342" i="40"/>
  <c r="G563" i="40"/>
  <c r="G582" i="40"/>
  <c r="F307" i="40"/>
  <c r="F308" i="40"/>
  <c r="F325" i="40"/>
  <c r="F544" i="40"/>
  <c r="F563" i="40"/>
  <c r="F582" i="40"/>
  <c r="G601" i="40"/>
  <c r="G620" i="40"/>
  <c r="E395" i="40"/>
  <c r="G395" i="40"/>
  <c r="G639" i="40"/>
  <c r="G918" i="40"/>
  <c r="F116" i="105"/>
  <c r="AZ116" i="105"/>
  <c r="BJ116" i="105"/>
  <c r="CG116" i="105"/>
  <c r="H311" i="40"/>
  <c r="H312" i="40"/>
  <c r="H329" i="40"/>
  <c r="H548" i="40"/>
  <c r="H567" i="40"/>
  <c r="H586" i="40"/>
  <c r="H605" i="40"/>
  <c r="H624" i="40"/>
  <c r="H399" i="40"/>
  <c r="H643" i="40"/>
  <c r="H307" i="40"/>
  <c r="H308" i="40"/>
  <c r="H325" i="40"/>
  <c r="H544" i="40"/>
  <c r="H342" i="40"/>
  <c r="H563" i="40"/>
  <c r="H582" i="40"/>
  <c r="H601" i="40"/>
  <c r="H620" i="40"/>
  <c r="H395" i="40"/>
  <c r="H639" i="40"/>
  <c r="H918" i="40"/>
  <c r="G116" i="105"/>
  <c r="BA116" i="105"/>
  <c r="BK116" i="105"/>
  <c r="CH116" i="105"/>
  <c r="I311" i="40"/>
  <c r="I312" i="40"/>
  <c r="I329" i="40"/>
  <c r="I548" i="40"/>
  <c r="I567" i="40"/>
  <c r="I586" i="40"/>
  <c r="I605" i="40"/>
  <c r="I624" i="40"/>
  <c r="I399" i="40"/>
  <c r="I643" i="40"/>
  <c r="I307" i="40"/>
  <c r="I308" i="40"/>
  <c r="I325" i="40"/>
  <c r="I544" i="40"/>
  <c r="I342" i="40"/>
  <c r="I563" i="40"/>
  <c r="I582" i="40"/>
  <c r="I601" i="40"/>
  <c r="I620" i="40"/>
  <c r="I395" i="40"/>
  <c r="I639" i="40"/>
  <c r="I918" i="40"/>
  <c r="H116" i="105"/>
  <c r="BB116" i="105"/>
  <c r="BL116" i="105"/>
  <c r="CI116" i="105"/>
  <c r="J311" i="40"/>
  <c r="J312" i="40"/>
  <c r="J329" i="40"/>
  <c r="J548" i="40"/>
  <c r="J567" i="40"/>
  <c r="J586" i="40"/>
  <c r="J605" i="40"/>
  <c r="J624" i="40"/>
  <c r="J399" i="40"/>
  <c r="J643" i="40"/>
  <c r="J307" i="40"/>
  <c r="J308" i="40"/>
  <c r="J325" i="40"/>
  <c r="J544" i="40"/>
  <c r="J342" i="40"/>
  <c r="J563" i="40"/>
  <c r="J582" i="40"/>
  <c r="J601" i="40"/>
  <c r="J620" i="40"/>
  <c r="J395" i="40"/>
  <c r="J639" i="40"/>
  <c r="J918" i="40"/>
  <c r="I116" i="105"/>
  <c r="BC116" i="105"/>
  <c r="BM116" i="105"/>
  <c r="CJ116" i="105"/>
  <c r="K311" i="40"/>
  <c r="K312" i="40"/>
  <c r="K329" i="40"/>
  <c r="K548" i="40"/>
  <c r="K567" i="40"/>
  <c r="K586" i="40"/>
  <c r="K605" i="40"/>
  <c r="K624" i="40"/>
  <c r="K399" i="40"/>
  <c r="K643" i="40"/>
  <c r="K307" i="40"/>
  <c r="K308" i="40"/>
  <c r="K325" i="40"/>
  <c r="K544" i="40"/>
  <c r="K342" i="40"/>
  <c r="K563" i="40"/>
  <c r="K582" i="40"/>
  <c r="K601" i="40"/>
  <c r="K620" i="40"/>
  <c r="K395" i="40"/>
  <c r="K639" i="40"/>
  <c r="K918" i="40"/>
  <c r="J116" i="105"/>
  <c r="BD116" i="105"/>
  <c r="BN116" i="105"/>
  <c r="CK116" i="105"/>
  <c r="L311" i="40"/>
  <c r="L312" i="40"/>
  <c r="L329" i="40"/>
  <c r="L548" i="40"/>
  <c r="L567" i="40"/>
  <c r="L586" i="40"/>
  <c r="L605" i="40"/>
  <c r="L624" i="40"/>
  <c r="L399" i="40"/>
  <c r="L643" i="40"/>
  <c r="L307" i="40"/>
  <c r="L308" i="40"/>
  <c r="L325" i="40"/>
  <c r="L544" i="40"/>
  <c r="L342" i="40"/>
  <c r="L563" i="40"/>
  <c r="L582" i="40"/>
  <c r="L601" i="40"/>
  <c r="L620" i="40"/>
  <c r="L395" i="40"/>
  <c r="L639" i="40"/>
  <c r="L918" i="40"/>
  <c r="K116" i="105"/>
  <c r="BE116" i="105"/>
  <c r="BO116" i="105"/>
  <c r="CL116" i="105"/>
  <c r="M311" i="40"/>
  <c r="M312" i="40"/>
  <c r="M329" i="40"/>
  <c r="M548" i="40"/>
  <c r="M567" i="40"/>
  <c r="M586" i="40"/>
  <c r="M605" i="40"/>
  <c r="M624" i="40"/>
  <c r="M399" i="40"/>
  <c r="M643" i="40"/>
  <c r="M307" i="40"/>
  <c r="M308" i="40"/>
  <c r="M325" i="40"/>
  <c r="M544" i="40"/>
  <c r="M342" i="40"/>
  <c r="M563" i="40"/>
  <c r="M582" i="40"/>
  <c r="M601" i="40"/>
  <c r="M620" i="40"/>
  <c r="M395" i="40"/>
  <c r="M639" i="40"/>
  <c r="M918" i="40"/>
  <c r="L116" i="105"/>
  <c r="BF116" i="105"/>
  <c r="BP116" i="105"/>
  <c r="CM116" i="105"/>
  <c r="N311" i="40"/>
  <c r="N312" i="40"/>
  <c r="N329" i="40"/>
  <c r="N548" i="40"/>
  <c r="N567" i="40"/>
  <c r="N586" i="40"/>
  <c r="N605" i="40"/>
  <c r="N624" i="40"/>
  <c r="N643" i="40"/>
  <c r="N307" i="40"/>
  <c r="N308" i="40"/>
  <c r="N325" i="40"/>
  <c r="N544" i="40"/>
  <c r="N563" i="40"/>
  <c r="N582" i="40"/>
  <c r="N601" i="40"/>
  <c r="N620" i="40"/>
  <c r="N639" i="40"/>
  <c r="N918" i="40"/>
  <c r="M116" i="105"/>
  <c r="BG116" i="105"/>
  <c r="BQ116" i="105"/>
  <c r="CN116" i="105"/>
  <c r="CP116" i="105"/>
  <c r="F928" i="40"/>
  <c r="E117" i="105"/>
  <c r="AV117" i="105"/>
  <c r="AW117" i="105"/>
  <c r="AY117" i="105"/>
  <c r="BI117" i="105"/>
  <c r="CF117" i="105"/>
  <c r="G330" i="40"/>
  <c r="G549" i="40"/>
  <c r="G568" i="40"/>
  <c r="G587" i="40"/>
  <c r="F330" i="40"/>
  <c r="F549" i="40"/>
  <c r="F568" i="40"/>
  <c r="F587" i="40"/>
  <c r="G606" i="40"/>
  <c r="G625" i="40"/>
  <c r="E400" i="40"/>
  <c r="G400" i="40"/>
  <c r="G644" i="40"/>
  <c r="G326" i="40"/>
  <c r="G545" i="40"/>
  <c r="G564" i="40"/>
  <c r="G583" i="40"/>
  <c r="F326" i="40"/>
  <c r="F545" i="40"/>
  <c r="F564" i="40"/>
  <c r="F583" i="40"/>
  <c r="G602" i="40"/>
  <c r="G621" i="40"/>
  <c r="E396" i="40"/>
  <c r="G396" i="40"/>
  <c r="G640" i="40"/>
  <c r="G928" i="40"/>
  <c r="F117" i="105"/>
  <c r="AZ117" i="105"/>
  <c r="BJ117" i="105"/>
  <c r="CG117" i="105"/>
  <c r="H330" i="40"/>
  <c r="H549" i="40"/>
  <c r="H568" i="40"/>
  <c r="H587" i="40"/>
  <c r="H606" i="40"/>
  <c r="H625" i="40"/>
  <c r="H400" i="40"/>
  <c r="H644" i="40"/>
  <c r="H326" i="40"/>
  <c r="H545" i="40"/>
  <c r="H564" i="40"/>
  <c r="H583" i="40"/>
  <c r="H602" i="40"/>
  <c r="H621" i="40"/>
  <c r="H396" i="40"/>
  <c r="H640" i="40"/>
  <c r="H928" i="40"/>
  <c r="G117" i="105"/>
  <c r="BA117" i="105"/>
  <c r="BK117" i="105"/>
  <c r="CH117" i="105"/>
  <c r="I330" i="40"/>
  <c r="I549" i="40"/>
  <c r="I568" i="40"/>
  <c r="I587" i="40"/>
  <c r="I606" i="40"/>
  <c r="I625" i="40"/>
  <c r="I400" i="40"/>
  <c r="I644" i="40"/>
  <c r="I326" i="40"/>
  <c r="I545" i="40"/>
  <c r="I564" i="40"/>
  <c r="I583" i="40"/>
  <c r="I602" i="40"/>
  <c r="I621" i="40"/>
  <c r="I396" i="40"/>
  <c r="I640" i="40"/>
  <c r="I928" i="40"/>
  <c r="H117" i="105"/>
  <c r="BB117" i="105"/>
  <c r="BL117" i="105"/>
  <c r="CI117" i="105"/>
  <c r="J330" i="40"/>
  <c r="J549" i="40"/>
  <c r="J568" i="40"/>
  <c r="J587" i="40"/>
  <c r="J606" i="40"/>
  <c r="J625" i="40"/>
  <c r="J400" i="40"/>
  <c r="J644" i="40"/>
  <c r="J326" i="40"/>
  <c r="J545" i="40"/>
  <c r="J564" i="40"/>
  <c r="J583" i="40"/>
  <c r="J602" i="40"/>
  <c r="J621" i="40"/>
  <c r="J396" i="40"/>
  <c r="J640" i="40"/>
  <c r="J928" i="40"/>
  <c r="I117" i="105"/>
  <c r="BC117" i="105"/>
  <c r="BM117" i="105"/>
  <c r="CJ117" i="105"/>
  <c r="K330" i="40"/>
  <c r="K549" i="40"/>
  <c r="K568" i="40"/>
  <c r="K587" i="40"/>
  <c r="K606" i="40"/>
  <c r="K625" i="40"/>
  <c r="K400" i="40"/>
  <c r="K644" i="40"/>
  <c r="K326" i="40"/>
  <c r="K545" i="40"/>
  <c r="K564" i="40"/>
  <c r="K583" i="40"/>
  <c r="K602" i="40"/>
  <c r="K621" i="40"/>
  <c r="K396" i="40"/>
  <c r="K640" i="40"/>
  <c r="K928" i="40"/>
  <c r="J117" i="105"/>
  <c r="BD117" i="105"/>
  <c r="BN117" i="105"/>
  <c r="CK117" i="105"/>
  <c r="L330" i="40"/>
  <c r="L549" i="40"/>
  <c r="L568" i="40"/>
  <c r="L587" i="40"/>
  <c r="L606" i="40"/>
  <c r="L625" i="40"/>
  <c r="L400" i="40"/>
  <c r="L644" i="40"/>
  <c r="L326" i="40"/>
  <c r="L545" i="40"/>
  <c r="L564" i="40"/>
  <c r="L583" i="40"/>
  <c r="L602" i="40"/>
  <c r="L621" i="40"/>
  <c r="L396" i="40"/>
  <c r="L640" i="40"/>
  <c r="L928" i="40"/>
  <c r="K117" i="105"/>
  <c r="BE117" i="105"/>
  <c r="BO117" i="105"/>
  <c r="CL117" i="105"/>
  <c r="M330" i="40"/>
  <c r="M549" i="40"/>
  <c r="M568" i="40"/>
  <c r="M587" i="40"/>
  <c r="M606" i="40"/>
  <c r="M625" i="40"/>
  <c r="M400" i="40"/>
  <c r="M644" i="40"/>
  <c r="M326" i="40"/>
  <c r="M545" i="40"/>
  <c r="M564" i="40"/>
  <c r="M583" i="40"/>
  <c r="M602" i="40"/>
  <c r="M621" i="40"/>
  <c r="M396" i="40"/>
  <c r="M640" i="40"/>
  <c r="M928" i="40"/>
  <c r="L117" i="105"/>
  <c r="BF117" i="105"/>
  <c r="BP117" i="105"/>
  <c r="CM117" i="105"/>
  <c r="N330" i="40"/>
  <c r="N549" i="40"/>
  <c r="N568" i="40"/>
  <c r="N587" i="40"/>
  <c r="N606" i="40"/>
  <c r="N625" i="40"/>
  <c r="N644" i="40"/>
  <c r="N326" i="40"/>
  <c r="N545" i="40"/>
  <c r="N564" i="40"/>
  <c r="N583" i="40"/>
  <c r="N602" i="40"/>
  <c r="N621" i="40"/>
  <c r="N640" i="40"/>
  <c r="N928" i="40"/>
  <c r="M117" i="105"/>
  <c r="BG117" i="105"/>
  <c r="BQ117" i="105"/>
  <c r="CN117" i="105"/>
  <c r="CP117" i="105"/>
  <c r="CP118" i="105"/>
  <c r="F948" i="40"/>
  <c r="E119" i="105"/>
  <c r="AV119" i="105"/>
  <c r="AW119" i="105"/>
  <c r="AY119" i="105"/>
  <c r="BI119" i="105"/>
  <c r="CF119" i="105"/>
  <c r="E402" i="40"/>
  <c r="G402" i="40"/>
  <c r="G646" i="40"/>
  <c r="E398" i="40"/>
  <c r="G398" i="40"/>
  <c r="G642" i="40"/>
  <c r="G948" i="40"/>
  <c r="F119" i="105"/>
  <c r="AZ119" i="105"/>
  <c r="BJ119" i="105"/>
  <c r="CG119" i="105"/>
  <c r="H402" i="40"/>
  <c r="H646" i="40"/>
  <c r="H398" i="40"/>
  <c r="H642" i="40"/>
  <c r="H948" i="40"/>
  <c r="G119" i="105"/>
  <c r="BA119" i="105"/>
  <c r="BK119" i="105"/>
  <c r="CH119" i="105"/>
  <c r="I402" i="40"/>
  <c r="I646" i="40"/>
  <c r="I398" i="40"/>
  <c r="I642" i="40"/>
  <c r="I948" i="40"/>
  <c r="H119" i="105"/>
  <c r="BB119" i="105"/>
  <c r="BL119" i="105"/>
  <c r="CI119" i="105"/>
  <c r="J402" i="40"/>
  <c r="J646" i="40"/>
  <c r="J398" i="40"/>
  <c r="J642" i="40"/>
  <c r="J948" i="40"/>
  <c r="I119" i="105"/>
  <c r="BC119" i="105"/>
  <c r="BM119" i="105"/>
  <c r="CJ119" i="105"/>
  <c r="K402" i="40"/>
  <c r="K646" i="40"/>
  <c r="K398" i="40"/>
  <c r="K642" i="40"/>
  <c r="K948" i="40"/>
  <c r="J119" i="105"/>
  <c r="BD119" i="105"/>
  <c r="BN119" i="105"/>
  <c r="CK119" i="105"/>
  <c r="L402" i="40"/>
  <c r="L646" i="40"/>
  <c r="L398" i="40"/>
  <c r="L642" i="40"/>
  <c r="L948" i="40"/>
  <c r="K119" i="105"/>
  <c r="BE119" i="105"/>
  <c r="BO119" i="105"/>
  <c r="CL119" i="105"/>
  <c r="M402" i="40"/>
  <c r="M646" i="40"/>
  <c r="M398" i="40"/>
  <c r="M642" i="40"/>
  <c r="M948" i="40"/>
  <c r="L119" i="105"/>
  <c r="BF119" i="105"/>
  <c r="BP119" i="105"/>
  <c r="CM119" i="105"/>
  <c r="N646" i="40"/>
  <c r="N642" i="40"/>
  <c r="N948" i="40"/>
  <c r="M119" i="105"/>
  <c r="BG119" i="105"/>
  <c r="BQ119" i="105"/>
  <c r="CN119" i="105"/>
  <c r="CP119" i="105"/>
  <c r="F32" i="6"/>
  <c r="F45" i="140"/>
  <c r="F75" i="140"/>
  <c r="F146" i="140"/>
  <c r="F207" i="140"/>
  <c r="E92" i="105"/>
  <c r="AV92" i="105"/>
  <c r="AW92" i="105"/>
  <c r="AY92" i="105"/>
  <c r="BI92" i="105"/>
  <c r="CF92" i="105"/>
  <c r="G133" i="140"/>
  <c r="F133" i="140"/>
  <c r="G136" i="140"/>
  <c r="G137" i="140"/>
  <c r="G139" i="140"/>
  <c r="G140" i="140"/>
  <c r="N75" i="140"/>
  <c r="E75" i="140"/>
  <c r="G75" i="140"/>
  <c r="G146" i="140"/>
  <c r="G207" i="140"/>
  <c r="F92" i="105"/>
  <c r="AZ92" i="105"/>
  <c r="BJ92" i="105"/>
  <c r="CG92" i="105"/>
  <c r="H133" i="140"/>
  <c r="H136" i="140"/>
  <c r="H137" i="140"/>
  <c r="H139" i="140"/>
  <c r="H140" i="140"/>
  <c r="H75" i="140"/>
  <c r="H146" i="140"/>
  <c r="H207" i="140"/>
  <c r="G92" i="105"/>
  <c r="BA92" i="105"/>
  <c r="BK92" i="105"/>
  <c r="CH92" i="105"/>
  <c r="I133" i="140"/>
  <c r="I136" i="140"/>
  <c r="I137" i="140"/>
  <c r="I139" i="140"/>
  <c r="I140" i="140"/>
  <c r="I75" i="140"/>
  <c r="I146" i="140"/>
  <c r="I207" i="140"/>
  <c r="H92" i="105"/>
  <c r="BB92" i="105"/>
  <c r="BL92" i="105"/>
  <c r="CI92" i="105"/>
  <c r="J133" i="140"/>
  <c r="J136" i="140"/>
  <c r="J137" i="140"/>
  <c r="J139" i="140"/>
  <c r="J140" i="140"/>
  <c r="J75" i="140"/>
  <c r="J146" i="140"/>
  <c r="J207" i="140"/>
  <c r="I92" i="105"/>
  <c r="BC92" i="105"/>
  <c r="BM92" i="105"/>
  <c r="CJ92" i="105"/>
  <c r="K133" i="140"/>
  <c r="K136" i="140"/>
  <c r="K137" i="140"/>
  <c r="K139" i="140"/>
  <c r="K140" i="140"/>
  <c r="K75" i="140"/>
  <c r="K146" i="140"/>
  <c r="K207" i="140"/>
  <c r="J92" i="105"/>
  <c r="BD92" i="105"/>
  <c r="BN92" i="105"/>
  <c r="CK92" i="105"/>
  <c r="L133" i="140"/>
  <c r="L136" i="140"/>
  <c r="L137" i="140"/>
  <c r="L139" i="140"/>
  <c r="L140" i="140"/>
  <c r="L75" i="140"/>
  <c r="L146" i="140"/>
  <c r="L207" i="140"/>
  <c r="K92" i="105"/>
  <c r="BE92" i="105"/>
  <c r="BO92" i="105"/>
  <c r="CL92" i="105"/>
  <c r="M133" i="140"/>
  <c r="M136" i="140"/>
  <c r="M137" i="140"/>
  <c r="M139" i="140"/>
  <c r="M140" i="140"/>
  <c r="M75" i="140"/>
  <c r="M146" i="140"/>
  <c r="M207" i="140"/>
  <c r="L92" i="105"/>
  <c r="BF92" i="105"/>
  <c r="BP92" i="105"/>
  <c r="CM92" i="105"/>
  <c r="N133" i="140"/>
  <c r="N136" i="140"/>
  <c r="N137" i="140"/>
  <c r="N139" i="140"/>
  <c r="N140" i="140"/>
  <c r="N146" i="140"/>
  <c r="N207" i="140"/>
  <c r="M92" i="105"/>
  <c r="BG92" i="105"/>
  <c r="BQ92" i="105"/>
  <c r="CN92" i="105"/>
  <c r="CP92" i="105"/>
  <c r="F31" i="6"/>
  <c r="F44" i="157"/>
  <c r="F73" i="157"/>
  <c r="F143" i="157"/>
  <c r="F208" i="157"/>
  <c r="E93" i="105"/>
  <c r="AV93" i="105"/>
  <c r="AW93" i="105"/>
  <c r="AY93" i="105"/>
  <c r="BI93" i="105"/>
  <c r="CF93" i="105"/>
  <c r="G130" i="157"/>
  <c r="F130" i="157"/>
  <c r="G133" i="157"/>
  <c r="G134" i="157"/>
  <c r="G136" i="157"/>
  <c r="G137" i="157"/>
  <c r="N73" i="157"/>
  <c r="E73" i="157"/>
  <c r="G73" i="157"/>
  <c r="G143" i="157"/>
  <c r="G208" i="157"/>
  <c r="F93" i="105"/>
  <c r="AZ93" i="105"/>
  <c r="BJ93" i="105"/>
  <c r="CG93" i="105"/>
  <c r="H130" i="157"/>
  <c r="H133" i="157"/>
  <c r="H134" i="157"/>
  <c r="H136" i="157"/>
  <c r="H137" i="157"/>
  <c r="H73" i="157"/>
  <c r="H143" i="157"/>
  <c r="H208" i="157"/>
  <c r="G93" i="105"/>
  <c r="BA93" i="105"/>
  <c r="BK93" i="105"/>
  <c r="CH93" i="105"/>
  <c r="I130" i="157"/>
  <c r="I133" i="157"/>
  <c r="I134" i="157"/>
  <c r="I136" i="157"/>
  <c r="I137" i="157"/>
  <c r="I73" i="157"/>
  <c r="I143" i="157"/>
  <c r="I208" i="157"/>
  <c r="H93" i="105"/>
  <c r="BB93" i="105"/>
  <c r="BL93" i="105"/>
  <c r="CI93" i="105"/>
  <c r="J130" i="157"/>
  <c r="J133" i="157"/>
  <c r="J134" i="157"/>
  <c r="J136" i="157"/>
  <c r="J137" i="157"/>
  <c r="J73" i="157"/>
  <c r="J143" i="157"/>
  <c r="J208" i="157"/>
  <c r="I93" i="105"/>
  <c r="BC93" i="105"/>
  <c r="BM93" i="105"/>
  <c r="CJ93" i="105"/>
  <c r="K130" i="157"/>
  <c r="K133" i="157"/>
  <c r="K134" i="157"/>
  <c r="K136" i="157"/>
  <c r="K137" i="157"/>
  <c r="K73" i="157"/>
  <c r="K143" i="157"/>
  <c r="K208" i="157"/>
  <c r="J93" i="105"/>
  <c r="BD93" i="105"/>
  <c r="BN93" i="105"/>
  <c r="CK93" i="105"/>
  <c r="L130" i="157"/>
  <c r="L133" i="157"/>
  <c r="L134" i="157"/>
  <c r="L136" i="157"/>
  <c r="L137" i="157"/>
  <c r="L73" i="157"/>
  <c r="L143" i="157"/>
  <c r="L208" i="157"/>
  <c r="K93" i="105"/>
  <c r="BE93" i="105"/>
  <c r="BO93" i="105"/>
  <c r="CL93" i="105"/>
  <c r="M130" i="157"/>
  <c r="M133" i="157"/>
  <c r="M134" i="157"/>
  <c r="M136" i="157"/>
  <c r="M137" i="157"/>
  <c r="M73" i="157"/>
  <c r="M143" i="157"/>
  <c r="M208" i="157"/>
  <c r="L93" i="105"/>
  <c r="BF93" i="105"/>
  <c r="BP93" i="105"/>
  <c r="CM93" i="105"/>
  <c r="N130" i="157"/>
  <c r="N133" i="157"/>
  <c r="N134" i="157"/>
  <c r="N136" i="157"/>
  <c r="N137" i="157"/>
  <c r="N143" i="157"/>
  <c r="N208" i="157"/>
  <c r="M93" i="105"/>
  <c r="BG93" i="105"/>
  <c r="BQ93" i="105"/>
  <c r="CN93" i="105"/>
  <c r="CP93" i="105"/>
  <c r="F72" i="139"/>
  <c r="F138" i="139"/>
  <c r="F200" i="139"/>
  <c r="E94" i="105"/>
  <c r="AV94" i="105"/>
  <c r="AW94" i="105"/>
  <c r="AY94" i="105"/>
  <c r="BI94" i="105"/>
  <c r="CF94" i="105"/>
  <c r="G127" i="139"/>
  <c r="F127" i="139"/>
  <c r="G129" i="139"/>
  <c r="F42" i="139"/>
  <c r="G131" i="139"/>
  <c r="G132" i="139"/>
  <c r="N72" i="139"/>
  <c r="E72" i="139"/>
  <c r="G72" i="139"/>
  <c r="G138" i="139"/>
  <c r="G200" i="139"/>
  <c r="F94" i="105"/>
  <c r="AZ94" i="105"/>
  <c r="BJ94" i="105"/>
  <c r="CG94" i="105"/>
  <c r="H127" i="139"/>
  <c r="H129" i="139"/>
  <c r="H131" i="139"/>
  <c r="H132" i="139"/>
  <c r="H72" i="139"/>
  <c r="H138" i="139"/>
  <c r="H200" i="139"/>
  <c r="G94" i="105"/>
  <c r="BA94" i="105"/>
  <c r="BK94" i="105"/>
  <c r="CH94" i="105"/>
  <c r="I127" i="139"/>
  <c r="I129" i="139"/>
  <c r="I131" i="139"/>
  <c r="I132" i="139"/>
  <c r="I72" i="139"/>
  <c r="I138" i="139"/>
  <c r="I200" i="139"/>
  <c r="H94" i="105"/>
  <c r="BB94" i="105"/>
  <c r="BL94" i="105"/>
  <c r="CI94" i="105"/>
  <c r="J127" i="139"/>
  <c r="J129" i="139"/>
  <c r="J131" i="139"/>
  <c r="J132" i="139"/>
  <c r="J72" i="139"/>
  <c r="J138" i="139"/>
  <c r="J200" i="139"/>
  <c r="I94" i="105"/>
  <c r="BC94" i="105"/>
  <c r="BM94" i="105"/>
  <c r="CJ94" i="105"/>
  <c r="K127" i="139"/>
  <c r="K129" i="139"/>
  <c r="K131" i="139"/>
  <c r="K132" i="139"/>
  <c r="K72" i="139"/>
  <c r="K138" i="139"/>
  <c r="K200" i="139"/>
  <c r="J94" i="105"/>
  <c r="BD94" i="105"/>
  <c r="BN94" i="105"/>
  <c r="CK94" i="105"/>
  <c r="L127" i="139"/>
  <c r="L129" i="139"/>
  <c r="L131" i="139"/>
  <c r="L132" i="139"/>
  <c r="L72" i="139"/>
  <c r="L138" i="139"/>
  <c r="L200" i="139"/>
  <c r="K94" i="105"/>
  <c r="BE94" i="105"/>
  <c r="BO94" i="105"/>
  <c r="CL94" i="105"/>
  <c r="M127" i="139"/>
  <c r="M129" i="139"/>
  <c r="M131" i="139"/>
  <c r="M132" i="139"/>
  <c r="M72" i="139"/>
  <c r="M138" i="139"/>
  <c r="M200" i="139"/>
  <c r="L94" i="105"/>
  <c r="BF94" i="105"/>
  <c r="BP94" i="105"/>
  <c r="CM94" i="105"/>
  <c r="N127" i="139"/>
  <c r="N129" i="139"/>
  <c r="N131" i="139"/>
  <c r="N132" i="139"/>
  <c r="N138" i="139"/>
  <c r="N200" i="139"/>
  <c r="M94" i="105"/>
  <c r="BG94" i="105"/>
  <c r="BQ94" i="105"/>
  <c r="CN94" i="105"/>
  <c r="CP94" i="105"/>
  <c r="F162" i="141"/>
  <c r="E95" i="105"/>
  <c r="AV95" i="105"/>
  <c r="AW95" i="105"/>
  <c r="AY95" i="105"/>
  <c r="BI95" i="105"/>
  <c r="CF95" i="105"/>
  <c r="G111" i="141"/>
  <c r="G112" i="141"/>
  <c r="F52" i="141"/>
  <c r="G114" i="141"/>
  <c r="G115" i="141"/>
  <c r="N62" i="141"/>
  <c r="F62" i="141"/>
  <c r="E62" i="141"/>
  <c r="N71" i="141"/>
  <c r="F71" i="141"/>
  <c r="E71" i="141"/>
  <c r="G71" i="141"/>
  <c r="G62" i="141"/>
  <c r="G118" i="141"/>
  <c r="G162" i="141"/>
  <c r="F95" i="105"/>
  <c r="AZ95" i="105"/>
  <c r="BJ95" i="105"/>
  <c r="CG95" i="105"/>
  <c r="H111" i="141"/>
  <c r="H112" i="141"/>
  <c r="H114" i="141"/>
  <c r="H115" i="141"/>
  <c r="H71" i="141"/>
  <c r="H62" i="141"/>
  <c r="H118" i="141"/>
  <c r="H162" i="141"/>
  <c r="G95" i="105"/>
  <c r="BA95" i="105"/>
  <c r="BK95" i="105"/>
  <c r="CH95" i="105"/>
  <c r="I111" i="141"/>
  <c r="I112" i="141"/>
  <c r="I114" i="141"/>
  <c r="I115" i="141"/>
  <c r="I71" i="141"/>
  <c r="I62" i="141"/>
  <c r="I118" i="141"/>
  <c r="I162" i="141"/>
  <c r="H95" i="105"/>
  <c r="BB95" i="105"/>
  <c r="BL95" i="105"/>
  <c r="CI95" i="105"/>
  <c r="J111" i="141"/>
  <c r="J112" i="141"/>
  <c r="J114" i="141"/>
  <c r="J115" i="141"/>
  <c r="J71" i="141"/>
  <c r="J62" i="141"/>
  <c r="J118" i="141"/>
  <c r="J162" i="141"/>
  <c r="I95" i="105"/>
  <c r="BC95" i="105"/>
  <c r="BM95" i="105"/>
  <c r="CJ95" i="105"/>
  <c r="K111" i="141"/>
  <c r="K112" i="141"/>
  <c r="K114" i="141"/>
  <c r="K115" i="141"/>
  <c r="K71" i="141"/>
  <c r="K62" i="141"/>
  <c r="K118" i="141"/>
  <c r="K162" i="141"/>
  <c r="J95" i="105"/>
  <c r="BD95" i="105"/>
  <c r="BN95" i="105"/>
  <c r="CK95" i="105"/>
  <c r="L111" i="141"/>
  <c r="L112" i="141"/>
  <c r="L114" i="141"/>
  <c r="L115" i="141"/>
  <c r="L71" i="141"/>
  <c r="L62" i="141"/>
  <c r="L118" i="141"/>
  <c r="L162" i="141"/>
  <c r="K95" i="105"/>
  <c r="BE95" i="105"/>
  <c r="BO95" i="105"/>
  <c r="CL95" i="105"/>
  <c r="M111" i="141"/>
  <c r="M112" i="141"/>
  <c r="M114" i="141"/>
  <c r="M115" i="141"/>
  <c r="M71" i="141"/>
  <c r="M62" i="141"/>
  <c r="M118" i="141"/>
  <c r="M162" i="141"/>
  <c r="L95" i="105"/>
  <c r="BF95" i="105"/>
  <c r="BP95" i="105"/>
  <c r="CM95" i="105"/>
  <c r="N111" i="141"/>
  <c r="N112" i="141"/>
  <c r="N114" i="141"/>
  <c r="N115" i="141"/>
  <c r="N118" i="141"/>
  <c r="N162" i="141"/>
  <c r="M95" i="105"/>
  <c r="BG95" i="105"/>
  <c r="BQ95" i="105"/>
  <c r="CN95" i="105"/>
  <c r="CP95" i="105"/>
  <c r="F43" i="142"/>
  <c r="F64" i="142"/>
  <c r="F96" i="142"/>
  <c r="F139" i="142"/>
  <c r="E96" i="105"/>
  <c r="AV96" i="105"/>
  <c r="AW96" i="105"/>
  <c r="AY96" i="105"/>
  <c r="BI96" i="105"/>
  <c r="CF96" i="105"/>
  <c r="G92" i="142"/>
  <c r="N64" i="142"/>
  <c r="E64" i="142"/>
  <c r="G64" i="142"/>
  <c r="G96" i="142"/>
  <c r="G139" i="142"/>
  <c r="F96" i="105"/>
  <c r="AZ96" i="105"/>
  <c r="BJ96" i="105"/>
  <c r="CG96" i="105"/>
  <c r="H92" i="142"/>
  <c r="H64" i="142"/>
  <c r="H96" i="142"/>
  <c r="H139" i="142"/>
  <c r="G96" i="105"/>
  <c r="BA96" i="105"/>
  <c r="BK96" i="105"/>
  <c r="CH96" i="105"/>
  <c r="I92" i="142"/>
  <c r="I64" i="142"/>
  <c r="I96" i="142"/>
  <c r="I139" i="142"/>
  <c r="H96" i="105"/>
  <c r="BB96" i="105"/>
  <c r="BL96" i="105"/>
  <c r="CI96" i="105"/>
  <c r="J92" i="142"/>
  <c r="J64" i="142"/>
  <c r="J96" i="142"/>
  <c r="J139" i="142"/>
  <c r="I96" i="105"/>
  <c r="BC96" i="105"/>
  <c r="BM96" i="105"/>
  <c r="CJ96" i="105"/>
  <c r="K92" i="142"/>
  <c r="K64" i="142"/>
  <c r="K96" i="142"/>
  <c r="K139" i="142"/>
  <c r="J96" i="105"/>
  <c r="BD96" i="105"/>
  <c r="BN96" i="105"/>
  <c r="CK96" i="105"/>
  <c r="L92" i="142"/>
  <c r="L64" i="142"/>
  <c r="L96" i="142"/>
  <c r="L139" i="142"/>
  <c r="K96" i="105"/>
  <c r="BE96" i="105"/>
  <c r="BO96" i="105"/>
  <c r="CL96" i="105"/>
  <c r="M92" i="142"/>
  <c r="M64" i="142"/>
  <c r="M96" i="142"/>
  <c r="M139" i="142"/>
  <c r="L96" i="105"/>
  <c r="BF96" i="105"/>
  <c r="BP96" i="105"/>
  <c r="CM96" i="105"/>
  <c r="N92" i="142"/>
  <c r="N96" i="142"/>
  <c r="N139" i="142"/>
  <c r="M96" i="105"/>
  <c r="BG96" i="105"/>
  <c r="BQ96" i="105"/>
  <c r="CN96" i="105"/>
  <c r="CP96" i="105"/>
  <c r="F39" i="143"/>
  <c r="F54" i="143"/>
  <c r="F100" i="143"/>
  <c r="F136" i="143"/>
  <c r="E97" i="105"/>
  <c r="AV97" i="105"/>
  <c r="AW97" i="105"/>
  <c r="AY97" i="105"/>
  <c r="BI97" i="105"/>
  <c r="CF97" i="105"/>
  <c r="G82" i="143"/>
  <c r="F82" i="143"/>
  <c r="G87" i="143"/>
  <c r="N54" i="143"/>
  <c r="E54" i="143"/>
  <c r="G54" i="143"/>
  <c r="G100" i="143"/>
  <c r="G136" i="143"/>
  <c r="F97" i="105"/>
  <c r="AZ97" i="105"/>
  <c r="BJ97" i="105"/>
  <c r="CG97" i="105"/>
  <c r="H82" i="143"/>
  <c r="H87" i="143"/>
  <c r="H54" i="143"/>
  <c r="H100" i="143"/>
  <c r="H136" i="143"/>
  <c r="G97" i="105"/>
  <c r="BA97" i="105"/>
  <c r="BK97" i="105"/>
  <c r="CH97" i="105"/>
  <c r="I82" i="143"/>
  <c r="I87" i="143"/>
  <c r="I54" i="143"/>
  <c r="I100" i="143"/>
  <c r="I136" i="143"/>
  <c r="H97" i="105"/>
  <c r="BB97" i="105"/>
  <c r="BL97" i="105"/>
  <c r="CI97" i="105"/>
  <c r="J82" i="143"/>
  <c r="J87" i="143"/>
  <c r="J54" i="143"/>
  <c r="J100" i="143"/>
  <c r="J136" i="143"/>
  <c r="I97" i="105"/>
  <c r="BC97" i="105"/>
  <c r="BM97" i="105"/>
  <c r="CJ97" i="105"/>
  <c r="K82" i="143"/>
  <c r="K87" i="143"/>
  <c r="K54" i="143"/>
  <c r="K100" i="143"/>
  <c r="K136" i="143"/>
  <c r="J97" i="105"/>
  <c r="BD97" i="105"/>
  <c r="BN97" i="105"/>
  <c r="CK97" i="105"/>
  <c r="L82" i="143"/>
  <c r="L87" i="143"/>
  <c r="L54" i="143"/>
  <c r="L100" i="143"/>
  <c r="L136" i="143"/>
  <c r="K97" i="105"/>
  <c r="BE97" i="105"/>
  <c r="BO97" i="105"/>
  <c r="CL97" i="105"/>
  <c r="M82" i="143"/>
  <c r="M87" i="143"/>
  <c r="M54" i="143"/>
  <c r="M100" i="143"/>
  <c r="M136" i="143"/>
  <c r="L97" i="105"/>
  <c r="BF97" i="105"/>
  <c r="BP97" i="105"/>
  <c r="CM97" i="105"/>
  <c r="N82" i="143"/>
  <c r="N87" i="143"/>
  <c r="N100" i="143"/>
  <c r="N136" i="143"/>
  <c r="M97" i="105"/>
  <c r="BG97" i="105"/>
  <c r="BQ97" i="105"/>
  <c r="CN97" i="105"/>
  <c r="CP97" i="105"/>
  <c r="F39" i="144"/>
  <c r="F54" i="144"/>
  <c r="F100" i="144"/>
  <c r="F136" i="144"/>
  <c r="E98" i="105"/>
  <c r="AV98" i="105"/>
  <c r="AW98" i="105"/>
  <c r="AY98" i="105"/>
  <c r="BI98" i="105"/>
  <c r="CF98" i="105"/>
  <c r="G82" i="144"/>
  <c r="F82" i="144"/>
  <c r="G87" i="144"/>
  <c r="N54" i="144"/>
  <c r="E54" i="144"/>
  <c r="G54" i="144"/>
  <c r="G100" i="144"/>
  <c r="G136" i="144"/>
  <c r="F98" i="105"/>
  <c r="AZ98" i="105"/>
  <c r="BJ98" i="105"/>
  <c r="CG98" i="105"/>
  <c r="H82" i="144"/>
  <c r="H87" i="144"/>
  <c r="H54" i="144"/>
  <c r="H100" i="144"/>
  <c r="H136" i="144"/>
  <c r="G98" i="105"/>
  <c r="BA98" i="105"/>
  <c r="BK98" i="105"/>
  <c r="CH98" i="105"/>
  <c r="I82" i="144"/>
  <c r="I87" i="144"/>
  <c r="I54" i="144"/>
  <c r="I100" i="144"/>
  <c r="I136" i="144"/>
  <c r="H98" i="105"/>
  <c r="BB98" i="105"/>
  <c r="BL98" i="105"/>
  <c r="CI98" i="105"/>
  <c r="J82" i="144"/>
  <c r="J87" i="144"/>
  <c r="J54" i="144"/>
  <c r="J100" i="144"/>
  <c r="J136" i="144"/>
  <c r="I98" i="105"/>
  <c r="BC98" i="105"/>
  <c r="BM98" i="105"/>
  <c r="CJ98" i="105"/>
  <c r="K82" i="144"/>
  <c r="K87" i="144"/>
  <c r="K54" i="144"/>
  <c r="K100" i="144"/>
  <c r="K136" i="144"/>
  <c r="J98" i="105"/>
  <c r="BD98" i="105"/>
  <c r="BN98" i="105"/>
  <c r="CK98" i="105"/>
  <c r="L82" i="144"/>
  <c r="L87" i="144"/>
  <c r="L54" i="144"/>
  <c r="L100" i="144"/>
  <c r="L136" i="144"/>
  <c r="K98" i="105"/>
  <c r="BE98" i="105"/>
  <c r="BO98" i="105"/>
  <c r="CL98" i="105"/>
  <c r="M82" i="144"/>
  <c r="M87" i="144"/>
  <c r="M54" i="144"/>
  <c r="M100" i="144"/>
  <c r="M136" i="144"/>
  <c r="L98" i="105"/>
  <c r="BF98" i="105"/>
  <c r="BP98" i="105"/>
  <c r="CM98" i="105"/>
  <c r="N82" i="144"/>
  <c r="N87" i="144"/>
  <c r="N100" i="144"/>
  <c r="N136" i="144"/>
  <c r="M98" i="105"/>
  <c r="BG98" i="105"/>
  <c r="BQ98" i="105"/>
  <c r="CN98" i="105"/>
  <c r="CP98" i="105"/>
  <c r="E38" i="147"/>
  <c r="F46" i="147"/>
  <c r="F98" i="147"/>
  <c r="F130" i="147"/>
  <c r="E99" i="105"/>
  <c r="AV99" i="105"/>
  <c r="AW99" i="105"/>
  <c r="AY99" i="105"/>
  <c r="BI99" i="105"/>
  <c r="CF99" i="105"/>
  <c r="G81" i="147"/>
  <c r="G84" i="147"/>
  <c r="F81" i="147"/>
  <c r="G85" i="147"/>
  <c r="N46" i="147"/>
  <c r="E46" i="147"/>
  <c r="G46" i="147"/>
  <c r="G98" i="147"/>
  <c r="G130" i="147"/>
  <c r="F99" i="105"/>
  <c r="AZ99" i="105"/>
  <c r="BJ99" i="105"/>
  <c r="CG99" i="105"/>
  <c r="H81" i="147"/>
  <c r="H84" i="147"/>
  <c r="H85" i="147"/>
  <c r="H46" i="147"/>
  <c r="H98" i="147"/>
  <c r="H130" i="147"/>
  <c r="G99" i="105"/>
  <c r="BA99" i="105"/>
  <c r="BK99" i="105"/>
  <c r="CH99" i="105"/>
  <c r="I81" i="147"/>
  <c r="I83" i="147"/>
  <c r="I84" i="147"/>
  <c r="I85" i="147"/>
  <c r="I46" i="147"/>
  <c r="I98" i="147"/>
  <c r="I130" i="147"/>
  <c r="H99" i="105"/>
  <c r="BB99" i="105"/>
  <c r="BL99" i="105"/>
  <c r="CI99" i="105"/>
  <c r="J81" i="147"/>
  <c r="J83" i="147"/>
  <c r="J84" i="147"/>
  <c r="J85" i="147"/>
  <c r="J46" i="147"/>
  <c r="J98" i="147"/>
  <c r="J130" i="147"/>
  <c r="I99" i="105"/>
  <c r="BC99" i="105"/>
  <c r="BM99" i="105"/>
  <c r="CJ99" i="105"/>
  <c r="K81" i="147"/>
  <c r="K82" i="147"/>
  <c r="K83" i="147"/>
  <c r="K84" i="147"/>
  <c r="K85" i="147"/>
  <c r="K46" i="147"/>
  <c r="K98" i="147"/>
  <c r="K130" i="147"/>
  <c r="J99" i="105"/>
  <c r="BD99" i="105"/>
  <c r="BN99" i="105"/>
  <c r="CK99" i="105"/>
  <c r="L81" i="147"/>
  <c r="L82" i="147"/>
  <c r="L83" i="147"/>
  <c r="L84" i="147"/>
  <c r="L85" i="147"/>
  <c r="L46" i="147"/>
  <c r="L98" i="147"/>
  <c r="L130" i="147"/>
  <c r="K99" i="105"/>
  <c r="BE99" i="105"/>
  <c r="BO99" i="105"/>
  <c r="CL99" i="105"/>
  <c r="M81" i="147"/>
  <c r="M82" i="147"/>
  <c r="M83" i="147"/>
  <c r="M84" i="147"/>
  <c r="M85" i="147"/>
  <c r="M46" i="147"/>
  <c r="M98" i="147"/>
  <c r="M130" i="147"/>
  <c r="L99" i="105"/>
  <c r="BF99" i="105"/>
  <c r="BP99" i="105"/>
  <c r="CM99" i="105"/>
  <c r="N81" i="147"/>
  <c r="N82" i="147"/>
  <c r="N83" i="147"/>
  <c r="N84" i="147"/>
  <c r="N85" i="147"/>
  <c r="N98" i="147"/>
  <c r="N130" i="147"/>
  <c r="M99" i="105"/>
  <c r="BG99" i="105"/>
  <c r="BQ99" i="105"/>
  <c r="CN99" i="105"/>
  <c r="CP99" i="105"/>
  <c r="E40" i="146"/>
  <c r="F48" i="146"/>
  <c r="F100" i="146"/>
  <c r="F132" i="146"/>
  <c r="E100" i="105"/>
  <c r="AV100" i="105"/>
  <c r="AW100" i="105"/>
  <c r="AY100" i="105"/>
  <c r="BI100" i="105"/>
  <c r="CF100" i="105"/>
  <c r="G83" i="146"/>
  <c r="G86" i="146"/>
  <c r="F83" i="146"/>
  <c r="G87" i="146"/>
  <c r="N48" i="146"/>
  <c r="E48" i="146"/>
  <c r="G48" i="146"/>
  <c r="G100" i="146"/>
  <c r="G132" i="146"/>
  <c r="F100" i="105"/>
  <c r="AZ100" i="105"/>
  <c r="BJ100" i="105"/>
  <c r="CG100" i="105"/>
  <c r="H83" i="146"/>
  <c r="H86" i="146"/>
  <c r="H87" i="146"/>
  <c r="H48" i="146"/>
  <c r="H100" i="146"/>
  <c r="H132" i="146"/>
  <c r="G100" i="105"/>
  <c r="BA100" i="105"/>
  <c r="BK100" i="105"/>
  <c r="CH100" i="105"/>
  <c r="I83" i="146"/>
  <c r="I85" i="146"/>
  <c r="I86" i="146"/>
  <c r="I87" i="146"/>
  <c r="I48" i="146"/>
  <c r="I100" i="146"/>
  <c r="I132" i="146"/>
  <c r="H100" i="105"/>
  <c r="BB100" i="105"/>
  <c r="BL100" i="105"/>
  <c r="CI100" i="105"/>
  <c r="J83" i="146"/>
  <c r="J85" i="146"/>
  <c r="J86" i="146"/>
  <c r="J87" i="146"/>
  <c r="J48" i="146"/>
  <c r="J100" i="146"/>
  <c r="J132" i="146"/>
  <c r="I100" i="105"/>
  <c r="BC100" i="105"/>
  <c r="BM100" i="105"/>
  <c r="CJ100" i="105"/>
  <c r="K83" i="146"/>
  <c r="K84" i="146"/>
  <c r="K85" i="146"/>
  <c r="K86" i="146"/>
  <c r="K87" i="146"/>
  <c r="K48" i="146"/>
  <c r="K100" i="146"/>
  <c r="K132" i="146"/>
  <c r="J100" i="105"/>
  <c r="BD100" i="105"/>
  <c r="BN100" i="105"/>
  <c r="CK100" i="105"/>
  <c r="L83" i="146"/>
  <c r="L84" i="146"/>
  <c r="L85" i="146"/>
  <c r="L86" i="146"/>
  <c r="L87" i="146"/>
  <c r="L48" i="146"/>
  <c r="L100" i="146"/>
  <c r="L132" i="146"/>
  <c r="K100" i="105"/>
  <c r="BE100" i="105"/>
  <c r="BO100" i="105"/>
  <c r="CL100" i="105"/>
  <c r="M83" i="146"/>
  <c r="M84" i="146"/>
  <c r="M85" i="146"/>
  <c r="M86" i="146"/>
  <c r="M87" i="146"/>
  <c r="M48" i="146"/>
  <c r="M100" i="146"/>
  <c r="M132" i="146"/>
  <c r="L100" i="105"/>
  <c r="BF100" i="105"/>
  <c r="BP100" i="105"/>
  <c r="CM100" i="105"/>
  <c r="N83" i="146"/>
  <c r="N84" i="146"/>
  <c r="N85" i="146"/>
  <c r="N86" i="146"/>
  <c r="N87" i="146"/>
  <c r="N100" i="146"/>
  <c r="N132" i="146"/>
  <c r="M100" i="105"/>
  <c r="BG100" i="105"/>
  <c r="BQ100" i="105"/>
  <c r="CN100" i="105"/>
  <c r="CP100" i="105"/>
  <c r="E38" i="145"/>
  <c r="F46" i="145"/>
  <c r="F100" i="145"/>
  <c r="F132" i="145"/>
  <c r="E101" i="105"/>
  <c r="AV101" i="105"/>
  <c r="AW101" i="105"/>
  <c r="AY101" i="105"/>
  <c r="BI101" i="105"/>
  <c r="CF101" i="105"/>
  <c r="G83" i="145"/>
  <c r="G86" i="145"/>
  <c r="F83" i="145"/>
  <c r="G87" i="145"/>
  <c r="N46" i="145"/>
  <c r="E46" i="145"/>
  <c r="G46" i="145"/>
  <c r="G100" i="145"/>
  <c r="G132" i="145"/>
  <c r="F101" i="105"/>
  <c r="AZ101" i="105"/>
  <c r="BJ101" i="105"/>
  <c r="CG101" i="105"/>
  <c r="H83" i="145"/>
  <c r="H86" i="145"/>
  <c r="H87" i="145"/>
  <c r="H46" i="145"/>
  <c r="H100" i="145"/>
  <c r="H132" i="145"/>
  <c r="G101" i="105"/>
  <c r="BA101" i="105"/>
  <c r="BK101" i="105"/>
  <c r="CH101" i="105"/>
  <c r="I83" i="145"/>
  <c r="I85" i="145"/>
  <c r="I86" i="145"/>
  <c r="I87" i="145"/>
  <c r="I46" i="145"/>
  <c r="I100" i="145"/>
  <c r="I132" i="145"/>
  <c r="H101" i="105"/>
  <c r="BB101" i="105"/>
  <c r="BL101" i="105"/>
  <c r="CI101" i="105"/>
  <c r="J83" i="145"/>
  <c r="J85" i="145"/>
  <c r="J86" i="145"/>
  <c r="J87" i="145"/>
  <c r="J46" i="145"/>
  <c r="J100" i="145"/>
  <c r="J132" i="145"/>
  <c r="I101" i="105"/>
  <c r="BC101" i="105"/>
  <c r="BM101" i="105"/>
  <c r="CJ101" i="105"/>
  <c r="K83" i="145"/>
  <c r="K84" i="145"/>
  <c r="K85" i="145"/>
  <c r="K86" i="145"/>
  <c r="K87" i="145"/>
  <c r="K46" i="145"/>
  <c r="K100" i="145"/>
  <c r="K132" i="145"/>
  <c r="J101" i="105"/>
  <c r="BD101" i="105"/>
  <c r="BN101" i="105"/>
  <c r="CK101" i="105"/>
  <c r="L83" i="145"/>
  <c r="L84" i="145"/>
  <c r="L85" i="145"/>
  <c r="L86" i="145"/>
  <c r="L87" i="145"/>
  <c r="L46" i="145"/>
  <c r="L100" i="145"/>
  <c r="L132" i="145"/>
  <c r="K101" i="105"/>
  <c r="BE101" i="105"/>
  <c r="BO101" i="105"/>
  <c r="CL101" i="105"/>
  <c r="M83" i="145"/>
  <c r="M84" i="145"/>
  <c r="M85" i="145"/>
  <c r="M86" i="145"/>
  <c r="M87" i="145"/>
  <c r="M46" i="145"/>
  <c r="M100" i="145"/>
  <c r="M132" i="145"/>
  <c r="L101" i="105"/>
  <c r="BF101" i="105"/>
  <c r="BP101" i="105"/>
  <c r="CM101" i="105"/>
  <c r="N83" i="145"/>
  <c r="N84" i="145"/>
  <c r="N85" i="145"/>
  <c r="N86" i="145"/>
  <c r="N87" i="145"/>
  <c r="N100" i="145"/>
  <c r="N132" i="145"/>
  <c r="M101" i="105"/>
  <c r="BG101" i="105"/>
  <c r="BQ101" i="105"/>
  <c r="CN101" i="105"/>
  <c r="CP101" i="105"/>
  <c r="E103" i="105"/>
  <c r="AV103" i="105"/>
  <c r="AW103" i="105"/>
  <c r="AY103" i="105"/>
  <c r="BI103" i="105"/>
  <c r="CF103" i="105"/>
  <c r="F103" i="105"/>
  <c r="AZ103" i="105"/>
  <c r="BJ103" i="105"/>
  <c r="CG103" i="105"/>
  <c r="G103" i="105"/>
  <c r="BA103" i="105"/>
  <c r="BK103" i="105"/>
  <c r="CH103" i="105"/>
  <c r="H103" i="105"/>
  <c r="BB103" i="105"/>
  <c r="BL103" i="105"/>
  <c r="CI103" i="105"/>
  <c r="I103" i="105"/>
  <c r="BC103" i="105"/>
  <c r="BM103" i="105"/>
  <c r="CJ103" i="105"/>
  <c r="J103" i="105"/>
  <c r="BD103" i="105"/>
  <c r="BN103" i="105"/>
  <c r="CK103" i="105"/>
  <c r="K103" i="105"/>
  <c r="BE103" i="105"/>
  <c r="BO103" i="105"/>
  <c r="CL103" i="105"/>
  <c r="L103" i="105"/>
  <c r="BF103" i="105"/>
  <c r="BP103" i="105"/>
  <c r="CM103" i="105"/>
  <c r="M103" i="105"/>
  <c r="BG103" i="105"/>
  <c r="BQ103" i="105"/>
  <c r="CN103" i="105"/>
  <c r="CP103" i="105"/>
  <c r="E104" i="105"/>
  <c r="AV104" i="105"/>
  <c r="AW104" i="105"/>
  <c r="AY104" i="105"/>
  <c r="BI104" i="105"/>
  <c r="CF104" i="105"/>
  <c r="F104" i="105"/>
  <c r="AZ104" i="105"/>
  <c r="BJ104" i="105"/>
  <c r="CG104" i="105"/>
  <c r="G104" i="105"/>
  <c r="BA104" i="105"/>
  <c r="BK104" i="105"/>
  <c r="CH104" i="105"/>
  <c r="H104" i="105"/>
  <c r="BB104" i="105"/>
  <c r="BL104" i="105"/>
  <c r="CI104" i="105"/>
  <c r="I104" i="105"/>
  <c r="BC104" i="105"/>
  <c r="BM104" i="105"/>
  <c r="CJ104" i="105"/>
  <c r="J104" i="105"/>
  <c r="BD104" i="105"/>
  <c r="BN104" i="105"/>
  <c r="CK104" i="105"/>
  <c r="K104" i="105"/>
  <c r="BE104" i="105"/>
  <c r="BO104" i="105"/>
  <c r="CL104" i="105"/>
  <c r="L104" i="105"/>
  <c r="BF104" i="105"/>
  <c r="BP104" i="105"/>
  <c r="CM104" i="105"/>
  <c r="M104" i="105"/>
  <c r="BG104" i="105"/>
  <c r="BQ104" i="105"/>
  <c r="CN104" i="105"/>
  <c r="CP104" i="105"/>
  <c r="E105" i="105"/>
  <c r="AV105" i="105"/>
  <c r="AW105" i="105"/>
  <c r="AY105" i="105"/>
  <c r="BI105" i="105"/>
  <c r="CF105" i="105"/>
  <c r="F105" i="105"/>
  <c r="AZ105" i="105"/>
  <c r="BJ105" i="105"/>
  <c r="CG105" i="105"/>
  <c r="G105" i="105"/>
  <c r="BA105" i="105"/>
  <c r="BK105" i="105"/>
  <c r="CH105" i="105"/>
  <c r="H105" i="105"/>
  <c r="BB105" i="105"/>
  <c r="BL105" i="105"/>
  <c r="CI105" i="105"/>
  <c r="I105" i="105"/>
  <c r="BC105" i="105"/>
  <c r="BM105" i="105"/>
  <c r="CJ105" i="105"/>
  <c r="J105" i="105"/>
  <c r="BD105" i="105"/>
  <c r="BN105" i="105"/>
  <c r="CK105" i="105"/>
  <c r="K105" i="105"/>
  <c r="BE105" i="105"/>
  <c r="BO105" i="105"/>
  <c r="CL105" i="105"/>
  <c r="L105" i="105"/>
  <c r="BF105" i="105"/>
  <c r="BP105" i="105"/>
  <c r="CM105" i="105"/>
  <c r="M105" i="105"/>
  <c r="BG105" i="105"/>
  <c r="BQ105" i="105"/>
  <c r="CN105" i="105"/>
  <c r="CP105" i="105"/>
  <c r="AV106" i="105"/>
  <c r="AW106" i="105"/>
  <c r="F418" i="113"/>
  <c r="G232" i="113"/>
  <c r="F446" i="113"/>
  <c r="F426" i="113"/>
  <c r="E188" i="113"/>
  <c r="G236" i="113"/>
  <c r="F448" i="113"/>
  <c r="AV107" i="105"/>
  <c r="AW107" i="105"/>
  <c r="G418" i="113"/>
  <c r="O232" i="113"/>
  <c r="F232" i="113"/>
  <c r="H232" i="113"/>
  <c r="G446" i="113"/>
  <c r="G420" i="113"/>
  <c r="G425" i="113"/>
  <c r="G427" i="113"/>
  <c r="F427" i="113"/>
  <c r="G428" i="113"/>
  <c r="G426" i="113"/>
  <c r="O236" i="113"/>
  <c r="F236" i="113"/>
  <c r="H236" i="113"/>
  <c r="G448" i="113"/>
  <c r="H418" i="113"/>
  <c r="I232" i="113"/>
  <c r="H446" i="113"/>
  <c r="H420" i="113"/>
  <c r="H425" i="113"/>
  <c r="H427" i="113"/>
  <c r="H428" i="113"/>
  <c r="H426" i="113"/>
  <c r="I236" i="113"/>
  <c r="H448" i="113"/>
  <c r="I418" i="113"/>
  <c r="J232" i="113"/>
  <c r="I446" i="113"/>
  <c r="I420" i="113"/>
  <c r="I425" i="113"/>
  <c r="I427" i="113"/>
  <c r="I428" i="113"/>
  <c r="I426" i="113"/>
  <c r="J236" i="113"/>
  <c r="I448" i="113"/>
  <c r="J418" i="113"/>
  <c r="K232" i="113"/>
  <c r="J446" i="113"/>
  <c r="J420" i="113"/>
  <c r="J425" i="113"/>
  <c r="J427" i="113"/>
  <c r="J428" i="113"/>
  <c r="J426" i="113"/>
  <c r="K236" i="113"/>
  <c r="J448" i="113"/>
  <c r="K418" i="113"/>
  <c r="L232" i="113"/>
  <c r="K446" i="113"/>
  <c r="K420" i="113"/>
  <c r="K425" i="113"/>
  <c r="K427" i="113"/>
  <c r="K428" i="113"/>
  <c r="K426" i="113"/>
  <c r="L236" i="113"/>
  <c r="K448" i="113"/>
  <c r="L418" i="113"/>
  <c r="M232" i="113"/>
  <c r="L446" i="113"/>
  <c r="L420" i="113"/>
  <c r="L425" i="113"/>
  <c r="L427" i="113"/>
  <c r="L428" i="113"/>
  <c r="L426" i="113"/>
  <c r="M236" i="113"/>
  <c r="L448" i="113"/>
  <c r="M418" i="113"/>
  <c r="N232" i="113"/>
  <c r="M446" i="113"/>
  <c r="M420" i="113"/>
  <c r="M425" i="113"/>
  <c r="M427" i="113"/>
  <c r="M428" i="113"/>
  <c r="M426" i="113"/>
  <c r="N236" i="113"/>
  <c r="M448" i="113"/>
  <c r="N418" i="113"/>
  <c r="N446" i="113"/>
  <c r="N420" i="113"/>
  <c r="N425" i="113"/>
  <c r="N427" i="113"/>
  <c r="N428" i="113"/>
  <c r="N426" i="113"/>
  <c r="N448" i="113"/>
  <c r="E108" i="105"/>
  <c r="AV108" i="105"/>
  <c r="AW108" i="105"/>
  <c r="AY108" i="105"/>
  <c r="BI108" i="105"/>
  <c r="CF108" i="105"/>
  <c r="F108" i="105"/>
  <c r="AZ108" i="105"/>
  <c r="BJ108" i="105"/>
  <c r="CG108" i="105"/>
  <c r="G108" i="105"/>
  <c r="BA108" i="105"/>
  <c r="BK108" i="105"/>
  <c r="CH108" i="105"/>
  <c r="H108" i="105"/>
  <c r="BB108" i="105"/>
  <c r="BL108" i="105"/>
  <c r="CI108" i="105"/>
  <c r="I108" i="105"/>
  <c r="BC108" i="105"/>
  <c r="BM108" i="105"/>
  <c r="CJ108" i="105"/>
  <c r="J108" i="105"/>
  <c r="BD108" i="105"/>
  <c r="BN108" i="105"/>
  <c r="CK108" i="105"/>
  <c r="K108" i="105"/>
  <c r="BE108" i="105"/>
  <c r="BO108" i="105"/>
  <c r="CL108" i="105"/>
  <c r="L108" i="105"/>
  <c r="BF108" i="105"/>
  <c r="BP108" i="105"/>
  <c r="CM108" i="105"/>
  <c r="M108" i="105"/>
  <c r="BG108" i="105"/>
  <c r="BQ108" i="105"/>
  <c r="CN108" i="105"/>
  <c r="CP108" i="105"/>
  <c r="E109" i="105"/>
  <c r="AV109" i="105"/>
  <c r="AW109" i="105"/>
  <c r="AY109" i="105"/>
  <c r="BI109" i="105"/>
  <c r="CF109" i="105"/>
  <c r="F109" i="105"/>
  <c r="AZ109" i="105"/>
  <c r="BJ109" i="105"/>
  <c r="CG109" i="105"/>
  <c r="G109" i="105"/>
  <c r="BA109" i="105"/>
  <c r="BK109" i="105"/>
  <c r="CH109" i="105"/>
  <c r="H109" i="105"/>
  <c r="BB109" i="105"/>
  <c r="BL109" i="105"/>
  <c r="CI109" i="105"/>
  <c r="I109" i="105"/>
  <c r="BC109" i="105"/>
  <c r="BM109" i="105"/>
  <c r="CJ109" i="105"/>
  <c r="J109" i="105"/>
  <c r="BD109" i="105"/>
  <c r="BN109" i="105"/>
  <c r="CK109" i="105"/>
  <c r="K109" i="105"/>
  <c r="BE109" i="105"/>
  <c r="BO109" i="105"/>
  <c r="CL109" i="105"/>
  <c r="L109" i="105"/>
  <c r="BF109" i="105"/>
  <c r="BP109" i="105"/>
  <c r="CM109" i="105"/>
  <c r="M109" i="105"/>
  <c r="BG109" i="105"/>
  <c r="BQ109" i="105"/>
  <c r="CN109" i="105"/>
  <c r="CP109" i="105"/>
  <c r="E111" i="105"/>
  <c r="AV111" i="105"/>
  <c r="AW111" i="105"/>
  <c r="AY111" i="105"/>
  <c r="BI111" i="105"/>
  <c r="CF111" i="105"/>
  <c r="F111" i="105"/>
  <c r="AZ111" i="105"/>
  <c r="BJ111" i="105"/>
  <c r="CG111" i="105"/>
  <c r="G111" i="105"/>
  <c r="BA111" i="105"/>
  <c r="BK111" i="105"/>
  <c r="CH111" i="105"/>
  <c r="H111" i="105"/>
  <c r="BB111" i="105"/>
  <c r="BL111" i="105"/>
  <c r="CI111" i="105"/>
  <c r="I111" i="105"/>
  <c r="BC111" i="105"/>
  <c r="BM111" i="105"/>
  <c r="CJ111" i="105"/>
  <c r="J111" i="105"/>
  <c r="BD111" i="105"/>
  <c r="BN111" i="105"/>
  <c r="CK111" i="105"/>
  <c r="K111" i="105"/>
  <c r="BE111" i="105"/>
  <c r="BO111" i="105"/>
  <c r="CL111" i="105"/>
  <c r="L111" i="105"/>
  <c r="BF111" i="105"/>
  <c r="BP111" i="105"/>
  <c r="CM111" i="105"/>
  <c r="M111" i="105"/>
  <c r="BG111" i="105"/>
  <c r="BQ111" i="105"/>
  <c r="CN111" i="105"/>
  <c r="CP111" i="105"/>
  <c r="D52" i="138"/>
  <c r="E52" i="138"/>
  <c r="F91" i="138"/>
  <c r="F133" i="138"/>
  <c r="E112" i="105"/>
  <c r="AV112" i="105"/>
  <c r="AW112" i="105"/>
  <c r="AY112" i="105"/>
  <c r="BI112" i="105"/>
  <c r="CF112" i="105"/>
  <c r="G64" i="138"/>
  <c r="G91" i="138"/>
  <c r="G133" i="138"/>
  <c r="F112" i="105"/>
  <c r="AZ112" i="105"/>
  <c r="BJ112" i="105"/>
  <c r="CG112" i="105"/>
  <c r="H64" i="138"/>
  <c r="H91" i="138"/>
  <c r="H133" i="138"/>
  <c r="G112" i="105"/>
  <c r="BA112" i="105"/>
  <c r="BK112" i="105"/>
  <c r="CH112" i="105"/>
  <c r="I64" i="138"/>
  <c r="I91" i="138"/>
  <c r="I133" i="138"/>
  <c r="H112" i="105"/>
  <c r="BB112" i="105"/>
  <c r="BL112" i="105"/>
  <c r="CI112" i="105"/>
  <c r="J64" i="138"/>
  <c r="J91" i="138"/>
  <c r="J133" i="138"/>
  <c r="I112" i="105"/>
  <c r="BC112" i="105"/>
  <c r="BM112" i="105"/>
  <c r="CJ112" i="105"/>
  <c r="K64" i="138"/>
  <c r="K91" i="138"/>
  <c r="K133" i="138"/>
  <c r="J112" i="105"/>
  <c r="BD112" i="105"/>
  <c r="BN112" i="105"/>
  <c r="CK112" i="105"/>
  <c r="L64" i="138"/>
  <c r="L91" i="138"/>
  <c r="L133" i="138"/>
  <c r="K112" i="105"/>
  <c r="BE112" i="105"/>
  <c r="BO112" i="105"/>
  <c r="CL112" i="105"/>
  <c r="M64" i="138"/>
  <c r="M91" i="138"/>
  <c r="M133" i="138"/>
  <c r="L112" i="105"/>
  <c r="BF112" i="105"/>
  <c r="BP112" i="105"/>
  <c r="CM112" i="105"/>
  <c r="N64" i="138"/>
  <c r="N91" i="138"/>
  <c r="N133" i="138"/>
  <c r="M112" i="105"/>
  <c r="BG112" i="105"/>
  <c r="BQ112" i="105"/>
  <c r="CN112" i="105"/>
  <c r="CP112" i="105"/>
  <c r="F76" i="49"/>
  <c r="F83" i="49"/>
  <c r="F174" i="49"/>
  <c r="F236" i="49"/>
  <c r="E113" i="105"/>
  <c r="AV113" i="105"/>
  <c r="AW113" i="105"/>
  <c r="AY113" i="105"/>
  <c r="BI113" i="105"/>
  <c r="CF113" i="105"/>
  <c r="G102" i="49"/>
  <c r="G143" i="49"/>
  <c r="F102" i="49"/>
  <c r="F143" i="49"/>
  <c r="F152" i="49"/>
  <c r="G159" i="49"/>
  <c r="G76" i="49"/>
  <c r="G145" i="49"/>
  <c r="F145" i="49"/>
  <c r="F154" i="49"/>
  <c r="G161" i="49"/>
  <c r="N83" i="49"/>
  <c r="E83" i="49"/>
  <c r="G83" i="49"/>
  <c r="G174" i="49"/>
  <c r="G236" i="49"/>
  <c r="F113" i="105"/>
  <c r="AZ113" i="105"/>
  <c r="BJ113" i="105"/>
  <c r="CG113" i="105"/>
  <c r="H102" i="49"/>
  <c r="H143" i="49"/>
  <c r="G152" i="49"/>
  <c r="H159" i="49"/>
  <c r="H76" i="49"/>
  <c r="H145" i="49"/>
  <c r="G154" i="49"/>
  <c r="H161" i="49"/>
  <c r="H83" i="49"/>
  <c r="H174" i="49"/>
  <c r="H236" i="49"/>
  <c r="G113" i="105"/>
  <c r="BA113" i="105"/>
  <c r="BK113" i="105"/>
  <c r="CH113" i="105"/>
  <c r="I102" i="49"/>
  <c r="I143" i="49"/>
  <c r="H152" i="49"/>
  <c r="I159" i="49"/>
  <c r="I76" i="49"/>
  <c r="I145" i="49"/>
  <c r="H154" i="49"/>
  <c r="I161" i="49"/>
  <c r="I83" i="49"/>
  <c r="I174" i="49"/>
  <c r="I236" i="49"/>
  <c r="H113" i="105"/>
  <c r="BB113" i="105"/>
  <c r="BL113" i="105"/>
  <c r="CI113" i="105"/>
  <c r="J102" i="49"/>
  <c r="J143" i="49"/>
  <c r="I152" i="49"/>
  <c r="J159" i="49"/>
  <c r="J76" i="49"/>
  <c r="J145" i="49"/>
  <c r="I154" i="49"/>
  <c r="J161" i="49"/>
  <c r="J83" i="49"/>
  <c r="J174" i="49"/>
  <c r="J236" i="49"/>
  <c r="I113" i="105"/>
  <c r="BC113" i="105"/>
  <c r="BM113" i="105"/>
  <c r="CJ113" i="105"/>
  <c r="K102" i="49"/>
  <c r="K143" i="49"/>
  <c r="J152" i="49"/>
  <c r="K159" i="49"/>
  <c r="K76" i="49"/>
  <c r="K145" i="49"/>
  <c r="J154" i="49"/>
  <c r="K161" i="49"/>
  <c r="K83" i="49"/>
  <c r="K174" i="49"/>
  <c r="K236" i="49"/>
  <c r="J113" i="105"/>
  <c r="BD113" i="105"/>
  <c r="BN113" i="105"/>
  <c r="CK113" i="105"/>
  <c r="L102" i="49"/>
  <c r="L143" i="49"/>
  <c r="K152" i="49"/>
  <c r="L159" i="49"/>
  <c r="L76" i="49"/>
  <c r="L145" i="49"/>
  <c r="K154" i="49"/>
  <c r="L161" i="49"/>
  <c r="L83" i="49"/>
  <c r="L174" i="49"/>
  <c r="L236" i="49"/>
  <c r="K113" i="105"/>
  <c r="BE113" i="105"/>
  <c r="BO113" i="105"/>
  <c r="CL113" i="105"/>
  <c r="M102" i="49"/>
  <c r="M143" i="49"/>
  <c r="L152" i="49"/>
  <c r="M159" i="49"/>
  <c r="M76" i="49"/>
  <c r="M145" i="49"/>
  <c r="L154" i="49"/>
  <c r="M161" i="49"/>
  <c r="M83" i="49"/>
  <c r="M174" i="49"/>
  <c r="M236" i="49"/>
  <c r="L113" i="105"/>
  <c r="BF113" i="105"/>
  <c r="BP113" i="105"/>
  <c r="CM113" i="105"/>
  <c r="N102" i="49"/>
  <c r="N143" i="49"/>
  <c r="M152" i="49"/>
  <c r="N159" i="49"/>
  <c r="N76" i="49"/>
  <c r="N145" i="49"/>
  <c r="M154" i="49"/>
  <c r="N161" i="49"/>
  <c r="N174" i="49"/>
  <c r="N236" i="49"/>
  <c r="M113" i="105"/>
  <c r="BG113" i="105"/>
  <c r="BQ113" i="105"/>
  <c r="CN113" i="105"/>
  <c r="CP113" i="105"/>
  <c r="D75" i="62"/>
  <c r="E75" i="62"/>
  <c r="F136" i="62"/>
  <c r="F200" i="62"/>
  <c r="E114" i="105"/>
  <c r="AV114" i="105"/>
  <c r="AW114" i="105"/>
  <c r="AY114" i="105"/>
  <c r="BI114" i="105"/>
  <c r="CF114" i="105"/>
  <c r="G87" i="62"/>
  <c r="G136" i="62"/>
  <c r="G200" i="62"/>
  <c r="F114" i="105"/>
  <c r="AZ114" i="105"/>
  <c r="BJ114" i="105"/>
  <c r="CG114" i="105"/>
  <c r="H87" i="62"/>
  <c r="H136" i="62"/>
  <c r="H200" i="62"/>
  <c r="G114" i="105"/>
  <c r="BA114" i="105"/>
  <c r="BK114" i="105"/>
  <c r="CH114" i="105"/>
  <c r="I87" i="62"/>
  <c r="I136" i="62"/>
  <c r="I200" i="62"/>
  <c r="H114" i="105"/>
  <c r="BB114" i="105"/>
  <c r="BL114" i="105"/>
  <c r="CI114" i="105"/>
  <c r="J87" i="62"/>
  <c r="J136" i="62"/>
  <c r="J200" i="62"/>
  <c r="I114" i="105"/>
  <c r="BC114" i="105"/>
  <c r="BM114" i="105"/>
  <c r="CJ114" i="105"/>
  <c r="K87" i="62"/>
  <c r="K136" i="62"/>
  <c r="K200" i="62"/>
  <c r="J114" i="105"/>
  <c r="BD114" i="105"/>
  <c r="BN114" i="105"/>
  <c r="CK114" i="105"/>
  <c r="L87" i="62"/>
  <c r="L136" i="62"/>
  <c r="L200" i="62"/>
  <c r="K114" i="105"/>
  <c r="BE114" i="105"/>
  <c r="BO114" i="105"/>
  <c r="CL114" i="105"/>
  <c r="M87" i="62"/>
  <c r="M136" i="62"/>
  <c r="M200" i="62"/>
  <c r="L114" i="105"/>
  <c r="BF114" i="105"/>
  <c r="BP114" i="105"/>
  <c r="CM114" i="105"/>
  <c r="N87" i="62"/>
  <c r="N136" i="62"/>
  <c r="N200" i="62"/>
  <c r="M114" i="105"/>
  <c r="BG114" i="105"/>
  <c r="BQ114" i="105"/>
  <c r="CN114" i="105"/>
  <c r="CP114" i="105"/>
  <c r="AV115" i="105"/>
  <c r="AW115" i="105"/>
  <c r="F958" i="40"/>
  <c r="E120" i="105"/>
  <c r="AV120" i="105"/>
  <c r="AW120" i="105"/>
  <c r="AY120" i="105"/>
  <c r="BI120" i="105"/>
  <c r="CF120" i="105"/>
  <c r="F355" i="40"/>
  <c r="G41" i="40"/>
  <c r="N355" i="40"/>
  <c r="G355" i="40"/>
  <c r="G356" i="40"/>
  <c r="G360" i="40"/>
  <c r="G581" i="40"/>
  <c r="F356" i="40"/>
  <c r="F360" i="40"/>
  <c r="F581" i="40"/>
  <c r="G600" i="40"/>
  <c r="G619" i="40"/>
  <c r="F394" i="40"/>
  <c r="E394" i="40"/>
  <c r="G394" i="40"/>
  <c r="G638" i="40"/>
  <c r="G958" i="40"/>
  <c r="F120" i="105"/>
  <c r="AZ120" i="105"/>
  <c r="BJ120" i="105"/>
  <c r="CG120" i="105"/>
  <c r="H355" i="40"/>
  <c r="H356" i="40"/>
  <c r="H360" i="40"/>
  <c r="H581" i="40"/>
  <c r="H600" i="40"/>
  <c r="H619" i="40"/>
  <c r="H394" i="40"/>
  <c r="H638" i="40"/>
  <c r="H958" i="40"/>
  <c r="G120" i="105"/>
  <c r="BA120" i="105"/>
  <c r="BK120" i="105"/>
  <c r="CH120" i="105"/>
  <c r="I355" i="40"/>
  <c r="I356" i="40"/>
  <c r="I360" i="40"/>
  <c r="I581" i="40"/>
  <c r="I600" i="40"/>
  <c r="I619" i="40"/>
  <c r="I394" i="40"/>
  <c r="I638" i="40"/>
  <c r="I958" i="40"/>
  <c r="H120" i="105"/>
  <c r="BB120" i="105"/>
  <c r="BL120" i="105"/>
  <c r="CI120" i="105"/>
  <c r="J355" i="40"/>
  <c r="J356" i="40"/>
  <c r="J360" i="40"/>
  <c r="J581" i="40"/>
  <c r="J600" i="40"/>
  <c r="J619" i="40"/>
  <c r="J394" i="40"/>
  <c r="J638" i="40"/>
  <c r="J958" i="40"/>
  <c r="I120" i="105"/>
  <c r="BC120" i="105"/>
  <c r="BM120" i="105"/>
  <c r="CJ120" i="105"/>
  <c r="K355" i="40"/>
  <c r="K356" i="40"/>
  <c r="K360" i="40"/>
  <c r="K581" i="40"/>
  <c r="K600" i="40"/>
  <c r="K619" i="40"/>
  <c r="K394" i="40"/>
  <c r="K638" i="40"/>
  <c r="K958" i="40"/>
  <c r="J120" i="105"/>
  <c r="BD120" i="105"/>
  <c r="BN120" i="105"/>
  <c r="CK120" i="105"/>
  <c r="L355" i="40"/>
  <c r="L356" i="40"/>
  <c r="L360" i="40"/>
  <c r="L581" i="40"/>
  <c r="L600" i="40"/>
  <c r="L619" i="40"/>
  <c r="L394" i="40"/>
  <c r="L638" i="40"/>
  <c r="L958" i="40"/>
  <c r="K120" i="105"/>
  <c r="BE120" i="105"/>
  <c r="BO120" i="105"/>
  <c r="CL120" i="105"/>
  <c r="M355" i="40"/>
  <c r="M356" i="40"/>
  <c r="M360" i="40"/>
  <c r="M581" i="40"/>
  <c r="M600" i="40"/>
  <c r="M619" i="40"/>
  <c r="M394" i="40"/>
  <c r="M638" i="40"/>
  <c r="M958" i="40"/>
  <c r="L120" i="105"/>
  <c r="BF120" i="105"/>
  <c r="BP120" i="105"/>
  <c r="CM120" i="105"/>
  <c r="N356" i="40"/>
  <c r="N360" i="40"/>
  <c r="N581" i="40"/>
  <c r="N600" i="40"/>
  <c r="N619" i="40"/>
  <c r="N638" i="40"/>
  <c r="N958" i="40"/>
  <c r="M120" i="105"/>
  <c r="BG120" i="105"/>
  <c r="BQ120" i="105"/>
  <c r="CN120" i="105"/>
  <c r="CP120" i="105"/>
  <c r="F968" i="40"/>
  <c r="E121" i="105"/>
  <c r="AV121" i="105"/>
  <c r="AW121" i="105"/>
  <c r="AY121" i="105"/>
  <c r="BI121" i="105"/>
  <c r="CF121" i="105"/>
  <c r="F294" i="40"/>
  <c r="N294" i="40"/>
  <c r="G294" i="40"/>
  <c r="G523" i="40"/>
  <c r="G532" i="40"/>
  <c r="G315" i="40"/>
  <c r="G333" i="40"/>
  <c r="G552" i="40"/>
  <c r="G571" i="40"/>
  <c r="F158" i="40"/>
  <c r="N158" i="40"/>
  <c r="G158" i="40"/>
  <c r="G590" i="40"/>
  <c r="F523" i="40"/>
  <c r="F532" i="40"/>
  <c r="F315" i="40"/>
  <c r="F333" i="40"/>
  <c r="F552" i="40"/>
  <c r="F571" i="40"/>
  <c r="F590" i="40"/>
  <c r="G609" i="40"/>
  <c r="G628" i="40"/>
  <c r="E403" i="40"/>
  <c r="G403" i="40"/>
  <c r="G647" i="40"/>
  <c r="G127" i="40"/>
  <c r="G316" i="40"/>
  <c r="G334" i="40"/>
  <c r="G553" i="40"/>
  <c r="G572" i="40"/>
  <c r="G591" i="40"/>
  <c r="F127" i="40"/>
  <c r="F316" i="40"/>
  <c r="F334" i="40"/>
  <c r="F553" i="40"/>
  <c r="F572" i="40"/>
  <c r="F591" i="40"/>
  <c r="G610" i="40"/>
  <c r="G629" i="40"/>
  <c r="E404" i="40"/>
  <c r="G404" i="40"/>
  <c r="G648" i="40"/>
  <c r="G968" i="40"/>
  <c r="F121" i="105"/>
  <c r="AZ121" i="105"/>
  <c r="BJ121" i="105"/>
  <c r="CG121" i="105"/>
  <c r="H294" i="40"/>
  <c r="H523" i="40"/>
  <c r="H532" i="40"/>
  <c r="H315" i="40"/>
  <c r="H333" i="40"/>
  <c r="H552" i="40"/>
  <c r="H571" i="40"/>
  <c r="H158" i="40"/>
  <c r="H590" i="40"/>
  <c r="H609" i="40"/>
  <c r="H628" i="40"/>
  <c r="H403" i="40"/>
  <c r="H647" i="40"/>
  <c r="H73" i="40"/>
  <c r="H127" i="40"/>
  <c r="H316" i="40"/>
  <c r="H334" i="40"/>
  <c r="H553" i="40"/>
  <c r="H572" i="40"/>
  <c r="H591" i="40"/>
  <c r="H610" i="40"/>
  <c r="H629" i="40"/>
  <c r="H404" i="40"/>
  <c r="H648" i="40"/>
  <c r="H968" i="40"/>
  <c r="G121" i="105"/>
  <c r="BA121" i="105"/>
  <c r="BK121" i="105"/>
  <c r="CH121" i="105"/>
  <c r="I294" i="40"/>
  <c r="I523" i="40"/>
  <c r="I532" i="40"/>
  <c r="I315" i="40"/>
  <c r="I333" i="40"/>
  <c r="I552" i="40"/>
  <c r="I571" i="40"/>
  <c r="I158" i="40"/>
  <c r="I590" i="40"/>
  <c r="I609" i="40"/>
  <c r="I628" i="40"/>
  <c r="I403" i="40"/>
  <c r="I647" i="40"/>
  <c r="I73" i="40"/>
  <c r="I127" i="40"/>
  <c r="I316" i="40"/>
  <c r="I334" i="40"/>
  <c r="I553" i="40"/>
  <c r="I572" i="40"/>
  <c r="I591" i="40"/>
  <c r="I610" i="40"/>
  <c r="I629" i="40"/>
  <c r="I404" i="40"/>
  <c r="I648" i="40"/>
  <c r="I968" i="40"/>
  <c r="H121" i="105"/>
  <c r="BB121" i="105"/>
  <c r="BL121" i="105"/>
  <c r="CI121" i="105"/>
  <c r="J294" i="40"/>
  <c r="J523" i="40"/>
  <c r="J532" i="40"/>
  <c r="J315" i="40"/>
  <c r="J333" i="40"/>
  <c r="J552" i="40"/>
  <c r="J571" i="40"/>
  <c r="J158" i="40"/>
  <c r="J590" i="40"/>
  <c r="J609" i="40"/>
  <c r="J628" i="40"/>
  <c r="J403" i="40"/>
  <c r="J647" i="40"/>
  <c r="J73" i="40"/>
  <c r="J127" i="40"/>
  <c r="J316" i="40"/>
  <c r="J334" i="40"/>
  <c r="J553" i="40"/>
  <c r="J572" i="40"/>
  <c r="J591" i="40"/>
  <c r="J610" i="40"/>
  <c r="J629" i="40"/>
  <c r="J404" i="40"/>
  <c r="J648" i="40"/>
  <c r="J968" i="40"/>
  <c r="I121" i="105"/>
  <c r="BC121" i="105"/>
  <c r="BM121" i="105"/>
  <c r="CJ121" i="105"/>
  <c r="K294" i="40"/>
  <c r="K523" i="40"/>
  <c r="K532" i="40"/>
  <c r="K315" i="40"/>
  <c r="K333" i="40"/>
  <c r="K552" i="40"/>
  <c r="K571" i="40"/>
  <c r="K158" i="40"/>
  <c r="K590" i="40"/>
  <c r="K609" i="40"/>
  <c r="K628" i="40"/>
  <c r="K403" i="40"/>
  <c r="K647" i="40"/>
  <c r="K73" i="40"/>
  <c r="K127" i="40"/>
  <c r="K316" i="40"/>
  <c r="K334" i="40"/>
  <c r="K553" i="40"/>
  <c r="K572" i="40"/>
  <c r="K591" i="40"/>
  <c r="K610" i="40"/>
  <c r="K629" i="40"/>
  <c r="K404" i="40"/>
  <c r="K648" i="40"/>
  <c r="K968" i="40"/>
  <c r="J121" i="105"/>
  <c r="BD121" i="105"/>
  <c r="BN121" i="105"/>
  <c r="CK121" i="105"/>
  <c r="L294" i="40"/>
  <c r="L523" i="40"/>
  <c r="L532" i="40"/>
  <c r="L315" i="40"/>
  <c r="L333" i="40"/>
  <c r="L552" i="40"/>
  <c r="L571" i="40"/>
  <c r="L158" i="40"/>
  <c r="L590" i="40"/>
  <c r="L609" i="40"/>
  <c r="L628" i="40"/>
  <c r="L403" i="40"/>
  <c r="L647" i="40"/>
  <c r="L73" i="40"/>
  <c r="L127" i="40"/>
  <c r="L316" i="40"/>
  <c r="L334" i="40"/>
  <c r="L553" i="40"/>
  <c r="L572" i="40"/>
  <c r="L591" i="40"/>
  <c r="L610" i="40"/>
  <c r="L629" i="40"/>
  <c r="L404" i="40"/>
  <c r="L648" i="40"/>
  <c r="L968" i="40"/>
  <c r="K121" i="105"/>
  <c r="BE121" i="105"/>
  <c r="BO121" i="105"/>
  <c r="CL121" i="105"/>
  <c r="M294" i="40"/>
  <c r="M523" i="40"/>
  <c r="M532" i="40"/>
  <c r="M315" i="40"/>
  <c r="M333" i="40"/>
  <c r="M552" i="40"/>
  <c r="M571" i="40"/>
  <c r="M158" i="40"/>
  <c r="M590" i="40"/>
  <c r="M609" i="40"/>
  <c r="M628" i="40"/>
  <c r="M403" i="40"/>
  <c r="M647" i="40"/>
  <c r="M73" i="40"/>
  <c r="M127" i="40"/>
  <c r="M316" i="40"/>
  <c r="M334" i="40"/>
  <c r="M553" i="40"/>
  <c r="M572" i="40"/>
  <c r="M591" i="40"/>
  <c r="M610" i="40"/>
  <c r="M629" i="40"/>
  <c r="M404" i="40"/>
  <c r="M648" i="40"/>
  <c r="M968" i="40"/>
  <c r="L121" i="105"/>
  <c r="BF121" i="105"/>
  <c r="BP121" i="105"/>
  <c r="CM121" i="105"/>
  <c r="N523" i="40"/>
  <c r="N532" i="40"/>
  <c r="N315" i="40"/>
  <c r="N333" i="40"/>
  <c r="N552" i="40"/>
  <c r="N571" i="40"/>
  <c r="N590" i="40"/>
  <c r="N609" i="40"/>
  <c r="N628" i="40"/>
  <c r="N647" i="40"/>
  <c r="N73" i="40"/>
  <c r="N127" i="40"/>
  <c r="N316" i="40"/>
  <c r="N334" i="40"/>
  <c r="N553" i="40"/>
  <c r="N572" i="40"/>
  <c r="N591" i="40"/>
  <c r="N610" i="40"/>
  <c r="N629" i="40"/>
  <c r="N648" i="40"/>
  <c r="N968" i="40"/>
  <c r="M121" i="105"/>
  <c r="BG121" i="105"/>
  <c r="BQ121" i="105"/>
  <c r="CN121" i="105"/>
  <c r="CP121" i="105"/>
  <c r="F978" i="40"/>
  <c r="E122" i="105"/>
  <c r="AV122" i="105"/>
  <c r="AW122" i="105"/>
  <c r="AY122" i="105"/>
  <c r="BI122" i="105"/>
  <c r="CF122" i="105"/>
  <c r="F298" i="40"/>
  <c r="N298" i="40"/>
  <c r="G298" i="40"/>
  <c r="G527" i="40"/>
  <c r="G536" i="40"/>
  <c r="G556" i="40"/>
  <c r="G575" i="40"/>
  <c r="F162" i="40"/>
  <c r="N162" i="40"/>
  <c r="G162" i="40"/>
  <c r="G594" i="40"/>
  <c r="F527" i="40"/>
  <c r="F536" i="40"/>
  <c r="F556" i="40"/>
  <c r="F575" i="40"/>
  <c r="F594" i="40"/>
  <c r="G613" i="40"/>
  <c r="G632" i="40"/>
  <c r="E407" i="40"/>
  <c r="G407" i="40"/>
  <c r="G651" i="40"/>
  <c r="G978" i="40"/>
  <c r="F122" i="105"/>
  <c r="AZ122" i="105"/>
  <c r="BJ122" i="105"/>
  <c r="CG122" i="105"/>
  <c r="H298" i="40"/>
  <c r="H527" i="40"/>
  <c r="H536" i="40"/>
  <c r="H556" i="40"/>
  <c r="H575" i="40"/>
  <c r="H162" i="40"/>
  <c r="H594" i="40"/>
  <c r="H613" i="40"/>
  <c r="H632" i="40"/>
  <c r="H407" i="40"/>
  <c r="H651" i="40"/>
  <c r="H978" i="40"/>
  <c r="G122" i="105"/>
  <c r="BA122" i="105"/>
  <c r="BK122" i="105"/>
  <c r="CH122" i="105"/>
  <c r="I298" i="40"/>
  <c r="I527" i="40"/>
  <c r="I536" i="40"/>
  <c r="I556" i="40"/>
  <c r="I575" i="40"/>
  <c r="I162" i="40"/>
  <c r="I594" i="40"/>
  <c r="I613" i="40"/>
  <c r="I632" i="40"/>
  <c r="I407" i="40"/>
  <c r="I651" i="40"/>
  <c r="I978" i="40"/>
  <c r="H122" i="105"/>
  <c r="BB122" i="105"/>
  <c r="BL122" i="105"/>
  <c r="CI122" i="105"/>
  <c r="J298" i="40"/>
  <c r="J527" i="40"/>
  <c r="J536" i="40"/>
  <c r="J556" i="40"/>
  <c r="J575" i="40"/>
  <c r="J162" i="40"/>
  <c r="J594" i="40"/>
  <c r="J613" i="40"/>
  <c r="J632" i="40"/>
  <c r="J407" i="40"/>
  <c r="J651" i="40"/>
  <c r="J978" i="40"/>
  <c r="I122" i="105"/>
  <c r="BC122" i="105"/>
  <c r="BM122" i="105"/>
  <c r="CJ122" i="105"/>
  <c r="K298" i="40"/>
  <c r="K527" i="40"/>
  <c r="K536" i="40"/>
  <c r="K556" i="40"/>
  <c r="K575" i="40"/>
  <c r="K162" i="40"/>
  <c r="K594" i="40"/>
  <c r="K613" i="40"/>
  <c r="K632" i="40"/>
  <c r="K407" i="40"/>
  <c r="K651" i="40"/>
  <c r="K978" i="40"/>
  <c r="J122" i="105"/>
  <c r="BD122" i="105"/>
  <c r="BN122" i="105"/>
  <c r="CK122" i="105"/>
  <c r="L298" i="40"/>
  <c r="L527" i="40"/>
  <c r="L536" i="40"/>
  <c r="L556" i="40"/>
  <c r="L575" i="40"/>
  <c r="L162" i="40"/>
  <c r="L594" i="40"/>
  <c r="L613" i="40"/>
  <c r="L632" i="40"/>
  <c r="L407" i="40"/>
  <c r="L651" i="40"/>
  <c r="L978" i="40"/>
  <c r="K122" i="105"/>
  <c r="BE122" i="105"/>
  <c r="BO122" i="105"/>
  <c r="CL122" i="105"/>
  <c r="M298" i="40"/>
  <c r="M527" i="40"/>
  <c r="M536" i="40"/>
  <c r="M556" i="40"/>
  <c r="M575" i="40"/>
  <c r="M162" i="40"/>
  <c r="M594" i="40"/>
  <c r="M613" i="40"/>
  <c r="M632" i="40"/>
  <c r="M407" i="40"/>
  <c r="M651" i="40"/>
  <c r="M978" i="40"/>
  <c r="L122" i="105"/>
  <c r="BF122" i="105"/>
  <c r="BP122" i="105"/>
  <c r="CM122" i="105"/>
  <c r="N527" i="40"/>
  <c r="N536" i="40"/>
  <c r="N556" i="40"/>
  <c r="N575" i="40"/>
  <c r="N594" i="40"/>
  <c r="N613" i="40"/>
  <c r="N632" i="40"/>
  <c r="N651" i="40"/>
  <c r="N978" i="40"/>
  <c r="M122" i="105"/>
  <c r="BG122" i="105"/>
  <c r="BQ122" i="105"/>
  <c r="CN122" i="105"/>
  <c r="CP122" i="105"/>
  <c r="F216" i="41"/>
  <c r="F365" i="41"/>
  <c r="F217" i="41"/>
  <c r="F366" i="41"/>
  <c r="F218" i="41"/>
  <c r="F367" i="41"/>
  <c r="F219" i="41"/>
  <c r="F368" i="41"/>
  <c r="F417" i="41"/>
  <c r="F528" i="41"/>
  <c r="E123" i="105"/>
  <c r="AV123" i="105"/>
  <c r="AW123" i="105"/>
  <c r="AY123" i="105"/>
  <c r="BI123" i="105"/>
  <c r="CF123" i="105"/>
  <c r="G320" i="41"/>
  <c r="G332" i="41"/>
  <c r="F320" i="41"/>
  <c r="F332" i="41"/>
  <c r="G343" i="41"/>
  <c r="G353" i="41"/>
  <c r="N216" i="41"/>
  <c r="E216" i="41"/>
  <c r="G216" i="41"/>
  <c r="G365" i="41"/>
  <c r="G321" i="41"/>
  <c r="G333" i="41"/>
  <c r="F321" i="41"/>
  <c r="F333" i="41"/>
  <c r="G344" i="41"/>
  <c r="G354" i="41"/>
  <c r="N217" i="41"/>
  <c r="E217" i="41"/>
  <c r="G217" i="41"/>
  <c r="G366" i="41"/>
  <c r="G322" i="41"/>
  <c r="G334" i="41"/>
  <c r="F322" i="41"/>
  <c r="F334" i="41"/>
  <c r="G345" i="41"/>
  <c r="G355" i="41"/>
  <c r="N218" i="41"/>
  <c r="E218" i="41"/>
  <c r="G218" i="41"/>
  <c r="G367" i="41"/>
  <c r="G324" i="41"/>
  <c r="G336" i="41"/>
  <c r="F324" i="41"/>
  <c r="F336" i="41"/>
  <c r="G347" i="41"/>
  <c r="G357" i="41"/>
  <c r="N219" i="41"/>
  <c r="E219" i="41"/>
  <c r="G219" i="41"/>
  <c r="G368" i="41"/>
  <c r="G417" i="41"/>
  <c r="G528" i="41"/>
  <c r="F123" i="105"/>
  <c r="AZ123" i="105"/>
  <c r="BJ123" i="105"/>
  <c r="CG123" i="105"/>
  <c r="H320" i="41"/>
  <c r="H332" i="41"/>
  <c r="H343" i="41"/>
  <c r="H353" i="41"/>
  <c r="H216" i="41"/>
  <c r="H365" i="41"/>
  <c r="H321" i="41"/>
  <c r="H333" i="41"/>
  <c r="H344" i="41"/>
  <c r="H354" i="41"/>
  <c r="H217" i="41"/>
  <c r="H366" i="41"/>
  <c r="H322" i="41"/>
  <c r="H334" i="41"/>
  <c r="H345" i="41"/>
  <c r="H355" i="41"/>
  <c r="H218" i="41"/>
  <c r="H367" i="41"/>
  <c r="H324" i="41"/>
  <c r="H336" i="41"/>
  <c r="H347" i="41"/>
  <c r="H357" i="41"/>
  <c r="H219" i="41"/>
  <c r="H368" i="41"/>
  <c r="H417" i="41"/>
  <c r="H528" i="41"/>
  <c r="G123" i="105"/>
  <c r="BA123" i="105"/>
  <c r="BK123" i="105"/>
  <c r="CH123" i="105"/>
  <c r="I320" i="41"/>
  <c r="I332" i="41"/>
  <c r="I343" i="41"/>
  <c r="I353" i="41"/>
  <c r="I216" i="41"/>
  <c r="I365" i="41"/>
  <c r="I321" i="41"/>
  <c r="I333" i="41"/>
  <c r="I344" i="41"/>
  <c r="I354" i="41"/>
  <c r="I217" i="41"/>
  <c r="I366" i="41"/>
  <c r="I322" i="41"/>
  <c r="I334" i="41"/>
  <c r="I345" i="41"/>
  <c r="I355" i="41"/>
  <c r="I218" i="41"/>
  <c r="I367" i="41"/>
  <c r="I324" i="41"/>
  <c r="I336" i="41"/>
  <c r="I347" i="41"/>
  <c r="I357" i="41"/>
  <c r="I219" i="41"/>
  <c r="I368" i="41"/>
  <c r="I417" i="41"/>
  <c r="I528" i="41"/>
  <c r="H123" i="105"/>
  <c r="BB123" i="105"/>
  <c r="BL123" i="105"/>
  <c r="CI123" i="105"/>
  <c r="J320" i="41"/>
  <c r="J332" i="41"/>
  <c r="J343" i="41"/>
  <c r="J353" i="41"/>
  <c r="J216" i="41"/>
  <c r="J365" i="41"/>
  <c r="J321" i="41"/>
  <c r="J333" i="41"/>
  <c r="J344" i="41"/>
  <c r="J354" i="41"/>
  <c r="J217" i="41"/>
  <c r="J366" i="41"/>
  <c r="J322" i="41"/>
  <c r="J334" i="41"/>
  <c r="J345" i="41"/>
  <c r="J355" i="41"/>
  <c r="J218" i="41"/>
  <c r="J367" i="41"/>
  <c r="J324" i="41"/>
  <c r="J336" i="41"/>
  <c r="J347" i="41"/>
  <c r="J357" i="41"/>
  <c r="J219" i="41"/>
  <c r="J368" i="41"/>
  <c r="J417" i="41"/>
  <c r="J528" i="41"/>
  <c r="I123" i="105"/>
  <c r="BC123" i="105"/>
  <c r="BM123" i="105"/>
  <c r="CJ123" i="105"/>
  <c r="K320" i="41"/>
  <c r="K332" i="41"/>
  <c r="K343" i="41"/>
  <c r="K353" i="41"/>
  <c r="K216" i="41"/>
  <c r="K365" i="41"/>
  <c r="K321" i="41"/>
  <c r="K333" i="41"/>
  <c r="K344" i="41"/>
  <c r="K354" i="41"/>
  <c r="K217" i="41"/>
  <c r="K366" i="41"/>
  <c r="K322" i="41"/>
  <c r="K334" i="41"/>
  <c r="K345" i="41"/>
  <c r="K355" i="41"/>
  <c r="K218" i="41"/>
  <c r="K367" i="41"/>
  <c r="K324" i="41"/>
  <c r="K336" i="41"/>
  <c r="K347" i="41"/>
  <c r="K357" i="41"/>
  <c r="K219" i="41"/>
  <c r="K368" i="41"/>
  <c r="K417" i="41"/>
  <c r="K528" i="41"/>
  <c r="J123" i="105"/>
  <c r="BD123" i="105"/>
  <c r="BN123" i="105"/>
  <c r="CK123" i="105"/>
  <c r="L320" i="41"/>
  <c r="L332" i="41"/>
  <c r="L343" i="41"/>
  <c r="L353" i="41"/>
  <c r="L216" i="41"/>
  <c r="L365" i="41"/>
  <c r="L321" i="41"/>
  <c r="L333" i="41"/>
  <c r="L344" i="41"/>
  <c r="L354" i="41"/>
  <c r="L217" i="41"/>
  <c r="L366" i="41"/>
  <c r="L322" i="41"/>
  <c r="L334" i="41"/>
  <c r="L345" i="41"/>
  <c r="L355" i="41"/>
  <c r="L218" i="41"/>
  <c r="L367" i="41"/>
  <c r="L324" i="41"/>
  <c r="L336" i="41"/>
  <c r="L347" i="41"/>
  <c r="L357" i="41"/>
  <c r="L219" i="41"/>
  <c r="L368" i="41"/>
  <c r="L417" i="41"/>
  <c r="L528" i="41"/>
  <c r="K123" i="105"/>
  <c r="BE123" i="105"/>
  <c r="BO123" i="105"/>
  <c r="CL123" i="105"/>
  <c r="M320" i="41"/>
  <c r="M332" i="41"/>
  <c r="M343" i="41"/>
  <c r="M353" i="41"/>
  <c r="M216" i="41"/>
  <c r="M365" i="41"/>
  <c r="M321" i="41"/>
  <c r="M333" i="41"/>
  <c r="M344" i="41"/>
  <c r="M354" i="41"/>
  <c r="M217" i="41"/>
  <c r="M366" i="41"/>
  <c r="M322" i="41"/>
  <c r="M334" i="41"/>
  <c r="M345" i="41"/>
  <c r="M355" i="41"/>
  <c r="M218" i="41"/>
  <c r="M367" i="41"/>
  <c r="M324" i="41"/>
  <c r="M336" i="41"/>
  <c r="M347" i="41"/>
  <c r="M357" i="41"/>
  <c r="M219" i="41"/>
  <c r="M368" i="41"/>
  <c r="M417" i="41"/>
  <c r="M528" i="41"/>
  <c r="L123" i="105"/>
  <c r="BF123" i="105"/>
  <c r="BP123" i="105"/>
  <c r="CM123" i="105"/>
  <c r="N320" i="41"/>
  <c r="N332" i="41"/>
  <c r="N343" i="41"/>
  <c r="N353" i="41"/>
  <c r="N365" i="41"/>
  <c r="N321" i="41"/>
  <c r="N333" i="41"/>
  <c r="N344" i="41"/>
  <c r="N354" i="41"/>
  <c r="N366" i="41"/>
  <c r="N322" i="41"/>
  <c r="N334" i="41"/>
  <c r="N345" i="41"/>
  <c r="N355" i="41"/>
  <c r="N367" i="41"/>
  <c r="N324" i="41"/>
  <c r="N336" i="41"/>
  <c r="N347" i="41"/>
  <c r="N357" i="41"/>
  <c r="N368" i="41"/>
  <c r="N417" i="41"/>
  <c r="N528" i="41"/>
  <c r="M123" i="105"/>
  <c r="BG123" i="105"/>
  <c r="BQ123" i="105"/>
  <c r="CN123" i="105"/>
  <c r="CP123" i="105"/>
  <c r="F39" i="46"/>
  <c r="G39" i="46"/>
  <c r="F78" i="46"/>
  <c r="F152" i="46"/>
  <c r="F207" i="46"/>
  <c r="E124" i="105"/>
  <c r="AV124" i="105"/>
  <c r="AW124" i="105"/>
  <c r="AY124" i="105"/>
  <c r="BI124" i="105"/>
  <c r="CF124" i="105"/>
  <c r="F144" i="46"/>
  <c r="G145" i="46"/>
  <c r="G144" i="46"/>
  <c r="G146" i="46"/>
  <c r="G147" i="46"/>
  <c r="N78" i="46"/>
  <c r="E78" i="46"/>
  <c r="G78" i="46"/>
  <c r="G152" i="46"/>
  <c r="G207" i="46"/>
  <c r="F124" i="105"/>
  <c r="AZ124" i="105"/>
  <c r="BJ124" i="105"/>
  <c r="CG124" i="105"/>
  <c r="H145" i="46"/>
  <c r="H144" i="46"/>
  <c r="H146" i="46"/>
  <c r="H147" i="46"/>
  <c r="H78" i="46"/>
  <c r="H152" i="46"/>
  <c r="H207" i="46"/>
  <c r="G124" i="105"/>
  <c r="BA124" i="105"/>
  <c r="BK124" i="105"/>
  <c r="CH124" i="105"/>
  <c r="I145" i="46"/>
  <c r="I144" i="46"/>
  <c r="I146" i="46"/>
  <c r="I147" i="46"/>
  <c r="I78" i="46"/>
  <c r="I152" i="46"/>
  <c r="I207" i="46"/>
  <c r="H124" i="105"/>
  <c r="BB124" i="105"/>
  <c r="BL124" i="105"/>
  <c r="CI124" i="105"/>
  <c r="J145" i="46"/>
  <c r="J144" i="46"/>
  <c r="J146" i="46"/>
  <c r="J147" i="46"/>
  <c r="J78" i="46"/>
  <c r="J152" i="46"/>
  <c r="J207" i="46"/>
  <c r="I124" i="105"/>
  <c r="BC124" i="105"/>
  <c r="BM124" i="105"/>
  <c r="CJ124" i="105"/>
  <c r="K145" i="46"/>
  <c r="K144" i="46"/>
  <c r="K146" i="46"/>
  <c r="K147" i="46"/>
  <c r="K78" i="46"/>
  <c r="K152" i="46"/>
  <c r="K207" i="46"/>
  <c r="J124" i="105"/>
  <c r="BD124" i="105"/>
  <c r="BN124" i="105"/>
  <c r="CK124" i="105"/>
  <c r="L145" i="46"/>
  <c r="L144" i="46"/>
  <c r="L146" i="46"/>
  <c r="L147" i="46"/>
  <c r="L78" i="46"/>
  <c r="L152" i="46"/>
  <c r="L207" i="46"/>
  <c r="K124" i="105"/>
  <c r="BE124" i="105"/>
  <c r="BO124" i="105"/>
  <c r="CL124" i="105"/>
  <c r="M145" i="46"/>
  <c r="M144" i="46"/>
  <c r="M146" i="46"/>
  <c r="M147" i="46"/>
  <c r="M78" i="46"/>
  <c r="M152" i="46"/>
  <c r="M207" i="46"/>
  <c r="L124" i="105"/>
  <c r="BF124" i="105"/>
  <c r="BP124" i="105"/>
  <c r="CM124" i="105"/>
  <c r="N145" i="46"/>
  <c r="N144" i="46"/>
  <c r="N146" i="46"/>
  <c r="N147" i="46"/>
  <c r="N152" i="46"/>
  <c r="N207" i="46"/>
  <c r="M124" i="105"/>
  <c r="BG124" i="105"/>
  <c r="BQ124" i="105"/>
  <c r="CN124" i="105"/>
  <c r="CP124" i="105"/>
  <c r="E125" i="105"/>
  <c r="AV125" i="105"/>
  <c r="AW125" i="105"/>
  <c r="AY125" i="105"/>
  <c r="BI125" i="105"/>
  <c r="CF125" i="105"/>
  <c r="F125" i="105"/>
  <c r="AZ125" i="105"/>
  <c r="BJ125" i="105"/>
  <c r="CG125" i="105"/>
  <c r="G125" i="105"/>
  <c r="BA125" i="105"/>
  <c r="BK125" i="105"/>
  <c r="CH125" i="105"/>
  <c r="H125" i="105"/>
  <c r="BB125" i="105"/>
  <c r="BL125" i="105"/>
  <c r="CI125" i="105"/>
  <c r="I125" i="105"/>
  <c r="BC125" i="105"/>
  <c r="BM125" i="105"/>
  <c r="CJ125" i="105"/>
  <c r="J125" i="105"/>
  <c r="BD125" i="105"/>
  <c r="BN125" i="105"/>
  <c r="CK125" i="105"/>
  <c r="K125" i="105"/>
  <c r="BE125" i="105"/>
  <c r="BO125" i="105"/>
  <c r="CL125" i="105"/>
  <c r="L125" i="105"/>
  <c r="BF125" i="105"/>
  <c r="BP125" i="105"/>
  <c r="CM125" i="105"/>
  <c r="M125" i="105"/>
  <c r="BG125" i="105"/>
  <c r="BQ125" i="105"/>
  <c r="CN125" i="105"/>
  <c r="CP125" i="105"/>
  <c r="E126" i="105"/>
  <c r="AV126" i="105"/>
  <c r="AW126" i="105"/>
  <c r="AY126" i="105"/>
  <c r="BI126" i="105"/>
  <c r="CF126" i="105"/>
  <c r="F126" i="105"/>
  <c r="AZ126" i="105"/>
  <c r="BJ126" i="105"/>
  <c r="CG126" i="105"/>
  <c r="G126" i="105"/>
  <c r="BA126" i="105"/>
  <c r="BK126" i="105"/>
  <c r="CH126" i="105"/>
  <c r="H126" i="105"/>
  <c r="BB126" i="105"/>
  <c r="BL126" i="105"/>
  <c r="CI126" i="105"/>
  <c r="I126" i="105"/>
  <c r="BC126" i="105"/>
  <c r="BM126" i="105"/>
  <c r="CJ126" i="105"/>
  <c r="J126" i="105"/>
  <c r="BD126" i="105"/>
  <c r="BN126" i="105"/>
  <c r="CK126" i="105"/>
  <c r="K126" i="105"/>
  <c r="BE126" i="105"/>
  <c r="BO126" i="105"/>
  <c r="CL126" i="105"/>
  <c r="L126" i="105"/>
  <c r="BF126" i="105"/>
  <c r="BP126" i="105"/>
  <c r="CM126" i="105"/>
  <c r="M126" i="105"/>
  <c r="BG126" i="105"/>
  <c r="BQ126" i="105"/>
  <c r="CN126" i="105"/>
  <c r="CP126" i="105"/>
  <c r="E127" i="105"/>
  <c r="AV127" i="105"/>
  <c r="AW127" i="105"/>
  <c r="AY127" i="105"/>
  <c r="BI127" i="105"/>
  <c r="CF127" i="105"/>
  <c r="F127" i="105"/>
  <c r="AZ127" i="105"/>
  <c r="BJ127" i="105"/>
  <c r="CG127" i="105"/>
  <c r="G127" i="105"/>
  <c r="BA127" i="105"/>
  <c r="BK127" i="105"/>
  <c r="CH127" i="105"/>
  <c r="H127" i="105"/>
  <c r="BB127" i="105"/>
  <c r="BL127" i="105"/>
  <c r="CI127" i="105"/>
  <c r="I127" i="105"/>
  <c r="BC127" i="105"/>
  <c r="BM127" i="105"/>
  <c r="CJ127" i="105"/>
  <c r="J127" i="105"/>
  <c r="BD127" i="105"/>
  <c r="BN127" i="105"/>
  <c r="CK127" i="105"/>
  <c r="K127" i="105"/>
  <c r="BE127" i="105"/>
  <c r="BO127" i="105"/>
  <c r="CL127" i="105"/>
  <c r="L127" i="105"/>
  <c r="BF127" i="105"/>
  <c r="BP127" i="105"/>
  <c r="CM127" i="105"/>
  <c r="M127" i="105"/>
  <c r="BG127" i="105"/>
  <c r="BQ127" i="105"/>
  <c r="CN127" i="105"/>
  <c r="CP127" i="105"/>
  <c r="F91" i="116"/>
  <c r="F146" i="116"/>
  <c r="E128" i="105"/>
  <c r="AV128" i="105"/>
  <c r="AW128" i="105"/>
  <c r="AY128" i="105"/>
  <c r="BI128" i="105"/>
  <c r="CF128" i="105"/>
  <c r="N187" i="40"/>
  <c r="N385" i="40"/>
  <c r="N188" i="40"/>
  <c r="N343" i="40"/>
  <c r="N386" i="40"/>
  <c r="F295" i="40"/>
  <c r="F524" i="40"/>
  <c r="F533" i="40"/>
  <c r="F554" i="40"/>
  <c r="N295" i="40"/>
  <c r="G295" i="40"/>
  <c r="G524" i="40"/>
  <c r="G533" i="40"/>
  <c r="G554" i="40"/>
  <c r="H295" i="40"/>
  <c r="H524" i="40"/>
  <c r="H533" i="40"/>
  <c r="H554" i="40"/>
  <c r="I295" i="40"/>
  <c r="I524" i="40"/>
  <c r="I533" i="40"/>
  <c r="I554" i="40"/>
  <c r="J295" i="40"/>
  <c r="J524" i="40"/>
  <c r="J533" i="40"/>
  <c r="J554" i="40"/>
  <c r="K295" i="40"/>
  <c r="K524" i="40"/>
  <c r="K533" i="40"/>
  <c r="K554" i="40"/>
  <c r="L295" i="40"/>
  <c r="L524" i="40"/>
  <c r="L533" i="40"/>
  <c r="L554" i="40"/>
  <c r="M295" i="40"/>
  <c r="M524" i="40"/>
  <c r="M533" i="40"/>
  <c r="M554" i="40"/>
  <c r="N524" i="40"/>
  <c r="N533" i="40"/>
  <c r="N554" i="40"/>
  <c r="E129" i="105"/>
  <c r="AV129" i="105"/>
  <c r="AW129" i="105"/>
  <c r="AY129" i="105"/>
  <c r="BI129" i="105"/>
  <c r="CF129" i="105"/>
  <c r="F129" i="105"/>
  <c r="AZ129" i="105"/>
  <c r="BJ129" i="105"/>
  <c r="CG129" i="105"/>
  <c r="G129" i="105"/>
  <c r="BA129" i="105"/>
  <c r="BK129" i="105"/>
  <c r="CH129" i="105"/>
  <c r="H129" i="105"/>
  <c r="BB129" i="105"/>
  <c r="BL129" i="105"/>
  <c r="CI129" i="105"/>
  <c r="I129" i="105"/>
  <c r="BC129" i="105"/>
  <c r="BM129" i="105"/>
  <c r="CJ129" i="105"/>
  <c r="J129" i="105"/>
  <c r="BD129" i="105"/>
  <c r="BN129" i="105"/>
  <c r="CK129" i="105"/>
  <c r="K129" i="105"/>
  <c r="BE129" i="105"/>
  <c r="BO129" i="105"/>
  <c r="CL129" i="105"/>
  <c r="L129" i="105"/>
  <c r="BF129" i="105"/>
  <c r="BP129" i="105"/>
  <c r="CM129" i="105"/>
  <c r="M129" i="105"/>
  <c r="BG129" i="105"/>
  <c r="BQ129" i="105"/>
  <c r="CN129" i="105"/>
  <c r="CP129" i="105"/>
  <c r="E130" i="105"/>
  <c r="AV130" i="105"/>
  <c r="AW130" i="105"/>
  <c r="AY130" i="105"/>
  <c r="BI130" i="105"/>
  <c r="CF130" i="105"/>
  <c r="F130" i="105"/>
  <c r="AZ130" i="105"/>
  <c r="BJ130" i="105"/>
  <c r="CG130" i="105"/>
  <c r="G130" i="105"/>
  <c r="BA130" i="105"/>
  <c r="BK130" i="105"/>
  <c r="CH130" i="105"/>
  <c r="H130" i="105"/>
  <c r="BB130" i="105"/>
  <c r="BL130" i="105"/>
  <c r="CI130" i="105"/>
  <c r="I130" i="105"/>
  <c r="BC130" i="105"/>
  <c r="BM130" i="105"/>
  <c r="CJ130" i="105"/>
  <c r="J130" i="105"/>
  <c r="BD130" i="105"/>
  <c r="BN130" i="105"/>
  <c r="CK130" i="105"/>
  <c r="K130" i="105"/>
  <c r="BE130" i="105"/>
  <c r="BO130" i="105"/>
  <c r="CL130" i="105"/>
  <c r="L130" i="105"/>
  <c r="BF130" i="105"/>
  <c r="BP130" i="105"/>
  <c r="CM130" i="105"/>
  <c r="M130" i="105"/>
  <c r="BG130" i="105"/>
  <c r="BQ130" i="105"/>
  <c r="CN130" i="105"/>
  <c r="CP130" i="105"/>
  <c r="E131" i="105"/>
  <c r="AV131" i="105"/>
  <c r="AW131" i="105"/>
  <c r="AY131" i="105"/>
  <c r="BI131" i="105"/>
  <c r="CF131" i="105"/>
  <c r="F131" i="105"/>
  <c r="AZ131" i="105"/>
  <c r="BJ131" i="105"/>
  <c r="CG131" i="105"/>
  <c r="G131" i="105"/>
  <c r="BA131" i="105"/>
  <c r="BK131" i="105"/>
  <c r="CH131" i="105"/>
  <c r="H131" i="105"/>
  <c r="BB131" i="105"/>
  <c r="BL131" i="105"/>
  <c r="CI131" i="105"/>
  <c r="I131" i="105"/>
  <c r="BC131" i="105"/>
  <c r="BM131" i="105"/>
  <c r="CJ131" i="105"/>
  <c r="J131" i="105"/>
  <c r="BD131" i="105"/>
  <c r="BN131" i="105"/>
  <c r="CK131" i="105"/>
  <c r="K131" i="105"/>
  <c r="BE131" i="105"/>
  <c r="BO131" i="105"/>
  <c r="CL131" i="105"/>
  <c r="L131" i="105"/>
  <c r="BF131" i="105"/>
  <c r="BP131" i="105"/>
  <c r="CM131" i="105"/>
  <c r="M131" i="105"/>
  <c r="BG131" i="105"/>
  <c r="BQ131" i="105"/>
  <c r="CN131" i="105"/>
  <c r="CP131" i="105"/>
  <c r="CP164" i="105"/>
  <c r="N48" i="145"/>
  <c r="F48" i="145"/>
  <c r="E48" i="145"/>
  <c r="G48" i="145"/>
  <c r="G90" i="145"/>
  <c r="G128" i="145"/>
  <c r="F12" i="105"/>
  <c r="AV12" i="105"/>
  <c r="AW12" i="105"/>
  <c r="AZ12" i="105"/>
  <c r="F90" i="145"/>
  <c r="F128" i="145"/>
  <c r="E12" i="105"/>
  <c r="AY12" i="105"/>
  <c r="BJ12" i="105"/>
  <c r="CG12" i="105"/>
  <c r="F138" i="140"/>
  <c r="F85" i="140"/>
  <c r="F157" i="140"/>
  <c r="F214" i="140"/>
  <c r="O3" i="105"/>
  <c r="Y3" i="105"/>
  <c r="F77" i="140"/>
  <c r="F156" i="140"/>
  <c r="F213" i="140"/>
  <c r="E3" i="105"/>
  <c r="AV3" i="105"/>
  <c r="AW3" i="105"/>
  <c r="AY3" i="105"/>
  <c r="BI3" i="105"/>
  <c r="BS3" i="105"/>
  <c r="F135" i="157"/>
  <c r="F83" i="157"/>
  <c r="F154" i="157"/>
  <c r="F215" i="157"/>
  <c r="O4" i="105"/>
  <c r="Y4" i="105"/>
  <c r="F75" i="157"/>
  <c r="F153" i="157"/>
  <c r="F214" i="157"/>
  <c r="E4" i="105"/>
  <c r="AV4" i="105"/>
  <c r="AW4" i="105"/>
  <c r="AY4" i="105"/>
  <c r="BI4" i="105"/>
  <c r="BS4" i="105"/>
  <c r="F82" i="139"/>
  <c r="F149" i="139"/>
  <c r="F207" i="139"/>
  <c r="O5" i="105"/>
  <c r="Y5" i="105"/>
  <c r="F74" i="139"/>
  <c r="F148" i="139"/>
  <c r="F206" i="139"/>
  <c r="E5" i="105"/>
  <c r="AV5" i="105"/>
  <c r="AW5" i="105"/>
  <c r="AY5" i="105"/>
  <c r="BI5" i="105"/>
  <c r="BS5" i="105"/>
  <c r="F113" i="141"/>
  <c r="F104" i="141"/>
  <c r="F105" i="141"/>
  <c r="F106" i="141"/>
  <c r="F107" i="141"/>
  <c r="F141" i="141"/>
  <c r="E14" i="6"/>
  <c r="F14" i="6"/>
  <c r="F85" i="141"/>
  <c r="F131" i="141"/>
  <c r="F169" i="141"/>
  <c r="O6" i="105"/>
  <c r="F78" i="141"/>
  <c r="F132" i="141"/>
  <c r="F170" i="141"/>
  <c r="Y6" i="105"/>
  <c r="F168" i="141"/>
  <c r="E6" i="105"/>
  <c r="AV6" i="105"/>
  <c r="AW6" i="105"/>
  <c r="AY6" i="105"/>
  <c r="BI6" i="105"/>
  <c r="BS6" i="105"/>
  <c r="F91" i="142"/>
  <c r="F73" i="142"/>
  <c r="F107" i="142"/>
  <c r="F136" i="142"/>
  <c r="O7" i="105"/>
  <c r="Y7" i="105"/>
  <c r="F66" i="142"/>
  <c r="F106" i="142"/>
  <c r="F135" i="142"/>
  <c r="E7" i="105"/>
  <c r="AV7" i="105"/>
  <c r="AW7" i="105"/>
  <c r="AY7" i="105"/>
  <c r="BI7" i="105"/>
  <c r="BS7" i="105"/>
  <c r="F63" i="143"/>
  <c r="F91" i="143"/>
  <c r="F133" i="143"/>
  <c r="O8" i="105"/>
  <c r="Y8" i="105"/>
  <c r="F56" i="143"/>
  <c r="F90" i="143"/>
  <c r="F132" i="143"/>
  <c r="E8" i="105"/>
  <c r="AV8" i="105"/>
  <c r="AW8" i="105"/>
  <c r="AY8" i="105"/>
  <c r="BI8" i="105"/>
  <c r="BS8" i="105"/>
  <c r="F63" i="144"/>
  <c r="F91" i="144"/>
  <c r="F133" i="144"/>
  <c r="O9" i="105"/>
  <c r="Y9" i="105"/>
  <c r="F56" i="144"/>
  <c r="F90" i="144"/>
  <c r="F132" i="144"/>
  <c r="E9" i="105"/>
  <c r="AV9" i="105"/>
  <c r="AW9" i="105"/>
  <c r="AY9" i="105"/>
  <c r="BI9" i="105"/>
  <c r="BS9" i="105"/>
  <c r="F55" i="147"/>
  <c r="F89" i="147"/>
  <c r="F127" i="147"/>
  <c r="O10" i="105"/>
  <c r="Y10" i="105"/>
  <c r="F48" i="147"/>
  <c r="F88" i="147"/>
  <c r="F126" i="147"/>
  <c r="E10" i="105"/>
  <c r="AV10" i="105"/>
  <c r="AW10" i="105"/>
  <c r="AY10" i="105"/>
  <c r="BI10" i="105"/>
  <c r="BS10" i="105"/>
  <c r="F57" i="146"/>
  <c r="F91" i="146"/>
  <c r="F129" i="146"/>
  <c r="O11" i="105"/>
  <c r="Y11" i="105"/>
  <c r="F50" i="146"/>
  <c r="F90" i="146"/>
  <c r="F128" i="146"/>
  <c r="E11" i="105"/>
  <c r="AV11" i="105"/>
  <c r="AW11" i="105"/>
  <c r="AY11" i="105"/>
  <c r="BI11" i="105"/>
  <c r="BS11" i="105"/>
  <c r="F55" i="145"/>
  <c r="F91" i="145"/>
  <c r="F129" i="145"/>
  <c r="O12" i="105"/>
  <c r="Y12" i="105"/>
  <c r="BI12" i="105"/>
  <c r="BS12" i="105"/>
  <c r="O14" i="105"/>
  <c r="T11" i="70"/>
  <c r="T12" i="70"/>
  <c r="T9" i="70"/>
  <c r="T10" i="70"/>
  <c r="T13" i="70"/>
  <c r="T15" i="70"/>
  <c r="T16" i="70"/>
  <c r="T17" i="70"/>
  <c r="F443" i="39"/>
  <c r="T19" i="70"/>
  <c r="T20" i="70"/>
  <c r="T22" i="70"/>
  <c r="T23" i="70"/>
  <c r="T24" i="70"/>
  <c r="T28" i="70"/>
  <c r="T34" i="70"/>
  <c r="T38" i="70"/>
  <c r="F151" i="48"/>
  <c r="F214" i="48"/>
  <c r="T39" i="70"/>
  <c r="T40" i="70"/>
  <c r="T42" i="70"/>
  <c r="T43" i="70"/>
  <c r="T44" i="70"/>
  <c r="T45" i="70"/>
  <c r="T46" i="70"/>
  <c r="T47" i="70"/>
  <c r="T49" i="70"/>
  <c r="T50" i="70"/>
  <c r="T53" i="70"/>
  <c r="T54" i="70"/>
  <c r="F167" i="157"/>
  <c r="T57" i="70"/>
  <c r="T61" i="70"/>
  <c r="T63" i="70"/>
  <c r="F159" i="139"/>
  <c r="T59" i="70"/>
  <c r="T64" i="70"/>
  <c r="T71" i="70"/>
  <c r="T73" i="70"/>
  <c r="T74" i="70"/>
  <c r="F244" i="110"/>
  <c r="F245" i="110"/>
  <c r="F246" i="110"/>
  <c r="F262" i="110"/>
  <c r="F263" i="110"/>
  <c r="F264" i="110"/>
  <c r="F280" i="110"/>
  <c r="F281" i="110"/>
  <c r="F282" i="110"/>
  <c r="F297" i="110"/>
  <c r="F298" i="110"/>
  <c r="F299" i="110"/>
  <c r="F315" i="110"/>
  <c r="F316" i="110"/>
  <c r="F317" i="110"/>
  <c r="F334" i="110"/>
  <c r="F414" i="110"/>
  <c r="T77" i="70"/>
  <c r="U11" i="70"/>
  <c r="U12" i="70"/>
  <c r="U9" i="70"/>
  <c r="U10" i="70"/>
  <c r="U13" i="70"/>
  <c r="F196" i="49"/>
  <c r="U15" i="70"/>
  <c r="F158" i="62"/>
  <c r="U16" i="70"/>
  <c r="U17" i="70"/>
  <c r="F444" i="39"/>
  <c r="U19" i="70"/>
  <c r="U20" i="70"/>
  <c r="F167" i="40"/>
  <c r="F365" i="40"/>
  <c r="F169" i="40"/>
  <c r="F367" i="40"/>
  <c r="F171" i="40"/>
  <c r="F344" i="40"/>
  <c r="F369" i="40"/>
  <c r="F771" i="40" a="1"/>
  <c r="F772" i="40" a="1"/>
  <c r="F771" i="40"/>
  <c r="F772" i="40"/>
  <c r="F441" i="41"/>
  <c r="U23" i="70"/>
  <c r="U34" i="70"/>
  <c r="F171" i="46"/>
  <c r="U38" i="70"/>
  <c r="U39" i="70"/>
  <c r="U40" i="70"/>
  <c r="U42" i="70"/>
  <c r="U43" i="70"/>
  <c r="U44" i="70"/>
  <c r="U45" i="70"/>
  <c r="U46" i="70"/>
  <c r="U47" i="70"/>
  <c r="U49" i="70"/>
  <c r="U50" i="70"/>
  <c r="U53" i="70"/>
  <c r="U54" i="70"/>
  <c r="U57" i="70"/>
  <c r="U61" i="70"/>
  <c r="F179" i="40"/>
  <c r="F377" i="40"/>
  <c r="F180" i="40"/>
  <c r="F378" i="40"/>
  <c r="F181" i="40"/>
  <c r="F379" i="40"/>
  <c r="F182" i="40"/>
  <c r="F380" i="40"/>
  <c r="U59" i="70"/>
  <c r="U71" i="70"/>
  <c r="U73" i="70"/>
  <c r="U74" i="70"/>
  <c r="F248" i="110"/>
  <c r="F249" i="110"/>
  <c r="F250" i="110"/>
  <c r="F266" i="110"/>
  <c r="F267" i="110"/>
  <c r="F268" i="110"/>
  <c r="F285" i="110"/>
  <c r="F286" i="110"/>
  <c r="F301" i="110"/>
  <c r="F302" i="110"/>
  <c r="F303" i="110"/>
  <c r="F319" i="110"/>
  <c r="F335" i="110"/>
  <c r="F415" i="110"/>
  <c r="U77" i="70"/>
  <c r="F61" i="111"/>
  <c r="E14" i="105"/>
  <c r="AV14" i="105"/>
  <c r="AW14" i="105"/>
  <c r="AY14" i="105"/>
  <c r="BI14" i="105"/>
  <c r="O15" i="105"/>
  <c r="G276" i="112"/>
  <c r="F487" i="112"/>
  <c r="G277" i="112"/>
  <c r="F488" i="112"/>
  <c r="G278" i="112"/>
  <c r="F489" i="112"/>
  <c r="G279" i="112"/>
  <c r="F490" i="112"/>
  <c r="D105" i="6"/>
  <c r="G280" i="112"/>
  <c r="F491" i="112"/>
  <c r="F492" i="112"/>
  <c r="F601" i="112"/>
  <c r="Y15" i="105"/>
  <c r="E15" i="105"/>
  <c r="AV15" i="105"/>
  <c r="AW15" i="105"/>
  <c r="AY15" i="105"/>
  <c r="BI15" i="105"/>
  <c r="BS15" i="105"/>
  <c r="F497" i="112"/>
  <c r="G256" i="112"/>
  <c r="F498" i="112"/>
  <c r="F527" i="112"/>
  <c r="G254" i="112"/>
  <c r="F528" i="112"/>
  <c r="F499" i="112"/>
  <c r="G257" i="112"/>
  <c r="F500" i="112"/>
  <c r="F594" i="112"/>
  <c r="O16" i="105"/>
  <c r="Y16" i="105"/>
  <c r="E16" i="105"/>
  <c r="AV16" i="105"/>
  <c r="AW16" i="105"/>
  <c r="AY16" i="105"/>
  <c r="BI16" i="105"/>
  <c r="BS16" i="105"/>
  <c r="Y17" i="105"/>
  <c r="G256" i="113"/>
  <c r="F472" i="113"/>
  <c r="F568" i="113"/>
  <c r="E17" i="105"/>
  <c r="AV17" i="105"/>
  <c r="AW17" i="105"/>
  <c r="AY17" i="105"/>
  <c r="BI17" i="105"/>
  <c r="G292" i="113"/>
  <c r="F511" i="113"/>
  <c r="G296" i="113"/>
  <c r="F513" i="113"/>
  <c r="Y18" i="105"/>
  <c r="G260" i="113"/>
  <c r="F474" i="113"/>
  <c r="AV18" i="105"/>
  <c r="AW18" i="105"/>
  <c r="O19" i="105"/>
  <c r="Y19" i="105"/>
  <c r="E19" i="105"/>
  <c r="AV19" i="105"/>
  <c r="AW19" i="105"/>
  <c r="AY19" i="105"/>
  <c r="BI19" i="105"/>
  <c r="BS19" i="105"/>
  <c r="O20" i="105"/>
  <c r="Y20" i="105"/>
  <c r="E20" i="105"/>
  <c r="AV20" i="105"/>
  <c r="AW20" i="105"/>
  <c r="AY20" i="105"/>
  <c r="BI20" i="105"/>
  <c r="BS20" i="105"/>
  <c r="O22" i="105"/>
  <c r="Y22" i="105"/>
  <c r="E22" i="105"/>
  <c r="AV22" i="105"/>
  <c r="AW22" i="105"/>
  <c r="AY22" i="105"/>
  <c r="BI22" i="105"/>
  <c r="BS22" i="105"/>
  <c r="O23" i="105"/>
  <c r="Y23" i="105"/>
  <c r="F101" i="138"/>
  <c r="F139" i="138"/>
  <c r="E23" i="105"/>
  <c r="AV23" i="105"/>
  <c r="AW23" i="105"/>
  <c r="AY23" i="105"/>
  <c r="BI23" i="105"/>
  <c r="BS23" i="105"/>
  <c r="O24" i="105"/>
  <c r="Y24" i="105"/>
  <c r="F78" i="49"/>
  <c r="F85" i="49"/>
  <c r="F184" i="49"/>
  <c r="F238" i="49"/>
  <c r="E24" i="105"/>
  <c r="AV24" i="105"/>
  <c r="AW24" i="105"/>
  <c r="AY24" i="105"/>
  <c r="BI24" i="105"/>
  <c r="BS24" i="105"/>
  <c r="O25" i="105"/>
  <c r="Y25" i="105"/>
  <c r="F146" i="62"/>
  <c r="F206" i="62"/>
  <c r="E25" i="105"/>
  <c r="AV25" i="105"/>
  <c r="AW25" i="105"/>
  <c r="AY25" i="105"/>
  <c r="BI25" i="105"/>
  <c r="BS25" i="105"/>
  <c r="Y26" i="105"/>
  <c r="AV26" i="105"/>
  <c r="AW26" i="105"/>
  <c r="F480" i="40"/>
  <c r="F741" i="40"/>
  <c r="F484" i="40"/>
  <c r="F745" i="40"/>
  <c r="F923" i="40"/>
  <c r="O27" i="105"/>
  <c r="Y27" i="105"/>
  <c r="F922" i="40"/>
  <c r="E27" i="105"/>
  <c r="AV27" i="105"/>
  <c r="AW27" i="105"/>
  <c r="AY27" i="105"/>
  <c r="BI27" i="105"/>
  <c r="BS27" i="105"/>
  <c r="F481" i="40"/>
  <c r="F742" i="40"/>
  <c r="F485" i="40"/>
  <c r="F746" i="40"/>
  <c r="F933" i="40"/>
  <c r="O28" i="105"/>
  <c r="Y28" i="105"/>
  <c r="F932" i="40"/>
  <c r="E28" i="105"/>
  <c r="AV28" i="105"/>
  <c r="AW28" i="105"/>
  <c r="AY28" i="105"/>
  <c r="BI28" i="105"/>
  <c r="BS28" i="105"/>
  <c r="F482" i="40"/>
  <c r="F743" i="40"/>
  <c r="F486" i="40"/>
  <c r="F747" i="40"/>
  <c r="F943" i="40"/>
  <c r="O29" i="105"/>
  <c r="Y29" i="105"/>
  <c r="F942" i="40"/>
  <c r="E29" i="105"/>
  <c r="AV29" i="105"/>
  <c r="AW29" i="105"/>
  <c r="AY29" i="105"/>
  <c r="BI29" i="105"/>
  <c r="BS29" i="105"/>
  <c r="BS30" i="105"/>
  <c r="F479" i="40"/>
  <c r="F740" i="40"/>
  <c r="F963" i="40"/>
  <c r="O31" i="105"/>
  <c r="Y31" i="105"/>
  <c r="F962" i="40"/>
  <c r="E31" i="105"/>
  <c r="AV31" i="105"/>
  <c r="AW31" i="105"/>
  <c r="AY31" i="105"/>
  <c r="BI31" i="105"/>
  <c r="BS31" i="105"/>
  <c r="F749" i="40"/>
  <c r="F750" i="40"/>
  <c r="F973" i="40"/>
  <c r="O32" i="105"/>
  <c r="Y32" i="105"/>
  <c r="F972" i="40"/>
  <c r="E32" i="105"/>
  <c r="AV32" i="105"/>
  <c r="AW32" i="105"/>
  <c r="AY32" i="105"/>
  <c r="BI32" i="105"/>
  <c r="BS32" i="105"/>
  <c r="F753" i="40"/>
  <c r="F983" i="40"/>
  <c r="O33" i="105"/>
  <c r="Y33" i="105"/>
  <c r="F982" i="40"/>
  <c r="E33" i="105"/>
  <c r="AV33" i="105"/>
  <c r="AW33" i="105"/>
  <c r="AY33" i="105"/>
  <c r="BI33" i="105"/>
  <c r="BS33" i="105"/>
  <c r="F252" i="41"/>
  <c r="F411" i="41"/>
  <c r="F253" i="41"/>
  <c r="F412" i="41"/>
  <c r="F254" i="41"/>
  <c r="F413" i="41"/>
  <c r="F323" i="41"/>
  <c r="F335" i="41"/>
  <c r="F255" i="41"/>
  <c r="F414" i="41"/>
  <c r="F428" i="41"/>
  <c r="F533" i="41"/>
  <c r="O34" i="105"/>
  <c r="Y34" i="105"/>
  <c r="F230" i="41"/>
  <c r="F384" i="41"/>
  <c r="F231" i="41"/>
  <c r="F385" i="41"/>
  <c r="F232" i="41"/>
  <c r="F386" i="41"/>
  <c r="F233" i="41"/>
  <c r="F387" i="41"/>
  <c r="F427" i="41"/>
  <c r="F532" i="41"/>
  <c r="E34" i="105"/>
  <c r="AV34" i="105"/>
  <c r="AW34" i="105"/>
  <c r="AY34" i="105"/>
  <c r="BI34" i="105"/>
  <c r="BS34" i="105"/>
  <c r="F87" i="46"/>
  <c r="F163" i="46"/>
  <c r="F212" i="46"/>
  <c r="O35" i="105"/>
  <c r="Y35" i="105"/>
  <c r="F80" i="46"/>
  <c r="F162" i="46"/>
  <c r="F211" i="46"/>
  <c r="E35" i="105"/>
  <c r="AV35" i="105"/>
  <c r="AW35" i="105"/>
  <c r="AY35" i="105"/>
  <c r="BI35" i="105"/>
  <c r="BS35" i="105"/>
  <c r="O36" i="105"/>
  <c r="F77" i="6"/>
  <c r="E77" i="6"/>
  <c r="F119" i="48"/>
  <c r="F201" i="48"/>
  <c r="F255" i="48"/>
  <c r="Y36" i="105"/>
  <c r="E36" i="105"/>
  <c r="AV36" i="105"/>
  <c r="AW36" i="105"/>
  <c r="AY36" i="105"/>
  <c r="BI36" i="105"/>
  <c r="BS36" i="105"/>
  <c r="O37" i="105"/>
  <c r="E15" i="6"/>
  <c r="F15" i="6"/>
  <c r="F128" i="48"/>
  <c r="F202" i="48"/>
  <c r="F262" i="48"/>
  <c r="Y37" i="105"/>
  <c r="E37" i="105"/>
  <c r="AV37" i="105"/>
  <c r="AW37" i="105"/>
  <c r="AY37" i="105"/>
  <c r="BI37" i="105"/>
  <c r="BS37" i="105"/>
  <c r="O38" i="105"/>
  <c r="E10" i="48"/>
  <c r="E24" i="6"/>
  <c r="F24" i="6"/>
  <c r="F37" i="48"/>
  <c r="F39" i="48"/>
  <c r="F40" i="48"/>
  <c r="F51" i="48"/>
  <c r="F156" i="48"/>
  <c r="E79" i="6"/>
  <c r="E20" i="6"/>
  <c r="F20" i="6"/>
  <c r="F137" i="48"/>
  <c r="F203" i="48"/>
  <c r="F269" i="48"/>
  <c r="Y38" i="105"/>
  <c r="E38" i="105"/>
  <c r="AV38" i="105"/>
  <c r="AW38" i="105"/>
  <c r="AY38" i="105"/>
  <c r="BI38" i="105"/>
  <c r="BS38" i="105"/>
  <c r="Y39" i="105"/>
  <c r="F103" i="116"/>
  <c r="F148" i="116"/>
  <c r="E39" i="105"/>
  <c r="AV39" i="105"/>
  <c r="AW39" i="105"/>
  <c r="AY39" i="105"/>
  <c r="BI39" i="105"/>
  <c r="O40" i="105"/>
  <c r="AP11" i="70"/>
  <c r="AP12" i="70"/>
  <c r="AP9" i="70"/>
  <c r="AP10" i="70"/>
  <c r="AP13" i="70"/>
  <c r="AP15" i="70"/>
  <c r="AP16" i="70"/>
  <c r="AP17" i="70"/>
  <c r="AP19" i="70"/>
  <c r="AP20" i="70"/>
  <c r="AP22" i="70"/>
  <c r="AP23" i="70"/>
  <c r="AP24" i="70"/>
  <c r="AP28" i="70"/>
  <c r="AP34" i="70"/>
  <c r="AP35" i="70"/>
  <c r="AP36" i="70"/>
  <c r="AP38" i="70"/>
  <c r="AP39" i="70"/>
  <c r="AP40" i="70"/>
  <c r="AP42" i="70"/>
  <c r="AP43" i="70"/>
  <c r="AP44" i="70"/>
  <c r="AP45" i="70"/>
  <c r="AP46" i="70"/>
  <c r="AP47" i="70"/>
  <c r="AP49" i="70"/>
  <c r="AP50" i="70"/>
  <c r="AP53" i="70"/>
  <c r="AP54" i="70"/>
  <c r="AP57" i="70"/>
  <c r="AP61" i="70"/>
  <c r="AP63" i="70"/>
  <c r="AP59" i="70"/>
  <c r="AP64" i="70"/>
  <c r="AP66" i="70"/>
  <c r="AP71" i="70"/>
  <c r="AP73" i="70"/>
  <c r="AP74" i="70"/>
  <c r="AP77" i="70"/>
  <c r="AP79" i="70"/>
  <c r="AP80" i="70"/>
  <c r="AP83" i="70"/>
  <c r="X11" i="70"/>
  <c r="X12" i="70"/>
  <c r="X9" i="70"/>
  <c r="X10" i="70"/>
  <c r="X13" i="70"/>
  <c r="X15" i="70"/>
  <c r="X16" i="70"/>
  <c r="X17" i="70"/>
  <c r="X19" i="70"/>
  <c r="X20" i="70"/>
  <c r="X22" i="70"/>
  <c r="X23" i="70"/>
  <c r="X24" i="70"/>
  <c r="X28" i="70"/>
  <c r="F348" i="113"/>
  <c r="F354" i="113"/>
  <c r="F360" i="113"/>
  <c r="F366" i="113"/>
  <c r="F370" i="113"/>
  <c r="F529" i="113"/>
  <c r="X34" i="70"/>
  <c r="X35" i="70"/>
  <c r="X36" i="70"/>
  <c r="X38" i="70"/>
  <c r="F216" i="48"/>
  <c r="X39" i="70"/>
  <c r="X40" i="70"/>
  <c r="X42" i="70"/>
  <c r="X43" i="70"/>
  <c r="X44" i="70"/>
  <c r="X45" i="70"/>
  <c r="X46" i="70"/>
  <c r="X47" i="70"/>
  <c r="X49" i="70"/>
  <c r="X50" i="70"/>
  <c r="X53" i="70"/>
  <c r="X54" i="70"/>
  <c r="X57" i="70"/>
  <c r="X61" i="70"/>
  <c r="X63" i="70"/>
  <c r="X59" i="70"/>
  <c r="X64" i="70"/>
  <c r="X66" i="70"/>
  <c r="X71" i="70"/>
  <c r="X73" i="70"/>
  <c r="X74" i="70"/>
  <c r="X77" i="70"/>
  <c r="X79" i="70"/>
  <c r="X80" i="70"/>
  <c r="E40" i="105"/>
  <c r="AV40" i="105"/>
  <c r="AW40" i="105"/>
  <c r="AY40" i="105"/>
  <c r="BI40" i="105"/>
  <c r="O41" i="105"/>
  <c r="AQ11" i="70"/>
  <c r="AQ12" i="70"/>
  <c r="AQ9" i="70"/>
  <c r="AQ10" i="70"/>
  <c r="AQ13" i="70"/>
  <c r="AQ15" i="70"/>
  <c r="AQ16" i="70"/>
  <c r="AQ17" i="70"/>
  <c r="AQ19" i="70"/>
  <c r="AQ20" i="70"/>
  <c r="AQ22" i="70"/>
  <c r="AQ23" i="70"/>
  <c r="AQ24" i="70"/>
  <c r="AQ28" i="70"/>
  <c r="AQ34" i="70"/>
  <c r="AQ35" i="70"/>
  <c r="AQ36" i="70"/>
  <c r="AQ38" i="70"/>
  <c r="AQ39" i="70"/>
  <c r="AQ40" i="70"/>
  <c r="AQ42" i="70"/>
  <c r="AQ43" i="70"/>
  <c r="AQ44" i="70"/>
  <c r="AQ45" i="70"/>
  <c r="AQ46" i="70"/>
  <c r="AQ47" i="70"/>
  <c r="AQ49" i="70"/>
  <c r="AQ50" i="70"/>
  <c r="AQ53" i="70"/>
  <c r="AQ54" i="70"/>
  <c r="AQ57" i="70"/>
  <c r="AQ61" i="70"/>
  <c r="AQ63" i="70"/>
  <c r="AQ59" i="70"/>
  <c r="AQ64" i="70"/>
  <c r="AQ66" i="70"/>
  <c r="AQ71" i="70"/>
  <c r="AQ73" i="70"/>
  <c r="AQ74" i="70"/>
  <c r="AQ77" i="70"/>
  <c r="AQ79" i="70"/>
  <c r="AQ80" i="70"/>
  <c r="AQ83" i="70"/>
  <c r="Y11" i="70"/>
  <c r="Y12" i="70"/>
  <c r="Y9" i="70"/>
  <c r="Y10" i="70"/>
  <c r="Y13" i="70"/>
  <c r="Y15" i="70"/>
  <c r="Y16" i="70"/>
  <c r="Y17" i="70"/>
  <c r="Y19" i="70"/>
  <c r="Y20" i="70"/>
  <c r="Y22" i="70"/>
  <c r="Y23" i="70"/>
  <c r="Y24" i="70"/>
  <c r="Y28" i="70"/>
  <c r="Y34" i="70"/>
  <c r="Y35" i="70"/>
  <c r="Y36" i="70"/>
  <c r="F173" i="46"/>
  <c r="Y38" i="70"/>
  <c r="F217" i="48"/>
  <c r="Y39" i="70"/>
  <c r="Y40" i="70"/>
  <c r="Y42" i="70"/>
  <c r="Y43" i="70"/>
  <c r="Y44" i="70"/>
  <c r="Y45" i="70"/>
  <c r="Y46" i="70"/>
  <c r="Y47" i="70"/>
  <c r="Y49" i="70"/>
  <c r="Y50" i="70"/>
  <c r="Y53" i="70"/>
  <c r="Y54" i="70"/>
  <c r="Y57" i="70"/>
  <c r="Y61" i="70"/>
  <c r="Y63" i="70"/>
  <c r="Y59" i="70"/>
  <c r="Y64" i="70"/>
  <c r="Y66" i="70"/>
  <c r="Y71" i="70"/>
  <c r="Y73" i="70"/>
  <c r="Y74" i="70"/>
  <c r="Y77" i="70"/>
  <c r="Y79" i="70"/>
  <c r="Y80" i="70"/>
  <c r="E41" i="105"/>
  <c r="AV41" i="105"/>
  <c r="AW41" i="105"/>
  <c r="AY41" i="105"/>
  <c r="BI41" i="105"/>
  <c r="O42" i="105"/>
  <c r="AR11" i="70"/>
  <c r="AR12" i="70"/>
  <c r="AR9" i="70"/>
  <c r="AR10" i="70"/>
  <c r="AR13" i="70"/>
  <c r="AR15" i="70"/>
  <c r="AR16" i="70"/>
  <c r="AR17" i="70"/>
  <c r="AR19" i="70"/>
  <c r="AR20" i="70"/>
  <c r="AR22" i="70"/>
  <c r="AR23" i="70"/>
  <c r="AR24" i="70"/>
  <c r="AR28" i="70"/>
  <c r="AR34" i="70"/>
  <c r="AR35" i="70"/>
  <c r="AR36" i="70"/>
  <c r="AR38" i="70"/>
  <c r="AR39" i="70"/>
  <c r="AR40" i="70"/>
  <c r="AR42" i="70"/>
  <c r="AR43" i="70"/>
  <c r="AR44" i="70"/>
  <c r="AR45" i="70"/>
  <c r="AR46" i="70"/>
  <c r="AR47" i="70"/>
  <c r="AR49" i="70"/>
  <c r="AR50" i="70"/>
  <c r="AR53" i="70"/>
  <c r="AR54" i="70"/>
  <c r="AR57" i="70"/>
  <c r="AR61" i="70"/>
  <c r="AR63" i="70"/>
  <c r="AR59" i="70"/>
  <c r="AR64" i="70"/>
  <c r="AR66" i="70"/>
  <c r="AR71" i="70"/>
  <c r="AR73" i="70"/>
  <c r="AR74" i="70"/>
  <c r="AR77" i="70"/>
  <c r="AR79" i="70"/>
  <c r="AR80" i="70"/>
  <c r="AR83" i="70"/>
  <c r="Z11" i="70"/>
  <c r="Z12" i="70"/>
  <c r="Z9" i="70"/>
  <c r="Z10" i="70"/>
  <c r="Z13" i="70"/>
  <c r="Z15" i="70"/>
  <c r="Z16" i="70"/>
  <c r="Z17" i="70"/>
  <c r="Z19" i="70"/>
  <c r="Z20" i="70"/>
  <c r="Z22" i="70"/>
  <c r="Z23" i="70"/>
  <c r="Z24" i="70"/>
  <c r="Z28" i="70"/>
  <c r="Z34" i="70"/>
  <c r="Z35" i="70"/>
  <c r="Z36" i="70"/>
  <c r="Z38" i="70"/>
  <c r="F218" i="48"/>
  <c r="Z39" i="70"/>
  <c r="Z40" i="70"/>
  <c r="Z42" i="70"/>
  <c r="Z43" i="70"/>
  <c r="Z44" i="70"/>
  <c r="Z45" i="70"/>
  <c r="Z46" i="70"/>
  <c r="Z47" i="70"/>
  <c r="Z49" i="70"/>
  <c r="Z50" i="70"/>
  <c r="Z53" i="70"/>
  <c r="Z54" i="70"/>
  <c r="Z57" i="70"/>
  <c r="Z61" i="70"/>
  <c r="Z63" i="70"/>
  <c r="Z59" i="70"/>
  <c r="Z64" i="70"/>
  <c r="Z66" i="70"/>
  <c r="Z71" i="70"/>
  <c r="Z73" i="70"/>
  <c r="Z74" i="70"/>
  <c r="Z77" i="70"/>
  <c r="Z79" i="70"/>
  <c r="Z80" i="70"/>
  <c r="E42" i="105"/>
  <c r="AV42" i="105"/>
  <c r="AW42" i="105"/>
  <c r="AY42" i="105"/>
  <c r="BI42" i="105"/>
  <c r="N138" i="140"/>
  <c r="N85" i="140"/>
  <c r="N157" i="140"/>
  <c r="N214" i="140"/>
  <c r="W3" i="105"/>
  <c r="AG3" i="105"/>
  <c r="N77" i="140"/>
  <c r="N156" i="140"/>
  <c r="N213" i="140"/>
  <c r="M3" i="105"/>
  <c r="BG3" i="105"/>
  <c r="E77" i="140"/>
  <c r="G77" i="140"/>
  <c r="H77" i="140"/>
  <c r="I77" i="140"/>
  <c r="J77" i="140"/>
  <c r="K77" i="140"/>
  <c r="K156" i="140"/>
  <c r="K213" i="140"/>
  <c r="J3" i="105"/>
  <c r="BD3" i="105"/>
  <c r="L77" i="140"/>
  <c r="L156" i="140"/>
  <c r="L213" i="140"/>
  <c r="K3" i="105"/>
  <c r="BE3" i="105"/>
  <c r="M77" i="140"/>
  <c r="M156" i="140"/>
  <c r="M213" i="140"/>
  <c r="L3" i="105"/>
  <c r="BF3" i="105"/>
  <c r="BQ3" i="105"/>
  <c r="CA3" i="105"/>
  <c r="N135" i="157"/>
  <c r="N83" i="157"/>
  <c r="N154" i="157"/>
  <c r="N215" i="157"/>
  <c r="W4" i="105"/>
  <c r="AG4" i="105"/>
  <c r="N75" i="157"/>
  <c r="N153" i="157"/>
  <c r="N214" i="157"/>
  <c r="M4" i="105"/>
  <c r="BG4" i="105"/>
  <c r="E75" i="157"/>
  <c r="G75" i="157"/>
  <c r="H75" i="157"/>
  <c r="I75" i="157"/>
  <c r="I153" i="157"/>
  <c r="I214" i="157"/>
  <c r="H4" i="105"/>
  <c r="BB4" i="105"/>
  <c r="J75" i="157"/>
  <c r="J153" i="157"/>
  <c r="J214" i="157"/>
  <c r="I4" i="105"/>
  <c r="BC4" i="105"/>
  <c r="K75" i="157"/>
  <c r="K153" i="157"/>
  <c r="K214" i="157"/>
  <c r="J4" i="105"/>
  <c r="BD4" i="105"/>
  <c r="L75" i="157"/>
  <c r="L153" i="157"/>
  <c r="L214" i="157"/>
  <c r="K4" i="105"/>
  <c r="BE4" i="105"/>
  <c r="M75" i="157"/>
  <c r="M153" i="157"/>
  <c r="M214" i="157"/>
  <c r="L4" i="105"/>
  <c r="BF4" i="105"/>
  <c r="BQ4" i="105"/>
  <c r="CA4" i="105"/>
  <c r="N130" i="139"/>
  <c r="N82" i="139"/>
  <c r="N149" i="139"/>
  <c r="N207" i="139"/>
  <c r="W5" i="105"/>
  <c r="AG5" i="105"/>
  <c r="N74" i="139"/>
  <c r="N148" i="139"/>
  <c r="N206" i="139"/>
  <c r="M5" i="105"/>
  <c r="BG5" i="105"/>
  <c r="BQ5" i="105"/>
  <c r="CA5" i="105"/>
  <c r="N113" i="141"/>
  <c r="N104" i="141"/>
  <c r="N105" i="141"/>
  <c r="N106" i="141"/>
  <c r="N107" i="141"/>
  <c r="N141" i="141"/>
  <c r="N85" i="141"/>
  <c r="N131" i="141"/>
  <c r="N169" i="141"/>
  <c r="W6" i="105"/>
  <c r="N78" i="141"/>
  <c r="N132" i="141"/>
  <c r="N170" i="141"/>
  <c r="AG6" i="105"/>
  <c r="N64" i="141"/>
  <c r="N130" i="141"/>
  <c r="N168" i="141"/>
  <c r="M6" i="105"/>
  <c r="BG6" i="105"/>
  <c r="F64" i="141"/>
  <c r="E64" i="141"/>
  <c r="G64" i="141"/>
  <c r="H64" i="141"/>
  <c r="I64" i="141"/>
  <c r="I130" i="141"/>
  <c r="I168" i="141"/>
  <c r="H6" i="105"/>
  <c r="BB6" i="105"/>
  <c r="J64" i="141"/>
  <c r="J130" i="141"/>
  <c r="J168" i="141"/>
  <c r="I6" i="105"/>
  <c r="BC6" i="105"/>
  <c r="K64" i="141"/>
  <c r="K130" i="141"/>
  <c r="K168" i="141"/>
  <c r="J6" i="105"/>
  <c r="BD6" i="105"/>
  <c r="L64" i="141"/>
  <c r="L130" i="141"/>
  <c r="L168" i="141"/>
  <c r="K6" i="105"/>
  <c r="BE6" i="105"/>
  <c r="M64" i="141"/>
  <c r="M130" i="141"/>
  <c r="M168" i="141"/>
  <c r="L6" i="105"/>
  <c r="BF6" i="105"/>
  <c r="BQ6" i="105"/>
  <c r="CA6" i="105"/>
  <c r="N91" i="142"/>
  <c r="N73" i="142"/>
  <c r="N107" i="142"/>
  <c r="N136" i="142"/>
  <c r="W7" i="105"/>
  <c r="AG7" i="105"/>
  <c r="N66" i="142"/>
  <c r="N106" i="142"/>
  <c r="N135" i="142"/>
  <c r="M7" i="105"/>
  <c r="BG7" i="105"/>
  <c r="E66" i="142"/>
  <c r="G66" i="142"/>
  <c r="H66" i="142"/>
  <c r="I66" i="142"/>
  <c r="J66" i="142"/>
  <c r="K66" i="142"/>
  <c r="K106" i="142"/>
  <c r="K135" i="142"/>
  <c r="J7" i="105"/>
  <c r="BD7" i="105"/>
  <c r="L66" i="142"/>
  <c r="L106" i="142"/>
  <c r="L135" i="142"/>
  <c r="K7" i="105"/>
  <c r="BE7" i="105"/>
  <c r="M66" i="142"/>
  <c r="M106" i="142"/>
  <c r="M135" i="142"/>
  <c r="L7" i="105"/>
  <c r="BF7" i="105"/>
  <c r="BQ7" i="105"/>
  <c r="CA7" i="105"/>
  <c r="N63" i="143"/>
  <c r="N91" i="143"/>
  <c r="N133" i="143"/>
  <c r="W8" i="105"/>
  <c r="AG8" i="105"/>
  <c r="N56" i="143"/>
  <c r="N90" i="143"/>
  <c r="N132" i="143"/>
  <c r="M8" i="105"/>
  <c r="BG8" i="105"/>
  <c r="BQ8" i="105"/>
  <c r="CA8" i="105"/>
  <c r="N63" i="144"/>
  <c r="N91" i="144"/>
  <c r="N133" i="144"/>
  <c r="W9" i="105"/>
  <c r="AG9" i="105"/>
  <c r="N56" i="144"/>
  <c r="N90" i="144"/>
  <c r="N132" i="144"/>
  <c r="M9" i="105"/>
  <c r="BG9" i="105"/>
  <c r="BQ9" i="105"/>
  <c r="CA9" i="105"/>
  <c r="N55" i="147"/>
  <c r="N89" i="147"/>
  <c r="N127" i="147"/>
  <c r="W10" i="105"/>
  <c r="AG10" i="105"/>
  <c r="N48" i="147"/>
  <c r="N88" i="147"/>
  <c r="N126" i="147"/>
  <c r="M10" i="105"/>
  <c r="BG10" i="105"/>
  <c r="BQ10" i="105"/>
  <c r="CA10" i="105"/>
  <c r="N57" i="146"/>
  <c r="N91" i="146"/>
  <c r="N129" i="146"/>
  <c r="W11" i="105"/>
  <c r="AG11" i="105"/>
  <c r="N50" i="146"/>
  <c r="N90" i="146"/>
  <c r="N128" i="146"/>
  <c r="M11" i="105"/>
  <c r="BG11" i="105"/>
  <c r="BQ11" i="105"/>
  <c r="CA11" i="105"/>
  <c r="N55" i="145"/>
  <c r="N91" i="145"/>
  <c r="N129" i="145"/>
  <c r="W12" i="105"/>
  <c r="AG12" i="105"/>
  <c r="N90" i="145"/>
  <c r="N128" i="145"/>
  <c r="M12" i="105"/>
  <c r="BG12" i="105"/>
  <c r="H48" i="145"/>
  <c r="I48" i="145"/>
  <c r="J48" i="145"/>
  <c r="J90" i="145"/>
  <c r="J128" i="145"/>
  <c r="I12" i="105"/>
  <c r="BC12" i="105"/>
  <c r="K48" i="145"/>
  <c r="K90" i="145"/>
  <c r="K128" i="145"/>
  <c r="J12" i="105"/>
  <c r="BD12" i="105"/>
  <c r="L48" i="145"/>
  <c r="L90" i="145"/>
  <c r="L128" i="145"/>
  <c r="K12" i="105"/>
  <c r="BE12" i="105"/>
  <c r="M48" i="145"/>
  <c r="M90" i="145"/>
  <c r="M128" i="145"/>
  <c r="L12" i="105"/>
  <c r="BF12" i="105"/>
  <c r="BQ12" i="105"/>
  <c r="CA12" i="105"/>
  <c r="W14" i="105"/>
  <c r="T11" i="173"/>
  <c r="T12" i="173"/>
  <c r="T9" i="173"/>
  <c r="T10" i="173"/>
  <c r="T13" i="173"/>
  <c r="T15" i="173"/>
  <c r="T16" i="173"/>
  <c r="T17" i="173"/>
  <c r="N443" i="39"/>
  <c r="T19" i="173"/>
  <c r="T20" i="173"/>
  <c r="T22" i="173"/>
  <c r="T23" i="173"/>
  <c r="T24" i="173"/>
  <c r="T28" i="173"/>
  <c r="T34" i="173"/>
  <c r="T38" i="173"/>
  <c r="N151" i="48"/>
  <c r="N214" i="48"/>
  <c r="T39" i="173"/>
  <c r="T40" i="173"/>
  <c r="T42" i="173"/>
  <c r="T43" i="173"/>
  <c r="T44" i="173"/>
  <c r="T45" i="173"/>
  <c r="T46" i="173"/>
  <c r="T47" i="173"/>
  <c r="T49" i="173"/>
  <c r="T50" i="173"/>
  <c r="T53" i="173"/>
  <c r="T54" i="173"/>
  <c r="N167" i="157"/>
  <c r="T57" i="173"/>
  <c r="T61" i="173"/>
  <c r="T63" i="173"/>
  <c r="N159" i="139"/>
  <c r="T59" i="173"/>
  <c r="T64" i="173"/>
  <c r="T71" i="173"/>
  <c r="T73" i="173"/>
  <c r="T74" i="173"/>
  <c r="N245" i="110"/>
  <c r="N246" i="110"/>
  <c r="N263" i="110"/>
  <c r="N264" i="110"/>
  <c r="N281" i="110"/>
  <c r="N282" i="110"/>
  <c r="N299" i="110"/>
  <c r="N316" i="110"/>
  <c r="N317" i="110"/>
  <c r="N334" i="110"/>
  <c r="N414" i="110"/>
  <c r="T77" i="173"/>
  <c r="U11" i="173"/>
  <c r="U12" i="173"/>
  <c r="U9" i="173"/>
  <c r="U10" i="173"/>
  <c r="U13" i="173"/>
  <c r="N196" i="49"/>
  <c r="U15" i="173"/>
  <c r="N158" i="62"/>
  <c r="U16" i="173"/>
  <c r="U17" i="173"/>
  <c r="N444" i="39"/>
  <c r="U19" i="173"/>
  <c r="U20" i="173"/>
  <c r="N167" i="40"/>
  <c r="N365" i="40"/>
  <c r="N169" i="40"/>
  <c r="N367" i="40"/>
  <c r="N171" i="40"/>
  <c r="N344" i="40"/>
  <c r="N369" i="40"/>
  <c r="N771" i="40" a="1"/>
  <c r="N772" i="40" a="1"/>
  <c r="N771" i="40"/>
  <c r="N772" i="40"/>
  <c r="N441" i="41"/>
  <c r="U23" i="173"/>
  <c r="U34" i="173"/>
  <c r="N171" i="46"/>
  <c r="U38" i="173"/>
  <c r="U39" i="173"/>
  <c r="U40" i="173"/>
  <c r="U42" i="173"/>
  <c r="U43" i="173"/>
  <c r="U44" i="173"/>
  <c r="U45" i="173"/>
  <c r="U46" i="173"/>
  <c r="U47" i="173"/>
  <c r="U49" i="173"/>
  <c r="U50" i="173"/>
  <c r="U53" i="173"/>
  <c r="U54" i="173"/>
  <c r="U57" i="173"/>
  <c r="U61" i="173"/>
  <c r="N179" i="40"/>
  <c r="N377" i="40"/>
  <c r="N180" i="40"/>
  <c r="N378" i="40"/>
  <c r="N181" i="40"/>
  <c r="N379" i="40"/>
  <c r="N182" i="40"/>
  <c r="N380" i="40"/>
  <c r="G193" i="40"/>
  <c r="H193" i="40"/>
  <c r="I193" i="40"/>
  <c r="J193" i="40"/>
  <c r="K193" i="40"/>
  <c r="L193" i="40"/>
  <c r="M193" i="40"/>
  <c r="N193" i="40"/>
  <c r="U59" i="173"/>
  <c r="U71" i="173"/>
  <c r="U73" i="173"/>
  <c r="U74" i="173"/>
  <c r="N249" i="110"/>
  <c r="N250" i="110"/>
  <c r="N267" i="110"/>
  <c r="N268" i="110"/>
  <c r="N285" i="110"/>
  <c r="N286" i="110"/>
  <c r="N302" i="110"/>
  <c r="N303" i="110"/>
  <c r="N335" i="110"/>
  <c r="N415" i="110"/>
  <c r="U77" i="173"/>
  <c r="N61" i="111"/>
  <c r="M14" i="105"/>
  <c r="BG14" i="105"/>
  <c r="BQ14" i="105"/>
  <c r="W15" i="105"/>
  <c r="O276" i="112"/>
  <c r="N487" i="112"/>
  <c r="O277" i="112"/>
  <c r="N488" i="112"/>
  <c r="O278" i="112"/>
  <c r="N489" i="112"/>
  <c r="O279" i="112"/>
  <c r="N490" i="112"/>
  <c r="O280" i="112"/>
  <c r="N491" i="112"/>
  <c r="N492" i="112"/>
  <c r="N601" i="112"/>
  <c r="AG15" i="105"/>
  <c r="M15" i="105"/>
  <c r="BG15" i="105"/>
  <c r="BQ15" i="105"/>
  <c r="CA15" i="105"/>
  <c r="N497" i="112"/>
  <c r="O256" i="112"/>
  <c r="N498" i="112"/>
  <c r="N527" i="112"/>
  <c r="O254" i="112"/>
  <c r="N528" i="112"/>
  <c r="N499" i="112"/>
  <c r="O257" i="112"/>
  <c r="N500" i="112"/>
  <c r="N594" i="112"/>
  <c r="W16" i="105"/>
  <c r="AG16" i="105"/>
  <c r="M16" i="105"/>
  <c r="BG16" i="105"/>
  <c r="BQ16" i="105"/>
  <c r="CA16" i="105"/>
  <c r="AG17" i="105"/>
  <c r="O256" i="113"/>
  <c r="N472" i="113"/>
  <c r="N568" i="113"/>
  <c r="M17" i="105"/>
  <c r="BG17" i="105"/>
  <c r="F256" i="113"/>
  <c r="H256" i="113"/>
  <c r="I256" i="113"/>
  <c r="J256" i="113"/>
  <c r="K256" i="113"/>
  <c r="L256" i="113"/>
  <c r="M256" i="113"/>
  <c r="L472" i="113"/>
  <c r="L568" i="113"/>
  <c r="K17" i="105"/>
  <c r="BE17" i="105"/>
  <c r="N256" i="113"/>
  <c r="M472" i="113"/>
  <c r="M568" i="113"/>
  <c r="L17" i="105"/>
  <c r="BF17" i="105"/>
  <c r="BQ17" i="105"/>
  <c r="O292" i="113"/>
  <c r="N511" i="113"/>
  <c r="O296" i="113"/>
  <c r="N513" i="113"/>
  <c r="AG18" i="105"/>
  <c r="O260" i="113"/>
  <c r="N474" i="113"/>
  <c r="F260" i="113"/>
  <c r="H260" i="113"/>
  <c r="I260" i="113"/>
  <c r="J260" i="113"/>
  <c r="K260" i="113"/>
  <c r="L260" i="113"/>
  <c r="M260" i="113"/>
  <c r="L474" i="113"/>
  <c r="N260" i="113"/>
  <c r="M474" i="113"/>
  <c r="W19" i="105"/>
  <c r="AG19" i="105"/>
  <c r="M19" i="105"/>
  <c r="BG19" i="105"/>
  <c r="BQ19" i="105"/>
  <c r="CA19" i="105"/>
  <c r="W20" i="105"/>
  <c r="AG20" i="105"/>
  <c r="M20" i="105"/>
  <c r="BG20" i="105"/>
  <c r="BQ20" i="105"/>
  <c r="CA20" i="105"/>
  <c r="N56" i="30"/>
  <c r="N107" i="30"/>
  <c r="F42" i="30"/>
  <c r="N87" i="30"/>
  <c r="N139" i="30"/>
  <c r="W21" i="105"/>
  <c r="AG21" i="105"/>
  <c r="W22" i="105"/>
  <c r="AG22" i="105"/>
  <c r="M22" i="105"/>
  <c r="BG22" i="105"/>
  <c r="K22" i="105"/>
  <c r="BE22" i="105"/>
  <c r="L22" i="105"/>
  <c r="BF22" i="105"/>
  <c r="BQ22" i="105"/>
  <c r="CA22" i="105"/>
  <c r="W23" i="105"/>
  <c r="AG23" i="105"/>
  <c r="N101" i="138"/>
  <c r="N139" i="138"/>
  <c r="M23" i="105"/>
  <c r="BG23" i="105"/>
  <c r="L101" i="138"/>
  <c r="L139" i="138"/>
  <c r="K23" i="105"/>
  <c r="BE23" i="105"/>
  <c r="M101" i="138"/>
  <c r="M139" i="138"/>
  <c r="L23" i="105"/>
  <c r="BF23" i="105"/>
  <c r="BQ23" i="105"/>
  <c r="CA23" i="105"/>
  <c r="W24" i="105"/>
  <c r="AG24" i="105"/>
  <c r="N78" i="49"/>
  <c r="N85" i="49"/>
  <c r="N184" i="49"/>
  <c r="N238" i="49"/>
  <c r="M24" i="105"/>
  <c r="BG24" i="105"/>
  <c r="E78" i="49"/>
  <c r="G78" i="49"/>
  <c r="H78" i="49"/>
  <c r="I78" i="49"/>
  <c r="J78" i="49"/>
  <c r="K78" i="49"/>
  <c r="L78" i="49"/>
  <c r="E85" i="49"/>
  <c r="G85" i="49"/>
  <c r="H85" i="49"/>
  <c r="I85" i="49"/>
  <c r="J85" i="49"/>
  <c r="K85" i="49"/>
  <c r="L85" i="49"/>
  <c r="L184" i="49"/>
  <c r="L238" i="49"/>
  <c r="K24" i="105"/>
  <c r="BE24" i="105"/>
  <c r="M78" i="49"/>
  <c r="M85" i="49"/>
  <c r="M184" i="49"/>
  <c r="M238" i="49"/>
  <c r="L24" i="105"/>
  <c r="BF24" i="105"/>
  <c r="BQ24" i="105"/>
  <c r="CA24" i="105"/>
  <c r="W25" i="105"/>
  <c r="AG25" i="105"/>
  <c r="N146" i="62"/>
  <c r="N206" i="62"/>
  <c r="M25" i="105"/>
  <c r="BG25" i="105"/>
  <c r="BQ25" i="105"/>
  <c r="CA25" i="105"/>
  <c r="AG26" i="105"/>
  <c r="N741" i="40"/>
  <c r="N745" i="40"/>
  <c r="N923" i="40"/>
  <c r="W27" i="105"/>
  <c r="AG27" i="105"/>
  <c r="N681" i="40"/>
  <c r="N685" i="40"/>
  <c r="N922" i="40"/>
  <c r="M27" i="105"/>
  <c r="BG27" i="105"/>
  <c r="BQ27" i="105"/>
  <c r="CA27" i="105"/>
  <c r="N742" i="40"/>
  <c r="N746" i="40"/>
  <c r="N933" i="40"/>
  <c r="W28" i="105"/>
  <c r="AG28" i="105"/>
  <c r="N682" i="40"/>
  <c r="N686" i="40"/>
  <c r="N932" i="40"/>
  <c r="M28" i="105"/>
  <c r="BG28" i="105"/>
  <c r="E430" i="40"/>
  <c r="G430" i="40"/>
  <c r="H430" i="40"/>
  <c r="I430" i="40"/>
  <c r="J430" i="40"/>
  <c r="K430" i="40"/>
  <c r="L430" i="40"/>
  <c r="L682" i="40"/>
  <c r="E434" i="40"/>
  <c r="G434" i="40"/>
  <c r="H434" i="40"/>
  <c r="I434" i="40"/>
  <c r="J434" i="40"/>
  <c r="K434" i="40"/>
  <c r="L434" i="40"/>
  <c r="L686" i="40"/>
  <c r="L932" i="40"/>
  <c r="K28" i="105"/>
  <c r="BE28" i="105"/>
  <c r="M430" i="40"/>
  <c r="M682" i="40"/>
  <c r="M434" i="40"/>
  <c r="M686" i="40"/>
  <c r="M932" i="40"/>
  <c r="L28" i="105"/>
  <c r="BF28" i="105"/>
  <c r="BQ28" i="105"/>
  <c r="CA28" i="105"/>
  <c r="N743" i="40"/>
  <c r="N747" i="40"/>
  <c r="N943" i="40"/>
  <c r="W29" i="105"/>
  <c r="AG29" i="105"/>
  <c r="N683" i="40"/>
  <c r="N687" i="40"/>
  <c r="N942" i="40"/>
  <c r="M29" i="105"/>
  <c r="BG29" i="105"/>
  <c r="E431" i="40"/>
  <c r="G431" i="40"/>
  <c r="H431" i="40"/>
  <c r="I431" i="40"/>
  <c r="J431" i="40"/>
  <c r="K431" i="40"/>
  <c r="L431" i="40"/>
  <c r="L683" i="40"/>
  <c r="E435" i="40"/>
  <c r="G435" i="40"/>
  <c r="H435" i="40"/>
  <c r="I435" i="40"/>
  <c r="J435" i="40"/>
  <c r="K435" i="40"/>
  <c r="L435" i="40"/>
  <c r="L687" i="40"/>
  <c r="L942" i="40"/>
  <c r="K29" i="105"/>
  <c r="BE29" i="105"/>
  <c r="M431" i="40"/>
  <c r="M683" i="40"/>
  <c r="M435" i="40"/>
  <c r="M687" i="40"/>
  <c r="M942" i="40"/>
  <c r="L29" i="105"/>
  <c r="BF29" i="105"/>
  <c r="BQ29" i="105"/>
  <c r="CA29" i="105"/>
  <c r="CA30" i="105"/>
  <c r="N740" i="40"/>
  <c r="N963" i="40"/>
  <c r="W31" i="105"/>
  <c r="AG31" i="105"/>
  <c r="N680" i="40"/>
  <c r="N962" i="40"/>
  <c r="M31" i="105"/>
  <c r="BG31" i="105"/>
  <c r="BQ31" i="105"/>
  <c r="CA31" i="105"/>
  <c r="N749" i="40"/>
  <c r="N750" i="40"/>
  <c r="N973" i="40"/>
  <c r="W32" i="105"/>
  <c r="AG32" i="105"/>
  <c r="N689" i="40"/>
  <c r="N690" i="40"/>
  <c r="N972" i="40"/>
  <c r="M32" i="105"/>
  <c r="BG32" i="105"/>
  <c r="E437" i="40"/>
  <c r="G437" i="40"/>
  <c r="H437" i="40"/>
  <c r="I437" i="40"/>
  <c r="I689" i="40"/>
  <c r="E438" i="40"/>
  <c r="G438" i="40"/>
  <c r="H438" i="40"/>
  <c r="I438" i="40"/>
  <c r="I690" i="40"/>
  <c r="I972" i="40"/>
  <c r="H32" i="105"/>
  <c r="BB32" i="105"/>
  <c r="J437" i="40"/>
  <c r="J689" i="40"/>
  <c r="J438" i="40"/>
  <c r="J690" i="40"/>
  <c r="J972" i="40"/>
  <c r="I32" i="105"/>
  <c r="BC32" i="105"/>
  <c r="K437" i="40"/>
  <c r="K689" i="40"/>
  <c r="K438" i="40"/>
  <c r="K690" i="40"/>
  <c r="K972" i="40"/>
  <c r="J32" i="105"/>
  <c r="BD32" i="105"/>
  <c r="L437" i="40"/>
  <c r="L689" i="40"/>
  <c r="L438" i="40"/>
  <c r="L690" i="40"/>
  <c r="L972" i="40"/>
  <c r="K32" i="105"/>
  <c r="BE32" i="105"/>
  <c r="M437" i="40"/>
  <c r="M689" i="40"/>
  <c r="M438" i="40"/>
  <c r="M690" i="40"/>
  <c r="M972" i="40"/>
  <c r="L32" i="105"/>
  <c r="BF32" i="105"/>
  <c r="BQ32" i="105"/>
  <c r="CA32" i="105"/>
  <c r="N753" i="40"/>
  <c r="N983" i="40"/>
  <c r="W33" i="105"/>
  <c r="AG33" i="105"/>
  <c r="N693" i="40"/>
  <c r="N982" i="40"/>
  <c r="M33" i="105"/>
  <c r="BG33" i="105"/>
  <c r="E441" i="40"/>
  <c r="G441" i="40"/>
  <c r="H441" i="40"/>
  <c r="I441" i="40"/>
  <c r="I693" i="40"/>
  <c r="I982" i="40"/>
  <c r="H33" i="105"/>
  <c r="BB33" i="105"/>
  <c r="J441" i="40"/>
  <c r="J693" i="40"/>
  <c r="J982" i="40"/>
  <c r="I33" i="105"/>
  <c r="BC33" i="105"/>
  <c r="K441" i="40"/>
  <c r="K693" i="40"/>
  <c r="K982" i="40"/>
  <c r="J33" i="105"/>
  <c r="BD33" i="105"/>
  <c r="L441" i="40"/>
  <c r="L693" i="40"/>
  <c r="L982" i="40"/>
  <c r="K33" i="105"/>
  <c r="BE33" i="105"/>
  <c r="M441" i="40"/>
  <c r="M693" i="40"/>
  <c r="M982" i="40"/>
  <c r="L33" i="105"/>
  <c r="BF33" i="105"/>
  <c r="BQ33" i="105"/>
  <c r="CA33" i="105"/>
  <c r="N252" i="41"/>
  <c r="E252" i="41"/>
  <c r="G252" i="41"/>
  <c r="H252" i="41"/>
  <c r="I252" i="41"/>
  <c r="J252" i="41"/>
  <c r="K252" i="41"/>
  <c r="L252" i="41"/>
  <c r="M252" i="41"/>
  <c r="N411" i="41"/>
  <c r="N253" i="41"/>
  <c r="E253" i="41"/>
  <c r="G253" i="41"/>
  <c r="H253" i="41"/>
  <c r="I253" i="41"/>
  <c r="J253" i="41"/>
  <c r="K253" i="41"/>
  <c r="L253" i="41"/>
  <c r="M253" i="41"/>
  <c r="N412" i="41"/>
  <c r="M254" i="41"/>
  <c r="N413" i="41"/>
  <c r="N255" i="41"/>
  <c r="E255" i="41"/>
  <c r="G255" i="41"/>
  <c r="H255" i="41"/>
  <c r="I255" i="41"/>
  <c r="J255" i="41"/>
  <c r="K255" i="41"/>
  <c r="L255" i="41"/>
  <c r="M255" i="41"/>
  <c r="N414" i="41"/>
  <c r="N428" i="41"/>
  <c r="N533" i="41"/>
  <c r="W34" i="105"/>
  <c r="AG34" i="105"/>
  <c r="N230" i="41"/>
  <c r="N384" i="41"/>
  <c r="N231" i="41"/>
  <c r="N385" i="41"/>
  <c r="N232" i="41"/>
  <c r="N386" i="41"/>
  <c r="N233" i="41"/>
  <c r="N387" i="41"/>
  <c r="N427" i="41"/>
  <c r="N532" i="41"/>
  <c r="M34" i="105"/>
  <c r="BG34" i="105"/>
  <c r="E230" i="41"/>
  <c r="G230" i="41"/>
  <c r="H230" i="41"/>
  <c r="I230" i="41"/>
  <c r="J230" i="41"/>
  <c r="K230" i="41"/>
  <c r="L230" i="41"/>
  <c r="M230" i="41"/>
  <c r="M384" i="41"/>
  <c r="E231" i="41"/>
  <c r="G231" i="41"/>
  <c r="H231" i="41"/>
  <c r="I231" i="41"/>
  <c r="J231" i="41"/>
  <c r="K231" i="41"/>
  <c r="L231" i="41"/>
  <c r="M231" i="41"/>
  <c r="M385" i="41"/>
  <c r="E232" i="41"/>
  <c r="G232" i="41"/>
  <c r="H232" i="41"/>
  <c r="I232" i="41"/>
  <c r="J232" i="41"/>
  <c r="K232" i="41"/>
  <c r="L232" i="41"/>
  <c r="M232" i="41"/>
  <c r="M386" i="41"/>
  <c r="E233" i="41"/>
  <c r="G233" i="41"/>
  <c r="H233" i="41"/>
  <c r="I233" i="41"/>
  <c r="J233" i="41"/>
  <c r="K233" i="41"/>
  <c r="L233" i="41"/>
  <c r="M233" i="41"/>
  <c r="M387" i="41"/>
  <c r="M427" i="41"/>
  <c r="M532" i="41"/>
  <c r="L34" i="105"/>
  <c r="BF34" i="105"/>
  <c r="BQ34" i="105"/>
  <c r="CA34" i="105"/>
  <c r="N87" i="46"/>
  <c r="N163" i="46"/>
  <c r="N212" i="46"/>
  <c r="W35" i="105"/>
  <c r="AG35" i="105"/>
  <c r="N80" i="46"/>
  <c r="N162" i="46"/>
  <c r="N211" i="46"/>
  <c r="M35" i="105"/>
  <c r="BG35" i="105"/>
  <c r="E80" i="46"/>
  <c r="G80" i="46"/>
  <c r="H80" i="46"/>
  <c r="I80" i="46"/>
  <c r="J80" i="46"/>
  <c r="K80" i="46"/>
  <c r="L80" i="46"/>
  <c r="M80" i="46"/>
  <c r="L162" i="46"/>
  <c r="L211" i="46"/>
  <c r="K35" i="105"/>
  <c r="BE35" i="105"/>
  <c r="M162" i="46"/>
  <c r="M211" i="46"/>
  <c r="L35" i="105"/>
  <c r="BF35" i="105"/>
  <c r="BQ35" i="105"/>
  <c r="CA35" i="105"/>
  <c r="W36" i="105"/>
  <c r="N119" i="48"/>
  <c r="N201" i="48"/>
  <c r="N255" i="48"/>
  <c r="AG36" i="105"/>
  <c r="M36" i="105"/>
  <c r="BG36" i="105"/>
  <c r="BQ36" i="105"/>
  <c r="CA36" i="105"/>
  <c r="W37" i="105"/>
  <c r="N128" i="48"/>
  <c r="N202" i="48"/>
  <c r="N262" i="48"/>
  <c r="AG37" i="105"/>
  <c r="M37" i="105"/>
  <c r="BG37" i="105"/>
  <c r="BQ37" i="105"/>
  <c r="CA37" i="105"/>
  <c r="W38" i="105"/>
  <c r="N37" i="48"/>
  <c r="N39" i="48"/>
  <c r="N40" i="48"/>
  <c r="N51" i="48"/>
  <c r="N156" i="48"/>
  <c r="N137" i="48"/>
  <c r="N203" i="48"/>
  <c r="N269" i="48"/>
  <c r="AG38" i="105"/>
  <c r="M38" i="105"/>
  <c r="BG38" i="105"/>
  <c r="BQ38" i="105"/>
  <c r="CA38" i="105"/>
  <c r="AG39" i="105"/>
  <c r="W40" i="105"/>
  <c r="AP11" i="173"/>
  <c r="AP12" i="173"/>
  <c r="AP9" i="173"/>
  <c r="AP10" i="173"/>
  <c r="AP13" i="173"/>
  <c r="AP15" i="173"/>
  <c r="AP16" i="173"/>
  <c r="AP17" i="173"/>
  <c r="AP19" i="173"/>
  <c r="AP20" i="173"/>
  <c r="AP22" i="173"/>
  <c r="AP23" i="173"/>
  <c r="AP24" i="173"/>
  <c r="AP28" i="173"/>
  <c r="AP34" i="173"/>
  <c r="AP35" i="173"/>
  <c r="AP36" i="173"/>
  <c r="AP38" i="173"/>
  <c r="AP39" i="173"/>
  <c r="AP40" i="173"/>
  <c r="AP42" i="173"/>
  <c r="AP43" i="173"/>
  <c r="AP44" i="173"/>
  <c r="AP45" i="173"/>
  <c r="AP46" i="173"/>
  <c r="AP47" i="173"/>
  <c r="AP49" i="173"/>
  <c r="AP50" i="173"/>
  <c r="AP53" i="173"/>
  <c r="AP54" i="173"/>
  <c r="AP57" i="173"/>
  <c r="AP61" i="173"/>
  <c r="AP63" i="173"/>
  <c r="AP59" i="173"/>
  <c r="AP64" i="173"/>
  <c r="AP66" i="173"/>
  <c r="AP71" i="173"/>
  <c r="AP73" i="173"/>
  <c r="AP74" i="173"/>
  <c r="AP77" i="173"/>
  <c r="AP79" i="173"/>
  <c r="AP80" i="173"/>
  <c r="AP83" i="173"/>
  <c r="X11" i="173"/>
  <c r="X12" i="173"/>
  <c r="X9" i="173"/>
  <c r="X10" i="173"/>
  <c r="X13" i="173"/>
  <c r="X15" i="173"/>
  <c r="X16" i="173"/>
  <c r="X17" i="173"/>
  <c r="X19" i="173"/>
  <c r="X20" i="173"/>
  <c r="X22" i="173"/>
  <c r="X23" i="173"/>
  <c r="X24" i="173"/>
  <c r="X28" i="173"/>
  <c r="N348" i="113"/>
  <c r="N354" i="113"/>
  <c r="N360" i="113"/>
  <c r="N366" i="113"/>
  <c r="N370" i="113"/>
  <c r="N529" i="113"/>
  <c r="X34" i="173"/>
  <c r="X35" i="173"/>
  <c r="X36" i="173"/>
  <c r="X38" i="173"/>
  <c r="N216" i="48"/>
  <c r="X39" i="173"/>
  <c r="X40" i="173"/>
  <c r="X42" i="173"/>
  <c r="X43" i="173"/>
  <c r="X44" i="173"/>
  <c r="X45" i="173"/>
  <c r="X46" i="173"/>
  <c r="X47" i="173"/>
  <c r="X49" i="173"/>
  <c r="X50" i="173"/>
  <c r="X53" i="173"/>
  <c r="X54" i="173"/>
  <c r="X57" i="173"/>
  <c r="X61" i="173"/>
  <c r="X63" i="173"/>
  <c r="X59" i="173"/>
  <c r="X64" i="173"/>
  <c r="X66" i="173"/>
  <c r="X71" i="173"/>
  <c r="X73" i="173"/>
  <c r="X74" i="173"/>
  <c r="X77" i="173"/>
  <c r="X79" i="173"/>
  <c r="X80" i="173"/>
  <c r="M40" i="105"/>
  <c r="BG40" i="105"/>
  <c r="BQ40" i="105"/>
  <c r="W41" i="105"/>
  <c r="AQ11" i="173"/>
  <c r="AQ12" i="173"/>
  <c r="AQ9" i="173"/>
  <c r="AQ10" i="173"/>
  <c r="AQ13" i="173"/>
  <c r="AQ15" i="173"/>
  <c r="AQ16" i="173"/>
  <c r="AQ17" i="173"/>
  <c r="AQ19" i="173"/>
  <c r="AQ20" i="173"/>
  <c r="AQ22" i="173"/>
  <c r="AQ23" i="173"/>
  <c r="AQ24" i="173"/>
  <c r="AQ28" i="173"/>
  <c r="AQ34" i="173"/>
  <c r="AQ35" i="173"/>
  <c r="AQ36" i="173"/>
  <c r="AQ38" i="173"/>
  <c r="AQ39" i="173"/>
  <c r="AQ40" i="173"/>
  <c r="AQ42" i="173"/>
  <c r="AQ43" i="173"/>
  <c r="AQ44" i="173"/>
  <c r="AQ45" i="173"/>
  <c r="AQ46" i="173"/>
  <c r="AQ47" i="173"/>
  <c r="AQ49" i="173"/>
  <c r="AQ50" i="173"/>
  <c r="AQ53" i="173"/>
  <c r="AQ54" i="173"/>
  <c r="AQ57" i="173"/>
  <c r="AQ61" i="173"/>
  <c r="AQ63" i="173"/>
  <c r="AQ59" i="173"/>
  <c r="AQ64" i="173"/>
  <c r="AQ66" i="173"/>
  <c r="AQ71" i="173"/>
  <c r="AQ73" i="173"/>
  <c r="AQ74" i="173"/>
  <c r="AQ77" i="173"/>
  <c r="AQ79" i="173"/>
  <c r="AQ80" i="173"/>
  <c r="AQ83" i="173"/>
  <c r="Y11" i="173"/>
  <c r="Y12" i="173"/>
  <c r="Y9" i="173"/>
  <c r="Y10" i="173"/>
  <c r="Y13" i="173"/>
  <c r="Y15" i="173"/>
  <c r="Y16" i="173"/>
  <c r="Y17" i="173"/>
  <c r="Y19" i="173"/>
  <c r="Y20" i="173"/>
  <c r="Y22" i="173"/>
  <c r="Y23" i="173"/>
  <c r="Y24" i="173"/>
  <c r="Y28" i="173"/>
  <c r="Y34" i="173"/>
  <c r="Y35" i="173"/>
  <c r="Y36" i="173"/>
  <c r="N173" i="46"/>
  <c r="Y38" i="173"/>
  <c r="N217" i="48"/>
  <c r="Y39" i="173"/>
  <c r="Y40" i="173"/>
  <c r="Y42" i="173"/>
  <c r="Y43" i="173"/>
  <c r="Y44" i="173"/>
  <c r="Y45" i="173"/>
  <c r="Y46" i="173"/>
  <c r="Y47" i="173"/>
  <c r="Y49" i="173"/>
  <c r="Y50" i="173"/>
  <c r="Y53" i="173"/>
  <c r="Y54" i="173"/>
  <c r="Y57" i="173"/>
  <c r="Y61" i="173"/>
  <c r="Y63" i="173"/>
  <c r="Y59" i="173"/>
  <c r="Y64" i="173"/>
  <c r="Y66" i="173"/>
  <c r="Y71" i="173"/>
  <c r="Y73" i="173"/>
  <c r="Y74" i="173"/>
  <c r="Y77" i="173"/>
  <c r="Y79" i="173"/>
  <c r="Y80" i="173"/>
  <c r="M41" i="105"/>
  <c r="BG41" i="105"/>
  <c r="BQ41" i="105"/>
  <c r="W42" i="105"/>
  <c r="AR11" i="173"/>
  <c r="AR12" i="173"/>
  <c r="AR9" i="173"/>
  <c r="AR10" i="173"/>
  <c r="AR13" i="173"/>
  <c r="AR15" i="173"/>
  <c r="AR16" i="173"/>
  <c r="AR17" i="173"/>
  <c r="AR19" i="173"/>
  <c r="AR20" i="173"/>
  <c r="AR22" i="173"/>
  <c r="AR23" i="173"/>
  <c r="AR24" i="173"/>
  <c r="AR28" i="173"/>
  <c r="AR34" i="173"/>
  <c r="AR35" i="173"/>
  <c r="AR36" i="173"/>
  <c r="AR38" i="173"/>
  <c r="AR39" i="173"/>
  <c r="AR40" i="173"/>
  <c r="AR42" i="173"/>
  <c r="AR43" i="173"/>
  <c r="AR44" i="173"/>
  <c r="AR45" i="173"/>
  <c r="AR46" i="173"/>
  <c r="AR47" i="173"/>
  <c r="AR49" i="173"/>
  <c r="AR50" i="173"/>
  <c r="AR53" i="173"/>
  <c r="AR54" i="173"/>
  <c r="AR57" i="173"/>
  <c r="AR61" i="173"/>
  <c r="AR63" i="173"/>
  <c r="AR59" i="173"/>
  <c r="AR64" i="173"/>
  <c r="AR66" i="173"/>
  <c r="AR71" i="173"/>
  <c r="AR73" i="173"/>
  <c r="AR74" i="173"/>
  <c r="AR77" i="173"/>
  <c r="AR79" i="173"/>
  <c r="AR80" i="173"/>
  <c r="AR83" i="173"/>
  <c r="Z11" i="173"/>
  <c r="Z12" i="173"/>
  <c r="Z9" i="173"/>
  <c r="Z10" i="173"/>
  <c r="Z13" i="173"/>
  <c r="Z15" i="173"/>
  <c r="Z16" i="173"/>
  <c r="Z17" i="173"/>
  <c r="Z19" i="173"/>
  <c r="Z20" i="173"/>
  <c r="Z22" i="173"/>
  <c r="Z23" i="173"/>
  <c r="Z24" i="173"/>
  <c r="Z28" i="173"/>
  <c r="Z34" i="173"/>
  <c r="Z35" i="173"/>
  <c r="Z36" i="173"/>
  <c r="Z38" i="173"/>
  <c r="N218" i="48"/>
  <c r="Z39" i="173"/>
  <c r="Z40" i="173"/>
  <c r="Z42" i="173"/>
  <c r="Z43" i="173"/>
  <c r="Z44" i="173"/>
  <c r="Z45" i="173"/>
  <c r="Z46" i="173"/>
  <c r="Z47" i="173"/>
  <c r="Z49" i="173"/>
  <c r="Z50" i="173"/>
  <c r="Z53" i="173"/>
  <c r="Z54" i="173"/>
  <c r="Z57" i="173"/>
  <c r="Z61" i="173"/>
  <c r="Z63" i="173"/>
  <c r="Z59" i="173"/>
  <c r="Z64" i="173"/>
  <c r="Z66" i="173"/>
  <c r="Z71" i="173"/>
  <c r="Z73" i="173"/>
  <c r="Z74" i="173"/>
  <c r="Z77" i="173"/>
  <c r="Z79" i="173"/>
  <c r="Z80" i="173"/>
  <c r="M42" i="105"/>
  <c r="BG42" i="105"/>
  <c r="BQ42" i="105"/>
  <c r="M138" i="140"/>
  <c r="E85" i="140"/>
  <c r="G85" i="140"/>
  <c r="H85" i="140"/>
  <c r="I85" i="140"/>
  <c r="J85" i="140"/>
  <c r="K85" i="140"/>
  <c r="L85" i="140"/>
  <c r="M85" i="140"/>
  <c r="M157" i="140"/>
  <c r="M214" i="140"/>
  <c r="V3" i="105"/>
  <c r="AF3" i="105"/>
  <c r="J156" i="140"/>
  <c r="J213" i="140"/>
  <c r="I3" i="105"/>
  <c r="BC3" i="105"/>
  <c r="BP3" i="105"/>
  <c r="BZ3" i="105"/>
  <c r="M135" i="157"/>
  <c r="E83" i="157"/>
  <c r="G83" i="157"/>
  <c r="H83" i="157"/>
  <c r="I83" i="157"/>
  <c r="J83" i="157"/>
  <c r="K83" i="157"/>
  <c r="L83" i="157"/>
  <c r="M83" i="157"/>
  <c r="M154" i="157"/>
  <c r="M215" i="157"/>
  <c r="V4" i="105"/>
  <c r="AF4" i="105"/>
  <c r="H153" i="157"/>
  <c r="H214" i="157"/>
  <c r="G4" i="105"/>
  <c r="BA4" i="105"/>
  <c r="BP4" i="105"/>
  <c r="BZ4" i="105"/>
  <c r="M130" i="139"/>
  <c r="E82" i="139"/>
  <c r="G82" i="139"/>
  <c r="H82" i="139"/>
  <c r="I82" i="139"/>
  <c r="J82" i="139"/>
  <c r="K82" i="139"/>
  <c r="L82" i="139"/>
  <c r="M82" i="139"/>
  <c r="M149" i="139"/>
  <c r="M207" i="139"/>
  <c r="V5" i="105"/>
  <c r="AF5" i="105"/>
  <c r="E74" i="139"/>
  <c r="G74" i="139"/>
  <c r="H74" i="139"/>
  <c r="I74" i="139"/>
  <c r="J74" i="139"/>
  <c r="K74" i="139"/>
  <c r="L74" i="139"/>
  <c r="M74" i="139"/>
  <c r="M148" i="139"/>
  <c r="M206" i="139"/>
  <c r="L5" i="105"/>
  <c r="BF5" i="105"/>
  <c r="BP5" i="105"/>
  <c r="BZ5" i="105"/>
  <c r="M113" i="141"/>
  <c r="M104" i="141"/>
  <c r="M105" i="141"/>
  <c r="M106" i="141"/>
  <c r="M107" i="141"/>
  <c r="M141" i="141"/>
  <c r="E85" i="141"/>
  <c r="G85" i="141"/>
  <c r="H85" i="141"/>
  <c r="I85" i="141"/>
  <c r="J85" i="141"/>
  <c r="K85" i="141"/>
  <c r="L85" i="141"/>
  <c r="M85" i="141"/>
  <c r="M131" i="141"/>
  <c r="M169" i="141"/>
  <c r="V6" i="105"/>
  <c r="E78" i="141"/>
  <c r="G78" i="141"/>
  <c r="H78" i="141"/>
  <c r="I78" i="141"/>
  <c r="J78" i="141"/>
  <c r="K78" i="141"/>
  <c r="L78" i="141"/>
  <c r="M78" i="141"/>
  <c r="M132" i="141"/>
  <c r="M170" i="141"/>
  <c r="AF6" i="105"/>
  <c r="H130" i="141"/>
  <c r="H168" i="141"/>
  <c r="G6" i="105"/>
  <c r="BA6" i="105"/>
  <c r="BP6" i="105"/>
  <c r="BZ6" i="105"/>
  <c r="M91" i="142"/>
  <c r="E73" i="142"/>
  <c r="G73" i="142"/>
  <c r="H73" i="142"/>
  <c r="I73" i="142"/>
  <c r="J73" i="142"/>
  <c r="K73" i="142"/>
  <c r="L73" i="142"/>
  <c r="M73" i="142"/>
  <c r="M107" i="142"/>
  <c r="M136" i="142"/>
  <c r="V7" i="105"/>
  <c r="AF7" i="105"/>
  <c r="J106" i="142"/>
  <c r="J135" i="142"/>
  <c r="I7" i="105"/>
  <c r="BC7" i="105"/>
  <c r="BP7" i="105"/>
  <c r="BZ7" i="105"/>
  <c r="E63" i="143"/>
  <c r="G63" i="143"/>
  <c r="H63" i="143"/>
  <c r="I63" i="143"/>
  <c r="J63" i="143"/>
  <c r="K63" i="143"/>
  <c r="L63" i="143"/>
  <c r="M63" i="143"/>
  <c r="M91" i="143"/>
  <c r="M133" i="143"/>
  <c r="V8" i="105"/>
  <c r="AF8" i="105"/>
  <c r="E56" i="143"/>
  <c r="G56" i="143"/>
  <c r="H56" i="143"/>
  <c r="I56" i="143"/>
  <c r="J56" i="143"/>
  <c r="K56" i="143"/>
  <c r="L56" i="143"/>
  <c r="M56" i="143"/>
  <c r="M90" i="143"/>
  <c r="M132" i="143"/>
  <c r="L8" i="105"/>
  <c r="BF8" i="105"/>
  <c r="BP8" i="105"/>
  <c r="BZ8" i="105"/>
  <c r="E63" i="144"/>
  <c r="G63" i="144"/>
  <c r="H63" i="144"/>
  <c r="I63" i="144"/>
  <c r="J63" i="144"/>
  <c r="K63" i="144"/>
  <c r="L63" i="144"/>
  <c r="M63" i="144"/>
  <c r="M91" i="144"/>
  <c r="M133" i="144"/>
  <c r="V9" i="105"/>
  <c r="AF9" i="105"/>
  <c r="E56" i="144"/>
  <c r="G56" i="144"/>
  <c r="H56" i="144"/>
  <c r="I56" i="144"/>
  <c r="J56" i="144"/>
  <c r="K56" i="144"/>
  <c r="L56" i="144"/>
  <c r="M56" i="144"/>
  <c r="M90" i="144"/>
  <c r="M132" i="144"/>
  <c r="L9" i="105"/>
  <c r="BF9" i="105"/>
  <c r="BP9" i="105"/>
  <c r="BZ9" i="105"/>
  <c r="E55" i="147"/>
  <c r="G55" i="147"/>
  <c r="H55" i="147"/>
  <c r="I55" i="147"/>
  <c r="J55" i="147"/>
  <c r="K55" i="147"/>
  <c r="L55" i="147"/>
  <c r="M55" i="147"/>
  <c r="M89" i="147"/>
  <c r="M127" i="147"/>
  <c r="V10" i="105"/>
  <c r="AF10" i="105"/>
  <c r="E48" i="147"/>
  <c r="G48" i="147"/>
  <c r="H48" i="147"/>
  <c r="I48" i="147"/>
  <c r="J48" i="147"/>
  <c r="K48" i="147"/>
  <c r="L48" i="147"/>
  <c r="M48" i="147"/>
  <c r="M88" i="147"/>
  <c r="M126" i="147"/>
  <c r="L10" i="105"/>
  <c r="BF10" i="105"/>
  <c r="BP10" i="105"/>
  <c r="BZ10" i="105"/>
  <c r="E57" i="146"/>
  <c r="G57" i="146"/>
  <c r="H57" i="146"/>
  <c r="I57" i="146"/>
  <c r="J57" i="146"/>
  <c r="K57" i="146"/>
  <c r="L57" i="146"/>
  <c r="M57" i="146"/>
  <c r="M91" i="146"/>
  <c r="M129" i="146"/>
  <c r="V11" i="105"/>
  <c r="AF11" i="105"/>
  <c r="E50" i="146"/>
  <c r="G50" i="146"/>
  <c r="H50" i="146"/>
  <c r="I50" i="146"/>
  <c r="J50" i="146"/>
  <c r="K50" i="146"/>
  <c r="L50" i="146"/>
  <c r="M50" i="146"/>
  <c r="M90" i="146"/>
  <c r="M128" i="146"/>
  <c r="L11" i="105"/>
  <c r="BF11" i="105"/>
  <c r="BP11" i="105"/>
  <c r="BZ11" i="105"/>
  <c r="E55" i="145"/>
  <c r="G55" i="145"/>
  <c r="H55" i="145"/>
  <c r="I55" i="145"/>
  <c r="J55" i="145"/>
  <c r="K55" i="145"/>
  <c r="L55" i="145"/>
  <c r="M55" i="145"/>
  <c r="M91" i="145"/>
  <c r="M129" i="145"/>
  <c r="V12" i="105"/>
  <c r="AF12" i="105"/>
  <c r="I90" i="145"/>
  <c r="I128" i="145"/>
  <c r="H12" i="105"/>
  <c r="BB12" i="105"/>
  <c r="BP12" i="105"/>
  <c r="BZ12" i="105"/>
  <c r="V14" i="105"/>
  <c r="T11" i="172"/>
  <c r="T12" i="172"/>
  <c r="T9" i="172"/>
  <c r="T10" i="172"/>
  <c r="T13" i="172"/>
  <c r="T15" i="172"/>
  <c r="T16" i="172"/>
  <c r="T17" i="172"/>
  <c r="M443" i="39"/>
  <c r="T19" i="172"/>
  <c r="T20" i="172"/>
  <c r="T22" i="172"/>
  <c r="T23" i="172"/>
  <c r="T24" i="172"/>
  <c r="T28" i="172"/>
  <c r="T34" i="172"/>
  <c r="T38" i="172"/>
  <c r="M151" i="48"/>
  <c r="M214" i="48"/>
  <c r="T39" i="172"/>
  <c r="T40" i="172"/>
  <c r="T42" i="172"/>
  <c r="T43" i="172"/>
  <c r="T44" i="172"/>
  <c r="T45" i="172"/>
  <c r="T46" i="172"/>
  <c r="T47" i="172"/>
  <c r="T49" i="172"/>
  <c r="T50" i="172"/>
  <c r="T53" i="172"/>
  <c r="T54" i="172"/>
  <c r="M167" i="157"/>
  <c r="T57" i="172"/>
  <c r="T61" i="172"/>
  <c r="T63" i="172"/>
  <c r="M159" i="139"/>
  <c r="T59" i="172"/>
  <c r="T64" i="172"/>
  <c r="T71" i="172"/>
  <c r="T73" i="172"/>
  <c r="T74" i="172"/>
  <c r="M245" i="110"/>
  <c r="M246" i="110"/>
  <c r="M263" i="110"/>
  <c r="M264" i="110"/>
  <c r="M281" i="110"/>
  <c r="M282" i="110"/>
  <c r="M299" i="110"/>
  <c r="M316" i="110"/>
  <c r="M317" i="110"/>
  <c r="M334" i="110"/>
  <c r="M414" i="110"/>
  <c r="T77" i="172"/>
  <c r="U11" i="172"/>
  <c r="U12" i="172"/>
  <c r="U9" i="172"/>
  <c r="U10" i="172"/>
  <c r="U13" i="172"/>
  <c r="M196" i="49"/>
  <c r="U15" i="172"/>
  <c r="M158" i="62"/>
  <c r="U16" i="172"/>
  <c r="U17" i="172"/>
  <c r="M444" i="39"/>
  <c r="U19" i="172"/>
  <c r="U20" i="172"/>
  <c r="M167" i="40"/>
  <c r="M365" i="40"/>
  <c r="L169" i="40"/>
  <c r="M169" i="40"/>
  <c r="M343" i="40"/>
  <c r="M367" i="40"/>
  <c r="M171" i="40"/>
  <c r="M344" i="40"/>
  <c r="M369" i="40"/>
  <c r="M771" i="40" a="1"/>
  <c r="M772" i="40" a="1"/>
  <c r="M771" i="40"/>
  <c r="M772" i="40"/>
  <c r="M441" i="41"/>
  <c r="U23" i="172"/>
  <c r="U34" i="172"/>
  <c r="M171" i="46"/>
  <c r="U38" i="172"/>
  <c r="U39" i="172"/>
  <c r="U40" i="172"/>
  <c r="U42" i="172"/>
  <c r="U43" i="172"/>
  <c r="U44" i="172"/>
  <c r="U45" i="172"/>
  <c r="U46" i="172"/>
  <c r="U47" i="172"/>
  <c r="U49" i="172"/>
  <c r="U50" i="172"/>
  <c r="U53" i="172"/>
  <c r="U54" i="172"/>
  <c r="U57" i="172"/>
  <c r="U61" i="172"/>
  <c r="M179" i="40"/>
  <c r="M377" i="40"/>
  <c r="M180" i="40"/>
  <c r="M378" i="40"/>
  <c r="L181" i="40"/>
  <c r="M181" i="40"/>
  <c r="M379" i="40"/>
  <c r="M182" i="40"/>
  <c r="M380" i="40"/>
  <c r="U59" i="172"/>
  <c r="U71" i="172"/>
  <c r="U73" i="172"/>
  <c r="U74" i="172"/>
  <c r="M249" i="110"/>
  <c r="M250" i="110"/>
  <c r="M267" i="110"/>
  <c r="M268" i="110"/>
  <c r="M285" i="110"/>
  <c r="M286" i="110"/>
  <c r="M302" i="110"/>
  <c r="M303" i="110"/>
  <c r="M335" i="110"/>
  <c r="M415" i="110"/>
  <c r="U77" i="172"/>
  <c r="E61" i="111"/>
  <c r="G61" i="111"/>
  <c r="H61" i="111"/>
  <c r="I61" i="111"/>
  <c r="J61" i="111"/>
  <c r="K61" i="111"/>
  <c r="L61" i="111"/>
  <c r="M61" i="111"/>
  <c r="L14" i="105"/>
  <c r="BF14" i="105"/>
  <c r="BP14" i="105"/>
  <c r="V15" i="105"/>
  <c r="F276" i="112"/>
  <c r="H276" i="112"/>
  <c r="I276" i="112"/>
  <c r="J276" i="112"/>
  <c r="K276" i="112"/>
  <c r="L276" i="112"/>
  <c r="M276" i="112"/>
  <c r="N276" i="112"/>
  <c r="M487" i="112"/>
  <c r="F277" i="112"/>
  <c r="H277" i="112"/>
  <c r="I277" i="112"/>
  <c r="J277" i="112"/>
  <c r="K277" i="112"/>
  <c r="L277" i="112"/>
  <c r="M277" i="112"/>
  <c r="N277" i="112"/>
  <c r="M488" i="112"/>
  <c r="F278" i="112"/>
  <c r="H278" i="112"/>
  <c r="I278" i="112"/>
  <c r="J278" i="112"/>
  <c r="K278" i="112"/>
  <c r="L278" i="112"/>
  <c r="M278" i="112"/>
  <c r="N278" i="112"/>
  <c r="M489" i="112"/>
  <c r="F279" i="112"/>
  <c r="H279" i="112"/>
  <c r="I279" i="112"/>
  <c r="J279" i="112"/>
  <c r="K279" i="112"/>
  <c r="L279" i="112"/>
  <c r="M279" i="112"/>
  <c r="N279" i="112"/>
  <c r="M490" i="112"/>
  <c r="F280" i="112"/>
  <c r="H280" i="112"/>
  <c r="I280" i="112"/>
  <c r="J280" i="112"/>
  <c r="K280" i="112"/>
  <c r="L280" i="112"/>
  <c r="M280" i="112"/>
  <c r="N280" i="112"/>
  <c r="M491" i="112"/>
  <c r="M492" i="112"/>
  <c r="M601" i="112"/>
  <c r="AF15" i="105"/>
  <c r="L15" i="105"/>
  <c r="BF15" i="105"/>
  <c r="BP15" i="105"/>
  <c r="BZ15" i="105"/>
  <c r="M497" i="112"/>
  <c r="F256" i="112"/>
  <c r="H256" i="112"/>
  <c r="I256" i="112"/>
  <c r="J256" i="112"/>
  <c r="K256" i="112"/>
  <c r="L256" i="112"/>
  <c r="M256" i="112"/>
  <c r="N256" i="112"/>
  <c r="M498" i="112"/>
  <c r="M527" i="112"/>
  <c r="F254" i="112"/>
  <c r="H254" i="112"/>
  <c r="I254" i="112"/>
  <c r="J254" i="112"/>
  <c r="K254" i="112"/>
  <c r="L254" i="112"/>
  <c r="M254" i="112"/>
  <c r="N254" i="112"/>
  <c r="M528" i="112"/>
  <c r="M499" i="112"/>
  <c r="F257" i="112"/>
  <c r="H257" i="112"/>
  <c r="I257" i="112"/>
  <c r="J257" i="112"/>
  <c r="K257" i="112"/>
  <c r="L257" i="112"/>
  <c r="M257" i="112"/>
  <c r="N257" i="112"/>
  <c r="M500" i="112"/>
  <c r="M594" i="112"/>
  <c r="V16" i="105"/>
  <c r="AF16" i="105"/>
  <c r="L16" i="105"/>
  <c r="BF16" i="105"/>
  <c r="BP16" i="105"/>
  <c r="BZ16" i="105"/>
  <c r="AF17" i="105"/>
  <c r="K472" i="113"/>
  <c r="K568" i="113"/>
  <c r="J17" i="105"/>
  <c r="BD17" i="105"/>
  <c r="BP17" i="105"/>
  <c r="F292" i="113"/>
  <c r="H292" i="113"/>
  <c r="I292" i="113"/>
  <c r="J292" i="113"/>
  <c r="K292" i="113"/>
  <c r="L292" i="113"/>
  <c r="M292" i="113"/>
  <c r="N292" i="113"/>
  <c r="M511" i="113"/>
  <c r="F296" i="113"/>
  <c r="H296" i="113"/>
  <c r="I296" i="113"/>
  <c r="J296" i="113"/>
  <c r="K296" i="113"/>
  <c r="L296" i="113"/>
  <c r="M296" i="113"/>
  <c r="N296" i="113"/>
  <c r="M513" i="113"/>
  <c r="AF18" i="105"/>
  <c r="K474" i="113"/>
  <c r="V19" i="105"/>
  <c r="AF19" i="105"/>
  <c r="L19" i="105"/>
  <c r="BF19" i="105"/>
  <c r="BP19" i="105"/>
  <c r="BZ19" i="105"/>
  <c r="V20" i="105"/>
  <c r="AF20" i="105"/>
  <c r="L20" i="105"/>
  <c r="BF20" i="105"/>
  <c r="BP20" i="105"/>
  <c r="BZ20" i="105"/>
  <c r="V22" i="105"/>
  <c r="AF22" i="105"/>
  <c r="J22" i="105"/>
  <c r="BD22" i="105"/>
  <c r="BP22" i="105"/>
  <c r="BZ22" i="105"/>
  <c r="V23" i="105"/>
  <c r="AF23" i="105"/>
  <c r="K101" i="138"/>
  <c r="K139" i="138"/>
  <c r="J23" i="105"/>
  <c r="BD23" i="105"/>
  <c r="BP23" i="105"/>
  <c r="BZ23" i="105"/>
  <c r="V24" i="105"/>
  <c r="AF24" i="105"/>
  <c r="K184" i="49"/>
  <c r="K238" i="49"/>
  <c r="J24" i="105"/>
  <c r="BD24" i="105"/>
  <c r="BP24" i="105"/>
  <c r="BZ24" i="105"/>
  <c r="V25" i="105"/>
  <c r="AF25" i="105"/>
  <c r="M146" i="62"/>
  <c r="M206" i="62"/>
  <c r="L25" i="105"/>
  <c r="BF25" i="105"/>
  <c r="BP25" i="105"/>
  <c r="BZ25" i="105"/>
  <c r="AF26" i="105"/>
  <c r="E480" i="40"/>
  <c r="G480" i="40"/>
  <c r="H480" i="40"/>
  <c r="I480" i="40"/>
  <c r="J480" i="40"/>
  <c r="K480" i="40"/>
  <c r="L480" i="40"/>
  <c r="M480" i="40"/>
  <c r="M741" i="40"/>
  <c r="E484" i="40"/>
  <c r="G484" i="40"/>
  <c r="H484" i="40"/>
  <c r="I484" i="40"/>
  <c r="J484" i="40"/>
  <c r="K484" i="40"/>
  <c r="L484" i="40"/>
  <c r="M484" i="40"/>
  <c r="M745" i="40"/>
  <c r="M923" i="40"/>
  <c r="V27" i="105"/>
  <c r="AF27" i="105"/>
  <c r="E429" i="40"/>
  <c r="G429" i="40"/>
  <c r="H429" i="40"/>
  <c r="I429" i="40"/>
  <c r="J429" i="40"/>
  <c r="K429" i="40"/>
  <c r="L429" i="40"/>
  <c r="M429" i="40"/>
  <c r="M681" i="40"/>
  <c r="E433" i="40"/>
  <c r="G433" i="40"/>
  <c r="H433" i="40"/>
  <c r="I433" i="40"/>
  <c r="J433" i="40"/>
  <c r="K433" i="40"/>
  <c r="L433" i="40"/>
  <c r="M433" i="40"/>
  <c r="M685" i="40"/>
  <c r="M922" i="40"/>
  <c r="L27" i="105"/>
  <c r="BF27" i="105"/>
  <c r="BP27" i="105"/>
  <c r="BZ27" i="105"/>
  <c r="E481" i="40"/>
  <c r="G481" i="40"/>
  <c r="H481" i="40"/>
  <c r="I481" i="40"/>
  <c r="J481" i="40"/>
  <c r="K481" i="40"/>
  <c r="L481" i="40"/>
  <c r="M481" i="40"/>
  <c r="M742" i="40"/>
  <c r="E485" i="40"/>
  <c r="G485" i="40"/>
  <c r="H485" i="40"/>
  <c r="I485" i="40"/>
  <c r="J485" i="40"/>
  <c r="K485" i="40"/>
  <c r="L485" i="40"/>
  <c r="M485" i="40"/>
  <c r="M746" i="40"/>
  <c r="M933" i="40"/>
  <c r="V28" i="105"/>
  <c r="AF28" i="105"/>
  <c r="K682" i="40"/>
  <c r="K686" i="40"/>
  <c r="K932" i="40"/>
  <c r="J28" i="105"/>
  <c r="BD28" i="105"/>
  <c r="BP28" i="105"/>
  <c r="BZ28" i="105"/>
  <c r="E482" i="40"/>
  <c r="G482" i="40"/>
  <c r="H482" i="40"/>
  <c r="I482" i="40"/>
  <c r="J482" i="40"/>
  <c r="K482" i="40"/>
  <c r="L482" i="40"/>
  <c r="M482" i="40"/>
  <c r="M743" i="40"/>
  <c r="E486" i="40"/>
  <c r="G486" i="40"/>
  <c r="H486" i="40"/>
  <c r="I486" i="40"/>
  <c r="J486" i="40"/>
  <c r="K486" i="40"/>
  <c r="L486" i="40"/>
  <c r="M486" i="40"/>
  <c r="M747" i="40"/>
  <c r="M943" i="40"/>
  <c r="V29" i="105"/>
  <c r="AF29" i="105"/>
  <c r="K683" i="40"/>
  <c r="K687" i="40"/>
  <c r="K942" i="40"/>
  <c r="J29" i="105"/>
  <c r="BD29" i="105"/>
  <c r="BP29" i="105"/>
  <c r="BZ29" i="105"/>
  <c r="BZ30" i="105"/>
  <c r="E479" i="40"/>
  <c r="G479" i="40"/>
  <c r="H479" i="40"/>
  <c r="I479" i="40"/>
  <c r="J479" i="40"/>
  <c r="K479" i="40"/>
  <c r="L479" i="40"/>
  <c r="M479" i="40"/>
  <c r="M740" i="40"/>
  <c r="M963" i="40"/>
  <c r="V31" i="105"/>
  <c r="AF31" i="105"/>
  <c r="F428" i="40"/>
  <c r="E428" i="40"/>
  <c r="G428" i="40"/>
  <c r="H428" i="40"/>
  <c r="I428" i="40"/>
  <c r="J428" i="40"/>
  <c r="K428" i="40"/>
  <c r="L428" i="40"/>
  <c r="M428" i="40"/>
  <c r="M680" i="40"/>
  <c r="M962" i="40"/>
  <c r="L31" i="105"/>
  <c r="BF31" i="105"/>
  <c r="BP31" i="105"/>
  <c r="BZ31" i="105"/>
  <c r="E488" i="40"/>
  <c r="G488" i="40"/>
  <c r="H488" i="40"/>
  <c r="I488" i="40"/>
  <c r="J488" i="40"/>
  <c r="K488" i="40"/>
  <c r="L488" i="40"/>
  <c r="M488" i="40"/>
  <c r="M749" i="40"/>
  <c r="E489" i="40"/>
  <c r="G489" i="40"/>
  <c r="H489" i="40"/>
  <c r="I489" i="40"/>
  <c r="J489" i="40"/>
  <c r="K489" i="40"/>
  <c r="L489" i="40"/>
  <c r="M489" i="40"/>
  <c r="M750" i="40"/>
  <c r="M973" i="40"/>
  <c r="V32" i="105"/>
  <c r="AF32" i="105"/>
  <c r="H689" i="40"/>
  <c r="H690" i="40"/>
  <c r="H972" i="40"/>
  <c r="G32" i="105"/>
  <c r="BA32" i="105"/>
  <c r="BP32" i="105"/>
  <c r="BZ32" i="105"/>
  <c r="E492" i="40"/>
  <c r="G492" i="40"/>
  <c r="H492" i="40"/>
  <c r="I492" i="40"/>
  <c r="J492" i="40"/>
  <c r="K492" i="40"/>
  <c r="L492" i="40"/>
  <c r="M492" i="40"/>
  <c r="M753" i="40"/>
  <c r="M983" i="40"/>
  <c r="V33" i="105"/>
  <c r="AF33" i="105"/>
  <c r="H693" i="40"/>
  <c r="H982" i="40"/>
  <c r="G33" i="105"/>
  <c r="BA33" i="105"/>
  <c r="BP33" i="105"/>
  <c r="BZ33" i="105"/>
  <c r="M411" i="41"/>
  <c r="M412" i="41"/>
  <c r="L254" i="41"/>
  <c r="M413" i="41"/>
  <c r="M414" i="41"/>
  <c r="M428" i="41"/>
  <c r="M533" i="41"/>
  <c r="V34" i="105"/>
  <c r="AF34" i="105"/>
  <c r="L384" i="41"/>
  <c r="L385" i="41"/>
  <c r="L386" i="41"/>
  <c r="L387" i="41"/>
  <c r="L427" i="41"/>
  <c r="L532" i="41"/>
  <c r="K34" i="105"/>
  <c r="BE34" i="105"/>
  <c r="BP34" i="105"/>
  <c r="BZ34" i="105"/>
  <c r="E87" i="46"/>
  <c r="G87" i="46"/>
  <c r="H87" i="46"/>
  <c r="I87" i="46"/>
  <c r="J87" i="46"/>
  <c r="K87" i="46"/>
  <c r="L87" i="46"/>
  <c r="M87" i="46"/>
  <c r="M163" i="46"/>
  <c r="M212" i="46"/>
  <c r="V35" i="105"/>
  <c r="AF35" i="105"/>
  <c r="K162" i="46"/>
  <c r="K211" i="46"/>
  <c r="J35" i="105"/>
  <c r="BD35" i="105"/>
  <c r="BP35" i="105"/>
  <c r="BZ35" i="105"/>
  <c r="V36" i="105"/>
  <c r="D106" i="6"/>
  <c r="M119" i="48"/>
  <c r="M201" i="48"/>
  <c r="M255" i="48"/>
  <c r="AF36" i="105"/>
  <c r="L36" i="105"/>
  <c r="BF36" i="105"/>
  <c r="BP36" i="105"/>
  <c r="BZ36" i="105"/>
  <c r="V37" i="105"/>
  <c r="D104" i="6"/>
  <c r="M128" i="48"/>
  <c r="M202" i="48"/>
  <c r="M262" i="48"/>
  <c r="AF37" i="105"/>
  <c r="L37" i="105"/>
  <c r="BF37" i="105"/>
  <c r="BP37" i="105"/>
  <c r="BZ37" i="105"/>
  <c r="V38" i="105"/>
  <c r="M37" i="48"/>
  <c r="M39" i="48"/>
  <c r="M40" i="48"/>
  <c r="M51" i="48"/>
  <c r="M156" i="48"/>
  <c r="M137" i="48"/>
  <c r="M203" i="48"/>
  <c r="M269" i="48"/>
  <c r="AF38" i="105"/>
  <c r="L38" i="105"/>
  <c r="BF38" i="105"/>
  <c r="BP38" i="105"/>
  <c r="BZ38" i="105"/>
  <c r="AF39" i="105"/>
  <c r="V40" i="105"/>
  <c r="AP11" i="172"/>
  <c r="AP12" i="172"/>
  <c r="AP9" i="172"/>
  <c r="AP10" i="172"/>
  <c r="AP13" i="172"/>
  <c r="AP15" i="172"/>
  <c r="AP16" i="172"/>
  <c r="AP17" i="172"/>
  <c r="AP19" i="172"/>
  <c r="AP20" i="172"/>
  <c r="AP22" i="172"/>
  <c r="AP23" i="172"/>
  <c r="AP24" i="172"/>
  <c r="AP28" i="172"/>
  <c r="AP34" i="172"/>
  <c r="AP35" i="172"/>
  <c r="AP36" i="172"/>
  <c r="AP38" i="172"/>
  <c r="AP39" i="172"/>
  <c r="AP40" i="172"/>
  <c r="AP42" i="172"/>
  <c r="AP43" i="172"/>
  <c r="AP44" i="172"/>
  <c r="AP45" i="172"/>
  <c r="AP46" i="172"/>
  <c r="AP47" i="172"/>
  <c r="AP49" i="172"/>
  <c r="AP50" i="172"/>
  <c r="AP53" i="172"/>
  <c r="AP54" i="172"/>
  <c r="AP57" i="172"/>
  <c r="AP61" i="172"/>
  <c r="AP63" i="172"/>
  <c r="AP59" i="172"/>
  <c r="AP64" i="172"/>
  <c r="AP66" i="172"/>
  <c r="AP71" i="172"/>
  <c r="AP73" i="172"/>
  <c r="AP74" i="172"/>
  <c r="AP77" i="172"/>
  <c r="AP79" i="172"/>
  <c r="AP80" i="172"/>
  <c r="AP83" i="172"/>
  <c r="X11" i="172"/>
  <c r="X12" i="172"/>
  <c r="X9" i="172"/>
  <c r="X10" i="172"/>
  <c r="X13" i="172"/>
  <c r="X15" i="172"/>
  <c r="X16" i="172"/>
  <c r="X17" i="172"/>
  <c r="X19" i="172"/>
  <c r="X20" i="172"/>
  <c r="X22" i="172"/>
  <c r="X23" i="172"/>
  <c r="X24" i="172"/>
  <c r="X28" i="172"/>
  <c r="M348" i="113"/>
  <c r="M354" i="113"/>
  <c r="M360" i="113"/>
  <c r="M366" i="113"/>
  <c r="M370" i="113"/>
  <c r="M529" i="113"/>
  <c r="X34" i="172"/>
  <c r="X35" i="172"/>
  <c r="X36" i="172"/>
  <c r="X38" i="172"/>
  <c r="M216" i="48"/>
  <c r="X39" i="172"/>
  <c r="X40" i="172"/>
  <c r="X42" i="172"/>
  <c r="X43" i="172"/>
  <c r="X44" i="172"/>
  <c r="X45" i="172"/>
  <c r="X46" i="172"/>
  <c r="X47" i="172"/>
  <c r="X49" i="172"/>
  <c r="X50" i="172"/>
  <c r="X53" i="172"/>
  <c r="X54" i="172"/>
  <c r="X57" i="172"/>
  <c r="X61" i="172"/>
  <c r="X63" i="172"/>
  <c r="X59" i="172"/>
  <c r="X64" i="172"/>
  <c r="X66" i="172"/>
  <c r="X71" i="172"/>
  <c r="X73" i="172"/>
  <c r="X74" i="172"/>
  <c r="X77" i="172"/>
  <c r="X79" i="172"/>
  <c r="X80" i="172"/>
  <c r="L40" i="105"/>
  <c r="BF40" i="105"/>
  <c r="BP40" i="105"/>
  <c r="V41" i="105"/>
  <c r="AQ11" i="172"/>
  <c r="AQ12" i="172"/>
  <c r="AQ9" i="172"/>
  <c r="AQ10" i="172"/>
  <c r="AQ13" i="172"/>
  <c r="AQ15" i="172"/>
  <c r="AQ16" i="172"/>
  <c r="AQ17" i="172"/>
  <c r="AQ19" i="172"/>
  <c r="AQ20" i="172"/>
  <c r="AQ22" i="172"/>
  <c r="AQ23" i="172"/>
  <c r="AQ24" i="172"/>
  <c r="AQ28" i="172"/>
  <c r="AQ34" i="172"/>
  <c r="AQ35" i="172"/>
  <c r="AQ36" i="172"/>
  <c r="AQ38" i="172"/>
  <c r="AQ39" i="172"/>
  <c r="AQ40" i="172"/>
  <c r="AQ42" i="172"/>
  <c r="AQ43" i="172"/>
  <c r="AQ44" i="172"/>
  <c r="AQ45" i="172"/>
  <c r="AQ46" i="172"/>
  <c r="AQ47" i="172"/>
  <c r="AQ49" i="172"/>
  <c r="AQ50" i="172"/>
  <c r="AQ53" i="172"/>
  <c r="AQ54" i="172"/>
  <c r="AQ57" i="172"/>
  <c r="AQ61" i="172"/>
  <c r="AQ63" i="172"/>
  <c r="AQ59" i="172"/>
  <c r="AQ64" i="172"/>
  <c r="AQ66" i="172"/>
  <c r="AQ71" i="172"/>
  <c r="AQ73" i="172"/>
  <c r="AQ74" i="172"/>
  <c r="AQ77" i="172"/>
  <c r="AQ79" i="172"/>
  <c r="AQ80" i="172"/>
  <c r="AQ83" i="172"/>
  <c r="Y11" i="172"/>
  <c r="Y12" i="172"/>
  <c r="Y9" i="172"/>
  <c r="Y10" i="172"/>
  <c r="Y13" i="172"/>
  <c r="Y15" i="172"/>
  <c r="Y16" i="172"/>
  <c r="Y17" i="172"/>
  <c r="Y19" i="172"/>
  <c r="Y20" i="172"/>
  <c r="Y22" i="172"/>
  <c r="Y23" i="172"/>
  <c r="Y24" i="172"/>
  <c r="Y28" i="172"/>
  <c r="Y34" i="172"/>
  <c r="Y35" i="172"/>
  <c r="Y36" i="172"/>
  <c r="M173" i="46"/>
  <c r="Y38" i="172"/>
  <c r="M217" i="48"/>
  <c r="Y39" i="172"/>
  <c r="Y40" i="172"/>
  <c r="Y42" i="172"/>
  <c r="Y43" i="172"/>
  <c r="Y44" i="172"/>
  <c r="Y45" i="172"/>
  <c r="Y46" i="172"/>
  <c r="Y47" i="172"/>
  <c r="Y49" i="172"/>
  <c r="Y50" i="172"/>
  <c r="Y53" i="172"/>
  <c r="Y54" i="172"/>
  <c r="Y57" i="172"/>
  <c r="Y61" i="172"/>
  <c r="Y63" i="172"/>
  <c r="Y59" i="172"/>
  <c r="Y64" i="172"/>
  <c r="Y66" i="172"/>
  <c r="Y71" i="172"/>
  <c r="Y73" i="172"/>
  <c r="Y74" i="172"/>
  <c r="Y77" i="172"/>
  <c r="Y79" i="172"/>
  <c r="Y80" i="172"/>
  <c r="L41" i="105"/>
  <c r="BF41" i="105"/>
  <c r="BP41" i="105"/>
  <c r="V42" i="105"/>
  <c r="AR11" i="172"/>
  <c r="AR12" i="172"/>
  <c r="AR9" i="172"/>
  <c r="AR10" i="172"/>
  <c r="AR13" i="172"/>
  <c r="AR15" i="172"/>
  <c r="AR16" i="172"/>
  <c r="AR17" i="172"/>
  <c r="AR19" i="172"/>
  <c r="AR20" i="172"/>
  <c r="AR22" i="172"/>
  <c r="AR23" i="172"/>
  <c r="AR24" i="172"/>
  <c r="AR28" i="172"/>
  <c r="AR34" i="172"/>
  <c r="AR35" i="172"/>
  <c r="AR36" i="172"/>
  <c r="AR38" i="172"/>
  <c r="AR39" i="172"/>
  <c r="AR40" i="172"/>
  <c r="AR42" i="172"/>
  <c r="AR43" i="172"/>
  <c r="AR44" i="172"/>
  <c r="AR45" i="172"/>
  <c r="AR46" i="172"/>
  <c r="AR47" i="172"/>
  <c r="AR49" i="172"/>
  <c r="AR50" i="172"/>
  <c r="AR53" i="172"/>
  <c r="AR54" i="172"/>
  <c r="AR57" i="172"/>
  <c r="AR61" i="172"/>
  <c r="AR63" i="172"/>
  <c r="AR59" i="172"/>
  <c r="AR64" i="172"/>
  <c r="AR66" i="172"/>
  <c r="AR71" i="172"/>
  <c r="AR73" i="172"/>
  <c r="AR74" i="172"/>
  <c r="AR77" i="172"/>
  <c r="AR79" i="172"/>
  <c r="AR80" i="172"/>
  <c r="AR83" i="172"/>
  <c r="Z11" i="172"/>
  <c r="Z12" i="172"/>
  <c r="Z9" i="172"/>
  <c r="Z10" i="172"/>
  <c r="Z13" i="172"/>
  <c r="Z15" i="172"/>
  <c r="Z16" i="172"/>
  <c r="Z17" i="172"/>
  <c r="Z19" i="172"/>
  <c r="Z20" i="172"/>
  <c r="Z22" i="172"/>
  <c r="Z23" i="172"/>
  <c r="Z24" i="172"/>
  <c r="Z28" i="172"/>
  <c r="Z34" i="172"/>
  <c r="Z35" i="172"/>
  <c r="Z36" i="172"/>
  <c r="Z38" i="172"/>
  <c r="M218" i="48"/>
  <c r="Z39" i="172"/>
  <c r="Z40" i="172"/>
  <c r="Z42" i="172"/>
  <c r="Z43" i="172"/>
  <c r="Z44" i="172"/>
  <c r="Z45" i="172"/>
  <c r="Z46" i="172"/>
  <c r="Z47" i="172"/>
  <c r="Z49" i="172"/>
  <c r="Z50" i="172"/>
  <c r="Z53" i="172"/>
  <c r="Z54" i="172"/>
  <c r="Z57" i="172"/>
  <c r="Z61" i="172"/>
  <c r="Z63" i="172"/>
  <c r="Z59" i="172"/>
  <c r="Z64" i="172"/>
  <c r="Z66" i="172"/>
  <c r="Z71" i="172"/>
  <c r="Z73" i="172"/>
  <c r="Z74" i="172"/>
  <c r="Z77" i="172"/>
  <c r="Z79" i="172"/>
  <c r="Z80" i="172"/>
  <c r="L42" i="105"/>
  <c r="BF42" i="105"/>
  <c r="BP42" i="105"/>
  <c r="L138" i="140"/>
  <c r="L157" i="140"/>
  <c r="L214" i="140"/>
  <c r="U3" i="105"/>
  <c r="AE3" i="105"/>
  <c r="I156" i="140"/>
  <c r="I213" i="140"/>
  <c r="H3" i="105"/>
  <c r="BB3" i="105"/>
  <c r="BO3" i="105"/>
  <c r="BY3" i="105"/>
  <c r="L135" i="157"/>
  <c r="L154" i="157"/>
  <c r="L215" i="157"/>
  <c r="U4" i="105"/>
  <c r="AE4" i="105"/>
  <c r="G153" i="157"/>
  <c r="G214" i="157"/>
  <c r="F4" i="105"/>
  <c r="AZ4" i="105"/>
  <c r="BO4" i="105"/>
  <c r="BY4" i="105"/>
  <c r="L130" i="139"/>
  <c r="L149" i="139"/>
  <c r="L207" i="139"/>
  <c r="U5" i="105"/>
  <c r="AE5" i="105"/>
  <c r="L148" i="139"/>
  <c r="L206" i="139"/>
  <c r="K5" i="105"/>
  <c r="BE5" i="105"/>
  <c r="BO5" i="105"/>
  <c r="BY5" i="105"/>
  <c r="L113" i="141"/>
  <c r="L104" i="141"/>
  <c r="L105" i="141"/>
  <c r="L106" i="141"/>
  <c r="L107" i="141"/>
  <c r="L141" i="141"/>
  <c r="L131" i="141"/>
  <c r="L169" i="141"/>
  <c r="U6" i="105"/>
  <c r="L132" i="141"/>
  <c r="L170" i="141"/>
  <c r="AE6" i="105"/>
  <c r="G130" i="141"/>
  <c r="G168" i="141"/>
  <c r="F6" i="105"/>
  <c r="AZ6" i="105"/>
  <c r="BO6" i="105"/>
  <c r="BY6" i="105"/>
  <c r="L91" i="142"/>
  <c r="L107" i="142"/>
  <c r="L136" i="142"/>
  <c r="U7" i="105"/>
  <c r="AE7" i="105"/>
  <c r="I106" i="142"/>
  <c r="I135" i="142"/>
  <c r="H7" i="105"/>
  <c r="BB7" i="105"/>
  <c r="BO7" i="105"/>
  <c r="BY7" i="105"/>
  <c r="L91" i="143"/>
  <c r="L133" i="143"/>
  <c r="U8" i="105"/>
  <c r="AE8" i="105"/>
  <c r="L90" i="143"/>
  <c r="L132" i="143"/>
  <c r="K8" i="105"/>
  <c r="BE8" i="105"/>
  <c r="BO8" i="105"/>
  <c r="BY8" i="105"/>
  <c r="L91" i="144"/>
  <c r="L133" i="144"/>
  <c r="U9" i="105"/>
  <c r="AE9" i="105"/>
  <c r="L90" i="144"/>
  <c r="L132" i="144"/>
  <c r="K9" i="105"/>
  <c r="BE9" i="105"/>
  <c r="BO9" i="105"/>
  <c r="BY9" i="105"/>
  <c r="L89" i="147"/>
  <c r="L127" i="147"/>
  <c r="U10" i="105"/>
  <c r="AE10" i="105"/>
  <c r="L88" i="147"/>
  <c r="L126" i="147"/>
  <c r="K10" i="105"/>
  <c r="BE10" i="105"/>
  <c r="BO10" i="105"/>
  <c r="BY10" i="105"/>
  <c r="L91" i="146"/>
  <c r="L129" i="146"/>
  <c r="U11" i="105"/>
  <c r="AE11" i="105"/>
  <c r="L90" i="146"/>
  <c r="L128" i="146"/>
  <c r="K11" i="105"/>
  <c r="BE11" i="105"/>
  <c r="BO11" i="105"/>
  <c r="BY11" i="105"/>
  <c r="L91" i="145"/>
  <c r="L129" i="145"/>
  <c r="U12" i="105"/>
  <c r="AE12" i="105"/>
  <c r="H90" i="145"/>
  <c r="H128" i="145"/>
  <c r="G12" i="105"/>
  <c r="BA12" i="105"/>
  <c r="BO12" i="105"/>
  <c r="BY12" i="105"/>
  <c r="U14" i="105"/>
  <c r="T11" i="171"/>
  <c r="T12" i="171"/>
  <c r="T9" i="171"/>
  <c r="T10" i="171"/>
  <c r="T13" i="171"/>
  <c r="T15" i="171"/>
  <c r="T16" i="171"/>
  <c r="T17" i="171"/>
  <c r="L443" i="39"/>
  <c r="T19" i="171"/>
  <c r="T20" i="171"/>
  <c r="T22" i="171"/>
  <c r="T23" i="171"/>
  <c r="T24" i="171"/>
  <c r="T28" i="171"/>
  <c r="T34" i="171"/>
  <c r="T38" i="171"/>
  <c r="L151" i="48"/>
  <c r="L214" i="48"/>
  <c r="T39" i="171"/>
  <c r="T40" i="171"/>
  <c r="T42" i="171"/>
  <c r="T43" i="171"/>
  <c r="T44" i="171"/>
  <c r="T45" i="171"/>
  <c r="T46" i="171"/>
  <c r="T47" i="171"/>
  <c r="T49" i="171"/>
  <c r="T50" i="171"/>
  <c r="T53" i="171"/>
  <c r="T54" i="171"/>
  <c r="L167" i="157"/>
  <c r="T57" i="171"/>
  <c r="T61" i="171"/>
  <c r="T63" i="171"/>
  <c r="L159" i="139"/>
  <c r="T59" i="171"/>
  <c r="T64" i="171"/>
  <c r="T71" i="171"/>
  <c r="T73" i="171"/>
  <c r="T74" i="171"/>
  <c r="L245" i="110"/>
  <c r="L246" i="110"/>
  <c r="L263" i="110"/>
  <c r="L264" i="110"/>
  <c r="L281" i="110"/>
  <c r="L282" i="110"/>
  <c r="L299" i="110"/>
  <c r="L316" i="110"/>
  <c r="L317" i="110"/>
  <c r="L334" i="110"/>
  <c r="L414" i="110"/>
  <c r="T77" i="171"/>
  <c r="U11" i="171"/>
  <c r="U12" i="171"/>
  <c r="U9" i="171"/>
  <c r="U10" i="171"/>
  <c r="U13" i="171"/>
  <c r="L196" i="49"/>
  <c r="U15" i="171"/>
  <c r="L158" i="62"/>
  <c r="U16" i="171"/>
  <c r="U17" i="171"/>
  <c r="L444" i="39"/>
  <c r="U19" i="171"/>
  <c r="U20" i="171"/>
  <c r="L167" i="40"/>
  <c r="L365" i="40"/>
  <c r="L343" i="40"/>
  <c r="L367" i="40"/>
  <c r="L171" i="40"/>
  <c r="L344" i="40"/>
  <c r="L369" i="40"/>
  <c r="L771" i="40" a="1"/>
  <c r="L772" i="40" a="1"/>
  <c r="L771" i="40"/>
  <c r="L772" i="40"/>
  <c r="L441" i="41"/>
  <c r="U23" i="171"/>
  <c r="U34" i="171"/>
  <c r="L171" i="46"/>
  <c r="U38" i="171"/>
  <c r="U39" i="171"/>
  <c r="U40" i="171"/>
  <c r="U42" i="171"/>
  <c r="U43" i="171"/>
  <c r="U44" i="171"/>
  <c r="U45" i="171"/>
  <c r="U46" i="171"/>
  <c r="U47" i="171"/>
  <c r="U49" i="171"/>
  <c r="U50" i="171"/>
  <c r="U53" i="171"/>
  <c r="U54" i="171"/>
  <c r="U57" i="171"/>
  <c r="U61" i="171"/>
  <c r="L179" i="40"/>
  <c r="L377" i="40"/>
  <c r="L180" i="40"/>
  <c r="L378" i="40"/>
  <c r="L379" i="40"/>
  <c r="L182" i="40"/>
  <c r="L380" i="40"/>
  <c r="U59" i="171"/>
  <c r="U71" i="171"/>
  <c r="U73" i="171"/>
  <c r="U74" i="171"/>
  <c r="L249" i="110"/>
  <c r="L250" i="110"/>
  <c r="L267" i="110"/>
  <c r="L268" i="110"/>
  <c r="L285" i="110"/>
  <c r="L286" i="110"/>
  <c r="L302" i="110"/>
  <c r="L303" i="110"/>
  <c r="L335" i="110"/>
  <c r="L415" i="110"/>
  <c r="U77" i="171"/>
  <c r="K14" i="105"/>
  <c r="BE14" i="105"/>
  <c r="BO14" i="105"/>
  <c r="U15" i="105"/>
  <c r="L487" i="112"/>
  <c r="L488" i="112"/>
  <c r="L489" i="112"/>
  <c r="L490" i="112"/>
  <c r="L491" i="112"/>
  <c r="L492" i="112"/>
  <c r="L601" i="112"/>
  <c r="AE15" i="105"/>
  <c r="K15" i="105"/>
  <c r="BE15" i="105"/>
  <c r="BO15" i="105"/>
  <c r="BY15" i="105"/>
  <c r="L497" i="112"/>
  <c r="L498" i="112"/>
  <c r="L527" i="112"/>
  <c r="L528" i="112"/>
  <c r="L499" i="112"/>
  <c r="L500" i="112"/>
  <c r="L594" i="112"/>
  <c r="U16" i="105"/>
  <c r="AE16" i="105"/>
  <c r="K16" i="105"/>
  <c r="BE16" i="105"/>
  <c r="BO16" i="105"/>
  <c r="BY16" i="105"/>
  <c r="AE17" i="105"/>
  <c r="J472" i="113"/>
  <c r="J568" i="113"/>
  <c r="I17" i="105"/>
  <c r="BC17" i="105"/>
  <c r="BO17" i="105"/>
  <c r="L511" i="113"/>
  <c r="L513" i="113"/>
  <c r="AE18" i="105"/>
  <c r="J474" i="113"/>
  <c r="U19" i="105"/>
  <c r="AE19" i="105"/>
  <c r="K19" i="105"/>
  <c r="BE19" i="105"/>
  <c r="BO19" i="105"/>
  <c r="BY19" i="105"/>
  <c r="U20" i="105"/>
  <c r="AE20" i="105"/>
  <c r="K20" i="105"/>
  <c r="BE20" i="105"/>
  <c r="BO20" i="105"/>
  <c r="BY20" i="105"/>
  <c r="U22" i="105"/>
  <c r="AE22" i="105"/>
  <c r="I22" i="105"/>
  <c r="BC22" i="105"/>
  <c r="BO22" i="105"/>
  <c r="BY22" i="105"/>
  <c r="U23" i="105"/>
  <c r="AE23" i="105"/>
  <c r="J101" i="138"/>
  <c r="J139" i="138"/>
  <c r="I23" i="105"/>
  <c r="BC23" i="105"/>
  <c r="BO23" i="105"/>
  <c r="BY23" i="105"/>
  <c r="U24" i="105"/>
  <c r="AE24" i="105"/>
  <c r="J184" i="49"/>
  <c r="J238" i="49"/>
  <c r="I24" i="105"/>
  <c r="BC24" i="105"/>
  <c r="BO24" i="105"/>
  <c r="BY24" i="105"/>
  <c r="U25" i="105"/>
  <c r="AE25" i="105"/>
  <c r="L146" i="62"/>
  <c r="L206" i="62"/>
  <c r="K25" i="105"/>
  <c r="BE25" i="105"/>
  <c r="BO25" i="105"/>
  <c r="BY25" i="105"/>
  <c r="AE26" i="105"/>
  <c r="L741" i="40"/>
  <c r="L745" i="40"/>
  <c r="L923" i="40"/>
  <c r="U27" i="105"/>
  <c r="AE27" i="105"/>
  <c r="L681" i="40"/>
  <c r="L685" i="40"/>
  <c r="L922" i="40"/>
  <c r="K27" i="105"/>
  <c r="BE27" i="105"/>
  <c r="BO27" i="105"/>
  <c r="BY27" i="105"/>
  <c r="L742" i="40"/>
  <c r="L746" i="40"/>
  <c r="L933" i="40"/>
  <c r="U28" i="105"/>
  <c r="AE28" i="105"/>
  <c r="J682" i="40"/>
  <c r="J686" i="40"/>
  <c r="J932" i="40"/>
  <c r="I28" i="105"/>
  <c r="BC28" i="105"/>
  <c r="BO28" i="105"/>
  <c r="BY28" i="105"/>
  <c r="L743" i="40"/>
  <c r="L747" i="40"/>
  <c r="L943" i="40"/>
  <c r="U29" i="105"/>
  <c r="AE29" i="105"/>
  <c r="J683" i="40"/>
  <c r="J687" i="40"/>
  <c r="J942" i="40"/>
  <c r="I29" i="105"/>
  <c r="BC29" i="105"/>
  <c r="BO29" i="105"/>
  <c r="BY29" i="105"/>
  <c r="BY30" i="105"/>
  <c r="L740" i="40"/>
  <c r="L963" i="40"/>
  <c r="U31" i="105"/>
  <c r="AE31" i="105"/>
  <c r="L680" i="40"/>
  <c r="L962" i="40"/>
  <c r="K31" i="105"/>
  <c r="BE31" i="105"/>
  <c r="BO31" i="105"/>
  <c r="BY31" i="105"/>
  <c r="L749" i="40"/>
  <c r="L750" i="40"/>
  <c r="L973" i="40"/>
  <c r="U32" i="105"/>
  <c r="AE32" i="105"/>
  <c r="G689" i="40"/>
  <c r="G690" i="40"/>
  <c r="G972" i="40"/>
  <c r="F32" i="105"/>
  <c r="AZ32" i="105"/>
  <c r="BO32" i="105"/>
  <c r="BY32" i="105"/>
  <c r="L753" i="40"/>
  <c r="L983" i="40"/>
  <c r="U33" i="105"/>
  <c r="AE33" i="105"/>
  <c r="G693" i="40"/>
  <c r="G982" i="40"/>
  <c r="F33" i="105"/>
  <c r="AZ33" i="105"/>
  <c r="BO33" i="105"/>
  <c r="BY33" i="105"/>
  <c r="L411" i="41"/>
  <c r="L412" i="41"/>
  <c r="K254" i="41"/>
  <c r="L413" i="41"/>
  <c r="L414" i="41"/>
  <c r="L428" i="41"/>
  <c r="L533" i="41"/>
  <c r="U34" i="105"/>
  <c r="AE34" i="105"/>
  <c r="K384" i="41"/>
  <c r="K385" i="41"/>
  <c r="K386" i="41"/>
  <c r="K387" i="41"/>
  <c r="K427" i="41"/>
  <c r="K532" i="41"/>
  <c r="J34" i="105"/>
  <c r="BD34" i="105"/>
  <c r="BO34" i="105"/>
  <c r="BY34" i="105"/>
  <c r="L163" i="46"/>
  <c r="L212" i="46"/>
  <c r="U35" i="105"/>
  <c r="AE35" i="105"/>
  <c r="J162" i="46"/>
  <c r="J211" i="46"/>
  <c r="I35" i="105"/>
  <c r="BC35" i="105"/>
  <c r="BO35" i="105"/>
  <c r="BY35" i="105"/>
  <c r="U36" i="105"/>
  <c r="L119" i="48"/>
  <c r="L201" i="48"/>
  <c r="L255" i="48"/>
  <c r="AE36" i="105"/>
  <c r="K36" i="105"/>
  <c r="BE36" i="105"/>
  <c r="BO36" i="105"/>
  <c r="BY36" i="105"/>
  <c r="U37" i="105"/>
  <c r="L128" i="48"/>
  <c r="L202" i="48"/>
  <c r="L262" i="48"/>
  <c r="AE37" i="105"/>
  <c r="K37" i="105"/>
  <c r="BE37" i="105"/>
  <c r="BO37" i="105"/>
  <c r="BY37" i="105"/>
  <c r="U38" i="105"/>
  <c r="L37" i="48"/>
  <c r="L39" i="48"/>
  <c r="L40" i="48"/>
  <c r="L51" i="48"/>
  <c r="L156" i="48"/>
  <c r="L137" i="48"/>
  <c r="L203" i="48"/>
  <c r="L269" i="48"/>
  <c r="AE38" i="105"/>
  <c r="K38" i="105"/>
  <c r="BE38" i="105"/>
  <c r="BO38" i="105"/>
  <c r="BY38" i="105"/>
  <c r="AE39" i="105"/>
  <c r="U40" i="105"/>
  <c r="AP11" i="171"/>
  <c r="AP12" i="171"/>
  <c r="AP9" i="171"/>
  <c r="AP10" i="171"/>
  <c r="AP13" i="171"/>
  <c r="AP15" i="171"/>
  <c r="AP16" i="171"/>
  <c r="AP17" i="171"/>
  <c r="AP19" i="171"/>
  <c r="AP20" i="171"/>
  <c r="AP22" i="171"/>
  <c r="AP23" i="171"/>
  <c r="AP24" i="171"/>
  <c r="AP28" i="171"/>
  <c r="AP34" i="171"/>
  <c r="AP35" i="171"/>
  <c r="AP36" i="171"/>
  <c r="AP38" i="171"/>
  <c r="AP39" i="171"/>
  <c r="AP40" i="171"/>
  <c r="AP42" i="171"/>
  <c r="AP43" i="171"/>
  <c r="AP44" i="171"/>
  <c r="AP45" i="171"/>
  <c r="AP46" i="171"/>
  <c r="AP47" i="171"/>
  <c r="AP49" i="171"/>
  <c r="AP50" i="171"/>
  <c r="AP53" i="171"/>
  <c r="AP54" i="171"/>
  <c r="AP57" i="171"/>
  <c r="AP61" i="171"/>
  <c r="AP63" i="171"/>
  <c r="AP59" i="171"/>
  <c r="AP64" i="171"/>
  <c r="AP66" i="171"/>
  <c r="AP71" i="171"/>
  <c r="AP73" i="171"/>
  <c r="AP74" i="171"/>
  <c r="AP77" i="171"/>
  <c r="AP79" i="171"/>
  <c r="AP80" i="171"/>
  <c r="AP83" i="171"/>
  <c r="X11" i="171"/>
  <c r="X12" i="171"/>
  <c r="X9" i="171"/>
  <c r="X10" i="171"/>
  <c r="X13" i="171"/>
  <c r="X15" i="171"/>
  <c r="X16" i="171"/>
  <c r="X17" i="171"/>
  <c r="X19" i="171"/>
  <c r="X20" i="171"/>
  <c r="X22" i="171"/>
  <c r="X23" i="171"/>
  <c r="X24" i="171"/>
  <c r="X28" i="171"/>
  <c r="L348" i="113"/>
  <c r="L354" i="113"/>
  <c r="L360" i="113"/>
  <c r="L366" i="113"/>
  <c r="L370" i="113"/>
  <c r="L529" i="113"/>
  <c r="X34" i="171"/>
  <c r="X35" i="171"/>
  <c r="X36" i="171"/>
  <c r="X38" i="171"/>
  <c r="L216" i="48"/>
  <c r="X39" i="171"/>
  <c r="X40" i="171"/>
  <c r="X42" i="171"/>
  <c r="X43" i="171"/>
  <c r="X44" i="171"/>
  <c r="X45" i="171"/>
  <c r="X46" i="171"/>
  <c r="X47" i="171"/>
  <c r="X49" i="171"/>
  <c r="X50" i="171"/>
  <c r="X53" i="171"/>
  <c r="X54" i="171"/>
  <c r="X57" i="171"/>
  <c r="X61" i="171"/>
  <c r="X63" i="171"/>
  <c r="X59" i="171"/>
  <c r="X64" i="171"/>
  <c r="X66" i="171"/>
  <c r="X71" i="171"/>
  <c r="X73" i="171"/>
  <c r="X74" i="171"/>
  <c r="X77" i="171"/>
  <c r="X79" i="171"/>
  <c r="X80" i="171"/>
  <c r="K40" i="105"/>
  <c r="BE40" i="105"/>
  <c r="BO40" i="105"/>
  <c r="U41" i="105"/>
  <c r="AQ11" i="171"/>
  <c r="AQ12" i="171"/>
  <c r="AQ9" i="171"/>
  <c r="AQ10" i="171"/>
  <c r="AQ13" i="171"/>
  <c r="AQ15" i="171"/>
  <c r="AQ16" i="171"/>
  <c r="AQ17" i="171"/>
  <c r="AQ19" i="171"/>
  <c r="AQ20" i="171"/>
  <c r="AQ22" i="171"/>
  <c r="AQ23" i="171"/>
  <c r="AQ24" i="171"/>
  <c r="AQ28" i="171"/>
  <c r="AQ34" i="171"/>
  <c r="AQ35" i="171"/>
  <c r="AQ36" i="171"/>
  <c r="AQ38" i="171"/>
  <c r="AQ39" i="171"/>
  <c r="AQ40" i="171"/>
  <c r="AQ42" i="171"/>
  <c r="AQ43" i="171"/>
  <c r="AQ44" i="171"/>
  <c r="AQ45" i="171"/>
  <c r="AQ46" i="171"/>
  <c r="AQ47" i="171"/>
  <c r="AQ49" i="171"/>
  <c r="AQ50" i="171"/>
  <c r="AQ53" i="171"/>
  <c r="AQ54" i="171"/>
  <c r="AQ57" i="171"/>
  <c r="AQ61" i="171"/>
  <c r="AQ63" i="171"/>
  <c r="AQ59" i="171"/>
  <c r="AQ64" i="171"/>
  <c r="AQ66" i="171"/>
  <c r="AQ71" i="171"/>
  <c r="AQ73" i="171"/>
  <c r="AQ74" i="171"/>
  <c r="AQ77" i="171"/>
  <c r="AQ79" i="171"/>
  <c r="AQ80" i="171"/>
  <c r="AQ83" i="171"/>
  <c r="Y11" i="171"/>
  <c r="Y12" i="171"/>
  <c r="Y9" i="171"/>
  <c r="Y10" i="171"/>
  <c r="Y13" i="171"/>
  <c r="Y15" i="171"/>
  <c r="Y16" i="171"/>
  <c r="Y17" i="171"/>
  <c r="Y19" i="171"/>
  <c r="Y20" i="171"/>
  <c r="Y22" i="171"/>
  <c r="Y23" i="171"/>
  <c r="Y24" i="171"/>
  <c r="Y28" i="171"/>
  <c r="Y34" i="171"/>
  <c r="Y35" i="171"/>
  <c r="Y36" i="171"/>
  <c r="L173" i="46"/>
  <c r="Y38" i="171"/>
  <c r="L217" i="48"/>
  <c r="Y39" i="171"/>
  <c r="Y40" i="171"/>
  <c r="Y42" i="171"/>
  <c r="Y43" i="171"/>
  <c r="Y44" i="171"/>
  <c r="Y45" i="171"/>
  <c r="Y46" i="171"/>
  <c r="Y47" i="171"/>
  <c r="Y49" i="171"/>
  <c r="Y50" i="171"/>
  <c r="Y53" i="171"/>
  <c r="Y54" i="171"/>
  <c r="Y57" i="171"/>
  <c r="Y61" i="171"/>
  <c r="Y63" i="171"/>
  <c r="Y59" i="171"/>
  <c r="Y64" i="171"/>
  <c r="Y66" i="171"/>
  <c r="Y71" i="171"/>
  <c r="Y73" i="171"/>
  <c r="Y74" i="171"/>
  <c r="Y77" i="171"/>
  <c r="Y79" i="171"/>
  <c r="Y80" i="171"/>
  <c r="K41" i="105"/>
  <c r="BE41" i="105"/>
  <c r="BO41" i="105"/>
  <c r="U42" i="105"/>
  <c r="AR11" i="171"/>
  <c r="AR12" i="171"/>
  <c r="AR9" i="171"/>
  <c r="AR10" i="171"/>
  <c r="AR13" i="171"/>
  <c r="AR15" i="171"/>
  <c r="AR16" i="171"/>
  <c r="AR17" i="171"/>
  <c r="AR19" i="171"/>
  <c r="AR20" i="171"/>
  <c r="AR22" i="171"/>
  <c r="AR23" i="171"/>
  <c r="AR24" i="171"/>
  <c r="AR28" i="171"/>
  <c r="AR34" i="171"/>
  <c r="AR35" i="171"/>
  <c r="AR36" i="171"/>
  <c r="AR38" i="171"/>
  <c r="AR39" i="171"/>
  <c r="AR40" i="171"/>
  <c r="AR42" i="171"/>
  <c r="AR43" i="171"/>
  <c r="AR44" i="171"/>
  <c r="AR45" i="171"/>
  <c r="AR46" i="171"/>
  <c r="AR47" i="171"/>
  <c r="AR49" i="171"/>
  <c r="AR50" i="171"/>
  <c r="AR53" i="171"/>
  <c r="AR54" i="171"/>
  <c r="AR57" i="171"/>
  <c r="AR61" i="171"/>
  <c r="AR63" i="171"/>
  <c r="AR59" i="171"/>
  <c r="AR64" i="171"/>
  <c r="AR66" i="171"/>
  <c r="AR71" i="171"/>
  <c r="AR73" i="171"/>
  <c r="AR74" i="171"/>
  <c r="AR77" i="171"/>
  <c r="AR79" i="171"/>
  <c r="AR80" i="171"/>
  <c r="AR83" i="171"/>
  <c r="Z11" i="171"/>
  <c r="Z12" i="171"/>
  <c r="Z9" i="171"/>
  <c r="Z10" i="171"/>
  <c r="Z13" i="171"/>
  <c r="Z15" i="171"/>
  <c r="Z16" i="171"/>
  <c r="Z17" i="171"/>
  <c r="Z19" i="171"/>
  <c r="Z20" i="171"/>
  <c r="Z22" i="171"/>
  <c r="Z23" i="171"/>
  <c r="Z24" i="171"/>
  <c r="Z28" i="171"/>
  <c r="Z34" i="171"/>
  <c r="Z35" i="171"/>
  <c r="Z36" i="171"/>
  <c r="Z38" i="171"/>
  <c r="L218" i="48"/>
  <c r="Z39" i="171"/>
  <c r="Z40" i="171"/>
  <c r="Z42" i="171"/>
  <c r="Z43" i="171"/>
  <c r="Z44" i="171"/>
  <c r="Z45" i="171"/>
  <c r="Z46" i="171"/>
  <c r="Z47" i="171"/>
  <c r="Z49" i="171"/>
  <c r="Z50" i="171"/>
  <c r="Z53" i="171"/>
  <c r="Z54" i="171"/>
  <c r="Z57" i="171"/>
  <c r="Z61" i="171"/>
  <c r="Z63" i="171"/>
  <c r="Z59" i="171"/>
  <c r="Z64" i="171"/>
  <c r="Z66" i="171"/>
  <c r="Z71" i="171"/>
  <c r="Z73" i="171"/>
  <c r="Z74" i="171"/>
  <c r="Z77" i="171"/>
  <c r="Z79" i="171"/>
  <c r="Z80" i="171"/>
  <c r="K42" i="105"/>
  <c r="BE42" i="105"/>
  <c r="BO42" i="105"/>
  <c r="K138" i="140"/>
  <c r="K157" i="140"/>
  <c r="K214" i="140"/>
  <c r="T3" i="105"/>
  <c r="AD3" i="105"/>
  <c r="H156" i="140"/>
  <c r="H213" i="140"/>
  <c r="G3" i="105"/>
  <c r="BA3" i="105"/>
  <c r="BN3" i="105"/>
  <c r="BX3" i="105"/>
  <c r="K135" i="157"/>
  <c r="K154" i="157"/>
  <c r="K215" i="157"/>
  <c r="T4" i="105"/>
  <c r="AD4" i="105"/>
  <c r="BN4" i="105"/>
  <c r="BX4" i="105"/>
  <c r="K130" i="139"/>
  <c r="K149" i="139"/>
  <c r="K207" i="139"/>
  <c r="T5" i="105"/>
  <c r="AD5" i="105"/>
  <c r="K148" i="139"/>
  <c r="K206" i="139"/>
  <c r="J5" i="105"/>
  <c r="BD5" i="105"/>
  <c r="BN5" i="105"/>
  <c r="BX5" i="105"/>
  <c r="K113" i="141"/>
  <c r="K104" i="141"/>
  <c r="K105" i="141"/>
  <c r="K106" i="141"/>
  <c r="K107" i="141"/>
  <c r="K141" i="141"/>
  <c r="K131" i="141"/>
  <c r="K169" i="141"/>
  <c r="T6" i="105"/>
  <c r="K132" i="141"/>
  <c r="K170" i="141"/>
  <c r="AD6" i="105"/>
  <c r="BN6" i="105"/>
  <c r="BX6" i="105"/>
  <c r="K91" i="142"/>
  <c r="K107" i="142"/>
  <c r="K136" i="142"/>
  <c r="T7" i="105"/>
  <c r="AD7" i="105"/>
  <c r="H106" i="142"/>
  <c r="H135" i="142"/>
  <c r="G7" i="105"/>
  <c r="BA7" i="105"/>
  <c r="BN7" i="105"/>
  <c r="BX7" i="105"/>
  <c r="K91" i="143"/>
  <c r="K133" i="143"/>
  <c r="T8" i="105"/>
  <c r="AD8" i="105"/>
  <c r="K90" i="143"/>
  <c r="K132" i="143"/>
  <c r="J8" i="105"/>
  <c r="BD8" i="105"/>
  <c r="BN8" i="105"/>
  <c r="BX8" i="105"/>
  <c r="K91" i="144"/>
  <c r="K133" i="144"/>
  <c r="T9" i="105"/>
  <c r="AD9" i="105"/>
  <c r="K90" i="144"/>
  <c r="K132" i="144"/>
  <c r="J9" i="105"/>
  <c r="BD9" i="105"/>
  <c r="BN9" i="105"/>
  <c r="BX9" i="105"/>
  <c r="K89" i="147"/>
  <c r="K127" i="147"/>
  <c r="T10" i="105"/>
  <c r="AD10" i="105"/>
  <c r="K88" i="147"/>
  <c r="K126" i="147"/>
  <c r="J10" i="105"/>
  <c r="BD10" i="105"/>
  <c r="BN10" i="105"/>
  <c r="BX10" i="105"/>
  <c r="K91" i="146"/>
  <c r="K129" i="146"/>
  <c r="T11" i="105"/>
  <c r="AD11" i="105"/>
  <c r="K90" i="146"/>
  <c r="K128" i="146"/>
  <c r="J11" i="105"/>
  <c r="BD11" i="105"/>
  <c r="BN11" i="105"/>
  <c r="BX11" i="105"/>
  <c r="K91" i="145"/>
  <c r="K129" i="145"/>
  <c r="T12" i="105"/>
  <c r="AD12" i="105"/>
  <c r="BN12" i="105"/>
  <c r="BX12" i="105"/>
  <c r="T14" i="105"/>
  <c r="T11" i="170"/>
  <c r="T12" i="170"/>
  <c r="T9" i="170"/>
  <c r="T10" i="170"/>
  <c r="T13" i="170"/>
  <c r="T15" i="170"/>
  <c r="T16" i="170"/>
  <c r="T17" i="170"/>
  <c r="K443" i="39"/>
  <c r="T19" i="170"/>
  <c r="T20" i="170"/>
  <c r="T22" i="170"/>
  <c r="T23" i="170"/>
  <c r="T24" i="170"/>
  <c r="T28" i="170"/>
  <c r="T34" i="170"/>
  <c r="T38" i="170"/>
  <c r="K151" i="48"/>
  <c r="K214" i="48"/>
  <c r="T39" i="170"/>
  <c r="T40" i="170"/>
  <c r="T42" i="170"/>
  <c r="T43" i="170"/>
  <c r="T44" i="170"/>
  <c r="T45" i="170"/>
  <c r="T46" i="170"/>
  <c r="T47" i="170"/>
  <c r="T49" i="170"/>
  <c r="T50" i="170"/>
  <c r="T53" i="170"/>
  <c r="T54" i="170"/>
  <c r="K167" i="157"/>
  <c r="T57" i="170"/>
  <c r="T61" i="170"/>
  <c r="T63" i="170"/>
  <c r="K159" i="139"/>
  <c r="T59" i="170"/>
  <c r="T64" i="170"/>
  <c r="T71" i="170"/>
  <c r="T73" i="170"/>
  <c r="T74" i="170"/>
  <c r="K245" i="110"/>
  <c r="K246" i="110"/>
  <c r="K263" i="110"/>
  <c r="K264" i="110"/>
  <c r="K281" i="110"/>
  <c r="K282" i="110"/>
  <c r="K299" i="110"/>
  <c r="K316" i="110"/>
  <c r="K317" i="110"/>
  <c r="K334" i="110"/>
  <c r="K414" i="110"/>
  <c r="T77" i="170"/>
  <c r="U11" i="170"/>
  <c r="U12" i="170"/>
  <c r="U9" i="170"/>
  <c r="U10" i="170"/>
  <c r="U13" i="170"/>
  <c r="K196" i="49"/>
  <c r="U15" i="170"/>
  <c r="K158" i="62"/>
  <c r="U16" i="170"/>
  <c r="U17" i="170"/>
  <c r="K444" i="39"/>
  <c r="U19" i="170"/>
  <c r="U20" i="170"/>
  <c r="K167" i="40"/>
  <c r="K365" i="40"/>
  <c r="J169" i="40"/>
  <c r="K169" i="40"/>
  <c r="K343" i="40"/>
  <c r="K367" i="40"/>
  <c r="K171" i="40"/>
  <c r="K344" i="40"/>
  <c r="K369" i="40"/>
  <c r="K771" i="40" a="1"/>
  <c r="K772" i="40" a="1"/>
  <c r="K771" i="40"/>
  <c r="K772" i="40"/>
  <c r="K441" i="41"/>
  <c r="U23" i="170"/>
  <c r="U34" i="170"/>
  <c r="K171" i="46"/>
  <c r="U38" i="170"/>
  <c r="U39" i="170"/>
  <c r="U40" i="170"/>
  <c r="U42" i="170"/>
  <c r="U43" i="170"/>
  <c r="U44" i="170"/>
  <c r="U45" i="170"/>
  <c r="U46" i="170"/>
  <c r="U47" i="170"/>
  <c r="U49" i="170"/>
  <c r="U50" i="170"/>
  <c r="U53" i="170"/>
  <c r="U54" i="170"/>
  <c r="U57" i="170"/>
  <c r="U61" i="170"/>
  <c r="K179" i="40"/>
  <c r="K377" i="40"/>
  <c r="K180" i="40"/>
  <c r="K378" i="40"/>
  <c r="J181" i="40"/>
  <c r="K181" i="40"/>
  <c r="K379" i="40"/>
  <c r="K182" i="40"/>
  <c r="K380" i="40"/>
  <c r="U59" i="170"/>
  <c r="U71" i="170"/>
  <c r="U73" i="170"/>
  <c r="U74" i="170"/>
  <c r="K249" i="110"/>
  <c r="K250" i="110"/>
  <c r="K267" i="110"/>
  <c r="K268" i="110"/>
  <c r="K285" i="110"/>
  <c r="K286" i="110"/>
  <c r="K302" i="110"/>
  <c r="K303" i="110"/>
  <c r="K335" i="110"/>
  <c r="K415" i="110"/>
  <c r="U77" i="170"/>
  <c r="J14" i="105"/>
  <c r="BD14" i="105"/>
  <c r="BN14" i="105"/>
  <c r="T15" i="105"/>
  <c r="K487" i="112"/>
  <c r="K488" i="112"/>
  <c r="K489" i="112"/>
  <c r="K490" i="112"/>
  <c r="K491" i="112"/>
  <c r="K492" i="112"/>
  <c r="K601" i="112"/>
  <c r="AD15" i="105"/>
  <c r="J15" i="105"/>
  <c r="BD15" i="105"/>
  <c r="BN15" i="105"/>
  <c r="BX15" i="105"/>
  <c r="K497" i="112"/>
  <c r="K498" i="112"/>
  <c r="K527" i="112"/>
  <c r="K528" i="112"/>
  <c r="K499" i="112"/>
  <c r="K500" i="112"/>
  <c r="K594" i="112"/>
  <c r="T16" i="105"/>
  <c r="AD16" i="105"/>
  <c r="J16" i="105"/>
  <c r="BD16" i="105"/>
  <c r="BN16" i="105"/>
  <c r="BX16" i="105"/>
  <c r="AD17" i="105"/>
  <c r="I472" i="113"/>
  <c r="I568" i="113"/>
  <c r="H17" i="105"/>
  <c r="BB17" i="105"/>
  <c r="BN17" i="105"/>
  <c r="K511" i="113"/>
  <c r="K513" i="113"/>
  <c r="AD18" i="105"/>
  <c r="I474" i="113"/>
  <c r="T19" i="105"/>
  <c r="AD19" i="105"/>
  <c r="J19" i="105"/>
  <c r="BD19" i="105"/>
  <c r="BN19" i="105"/>
  <c r="BX19" i="105"/>
  <c r="T20" i="105"/>
  <c r="AD20" i="105"/>
  <c r="J20" i="105"/>
  <c r="BD20" i="105"/>
  <c r="BN20" i="105"/>
  <c r="BX20" i="105"/>
  <c r="T22" i="105"/>
  <c r="AD22" i="105"/>
  <c r="H22" i="105"/>
  <c r="BB22" i="105"/>
  <c r="BN22" i="105"/>
  <c r="BX22" i="105"/>
  <c r="T23" i="105"/>
  <c r="AD23" i="105"/>
  <c r="I101" i="138"/>
  <c r="I139" i="138"/>
  <c r="H23" i="105"/>
  <c r="BB23" i="105"/>
  <c r="BN23" i="105"/>
  <c r="BX23" i="105"/>
  <c r="T24" i="105"/>
  <c r="AD24" i="105"/>
  <c r="I184" i="49"/>
  <c r="I238" i="49"/>
  <c r="H24" i="105"/>
  <c r="BB24" i="105"/>
  <c r="BN24" i="105"/>
  <c r="BX24" i="105"/>
  <c r="T25" i="105"/>
  <c r="AD25" i="105"/>
  <c r="K146" i="62"/>
  <c r="K206" i="62"/>
  <c r="J25" i="105"/>
  <c r="BD25" i="105"/>
  <c r="BN25" i="105"/>
  <c r="BX25" i="105"/>
  <c r="AD26" i="105"/>
  <c r="K741" i="40"/>
  <c r="K745" i="40"/>
  <c r="K923" i="40"/>
  <c r="T27" i="105"/>
  <c r="AD27" i="105"/>
  <c r="K681" i="40"/>
  <c r="K685" i="40"/>
  <c r="K922" i="40"/>
  <c r="J27" i="105"/>
  <c r="BD27" i="105"/>
  <c r="BN27" i="105"/>
  <c r="BX27" i="105"/>
  <c r="K742" i="40"/>
  <c r="K746" i="40"/>
  <c r="K933" i="40"/>
  <c r="T28" i="105"/>
  <c r="AD28" i="105"/>
  <c r="I682" i="40"/>
  <c r="I686" i="40"/>
  <c r="I932" i="40"/>
  <c r="H28" i="105"/>
  <c r="BB28" i="105"/>
  <c r="BN28" i="105"/>
  <c r="BX28" i="105"/>
  <c r="K743" i="40"/>
  <c r="K747" i="40"/>
  <c r="K943" i="40"/>
  <c r="T29" i="105"/>
  <c r="AD29" i="105"/>
  <c r="I683" i="40"/>
  <c r="I687" i="40"/>
  <c r="I942" i="40"/>
  <c r="H29" i="105"/>
  <c r="BB29" i="105"/>
  <c r="BN29" i="105"/>
  <c r="BX29" i="105"/>
  <c r="BX30" i="105"/>
  <c r="K740" i="40"/>
  <c r="K963" i="40"/>
  <c r="T31" i="105"/>
  <c r="AD31" i="105"/>
  <c r="K680" i="40"/>
  <c r="K962" i="40"/>
  <c r="J31" i="105"/>
  <c r="BD31" i="105"/>
  <c r="BN31" i="105"/>
  <c r="BX31" i="105"/>
  <c r="K749" i="40"/>
  <c r="K750" i="40"/>
  <c r="K973" i="40"/>
  <c r="T32" i="105"/>
  <c r="AD32" i="105"/>
  <c r="BN32" i="105"/>
  <c r="BX32" i="105"/>
  <c r="K753" i="40"/>
  <c r="K983" i="40"/>
  <c r="T33" i="105"/>
  <c r="AD33" i="105"/>
  <c r="BN33" i="105"/>
  <c r="BX33" i="105"/>
  <c r="K411" i="41"/>
  <c r="K412" i="41"/>
  <c r="J254" i="41"/>
  <c r="K413" i="41"/>
  <c r="K414" i="41"/>
  <c r="K428" i="41"/>
  <c r="K533" i="41"/>
  <c r="T34" i="105"/>
  <c r="AD34" i="105"/>
  <c r="J384" i="41"/>
  <c r="J385" i="41"/>
  <c r="J386" i="41"/>
  <c r="J387" i="41"/>
  <c r="J427" i="41"/>
  <c r="J532" i="41"/>
  <c r="I34" i="105"/>
  <c r="BC34" i="105"/>
  <c r="BN34" i="105"/>
  <c r="BX34" i="105"/>
  <c r="K163" i="46"/>
  <c r="K212" i="46"/>
  <c r="T35" i="105"/>
  <c r="AD35" i="105"/>
  <c r="I162" i="46"/>
  <c r="I211" i="46"/>
  <c r="H35" i="105"/>
  <c r="BB35" i="105"/>
  <c r="BN35" i="105"/>
  <c r="BX35" i="105"/>
  <c r="T36" i="105"/>
  <c r="K119" i="48"/>
  <c r="K201" i="48"/>
  <c r="K255" i="48"/>
  <c r="AD36" i="105"/>
  <c r="J36" i="105"/>
  <c r="BD36" i="105"/>
  <c r="BN36" i="105"/>
  <c r="BX36" i="105"/>
  <c r="T37" i="105"/>
  <c r="K128" i="48"/>
  <c r="K202" i="48"/>
  <c r="K262" i="48"/>
  <c r="AD37" i="105"/>
  <c r="J37" i="105"/>
  <c r="BD37" i="105"/>
  <c r="BN37" i="105"/>
  <c r="BX37" i="105"/>
  <c r="T38" i="105"/>
  <c r="K37" i="48"/>
  <c r="K39" i="48"/>
  <c r="K40" i="48"/>
  <c r="K51" i="48"/>
  <c r="K156" i="48"/>
  <c r="K137" i="48"/>
  <c r="K203" i="48"/>
  <c r="K269" i="48"/>
  <c r="AD38" i="105"/>
  <c r="J38" i="105"/>
  <c r="BD38" i="105"/>
  <c r="BN38" i="105"/>
  <c r="BX38" i="105"/>
  <c r="AD39" i="105"/>
  <c r="T40" i="105"/>
  <c r="AP11" i="170"/>
  <c r="AP12" i="170"/>
  <c r="AP9" i="170"/>
  <c r="AP10" i="170"/>
  <c r="AP13" i="170"/>
  <c r="AP15" i="170"/>
  <c r="AP16" i="170"/>
  <c r="AP17" i="170"/>
  <c r="AP19" i="170"/>
  <c r="AP20" i="170"/>
  <c r="AP22" i="170"/>
  <c r="AP23" i="170"/>
  <c r="AP24" i="170"/>
  <c r="AP28" i="170"/>
  <c r="AP34" i="170"/>
  <c r="AP35" i="170"/>
  <c r="AP36" i="170"/>
  <c r="AP38" i="170"/>
  <c r="AP39" i="170"/>
  <c r="AP40" i="170"/>
  <c r="AP42" i="170"/>
  <c r="AP43" i="170"/>
  <c r="AP44" i="170"/>
  <c r="AP45" i="170"/>
  <c r="AP46" i="170"/>
  <c r="AP47" i="170"/>
  <c r="AP49" i="170"/>
  <c r="AP50" i="170"/>
  <c r="AP53" i="170"/>
  <c r="AP54" i="170"/>
  <c r="AP57" i="170"/>
  <c r="AP61" i="170"/>
  <c r="AP63" i="170"/>
  <c r="AP59" i="170"/>
  <c r="AP64" i="170"/>
  <c r="AP66" i="170"/>
  <c r="AP71" i="170"/>
  <c r="AP73" i="170"/>
  <c r="AP74" i="170"/>
  <c r="AP77" i="170"/>
  <c r="AP79" i="170"/>
  <c r="AP80" i="170"/>
  <c r="AP83" i="170"/>
  <c r="X11" i="170"/>
  <c r="X12" i="170"/>
  <c r="X9" i="170"/>
  <c r="X10" i="170"/>
  <c r="X13" i="170"/>
  <c r="X15" i="170"/>
  <c r="X16" i="170"/>
  <c r="X17" i="170"/>
  <c r="X19" i="170"/>
  <c r="X20" i="170"/>
  <c r="X22" i="170"/>
  <c r="X23" i="170"/>
  <c r="X24" i="170"/>
  <c r="X28" i="170"/>
  <c r="K348" i="113"/>
  <c r="K354" i="113"/>
  <c r="K360" i="113"/>
  <c r="K366" i="113"/>
  <c r="K370" i="113"/>
  <c r="K529" i="113"/>
  <c r="X34" i="170"/>
  <c r="X35" i="170"/>
  <c r="X36" i="170"/>
  <c r="X38" i="170"/>
  <c r="K216" i="48"/>
  <c r="X39" i="170"/>
  <c r="X40" i="170"/>
  <c r="X42" i="170"/>
  <c r="X43" i="170"/>
  <c r="X44" i="170"/>
  <c r="X45" i="170"/>
  <c r="X46" i="170"/>
  <c r="X47" i="170"/>
  <c r="X49" i="170"/>
  <c r="X50" i="170"/>
  <c r="X53" i="170"/>
  <c r="X54" i="170"/>
  <c r="X57" i="170"/>
  <c r="X61" i="170"/>
  <c r="X63" i="170"/>
  <c r="X59" i="170"/>
  <c r="X64" i="170"/>
  <c r="X66" i="170"/>
  <c r="X71" i="170"/>
  <c r="X73" i="170"/>
  <c r="X74" i="170"/>
  <c r="X77" i="170"/>
  <c r="X79" i="170"/>
  <c r="X80" i="170"/>
  <c r="J40" i="105"/>
  <c r="BD40" i="105"/>
  <c r="BN40" i="105"/>
  <c r="T41" i="105"/>
  <c r="AQ11" i="170"/>
  <c r="AQ12" i="170"/>
  <c r="AQ9" i="170"/>
  <c r="AQ10" i="170"/>
  <c r="AQ13" i="170"/>
  <c r="AQ15" i="170"/>
  <c r="AQ16" i="170"/>
  <c r="AQ17" i="170"/>
  <c r="AQ19" i="170"/>
  <c r="AQ20" i="170"/>
  <c r="AQ22" i="170"/>
  <c r="AQ23" i="170"/>
  <c r="AQ24" i="170"/>
  <c r="AQ28" i="170"/>
  <c r="AQ34" i="170"/>
  <c r="AQ35" i="170"/>
  <c r="AQ36" i="170"/>
  <c r="AQ38" i="170"/>
  <c r="AQ39" i="170"/>
  <c r="AQ40" i="170"/>
  <c r="AQ42" i="170"/>
  <c r="AQ43" i="170"/>
  <c r="AQ44" i="170"/>
  <c r="AQ45" i="170"/>
  <c r="AQ46" i="170"/>
  <c r="AQ47" i="170"/>
  <c r="AQ49" i="170"/>
  <c r="AQ50" i="170"/>
  <c r="AQ53" i="170"/>
  <c r="AQ54" i="170"/>
  <c r="AQ57" i="170"/>
  <c r="AQ61" i="170"/>
  <c r="AQ63" i="170"/>
  <c r="AQ59" i="170"/>
  <c r="AQ64" i="170"/>
  <c r="AQ66" i="170"/>
  <c r="AQ71" i="170"/>
  <c r="AQ73" i="170"/>
  <c r="AQ74" i="170"/>
  <c r="AQ77" i="170"/>
  <c r="AQ79" i="170"/>
  <c r="AQ80" i="170"/>
  <c r="AQ83" i="170"/>
  <c r="Y11" i="170"/>
  <c r="Y12" i="170"/>
  <c r="Y9" i="170"/>
  <c r="Y10" i="170"/>
  <c r="Y13" i="170"/>
  <c r="Y15" i="170"/>
  <c r="Y16" i="170"/>
  <c r="Y17" i="170"/>
  <c r="Y19" i="170"/>
  <c r="Y20" i="170"/>
  <c r="Y22" i="170"/>
  <c r="Y23" i="170"/>
  <c r="Y24" i="170"/>
  <c r="Y28" i="170"/>
  <c r="Y34" i="170"/>
  <c r="Y35" i="170"/>
  <c r="Y36" i="170"/>
  <c r="K173" i="46"/>
  <c r="Y38" i="170"/>
  <c r="K217" i="48"/>
  <c r="Y39" i="170"/>
  <c r="Y40" i="170"/>
  <c r="Y42" i="170"/>
  <c r="Y43" i="170"/>
  <c r="Y44" i="170"/>
  <c r="Y45" i="170"/>
  <c r="Y46" i="170"/>
  <c r="Y47" i="170"/>
  <c r="Y49" i="170"/>
  <c r="Y50" i="170"/>
  <c r="Y53" i="170"/>
  <c r="Y54" i="170"/>
  <c r="Y57" i="170"/>
  <c r="Y61" i="170"/>
  <c r="Y63" i="170"/>
  <c r="Y59" i="170"/>
  <c r="Y64" i="170"/>
  <c r="Y66" i="170"/>
  <c r="Y71" i="170"/>
  <c r="Y73" i="170"/>
  <c r="Y74" i="170"/>
  <c r="Y77" i="170"/>
  <c r="Y79" i="170"/>
  <c r="Y80" i="170"/>
  <c r="J41" i="105"/>
  <c r="BD41" i="105"/>
  <c r="BN41" i="105"/>
  <c r="T42" i="105"/>
  <c r="AR11" i="170"/>
  <c r="AR12" i="170"/>
  <c r="AR9" i="170"/>
  <c r="AR10" i="170"/>
  <c r="AR13" i="170"/>
  <c r="AR15" i="170"/>
  <c r="AR16" i="170"/>
  <c r="AR17" i="170"/>
  <c r="AR19" i="170"/>
  <c r="AR20" i="170"/>
  <c r="AR22" i="170"/>
  <c r="AR23" i="170"/>
  <c r="AR24" i="170"/>
  <c r="AR28" i="170"/>
  <c r="AR34" i="170"/>
  <c r="AR35" i="170"/>
  <c r="AR36" i="170"/>
  <c r="AR38" i="170"/>
  <c r="AR39" i="170"/>
  <c r="AR40" i="170"/>
  <c r="AR42" i="170"/>
  <c r="AR43" i="170"/>
  <c r="AR44" i="170"/>
  <c r="AR45" i="170"/>
  <c r="AR46" i="170"/>
  <c r="AR47" i="170"/>
  <c r="AR49" i="170"/>
  <c r="AR50" i="170"/>
  <c r="AR53" i="170"/>
  <c r="AR54" i="170"/>
  <c r="AR57" i="170"/>
  <c r="AR61" i="170"/>
  <c r="AR63" i="170"/>
  <c r="AR59" i="170"/>
  <c r="AR64" i="170"/>
  <c r="AR66" i="170"/>
  <c r="AR71" i="170"/>
  <c r="AR73" i="170"/>
  <c r="AR74" i="170"/>
  <c r="AR77" i="170"/>
  <c r="AR79" i="170"/>
  <c r="AR80" i="170"/>
  <c r="AR83" i="170"/>
  <c r="Z11" i="170"/>
  <c r="Z12" i="170"/>
  <c r="Z9" i="170"/>
  <c r="Z10" i="170"/>
  <c r="Z13" i="170"/>
  <c r="Z15" i="170"/>
  <c r="Z16" i="170"/>
  <c r="Z17" i="170"/>
  <c r="Z19" i="170"/>
  <c r="Z20" i="170"/>
  <c r="Z22" i="170"/>
  <c r="Z23" i="170"/>
  <c r="Z24" i="170"/>
  <c r="Z28" i="170"/>
  <c r="Z34" i="170"/>
  <c r="Z35" i="170"/>
  <c r="Z36" i="170"/>
  <c r="Z38" i="170"/>
  <c r="K218" i="48"/>
  <c r="Z39" i="170"/>
  <c r="Z40" i="170"/>
  <c r="Z42" i="170"/>
  <c r="Z43" i="170"/>
  <c r="Z44" i="170"/>
  <c r="Z45" i="170"/>
  <c r="Z46" i="170"/>
  <c r="Z47" i="170"/>
  <c r="Z49" i="170"/>
  <c r="Z50" i="170"/>
  <c r="Z53" i="170"/>
  <c r="Z54" i="170"/>
  <c r="Z57" i="170"/>
  <c r="Z61" i="170"/>
  <c r="Z63" i="170"/>
  <c r="Z59" i="170"/>
  <c r="Z64" i="170"/>
  <c r="Z66" i="170"/>
  <c r="Z71" i="170"/>
  <c r="Z73" i="170"/>
  <c r="Z74" i="170"/>
  <c r="Z77" i="170"/>
  <c r="Z79" i="170"/>
  <c r="Z80" i="170"/>
  <c r="J42" i="105"/>
  <c r="BD42" i="105"/>
  <c r="BN42" i="105"/>
  <c r="J138" i="140"/>
  <c r="J157" i="140"/>
  <c r="J214" i="140"/>
  <c r="S3" i="105"/>
  <c r="AC3" i="105"/>
  <c r="G156" i="140"/>
  <c r="G213" i="140"/>
  <c r="F3" i="105"/>
  <c r="AZ3" i="105"/>
  <c r="BM3" i="105"/>
  <c r="BW3" i="105"/>
  <c r="J135" i="157"/>
  <c r="J154" i="157"/>
  <c r="J215" i="157"/>
  <c r="S4" i="105"/>
  <c r="AC4" i="105"/>
  <c r="BM4" i="105"/>
  <c r="BW4" i="105"/>
  <c r="J130" i="139"/>
  <c r="J149" i="139"/>
  <c r="J207" i="139"/>
  <c r="S5" i="105"/>
  <c r="AC5" i="105"/>
  <c r="J148" i="139"/>
  <c r="J206" i="139"/>
  <c r="I5" i="105"/>
  <c r="BC5" i="105"/>
  <c r="BM5" i="105"/>
  <c r="BW5" i="105"/>
  <c r="J113" i="141"/>
  <c r="J104" i="141"/>
  <c r="J105" i="141"/>
  <c r="J106" i="141"/>
  <c r="J107" i="141"/>
  <c r="J141" i="141"/>
  <c r="J131" i="141"/>
  <c r="J169" i="141"/>
  <c r="S6" i="105"/>
  <c r="J132" i="141"/>
  <c r="J170" i="141"/>
  <c r="AC6" i="105"/>
  <c r="BM6" i="105"/>
  <c r="BW6" i="105"/>
  <c r="J91" i="142"/>
  <c r="J107" i="142"/>
  <c r="J136" i="142"/>
  <c r="S7" i="105"/>
  <c r="AC7" i="105"/>
  <c r="G106" i="142"/>
  <c r="G135" i="142"/>
  <c r="F7" i="105"/>
  <c r="AZ7" i="105"/>
  <c r="BM7" i="105"/>
  <c r="BW7" i="105"/>
  <c r="J91" i="143"/>
  <c r="J133" i="143"/>
  <c r="S8" i="105"/>
  <c r="AC8" i="105"/>
  <c r="J90" i="143"/>
  <c r="J132" i="143"/>
  <c r="I8" i="105"/>
  <c r="BC8" i="105"/>
  <c r="BM8" i="105"/>
  <c r="BW8" i="105"/>
  <c r="J91" i="144"/>
  <c r="J133" i="144"/>
  <c r="S9" i="105"/>
  <c r="AC9" i="105"/>
  <c r="J90" i="144"/>
  <c r="J132" i="144"/>
  <c r="I9" i="105"/>
  <c r="BC9" i="105"/>
  <c r="BM9" i="105"/>
  <c r="BW9" i="105"/>
  <c r="J89" i="147"/>
  <c r="J127" i="147"/>
  <c r="S10" i="105"/>
  <c r="AC10" i="105"/>
  <c r="J88" i="147"/>
  <c r="J126" i="147"/>
  <c r="I10" i="105"/>
  <c r="BC10" i="105"/>
  <c r="BM10" i="105"/>
  <c r="BW10" i="105"/>
  <c r="J91" i="146"/>
  <c r="J129" i="146"/>
  <c r="S11" i="105"/>
  <c r="AC11" i="105"/>
  <c r="J90" i="146"/>
  <c r="J128" i="146"/>
  <c r="I11" i="105"/>
  <c r="BC11" i="105"/>
  <c r="BM11" i="105"/>
  <c r="BW11" i="105"/>
  <c r="J91" i="145"/>
  <c r="J129" i="145"/>
  <c r="S12" i="105"/>
  <c r="AC12" i="105"/>
  <c r="BM12" i="105"/>
  <c r="BW12" i="105"/>
  <c r="S14" i="105"/>
  <c r="T11" i="169"/>
  <c r="T12" i="169"/>
  <c r="T9" i="169"/>
  <c r="T10" i="169"/>
  <c r="T13" i="169"/>
  <c r="T15" i="169"/>
  <c r="T16" i="169"/>
  <c r="T17" i="169"/>
  <c r="J443" i="39"/>
  <c r="T19" i="169"/>
  <c r="T20" i="169"/>
  <c r="T22" i="169"/>
  <c r="T23" i="169"/>
  <c r="T24" i="169"/>
  <c r="T28" i="169"/>
  <c r="T34" i="169"/>
  <c r="T38" i="169"/>
  <c r="J151" i="48"/>
  <c r="J214" i="48"/>
  <c r="T39" i="169"/>
  <c r="T40" i="169"/>
  <c r="T42" i="169"/>
  <c r="T43" i="169"/>
  <c r="T44" i="169"/>
  <c r="T45" i="169"/>
  <c r="T46" i="169"/>
  <c r="T47" i="169"/>
  <c r="T49" i="169"/>
  <c r="T50" i="169"/>
  <c r="T53" i="169"/>
  <c r="T54" i="169"/>
  <c r="J167" i="157"/>
  <c r="T57" i="169"/>
  <c r="T61" i="169"/>
  <c r="T63" i="169"/>
  <c r="J159" i="139"/>
  <c r="T59" i="169"/>
  <c r="T64" i="169"/>
  <c r="T71" i="169"/>
  <c r="T73" i="169"/>
  <c r="T74" i="169"/>
  <c r="J245" i="110"/>
  <c r="J246" i="110"/>
  <c r="J263" i="110"/>
  <c r="J264" i="110"/>
  <c r="J281" i="110"/>
  <c r="J282" i="110"/>
  <c r="J299" i="110"/>
  <c r="J316" i="110"/>
  <c r="J317" i="110"/>
  <c r="J334" i="110"/>
  <c r="J414" i="110"/>
  <c r="T77" i="169"/>
  <c r="U11" i="169"/>
  <c r="U12" i="169"/>
  <c r="U9" i="169"/>
  <c r="U10" i="169"/>
  <c r="U13" i="169"/>
  <c r="J196" i="49"/>
  <c r="U15" i="169"/>
  <c r="J158" i="62"/>
  <c r="U16" i="169"/>
  <c r="U17" i="169"/>
  <c r="J444" i="39"/>
  <c r="U19" i="169"/>
  <c r="U20" i="169"/>
  <c r="J167" i="40"/>
  <c r="J365" i="40"/>
  <c r="J343" i="40"/>
  <c r="J367" i="40"/>
  <c r="J171" i="40"/>
  <c r="J344" i="40"/>
  <c r="J369" i="40"/>
  <c r="J771" i="40" a="1"/>
  <c r="J772" i="40" a="1"/>
  <c r="J771" i="40"/>
  <c r="J772" i="40"/>
  <c r="J441" i="41"/>
  <c r="U23" i="169"/>
  <c r="U34" i="169"/>
  <c r="J171" i="46"/>
  <c r="U38" i="169"/>
  <c r="U39" i="169"/>
  <c r="U40" i="169"/>
  <c r="U42" i="169"/>
  <c r="U43" i="169"/>
  <c r="U44" i="169"/>
  <c r="U45" i="169"/>
  <c r="U46" i="169"/>
  <c r="U47" i="169"/>
  <c r="U49" i="169"/>
  <c r="U50" i="169"/>
  <c r="U53" i="169"/>
  <c r="U54" i="169"/>
  <c r="U57" i="169"/>
  <c r="U61" i="169"/>
  <c r="J179" i="40"/>
  <c r="J377" i="40"/>
  <c r="J180" i="40"/>
  <c r="J378" i="40"/>
  <c r="J379" i="40"/>
  <c r="J182" i="40"/>
  <c r="J380" i="40"/>
  <c r="U59" i="169"/>
  <c r="U71" i="169"/>
  <c r="U73" i="169"/>
  <c r="U74" i="169"/>
  <c r="J249" i="110"/>
  <c r="J250" i="110"/>
  <c r="J267" i="110"/>
  <c r="J268" i="110"/>
  <c r="J285" i="110"/>
  <c r="J286" i="110"/>
  <c r="J302" i="110"/>
  <c r="J303" i="110"/>
  <c r="J335" i="110"/>
  <c r="J415" i="110"/>
  <c r="U77" i="169"/>
  <c r="I14" i="105"/>
  <c r="BC14" i="105"/>
  <c r="BM14" i="105"/>
  <c r="S15" i="105"/>
  <c r="J487" i="112"/>
  <c r="J488" i="112"/>
  <c r="J489" i="112"/>
  <c r="J490" i="112"/>
  <c r="J491" i="112"/>
  <c r="J492" i="112"/>
  <c r="J601" i="112"/>
  <c r="AC15" i="105"/>
  <c r="I15" i="105"/>
  <c r="BC15" i="105"/>
  <c r="BM15" i="105"/>
  <c r="BW15" i="105"/>
  <c r="J497" i="112"/>
  <c r="J498" i="112"/>
  <c r="J527" i="112"/>
  <c r="J528" i="112"/>
  <c r="J499" i="112"/>
  <c r="J500" i="112"/>
  <c r="J594" i="112"/>
  <c r="S16" i="105"/>
  <c r="AC16" i="105"/>
  <c r="I16" i="105"/>
  <c r="BC16" i="105"/>
  <c r="BM16" i="105"/>
  <c r="BW16" i="105"/>
  <c r="AC17" i="105"/>
  <c r="H472" i="113"/>
  <c r="H568" i="113"/>
  <c r="G17" i="105"/>
  <c r="BA17" i="105"/>
  <c r="BM17" i="105"/>
  <c r="J511" i="113"/>
  <c r="J513" i="113"/>
  <c r="AC18" i="105"/>
  <c r="H474" i="113"/>
  <c r="S19" i="105"/>
  <c r="AC19" i="105"/>
  <c r="I19" i="105"/>
  <c r="BC19" i="105"/>
  <c r="BM19" i="105"/>
  <c r="BW19" i="105"/>
  <c r="S20" i="105"/>
  <c r="AC20" i="105"/>
  <c r="I20" i="105"/>
  <c r="BC20" i="105"/>
  <c r="BM20" i="105"/>
  <c r="BW20" i="105"/>
  <c r="S22" i="105"/>
  <c r="AC22" i="105"/>
  <c r="G22" i="105"/>
  <c r="BA22" i="105"/>
  <c r="BM22" i="105"/>
  <c r="BW22" i="105"/>
  <c r="S23" i="105"/>
  <c r="AC23" i="105"/>
  <c r="H101" i="138"/>
  <c r="H139" i="138"/>
  <c r="G23" i="105"/>
  <c r="BA23" i="105"/>
  <c r="BM23" i="105"/>
  <c r="BW23" i="105"/>
  <c r="S24" i="105"/>
  <c r="AC24" i="105"/>
  <c r="H184" i="49"/>
  <c r="H238" i="49"/>
  <c r="G24" i="105"/>
  <c r="BA24" i="105"/>
  <c r="BM24" i="105"/>
  <c r="BW24" i="105"/>
  <c r="S25" i="105"/>
  <c r="AC25" i="105"/>
  <c r="J146" i="62"/>
  <c r="J206" i="62"/>
  <c r="I25" i="105"/>
  <c r="BC25" i="105"/>
  <c r="BM25" i="105"/>
  <c r="BW25" i="105"/>
  <c r="AC26" i="105"/>
  <c r="J741" i="40"/>
  <c r="J745" i="40"/>
  <c r="J923" i="40"/>
  <c r="S27" i="105"/>
  <c r="AC27" i="105"/>
  <c r="J681" i="40"/>
  <c r="J685" i="40"/>
  <c r="J922" i="40"/>
  <c r="I27" i="105"/>
  <c r="BC27" i="105"/>
  <c r="BM27" i="105"/>
  <c r="BW27" i="105"/>
  <c r="J742" i="40"/>
  <c r="J746" i="40"/>
  <c r="J933" i="40"/>
  <c r="S28" i="105"/>
  <c r="AC28" i="105"/>
  <c r="H682" i="40"/>
  <c r="H686" i="40"/>
  <c r="H932" i="40"/>
  <c r="G28" i="105"/>
  <c r="BA28" i="105"/>
  <c r="BM28" i="105"/>
  <c r="BW28" i="105"/>
  <c r="J743" i="40"/>
  <c r="J747" i="40"/>
  <c r="J943" i="40"/>
  <c r="S29" i="105"/>
  <c r="AC29" i="105"/>
  <c r="H683" i="40"/>
  <c r="H687" i="40"/>
  <c r="H942" i="40"/>
  <c r="G29" i="105"/>
  <c r="BA29" i="105"/>
  <c r="BM29" i="105"/>
  <c r="BW29" i="105"/>
  <c r="BW30" i="105"/>
  <c r="J740" i="40"/>
  <c r="J963" i="40"/>
  <c r="S31" i="105"/>
  <c r="AC31" i="105"/>
  <c r="J680" i="40"/>
  <c r="J962" i="40"/>
  <c r="I31" i="105"/>
  <c r="BC31" i="105"/>
  <c r="BM31" i="105"/>
  <c r="BW31" i="105"/>
  <c r="J749" i="40"/>
  <c r="J750" i="40"/>
  <c r="J973" i="40"/>
  <c r="S32" i="105"/>
  <c r="AC32" i="105"/>
  <c r="BM32" i="105"/>
  <c r="BW32" i="105"/>
  <c r="J753" i="40"/>
  <c r="J983" i="40"/>
  <c r="S33" i="105"/>
  <c r="AC33" i="105"/>
  <c r="BM33" i="105"/>
  <c r="BW33" i="105"/>
  <c r="J411" i="41"/>
  <c r="J412" i="41"/>
  <c r="I254" i="41"/>
  <c r="J413" i="41"/>
  <c r="J414" i="41"/>
  <c r="J428" i="41"/>
  <c r="J533" i="41"/>
  <c r="S34" i="105"/>
  <c r="AC34" i="105"/>
  <c r="I384" i="41"/>
  <c r="I385" i="41"/>
  <c r="I386" i="41"/>
  <c r="I387" i="41"/>
  <c r="I427" i="41"/>
  <c r="I532" i="41"/>
  <c r="H34" i="105"/>
  <c r="BB34" i="105"/>
  <c r="BM34" i="105"/>
  <c r="BW34" i="105"/>
  <c r="J163" i="46"/>
  <c r="J212" i="46"/>
  <c r="S35" i="105"/>
  <c r="AC35" i="105"/>
  <c r="H162" i="46"/>
  <c r="H211" i="46"/>
  <c r="G35" i="105"/>
  <c r="BA35" i="105"/>
  <c r="BM35" i="105"/>
  <c r="BW35" i="105"/>
  <c r="S36" i="105"/>
  <c r="J119" i="48"/>
  <c r="J201" i="48"/>
  <c r="J255" i="48"/>
  <c r="AC36" i="105"/>
  <c r="I36" i="105"/>
  <c r="BC36" i="105"/>
  <c r="BM36" i="105"/>
  <c r="BW36" i="105"/>
  <c r="S37" i="105"/>
  <c r="J128" i="48"/>
  <c r="J202" i="48"/>
  <c r="J262" i="48"/>
  <c r="AC37" i="105"/>
  <c r="I37" i="105"/>
  <c r="BC37" i="105"/>
  <c r="BM37" i="105"/>
  <c r="BW37" i="105"/>
  <c r="S38" i="105"/>
  <c r="J37" i="48"/>
  <c r="J39" i="48"/>
  <c r="J40" i="48"/>
  <c r="J51" i="48"/>
  <c r="J156" i="48"/>
  <c r="J137" i="48"/>
  <c r="J203" i="48"/>
  <c r="J269" i="48"/>
  <c r="AC38" i="105"/>
  <c r="I38" i="105"/>
  <c r="BC38" i="105"/>
  <c r="BM38" i="105"/>
  <c r="BW38" i="105"/>
  <c r="AC39" i="105"/>
  <c r="S40" i="105"/>
  <c r="AP11" i="169"/>
  <c r="AP12" i="169"/>
  <c r="AP9" i="169"/>
  <c r="AP10" i="169"/>
  <c r="AP13" i="169"/>
  <c r="AP15" i="169"/>
  <c r="AP16" i="169"/>
  <c r="AP17" i="169"/>
  <c r="AP19" i="169"/>
  <c r="AP20" i="169"/>
  <c r="AP22" i="169"/>
  <c r="AP23" i="169"/>
  <c r="AP24" i="169"/>
  <c r="AP28" i="169"/>
  <c r="AP34" i="169"/>
  <c r="AP35" i="169"/>
  <c r="AP36" i="169"/>
  <c r="AP38" i="169"/>
  <c r="AP39" i="169"/>
  <c r="AP40" i="169"/>
  <c r="AP42" i="169"/>
  <c r="AP43" i="169"/>
  <c r="AP44" i="169"/>
  <c r="AP45" i="169"/>
  <c r="AP46" i="169"/>
  <c r="AP47" i="169"/>
  <c r="AP49" i="169"/>
  <c r="AP50" i="169"/>
  <c r="AP53" i="169"/>
  <c r="AP54" i="169"/>
  <c r="AP57" i="169"/>
  <c r="AP61" i="169"/>
  <c r="AP63" i="169"/>
  <c r="AP59" i="169"/>
  <c r="AP64" i="169"/>
  <c r="AP66" i="169"/>
  <c r="AP71" i="169"/>
  <c r="AP73" i="169"/>
  <c r="AP74" i="169"/>
  <c r="AP77" i="169"/>
  <c r="AP79" i="169"/>
  <c r="AP80" i="169"/>
  <c r="AP83" i="169"/>
  <c r="X11" i="169"/>
  <c r="X12" i="169"/>
  <c r="X9" i="169"/>
  <c r="X10" i="169"/>
  <c r="X13" i="169"/>
  <c r="X15" i="169"/>
  <c r="X16" i="169"/>
  <c r="X17" i="169"/>
  <c r="X19" i="169"/>
  <c r="X20" i="169"/>
  <c r="X22" i="169"/>
  <c r="X23" i="169"/>
  <c r="X24" i="169"/>
  <c r="X28" i="169"/>
  <c r="J348" i="113"/>
  <c r="J354" i="113"/>
  <c r="J360" i="113"/>
  <c r="J366" i="113"/>
  <c r="J370" i="113"/>
  <c r="J529" i="113"/>
  <c r="X34" i="169"/>
  <c r="X35" i="169"/>
  <c r="X36" i="169"/>
  <c r="X38" i="169"/>
  <c r="J216" i="48"/>
  <c r="X39" i="169"/>
  <c r="X40" i="169"/>
  <c r="X42" i="169"/>
  <c r="X43" i="169"/>
  <c r="X44" i="169"/>
  <c r="X45" i="169"/>
  <c r="X46" i="169"/>
  <c r="X47" i="169"/>
  <c r="X49" i="169"/>
  <c r="X50" i="169"/>
  <c r="X53" i="169"/>
  <c r="X54" i="169"/>
  <c r="X57" i="169"/>
  <c r="X61" i="169"/>
  <c r="X63" i="169"/>
  <c r="X59" i="169"/>
  <c r="X64" i="169"/>
  <c r="X66" i="169"/>
  <c r="X71" i="169"/>
  <c r="X73" i="169"/>
  <c r="X74" i="169"/>
  <c r="X77" i="169"/>
  <c r="X79" i="169"/>
  <c r="X80" i="169"/>
  <c r="I40" i="105"/>
  <c r="BC40" i="105"/>
  <c r="BM40" i="105"/>
  <c r="S41" i="105"/>
  <c r="AQ11" i="169"/>
  <c r="AQ12" i="169"/>
  <c r="AQ9" i="169"/>
  <c r="AQ10" i="169"/>
  <c r="AQ13" i="169"/>
  <c r="AQ15" i="169"/>
  <c r="AQ16" i="169"/>
  <c r="AQ17" i="169"/>
  <c r="AQ19" i="169"/>
  <c r="AQ20" i="169"/>
  <c r="AQ22" i="169"/>
  <c r="AQ23" i="169"/>
  <c r="AQ24" i="169"/>
  <c r="AQ28" i="169"/>
  <c r="AQ34" i="169"/>
  <c r="AQ35" i="169"/>
  <c r="AQ36" i="169"/>
  <c r="AQ38" i="169"/>
  <c r="AQ39" i="169"/>
  <c r="AQ40" i="169"/>
  <c r="AQ42" i="169"/>
  <c r="AQ43" i="169"/>
  <c r="AQ44" i="169"/>
  <c r="AQ45" i="169"/>
  <c r="AQ46" i="169"/>
  <c r="AQ47" i="169"/>
  <c r="AQ49" i="169"/>
  <c r="AQ50" i="169"/>
  <c r="AQ53" i="169"/>
  <c r="AQ54" i="169"/>
  <c r="AQ57" i="169"/>
  <c r="AQ61" i="169"/>
  <c r="AQ63" i="169"/>
  <c r="AQ59" i="169"/>
  <c r="AQ64" i="169"/>
  <c r="AQ66" i="169"/>
  <c r="AQ71" i="169"/>
  <c r="AQ73" i="169"/>
  <c r="AQ74" i="169"/>
  <c r="AQ77" i="169"/>
  <c r="AQ79" i="169"/>
  <c r="AQ80" i="169"/>
  <c r="AQ83" i="169"/>
  <c r="Y11" i="169"/>
  <c r="Y12" i="169"/>
  <c r="Y9" i="169"/>
  <c r="Y10" i="169"/>
  <c r="Y13" i="169"/>
  <c r="Y15" i="169"/>
  <c r="Y16" i="169"/>
  <c r="Y17" i="169"/>
  <c r="Y19" i="169"/>
  <c r="Y20" i="169"/>
  <c r="Y22" i="169"/>
  <c r="Y23" i="169"/>
  <c r="Y24" i="169"/>
  <c r="Y28" i="169"/>
  <c r="Y34" i="169"/>
  <c r="Y35" i="169"/>
  <c r="Y36" i="169"/>
  <c r="J173" i="46"/>
  <c r="Y38" i="169"/>
  <c r="J217" i="48"/>
  <c r="Y39" i="169"/>
  <c r="Y40" i="169"/>
  <c r="Y42" i="169"/>
  <c r="Y43" i="169"/>
  <c r="Y44" i="169"/>
  <c r="Y45" i="169"/>
  <c r="Y46" i="169"/>
  <c r="Y47" i="169"/>
  <c r="Y49" i="169"/>
  <c r="Y50" i="169"/>
  <c r="Y53" i="169"/>
  <c r="Y54" i="169"/>
  <c r="Y57" i="169"/>
  <c r="Y61" i="169"/>
  <c r="Y63" i="169"/>
  <c r="Y59" i="169"/>
  <c r="Y64" i="169"/>
  <c r="Y66" i="169"/>
  <c r="Y71" i="169"/>
  <c r="Y73" i="169"/>
  <c r="Y74" i="169"/>
  <c r="Y77" i="169"/>
  <c r="Y79" i="169"/>
  <c r="Y80" i="169"/>
  <c r="I41" i="105"/>
  <c r="BC41" i="105"/>
  <c r="BM41" i="105"/>
  <c r="S42" i="105"/>
  <c r="AR11" i="169"/>
  <c r="AR12" i="169"/>
  <c r="AR9" i="169"/>
  <c r="AR10" i="169"/>
  <c r="AR13" i="169"/>
  <c r="AR15" i="169"/>
  <c r="AR16" i="169"/>
  <c r="AR17" i="169"/>
  <c r="AR19" i="169"/>
  <c r="AR20" i="169"/>
  <c r="AR22" i="169"/>
  <c r="AR23" i="169"/>
  <c r="AR24" i="169"/>
  <c r="AR28" i="169"/>
  <c r="AR34" i="169"/>
  <c r="AR35" i="169"/>
  <c r="AR36" i="169"/>
  <c r="AR38" i="169"/>
  <c r="AR39" i="169"/>
  <c r="AR40" i="169"/>
  <c r="AR42" i="169"/>
  <c r="AR43" i="169"/>
  <c r="AR44" i="169"/>
  <c r="AR45" i="169"/>
  <c r="AR46" i="169"/>
  <c r="AR47" i="169"/>
  <c r="AR49" i="169"/>
  <c r="AR50" i="169"/>
  <c r="AR53" i="169"/>
  <c r="AR54" i="169"/>
  <c r="AR57" i="169"/>
  <c r="AR61" i="169"/>
  <c r="AR63" i="169"/>
  <c r="AR59" i="169"/>
  <c r="AR64" i="169"/>
  <c r="AR66" i="169"/>
  <c r="AR71" i="169"/>
  <c r="AR73" i="169"/>
  <c r="AR74" i="169"/>
  <c r="AR77" i="169"/>
  <c r="AR79" i="169"/>
  <c r="AR80" i="169"/>
  <c r="AR83" i="169"/>
  <c r="Z11" i="169"/>
  <c r="Z12" i="169"/>
  <c r="Z9" i="169"/>
  <c r="Z10" i="169"/>
  <c r="Z13" i="169"/>
  <c r="Z15" i="169"/>
  <c r="Z16" i="169"/>
  <c r="Z17" i="169"/>
  <c r="Z19" i="169"/>
  <c r="Z20" i="169"/>
  <c r="Z22" i="169"/>
  <c r="Z23" i="169"/>
  <c r="Z24" i="169"/>
  <c r="Z28" i="169"/>
  <c r="Z34" i="169"/>
  <c r="Z35" i="169"/>
  <c r="Z36" i="169"/>
  <c r="Z38" i="169"/>
  <c r="J218" i="48"/>
  <c r="Z39" i="169"/>
  <c r="Z40" i="169"/>
  <c r="Z42" i="169"/>
  <c r="Z43" i="169"/>
  <c r="Z44" i="169"/>
  <c r="Z45" i="169"/>
  <c r="Z46" i="169"/>
  <c r="Z47" i="169"/>
  <c r="Z49" i="169"/>
  <c r="Z50" i="169"/>
  <c r="Z53" i="169"/>
  <c r="Z54" i="169"/>
  <c r="Z57" i="169"/>
  <c r="Z61" i="169"/>
  <c r="Z63" i="169"/>
  <c r="Z59" i="169"/>
  <c r="Z64" i="169"/>
  <c r="Z66" i="169"/>
  <c r="Z71" i="169"/>
  <c r="Z73" i="169"/>
  <c r="Z74" i="169"/>
  <c r="Z77" i="169"/>
  <c r="Z79" i="169"/>
  <c r="Z80" i="169"/>
  <c r="I42" i="105"/>
  <c r="BC42" i="105"/>
  <c r="BM42" i="105"/>
  <c r="I138" i="140"/>
  <c r="I157" i="140"/>
  <c r="I214" i="140"/>
  <c r="R3" i="105"/>
  <c r="AB3" i="105"/>
  <c r="BL3" i="105"/>
  <c r="BV3" i="105"/>
  <c r="I135" i="157"/>
  <c r="I154" i="157"/>
  <c r="I215" i="157"/>
  <c r="R4" i="105"/>
  <c r="AB4" i="105"/>
  <c r="BL4" i="105"/>
  <c r="BV4" i="105"/>
  <c r="I130" i="139"/>
  <c r="I149" i="139"/>
  <c r="I207" i="139"/>
  <c r="R5" i="105"/>
  <c r="AB5" i="105"/>
  <c r="I148" i="139"/>
  <c r="I206" i="139"/>
  <c r="H5" i="105"/>
  <c r="BB5" i="105"/>
  <c r="BL5" i="105"/>
  <c r="BV5" i="105"/>
  <c r="I113" i="141"/>
  <c r="I104" i="141"/>
  <c r="I105" i="141"/>
  <c r="I106" i="141"/>
  <c r="I107" i="141"/>
  <c r="I141" i="141"/>
  <c r="I131" i="141"/>
  <c r="I169" i="141"/>
  <c r="R6" i="105"/>
  <c r="I132" i="141"/>
  <c r="I170" i="141"/>
  <c r="AB6" i="105"/>
  <c r="BL6" i="105"/>
  <c r="BV6" i="105"/>
  <c r="I91" i="142"/>
  <c r="I107" i="142"/>
  <c r="I136" i="142"/>
  <c r="R7" i="105"/>
  <c r="AB7" i="105"/>
  <c r="BL7" i="105"/>
  <c r="BV7" i="105"/>
  <c r="I91" i="143"/>
  <c r="I133" i="143"/>
  <c r="R8" i="105"/>
  <c r="AB8" i="105"/>
  <c r="I90" i="143"/>
  <c r="I132" i="143"/>
  <c r="H8" i="105"/>
  <c r="BB8" i="105"/>
  <c r="BL8" i="105"/>
  <c r="BV8" i="105"/>
  <c r="I91" i="144"/>
  <c r="I133" i="144"/>
  <c r="R9" i="105"/>
  <c r="AB9" i="105"/>
  <c r="I90" i="144"/>
  <c r="I132" i="144"/>
  <c r="H9" i="105"/>
  <c r="BB9" i="105"/>
  <c r="BL9" i="105"/>
  <c r="BV9" i="105"/>
  <c r="I89" i="147"/>
  <c r="I127" i="147"/>
  <c r="R10" i="105"/>
  <c r="AB10" i="105"/>
  <c r="I88" i="147"/>
  <c r="I126" i="147"/>
  <c r="H10" i="105"/>
  <c r="BB10" i="105"/>
  <c r="BL10" i="105"/>
  <c r="BV10" i="105"/>
  <c r="I91" i="146"/>
  <c r="I129" i="146"/>
  <c r="R11" i="105"/>
  <c r="AB11" i="105"/>
  <c r="I90" i="146"/>
  <c r="I128" i="146"/>
  <c r="H11" i="105"/>
  <c r="BB11" i="105"/>
  <c r="BL11" i="105"/>
  <c r="BV11" i="105"/>
  <c r="I91" i="145"/>
  <c r="I129" i="145"/>
  <c r="R12" i="105"/>
  <c r="AB12" i="105"/>
  <c r="BL12" i="105"/>
  <c r="BV12" i="105"/>
  <c r="R14" i="105"/>
  <c r="T11" i="168"/>
  <c r="T12" i="168"/>
  <c r="T9" i="168"/>
  <c r="T10" i="168"/>
  <c r="T13" i="168"/>
  <c r="T15" i="168"/>
  <c r="T16" i="168"/>
  <c r="T17" i="168"/>
  <c r="I443" i="39"/>
  <c r="T19" i="168"/>
  <c r="T20" i="168"/>
  <c r="T22" i="168"/>
  <c r="T23" i="168"/>
  <c r="T24" i="168"/>
  <c r="T28" i="168"/>
  <c r="T34" i="168"/>
  <c r="T38" i="168"/>
  <c r="I151" i="48"/>
  <c r="I214" i="48"/>
  <c r="T39" i="168"/>
  <c r="T40" i="168"/>
  <c r="T42" i="168"/>
  <c r="T43" i="168"/>
  <c r="T44" i="168"/>
  <c r="T45" i="168"/>
  <c r="T46" i="168"/>
  <c r="T47" i="168"/>
  <c r="T49" i="168"/>
  <c r="T50" i="168"/>
  <c r="T53" i="168"/>
  <c r="T54" i="168"/>
  <c r="I167" i="157"/>
  <c r="T57" i="168"/>
  <c r="T61" i="168"/>
  <c r="T63" i="168"/>
  <c r="I159" i="139"/>
  <c r="T59" i="168"/>
  <c r="T64" i="168"/>
  <c r="T71" i="168"/>
  <c r="T73" i="168"/>
  <c r="T74" i="168"/>
  <c r="I245" i="110"/>
  <c r="I246" i="110"/>
  <c r="I263" i="110"/>
  <c r="I264" i="110"/>
  <c r="I281" i="110"/>
  <c r="I282" i="110"/>
  <c r="I299" i="110"/>
  <c r="I316" i="110"/>
  <c r="I317" i="110"/>
  <c r="I334" i="110"/>
  <c r="I414" i="110"/>
  <c r="T77" i="168"/>
  <c r="U11" i="168"/>
  <c r="U12" i="168"/>
  <c r="U9" i="168"/>
  <c r="U10" i="168"/>
  <c r="U13" i="168"/>
  <c r="I196" i="49"/>
  <c r="U15" i="168"/>
  <c r="I158" i="62"/>
  <c r="U16" i="168"/>
  <c r="U17" i="168"/>
  <c r="I444" i="39"/>
  <c r="U19" i="168"/>
  <c r="U20" i="168"/>
  <c r="I167" i="40"/>
  <c r="I365" i="40"/>
  <c r="H169" i="40"/>
  <c r="I169" i="40"/>
  <c r="I343" i="40"/>
  <c r="I367" i="40"/>
  <c r="I171" i="40"/>
  <c r="I344" i="40"/>
  <c r="I369" i="40"/>
  <c r="I771" i="40" a="1"/>
  <c r="I772" i="40" a="1"/>
  <c r="I771" i="40"/>
  <c r="I772" i="40"/>
  <c r="I441" i="41"/>
  <c r="U23" i="168"/>
  <c r="U34" i="168"/>
  <c r="I171" i="46"/>
  <c r="U38" i="168"/>
  <c r="U39" i="168"/>
  <c r="U40" i="168"/>
  <c r="U42" i="168"/>
  <c r="U43" i="168"/>
  <c r="U44" i="168"/>
  <c r="U45" i="168"/>
  <c r="U46" i="168"/>
  <c r="U47" i="168"/>
  <c r="U49" i="168"/>
  <c r="U50" i="168"/>
  <c r="U53" i="168"/>
  <c r="U54" i="168"/>
  <c r="U57" i="168"/>
  <c r="U61" i="168"/>
  <c r="I179" i="40"/>
  <c r="I377" i="40"/>
  <c r="I180" i="40"/>
  <c r="I378" i="40"/>
  <c r="H181" i="40"/>
  <c r="I181" i="40"/>
  <c r="I379" i="40"/>
  <c r="I182" i="40"/>
  <c r="I380" i="40"/>
  <c r="U59" i="168"/>
  <c r="U71" i="168"/>
  <c r="U73" i="168"/>
  <c r="U74" i="168"/>
  <c r="I249" i="110"/>
  <c r="I250" i="110"/>
  <c r="I267" i="110"/>
  <c r="I268" i="110"/>
  <c r="I285" i="110"/>
  <c r="I286" i="110"/>
  <c r="I302" i="110"/>
  <c r="I303" i="110"/>
  <c r="I335" i="110"/>
  <c r="I415" i="110"/>
  <c r="U77" i="168"/>
  <c r="H14" i="105"/>
  <c r="BB14" i="105"/>
  <c r="BL14" i="105"/>
  <c r="R15" i="105"/>
  <c r="I487" i="112"/>
  <c r="I488" i="112"/>
  <c r="I489" i="112"/>
  <c r="I490" i="112"/>
  <c r="I491" i="112"/>
  <c r="I492" i="112"/>
  <c r="I601" i="112"/>
  <c r="AB15" i="105"/>
  <c r="H15" i="105"/>
  <c r="BB15" i="105"/>
  <c r="BL15" i="105"/>
  <c r="BV15" i="105"/>
  <c r="I497" i="112"/>
  <c r="I498" i="112"/>
  <c r="I527" i="112"/>
  <c r="I528" i="112"/>
  <c r="I499" i="112"/>
  <c r="I500" i="112"/>
  <c r="I594" i="112"/>
  <c r="R16" i="105"/>
  <c r="AB16" i="105"/>
  <c r="H16" i="105"/>
  <c r="BB16" i="105"/>
  <c r="BL16" i="105"/>
  <c r="BV16" i="105"/>
  <c r="AB17" i="105"/>
  <c r="G472" i="113"/>
  <c r="G568" i="113"/>
  <c r="F17" i="105"/>
  <c r="AZ17" i="105"/>
  <c r="BL17" i="105"/>
  <c r="I511" i="113"/>
  <c r="I513" i="113"/>
  <c r="AB18" i="105"/>
  <c r="G474" i="113"/>
  <c r="R19" i="105"/>
  <c r="AB19" i="105"/>
  <c r="H19" i="105"/>
  <c r="BB19" i="105"/>
  <c r="BL19" i="105"/>
  <c r="BV19" i="105"/>
  <c r="R20" i="105"/>
  <c r="AB20" i="105"/>
  <c r="H20" i="105"/>
  <c r="BB20" i="105"/>
  <c r="BL20" i="105"/>
  <c r="BV20" i="105"/>
  <c r="R22" i="105"/>
  <c r="AB22" i="105"/>
  <c r="F22" i="105"/>
  <c r="AZ22" i="105"/>
  <c r="BL22" i="105"/>
  <c r="BV22" i="105"/>
  <c r="R23" i="105"/>
  <c r="AB23" i="105"/>
  <c r="G101" i="138"/>
  <c r="G139" i="138"/>
  <c r="F23" i="105"/>
  <c r="AZ23" i="105"/>
  <c r="BL23" i="105"/>
  <c r="BV23" i="105"/>
  <c r="R24" i="105"/>
  <c r="AB24" i="105"/>
  <c r="G184" i="49"/>
  <c r="G238" i="49"/>
  <c r="F24" i="105"/>
  <c r="AZ24" i="105"/>
  <c r="BL24" i="105"/>
  <c r="BV24" i="105"/>
  <c r="R25" i="105"/>
  <c r="AB25" i="105"/>
  <c r="I146" i="62"/>
  <c r="I206" i="62"/>
  <c r="H25" i="105"/>
  <c r="BB25" i="105"/>
  <c r="BL25" i="105"/>
  <c r="BV25" i="105"/>
  <c r="AB26" i="105"/>
  <c r="I741" i="40"/>
  <c r="I745" i="40"/>
  <c r="I923" i="40"/>
  <c r="R27" i="105"/>
  <c r="AB27" i="105"/>
  <c r="I681" i="40"/>
  <c r="I685" i="40"/>
  <c r="I922" i="40"/>
  <c r="H27" i="105"/>
  <c r="BB27" i="105"/>
  <c r="BL27" i="105"/>
  <c r="BV27" i="105"/>
  <c r="I742" i="40"/>
  <c r="I746" i="40"/>
  <c r="I933" i="40"/>
  <c r="R28" i="105"/>
  <c r="AB28" i="105"/>
  <c r="G682" i="40"/>
  <c r="G686" i="40"/>
  <c r="G932" i="40"/>
  <c r="F28" i="105"/>
  <c r="AZ28" i="105"/>
  <c r="BL28" i="105"/>
  <c r="BV28" i="105"/>
  <c r="I743" i="40"/>
  <c r="I747" i="40"/>
  <c r="I943" i="40"/>
  <c r="R29" i="105"/>
  <c r="AB29" i="105"/>
  <c r="G683" i="40"/>
  <c r="G687" i="40"/>
  <c r="G942" i="40"/>
  <c r="F29" i="105"/>
  <c r="AZ29" i="105"/>
  <c r="BL29" i="105"/>
  <c r="BV29" i="105"/>
  <c r="BV30" i="105"/>
  <c r="I740" i="40"/>
  <c r="I963" i="40"/>
  <c r="R31" i="105"/>
  <c r="AB31" i="105"/>
  <c r="I680" i="40"/>
  <c r="I962" i="40"/>
  <c r="H31" i="105"/>
  <c r="BB31" i="105"/>
  <c r="BL31" i="105"/>
  <c r="BV31" i="105"/>
  <c r="I749" i="40"/>
  <c r="I750" i="40"/>
  <c r="I973" i="40"/>
  <c r="R32" i="105"/>
  <c r="AB32" i="105"/>
  <c r="BL32" i="105"/>
  <c r="BV32" i="105"/>
  <c r="I753" i="40"/>
  <c r="I983" i="40"/>
  <c r="R33" i="105"/>
  <c r="AB33" i="105"/>
  <c r="BL33" i="105"/>
  <c r="BV33" i="105"/>
  <c r="I411" i="41"/>
  <c r="I412" i="41"/>
  <c r="H254" i="41"/>
  <c r="I413" i="41"/>
  <c r="I414" i="41"/>
  <c r="I428" i="41"/>
  <c r="I533" i="41"/>
  <c r="R34" i="105"/>
  <c r="AB34" i="105"/>
  <c r="H384" i="41"/>
  <c r="H385" i="41"/>
  <c r="H386" i="41"/>
  <c r="H387" i="41"/>
  <c r="H427" i="41"/>
  <c r="H532" i="41"/>
  <c r="G34" i="105"/>
  <c r="BA34" i="105"/>
  <c r="BL34" i="105"/>
  <c r="BV34" i="105"/>
  <c r="I163" i="46"/>
  <c r="I212" i="46"/>
  <c r="R35" i="105"/>
  <c r="AB35" i="105"/>
  <c r="G162" i="46"/>
  <c r="G211" i="46"/>
  <c r="F35" i="105"/>
  <c r="AZ35" i="105"/>
  <c r="BL35" i="105"/>
  <c r="BV35" i="105"/>
  <c r="R36" i="105"/>
  <c r="E119" i="48"/>
  <c r="G119" i="48"/>
  <c r="H119" i="48"/>
  <c r="I119" i="48"/>
  <c r="I201" i="48"/>
  <c r="I255" i="48"/>
  <c r="AB36" i="105"/>
  <c r="H36" i="105"/>
  <c r="BB36" i="105"/>
  <c r="BL36" i="105"/>
  <c r="BV36" i="105"/>
  <c r="R37" i="105"/>
  <c r="E128" i="48"/>
  <c r="G128" i="48"/>
  <c r="H128" i="48"/>
  <c r="I128" i="48"/>
  <c r="I202" i="48"/>
  <c r="I262" i="48"/>
  <c r="AB37" i="105"/>
  <c r="H37" i="105"/>
  <c r="BB37" i="105"/>
  <c r="BL37" i="105"/>
  <c r="BV37" i="105"/>
  <c r="R38" i="105"/>
  <c r="I37" i="48"/>
  <c r="I39" i="48"/>
  <c r="I40" i="48"/>
  <c r="I51" i="48"/>
  <c r="I156" i="48"/>
  <c r="E137" i="48"/>
  <c r="G137" i="48"/>
  <c r="H137" i="48"/>
  <c r="I137" i="48"/>
  <c r="I203" i="48"/>
  <c r="I269" i="48"/>
  <c r="AB38" i="105"/>
  <c r="H38" i="105"/>
  <c r="BB38" i="105"/>
  <c r="BL38" i="105"/>
  <c r="BV38" i="105"/>
  <c r="AB39" i="105"/>
  <c r="R40" i="105"/>
  <c r="AP11" i="168"/>
  <c r="AP12" i="168"/>
  <c r="AP9" i="168"/>
  <c r="AP10" i="168"/>
  <c r="AP13" i="168"/>
  <c r="AP15" i="168"/>
  <c r="AP16" i="168"/>
  <c r="AP17" i="168"/>
  <c r="AP19" i="168"/>
  <c r="AP20" i="168"/>
  <c r="AP22" i="168"/>
  <c r="AP23" i="168"/>
  <c r="AP24" i="168"/>
  <c r="AP28" i="168"/>
  <c r="AP34" i="168"/>
  <c r="AP35" i="168"/>
  <c r="AP36" i="168"/>
  <c r="AP38" i="168"/>
  <c r="AP39" i="168"/>
  <c r="AP40" i="168"/>
  <c r="AP42" i="168"/>
  <c r="AP43" i="168"/>
  <c r="AP44" i="168"/>
  <c r="AP45" i="168"/>
  <c r="AP46" i="168"/>
  <c r="AP47" i="168"/>
  <c r="AP49" i="168"/>
  <c r="AP50" i="168"/>
  <c r="AP53" i="168"/>
  <c r="AP54" i="168"/>
  <c r="AP57" i="168"/>
  <c r="AP61" i="168"/>
  <c r="AP63" i="168"/>
  <c r="AP59" i="168"/>
  <c r="AP64" i="168"/>
  <c r="AP66" i="168"/>
  <c r="AP71" i="168"/>
  <c r="AP73" i="168"/>
  <c r="AP74" i="168"/>
  <c r="AP77" i="168"/>
  <c r="AP79" i="168"/>
  <c r="AP80" i="168"/>
  <c r="AP83" i="168"/>
  <c r="X11" i="168"/>
  <c r="X12" i="168"/>
  <c r="X9" i="168"/>
  <c r="X10" i="168"/>
  <c r="X13" i="168"/>
  <c r="X15" i="168"/>
  <c r="X16" i="168"/>
  <c r="X17" i="168"/>
  <c r="X19" i="168"/>
  <c r="X20" i="168"/>
  <c r="X22" i="168"/>
  <c r="X23" i="168"/>
  <c r="X24" i="168"/>
  <c r="X28" i="168"/>
  <c r="I348" i="113"/>
  <c r="I354" i="113"/>
  <c r="I360" i="113"/>
  <c r="I366" i="113"/>
  <c r="I370" i="113"/>
  <c r="I529" i="113"/>
  <c r="X34" i="168"/>
  <c r="X35" i="168"/>
  <c r="X36" i="168"/>
  <c r="X38" i="168"/>
  <c r="I216" i="48"/>
  <c r="X39" i="168"/>
  <c r="X40" i="168"/>
  <c r="X42" i="168"/>
  <c r="X43" i="168"/>
  <c r="X44" i="168"/>
  <c r="X45" i="168"/>
  <c r="X46" i="168"/>
  <c r="X47" i="168"/>
  <c r="X49" i="168"/>
  <c r="X50" i="168"/>
  <c r="X53" i="168"/>
  <c r="X54" i="168"/>
  <c r="X57" i="168"/>
  <c r="X61" i="168"/>
  <c r="X63" i="168"/>
  <c r="X59" i="168"/>
  <c r="X64" i="168"/>
  <c r="X66" i="168"/>
  <c r="X71" i="168"/>
  <c r="X73" i="168"/>
  <c r="X74" i="168"/>
  <c r="X77" i="168"/>
  <c r="X79" i="168"/>
  <c r="X80" i="168"/>
  <c r="H40" i="105"/>
  <c r="BB40" i="105"/>
  <c r="BL40" i="105"/>
  <c r="R41" i="105"/>
  <c r="AQ11" i="168"/>
  <c r="AQ12" i="168"/>
  <c r="AQ9" i="168"/>
  <c r="AQ10" i="168"/>
  <c r="AQ13" i="168"/>
  <c r="AQ15" i="168"/>
  <c r="AQ16" i="168"/>
  <c r="AQ17" i="168"/>
  <c r="AQ19" i="168"/>
  <c r="AQ20" i="168"/>
  <c r="AQ22" i="168"/>
  <c r="AQ23" i="168"/>
  <c r="AQ24" i="168"/>
  <c r="AQ28" i="168"/>
  <c r="AQ34" i="168"/>
  <c r="AQ35" i="168"/>
  <c r="AQ36" i="168"/>
  <c r="AQ38" i="168"/>
  <c r="AQ39" i="168"/>
  <c r="AQ40" i="168"/>
  <c r="AQ42" i="168"/>
  <c r="AQ43" i="168"/>
  <c r="AQ44" i="168"/>
  <c r="AQ45" i="168"/>
  <c r="AQ46" i="168"/>
  <c r="AQ47" i="168"/>
  <c r="AQ49" i="168"/>
  <c r="AQ50" i="168"/>
  <c r="AQ53" i="168"/>
  <c r="AQ54" i="168"/>
  <c r="AQ57" i="168"/>
  <c r="AQ61" i="168"/>
  <c r="AQ63" i="168"/>
  <c r="AQ59" i="168"/>
  <c r="AQ64" i="168"/>
  <c r="AQ66" i="168"/>
  <c r="AQ71" i="168"/>
  <c r="AQ73" i="168"/>
  <c r="AQ74" i="168"/>
  <c r="AQ77" i="168"/>
  <c r="AQ79" i="168"/>
  <c r="AQ80" i="168"/>
  <c r="AQ83" i="168"/>
  <c r="Y11" i="168"/>
  <c r="Y12" i="168"/>
  <c r="Y9" i="168"/>
  <c r="Y10" i="168"/>
  <c r="Y13" i="168"/>
  <c r="Y15" i="168"/>
  <c r="Y16" i="168"/>
  <c r="Y17" i="168"/>
  <c r="Y19" i="168"/>
  <c r="Y20" i="168"/>
  <c r="Y22" i="168"/>
  <c r="Y23" i="168"/>
  <c r="Y24" i="168"/>
  <c r="Y28" i="168"/>
  <c r="Y34" i="168"/>
  <c r="Y35" i="168"/>
  <c r="Y36" i="168"/>
  <c r="I173" i="46"/>
  <c r="Y38" i="168"/>
  <c r="I217" i="48"/>
  <c r="Y39" i="168"/>
  <c r="Y40" i="168"/>
  <c r="Y42" i="168"/>
  <c r="Y43" i="168"/>
  <c r="Y44" i="168"/>
  <c r="Y45" i="168"/>
  <c r="Y46" i="168"/>
  <c r="Y47" i="168"/>
  <c r="Y49" i="168"/>
  <c r="Y50" i="168"/>
  <c r="Y53" i="168"/>
  <c r="Y54" i="168"/>
  <c r="Y57" i="168"/>
  <c r="Y61" i="168"/>
  <c r="Y63" i="168"/>
  <c r="Y59" i="168"/>
  <c r="Y64" i="168"/>
  <c r="Y66" i="168"/>
  <c r="Y71" i="168"/>
  <c r="Y73" i="168"/>
  <c r="Y74" i="168"/>
  <c r="Y77" i="168"/>
  <c r="Y79" i="168"/>
  <c r="Y80" i="168"/>
  <c r="H41" i="105"/>
  <c r="BB41" i="105"/>
  <c r="BL41" i="105"/>
  <c r="R42" i="105"/>
  <c r="AR11" i="168"/>
  <c r="AR12" i="168"/>
  <c r="AR9" i="168"/>
  <c r="AR10" i="168"/>
  <c r="AR13" i="168"/>
  <c r="AR15" i="168"/>
  <c r="AR16" i="168"/>
  <c r="AR17" i="168"/>
  <c r="AR19" i="168"/>
  <c r="AR20" i="168"/>
  <c r="AR22" i="168"/>
  <c r="AR23" i="168"/>
  <c r="AR24" i="168"/>
  <c r="AR28" i="168"/>
  <c r="AR34" i="168"/>
  <c r="AR35" i="168"/>
  <c r="AR36" i="168"/>
  <c r="AR38" i="168"/>
  <c r="AR39" i="168"/>
  <c r="AR40" i="168"/>
  <c r="AR42" i="168"/>
  <c r="AR43" i="168"/>
  <c r="AR44" i="168"/>
  <c r="AR45" i="168"/>
  <c r="AR46" i="168"/>
  <c r="AR47" i="168"/>
  <c r="AR49" i="168"/>
  <c r="AR50" i="168"/>
  <c r="AR53" i="168"/>
  <c r="AR54" i="168"/>
  <c r="AR57" i="168"/>
  <c r="AR61" i="168"/>
  <c r="AR63" i="168"/>
  <c r="AR59" i="168"/>
  <c r="AR64" i="168"/>
  <c r="AR66" i="168"/>
  <c r="AR71" i="168"/>
  <c r="AR73" i="168"/>
  <c r="AR74" i="168"/>
  <c r="AR77" i="168"/>
  <c r="AR79" i="168"/>
  <c r="AR80" i="168"/>
  <c r="AR83" i="168"/>
  <c r="Z11" i="168"/>
  <c r="Z12" i="168"/>
  <c r="Z9" i="168"/>
  <c r="Z10" i="168"/>
  <c r="Z13" i="168"/>
  <c r="Z15" i="168"/>
  <c r="Z16" i="168"/>
  <c r="Z17" i="168"/>
  <c r="Z19" i="168"/>
  <c r="Z20" i="168"/>
  <c r="Z22" i="168"/>
  <c r="Z23" i="168"/>
  <c r="Z24" i="168"/>
  <c r="Z28" i="168"/>
  <c r="Z34" i="168"/>
  <c r="Z35" i="168"/>
  <c r="Z36" i="168"/>
  <c r="Z38" i="168"/>
  <c r="I218" i="48"/>
  <c r="Z39" i="168"/>
  <c r="Z40" i="168"/>
  <c r="Z42" i="168"/>
  <c r="Z43" i="168"/>
  <c r="Z44" i="168"/>
  <c r="Z45" i="168"/>
  <c r="Z46" i="168"/>
  <c r="Z47" i="168"/>
  <c r="Z49" i="168"/>
  <c r="Z50" i="168"/>
  <c r="Z53" i="168"/>
  <c r="Z54" i="168"/>
  <c r="Z57" i="168"/>
  <c r="Z61" i="168"/>
  <c r="Z63" i="168"/>
  <c r="Z59" i="168"/>
  <c r="Z64" i="168"/>
  <c r="Z66" i="168"/>
  <c r="Z71" i="168"/>
  <c r="Z73" i="168"/>
  <c r="Z74" i="168"/>
  <c r="Z77" i="168"/>
  <c r="Z79" i="168"/>
  <c r="Z80" i="168"/>
  <c r="H42" i="105"/>
  <c r="BB42" i="105"/>
  <c r="BL42" i="105"/>
  <c r="H138" i="140"/>
  <c r="H157" i="140"/>
  <c r="H214" i="140"/>
  <c r="Q3" i="105"/>
  <c r="AA3" i="105"/>
  <c r="BK3" i="105"/>
  <c r="BU3" i="105"/>
  <c r="H135" i="157"/>
  <c r="H154" i="157"/>
  <c r="H215" i="157"/>
  <c r="Q4" i="105"/>
  <c r="AA4" i="105"/>
  <c r="BK4" i="105"/>
  <c r="BU4" i="105"/>
  <c r="H130" i="139"/>
  <c r="H149" i="139"/>
  <c r="H207" i="139"/>
  <c r="Q5" i="105"/>
  <c r="AA5" i="105"/>
  <c r="H148" i="139"/>
  <c r="H206" i="139"/>
  <c r="G5" i="105"/>
  <c r="BA5" i="105"/>
  <c r="BK5" i="105"/>
  <c r="BU5" i="105"/>
  <c r="H113" i="141"/>
  <c r="H104" i="141"/>
  <c r="H105" i="141"/>
  <c r="H106" i="141"/>
  <c r="H107" i="141"/>
  <c r="H141" i="141"/>
  <c r="H131" i="141"/>
  <c r="H169" i="141"/>
  <c r="Q6" i="105"/>
  <c r="H132" i="141"/>
  <c r="H170" i="141"/>
  <c r="AA6" i="105"/>
  <c r="BK6" i="105"/>
  <c r="BU6" i="105"/>
  <c r="H91" i="142"/>
  <c r="H107" i="142"/>
  <c r="H136" i="142"/>
  <c r="Q7" i="105"/>
  <c r="AA7" i="105"/>
  <c r="BK7" i="105"/>
  <c r="BU7" i="105"/>
  <c r="H91" i="143"/>
  <c r="H133" i="143"/>
  <c r="Q8" i="105"/>
  <c r="AA8" i="105"/>
  <c r="H90" i="143"/>
  <c r="H132" i="143"/>
  <c r="G8" i="105"/>
  <c r="BA8" i="105"/>
  <c r="BK8" i="105"/>
  <c r="BU8" i="105"/>
  <c r="H91" i="144"/>
  <c r="H133" i="144"/>
  <c r="Q9" i="105"/>
  <c r="AA9" i="105"/>
  <c r="H90" i="144"/>
  <c r="H132" i="144"/>
  <c r="G9" i="105"/>
  <c r="BA9" i="105"/>
  <c r="BK9" i="105"/>
  <c r="BU9" i="105"/>
  <c r="H89" i="147"/>
  <c r="H127" i="147"/>
  <c r="Q10" i="105"/>
  <c r="AA10" i="105"/>
  <c r="H88" i="147"/>
  <c r="H126" i="147"/>
  <c r="G10" i="105"/>
  <c r="BA10" i="105"/>
  <c r="BK10" i="105"/>
  <c r="BU10" i="105"/>
  <c r="H91" i="146"/>
  <c r="H129" i="146"/>
  <c r="Q11" i="105"/>
  <c r="AA11" i="105"/>
  <c r="H90" i="146"/>
  <c r="H128" i="146"/>
  <c r="G11" i="105"/>
  <c r="BA11" i="105"/>
  <c r="BK11" i="105"/>
  <c r="BU11" i="105"/>
  <c r="H91" i="145"/>
  <c r="H129" i="145"/>
  <c r="Q12" i="105"/>
  <c r="AA12" i="105"/>
  <c r="BK12" i="105"/>
  <c r="BU12" i="105"/>
  <c r="Q14" i="105"/>
  <c r="T11" i="167"/>
  <c r="T12" i="167"/>
  <c r="T9" i="167"/>
  <c r="T10" i="167"/>
  <c r="T13" i="167"/>
  <c r="T15" i="167"/>
  <c r="T16" i="167"/>
  <c r="T17" i="167"/>
  <c r="H443" i="39"/>
  <c r="T19" i="167"/>
  <c r="T20" i="167"/>
  <c r="T22" i="167"/>
  <c r="T23" i="167"/>
  <c r="T24" i="167"/>
  <c r="T28" i="167"/>
  <c r="T34" i="167"/>
  <c r="T38" i="167"/>
  <c r="H151" i="48"/>
  <c r="H214" i="48"/>
  <c r="T39" i="167"/>
  <c r="T40" i="167"/>
  <c r="T42" i="167"/>
  <c r="T43" i="167"/>
  <c r="T44" i="167"/>
  <c r="T45" i="167"/>
  <c r="T46" i="167"/>
  <c r="T47" i="167"/>
  <c r="T49" i="167"/>
  <c r="T50" i="167"/>
  <c r="T53" i="167"/>
  <c r="T54" i="167"/>
  <c r="H167" i="157"/>
  <c r="T57" i="167"/>
  <c r="T61" i="167"/>
  <c r="T63" i="167"/>
  <c r="H159" i="139"/>
  <c r="T59" i="167"/>
  <c r="T64" i="167"/>
  <c r="T71" i="167"/>
  <c r="T73" i="167"/>
  <c r="T74" i="167"/>
  <c r="H245" i="110"/>
  <c r="H246" i="110"/>
  <c r="H263" i="110"/>
  <c r="H264" i="110"/>
  <c r="H281" i="110"/>
  <c r="H282" i="110"/>
  <c r="H299" i="110"/>
  <c r="H316" i="110"/>
  <c r="H317" i="110"/>
  <c r="H334" i="110"/>
  <c r="H414" i="110"/>
  <c r="T77" i="167"/>
  <c r="U11" i="167"/>
  <c r="U12" i="167"/>
  <c r="U9" i="167"/>
  <c r="U10" i="167"/>
  <c r="U13" i="167"/>
  <c r="H196" i="49"/>
  <c r="U15" i="167"/>
  <c r="H158" i="62"/>
  <c r="U16" i="167"/>
  <c r="U17" i="167"/>
  <c r="H444" i="39"/>
  <c r="U19" i="167"/>
  <c r="U20" i="167"/>
  <c r="H167" i="40"/>
  <c r="H365" i="40"/>
  <c r="H343" i="40"/>
  <c r="H367" i="40"/>
  <c r="H171" i="40"/>
  <c r="H344" i="40"/>
  <c r="H369" i="40"/>
  <c r="H771" i="40" a="1"/>
  <c r="H772" i="40" a="1"/>
  <c r="H771" i="40"/>
  <c r="H772" i="40"/>
  <c r="H441" i="41"/>
  <c r="U23" i="167"/>
  <c r="U34" i="167"/>
  <c r="H171" i="46"/>
  <c r="U38" i="167"/>
  <c r="U39" i="167"/>
  <c r="U40" i="167"/>
  <c r="U42" i="167"/>
  <c r="U43" i="167"/>
  <c r="U44" i="167"/>
  <c r="U45" i="167"/>
  <c r="U46" i="167"/>
  <c r="U47" i="167"/>
  <c r="U49" i="167"/>
  <c r="U50" i="167"/>
  <c r="U53" i="167"/>
  <c r="U54" i="167"/>
  <c r="U57" i="167"/>
  <c r="U61" i="167"/>
  <c r="H179" i="40"/>
  <c r="H377" i="40"/>
  <c r="H180" i="40"/>
  <c r="H378" i="40"/>
  <c r="H379" i="40"/>
  <c r="H182" i="40"/>
  <c r="H380" i="40"/>
  <c r="U59" i="167"/>
  <c r="U71" i="167"/>
  <c r="U73" i="167"/>
  <c r="U74" i="167"/>
  <c r="H249" i="110"/>
  <c r="H250" i="110"/>
  <c r="H267" i="110"/>
  <c r="H268" i="110"/>
  <c r="H285" i="110"/>
  <c r="H286" i="110"/>
  <c r="H302" i="110"/>
  <c r="H303" i="110"/>
  <c r="H335" i="110"/>
  <c r="H415" i="110"/>
  <c r="U77" i="167"/>
  <c r="G14" i="105"/>
  <c r="BA14" i="105"/>
  <c r="BK14" i="105"/>
  <c r="Q15" i="105"/>
  <c r="H487" i="112"/>
  <c r="H488" i="112"/>
  <c r="H489" i="112"/>
  <c r="H490" i="112"/>
  <c r="H491" i="112"/>
  <c r="H492" i="112"/>
  <c r="H601" i="112"/>
  <c r="AA15" i="105"/>
  <c r="G15" i="105"/>
  <c r="BA15" i="105"/>
  <c r="BK15" i="105"/>
  <c r="BU15" i="105"/>
  <c r="H497" i="112"/>
  <c r="H498" i="112"/>
  <c r="H527" i="112"/>
  <c r="H528" i="112"/>
  <c r="H499" i="112"/>
  <c r="H500" i="112"/>
  <c r="H594" i="112"/>
  <c r="Q16" i="105"/>
  <c r="AA16" i="105"/>
  <c r="G16" i="105"/>
  <c r="BA16" i="105"/>
  <c r="BK16" i="105"/>
  <c r="BU16" i="105"/>
  <c r="AA17" i="105"/>
  <c r="BK17" i="105"/>
  <c r="H511" i="113"/>
  <c r="H513" i="113"/>
  <c r="AA18" i="105"/>
  <c r="Q19" i="105"/>
  <c r="AA19" i="105"/>
  <c r="G19" i="105"/>
  <c r="BA19" i="105"/>
  <c r="BK19" i="105"/>
  <c r="BU19" i="105"/>
  <c r="Q20" i="105"/>
  <c r="AA20" i="105"/>
  <c r="G20" i="105"/>
  <c r="BA20" i="105"/>
  <c r="BK20" i="105"/>
  <c r="BU20" i="105"/>
  <c r="Q22" i="105"/>
  <c r="AA22" i="105"/>
  <c r="BK22" i="105"/>
  <c r="BU22" i="105"/>
  <c r="Q23" i="105"/>
  <c r="AA23" i="105"/>
  <c r="BK23" i="105"/>
  <c r="BU23" i="105"/>
  <c r="Q24" i="105"/>
  <c r="AA24" i="105"/>
  <c r="BK24" i="105"/>
  <c r="BU24" i="105"/>
  <c r="Q25" i="105"/>
  <c r="AA25" i="105"/>
  <c r="H146" i="62"/>
  <c r="H206" i="62"/>
  <c r="G25" i="105"/>
  <c r="BA25" i="105"/>
  <c r="BK25" i="105"/>
  <c r="BU25" i="105"/>
  <c r="AA26" i="105"/>
  <c r="H741" i="40"/>
  <c r="H745" i="40"/>
  <c r="H923" i="40"/>
  <c r="Q27" i="105"/>
  <c r="AA27" i="105"/>
  <c r="H681" i="40"/>
  <c r="H685" i="40"/>
  <c r="H922" i="40"/>
  <c r="G27" i="105"/>
  <c r="BA27" i="105"/>
  <c r="BK27" i="105"/>
  <c r="BU27" i="105"/>
  <c r="H742" i="40"/>
  <c r="H746" i="40"/>
  <c r="H933" i="40"/>
  <c r="Q28" i="105"/>
  <c r="AA28" i="105"/>
  <c r="BK28" i="105"/>
  <c r="BU28" i="105"/>
  <c r="H743" i="40"/>
  <c r="H747" i="40"/>
  <c r="H943" i="40"/>
  <c r="Q29" i="105"/>
  <c r="AA29" i="105"/>
  <c r="BK29" i="105"/>
  <c r="BU29" i="105"/>
  <c r="BU30" i="105"/>
  <c r="H740" i="40"/>
  <c r="H963" i="40"/>
  <c r="Q31" i="105"/>
  <c r="AA31" i="105"/>
  <c r="H680" i="40"/>
  <c r="H962" i="40"/>
  <c r="G31" i="105"/>
  <c r="BA31" i="105"/>
  <c r="BK31" i="105"/>
  <c r="BU31" i="105"/>
  <c r="H749" i="40"/>
  <c r="H750" i="40"/>
  <c r="H973" i="40"/>
  <c r="Q32" i="105"/>
  <c r="AA32" i="105"/>
  <c r="BK32" i="105"/>
  <c r="BU32" i="105"/>
  <c r="H753" i="40"/>
  <c r="H983" i="40"/>
  <c r="Q33" i="105"/>
  <c r="AA33" i="105"/>
  <c r="BK33" i="105"/>
  <c r="BU33" i="105"/>
  <c r="H411" i="41"/>
  <c r="H412" i="41"/>
  <c r="G254" i="41"/>
  <c r="H413" i="41"/>
  <c r="H414" i="41"/>
  <c r="H428" i="41"/>
  <c r="H533" i="41"/>
  <c r="Q34" i="105"/>
  <c r="AA34" i="105"/>
  <c r="G384" i="41"/>
  <c r="G385" i="41"/>
  <c r="G386" i="41"/>
  <c r="G387" i="41"/>
  <c r="G427" i="41"/>
  <c r="G532" i="41"/>
  <c r="F34" i="105"/>
  <c r="AZ34" i="105"/>
  <c r="BK34" i="105"/>
  <c r="BU34" i="105"/>
  <c r="H163" i="46"/>
  <c r="H212" i="46"/>
  <c r="Q35" i="105"/>
  <c r="AA35" i="105"/>
  <c r="BK35" i="105"/>
  <c r="BU35" i="105"/>
  <c r="Q36" i="105"/>
  <c r="H201" i="48"/>
  <c r="H255" i="48"/>
  <c r="AA36" i="105"/>
  <c r="G36" i="105"/>
  <c r="BA36" i="105"/>
  <c r="BK36" i="105"/>
  <c r="BU36" i="105"/>
  <c r="Q37" i="105"/>
  <c r="H202" i="48"/>
  <c r="H262" i="48"/>
  <c r="AA37" i="105"/>
  <c r="G37" i="105"/>
  <c r="BA37" i="105"/>
  <c r="BK37" i="105"/>
  <c r="BU37" i="105"/>
  <c r="Q38" i="105"/>
  <c r="H37" i="48"/>
  <c r="H39" i="48"/>
  <c r="H40" i="48"/>
  <c r="H51" i="48"/>
  <c r="H156" i="48"/>
  <c r="H203" i="48"/>
  <c r="H269" i="48"/>
  <c r="AA38" i="105"/>
  <c r="G38" i="105"/>
  <c r="BA38" i="105"/>
  <c r="BK38" i="105"/>
  <c r="BU38" i="105"/>
  <c r="AA39" i="105"/>
  <c r="Q40" i="105"/>
  <c r="AP11" i="167"/>
  <c r="AP12" i="167"/>
  <c r="AP9" i="167"/>
  <c r="AP10" i="167"/>
  <c r="AP13" i="167"/>
  <c r="AP15" i="167"/>
  <c r="AP16" i="167"/>
  <c r="AP17" i="167"/>
  <c r="AP19" i="167"/>
  <c r="AP20" i="167"/>
  <c r="AP22" i="167"/>
  <c r="AP23" i="167"/>
  <c r="AP24" i="167"/>
  <c r="AP28" i="167"/>
  <c r="AP34" i="167"/>
  <c r="AP35" i="167"/>
  <c r="AP36" i="167"/>
  <c r="AP38" i="167"/>
  <c r="AP39" i="167"/>
  <c r="AP40" i="167"/>
  <c r="AP42" i="167"/>
  <c r="AP43" i="167"/>
  <c r="AP44" i="167"/>
  <c r="AP45" i="167"/>
  <c r="AP46" i="167"/>
  <c r="AP47" i="167"/>
  <c r="AP49" i="167"/>
  <c r="AP50" i="167"/>
  <c r="AP53" i="167"/>
  <c r="AP54" i="167"/>
  <c r="AP57" i="167"/>
  <c r="AP61" i="167"/>
  <c r="AP63" i="167"/>
  <c r="AP59" i="167"/>
  <c r="AP64" i="167"/>
  <c r="AP66" i="167"/>
  <c r="AP71" i="167"/>
  <c r="AP73" i="167"/>
  <c r="AP74" i="167"/>
  <c r="AP77" i="167"/>
  <c r="AP79" i="167"/>
  <c r="AP80" i="167"/>
  <c r="AP83" i="167"/>
  <c r="X11" i="167"/>
  <c r="X12" i="167"/>
  <c r="X9" i="167"/>
  <c r="X10" i="167"/>
  <c r="X13" i="167"/>
  <c r="X15" i="167"/>
  <c r="X16" i="167"/>
  <c r="X17" i="167"/>
  <c r="X19" i="167"/>
  <c r="X20" i="167"/>
  <c r="X22" i="167"/>
  <c r="X23" i="167"/>
  <c r="X24" i="167"/>
  <c r="X28" i="167"/>
  <c r="H348" i="113"/>
  <c r="H354" i="113"/>
  <c r="H360" i="113"/>
  <c r="H366" i="113"/>
  <c r="H370" i="113"/>
  <c r="H529" i="113"/>
  <c r="X34" i="167"/>
  <c r="X35" i="167"/>
  <c r="X36" i="167"/>
  <c r="X38" i="167"/>
  <c r="H216" i="48"/>
  <c r="X39" i="167"/>
  <c r="X40" i="167"/>
  <c r="X42" i="167"/>
  <c r="X43" i="167"/>
  <c r="X44" i="167"/>
  <c r="X45" i="167"/>
  <c r="X46" i="167"/>
  <c r="X47" i="167"/>
  <c r="X49" i="167"/>
  <c r="X50" i="167"/>
  <c r="X53" i="167"/>
  <c r="X54" i="167"/>
  <c r="X57" i="167"/>
  <c r="X61" i="167"/>
  <c r="X63" i="167"/>
  <c r="X59" i="167"/>
  <c r="X64" i="167"/>
  <c r="X66" i="167"/>
  <c r="X71" i="167"/>
  <c r="X73" i="167"/>
  <c r="X74" i="167"/>
  <c r="X77" i="167"/>
  <c r="X79" i="167"/>
  <c r="X80" i="167"/>
  <c r="G40" i="105"/>
  <c r="BA40" i="105"/>
  <c r="BK40" i="105"/>
  <c r="Q41" i="105"/>
  <c r="AQ11" i="167"/>
  <c r="AQ12" i="167"/>
  <c r="AQ9" i="167"/>
  <c r="AQ10" i="167"/>
  <c r="AQ13" i="167"/>
  <c r="AQ15" i="167"/>
  <c r="AQ16" i="167"/>
  <c r="AQ17" i="167"/>
  <c r="AQ19" i="167"/>
  <c r="AQ20" i="167"/>
  <c r="AQ22" i="167"/>
  <c r="AQ23" i="167"/>
  <c r="AQ24" i="167"/>
  <c r="AQ28" i="167"/>
  <c r="AQ34" i="167"/>
  <c r="AQ35" i="167"/>
  <c r="AQ36" i="167"/>
  <c r="AQ38" i="167"/>
  <c r="AQ39" i="167"/>
  <c r="AQ40" i="167"/>
  <c r="AQ42" i="167"/>
  <c r="AQ43" i="167"/>
  <c r="AQ44" i="167"/>
  <c r="AQ45" i="167"/>
  <c r="AQ46" i="167"/>
  <c r="AQ47" i="167"/>
  <c r="AQ49" i="167"/>
  <c r="AQ50" i="167"/>
  <c r="AQ53" i="167"/>
  <c r="AQ54" i="167"/>
  <c r="AQ57" i="167"/>
  <c r="AQ61" i="167"/>
  <c r="AQ63" i="167"/>
  <c r="AQ59" i="167"/>
  <c r="AQ64" i="167"/>
  <c r="AQ66" i="167"/>
  <c r="AQ71" i="167"/>
  <c r="AQ73" i="167"/>
  <c r="AQ74" i="167"/>
  <c r="AQ77" i="167"/>
  <c r="AQ79" i="167"/>
  <c r="AQ80" i="167"/>
  <c r="AQ83" i="167"/>
  <c r="Y11" i="167"/>
  <c r="Y12" i="167"/>
  <c r="Y9" i="167"/>
  <c r="Y10" i="167"/>
  <c r="Y13" i="167"/>
  <c r="Y15" i="167"/>
  <c r="Y16" i="167"/>
  <c r="Y17" i="167"/>
  <c r="Y19" i="167"/>
  <c r="Y20" i="167"/>
  <c r="Y22" i="167"/>
  <c r="Y23" i="167"/>
  <c r="Y24" i="167"/>
  <c r="Y28" i="167"/>
  <c r="Y34" i="167"/>
  <c r="Y35" i="167"/>
  <c r="Y36" i="167"/>
  <c r="H173" i="46"/>
  <c r="Y38" i="167"/>
  <c r="H217" i="48"/>
  <c r="Y39" i="167"/>
  <c r="Y40" i="167"/>
  <c r="Y42" i="167"/>
  <c r="Y43" i="167"/>
  <c r="Y44" i="167"/>
  <c r="Y45" i="167"/>
  <c r="Y46" i="167"/>
  <c r="Y47" i="167"/>
  <c r="Y49" i="167"/>
  <c r="Y50" i="167"/>
  <c r="Y53" i="167"/>
  <c r="Y54" i="167"/>
  <c r="Y57" i="167"/>
  <c r="Y61" i="167"/>
  <c r="Y63" i="167"/>
  <c r="Y59" i="167"/>
  <c r="Y64" i="167"/>
  <c r="Y66" i="167"/>
  <c r="Y71" i="167"/>
  <c r="Y73" i="167"/>
  <c r="Y74" i="167"/>
  <c r="Y77" i="167"/>
  <c r="Y79" i="167"/>
  <c r="Y80" i="167"/>
  <c r="G41" i="105"/>
  <c r="BA41" i="105"/>
  <c r="BK41" i="105"/>
  <c r="Q42" i="105"/>
  <c r="AR11" i="167"/>
  <c r="AR12" i="167"/>
  <c r="AR9" i="167"/>
  <c r="AR10" i="167"/>
  <c r="AR13" i="167"/>
  <c r="AR15" i="167"/>
  <c r="AR16" i="167"/>
  <c r="AR17" i="167"/>
  <c r="AR19" i="167"/>
  <c r="AR20" i="167"/>
  <c r="AR22" i="167"/>
  <c r="AR23" i="167"/>
  <c r="AR24" i="167"/>
  <c r="AR28" i="167"/>
  <c r="AR34" i="167"/>
  <c r="AR35" i="167"/>
  <c r="AR36" i="167"/>
  <c r="AR38" i="167"/>
  <c r="AR39" i="167"/>
  <c r="AR40" i="167"/>
  <c r="AR42" i="167"/>
  <c r="AR43" i="167"/>
  <c r="AR44" i="167"/>
  <c r="AR45" i="167"/>
  <c r="AR46" i="167"/>
  <c r="AR47" i="167"/>
  <c r="AR49" i="167"/>
  <c r="AR50" i="167"/>
  <c r="AR53" i="167"/>
  <c r="AR54" i="167"/>
  <c r="AR57" i="167"/>
  <c r="AR61" i="167"/>
  <c r="AR63" i="167"/>
  <c r="AR59" i="167"/>
  <c r="AR64" i="167"/>
  <c r="AR66" i="167"/>
  <c r="AR71" i="167"/>
  <c r="AR73" i="167"/>
  <c r="AR74" i="167"/>
  <c r="AR77" i="167"/>
  <c r="AR79" i="167"/>
  <c r="AR80" i="167"/>
  <c r="AR83" i="167"/>
  <c r="Z11" i="167"/>
  <c r="Z12" i="167"/>
  <c r="Z9" i="167"/>
  <c r="Z10" i="167"/>
  <c r="Z13" i="167"/>
  <c r="Z15" i="167"/>
  <c r="Z16" i="167"/>
  <c r="Z17" i="167"/>
  <c r="Z19" i="167"/>
  <c r="Z20" i="167"/>
  <c r="Z22" i="167"/>
  <c r="Z23" i="167"/>
  <c r="Z24" i="167"/>
  <c r="Z28" i="167"/>
  <c r="Z34" i="167"/>
  <c r="Z35" i="167"/>
  <c r="Z36" i="167"/>
  <c r="Z38" i="167"/>
  <c r="H218" i="48"/>
  <c r="Z39" i="167"/>
  <c r="Z40" i="167"/>
  <c r="Z42" i="167"/>
  <c r="Z43" i="167"/>
  <c r="Z44" i="167"/>
  <c r="Z45" i="167"/>
  <c r="Z46" i="167"/>
  <c r="Z47" i="167"/>
  <c r="Z49" i="167"/>
  <c r="Z50" i="167"/>
  <c r="Z53" i="167"/>
  <c r="Z54" i="167"/>
  <c r="Z57" i="167"/>
  <c r="Z61" i="167"/>
  <c r="Z63" i="167"/>
  <c r="Z59" i="167"/>
  <c r="Z64" i="167"/>
  <c r="Z66" i="167"/>
  <c r="Z71" i="167"/>
  <c r="Z73" i="167"/>
  <c r="Z74" i="167"/>
  <c r="Z77" i="167"/>
  <c r="Z79" i="167"/>
  <c r="Z80" i="167"/>
  <c r="G42" i="105"/>
  <c r="BA42" i="105"/>
  <c r="BK42" i="105"/>
  <c r="G138" i="140"/>
  <c r="G157" i="140"/>
  <c r="G214" i="140"/>
  <c r="P3" i="105"/>
  <c r="Z3" i="105"/>
  <c r="BJ3" i="105"/>
  <c r="BT3" i="105"/>
  <c r="G135" i="157"/>
  <c r="G154" i="157"/>
  <c r="G215" i="157"/>
  <c r="P4" i="105"/>
  <c r="Z4" i="105"/>
  <c r="BJ4" i="105"/>
  <c r="BT4" i="105"/>
  <c r="G130" i="139"/>
  <c r="G149" i="139"/>
  <c r="G207" i="139"/>
  <c r="P5" i="105"/>
  <c r="Z5" i="105"/>
  <c r="G148" i="139"/>
  <c r="G206" i="139"/>
  <c r="F5" i="105"/>
  <c r="AZ5" i="105"/>
  <c r="BJ5" i="105"/>
  <c r="BT5" i="105"/>
  <c r="G113" i="141"/>
  <c r="G104" i="141"/>
  <c r="G105" i="141"/>
  <c r="G106" i="141"/>
  <c r="G107" i="141"/>
  <c r="G141" i="141"/>
  <c r="G131" i="141"/>
  <c r="G169" i="141"/>
  <c r="P6" i="105"/>
  <c r="G132" i="141"/>
  <c r="G170" i="141"/>
  <c r="Z6" i="105"/>
  <c r="BJ6" i="105"/>
  <c r="BT6" i="105"/>
  <c r="G91" i="142"/>
  <c r="G107" i="142"/>
  <c r="G136" i="142"/>
  <c r="P7" i="105"/>
  <c r="Z7" i="105"/>
  <c r="BJ7" i="105"/>
  <c r="BT7" i="105"/>
  <c r="G91" i="143"/>
  <c r="G133" i="143"/>
  <c r="P8" i="105"/>
  <c r="Z8" i="105"/>
  <c r="G90" i="143"/>
  <c r="G132" i="143"/>
  <c r="F8" i="105"/>
  <c r="AZ8" i="105"/>
  <c r="BJ8" i="105"/>
  <c r="BT8" i="105"/>
  <c r="G91" i="144"/>
  <c r="G133" i="144"/>
  <c r="P9" i="105"/>
  <c r="Z9" i="105"/>
  <c r="G90" i="144"/>
  <c r="G132" i="144"/>
  <c r="F9" i="105"/>
  <c r="AZ9" i="105"/>
  <c r="BJ9" i="105"/>
  <c r="BT9" i="105"/>
  <c r="G89" i="147"/>
  <c r="G127" i="147"/>
  <c r="P10" i="105"/>
  <c r="Z10" i="105"/>
  <c r="G88" i="147"/>
  <c r="G126" i="147"/>
  <c r="F10" i="105"/>
  <c r="AZ10" i="105"/>
  <c r="BJ10" i="105"/>
  <c r="BT10" i="105"/>
  <c r="G91" i="146"/>
  <c r="G129" i="146"/>
  <c r="P11" i="105"/>
  <c r="Z11" i="105"/>
  <c r="G90" i="146"/>
  <c r="G128" i="146"/>
  <c r="F11" i="105"/>
  <c r="AZ11" i="105"/>
  <c r="BJ11" i="105"/>
  <c r="BT11" i="105"/>
  <c r="G91" i="145"/>
  <c r="G129" i="145"/>
  <c r="P12" i="105"/>
  <c r="Z12" i="105"/>
  <c r="BT12" i="105"/>
  <c r="P14" i="105"/>
  <c r="T11" i="166"/>
  <c r="T12" i="166"/>
  <c r="T9" i="166"/>
  <c r="T10" i="166"/>
  <c r="T13" i="166"/>
  <c r="T15" i="166"/>
  <c r="T16" i="166"/>
  <c r="T17" i="166"/>
  <c r="G443" i="39"/>
  <c r="T19" i="166"/>
  <c r="T20" i="166"/>
  <c r="T22" i="166"/>
  <c r="T23" i="166"/>
  <c r="T24" i="166"/>
  <c r="T28" i="166"/>
  <c r="T34" i="166"/>
  <c r="T38" i="166"/>
  <c r="G151" i="48"/>
  <c r="G214" i="48"/>
  <c r="T39" i="166"/>
  <c r="T40" i="166"/>
  <c r="T42" i="166"/>
  <c r="T43" i="166"/>
  <c r="T44" i="166"/>
  <c r="T45" i="166"/>
  <c r="T46" i="166"/>
  <c r="T47" i="166"/>
  <c r="T49" i="166"/>
  <c r="T50" i="166"/>
  <c r="T53" i="166"/>
  <c r="T54" i="166"/>
  <c r="G167" i="157"/>
  <c r="T57" i="166"/>
  <c r="T61" i="166"/>
  <c r="T63" i="166"/>
  <c r="G159" i="139"/>
  <c r="T59" i="166"/>
  <c r="T64" i="166"/>
  <c r="T71" i="166"/>
  <c r="T73" i="166"/>
  <c r="T74" i="166"/>
  <c r="G245" i="110"/>
  <c r="G246" i="110"/>
  <c r="G263" i="110"/>
  <c r="G264" i="110"/>
  <c r="G281" i="110"/>
  <c r="G282" i="110"/>
  <c r="G299" i="110"/>
  <c r="G316" i="110"/>
  <c r="G317" i="110"/>
  <c r="G334" i="110"/>
  <c r="G414" i="110"/>
  <c r="T77" i="166"/>
  <c r="U11" i="166"/>
  <c r="U12" i="166"/>
  <c r="U9" i="166"/>
  <c r="U10" i="166"/>
  <c r="U13" i="166"/>
  <c r="G196" i="49"/>
  <c r="U15" i="166"/>
  <c r="G158" i="62"/>
  <c r="U16" i="166"/>
  <c r="U17" i="166"/>
  <c r="G444" i="39"/>
  <c r="U19" i="166"/>
  <c r="U20" i="166"/>
  <c r="G167" i="40"/>
  <c r="G365" i="40"/>
  <c r="G169" i="40"/>
  <c r="G343" i="40"/>
  <c r="G367" i="40"/>
  <c r="G171" i="40"/>
  <c r="G344" i="40"/>
  <c r="G369" i="40"/>
  <c r="G771" i="40" a="1"/>
  <c r="G772" i="40" a="1"/>
  <c r="G771" i="40"/>
  <c r="G772" i="40"/>
  <c r="G441" i="41"/>
  <c r="U23" i="166"/>
  <c r="U34" i="166"/>
  <c r="G171" i="46"/>
  <c r="U38" i="166"/>
  <c r="U39" i="166"/>
  <c r="U40" i="166"/>
  <c r="U42" i="166"/>
  <c r="U43" i="166"/>
  <c r="U44" i="166"/>
  <c r="U45" i="166"/>
  <c r="U46" i="166"/>
  <c r="U47" i="166"/>
  <c r="U49" i="166"/>
  <c r="U50" i="166"/>
  <c r="U53" i="166"/>
  <c r="U54" i="166"/>
  <c r="U57" i="166"/>
  <c r="U61" i="166"/>
  <c r="G179" i="40"/>
  <c r="G377" i="40"/>
  <c r="G180" i="40"/>
  <c r="G378" i="40"/>
  <c r="G181" i="40"/>
  <c r="G379" i="40"/>
  <c r="G182" i="40"/>
  <c r="G380" i="40"/>
  <c r="U59" i="166"/>
  <c r="U71" i="166"/>
  <c r="U73" i="166"/>
  <c r="U74" i="166"/>
  <c r="G249" i="110"/>
  <c r="G250" i="110"/>
  <c r="G267" i="110"/>
  <c r="G268" i="110"/>
  <c r="G285" i="110"/>
  <c r="G286" i="110"/>
  <c r="G302" i="110"/>
  <c r="G303" i="110"/>
  <c r="G335" i="110"/>
  <c r="G415" i="110"/>
  <c r="U77" i="166"/>
  <c r="F14" i="105"/>
  <c r="AZ14" i="105"/>
  <c r="BJ14" i="105"/>
  <c r="P15" i="105"/>
  <c r="G487" i="112"/>
  <c r="G488" i="112"/>
  <c r="G489" i="112"/>
  <c r="G490" i="112"/>
  <c r="G491" i="112"/>
  <c r="G492" i="112"/>
  <c r="G601" i="112"/>
  <c r="Z15" i="105"/>
  <c r="F15" i="105"/>
  <c r="AZ15" i="105"/>
  <c r="BJ15" i="105"/>
  <c r="BT15" i="105"/>
  <c r="G497" i="112"/>
  <c r="G498" i="112"/>
  <c r="G527" i="112"/>
  <c r="G528" i="112"/>
  <c r="G499" i="112"/>
  <c r="G500" i="112"/>
  <c r="G594" i="112"/>
  <c r="P16" i="105"/>
  <c r="Z16" i="105"/>
  <c r="F16" i="105"/>
  <c r="AZ16" i="105"/>
  <c r="BJ16" i="105"/>
  <c r="BT16" i="105"/>
  <c r="Z17" i="105"/>
  <c r="BJ17" i="105"/>
  <c r="G511" i="113"/>
  <c r="G513" i="113"/>
  <c r="Z18" i="105"/>
  <c r="P19" i="105"/>
  <c r="Z19" i="105"/>
  <c r="F19" i="105"/>
  <c r="AZ19" i="105"/>
  <c r="BJ19" i="105"/>
  <c r="BT19" i="105"/>
  <c r="P20" i="105"/>
  <c r="Z20" i="105"/>
  <c r="F20" i="105"/>
  <c r="AZ20" i="105"/>
  <c r="BJ20" i="105"/>
  <c r="BT20" i="105"/>
  <c r="P22" i="105"/>
  <c r="Z22" i="105"/>
  <c r="BJ22" i="105"/>
  <c r="BT22" i="105"/>
  <c r="P23" i="105"/>
  <c r="Z23" i="105"/>
  <c r="BJ23" i="105"/>
  <c r="BT23" i="105"/>
  <c r="P24" i="105"/>
  <c r="Z24" i="105"/>
  <c r="BJ24" i="105"/>
  <c r="BT24" i="105"/>
  <c r="P25" i="105"/>
  <c r="Z25" i="105"/>
  <c r="G146" i="62"/>
  <c r="G206" i="62"/>
  <c r="F25" i="105"/>
  <c r="AZ25" i="105"/>
  <c r="BJ25" i="105"/>
  <c r="BT25" i="105"/>
  <c r="Z26" i="105"/>
  <c r="G741" i="40"/>
  <c r="G745" i="40"/>
  <c r="G923" i="40"/>
  <c r="P27" i="105"/>
  <c r="Z27" i="105"/>
  <c r="G681" i="40"/>
  <c r="G685" i="40"/>
  <c r="G922" i="40"/>
  <c r="F27" i="105"/>
  <c r="AZ27" i="105"/>
  <c r="BJ27" i="105"/>
  <c r="BT27" i="105"/>
  <c r="G742" i="40"/>
  <c r="G746" i="40"/>
  <c r="G933" i="40"/>
  <c r="P28" i="105"/>
  <c r="Z28" i="105"/>
  <c r="BJ28" i="105"/>
  <c r="BT28" i="105"/>
  <c r="G743" i="40"/>
  <c r="G747" i="40"/>
  <c r="G943" i="40"/>
  <c r="P29" i="105"/>
  <c r="Z29" i="105"/>
  <c r="BJ29" i="105"/>
  <c r="BT29" i="105"/>
  <c r="BT30" i="105"/>
  <c r="G740" i="40"/>
  <c r="G963" i="40"/>
  <c r="P31" i="105"/>
  <c r="Z31" i="105"/>
  <c r="G680" i="40"/>
  <c r="G962" i="40"/>
  <c r="F31" i="105"/>
  <c r="AZ31" i="105"/>
  <c r="BJ31" i="105"/>
  <c r="BT31" i="105"/>
  <c r="G749" i="40"/>
  <c r="G750" i="40"/>
  <c r="G973" i="40"/>
  <c r="P32" i="105"/>
  <c r="Z32" i="105"/>
  <c r="BJ32" i="105"/>
  <c r="BT32" i="105"/>
  <c r="G753" i="40"/>
  <c r="G983" i="40"/>
  <c r="P33" i="105"/>
  <c r="Z33" i="105"/>
  <c r="BJ33" i="105"/>
  <c r="BT33" i="105"/>
  <c r="G411" i="41"/>
  <c r="G412" i="41"/>
  <c r="G413" i="41"/>
  <c r="G414" i="41"/>
  <c r="G428" i="41"/>
  <c r="G533" i="41"/>
  <c r="P34" i="105"/>
  <c r="Z34" i="105"/>
  <c r="BJ34" i="105"/>
  <c r="BT34" i="105"/>
  <c r="G163" i="46"/>
  <c r="G212" i="46"/>
  <c r="P35" i="105"/>
  <c r="Z35" i="105"/>
  <c r="BJ35" i="105"/>
  <c r="BT35" i="105"/>
  <c r="P36" i="105"/>
  <c r="G201" i="48"/>
  <c r="G255" i="48"/>
  <c r="Z36" i="105"/>
  <c r="F36" i="105"/>
  <c r="AZ36" i="105"/>
  <c r="BJ36" i="105"/>
  <c r="BT36" i="105"/>
  <c r="P37" i="105"/>
  <c r="G202" i="48"/>
  <c r="G262" i="48"/>
  <c r="Z37" i="105"/>
  <c r="F37" i="105"/>
  <c r="AZ37" i="105"/>
  <c r="BJ37" i="105"/>
  <c r="BT37" i="105"/>
  <c r="P38" i="105"/>
  <c r="G37" i="48"/>
  <c r="G39" i="48"/>
  <c r="G40" i="48"/>
  <c r="G51" i="48"/>
  <c r="G156" i="48"/>
  <c r="G203" i="48"/>
  <c r="G269" i="48"/>
  <c r="Z38" i="105"/>
  <c r="F38" i="105"/>
  <c r="AZ38" i="105"/>
  <c r="BJ38" i="105"/>
  <c r="BT38" i="105"/>
  <c r="Z39" i="105"/>
  <c r="P40" i="105"/>
  <c r="AP11" i="166"/>
  <c r="AP12" i="166"/>
  <c r="AP9" i="166"/>
  <c r="AP10" i="166"/>
  <c r="AP13" i="166"/>
  <c r="AP15" i="166"/>
  <c r="AP16" i="166"/>
  <c r="AP17" i="166"/>
  <c r="AP19" i="166"/>
  <c r="AP20" i="166"/>
  <c r="AP22" i="166"/>
  <c r="AP23" i="166"/>
  <c r="AP24" i="166"/>
  <c r="AP28" i="166"/>
  <c r="AP34" i="166"/>
  <c r="AP35" i="166"/>
  <c r="AP36" i="166"/>
  <c r="AP38" i="166"/>
  <c r="AP39" i="166"/>
  <c r="AP40" i="166"/>
  <c r="AP42" i="166"/>
  <c r="AP43" i="166"/>
  <c r="AP44" i="166"/>
  <c r="AP45" i="166"/>
  <c r="AP46" i="166"/>
  <c r="AP47" i="166"/>
  <c r="AP49" i="166"/>
  <c r="AP50" i="166"/>
  <c r="AP53" i="166"/>
  <c r="AP54" i="166"/>
  <c r="AP57" i="166"/>
  <c r="AP61" i="166"/>
  <c r="AP63" i="166"/>
  <c r="AP59" i="166"/>
  <c r="AP64" i="166"/>
  <c r="AP66" i="166"/>
  <c r="AP71" i="166"/>
  <c r="AP73" i="166"/>
  <c r="AP74" i="166"/>
  <c r="AP77" i="166"/>
  <c r="AP79" i="166"/>
  <c r="AP80" i="166"/>
  <c r="AP83" i="166"/>
  <c r="X11" i="166"/>
  <c r="X12" i="166"/>
  <c r="X9" i="166"/>
  <c r="X10" i="166"/>
  <c r="X13" i="166"/>
  <c r="X15" i="166"/>
  <c r="X16" i="166"/>
  <c r="X17" i="166"/>
  <c r="X19" i="166"/>
  <c r="X20" i="166"/>
  <c r="X22" i="166"/>
  <c r="X23" i="166"/>
  <c r="X24" i="166"/>
  <c r="X28" i="166"/>
  <c r="G348" i="113"/>
  <c r="G354" i="113"/>
  <c r="G360" i="113"/>
  <c r="G366" i="113"/>
  <c r="G370" i="113"/>
  <c r="G529" i="113"/>
  <c r="X34" i="166"/>
  <c r="X35" i="166"/>
  <c r="X36" i="166"/>
  <c r="X38" i="166"/>
  <c r="G216" i="48"/>
  <c r="X39" i="166"/>
  <c r="X40" i="166"/>
  <c r="X42" i="166"/>
  <c r="X43" i="166"/>
  <c r="X44" i="166"/>
  <c r="X45" i="166"/>
  <c r="X46" i="166"/>
  <c r="X47" i="166"/>
  <c r="X49" i="166"/>
  <c r="X50" i="166"/>
  <c r="X53" i="166"/>
  <c r="X54" i="166"/>
  <c r="X57" i="166"/>
  <c r="X61" i="166"/>
  <c r="X63" i="166"/>
  <c r="X59" i="166"/>
  <c r="X64" i="166"/>
  <c r="X66" i="166"/>
  <c r="X71" i="166"/>
  <c r="X73" i="166"/>
  <c r="X74" i="166"/>
  <c r="X77" i="166"/>
  <c r="X79" i="166"/>
  <c r="X80" i="166"/>
  <c r="F40" i="105"/>
  <c r="AZ40" i="105"/>
  <c r="BJ40" i="105"/>
  <c r="P41" i="105"/>
  <c r="AQ11" i="166"/>
  <c r="AQ12" i="166"/>
  <c r="AQ9" i="166"/>
  <c r="AQ10" i="166"/>
  <c r="AQ13" i="166"/>
  <c r="AQ15" i="166"/>
  <c r="AQ16" i="166"/>
  <c r="AQ17" i="166"/>
  <c r="AQ19" i="166"/>
  <c r="AQ20" i="166"/>
  <c r="AQ22" i="166"/>
  <c r="AQ23" i="166"/>
  <c r="AQ24" i="166"/>
  <c r="AQ28" i="166"/>
  <c r="AQ34" i="166"/>
  <c r="AQ35" i="166"/>
  <c r="AQ36" i="166"/>
  <c r="AQ38" i="166"/>
  <c r="AQ39" i="166"/>
  <c r="AQ40" i="166"/>
  <c r="AQ42" i="166"/>
  <c r="AQ43" i="166"/>
  <c r="AQ44" i="166"/>
  <c r="AQ45" i="166"/>
  <c r="AQ46" i="166"/>
  <c r="AQ47" i="166"/>
  <c r="AQ49" i="166"/>
  <c r="AQ50" i="166"/>
  <c r="AQ53" i="166"/>
  <c r="AQ54" i="166"/>
  <c r="AQ57" i="166"/>
  <c r="AQ61" i="166"/>
  <c r="AQ63" i="166"/>
  <c r="AQ59" i="166"/>
  <c r="AQ64" i="166"/>
  <c r="AQ66" i="166"/>
  <c r="AQ71" i="166"/>
  <c r="AQ73" i="166"/>
  <c r="AQ74" i="166"/>
  <c r="AQ77" i="166"/>
  <c r="AQ79" i="166"/>
  <c r="AQ80" i="166"/>
  <c r="AQ83" i="166"/>
  <c r="Y11" i="166"/>
  <c r="Y12" i="166"/>
  <c r="Y9" i="166"/>
  <c r="Y10" i="166"/>
  <c r="Y13" i="166"/>
  <c r="Y15" i="166"/>
  <c r="Y16" i="166"/>
  <c r="Y17" i="166"/>
  <c r="Y19" i="166"/>
  <c r="Y20" i="166"/>
  <c r="Y22" i="166"/>
  <c r="Y23" i="166"/>
  <c r="Y24" i="166"/>
  <c r="Y28" i="166"/>
  <c r="Y34" i="166"/>
  <c r="Y35" i="166"/>
  <c r="Y36" i="166"/>
  <c r="G173" i="46"/>
  <c r="Y38" i="166"/>
  <c r="G217" i="48"/>
  <c r="Y39" i="166"/>
  <c r="Y40" i="166"/>
  <c r="Y42" i="166"/>
  <c r="Y43" i="166"/>
  <c r="Y44" i="166"/>
  <c r="Y45" i="166"/>
  <c r="Y46" i="166"/>
  <c r="Y47" i="166"/>
  <c r="Y49" i="166"/>
  <c r="Y50" i="166"/>
  <c r="Y53" i="166"/>
  <c r="Y54" i="166"/>
  <c r="Y57" i="166"/>
  <c r="Y61" i="166"/>
  <c r="Y63" i="166"/>
  <c r="Y59" i="166"/>
  <c r="Y64" i="166"/>
  <c r="Y66" i="166"/>
  <c r="Y71" i="166"/>
  <c r="Y73" i="166"/>
  <c r="Y74" i="166"/>
  <c r="Y77" i="166"/>
  <c r="Y79" i="166"/>
  <c r="Y80" i="166"/>
  <c r="F41" i="105"/>
  <c r="AZ41" i="105"/>
  <c r="BJ41" i="105"/>
  <c r="P42" i="105"/>
  <c r="AR11" i="166"/>
  <c r="AR12" i="166"/>
  <c r="AR9" i="166"/>
  <c r="AR10" i="166"/>
  <c r="AR13" i="166"/>
  <c r="AR15" i="166"/>
  <c r="AR16" i="166"/>
  <c r="AR17" i="166"/>
  <c r="AR19" i="166"/>
  <c r="AR20" i="166"/>
  <c r="AR22" i="166"/>
  <c r="AR23" i="166"/>
  <c r="AR24" i="166"/>
  <c r="AR28" i="166"/>
  <c r="AR34" i="166"/>
  <c r="AR35" i="166"/>
  <c r="AR36" i="166"/>
  <c r="AR38" i="166"/>
  <c r="AR39" i="166"/>
  <c r="AR40" i="166"/>
  <c r="AR42" i="166"/>
  <c r="AR43" i="166"/>
  <c r="AR44" i="166"/>
  <c r="AR45" i="166"/>
  <c r="AR46" i="166"/>
  <c r="AR47" i="166"/>
  <c r="AR49" i="166"/>
  <c r="AR50" i="166"/>
  <c r="AR53" i="166"/>
  <c r="AR54" i="166"/>
  <c r="AR57" i="166"/>
  <c r="AR61" i="166"/>
  <c r="AR63" i="166"/>
  <c r="AR59" i="166"/>
  <c r="AR64" i="166"/>
  <c r="AR66" i="166"/>
  <c r="AR71" i="166"/>
  <c r="AR73" i="166"/>
  <c r="AR74" i="166"/>
  <c r="AR77" i="166"/>
  <c r="AR79" i="166"/>
  <c r="AR80" i="166"/>
  <c r="AR83" i="166"/>
  <c r="Z11" i="166"/>
  <c r="Z12" i="166"/>
  <c r="Z9" i="166"/>
  <c r="Z10" i="166"/>
  <c r="Z13" i="166"/>
  <c r="Z15" i="166"/>
  <c r="Z16" i="166"/>
  <c r="Z17" i="166"/>
  <c r="Z19" i="166"/>
  <c r="Z20" i="166"/>
  <c r="Z22" i="166"/>
  <c r="Z23" i="166"/>
  <c r="Z24" i="166"/>
  <c r="Z28" i="166"/>
  <c r="Z34" i="166"/>
  <c r="Z35" i="166"/>
  <c r="Z36" i="166"/>
  <c r="Z38" i="166"/>
  <c r="G218" i="48"/>
  <c r="Z39" i="166"/>
  <c r="Z40" i="166"/>
  <c r="Z42" i="166"/>
  <c r="Z43" i="166"/>
  <c r="Z44" i="166"/>
  <c r="Z45" i="166"/>
  <c r="Z46" i="166"/>
  <c r="Z47" i="166"/>
  <c r="Z49" i="166"/>
  <c r="Z50" i="166"/>
  <c r="Z53" i="166"/>
  <c r="Z54" i="166"/>
  <c r="Z57" i="166"/>
  <c r="Z61" i="166"/>
  <c r="Z63" i="166"/>
  <c r="Z59" i="166"/>
  <c r="Z64" i="166"/>
  <c r="Z66" i="166"/>
  <c r="Z71" i="166"/>
  <c r="Z73" i="166"/>
  <c r="Z74" i="166"/>
  <c r="Z77" i="166"/>
  <c r="Z79" i="166"/>
  <c r="Z80" i="166"/>
  <c r="F42" i="105"/>
  <c r="AZ42" i="105"/>
  <c r="BJ42" i="105"/>
  <c r="F76" i="140"/>
  <c r="F151" i="140"/>
  <c r="F210" i="140"/>
  <c r="E47" i="105"/>
  <c r="AV47" i="105"/>
  <c r="AW47" i="105"/>
  <c r="AY47" i="105"/>
  <c r="BI47" i="105"/>
  <c r="CF47" i="105"/>
  <c r="CF97" i="123"/>
  <c r="CG97" i="123"/>
  <c r="CH97" i="123"/>
  <c r="CI97" i="123"/>
  <c r="CJ97" i="123"/>
  <c r="CK97" i="123"/>
  <c r="CL97" i="123"/>
  <c r="CM97" i="123"/>
  <c r="CN97" i="123"/>
  <c r="CP97" i="123"/>
  <c r="F61" i="143"/>
  <c r="F101" i="143"/>
  <c r="F137" i="143"/>
  <c r="O97" i="105"/>
  <c r="Y97" i="105"/>
  <c r="BS97" i="105"/>
  <c r="BS97" i="123"/>
  <c r="N61" i="143"/>
  <c r="E61" i="143"/>
  <c r="G61" i="143"/>
  <c r="G101" i="143"/>
  <c r="G137" i="143"/>
  <c r="P97" i="105"/>
  <c r="Z97" i="105"/>
  <c r="BT97" i="105"/>
  <c r="BT97" i="123"/>
  <c r="H61" i="143"/>
  <c r="H101" i="143"/>
  <c r="H137" i="143"/>
  <c r="Q97" i="105"/>
  <c r="AA97" i="105"/>
  <c r="BU97" i="105"/>
  <c r="BU97" i="123"/>
  <c r="I61" i="143"/>
  <c r="I101" i="143"/>
  <c r="I137" i="143"/>
  <c r="R97" i="105"/>
  <c r="AB97" i="105"/>
  <c r="BV97" i="105"/>
  <c r="BV97" i="123"/>
  <c r="J61" i="143"/>
  <c r="J101" i="143"/>
  <c r="J137" i="143"/>
  <c r="S97" i="105"/>
  <c r="AC97" i="105"/>
  <c r="BW97" i="105"/>
  <c r="BW97" i="123"/>
  <c r="K61" i="143"/>
  <c r="K101" i="143"/>
  <c r="K137" i="143"/>
  <c r="T97" i="105"/>
  <c r="AD97" i="105"/>
  <c r="BX97" i="105"/>
  <c r="BX97" i="123"/>
  <c r="L61" i="143"/>
  <c r="L101" i="143"/>
  <c r="L137" i="143"/>
  <c r="U97" i="105"/>
  <c r="AE97" i="105"/>
  <c r="BY97" i="105"/>
  <c r="BY97" i="123"/>
  <c r="M61" i="143"/>
  <c r="M101" i="143"/>
  <c r="M137" i="143"/>
  <c r="V97" i="105"/>
  <c r="AF97" i="105"/>
  <c r="BZ97" i="105"/>
  <c r="BZ97" i="123"/>
  <c r="N101" i="143"/>
  <c r="N137" i="143"/>
  <c r="W97" i="105"/>
  <c r="AG97" i="105"/>
  <c r="CA97" i="105"/>
  <c r="CA97" i="123"/>
  <c r="CC97" i="123"/>
  <c r="BQ97" i="123"/>
  <c r="BP97" i="123"/>
  <c r="BO97" i="123"/>
  <c r="BN97" i="123"/>
  <c r="BM97" i="123"/>
  <c r="BL97" i="123"/>
  <c r="BK97" i="123"/>
  <c r="BJ97" i="123"/>
  <c r="BI97" i="123"/>
  <c r="BG97" i="123"/>
  <c r="BF97" i="123"/>
  <c r="BE97" i="123"/>
  <c r="BD97" i="123"/>
  <c r="BC97" i="123"/>
  <c r="BB97" i="123"/>
  <c r="BA97" i="123"/>
  <c r="AZ97" i="123"/>
  <c r="AY97" i="123"/>
  <c r="AW97" i="123"/>
  <c r="AV97" i="123"/>
  <c r="AI97" i="105"/>
  <c r="AI97" i="123"/>
  <c r="AJ97" i="105"/>
  <c r="AJ97" i="123"/>
  <c r="AK97" i="105"/>
  <c r="AK97" i="123"/>
  <c r="AL97" i="105"/>
  <c r="AL97" i="123"/>
  <c r="AM97" i="105"/>
  <c r="AM97" i="123"/>
  <c r="AN97" i="105"/>
  <c r="AN97" i="123"/>
  <c r="AO97" i="105"/>
  <c r="AO97" i="123"/>
  <c r="AP97" i="105"/>
  <c r="AP97" i="123"/>
  <c r="AQ97" i="105"/>
  <c r="AQ97" i="123"/>
  <c r="AS97" i="123"/>
  <c r="AG97" i="123"/>
  <c r="AF97" i="123"/>
  <c r="AE97" i="123"/>
  <c r="AD97" i="123"/>
  <c r="AC97" i="123"/>
  <c r="AB97" i="123"/>
  <c r="AA97" i="123"/>
  <c r="Z97" i="123"/>
  <c r="Y97" i="123"/>
  <c r="W97" i="123"/>
  <c r="V97" i="123"/>
  <c r="U97" i="123"/>
  <c r="T97" i="123"/>
  <c r="S97" i="123"/>
  <c r="R97" i="123"/>
  <c r="Q97" i="123"/>
  <c r="P97" i="123"/>
  <c r="O97" i="123"/>
  <c r="M97" i="123"/>
  <c r="L97" i="123"/>
  <c r="K97" i="123"/>
  <c r="J97" i="123"/>
  <c r="I97" i="123"/>
  <c r="H97" i="123"/>
  <c r="G97" i="123"/>
  <c r="F97" i="123"/>
  <c r="E97" i="123"/>
  <c r="AV21" i="105"/>
  <c r="AW21" i="105"/>
  <c r="CC44" i="105"/>
  <c r="CF101" i="123"/>
  <c r="CG101" i="123"/>
  <c r="CH101" i="123"/>
  <c r="CI101" i="123"/>
  <c r="CJ101" i="123"/>
  <c r="CK101" i="123"/>
  <c r="CL101" i="123"/>
  <c r="CM101" i="123"/>
  <c r="CN101" i="123"/>
  <c r="CP101" i="123"/>
  <c r="F55" i="146"/>
  <c r="F101" i="146"/>
  <c r="F133" i="146"/>
  <c r="O100" i="105"/>
  <c r="Y100" i="105"/>
  <c r="BS100" i="105"/>
  <c r="BS101" i="123"/>
  <c r="N55" i="146"/>
  <c r="E55" i="146"/>
  <c r="G55" i="146"/>
  <c r="G101" i="146"/>
  <c r="G133" i="146"/>
  <c r="P100" i="105"/>
  <c r="Z100" i="105"/>
  <c r="BT100" i="105"/>
  <c r="BT101" i="123"/>
  <c r="H55" i="146"/>
  <c r="H101" i="146"/>
  <c r="H133" i="146"/>
  <c r="Q100" i="105"/>
  <c r="AA100" i="105"/>
  <c r="BU100" i="105"/>
  <c r="BU101" i="123"/>
  <c r="I55" i="146"/>
  <c r="I101" i="146"/>
  <c r="I133" i="146"/>
  <c r="R100" i="105"/>
  <c r="AB100" i="105"/>
  <c r="BV100" i="105"/>
  <c r="BV101" i="123"/>
  <c r="J55" i="146"/>
  <c r="J101" i="146"/>
  <c r="J133" i="146"/>
  <c r="S100" i="105"/>
  <c r="AC100" i="105"/>
  <c r="BW100" i="105"/>
  <c r="BW101" i="123"/>
  <c r="K55" i="146"/>
  <c r="K101" i="146"/>
  <c r="K133" i="146"/>
  <c r="T100" i="105"/>
  <c r="AD100" i="105"/>
  <c r="BX100" i="105"/>
  <c r="BX101" i="123"/>
  <c r="L55" i="146"/>
  <c r="L101" i="146"/>
  <c r="L133" i="146"/>
  <c r="U100" i="105"/>
  <c r="AE100" i="105"/>
  <c r="BY100" i="105"/>
  <c r="BY101" i="123"/>
  <c r="M55" i="146"/>
  <c r="M101" i="146"/>
  <c r="M133" i="146"/>
  <c r="V100" i="105"/>
  <c r="AF100" i="105"/>
  <c r="BZ100" i="105"/>
  <c r="BZ101" i="123"/>
  <c r="N101" i="146"/>
  <c r="N133" i="146"/>
  <c r="W100" i="105"/>
  <c r="AG100" i="105"/>
  <c r="CA100" i="105"/>
  <c r="CA101" i="123"/>
  <c r="CC101" i="123"/>
  <c r="BQ101" i="123"/>
  <c r="BP101" i="123"/>
  <c r="BO101" i="123"/>
  <c r="BN101" i="123"/>
  <c r="BM101" i="123"/>
  <c r="BL101" i="123"/>
  <c r="BK101" i="123"/>
  <c r="BJ101" i="123"/>
  <c r="BI101" i="123"/>
  <c r="BG101" i="123"/>
  <c r="BF101" i="123"/>
  <c r="BE101" i="123"/>
  <c r="BD101" i="123"/>
  <c r="BC101" i="123"/>
  <c r="BB101" i="123"/>
  <c r="BA101" i="123"/>
  <c r="AZ101" i="123"/>
  <c r="AY101" i="123"/>
  <c r="AW101" i="123"/>
  <c r="AV101" i="123"/>
  <c r="AI100" i="105"/>
  <c r="AI101" i="123"/>
  <c r="AJ100" i="105"/>
  <c r="AJ101" i="123"/>
  <c r="AK100" i="105"/>
  <c r="AK101" i="123"/>
  <c r="AL100" i="105"/>
  <c r="AL101" i="123"/>
  <c r="AM100" i="105"/>
  <c r="AM101" i="123"/>
  <c r="AN100" i="105"/>
  <c r="AN101" i="123"/>
  <c r="AO100" i="105"/>
  <c r="AO101" i="123"/>
  <c r="AP100" i="105"/>
  <c r="AP101" i="123"/>
  <c r="AQ100" i="105"/>
  <c r="AQ101" i="123"/>
  <c r="AS101" i="123"/>
  <c r="AG101" i="123"/>
  <c r="AF101" i="123"/>
  <c r="AE101" i="123"/>
  <c r="AD101" i="123"/>
  <c r="AC101" i="123"/>
  <c r="AB101" i="123"/>
  <c r="AA101" i="123"/>
  <c r="Z101" i="123"/>
  <c r="Y101" i="123"/>
  <c r="W101" i="123"/>
  <c r="V101" i="123"/>
  <c r="U101" i="123"/>
  <c r="T101" i="123"/>
  <c r="S101" i="123"/>
  <c r="R101" i="123"/>
  <c r="Q101" i="123"/>
  <c r="P101" i="123"/>
  <c r="O101" i="123"/>
  <c r="M101" i="123"/>
  <c r="L101" i="123"/>
  <c r="K101" i="123"/>
  <c r="J101" i="123"/>
  <c r="I101" i="123"/>
  <c r="H101" i="123"/>
  <c r="G101" i="123"/>
  <c r="F101" i="123"/>
  <c r="E101" i="123"/>
  <c r="CF100" i="123"/>
  <c r="CG100" i="123"/>
  <c r="CH100" i="123"/>
  <c r="CI100" i="123"/>
  <c r="CJ100" i="123"/>
  <c r="CK100" i="123"/>
  <c r="CL100" i="123"/>
  <c r="CM100" i="123"/>
  <c r="CN100" i="123"/>
  <c r="CP100" i="123"/>
  <c r="F53" i="147"/>
  <c r="F99" i="147"/>
  <c r="F131" i="147"/>
  <c r="O99" i="105"/>
  <c r="Y99" i="105"/>
  <c r="BS99" i="105"/>
  <c r="BS100" i="123"/>
  <c r="N53" i="147"/>
  <c r="E53" i="147"/>
  <c r="G53" i="147"/>
  <c r="G99" i="147"/>
  <c r="G131" i="147"/>
  <c r="P99" i="105"/>
  <c r="Z99" i="105"/>
  <c r="BT99" i="105"/>
  <c r="BT100" i="123"/>
  <c r="H53" i="147"/>
  <c r="H99" i="147"/>
  <c r="H131" i="147"/>
  <c r="Q99" i="105"/>
  <c r="AA99" i="105"/>
  <c r="BU99" i="105"/>
  <c r="BU100" i="123"/>
  <c r="I53" i="147"/>
  <c r="I99" i="147"/>
  <c r="I131" i="147"/>
  <c r="R99" i="105"/>
  <c r="AB99" i="105"/>
  <c r="BV99" i="105"/>
  <c r="BV100" i="123"/>
  <c r="J53" i="147"/>
  <c r="J99" i="147"/>
  <c r="J131" i="147"/>
  <c r="S99" i="105"/>
  <c r="AC99" i="105"/>
  <c r="BW99" i="105"/>
  <c r="BW100" i="123"/>
  <c r="K53" i="147"/>
  <c r="K99" i="147"/>
  <c r="K131" i="147"/>
  <c r="T99" i="105"/>
  <c r="AD99" i="105"/>
  <c r="BX99" i="105"/>
  <c r="BX100" i="123"/>
  <c r="L53" i="147"/>
  <c r="L99" i="147"/>
  <c r="L131" i="147"/>
  <c r="U99" i="105"/>
  <c r="AE99" i="105"/>
  <c r="BY99" i="105"/>
  <c r="BY100" i="123"/>
  <c r="M53" i="147"/>
  <c r="M99" i="147"/>
  <c r="M131" i="147"/>
  <c r="V99" i="105"/>
  <c r="AF99" i="105"/>
  <c r="BZ99" i="105"/>
  <c r="BZ100" i="123"/>
  <c r="N99" i="147"/>
  <c r="N131" i="147"/>
  <c r="W99" i="105"/>
  <c r="AG99" i="105"/>
  <c r="CA99" i="105"/>
  <c r="CA100" i="123"/>
  <c r="CC100" i="123"/>
  <c r="BQ100" i="123"/>
  <c r="BP100" i="123"/>
  <c r="BO100" i="123"/>
  <c r="BN100" i="123"/>
  <c r="BM100" i="123"/>
  <c r="BL100" i="123"/>
  <c r="BK100" i="123"/>
  <c r="BJ100" i="123"/>
  <c r="BI100" i="123"/>
  <c r="BG100" i="123"/>
  <c r="BF100" i="123"/>
  <c r="BE100" i="123"/>
  <c r="BD100" i="123"/>
  <c r="BC100" i="123"/>
  <c r="BB100" i="123"/>
  <c r="BA100" i="123"/>
  <c r="AZ100" i="123"/>
  <c r="AY100" i="123"/>
  <c r="AW100" i="123"/>
  <c r="AV100" i="123"/>
  <c r="AI99" i="105"/>
  <c r="AI100" i="123"/>
  <c r="AJ99" i="105"/>
  <c r="AJ100" i="123"/>
  <c r="AK99" i="105"/>
  <c r="AK100" i="123"/>
  <c r="AL99" i="105"/>
  <c r="AL100" i="123"/>
  <c r="AM99" i="105"/>
  <c r="AM100" i="123"/>
  <c r="AN99" i="105"/>
  <c r="AN100" i="123"/>
  <c r="AO99" i="105"/>
  <c r="AO100" i="123"/>
  <c r="AP99" i="105"/>
  <c r="AP100" i="123"/>
  <c r="AQ99" i="105"/>
  <c r="AQ100" i="123"/>
  <c r="AS100" i="123"/>
  <c r="AG100" i="123"/>
  <c r="AF100" i="123"/>
  <c r="AE100" i="123"/>
  <c r="AD100" i="123"/>
  <c r="AC100" i="123"/>
  <c r="AB100" i="123"/>
  <c r="AA100" i="123"/>
  <c r="Z100" i="123"/>
  <c r="Y100" i="123"/>
  <c r="W100" i="123"/>
  <c r="V100" i="123"/>
  <c r="U100" i="123"/>
  <c r="T100" i="123"/>
  <c r="S100" i="123"/>
  <c r="R100" i="123"/>
  <c r="Q100" i="123"/>
  <c r="P100" i="123"/>
  <c r="O100" i="123"/>
  <c r="M100" i="123"/>
  <c r="L100" i="123"/>
  <c r="K100" i="123"/>
  <c r="J100" i="123"/>
  <c r="I100" i="123"/>
  <c r="H100" i="123"/>
  <c r="G100" i="123"/>
  <c r="F100" i="123"/>
  <c r="E100" i="123"/>
  <c r="CF99" i="123"/>
  <c r="CG99" i="123"/>
  <c r="CH99" i="123"/>
  <c r="CI99" i="123"/>
  <c r="CJ99" i="123"/>
  <c r="CK99" i="123"/>
  <c r="CL99" i="123"/>
  <c r="CM99" i="123"/>
  <c r="CN99" i="123"/>
  <c r="CP99" i="123"/>
  <c r="F61" i="144"/>
  <c r="F101" i="144"/>
  <c r="F137" i="144"/>
  <c r="O98" i="105"/>
  <c r="Y98" i="105"/>
  <c r="BS98" i="105"/>
  <c r="BS99" i="123"/>
  <c r="N61" i="144"/>
  <c r="E61" i="144"/>
  <c r="G61" i="144"/>
  <c r="G101" i="144"/>
  <c r="G137" i="144"/>
  <c r="P98" i="105"/>
  <c r="Z98" i="105"/>
  <c r="BT98" i="105"/>
  <c r="BT99" i="123"/>
  <c r="H61" i="144"/>
  <c r="H101" i="144"/>
  <c r="H137" i="144"/>
  <c r="Q98" i="105"/>
  <c r="AA98" i="105"/>
  <c r="BU98" i="105"/>
  <c r="BU99" i="123"/>
  <c r="I61" i="144"/>
  <c r="I101" i="144"/>
  <c r="I137" i="144"/>
  <c r="R98" i="105"/>
  <c r="AB98" i="105"/>
  <c r="BV98" i="105"/>
  <c r="BV99" i="123"/>
  <c r="J61" i="144"/>
  <c r="J101" i="144"/>
  <c r="J137" i="144"/>
  <c r="S98" i="105"/>
  <c r="AC98" i="105"/>
  <c r="BW98" i="105"/>
  <c r="BW99" i="123"/>
  <c r="K61" i="144"/>
  <c r="K101" i="144"/>
  <c r="K137" i="144"/>
  <c r="T98" i="105"/>
  <c r="AD98" i="105"/>
  <c r="BX98" i="105"/>
  <c r="BX99" i="123"/>
  <c r="L61" i="144"/>
  <c r="L101" i="144"/>
  <c r="L137" i="144"/>
  <c r="U98" i="105"/>
  <c r="AE98" i="105"/>
  <c r="BY98" i="105"/>
  <c r="BY99" i="123"/>
  <c r="M61" i="144"/>
  <c r="M101" i="144"/>
  <c r="M137" i="144"/>
  <c r="V98" i="105"/>
  <c r="AF98" i="105"/>
  <c r="BZ98" i="105"/>
  <c r="BZ99" i="123"/>
  <c r="N101" i="144"/>
  <c r="N137" i="144"/>
  <c r="W98" i="105"/>
  <c r="AG98" i="105"/>
  <c r="CA98" i="105"/>
  <c r="CA99" i="123"/>
  <c r="CC99" i="123"/>
  <c r="BQ99" i="123"/>
  <c r="BP99" i="123"/>
  <c r="BO99" i="123"/>
  <c r="BN99" i="123"/>
  <c r="BM99" i="123"/>
  <c r="BL99" i="123"/>
  <c r="BK99" i="123"/>
  <c r="BJ99" i="123"/>
  <c r="BI99" i="123"/>
  <c r="BG99" i="123"/>
  <c r="BF99" i="123"/>
  <c r="BE99" i="123"/>
  <c r="BD99" i="123"/>
  <c r="BC99" i="123"/>
  <c r="BB99" i="123"/>
  <c r="BA99" i="123"/>
  <c r="AZ99" i="123"/>
  <c r="AY99" i="123"/>
  <c r="AW99" i="123"/>
  <c r="AV99" i="123"/>
  <c r="AI98" i="105"/>
  <c r="AI99" i="123"/>
  <c r="AJ98" i="105"/>
  <c r="AJ99" i="123"/>
  <c r="AK98" i="105"/>
  <c r="AK99" i="123"/>
  <c r="AL98" i="105"/>
  <c r="AL99" i="123"/>
  <c r="AM98" i="105"/>
  <c r="AM99" i="123"/>
  <c r="AN98" i="105"/>
  <c r="AN99" i="123"/>
  <c r="AO98" i="105"/>
  <c r="AO99" i="123"/>
  <c r="AP98" i="105"/>
  <c r="AP99" i="123"/>
  <c r="AQ98" i="105"/>
  <c r="AQ99" i="123"/>
  <c r="AS99" i="123"/>
  <c r="AG99" i="123"/>
  <c r="AF99" i="123"/>
  <c r="AE99" i="123"/>
  <c r="AD99" i="123"/>
  <c r="AC99" i="123"/>
  <c r="AB99" i="123"/>
  <c r="AA99" i="123"/>
  <c r="Z99" i="123"/>
  <c r="Y99" i="123"/>
  <c r="W99" i="123"/>
  <c r="V99" i="123"/>
  <c r="U99" i="123"/>
  <c r="T99" i="123"/>
  <c r="S99" i="123"/>
  <c r="R99" i="123"/>
  <c r="Q99" i="123"/>
  <c r="P99" i="123"/>
  <c r="O99" i="123"/>
  <c r="M99" i="123"/>
  <c r="L99" i="123"/>
  <c r="K99" i="123"/>
  <c r="J99" i="123"/>
  <c r="I99" i="123"/>
  <c r="H99" i="123"/>
  <c r="G99" i="123"/>
  <c r="F99" i="123"/>
  <c r="E99" i="123"/>
  <c r="CF98" i="123"/>
  <c r="CG98" i="123"/>
  <c r="CH98" i="123"/>
  <c r="CI98" i="123"/>
  <c r="CJ98" i="123"/>
  <c r="CK98" i="123"/>
  <c r="CL98" i="123"/>
  <c r="CM98" i="123"/>
  <c r="CN98" i="123"/>
  <c r="CP98" i="123"/>
  <c r="BS98" i="123"/>
  <c r="BT98" i="123"/>
  <c r="BU98" i="123"/>
  <c r="BV98" i="123"/>
  <c r="BW98" i="123"/>
  <c r="BX98" i="123"/>
  <c r="BY98" i="123"/>
  <c r="BZ98" i="123"/>
  <c r="CA98" i="123"/>
  <c r="CC98" i="123"/>
  <c r="BQ98" i="123"/>
  <c r="BP98" i="123"/>
  <c r="BO98" i="123"/>
  <c r="BN98" i="123"/>
  <c r="BM98" i="123"/>
  <c r="BL98" i="123"/>
  <c r="BK98" i="123"/>
  <c r="BJ98" i="123"/>
  <c r="BI98" i="123"/>
  <c r="BG98" i="123"/>
  <c r="BF98" i="123"/>
  <c r="BE98" i="123"/>
  <c r="BD98" i="123"/>
  <c r="BC98" i="123"/>
  <c r="BB98" i="123"/>
  <c r="BA98" i="123"/>
  <c r="AZ98" i="123"/>
  <c r="AY98" i="123"/>
  <c r="AW98" i="123"/>
  <c r="AV98" i="123"/>
  <c r="AI98" i="123"/>
  <c r="AJ98" i="123"/>
  <c r="AK98" i="123"/>
  <c r="AL98" i="123"/>
  <c r="AM98" i="123"/>
  <c r="AN98" i="123"/>
  <c r="AO98" i="123"/>
  <c r="AP98" i="123"/>
  <c r="AQ98" i="123"/>
  <c r="AS98" i="123"/>
  <c r="AG98" i="123"/>
  <c r="AF98" i="123"/>
  <c r="AE98" i="123"/>
  <c r="AD98" i="123"/>
  <c r="AC98" i="123"/>
  <c r="AB98" i="123"/>
  <c r="AA98" i="123"/>
  <c r="Z98" i="123"/>
  <c r="Y98" i="123"/>
  <c r="W98" i="123"/>
  <c r="V98" i="123"/>
  <c r="U98" i="123"/>
  <c r="T98" i="123"/>
  <c r="S98" i="123"/>
  <c r="R98" i="123"/>
  <c r="Q98" i="123"/>
  <c r="P98" i="123"/>
  <c r="O98" i="123"/>
  <c r="M98" i="123"/>
  <c r="L98" i="123"/>
  <c r="K98" i="123"/>
  <c r="J98" i="123"/>
  <c r="I98" i="123"/>
  <c r="H98" i="123"/>
  <c r="G98" i="123"/>
  <c r="F98" i="123"/>
  <c r="E98" i="123"/>
  <c r="CF96" i="123"/>
  <c r="CG96" i="123"/>
  <c r="CH96" i="123"/>
  <c r="CI96" i="123"/>
  <c r="CJ96" i="123"/>
  <c r="CK96" i="123"/>
  <c r="CL96" i="123"/>
  <c r="CM96" i="123"/>
  <c r="CN96" i="123"/>
  <c r="CP96" i="123"/>
  <c r="F71" i="142"/>
  <c r="F97" i="142"/>
  <c r="F140" i="142"/>
  <c r="O96" i="105"/>
  <c r="Y96" i="105"/>
  <c r="BS96" i="105"/>
  <c r="BS96" i="123"/>
  <c r="N71" i="142"/>
  <c r="E71" i="142"/>
  <c r="G71" i="142"/>
  <c r="G97" i="142"/>
  <c r="G140" i="142"/>
  <c r="P96" i="105"/>
  <c r="Z96" i="105"/>
  <c r="BT96" i="105"/>
  <c r="BT96" i="123"/>
  <c r="H71" i="142"/>
  <c r="H97" i="142"/>
  <c r="H140" i="142"/>
  <c r="Q96" i="105"/>
  <c r="AA96" i="105"/>
  <c r="BU96" i="105"/>
  <c r="BU96" i="123"/>
  <c r="I71" i="142"/>
  <c r="I97" i="142"/>
  <c r="I140" i="142"/>
  <c r="R96" i="105"/>
  <c r="AB96" i="105"/>
  <c r="BV96" i="105"/>
  <c r="BV96" i="123"/>
  <c r="J71" i="142"/>
  <c r="J97" i="142"/>
  <c r="J140" i="142"/>
  <c r="S96" i="105"/>
  <c r="AC96" i="105"/>
  <c r="BW96" i="105"/>
  <c r="BW96" i="123"/>
  <c r="K71" i="142"/>
  <c r="K97" i="142"/>
  <c r="K140" i="142"/>
  <c r="T96" i="105"/>
  <c r="AD96" i="105"/>
  <c r="BX96" i="105"/>
  <c r="BX96" i="123"/>
  <c r="L71" i="142"/>
  <c r="L97" i="142"/>
  <c r="L140" i="142"/>
  <c r="U96" i="105"/>
  <c r="AE96" i="105"/>
  <c r="BY96" i="105"/>
  <c r="BY96" i="123"/>
  <c r="M71" i="142"/>
  <c r="M97" i="142"/>
  <c r="M140" i="142"/>
  <c r="V96" i="105"/>
  <c r="AF96" i="105"/>
  <c r="BZ96" i="105"/>
  <c r="BZ96" i="123"/>
  <c r="N97" i="142"/>
  <c r="N140" i="142"/>
  <c r="W96" i="105"/>
  <c r="AG96" i="105"/>
  <c r="CA96" i="105"/>
  <c r="CA96" i="123"/>
  <c r="CC96" i="123"/>
  <c r="BQ96" i="123"/>
  <c r="BP96" i="123"/>
  <c r="BO96" i="123"/>
  <c r="BN96" i="123"/>
  <c r="BM96" i="123"/>
  <c r="BL96" i="123"/>
  <c r="BK96" i="123"/>
  <c r="BJ96" i="123"/>
  <c r="BI96" i="123"/>
  <c r="BG96" i="123"/>
  <c r="BF96" i="123"/>
  <c r="BE96" i="123"/>
  <c r="BD96" i="123"/>
  <c r="BC96" i="123"/>
  <c r="BB96" i="123"/>
  <c r="BA96" i="123"/>
  <c r="AZ96" i="123"/>
  <c r="AY96" i="123"/>
  <c r="AW96" i="123"/>
  <c r="AV96" i="123"/>
  <c r="AI96" i="105"/>
  <c r="AI96" i="123"/>
  <c r="AJ96" i="105"/>
  <c r="AJ96" i="123"/>
  <c r="AK96" i="105"/>
  <c r="AK96" i="123"/>
  <c r="AL96" i="105"/>
  <c r="AL96" i="123"/>
  <c r="AM96" i="105"/>
  <c r="AM96" i="123"/>
  <c r="AN96" i="105"/>
  <c r="AN96" i="123"/>
  <c r="AO96" i="105"/>
  <c r="AO96" i="123"/>
  <c r="AP96" i="105"/>
  <c r="AP96" i="123"/>
  <c r="AQ96" i="105"/>
  <c r="AQ96" i="123"/>
  <c r="AS96" i="123"/>
  <c r="AG96" i="123"/>
  <c r="AF96" i="123"/>
  <c r="AE96" i="123"/>
  <c r="AD96" i="123"/>
  <c r="AC96" i="123"/>
  <c r="AB96" i="123"/>
  <c r="AA96" i="123"/>
  <c r="Z96" i="123"/>
  <c r="Y96" i="123"/>
  <c r="W96" i="123"/>
  <c r="V96" i="123"/>
  <c r="U96" i="123"/>
  <c r="T96" i="123"/>
  <c r="S96" i="123"/>
  <c r="R96" i="123"/>
  <c r="Q96" i="123"/>
  <c r="P96" i="123"/>
  <c r="O96" i="123"/>
  <c r="M96" i="123"/>
  <c r="L96" i="123"/>
  <c r="K96" i="123"/>
  <c r="J96" i="123"/>
  <c r="I96" i="123"/>
  <c r="H96" i="123"/>
  <c r="G96" i="123"/>
  <c r="F96" i="123"/>
  <c r="E96" i="123"/>
  <c r="CF95" i="123"/>
  <c r="CG95" i="123"/>
  <c r="CH95" i="123"/>
  <c r="CI95" i="123"/>
  <c r="CJ95" i="123"/>
  <c r="CK95" i="123"/>
  <c r="CL95" i="123"/>
  <c r="CM95" i="123"/>
  <c r="CN95" i="123"/>
  <c r="CP95" i="123"/>
  <c r="F69" i="141"/>
  <c r="F83" i="141"/>
  <c r="F119" i="141"/>
  <c r="F163" i="141"/>
  <c r="O95" i="105"/>
  <c r="F76" i="141"/>
  <c r="F120" i="141"/>
  <c r="F164" i="141"/>
  <c r="Y95" i="105"/>
  <c r="BS95" i="105"/>
  <c r="BS95" i="123"/>
  <c r="N69" i="141"/>
  <c r="E69" i="141"/>
  <c r="G69" i="141"/>
  <c r="N83" i="141"/>
  <c r="E83" i="141"/>
  <c r="G83" i="141"/>
  <c r="G119" i="141"/>
  <c r="G163" i="141"/>
  <c r="P95" i="105"/>
  <c r="N76" i="141"/>
  <c r="E76" i="141"/>
  <c r="G76" i="141"/>
  <c r="G120" i="141"/>
  <c r="G164" i="141"/>
  <c r="Z95" i="105"/>
  <c r="BT95" i="105"/>
  <c r="BT95" i="123"/>
  <c r="H69" i="141"/>
  <c r="H83" i="141"/>
  <c r="H119" i="141"/>
  <c r="H163" i="141"/>
  <c r="Q95" i="105"/>
  <c r="H76" i="141"/>
  <c r="H120" i="141"/>
  <c r="H164" i="141"/>
  <c r="AA95" i="105"/>
  <c r="BU95" i="105"/>
  <c r="BU95" i="123"/>
  <c r="I69" i="141"/>
  <c r="I83" i="141"/>
  <c r="I119" i="141"/>
  <c r="I163" i="141"/>
  <c r="R95" i="105"/>
  <c r="I76" i="141"/>
  <c r="I120" i="141"/>
  <c r="I164" i="141"/>
  <c r="AB95" i="105"/>
  <c r="BV95" i="105"/>
  <c r="BV95" i="123"/>
  <c r="J69" i="141"/>
  <c r="J83" i="141"/>
  <c r="J119" i="141"/>
  <c r="J163" i="141"/>
  <c r="S95" i="105"/>
  <c r="J76" i="141"/>
  <c r="J120" i="141"/>
  <c r="J164" i="141"/>
  <c r="AC95" i="105"/>
  <c r="BW95" i="105"/>
  <c r="BW95" i="123"/>
  <c r="K69" i="141"/>
  <c r="K83" i="141"/>
  <c r="K119" i="141"/>
  <c r="K163" i="141"/>
  <c r="T95" i="105"/>
  <c r="K76" i="141"/>
  <c r="K120" i="141"/>
  <c r="K164" i="141"/>
  <c r="AD95" i="105"/>
  <c r="BX95" i="105"/>
  <c r="BX95" i="123"/>
  <c r="L69" i="141"/>
  <c r="L83" i="141"/>
  <c r="L119" i="141"/>
  <c r="L163" i="141"/>
  <c r="U95" i="105"/>
  <c r="L76" i="141"/>
  <c r="L120" i="141"/>
  <c r="L164" i="141"/>
  <c r="AE95" i="105"/>
  <c r="BY95" i="105"/>
  <c r="BY95" i="123"/>
  <c r="M69" i="141"/>
  <c r="M83" i="141"/>
  <c r="M119" i="141"/>
  <c r="M163" i="141"/>
  <c r="V95" i="105"/>
  <c r="M76" i="141"/>
  <c r="M120" i="141"/>
  <c r="M164" i="141"/>
  <c r="AF95" i="105"/>
  <c r="BZ95" i="105"/>
  <c r="BZ95" i="123"/>
  <c r="N119" i="141"/>
  <c r="N163" i="141"/>
  <c r="W95" i="105"/>
  <c r="N120" i="141"/>
  <c r="N164" i="141"/>
  <c r="AG95" i="105"/>
  <c r="CA95" i="105"/>
  <c r="CA95" i="123"/>
  <c r="CC95" i="123"/>
  <c r="BQ95" i="123"/>
  <c r="BP95" i="123"/>
  <c r="BO95" i="123"/>
  <c r="BN95" i="123"/>
  <c r="BM95" i="123"/>
  <c r="BL95" i="123"/>
  <c r="BK95" i="123"/>
  <c r="BJ95" i="123"/>
  <c r="BI95" i="123"/>
  <c r="BG95" i="123"/>
  <c r="BF95" i="123"/>
  <c r="BE95" i="123"/>
  <c r="BD95" i="123"/>
  <c r="BC95" i="123"/>
  <c r="BB95" i="123"/>
  <c r="BA95" i="123"/>
  <c r="AZ95" i="123"/>
  <c r="AY95" i="123"/>
  <c r="AW95" i="123"/>
  <c r="AV95" i="123"/>
  <c r="AI95" i="105"/>
  <c r="AI95" i="123"/>
  <c r="AJ95" i="105"/>
  <c r="AJ95" i="123"/>
  <c r="AK95" i="105"/>
  <c r="AK95" i="123"/>
  <c r="AL95" i="105"/>
  <c r="AL95" i="123"/>
  <c r="AM95" i="105"/>
  <c r="AM95" i="123"/>
  <c r="AN95" i="105"/>
  <c r="AN95" i="123"/>
  <c r="AO95" i="105"/>
  <c r="AO95" i="123"/>
  <c r="AP95" i="105"/>
  <c r="AP95" i="123"/>
  <c r="AQ95" i="105"/>
  <c r="AQ95" i="123"/>
  <c r="AS95" i="123"/>
  <c r="AG95" i="123"/>
  <c r="AF95" i="123"/>
  <c r="AE95" i="123"/>
  <c r="AD95" i="123"/>
  <c r="AC95" i="123"/>
  <c r="AB95" i="123"/>
  <c r="AA95" i="123"/>
  <c r="Z95" i="123"/>
  <c r="Y95" i="123"/>
  <c r="W95" i="123"/>
  <c r="V95" i="123"/>
  <c r="U95" i="123"/>
  <c r="T95" i="123"/>
  <c r="S95" i="123"/>
  <c r="R95" i="123"/>
  <c r="Q95" i="123"/>
  <c r="P95" i="123"/>
  <c r="O95" i="123"/>
  <c r="M95" i="123"/>
  <c r="L95" i="123"/>
  <c r="K95" i="123"/>
  <c r="J95" i="123"/>
  <c r="I95" i="123"/>
  <c r="H95" i="123"/>
  <c r="G95" i="123"/>
  <c r="F95" i="123"/>
  <c r="E95" i="123"/>
  <c r="E58" i="105"/>
  <c r="AV58" i="105"/>
  <c r="AW58" i="105"/>
  <c r="AY58" i="105"/>
  <c r="BI58" i="105"/>
  <c r="CF58" i="105"/>
  <c r="CF58" i="123"/>
  <c r="F58" i="105"/>
  <c r="AZ58" i="105"/>
  <c r="BJ58" i="105"/>
  <c r="CG58" i="105"/>
  <c r="CG58" i="123"/>
  <c r="G58" i="105"/>
  <c r="BA58" i="105"/>
  <c r="BK58" i="105"/>
  <c r="CH58" i="105"/>
  <c r="CH58" i="123"/>
  <c r="H58" i="105"/>
  <c r="BB58" i="105"/>
  <c r="BL58" i="105"/>
  <c r="CI58" i="105"/>
  <c r="CI58" i="123"/>
  <c r="I58" i="105"/>
  <c r="BC58" i="105"/>
  <c r="BM58" i="105"/>
  <c r="CJ58" i="105"/>
  <c r="CJ58" i="123"/>
  <c r="J58" i="105"/>
  <c r="BD58" i="105"/>
  <c r="BN58" i="105"/>
  <c r="CK58" i="105"/>
  <c r="CK58" i="123"/>
  <c r="K58" i="105"/>
  <c r="BE58" i="105"/>
  <c r="BO58" i="105"/>
  <c r="CL58" i="105"/>
  <c r="CL58" i="123"/>
  <c r="L58" i="105"/>
  <c r="BF58" i="105"/>
  <c r="BP58" i="105"/>
  <c r="CM58" i="105"/>
  <c r="CM58" i="123"/>
  <c r="M58" i="105"/>
  <c r="BG58" i="105"/>
  <c r="BQ58" i="105"/>
  <c r="CN58" i="105"/>
  <c r="CN58" i="123"/>
  <c r="CP58" i="123"/>
  <c r="O58" i="105"/>
  <c r="F60" i="111"/>
  <c r="P58" i="105"/>
  <c r="N60" i="111"/>
  <c r="E60" i="111"/>
  <c r="G60" i="111"/>
  <c r="Q58" i="105"/>
  <c r="H60" i="111"/>
  <c r="R58" i="105"/>
  <c r="I60" i="111"/>
  <c r="S58" i="105"/>
  <c r="J60" i="111"/>
  <c r="T58" i="105"/>
  <c r="K60" i="111"/>
  <c r="U58" i="105"/>
  <c r="L60" i="111"/>
  <c r="V58" i="105"/>
  <c r="M60" i="111"/>
  <c r="W58" i="105"/>
  <c r="BQ58" i="123"/>
  <c r="BP58" i="123"/>
  <c r="BO58" i="123"/>
  <c r="BN58" i="123"/>
  <c r="BM58" i="123"/>
  <c r="BL58" i="123"/>
  <c r="BK58" i="123"/>
  <c r="BJ58" i="123"/>
  <c r="BI58" i="123"/>
  <c r="BG58" i="123"/>
  <c r="BF58" i="123"/>
  <c r="BE58" i="123"/>
  <c r="BD58" i="123"/>
  <c r="BC58" i="123"/>
  <c r="BB58" i="123"/>
  <c r="BA58" i="123"/>
  <c r="AZ58" i="123"/>
  <c r="AY58" i="123"/>
  <c r="AW58" i="123"/>
  <c r="AV58" i="123"/>
  <c r="W58" i="123"/>
  <c r="V58" i="123"/>
  <c r="U58" i="123"/>
  <c r="T58" i="123"/>
  <c r="S58" i="123"/>
  <c r="R58" i="123"/>
  <c r="Q58" i="123"/>
  <c r="P58" i="123"/>
  <c r="O58" i="123"/>
  <c r="M58" i="123"/>
  <c r="L58" i="123"/>
  <c r="K58" i="123"/>
  <c r="J58" i="123"/>
  <c r="I58" i="123"/>
  <c r="H58" i="123"/>
  <c r="G58" i="123"/>
  <c r="F58" i="123"/>
  <c r="E58" i="123"/>
  <c r="AW57" i="123"/>
  <c r="AV57" i="123"/>
  <c r="AG57" i="105"/>
  <c r="AG57" i="123"/>
  <c r="AF57" i="105"/>
  <c r="AF57" i="123"/>
  <c r="AE57" i="105"/>
  <c r="AE57" i="123"/>
  <c r="AD57" i="105"/>
  <c r="AD57" i="123"/>
  <c r="AC57" i="105"/>
  <c r="AC57" i="123"/>
  <c r="AB57" i="105"/>
  <c r="AB57" i="123"/>
  <c r="AA57" i="105"/>
  <c r="AA57" i="123"/>
  <c r="Z57" i="105"/>
  <c r="Z57" i="123"/>
  <c r="Y57" i="105"/>
  <c r="Y57" i="123"/>
  <c r="F47" i="145"/>
  <c r="F95" i="145"/>
  <c r="F130" i="145"/>
  <c r="E56" i="105"/>
  <c r="AV56" i="105"/>
  <c r="AW56" i="105"/>
  <c r="AY56" i="105"/>
  <c r="BI56" i="105"/>
  <c r="CF56" i="105"/>
  <c r="CF56" i="123"/>
  <c r="N47" i="145"/>
  <c r="E47" i="145"/>
  <c r="G47" i="145"/>
  <c r="G95" i="145"/>
  <c r="G130" i="145"/>
  <c r="F56" i="105"/>
  <c r="AZ56" i="105"/>
  <c r="BJ56" i="105"/>
  <c r="CG56" i="105"/>
  <c r="CG56" i="123"/>
  <c r="H47" i="145"/>
  <c r="H95" i="145"/>
  <c r="H130" i="145"/>
  <c r="G56" i="105"/>
  <c r="BA56" i="105"/>
  <c r="BK56" i="105"/>
  <c r="CH56" i="105"/>
  <c r="CH56" i="123"/>
  <c r="I47" i="145"/>
  <c r="I95" i="145"/>
  <c r="I130" i="145"/>
  <c r="H56" i="105"/>
  <c r="BB56" i="105"/>
  <c r="BL56" i="105"/>
  <c r="CI56" i="105"/>
  <c r="CI56" i="123"/>
  <c r="J47" i="145"/>
  <c r="J95" i="145"/>
  <c r="J130" i="145"/>
  <c r="I56" i="105"/>
  <c r="BC56" i="105"/>
  <c r="BM56" i="105"/>
  <c r="CJ56" i="105"/>
  <c r="CJ56" i="123"/>
  <c r="K47" i="145"/>
  <c r="K95" i="145"/>
  <c r="K130" i="145"/>
  <c r="J56" i="105"/>
  <c r="BD56" i="105"/>
  <c r="BN56" i="105"/>
  <c r="CK56" i="105"/>
  <c r="CK56" i="123"/>
  <c r="L47" i="145"/>
  <c r="L95" i="145"/>
  <c r="L130" i="145"/>
  <c r="K56" i="105"/>
  <c r="BE56" i="105"/>
  <c r="BO56" i="105"/>
  <c r="CL56" i="105"/>
  <c r="CL56" i="123"/>
  <c r="M47" i="145"/>
  <c r="M95" i="145"/>
  <c r="M130" i="145"/>
  <c r="L56" i="105"/>
  <c r="BF56" i="105"/>
  <c r="BP56" i="105"/>
  <c r="CM56" i="105"/>
  <c r="CM56" i="123"/>
  <c r="N95" i="145"/>
  <c r="N130" i="145"/>
  <c r="M56" i="105"/>
  <c r="BG56" i="105"/>
  <c r="BQ56" i="105"/>
  <c r="CN56" i="105"/>
  <c r="CN56" i="123"/>
  <c r="CP56" i="123"/>
  <c r="F54" i="145"/>
  <c r="F96" i="145"/>
  <c r="F131" i="145"/>
  <c r="O56" i="105"/>
  <c r="Y56" i="105"/>
  <c r="BS56" i="105"/>
  <c r="BS56" i="123"/>
  <c r="N54" i="145"/>
  <c r="E54" i="145"/>
  <c r="G54" i="145"/>
  <c r="G96" i="145"/>
  <c r="G131" i="145"/>
  <c r="P56" i="105"/>
  <c r="Z56" i="105"/>
  <c r="BT56" i="105"/>
  <c r="BT56" i="123"/>
  <c r="H54" i="145"/>
  <c r="H96" i="145"/>
  <c r="H131" i="145"/>
  <c r="Q56" i="105"/>
  <c r="AA56" i="105"/>
  <c r="BU56" i="105"/>
  <c r="BU56" i="123"/>
  <c r="I54" i="145"/>
  <c r="I96" i="145"/>
  <c r="I131" i="145"/>
  <c r="R56" i="105"/>
  <c r="AB56" i="105"/>
  <c r="BV56" i="105"/>
  <c r="BV56" i="123"/>
  <c r="J54" i="145"/>
  <c r="J96" i="145"/>
  <c r="J131" i="145"/>
  <c r="S56" i="105"/>
  <c r="AC56" i="105"/>
  <c r="BW56" i="105"/>
  <c r="BW56" i="123"/>
  <c r="K54" i="145"/>
  <c r="K96" i="145"/>
  <c r="K131" i="145"/>
  <c r="T56" i="105"/>
  <c r="AD56" i="105"/>
  <c r="BX56" i="105"/>
  <c r="BX56" i="123"/>
  <c r="L54" i="145"/>
  <c r="L96" i="145"/>
  <c r="L131" i="145"/>
  <c r="U56" i="105"/>
  <c r="AE56" i="105"/>
  <c r="BY56" i="105"/>
  <c r="BY56" i="123"/>
  <c r="M54" i="145"/>
  <c r="M96" i="145"/>
  <c r="M131" i="145"/>
  <c r="V56" i="105"/>
  <c r="AF56" i="105"/>
  <c r="BZ56" i="105"/>
  <c r="BZ56" i="123"/>
  <c r="N96" i="145"/>
  <c r="N131" i="145"/>
  <c r="W56" i="105"/>
  <c r="AG56" i="105"/>
  <c r="CA56" i="105"/>
  <c r="CA56" i="123"/>
  <c r="CC56" i="123"/>
  <c r="BQ56" i="123"/>
  <c r="BP56" i="123"/>
  <c r="BO56" i="123"/>
  <c r="BN56" i="123"/>
  <c r="BM56" i="123"/>
  <c r="BL56" i="123"/>
  <c r="BK56" i="123"/>
  <c r="BJ56" i="123"/>
  <c r="BI56" i="123"/>
  <c r="BG56" i="123"/>
  <c r="BF56" i="123"/>
  <c r="BE56" i="123"/>
  <c r="BD56" i="123"/>
  <c r="BC56" i="123"/>
  <c r="BB56" i="123"/>
  <c r="BA56" i="123"/>
  <c r="AZ56" i="123"/>
  <c r="AY56" i="123"/>
  <c r="AW56" i="123"/>
  <c r="AV56" i="123"/>
  <c r="AI56" i="105"/>
  <c r="AI56" i="123"/>
  <c r="AJ56" i="105"/>
  <c r="AJ56" i="123"/>
  <c r="AK56" i="105"/>
  <c r="AK56" i="123"/>
  <c r="AL56" i="105"/>
  <c r="AL56" i="123"/>
  <c r="AM56" i="105"/>
  <c r="AM56" i="123"/>
  <c r="AN56" i="105"/>
  <c r="AN56" i="123"/>
  <c r="AO56" i="105"/>
  <c r="AO56" i="123"/>
  <c r="AP56" i="105"/>
  <c r="AP56" i="123"/>
  <c r="AQ56" i="105"/>
  <c r="AQ56" i="123"/>
  <c r="AS56" i="123"/>
  <c r="AG56" i="123"/>
  <c r="AF56" i="123"/>
  <c r="AE56" i="123"/>
  <c r="AD56" i="123"/>
  <c r="AC56" i="123"/>
  <c r="AB56" i="123"/>
  <c r="AA56" i="123"/>
  <c r="Z56" i="123"/>
  <c r="Y56" i="123"/>
  <c r="W56" i="123"/>
  <c r="V56" i="123"/>
  <c r="U56" i="123"/>
  <c r="T56" i="123"/>
  <c r="S56" i="123"/>
  <c r="R56" i="123"/>
  <c r="Q56" i="123"/>
  <c r="P56" i="123"/>
  <c r="O56" i="123"/>
  <c r="M56" i="123"/>
  <c r="L56" i="123"/>
  <c r="K56" i="123"/>
  <c r="J56" i="123"/>
  <c r="I56" i="123"/>
  <c r="H56" i="123"/>
  <c r="G56" i="123"/>
  <c r="F56" i="123"/>
  <c r="E56" i="123"/>
  <c r="F49" i="146"/>
  <c r="F95" i="146"/>
  <c r="F130" i="146"/>
  <c r="E55" i="105"/>
  <c r="AV55" i="105"/>
  <c r="AW55" i="105"/>
  <c r="AY55" i="105"/>
  <c r="BI55" i="105"/>
  <c r="CF55" i="105"/>
  <c r="CF55" i="123"/>
  <c r="N49" i="146"/>
  <c r="E49" i="146"/>
  <c r="G49" i="146"/>
  <c r="G95" i="146"/>
  <c r="G130" i="146"/>
  <c r="F55" i="105"/>
  <c r="AZ55" i="105"/>
  <c r="BJ55" i="105"/>
  <c r="CG55" i="105"/>
  <c r="CG55" i="123"/>
  <c r="H49" i="146"/>
  <c r="H95" i="146"/>
  <c r="H130" i="146"/>
  <c r="G55" i="105"/>
  <c r="BA55" i="105"/>
  <c r="BK55" i="105"/>
  <c r="CH55" i="105"/>
  <c r="CH55" i="123"/>
  <c r="I49" i="146"/>
  <c r="I95" i="146"/>
  <c r="I130" i="146"/>
  <c r="H55" i="105"/>
  <c r="BB55" i="105"/>
  <c r="BL55" i="105"/>
  <c r="CI55" i="105"/>
  <c r="CI55" i="123"/>
  <c r="J49" i="146"/>
  <c r="J95" i="146"/>
  <c r="J130" i="146"/>
  <c r="I55" i="105"/>
  <c r="BC55" i="105"/>
  <c r="BM55" i="105"/>
  <c r="CJ55" i="105"/>
  <c r="CJ55" i="123"/>
  <c r="K49" i="146"/>
  <c r="K95" i="146"/>
  <c r="K130" i="146"/>
  <c r="J55" i="105"/>
  <c r="BD55" i="105"/>
  <c r="BN55" i="105"/>
  <c r="CK55" i="105"/>
  <c r="CK55" i="123"/>
  <c r="L49" i="146"/>
  <c r="L95" i="146"/>
  <c r="L130" i="146"/>
  <c r="K55" i="105"/>
  <c r="BE55" i="105"/>
  <c r="BO55" i="105"/>
  <c r="CL55" i="105"/>
  <c r="CL55" i="123"/>
  <c r="M49" i="146"/>
  <c r="M95" i="146"/>
  <c r="M130" i="146"/>
  <c r="L55" i="105"/>
  <c r="BF55" i="105"/>
  <c r="BP55" i="105"/>
  <c r="CM55" i="105"/>
  <c r="CM55" i="123"/>
  <c r="N95" i="146"/>
  <c r="N130" i="146"/>
  <c r="M55" i="105"/>
  <c r="BG55" i="105"/>
  <c r="BQ55" i="105"/>
  <c r="CN55" i="105"/>
  <c r="CN55" i="123"/>
  <c r="CP55" i="123"/>
  <c r="F56" i="146"/>
  <c r="F96" i="146"/>
  <c r="F131" i="146"/>
  <c r="O55" i="105"/>
  <c r="Y55" i="105"/>
  <c r="BS55" i="105"/>
  <c r="BS55" i="123"/>
  <c r="N56" i="146"/>
  <c r="E56" i="146"/>
  <c r="G56" i="146"/>
  <c r="G96" i="146"/>
  <c r="G131" i="146"/>
  <c r="P55" i="105"/>
  <c r="Z55" i="105"/>
  <c r="BT55" i="105"/>
  <c r="BT55" i="123"/>
  <c r="H56" i="146"/>
  <c r="H96" i="146"/>
  <c r="H131" i="146"/>
  <c r="Q55" i="105"/>
  <c r="AA55" i="105"/>
  <c r="BU55" i="105"/>
  <c r="BU55" i="123"/>
  <c r="I56" i="146"/>
  <c r="I96" i="146"/>
  <c r="I131" i="146"/>
  <c r="R55" i="105"/>
  <c r="AB55" i="105"/>
  <c r="BV55" i="105"/>
  <c r="BV55" i="123"/>
  <c r="J56" i="146"/>
  <c r="J96" i="146"/>
  <c r="J131" i="146"/>
  <c r="S55" i="105"/>
  <c r="AC55" i="105"/>
  <c r="BW55" i="105"/>
  <c r="BW55" i="123"/>
  <c r="K56" i="146"/>
  <c r="K96" i="146"/>
  <c r="K131" i="146"/>
  <c r="T55" i="105"/>
  <c r="AD55" i="105"/>
  <c r="BX55" i="105"/>
  <c r="BX55" i="123"/>
  <c r="L56" i="146"/>
  <c r="L96" i="146"/>
  <c r="L131" i="146"/>
  <c r="U55" i="105"/>
  <c r="AE55" i="105"/>
  <c r="BY55" i="105"/>
  <c r="BY55" i="123"/>
  <c r="M56" i="146"/>
  <c r="M96" i="146"/>
  <c r="M131" i="146"/>
  <c r="V55" i="105"/>
  <c r="AF55" i="105"/>
  <c r="BZ55" i="105"/>
  <c r="BZ55" i="123"/>
  <c r="N96" i="146"/>
  <c r="N131" i="146"/>
  <c r="W55" i="105"/>
  <c r="AG55" i="105"/>
  <c r="CA55" i="105"/>
  <c r="CA55" i="123"/>
  <c r="CC55" i="123"/>
  <c r="BQ55" i="123"/>
  <c r="BP55" i="123"/>
  <c r="BO55" i="123"/>
  <c r="BN55" i="123"/>
  <c r="BM55" i="123"/>
  <c r="BL55" i="123"/>
  <c r="BK55" i="123"/>
  <c r="BJ55" i="123"/>
  <c r="BI55" i="123"/>
  <c r="BG55" i="123"/>
  <c r="BF55" i="123"/>
  <c r="BE55" i="123"/>
  <c r="BD55" i="123"/>
  <c r="BC55" i="123"/>
  <c r="BB55" i="123"/>
  <c r="BA55" i="123"/>
  <c r="AZ55" i="123"/>
  <c r="AY55" i="123"/>
  <c r="AW55" i="123"/>
  <c r="AV55" i="123"/>
  <c r="AI55" i="105"/>
  <c r="AI55" i="123"/>
  <c r="AJ55" i="105"/>
  <c r="AJ55" i="123"/>
  <c r="AK55" i="105"/>
  <c r="AK55" i="123"/>
  <c r="AL55" i="105"/>
  <c r="AL55" i="123"/>
  <c r="AM55" i="105"/>
  <c r="AM55" i="123"/>
  <c r="AN55" i="105"/>
  <c r="AN55" i="123"/>
  <c r="AO55" i="105"/>
  <c r="AO55" i="123"/>
  <c r="AP55" i="105"/>
  <c r="AP55" i="123"/>
  <c r="AQ55" i="105"/>
  <c r="AQ55" i="123"/>
  <c r="AS55" i="123"/>
  <c r="AG55" i="123"/>
  <c r="AF55" i="123"/>
  <c r="AE55" i="123"/>
  <c r="AD55" i="123"/>
  <c r="AC55" i="123"/>
  <c r="AB55" i="123"/>
  <c r="AA55" i="123"/>
  <c r="Z55" i="123"/>
  <c r="Y55" i="123"/>
  <c r="W55" i="123"/>
  <c r="V55" i="123"/>
  <c r="U55" i="123"/>
  <c r="T55" i="123"/>
  <c r="S55" i="123"/>
  <c r="R55" i="123"/>
  <c r="Q55" i="123"/>
  <c r="P55" i="123"/>
  <c r="O55" i="123"/>
  <c r="M55" i="123"/>
  <c r="L55" i="123"/>
  <c r="K55" i="123"/>
  <c r="J55" i="123"/>
  <c r="I55" i="123"/>
  <c r="H55" i="123"/>
  <c r="G55" i="123"/>
  <c r="F55" i="123"/>
  <c r="E55" i="123"/>
  <c r="F47" i="147"/>
  <c r="F93" i="147"/>
  <c r="F128" i="147"/>
  <c r="E54" i="105"/>
  <c r="AV54" i="105"/>
  <c r="AW54" i="105"/>
  <c r="AY54" i="105"/>
  <c r="BI54" i="105"/>
  <c r="CF54" i="105"/>
  <c r="CF54" i="123"/>
  <c r="N47" i="147"/>
  <c r="E47" i="147"/>
  <c r="G47" i="147"/>
  <c r="G93" i="147"/>
  <c r="G128" i="147"/>
  <c r="F54" i="105"/>
  <c r="AZ54" i="105"/>
  <c r="BJ54" i="105"/>
  <c r="CG54" i="105"/>
  <c r="CG54" i="123"/>
  <c r="H47" i="147"/>
  <c r="H93" i="147"/>
  <c r="H128" i="147"/>
  <c r="G54" i="105"/>
  <c r="BA54" i="105"/>
  <c r="BK54" i="105"/>
  <c r="CH54" i="105"/>
  <c r="CH54" i="123"/>
  <c r="I47" i="147"/>
  <c r="I93" i="147"/>
  <c r="I128" i="147"/>
  <c r="H54" i="105"/>
  <c r="BB54" i="105"/>
  <c r="BL54" i="105"/>
  <c r="CI54" i="105"/>
  <c r="CI54" i="123"/>
  <c r="J47" i="147"/>
  <c r="J93" i="147"/>
  <c r="J128" i="147"/>
  <c r="I54" i="105"/>
  <c r="BC54" i="105"/>
  <c r="BM54" i="105"/>
  <c r="CJ54" i="105"/>
  <c r="CJ54" i="123"/>
  <c r="K47" i="147"/>
  <c r="K93" i="147"/>
  <c r="K128" i="147"/>
  <c r="J54" i="105"/>
  <c r="BD54" i="105"/>
  <c r="BN54" i="105"/>
  <c r="CK54" i="105"/>
  <c r="CK54" i="123"/>
  <c r="L47" i="147"/>
  <c r="L93" i="147"/>
  <c r="L128" i="147"/>
  <c r="K54" i="105"/>
  <c r="BE54" i="105"/>
  <c r="BO54" i="105"/>
  <c r="CL54" i="105"/>
  <c r="CL54" i="123"/>
  <c r="M47" i="147"/>
  <c r="M93" i="147"/>
  <c r="M128" i="147"/>
  <c r="L54" i="105"/>
  <c r="BF54" i="105"/>
  <c r="BP54" i="105"/>
  <c r="CM54" i="105"/>
  <c r="CM54" i="123"/>
  <c r="N93" i="147"/>
  <c r="N128" i="147"/>
  <c r="M54" i="105"/>
  <c r="BG54" i="105"/>
  <c r="BQ54" i="105"/>
  <c r="CN54" i="105"/>
  <c r="CN54" i="123"/>
  <c r="CP54" i="123"/>
  <c r="F54" i="147"/>
  <c r="F94" i="147"/>
  <c r="F129" i="147"/>
  <c r="O54" i="105"/>
  <c r="Y54" i="105"/>
  <c r="BS54" i="105"/>
  <c r="BS54" i="123"/>
  <c r="N54" i="147"/>
  <c r="E54" i="147"/>
  <c r="G54" i="147"/>
  <c r="G94" i="147"/>
  <c r="G129" i="147"/>
  <c r="P54" i="105"/>
  <c r="Z54" i="105"/>
  <c r="BT54" i="105"/>
  <c r="BT54" i="123"/>
  <c r="H54" i="147"/>
  <c r="H94" i="147"/>
  <c r="H129" i="147"/>
  <c r="Q54" i="105"/>
  <c r="AA54" i="105"/>
  <c r="BU54" i="105"/>
  <c r="BU54" i="123"/>
  <c r="I54" i="147"/>
  <c r="I94" i="147"/>
  <c r="I129" i="147"/>
  <c r="R54" i="105"/>
  <c r="AB54" i="105"/>
  <c r="BV54" i="105"/>
  <c r="BV54" i="123"/>
  <c r="J54" i="147"/>
  <c r="J94" i="147"/>
  <c r="J129" i="147"/>
  <c r="S54" i="105"/>
  <c r="AC54" i="105"/>
  <c r="BW54" i="105"/>
  <c r="BW54" i="123"/>
  <c r="K54" i="147"/>
  <c r="K94" i="147"/>
  <c r="K129" i="147"/>
  <c r="T54" i="105"/>
  <c r="AD54" i="105"/>
  <c r="BX54" i="105"/>
  <c r="BX54" i="123"/>
  <c r="L54" i="147"/>
  <c r="L94" i="147"/>
  <c r="L129" i="147"/>
  <c r="U54" i="105"/>
  <c r="AE54" i="105"/>
  <c r="BY54" i="105"/>
  <c r="BY54" i="123"/>
  <c r="M54" i="147"/>
  <c r="M94" i="147"/>
  <c r="M129" i="147"/>
  <c r="V54" i="105"/>
  <c r="AF54" i="105"/>
  <c r="BZ54" i="105"/>
  <c r="BZ54" i="123"/>
  <c r="N94" i="147"/>
  <c r="N129" i="147"/>
  <c r="W54" i="105"/>
  <c r="AG54" i="105"/>
  <c r="CA54" i="105"/>
  <c r="CA54" i="123"/>
  <c r="CC54" i="123"/>
  <c r="BQ54" i="123"/>
  <c r="BP54" i="123"/>
  <c r="BO54" i="123"/>
  <c r="BN54" i="123"/>
  <c r="BM54" i="123"/>
  <c r="BL54" i="123"/>
  <c r="BK54" i="123"/>
  <c r="BJ54" i="123"/>
  <c r="BI54" i="123"/>
  <c r="BG54" i="123"/>
  <c r="BF54" i="123"/>
  <c r="BE54" i="123"/>
  <c r="BD54" i="123"/>
  <c r="BC54" i="123"/>
  <c r="BB54" i="123"/>
  <c r="BA54" i="123"/>
  <c r="AZ54" i="123"/>
  <c r="AY54" i="123"/>
  <c r="AW54" i="123"/>
  <c r="AV54" i="123"/>
  <c r="AI54" i="105"/>
  <c r="AI54" i="123"/>
  <c r="AJ54" i="105"/>
  <c r="AJ54" i="123"/>
  <c r="AK54" i="105"/>
  <c r="AK54" i="123"/>
  <c r="AL54" i="105"/>
  <c r="AL54" i="123"/>
  <c r="AM54" i="105"/>
  <c r="AM54" i="123"/>
  <c r="AN54" i="105"/>
  <c r="AN54" i="123"/>
  <c r="AO54" i="105"/>
  <c r="AO54" i="123"/>
  <c r="AP54" i="105"/>
  <c r="AP54" i="123"/>
  <c r="AQ54" i="105"/>
  <c r="AQ54" i="123"/>
  <c r="AS54" i="123"/>
  <c r="AG54" i="123"/>
  <c r="AF54" i="123"/>
  <c r="AE54" i="123"/>
  <c r="AD54" i="123"/>
  <c r="AC54" i="123"/>
  <c r="AB54" i="123"/>
  <c r="AA54" i="123"/>
  <c r="Z54" i="123"/>
  <c r="Y54" i="123"/>
  <c r="W54" i="123"/>
  <c r="V54" i="123"/>
  <c r="U54" i="123"/>
  <c r="T54" i="123"/>
  <c r="S54" i="123"/>
  <c r="R54" i="123"/>
  <c r="Q54" i="123"/>
  <c r="P54" i="123"/>
  <c r="O54" i="123"/>
  <c r="M54" i="123"/>
  <c r="L54" i="123"/>
  <c r="K54" i="123"/>
  <c r="J54" i="123"/>
  <c r="I54" i="123"/>
  <c r="H54" i="123"/>
  <c r="G54" i="123"/>
  <c r="F54" i="123"/>
  <c r="E54" i="123"/>
  <c r="F55" i="144"/>
  <c r="F95" i="144"/>
  <c r="F134" i="144"/>
  <c r="E53" i="105"/>
  <c r="AV53" i="105"/>
  <c r="AW53" i="105"/>
  <c r="AY53" i="105"/>
  <c r="BI53" i="105"/>
  <c r="CF53" i="105"/>
  <c r="CF53" i="123"/>
  <c r="N55" i="144"/>
  <c r="E55" i="144"/>
  <c r="G55" i="144"/>
  <c r="G95" i="144"/>
  <c r="G134" i="144"/>
  <c r="F53" i="105"/>
  <c r="AZ53" i="105"/>
  <c r="BJ53" i="105"/>
  <c r="CG53" i="105"/>
  <c r="CG53" i="123"/>
  <c r="H55" i="144"/>
  <c r="H95" i="144"/>
  <c r="H134" i="144"/>
  <c r="G53" i="105"/>
  <c r="BA53" i="105"/>
  <c r="BK53" i="105"/>
  <c r="CH53" i="105"/>
  <c r="CH53" i="123"/>
  <c r="I55" i="144"/>
  <c r="I95" i="144"/>
  <c r="I134" i="144"/>
  <c r="H53" i="105"/>
  <c r="BB53" i="105"/>
  <c r="BL53" i="105"/>
  <c r="CI53" i="105"/>
  <c r="CI53" i="123"/>
  <c r="J55" i="144"/>
  <c r="J95" i="144"/>
  <c r="J134" i="144"/>
  <c r="I53" i="105"/>
  <c r="BC53" i="105"/>
  <c r="BM53" i="105"/>
  <c r="CJ53" i="105"/>
  <c r="CJ53" i="123"/>
  <c r="K55" i="144"/>
  <c r="K95" i="144"/>
  <c r="K134" i="144"/>
  <c r="J53" i="105"/>
  <c r="BD53" i="105"/>
  <c r="BN53" i="105"/>
  <c r="CK53" i="105"/>
  <c r="CK53" i="123"/>
  <c r="L55" i="144"/>
  <c r="L95" i="144"/>
  <c r="L134" i="144"/>
  <c r="K53" i="105"/>
  <c r="BE53" i="105"/>
  <c r="BO53" i="105"/>
  <c r="CL53" i="105"/>
  <c r="CL53" i="123"/>
  <c r="M55" i="144"/>
  <c r="M95" i="144"/>
  <c r="M134" i="144"/>
  <c r="L53" i="105"/>
  <c r="BF53" i="105"/>
  <c r="BP53" i="105"/>
  <c r="CM53" i="105"/>
  <c r="CM53" i="123"/>
  <c r="N95" i="144"/>
  <c r="N134" i="144"/>
  <c r="M53" i="105"/>
  <c r="BG53" i="105"/>
  <c r="BQ53" i="105"/>
  <c r="CN53" i="105"/>
  <c r="CN53" i="123"/>
  <c r="CP53" i="123"/>
  <c r="F62" i="144"/>
  <c r="F96" i="144"/>
  <c r="F135" i="144"/>
  <c r="O53" i="105"/>
  <c r="Y53" i="105"/>
  <c r="BS53" i="105"/>
  <c r="BS53" i="123"/>
  <c r="N62" i="144"/>
  <c r="E62" i="144"/>
  <c r="G62" i="144"/>
  <c r="G96" i="144"/>
  <c r="G135" i="144"/>
  <c r="P53" i="105"/>
  <c r="Z53" i="105"/>
  <c r="BT53" i="105"/>
  <c r="BT53" i="123"/>
  <c r="H62" i="144"/>
  <c r="H96" i="144"/>
  <c r="H135" i="144"/>
  <c r="Q53" i="105"/>
  <c r="AA53" i="105"/>
  <c r="BU53" i="105"/>
  <c r="BU53" i="123"/>
  <c r="I62" i="144"/>
  <c r="I96" i="144"/>
  <c r="I135" i="144"/>
  <c r="R53" i="105"/>
  <c r="AB53" i="105"/>
  <c r="BV53" i="105"/>
  <c r="BV53" i="123"/>
  <c r="J62" i="144"/>
  <c r="J96" i="144"/>
  <c r="J135" i="144"/>
  <c r="S53" i="105"/>
  <c r="AC53" i="105"/>
  <c r="BW53" i="105"/>
  <c r="BW53" i="123"/>
  <c r="K62" i="144"/>
  <c r="K96" i="144"/>
  <c r="K135" i="144"/>
  <c r="T53" i="105"/>
  <c r="AD53" i="105"/>
  <c r="BX53" i="105"/>
  <c r="BX53" i="123"/>
  <c r="L62" i="144"/>
  <c r="L96" i="144"/>
  <c r="L135" i="144"/>
  <c r="U53" i="105"/>
  <c r="AE53" i="105"/>
  <c r="BY53" i="105"/>
  <c r="BY53" i="123"/>
  <c r="M62" i="144"/>
  <c r="M96" i="144"/>
  <c r="M135" i="144"/>
  <c r="V53" i="105"/>
  <c r="AF53" i="105"/>
  <c r="BZ53" i="105"/>
  <c r="BZ53" i="123"/>
  <c r="N96" i="144"/>
  <c r="N135" i="144"/>
  <c r="W53" i="105"/>
  <c r="AG53" i="105"/>
  <c r="CA53" i="105"/>
  <c r="CA53" i="123"/>
  <c r="CC53" i="123"/>
  <c r="BQ53" i="123"/>
  <c r="BP53" i="123"/>
  <c r="BO53" i="123"/>
  <c r="BN53" i="123"/>
  <c r="BM53" i="123"/>
  <c r="BL53" i="123"/>
  <c r="BK53" i="123"/>
  <c r="BJ53" i="123"/>
  <c r="BI53" i="123"/>
  <c r="BG53" i="123"/>
  <c r="BF53" i="123"/>
  <c r="BE53" i="123"/>
  <c r="BD53" i="123"/>
  <c r="BC53" i="123"/>
  <c r="BB53" i="123"/>
  <c r="BA53" i="123"/>
  <c r="AZ53" i="123"/>
  <c r="AY53" i="123"/>
  <c r="AW53" i="123"/>
  <c r="AV53" i="123"/>
  <c r="AI53" i="105"/>
  <c r="AI53" i="123"/>
  <c r="AJ53" i="105"/>
  <c r="AJ53" i="123"/>
  <c r="AK53" i="105"/>
  <c r="AK53" i="123"/>
  <c r="AL53" i="105"/>
  <c r="AL53" i="123"/>
  <c r="AM53" i="105"/>
  <c r="AM53" i="123"/>
  <c r="AN53" i="105"/>
  <c r="AN53" i="123"/>
  <c r="AO53" i="105"/>
  <c r="AO53" i="123"/>
  <c r="AP53" i="105"/>
  <c r="AP53" i="123"/>
  <c r="AQ53" i="105"/>
  <c r="AQ53" i="123"/>
  <c r="AS53" i="123"/>
  <c r="AG53" i="123"/>
  <c r="AF53" i="123"/>
  <c r="AE53" i="123"/>
  <c r="AD53" i="123"/>
  <c r="AC53" i="123"/>
  <c r="AB53" i="123"/>
  <c r="AA53" i="123"/>
  <c r="Z53" i="123"/>
  <c r="Y53" i="123"/>
  <c r="W53" i="123"/>
  <c r="V53" i="123"/>
  <c r="U53" i="123"/>
  <c r="T53" i="123"/>
  <c r="S53" i="123"/>
  <c r="R53" i="123"/>
  <c r="Q53" i="123"/>
  <c r="P53" i="123"/>
  <c r="O53" i="123"/>
  <c r="M53" i="123"/>
  <c r="L53" i="123"/>
  <c r="K53" i="123"/>
  <c r="J53" i="123"/>
  <c r="I53" i="123"/>
  <c r="H53" i="123"/>
  <c r="G53" i="123"/>
  <c r="F53" i="123"/>
  <c r="E53" i="123"/>
  <c r="F55" i="143"/>
  <c r="F95" i="143"/>
  <c r="F134" i="143"/>
  <c r="E52" i="105"/>
  <c r="AV52" i="105"/>
  <c r="AW52" i="105"/>
  <c r="AY52" i="105"/>
  <c r="BI52" i="105"/>
  <c r="CF52" i="105"/>
  <c r="CF52" i="123"/>
  <c r="N55" i="143"/>
  <c r="E55" i="143"/>
  <c r="G55" i="143"/>
  <c r="G95" i="143"/>
  <c r="G134" i="143"/>
  <c r="F52" i="105"/>
  <c r="AZ52" i="105"/>
  <c r="BJ52" i="105"/>
  <c r="CG52" i="105"/>
  <c r="CG52" i="123"/>
  <c r="H55" i="143"/>
  <c r="H95" i="143"/>
  <c r="H134" i="143"/>
  <c r="G52" i="105"/>
  <c r="BA52" i="105"/>
  <c r="BK52" i="105"/>
  <c r="CH52" i="105"/>
  <c r="CH52" i="123"/>
  <c r="I55" i="143"/>
  <c r="I95" i="143"/>
  <c r="I134" i="143"/>
  <c r="H52" i="105"/>
  <c r="BB52" i="105"/>
  <c r="BL52" i="105"/>
  <c r="CI52" i="105"/>
  <c r="CI52" i="123"/>
  <c r="J55" i="143"/>
  <c r="J95" i="143"/>
  <c r="J134" i="143"/>
  <c r="I52" i="105"/>
  <c r="BC52" i="105"/>
  <c r="BM52" i="105"/>
  <c r="CJ52" i="105"/>
  <c r="CJ52" i="123"/>
  <c r="K55" i="143"/>
  <c r="K95" i="143"/>
  <c r="K134" i="143"/>
  <c r="J52" i="105"/>
  <c r="BD52" i="105"/>
  <c r="BN52" i="105"/>
  <c r="CK52" i="105"/>
  <c r="CK52" i="123"/>
  <c r="L55" i="143"/>
  <c r="L95" i="143"/>
  <c r="L134" i="143"/>
  <c r="K52" i="105"/>
  <c r="BE52" i="105"/>
  <c r="BO52" i="105"/>
  <c r="CL52" i="105"/>
  <c r="CL52" i="123"/>
  <c r="M55" i="143"/>
  <c r="M95" i="143"/>
  <c r="M134" i="143"/>
  <c r="L52" i="105"/>
  <c r="BF52" i="105"/>
  <c r="BP52" i="105"/>
  <c r="CM52" i="105"/>
  <c r="CM52" i="123"/>
  <c r="N95" i="143"/>
  <c r="N134" i="143"/>
  <c r="M52" i="105"/>
  <c r="BG52" i="105"/>
  <c r="BQ52" i="105"/>
  <c r="CN52" i="105"/>
  <c r="CN52" i="123"/>
  <c r="CP52" i="123"/>
  <c r="F62" i="143"/>
  <c r="F96" i="143"/>
  <c r="F135" i="143"/>
  <c r="O52" i="105"/>
  <c r="Y52" i="105"/>
  <c r="BS52" i="105"/>
  <c r="BS52" i="123"/>
  <c r="N62" i="143"/>
  <c r="E62" i="143"/>
  <c r="G62" i="143"/>
  <c r="G96" i="143"/>
  <c r="G135" i="143"/>
  <c r="P52" i="105"/>
  <c r="Z52" i="105"/>
  <c r="BT52" i="105"/>
  <c r="BT52" i="123"/>
  <c r="H62" i="143"/>
  <c r="H96" i="143"/>
  <c r="H135" i="143"/>
  <c r="Q52" i="105"/>
  <c r="AA52" i="105"/>
  <c r="BU52" i="105"/>
  <c r="BU52" i="123"/>
  <c r="I62" i="143"/>
  <c r="I96" i="143"/>
  <c r="I135" i="143"/>
  <c r="R52" i="105"/>
  <c r="AB52" i="105"/>
  <c r="BV52" i="105"/>
  <c r="BV52" i="123"/>
  <c r="J62" i="143"/>
  <c r="J96" i="143"/>
  <c r="J135" i="143"/>
  <c r="S52" i="105"/>
  <c r="AC52" i="105"/>
  <c r="BW52" i="105"/>
  <c r="BW52" i="123"/>
  <c r="K62" i="143"/>
  <c r="K96" i="143"/>
  <c r="K135" i="143"/>
  <c r="T52" i="105"/>
  <c r="AD52" i="105"/>
  <c r="BX52" i="105"/>
  <c r="BX52" i="123"/>
  <c r="L62" i="143"/>
  <c r="L96" i="143"/>
  <c r="L135" i="143"/>
  <c r="U52" i="105"/>
  <c r="AE52" i="105"/>
  <c r="BY52" i="105"/>
  <c r="BY52" i="123"/>
  <c r="M62" i="143"/>
  <c r="M96" i="143"/>
  <c r="M135" i="143"/>
  <c r="V52" i="105"/>
  <c r="AF52" i="105"/>
  <c r="BZ52" i="105"/>
  <c r="BZ52" i="123"/>
  <c r="N96" i="143"/>
  <c r="N135" i="143"/>
  <c r="W52" i="105"/>
  <c r="AG52" i="105"/>
  <c r="CA52" i="105"/>
  <c r="CA52" i="123"/>
  <c r="CC52" i="123"/>
  <c r="BQ52" i="123"/>
  <c r="BP52" i="123"/>
  <c r="BO52" i="123"/>
  <c r="BN52" i="123"/>
  <c r="BM52" i="123"/>
  <c r="BL52" i="123"/>
  <c r="BK52" i="123"/>
  <c r="BJ52" i="123"/>
  <c r="BI52" i="123"/>
  <c r="BG52" i="123"/>
  <c r="BF52" i="123"/>
  <c r="BE52" i="123"/>
  <c r="BD52" i="123"/>
  <c r="BC52" i="123"/>
  <c r="BB52" i="123"/>
  <c r="BA52" i="123"/>
  <c r="AZ52" i="123"/>
  <c r="AY52" i="123"/>
  <c r="AW52" i="123"/>
  <c r="AV52" i="123"/>
  <c r="AI52" i="105"/>
  <c r="AI52" i="123"/>
  <c r="AJ52" i="105"/>
  <c r="AJ52" i="123"/>
  <c r="AK52" i="105"/>
  <c r="AK52" i="123"/>
  <c r="AL52" i="105"/>
  <c r="AL52" i="123"/>
  <c r="AM52" i="105"/>
  <c r="AM52" i="123"/>
  <c r="AN52" i="105"/>
  <c r="AN52" i="123"/>
  <c r="AO52" i="105"/>
  <c r="AO52" i="123"/>
  <c r="AP52" i="105"/>
  <c r="AP52" i="123"/>
  <c r="AQ52" i="105"/>
  <c r="AQ52" i="123"/>
  <c r="AS52" i="123"/>
  <c r="AG52" i="123"/>
  <c r="AF52" i="123"/>
  <c r="AE52" i="123"/>
  <c r="AD52" i="123"/>
  <c r="AC52" i="123"/>
  <c r="AB52" i="123"/>
  <c r="AA52" i="123"/>
  <c r="Z52" i="123"/>
  <c r="Y52" i="123"/>
  <c r="W52" i="123"/>
  <c r="V52" i="123"/>
  <c r="U52" i="123"/>
  <c r="T52" i="123"/>
  <c r="S52" i="123"/>
  <c r="R52" i="123"/>
  <c r="Q52" i="123"/>
  <c r="P52" i="123"/>
  <c r="O52" i="123"/>
  <c r="M52" i="123"/>
  <c r="L52" i="123"/>
  <c r="K52" i="123"/>
  <c r="J52" i="123"/>
  <c r="I52" i="123"/>
  <c r="H52" i="123"/>
  <c r="G52" i="123"/>
  <c r="F52" i="123"/>
  <c r="E52" i="123"/>
  <c r="F65" i="142"/>
  <c r="F101" i="142"/>
  <c r="F137" i="142"/>
  <c r="E51" i="105"/>
  <c r="AV51" i="105"/>
  <c r="AW51" i="105"/>
  <c r="AY51" i="105"/>
  <c r="BI51" i="105"/>
  <c r="CF51" i="105"/>
  <c r="CF51" i="123"/>
  <c r="N65" i="142"/>
  <c r="E65" i="142"/>
  <c r="G65" i="142"/>
  <c r="G101" i="142"/>
  <c r="G137" i="142"/>
  <c r="F51" i="105"/>
  <c r="AZ51" i="105"/>
  <c r="BJ51" i="105"/>
  <c r="CG51" i="105"/>
  <c r="CG51" i="123"/>
  <c r="H65" i="142"/>
  <c r="H101" i="142"/>
  <c r="H137" i="142"/>
  <c r="G51" i="105"/>
  <c r="BA51" i="105"/>
  <c r="BK51" i="105"/>
  <c r="CH51" i="105"/>
  <c r="CH51" i="123"/>
  <c r="I65" i="142"/>
  <c r="I101" i="142"/>
  <c r="I137" i="142"/>
  <c r="H51" i="105"/>
  <c r="BB51" i="105"/>
  <c r="BL51" i="105"/>
  <c r="CI51" i="105"/>
  <c r="CI51" i="123"/>
  <c r="J65" i="142"/>
  <c r="J101" i="142"/>
  <c r="J137" i="142"/>
  <c r="I51" i="105"/>
  <c r="BC51" i="105"/>
  <c r="BM51" i="105"/>
  <c r="CJ51" i="105"/>
  <c r="CJ51" i="123"/>
  <c r="K65" i="142"/>
  <c r="K101" i="142"/>
  <c r="K137" i="142"/>
  <c r="J51" i="105"/>
  <c r="BD51" i="105"/>
  <c r="BN51" i="105"/>
  <c r="CK51" i="105"/>
  <c r="CK51" i="123"/>
  <c r="L65" i="142"/>
  <c r="L101" i="142"/>
  <c r="L137" i="142"/>
  <c r="K51" i="105"/>
  <c r="BE51" i="105"/>
  <c r="BO51" i="105"/>
  <c r="CL51" i="105"/>
  <c r="CL51" i="123"/>
  <c r="M65" i="142"/>
  <c r="M101" i="142"/>
  <c r="M137" i="142"/>
  <c r="L51" i="105"/>
  <c r="BF51" i="105"/>
  <c r="BP51" i="105"/>
  <c r="CM51" i="105"/>
  <c r="CM51" i="123"/>
  <c r="N101" i="142"/>
  <c r="N137" i="142"/>
  <c r="M51" i="105"/>
  <c r="BG51" i="105"/>
  <c r="BQ51" i="105"/>
  <c r="CN51" i="105"/>
  <c r="CN51" i="123"/>
  <c r="CP51" i="123"/>
  <c r="F72" i="142"/>
  <c r="F102" i="142"/>
  <c r="F138" i="142"/>
  <c r="O51" i="105"/>
  <c r="Y51" i="105"/>
  <c r="BS51" i="105"/>
  <c r="BS51" i="123"/>
  <c r="N72" i="142"/>
  <c r="E72" i="142"/>
  <c r="G72" i="142"/>
  <c r="G102" i="142"/>
  <c r="G138" i="142"/>
  <c r="P51" i="105"/>
  <c r="Z51" i="105"/>
  <c r="BT51" i="105"/>
  <c r="BT51" i="123"/>
  <c r="H72" i="142"/>
  <c r="H102" i="142"/>
  <c r="H138" i="142"/>
  <c r="Q51" i="105"/>
  <c r="AA51" i="105"/>
  <c r="BU51" i="105"/>
  <c r="BU51" i="123"/>
  <c r="I72" i="142"/>
  <c r="I102" i="142"/>
  <c r="I138" i="142"/>
  <c r="R51" i="105"/>
  <c r="AB51" i="105"/>
  <c r="BV51" i="105"/>
  <c r="BV51" i="123"/>
  <c r="J72" i="142"/>
  <c r="J102" i="142"/>
  <c r="J138" i="142"/>
  <c r="S51" i="105"/>
  <c r="AC51" i="105"/>
  <c r="BW51" i="105"/>
  <c r="BW51" i="123"/>
  <c r="K72" i="142"/>
  <c r="K102" i="142"/>
  <c r="K138" i="142"/>
  <c r="T51" i="105"/>
  <c r="AD51" i="105"/>
  <c r="BX51" i="105"/>
  <c r="BX51" i="123"/>
  <c r="L72" i="142"/>
  <c r="L102" i="142"/>
  <c r="L138" i="142"/>
  <c r="U51" i="105"/>
  <c r="AE51" i="105"/>
  <c r="BY51" i="105"/>
  <c r="BY51" i="123"/>
  <c r="M72" i="142"/>
  <c r="M102" i="142"/>
  <c r="M138" i="142"/>
  <c r="V51" i="105"/>
  <c r="AF51" i="105"/>
  <c r="BZ51" i="105"/>
  <c r="BZ51" i="123"/>
  <c r="N102" i="142"/>
  <c r="N138" i="142"/>
  <c r="W51" i="105"/>
  <c r="AG51" i="105"/>
  <c r="CA51" i="105"/>
  <c r="CA51" i="123"/>
  <c r="CC51" i="123"/>
  <c r="BQ51" i="123"/>
  <c r="BP51" i="123"/>
  <c r="BO51" i="123"/>
  <c r="BN51" i="123"/>
  <c r="BM51" i="123"/>
  <c r="BL51" i="123"/>
  <c r="BK51" i="123"/>
  <c r="BJ51" i="123"/>
  <c r="BI51" i="123"/>
  <c r="BG51" i="123"/>
  <c r="BF51" i="123"/>
  <c r="BE51" i="123"/>
  <c r="BD51" i="123"/>
  <c r="BC51" i="123"/>
  <c r="BB51" i="123"/>
  <c r="BA51" i="123"/>
  <c r="AZ51" i="123"/>
  <c r="AY51" i="123"/>
  <c r="AW51" i="123"/>
  <c r="AV51" i="123"/>
  <c r="AI51" i="105"/>
  <c r="AI51" i="123"/>
  <c r="AJ51" i="105"/>
  <c r="AJ51" i="123"/>
  <c r="AK51" i="105"/>
  <c r="AK51" i="123"/>
  <c r="AL51" i="105"/>
  <c r="AL51" i="123"/>
  <c r="AM51" i="105"/>
  <c r="AM51" i="123"/>
  <c r="AN51" i="105"/>
  <c r="AN51" i="123"/>
  <c r="AO51" i="105"/>
  <c r="AO51" i="123"/>
  <c r="AP51" i="105"/>
  <c r="AP51" i="123"/>
  <c r="AQ51" i="105"/>
  <c r="AQ51" i="123"/>
  <c r="AS51" i="123"/>
  <c r="AG51" i="123"/>
  <c r="AF51" i="123"/>
  <c r="AE51" i="123"/>
  <c r="AD51" i="123"/>
  <c r="AC51" i="123"/>
  <c r="AB51" i="123"/>
  <c r="AA51" i="123"/>
  <c r="Z51" i="123"/>
  <c r="Y51" i="123"/>
  <c r="W51" i="123"/>
  <c r="V51" i="123"/>
  <c r="U51" i="123"/>
  <c r="T51" i="123"/>
  <c r="S51" i="123"/>
  <c r="R51" i="123"/>
  <c r="Q51" i="123"/>
  <c r="P51" i="123"/>
  <c r="O51" i="123"/>
  <c r="M51" i="123"/>
  <c r="L51" i="123"/>
  <c r="K51" i="123"/>
  <c r="J51" i="123"/>
  <c r="I51" i="123"/>
  <c r="H51" i="123"/>
  <c r="G51" i="123"/>
  <c r="F51" i="123"/>
  <c r="E51" i="123"/>
  <c r="F165" i="141"/>
  <c r="E50" i="105"/>
  <c r="AV50" i="105"/>
  <c r="AW50" i="105"/>
  <c r="AY50" i="105"/>
  <c r="BI50" i="105"/>
  <c r="CF50" i="105"/>
  <c r="CF50" i="123"/>
  <c r="N63" i="141"/>
  <c r="F63" i="141"/>
  <c r="E63" i="141"/>
  <c r="G63" i="141"/>
  <c r="G124" i="141"/>
  <c r="G165" i="141"/>
  <c r="F50" i="105"/>
  <c r="AZ50" i="105"/>
  <c r="BJ50" i="105"/>
  <c r="CG50" i="105"/>
  <c r="CG50" i="123"/>
  <c r="H63" i="141"/>
  <c r="H124" i="141"/>
  <c r="H165" i="141"/>
  <c r="G50" i="105"/>
  <c r="BA50" i="105"/>
  <c r="BK50" i="105"/>
  <c r="CH50" i="105"/>
  <c r="CH50" i="123"/>
  <c r="I63" i="141"/>
  <c r="I124" i="141"/>
  <c r="I165" i="141"/>
  <c r="H50" i="105"/>
  <c r="BB50" i="105"/>
  <c r="BL50" i="105"/>
  <c r="CI50" i="105"/>
  <c r="CI50" i="123"/>
  <c r="J63" i="141"/>
  <c r="J124" i="141"/>
  <c r="J165" i="141"/>
  <c r="I50" i="105"/>
  <c r="BC50" i="105"/>
  <c r="BM50" i="105"/>
  <c r="CJ50" i="105"/>
  <c r="CJ50" i="123"/>
  <c r="K63" i="141"/>
  <c r="K124" i="141"/>
  <c r="K165" i="141"/>
  <c r="J50" i="105"/>
  <c r="BD50" i="105"/>
  <c r="BN50" i="105"/>
  <c r="CK50" i="105"/>
  <c r="CK50" i="123"/>
  <c r="L63" i="141"/>
  <c r="L124" i="141"/>
  <c r="L165" i="141"/>
  <c r="K50" i="105"/>
  <c r="BE50" i="105"/>
  <c r="BO50" i="105"/>
  <c r="CL50" i="105"/>
  <c r="CL50" i="123"/>
  <c r="M63" i="141"/>
  <c r="M124" i="141"/>
  <c r="M165" i="141"/>
  <c r="L50" i="105"/>
  <c r="BF50" i="105"/>
  <c r="BP50" i="105"/>
  <c r="CM50" i="105"/>
  <c r="CM50" i="123"/>
  <c r="N124" i="141"/>
  <c r="N165" i="141"/>
  <c r="M50" i="105"/>
  <c r="BG50" i="105"/>
  <c r="BQ50" i="105"/>
  <c r="CN50" i="105"/>
  <c r="CN50" i="123"/>
  <c r="CP50" i="123"/>
  <c r="F166" i="141"/>
  <c r="O50" i="105"/>
  <c r="F77" i="141"/>
  <c r="F126" i="141"/>
  <c r="F167" i="141"/>
  <c r="Y50" i="105"/>
  <c r="BS50" i="105"/>
  <c r="BS50" i="123"/>
  <c r="N70" i="141"/>
  <c r="F70" i="141"/>
  <c r="E70" i="141"/>
  <c r="G70" i="141"/>
  <c r="N84" i="141"/>
  <c r="F84" i="141"/>
  <c r="E84" i="141"/>
  <c r="G84" i="141"/>
  <c r="G125" i="141"/>
  <c r="G166" i="141"/>
  <c r="P50" i="105"/>
  <c r="N77" i="141"/>
  <c r="E77" i="141"/>
  <c r="G77" i="141"/>
  <c r="G126" i="141"/>
  <c r="G167" i="141"/>
  <c r="Z50" i="105"/>
  <c r="BT50" i="105"/>
  <c r="BT50" i="123"/>
  <c r="H70" i="141"/>
  <c r="H84" i="141"/>
  <c r="H125" i="141"/>
  <c r="H166" i="141"/>
  <c r="Q50" i="105"/>
  <c r="H77" i="141"/>
  <c r="H126" i="141"/>
  <c r="H167" i="141"/>
  <c r="AA50" i="105"/>
  <c r="BU50" i="105"/>
  <c r="BU50" i="123"/>
  <c r="I70" i="141"/>
  <c r="I84" i="141"/>
  <c r="I125" i="141"/>
  <c r="I166" i="141"/>
  <c r="R50" i="105"/>
  <c r="I77" i="141"/>
  <c r="I126" i="141"/>
  <c r="I167" i="141"/>
  <c r="AB50" i="105"/>
  <c r="BV50" i="105"/>
  <c r="BV50" i="123"/>
  <c r="J70" i="141"/>
  <c r="J84" i="141"/>
  <c r="J125" i="141"/>
  <c r="J166" i="141"/>
  <c r="S50" i="105"/>
  <c r="J77" i="141"/>
  <c r="J126" i="141"/>
  <c r="J167" i="141"/>
  <c r="AC50" i="105"/>
  <c r="BW50" i="105"/>
  <c r="BW50" i="123"/>
  <c r="K70" i="141"/>
  <c r="K84" i="141"/>
  <c r="K125" i="141"/>
  <c r="K166" i="141"/>
  <c r="T50" i="105"/>
  <c r="K77" i="141"/>
  <c r="K126" i="141"/>
  <c r="K167" i="141"/>
  <c r="AD50" i="105"/>
  <c r="BX50" i="105"/>
  <c r="BX50" i="123"/>
  <c r="L70" i="141"/>
  <c r="L84" i="141"/>
  <c r="L125" i="141"/>
  <c r="L166" i="141"/>
  <c r="U50" i="105"/>
  <c r="L77" i="141"/>
  <c r="L126" i="141"/>
  <c r="L167" i="141"/>
  <c r="AE50" i="105"/>
  <c r="BY50" i="105"/>
  <c r="BY50" i="123"/>
  <c r="M70" i="141"/>
  <c r="M84" i="141"/>
  <c r="M125" i="141"/>
  <c r="M166" i="141"/>
  <c r="V50" i="105"/>
  <c r="M77" i="141"/>
  <c r="M126" i="141"/>
  <c r="M167" i="141"/>
  <c r="AF50" i="105"/>
  <c r="BZ50" i="105"/>
  <c r="BZ50" i="123"/>
  <c r="N125" i="141"/>
  <c r="N166" i="141"/>
  <c r="W50" i="105"/>
  <c r="N126" i="141"/>
  <c r="N167" i="141"/>
  <c r="AG50" i="105"/>
  <c r="CA50" i="105"/>
  <c r="CA50" i="123"/>
  <c r="CC50" i="123"/>
  <c r="BQ50" i="123"/>
  <c r="BP50" i="123"/>
  <c r="BO50" i="123"/>
  <c r="BN50" i="123"/>
  <c r="BM50" i="123"/>
  <c r="BL50" i="123"/>
  <c r="BK50" i="123"/>
  <c r="BJ50" i="123"/>
  <c r="BI50" i="123"/>
  <c r="BG50" i="123"/>
  <c r="BF50" i="123"/>
  <c r="BE50" i="123"/>
  <c r="BD50" i="123"/>
  <c r="BC50" i="123"/>
  <c r="BB50" i="123"/>
  <c r="BA50" i="123"/>
  <c r="AZ50" i="123"/>
  <c r="AY50" i="123"/>
  <c r="AW50" i="123"/>
  <c r="AV50" i="123"/>
  <c r="AI50" i="105"/>
  <c r="AI50" i="123"/>
  <c r="AJ50" i="105"/>
  <c r="AJ50" i="123"/>
  <c r="AK50" i="105"/>
  <c r="AK50" i="123"/>
  <c r="AL50" i="105"/>
  <c r="AL50" i="123"/>
  <c r="AM50" i="105"/>
  <c r="AM50" i="123"/>
  <c r="AN50" i="105"/>
  <c r="AN50" i="123"/>
  <c r="AO50" i="105"/>
  <c r="AO50" i="123"/>
  <c r="AP50" i="105"/>
  <c r="AP50" i="123"/>
  <c r="AQ50" i="105"/>
  <c r="AQ50" i="123"/>
  <c r="AS50" i="123"/>
  <c r="AG50" i="123"/>
  <c r="AF50" i="123"/>
  <c r="AE50" i="123"/>
  <c r="AD50" i="123"/>
  <c r="AC50" i="123"/>
  <c r="AB50" i="123"/>
  <c r="AA50" i="123"/>
  <c r="Z50" i="123"/>
  <c r="Y50" i="123"/>
  <c r="W50" i="123"/>
  <c r="V50" i="123"/>
  <c r="U50" i="123"/>
  <c r="T50" i="123"/>
  <c r="S50" i="123"/>
  <c r="R50" i="123"/>
  <c r="Q50" i="123"/>
  <c r="P50" i="123"/>
  <c r="O50" i="123"/>
  <c r="M50" i="123"/>
  <c r="L50" i="123"/>
  <c r="K50" i="123"/>
  <c r="J50" i="123"/>
  <c r="I50" i="123"/>
  <c r="H50" i="123"/>
  <c r="G50" i="123"/>
  <c r="F50" i="123"/>
  <c r="E50" i="123"/>
  <c r="F53" i="145"/>
  <c r="F101" i="145"/>
  <c r="F133" i="145"/>
  <c r="O101" i="105"/>
  <c r="Y101" i="105"/>
  <c r="BS101" i="105"/>
  <c r="N53" i="145"/>
  <c r="E53" i="145"/>
  <c r="G53" i="145"/>
  <c r="G101" i="145"/>
  <c r="G133" i="145"/>
  <c r="P101" i="105"/>
  <c r="Z101" i="105"/>
  <c r="BT101" i="105"/>
  <c r="H53" i="145"/>
  <c r="H101" i="145"/>
  <c r="H133" i="145"/>
  <c r="Q101" i="105"/>
  <c r="AA101" i="105"/>
  <c r="BU101" i="105"/>
  <c r="I53" i="145"/>
  <c r="I101" i="145"/>
  <c r="I133" i="145"/>
  <c r="R101" i="105"/>
  <c r="AB101" i="105"/>
  <c r="BV101" i="105"/>
  <c r="J53" i="145"/>
  <c r="J101" i="145"/>
  <c r="J133" i="145"/>
  <c r="S101" i="105"/>
  <c r="AC101" i="105"/>
  <c r="BW101" i="105"/>
  <c r="K53" i="145"/>
  <c r="K101" i="145"/>
  <c r="K133" i="145"/>
  <c r="T101" i="105"/>
  <c r="AD101" i="105"/>
  <c r="BX101" i="105"/>
  <c r="L53" i="145"/>
  <c r="L101" i="145"/>
  <c r="L133" i="145"/>
  <c r="U101" i="105"/>
  <c r="AE101" i="105"/>
  <c r="BY101" i="105"/>
  <c r="M53" i="145"/>
  <c r="M101" i="145"/>
  <c r="M133" i="145"/>
  <c r="V101" i="105"/>
  <c r="AF101" i="105"/>
  <c r="BZ101" i="105"/>
  <c r="N101" i="145"/>
  <c r="N133" i="145"/>
  <c r="W101" i="105"/>
  <c r="AG101" i="105"/>
  <c r="CA101" i="105"/>
  <c r="CC101" i="105"/>
  <c r="AI101" i="105"/>
  <c r="AJ101" i="105"/>
  <c r="AK101" i="105"/>
  <c r="AL101" i="105"/>
  <c r="AM101" i="105"/>
  <c r="AN101" i="105"/>
  <c r="AO101" i="105"/>
  <c r="AP101" i="105"/>
  <c r="AQ101" i="105"/>
  <c r="AS101" i="105"/>
  <c r="CC100" i="105"/>
  <c r="AS100" i="105"/>
  <c r="CC99" i="105"/>
  <c r="AS99" i="105"/>
  <c r="CC98" i="105"/>
  <c r="AS98" i="105"/>
  <c r="CC97" i="105"/>
  <c r="AS97" i="105"/>
  <c r="CC96" i="105"/>
  <c r="AS96" i="105"/>
  <c r="CC95" i="105"/>
  <c r="AS95" i="105"/>
  <c r="CP55" i="105"/>
  <c r="CC55" i="105"/>
  <c r="AS55" i="105"/>
  <c r="CP54" i="105"/>
  <c r="CC54" i="105"/>
  <c r="AS54" i="105"/>
  <c r="CP53" i="105"/>
  <c r="CC53" i="105"/>
  <c r="AS53" i="105"/>
  <c r="CP52" i="105"/>
  <c r="CC52" i="105"/>
  <c r="AS52" i="105"/>
  <c r="CP51" i="105"/>
  <c r="CC51" i="105"/>
  <c r="AS51" i="105"/>
  <c r="CP50" i="105"/>
  <c r="CC50" i="105"/>
  <c r="AS50" i="105"/>
  <c r="CF10" i="105"/>
  <c r="CG10" i="105"/>
  <c r="CH10" i="105"/>
  <c r="CI10" i="105"/>
  <c r="CJ10" i="105"/>
  <c r="CK10" i="105"/>
  <c r="CL10" i="105"/>
  <c r="CM10" i="105"/>
  <c r="CN10" i="105"/>
  <c r="CP10" i="105"/>
  <c r="CC10" i="105"/>
  <c r="AI10" i="105"/>
  <c r="AJ10" i="105"/>
  <c r="AK10" i="105"/>
  <c r="AL10" i="105"/>
  <c r="AM10" i="105"/>
  <c r="AN10" i="105"/>
  <c r="AO10" i="105"/>
  <c r="AP10" i="105"/>
  <c r="AQ10" i="105"/>
  <c r="AS10" i="105"/>
  <c r="CF9" i="105"/>
  <c r="CG9" i="105"/>
  <c r="CH9" i="105"/>
  <c r="CI9" i="105"/>
  <c r="CJ9" i="105"/>
  <c r="CK9" i="105"/>
  <c r="CL9" i="105"/>
  <c r="CM9" i="105"/>
  <c r="CN9" i="105"/>
  <c r="CP9" i="105"/>
  <c r="CC9" i="105"/>
  <c r="AI9" i="105"/>
  <c r="AJ9" i="105"/>
  <c r="AK9" i="105"/>
  <c r="AL9" i="105"/>
  <c r="AM9" i="105"/>
  <c r="AN9" i="105"/>
  <c r="AO9" i="105"/>
  <c r="AP9" i="105"/>
  <c r="AQ9" i="105"/>
  <c r="AS9" i="105"/>
  <c r="CF8" i="105"/>
  <c r="CG8" i="105"/>
  <c r="CH8" i="105"/>
  <c r="CI8" i="105"/>
  <c r="CJ8" i="105"/>
  <c r="CK8" i="105"/>
  <c r="CL8" i="105"/>
  <c r="CM8" i="105"/>
  <c r="CN8" i="105"/>
  <c r="CP8" i="105"/>
  <c r="CC8" i="105"/>
  <c r="AI8" i="105"/>
  <c r="AJ8" i="105"/>
  <c r="AK8" i="105"/>
  <c r="AL8" i="105"/>
  <c r="AM8" i="105"/>
  <c r="AN8" i="105"/>
  <c r="AO8" i="105"/>
  <c r="AP8" i="105"/>
  <c r="AQ8" i="105"/>
  <c r="AS8" i="105"/>
  <c r="M131" i="123"/>
  <c r="L131" i="123"/>
  <c r="K131" i="123"/>
  <c r="J131" i="123"/>
  <c r="I131" i="123"/>
  <c r="H131" i="123"/>
  <c r="G131" i="123"/>
  <c r="F131" i="123"/>
  <c r="E131" i="123"/>
  <c r="M130" i="123"/>
  <c r="L130" i="123"/>
  <c r="K130" i="123"/>
  <c r="J130" i="123"/>
  <c r="I130" i="123"/>
  <c r="H130" i="123"/>
  <c r="G130" i="123"/>
  <c r="F130" i="123"/>
  <c r="E130" i="123"/>
  <c r="E129" i="123"/>
  <c r="M128" i="123"/>
  <c r="L128" i="123"/>
  <c r="K128" i="123"/>
  <c r="J128" i="123"/>
  <c r="I128" i="123"/>
  <c r="H128" i="123"/>
  <c r="G128" i="123"/>
  <c r="F128" i="123"/>
  <c r="E128" i="123"/>
  <c r="M127" i="123"/>
  <c r="L127" i="123"/>
  <c r="K127" i="123"/>
  <c r="J127" i="123"/>
  <c r="I127" i="123"/>
  <c r="H127" i="123"/>
  <c r="G127" i="123"/>
  <c r="F127" i="123"/>
  <c r="E127" i="123"/>
  <c r="M126" i="123"/>
  <c r="L126" i="123"/>
  <c r="K126" i="123"/>
  <c r="J126" i="123"/>
  <c r="I126" i="123"/>
  <c r="H126" i="123"/>
  <c r="G126" i="123"/>
  <c r="F126" i="123"/>
  <c r="E126" i="123"/>
  <c r="M125" i="123"/>
  <c r="L125" i="123"/>
  <c r="K125" i="123"/>
  <c r="J125" i="123"/>
  <c r="I125" i="123"/>
  <c r="H125" i="123"/>
  <c r="G125" i="123"/>
  <c r="F125" i="123"/>
  <c r="E125" i="123"/>
  <c r="M124" i="123"/>
  <c r="L124" i="123"/>
  <c r="K124" i="123"/>
  <c r="J124" i="123"/>
  <c r="I124" i="123"/>
  <c r="H124" i="123"/>
  <c r="G124" i="123"/>
  <c r="F124" i="123"/>
  <c r="E124" i="123"/>
  <c r="M123" i="123"/>
  <c r="L123" i="123"/>
  <c r="K123" i="123"/>
  <c r="J123" i="123"/>
  <c r="I123" i="123"/>
  <c r="H123" i="123"/>
  <c r="G123" i="123"/>
  <c r="F123" i="123"/>
  <c r="E123" i="123"/>
  <c r="M122" i="123"/>
  <c r="L122" i="123"/>
  <c r="K122" i="123"/>
  <c r="J122" i="123"/>
  <c r="I122" i="123"/>
  <c r="H122" i="123"/>
  <c r="G122" i="123"/>
  <c r="F122" i="123"/>
  <c r="E122" i="123"/>
  <c r="M121" i="123"/>
  <c r="L121" i="123"/>
  <c r="K121" i="123"/>
  <c r="J121" i="123"/>
  <c r="I121" i="123"/>
  <c r="H121" i="123"/>
  <c r="G121" i="123"/>
  <c r="F121" i="123"/>
  <c r="E121" i="123"/>
  <c r="M120" i="123"/>
  <c r="L120" i="123"/>
  <c r="K120" i="123"/>
  <c r="J120" i="123"/>
  <c r="I120" i="123"/>
  <c r="H120" i="123"/>
  <c r="G120" i="123"/>
  <c r="F120" i="123"/>
  <c r="E120" i="123"/>
  <c r="M119" i="123"/>
  <c r="L119" i="123"/>
  <c r="K119" i="123"/>
  <c r="J119" i="123"/>
  <c r="I119" i="123"/>
  <c r="H119" i="123"/>
  <c r="G119" i="123"/>
  <c r="F119" i="123"/>
  <c r="E119" i="123"/>
  <c r="M118" i="123"/>
  <c r="L118" i="123"/>
  <c r="K118" i="123"/>
  <c r="J118" i="123"/>
  <c r="I118" i="123"/>
  <c r="H118" i="123"/>
  <c r="G118" i="123"/>
  <c r="F118" i="123"/>
  <c r="E118" i="123"/>
  <c r="M117" i="123"/>
  <c r="L117" i="123"/>
  <c r="K117" i="123"/>
  <c r="J117" i="123"/>
  <c r="I117" i="123"/>
  <c r="H117" i="123"/>
  <c r="G117" i="123"/>
  <c r="F117" i="123"/>
  <c r="E117" i="123"/>
  <c r="M115" i="123"/>
  <c r="L115" i="123"/>
  <c r="K115" i="123"/>
  <c r="J115" i="123"/>
  <c r="I115" i="123"/>
  <c r="H115" i="123"/>
  <c r="G115" i="123"/>
  <c r="F115" i="123"/>
  <c r="E115" i="123"/>
  <c r="M114" i="123"/>
  <c r="L114" i="123"/>
  <c r="K114" i="123"/>
  <c r="J114" i="123"/>
  <c r="I114" i="123"/>
  <c r="H114" i="123"/>
  <c r="G114" i="123"/>
  <c r="F114" i="123"/>
  <c r="E114" i="123"/>
  <c r="M113" i="123"/>
  <c r="L113" i="123"/>
  <c r="K113" i="123"/>
  <c r="J113" i="123"/>
  <c r="I113" i="123"/>
  <c r="H113" i="123"/>
  <c r="G113" i="123"/>
  <c r="F113" i="123"/>
  <c r="E113" i="123"/>
  <c r="M112" i="123"/>
  <c r="L112" i="123"/>
  <c r="K112" i="123"/>
  <c r="J112" i="123"/>
  <c r="I112" i="123"/>
  <c r="H112" i="123"/>
  <c r="G112" i="123"/>
  <c r="F112" i="123"/>
  <c r="E112" i="123"/>
  <c r="M110" i="123"/>
  <c r="L110" i="123"/>
  <c r="K110" i="123"/>
  <c r="J110" i="123"/>
  <c r="I110" i="123"/>
  <c r="H110" i="123"/>
  <c r="G110" i="123"/>
  <c r="F110" i="123"/>
  <c r="E110" i="123"/>
  <c r="M109" i="123"/>
  <c r="L109" i="123"/>
  <c r="K109" i="123"/>
  <c r="J109" i="123"/>
  <c r="I109" i="123"/>
  <c r="H109" i="123"/>
  <c r="G109" i="123"/>
  <c r="F109" i="123"/>
  <c r="E109" i="123"/>
  <c r="O234" i="113"/>
  <c r="G234" i="113"/>
  <c r="F234" i="113"/>
  <c r="H234" i="113"/>
  <c r="I234" i="113"/>
  <c r="J234" i="113"/>
  <c r="K234" i="113"/>
  <c r="L234" i="113"/>
  <c r="M234" i="113"/>
  <c r="N234" i="113"/>
  <c r="O233" i="113"/>
  <c r="E193" i="113"/>
  <c r="N430" i="113"/>
  <c r="M430" i="113"/>
  <c r="L430" i="113"/>
  <c r="K430" i="113"/>
  <c r="J430" i="113"/>
  <c r="I430" i="113"/>
  <c r="H430" i="113"/>
  <c r="G430" i="113"/>
  <c r="F430" i="113"/>
  <c r="F431" i="113"/>
  <c r="G432" i="113"/>
  <c r="F432" i="113"/>
  <c r="G433" i="113"/>
  <c r="G431" i="113"/>
  <c r="H432" i="113"/>
  <c r="H433" i="113"/>
  <c r="H431" i="113"/>
  <c r="I432" i="113"/>
  <c r="I433" i="113"/>
  <c r="I431" i="113"/>
  <c r="J432" i="113"/>
  <c r="J433" i="113"/>
  <c r="J431" i="113"/>
  <c r="K432" i="113"/>
  <c r="K433" i="113"/>
  <c r="K431" i="113"/>
  <c r="L432" i="113"/>
  <c r="L433" i="113"/>
  <c r="L431" i="113"/>
  <c r="M432" i="113"/>
  <c r="M433" i="113"/>
  <c r="M431" i="113"/>
  <c r="N432" i="113"/>
  <c r="N433" i="113"/>
  <c r="N431" i="113"/>
  <c r="O237" i="113"/>
  <c r="N449" i="113"/>
  <c r="E194" i="113"/>
  <c r="N435" i="113"/>
  <c r="M435" i="113"/>
  <c r="L435" i="113"/>
  <c r="K435" i="113"/>
  <c r="J435" i="113"/>
  <c r="I435" i="113"/>
  <c r="H435" i="113"/>
  <c r="G435" i="113"/>
  <c r="F435" i="113"/>
  <c r="F436" i="113"/>
  <c r="G437" i="113"/>
  <c r="F437" i="113"/>
  <c r="G438" i="113"/>
  <c r="G436" i="113"/>
  <c r="H437" i="113"/>
  <c r="H438" i="113"/>
  <c r="H436" i="113"/>
  <c r="I437" i="113"/>
  <c r="I438" i="113"/>
  <c r="I436" i="113"/>
  <c r="J437" i="113"/>
  <c r="J438" i="113"/>
  <c r="J436" i="113"/>
  <c r="K437" i="113"/>
  <c r="K438" i="113"/>
  <c r="K436" i="113"/>
  <c r="L437" i="113"/>
  <c r="L438" i="113"/>
  <c r="L436" i="113"/>
  <c r="M437" i="113"/>
  <c r="M438" i="113"/>
  <c r="M436" i="113"/>
  <c r="N437" i="113"/>
  <c r="N438" i="113"/>
  <c r="N436" i="113"/>
  <c r="O238" i="113"/>
  <c r="N450" i="113"/>
  <c r="E199" i="113"/>
  <c r="N440" i="113"/>
  <c r="M440" i="113"/>
  <c r="O263" i="113"/>
  <c r="N451" i="113"/>
  <c r="N423" i="113"/>
  <c r="O235" i="113"/>
  <c r="N453" i="113"/>
  <c r="G233" i="113"/>
  <c r="F233" i="113"/>
  <c r="H233" i="113"/>
  <c r="I233" i="113"/>
  <c r="J233" i="113"/>
  <c r="K233" i="113"/>
  <c r="L233" i="113"/>
  <c r="M233" i="113"/>
  <c r="N233" i="113"/>
  <c r="G237" i="113"/>
  <c r="F237" i="113"/>
  <c r="H237" i="113"/>
  <c r="I237" i="113"/>
  <c r="J237" i="113"/>
  <c r="K237" i="113"/>
  <c r="L237" i="113"/>
  <c r="M237" i="113"/>
  <c r="N237" i="113"/>
  <c r="M449" i="113"/>
  <c r="G238" i="113"/>
  <c r="F238" i="113"/>
  <c r="H238" i="113"/>
  <c r="I238" i="113"/>
  <c r="J238" i="113"/>
  <c r="K238" i="113"/>
  <c r="L238" i="113"/>
  <c r="M238" i="113"/>
  <c r="N238" i="113"/>
  <c r="M450" i="113"/>
  <c r="L440" i="113"/>
  <c r="G263" i="113"/>
  <c r="F263" i="113"/>
  <c r="H263" i="113"/>
  <c r="I263" i="113"/>
  <c r="J263" i="113"/>
  <c r="K263" i="113"/>
  <c r="L263" i="113"/>
  <c r="M263" i="113"/>
  <c r="N263" i="113"/>
  <c r="M451" i="113"/>
  <c r="M423" i="113"/>
  <c r="G235" i="113"/>
  <c r="F235" i="113"/>
  <c r="H235" i="113"/>
  <c r="I235" i="113"/>
  <c r="J235" i="113"/>
  <c r="K235" i="113"/>
  <c r="L235" i="113"/>
  <c r="M235" i="113"/>
  <c r="N235" i="113"/>
  <c r="M453" i="113"/>
  <c r="L449" i="113"/>
  <c r="L450" i="113"/>
  <c r="K440" i="113"/>
  <c r="L451" i="113"/>
  <c r="L423" i="113"/>
  <c r="L453" i="113"/>
  <c r="K449" i="113"/>
  <c r="K450" i="113"/>
  <c r="J440" i="113"/>
  <c r="K451" i="113"/>
  <c r="K423" i="113"/>
  <c r="K453" i="113"/>
  <c r="J449" i="113"/>
  <c r="J450" i="113"/>
  <c r="I440" i="113"/>
  <c r="J451" i="113"/>
  <c r="J423" i="113"/>
  <c r="J453" i="113"/>
  <c r="I449" i="113"/>
  <c r="I450" i="113"/>
  <c r="H440" i="113"/>
  <c r="I451" i="113"/>
  <c r="I423" i="113"/>
  <c r="I453" i="113"/>
  <c r="H449" i="113"/>
  <c r="H450" i="113"/>
  <c r="G440" i="113"/>
  <c r="H451" i="113"/>
  <c r="H423" i="113"/>
  <c r="H453" i="113"/>
  <c r="G449" i="113"/>
  <c r="G450" i="113"/>
  <c r="F440" i="113"/>
  <c r="G451" i="113"/>
  <c r="G423" i="113"/>
  <c r="G453" i="113"/>
  <c r="F451" i="113"/>
  <c r="M106" i="123"/>
  <c r="L106" i="123"/>
  <c r="K106" i="123"/>
  <c r="J106" i="123"/>
  <c r="I106" i="123"/>
  <c r="H106" i="123"/>
  <c r="G106" i="123"/>
  <c r="F106" i="123"/>
  <c r="E106" i="123"/>
  <c r="M105" i="123"/>
  <c r="L105" i="123"/>
  <c r="K105" i="123"/>
  <c r="J105" i="123"/>
  <c r="I105" i="123"/>
  <c r="H105" i="123"/>
  <c r="G105" i="123"/>
  <c r="F105" i="123"/>
  <c r="E105" i="123"/>
  <c r="M104" i="123"/>
  <c r="L104" i="123"/>
  <c r="K104" i="123"/>
  <c r="J104" i="123"/>
  <c r="I104" i="123"/>
  <c r="H104" i="123"/>
  <c r="G104" i="123"/>
  <c r="F104" i="123"/>
  <c r="E104" i="123"/>
  <c r="M102" i="123"/>
  <c r="L102" i="123"/>
  <c r="K102" i="123"/>
  <c r="J102" i="123"/>
  <c r="I102" i="123"/>
  <c r="H102" i="123"/>
  <c r="G102" i="123"/>
  <c r="F102" i="123"/>
  <c r="E102" i="123"/>
  <c r="M94" i="123"/>
  <c r="L94" i="123"/>
  <c r="K94" i="123"/>
  <c r="J94" i="123"/>
  <c r="I94" i="123"/>
  <c r="H94" i="123"/>
  <c r="G94" i="123"/>
  <c r="F94" i="123"/>
  <c r="E94" i="123"/>
  <c r="M93" i="123"/>
  <c r="L93" i="123"/>
  <c r="K93" i="123"/>
  <c r="J93" i="123"/>
  <c r="I93" i="123"/>
  <c r="H93" i="123"/>
  <c r="G93" i="123"/>
  <c r="F93" i="123"/>
  <c r="E93" i="123"/>
  <c r="M92" i="123"/>
  <c r="L92" i="123"/>
  <c r="K92" i="123"/>
  <c r="J92" i="123"/>
  <c r="I92" i="123"/>
  <c r="H92" i="123"/>
  <c r="G92" i="123"/>
  <c r="F92" i="123"/>
  <c r="E92" i="123"/>
  <c r="M86" i="105"/>
  <c r="M86" i="123"/>
  <c r="L86" i="105"/>
  <c r="L86" i="123"/>
  <c r="K86" i="105"/>
  <c r="K86" i="123"/>
  <c r="J86" i="105"/>
  <c r="J86" i="123"/>
  <c r="I86" i="105"/>
  <c r="I86" i="123"/>
  <c r="H86" i="105"/>
  <c r="H86" i="123"/>
  <c r="G86" i="105"/>
  <c r="G86" i="123"/>
  <c r="F86" i="105"/>
  <c r="F86" i="123"/>
  <c r="E86" i="105"/>
  <c r="E86" i="123"/>
  <c r="M85" i="105"/>
  <c r="M85" i="123"/>
  <c r="L85" i="105"/>
  <c r="L85" i="123"/>
  <c r="K85" i="105"/>
  <c r="K85" i="123"/>
  <c r="J85" i="105"/>
  <c r="J85" i="123"/>
  <c r="I85" i="105"/>
  <c r="I85" i="123"/>
  <c r="H85" i="105"/>
  <c r="H85" i="123"/>
  <c r="G85" i="105"/>
  <c r="G85" i="123"/>
  <c r="F85" i="105"/>
  <c r="F85" i="123"/>
  <c r="E85" i="105"/>
  <c r="E85" i="123"/>
  <c r="M84" i="105"/>
  <c r="M84" i="123"/>
  <c r="L84" i="105"/>
  <c r="L84" i="123"/>
  <c r="K84" i="105"/>
  <c r="K84" i="123"/>
  <c r="J84" i="105"/>
  <c r="J84" i="123"/>
  <c r="I84" i="105"/>
  <c r="I84" i="123"/>
  <c r="H84" i="105"/>
  <c r="H84" i="123"/>
  <c r="G84" i="105"/>
  <c r="G84" i="123"/>
  <c r="F84" i="105"/>
  <c r="F84" i="123"/>
  <c r="E84" i="105"/>
  <c r="E84" i="123"/>
  <c r="F97" i="116"/>
  <c r="F147" i="116"/>
  <c r="E83" i="105"/>
  <c r="E83" i="123"/>
  <c r="M82" i="105"/>
  <c r="M82" i="123"/>
  <c r="L82" i="105"/>
  <c r="L82" i="123"/>
  <c r="K82" i="105"/>
  <c r="K82" i="123"/>
  <c r="J82" i="105"/>
  <c r="J82" i="123"/>
  <c r="I82" i="105"/>
  <c r="I82" i="123"/>
  <c r="H82" i="105"/>
  <c r="H82" i="123"/>
  <c r="G82" i="105"/>
  <c r="G82" i="123"/>
  <c r="F82" i="105"/>
  <c r="F82" i="123"/>
  <c r="E82" i="105"/>
  <c r="E82" i="123"/>
  <c r="M81" i="105"/>
  <c r="M81" i="123"/>
  <c r="L81" i="105"/>
  <c r="L81" i="123"/>
  <c r="K81" i="105"/>
  <c r="K81" i="123"/>
  <c r="J81" i="105"/>
  <c r="J81" i="123"/>
  <c r="I81" i="105"/>
  <c r="I81" i="123"/>
  <c r="H81" i="105"/>
  <c r="H81" i="123"/>
  <c r="G81" i="105"/>
  <c r="G81" i="123"/>
  <c r="F81" i="105"/>
  <c r="F81" i="123"/>
  <c r="E81" i="105"/>
  <c r="E81" i="123"/>
  <c r="M80" i="105"/>
  <c r="M80" i="123"/>
  <c r="L80" i="105"/>
  <c r="L80" i="123"/>
  <c r="K80" i="105"/>
  <c r="K80" i="123"/>
  <c r="J80" i="105"/>
  <c r="J80" i="123"/>
  <c r="I80" i="105"/>
  <c r="I80" i="123"/>
  <c r="H80" i="105"/>
  <c r="H80" i="123"/>
  <c r="G80" i="105"/>
  <c r="G80" i="123"/>
  <c r="F80" i="105"/>
  <c r="F80" i="123"/>
  <c r="E80" i="105"/>
  <c r="E80" i="123"/>
  <c r="N79" i="46"/>
  <c r="N157" i="46"/>
  <c r="N209" i="46"/>
  <c r="M79" i="105"/>
  <c r="M79" i="123"/>
  <c r="F79" i="46"/>
  <c r="E79" i="46"/>
  <c r="G79" i="46"/>
  <c r="H79" i="46"/>
  <c r="I79" i="46"/>
  <c r="J79" i="46"/>
  <c r="K79" i="46"/>
  <c r="L79" i="46"/>
  <c r="M79" i="46"/>
  <c r="M157" i="46"/>
  <c r="M209" i="46"/>
  <c r="L79" i="105"/>
  <c r="L79" i="123"/>
  <c r="L157" i="46"/>
  <c r="L209" i="46"/>
  <c r="K79" i="105"/>
  <c r="K79" i="123"/>
  <c r="K157" i="46"/>
  <c r="K209" i="46"/>
  <c r="J79" i="105"/>
  <c r="J79" i="123"/>
  <c r="J157" i="46"/>
  <c r="J209" i="46"/>
  <c r="I79" i="105"/>
  <c r="I79" i="123"/>
  <c r="I157" i="46"/>
  <c r="I209" i="46"/>
  <c r="H79" i="105"/>
  <c r="H79" i="123"/>
  <c r="H157" i="46"/>
  <c r="H209" i="46"/>
  <c r="G79" i="105"/>
  <c r="G79" i="123"/>
  <c r="G157" i="46"/>
  <c r="G209" i="46"/>
  <c r="F79" i="105"/>
  <c r="F79" i="123"/>
  <c r="F157" i="46"/>
  <c r="F209" i="46"/>
  <c r="E79" i="105"/>
  <c r="E79" i="123"/>
  <c r="N223" i="41"/>
  <c r="N375" i="41"/>
  <c r="N224" i="41"/>
  <c r="N376" i="41"/>
  <c r="N225" i="41"/>
  <c r="N377" i="41"/>
  <c r="N226" i="41"/>
  <c r="N378" i="41"/>
  <c r="N422" i="41"/>
  <c r="N530" i="41"/>
  <c r="M78" i="105"/>
  <c r="M78" i="123"/>
  <c r="M223" i="41"/>
  <c r="M375" i="41"/>
  <c r="F224" i="41"/>
  <c r="E224" i="41"/>
  <c r="G224" i="41"/>
  <c r="H224" i="41"/>
  <c r="I224" i="41"/>
  <c r="J224" i="41"/>
  <c r="K224" i="41"/>
  <c r="L224" i="41"/>
  <c r="M224" i="41"/>
  <c r="M376" i="41"/>
  <c r="F225" i="41"/>
  <c r="E225" i="41"/>
  <c r="G225" i="41"/>
  <c r="H225" i="41"/>
  <c r="I225" i="41"/>
  <c r="J225" i="41"/>
  <c r="K225" i="41"/>
  <c r="L225" i="41"/>
  <c r="M225" i="41"/>
  <c r="M377" i="41"/>
  <c r="F226" i="41"/>
  <c r="E226" i="41"/>
  <c r="G226" i="41"/>
  <c r="H226" i="41"/>
  <c r="I226" i="41"/>
  <c r="J226" i="41"/>
  <c r="K226" i="41"/>
  <c r="L226" i="41"/>
  <c r="M226" i="41"/>
  <c r="M378" i="41"/>
  <c r="M422" i="41"/>
  <c r="M530" i="41"/>
  <c r="L78" i="105"/>
  <c r="L78" i="123"/>
  <c r="L223" i="41"/>
  <c r="L375" i="41"/>
  <c r="L376" i="41"/>
  <c r="L377" i="41"/>
  <c r="L378" i="41"/>
  <c r="L422" i="41"/>
  <c r="L530" i="41"/>
  <c r="K78" i="105"/>
  <c r="K78" i="123"/>
  <c r="K223" i="41"/>
  <c r="K375" i="41"/>
  <c r="K376" i="41"/>
  <c r="K377" i="41"/>
  <c r="K378" i="41"/>
  <c r="K422" i="41"/>
  <c r="K530" i="41"/>
  <c r="J78" i="105"/>
  <c r="J78" i="123"/>
  <c r="J223" i="41"/>
  <c r="J375" i="41"/>
  <c r="J376" i="41"/>
  <c r="J377" i="41"/>
  <c r="J378" i="41"/>
  <c r="J422" i="41"/>
  <c r="J530" i="41"/>
  <c r="I78" i="105"/>
  <c r="I78" i="123"/>
  <c r="I223" i="41"/>
  <c r="I375" i="41"/>
  <c r="I376" i="41"/>
  <c r="I377" i="41"/>
  <c r="I378" i="41"/>
  <c r="I422" i="41"/>
  <c r="I530" i="41"/>
  <c r="H78" i="105"/>
  <c r="H78" i="123"/>
  <c r="H223" i="41"/>
  <c r="H375" i="41"/>
  <c r="H376" i="41"/>
  <c r="H377" i="41"/>
  <c r="H378" i="41"/>
  <c r="H422" i="41"/>
  <c r="H530" i="41"/>
  <c r="G78" i="105"/>
  <c r="G78" i="123"/>
  <c r="G223" i="41"/>
  <c r="G375" i="41"/>
  <c r="G376" i="41"/>
  <c r="G377" i="41"/>
  <c r="G378" i="41"/>
  <c r="G422" i="41"/>
  <c r="G530" i="41"/>
  <c r="F78" i="105"/>
  <c r="F78" i="123"/>
  <c r="F223" i="41"/>
  <c r="F375" i="41"/>
  <c r="F376" i="41"/>
  <c r="F377" i="41"/>
  <c r="F378" i="41"/>
  <c r="F422" i="41"/>
  <c r="F530" i="41"/>
  <c r="E78" i="105"/>
  <c r="E78" i="123"/>
  <c r="N672" i="40"/>
  <c r="N980" i="40"/>
  <c r="M77" i="105"/>
  <c r="M77" i="123"/>
  <c r="E424" i="40"/>
  <c r="G424" i="40"/>
  <c r="H424" i="40"/>
  <c r="I424" i="40"/>
  <c r="J424" i="40"/>
  <c r="K424" i="40"/>
  <c r="L424" i="40"/>
  <c r="M424" i="40"/>
  <c r="M672" i="40"/>
  <c r="M980" i="40"/>
  <c r="L77" i="105"/>
  <c r="L77" i="123"/>
  <c r="L672" i="40"/>
  <c r="L980" i="40"/>
  <c r="K77" i="105"/>
  <c r="K77" i="123"/>
  <c r="K672" i="40"/>
  <c r="K980" i="40"/>
  <c r="J77" i="105"/>
  <c r="J77" i="123"/>
  <c r="J672" i="40"/>
  <c r="J980" i="40"/>
  <c r="I77" i="105"/>
  <c r="I77" i="123"/>
  <c r="I672" i="40"/>
  <c r="I980" i="40"/>
  <c r="H77" i="105"/>
  <c r="H77" i="123"/>
  <c r="H672" i="40"/>
  <c r="H980" i="40"/>
  <c r="G77" i="105"/>
  <c r="G77" i="123"/>
  <c r="G672" i="40"/>
  <c r="G980" i="40"/>
  <c r="F77" i="105"/>
  <c r="F77" i="123"/>
  <c r="F980" i="40"/>
  <c r="E77" i="105"/>
  <c r="E77" i="123"/>
  <c r="N668" i="40"/>
  <c r="N669" i="40"/>
  <c r="N970" i="40"/>
  <c r="M76" i="105"/>
  <c r="M76" i="123"/>
  <c r="E420" i="40"/>
  <c r="G420" i="40"/>
  <c r="H420" i="40"/>
  <c r="I420" i="40"/>
  <c r="J420" i="40"/>
  <c r="K420" i="40"/>
  <c r="L420" i="40"/>
  <c r="M420" i="40"/>
  <c r="M668" i="40"/>
  <c r="M421" i="40"/>
  <c r="M669" i="40"/>
  <c r="M970" i="40"/>
  <c r="L76" i="105"/>
  <c r="L76" i="123"/>
  <c r="L668" i="40"/>
  <c r="L421" i="40"/>
  <c r="L669" i="40"/>
  <c r="L970" i="40"/>
  <c r="K76" i="105"/>
  <c r="K76" i="123"/>
  <c r="K668" i="40"/>
  <c r="K421" i="40"/>
  <c r="K669" i="40"/>
  <c r="K970" i="40"/>
  <c r="J76" i="105"/>
  <c r="J76" i="123"/>
  <c r="J668" i="40"/>
  <c r="J421" i="40"/>
  <c r="J669" i="40"/>
  <c r="J970" i="40"/>
  <c r="I76" i="105"/>
  <c r="I76" i="123"/>
  <c r="I668" i="40"/>
  <c r="I421" i="40"/>
  <c r="I669" i="40"/>
  <c r="I970" i="40"/>
  <c r="H76" i="105"/>
  <c r="H76" i="123"/>
  <c r="H668" i="40"/>
  <c r="H421" i="40"/>
  <c r="H669" i="40"/>
  <c r="H970" i="40"/>
  <c r="G76" i="105"/>
  <c r="G76" i="123"/>
  <c r="G668" i="40"/>
  <c r="G421" i="40"/>
  <c r="G669" i="40"/>
  <c r="G970" i="40"/>
  <c r="F76" i="105"/>
  <c r="F76" i="123"/>
  <c r="F970" i="40"/>
  <c r="E76" i="105"/>
  <c r="E76" i="123"/>
  <c r="N659" i="40"/>
  <c r="N960" i="40"/>
  <c r="M75" i="105"/>
  <c r="M75" i="123"/>
  <c r="F411" i="40"/>
  <c r="E411" i="40"/>
  <c r="G411" i="40"/>
  <c r="H411" i="40"/>
  <c r="I411" i="40"/>
  <c r="J411" i="40"/>
  <c r="K411" i="40"/>
  <c r="L411" i="40"/>
  <c r="M411" i="40"/>
  <c r="M659" i="40"/>
  <c r="M960" i="40"/>
  <c r="L75" i="105"/>
  <c r="L75" i="123"/>
  <c r="L659" i="40"/>
  <c r="L960" i="40"/>
  <c r="K75" i="105"/>
  <c r="K75" i="123"/>
  <c r="K659" i="40"/>
  <c r="K960" i="40"/>
  <c r="J75" i="105"/>
  <c r="J75" i="123"/>
  <c r="J659" i="40"/>
  <c r="J960" i="40"/>
  <c r="I75" i="105"/>
  <c r="I75" i="123"/>
  <c r="I659" i="40"/>
  <c r="I960" i="40"/>
  <c r="H75" i="105"/>
  <c r="H75" i="123"/>
  <c r="H659" i="40"/>
  <c r="H960" i="40"/>
  <c r="G75" i="105"/>
  <c r="G75" i="123"/>
  <c r="G659" i="40"/>
  <c r="G960" i="40"/>
  <c r="F75" i="105"/>
  <c r="F75" i="123"/>
  <c r="F960" i="40"/>
  <c r="E75" i="105"/>
  <c r="E75" i="123"/>
  <c r="M74" i="123"/>
  <c r="L74" i="123"/>
  <c r="K74" i="123"/>
  <c r="J74" i="123"/>
  <c r="I74" i="123"/>
  <c r="H74" i="123"/>
  <c r="G74" i="123"/>
  <c r="F74" i="123"/>
  <c r="E74" i="123"/>
  <c r="N662" i="40"/>
  <c r="N666" i="40"/>
  <c r="N940" i="40"/>
  <c r="M73" i="105"/>
  <c r="M73" i="123"/>
  <c r="E414" i="40"/>
  <c r="G414" i="40"/>
  <c r="H414" i="40"/>
  <c r="I414" i="40"/>
  <c r="J414" i="40"/>
  <c r="K414" i="40"/>
  <c r="L414" i="40"/>
  <c r="M414" i="40"/>
  <c r="M662" i="40"/>
  <c r="E418" i="40"/>
  <c r="G418" i="40"/>
  <c r="H418" i="40"/>
  <c r="I418" i="40"/>
  <c r="J418" i="40"/>
  <c r="K418" i="40"/>
  <c r="L418" i="40"/>
  <c r="M418" i="40"/>
  <c r="M666" i="40"/>
  <c r="M940" i="40"/>
  <c r="L73" i="105"/>
  <c r="L73" i="123"/>
  <c r="L662" i="40"/>
  <c r="L666" i="40"/>
  <c r="L940" i="40"/>
  <c r="K73" i="105"/>
  <c r="K73" i="123"/>
  <c r="K662" i="40"/>
  <c r="K666" i="40"/>
  <c r="K940" i="40"/>
  <c r="J73" i="105"/>
  <c r="J73" i="123"/>
  <c r="J662" i="40"/>
  <c r="J666" i="40"/>
  <c r="J940" i="40"/>
  <c r="I73" i="105"/>
  <c r="I73" i="123"/>
  <c r="I662" i="40"/>
  <c r="I666" i="40"/>
  <c r="I940" i="40"/>
  <c r="H73" i="105"/>
  <c r="H73" i="123"/>
  <c r="H662" i="40"/>
  <c r="H666" i="40"/>
  <c r="H940" i="40"/>
  <c r="G73" i="105"/>
  <c r="G73" i="123"/>
  <c r="G662" i="40"/>
  <c r="G666" i="40"/>
  <c r="G940" i="40"/>
  <c r="F73" i="105"/>
  <c r="F73" i="123"/>
  <c r="F465" i="40"/>
  <c r="F723" i="40"/>
  <c r="F469" i="40"/>
  <c r="F727" i="40"/>
  <c r="F940" i="40"/>
  <c r="E73" i="105"/>
  <c r="E73" i="123"/>
  <c r="N661" i="40"/>
  <c r="N665" i="40"/>
  <c r="N930" i="40"/>
  <c r="M72" i="105"/>
  <c r="M72" i="123"/>
  <c r="E413" i="40"/>
  <c r="G413" i="40"/>
  <c r="H413" i="40"/>
  <c r="I413" i="40"/>
  <c r="J413" i="40"/>
  <c r="K413" i="40"/>
  <c r="L413" i="40"/>
  <c r="M413" i="40"/>
  <c r="M661" i="40"/>
  <c r="E417" i="40"/>
  <c r="G417" i="40"/>
  <c r="H417" i="40"/>
  <c r="I417" i="40"/>
  <c r="J417" i="40"/>
  <c r="K417" i="40"/>
  <c r="L417" i="40"/>
  <c r="M417" i="40"/>
  <c r="M665" i="40"/>
  <c r="M930" i="40"/>
  <c r="L72" i="105"/>
  <c r="L72" i="123"/>
  <c r="L661" i="40"/>
  <c r="L665" i="40"/>
  <c r="L930" i="40"/>
  <c r="K72" i="105"/>
  <c r="K72" i="123"/>
  <c r="K661" i="40"/>
  <c r="K665" i="40"/>
  <c r="K930" i="40"/>
  <c r="J72" i="105"/>
  <c r="J72" i="123"/>
  <c r="J661" i="40"/>
  <c r="J665" i="40"/>
  <c r="J930" i="40"/>
  <c r="I72" i="105"/>
  <c r="I72" i="123"/>
  <c r="I661" i="40"/>
  <c r="I665" i="40"/>
  <c r="I930" i="40"/>
  <c r="H72" i="105"/>
  <c r="H72" i="123"/>
  <c r="H661" i="40"/>
  <c r="H665" i="40"/>
  <c r="H930" i="40"/>
  <c r="G72" i="105"/>
  <c r="G72" i="123"/>
  <c r="G661" i="40"/>
  <c r="G665" i="40"/>
  <c r="G930" i="40"/>
  <c r="F72" i="105"/>
  <c r="F72" i="123"/>
  <c r="F930" i="40"/>
  <c r="E72" i="105"/>
  <c r="E72" i="123"/>
  <c r="N664" i="40"/>
  <c r="N660" i="40"/>
  <c r="N920" i="40"/>
  <c r="M71" i="105"/>
  <c r="M71" i="123"/>
  <c r="E416" i="40"/>
  <c r="G416" i="40"/>
  <c r="H416" i="40"/>
  <c r="I416" i="40"/>
  <c r="J416" i="40"/>
  <c r="K416" i="40"/>
  <c r="L416" i="40"/>
  <c r="M416" i="40"/>
  <c r="M664" i="40"/>
  <c r="E412" i="40"/>
  <c r="G412" i="40"/>
  <c r="H412" i="40"/>
  <c r="I412" i="40"/>
  <c r="J412" i="40"/>
  <c r="K412" i="40"/>
  <c r="L412" i="40"/>
  <c r="M412" i="40"/>
  <c r="M660" i="40"/>
  <c r="M920" i="40"/>
  <c r="L71" i="105"/>
  <c r="L71" i="123"/>
  <c r="L664" i="40"/>
  <c r="L660" i="40"/>
  <c r="L920" i="40"/>
  <c r="K71" i="105"/>
  <c r="K71" i="123"/>
  <c r="K664" i="40"/>
  <c r="K660" i="40"/>
  <c r="K920" i="40"/>
  <c r="J71" i="105"/>
  <c r="J71" i="123"/>
  <c r="J664" i="40"/>
  <c r="J660" i="40"/>
  <c r="J920" i="40"/>
  <c r="I71" i="105"/>
  <c r="I71" i="123"/>
  <c r="I664" i="40"/>
  <c r="I660" i="40"/>
  <c r="I920" i="40"/>
  <c r="H71" i="105"/>
  <c r="H71" i="123"/>
  <c r="H664" i="40"/>
  <c r="H660" i="40"/>
  <c r="H920" i="40"/>
  <c r="G71" i="105"/>
  <c r="G71" i="123"/>
  <c r="G664" i="40"/>
  <c r="G660" i="40"/>
  <c r="G920" i="40"/>
  <c r="F71" i="105"/>
  <c r="F71" i="123"/>
  <c r="F920" i="40"/>
  <c r="E71" i="105"/>
  <c r="E71" i="123"/>
  <c r="N141" i="62"/>
  <c r="N203" i="62"/>
  <c r="M69" i="105"/>
  <c r="M69" i="123"/>
  <c r="M141" i="62"/>
  <c r="M203" i="62"/>
  <c r="L69" i="105"/>
  <c r="L69" i="123"/>
  <c r="L141" i="62"/>
  <c r="L203" i="62"/>
  <c r="K69" i="105"/>
  <c r="K69" i="123"/>
  <c r="K141" i="62"/>
  <c r="K203" i="62"/>
  <c r="J69" i="105"/>
  <c r="J69" i="123"/>
  <c r="J141" i="62"/>
  <c r="J203" i="62"/>
  <c r="I69" i="105"/>
  <c r="I69" i="123"/>
  <c r="I141" i="62"/>
  <c r="I203" i="62"/>
  <c r="H69" i="105"/>
  <c r="H69" i="123"/>
  <c r="H141" i="62"/>
  <c r="H203" i="62"/>
  <c r="G69" i="105"/>
  <c r="G69" i="123"/>
  <c r="G141" i="62"/>
  <c r="G203" i="62"/>
  <c r="F69" i="105"/>
  <c r="F69" i="123"/>
  <c r="F141" i="62"/>
  <c r="F203" i="62"/>
  <c r="E69" i="105"/>
  <c r="E69" i="123"/>
  <c r="N77" i="49"/>
  <c r="N84" i="49"/>
  <c r="N179" i="49"/>
  <c r="N237" i="49"/>
  <c r="M68" i="105"/>
  <c r="M68" i="123"/>
  <c r="F77" i="49"/>
  <c r="E77" i="49"/>
  <c r="G77" i="49"/>
  <c r="H77" i="49"/>
  <c r="I77" i="49"/>
  <c r="J77" i="49"/>
  <c r="K77" i="49"/>
  <c r="L77" i="49"/>
  <c r="M77" i="49"/>
  <c r="F84" i="49"/>
  <c r="E84" i="49"/>
  <c r="G84" i="49"/>
  <c r="H84" i="49"/>
  <c r="I84" i="49"/>
  <c r="J84" i="49"/>
  <c r="K84" i="49"/>
  <c r="L84" i="49"/>
  <c r="M84" i="49"/>
  <c r="M179" i="49"/>
  <c r="M237" i="49"/>
  <c r="L68" i="105"/>
  <c r="L68" i="123"/>
  <c r="L179" i="49"/>
  <c r="L237" i="49"/>
  <c r="K68" i="105"/>
  <c r="K68" i="123"/>
  <c r="K179" i="49"/>
  <c r="K237" i="49"/>
  <c r="J68" i="105"/>
  <c r="J68" i="123"/>
  <c r="J179" i="49"/>
  <c r="J237" i="49"/>
  <c r="I68" i="105"/>
  <c r="I68" i="123"/>
  <c r="I179" i="49"/>
  <c r="I237" i="49"/>
  <c r="H68" i="105"/>
  <c r="H68" i="123"/>
  <c r="H179" i="49"/>
  <c r="H237" i="49"/>
  <c r="G68" i="105"/>
  <c r="G68" i="123"/>
  <c r="G179" i="49"/>
  <c r="G237" i="49"/>
  <c r="F68" i="105"/>
  <c r="F68" i="123"/>
  <c r="F179" i="49"/>
  <c r="F237" i="49"/>
  <c r="E68" i="105"/>
  <c r="E68" i="123"/>
  <c r="N96" i="138"/>
  <c r="N136" i="138"/>
  <c r="M67" i="105"/>
  <c r="M67" i="123"/>
  <c r="M96" i="138"/>
  <c r="M136" i="138"/>
  <c r="L67" i="105"/>
  <c r="L67" i="123"/>
  <c r="L96" i="138"/>
  <c r="L136" i="138"/>
  <c r="K67" i="105"/>
  <c r="K67" i="123"/>
  <c r="K96" i="138"/>
  <c r="K136" i="138"/>
  <c r="J67" i="105"/>
  <c r="J67" i="123"/>
  <c r="J96" i="138"/>
  <c r="J136" i="138"/>
  <c r="I67" i="105"/>
  <c r="I67" i="123"/>
  <c r="I96" i="138"/>
  <c r="I136" i="138"/>
  <c r="H67" i="105"/>
  <c r="H67" i="123"/>
  <c r="H96" i="138"/>
  <c r="H136" i="138"/>
  <c r="G67" i="105"/>
  <c r="G67" i="123"/>
  <c r="G96" i="138"/>
  <c r="G136" i="138"/>
  <c r="F67" i="105"/>
  <c r="F67" i="123"/>
  <c r="F96" i="138"/>
  <c r="F136" i="138"/>
  <c r="E67" i="105"/>
  <c r="E67" i="123"/>
  <c r="M66" i="105"/>
  <c r="M66" i="123"/>
  <c r="L66" i="105"/>
  <c r="L66" i="123"/>
  <c r="K66" i="105"/>
  <c r="K66" i="123"/>
  <c r="J66" i="105"/>
  <c r="J66" i="123"/>
  <c r="I66" i="105"/>
  <c r="I66" i="123"/>
  <c r="H66" i="105"/>
  <c r="H66" i="123"/>
  <c r="G66" i="105"/>
  <c r="G66" i="123"/>
  <c r="F66" i="105"/>
  <c r="F66" i="123"/>
  <c r="E66" i="105"/>
  <c r="E66" i="123"/>
  <c r="M64" i="105"/>
  <c r="M64" i="123"/>
  <c r="L64" i="105"/>
  <c r="L64" i="123"/>
  <c r="K64" i="105"/>
  <c r="K64" i="123"/>
  <c r="J64" i="105"/>
  <c r="J64" i="123"/>
  <c r="I64" i="105"/>
  <c r="I64" i="123"/>
  <c r="H64" i="105"/>
  <c r="H64" i="123"/>
  <c r="G64" i="105"/>
  <c r="G64" i="123"/>
  <c r="F64" i="105"/>
  <c r="F64" i="123"/>
  <c r="E64" i="105"/>
  <c r="E64" i="123"/>
  <c r="M63" i="105"/>
  <c r="M63" i="123"/>
  <c r="L63" i="105"/>
  <c r="L63" i="123"/>
  <c r="K63" i="105"/>
  <c r="K63" i="123"/>
  <c r="J63" i="105"/>
  <c r="J63" i="123"/>
  <c r="I63" i="105"/>
  <c r="I63" i="123"/>
  <c r="H63" i="105"/>
  <c r="H63" i="123"/>
  <c r="G63" i="105"/>
  <c r="G63" i="123"/>
  <c r="F63" i="105"/>
  <c r="F63" i="123"/>
  <c r="E63" i="105"/>
  <c r="E63" i="123"/>
  <c r="O244" i="113"/>
  <c r="N459" i="113"/>
  <c r="O248" i="113"/>
  <c r="N461" i="113"/>
  <c r="G244" i="113"/>
  <c r="F244" i="113"/>
  <c r="H244" i="113"/>
  <c r="I244" i="113"/>
  <c r="J244" i="113"/>
  <c r="K244" i="113"/>
  <c r="L244" i="113"/>
  <c r="M244" i="113"/>
  <c r="N244" i="113"/>
  <c r="M459" i="113"/>
  <c r="G248" i="113"/>
  <c r="F248" i="113"/>
  <c r="H248" i="113"/>
  <c r="I248" i="113"/>
  <c r="J248" i="113"/>
  <c r="K248" i="113"/>
  <c r="L248" i="113"/>
  <c r="M248" i="113"/>
  <c r="N248" i="113"/>
  <c r="M461" i="113"/>
  <c r="L459" i="113"/>
  <c r="L461" i="113"/>
  <c r="K459" i="113"/>
  <c r="K461" i="113"/>
  <c r="J459" i="113"/>
  <c r="J461" i="113"/>
  <c r="I459" i="113"/>
  <c r="I461" i="113"/>
  <c r="H459" i="113"/>
  <c r="H461" i="113"/>
  <c r="G459" i="113"/>
  <c r="G461" i="113"/>
  <c r="F459" i="113"/>
  <c r="F461" i="113"/>
  <c r="O269" i="113"/>
  <c r="N488" i="113"/>
  <c r="N489" i="113"/>
  <c r="N490" i="113"/>
  <c r="O271" i="113"/>
  <c r="N492" i="113"/>
  <c r="G269" i="113"/>
  <c r="F269" i="113"/>
  <c r="H269" i="113"/>
  <c r="I269" i="113"/>
  <c r="J269" i="113"/>
  <c r="K269" i="113"/>
  <c r="L269" i="113"/>
  <c r="M269" i="113"/>
  <c r="N269" i="113"/>
  <c r="F273" i="113"/>
  <c r="H273" i="113"/>
  <c r="I273" i="113"/>
  <c r="J273" i="113"/>
  <c r="K273" i="113"/>
  <c r="L273" i="113"/>
  <c r="M273" i="113"/>
  <c r="N273" i="113"/>
  <c r="M488" i="113"/>
  <c r="F274" i="113"/>
  <c r="H274" i="113"/>
  <c r="I274" i="113"/>
  <c r="J274" i="113"/>
  <c r="K274" i="113"/>
  <c r="L274" i="113"/>
  <c r="M274" i="113"/>
  <c r="N274" i="113"/>
  <c r="M489" i="113"/>
  <c r="M490" i="113"/>
  <c r="G271" i="113"/>
  <c r="F271" i="113"/>
  <c r="H271" i="113"/>
  <c r="I271" i="113"/>
  <c r="J271" i="113"/>
  <c r="K271" i="113"/>
  <c r="L271" i="113"/>
  <c r="M271" i="113"/>
  <c r="N271" i="113"/>
  <c r="M492" i="113"/>
  <c r="L488" i="113"/>
  <c r="L489" i="113"/>
  <c r="L490" i="113"/>
  <c r="L492" i="113"/>
  <c r="K488" i="113"/>
  <c r="K489" i="113"/>
  <c r="K490" i="113"/>
  <c r="K492" i="113"/>
  <c r="J488" i="113"/>
  <c r="J489" i="113"/>
  <c r="J490" i="113"/>
  <c r="J492" i="113"/>
  <c r="I488" i="113"/>
  <c r="I489" i="113"/>
  <c r="I490" i="113"/>
  <c r="I492" i="113"/>
  <c r="H488" i="113"/>
  <c r="H489" i="113"/>
  <c r="H490" i="113"/>
  <c r="H492" i="113"/>
  <c r="G488" i="113"/>
  <c r="G489" i="113"/>
  <c r="G490" i="113"/>
  <c r="G492" i="113"/>
  <c r="F488" i="113"/>
  <c r="F489" i="113"/>
  <c r="F490" i="113"/>
  <c r="F423" i="113"/>
  <c r="F492" i="113"/>
  <c r="M60" i="105"/>
  <c r="M60" i="123"/>
  <c r="L60" i="105"/>
  <c r="L60" i="123"/>
  <c r="K60" i="105"/>
  <c r="K60" i="123"/>
  <c r="J60" i="105"/>
  <c r="J60" i="123"/>
  <c r="I60" i="105"/>
  <c r="I60" i="123"/>
  <c r="H60" i="105"/>
  <c r="H60" i="123"/>
  <c r="G60" i="105"/>
  <c r="G60" i="123"/>
  <c r="F60" i="105"/>
  <c r="F60" i="123"/>
  <c r="E60" i="105"/>
  <c r="E60" i="123"/>
  <c r="M59" i="105"/>
  <c r="M59" i="123"/>
  <c r="L59" i="105"/>
  <c r="L59" i="123"/>
  <c r="K59" i="105"/>
  <c r="K59" i="123"/>
  <c r="J59" i="105"/>
  <c r="J59" i="123"/>
  <c r="I59" i="105"/>
  <c r="I59" i="123"/>
  <c r="H59" i="105"/>
  <c r="H59" i="123"/>
  <c r="G59" i="105"/>
  <c r="G59" i="123"/>
  <c r="F59" i="105"/>
  <c r="F59" i="123"/>
  <c r="E59" i="105"/>
  <c r="E59" i="123"/>
  <c r="N81" i="139"/>
  <c r="N143" i="139"/>
  <c r="N203" i="139"/>
  <c r="M49" i="105"/>
  <c r="M49" i="123"/>
  <c r="F81" i="139"/>
  <c r="E81" i="139"/>
  <c r="G81" i="139"/>
  <c r="H81" i="139"/>
  <c r="I81" i="139"/>
  <c r="J81" i="139"/>
  <c r="K81" i="139"/>
  <c r="L81" i="139"/>
  <c r="M81" i="139"/>
  <c r="M143" i="139"/>
  <c r="M203" i="139"/>
  <c r="L49" i="105"/>
  <c r="L49" i="123"/>
  <c r="L143" i="139"/>
  <c r="L203" i="139"/>
  <c r="K49" i="105"/>
  <c r="K49" i="123"/>
  <c r="K143" i="139"/>
  <c r="K203" i="139"/>
  <c r="J49" i="105"/>
  <c r="J49" i="123"/>
  <c r="J143" i="139"/>
  <c r="J203" i="139"/>
  <c r="I49" i="105"/>
  <c r="I49" i="123"/>
  <c r="I143" i="139"/>
  <c r="I203" i="139"/>
  <c r="H49" i="105"/>
  <c r="H49" i="123"/>
  <c r="H143" i="139"/>
  <c r="H203" i="139"/>
  <c r="G49" i="105"/>
  <c r="G49" i="123"/>
  <c r="G143" i="139"/>
  <c r="G203" i="139"/>
  <c r="F49" i="105"/>
  <c r="F49" i="123"/>
  <c r="F143" i="139"/>
  <c r="F203" i="139"/>
  <c r="E49" i="105"/>
  <c r="E49" i="123"/>
  <c r="N74" i="157"/>
  <c r="N148" i="157"/>
  <c r="N211" i="157"/>
  <c r="M48" i="105"/>
  <c r="M48" i="123"/>
  <c r="F74" i="157"/>
  <c r="E74" i="157"/>
  <c r="G74" i="157"/>
  <c r="H74" i="157"/>
  <c r="I74" i="157"/>
  <c r="J74" i="157"/>
  <c r="K74" i="157"/>
  <c r="L74" i="157"/>
  <c r="M74" i="157"/>
  <c r="M148" i="157"/>
  <c r="M211" i="157"/>
  <c r="L48" i="105"/>
  <c r="L48" i="123"/>
  <c r="L148" i="157"/>
  <c r="L211" i="157"/>
  <c r="K48" i="105"/>
  <c r="K48" i="123"/>
  <c r="K148" i="157"/>
  <c r="K211" i="157"/>
  <c r="J48" i="105"/>
  <c r="J48" i="123"/>
  <c r="J148" i="157"/>
  <c r="J211" i="157"/>
  <c r="I48" i="105"/>
  <c r="I48" i="123"/>
  <c r="I148" i="157"/>
  <c r="I211" i="157"/>
  <c r="H48" i="105"/>
  <c r="H48" i="123"/>
  <c r="H148" i="157"/>
  <c r="H211" i="157"/>
  <c r="G48" i="105"/>
  <c r="G48" i="123"/>
  <c r="G148" i="157"/>
  <c r="G211" i="157"/>
  <c r="F48" i="105"/>
  <c r="F48" i="123"/>
  <c r="F148" i="157"/>
  <c r="F211" i="157"/>
  <c r="E48" i="105"/>
  <c r="E48" i="123"/>
  <c r="N76" i="140"/>
  <c r="N151" i="140"/>
  <c r="N210" i="140"/>
  <c r="M47" i="105"/>
  <c r="M47" i="123"/>
  <c r="E76" i="140"/>
  <c r="G76" i="140"/>
  <c r="H76" i="140"/>
  <c r="I76" i="140"/>
  <c r="J76" i="140"/>
  <c r="K76" i="140"/>
  <c r="L76" i="140"/>
  <c r="M76" i="140"/>
  <c r="M151" i="140"/>
  <c r="M210" i="140"/>
  <c r="L47" i="105"/>
  <c r="L47" i="123"/>
  <c r="L151" i="140"/>
  <c r="L210" i="140"/>
  <c r="K47" i="105"/>
  <c r="K47" i="123"/>
  <c r="K151" i="140"/>
  <c r="K210" i="140"/>
  <c r="J47" i="105"/>
  <c r="J47" i="123"/>
  <c r="J151" i="140"/>
  <c r="J210" i="140"/>
  <c r="I47" i="105"/>
  <c r="I47" i="123"/>
  <c r="I151" i="140"/>
  <c r="I210" i="140"/>
  <c r="H47" i="105"/>
  <c r="H47" i="123"/>
  <c r="H151" i="140"/>
  <c r="H210" i="140"/>
  <c r="G47" i="105"/>
  <c r="G47" i="123"/>
  <c r="G151" i="140"/>
  <c r="G210" i="140"/>
  <c r="F47" i="105"/>
  <c r="F47" i="123"/>
  <c r="E47" i="123"/>
  <c r="W130" i="105"/>
  <c r="W131" i="123"/>
  <c r="V130" i="105"/>
  <c r="V131" i="123"/>
  <c r="U130" i="105"/>
  <c r="U131" i="123"/>
  <c r="T130" i="105"/>
  <c r="T131" i="123"/>
  <c r="S130" i="105"/>
  <c r="S131" i="123"/>
  <c r="R130" i="105"/>
  <c r="R131" i="123"/>
  <c r="Q130" i="105"/>
  <c r="Q131" i="123"/>
  <c r="P130" i="105"/>
  <c r="P131" i="123"/>
  <c r="O130" i="105"/>
  <c r="O131" i="123"/>
  <c r="W129" i="105"/>
  <c r="W130" i="123"/>
  <c r="V129" i="105"/>
  <c r="V130" i="123"/>
  <c r="U129" i="105"/>
  <c r="U130" i="123"/>
  <c r="T129" i="105"/>
  <c r="T130" i="123"/>
  <c r="S129" i="105"/>
  <c r="S130" i="123"/>
  <c r="R129" i="105"/>
  <c r="R130" i="123"/>
  <c r="Q129" i="105"/>
  <c r="Q130" i="123"/>
  <c r="P129" i="105"/>
  <c r="P130" i="123"/>
  <c r="O129" i="105"/>
  <c r="O130" i="123"/>
  <c r="W127" i="105"/>
  <c r="W128" i="123"/>
  <c r="V127" i="105"/>
  <c r="V128" i="123"/>
  <c r="U127" i="105"/>
  <c r="U128" i="123"/>
  <c r="T127" i="105"/>
  <c r="T128" i="123"/>
  <c r="S127" i="105"/>
  <c r="S128" i="123"/>
  <c r="R127" i="105"/>
  <c r="R128" i="123"/>
  <c r="Q127" i="105"/>
  <c r="Q128" i="123"/>
  <c r="P127" i="105"/>
  <c r="P128" i="123"/>
  <c r="O127" i="105"/>
  <c r="O128" i="123"/>
  <c r="W126" i="105"/>
  <c r="W127" i="123"/>
  <c r="V126" i="105"/>
  <c r="V127" i="123"/>
  <c r="U126" i="105"/>
  <c r="U127" i="123"/>
  <c r="T126" i="105"/>
  <c r="T127" i="123"/>
  <c r="S126" i="105"/>
  <c r="S127" i="123"/>
  <c r="R126" i="105"/>
  <c r="R127" i="123"/>
  <c r="Q126" i="105"/>
  <c r="Q127" i="123"/>
  <c r="P126" i="105"/>
  <c r="P127" i="123"/>
  <c r="O126" i="105"/>
  <c r="O127" i="123"/>
  <c r="W125" i="105"/>
  <c r="W126" i="123"/>
  <c r="V125" i="105"/>
  <c r="V126" i="123"/>
  <c r="U125" i="105"/>
  <c r="U126" i="123"/>
  <c r="T125" i="105"/>
  <c r="T126" i="123"/>
  <c r="S125" i="105"/>
  <c r="S126" i="123"/>
  <c r="R125" i="105"/>
  <c r="R126" i="123"/>
  <c r="Q125" i="105"/>
  <c r="Q126" i="123"/>
  <c r="P125" i="105"/>
  <c r="P126" i="123"/>
  <c r="O125" i="105"/>
  <c r="O126" i="123"/>
  <c r="F85" i="46"/>
  <c r="N153" i="46"/>
  <c r="N208" i="46"/>
  <c r="W124" i="105"/>
  <c r="W125" i="123"/>
  <c r="M153" i="46"/>
  <c r="M208" i="46"/>
  <c r="V124" i="105"/>
  <c r="V125" i="123"/>
  <c r="L153" i="46"/>
  <c r="L208" i="46"/>
  <c r="U124" i="105"/>
  <c r="U125" i="123"/>
  <c r="K153" i="46"/>
  <c r="K208" i="46"/>
  <c r="T124" i="105"/>
  <c r="T125" i="123"/>
  <c r="J153" i="46"/>
  <c r="J208" i="46"/>
  <c r="S124" i="105"/>
  <c r="S125" i="123"/>
  <c r="I153" i="46"/>
  <c r="I208" i="46"/>
  <c r="R124" i="105"/>
  <c r="R125" i="123"/>
  <c r="H153" i="46"/>
  <c r="H208" i="46"/>
  <c r="Q124" i="105"/>
  <c r="Q125" i="123"/>
  <c r="G153" i="46"/>
  <c r="G208" i="46"/>
  <c r="P124" i="105"/>
  <c r="P125" i="123"/>
  <c r="F153" i="46"/>
  <c r="F208" i="46"/>
  <c r="O124" i="105"/>
  <c r="O125" i="123"/>
  <c r="N238" i="41"/>
  <c r="N393" i="41"/>
  <c r="N239" i="41"/>
  <c r="N394" i="41"/>
  <c r="N240" i="41"/>
  <c r="N395" i="41"/>
  <c r="N241" i="41"/>
  <c r="N396" i="41"/>
  <c r="N418" i="41"/>
  <c r="N529" i="41"/>
  <c r="W123" i="105"/>
  <c r="W124" i="123"/>
  <c r="F238" i="41"/>
  <c r="E238" i="41"/>
  <c r="G238" i="41"/>
  <c r="H238" i="41"/>
  <c r="I238" i="41"/>
  <c r="J238" i="41"/>
  <c r="K238" i="41"/>
  <c r="L238" i="41"/>
  <c r="M238" i="41"/>
  <c r="M393" i="41"/>
  <c r="F239" i="41"/>
  <c r="E239" i="41"/>
  <c r="G239" i="41"/>
  <c r="H239" i="41"/>
  <c r="I239" i="41"/>
  <c r="J239" i="41"/>
  <c r="K239" i="41"/>
  <c r="L239" i="41"/>
  <c r="M239" i="41"/>
  <c r="M394" i="41"/>
  <c r="F240" i="41"/>
  <c r="E240" i="41"/>
  <c r="G240" i="41"/>
  <c r="H240" i="41"/>
  <c r="I240" i="41"/>
  <c r="J240" i="41"/>
  <c r="K240" i="41"/>
  <c r="L240" i="41"/>
  <c r="M240" i="41"/>
  <c r="M395" i="41"/>
  <c r="F241" i="41"/>
  <c r="E241" i="41"/>
  <c r="G241" i="41"/>
  <c r="H241" i="41"/>
  <c r="I241" i="41"/>
  <c r="J241" i="41"/>
  <c r="K241" i="41"/>
  <c r="L241" i="41"/>
  <c r="M241" i="41"/>
  <c r="M396" i="41"/>
  <c r="M418" i="41"/>
  <c r="M529" i="41"/>
  <c r="V123" i="105"/>
  <c r="V124" i="123"/>
  <c r="L393" i="41"/>
  <c r="L394" i="41"/>
  <c r="L395" i="41"/>
  <c r="L396" i="41"/>
  <c r="L418" i="41"/>
  <c r="L529" i="41"/>
  <c r="U123" i="105"/>
  <c r="U124" i="123"/>
  <c r="K393" i="41"/>
  <c r="K394" i="41"/>
  <c r="K395" i="41"/>
  <c r="K396" i="41"/>
  <c r="K418" i="41"/>
  <c r="K529" i="41"/>
  <c r="T123" i="105"/>
  <c r="T124" i="123"/>
  <c r="J393" i="41"/>
  <c r="J394" i="41"/>
  <c r="J395" i="41"/>
  <c r="J396" i="41"/>
  <c r="J418" i="41"/>
  <c r="J529" i="41"/>
  <c r="S123" i="105"/>
  <c r="S124" i="123"/>
  <c r="I393" i="41"/>
  <c r="I394" i="41"/>
  <c r="I395" i="41"/>
  <c r="I396" i="41"/>
  <c r="I418" i="41"/>
  <c r="I529" i="41"/>
  <c r="R123" i="105"/>
  <c r="R124" i="123"/>
  <c r="H393" i="41"/>
  <c r="H394" i="41"/>
  <c r="H395" i="41"/>
  <c r="H396" i="41"/>
  <c r="H418" i="41"/>
  <c r="H529" i="41"/>
  <c r="Q123" i="105"/>
  <c r="Q124" i="123"/>
  <c r="G393" i="41"/>
  <c r="G394" i="41"/>
  <c r="G395" i="41"/>
  <c r="G396" i="41"/>
  <c r="G418" i="41"/>
  <c r="G529" i="41"/>
  <c r="P123" i="105"/>
  <c r="P124" i="123"/>
  <c r="F393" i="41"/>
  <c r="F394" i="41"/>
  <c r="F395" i="41"/>
  <c r="F396" i="41"/>
  <c r="F418" i="41"/>
  <c r="F529" i="41"/>
  <c r="O123" i="105"/>
  <c r="O124" i="123"/>
  <c r="N713" i="40"/>
  <c r="N979" i="40"/>
  <c r="W122" i="105"/>
  <c r="W123" i="123"/>
  <c r="E458" i="40"/>
  <c r="G458" i="40"/>
  <c r="H458" i="40"/>
  <c r="I458" i="40"/>
  <c r="J458" i="40"/>
  <c r="K458" i="40"/>
  <c r="L458" i="40"/>
  <c r="M458" i="40"/>
  <c r="M713" i="40"/>
  <c r="M979" i="40"/>
  <c r="V122" i="105"/>
  <c r="V123" i="123"/>
  <c r="L713" i="40"/>
  <c r="L979" i="40"/>
  <c r="U122" i="105"/>
  <c r="U123" i="123"/>
  <c r="K713" i="40"/>
  <c r="K979" i="40"/>
  <c r="T122" i="105"/>
  <c r="T123" i="123"/>
  <c r="J713" i="40"/>
  <c r="J979" i="40"/>
  <c r="S122" i="105"/>
  <c r="S123" i="123"/>
  <c r="I713" i="40"/>
  <c r="I979" i="40"/>
  <c r="R122" i="105"/>
  <c r="R123" i="123"/>
  <c r="H713" i="40"/>
  <c r="H979" i="40"/>
  <c r="Q122" i="105"/>
  <c r="Q123" i="123"/>
  <c r="G713" i="40"/>
  <c r="G979" i="40"/>
  <c r="P122" i="105"/>
  <c r="P123" i="123"/>
  <c r="F713" i="40"/>
  <c r="F979" i="40"/>
  <c r="O122" i="105"/>
  <c r="O123" i="123"/>
  <c r="N710" i="40"/>
  <c r="N709" i="40"/>
  <c r="N969" i="40"/>
  <c r="W121" i="105"/>
  <c r="W122" i="123"/>
  <c r="E455" i="40"/>
  <c r="G455" i="40"/>
  <c r="H455" i="40"/>
  <c r="I455" i="40"/>
  <c r="J455" i="40"/>
  <c r="K455" i="40"/>
  <c r="L455" i="40"/>
  <c r="M455" i="40"/>
  <c r="M710" i="40"/>
  <c r="E454" i="40"/>
  <c r="G454" i="40"/>
  <c r="H454" i="40"/>
  <c r="I454" i="40"/>
  <c r="J454" i="40"/>
  <c r="K454" i="40"/>
  <c r="L454" i="40"/>
  <c r="M454" i="40"/>
  <c r="M709" i="40"/>
  <c r="M969" i="40"/>
  <c r="V121" i="105"/>
  <c r="V122" i="123"/>
  <c r="L710" i="40"/>
  <c r="L709" i="40"/>
  <c r="L969" i="40"/>
  <c r="U121" i="105"/>
  <c r="U122" i="123"/>
  <c r="K710" i="40"/>
  <c r="K709" i="40"/>
  <c r="K969" i="40"/>
  <c r="T121" i="105"/>
  <c r="T122" i="123"/>
  <c r="J710" i="40"/>
  <c r="J709" i="40"/>
  <c r="J969" i="40"/>
  <c r="S121" i="105"/>
  <c r="S122" i="123"/>
  <c r="I710" i="40"/>
  <c r="I709" i="40"/>
  <c r="I969" i="40"/>
  <c r="R121" i="105"/>
  <c r="R122" i="123"/>
  <c r="H710" i="40"/>
  <c r="H709" i="40"/>
  <c r="H969" i="40"/>
  <c r="Q121" i="105"/>
  <c r="Q122" i="123"/>
  <c r="G710" i="40"/>
  <c r="G709" i="40"/>
  <c r="G969" i="40"/>
  <c r="P121" i="105"/>
  <c r="P122" i="123"/>
  <c r="F710" i="40"/>
  <c r="F709" i="40"/>
  <c r="F969" i="40"/>
  <c r="O121" i="105"/>
  <c r="O122" i="123"/>
  <c r="N700" i="40"/>
  <c r="N959" i="40"/>
  <c r="W120" i="105"/>
  <c r="W121" i="123"/>
  <c r="F445" i="40"/>
  <c r="E445" i="40"/>
  <c r="G445" i="40"/>
  <c r="H445" i="40"/>
  <c r="I445" i="40"/>
  <c r="J445" i="40"/>
  <c r="K445" i="40"/>
  <c r="L445" i="40"/>
  <c r="M445" i="40"/>
  <c r="M700" i="40"/>
  <c r="M959" i="40"/>
  <c r="V120" i="105"/>
  <c r="V121" i="123"/>
  <c r="L700" i="40"/>
  <c r="L959" i="40"/>
  <c r="U120" i="105"/>
  <c r="U121" i="123"/>
  <c r="K700" i="40"/>
  <c r="K959" i="40"/>
  <c r="T120" i="105"/>
  <c r="T121" i="123"/>
  <c r="J700" i="40"/>
  <c r="J959" i="40"/>
  <c r="S120" i="105"/>
  <c r="S121" i="123"/>
  <c r="I700" i="40"/>
  <c r="I959" i="40"/>
  <c r="R120" i="105"/>
  <c r="R121" i="123"/>
  <c r="H700" i="40"/>
  <c r="H959" i="40"/>
  <c r="Q120" i="105"/>
  <c r="Q121" i="123"/>
  <c r="G700" i="40"/>
  <c r="G959" i="40"/>
  <c r="P120" i="105"/>
  <c r="P121" i="123"/>
  <c r="F700" i="40"/>
  <c r="F959" i="40"/>
  <c r="O120" i="105"/>
  <c r="O121" i="123"/>
  <c r="N708" i="40"/>
  <c r="N704" i="40"/>
  <c r="N949" i="40"/>
  <c r="W119" i="105"/>
  <c r="W120" i="123"/>
  <c r="F453" i="40"/>
  <c r="E453" i="40"/>
  <c r="G453" i="40"/>
  <c r="H453" i="40"/>
  <c r="I453" i="40"/>
  <c r="J453" i="40"/>
  <c r="K453" i="40"/>
  <c r="L453" i="40"/>
  <c r="M453" i="40"/>
  <c r="M708" i="40"/>
  <c r="F449" i="40"/>
  <c r="E449" i="40"/>
  <c r="G449" i="40"/>
  <c r="H449" i="40"/>
  <c r="I449" i="40"/>
  <c r="J449" i="40"/>
  <c r="K449" i="40"/>
  <c r="L449" i="40"/>
  <c r="M449" i="40"/>
  <c r="M704" i="40"/>
  <c r="M949" i="40"/>
  <c r="V119" i="105"/>
  <c r="V120" i="123"/>
  <c r="L708" i="40"/>
  <c r="L704" i="40"/>
  <c r="L949" i="40"/>
  <c r="U119" i="105"/>
  <c r="U120" i="123"/>
  <c r="K708" i="40"/>
  <c r="K704" i="40"/>
  <c r="K949" i="40"/>
  <c r="T119" i="105"/>
  <c r="T120" i="123"/>
  <c r="J708" i="40"/>
  <c r="J704" i="40"/>
  <c r="J949" i="40"/>
  <c r="S119" i="105"/>
  <c r="S120" i="123"/>
  <c r="I708" i="40"/>
  <c r="I704" i="40"/>
  <c r="I949" i="40"/>
  <c r="R119" i="105"/>
  <c r="R120" i="123"/>
  <c r="H708" i="40"/>
  <c r="H704" i="40"/>
  <c r="H949" i="40"/>
  <c r="Q119" i="105"/>
  <c r="Q120" i="123"/>
  <c r="G708" i="40"/>
  <c r="G704" i="40"/>
  <c r="G949" i="40"/>
  <c r="P119" i="105"/>
  <c r="P120" i="123"/>
  <c r="F708" i="40"/>
  <c r="F704" i="40"/>
  <c r="F949" i="40"/>
  <c r="O119" i="105"/>
  <c r="O120" i="123"/>
  <c r="W119" i="123"/>
  <c r="V119" i="123"/>
  <c r="U119" i="123"/>
  <c r="T119" i="123"/>
  <c r="S119" i="123"/>
  <c r="R119" i="123"/>
  <c r="Q119" i="123"/>
  <c r="P119" i="123"/>
  <c r="O119" i="123"/>
  <c r="N706" i="40"/>
  <c r="N702" i="40"/>
  <c r="N929" i="40"/>
  <c r="W117" i="105"/>
  <c r="W118" i="123"/>
  <c r="F451" i="40"/>
  <c r="E451" i="40"/>
  <c r="G451" i="40"/>
  <c r="H451" i="40"/>
  <c r="I451" i="40"/>
  <c r="J451" i="40"/>
  <c r="K451" i="40"/>
  <c r="L451" i="40"/>
  <c r="M451" i="40"/>
  <c r="M706" i="40"/>
  <c r="F447" i="40"/>
  <c r="E447" i="40"/>
  <c r="G447" i="40"/>
  <c r="H447" i="40"/>
  <c r="I447" i="40"/>
  <c r="J447" i="40"/>
  <c r="K447" i="40"/>
  <c r="L447" i="40"/>
  <c r="M447" i="40"/>
  <c r="M702" i="40"/>
  <c r="M929" i="40"/>
  <c r="V117" i="105"/>
  <c r="V118" i="123"/>
  <c r="L706" i="40"/>
  <c r="L702" i="40"/>
  <c r="L929" i="40"/>
  <c r="U117" i="105"/>
  <c r="U118" i="123"/>
  <c r="K706" i="40"/>
  <c r="K702" i="40"/>
  <c r="K929" i="40"/>
  <c r="T117" i="105"/>
  <c r="T118" i="123"/>
  <c r="J706" i="40"/>
  <c r="J702" i="40"/>
  <c r="J929" i="40"/>
  <c r="S117" i="105"/>
  <c r="S118" i="123"/>
  <c r="I706" i="40"/>
  <c r="I702" i="40"/>
  <c r="I929" i="40"/>
  <c r="R117" i="105"/>
  <c r="R118" i="123"/>
  <c r="H706" i="40"/>
  <c r="H702" i="40"/>
  <c r="H929" i="40"/>
  <c r="Q117" i="105"/>
  <c r="Q118" i="123"/>
  <c r="G706" i="40"/>
  <c r="G702" i="40"/>
  <c r="G929" i="40"/>
  <c r="P117" i="105"/>
  <c r="P118" i="123"/>
  <c r="F706" i="40"/>
  <c r="F702" i="40"/>
  <c r="F929" i="40"/>
  <c r="O117" i="105"/>
  <c r="O118" i="123"/>
  <c r="N705" i="40"/>
  <c r="N701" i="40"/>
  <c r="N919" i="40"/>
  <c r="W116" i="105"/>
  <c r="W117" i="123"/>
  <c r="F450" i="40"/>
  <c r="E450" i="40"/>
  <c r="G450" i="40"/>
  <c r="H450" i="40"/>
  <c r="I450" i="40"/>
  <c r="J450" i="40"/>
  <c r="K450" i="40"/>
  <c r="L450" i="40"/>
  <c r="M450" i="40"/>
  <c r="M705" i="40"/>
  <c r="F446" i="40"/>
  <c r="E446" i="40"/>
  <c r="G446" i="40"/>
  <c r="H446" i="40"/>
  <c r="I446" i="40"/>
  <c r="J446" i="40"/>
  <c r="K446" i="40"/>
  <c r="L446" i="40"/>
  <c r="M446" i="40"/>
  <c r="M701" i="40"/>
  <c r="M919" i="40"/>
  <c r="V116" i="105"/>
  <c r="V117" i="123"/>
  <c r="L705" i="40"/>
  <c r="L701" i="40"/>
  <c r="L919" i="40"/>
  <c r="U116" i="105"/>
  <c r="U117" i="123"/>
  <c r="K705" i="40"/>
  <c r="K701" i="40"/>
  <c r="K919" i="40"/>
  <c r="T116" i="105"/>
  <c r="T117" i="123"/>
  <c r="J705" i="40"/>
  <c r="J701" i="40"/>
  <c r="J919" i="40"/>
  <c r="S116" i="105"/>
  <c r="S117" i="123"/>
  <c r="I705" i="40"/>
  <c r="I701" i="40"/>
  <c r="I919" i="40"/>
  <c r="R116" i="105"/>
  <c r="R117" i="123"/>
  <c r="H705" i="40"/>
  <c r="H701" i="40"/>
  <c r="H919" i="40"/>
  <c r="Q116" i="105"/>
  <c r="Q117" i="123"/>
  <c r="G705" i="40"/>
  <c r="G701" i="40"/>
  <c r="G919" i="40"/>
  <c r="P116" i="105"/>
  <c r="P117" i="123"/>
  <c r="F705" i="40"/>
  <c r="F701" i="40"/>
  <c r="F919" i="40"/>
  <c r="O116" i="105"/>
  <c r="O117" i="123"/>
  <c r="W114" i="105"/>
  <c r="W115" i="123"/>
  <c r="V114" i="105"/>
  <c r="V115" i="123"/>
  <c r="U114" i="105"/>
  <c r="U115" i="123"/>
  <c r="T114" i="105"/>
  <c r="T115" i="123"/>
  <c r="S114" i="105"/>
  <c r="S115" i="123"/>
  <c r="R114" i="105"/>
  <c r="R115" i="123"/>
  <c r="Q114" i="105"/>
  <c r="Q115" i="123"/>
  <c r="P114" i="105"/>
  <c r="P115" i="123"/>
  <c r="O114" i="105"/>
  <c r="O115" i="123"/>
  <c r="W113" i="105"/>
  <c r="W114" i="123"/>
  <c r="V113" i="105"/>
  <c r="V114" i="123"/>
  <c r="U113" i="105"/>
  <c r="U114" i="123"/>
  <c r="T113" i="105"/>
  <c r="T114" i="123"/>
  <c r="S113" i="105"/>
  <c r="S114" i="123"/>
  <c r="R113" i="105"/>
  <c r="R114" i="123"/>
  <c r="Q113" i="105"/>
  <c r="Q114" i="123"/>
  <c r="P113" i="105"/>
  <c r="P114" i="123"/>
  <c r="O113" i="105"/>
  <c r="O114" i="123"/>
  <c r="W112" i="105"/>
  <c r="W113" i="123"/>
  <c r="V112" i="105"/>
  <c r="V113" i="123"/>
  <c r="U112" i="105"/>
  <c r="U113" i="123"/>
  <c r="T112" i="105"/>
  <c r="T113" i="123"/>
  <c r="S112" i="105"/>
  <c r="S113" i="123"/>
  <c r="R112" i="105"/>
  <c r="R113" i="123"/>
  <c r="Q112" i="105"/>
  <c r="Q113" i="123"/>
  <c r="P112" i="105"/>
  <c r="P113" i="123"/>
  <c r="O112" i="105"/>
  <c r="O113" i="123"/>
  <c r="W111" i="105"/>
  <c r="W112" i="123"/>
  <c r="V111" i="105"/>
  <c r="V112" i="123"/>
  <c r="U111" i="105"/>
  <c r="U112" i="123"/>
  <c r="T111" i="105"/>
  <c r="T112" i="123"/>
  <c r="S111" i="105"/>
  <c r="S112" i="123"/>
  <c r="R111" i="105"/>
  <c r="R112" i="123"/>
  <c r="Q111" i="105"/>
  <c r="Q112" i="123"/>
  <c r="P111" i="105"/>
  <c r="P112" i="123"/>
  <c r="O111" i="105"/>
  <c r="O112" i="123"/>
  <c r="N40" i="30"/>
  <c r="N75" i="30"/>
  <c r="N54" i="30"/>
  <c r="N95" i="30"/>
  <c r="N135" i="30"/>
  <c r="W110" i="105"/>
  <c r="W111" i="123"/>
  <c r="W109" i="105"/>
  <c r="W110" i="123"/>
  <c r="V109" i="105"/>
  <c r="V110" i="123"/>
  <c r="U109" i="105"/>
  <c r="U110" i="123"/>
  <c r="T109" i="105"/>
  <c r="T110" i="123"/>
  <c r="S109" i="105"/>
  <c r="S110" i="123"/>
  <c r="R109" i="105"/>
  <c r="R110" i="123"/>
  <c r="Q109" i="105"/>
  <c r="Q110" i="123"/>
  <c r="P109" i="105"/>
  <c r="P110" i="123"/>
  <c r="O109" i="105"/>
  <c r="O110" i="123"/>
  <c r="W108" i="105"/>
  <c r="W109" i="123"/>
  <c r="V108" i="105"/>
  <c r="V109" i="123"/>
  <c r="U108" i="105"/>
  <c r="U109" i="123"/>
  <c r="T108" i="105"/>
  <c r="T109" i="123"/>
  <c r="S108" i="105"/>
  <c r="S109" i="123"/>
  <c r="R108" i="105"/>
  <c r="R109" i="123"/>
  <c r="Q108" i="105"/>
  <c r="Q109" i="123"/>
  <c r="P108" i="105"/>
  <c r="P109" i="123"/>
  <c r="O108" i="105"/>
  <c r="O109" i="123"/>
  <c r="O268" i="113"/>
  <c r="N485" i="113"/>
  <c r="O272" i="113"/>
  <c r="N487" i="113"/>
  <c r="O270" i="113"/>
  <c r="G268" i="113"/>
  <c r="F268" i="113"/>
  <c r="H268" i="113"/>
  <c r="I268" i="113"/>
  <c r="J268" i="113"/>
  <c r="K268" i="113"/>
  <c r="L268" i="113"/>
  <c r="M268" i="113"/>
  <c r="N268" i="113"/>
  <c r="M485" i="113"/>
  <c r="G272" i="113"/>
  <c r="F272" i="113"/>
  <c r="H272" i="113"/>
  <c r="I272" i="113"/>
  <c r="J272" i="113"/>
  <c r="K272" i="113"/>
  <c r="L272" i="113"/>
  <c r="M272" i="113"/>
  <c r="N272" i="113"/>
  <c r="M487" i="113"/>
  <c r="G270" i="113"/>
  <c r="F270" i="113"/>
  <c r="H270" i="113"/>
  <c r="I270" i="113"/>
  <c r="J270" i="113"/>
  <c r="K270" i="113"/>
  <c r="L270" i="113"/>
  <c r="M270" i="113"/>
  <c r="N270" i="113"/>
  <c r="L485" i="113"/>
  <c r="L487" i="113"/>
  <c r="K485" i="113"/>
  <c r="K487" i="113"/>
  <c r="J485" i="113"/>
  <c r="J487" i="113"/>
  <c r="I485" i="113"/>
  <c r="I487" i="113"/>
  <c r="H485" i="113"/>
  <c r="H487" i="113"/>
  <c r="G485" i="113"/>
  <c r="G487" i="113"/>
  <c r="F485" i="113"/>
  <c r="F487" i="113"/>
  <c r="N495" i="112"/>
  <c r="O285" i="112"/>
  <c r="N496" i="112"/>
  <c r="N529" i="112"/>
  <c r="O286" i="112"/>
  <c r="N530" i="112"/>
  <c r="N531" i="112"/>
  <c r="O287" i="112"/>
  <c r="N532" i="112"/>
  <c r="N596" i="112"/>
  <c r="W105" i="105"/>
  <c r="W106" i="123"/>
  <c r="M495" i="112"/>
  <c r="G285" i="112"/>
  <c r="F285" i="112"/>
  <c r="H285" i="112"/>
  <c r="I285" i="112"/>
  <c r="J285" i="112"/>
  <c r="K285" i="112"/>
  <c r="L285" i="112"/>
  <c r="M285" i="112"/>
  <c r="N285" i="112"/>
  <c r="M496" i="112"/>
  <c r="M529" i="112"/>
  <c r="G286" i="112"/>
  <c r="F286" i="112"/>
  <c r="H286" i="112"/>
  <c r="I286" i="112"/>
  <c r="J286" i="112"/>
  <c r="K286" i="112"/>
  <c r="L286" i="112"/>
  <c r="M286" i="112"/>
  <c r="N286" i="112"/>
  <c r="M530" i="112"/>
  <c r="M531" i="112"/>
  <c r="G287" i="112"/>
  <c r="F287" i="112"/>
  <c r="H287" i="112"/>
  <c r="I287" i="112"/>
  <c r="J287" i="112"/>
  <c r="K287" i="112"/>
  <c r="L287" i="112"/>
  <c r="M287" i="112"/>
  <c r="N287" i="112"/>
  <c r="M532" i="112"/>
  <c r="M596" i="112"/>
  <c r="V105" i="105"/>
  <c r="V106" i="123"/>
  <c r="L495" i="112"/>
  <c r="L496" i="112"/>
  <c r="L529" i="112"/>
  <c r="L530" i="112"/>
  <c r="L531" i="112"/>
  <c r="L532" i="112"/>
  <c r="L596" i="112"/>
  <c r="U105" i="105"/>
  <c r="U106" i="123"/>
  <c r="K495" i="112"/>
  <c r="K496" i="112"/>
  <c r="K529" i="112"/>
  <c r="K530" i="112"/>
  <c r="K531" i="112"/>
  <c r="K532" i="112"/>
  <c r="K596" i="112"/>
  <c r="T105" i="105"/>
  <c r="T106" i="123"/>
  <c r="J495" i="112"/>
  <c r="J496" i="112"/>
  <c r="J529" i="112"/>
  <c r="J530" i="112"/>
  <c r="J531" i="112"/>
  <c r="J532" i="112"/>
  <c r="J596" i="112"/>
  <c r="S105" i="105"/>
  <c r="S106" i="123"/>
  <c r="I495" i="112"/>
  <c r="I496" i="112"/>
  <c r="I529" i="112"/>
  <c r="I530" i="112"/>
  <c r="I531" i="112"/>
  <c r="I532" i="112"/>
  <c r="I596" i="112"/>
  <c r="R105" i="105"/>
  <c r="R106" i="123"/>
  <c r="H495" i="112"/>
  <c r="H496" i="112"/>
  <c r="H529" i="112"/>
  <c r="H530" i="112"/>
  <c r="H531" i="112"/>
  <c r="H532" i="112"/>
  <c r="H596" i="112"/>
  <c r="Q105" i="105"/>
  <c r="Q106" i="123"/>
  <c r="G495" i="112"/>
  <c r="G496" i="112"/>
  <c r="G529" i="112"/>
  <c r="G530" i="112"/>
  <c r="G531" i="112"/>
  <c r="G532" i="112"/>
  <c r="G596" i="112"/>
  <c r="P105" i="105"/>
  <c r="P106" i="123"/>
  <c r="F495" i="112"/>
  <c r="F496" i="112"/>
  <c r="F529" i="112"/>
  <c r="F530" i="112"/>
  <c r="F531" i="112"/>
  <c r="F532" i="112"/>
  <c r="F596" i="112"/>
  <c r="O105" i="105"/>
  <c r="O106" i="123"/>
  <c r="W104" i="105"/>
  <c r="W105" i="123"/>
  <c r="V104" i="105"/>
  <c r="V105" i="123"/>
  <c r="U104" i="105"/>
  <c r="U105" i="123"/>
  <c r="T104" i="105"/>
  <c r="T105" i="123"/>
  <c r="S104" i="105"/>
  <c r="S105" i="123"/>
  <c r="R104" i="105"/>
  <c r="R105" i="123"/>
  <c r="Q104" i="105"/>
  <c r="Q105" i="123"/>
  <c r="P104" i="105"/>
  <c r="P105" i="123"/>
  <c r="O104" i="105"/>
  <c r="O105" i="123"/>
  <c r="W103" i="105"/>
  <c r="W104" i="123"/>
  <c r="V103" i="105"/>
  <c r="V104" i="123"/>
  <c r="U103" i="105"/>
  <c r="U104" i="123"/>
  <c r="T103" i="105"/>
  <c r="T104" i="123"/>
  <c r="S103" i="105"/>
  <c r="S104" i="123"/>
  <c r="R103" i="105"/>
  <c r="R104" i="123"/>
  <c r="Q103" i="105"/>
  <c r="Q104" i="123"/>
  <c r="P103" i="105"/>
  <c r="P104" i="123"/>
  <c r="O103" i="105"/>
  <c r="O104" i="123"/>
  <c r="W102" i="123"/>
  <c r="V102" i="123"/>
  <c r="U102" i="123"/>
  <c r="T102" i="123"/>
  <c r="S102" i="123"/>
  <c r="R102" i="123"/>
  <c r="Q102" i="123"/>
  <c r="P102" i="123"/>
  <c r="O102" i="123"/>
  <c r="N80" i="139"/>
  <c r="N139" i="139"/>
  <c r="N201" i="139"/>
  <c r="W94" i="105"/>
  <c r="W94" i="123"/>
  <c r="F80" i="139"/>
  <c r="E80" i="139"/>
  <c r="G80" i="139"/>
  <c r="H80" i="139"/>
  <c r="I80" i="139"/>
  <c r="J80" i="139"/>
  <c r="K80" i="139"/>
  <c r="L80" i="139"/>
  <c r="M80" i="139"/>
  <c r="M139" i="139"/>
  <c r="M201" i="139"/>
  <c r="V94" i="105"/>
  <c r="V94" i="123"/>
  <c r="L139" i="139"/>
  <c r="L201" i="139"/>
  <c r="U94" i="105"/>
  <c r="U94" i="123"/>
  <c r="K139" i="139"/>
  <c r="K201" i="139"/>
  <c r="T94" i="105"/>
  <c r="T94" i="123"/>
  <c r="J139" i="139"/>
  <c r="J201" i="139"/>
  <c r="S94" i="105"/>
  <c r="S94" i="123"/>
  <c r="I139" i="139"/>
  <c r="I201" i="139"/>
  <c r="R94" i="105"/>
  <c r="R94" i="123"/>
  <c r="H139" i="139"/>
  <c r="H201" i="139"/>
  <c r="Q94" i="105"/>
  <c r="Q94" i="123"/>
  <c r="G139" i="139"/>
  <c r="G201" i="139"/>
  <c r="P94" i="105"/>
  <c r="P94" i="123"/>
  <c r="F139" i="139"/>
  <c r="F201" i="139"/>
  <c r="O94" i="105"/>
  <c r="O94" i="123"/>
  <c r="N81" i="157"/>
  <c r="N144" i="157"/>
  <c r="N209" i="157"/>
  <c r="W93" i="105"/>
  <c r="W93" i="123"/>
  <c r="F81" i="157"/>
  <c r="E81" i="157"/>
  <c r="G81" i="157"/>
  <c r="H81" i="157"/>
  <c r="I81" i="157"/>
  <c r="J81" i="157"/>
  <c r="K81" i="157"/>
  <c r="L81" i="157"/>
  <c r="M81" i="157"/>
  <c r="M144" i="157"/>
  <c r="M209" i="157"/>
  <c r="V93" i="105"/>
  <c r="V93" i="123"/>
  <c r="L144" i="157"/>
  <c r="L209" i="157"/>
  <c r="U93" i="105"/>
  <c r="U93" i="123"/>
  <c r="K144" i="157"/>
  <c r="K209" i="157"/>
  <c r="T93" i="105"/>
  <c r="T93" i="123"/>
  <c r="J144" i="157"/>
  <c r="J209" i="157"/>
  <c r="S93" i="105"/>
  <c r="S93" i="123"/>
  <c r="I144" i="157"/>
  <c r="I209" i="157"/>
  <c r="R93" i="105"/>
  <c r="R93" i="123"/>
  <c r="H144" i="157"/>
  <c r="H209" i="157"/>
  <c r="Q93" i="105"/>
  <c r="Q93" i="123"/>
  <c r="G144" i="157"/>
  <c r="G209" i="157"/>
  <c r="P93" i="105"/>
  <c r="P93" i="123"/>
  <c r="F144" i="157"/>
  <c r="F209" i="157"/>
  <c r="O93" i="105"/>
  <c r="O93" i="123"/>
  <c r="N83" i="140"/>
  <c r="N147" i="140"/>
  <c r="N208" i="140"/>
  <c r="W92" i="105"/>
  <c r="W92" i="123"/>
  <c r="F83" i="140"/>
  <c r="E83" i="140"/>
  <c r="G83" i="140"/>
  <c r="H83" i="140"/>
  <c r="I83" i="140"/>
  <c r="J83" i="140"/>
  <c r="K83" i="140"/>
  <c r="L83" i="140"/>
  <c r="M83" i="140"/>
  <c r="M147" i="140"/>
  <c r="M208" i="140"/>
  <c r="V92" i="105"/>
  <c r="V92" i="123"/>
  <c r="L147" i="140"/>
  <c r="L208" i="140"/>
  <c r="U92" i="105"/>
  <c r="U92" i="123"/>
  <c r="K147" i="140"/>
  <c r="K208" i="140"/>
  <c r="T92" i="105"/>
  <c r="T92" i="123"/>
  <c r="J147" i="140"/>
  <c r="J208" i="140"/>
  <c r="S92" i="105"/>
  <c r="S92" i="123"/>
  <c r="I147" i="140"/>
  <c r="I208" i="140"/>
  <c r="R92" i="105"/>
  <c r="R92" i="123"/>
  <c r="H147" i="140"/>
  <c r="H208" i="140"/>
  <c r="Q92" i="105"/>
  <c r="Q92" i="123"/>
  <c r="G147" i="140"/>
  <c r="G208" i="140"/>
  <c r="P92" i="105"/>
  <c r="P92" i="123"/>
  <c r="F147" i="140"/>
  <c r="F208" i="140"/>
  <c r="O92" i="105"/>
  <c r="O92" i="123"/>
  <c r="W86" i="105"/>
  <c r="W86" i="123"/>
  <c r="V86" i="105"/>
  <c r="V86" i="123"/>
  <c r="U86" i="105"/>
  <c r="U86" i="123"/>
  <c r="T86" i="105"/>
  <c r="T86" i="123"/>
  <c r="S86" i="105"/>
  <c r="S86" i="123"/>
  <c r="R86" i="105"/>
  <c r="R86" i="123"/>
  <c r="Q86" i="105"/>
  <c r="Q86" i="123"/>
  <c r="P86" i="105"/>
  <c r="P86" i="123"/>
  <c r="O86" i="105"/>
  <c r="O86" i="123"/>
  <c r="W85" i="105"/>
  <c r="W85" i="123"/>
  <c r="V85" i="105"/>
  <c r="V85" i="123"/>
  <c r="U85" i="105"/>
  <c r="U85" i="123"/>
  <c r="T85" i="105"/>
  <c r="T85" i="123"/>
  <c r="S85" i="105"/>
  <c r="S85" i="123"/>
  <c r="R85" i="105"/>
  <c r="R85" i="123"/>
  <c r="Q85" i="105"/>
  <c r="Q85" i="123"/>
  <c r="P85" i="105"/>
  <c r="P85" i="123"/>
  <c r="O85" i="105"/>
  <c r="O85" i="123"/>
  <c r="W84" i="105"/>
  <c r="W84" i="123"/>
  <c r="V84" i="105"/>
  <c r="V84" i="123"/>
  <c r="U84" i="105"/>
  <c r="U84" i="123"/>
  <c r="T84" i="105"/>
  <c r="T84" i="123"/>
  <c r="S84" i="105"/>
  <c r="S84" i="123"/>
  <c r="R84" i="105"/>
  <c r="R84" i="123"/>
  <c r="Q84" i="105"/>
  <c r="Q84" i="123"/>
  <c r="P84" i="105"/>
  <c r="P84" i="123"/>
  <c r="O84" i="105"/>
  <c r="O84" i="123"/>
  <c r="W82" i="105"/>
  <c r="W82" i="123"/>
  <c r="V82" i="105"/>
  <c r="V82" i="123"/>
  <c r="U82" i="105"/>
  <c r="U82" i="123"/>
  <c r="T82" i="105"/>
  <c r="T82" i="123"/>
  <c r="S82" i="105"/>
  <c r="S82" i="123"/>
  <c r="R82" i="105"/>
  <c r="R82" i="123"/>
  <c r="Q82" i="105"/>
  <c r="Q82" i="123"/>
  <c r="P82" i="105"/>
  <c r="P82" i="123"/>
  <c r="O82" i="105"/>
  <c r="O82" i="123"/>
  <c r="W81" i="105"/>
  <c r="W81" i="123"/>
  <c r="V81" i="105"/>
  <c r="V81" i="123"/>
  <c r="U81" i="105"/>
  <c r="U81" i="123"/>
  <c r="T81" i="105"/>
  <c r="T81" i="123"/>
  <c r="S81" i="105"/>
  <c r="S81" i="123"/>
  <c r="R81" i="105"/>
  <c r="R81" i="123"/>
  <c r="Q81" i="105"/>
  <c r="Q81" i="123"/>
  <c r="P81" i="105"/>
  <c r="P81" i="123"/>
  <c r="O81" i="105"/>
  <c r="O81" i="123"/>
  <c r="W80" i="105"/>
  <c r="W80" i="123"/>
  <c r="V80" i="105"/>
  <c r="V80" i="123"/>
  <c r="U80" i="105"/>
  <c r="U80" i="123"/>
  <c r="T80" i="105"/>
  <c r="T80" i="123"/>
  <c r="S80" i="105"/>
  <c r="S80" i="123"/>
  <c r="R80" i="105"/>
  <c r="R80" i="123"/>
  <c r="Q80" i="105"/>
  <c r="Q80" i="123"/>
  <c r="P80" i="105"/>
  <c r="P80" i="123"/>
  <c r="O80" i="105"/>
  <c r="O80" i="123"/>
  <c r="N85" i="46"/>
  <c r="N86" i="46"/>
  <c r="N158" i="46"/>
  <c r="N210" i="46"/>
  <c r="W79" i="105"/>
  <c r="W79" i="123"/>
  <c r="F86" i="46"/>
  <c r="E86" i="46"/>
  <c r="G86" i="46"/>
  <c r="H86" i="46"/>
  <c r="I86" i="46"/>
  <c r="J86" i="46"/>
  <c r="K86" i="46"/>
  <c r="L86" i="46"/>
  <c r="M86" i="46"/>
  <c r="M158" i="46"/>
  <c r="M210" i="46"/>
  <c r="V79" i="105"/>
  <c r="V79" i="123"/>
  <c r="L158" i="46"/>
  <c r="L210" i="46"/>
  <c r="U79" i="105"/>
  <c r="U79" i="123"/>
  <c r="K158" i="46"/>
  <c r="K210" i="46"/>
  <c r="T79" i="105"/>
  <c r="T79" i="123"/>
  <c r="J158" i="46"/>
  <c r="J210" i="46"/>
  <c r="S79" i="105"/>
  <c r="S79" i="123"/>
  <c r="I158" i="46"/>
  <c r="I210" i="46"/>
  <c r="R79" i="105"/>
  <c r="R79" i="123"/>
  <c r="H158" i="46"/>
  <c r="H210" i="46"/>
  <c r="Q79" i="105"/>
  <c r="Q79" i="123"/>
  <c r="G158" i="46"/>
  <c r="G210" i="46"/>
  <c r="P79" i="105"/>
  <c r="P79" i="123"/>
  <c r="F158" i="46"/>
  <c r="F210" i="46"/>
  <c r="O79" i="105"/>
  <c r="O79" i="123"/>
  <c r="N245" i="41"/>
  <c r="N402" i="41"/>
  <c r="N246" i="41"/>
  <c r="N403" i="41"/>
  <c r="N247" i="41"/>
  <c r="N404" i="41"/>
  <c r="N248" i="41"/>
  <c r="N405" i="41"/>
  <c r="N423" i="41"/>
  <c r="N531" i="41"/>
  <c r="W78" i="105"/>
  <c r="W78" i="123"/>
  <c r="F245" i="41"/>
  <c r="E245" i="41"/>
  <c r="G245" i="41"/>
  <c r="H245" i="41"/>
  <c r="I245" i="41"/>
  <c r="J245" i="41"/>
  <c r="K245" i="41"/>
  <c r="L245" i="41"/>
  <c r="M245" i="41"/>
  <c r="M402" i="41"/>
  <c r="F246" i="41"/>
  <c r="E246" i="41"/>
  <c r="G246" i="41"/>
  <c r="H246" i="41"/>
  <c r="I246" i="41"/>
  <c r="J246" i="41"/>
  <c r="K246" i="41"/>
  <c r="L246" i="41"/>
  <c r="M246" i="41"/>
  <c r="M403" i="41"/>
  <c r="F247" i="41"/>
  <c r="E247" i="41"/>
  <c r="G247" i="41"/>
  <c r="H247" i="41"/>
  <c r="I247" i="41"/>
  <c r="J247" i="41"/>
  <c r="K247" i="41"/>
  <c r="L247" i="41"/>
  <c r="M247" i="41"/>
  <c r="M404" i="41"/>
  <c r="F248" i="41"/>
  <c r="E248" i="41"/>
  <c r="G248" i="41"/>
  <c r="H248" i="41"/>
  <c r="I248" i="41"/>
  <c r="J248" i="41"/>
  <c r="K248" i="41"/>
  <c r="L248" i="41"/>
  <c r="M248" i="41"/>
  <c r="M405" i="41"/>
  <c r="M423" i="41"/>
  <c r="M531" i="41"/>
  <c r="V78" i="105"/>
  <c r="V78" i="123"/>
  <c r="L402" i="41"/>
  <c r="L403" i="41"/>
  <c r="L404" i="41"/>
  <c r="L405" i="41"/>
  <c r="L423" i="41"/>
  <c r="L531" i="41"/>
  <c r="U78" i="105"/>
  <c r="U78" i="123"/>
  <c r="K402" i="41"/>
  <c r="K403" i="41"/>
  <c r="K404" i="41"/>
  <c r="K405" i="41"/>
  <c r="K423" i="41"/>
  <c r="K531" i="41"/>
  <c r="T78" i="105"/>
  <c r="T78" i="123"/>
  <c r="J402" i="41"/>
  <c r="J403" i="41"/>
  <c r="J404" i="41"/>
  <c r="J405" i="41"/>
  <c r="J423" i="41"/>
  <c r="J531" i="41"/>
  <c r="S78" i="105"/>
  <c r="S78" i="123"/>
  <c r="I402" i="41"/>
  <c r="I403" i="41"/>
  <c r="I404" i="41"/>
  <c r="I405" i="41"/>
  <c r="I423" i="41"/>
  <c r="I531" i="41"/>
  <c r="R78" i="105"/>
  <c r="R78" i="123"/>
  <c r="H402" i="41"/>
  <c r="H403" i="41"/>
  <c r="H404" i="41"/>
  <c r="H405" i="41"/>
  <c r="H423" i="41"/>
  <c r="H531" i="41"/>
  <c r="Q78" i="105"/>
  <c r="Q78" i="123"/>
  <c r="G402" i="41"/>
  <c r="G403" i="41"/>
  <c r="G404" i="41"/>
  <c r="G405" i="41"/>
  <c r="G423" i="41"/>
  <c r="G531" i="41"/>
  <c r="P78" i="105"/>
  <c r="P78" i="123"/>
  <c r="F402" i="41"/>
  <c r="F403" i="41"/>
  <c r="F404" i="41"/>
  <c r="F405" i="41"/>
  <c r="F423" i="41"/>
  <c r="F531" i="41"/>
  <c r="O78" i="105"/>
  <c r="O78" i="123"/>
  <c r="N733" i="40"/>
  <c r="N981" i="40"/>
  <c r="W77" i="105"/>
  <c r="W77" i="123"/>
  <c r="E475" i="40"/>
  <c r="G475" i="40"/>
  <c r="H475" i="40"/>
  <c r="I475" i="40"/>
  <c r="J475" i="40"/>
  <c r="K475" i="40"/>
  <c r="L475" i="40"/>
  <c r="M475" i="40"/>
  <c r="M733" i="40"/>
  <c r="M981" i="40"/>
  <c r="V77" i="105"/>
  <c r="V77" i="123"/>
  <c r="L733" i="40"/>
  <c r="L981" i="40"/>
  <c r="U77" i="105"/>
  <c r="U77" i="123"/>
  <c r="K733" i="40"/>
  <c r="K981" i="40"/>
  <c r="T77" i="105"/>
  <c r="T77" i="123"/>
  <c r="J733" i="40"/>
  <c r="J981" i="40"/>
  <c r="S77" i="105"/>
  <c r="S77" i="123"/>
  <c r="I733" i="40"/>
  <c r="I981" i="40"/>
  <c r="R77" i="105"/>
  <c r="R77" i="123"/>
  <c r="H733" i="40"/>
  <c r="H981" i="40"/>
  <c r="Q77" i="105"/>
  <c r="Q77" i="123"/>
  <c r="G733" i="40"/>
  <c r="G981" i="40"/>
  <c r="P77" i="105"/>
  <c r="P77" i="123"/>
  <c r="F733" i="40"/>
  <c r="F981" i="40"/>
  <c r="O77" i="105"/>
  <c r="O77" i="123"/>
  <c r="N729" i="40"/>
  <c r="N730" i="40"/>
  <c r="N971" i="40"/>
  <c r="W76" i="105"/>
  <c r="W76" i="123"/>
  <c r="E471" i="40"/>
  <c r="G471" i="40"/>
  <c r="H471" i="40"/>
  <c r="I471" i="40"/>
  <c r="J471" i="40"/>
  <c r="K471" i="40"/>
  <c r="L471" i="40"/>
  <c r="M471" i="40"/>
  <c r="M729" i="40"/>
  <c r="E472" i="40"/>
  <c r="G472" i="40"/>
  <c r="H472" i="40"/>
  <c r="I472" i="40"/>
  <c r="J472" i="40"/>
  <c r="K472" i="40"/>
  <c r="L472" i="40"/>
  <c r="M472" i="40"/>
  <c r="M730" i="40"/>
  <c r="M971" i="40"/>
  <c r="V76" i="105"/>
  <c r="V76" i="123"/>
  <c r="L729" i="40"/>
  <c r="L730" i="40"/>
  <c r="L971" i="40"/>
  <c r="U76" i="105"/>
  <c r="U76" i="123"/>
  <c r="K729" i="40"/>
  <c r="K730" i="40"/>
  <c r="K971" i="40"/>
  <c r="T76" i="105"/>
  <c r="T76" i="123"/>
  <c r="J729" i="40"/>
  <c r="J730" i="40"/>
  <c r="J971" i="40"/>
  <c r="S76" i="105"/>
  <c r="S76" i="123"/>
  <c r="I729" i="40"/>
  <c r="I730" i="40"/>
  <c r="I971" i="40"/>
  <c r="R76" i="105"/>
  <c r="R76" i="123"/>
  <c r="H729" i="40"/>
  <c r="H730" i="40"/>
  <c r="H971" i="40"/>
  <c r="Q76" i="105"/>
  <c r="Q76" i="123"/>
  <c r="G729" i="40"/>
  <c r="G730" i="40"/>
  <c r="G971" i="40"/>
  <c r="P76" i="105"/>
  <c r="P76" i="123"/>
  <c r="F729" i="40"/>
  <c r="F730" i="40"/>
  <c r="F971" i="40"/>
  <c r="O76" i="105"/>
  <c r="O76" i="123"/>
  <c r="N720" i="40"/>
  <c r="N961" i="40"/>
  <c r="W75" i="105"/>
  <c r="W75" i="123"/>
  <c r="F462" i="40"/>
  <c r="E462" i="40"/>
  <c r="G462" i="40"/>
  <c r="H462" i="40"/>
  <c r="I462" i="40"/>
  <c r="J462" i="40"/>
  <c r="K462" i="40"/>
  <c r="L462" i="40"/>
  <c r="M462" i="40"/>
  <c r="M720" i="40"/>
  <c r="M961" i="40"/>
  <c r="V75" i="105"/>
  <c r="V75" i="123"/>
  <c r="L720" i="40"/>
  <c r="L961" i="40"/>
  <c r="U75" i="105"/>
  <c r="U75" i="123"/>
  <c r="K720" i="40"/>
  <c r="K961" i="40"/>
  <c r="T75" i="105"/>
  <c r="T75" i="123"/>
  <c r="J720" i="40"/>
  <c r="J961" i="40"/>
  <c r="S75" i="105"/>
  <c r="S75" i="123"/>
  <c r="I720" i="40"/>
  <c r="I961" i="40"/>
  <c r="R75" i="105"/>
  <c r="R75" i="123"/>
  <c r="H720" i="40"/>
  <c r="H961" i="40"/>
  <c r="Q75" i="105"/>
  <c r="Q75" i="123"/>
  <c r="G720" i="40"/>
  <c r="G961" i="40"/>
  <c r="P75" i="105"/>
  <c r="P75" i="123"/>
  <c r="F720" i="40"/>
  <c r="F961" i="40"/>
  <c r="O75" i="105"/>
  <c r="O75" i="123"/>
  <c r="W74" i="123"/>
  <c r="V74" i="123"/>
  <c r="U74" i="123"/>
  <c r="T74" i="123"/>
  <c r="S74" i="123"/>
  <c r="R74" i="123"/>
  <c r="Q74" i="123"/>
  <c r="P74" i="123"/>
  <c r="O74" i="123"/>
  <c r="N723" i="40"/>
  <c r="N727" i="40"/>
  <c r="N941" i="40"/>
  <c r="W73" i="105"/>
  <c r="W73" i="123"/>
  <c r="E465" i="40"/>
  <c r="G465" i="40"/>
  <c r="H465" i="40"/>
  <c r="I465" i="40"/>
  <c r="J465" i="40"/>
  <c r="K465" i="40"/>
  <c r="L465" i="40"/>
  <c r="M465" i="40"/>
  <c r="M723" i="40"/>
  <c r="E469" i="40"/>
  <c r="G469" i="40"/>
  <c r="H469" i="40"/>
  <c r="I469" i="40"/>
  <c r="J469" i="40"/>
  <c r="K469" i="40"/>
  <c r="L469" i="40"/>
  <c r="M469" i="40"/>
  <c r="M727" i="40"/>
  <c r="M941" i="40"/>
  <c r="V73" i="105"/>
  <c r="V73" i="123"/>
  <c r="L723" i="40"/>
  <c r="L727" i="40"/>
  <c r="L941" i="40"/>
  <c r="U73" i="105"/>
  <c r="U73" i="123"/>
  <c r="K723" i="40"/>
  <c r="K727" i="40"/>
  <c r="K941" i="40"/>
  <c r="T73" i="105"/>
  <c r="T73" i="123"/>
  <c r="J723" i="40"/>
  <c r="J727" i="40"/>
  <c r="J941" i="40"/>
  <c r="S73" i="105"/>
  <c r="S73" i="123"/>
  <c r="I723" i="40"/>
  <c r="I727" i="40"/>
  <c r="I941" i="40"/>
  <c r="R73" i="105"/>
  <c r="R73" i="123"/>
  <c r="H723" i="40"/>
  <c r="H727" i="40"/>
  <c r="H941" i="40"/>
  <c r="Q73" i="105"/>
  <c r="Q73" i="123"/>
  <c r="G723" i="40"/>
  <c r="G727" i="40"/>
  <c r="G941" i="40"/>
  <c r="P73" i="105"/>
  <c r="P73" i="123"/>
  <c r="F941" i="40"/>
  <c r="O73" i="105"/>
  <c r="O73" i="123"/>
  <c r="N722" i="40"/>
  <c r="N726" i="40"/>
  <c r="N931" i="40"/>
  <c r="W72" i="105"/>
  <c r="W72" i="123"/>
  <c r="F464" i="40"/>
  <c r="E464" i="40"/>
  <c r="G464" i="40"/>
  <c r="H464" i="40"/>
  <c r="I464" i="40"/>
  <c r="J464" i="40"/>
  <c r="K464" i="40"/>
  <c r="L464" i="40"/>
  <c r="M464" i="40"/>
  <c r="M722" i="40"/>
  <c r="F468" i="40"/>
  <c r="E468" i="40"/>
  <c r="G468" i="40"/>
  <c r="H468" i="40"/>
  <c r="I468" i="40"/>
  <c r="J468" i="40"/>
  <c r="K468" i="40"/>
  <c r="L468" i="40"/>
  <c r="M468" i="40"/>
  <c r="M726" i="40"/>
  <c r="M931" i="40"/>
  <c r="V72" i="105"/>
  <c r="V72" i="123"/>
  <c r="L722" i="40"/>
  <c r="L726" i="40"/>
  <c r="L931" i="40"/>
  <c r="U72" i="105"/>
  <c r="U72" i="123"/>
  <c r="K722" i="40"/>
  <c r="K726" i="40"/>
  <c r="K931" i="40"/>
  <c r="T72" i="105"/>
  <c r="T72" i="123"/>
  <c r="J722" i="40"/>
  <c r="J726" i="40"/>
  <c r="J931" i="40"/>
  <c r="S72" i="105"/>
  <c r="S72" i="123"/>
  <c r="I722" i="40"/>
  <c r="I726" i="40"/>
  <c r="I931" i="40"/>
  <c r="R72" i="105"/>
  <c r="R72" i="123"/>
  <c r="H722" i="40"/>
  <c r="H726" i="40"/>
  <c r="H931" i="40"/>
  <c r="Q72" i="105"/>
  <c r="Q72" i="123"/>
  <c r="G722" i="40"/>
  <c r="G726" i="40"/>
  <c r="G931" i="40"/>
  <c r="P72" i="105"/>
  <c r="P72" i="123"/>
  <c r="F722" i="40"/>
  <c r="F726" i="40"/>
  <c r="F931" i="40"/>
  <c r="O72" i="105"/>
  <c r="O72" i="123"/>
  <c r="N725" i="40"/>
  <c r="N721" i="40"/>
  <c r="N921" i="40"/>
  <c r="W71" i="105"/>
  <c r="W71" i="123"/>
  <c r="F467" i="40"/>
  <c r="E467" i="40"/>
  <c r="G467" i="40"/>
  <c r="H467" i="40"/>
  <c r="I467" i="40"/>
  <c r="J467" i="40"/>
  <c r="K467" i="40"/>
  <c r="L467" i="40"/>
  <c r="M467" i="40"/>
  <c r="M725" i="40"/>
  <c r="F463" i="40"/>
  <c r="E463" i="40"/>
  <c r="G463" i="40"/>
  <c r="H463" i="40"/>
  <c r="I463" i="40"/>
  <c r="J463" i="40"/>
  <c r="K463" i="40"/>
  <c r="L463" i="40"/>
  <c r="M463" i="40"/>
  <c r="M721" i="40"/>
  <c r="M921" i="40"/>
  <c r="V71" i="105"/>
  <c r="V71" i="123"/>
  <c r="L725" i="40"/>
  <c r="L721" i="40"/>
  <c r="L921" i="40"/>
  <c r="U71" i="105"/>
  <c r="U71" i="123"/>
  <c r="K725" i="40"/>
  <c r="K721" i="40"/>
  <c r="K921" i="40"/>
  <c r="T71" i="105"/>
  <c r="T71" i="123"/>
  <c r="J725" i="40"/>
  <c r="J721" i="40"/>
  <c r="J921" i="40"/>
  <c r="S71" i="105"/>
  <c r="S71" i="123"/>
  <c r="I725" i="40"/>
  <c r="I721" i="40"/>
  <c r="I921" i="40"/>
  <c r="R71" i="105"/>
  <c r="R71" i="123"/>
  <c r="H725" i="40"/>
  <c r="H721" i="40"/>
  <c r="H921" i="40"/>
  <c r="Q71" i="105"/>
  <c r="Q71" i="123"/>
  <c r="G725" i="40"/>
  <c r="G721" i="40"/>
  <c r="G921" i="40"/>
  <c r="P71" i="105"/>
  <c r="P71" i="123"/>
  <c r="F725" i="40"/>
  <c r="F721" i="40"/>
  <c r="F921" i="40"/>
  <c r="O71" i="105"/>
  <c r="O71" i="123"/>
  <c r="W69" i="105"/>
  <c r="W69" i="123"/>
  <c r="V69" i="105"/>
  <c r="V69" i="123"/>
  <c r="U69" i="105"/>
  <c r="U69" i="123"/>
  <c r="T69" i="105"/>
  <c r="T69" i="123"/>
  <c r="S69" i="105"/>
  <c r="S69" i="123"/>
  <c r="R69" i="105"/>
  <c r="R69" i="123"/>
  <c r="Q69" i="105"/>
  <c r="Q69" i="123"/>
  <c r="P69" i="105"/>
  <c r="P69" i="123"/>
  <c r="O69" i="105"/>
  <c r="O69" i="123"/>
  <c r="W68" i="105"/>
  <c r="W68" i="123"/>
  <c r="V68" i="105"/>
  <c r="V68" i="123"/>
  <c r="U68" i="105"/>
  <c r="U68" i="123"/>
  <c r="T68" i="105"/>
  <c r="T68" i="123"/>
  <c r="S68" i="105"/>
  <c r="S68" i="123"/>
  <c r="R68" i="105"/>
  <c r="R68" i="123"/>
  <c r="Q68" i="105"/>
  <c r="Q68" i="123"/>
  <c r="P68" i="105"/>
  <c r="P68" i="123"/>
  <c r="O68" i="105"/>
  <c r="O68" i="123"/>
  <c r="W67" i="105"/>
  <c r="W67" i="123"/>
  <c r="V67" i="105"/>
  <c r="V67" i="123"/>
  <c r="U67" i="105"/>
  <c r="U67" i="123"/>
  <c r="T67" i="105"/>
  <c r="T67" i="123"/>
  <c r="S67" i="105"/>
  <c r="S67" i="123"/>
  <c r="R67" i="105"/>
  <c r="R67" i="123"/>
  <c r="Q67" i="105"/>
  <c r="Q67" i="123"/>
  <c r="P67" i="105"/>
  <c r="P67" i="123"/>
  <c r="O67" i="105"/>
  <c r="O67" i="123"/>
  <c r="W66" i="105"/>
  <c r="W66" i="123"/>
  <c r="V66" i="105"/>
  <c r="V66" i="123"/>
  <c r="U66" i="105"/>
  <c r="U66" i="123"/>
  <c r="T66" i="105"/>
  <c r="T66" i="123"/>
  <c r="S66" i="105"/>
  <c r="S66" i="123"/>
  <c r="R66" i="105"/>
  <c r="R66" i="123"/>
  <c r="Q66" i="105"/>
  <c r="Q66" i="123"/>
  <c r="P66" i="105"/>
  <c r="P66" i="123"/>
  <c r="O66" i="105"/>
  <c r="O66" i="123"/>
  <c r="N41" i="30"/>
  <c r="N81" i="30"/>
  <c r="N55" i="30"/>
  <c r="N101" i="30"/>
  <c r="N137" i="30"/>
  <c r="W65" i="105"/>
  <c r="W65" i="123"/>
  <c r="W64" i="105"/>
  <c r="W64" i="123"/>
  <c r="V64" i="105"/>
  <c r="V64" i="123"/>
  <c r="U64" i="105"/>
  <c r="U64" i="123"/>
  <c r="T64" i="105"/>
  <c r="T64" i="123"/>
  <c r="S64" i="105"/>
  <c r="S64" i="123"/>
  <c r="R64" i="105"/>
  <c r="R64" i="123"/>
  <c r="Q64" i="105"/>
  <c r="Q64" i="123"/>
  <c r="P64" i="105"/>
  <c r="P64" i="123"/>
  <c r="O64" i="105"/>
  <c r="O64" i="123"/>
  <c r="W63" i="105"/>
  <c r="W63" i="123"/>
  <c r="V63" i="105"/>
  <c r="V63" i="123"/>
  <c r="U63" i="105"/>
  <c r="U63" i="123"/>
  <c r="T63" i="105"/>
  <c r="T63" i="123"/>
  <c r="S63" i="105"/>
  <c r="S63" i="123"/>
  <c r="R63" i="105"/>
  <c r="R63" i="123"/>
  <c r="Q63" i="105"/>
  <c r="Q63" i="123"/>
  <c r="P63" i="105"/>
  <c r="P63" i="123"/>
  <c r="O63" i="105"/>
  <c r="O63" i="123"/>
  <c r="O280" i="113"/>
  <c r="N498" i="113"/>
  <c r="O284" i="113"/>
  <c r="N500" i="113"/>
  <c r="O294" i="113"/>
  <c r="O282" i="113"/>
  <c r="N280" i="113"/>
  <c r="M498" i="113"/>
  <c r="N284" i="113"/>
  <c r="M500" i="113"/>
  <c r="G294" i="113"/>
  <c r="F294" i="113"/>
  <c r="H294" i="113"/>
  <c r="I294" i="113"/>
  <c r="J294" i="113"/>
  <c r="K294" i="113"/>
  <c r="L294" i="113"/>
  <c r="M294" i="113"/>
  <c r="N294" i="113"/>
  <c r="N282" i="113"/>
  <c r="M280" i="113"/>
  <c r="L498" i="113"/>
  <c r="M284" i="113"/>
  <c r="L500" i="113"/>
  <c r="M282" i="113"/>
  <c r="L280" i="113"/>
  <c r="K498" i="113"/>
  <c r="L284" i="113"/>
  <c r="K500" i="113"/>
  <c r="L282" i="113"/>
  <c r="K280" i="113"/>
  <c r="J498" i="113"/>
  <c r="K284" i="113"/>
  <c r="J500" i="113"/>
  <c r="K282" i="113"/>
  <c r="J280" i="113"/>
  <c r="I498" i="113"/>
  <c r="J284" i="113"/>
  <c r="I500" i="113"/>
  <c r="J282" i="113"/>
  <c r="I280" i="113"/>
  <c r="H498" i="113"/>
  <c r="I284" i="113"/>
  <c r="H500" i="113"/>
  <c r="I282" i="113"/>
  <c r="H280" i="113"/>
  <c r="G498" i="113"/>
  <c r="H284" i="113"/>
  <c r="G500" i="113"/>
  <c r="H282" i="113"/>
  <c r="G280" i="113"/>
  <c r="F498" i="113"/>
  <c r="G284" i="113"/>
  <c r="F500" i="113"/>
  <c r="G282" i="113"/>
  <c r="O293" i="113"/>
  <c r="O281" i="113"/>
  <c r="O286" i="113"/>
  <c r="N501" i="113"/>
  <c r="N502" i="113"/>
  <c r="O287" i="113"/>
  <c r="N503" i="113"/>
  <c r="O295" i="113"/>
  <c r="O283" i="113"/>
  <c r="N505" i="113"/>
  <c r="G293" i="113"/>
  <c r="F293" i="113"/>
  <c r="H293" i="113"/>
  <c r="I293" i="113"/>
  <c r="J293" i="113"/>
  <c r="K293" i="113"/>
  <c r="L293" i="113"/>
  <c r="M293" i="113"/>
  <c r="N293" i="113"/>
  <c r="N281" i="113"/>
  <c r="F298" i="113"/>
  <c r="H298" i="113"/>
  <c r="I298" i="113"/>
  <c r="J298" i="113"/>
  <c r="K298" i="113"/>
  <c r="L298" i="113"/>
  <c r="M298" i="113"/>
  <c r="N298" i="113"/>
  <c r="N286" i="113"/>
  <c r="M501" i="113"/>
  <c r="M502" i="113"/>
  <c r="F299" i="113"/>
  <c r="H299" i="113"/>
  <c r="I299" i="113"/>
  <c r="J299" i="113"/>
  <c r="K299" i="113"/>
  <c r="L299" i="113"/>
  <c r="M299" i="113"/>
  <c r="N299" i="113"/>
  <c r="F275" i="113"/>
  <c r="H275" i="113"/>
  <c r="I275" i="113"/>
  <c r="J275" i="113"/>
  <c r="K275" i="113"/>
  <c r="L275" i="113"/>
  <c r="M275" i="113"/>
  <c r="N275" i="113"/>
  <c r="N287" i="113"/>
  <c r="M503" i="113"/>
  <c r="G295" i="113"/>
  <c r="F295" i="113"/>
  <c r="H295" i="113"/>
  <c r="I295" i="113"/>
  <c r="J295" i="113"/>
  <c r="K295" i="113"/>
  <c r="L295" i="113"/>
  <c r="M295" i="113"/>
  <c r="N295" i="113"/>
  <c r="N283" i="113"/>
  <c r="M505" i="113"/>
  <c r="M281" i="113"/>
  <c r="M286" i="113"/>
  <c r="L501" i="113"/>
  <c r="L502" i="113"/>
  <c r="M287" i="113"/>
  <c r="L503" i="113"/>
  <c r="M283" i="113"/>
  <c r="L505" i="113"/>
  <c r="L281" i="113"/>
  <c r="L286" i="113"/>
  <c r="K501" i="113"/>
  <c r="K502" i="113"/>
  <c r="L287" i="113"/>
  <c r="K503" i="113"/>
  <c r="L283" i="113"/>
  <c r="K505" i="113"/>
  <c r="K281" i="113"/>
  <c r="K286" i="113"/>
  <c r="J501" i="113"/>
  <c r="J502" i="113"/>
  <c r="K287" i="113"/>
  <c r="J503" i="113"/>
  <c r="K283" i="113"/>
  <c r="J505" i="113"/>
  <c r="J281" i="113"/>
  <c r="J286" i="113"/>
  <c r="I501" i="113"/>
  <c r="I502" i="113"/>
  <c r="J287" i="113"/>
  <c r="I503" i="113"/>
  <c r="J283" i="113"/>
  <c r="I505" i="113"/>
  <c r="I281" i="113"/>
  <c r="I286" i="113"/>
  <c r="H501" i="113"/>
  <c r="H502" i="113"/>
  <c r="I287" i="113"/>
  <c r="H503" i="113"/>
  <c r="I283" i="113"/>
  <c r="H505" i="113"/>
  <c r="H281" i="113"/>
  <c r="H286" i="113"/>
  <c r="G501" i="113"/>
  <c r="G502" i="113"/>
  <c r="H287" i="113"/>
  <c r="G503" i="113"/>
  <c r="H283" i="113"/>
  <c r="G505" i="113"/>
  <c r="G281" i="113"/>
  <c r="G286" i="113"/>
  <c r="F501" i="113"/>
  <c r="F502" i="113"/>
  <c r="G287" i="113"/>
  <c r="F503" i="113"/>
  <c r="G283" i="113"/>
  <c r="F505" i="113"/>
  <c r="N511" i="112"/>
  <c r="O284" i="112"/>
  <c r="O269" i="112"/>
  <c r="N512" i="112"/>
  <c r="N513" i="112"/>
  <c r="O271" i="112"/>
  <c r="N514" i="112"/>
  <c r="O272" i="112"/>
  <c r="N516" i="112"/>
  <c r="N595" i="112"/>
  <c r="W60" i="105"/>
  <c r="W60" i="123"/>
  <c r="M511" i="112"/>
  <c r="G284" i="112"/>
  <c r="G269" i="112"/>
  <c r="F269" i="112"/>
  <c r="H269" i="112"/>
  <c r="I269" i="112"/>
  <c r="J269" i="112"/>
  <c r="K269" i="112"/>
  <c r="L269" i="112"/>
  <c r="M269" i="112"/>
  <c r="N269" i="112"/>
  <c r="M512" i="112"/>
  <c r="M513" i="112"/>
  <c r="G271" i="112"/>
  <c r="F271" i="112"/>
  <c r="H271" i="112"/>
  <c r="I271" i="112"/>
  <c r="J271" i="112"/>
  <c r="K271" i="112"/>
  <c r="L271" i="112"/>
  <c r="M271" i="112"/>
  <c r="N271" i="112"/>
  <c r="M514" i="112"/>
  <c r="G272" i="112"/>
  <c r="F272" i="112"/>
  <c r="H272" i="112"/>
  <c r="I272" i="112"/>
  <c r="J272" i="112"/>
  <c r="K272" i="112"/>
  <c r="L272" i="112"/>
  <c r="M272" i="112"/>
  <c r="N272" i="112"/>
  <c r="M516" i="112"/>
  <c r="M595" i="112"/>
  <c r="V60" i="105"/>
  <c r="V60" i="123"/>
  <c r="L511" i="112"/>
  <c r="L512" i="112"/>
  <c r="L513" i="112"/>
  <c r="L514" i="112"/>
  <c r="L516" i="112"/>
  <c r="L595" i="112"/>
  <c r="U60" i="105"/>
  <c r="U60" i="123"/>
  <c r="K511" i="112"/>
  <c r="K512" i="112"/>
  <c r="K513" i="112"/>
  <c r="K514" i="112"/>
  <c r="K516" i="112"/>
  <c r="K595" i="112"/>
  <c r="T60" i="105"/>
  <c r="T60" i="123"/>
  <c r="J511" i="112"/>
  <c r="J512" i="112"/>
  <c r="J513" i="112"/>
  <c r="J514" i="112"/>
  <c r="J516" i="112"/>
  <c r="J595" i="112"/>
  <c r="S60" i="105"/>
  <c r="S60" i="123"/>
  <c r="I511" i="112"/>
  <c r="I512" i="112"/>
  <c r="I513" i="112"/>
  <c r="I514" i="112"/>
  <c r="I516" i="112"/>
  <c r="I595" i="112"/>
  <c r="R60" i="105"/>
  <c r="R60" i="123"/>
  <c r="H511" i="112"/>
  <c r="H512" i="112"/>
  <c r="H513" i="112"/>
  <c r="H514" i="112"/>
  <c r="H516" i="112"/>
  <c r="H595" i="112"/>
  <c r="Q60" i="105"/>
  <c r="Q60" i="123"/>
  <c r="G511" i="112"/>
  <c r="G512" i="112"/>
  <c r="G513" i="112"/>
  <c r="G514" i="112"/>
  <c r="G516" i="112"/>
  <c r="G595" i="112"/>
  <c r="P60" i="105"/>
  <c r="P60" i="123"/>
  <c r="F511" i="112"/>
  <c r="F512" i="112"/>
  <c r="F513" i="112"/>
  <c r="F514" i="112"/>
  <c r="W59" i="105"/>
  <c r="W59" i="123"/>
  <c r="V59" i="105"/>
  <c r="V59" i="123"/>
  <c r="U59" i="105"/>
  <c r="U59" i="123"/>
  <c r="T59" i="105"/>
  <c r="T59" i="123"/>
  <c r="S59" i="105"/>
  <c r="S59" i="123"/>
  <c r="R59" i="105"/>
  <c r="R59" i="123"/>
  <c r="Q59" i="105"/>
  <c r="Q59" i="123"/>
  <c r="P59" i="105"/>
  <c r="P59" i="123"/>
  <c r="O59" i="105"/>
  <c r="O59" i="123"/>
  <c r="N144" i="139"/>
  <c r="N204" i="139"/>
  <c r="W49" i="105"/>
  <c r="W49" i="123"/>
  <c r="M144" i="139"/>
  <c r="M204" i="139"/>
  <c r="V49" i="105"/>
  <c r="V49" i="123"/>
  <c r="L144" i="139"/>
  <c r="L204" i="139"/>
  <c r="U49" i="105"/>
  <c r="U49" i="123"/>
  <c r="K144" i="139"/>
  <c r="K204" i="139"/>
  <c r="T49" i="105"/>
  <c r="T49" i="123"/>
  <c r="J144" i="139"/>
  <c r="J204" i="139"/>
  <c r="S49" i="105"/>
  <c r="S49" i="123"/>
  <c r="I144" i="139"/>
  <c r="I204" i="139"/>
  <c r="R49" i="105"/>
  <c r="R49" i="123"/>
  <c r="H144" i="139"/>
  <c r="H204" i="139"/>
  <c r="Q49" i="105"/>
  <c r="Q49" i="123"/>
  <c r="G144" i="139"/>
  <c r="G204" i="139"/>
  <c r="P49" i="105"/>
  <c r="P49" i="123"/>
  <c r="F144" i="139"/>
  <c r="F204" i="139"/>
  <c r="O49" i="105"/>
  <c r="O49" i="123"/>
  <c r="N82" i="157"/>
  <c r="N149" i="157"/>
  <c r="N212" i="157"/>
  <c r="W48" i="105"/>
  <c r="W48" i="123"/>
  <c r="F82" i="157"/>
  <c r="E82" i="157"/>
  <c r="G82" i="157"/>
  <c r="H82" i="157"/>
  <c r="I82" i="157"/>
  <c r="J82" i="157"/>
  <c r="K82" i="157"/>
  <c r="L82" i="157"/>
  <c r="M82" i="157"/>
  <c r="M149" i="157"/>
  <c r="M212" i="157"/>
  <c r="V48" i="105"/>
  <c r="V48" i="123"/>
  <c r="L149" i="157"/>
  <c r="L212" i="157"/>
  <c r="U48" i="105"/>
  <c r="U48" i="123"/>
  <c r="K149" i="157"/>
  <c r="K212" i="157"/>
  <c r="T48" i="105"/>
  <c r="T48" i="123"/>
  <c r="J149" i="157"/>
  <c r="J212" i="157"/>
  <c r="S48" i="105"/>
  <c r="S48" i="123"/>
  <c r="I149" i="157"/>
  <c r="I212" i="157"/>
  <c r="R48" i="105"/>
  <c r="R48" i="123"/>
  <c r="H149" i="157"/>
  <c r="H212" i="157"/>
  <c r="Q48" i="105"/>
  <c r="Q48" i="123"/>
  <c r="G149" i="157"/>
  <c r="G212" i="157"/>
  <c r="P48" i="105"/>
  <c r="P48" i="123"/>
  <c r="F149" i="157"/>
  <c r="F212" i="157"/>
  <c r="O48" i="105"/>
  <c r="O48" i="123"/>
  <c r="N84" i="140"/>
  <c r="N152" i="140"/>
  <c r="N211" i="140"/>
  <c r="W47" i="105"/>
  <c r="W47" i="123"/>
  <c r="F84" i="140"/>
  <c r="E84" i="140"/>
  <c r="G84" i="140"/>
  <c r="H84" i="140"/>
  <c r="I84" i="140"/>
  <c r="J84" i="140"/>
  <c r="K84" i="140"/>
  <c r="L84" i="140"/>
  <c r="M84" i="140"/>
  <c r="M152" i="140"/>
  <c r="M211" i="140"/>
  <c r="V47" i="105"/>
  <c r="V47" i="123"/>
  <c r="L152" i="140"/>
  <c r="L211" i="140"/>
  <c r="U47" i="105"/>
  <c r="U47" i="123"/>
  <c r="K152" i="140"/>
  <c r="K211" i="140"/>
  <c r="T47" i="105"/>
  <c r="T47" i="123"/>
  <c r="J152" i="140"/>
  <c r="J211" i="140"/>
  <c r="S47" i="105"/>
  <c r="S47" i="123"/>
  <c r="I152" i="140"/>
  <c r="I211" i="140"/>
  <c r="R47" i="105"/>
  <c r="R47" i="123"/>
  <c r="H152" i="140"/>
  <c r="H211" i="140"/>
  <c r="Q47" i="105"/>
  <c r="Q47" i="123"/>
  <c r="G152" i="140"/>
  <c r="G211" i="140"/>
  <c r="P47" i="105"/>
  <c r="P47" i="123"/>
  <c r="F152" i="140"/>
  <c r="F211" i="140"/>
  <c r="O47" i="105"/>
  <c r="O47" i="123"/>
  <c r="AG128" i="105"/>
  <c r="AG129" i="123"/>
  <c r="AF128" i="105"/>
  <c r="AF129" i="123"/>
  <c r="AE128" i="105"/>
  <c r="AE129" i="123"/>
  <c r="AD128" i="105"/>
  <c r="AD129" i="123"/>
  <c r="AC128" i="105"/>
  <c r="AC129" i="123"/>
  <c r="AB128" i="105"/>
  <c r="AB129" i="123"/>
  <c r="AA128" i="105"/>
  <c r="AA129" i="123"/>
  <c r="Z128" i="105"/>
  <c r="Z129" i="123"/>
  <c r="Y128" i="105"/>
  <c r="Y129" i="123"/>
  <c r="N135" i="48"/>
  <c r="N191" i="48"/>
  <c r="N267" i="48"/>
  <c r="AG127" i="105"/>
  <c r="AG128" i="123"/>
  <c r="M135" i="48"/>
  <c r="M191" i="48"/>
  <c r="M267" i="48"/>
  <c r="AF127" i="105"/>
  <c r="AF128" i="123"/>
  <c r="L135" i="48"/>
  <c r="L191" i="48"/>
  <c r="L267" i="48"/>
  <c r="AE127" i="105"/>
  <c r="AE128" i="123"/>
  <c r="K135" i="48"/>
  <c r="K191" i="48"/>
  <c r="K267" i="48"/>
  <c r="AD127" i="105"/>
  <c r="AD128" i="123"/>
  <c r="J135" i="48"/>
  <c r="J191" i="48"/>
  <c r="J267" i="48"/>
  <c r="AC127" i="105"/>
  <c r="AC128" i="123"/>
  <c r="F135" i="48"/>
  <c r="E135" i="48"/>
  <c r="G135" i="48"/>
  <c r="H135" i="48"/>
  <c r="I135" i="48"/>
  <c r="I191" i="48"/>
  <c r="I267" i="48"/>
  <c r="AB127" i="105"/>
  <c r="AB128" i="123"/>
  <c r="H191" i="48"/>
  <c r="H267" i="48"/>
  <c r="AA127" i="105"/>
  <c r="AA128" i="123"/>
  <c r="G191" i="48"/>
  <c r="G267" i="48"/>
  <c r="Z127" i="105"/>
  <c r="Z128" i="123"/>
  <c r="F191" i="48"/>
  <c r="F267" i="48"/>
  <c r="Y127" i="105"/>
  <c r="Y128" i="123"/>
  <c r="N126" i="48"/>
  <c r="N190" i="48"/>
  <c r="N260" i="48"/>
  <c r="AG126" i="105"/>
  <c r="AG127" i="123"/>
  <c r="M126" i="48"/>
  <c r="M190" i="48"/>
  <c r="M260" i="48"/>
  <c r="AF126" i="105"/>
  <c r="AF127" i="123"/>
  <c r="L126" i="48"/>
  <c r="L190" i="48"/>
  <c r="L260" i="48"/>
  <c r="AE126" i="105"/>
  <c r="AE127" i="123"/>
  <c r="K126" i="48"/>
  <c r="K190" i="48"/>
  <c r="K260" i="48"/>
  <c r="AD126" i="105"/>
  <c r="AD127" i="123"/>
  <c r="J126" i="48"/>
  <c r="J190" i="48"/>
  <c r="J260" i="48"/>
  <c r="AC126" i="105"/>
  <c r="AC127" i="123"/>
  <c r="F126" i="48"/>
  <c r="E126" i="48"/>
  <c r="G126" i="48"/>
  <c r="H126" i="48"/>
  <c r="I126" i="48"/>
  <c r="I190" i="48"/>
  <c r="I260" i="48"/>
  <c r="AB126" i="105"/>
  <c r="AB127" i="123"/>
  <c r="H190" i="48"/>
  <c r="H260" i="48"/>
  <c r="AA126" i="105"/>
  <c r="AA127" i="123"/>
  <c r="G190" i="48"/>
  <c r="G260" i="48"/>
  <c r="Z126" i="105"/>
  <c r="Z127" i="123"/>
  <c r="F190" i="48"/>
  <c r="F260" i="48"/>
  <c r="Y126" i="105"/>
  <c r="Y127" i="123"/>
  <c r="N117" i="48"/>
  <c r="N189" i="48"/>
  <c r="N253" i="48"/>
  <c r="AG125" i="105"/>
  <c r="AG126" i="123"/>
  <c r="M117" i="48"/>
  <c r="M189" i="48"/>
  <c r="M253" i="48"/>
  <c r="AF125" i="105"/>
  <c r="AF126" i="123"/>
  <c r="L117" i="48"/>
  <c r="L189" i="48"/>
  <c r="L253" i="48"/>
  <c r="AE125" i="105"/>
  <c r="AE126" i="123"/>
  <c r="K117" i="48"/>
  <c r="K189" i="48"/>
  <c r="K253" i="48"/>
  <c r="AD125" i="105"/>
  <c r="AD126" i="123"/>
  <c r="J117" i="48"/>
  <c r="J189" i="48"/>
  <c r="J253" i="48"/>
  <c r="AC125" i="105"/>
  <c r="AC126" i="123"/>
  <c r="F117" i="48"/>
  <c r="E117" i="48"/>
  <c r="G117" i="48"/>
  <c r="H117" i="48"/>
  <c r="I117" i="48"/>
  <c r="I189" i="48"/>
  <c r="I253" i="48"/>
  <c r="AB125" i="105"/>
  <c r="AB126" i="123"/>
  <c r="H189" i="48"/>
  <c r="H253" i="48"/>
  <c r="AA125" i="105"/>
  <c r="AA126" i="123"/>
  <c r="G189" i="48"/>
  <c r="G253" i="48"/>
  <c r="Z125" i="105"/>
  <c r="Z126" i="123"/>
  <c r="F189" i="48"/>
  <c r="F253" i="48"/>
  <c r="Y125" i="105"/>
  <c r="Y126" i="123"/>
  <c r="AG124" i="105"/>
  <c r="AG125" i="123"/>
  <c r="AF124" i="105"/>
  <c r="AF125" i="123"/>
  <c r="AE124" i="105"/>
  <c r="AE125" i="123"/>
  <c r="AD124" i="105"/>
  <c r="AD125" i="123"/>
  <c r="AC124" i="105"/>
  <c r="AC125" i="123"/>
  <c r="AB124" i="105"/>
  <c r="AB125" i="123"/>
  <c r="AA124" i="105"/>
  <c r="AA125" i="123"/>
  <c r="Z124" i="105"/>
  <c r="Z125" i="123"/>
  <c r="Y124" i="105"/>
  <c r="Y125" i="123"/>
  <c r="AG123" i="105"/>
  <c r="AG124" i="123"/>
  <c r="AF123" i="105"/>
  <c r="AF124" i="123"/>
  <c r="AE123" i="105"/>
  <c r="AE124" i="123"/>
  <c r="AD123" i="105"/>
  <c r="AD124" i="123"/>
  <c r="AC123" i="105"/>
  <c r="AC124" i="123"/>
  <c r="AB123" i="105"/>
  <c r="AB124" i="123"/>
  <c r="AA123" i="105"/>
  <c r="AA124" i="123"/>
  <c r="Z123" i="105"/>
  <c r="Z124" i="123"/>
  <c r="Y123" i="105"/>
  <c r="Y124" i="123"/>
  <c r="AG122" i="105"/>
  <c r="AG123" i="123"/>
  <c r="AF122" i="105"/>
  <c r="AF123" i="123"/>
  <c r="AE122" i="105"/>
  <c r="AE123" i="123"/>
  <c r="AD122" i="105"/>
  <c r="AD123" i="123"/>
  <c r="AC122" i="105"/>
  <c r="AC123" i="123"/>
  <c r="AB122" i="105"/>
  <c r="AB123" i="123"/>
  <c r="AA122" i="105"/>
  <c r="AA123" i="123"/>
  <c r="Z122" i="105"/>
  <c r="Z123" i="123"/>
  <c r="Y122" i="105"/>
  <c r="Y123" i="123"/>
  <c r="AG121" i="105"/>
  <c r="AG122" i="123"/>
  <c r="AF121" i="105"/>
  <c r="AF122" i="123"/>
  <c r="AE121" i="105"/>
  <c r="AE122" i="123"/>
  <c r="AD121" i="105"/>
  <c r="AD122" i="123"/>
  <c r="AC121" i="105"/>
  <c r="AC122" i="123"/>
  <c r="AB121" i="105"/>
  <c r="AB122" i="123"/>
  <c r="AA121" i="105"/>
  <c r="AA122" i="123"/>
  <c r="Z121" i="105"/>
  <c r="Z122" i="123"/>
  <c r="Y121" i="105"/>
  <c r="Y122" i="123"/>
  <c r="AG120" i="105"/>
  <c r="AG121" i="123"/>
  <c r="AF120" i="105"/>
  <c r="AF121" i="123"/>
  <c r="AE120" i="105"/>
  <c r="AE121" i="123"/>
  <c r="AD120" i="105"/>
  <c r="AD121" i="123"/>
  <c r="AC120" i="105"/>
  <c r="AC121" i="123"/>
  <c r="AB120" i="105"/>
  <c r="AB121" i="123"/>
  <c r="AA120" i="105"/>
  <c r="AA121" i="123"/>
  <c r="Z120" i="105"/>
  <c r="Z121" i="123"/>
  <c r="Y120" i="105"/>
  <c r="Y121" i="123"/>
  <c r="AG119" i="105"/>
  <c r="AG120" i="123"/>
  <c r="AF119" i="105"/>
  <c r="AF120" i="123"/>
  <c r="AE119" i="105"/>
  <c r="AE120" i="123"/>
  <c r="AD119" i="105"/>
  <c r="AD120" i="123"/>
  <c r="AC119" i="105"/>
  <c r="AC120" i="123"/>
  <c r="AB119" i="105"/>
  <c r="AB120" i="123"/>
  <c r="AA119" i="105"/>
  <c r="AA120" i="123"/>
  <c r="Z119" i="105"/>
  <c r="Z120" i="123"/>
  <c r="Y119" i="105"/>
  <c r="Y120" i="123"/>
  <c r="AG119" i="123"/>
  <c r="AF119" i="123"/>
  <c r="AE119" i="123"/>
  <c r="AD119" i="123"/>
  <c r="AC119" i="123"/>
  <c r="AB119" i="123"/>
  <c r="AA119" i="123"/>
  <c r="Z119" i="123"/>
  <c r="Y119" i="123"/>
  <c r="AG117" i="105"/>
  <c r="AG118" i="123"/>
  <c r="AF117" i="105"/>
  <c r="AF118" i="123"/>
  <c r="AE117" i="105"/>
  <c r="AE118" i="123"/>
  <c r="AD117" i="105"/>
  <c r="AD118" i="123"/>
  <c r="AC117" i="105"/>
  <c r="AC118" i="123"/>
  <c r="AB117" i="105"/>
  <c r="AB118" i="123"/>
  <c r="AA117" i="105"/>
  <c r="AA118" i="123"/>
  <c r="Z117" i="105"/>
  <c r="Z118" i="123"/>
  <c r="Y117" i="105"/>
  <c r="Y118" i="123"/>
  <c r="AG116" i="105"/>
  <c r="AG117" i="123"/>
  <c r="AF116" i="105"/>
  <c r="AF117" i="123"/>
  <c r="AE116" i="105"/>
  <c r="AE117" i="123"/>
  <c r="AD116" i="105"/>
  <c r="AD117" i="123"/>
  <c r="AC116" i="105"/>
  <c r="AC117" i="123"/>
  <c r="AB116" i="105"/>
  <c r="AB117" i="123"/>
  <c r="AA116" i="105"/>
  <c r="AA117" i="123"/>
  <c r="Z116" i="105"/>
  <c r="Z117" i="123"/>
  <c r="Y116" i="105"/>
  <c r="Y117" i="123"/>
  <c r="AG115" i="105"/>
  <c r="AG116" i="123"/>
  <c r="AF115" i="105"/>
  <c r="AF116" i="123"/>
  <c r="AE115" i="105"/>
  <c r="AE116" i="123"/>
  <c r="AD115" i="105"/>
  <c r="AD116" i="123"/>
  <c r="AC115" i="105"/>
  <c r="AC116" i="123"/>
  <c r="AB115" i="105"/>
  <c r="AB116" i="123"/>
  <c r="AA115" i="105"/>
  <c r="AA116" i="123"/>
  <c r="Z115" i="105"/>
  <c r="Z116" i="123"/>
  <c r="Y115" i="105"/>
  <c r="Y116" i="123"/>
  <c r="AG114" i="105"/>
  <c r="AG115" i="123"/>
  <c r="AF114" i="105"/>
  <c r="AF115" i="123"/>
  <c r="AE114" i="105"/>
  <c r="AE115" i="123"/>
  <c r="AD114" i="105"/>
  <c r="AD115" i="123"/>
  <c r="AC114" i="105"/>
  <c r="AC115" i="123"/>
  <c r="AB114" i="105"/>
  <c r="AB115" i="123"/>
  <c r="AA114" i="105"/>
  <c r="AA115" i="123"/>
  <c r="Z114" i="105"/>
  <c r="Z115" i="123"/>
  <c r="Y114" i="105"/>
  <c r="Y115" i="123"/>
  <c r="AG113" i="105"/>
  <c r="AG114" i="123"/>
  <c r="AF113" i="105"/>
  <c r="AF114" i="123"/>
  <c r="AE113" i="105"/>
  <c r="AE114" i="123"/>
  <c r="AD113" i="105"/>
  <c r="AD114" i="123"/>
  <c r="AC113" i="105"/>
  <c r="AC114" i="123"/>
  <c r="AB113" i="105"/>
  <c r="AB114" i="123"/>
  <c r="AA113" i="105"/>
  <c r="AA114" i="123"/>
  <c r="Z113" i="105"/>
  <c r="Z114" i="123"/>
  <c r="Y113" i="105"/>
  <c r="Y114" i="123"/>
  <c r="AG112" i="105"/>
  <c r="AG113" i="123"/>
  <c r="AF112" i="105"/>
  <c r="AF113" i="123"/>
  <c r="AE112" i="105"/>
  <c r="AE113" i="123"/>
  <c r="AD112" i="105"/>
  <c r="AD113" i="123"/>
  <c r="AC112" i="105"/>
  <c r="AC113" i="123"/>
  <c r="AB112" i="105"/>
  <c r="AB113" i="123"/>
  <c r="AA112" i="105"/>
  <c r="AA113" i="123"/>
  <c r="Z112" i="105"/>
  <c r="Z113" i="123"/>
  <c r="Y112" i="105"/>
  <c r="Y113" i="123"/>
  <c r="AG111" i="105"/>
  <c r="AG112" i="123"/>
  <c r="AF111" i="105"/>
  <c r="AF112" i="123"/>
  <c r="AE111" i="105"/>
  <c r="AE112" i="123"/>
  <c r="AD111" i="105"/>
  <c r="AD112" i="123"/>
  <c r="AC111" i="105"/>
  <c r="AC112" i="123"/>
  <c r="AB111" i="105"/>
  <c r="AB112" i="123"/>
  <c r="AA111" i="105"/>
  <c r="AA112" i="123"/>
  <c r="Z111" i="105"/>
  <c r="Z112" i="123"/>
  <c r="Y111" i="105"/>
  <c r="Y112" i="123"/>
  <c r="AG110" i="105"/>
  <c r="AG111" i="123"/>
  <c r="AF110" i="105"/>
  <c r="AF111" i="123"/>
  <c r="AE110" i="105"/>
  <c r="AE111" i="123"/>
  <c r="AD110" i="105"/>
  <c r="AD111" i="123"/>
  <c r="AC110" i="105"/>
  <c r="AC111" i="123"/>
  <c r="AB110" i="105"/>
  <c r="AB111" i="123"/>
  <c r="AA110" i="105"/>
  <c r="AA111" i="123"/>
  <c r="Z110" i="105"/>
  <c r="Z111" i="123"/>
  <c r="Y110" i="105"/>
  <c r="Y111" i="123"/>
  <c r="AG109" i="105"/>
  <c r="AG110" i="123"/>
  <c r="AF109" i="105"/>
  <c r="AF110" i="123"/>
  <c r="AE109" i="105"/>
  <c r="AE110" i="123"/>
  <c r="AD109" i="105"/>
  <c r="AD110" i="123"/>
  <c r="AC109" i="105"/>
  <c r="AC110" i="123"/>
  <c r="AB109" i="105"/>
  <c r="AB110" i="123"/>
  <c r="AA109" i="105"/>
  <c r="AA110" i="123"/>
  <c r="Z109" i="105"/>
  <c r="Z110" i="123"/>
  <c r="Y109" i="105"/>
  <c r="Y110" i="123"/>
  <c r="AG108" i="105"/>
  <c r="AG109" i="123"/>
  <c r="AF108" i="105"/>
  <c r="AF109" i="123"/>
  <c r="AE108" i="105"/>
  <c r="AE109" i="123"/>
  <c r="AD108" i="105"/>
  <c r="AD109" i="123"/>
  <c r="AC108" i="105"/>
  <c r="AC109" i="123"/>
  <c r="AB108" i="105"/>
  <c r="AB109" i="123"/>
  <c r="AA108" i="105"/>
  <c r="AA109" i="123"/>
  <c r="Z108" i="105"/>
  <c r="Z109" i="123"/>
  <c r="Y108" i="105"/>
  <c r="Y109" i="123"/>
  <c r="AG107" i="105"/>
  <c r="AG108" i="123"/>
  <c r="AF107" i="105"/>
  <c r="AF108" i="123"/>
  <c r="AE107" i="105"/>
  <c r="AE108" i="123"/>
  <c r="AD107" i="105"/>
  <c r="AD108" i="123"/>
  <c r="AC107" i="105"/>
  <c r="AC108" i="123"/>
  <c r="AB107" i="105"/>
  <c r="AB108" i="123"/>
  <c r="AA107" i="105"/>
  <c r="AA108" i="123"/>
  <c r="Z107" i="105"/>
  <c r="Z108" i="123"/>
  <c r="Y107" i="105"/>
  <c r="Y108" i="123"/>
  <c r="AG106" i="105"/>
  <c r="AG107" i="123"/>
  <c r="AF106" i="105"/>
  <c r="AF107" i="123"/>
  <c r="AE106" i="105"/>
  <c r="AE107" i="123"/>
  <c r="AD106" i="105"/>
  <c r="AD107" i="123"/>
  <c r="AC106" i="105"/>
  <c r="AC107" i="123"/>
  <c r="AB106" i="105"/>
  <c r="AB107" i="123"/>
  <c r="AA106" i="105"/>
  <c r="AA107" i="123"/>
  <c r="Z106" i="105"/>
  <c r="Z107" i="123"/>
  <c r="Y106" i="105"/>
  <c r="Y107" i="123"/>
  <c r="AG105" i="105"/>
  <c r="AG106" i="123"/>
  <c r="AF105" i="105"/>
  <c r="AF106" i="123"/>
  <c r="AE105" i="105"/>
  <c r="AE106" i="123"/>
  <c r="AD105" i="105"/>
  <c r="AD106" i="123"/>
  <c r="AC105" i="105"/>
  <c r="AC106" i="123"/>
  <c r="AB105" i="105"/>
  <c r="AB106" i="123"/>
  <c r="AA105" i="105"/>
  <c r="AA106" i="123"/>
  <c r="Z105" i="105"/>
  <c r="Z106" i="123"/>
  <c r="Y105" i="105"/>
  <c r="Y106" i="123"/>
  <c r="O246" i="112"/>
  <c r="N519" i="112"/>
  <c r="O247" i="112"/>
  <c r="N520" i="112"/>
  <c r="O248" i="112"/>
  <c r="N521" i="112"/>
  <c r="G249" i="112"/>
  <c r="N522" i="112"/>
  <c r="O250" i="112"/>
  <c r="N523" i="112"/>
  <c r="N524" i="112"/>
  <c r="N603" i="112"/>
  <c r="AG104" i="105"/>
  <c r="AG105" i="123"/>
  <c r="G246" i="112"/>
  <c r="F246" i="112"/>
  <c r="H246" i="112"/>
  <c r="I246" i="112"/>
  <c r="J246" i="112"/>
  <c r="K246" i="112"/>
  <c r="L246" i="112"/>
  <c r="M246" i="112"/>
  <c r="N246" i="112"/>
  <c r="M519" i="112"/>
  <c r="G247" i="112"/>
  <c r="F247" i="112"/>
  <c r="H247" i="112"/>
  <c r="I247" i="112"/>
  <c r="J247" i="112"/>
  <c r="K247" i="112"/>
  <c r="L247" i="112"/>
  <c r="M247" i="112"/>
  <c r="N247" i="112"/>
  <c r="M520" i="112"/>
  <c r="G248" i="112"/>
  <c r="F248" i="112"/>
  <c r="H248" i="112"/>
  <c r="I248" i="112"/>
  <c r="J248" i="112"/>
  <c r="K248" i="112"/>
  <c r="L248" i="112"/>
  <c r="M248" i="112"/>
  <c r="N248" i="112"/>
  <c r="M521" i="112"/>
  <c r="M522" i="112"/>
  <c r="G250" i="112"/>
  <c r="F250" i="112"/>
  <c r="H250" i="112"/>
  <c r="I250" i="112"/>
  <c r="J250" i="112"/>
  <c r="K250" i="112"/>
  <c r="L250" i="112"/>
  <c r="M250" i="112"/>
  <c r="N250" i="112"/>
  <c r="M523" i="112"/>
  <c r="M524" i="112"/>
  <c r="M603" i="112"/>
  <c r="AF104" i="105"/>
  <c r="AF105" i="123"/>
  <c r="L519" i="112"/>
  <c r="L520" i="112"/>
  <c r="L521" i="112"/>
  <c r="L522" i="112"/>
  <c r="L523" i="112"/>
  <c r="L524" i="112"/>
  <c r="L603" i="112"/>
  <c r="AE104" i="105"/>
  <c r="AE105" i="123"/>
  <c r="K519" i="112"/>
  <c r="K520" i="112"/>
  <c r="K521" i="112"/>
  <c r="K522" i="112"/>
  <c r="K523" i="112"/>
  <c r="K524" i="112"/>
  <c r="K603" i="112"/>
  <c r="AD104" i="105"/>
  <c r="AD105" i="123"/>
  <c r="J519" i="112"/>
  <c r="J520" i="112"/>
  <c r="J521" i="112"/>
  <c r="J522" i="112"/>
  <c r="J523" i="112"/>
  <c r="J524" i="112"/>
  <c r="J603" i="112"/>
  <c r="AC104" i="105"/>
  <c r="AC105" i="123"/>
  <c r="I519" i="112"/>
  <c r="I520" i="112"/>
  <c r="I521" i="112"/>
  <c r="I522" i="112"/>
  <c r="I523" i="112"/>
  <c r="I524" i="112"/>
  <c r="I603" i="112"/>
  <c r="AB104" i="105"/>
  <c r="AB105" i="123"/>
  <c r="H519" i="112"/>
  <c r="H520" i="112"/>
  <c r="H521" i="112"/>
  <c r="H522" i="112"/>
  <c r="H523" i="112"/>
  <c r="H524" i="112"/>
  <c r="H603" i="112"/>
  <c r="AA104" i="105"/>
  <c r="AA105" i="123"/>
  <c r="G519" i="112"/>
  <c r="G520" i="112"/>
  <c r="G521" i="112"/>
  <c r="G522" i="112"/>
  <c r="G523" i="112"/>
  <c r="G524" i="112"/>
  <c r="G603" i="112"/>
  <c r="Z104" i="105"/>
  <c r="Z105" i="123"/>
  <c r="F519" i="112"/>
  <c r="F520" i="112"/>
  <c r="F521" i="112"/>
  <c r="F522" i="112"/>
  <c r="F523" i="112"/>
  <c r="F524" i="112"/>
  <c r="F603" i="112"/>
  <c r="Y104" i="105"/>
  <c r="Y105" i="123"/>
  <c r="N59" i="111"/>
  <c r="F59" i="111"/>
  <c r="E59" i="111"/>
  <c r="G59" i="111"/>
  <c r="H59" i="111"/>
  <c r="I59" i="111"/>
  <c r="J59" i="111"/>
  <c r="K59" i="111"/>
  <c r="L59" i="111"/>
  <c r="M59" i="111"/>
  <c r="AG102" i="105"/>
  <c r="AG103" i="123"/>
  <c r="AF102" i="105"/>
  <c r="AF103" i="123"/>
  <c r="AE102" i="105"/>
  <c r="AE103" i="123"/>
  <c r="AD102" i="105"/>
  <c r="AD103" i="123"/>
  <c r="AC102" i="105"/>
  <c r="AC103" i="123"/>
  <c r="AB102" i="105"/>
  <c r="AB103" i="123"/>
  <c r="AA102" i="105"/>
  <c r="AA103" i="123"/>
  <c r="Z102" i="105"/>
  <c r="Z103" i="123"/>
  <c r="Y102" i="105"/>
  <c r="Y103" i="123"/>
  <c r="AG102" i="123"/>
  <c r="AF102" i="123"/>
  <c r="AE102" i="123"/>
  <c r="AD102" i="123"/>
  <c r="AC102" i="123"/>
  <c r="AB102" i="123"/>
  <c r="AA102" i="123"/>
  <c r="Z102" i="123"/>
  <c r="Y102" i="123"/>
  <c r="AG94" i="105"/>
  <c r="AG94" i="123"/>
  <c r="AF94" i="105"/>
  <c r="AF94" i="123"/>
  <c r="AE94" i="105"/>
  <c r="AE94" i="123"/>
  <c r="AD94" i="105"/>
  <c r="AD94" i="123"/>
  <c r="AC94" i="105"/>
  <c r="AC94" i="123"/>
  <c r="AB94" i="105"/>
  <c r="AB94" i="123"/>
  <c r="AA94" i="105"/>
  <c r="AA94" i="123"/>
  <c r="Z94" i="105"/>
  <c r="Z94" i="123"/>
  <c r="Y94" i="105"/>
  <c r="Y94" i="123"/>
  <c r="AG93" i="105"/>
  <c r="AG93" i="123"/>
  <c r="AF93" i="105"/>
  <c r="AF93" i="123"/>
  <c r="AE93" i="105"/>
  <c r="AE93" i="123"/>
  <c r="AD93" i="105"/>
  <c r="AD93" i="123"/>
  <c r="AC93" i="105"/>
  <c r="AC93" i="123"/>
  <c r="AB93" i="105"/>
  <c r="AB93" i="123"/>
  <c r="AA93" i="105"/>
  <c r="AA93" i="123"/>
  <c r="Z93" i="105"/>
  <c r="Z93" i="123"/>
  <c r="Y93" i="105"/>
  <c r="Y93" i="123"/>
  <c r="AG92" i="105"/>
  <c r="AG92" i="123"/>
  <c r="AF92" i="105"/>
  <c r="AF92" i="123"/>
  <c r="AE92" i="105"/>
  <c r="AE92" i="123"/>
  <c r="AD92" i="105"/>
  <c r="AD92" i="123"/>
  <c r="AC92" i="105"/>
  <c r="AC92" i="123"/>
  <c r="AB92" i="105"/>
  <c r="AB92" i="123"/>
  <c r="AA92" i="105"/>
  <c r="AA92" i="123"/>
  <c r="Z92" i="105"/>
  <c r="Z92" i="123"/>
  <c r="Y92" i="105"/>
  <c r="Y92" i="123"/>
  <c r="AG83" i="105"/>
  <c r="AG83" i="123"/>
  <c r="AF83" i="105"/>
  <c r="AF83" i="123"/>
  <c r="AE83" i="105"/>
  <c r="AE83" i="123"/>
  <c r="AD83" i="105"/>
  <c r="AD83" i="123"/>
  <c r="AC83" i="105"/>
  <c r="AC83" i="123"/>
  <c r="AB83" i="105"/>
  <c r="AB83" i="123"/>
  <c r="AA83" i="105"/>
  <c r="AA83" i="123"/>
  <c r="Z83" i="105"/>
  <c r="Z83" i="123"/>
  <c r="Y83" i="105"/>
  <c r="Y83" i="123"/>
  <c r="N136" i="48"/>
  <c r="N197" i="48"/>
  <c r="N268" i="48"/>
  <c r="AG82" i="105"/>
  <c r="AG82" i="123"/>
  <c r="M136" i="48"/>
  <c r="M197" i="48"/>
  <c r="M268" i="48"/>
  <c r="AF82" i="105"/>
  <c r="AF82" i="123"/>
  <c r="L136" i="48"/>
  <c r="L197" i="48"/>
  <c r="L268" i="48"/>
  <c r="AE82" i="105"/>
  <c r="AE82" i="123"/>
  <c r="K136" i="48"/>
  <c r="K197" i="48"/>
  <c r="K268" i="48"/>
  <c r="AD82" i="105"/>
  <c r="AD82" i="123"/>
  <c r="J136" i="48"/>
  <c r="J197" i="48"/>
  <c r="J268" i="48"/>
  <c r="AC82" i="105"/>
  <c r="AC82" i="123"/>
  <c r="F136" i="48"/>
  <c r="E136" i="48"/>
  <c r="G136" i="48"/>
  <c r="H136" i="48"/>
  <c r="I136" i="48"/>
  <c r="I197" i="48"/>
  <c r="I268" i="48"/>
  <c r="AB82" i="105"/>
  <c r="AB82" i="123"/>
  <c r="H197" i="48"/>
  <c r="H268" i="48"/>
  <c r="AA82" i="105"/>
  <c r="AA82" i="123"/>
  <c r="G197" i="48"/>
  <c r="G268" i="48"/>
  <c r="Z82" i="105"/>
  <c r="Z82" i="123"/>
  <c r="F197" i="48"/>
  <c r="F268" i="48"/>
  <c r="Y82" i="105"/>
  <c r="Y82" i="123"/>
  <c r="N127" i="48"/>
  <c r="N196" i="48"/>
  <c r="N261" i="48"/>
  <c r="AG81" i="105"/>
  <c r="AG81" i="123"/>
  <c r="M127" i="48"/>
  <c r="M196" i="48"/>
  <c r="M261" i="48"/>
  <c r="AF81" i="105"/>
  <c r="AF81" i="123"/>
  <c r="L127" i="48"/>
  <c r="L196" i="48"/>
  <c r="L261" i="48"/>
  <c r="AE81" i="105"/>
  <c r="AE81" i="123"/>
  <c r="K127" i="48"/>
  <c r="K196" i="48"/>
  <c r="K261" i="48"/>
  <c r="AD81" i="105"/>
  <c r="AD81" i="123"/>
  <c r="J127" i="48"/>
  <c r="J196" i="48"/>
  <c r="J261" i="48"/>
  <c r="AC81" i="105"/>
  <c r="AC81" i="123"/>
  <c r="F127" i="48"/>
  <c r="E127" i="48"/>
  <c r="G127" i="48"/>
  <c r="H127" i="48"/>
  <c r="I127" i="48"/>
  <c r="I196" i="48"/>
  <c r="I261" i="48"/>
  <c r="AB81" i="105"/>
  <c r="AB81" i="123"/>
  <c r="H196" i="48"/>
  <c r="H261" i="48"/>
  <c r="AA81" i="105"/>
  <c r="AA81" i="123"/>
  <c r="G196" i="48"/>
  <c r="G261" i="48"/>
  <c r="Z81" i="105"/>
  <c r="Z81" i="123"/>
  <c r="F196" i="48"/>
  <c r="F261" i="48"/>
  <c r="Y81" i="105"/>
  <c r="Y81" i="123"/>
  <c r="N118" i="48"/>
  <c r="N195" i="48"/>
  <c r="N254" i="48"/>
  <c r="AG80" i="105"/>
  <c r="AG80" i="123"/>
  <c r="M118" i="48"/>
  <c r="M195" i="48"/>
  <c r="M254" i="48"/>
  <c r="AF80" i="105"/>
  <c r="AF80" i="123"/>
  <c r="L118" i="48"/>
  <c r="L195" i="48"/>
  <c r="L254" i="48"/>
  <c r="AE80" i="105"/>
  <c r="AE80" i="123"/>
  <c r="K118" i="48"/>
  <c r="K195" i="48"/>
  <c r="K254" i="48"/>
  <c r="AD80" i="105"/>
  <c r="AD80" i="123"/>
  <c r="J118" i="48"/>
  <c r="J195" i="48"/>
  <c r="J254" i="48"/>
  <c r="AC80" i="105"/>
  <c r="AC80" i="123"/>
  <c r="F118" i="48"/>
  <c r="E118" i="48"/>
  <c r="G118" i="48"/>
  <c r="H118" i="48"/>
  <c r="I118" i="48"/>
  <c r="I195" i="48"/>
  <c r="I254" i="48"/>
  <c r="AB80" i="105"/>
  <c r="AB80" i="123"/>
  <c r="H195" i="48"/>
  <c r="H254" i="48"/>
  <c r="AA80" i="105"/>
  <c r="AA80" i="123"/>
  <c r="G195" i="48"/>
  <c r="G254" i="48"/>
  <c r="Z80" i="105"/>
  <c r="Z80" i="123"/>
  <c r="F195" i="48"/>
  <c r="F254" i="48"/>
  <c r="Y80" i="105"/>
  <c r="Y80" i="123"/>
  <c r="AG79" i="105"/>
  <c r="AG79" i="123"/>
  <c r="AF79" i="105"/>
  <c r="AF79" i="123"/>
  <c r="AE79" i="105"/>
  <c r="AE79" i="123"/>
  <c r="AD79" i="105"/>
  <c r="AD79" i="123"/>
  <c r="AC79" i="105"/>
  <c r="AC79" i="123"/>
  <c r="AB79" i="105"/>
  <c r="AB79" i="123"/>
  <c r="AA79" i="105"/>
  <c r="AA79" i="123"/>
  <c r="Z79" i="105"/>
  <c r="Z79" i="123"/>
  <c r="Y79" i="105"/>
  <c r="Y79" i="123"/>
  <c r="AG78" i="105"/>
  <c r="AG78" i="123"/>
  <c r="AF78" i="105"/>
  <c r="AF78" i="123"/>
  <c r="AE78" i="105"/>
  <c r="AE78" i="123"/>
  <c r="AD78" i="105"/>
  <c r="AD78" i="123"/>
  <c r="AC78" i="105"/>
  <c r="AC78" i="123"/>
  <c r="AB78" i="105"/>
  <c r="AB78" i="123"/>
  <c r="AA78" i="105"/>
  <c r="AA78" i="123"/>
  <c r="Z78" i="105"/>
  <c r="Z78" i="123"/>
  <c r="Y78" i="105"/>
  <c r="Y78" i="123"/>
  <c r="AG77" i="105"/>
  <c r="AG77" i="123"/>
  <c r="AF77" i="105"/>
  <c r="AF77" i="123"/>
  <c r="AE77" i="105"/>
  <c r="AE77" i="123"/>
  <c r="AD77" i="105"/>
  <c r="AD77" i="123"/>
  <c r="AC77" i="105"/>
  <c r="AC77" i="123"/>
  <c r="AB77" i="105"/>
  <c r="AB77" i="123"/>
  <c r="AA77" i="105"/>
  <c r="AA77" i="123"/>
  <c r="Z77" i="105"/>
  <c r="Z77" i="123"/>
  <c r="Y77" i="105"/>
  <c r="Y77" i="123"/>
  <c r="AG76" i="105"/>
  <c r="AG76" i="123"/>
  <c r="AF76" i="105"/>
  <c r="AF76" i="123"/>
  <c r="AE76" i="105"/>
  <c r="AE76" i="123"/>
  <c r="AD76" i="105"/>
  <c r="AD76" i="123"/>
  <c r="AC76" i="105"/>
  <c r="AC76" i="123"/>
  <c r="AB76" i="105"/>
  <c r="AB76" i="123"/>
  <c r="AA76" i="105"/>
  <c r="AA76" i="123"/>
  <c r="Z76" i="105"/>
  <c r="Z76" i="123"/>
  <c r="Y76" i="105"/>
  <c r="Y76" i="123"/>
  <c r="AG75" i="105"/>
  <c r="AG75" i="123"/>
  <c r="AF75" i="105"/>
  <c r="AF75" i="123"/>
  <c r="AE75" i="105"/>
  <c r="AE75" i="123"/>
  <c r="AD75" i="105"/>
  <c r="AD75" i="123"/>
  <c r="AC75" i="105"/>
  <c r="AC75" i="123"/>
  <c r="AB75" i="105"/>
  <c r="AB75" i="123"/>
  <c r="AA75" i="105"/>
  <c r="AA75" i="123"/>
  <c r="Z75" i="105"/>
  <c r="Z75" i="123"/>
  <c r="Y75" i="105"/>
  <c r="Y75" i="123"/>
  <c r="AG74" i="123"/>
  <c r="AF74" i="123"/>
  <c r="AE74" i="123"/>
  <c r="AD74" i="123"/>
  <c r="AC74" i="123"/>
  <c r="AB74" i="123"/>
  <c r="AA74" i="123"/>
  <c r="Z74" i="123"/>
  <c r="Y74" i="123"/>
  <c r="AG73" i="105"/>
  <c r="AG73" i="123"/>
  <c r="AF73" i="105"/>
  <c r="AF73" i="123"/>
  <c r="AE73" i="105"/>
  <c r="AE73" i="123"/>
  <c r="AD73" i="105"/>
  <c r="AD73" i="123"/>
  <c r="AC73" i="105"/>
  <c r="AC73" i="123"/>
  <c r="AB73" i="105"/>
  <c r="AB73" i="123"/>
  <c r="AA73" i="105"/>
  <c r="AA73" i="123"/>
  <c r="Z73" i="105"/>
  <c r="Z73" i="123"/>
  <c r="Y73" i="105"/>
  <c r="Y73" i="123"/>
  <c r="AG72" i="105"/>
  <c r="AG72" i="123"/>
  <c r="AF72" i="105"/>
  <c r="AF72" i="123"/>
  <c r="AE72" i="105"/>
  <c r="AE72" i="123"/>
  <c r="AD72" i="105"/>
  <c r="AD72" i="123"/>
  <c r="AC72" i="105"/>
  <c r="AC72" i="123"/>
  <c r="AB72" i="105"/>
  <c r="AB72" i="123"/>
  <c r="AA72" i="105"/>
  <c r="AA72" i="123"/>
  <c r="Z72" i="105"/>
  <c r="Z72" i="123"/>
  <c r="Y72" i="105"/>
  <c r="Y72" i="123"/>
  <c r="AG71" i="105"/>
  <c r="AG71" i="123"/>
  <c r="AF71" i="105"/>
  <c r="AF71" i="123"/>
  <c r="AE71" i="105"/>
  <c r="AE71" i="123"/>
  <c r="AD71" i="105"/>
  <c r="AD71" i="123"/>
  <c r="AC71" i="105"/>
  <c r="AC71" i="123"/>
  <c r="AB71" i="105"/>
  <c r="AB71" i="123"/>
  <c r="AA71" i="105"/>
  <c r="AA71" i="123"/>
  <c r="Z71" i="105"/>
  <c r="Z71" i="123"/>
  <c r="Y71" i="105"/>
  <c r="Y71" i="123"/>
  <c r="AG70" i="105"/>
  <c r="AG70" i="123"/>
  <c r="AF70" i="105"/>
  <c r="AF70" i="123"/>
  <c r="AE70" i="105"/>
  <c r="AE70" i="123"/>
  <c r="AD70" i="105"/>
  <c r="AD70" i="123"/>
  <c r="AC70" i="105"/>
  <c r="AC70" i="123"/>
  <c r="AB70" i="105"/>
  <c r="AB70" i="123"/>
  <c r="AA70" i="105"/>
  <c r="AA70" i="123"/>
  <c r="Z70" i="105"/>
  <c r="Z70" i="123"/>
  <c r="Y70" i="105"/>
  <c r="Y70" i="123"/>
  <c r="AG69" i="105"/>
  <c r="AG69" i="123"/>
  <c r="AF69" i="105"/>
  <c r="AF69" i="123"/>
  <c r="AE69" i="105"/>
  <c r="AE69" i="123"/>
  <c r="AD69" i="105"/>
  <c r="AD69" i="123"/>
  <c r="AC69" i="105"/>
  <c r="AC69" i="123"/>
  <c r="AB69" i="105"/>
  <c r="AB69" i="123"/>
  <c r="AA69" i="105"/>
  <c r="AA69" i="123"/>
  <c r="Z69" i="105"/>
  <c r="Z69" i="123"/>
  <c r="Y69" i="105"/>
  <c r="Y69" i="123"/>
  <c r="AG68" i="105"/>
  <c r="AG68" i="123"/>
  <c r="AF68" i="105"/>
  <c r="AF68" i="123"/>
  <c r="AE68" i="105"/>
  <c r="AE68" i="123"/>
  <c r="AD68" i="105"/>
  <c r="AD68" i="123"/>
  <c r="AC68" i="105"/>
  <c r="AC68" i="123"/>
  <c r="AB68" i="105"/>
  <c r="AB68" i="123"/>
  <c r="AA68" i="105"/>
  <c r="AA68" i="123"/>
  <c r="Z68" i="105"/>
  <c r="Z68" i="123"/>
  <c r="Y68" i="105"/>
  <c r="Y68" i="123"/>
  <c r="AG67" i="105"/>
  <c r="AG67" i="123"/>
  <c r="AF67" i="105"/>
  <c r="AF67" i="123"/>
  <c r="AE67" i="105"/>
  <c r="AE67" i="123"/>
  <c r="AD67" i="105"/>
  <c r="AD67" i="123"/>
  <c r="AC67" i="105"/>
  <c r="AC67" i="123"/>
  <c r="AB67" i="105"/>
  <c r="AB67" i="123"/>
  <c r="AA67" i="105"/>
  <c r="AA67" i="123"/>
  <c r="Z67" i="105"/>
  <c r="Z67" i="123"/>
  <c r="Y67" i="105"/>
  <c r="Y67" i="123"/>
  <c r="AG66" i="105"/>
  <c r="AG66" i="123"/>
  <c r="AF66" i="105"/>
  <c r="AF66" i="123"/>
  <c r="AE66" i="105"/>
  <c r="AE66" i="123"/>
  <c r="AD66" i="105"/>
  <c r="AD66" i="123"/>
  <c r="AC66" i="105"/>
  <c r="AC66" i="123"/>
  <c r="AB66" i="105"/>
  <c r="AB66" i="123"/>
  <c r="AA66" i="105"/>
  <c r="AA66" i="123"/>
  <c r="Z66" i="105"/>
  <c r="Z66" i="123"/>
  <c r="Y66" i="105"/>
  <c r="Y66" i="123"/>
  <c r="AG65" i="105"/>
  <c r="AG65" i="123"/>
  <c r="AF65" i="105"/>
  <c r="AF65" i="123"/>
  <c r="AE65" i="105"/>
  <c r="AE65" i="123"/>
  <c r="AD65" i="105"/>
  <c r="AD65" i="123"/>
  <c r="AC65" i="105"/>
  <c r="AC65" i="123"/>
  <c r="AB65" i="105"/>
  <c r="AB65" i="123"/>
  <c r="AA65" i="105"/>
  <c r="AA65" i="123"/>
  <c r="Z65" i="105"/>
  <c r="Z65" i="123"/>
  <c r="Y65" i="105"/>
  <c r="Y65" i="123"/>
  <c r="AG64" i="105"/>
  <c r="AG64" i="123"/>
  <c r="AF64" i="105"/>
  <c r="AF64" i="123"/>
  <c r="AE64" i="105"/>
  <c r="AE64" i="123"/>
  <c r="AD64" i="105"/>
  <c r="AD64" i="123"/>
  <c r="AC64" i="105"/>
  <c r="AC64" i="123"/>
  <c r="AB64" i="105"/>
  <c r="AB64" i="123"/>
  <c r="AA64" i="105"/>
  <c r="AA64" i="123"/>
  <c r="Z64" i="105"/>
  <c r="Z64" i="123"/>
  <c r="Y64" i="105"/>
  <c r="Y64" i="123"/>
  <c r="AG63" i="105"/>
  <c r="AG63" i="123"/>
  <c r="AF63" i="105"/>
  <c r="AF63" i="123"/>
  <c r="AE63" i="105"/>
  <c r="AE63" i="123"/>
  <c r="AD63" i="105"/>
  <c r="AD63" i="123"/>
  <c r="AC63" i="105"/>
  <c r="AC63" i="123"/>
  <c r="AB63" i="105"/>
  <c r="AB63" i="123"/>
  <c r="AA63" i="105"/>
  <c r="AA63" i="123"/>
  <c r="Z63" i="105"/>
  <c r="Z63" i="123"/>
  <c r="Y63" i="105"/>
  <c r="Y63" i="123"/>
  <c r="AG62" i="105"/>
  <c r="AG62" i="123"/>
  <c r="AF62" i="105"/>
  <c r="AF62" i="123"/>
  <c r="AE62" i="105"/>
  <c r="AE62" i="123"/>
  <c r="AD62" i="105"/>
  <c r="AD62" i="123"/>
  <c r="AC62" i="105"/>
  <c r="AC62" i="123"/>
  <c r="AB62" i="105"/>
  <c r="AB62" i="123"/>
  <c r="AA62" i="105"/>
  <c r="AA62" i="123"/>
  <c r="Z62" i="105"/>
  <c r="Z62" i="123"/>
  <c r="Y62" i="105"/>
  <c r="Y62" i="123"/>
  <c r="AG61" i="105"/>
  <c r="AG61" i="123"/>
  <c r="AF61" i="105"/>
  <c r="AF61" i="123"/>
  <c r="AE61" i="105"/>
  <c r="AE61" i="123"/>
  <c r="AD61" i="105"/>
  <c r="AD61" i="123"/>
  <c r="AC61" i="105"/>
  <c r="AC61" i="123"/>
  <c r="AB61" i="105"/>
  <c r="AB61" i="123"/>
  <c r="AA61" i="105"/>
  <c r="AA61" i="123"/>
  <c r="Z61" i="105"/>
  <c r="Z61" i="123"/>
  <c r="Y61" i="105"/>
  <c r="Y61" i="123"/>
  <c r="AG60" i="105"/>
  <c r="AG60" i="123"/>
  <c r="AF60" i="105"/>
  <c r="AF60" i="123"/>
  <c r="AE60" i="105"/>
  <c r="AE60" i="123"/>
  <c r="AD60" i="105"/>
  <c r="AD60" i="123"/>
  <c r="AC60" i="105"/>
  <c r="AC60" i="123"/>
  <c r="AB60" i="105"/>
  <c r="AB60" i="123"/>
  <c r="AA60" i="105"/>
  <c r="AA60" i="123"/>
  <c r="Z60" i="105"/>
  <c r="Z60" i="123"/>
  <c r="Y60" i="105"/>
  <c r="Y60" i="123"/>
  <c r="O261" i="112"/>
  <c r="N503" i="112"/>
  <c r="O262" i="112"/>
  <c r="N504" i="112"/>
  <c r="O263" i="112"/>
  <c r="N505" i="112"/>
  <c r="O264" i="112"/>
  <c r="N506" i="112"/>
  <c r="O265" i="112"/>
  <c r="N507" i="112"/>
  <c r="N508" i="112"/>
  <c r="N602" i="112"/>
  <c r="AG59" i="105"/>
  <c r="AG59" i="123"/>
  <c r="G261" i="112"/>
  <c r="F261" i="112"/>
  <c r="H261" i="112"/>
  <c r="I261" i="112"/>
  <c r="J261" i="112"/>
  <c r="K261" i="112"/>
  <c r="L261" i="112"/>
  <c r="M261" i="112"/>
  <c r="N261" i="112"/>
  <c r="M503" i="112"/>
  <c r="G262" i="112"/>
  <c r="F262" i="112"/>
  <c r="H262" i="112"/>
  <c r="I262" i="112"/>
  <c r="J262" i="112"/>
  <c r="K262" i="112"/>
  <c r="L262" i="112"/>
  <c r="M262" i="112"/>
  <c r="N262" i="112"/>
  <c r="M504" i="112"/>
  <c r="G263" i="112"/>
  <c r="F263" i="112"/>
  <c r="H263" i="112"/>
  <c r="I263" i="112"/>
  <c r="J263" i="112"/>
  <c r="K263" i="112"/>
  <c r="L263" i="112"/>
  <c r="M263" i="112"/>
  <c r="N263" i="112"/>
  <c r="M505" i="112"/>
  <c r="G264" i="112"/>
  <c r="F264" i="112"/>
  <c r="H264" i="112"/>
  <c r="I264" i="112"/>
  <c r="J264" i="112"/>
  <c r="K264" i="112"/>
  <c r="L264" i="112"/>
  <c r="M264" i="112"/>
  <c r="N264" i="112"/>
  <c r="M506" i="112"/>
  <c r="G265" i="112"/>
  <c r="F265" i="112"/>
  <c r="H265" i="112"/>
  <c r="I265" i="112"/>
  <c r="J265" i="112"/>
  <c r="K265" i="112"/>
  <c r="L265" i="112"/>
  <c r="M265" i="112"/>
  <c r="N265" i="112"/>
  <c r="M507" i="112"/>
  <c r="M508" i="112"/>
  <c r="M602" i="112"/>
  <c r="AF59" i="105"/>
  <c r="AF59" i="123"/>
  <c r="L503" i="112"/>
  <c r="L504" i="112"/>
  <c r="L505" i="112"/>
  <c r="L506" i="112"/>
  <c r="L507" i="112"/>
  <c r="L508" i="112"/>
  <c r="L602" i="112"/>
  <c r="AE59" i="105"/>
  <c r="AE59" i="123"/>
  <c r="K503" i="112"/>
  <c r="K504" i="112"/>
  <c r="K505" i="112"/>
  <c r="K506" i="112"/>
  <c r="K507" i="112"/>
  <c r="K508" i="112"/>
  <c r="K602" i="112"/>
  <c r="AD59" i="105"/>
  <c r="AD59" i="123"/>
  <c r="J503" i="112"/>
  <c r="J504" i="112"/>
  <c r="J505" i="112"/>
  <c r="J506" i="112"/>
  <c r="J507" i="112"/>
  <c r="J508" i="112"/>
  <c r="J602" i="112"/>
  <c r="AC59" i="105"/>
  <c r="AC59" i="123"/>
  <c r="I503" i="112"/>
  <c r="I504" i="112"/>
  <c r="I505" i="112"/>
  <c r="I506" i="112"/>
  <c r="I507" i="112"/>
  <c r="I508" i="112"/>
  <c r="I602" i="112"/>
  <c r="AB59" i="105"/>
  <c r="AB59" i="123"/>
  <c r="H503" i="112"/>
  <c r="H504" i="112"/>
  <c r="H505" i="112"/>
  <c r="H506" i="112"/>
  <c r="H507" i="112"/>
  <c r="H508" i="112"/>
  <c r="H602" i="112"/>
  <c r="AA59" i="105"/>
  <c r="AA59" i="123"/>
  <c r="G503" i="112"/>
  <c r="G504" i="112"/>
  <c r="G505" i="112"/>
  <c r="G506" i="112"/>
  <c r="G507" i="112"/>
  <c r="G508" i="112"/>
  <c r="G602" i="112"/>
  <c r="Z59" i="105"/>
  <c r="Z59" i="123"/>
  <c r="F503" i="112"/>
  <c r="F504" i="112"/>
  <c r="F505" i="112"/>
  <c r="F506" i="112"/>
  <c r="F507" i="112"/>
  <c r="F508" i="112"/>
  <c r="F602" i="112"/>
  <c r="Y59" i="105"/>
  <c r="Y59" i="123"/>
  <c r="AG49" i="105"/>
  <c r="AG49" i="123"/>
  <c r="AF49" i="105"/>
  <c r="AF49" i="123"/>
  <c r="AE49" i="105"/>
  <c r="AE49" i="123"/>
  <c r="AD49" i="105"/>
  <c r="AD49" i="123"/>
  <c r="AC49" i="105"/>
  <c r="AC49" i="123"/>
  <c r="AB49" i="105"/>
  <c r="AB49" i="123"/>
  <c r="AA49" i="105"/>
  <c r="AA49" i="123"/>
  <c r="Z49" i="105"/>
  <c r="Z49" i="123"/>
  <c r="Y49" i="105"/>
  <c r="Y49" i="123"/>
  <c r="AG48" i="105"/>
  <c r="AG48" i="123"/>
  <c r="AF48" i="105"/>
  <c r="AF48" i="123"/>
  <c r="AE48" i="105"/>
  <c r="AE48" i="123"/>
  <c r="AD48" i="105"/>
  <c r="AD48" i="123"/>
  <c r="AC48" i="105"/>
  <c r="AC48" i="123"/>
  <c r="AB48" i="105"/>
  <c r="AB48" i="123"/>
  <c r="AA48" i="105"/>
  <c r="AA48" i="123"/>
  <c r="Z48" i="105"/>
  <c r="Z48" i="123"/>
  <c r="Y48" i="105"/>
  <c r="Y48" i="123"/>
  <c r="AG47" i="105"/>
  <c r="AG47" i="123"/>
  <c r="AF47" i="105"/>
  <c r="AF47" i="123"/>
  <c r="AE47" i="105"/>
  <c r="AE47" i="123"/>
  <c r="AD47" i="105"/>
  <c r="AD47" i="123"/>
  <c r="AC47" i="105"/>
  <c r="AC47" i="123"/>
  <c r="AB47" i="105"/>
  <c r="AB47" i="123"/>
  <c r="AA47" i="105"/>
  <c r="AA47" i="123"/>
  <c r="Z47" i="105"/>
  <c r="Z47" i="123"/>
  <c r="Y47" i="105"/>
  <c r="Y47" i="123"/>
  <c r="AQ127" i="105"/>
  <c r="AQ128" i="123"/>
  <c r="AP127" i="105"/>
  <c r="AP128" i="123"/>
  <c r="AO127" i="105"/>
  <c r="AO128" i="123"/>
  <c r="AN127" i="105"/>
  <c r="AN128" i="123"/>
  <c r="AM127" i="105"/>
  <c r="AM128" i="123"/>
  <c r="AL127" i="105"/>
  <c r="AL128" i="123"/>
  <c r="AK127" i="105"/>
  <c r="AK128" i="123"/>
  <c r="AJ127" i="105"/>
  <c r="AJ128" i="123"/>
  <c r="AI127" i="105"/>
  <c r="AI128" i="123"/>
  <c r="AQ126" i="105"/>
  <c r="AQ127" i="123"/>
  <c r="AP126" i="105"/>
  <c r="AP127" i="123"/>
  <c r="AO126" i="105"/>
  <c r="AO127" i="123"/>
  <c r="AN126" i="105"/>
  <c r="AN127" i="123"/>
  <c r="AM126" i="105"/>
  <c r="AM127" i="123"/>
  <c r="AL126" i="105"/>
  <c r="AL127" i="123"/>
  <c r="AK126" i="105"/>
  <c r="AK127" i="123"/>
  <c r="AJ126" i="105"/>
  <c r="AJ127" i="123"/>
  <c r="AI126" i="105"/>
  <c r="AI127" i="123"/>
  <c r="AQ125" i="105"/>
  <c r="AQ126" i="123"/>
  <c r="AP125" i="105"/>
  <c r="AP126" i="123"/>
  <c r="AO125" i="105"/>
  <c r="AO126" i="123"/>
  <c r="AN125" i="105"/>
  <c r="AN126" i="123"/>
  <c r="AM125" i="105"/>
  <c r="AM126" i="123"/>
  <c r="AL125" i="105"/>
  <c r="AL126" i="123"/>
  <c r="AK125" i="105"/>
  <c r="AK126" i="123"/>
  <c r="AJ125" i="105"/>
  <c r="AJ126" i="123"/>
  <c r="AI125" i="105"/>
  <c r="AI126" i="123"/>
  <c r="AQ124" i="105"/>
  <c r="AQ125" i="123"/>
  <c r="AP124" i="105"/>
  <c r="AP125" i="123"/>
  <c r="AO124" i="105"/>
  <c r="AO125" i="123"/>
  <c r="AN124" i="105"/>
  <c r="AN125" i="123"/>
  <c r="AM124" i="105"/>
  <c r="AM125" i="123"/>
  <c r="AL124" i="105"/>
  <c r="AL125" i="123"/>
  <c r="AK124" i="105"/>
  <c r="AK125" i="123"/>
  <c r="AJ124" i="105"/>
  <c r="AJ125" i="123"/>
  <c r="AI124" i="105"/>
  <c r="AI125" i="123"/>
  <c r="AQ123" i="105"/>
  <c r="AQ124" i="123"/>
  <c r="AP123" i="105"/>
  <c r="AP124" i="123"/>
  <c r="AO123" i="105"/>
  <c r="AO124" i="123"/>
  <c r="AN123" i="105"/>
  <c r="AN124" i="123"/>
  <c r="AM123" i="105"/>
  <c r="AM124" i="123"/>
  <c r="AL123" i="105"/>
  <c r="AL124" i="123"/>
  <c r="AK123" i="105"/>
  <c r="AK124" i="123"/>
  <c r="AJ123" i="105"/>
  <c r="AJ124" i="123"/>
  <c r="AI123" i="105"/>
  <c r="AI124" i="123"/>
  <c r="AQ122" i="105"/>
  <c r="AQ123" i="123"/>
  <c r="AP122" i="105"/>
  <c r="AP123" i="123"/>
  <c r="AO122" i="105"/>
  <c r="AO123" i="123"/>
  <c r="AN122" i="105"/>
  <c r="AN123" i="123"/>
  <c r="AM122" i="105"/>
  <c r="AM123" i="123"/>
  <c r="AL122" i="105"/>
  <c r="AL123" i="123"/>
  <c r="AK122" i="105"/>
  <c r="AK123" i="123"/>
  <c r="AJ122" i="105"/>
  <c r="AJ123" i="123"/>
  <c r="AI122" i="105"/>
  <c r="AI123" i="123"/>
  <c r="AQ121" i="105"/>
  <c r="AQ122" i="123"/>
  <c r="AP121" i="105"/>
  <c r="AP122" i="123"/>
  <c r="AO121" i="105"/>
  <c r="AO122" i="123"/>
  <c r="AN121" i="105"/>
  <c r="AN122" i="123"/>
  <c r="AM121" i="105"/>
  <c r="AM122" i="123"/>
  <c r="AL121" i="105"/>
  <c r="AL122" i="123"/>
  <c r="AK121" i="105"/>
  <c r="AK122" i="123"/>
  <c r="AJ121" i="105"/>
  <c r="AJ122" i="123"/>
  <c r="AI121" i="105"/>
  <c r="AI122" i="123"/>
  <c r="AQ120" i="105"/>
  <c r="AQ121" i="123"/>
  <c r="AP120" i="105"/>
  <c r="AP121" i="123"/>
  <c r="AO120" i="105"/>
  <c r="AO121" i="123"/>
  <c r="AN120" i="105"/>
  <c r="AN121" i="123"/>
  <c r="AM120" i="105"/>
  <c r="AM121" i="123"/>
  <c r="AL120" i="105"/>
  <c r="AL121" i="123"/>
  <c r="AK120" i="105"/>
  <c r="AK121" i="123"/>
  <c r="AJ120" i="105"/>
  <c r="AJ121" i="123"/>
  <c r="AI120" i="105"/>
  <c r="AI121" i="123"/>
  <c r="AQ119" i="105"/>
  <c r="AQ120" i="123"/>
  <c r="AP119" i="105"/>
  <c r="AP120" i="123"/>
  <c r="AO119" i="105"/>
  <c r="AO120" i="123"/>
  <c r="AN119" i="105"/>
  <c r="AN120" i="123"/>
  <c r="AM119" i="105"/>
  <c r="AM120" i="123"/>
  <c r="AL119" i="105"/>
  <c r="AL120" i="123"/>
  <c r="AK119" i="105"/>
  <c r="AK120" i="123"/>
  <c r="AJ119" i="105"/>
  <c r="AJ120" i="123"/>
  <c r="AI119" i="105"/>
  <c r="AI120" i="123"/>
  <c r="AQ117" i="105"/>
  <c r="AQ118" i="123"/>
  <c r="AP117" i="105"/>
  <c r="AP118" i="123"/>
  <c r="AO117" i="105"/>
  <c r="AO118" i="123"/>
  <c r="AN117" i="105"/>
  <c r="AN118" i="123"/>
  <c r="AM117" i="105"/>
  <c r="AM118" i="123"/>
  <c r="AL117" i="105"/>
  <c r="AL118" i="123"/>
  <c r="AK117" i="105"/>
  <c r="AK118" i="123"/>
  <c r="AJ117" i="105"/>
  <c r="AJ118" i="123"/>
  <c r="AI117" i="105"/>
  <c r="AI118" i="123"/>
  <c r="AQ116" i="105"/>
  <c r="AQ117" i="123"/>
  <c r="AP116" i="105"/>
  <c r="AP117" i="123"/>
  <c r="AO116" i="105"/>
  <c r="AO117" i="123"/>
  <c r="AN116" i="105"/>
  <c r="AN117" i="123"/>
  <c r="AM116" i="105"/>
  <c r="AM117" i="123"/>
  <c r="AL116" i="105"/>
  <c r="AL117" i="123"/>
  <c r="AK116" i="105"/>
  <c r="AK117" i="123"/>
  <c r="AJ116" i="105"/>
  <c r="AJ117" i="123"/>
  <c r="AI116" i="105"/>
  <c r="AI117" i="123"/>
  <c r="AQ114" i="105"/>
  <c r="AQ115" i="123"/>
  <c r="AP114" i="105"/>
  <c r="AP115" i="123"/>
  <c r="AO114" i="105"/>
  <c r="AO115" i="123"/>
  <c r="AN114" i="105"/>
  <c r="AN115" i="123"/>
  <c r="AM114" i="105"/>
  <c r="AM115" i="123"/>
  <c r="AL114" i="105"/>
  <c r="AL115" i="123"/>
  <c r="AK114" i="105"/>
  <c r="AK115" i="123"/>
  <c r="AJ114" i="105"/>
  <c r="AJ115" i="123"/>
  <c r="AI114" i="105"/>
  <c r="AI115" i="123"/>
  <c r="AQ113" i="105"/>
  <c r="AQ114" i="123"/>
  <c r="AP113" i="105"/>
  <c r="AP114" i="123"/>
  <c r="AO113" i="105"/>
  <c r="AO114" i="123"/>
  <c r="AN113" i="105"/>
  <c r="AN114" i="123"/>
  <c r="AM113" i="105"/>
  <c r="AM114" i="123"/>
  <c r="AL113" i="105"/>
  <c r="AL114" i="123"/>
  <c r="AK113" i="105"/>
  <c r="AK114" i="123"/>
  <c r="AJ113" i="105"/>
  <c r="AJ114" i="123"/>
  <c r="AI113" i="105"/>
  <c r="AI114" i="123"/>
  <c r="AQ112" i="105"/>
  <c r="AQ113" i="123"/>
  <c r="AP112" i="105"/>
  <c r="AP113" i="123"/>
  <c r="AO112" i="105"/>
  <c r="AO113" i="123"/>
  <c r="AN112" i="105"/>
  <c r="AN113" i="123"/>
  <c r="AM112" i="105"/>
  <c r="AM113" i="123"/>
  <c r="AL112" i="105"/>
  <c r="AL113" i="123"/>
  <c r="AK112" i="105"/>
  <c r="AK113" i="123"/>
  <c r="AJ112" i="105"/>
  <c r="AJ113" i="123"/>
  <c r="AI112" i="105"/>
  <c r="AI113" i="123"/>
  <c r="AQ111" i="105"/>
  <c r="AQ112" i="123"/>
  <c r="AP111" i="105"/>
  <c r="AP112" i="123"/>
  <c r="AO111" i="105"/>
  <c r="AO112" i="123"/>
  <c r="AN111" i="105"/>
  <c r="AN112" i="123"/>
  <c r="AM111" i="105"/>
  <c r="AM112" i="123"/>
  <c r="AL111" i="105"/>
  <c r="AL112" i="123"/>
  <c r="AK111" i="105"/>
  <c r="AK112" i="123"/>
  <c r="AJ111" i="105"/>
  <c r="AJ112" i="123"/>
  <c r="AI111" i="105"/>
  <c r="AI112" i="123"/>
  <c r="AQ109" i="105"/>
  <c r="AQ110" i="123"/>
  <c r="AP109" i="105"/>
  <c r="AP110" i="123"/>
  <c r="AO109" i="105"/>
  <c r="AO110" i="123"/>
  <c r="AN109" i="105"/>
  <c r="AN110" i="123"/>
  <c r="AM109" i="105"/>
  <c r="AM110" i="123"/>
  <c r="AL109" i="105"/>
  <c r="AL110" i="123"/>
  <c r="AK109" i="105"/>
  <c r="AK110" i="123"/>
  <c r="AJ109" i="105"/>
  <c r="AJ110" i="123"/>
  <c r="AI109" i="105"/>
  <c r="AI110" i="123"/>
  <c r="AQ108" i="105"/>
  <c r="AQ109" i="123"/>
  <c r="AP108" i="105"/>
  <c r="AP109" i="123"/>
  <c r="AO108" i="105"/>
  <c r="AO109" i="123"/>
  <c r="AN108" i="105"/>
  <c r="AN109" i="123"/>
  <c r="AM108" i="105"/>
  <c r="AM109" i="123"/>
  <c r="AL108" i="105"/>
  <c r="AL109" i="123"/>
  <c r="AK108" i="105"/>
  <c r="AK109" i="123"/>
  <c r="AJ108" i="105"/>
  <c r="AJ109" i="123"/>
  <c r="AI108" i="105"/>
  <c r="AI109" i="123"/>
  <c r="AQ105" i="105"/>
  <c r="AQ106" i="123"/>
  <c r="AP105" i="105"/>
  <c r="AP106" i="123"/>
  <c r="AO105" i="105"/>
  <c r="AO106" i="123"/>
  <c r="AN105" i="105"/>
  <c r="AN106" i="123"/>
  <c r="AM105" i="105"/>
  <c r="AM106" i="123"/>
  <c r="AL105" i="105"/>
  <c r="AL106" i="123"/>
  <c r="AK105" i="105"/>
  <c r="AK106" i="123"/>
  <c r="AJ105" i="105"/>
  <c r="AJ106" i="123"/>
  <c r="AI105" i="105"/>
  <c r="AI106" i="123"/>
  <c r="AQ104" i="105"/>
  <c r="AQ105" i="123"/>
  <c r="AP104" i="105"/>
  <c r="AP105" i="123"/>
  <c r="AO104" i="105"/>
  <c r="AO105" i="123"/>
  <c r="AN104" i="105"/>
  <c r="AN105" i="123"/>
  <c r="AM104" i="105"/>
  <c r="AM105" i="123"/>
  <c r="AL104" i="105"/>
  <c r="AL105" i="123"/>
  <c r="AK104" i="105"/>
  <c r="AK105" i="123"/>
  <c r="AJ104" i="105"/>
  <c r="AJ105" i="123"/>
  <c r="AI104" i="105"/>
  <c r="AI105" i="123"/>
  <c r="AQ102" i="123"/>
  <c r="AP102" i="123"/>
  <c r="AO102" i="123"/>
  <c r="AN102" i="123"/>
  <c r="AM102" i="123"/>
  <c r="AL102" i="123"/>
  <c r="AK102" i="123"/>
  <c r="AJ102" i="123"/>
  <c r="AI102" i="123"/>
  <c r="AQ94" i="105"/>
  <c r="AQ94" i="123"/>
  <c r="AP94" i="105"/>
  <c r="AP94" i="123"/>
  <c r="AO94" i="105"/>
  <c r="AO94" i="123"/>
  <c r="AN94" i="105"/>
  <c r="AN94" i="123"/>
  <c r="AM94" i="105"/>
  <c r="AM94" i="123"/>
  <c r="AL94" i="105"/>
  <c r="AL94" i="123"/>
  <c r="AK94" i="105"/>
  <c r="AK94" i="123"/>
  <c r="AJ94" i="105"/>
  <c r="AJ94" i="123"/>
  <c r="AI94" i="105"/>
  <c r="AI94" i="123"/>
  <c r="AQ93" i="105"/>
  <c r="AQ93" i="123"/>
  <c r="AP93" i="105"/>
  <c r="AP93" i="123"/>
  <c r="AO93" i="105"/>
  <c r="AO93" i="123"/>
  <c r="AN93" i="105"/>
  <c r="AN93" i="123"/>
  <c r="AM93" i="105"/>
  <c r="AM93" i="123"/>
  <c r="AL93" i="105"/>
  <c r="AL93" i="123"/>
  <c r="AK93" i="105"/>
  <c r="AK93" i="123"/>
  <c r="AJ93" i="105"/>
  <c r="AJ93" i="123"/>
  <c r="AI93" i="105"/>
  <c r="AI93" i="123"/>
  <c r="AQ92" i="105"/>
  <c r="AQ92" i="123"/>
  <c r="AP92" i="105"/>
  <c r="AP92" i="123"/>
  <c r="AO92" i="105"/>
  <c r="AO92" i="123"/>
  <c r="AN92" i="105"/>
  <c r="AN92" i="123"/>
  <c r="AM92" i="105"/>
  <c r="AM92" i="123"/>
  <c r="AL92" i="105"/>
  <c r="AL92" i="123"/>
  <c r="AK92" i="105"/>
  <c r="AK92" i="123"/>
  <c r="AJ92" i="105"/>
  <c r="AJ92" i="123"/>
  <c r="AI92" i="105"/>
  <c r="AI92" i="123"/>
  <c r="AQ82" i="105"/>
  <c r="AQ82" i="123"/>
  <c r="AP82" i="105"/>
  <c r="AP82" i="123"/>
  <c r="AO82" i="105"/>
  <c r="AO82" i="123"/>
  <c r="AN82" i="105"/>
  <c r="AN82" i="123"/>
  <c r="AM82" i="105"/>
  <c r="AM82" i="123"/>
  <c r="AL82" i="105"/>
  <c r="AL82" i="123"/>
  <c r="AK82" i="105"/>
  <c r="AK82" i="123"/>
  <c r="AJ82" i="105"/>
  <c r="AJ82" i="123"/>
  <c r="AI82" i="105"/>
  <c r="AI82" i="123"/>
  <c r="AQ81" i="105"/>
  <c r="AQ81" i="123"/>
  <c r="AP81" i="105"/>
  <c r="AP81" i="123"/>
  <c r="AO81" i="105"/>
  <c r="AO81" i="123"/>
  <c r="AN81" i="105"/>
  <c r="AN81" i="123"/>
  <c r="AM81" i="105"/>
  <c r="AM81" i="123"/>
  <c r="AL81" i="105"/>
  <c r="AL81" i="123"/>
  <c r="AK81" i="105"/>
  <c r="AK81" i="123"/>
  <c r="AJ81" i="105"/>
  <c r="AJ81" i="123"/>
  <c r="AI81" i="105"/>
  <c r="AI81" i="123"/>
  <c r="AQ80" i="105"/>
  <c r="AQ80" i="123"/>
  <c r="AP80" i="105"/>
  <c r="AP80" i="123"/>
  <c r="AO80" i="105"/>
  <c r="AO80" i="123"/>
  <c r="AN80" i="105"/>
  <c r="AN80" i="123"/>
  <c r="AM80" i="105"/>
  <c r="AM80" i="123"/>
  <c r="AL80" i="105"/>
  <c r="AL80" i="123"/>
  <c r="AK80" i="105"/>
  <c r="AK80" i="123"/>
  <c r="AJ80" i="105"/>
  <c r="AJ80" i="123"/>
  <c r="AI80" i="105"/>
  <c r="AI80" i="123"/>
  <c r="AQ79" i="105"/>
  <c r="AQ79" i="123"/>
  <c r="AP79" i="105"/>
  <c r="AP79" i="123"/>
  <c r="AO79" i="105"/>
  <c r="AO79" i="123"/>
  <c r="AN79" i="105"/>
  <c r="AN79" i="123"/>
  <c r="AM79" i="105"/>
  <c r="AM79" i="123"/>
  <c r="AL79" i="105"/>
  <c r="AL79" i="123"/>
  <c r="AK79" i="105"/>
  <c r="AK79" i="123"/>
  <c r="AJ79" i="105"/>
  <c r="AJ79" i="123"/>
  <c r="AI79" i="105"/>
  <c r="AI79" i="123"/>
  <c r="AQ78" i="105"/>
  <c r="AQ78" i="123"/>
  <c r="AP78" i="105"/>
  <c r="AP78" i="123"/>
  <c r="AO78" i="105"/>
  <c r="AO78" i="123"/>
  <c r="AN78" i="105"/>
  <c r="AN78" i="123"/>
  <c r="AM78" i="105"/>
  <c r="AM78" i="123"/>
  <c r="AL78" i="105"/>
  <c r="AL78" i="123"/>
  <c r="AK78" i="105"/>
  <c r="AK78" i="123"/>
  <c r="AJ78" i="105"/>
  <c r="AJ78" i="123"/>
  <c r="AI78" i="105"/>
  <c r="AI78" i="123"/>
  <c r="AQ77" i="105"/>
  <c r="AQ77" i="123"/>
  <c r="AP77" i="105"/>
  <c r="AP77" i="123"/>
  <c r="AO77" i="105"/>
  <c r="AO77" i="123"/>
  <c r="AN77" i="105"/>
  <c r="AN77" i="123"/>
  <c r="AM77" i="105"/>
  <c r="AM77" i="123"/>
  <c r="AL77" i="105"/>
  <c r="AL77" i="123"/>
  <c r="AK77" i="105"/>
  <c r="AK77" i="123"/>
  <c r="AJ77" i="105"/>
  <c r="AJ77" i="123"/>
  <c r="AI77" i="105"/>
  <c r="AI77" i="123"/>
  <c r="AQ76" i="105"/>
  <c r="AQ76" i="123"/>
  <c r="AP76" i="105"/>
  <c r="AP76" i="123"/>
  <c r="AO76" i="105"/>
  <c r="AO76" i="123"/>
  <c r="AN76" i="105"/>
  <c r="AN76" i="123"/>
  <c r="AM76" i="105"/>
  <c r="AM76" i="123"/>
  <c r="AL76" i="105"/>
  <c r="AL76" i="123"/>
  <c r="AK76" i="105"/>
  <c r="AK76" i="123"/>
  <c r="AJ76" i="105"/>
  <c r="AJ76" i="123"/>
  <c r="AI76" i="105"/>
  <c r="AI76" i="123"/>
  <c r="AQ75" i="105"/>
  <c r="AQ75" i="123"/>
  <c r="AP75" i="105"/>
  <c r="AP75" i="123"/>
  <c r="AO75" i="105"/>
  <c r="AO75" i="123"/>
  <c r="AN75" i="105"/>
  <c r="AN75" i="123"/>
  <c r="AM75" i="105"/>
  <c r="AM75" i="123"/>
  <c r="AL75" i="105"/>
  <c r="AL75" i="123"/>
  <c r="AK75" i="105"/>
  <c r="AK75" i="123"/>
  <c r="AJ75" i="105"/>
  <c r="AJ75" i="123"/>
  <c r="AI75" i="105"/>
  <c r="AI75" i="123"/>
  <c r="AQ73" i="105"/>
  <c r="AQ73" i="123"/>
  <c r="AP73" i="105"/>
  <c r="AP73" i="123"/>
  <c r="AO73" i="105"/>
  <c r="AO73" i="123"/>
  <c r="AN73" i="105"/>
  <c r="AN73" i="123"/>
  <c r="AM73" i="105"/>
  <c r="AM73" i="123"/>
  <c r="AL73" i="105"/>
  <c r="AL73" i="123"/>
  <c r="AK73" i="105"/>
  <c r="AK73" i="123"/>
  <c r="AJ73" i="105"/>
  <c r="AJ73" i="123"/>
  <c r="AI73" i="105"/>
  <c r="AI73" i="123"/>
  <c r="AQ72" i="105"/>
  <c r="AQ72" i="123"/>
  <c r="AP72" i="105"/>
  <c r="AP72" i="123"/>
  <c r="AO72" i="105"/>
  <c r="AO72" i="123"/>
  <c r="AN72" i="105"/>
  <c r="AN72" i="123"/>
  <c r="AM72" i="105"/>
  <c r="AM72" i="123"/>
  <c r="AL72" i="105"/>
  <c r="AL72" i="123"/>
  <c r="AK72" i="105"/>
  <c r="AK72" i="123"/>
  <c r="AJ72" i="105"/>
  <c r="AJ72" i="123"/>
  <c r="AI72" i="105"/>
  <c r="AI72" i="123"/>
  <c r="AQ71" i="105"/>
  <c r="AQ71" i="123"/>
  <c r="AP71" i="105"/>
  <c r="AP71" i="123"/>
  <c r="AO71" i="105"/>
  <c r="AO71" i="123"/>
  <c r="AN71" i="105"/>
  <c r="AN71" i="123"/>
  <c r="AM71" i="105"/>
  <c r="AM71" i="123"/>
  <c r="AL71" i="105"/>
  <c r="AL71" i="123"/>
  <c r="AK71" i="105"/>
  <c r="AK71" i="123"/>
  <c r="AJ71" i="105"/>
  <c r="AJ71" i="123"/>
  <c r="AI71" i="105"/>
  <c r="AI71" i="123"/>
  <c r="AQ69" i="105"/>
  <c r="AQ69" i="123"/>
  <c r="AP69" i="105"/>
  <c r="AP69" i="123"/>
  <c r="AO69" i="105"/>
  <c r="AO69" i="123"/>
  <c r="AN69" i="105"/>
  <c r="AN69" i="123"/>
  <c r="AM69" i="105"/>
  <c r="AM69" i="123"/>
  <c r="AL69" i="105"/>
  <c r="AL69" i="123"/>
  <c r="AK69" i="105"/>
  <c r="AK69" i="123"/>
  <c r="AJ69" i="105"/>
  <c r="AJ69" i="123"/>
  <c r="AI69" i="105"/>
  <c r="AI69" i="123"/>
  <c r="AQ68" i="105"/>
  <c r="AQ68" i="123"/>
  <c r="AP68" i="105"/>
  <c r="AP68" i="123"/>
  <c r="AO68" i="105"/>
  <c r="AO68" i="123"/>
  <c r="AN68" i="105"/>
  <c r="AN68" i="123"/>
  <c r="AM68" i="105"/>
  <c r="AM68" i="123"/>
  <c r="AL68" i="105"/>
  <c r="AL68" i="123"/>
  <c r="AK68" i="105"/>
  <c r="AK68" i="123"/>
  <c r="AJ68" i="105"/>
  <c r="AJ68" i="123"/>
  <c r="AI68" i="105"/>
  <c r="AI68" i="123"/>
  <c r="AQ67" i="105"/>
  <c r="AQ67" i="123"/>
  <c r="AP67" i="105"/>
  <c r="AP67" i="123"/>
  <c r="AO67" i="105"/>
  <c r="AO67" i="123"/>
  <c r="AN67" i="105"/>
  <c r="AN67" i="123"/>
  <c r="AM67" i="105"/>
  <c r="AM67" i="123"/>
  <c r="AL67" i="105"/>
  <c r="AL67" i="123"/>
  <c r="AK67" i="105"/>
  <c r="AK67" i="123"/>
  <c r="AJ67" i="105"/>
  <c r="AJ67" i="123"/>
  <c r="AI67" i="105"/>
  <c r="AI67" i="123"/>
  <c r="AQ66" i="105"/>
  <c r="AQ66" i="123"/>
  <c r="AP66" i="105"/>
  <c r="AP66" i="123"/>
  <c r="AO66" i="105"/>
  <c r="AO66" i="123"/>
  <c r="AN66" i="105"/>
  <c r="AN66" i="123"/>
  <c r="AM66" i="105"/>
  <c r="AM66" i="123"/>
  <c r="AL66" i="105"/>
  <c r="AL66" i="123"/>
  <c r="AK66" i="105"/>
  <c r="AK66" i="123"/>
  <c r="AJ66" i="105"/>
  <c r="AJ66" i="123"/>
  <c r="AI66" i="105"/>
  <c r="AI66" i="123"/>
  <c r="AQ64" i="105"/>
  <c r="AQ64" i="123"/>
  <c r="AP64" i="105"/>
  <c r="AP64" i="123"/>
  <c r="AO64" i="105"/>
  <c r="AO64" i="123"/>
  <c r="AN64" i="105"/>
  <c r="AN64" i="123"/>
  <c r="AM64" i="105"/>
  <c r="AM64" i="123"/>
  <c r="AL64" i="105"/>
  <c r="AL64" i="123"/>
  <c r="AK64" i="105"/>
  <c r="AK64" i="123"/>
  <c r="AJ64" i="105"/>
  <c r="AJ64" i="123"/>
  <c r="AI64" i="105"/>
  <c r="AI64" i="123"/>
  <c r="AQ63" i="105"/>
  <c r="AQ63" i="123"/>
  <c r="AP63" i="105"/>
  <c r="AP63" i="123"/>
  <c r="AO63" i="105"/>
  <c r="AO63" i="123"/>
  <c r="AN63" i="105"/>
  <c r="AN63" i="123"/>
  <c r="AM63" i="105"/>
  <c r="AM63" i="123"/>
  <c r="AL63" i="105"/>
  <c r="AL63" i="123"/>
  <c r="AK63" i="105"/>
  <c r="AK63" i="123"/>
  <c r="AJ63" i="105"/>
  <c r="AJ63" i="123"/>
  <c r="AI63" i="105"/>
  <c r="AI63" i="123"/>
  <c r="AQ60" i="105"/>
  <c r="AQ60" i="123"/>
  <c r="AP60" i="105"/>
  <c r="AP60" i="123"/>
  <c r="AO60" i="105"/>
  <c r="AO60" i="123"/>
  <c r="AN60" i="105"/>
  <c r="AN60" i="123"/>
  <c r="AM60" i="105"/>
  <c r="AM60" i="123"/>
  <c r="AL60" i="105"/>
  <c r="AL60" i="123"/>
  <c r="AK60" i="105"/>
  <c r="AK60" i="123"/>
  <c r="AJ60" i="105"/>
  <c r="AJ60" i="123"/>
  <c r="AQ59" i="105"/>
  <c r="AQ59" i="123"/>
  <c r="AP59" i="105"/>
  <c r="AP59" i="123"/>
  <c r="AO59" i="105"/>
  <c r="AO59" i="123"/>
  <c r="AN59" i="105"/>
  <c r="AN59" i="123"/>
  <c r="AM59" i="105"/>
  <c r="AM59" i="123"/>
  <c r="AL59" i="105"/>
  <c r="AL59" i="123"/>
  <c r="AK59" i="105"/>
  <c r="AK59" i="123"/>
  <c r="AJ59" i="105"/>
  <c r="AJ59" i="123"/>
  <c r="AI59" i="105"/>
  <c r="AI59" i="123"/>
  <c r="AQ49" i="105"/>
  <c r="AQ49" i="123"/>
  <c r="AP49" i="105"/>
  <c r="AP49" i="123"/>
  <c r="AO49" i="105"/>
  <c r="AO49" i="123"/>
  <c r="AN49" i="105"/>
  <c r="AN49" i="123"/>
  <c r="AM49" i="105"/>
  <c r="AM49" i="123"/>
  <c r="AL49" i="105"/>
  <c r="AL49" i="123"/>
  <c r="AK49" i="105"/>
  <c r="AK49" i="123"/>
  <c r="AJ49" i="105"/>
  <c r="AJ49" i="123"/>
  <c r="AI49" i="105"/>
  <c r="AI49" i="123"/>
  <c r="AQ48" i="105"/>
  <c r="AQ48" i="123"/>
  <c r="AP48" i="105"/>
  <c r="AP48" i="123"/>
  <c r="AO48" i="105"/>
  <c r="AO48" i="123"/>
  <c r="AN48" i="105"/>
  <c r="AN48" i="123"/>
  <c r="AM48" i="105"/>
  <c r="AM48" i="123"/>
  <c r="AL48" i="105"/>
  <c r="AL48" i="123"/>
  <c r="AK48" i="105"/>
  <c r="AK48" i="123"/>
  <c r="AJ48" i="105"/>
  <c r="AJ48" i="123"/>
  <c r="AI48" i="105"/>
  <c r="AI48" i="123"/>
  <c r="AQ47" i="105"/>
  <c r="AQ47" i="123"/>
  <c r="AP47" i="105"/>
  <c r="AP47" i="123"/>
  <c r="AO47" i="105"/>
  <c r="AO47" i="123"/>
  <c r="AN47" i="105"/>
  <c r="AN47" i="123"/>
  <c r="AM47" i="105"/>
  <c r="AM47" i="123"/>
  <c r="AL47" i="105"/>
  <c r="AL47" i="123"/>
  <c r="AK47" i="105"/>
  <c r="AK47" i="123"/>
  <c r="AJ47" i="105"/>
  <c r="AJ47" i="123"/>
  <c r="AI47" i="105"/>
  <c r="AI47" i="123"/>
  <c r="BG131" i="123"/>
  <c r="BF131" i="123"/>
  <c r="BE131" i="123"/>
  <c r="BD131" i="123"/>
  <c r="BC131" i="123"/>
  <c r="BB131" i="123"/>
  <c r="BA131" i="123"/>
  <c r="AZ131" i="123"/>
  <c r="AY131" i="123"/>
  <c r="BG130" i="123"/>
  <c r="BF130" i="123"/>
  <c r="BE130" i="123"/>
  <c r="BD130" i="123"/>
  <c r="BC130" i="123"/>
  <c r="BB130" i="123"/>
  <c r="BA130" i="123"/>
  <c r="AZ130" i="123"/>
  <c r="AY130" i="123"/>
  <c r="AY129" i="123"/>
  <c r="BG128" i="123"/>
  <c r="BF128" i="123"/>
  <c r="BE128" i="123"/>
  <c r="BD128" i="123"/>
  <c r="BC128" i="123"/>
  <c r="BB128" i="123"/>
  <c r="BA128" i="123"/>
  <c r="AZ128" i="123"/>
  <c r="AY128" i="123"/>
  <c r="BG127" i="123"/>
  <c r="BF127" i="123"/>
  <c r="BE127" i="123"/>
  <c r="BD127" i="123"/>
  <c r="BC127" i="123"/>
  <c r="BB127" i="123"/>
  <c r="BA127" i="123"/>
  <c r="AZ127" i="123"/>
  <c r="AY127" i="123"/>
  <c r="BG126" i="123"/>
  <c r="BF126" i="123"/>
  <c r="BE126" i="123"/>
  <c r="BD126" i="123"/>
  <c r="BC126" i="123"/>
  <c r="BB126" i="123"/>
  <c r="BA126" i="123"/>
  <c r="AZ126" i="123"/>
  <c r="AY126" i="123"/>
  <c r="BG125" i="123"/>
  <c r="BF125" i="123"/>
  <c r="BE125" i="123"/>
  <c r="BD125" i="123"/>
  <c r="BC125" i="123"/>
  <c r="BB125" i="123"/>
  <c r="BA125" i="123"/>
  <c r="AZ125" i="123"/>
  <c r="AY125" i="123"/>
  <c r="BG124" i="123"/>
  <c r="BF124" i="123"/>
  <c r="BE124" i="123"/>
  <c r="BD124" i="123"/>
  <c r="BC124" i="123"/>
  <c r="BB124" i="123"/>
  <c r="BA124" i="123"/>
  <c r="AZ124" i="123"/>
  <c r="AY124" i="123"/>
  <c r="BG123" i="123"/>
  <c r="BF123" i="123"/>
  <c r="BE123" i="123"/>
  <c r="BD123" i="123"/>
  <c r="BC123" i="123"/>
  <c r="BB123" i="123"/>
  <c r="BA123" i="123"/>
  <c r="AZ123" i="123"/>
  <c r="AY123" i="123"/>
  <c r="BG122" i="123"/>
  <c r="BF122" i="123"/>
  <c r="BE122" i="123"/>
  <c r="BD122" i="123"/>
  <c r="BC122" i="123"/>
  <c r="BB122" i="123"/>
  <c r="BA122" i="123"/>
  <c r="AZ122" i="123"/>
  <c r="AY122" i="123"/>
  <c r="BG121" i="123"/>
  <c r="BF121" i="123"/>
  <c r="BE121" i="123"/>
  <c r="BD121" i="123"/>
  <c r="BC121" i="123"/>
  <c r="BB121" i="123"/>
  <c r="BA121" i="123"/>
  <c r="AZ121" i="123"/>
  <c r="AY121" i="123"/>
  <c r="BG120" i="123"/>
  <c r="BF120" i="123"/>
  <c r="BE120" i="123"/>
  <c r="BD120" i="123"/>
  <c r="BC120" i="123"/>
  <c r="BB120" i="123"/>
  <c r="BA120" i="123"/>
  <c r="AZ120" i="123"/>
  <c r="AY120" i="123"/>
  <c r="BG119" i="123"/>
  <c r="BF119" i="123"/>
  <c r="BE119" i="123"/>
  <c r="BD119" i="123"/>
  <c r="BC119" i="123"/>
  <c r="BB119" i="123"/>
  <c r="BA119" i="123"/>
  <c r="AZ119" i="123"/>
  <c r="AY119" i="123"/>
  <c r="BG118" i="123"/>
  <c r="BF118" i="123"/>
  <c r="BE118" i="123"/>
  <c r="BD118" i="123"/>
  <c r="BC118" i="123"/>
  <c r="BB118" i="123"/>
  <c r="BA118" i="123"/>
  <c r="AZ118" i="123"/>
  <c r="AY118" i="123"/>
  <c r="BG117" i="123"/>
  <c r="BF117" i="123"/>
  <c r="BE117" i="123"/>
  <c r="BD117" i="123"/>
  <c r="BC117" i="123"/>
  <c r="BB117" i="123"/>
  <c r="BA117" i="123"/>
  <c r="AZ117" i="123"/>
  <c r="AY117" i="123"/>
  <c r="BG115" i="123"/>
  <c r="BF115" i="123"/>
  <c r="BE115" i="123"/>
  <c r="BD115" i="123"/>
  <c r="BC115" i="123"/>
  <c r="BB115" i="123"/>
  <c r="BA115" i="123"/>
  <c r="AZ115" i="123"/>
  <c r="AY115" i="123"/>
  <c r="BG114" i="123"/>
  <c r="BF114" i="123"/>
  <c r="BE114" i="123"/>
  <c r="BD114" i="123"/>
  <c r="BC114" i="123"/>
  <c r="BB114" i="123"/>
  <c r="BA114" i="123"/>
  <c r="AZ114" i="123"/>
  <c r="AY114" i="123"/>
  <c r="BG113" i="123"/>
  <c r="BF113" i="123"/>
  <c r="BE113" i="123"/>
  <c r="BD113" i="123"/>
  <c r="BC113" i="123"/>
  <c r="BB113" i="123"/>
  <c r="BA113" i="123"/>
  <c r="AZ113" i="123"/>
  <c r="AY113" i="123"/>
  <c r="BG112" i="123"/>
  <c r="BF112" i="123"/>
  <c r="BE112" i="123"/>
  <c r="BD112" i="123"/>
  <c r="BC112" i="123"/>
  <c r="BB112" i="123"/>
  <c r="BA112" i="123"/>
  <c r="AZ112" i="123"/>
  <c r="AY112" i="123"/>
  <c r="BG110" i="123"/>
  <c r="BF110" i="123"/>
  <c r="BE110" i="123"/>
  <c r="BD110" i="123"/>
  <c r="BC110" i="123"/>
  <c r="BB110" i="123"/>
  <c r="BA110" i="123"/>
  <c r="AZ110" i="123"/>
  <c r="AY110" i="123"/>
  <c r="BG109" i="123"/>
  <c r="BF109" i="123"/>
  <c r="BE109" i="123"/>
  <c r="BD109" i="123"/>
  <c r="BC109" i="123"/>
  <c r="BB109" i="123"/>
  <c r="BA109" i="123"/>
  <c r="AZ109" i="123"/>
  <c r="AY109" i="123"/>
  <c r="BG106" i="123"/>
  <c r="BF106" i="123"/>
  <c r="BE106" i="123"/>
  <c r="BD106" i="123"/>
  <c r="BC106" i="123"/>
  <c r="BB106" i="123"/>
  <c r="BA106" i="123"/>
  <c r="AZ106" i="123"/>
  <c r="AY106" i="123"/>
  <c r="BG105" i="123"/>
  <c r="BF105" i="123"/>
  <c r="BE105" i="123"/>
  <c r="BD105" i="123"/>
  <c r="BC105" i="123"/>
  <c r="BB105" i="123"/>
  <c r="BA105" i="123"/>
  <c r="AZ105" i="123"/>
  <c r="AY105" i="123"/>
  <c r="BG104" i="123"/>
  <c r="BF104" i="123"/>
  <c r="BE104" i="123"/>
  <c r="BD104" i="123"/>
  <c r="BC104" i="123"/>
  <c r="BB104" i="123"/>
  <c r="BA104" i="123"/>
  <c r="AZ104" i="123"/>
  <c r="AY104" i="123"/>
  <c r="BG102" i="123"/>
  <c r="BF102" i="123"/>
  <c r="BE102" i="123"/>
  <c r="BD102" i="123"/>
  <c r="BC102" i="123"/>
  <c r="BB102" i="123"/>
  <c r="BA102" i="123"/>
  <c r="AZ102" i="123"/>
  <c r="AY102" i="123"/>
  <c r="BG94" i="123"/>
  <c r="BF94" i="123"/>
  <c r="BE94" i="123"/>
  <c r="BD94" i="123"/>
  <c r="BC94" i="123"/>
  <c r="BB94" i="123"/>
  <c r="BA94" i="123"/>
  <c r="AZ94" i="123"/>
  <c r="AY94" i="123"/>
  <c r="BG93" i="123"/>
  <c r="BF93" i="123"/>
  <c r="BE93" i="123"/>
  <c r="BD93" i="123"/>
  <c r="BC93" i="123"/>
  <c r="BB93" i="123"/>
  <c r="BA93" i="123"/>
  <c r="AZ93" i="123"/>
  <c r="AY93" i="123"/>
  <c r="BG92" i="123"/>
  <c r="BF92" i="123"/>
  <c r="BE92" i="123"/>
  <c r="BD92" i="123"/>
  <c r="BC92" i="123"/>
  <c r="BB92" i="123"/>
  <c r="BA92" i="123"/>
  <c r="AZ92" i="123"/>
  <c r="AY92" i="123"/>
  <c r="AV86" i="105"/>
  <c r="AW86" i="105"/>
  <c r="BG86" i="105"/>
  <c r="BG86" i="123"/>
  <c r="BF86" i="105"/>
  <c r="BF86" i="123"/>
  <c r="BE86" i="105"/>
  <c r="BE86" i="123"/>
  <c r="BD86" i="105"/>
  <c r="BD86" i="123"/>
  <c r="BC86" i="105"/>
  <c r="BC86" i="123"/>
  <c r="BB86" i="105"/>
  <c r="BB86" i="123"/>
  <c r="BA86" i="105"/>
  <c r="BA86" i="123"/>
  <c r="AZ86" i="105"/>
  <c r="AZ86" i="123"/>
  <c r="AY86" i="105"/>
  <c r="AY86" i="123"/>
  <c r="AV85" i="105"/>
  <c r="AW85" i="105"/>
  <c r="BG85" i="105"/>
  <c r="BG85" i="123"/>
  <c r="BF85" i="105"/>
  <c r="BF85" i="123"/>
  <c r="BE85" i="105"/>
  <c r="BE85" i="123"/>
  <c r="BD85" i="105"/>
  <c r="BD85" i="123"/>
  <c r="BC85" i="105"/>
  <c r="BC85" i="123"/>
  <c r="BB85" i="105"/>
  <c r="BB85" i="123"/>
  <c r="BA85" i="105"/>
  <c r="BA85" i="123"/>
  <c r="AZ85" i="105"/>
  <c r="AZ85" i="123"/>
  <c r="AY85" i="105"/>
  <c r="AY85" i="123"/>
  <c r="AV84" i="105"/>
  <c r="AW84" i="105"/>
  <c r="BG84" i="105"/>
  <c r="BG84" i="123"/>
  <c r="BF84" i="105"/>
  <c r="BF84" i="123"/>
  <c r="BE84" i="105"/>
  <c r="BE84" i="123"/>
  <c r="BD84" i="105"/>
  <c r="BD84" i="123"/>
  <c r="BC84" i="105"/>
  <c r="BC84" i="123"/>
  <c r="BB84" i="105"/>
  <c r="BB84" i="123"/>
  <c r="BA84" i="105"/>
  <c r="BA84" i="123"/>
  <c r="AZ84" i="105"/>
  <c r="AZ84" i="123"/>
  <c r="AY84" i="105"/>
  <c r="AY84" i="123"/>
  <c r="AV83" i="105"/>
  <c r="AW83" i="105"/>
  <c r="AY83" i="105"/>
  <c r="AY83" i="123"/>
  <c r="AV82" i="105"/>
  <c r="AW82" i="105"/>
  <c r="BG82" i="105"/>
  <c r="BG82" i="123"/>
  <c r="BF82" i="105"/>
  <c r="BF82" i="123"/>
  <c r="BE82" i="105"/>
  <c r="BE82" i="123"/>
  <c r="BD82" i="105"/>
  <c r="BD82" i="123"/>
  <c r="BC82" i="105"/>
  <c r="BC82" i="123"/>
  <c r="BB82" i="105"/>
  <c r="BB82" i="123"/>
  <c r="BA82" i="105"/>
  <c r="BA82" i="123"/>
  <c r="AZ82" i="105"/>
  <c r="AZ82" i="123"/>
  <c r="AY82" i="105"/>
  <c r="AY82" i="123"/>
  <c r="AV81" i="105"/>
  <c r="AW81" i="105"/>
  <c r="BG81" i="105"/>
  <c r="BG81" i="123"/>
  <c r="BF81" i="105"/>
  <c r="BF81" i="123"/>
  <c r="BE81" i="105"/>
  <c r="BE81" i="123"/>
  <c r="BD81" i="105"/>
  <c r="BD81" i="123"/>
  <c r="BC81" i="105"/>
  <c r="BC81" i="123"/>
  <c r="BB81" i="105"/>
  <c r="BB81" i="123"/>
  <c r="BA81" i="105"/>
  <c r="BA81" i="123"/>
  <c r="AZ81" i="105"/>
  <c r="AZ81" i="123"/>
  <c r="AY81" i="105"/>
  <c r="AY81" i="123"/>
  <c r="AV80" i="105"/>
  <c r="AW80" i="105"/>
  <c r="BG80" i="105"/>
  <c r="BG80" i="123"/>
  <c r="BF80" i="105"/>
  <c r="BF80" i="123"/>
  <c r="BE80" i="105"/>
  <c r="BE80" i="123"/>
  <c r="BD80" i="105"/>
  <c r="BD80" i="123"/>
  <c r="BC80" i="105"/>
  <c r="BC80" i="123"/>
  <c r="BB80" i="105"/>
  <c r="BB80" i="123"/>
  <c r="BA80" i="105"/>
  <c r="BA80" i="123"/>
  <c r="AZ80" i="105"/>
  <c r="AZ80" i="123"/>
  <c r="AY80" i="105"/>
  <c r="AY80" i="123"/>
  <c r="AV79" i="105"/>
  <c r="AW79" i="105"/>
  <c r="BG79" i="105"/>
  <c r="BG79" i="123"/>
  <c r="BF79" i="105"/>
  <c r="BF79" i="123"/>
  <c r="BE79" i="105"/>
  <c r="BE79" i="123"/>
  <c r="BD79" i="105"/>
  <c r="BD79" i="123"/>
  <c r="BC79" i="105"/>
  <c r="BC79" i="123"/>
  <c r="BB79" i="105"/>
  <c r="BB79" i="123"/>
  <c r="BA79" i="105"/>
  <c r="BA79" i="123"/>
  <c r="AZ79" i="105"/>
  <c r="AZ79" i="123"/>
  <c r="AY79" i="105"/>
  <c r="AY79" i="123"/>
  <c r="AV78" i="105"/>
  <c r="AW78" i="105"/>
  <c r="BG78" i="105"/>
  <c r="BG78" i="123"/>
  <c r="BF78" i="105"/>
  <c r="BF78" i="123"/>
  <c r="BE78" i="105"/>
  <c r="BE78" i="123"/>
  <c r="BD78" i="105"/>
  <c r="BD78" i="123"/>
  <c r="BC78" i="105"/>
  <c r="BC78" i="123"/>
  <c r="BB78" i="105"/>
  <c r="BB78" i="123"/>
  <c r="BA78" i="105"/>
  <c r="BA78" i="123"/>
  <c r="AZ78" i="105"/>
  <c r="AZ78" i="123"/>
  <c r="AY78" i="105"/>
  <c r="AY78" i="123"/>
  <c r="AV77" i="105"/>
  <c r="AW77" i="105"/>
  <c r="BG77" i="105"/>
  <c r="BG77" i="123"/>
  <c r="BF77" i="105"/>
  <c r="BF77" i="123"/>
  <c r="BE77" i="105"/>
  <c r="BE77" i="123"/>
  <c r="BD77" i="105"/>
  <c r="BD77" i="123"/>
  <c r="BC77" i="105"/>
  <c r="BC77" i="123"/>
  <c r="BB77" i="105"/>
  <c r="BB77" i="123"/>
  <c r="BA77" i="105"/>
  <c r="BA77" i="123"/>
  <c r="AZ77" i="105"/>
  <c r="AZ77" i="123"/>
  <c r="AY77" i="105"/>
  <c r="AY77" i="123"/>
  <c r="AV76" i="105"/>
  <c r="AW76" i="105"/>
  <c r="BG76" i="105"/>
  <c r="BG76" i="123"/>
  <c r="BF76" i="105"/>
  <c r="BF76" i="123"/>
  <c r="BE76" i="105"/>
  <c r="BE76" i="123"/>
  <c r="BD76" i="105"/>
  <c r="BD76" i="123"/>
  <c r="BC76" i="105"/>
  <c r="BC76" i="123"/>
  <c r="BB76" i="105"/>
  <c r="BB76" i="123"/>
  <c r="BA76" i="105"/>
  <c r="BA76" i="123"/>
  <c r="AZ76" i="105"/>
  <c r="AZ76" i="123"/>
  <c r="AY76" i="105"/>
  <c r="AY76" i="123"/>
  <c r="AV75" i="105"/>
  <c r="AW75" i="105"/>
  <c r="BG75" i="105"/>
  <c r="BG75" i="123"/>
  <c r="BF75" i="105"/>
  <c r="BF75" i="123"/>
  <c r="BE75" i="105"/>
  <c r="BE75" i="123"/>
  <c r="BD75" i="105"/>
  <c r="BD75" i="123"/>
  <c r="BC75" i="105"/>
  <c r="BC75" i="123"/>
  <c r="BB75" i="105"/>
  <c r="BB75" i="123"/>
  <c r="BA75" i="105"/>
  <c r="BA75" i="123"/>
  <c r="AZ75" i="105"/>
  <c r="AZ75" i="123"/>
  <c r="AY75" i="105"/>
  <c r="AY75" i="123"/>
  <c r="AV74" i="105"/>
  <c r="AW74" i="105"/>
  <c r="BG74" i="105"/>
  <c r="BG74" i="123"/>
  <c r="BF74" i="105"/>
  <c r="BF74" i="123"/>
  <c r="BE74" i="105"/>
  <c r="BE74" i="123"/>
  <c r="BD74" i="105"/>
  <c r="BD74" i="123"/>
  <c r="BC74" i="105"/>
  <c r="BC74" i="123"/>
  <c r="BB74" i="105"/>
  <c r="BB74" i="123"/>
  <c r="BA74" i="105"/>
  <c r="BA74" i="123"/>
  <c r="AZ74" i="105"/>
  <c r="AZ74" i="123"/>
  <c r="AY74" i="105"/>
  <c r="AY74" i="123"/>
  <c r="AV73" i="105"/>
  <c r="AW73" i="105"/>
  <c r="BG73" i="105"/>
  <c r="BG73" i="123"/>
  <c r="BF73" i="105"/>
  <c r="BF73" i="123"/>
  <c r="BE73" i="105"/>
  <c r="BE73" i="123"/>
  <c r="BD73" i="105"/>
  <c r="BD73" i="123"/>
  <c r="BC73" i="105"/>
  <c r="BC73" i="123"/>
  <c r="BB73" i="105"/>
  <c r="BB73" i="123"/>
  <c r="BA73" i="105"/>
  <c r="BA73" i="123"/>
  <c r="AZ73" i="105"/>
  <c r="AZ73" i="123"/>
  <c r="AY73" i="105"/>
  <c r="AY73" i="123"/>
  <c r="AV72" i="105"/>
  <c r="AW72" i="105"/>
  <c r="BG72" i="105"/>
  <c r="BG72" i="123"/>
  <c r="BF72" i="105"/>
  <c r="BF72" i="123"/>
  <c r="BE72" i="105"/>
  <c r="BE72" i="123"/>
  <c r="BD72" i="105"/>
  <c r="BD72" i="123"/>
  <c r="BC72" i="105"/>
  <c r="BC72" i="123"/>
  <c r="BB72" i="105"/>
  <c r="BB72" i="123"/>
  <c r="BA72" i="105"/>
  <c r="BA72" i="123"/>
  <c r="AZ72" i="105"/>
  <c r="AZ72" i="123"/>
  <c r="AY72" i="105"/>
  <c r="AY72" i="123"/>
  <c r="AV71" i="105"/>
  <c r="AW71" i="105"/>
  <c r="BG71" i="105"/>
  <c r="BG71" i="123"/>
  <c r="BF71" i="105"/>
  <c r="BF71" i="123"/>
  <c r="BE71" i="105"/>
  <c r="BE71" i="123"/>
  <c r="BD71" i="105"/>
  <c r="BD71" i="123"/>
  <c r="BC71" i="105"/>
  <c r="BC71" i="123"/>
  <c r="BB71" i="105"/>
  <c r="BB71" i="123"/>
  <c r="BA71" i="105"/>
  <c r="BA71" i="123"/>
  <c r="AZ71" i="105"/>
  <c r="AZ71" i="123"/>
  <c r="AY71" i="105"/>
  <c r="AY71" i="123"/>
  <c r="AV70" i="105"/>
  <c r="AW70" i="105"/>
  <c r="AV69" i="105"/>
  <c r="AW69" i="105"/>
  <c r="BG69" i="105"/>
  <c r="BG69" i="123"/>
  <c r="BF69" i="105"/>
  <c r="BF69" i="123"/>
  <c r="BE69" i="105"/>
  <c r="BE69" i="123"/>
  <c r="BD69" i="105"/>
  <c r="BD69" i="123"/>
  <c r="BC69" i="105"/>
  <c r="BC69" i="123"/>
  <c r="BB69" i="105"/>
  <c r="BB69" i="123"/>
  <c r="BA69" i="105"/>
  <c r="BA69" i="123"/>
  <c r="AZ69" i="105"/>
  <c r="AZ69" i="123"/>
  <c r="AY69" i="105"/>
  <c r="AY69" i="123"/>
  <c r="AV68" i="105"/>
  <c r="AW68" i="105"/>
  <c r="BG68" i="105"/>
  <c r="BG68" i="123"/>
  <c r="BF68" i="105"/>
  <c r="BF68" i="123"/>
  <c r="BE68" i="105"/>
  <c r="BE68" i="123"/>
  <c r="BD68" i="105"/>
  <c r="BD68" i="123"/>
  <c r="BC68" i="105"/>
  <c r="BC68" i="123"/>
  <c r="BB68" i="105"/>
  <c r="BB68" i="123"/>
  <c r="BA68" i="105"/>
  <c r="BA68" i="123"/>
  <c r="AZ68" i="105"/>
  <c r="AZ68" i="123"/>
  <c r="AY68" i="105"/>
  <c r="AY68" i="123"/>
  <c r="AV67" i="105"/>
  <c r="AW67" i="105"/>
  <c r="BG67" i="105"/>
  <c r="BG67" i="123"/>
  <c r="BF67" i="105"/>
  <c r="BF67" i="123"/>
  <c r="BE67" i="105"/>
  <c r="BE67" i="123"/>
  <c r="BD67" i="105"/>
  <c r="BD67" i="123"/>
  <c r="BC67" i="105"/>
  <c r="BC67" i="123"/>
  <c r="BB67" i="105"/>
  <c r="BB67" i="123"/>
  <c r="BA67" i="105"/>
  <c r="BA67" i="123"/>
  <c r="AZ67" i="105"/>
  <c r="AZ67" i="123"/>
  <c r="AY67" i="105"/>
  <c r="AY67" i="123"/>
  <c r="AV66" i="105"/>
  <c r="AW66" i="105"/>
  <c r="BG66" i="105"/>
  <c r="BG66" i="123"/>
  <c r="BF66" i="105"/>
  <c r="BF66" i="123"/>
  <c r="BE66" i="105"/>
  <c r="BE66" i="123"/>
  <c r="BD66" i="105"/>
  <c r="BD66" i="123"/>
  <c r="BC66" i="105"/>
  <c r="BC66" i="123"/>
  <c r="BB66" i="105"/>
  <c r="BB66" i="123"/>
  <c r="BA66" i="105"/>
  <c r="BA66" i="123"/>
  <c r="AZ66" i="105"/>
  <c r="AZ66" i="123"/>
  <c r="AY66" i="105"/>
  <c r="AY66" i="123"/>
  <c r="AV64" i="105"/>
  <c r="AW64" i="105"/>
  <c r="BG64" i="105"/>
  <c r="BG64" i="123"/>
  <c r="BF64" i="105"/>
  <c r="BF64" i="123"/>
  <c r="BE64" i="105"/>
  <c r="BE64" i="123"/>
  <c r="BD64" i="105"/>
  <c r="BD64" i="123"/>
  <c r="BC64" i="105"/>
  <c r="BC64" i="123"/>
  <c r="BB64" i="105"/>
  <c r="BB64" i="123"/>
  <c r="BA64" i="105"/>
  <c r="BA64" i="123"/>
  <c r="AZ64" i="105"/>
  <c r="AZ64" i="123"/>
  <c r="AY64" i="105"/>
  <c r="AY64" i="123"/>
  <c r="AV63" i="105"/>
  <c r="AW63" i="105"/>
  <c r="BG63" i="105"/>
  <c r="BG63" i="123"/>
  <c r="BF63" i="105"/>
  <c r="BF63" i="123"/>
  <c r="BE63" i="105"/>
  <c r="BE63" i="123"/>
  <c r="BD63" i="105"/>
  <c r="BD63" i="123"/>
  <c r="BC63" i="105"/>
  <c r="BC63" i="123"/>
  <c r="BB63" i="105"/>
  <c r="BB63" i="123"/>
  <c r="BA63" i="105"/>
  <c r="BA63" i="123"/>
  <c r="AZ63" i="105"/>
  <c r="AZ63" i="123"/>
  <c r="AY63" i="105"/>
  <c r="AY63" i="123"/>
  <c r="AV62" i="105"/>
  <c r="AW62" i="105"/>
  <c r="AV61" i="105"/>
  <c r="AW61" i="105"/>
  <c r="AV60" i="105"/>
  <c r="AW60" i="105"/>
  <c r="BG60" i="105"/>
  <c r="BG60" i="123"/>
  <c r="BF60" i="105"/>
  <c r="BF60" i="123"/>
  <c r="BE60" i="105"/>
  <c r="BE60" i="123"/>
  <c r="BD60" i="105"/>
  <c r="BD60" i="123"/>
  <c r="BC60" i="105"/>
  <c r="BC60" i="123"/>
  <c r="BB60" i="105"/>
  <c r="BB60" i="123"/>
  <c r="BA60" i="105"/>
  <c r="BA60" i="123"/>
  <c r="AZ60" i="105"/>
  <c r="AZ60" i="123"/>
  <c r="AY60" i="105"/>
  <c r="AY60" i="123"/>
  <c r="AV59" i="105"/>
  <c r="AW59" i="105"/>
  <c r="BG59" i="105"/>
  <c r="BG59" i="123"/>
  <c r="BF59" i="105"/>
  <c r="BF59" i="123"/>
  <c r="BE59" i="105"/>
  <c r="BE59" i="123"/>
  <c r="BD59" i="105"/>
  <c r="BD59" i="123"/>
  <c r="BC59" i="105"/>
  <c r="BC59" i="123"/>
  <c r="BB59" i="105"/>
  <c r="BB59" i="123"/>
  <c r="BA59" i="105"/>
  <c r="BA59" i="123"/>
  <c r="AZ59" i="105"/>
  <c r="AZ59" i="123"/>
  <c r="AY59" i="105"/>
  <c r="AY59" i="123"/>
  <c r="AV49" i="105"/>
  <c r="AW49" i="105"/>
  <c r="BG49" i="105"/>
  <c r="BG49" i="123"/>
  <c r="BF49" i="105"/>
  <c r="BF49" i="123"/>
  <c r="BE49" i="105"/>
  <c r="BE49" i="123"/>
  <c r="BD49" i="105"/>
  <c r="BD49" i="123"/>
  <c r="BC49" i="105"/>
  <c r="BC49" i="123"/>
  <c r="BB49" i="105"/>
  <c r="BB49" i="123"/>
  <c r="BA49" i="105"/>
  <c r="BA49" i="123"/>
  <c r="AZ49" i="105"/>
  <c r="AZ49" i="123"/>
  <c r="AY49" i="105"/>
  <c r="AY49" i="123"/>
  <c r="AV48" i="105"/>
  <c r="AW48" i="105"/>
  <c r="BG48" i="105"/>
  <c r="BG48" i="123"/>
  <c r="BF48" i="105"/>
  <c r="BF48" i="123"/>
  <c r="BE48" i="105"/>
  <c r="BE48" i="123"/>
  <c r="BD48" i="105"/>
  <c r="BD48" i="123"/>
  <c r="BC48" i="105"/>
  <c r="BC48" i="123"/>
  <c r="BB48" i="105"/>
  <c r="BB48" i="123"/>
  <c r="BA48" i="105"/>
  <c r="BA48" i="123"/>
  <c r="AZ48" i="105"/>
  <c r="AZ48" i="123"/>
  <c r="AY48" i="105"/>
  <c r="AY48" i="123"/>
  <c r="BG47" i="105"/>
  <c r="BG47" i="123"/>
  <c r="BF47" i="105"/>
  <c r="BF47" i="123"/>
  <c r="BE47" i="105"/>
  <c r="BE47" i="123"/>
  <c r="BD47" i="105"/>
  <c r="BD47" i="123"/>
  <c r="BC47" i="105"/>
  <c r="BC47" i="123"/>
  <c r="BB47" i="105"/>
  <c r="BB47" i="123"/>
  <c r="BA47" i="105"/>
  <c r="BA47" i="123"/>
  <c r="AZ47" i="105"/>
  <c r="AZ47" i="123"/>
  <c r="AY47" i="123"/>
  <c r="BQ131" i="123"/>
  <c r="BP131" i="123"/>
  <c r="BO131" i="123"/>
  <c r="BN131" i="123"/>
  <c r="BM131" i="123"/>
  <c r="BL131" i="123"/>
  <c r="BK131" i="123"/>
  <c r="BJ131" i="123"/>
  <c r="BI131" i="123"/>
  <c r="BQ130" i="123"/>
  <c r="BP130" i="123"/>
  <c r="BO130" i="123"/>
  <c r="BN130" i="123"/>
  <c r="BM130" i="123"/>
  <c r="BL130" i="123"/>
  <c r="BK130" i="123"/>
  <c r="BJ130" i="123"/>
  <c r="BI130" i="123"/>
  <c r="BI129" i="123"/>
  <c r="BQ128" i="123"/>
  <c r="BP128" i="123"/>
  <c r="BO128" i="123"/>
  <c r="BN128" i="123"/>
  <c r="BM128" i="123"/>
  <c r="BL128" i="123"/>
  <c r="BK128" i="123"/>
  <c r="BJ128" i="123"/>
  <c r="BI128" i="123"/>
  <c r="BQ127" i="123"/>
  <c r="BP127" i="123"/>
  <c r="BO127" i="123"/>
  <c r="BN127" i="123"/>
  <c r="BM127" i="123"/>
  <c r="BL127" i="123"/>
  <c r="BK127" i="123"/>
  <c r="BJ127" i="123"/>
  <c r="BI127" i="123"/>
  <c r="BQ126" i="123"/>
  <c r="BP126" i="123"/>
  <c r="BO126" i="123"/>
  <c r="BN126" i="123"/>
  <c r="BM126" i="123"/>
  <c r="BL126" i="123"/>
  <c r="BK126" i="123"/>
  <c r="BJ126" i="123"/>
  <c r="BI126" i="123"/>
  <c r="BQ125" i="123"/>
  <c r="BP125" i="123"/>
  <c r="BO125" i="123"/>
  <c r="BN125" i="123"/>
  <c r="BM125" i="123"/>
  <c r="BL125" i="123"/>
  <c r="BK125" i="123"/>
  <c r="BJ125" i="123"/>
  <c r="BI125" i="123"/>
  <c r="BQ124" i="123"/>
  <c r="BP124" i="123"/>
  <c r="BO124" i="123"/>
  <c r="BN124" i="123"/>
  <c r="BM124" i="123"/>
  <c r="BL124" i="123"/>
  <c r="BK124" i="123"/>
  <c r="BJ124" i="123"/>
  <c r="BI124" i="123"/>
  <c r="BQ123" i="123"/>
  <c r="BP123" i="123"/>
  <c r="BO123" i="123"/>
  <c r="BN123" i="123"/>
  <c r="BM123" i="123"/>
  <c r="BL123" i="123"/>
  <c r="BK123" i="123"/>
  <c r="BJ123" i="123"/>
  <c r="BI123" i="123"/>
  <c r="BQ122" i="123"/>
  <c r="BP122" i="123"/>
  <c r="BO122" i="123"/>
  <c r="BN122" i="123"/>
  <c r="BM122" i="123"/>
  <c r="BL122" i="123"/>
  <c r="BK122" i="123"/>
  <c r="BJ122" i="123"/>
  <c r="BI122" i="123"/>
  <c r="BQ121" i="123"/>
  <c r="BP121" i="123"/>
  <c r="BO121" i="123"/>
  <c r="BN121" i="123"/>
  <c r="BM121" i="123"/>
  <c r="BL121" i="123"/>
  <c r="BK121" i="123"/>
  <c r="BJ121" i="123"/>
  <c r="BI121" i="123"/>
  <c r="BQ120" i="123"/>
  <c r="BP120" i="123"/>
  <c r="BO120" i="123"/>
  <c r="BN120" i="123"/>
  <c r="BM120" i="123"/>
  <c r="BL120" i="123"/>
  <c r="BK120" i="123"/>
  <c r="BJ120" i="123"/>
  <c r="BI120" i="123"/>
  <c r="BQ119" i="123"/>
  <c r="BP119" i="123"/>
  <c r="BO119" i="123"/>
  <c r="BN119" i="123"/>
  <c r="BM119" i="123"/>
  <c r="BL119" i="123"/>
  <c r="BK119" i="123"/>
  <c r="BJ119" i="123"/>
  <c r="BI119" i="123"/>
  <c r="BQ118" i="123"/>
  <c r="BP118" i="123"/>
  <c r="BO118" i="123"/>
  <c r="BN118" i="123"/>
  <c r="BM118" i="123"/>
  <c r="BL118" i="123"/>
  <c r="BK118" i="123"/>
  <c r="BJ118" i="123"/>
  <c r="BI118" i="123"/>
  <c r="BQ117" i="123"/>
  <c r="BP117" i="123"/>
  <c r="BO117" i="123"/>
  <c r="BN117" i="123"/>
  <c r="BM117" i="123"/>
  <c r="BL117" i="123"/>
  <c r="BK117" i="123"/>
  <c r="BJ117" i="123"/>
  <c r="BI117" i="123"/>
  <c r="BQ115" i="123"/>
  <c r="BP115" i="123"/>
  <c r="BO115" i="123"/>
  <c r="BN115" i="123"/>
  <c r="BM115" i="123"/>
  <c r="BL115" i="123"/>
  <c r="BK115" i="123"/>
  <c r="BJ115" i="123"/>
  <c r="BI115" i="123"/>
  <c r="BQ114" i="123"/>
  <c r="BP114" i="123"/>
  <c r="BO114" i="123"/>
  <c r="BN114" i="123"/>
  <c r="BM114" i="123"/>
  <c r="BL114" i="123"/>
  <c r="BK114" i="123"/>
  <c r="BJ114" i="123"/>
  <c r="BI114" i="123"/>
  <c r="BQ113" i="123"/>
  <c r="BP113" i="123"/>
  <c r="BO113" i="123"/>
  <c r="BN113" i="123"/>
  <c r="BM113" i="123"/>
  <c r="BL113" i="123"/>
  <c r="BK113" i="123"/>
  <c r="BJ113" i="123"/>
  <c r="BI113" i="123"/>
  <c r="BQ112" i="123"/>
  <c r="BP112" i="123"/>
  <c r="BO112" i="123"/>
  <c r="BN112" i="123"/>
  <c r="BM112" i="123"/>
  <c r="BL112" i="123"/>
  <c r="BK112" i="123"/>
  <c r="BJ112" i="123"/>
  <c r="BI112" i="123"/>
  <c r="BQ110" i="123"/>
  <c r="BP110" i="123"/>
  <c r="BO110" i="123"/>
  <c r="BN110" i="123"/>
  <c r="BM110" i="123"/>
  <c r="BL110" i="123"/>
  <c r="BK110" i="123"/>
  <c r="BJ110" i="123"/>
  <c r="BI110" i="123"/>
  <c r="BQ109" i="123"/>
  <c r="BP109" i="123"/>
  <c r="BO109" i="123"/>
  <c r="BN109" i="123"/>
  <c r="BM109" i="123"/>
  <c r="BL109" i="123"/>
  <c r="BK109" i="123"/>
  <c r="BJ109" i="123"/>
  <c r="BI109" i="123"/>
  <c r="BQ106" i="123"/>
  <c r="BP106" i="123"/>
  <c r="BO106" i="123"/>
  <c r="BN106" i="123"/>
  <c r="BM106" i="123"/>
  <c r="BL106" i="123"/>
  <c r="BK106" i="123"/>
  <c r="BJ106" i="123"/>
  <c r="BI106" i="123"/>
  <c r="BQ105" i="123"/>
  <c r="BP105" i="123"/>
  <c r="BO105" i="123"/>
  <c r="BN105" i="123"/>
  <c r="BM105" i="123"/>
  <c r="BL105" i="123"/>
  <c r="BK105" i="123"/>
  <c r="BJ105" i="123"/>
  <c r="BI105" i="123"/>
  <c r="BQ104" i="123"/>
  <c r="BP104" i="123"/>
  <c r="BO104" i="123"/>
  <c r="BN104" i="123"/>
  <c r="BM104" i="123"/>
  <c r="BL104" i="123"/>
  <c r="BK104" i="123"/>
  <c r="BJ104" i="123"/>
  <c r="BI104" i="123"/>
  <c r="BQ102" i="123"/>
  <c r="BP102" i="123"/>
  <c r="BO102" i="123"/>
  <c r="BN102" i="123"/>
  <c r="BM102" i="123"/>
  <c r="BL102" i="123"/>
  <c r="BK102" i="123"/>
  <c r="BJ102" i="123"/>
  <c r="BI102" i="123"/>
  <c r="BQ94" i="123"/>
  <c r="BP94" i="123"/>
  <c r="BO94" i="123"/>
  <c r="BN94" i="123"/>
  <c r="BM94" i="123"/>
  <c r="BL94" i="123"/>
  <c r="BK94" i="123"/>
  <c r="BJ94" i="123"/>
  <c r="BI94" i="123"/>
  <c r="BQ93" i="123"/>
  <c r="BP93" i="123"/>
  <c r="BO93" i="123"/>
  <c r="BN93" i="123"/>
  <c r="BM93" i="123"/>
  <c r="BL93" i="123"/>
  <c r="BK93" i="123"/>
  <c r="BJ93" i="123"/>
  <c r="BI93" i="123"/>
  <c r="BQ92" i="123"/>
  <c r="BP92" i="123"/>
  <c r="BO92" i="123"/>
  <c r="BN92" i="123"/>
  <c r="BM92" i="123"/>
  <c r="BL92" i="123"/>
  <c r="BK92" i="123"/>
  <c r="BJ92" i="123"/>
  <c r="BI92" i="123"/>
  <c r="BQ86" i="105"/>
  <c r="BQ86" i="123"/>
  <c r="BP86" i="105"/>
  <c r="BP86" i="123"/>
  <c r="BO86" i="105"/>
  <c r="BO86" i="123"/>
  <c r="BN86" i="105"/>
  <c r="BN86" i="123"/>
  <c r="BM86" i="105"/>
  <c r="BM86" i="123"/>
  <c r="BL86" i="105"/>
  <c r="BL86" i="123"/>
  <c r="BK86" i="105"/>
  <c r="BK86" i="123"/>
  <c r="BJ86" i="105"/>
  <c r="BJ86" i="123"/>
  <c r="BI86" i="105"/>
  <c r="BI86" i="123"/>
  <c r="BQ85" i="105"/>
  <c r="BQ85" i="123"/>
  <c r="BP85" i="105"/>
  <c r="BP85" i="123"/>
  <c r="BO85" i="105"/>
  <c r="BO85" i="123"/>
  <c r="BN85" i="105"/>
  <c r="BN85" i="123"/>
  <c r="BM85" i="105"/>
  <c r="BM85" i="123"/>
  <c r="BL85" i="105"/>
  <c r="BL85" i="123"/>
  <c r="BK85" i="105"/>
  <c r="BK85" i="123"/>
  <c r="BJ85" i="105"/>
  <c r="BJ85" i="123"/>
  <c r="BI85" i="105"/>
  <c r="BI85" i="123"/>
  <c r="BQ84" i="105"/>
  <c r="BQ84" i="123"/>
  <c r="BP84" i="105"/>
  <c r="BP84" i="123"/>
  <c r="BO84" i="105"/>
  <c r="BO84" i="123"/>
  <c r="BN84" i="105"/>
  <c r="BN84" i="123"/>
  <c r="BM84" i="105"/>
  <c r="BM84" i="123"/>
  <c r="BL84" i="105"/>
  <c r="BL84" i="123"/>
  <c r="BK84" i="105"/>
  <c r="BK84" i="123"/>
  <c r="BJ84" i="105"/>
  <c r="BJ84" i="123"/>
  <c r="BI84" i="105"/>
  <c r="BI84" i="123"/>
  <c r="BI83" i="105"/>
  <c r="BI83" i="123"/>
  <c r="BQ82" i="105"/>
  <c r="BQ82" i="123"/>
  <c r="BP82" i="105"/>
  <c r="BP82" i="123"/>
  <c r="BO82" i="105"/>
  <c r="BO82" i="123"/>
  <c r="BN82" i="105"/>
  <c r="BN82" i="123"/>
  <c r="BM82" i="105"/>
  <c r="BM82" i="123"/>
  <c r="BL82" i="105"/>
  <c r="BL82" i="123"/>
  <c r="BK82" i="105"/>
  <c r="BK82" i="123"/>
  <c r="BJ82" i="105"/>
  <c r="BJ82" i="123"/>
  <c r="BI82" i="105"/>
  <c r="BI82" i="123"/>
  <c r="BQ81" i="105"/>
  <c r="BQ81" i="123"/>
  <c r="BP81" i="105"/>
  <c r="BP81" i="123"/>
  <c r="BO81" i="105"/>
  <c r="BO81" i="123"/>
  <c r="BN81" i="105"/>
  <c r="BN81" i="123"/>
  <c r="BM81" i="105"/>
  <c r="BM81" i="123"/>
  <c r="BL81" i="105"/>
  <c r="BL81" i="123"/>
  <c r="BK81" i="105"/>
  <c r="BK81" i="123"/>
  <c r="BJ81" i="105"/>
  <c r="BJ81" i="123"/>
  <c r="BI81" i="105"/>
  <c r="BI81" i="123"/>
  <c r="BQ80" i="105"/>
  <c r="BQ80" i="123"/>
  <c r="BP80" i="105"/>
  <c r="BP80" i="123"/>
  <c r="BO80" i="105"/>
  <c r="BO80" i="123"/>
  <c r="BN80" i="105"/>
  <c r="BN80" i="123"/>
  <c r="BM80" i="105"/>
  <c r="BM80" i="123"/>
  <c r="BL80" i="105"/>
  <c r="BL80" i="123"/>
  <c r="BK80" i="105"/>
  <c r="BK80" i="123"/>
  <c r="BJ80" i="105"/>
  <c r="BJ80" i="123"/>
  <c r="BI80" i="105"/>
  <c r="BI80" i="123"/>
  <c r="BQ79" i="105"/>
  <c r="BQ79" i="123"/>
  <c r="BP79" i="105"/>
  <c r="BP79" i="123"/>
  <c r="BO79" i="105"/>
  <c r="BO79" i="123"/>
  <c r="BN79" i="105"/>
  <c r="BN79" i="123"/>
  <c r="BM79" i="105"/>
  <c r="BM79" i="123"/>
  <c r="BL79" i="105"/>
  <c r="BL79" i="123"/>
  <c r="BK79" i="105"/>
  <c r="BK79" i="123"/>
  <c r="BJ79" i="105"/>
  <c r="BJ79" i="123"/>
  <c r="BI79" i="105"/>
  <c r="BI79" i="123"/>
  <c r="BQ78" i="105"/>
  <c r="BQ78" i="123"/>
  <c r="BP78" i="105"/>
  <c r="BP78" i="123"/>
  <c r="BO78" i="105"/>
  <c r="BO78" i="123"/>
  <c r="BN78" i="105"/>
  <c r="BN78" i="123"/>
  <c r="BM78" i="105"/>
  <c r="BM78" i="123"/>
  <c r="BL78" i="105"/>
  <c r="BL78" i="123"/>
  <c r="BK78" i="105"/>
  <c r="BK78" i="123"/>
  <c r="BJ78" i="105"/>
  <c r="BJ78" i="123"/>
  <c r="BI78" i="105"/>
  <c r="BI78" i="123"/>
  <c r="BQ77" i="105"/>
  <c r="BQ77" i="123"/>
  <c r="BP77" i="105"/>
  <c r="BP77" i="123"/>
  <c r="BO77" i="105"/>
  <c r="BO77" i="123"/>
  <c r="BN77" i="105"/>
  <c r="BN77" i="123"/>
  <c r="BM77" i="105"/>
  <c r="BM77" i="123"/>
  <c r="BL77" i="105"/>
  <c r="BL77" i="123"/>
  <c r="BK77" i="105"/>
  <c r="BK77" i="123"/>
  <c r="BJ77" i="105"/>
  <c r="BJ77" i="123"/>
  <c r="BI77" i="105"/>
  <c r="BI77" i="123"/>
  <c r="BQ76" i="105"/>
  <c r="BQ76" i="123"/>
  <c r="BP76" i="105"/>
  <c r="BP76" i="123"/>
  <c r="BO76" i="105"/>
  <c r="BO76" i="123"/>
  <c r="BN76" i="105"/>
  <c r="BN76" i="123"/>
  <c r="BM76" i="105"/>
  <c r="BM76" i="123"/>
  <c r="BL76" i="105"/>
  <c r="BL76" i="123"/>
  <c r="BK76" i="105"/>
  <c r="BK76" i="123"/>
  <c r="BJ76" i="105"/>
  <c r="BJ76" i="123"/>
  <c r="BI76" i="105"/>
  <c r="BI76" i="123"/>
  <c r="BQ75" i="105"/>
  <c r="BQ75" i="123"/>
  <c r="BP75" i="105"/>
  <c r="BP75" i="123"/>
  <c r="BO75" i="105"/>
  <c r="BO75" i="123"/>
  <c r="BN75" i="105"/>
  <c r="BN75" i="123"/>
  <c r="BM75" i="105"/>
  <c r="BM75" i="123"/>
  <c r="BL75" i="105"/>
  <c r="BL75" i="123"/>
  <c r="BK75" i="105"/>
  <c r="BK75" i="123"/>
  <c r="BJ75" i="105"/>
  <c r="BJ75" i="123"/>
  <c r="BI75" i="105"/>
  <c r="BI75" i="123"/>
  <c r="BQ74" i="105"/>
  <c r="BQ74" i="123"/>
  <c r="BP74" i="105"/>
  <c r="BP74" i="123"/>
  <c r="BO74" i="105"/>
  <c r="BO74" i="123"/>
  <c r="BN74" i="105"/>
  <c r="BN74" i="123"/>
  <c r="BM74" i="105"/>
  <c r="BM74" i="123"/>
  <c r="BL74" i="105"/>
  <c r="BL74" i="123"/>
  <c r="BK74" i="105"/>
  <c r="BK74" i="123"/>
  <c r="BJ74" i="105"/>
  <c r="BJ74" i="123"/>
  <c r="BI74" i="105"/>
  <c r="BI74" i="123"/>
  <c r="BQ73" i="105"/>
  <c r="BQ73" i="123"/>
  <c r="BP73" i="105"/>
  <c r="BP73" i="123"/>
  <c r="BO73" i="105"/>
  <c r="BO73" i="123"/>
  <c r="BN73" i="105"/>
  <c r="BN73" i="123"/>
  <c r="BM73" i="105"/>
  <c r="BM73" i="123"/>
  <c r="BL73" i="105"/>
  <c r="BL73" i="123"/>
  <c r="BK73" i="105"/>
  <c r="BK73" i="123"/>
  <c r="BJ73" i="105"/>
  <c r="BJ73" i="123"/>
  <c r="BI73" i="105"/>
  <c r="BI73" i="123"/>
  <c r="BQ72" i="105"/>
  <c r="BQ72" i="123"/>
  <c r="BP72" i="105"/>
  <c r="BP72" i="123"/>
  <c r="BO72" i="105"/>
  <c r="BO72" i="123"/>
  <c r="BN72" i="105"/>
  <c r="BN72" i="123"/>
  <c r="BM72" i="105"/>
  <c r="BM72" i="123"/>
  <c r="BL72" i="105"/>
  <c r="BL72" i="123"/>
  <c r="BK72" i="105"/>
  <c r="BK72" i="123"/>
  <c r="BJ72" i="105"/>
  <c r="BJ72" i="123"/>
  <c r="BI72" i="105"/>
  <c r="BI72" i="123"/>
  <c r="BQ71" i="105"/>
  <c r="BQ71" i="123"/>
  <c r="BP71" i="105"/>
  <c r="BP71" i="123"/>
  <c r="BO71" i="105"/>
  <c r="BO71" i="123"/>
  <c r="BN71" i="105"/>
  <c r="BN71" i="123"/>
  <c r="BM71" i="105"/>
  <c r="BM71" i="123"/>
  <c r="BL71" i="105"/>
  <c r="BL71" i="123"/>
  <c r="BK71" i="105"/>
  <c r="BK71" i="123"/>
  <c r="BJ71" i="105"/>
  <c r="BJ71" i="123"/>
  <c r="BI71" i="105"/>
  <c r="BI71" i="123"/>
  <c r="BQ69" i="105"/>
  <c r="BQ69" i="123"/>
  <c r="BP69" i="105"/>
  <c r="BP69" i="123"/>
  <c r="BO69" i="105"/>
  <c r="BO69" i="123"/>
  <c r="BN69" i="105"/>
  <c r="BN69" i="123"/>
  <c r="BM69" i="105"/>
  <c r="BM69" i="123"/>
  <c r="BL69" i="105"/>
  <c r="BL69" i="123"/>
  <c r="BK69" i="105"/>
  <c r="BK69" i="123"/>
  <c r="BJ69" i="105"/>
  <c r="BJ69" i="123"/>
  <c r="BI69" i="105"/>
  <c r="BI69" i="123"/>
  <c r="BQ68" i="105"/>
  <c r="BQ68" i="123"/>
  <c r="BP68" i="105"/>
  <c r="BP68" i="123"/>
  <c r="BO68" i="105"/>
  <c r="BO68" i="123"/>
  <c r="BN68" i="105"/>
  <c r="BN68" i="123"/>
  <c r="BM68" i="105"/>
  <c r="BM68" i="123"/>
  <c r="BL68" i="105"/>
  <c r="BL68" i="123"/>
  <c r="BK68" i="105"/>
  <c r="BK68" i="123"/>
  <c r="BJ68" i="105"/>
  <c r="BJ68" i="123"/>
  <c r="BI68" i="105"/>
  <c r="BI68" i="123"/>
  <c r="BQ67" i="105"/>
  <c r="BQ67" i="123"/>
  <c r="BP67" i="105"/>
  <c r="BP67" i="123"/>
  <c r="BO67" i="105"/>
  <c r="BO67" i="123"/>
  <c r="BN67" i="105"/>
  <c r="BN67" i="123"/>
  <c r="BM67" i="105"/>
  <c r="BM67" i="123"/>
  <c r="BL67" i="105"/>
  <c r="BL67" i="123"/>
  <c r="BK67" i="105"/>
  <c r="BK67" i="123"/>
  <c r="BJ67" i="105"/>
  <c r="BJ67" i="123"/>
  <c r="BI67" i="105"/>
  <c r="BI67" i="123"/>
  <c r="BQ66" i="105"/>
  <c r="BQ66" i="123"/>
  <c r="BP66" i="105"/>
  <c r="BP66" i="123"/>
  <c r="BO66" i="105"/>
  <c r="BO66" i="123"/>
  <c r="BN66" i="105"/>
  <c r="BN66" i="123"/>
  <c r="BM66" i="105"/>
  <c r="BM66" i="123"/>
  <c r="BL66" i="105"/>
  <c r="BL66" i="123"/>
  <c r="BK66" i="105"/>
  <c r="BK66" i="123"/>
  <c r="BJ66" i="105"/>
  <c r="BJ66" i="123"/>
  <c r="BI66" i="105"/>
  <c r="BI66" i="123"/>
  <c r="BQ64" i="105"/>
  <c r="BQ64" i="123"/>
  <c r="BP64" i="105"/>
  <c r="BP64" i="123"/>
  <c r="BO64" i="105"/>
  <c r="BO64" i="123"/>
  <c r="BN64" i="105"/>
  <c r="BN64" i="123"/>
  <c r="BM64" i="105"/>
  <c r="BM64" i="123"/>
  <c r="BL64" i="105"/>
  <c r="BL64" i="123"/>
  <c r="BK64" i="105"/>
  <c r="BK64" i="123"/>
  <c r="BJ64" i="105"/>
  <c r="BJ64" i="123"/>
  <c r="BI64" i="105"/>
  <c r="BI64" i="123"/>
  <c r="BQ63" i="105"/>
  <c r="BQ63" i="123"/>
  <c r="BP63" i="105"/>
  <c r="BP63" i="123"/>
  <c r="BO63" i="105"/>
  <c r="BO63" i="123"/>
  <c r="BN63" i="105"/>
  <c r="BN63" i="123"/>
  <c r="BM63" i="105"/>
  <c r="BM63" i="123"/>
  <c r="BL63" i="105"/>
  <c r="BL63" i="123"/>
  <c r="BK63" i="105"/>
  <c r="BK63" i="123"/>
  <c r="BJ63" i="105"/>
  <c r="BJ63" i="123"/>
  <c r="BI63" i="105"/>
  <c r="BI63" i="123"/>
  <c r="BQ60" i="105"/>
  <c r="BQ60" i="123"/>
  <c r="BP60" i="105"/>
  <c r="BP60" i="123"/>
  <c r="BO60" i="105"/>
  <c r="BO60" i="123"/>
  <c r="BN60" i="105"/>
  <c r="BN60" i="123"/>
  <c r="BM60" i="105"/>
  <c r="BM60" i="123"/>
  <c r="BL60" i="105"/>
  <c r="BL60" i="123"/>
  <c r="BK60" i="105"/>
  <c r="BK60" i="123"/>
  <c r="BJ60" i="105"/>
  <c r="BJ60" i="123"/>
  <c r="BI60" i="105"/>
  <c r="BI60" i="123"/>
  <c r="BQ59" i="105"/>
  <c r="BQ59" i="123"/>
  <c r="BP59" i="105"/>
  <c r="BP59" i="123"/>
  <c r="BO59" i="105"/>
  <c r="BO59" i="123"/>
  <c r="BN59" i="105"/>
  <c r="BN59" i="123"/>
  <c r="BM59" i="105"/>
  <c r="BM59" i="123"/>
  <c r="BL59" i="105"/>
  <c r="BL59" i="123"/>
  <c r="BK59" i="105"/>
  <c r="BK59" i="123"/>
  <c r="BJ59" i="105"/>
  <c r="BJ59" i="123"/>
  <c r="BI59" i="105"/>
  <c r="BI59" i="123"/>
  <c r="BQ49" i="105"/>
  <c r="BQ49" i="123"/>
  <c r="BP49" i="105"/>
  <c r="BP49" i="123"/>
  <c r="BO49" i="105"/>
  <c r="BO49" i="123"/>
  <c r="BN49" i="105"/>
  <c r="BN49" i="123"/>
  <c r="BM49" i="105"/>
  <c r="BM49" i="123"/>
  <c r="BL49" i="105"/>
  <c r="BL49" i="123"/>
  <c r="BK49" i="105"/>
  <c r="BK49" i="123"/>
  <c r="BJ49" i="105"/>
  <c r="BJ49" i="123"/>
  <c r="BI49" i="105"/>
  <c r="BI49" i="123"/>
  <c r="BQ48" i="105"/>
  <c r="BQ48" i="123"/>
  <c r="BP48" i="105"/>
  <c r="BP48" i="123"/>
  <c r="BO48" i="105"/>
  <c r="BO48" i="123"/>
  <c r="BN48" i="105"/>
  <c r="BN48" i="123"/>
  <c r="BM48" i="105"/>
  <c r="BM48" i="123"/>
  <c r="BL48" i="105"/>
  <c r="BL48" i="123"/>
  <c r="BK48" i="105"/>
  <c r="BK48" i="123"/>
  <c r="BJ48" i="105"/>
  <c r="BJ48" i="123"/>
  <c r="BI48" i="105"/>
  <c r="BI48" i="123"/>
  <c r="BQ47" i="105"/>
  <c r="BQ47" i="123"/>
  <c r="BP47" i="105"/>
  <c r="BP47" i="123"/>
  <c r="BO47" i="105"/>
  <c r="BO47" i="123"/>
  <c r="BN47" i="105"/>
  <c r="BN47" i="123"/>
  <c r="BM47" i="105"/>
  <c r="BM47" i="123"/>
  <c r="BL47" i="105"/>
  <c r="BL47" i="123"/>
  <c r="BK47" i="105"/>
  <c r="BK47" i="123"/>
  <c r="BJ47" i="105"/>
  <c r="BJ47" i="123"/>
  <c r="BI47" i="123"/>
  <c r="CA82" i="105"/>
  <c r="CA82" i="123"/>
  <c r="BZ82" i="105"/>
  <c r="BZ82" i="123"/>
  <c r="BY82" i="105"/>
  <c r="BY82" i="123"/>
  <c r="BX82" i="105"/>
  <c r="BX82" i="123"/>
  <c r="BW82" i="105"/>
  <c r="BW82" i="123"/>
  <c r="BV82" i="105"/>
  <c r="BV82" i="123"/>
  <c r="BU82" i="105"/>
  <c r="BU82" i="123"/>
  <c r="BT82" i="105"/>
  <c r="BT82" i="123"/>
  <c r="BS82" i="105"/>
  <c r="BS82" i="123"/>
  <c r="CA81" i="105"/>
  <c r="CA81" i="123"/>
  <c r="BZ81" i="105"/>
  <c r="BZ81" i="123"/>
  <c r="BY81" i="105"/>
  <c r="BY81" i="123"/>
  <c r="BX81" i="105"/>
  <c r="BX81" i="123"/>
  <c r="BW81" i="105"/>
  <c r="BW81" i="123"/>
  <c r="BV81" i="105"/>
  <c r="BV81" i="123"/>
  <c r="BU81" i="105"/>
  <c r="BU81" i="123"/>
  <c r="BT81" i="105"/>
  <c r="BT81" i="123"/>
  <c r="BS81" i="105"/>
  <c r="BS81" i="123"/>
  <c r="CA80" i="105"/>
  <c r="CA80" i="123"/>
  <c r="BZ80" i="105"/>
  <c r="BZ80" i="123"/>
  <c r="BY80" i="105"/>
  <c r="BY80" i="123"/>
  <c r="BX80" i="105"/>
  <c r="BX80" i="123"/>
  <c r="BW80" i="105"/>
  <c r="BW80" i="123"/>
  <c r="BV80" i="105"/>
  <c r="BV80" i="123"/>
  <c r="BU80" i="105"/>
  <c r="BU80" i="123"/>
  <c r="BT80" i="105"/>
  <c r="BT80" i="123"/>
  <c r="BS80" i="105"/>
  <c r="BS80" i="123"/>
  <c r="CA79" i="105"/>
  <c r="CA79" i="123"/>
  <c r="BZ79" i="105"/>
  <c r="BZ79" i="123"/>
  <c r="BY79" i="105"/>
  <c r="BY79" i="123"/>
  <c r="BX79" i="105"/>
  <c r="BX79" i="123"/>
  <c r="BW79" i="105"/>
  <c r="BW79" i="123"/>
  <c r="BV79" i="105"/>
  <c r="BV79" i="123"/>
  <c r="BU79" i="105"/>
  <c r="BU79" i="123"/>
  <c r="BT79" i="105"/>
  <c r="BT79" i="123"/>
  <c r="BS79" i="105"/>
  <c r="BS79" i="123"/>
  <c r="CA78" i="105"/>
  <c r="CA78" i="123"/>
  <c r="BZ78" i="105"/>
  <c r="BZ78" i="123"/>
  <c r="BY78" i="105"/>
  <c r="BY78" i="123"/>
  <c r="BX78" i="105"/>
  <c r="BX78" i="123"/>
  <c r="BW78" i="105"/>
  <c r="BW78" i="123"/>
  <c r="BV78" i="105"/>
  <c r="BV78" i="123"/>
  <c r="BU78" i="105"/>
  <c r="BU78" i="123"/>
  <c r="BT78" i="105"/>
  <c r="BT78" i="123"/>
  <c r="BS78" i="105"/>
  <c r="BS78" i="123"/>
  <c r="CA77" i="105"/>
  <c r="CA77" i="123"/>
  <c r="BZ77" i="105"/>
  <c r="BZ77" i="123"/>
  <c r="BY77" i="105"/>
  <c r="BY77" i="123"/>
  <c r="BX77" i="105"/>
  <c r="BX77" i="123"/>
  <c r="BW77" i="105"/>
  <c r="BW77" i="123"/>
  <c r="BV77" i="105"/>
  <c r="BV77" i="123"/>
  <c r="BU77" i="105"/>
  <c r="BU77" i="123"/>
  <c r="BT77" i="105"/>
  <c r="BT77" i="123"/>
  <c r="BS77" i="105"/>
  <c r="BS77" i="123"/>
  <c r="CA76" i="105"/>
  <c r="CA76" i="123"/>
  <c r="BZ76" i="105"/>
  <c r="BZ76" i="123"/>
  <c r="BY76" i="105"/>
  <c r="BY76" i="123"/>
  <c r="BX76" i="105"/>
  <c r="BX76" i="123"/>
  <c r="BW76" i="105"/>
  <c r="BW76" i="123"/>
  <c r="BV76" i="105"/>
  <c r="BV76" i="123"/>
  <c r="BU76" i="105"/>
  <c r="BU76" i="123"/>
  <c r="BT76" i="105"/>
  <c r="BT76" i="123"/>
  <c r="BS76" i="105"/>
  <c r="BS76" i="123"/>
  <c r="CA75" i="105"/>
  <c r="CA75" i="123"/>
  <c r="BZ75" i="105"/>
  <c r="BZ75" i="123"/>
  <c r="BY75" i="105"/>
  <c r="BY75" i="123"/>
  <c r="BX75" i="105"/>
  <c r="BX75" i="123"/>
  <c r="BW75" i="105"/>
  <c r="BW75" i="123"/>
  <c r="BV75" i="105"/>
  <c r="BV75" i="123"/>
  <c r="BU75" i="105"/>
  <c r="BU75" i="123"/>
  <c r="BT75" i="105"/>
  <c r="BT75" i="123"/>
  <c r="BS75" i="105"/>
  <c r="BS75" i="123"/>
  <c r="CA74" i="105"/>
  <c r="CA74" i="123"/>
  <c r="BZ74" i="105"/>
  <c r="BZ74" i="123"/>
  <c r="BY74" i="105"/>
  <c r="BY74" i="123"/>
  <c r="BX74" i="105"/>
  <c r="BX74" i="123"/>
  <c r="BW74" i="105"/>
  <c r="BW74" i="123"/>
  <c r="BV74" i="105"/>
  <c r="BV74" i="123"/>
  <c r="BU74" i="105"/>
  <c r="BU74" i="123"/>
  <c r="BT74" i="105"/>
  <c r="BT74" i="123"/>
  <c r="BS74" i="105"/>
  <c r="BS74" i="123"/>
  <c r="CA73" i="105"/>
  <c r="CA73" i="123"/>
  <c r="BZ73" i="105"/>
  <c r="BZ73" i="123"/>
  <c r="BY73" i="105"/>
  <c r="BY73" i="123"/>
  <c r="BX73" i="105"/>
  <c r="BX73" i="123"/>
  <c r="BW73" i="105"/>
  <c r="BW73" i="123"/>
  <c r="BV73" i="105"/>
  <c r="BV73" i="123"/>
  <c r="BU73" i="105"/>
  <c r="BU73" i="123"/>
  <c r="BT73" i="105"/>
  <c r="BT73" i="123"/>
  <c r="BS73" i="105"/>
  <c r="BS73" i="123"/>
  <c r="CA72" i="105"/>
  <c r="CA72" i="123"/>
  <c r="BZ72" i="105"/>
  <c r="BZ72" i="123"/>
  <c r="BY72" i="105"/>
  <c r="BY72" i="123"/>
  <c r="BX72" i="105"/>
  <c r="BX72" i="123"/>
  <c r="BW72" i="105"/>
  <c r="BW72" i="123"/>
  <c r="BV72" i="105"/>
  <c r="BV72" i="123"/>
  <c r="BU72" i="105"/>
  <c r="BU72" i="123"/>
  <c r="BT72" i="105"/>
  <c r="BT72" i="123"/>
  <c r="BS72" i="105"/>
  <c r="BS72" i="123"/>
  <c r="CA71" i="105"/>
  <c r="CA71" i="123"/>
  <c r="BZ71" i="105"/>
  <c r="BZ71" i="123"/>
  <c r="BY71" i="105"/>
  <c r="BY71" i="123"/>
  <c r="BX71" i="105"/>
  <c r="BX71" i="123"/>
  <c r="BW71" i="105"/>
  <c r="BW71" i="123"/>
  <c r="BV71" i="105"/>
  <c r="BV71" i="123"/>
  <c r="BU71" i="105"/>
  <c r="BU71" i="123"/>
  <c r="BT71" i="105"/>
  <c r="BT71" i="123"/>
  <c r="BS71" i="105"/>
  <c r="BS71" i="123"/>
  <c r="CA69" i="105"/>
  <c r="CA69" i="123"/>
  <c r="BZ69" i="105"/>
  <c r="BZ69" i="123"/>
  <c r="BY69" i="105"/>
  <c r="BY69" i="123"/>
  <c r="BX69" i="105"/>
  <c r="BX69" i="123"/>
  <c r="BW69" i="105"/>
  <c r="BW69" i="123"/>
  <c r="BV69" i="105"/>
  <c r="BV69" i="123"/>
  <c r="BU69" i="105"/>
  <c r="BU69" i="123"/>
  <c r="BT69" i="105"/>
  <c r="BT69" i="123"/>
  <c r="BS69" i="105"/>
  <c r="BS69" i="123"/>
  <c r="CA68" i="105"/>
  <c r="CA68" i="123"/>
  <c r="BZ68" i="105"/>
  <c r="BZ68" i="123"/>
  <c r="BY68" i="105"/>
  <c r="BY68" i="123"/>
  <c r="BX68" i="105"/>
  <c r="BX68" i="123"/>
  <c r="BW68" i="105"/>
  <c r="BW68" i="123"/>
  <c r="BV68" i="105"/>
  <c r="BV68" i="123"/>
  <c r="BU68" i="105"/>
  <c r="BU68" i="123"/>
  <c r="BT68" i="105"/>
  <c r="BT68" i="123"/>
  <c r="BS68" i="105"/>
  <c r="BS68" i="123"/>
  <c r="CA67" i="105"/>
  <c r="CA67" i="123"/>
  <c r="BZ67" i="105"/>
  <c r="BZ67" i="123"/>
  <c r="BY67" i="105"/>
  <c r="BY67" i="123"/>
  <c r="BX67" i="105"/>
  <c r="BX67" i="123"/>
  <c r="BW67" i="105"/>
  <c r="BW67" i="123"/>
  <c r="BV67" i="105"/>
  <c r="BV67" i="123"/>
  <c r="BU67" i="105"/>
  <c r="BU67" i="123"/>
  <c r="BT67" i="105"/>
  <c r="BT67" i="123"/>
  <c r="BS67" i="105"/>
  <c r="BS67" i="123"/>
  <c r="CA66" i="105"/>
  <c r="CA66" i="123"/>
  <c r="BZ66" i="105"/>
  <c r="BZ66" i="123"/>
  <c r="BY66" i="105"/>
  <c r="BY66" i="123"/>
  <c r="BX66" i="105"/>
  <c r="BX66" i="123"/>
  <c r="BW66" i="105"/>
  <c r="BW66" i="123"/>
  <c r="BV66" i="105"/>
  <c r="BV66" i="123"/>
  <c r="BU66" i="105"/>
  <c r="BU66" i="123"/>
  <c r="BT66" i="105"/>
  <c r="BT66" i="123"/>
  <c r="BS66" i="105"/>
  <c r="BS66" i="123"/>
  <c r="CA64" i="105"/>
  <c r="CA64" i="123"/>
  <c r="BZ64" i="105"/>
  <c r="BZ64" i="123"/>
  <c r="BY64" i="105"/>
  <c r="BY64" i="123"/>
  <c r="BX64" i="105"/>
  <c r="BX64" i="123"/>
  <c r="BW64" i="105"/>
  <c r="BW64" i="123"/>
  <c r="BV64" i="105"/>
  <c r="BV64" i="123"/>
  <c r="BU64" i="105"/>
  <c r="BU64" i="123"/>
  <c r="BT64" i="105"/>
  <c r="BT64" i="123"/>
  <c r="BS64" i="105"/>
  <c r="BS64" i="123"/>
  <c r="CA63" i="105"/>
  <c r="CA63" i="123"/>
  <c r="BZ63" i="105"/>
  <c r="BZ63" i="123"/>
  <c r="BY63" i="105"/>
  <c r="BY63" i="123"/>
  <c r="BX63" i="105"/>
  <c r="BX63" i="123"/>
  <c r="BW63" i="105"/>
  <c r="BW63" i="123"/>
  <c r="BV63" i="105"/>
  <c r="BV63" i="123"/>
  <c r="BU63" i="105"/>
  <c r="BU63" i="123"/>
  <c r="BT63" i="105"/>
  <c r="BT63" i="123"/>
  <c r="BS63" i="105"/>
  <c r="BS63" i="123"/>
  <c r="CA60" i="105"/>
  <c r="CA60" i="123"/>
  <c r="BZ60" i="105"/>
  <c r="BZ60" i="123"/>
  <c r="BY60" i="105"/>
  <c r="BY60" i="123"/>
  <c r="BX60" i="105"/>
  <c r="BX60" i="123"/>
  <c r="BW60" i="105"/>
  <c r="BW60" i="123"/>
  <c r="BV60" i="105"/>
  <c r="BV60" i="123"/>
  <c r="BU60" i="105"/>
  <c r="BU60" i="123"/>
  <c r="BT60" i="105"/>
  <c r="BT60" i="123"/>
  <c r="CA59" i="105"/>
  <c r="CA59" i="123"/>
  <c r="BZ59" i="105"/>
  <c r="BZ59" i="123"/>
  <c r="BY59" i="105"/>
  <c r="BY59" i="123"/>
  <c r="BX59" i="105"/>
  <c r="BX59" i="123"/>
  <c r="BW59" i="105"/>
  <c r="BW59" i="123"/>
  <c r="BV59" i="105"/>
  <c r="BV59" i="123"/>
  <c r="BU59" i="105"/>
  <c r="BU59" i="123"/>
  <c r="BT59" i="105"/>
  <c r="BT59" i="123"/>
  <c r="BS59" i="105"/>
  <c r="BS59" i="123"/>
  <c r="CA49" i="105"/>
  <c r="CA49" i="123"/>
  <c r="BZ49" i="105"/>
  <c r="BZ49" i="123"/>
  <c r="BY49" i="105"/>
  <c r="BY49" i="123"/>
  <c r="BX49" i="105"/>
  <c r="BX49" i="123"/>
  <c r="BW49" i="105"/>
  <c r="BW49" i="123"/>
  <c r="BV49" i="105"/>
  <c r="BV49" i="123"/>
  <c r="BU49" i="105"/>
  <c r="BU49" i="123"/>
  <c r="BT49" i="105"/>
  <c r="BT49" i="123"/>
  <c r="BS49" i="105"/>
  <c r="BS49" i="123"/>
  <c r="CA48" i="105"/>
  <c r="CA48" i="123"/>
  <c r="BZ48" i="105"/>
  <c r="BZ48" i="123"/>
  <c r="BY48" i="105"/>
  <c r="BY48" i="123"/>
  <c r="BX48" i="105"/>
  <c r="BX48" i="123"/>
  <c r="BW48" i="105"/>
  <c r="BW48" i="123"/>
  <c r="BV48" i="105"/>
  <c r="BV48" i="123"/>
  <c r="BU48" i="105"/>
  <c r="BU48" i="123"/>
  <c r="BT48" i="105"/>
  <c r="BT48" i="123"/>
  <c r="BS48" i="105"/>
  <c r="BS48" i="123"/>
  <c r="CA47" i="105"/>
  <c r="CA47" i="123"/>
  <c r="BZ47" i="105"/>
  <c r="BZ47" i="123"/>
  <c r="BY47" i="105"/>
  <c r="BY47" i="123"/>
  <c r="BX47" i="105"/>
  <c r="BX47" i="123"/>
  <c r="BW47" i="105"/>
  <c r="BW47" i="123"/>
  <c r="BV47" i="105"/>
  <c r="BV47" i="123"/>
  <c r="BU47" i="105"/>
  <c r="BU47" i="123"/>
  <c r="BT47" i="105"/>
  <c r="BT47" i="123"/>
  <c r="BS47" i="105"/>
  <c r="BS47" i="123"/>
  <c r="CA127" i="105"/>
  <c r="CA128" i="123"/>
  <c r="BZ127" i="105"/>
  <c r="BZ128" i="123"/>
  <c r="BY127" i="105"/>
  <c r="BY128" i="123"/>
  <c r="BX127" i="105"/>
  <c r="BX128" i="123"/>
  <c r="BW127" i="105"/>
  <c r="BW128" i="123"/>
  <c r="BV127" i="105"/>
  <c r="BV128" i="123"/>
  <c r="BU127" i="105"/>
  <c r="BU128" i="123"/>
  <c r="BT127" i="105"/>
  <c r="BT128" i="123"/>
  <c r="BS127" i="105"/>
  <c r="BS128" i="123"/>
  <c r="CA126" i="105"/>
  <c r="CA127" i="123"/>
  <c r="BZ126" i="105"/>
  <c r="BZ127" i="123"/>
  <c r="BY126" i="105"/>
  <c r="BY127" i="123"/>
  <c r="BX126" i="105"/>
  <c r="BX127" i="123"/>
  <c r="BW126" i="105"/>
  <c r="BW127" i="123"/>
  <c r="BV126" i="105"/>
  <c r="BV127" i="123"/>
  <c r="BU126" i="105"/>
  <c r="BU127" i="123"/>
  <c r="BT126" i="105"/>
  <c r="BT127" i="123"/>
  <c r="BS126" i="105"/>
  <c r="BS127" i="123"/>
  <c r="CA125" i="105"/>
  <c r="CA126" i="123"/>
  <c r="BZ125" i="105"/>
  <c r="BZ126" i="123"/>
  <c r="BY125" i="105"/>
  <c r="BY126" i="123"/>
  <c r="BX125" i="105"/>
  <c r="BX126" i="123"/>
  <c r="BW125" i="105"/>
  <c r="BW126" i="123"/>
  <c r="BV125" i="105"/>
  <c r="BV126" i="123"/>
  <c r="BU125" i="105"/>
  <c r="BU126" i="123"/>
  <c r="BT125" i="105"/>
  <c r="BT126" i="123"/>
  <c r="BS125" i="105"/>
  <c r="BS126" i="123"/>
  <c r="CA124" i="105"/>
  <c r="CA125" i="123"/>
  <c r="BZ124" i="105"/>
  <c r="BZ125" i="123"/>
  <c r="BY124" i="105"/>
  <c r="BY125" i="123"/>
  <c r="BX124" i="105"/>
  <c r="BX125" i="123"/>
  <c r="BW124" i="105"/>
  <c r="BW125" i="123"/>
  <c r="BV124" i="105"/>
  <c r="BV125" i="123"/>
  <c r="BU124" i="105"/>
  <c r="BU125" i="123"/>
  <c r="BT124" i="105"/>
  <c r="BT125" i="123"/>
  <c r="BS124" i="105"/>
  <c r="BS125" i="123"/>
  <c r="CA123" i="105"/>
  <c r="CA124" i="123"/>
  <c r="BZ123" i="105"/>
  <c r="BZ124" i="123"/>
  <c r="BY123" i="105"/>
  <c r="BY124" i="123"/>
  <c r="BX123" i="105"/>
  <c r="BX124" i="123"/>
  <c r="BW123" i="105"/>
  <c r="BW124" i="123"/>
  <c r="BV123" i="105"/>
  <c r="BV124" i="123"/>
  <c r="BU123" i="105"/>
  <c r="BU124" i="123"/>
  <c r="BT123" i="105"/>
  <c r="BT124" i="123"/>
  <c r="BS123" i="105"/>
  <c r="BS124" i="123"/>
  <c r="CA122" i="105"/>
  <c r="CA123" i="123"/>
  <c r="BZ122" i="105"/>
  <c r="BZ123" i="123"/>
  <c r="BY122" i="105"/>
  <c r="BY123" i="123"/>
  <c r="BX122" i="105"/>
  <c r="BX123" i="123"/>
  <c r="BW122" i="105"/>
  <c r="BW123" i="123"/>
  <c r="BV122" i="105"/>
  <c r="BV123" i="123"/>
  <c r="BU122" i="105"/>
  <c r="BU123" i="123"/>
  <c r="BT122" i="105"/>
  <c r="BT123" i="123"/>
  <c r="BS122" i="105"/>
  <c r="BS123" i="123"/>
  <c r="CA121" i="105"/>
  <c r="CA122" i="123"/>
  <c r="BZ121" i="105"/>
  <c r="BZ122" i="123"/>
  <c r="BY121" i="105"/>
  <c r="BY122" i="123"/>
  <c r="BX121" i="105"/>
  <c r="BX122" i="123"/>
  <c r="BW121" i="105"/>
  <c r="BW122" i="123"/>
  <c r="BV121" i="105"/>
  <c r="BV122" i="123"/>
  <c r="BU121" i="105"/>
  <c r="BU122" i="123"/>
  <c r="BT121" i="105"/>
  <c r="BT122" i="123"/>
  <c r="BS121" i="105"/>
  <c r="BS122" i="123"/>
  <c r="CA120" i="105"/>
  <c r="CA121" i="123"/>
  <c r="BZ120" i="105"/>
  <c r="BZ121" i="123"/>
  <c r="BY120" i="105"/>
  <c r="BY121" i="123"/>
  <c r="BX120" i="105"/>
  <c r="BX121" i="123"/>
  <c r="BW120" i="105"/>
  <c r="BW121" i="123"/>
  <c r="BV120" i="105"/>
  <c r="BV121" i="123"/>
  <c r="BU120" i="105"/>
  <c r="BU121" i="123"/>
  <c r="BT120" i="105"/>
  <c r="BT121" i="123"/>
  <c r="BS120" i="105"/>
  <c r="BS121" i="123"/>
  <c r="CA119" i="105"/>
  <c r="CA120" i="123"/>
  <c r="BZ119" i="105"/>
  <c r="BZ120" i="123"/>
  <c r="BY119" i="105"/>
  <c r="BY120" i="123"/>
  <c r="BX119" i="105"/>
  <c r="BX120" i="123"/>
  <c r="BW119" i="105"/>
  <c r="BW120" i="123"/>
  <c r="BV119" i="105"/>
  <c r="BV120" i="123"/>
  <c r="BU119" i="105"/>
  <c r="BU120" i="123"/>
  <c r="BT119" i="105"/>
  <c r="BT120" i="123"/>
  <c r="BS119" i="105"/>
  <c r="BS120" i="123"/>
  <c r="CA118" i="105"/>
  <c r="CA119" i="123"/>
  <c r="BZ118" i="105"/>
  <c r="BZ119" i="123"/>
  <c r="BY118" i="105"/>
  <c r="BY119" i="123"/>
  <c r="BX118" i="105"/>
  <c r="BX119" i="123"/>
  <c r="BW118" i="105"/>
  <c r="BW119" i="123"/>
  <c r="BV118" i="105"/>
  <c r="BV119" i="123"/>
  <c r="BU118" i="105"/>
  <c r="BU119" i="123"/>
  <c r="BT118" i="105"/>
  <c r="BT119" i="123"/>
  <c r="BS118" i="105"/>
  <c r="BS119" i="123"/>
  <c r="CA117" i="105"/>
  <c r="CA118" i="123"/>
  <c r="BZ117" i="105"/>
  <c r="BZ118" i="123"/>
  <c r="BY117" i="105"/>
  <c r="BY118" i="123"/>
  <c r="BX117" i="105"/>
  <c r="BX118" i="123"/>
  <c r="BW117" i="105"/>
  <c r="BW118" i="123"/>
  <c r="BV117" i="105"/>
  <c r="BV118" i="123"/>
  <c r="BU117" i="105"/>
  <c r="BU118" i="123"/>
  <c r="BT117" i="105"/>
  <c r="BT118" i="123"/>
  <c r="BS117" i="105"/>
  <c r="BS118" i="123"/>
  <c r="CA116" i="105"/>
  <c r="CA117" i="123"/>
  <c r="BZ116" i="105"/>
  <c r="BZ117" i="123"/>
  <c r="BY116" i="105"/>
  <c r="BY117" i="123"/>
  <c r="BX116" i="105"/>
  <c r="BX117" i="123"/>
  <c r="BW116" i="105"/>
  <c r="BW117" i="123"/>
  <c r="BV116" i="105"/>
  <c r="BV117" i="123"/>
  <c r="BU116" i="105"/>
  <c r="BU117" i="123"/>
  <c r="BT116" i="105"/>
  <c r="BT117" i="123"/>
  <c r="BS116" i="105"/>
  <c r="BS117" i="123"/>
  <c r="CA114" i="105"/>
  <c r="CA115" i="123"/>
  <c r="BZ114" i="105"/>
  <c r="BZ115" i="123"/>
  <c r="BY114" i="105"/>
  <c r="BY115" i="123"/>
  <c r="BX114" i="105"/>
  <c r="BX115" i="123"/>
  <c r="BW114" i="105"/>
  <c r="BW115" i="123"/>
  <c r="BV114" i="105"/>
  <c r="BV115" i="123"/>
  <c r="BU114" i="105"/>
  <c r="BU115" i="123"/>
  <c r="BT114" i="105"/>
  <c r="BT115" i="123"/>
  <c r="BS114" i="105"/>
  <c r="BS115" i="123"/>
  <c r="CA113" i="105"/>
  <c r="CA114" i="123"/>
  <c r="BZ113" i="105"/>
  <c r="BZ114" i="123"/>
  <c r="BY113" i="105"/>
  <c r="BY114" i="123"/>
  <c r="BX113" i="105"/>
  <c r="BX114" i="123"/>
  <c r="BW113" i="105"/>
  <c r="BW114" i="123"/>
  <c r="BV113" i="105"/>
  <c r="BV114" i="123"/>
  <c r="BU113" i="105"/>
  <c r="BU114" i="123"/>
  <c r="BT113" i="105"/>
  <c r="BT114" i="123"/>
  <c r="BS113" i="105"/>
  <c r="BS114" i="123"/>
  <c r="CA112" i="105"/>
  <c r="CA113" i="123"/>
  <c r="BZ112" i="105"/>
  <c r="BZ113" i="123"/>
  <c r="BY112" i="105"/>
  <c r="BY113" i="123"/>
  <c r="BX112" i="105"/>
  <c r="BX113" i="123"/>
  <c r="BW112" i="105"/>
  <c r="BW113" i="123"/>
  <c r="BV112" i="105"/>
  <c r="BV113" i="123"/>
  <c r="BU112" i="105"/>
  <c r="BU113" i="123"/>
  <c r="BT112" i="105"/>
  <c r="BT113" i="123"/>
  <c r="BS112" i="105"/>
  <c r="BS113" i="123"/>
  <c r="CA111" i="105"/>
  <c r="CA112" i="123"/>
  <c r="BZ111" i="105"/>
  <c r="BZ112" i="123"/>
  <c r="BY111" i="105"/>
  <c r="BY112" i="123"/>
  <c r="BX111" i="105"/>
  <c r="BX112" i="123"/>
  <c r="BW111" i="105"/>
  <c r="BW112" i="123"/>
  <c r="BV111" i="105"/>
  <c r="BV112" i="123"/>
  <c r="BU111" i="105"/>
  <c r="BU112" i="123"/>
  <c r="BT111" i="105"/>
  <c r="BT112" i="123"/>
  <c r="BS111" i="105"/>
  <c r="BS112" i="123"/>
  <c r="CA109" i="105"/>
  <c r="CA110" i="123"/>
  <c r="BZ109" i="105"/>
  <c r="BZ110" i="123"/>
  <c r="BY109" i="105"/>
  <c r="BY110" i="123"/>
  <c r="BX109" i="105"/>
  <c r="BX110" i="123"/>
  <c r="BW109" i="105"/>
  <c r="BW110" i="123"/>
  <c r="BV109" i="105"/>
  <c r="BV110" i="123"/>
  <c r="BU109" i="105"/>
  <c r="BU110" i="123"/>
  <c r="BT109" i="105"/>
  <c r="BT110" i="123"/>
  <c r="BS109" i="105"/>
  <c r="BS110" i="123"/>
  <c r="CA108" i="105"/>
  <c r="CA109" i="123"/>
  <c r="BZ108" i="105"/>
  <c r="BZ109" i="123"/>
  <c r="BY108" i="105"/>
  <c r="BY109" i="123"/>
  <c r="BX108" i="105"/>
  <c r="BX109" i="123"/>
  <c r="BW108" i="105"/>
  <c r="BW109" i="123"/>
  <c r="BV108" i="105"/>
  <c r="BV109" i="123"/>
  <c r="BU108" i="105"/>
  <c r="BU109" i="123"/>
  <c r="BT108" i="105"/>
  <c r="BT109" i="123"/>
  <c r="BS108" i="105"/>
  <c r="BS109" i="123"/>
  <c r="CA105" i="105"/>
  <c r="CA106" i="123"/>
  <c r="BZ105" i="105"/>
  <c r="BZ106" i="123"/>
  <c r="BY105" i="105"/>
  <c r="BY106" i="123"/>
  <c r="BX105" i="105"/>
  <c r="BX106" i="123"/>
  <c r="BW105" i="105"/>
  <c r="BW106" i="123"/>
  <c r="BV105" i="105"/>
  <c r="BV106" i="123"/>
  <c r="BU105" i="105"/>
  <c r="BU106" i="123"/>
  <c r="BT105" i="105"/>
  <c r="BT106" i="123"/>
  <c r="BS105" i="105"/>
  <c r="BS106" i="123"/>
  <c r="CA104" i="105"/>
  <c r="CA105" i="123"/>
  <c r="BZ104" i="105"/>
  <c r="BZ105" i="123"/>
  <c r="BY104" i="105"/>
  <c r="BY105" i="123"/>
  <c r="BX104" i="105"/>
  <c r="BX105" i="123"/>
  <c r="BW104" i="105"/>
  <c r="BW105" i="123"/>
  <c r="BV104" i="105"/>
  <c r="BV105" i="123"/>
  <c r="BU104" i="105"/>
  <c r="BU105" i="123"/>
  <c r="BT104" i="105"/>
  <c r="BT105" i="123"/>
  <c r="BS104" i="105"/>
  <c r="BS105" i="123"/>
  <c r="CA102" i="123"/>
  <c r="BZ102" i="123"/>
  <c r="BY102" i="123"/>
  <c r="BX102" i="123"/>
  <c r="BW102" i="123"/>
  <c r="BV102" i="123"/>
  <c r="BU102" i="123"/>
  <c r="BT102" i="123"/>
  <c r="BS102" i="123"/>
  <c r="CA94" i="105"/>
  <c r="CA94" i="123"/>
  <c r="BZ94" i="105"/>
  <c r="BZ94" i="123"/>
  <c r="BY94" i="105"/>
  <c r="BY94" i="123"/>
  <c r="BX94" i="105"/>
  <c r="BX94" i="123"/>
  <c r="BW94" i="105"/>
  <c r="BW94" i="123"/>
  <c r="BV94" i="105"/>
  <c r="BV94" i="123"/>
  <c r="BU94" i="105"/>
  <c r="BU94" i="123"/>
  <c r="BT94" i="105"/>
  <c r="BT94" i="123"/>
  <c r="BS94" i="105"/>
  <c r="BS94" i="123"/>
  <c r="CA93" i="105"/>
  <c r="CA93" i="123"/>
  <c r="BZ93" i="105"/>
  <c r="BZ93" i="123"/>
  <c r="BY93" i="105"/>
  <c r="BY93" i="123"/>
  <c r="BX93" i="105"/>
  <c r="BX93" i="123"/>
  <c r="BW93" i="105"/>
  <c r="BW93" i="123"/>
  <c r="BV93" i="105"/>
  <c r="BV93" i="123"/>
  <c r="BU93" i="105"/>
  <c r="BU93" i="123"/>
  <c r="BT93" i="105"/>
  <c r="BT93" i="123"/>
  <c r="BS93" i="105"/>
  <c r="BS93" i="123"/>
  <c r="CA92" i="105"/>
  <c r="CA92" i="123"/>
  <c r="BZ92" i="105"/>
  <c r="BZ92" i="123"/>
  <c r="BY92" i="105"/>
  <c r="BY92" i="123"/>
  <c r="BX92" i="105"/>
  <c r="BX92" i="123"/>
  <c r="BW92" i="105"/>
  <c r="BW92" i="123"/>
  <c r="BV92" i="105"/>
  <c r="BV92" i="123"/>
  <c r="BU92" i="105"/>
  <c r="BU92" i="123"/>
  <c r="BT92" i="105"/>
  <c r="BT92" i="123"/>
  <c r="BS92" i="105"/>
  <c r="BS92" i="123"/>
  <c r="CN131" i="123"/>
  <c r="CM131" i="123"/>
  <c r="CL131" i="123"/>
  <c r="CK131" i="123"/>
  <c r="CJ131" i="123"/>
  <c r="CI131" i="123"/>
  <c r="CH131" i="123"/>
  <c r="CG131" i="123"/>
  <c r="CF131" i="123"/>
  <c r="CN130" i="123"/>
  <c r="CM130" i="123"/>
  <c r="CL130" i="123"/>
  <c r="CK130" i="123"/>
  <c r="CJ130" i="123"/>
  <c r="CI130" i="123"/>
  <c r="CH130" i="123"/>
  <c r="CG130" i="123"/>
  <c r="CF130" i="123"/>
  <c r="CF129" i="123"/>
  <c r="CN128" i="123"/>
  <c r="CM128" i="123"/>
  <c r="CL128" i="123"/>
  <c r="CK128" i="123"/>
  <c r="CJ128" i="123"/>
  <c r="CI128" i="123"/>
  <c r="CH128" i="123"/>
  <c r="CG128" i="123"/>
  <c r="CF128" i="123"/>
  <c r="CN127" i="123"/>
  <c r="CM127" i="123"/>
  <c r="CL127" i="123"/>
  <c r="CK127" i="123"/>
  <c r="CJ127" i="123"/>
  <c r="CI127" i="123"/>
  <c r="CH127" i="123"/>
  <c r="CG127" i="123"/>
  <c r="CF127" i="123"/>
  <c r="CN126" i="123"/>
  <c r="CM126" i="123"/>
  <c r="CL126" i="123"/>
  <c r="CK126" i="123"/>
  <c r="CJ126" i="123"/>
  <c r="CI126" i="123"/>
  <c r="CH126" i="123"/>
  <c r="CG126" i="123"/>
  <c r="CF126" i="123"/>
  <c r="CN125" i="123"/>
  <c r="CM125" i="123"/>
  <c r="CL125" i="123"/>
  <c r="CK125" i="123"/>
  <c r="CJ125" i="123"/>
  <c r="CI125" i="123"/>
  <c r="CH125" i="123"/>
  <c r="CG125" i="123"/>
  <c r="CF125" i="123"/>
  <c r="CN124" i="123"/>
  <c r="CM124" i="123"/>
  <c r="CL124" i="123"/>
  <c r="CK124" i="123"/>
  <c r="CJ124" i="123"/>
  <c r="CI124" i="123"/>
  <c r="CH124" i="123"/>
  <c r="CG124" i="123"/>
  <c r="CF124" i="123"/>
  <c r="CN123" i="123"/>
  <c r="CM123" i="123"/>
  <c r="CL123" i="123"/>
  <c r="CK123" i="123"/>
  <c r="CJ123" i="123"/>
  <c r="CI123" i="123"/>
  <c r="CH123" i="123"/>
  <c r="CG123" i="123"/>
  <c r="CF123" i="123"/>
  <c r="CN122" i="123"/>
  <c r="CM122" i="123"/>
  <c r="CL122" i="123"/>
  <c r="CK122" i="123"/>
  <c r="CJ122" i="123"/>
  <c r="CI122" i="123"/>
  <c r="CH122" i="123"/>
  <c r="CG122" i="123"/>
  <c r="CF122" i="123"/>
  <c r="CN121" i="123"/>
  <c r="CM121" i="123"/>
  <c r="CL121" i="123"/>
  <c r="CK121" i="123"/>
  <c r="CJ121" i="123"/>
  <c r="CI121" i="123"/>
  <c r="CH121" i="123"/>
  <c r="CG121" i="123"/>
  <c r="CF121" i="123"/>
  <c r="CN120" i="123"/>
  <c r="CM120" i="123"/>
  <c r="CL120" i="123"/>
  <c r="CK120" i="123"/>
  <c r="CJ120" i="123"/>
  <c r="CI120" i="123"/>
  <c r="CH120" i="123"/>
  <c r="CG120" i="123"/>
  <c r="CF120" i="123"/>
  <c r="CN118" i="123"/>
  <c r="CM118" i="123"/>
  <c r="CL118" i="123"/>
  <c r="CK118" i="123"/>
  <c r="CJ118" i="123"/>
  <c r="CI118" i="123"/>
  <c r="CH118" i="123"/>
  <c r="CG118" i="123"/>
  <c r="CF118" i="123"/>
  <c r="CN117" i="123"/>
  <c r="CM117" i="123"/>
  <c r="CL117" i="123"/>
  <c r="CK117" i="123"/>
  <c r="CJ117" i="123"/>
  <c r="CI117" i="123"/>
  <c r="CH117" i="123"/>
  <c r="CG117" i="123"/>
  <c r="CF117" i="123"/>
  <c r="CN115" i="123"/>
  <c r="CM115" i="123"/>
  <c r="CL115" i="123"/>
  <c r="CK115" i="123"/>
  <c r="CJ115" i="123"/>
  <c r="CI115" i="123"/>
  <c r="CH115" i="123"/>
  <c r="CG115" i="123"/>
  <c r="CF115" i="123"/>
  <c r="CN114" i="123"/>
  <c r="CM114" i="123"/>
  <c r="CL114" i="123"/>
  <c r="CK114" i="123"/>
  <c r="CJ114" i="123"/>
  <c r="CI114" i="123"/>
  <c r="CH114" i="123"/>
  <c r="CG114" i="123"/>
  <c r="CF114" i="123"/>
  <c r="CN113" i="123"/>
  <c r="CM113" i="123"/>
  <c r="CL113" i="123"/>
  <c r="CK113" i="123"/>
  <c r="CJ113" i="123"/>
  <c r="CI113" i="123"/>
  <c r="CH113" i="123"/>
  <c r="CG113" i="123"/>
  <c r="CF113" i="123"/>
  <c r="CN112" i="123"/>
  <c r="CM112" i="123"/>
  <c r="CL112" i="123"/>
  <c r="CK112" i="123"/>
  <c r="CJ112" i="123"/>
  <c r="CI112" i="123"/>
  <c r="CH112" i="123"/>
  <c r="CG112" i="123"/>
  <c r="CF112" i="123"/>
  <c r="CN110" i="123"/>
  <c r="CM110" i="123"/>
  <c r="CL110" i="123"/>
  <c r="CK110" i="123"/>
  <c r="CJ110" i="123"/>
  <c r="CI110" i="123"/>
  <c r="CH110" i="123"/>
  <c r="CG110" i="123"/>
  <c r="CF110" i="123"/>
  <c r="CN109" i="123"/>
  <c r="CM109" i="123"/>
  <c r="CL109" i="123"/>
  <c r="CK109" i="123"/>
  <c r="CJ109" i="123"/>
  <c r="CI109" i="123"/>
  <c r="CH109" i="123"/>
  <c r="CG109" i="123"/>
  <c r="CF109" i="123"/>
  <c r="CN106" i="123"/>
  <c r="CM106" i="123"/>
  <c r="CL106" i="123"/>
  <c r="CK106" i="123"/>
  <c r="CJ106" i="123"/>
  <c r="CI106" i="123"/>
  <c r="CH106" i="123"/>
  <c r="CG106" i="123"/>
  <c r="CF106" i="123"/>
  <c r="CN105" i="123"/>
  <c r="CM105" i="123"/>
  <c r="CL105" i="123"/>
  <c r="CK105" i="123"/>
  <c r="CJ105" i="123"/>
  <c r="CI105" i="123"/>
  <c r="CH105" i="123"/>
  <c r="CG105" i="123"/>
  <c r="CF105" i="123"/>
  <c r="CN104" i="123"/>
  <c r="CM104" i="123"/>
  <c r="CL104" i="123"/>
  <c r="CK104" i="123"/>
  <c r="CJ104" i="123"/>
  <c r="CI104" i="123"/>
  <c r="CH104" i="123"/>
  <c r="CG104" i="123"/>
  <c r="CF104" i="123"/>
  <c r="CN102" i="123"/>
  <c r="CM102" i="123"/>
  <c r="CL102" i="123"/>
  <c r="CK102" i="123"/>
  <c r="CJ102" i="123"/>
  <c r="CI102" i="123"/>
  <c r="CH102" i="123"/>
  <c r="CG102" i="123"/>
  <c r="CF102" i="123"/>
  <c r="CN94" i="123"/>
  <c r="CM94" i="123"/>
  <c r="CL94" i="123"/>
  <c r="CK94" i="123"/>
  <c r="CJ94" i="123"/>
  <c r="CI94" i="123"/>
  <c r="CH94" i="123"/>
  <c r="CG94" i="123"/>
  <c r="CF94" i="123"/>
  <c r="CN93" i="123"/>
  <c r="CM93" i="123"/>
  <c r="CL93" i="123"/>
  <c r="CK93" i="123"/>
  <c r="CJ93" i="123"/>
  <c r="CI93" i="123"/>
  <c r="CH93" i="123"/>
  <c r="CG93" i="123"/>
  <c r="CF93" i="123"/>
  <c r="CN92" i="123"/>
  <c r="CM92" i="123"/>
  <c r="CL92" i="123"/>
  <c r="CK92" i="123"/>
  <c r="CJ92" i="123"/>
  <c r="CI92" i="123"/>
  <c r="CH92" i="123"/>
  <c r="CG92" i="123"/>
  <c r="CF92" i="123"/>
  <c r="CN86" i="105"/>
  <c r="CN86" i="123"/>
  <c r="CM86" i="105"/>
  <c r="CM86" i="123"/>
  <c r="CL86" i="105"/>
  <c r="CL86" i="123"/>
  <c r="CK86" i="105"/>
  <c r="CK86" i="123"/>
  <c r="CJ86" i="105"/>
  <c r="CJ86" i="123"/>
  <c r="CI86" i="105"/>
  <c r="CI86" i="123"/>
  <c r="CH86" i="105"/>
  <c r="CH86" i="123"/>
  <c r="CG86" i="105"/>
  <c r="CG86" i="123"/>
  <c r="CF86" i="105"/>
  <c r="CF86" i="123"/>
  <c r="CN85" i="105"/>
  <c r="CN85" i="123"/>
  <c r="CM85" i="105"/>
  <c r="CM85" i="123"/>
  <c r="CL85" i="105"/>
  <c r="CL85" i="123"/>
  <c r="CK85" i="105"/>
  <c r="CK85" i="123"/>
  <c r="CJ85" i="105"/>
  <c r="CJ85" i="123"/>
  <c r="CI85" i="105"/>
  <c r="CI85" i="123"/>
  <c r="CH85" i="105"/>
  <c r="CH85" i="123"/>
  <c r="CG85" i="105"/>
  <c r="CG85" i="123"/>
  <c r="CF85" i="105"/>
  <c r="CF85" i="123"/>
  <c r="CN84" i="105"/>
  <c r="CN84" i="123"/>
  <c r="CM84" i="105"/>
  <c r="CM84" i="123"/>
  <c r="CL84" i="105"/>
  <c r="CL84" i="123"/>
  <c r="CK84" i="105"/>
  <c r="CK84" i="123"/>
  <c r="CJ84" i="105"/>
  <c r="CJ84" i="123"/>
  <c r="CI84" i="105"/>
  <c r="CI84" i="123"/>
  <c r="CH84" i="105"/>
  <c r="CH84" i="123"/>
  <c r="CG84" i="105"/>
  <c r="CG84" i="123"/>
  <c r="CF84" i="105"/>
  <c r="CF84" i="123"/>
  <c r="CF83" i="105"/>
  <c r="CF83" i="123"/>
  <c r="CN82" i="105"/>
  <c r="CN82" i="123"/>
  <c r="CM82" i="105"/>
  <c r="CM82" i="123"/>
  <c r="CL82" i="105"/>
  <c r="CL82" i="123"/>
  <c r="CK82" i="105"/>
  <c r="CK82" i="123"/>
  <c r="CJ82" i="105"/>
  <c r="CJ82" i="123"/>
  <c r="CI82" i="105"/>
  <c r="CI82" i="123"/>
  <c r="CH82" i="105"/>
  <c r="CH82" i="123"/>
  <c r="CG82" i="105"/>
  <c r="CG82" i="123"/>
  <c r="CF82" i="105"/>
  <c r="CF82" i="123"/>
  <c r="CN81" i="105"/>
  <c r="CN81" i="123"/>
  <c r="CM81" i="105"/>
  <c r="CM81" i="123"/>
  <c r="CL81" i="105"/>
  <c r="CL81" i="123"/>
  <c r="CK81" i="105"/>
  <c r="CK81" i="123"/>
  <c r="CJ81" i="105"/>
  <c r="CJ81" i="123"/>
  <c r="CI81" i="105"/>
  <c r="CI81" i="123"/>
  <c r="CH81" i="105"/>
  <c r="CH81" i="123"/>
  <c r="CG81" i="105"/>
  <c r="CG81" i="123"/>
  <c r="CF81" i="105"/>
  <c r="CF81" i="123"/>
  <c r="CN80" i="105"/>
  <c r="CN80" i="123"/>
  <c r="CM80" i="105"/>
  <c r="CM80" i="123"/>
  <c r="CL80" i="105"/>
  <c r="CL80" i="123"/>
  <c r="CK80" i="105"/>
  <c r="CK80" i="123"/>
  <c r="CJ80" i="105"/>
  <c r="CJ80" i="123"/>
  <c r="CI80" i="105"/>
  <c r="CI80" i="123"/>
  <c r="CH80" i="105"/>
  <c r="CH80" i="123"/>
  <c r="CG80" i="105"/>
  <c r="CG80" i="123"/>
  <c r="CF80" i="105"/>
  <c r="CF80" i="123"/>
  <c r="CN79" i="105"/>
  <c r="CN79" i="123"/>
  <c r="CM79" i="105"/>
  <c r="CM79" i="123"/>
  <c r="CL79" i="105"/>
  <c r="CL79" i="123"/>
  <c r="CK79" i="105"/>
  <c r="CK79" i="123"/>
  <c r="CJ79" i="105"/>
  <c r="CJ79" i="123"/>
  <c r="CI79" i="105"/>
  <c r="CI79" i="123"/>
  <c r="CH79" i="105"/>
  <c r="CH79" i="123"/>
  <c r="CG79" i="105"/>
  <c r="CG79" i="123"/>
  <c r="CF79" i="105"/>
  <c r="CF79" i="123"/>
  <c r="CN78" i="105"/>
  <c r="CN78" i="123"/>
  <c r="CM78" i="105"/>
  <c r="CM78" i="123"/>
  <c r="CL78" i="105"/>
  <c r="CL78" i="123"/>
  <c r="CK78" i="105"/>
  <c r="CK78" i="123"/>
  <c r="CJ78" i="105"/>
  <c r="CJ78" i="123"/>
  <c r="CI78" i="105"/>
  <c r="CI78" i="123"/>
  <c r="CH78" i="105"/>
  <c r="CH78" i="123"/>
  <c r="CG78" i="105"/>
  <c r="CG78" i="123"/>
  <c r="CF78" i="105"/>
  <c r="CF78" i="123"/>
  <c r="CN77" i="105"/>
  <c r="CN77" i="123"/>
  <c r="CM77" i="105"/>
  <c r="CM77" i="123"/>
  <c r="CL77" i="105"/>
  <c r="CL77" i="123"/>
  <c r="CK77" i="105"/>
  <c r="CK77" i="123"/>
  <c r="CJ77" i="105"/>
  <c r="CJ77" i="123"/>
  <c r="CI77" i="105"/>
  <c r="CI77" i="123"/>
  <c r="CH77" i="105"/>
  <c r="CH77" i="123"/>
  <c r="CG77" i="105"/>
  <c r="CG77" i="123"/>
  <c r="CF77" i="105"/>
  <c r="CF77" i="123"/>
  <c r="CN76" i="105"/>
  <c r="CN76" i="123"/>
  <c r="CM76" i="105"/>
  <c r="CM76" i="123"/>
  <c r="CL76" i="105"/>
  <c r="CL76" i="123"/>
  <c r="CK76" i="105"/>
  <c r="CK76" i="123"/>
  <c r="CJ76" i="105"/>
  <c r="CJ76" i="123"/>
  <c r="CI76" i="105"/>
  <c r="CI76" i="123"/>
  <c r="CH76" i="105"/>
  <c r="CH76" i="123"/>
  <c r="CG76" i="105"/>
  <c r="CG76" i="123"/>
  <c r="CF76" i="105"/>
  <c r="CF76" i="123"/>
  <c r="CN75" i="105"/>
  <c r="CN75" i="123"/>
  <c r="CM75" i="105"/>
  <c r="CM75" i="123"/>
  <c r="CL75" i="105"/>
  <c r="CL75" i="123"/>
  <c r="CK75" i="105"/>
  <c r="CK75" i="123"/>
  <c r="CJ75" i="105"/>
  <c r="CJ75" i="123"/>
  <c r="CI75" i="105"/>
  <c r="CI75" i="123"/>
  <c r="CH75" i="105"/>
  <c r="CH75" i="123"/>
  <c r="CG75" i="105"/>
  <c r="CG75" i="123"/>
  <c r="CF75" i="105"/>
  <c r="CF75" i="123"/>
  <c r="CN74" i="105"/>
  <c r="CN74" i="123"/>
  <c r="CM74" i="105"/>
  <c r="CM74" i="123"/>
  <c r="CL74" i="105"/>
  <c r="CL74" i="123"/>
  <c r="CK74" i="105"/>
  <c r="CK74" i="123"/>
  <c r="CJ74" i="105"/>
  <c r="CJ74" i="123"/>
  <c r="CI74" i="105"/>
  <c r="CI74" i="123"/>
  <c r="CH74" i="105"/>
  <c r="CH74" i="123"/>
  <c r="CG74" i="105"/>
  <c r="CG74" i="123"/>
  <c r="CF74" i="105"/>
  <c r="CF74" i="123"/>
  <c r="CN73" i="105"/>
  <c r="CN73" i="123"/>
  <c r="CM73" i="105"/>
  <c r="CM73" i="123"/>
  <c r="CL73" i="105"/>
  <c r="CL73" i="123"/>
  <c r="CK73" i="105"/>
  <c r="CK73" i="123"/>
  <c r="CJ73" i="105"/>
  <c r="CJ73" i="123"/>
  <c r="CI73" i="105"/>
  <c r="CI73" i="123"/>
  <c r="CH73" i="105"/>
  <c r="CH73" i="123"/>
  <c r="CG73" i="105"/>
  <c r="CG73" i="123"/>
  <c r="CF73" i="105"/>
  <c r="CF73" i="123"/>
  <c r="CN72" i="105"/>
  <c r="CN72" i="123"/>
  <c r="CM72" i="105"/>
  <c r="CM72" i="123"/>
  <c r="CL72" i="105"/>
  <c r="CL72" i="123"/>
  <c r="CK72" i="105"/>
  <c r="CK72" i="123"/>
  <c r="CJ72" i="105"/>
  <c r="CJ72" i="123"/>
  <c r="CI72" i="105"/>
  <c r="CI72" i="123"/>
  <c r="CH72" i="105"/>
  <c r="CH72" i="123"/>
  <c r="CG72" i="105"/>
  <c r="CG72" i="123"/>
  <c r="CF72" i="105"/>
  <c r="CF72" i="123"/>
  <c r="CN71" i="105"/>
  <c r="CN71" i="123"/>
  <c r="CM71" i="105"/>
  <c r="CM71" i="123"/>
  <c r="CL71" i="105"/>
  <c r="CL71" i="123"/>
  <c r="CK71" i="105"/>
  <c r="CK71" i="123"/>
  <c r="CJ71" i="105"/>
  <c r="CJ71" i="123"/>
  <c r="CI71" i="105"/>
  <c r="CI71" i="123"/>
  <c r="CH71" i="105"/>
  <c r="CH71" i="123"/>
  <c r="CG71" i="105"/>
  <c r="CG71" i="123"/>
  <c r="CF71" i="105"/>
  <c r="CF71" i="123"/>
  <c r="CN69" i="105"/>
  <c r="CN69" i="123"/>
  <c r="CM69" i="105"/>
  <c r="CM69" i="123"/>
  <c r="CL69" i="105"/>
  <c r="CL69" i="123"/>
  <c r="CK69" i="105"/>
  <c r="CK69" i="123"/>
  <c r="CJ69" i="105"/>
  <c r="CJ69" i="123"/>
  <c r="CI69" i="105"/>
  <c r="CI69" i="123"/>
  <c r="CH69" i="105"/>
  <c r="CH69" i="123"/>
  <c r="CG69" i="105"/>
  <c r="CG69" i="123"/>
  <c r="CF69" i="105"/>
  <c r="CF69" i="123"/>
  <c r="CN68" i="105"/>
  <c r="CN68" i="123"/>
  <c r="CM68" i="105"/>
  <c r="CM68" i="123"/>
  <c r="CL68" i="105"/>
  <c r="CL68" i="123"/>
  <c r="CK68" i="105"/>
  <c r="CK68" i="123"/>
  <c r="CJ68" i="105"/>
  <c r="CJ68" i="123"/>
  <c r="CI68" i="105"/>
  <c r="CI68" i="123"/>
  <c r="CH68" i="105"/>
  <c r="CH68" i="123"/>
  <c r="CG68" i="105"/>
  <c r="CG68" i="123"/>
  <c r="CF68" i="105"/>
  <c r="CF68" i="123"/>
  <c r="CN67" i="105"/>
  <c r="CN67" i="123"/>
  <c r="CM67" i="105"/>
  <c r="CM67" i="123"/>
  <c r="CL67" i="105"/>
  <c r="CL67" i="123"/>
  <c r="CK67" i="105"/>
  <c r="CK67" i="123"/>
  <c r="CJ67" i="105"/>
  <c r="CJ67" i="123"/>
  <c r="CI67" i="105"/>
  <c r="CI67" i="123"/>
  <c r="CH67" i="105"/>
  <c r="CH67" i="123"/>
  <c r="CG67" i="105"/>
  <c r="CG67" i="123"/>
  <c r="CF67" i="105"/>
  <c r="CF67" i="123"/>
  <c r="CN66" i="105"/>
  <c r="CN66" i="123"/>
  <c r="CM66" i="105"/>
  <c r="CM66" i="123"/>
  <c r="CL66" i="105"/>
  <c r="CL66" i="123"/>
  <c r="CK66" i="105"/>
  <c r="CK66" i="123"/>
  <c r="CJ66" i="105"/>
  <c r="CJ66" i="123"/>
  <c r="CI66" i="105"/>
  <c r="CI66" i="123"/>
  <c r="CH66" i="105"/>
  <c r="CH66" i="123"/>
  <c r="CG66" i="105"/>
  <c r="CG66" i="123"/>
  <c r="CF66" i="105"/>
  <c r="CF66" i="123"/>
  <c r="CN64" i="105"/>
  <c r="CN64" i="123"/>
  <c r="CM64" i="105"/>
  <c r="CM64" i="123"/>
  <c r="CL64" i="105"/>
  <c r="CL64" i="123"/>
  <c r="CK64" i="105"/>
  <c r="CK64" i="123"/>
  <c r="CJ64" i="105"/>
  <c r="CJ64" i="123"/>
  <c r="CI64" i="105"/>
  <c r="CI64" i="123"/>
  <c r="CH64" i="105"/>
  <c r="CH64" i="123"/>
  <c r="CG64" i="105"/>
  <c r="CG64" i="123"/>
  <c r="CF64" i="105"/>
  <c r="CF64" i="123"/>
  <c r="CN63" i="105"/>
  <c r="CN63" i="123"/>
  <c r="CM63" i="105"/>
  <c r="CM63" i="123"/>
  <c r="CL63" i="105"/>
  <c r="CL63" i="123"/>
  <c r="CK63" i="105"/>
  <c r="CK63" i="123"/>
  <c r="CJ63" i="105"/>
  <c r="CJ63" i="123"/>
  <c r="CI63" i="105"/>
  <c r="CI63" i="123"/>
  <c r="CH63" i="105"/>
  <c r="CH63" i="123"/>
  <c r="CG63" i="105"/>
  <c r="CG63" i="123"/>
  <c r="CF63" i="105"/>
  <c r="CF63" i="123"/>
  <c r="CN60" i="105"/>
  <c r="CN60" i="123"/>
  <c r="CM60" i="105"/>
  <c r="CM60" i="123"/>
  <c r="CL60" i="105"/>
  <c r="CL60" i="123"/>
  <c r="CK60" i="105"/>
  <c r="CK60" i="123"/>
  <c r="CJ60" i="105"/>
  <c r="CJ60" i="123"/>
  <c r="CI60" i="105"/>
  <c r="CI60" i="123"/>
  <c r="CH60" i="105"/>
  <c r="CH60" i="123"/>
  <c r="CG60" i="105"/>
  <c r="CG60" i="123"/>
  <c r="CF60" i="105"/>
  <c r="CF60" i="123"/>
  <c r="CN59" i="105"/>
  <c r="CN59" i="123"/>
  <c r="CM59" i="105"/>
  <c r="CM59" i="123"/>
  <c r="CL59" i="105"/>
  <c r="CL59" i="123"/>
  <c r="CK59" i="105"/>
  <c r="CK59" i="123"/>
  <c r="CJ59" i="105"/>
  <c r="CJ59" i="123"/>
  <c r="CI59" i="105"/>
  <c r="CI59" i="123"/>
  <c r="CH59" i="105"/>
  <c r="CH59" i="123"/>
  <c r="CG59" i="105"/>
  <c r="CG59" i="123"/>
  <c r="CF59" i="105"/>
  <c r="CF59" i="123"/>
  <c r="CN49" i="105"/>
  <c r="CN49" i="123"/>
  <c r="CM49" i="105"/>
  <c r="CM49" i="123"/>
  <c r="CL49" i="105"/>
  <c r="CL49" i="123"/>
  <c r="CK49" i="105"/>
  <c r="CK49" i="123"/>
  <c r="CJ49" i="105"/>
  <c r="CJ49" i="123"/>
  <c r="CI49" i="105"/>
  <c r="CI49" i="123"/>
  <c r="CH49" i="105"/>
  <c r="CH49" i="123"/>
  <c r="CG49" i="105"/>
  <c r="CG49" i="123"/>
  <c r="CF49" i="105"/>
  <c r="CF49" i="123"/>
  <c r="CN48" i="105"/>
  <c r="CN48" i="123"/>
  <c r="CM48" i="105"/>
  <c r="CM48" i="123"/>
  <c r="CL48" i="105"/>
  <c r="CL48" i="123"/>
  <c r="CK48" i="105"/>
  <c r="CK48" i="123"/>
  <c r="CJ48" i="105"/>
  <c r="CJ48" i="123"/>
  <c r="CI48" i="105"/>
  <c r="CI48" i="123"/>
  <c r="CH48" i="105"/>
  <c r="CH48" i="123"/>
  <c r="CG48" i="105"/>
  <c r="CG48" i="123"/>
  <c r="CF48" i="105"/>
  <c r="CF48" i="123"/>
  <c r="CN47" i="105"/>
  <c r="CN47" i="123"/>
  <c r="CM47" i="105"/>
  <c r="CM47" i="123"/>
  <c r="CL47" i="105"/>
  <c r="CL47" i="123"/>
  <c r="CK47" i="105"/>
  <c r="CK47" i="123"/>
  <c r="CJ47" i="105"/>
  <c r="CJ47" i="123"/>
  <c r="CI47" i="105"/>
  <c r="CI47" i="123"/>
  <c r="CH47" i="105"/>
  <c r="CH47" i="123"/>
  <c r="CG47" i="105"/>
  <c r="CG47" i="123"/>
  <c r="CF47" i="123"/>
  <c r="CN42" i="105"/>
  <c r="CN42" i="123"/>
  <c r="CM42" i="105"/>
  <c r="CM42" i="123"/>
  <c r="CL42" i="105"/>
  <c r="CL42" i="123"/>
  <c r="CK42" i="105"/>
  <c r="CK42" i="123"/>
  <c r="CJ42" i="105"/>
  <c r="CJ42" i="123"/>
  <c r="CI42" i="105"/>
  <c r="CI42" i="123"/>
  <c r="CH42" i="105"/>
  <c r="CH42" i="123"/>
  <c r="CG42" i="105"/>
  <c r="CG42" i="123"/>
  <c r="CF42" i="105"/>
  <c r="CF42" i="123"/>
  <c r="CN41" i="105"/>
  <c r="CN41" i="123"/>
  <c r="CM41" i="105"/>
  <c r="CM41" i="123"/>
  <c r="CL41" i="105"/>
  <c r="CL41" i="123"/>
  <c r="CK41" i="105"/>
  <c r="CK41" i="123"/>
  <c r="CJ41" i="105"/>
  <c r="CJ41" i="123"/>
  <c r="CI41" i="105"/>
  <c r="CI41" i="123"/>
  <c r="CH41" i="105"/>
  <c r="CH41" i="123"/>
  <c r="CG41" i="105"/>
  <c r="CG41" i="123"/>
  <c r="CF41" i="105"/>
  <c r="CF41" i="123"/>
  <c r="CN40" i="105"/>
  <c r="CN40" i="123"/>
  <c r="CM40" i="105"/>
  <c r="CM40" i="123"/>
  <c r="CL40" i="105"/>
  <c r="CL40" i="123"/>
  <c r="CK40" i="105"/>
  <c r="CK40" i="123"/>
  <c r="CJ40" i="105"/>
  <c r="CJ40" i="123"/>
  <c r="CI40" i="105"/>
  <c r="CI40" i="123"/>
  <c r="CH40" i="105"/>
  <c r="CH40" i="123"/>
  <c r="CG40" i="105"/>
  <c r="CG40" i="123"/>
  <c r="CF40" i="105"/>
  <c r="CF40" i="123"/>
  <c r="CF39" i="105"/>
  <c r="CF39" i="123"/>
  <c r="CN38" i="105"/>
  <c r="CN38" i="123"/>
  <c r="CM38" i="105"/>
  <c r="CM38" i="123"/>
  <c r="CL38" i="105"/>
  <c r="CL38" i="123"/>
  <c r="CK38" i="105"/>
  <c r="CK38" i="123"/>
  <c r="CJ38" i="105"/>
  <c r="CJ38" i="123"/>
  <c r="CI38" i="105"/>
  <c r="CI38" i="123"/>
  <c r="CH38" i="105"/>
  <c r="CH38" i="123"/>
  <c r="CG38" i="105"/>
  <c r="CG38" i="123"/>
  <c r="CF38" i="105"/>
  <c r="CF38" i="123"/>
  <c r="CN37" i="105"/>
  <c r="CN37" i="123"/>
  <c r="CM37" i="105"/>
  <c r="CM37" i="123"/>
  <c r="CL37" i="105"/>
  <c r="CL37" i="123"/>
  <c r="CK37" i="105"/>
  <c r="CK37" i="123"/>
  <c r="CJ37" i="105"/>
  <c r="CJ37" i="123"/>
  <c r="CI37" i="105"/>
  <c r="CI37" i="123"/>
  <c r="CH37" i="105"/>
  <c r="CH37" i="123"/>
  <c r="CG37" i="105"/>
  <c r="CG37" i="123"/>
  <c r="CF37" i="105"/>
  <c r="CF37" i="123"/>
  <c r="CN36" i="105"/>
  <c r="CN36" i="123"/>
  <c r="CM36" i="105"/>
  <c r="CM36" i="123"/>
  <c r="CL36" i="105"/>
  <c r="CL36" i="123"/>
  <c r="CK36" i="105"/>
  <c r="CK36" i="123"/>
  <c r="CJ36" i="105"/>
  <c r="CJ36" i="123"/>
  <c r="CI36" i="105"/>
  <c r="CI36" i="123"/>
  <c r="CH36" i="105"/>
  <c r="CH36" i="123"/>
  <c r="CG36" i="105"/>
  <c r="CG36" i="123"/>
  <c r="CF36" i="105"/>
  <c r="CF36" i="123"/>
  <c r="CN35" i="105"/>
  <c r="CN35" i="123"/>
  <c r="CM35" i="105"/>
  <c r="CM35" i="123"/>
  <c r="CL35" i="105"/>
  <c r="CL35" i="123"/>
  <c r="CK35" i="105"/>
  <c r="CK35" i="123"/>
  <c r="CJ35" i="105"/>
  <c r="CJ35" i="123"/>
  <c r="CI35" i="105"/>
  <c r="CI35" i="123"/>
  <c r="CH35" i="105"/>
  <c r="CH35" i="123"/>
  <c r="CG35" i="105"/>
  <c r="CG35" i="123"/>
  <c r="CF35" i="105"/>
  <c r="CF35" i="123"/>
  <c r="CN34" i="105"/>
  <c r="CN34" i="123"/>
  <c r="CM34" i="105"/>
  <c r="CM34" i="123"/>
  <c r="CL34" i="105"/>
  <c r="CL34" i="123"/>
  <c r="CK34" i="105"/>
  <c r="CK34" i="123"/>
  <c r="CJ34" i="105"/>
  <c r="CJ34" i="123"/>
  <c r="CI34" i="105"/>
  <c r="CI34" i="123"/>
  <c r="CH34" i="105"/>
  <c r="CH34" i="123"/>
  <c r="CG34" i="105"/>
  <c r="CG34" i="123"/>
  <c r="CF34" i="105"/>
  <c r="CF34" i="123"/>
  <c r="CN33" i="105"/>
  <c r="CN33" i="123"/>
  <c r="CM33" i="105"/>
  <c r="CM33" i="123"/>
  <c r="CL33" i="105"/>
  <c r="CL33" i="123"/>
  <c r="CK33" i="105"/>
  <c r="CK33" i="123"/>
  <c r="CJ33" i="105"/>
  <c r="CJ33" i="123"/>
  <c r="CI33" i="105"/>
  <c r="CI33" i="123"/>
  <c r="CH33" i="105"/>
  <c r="CH33" i="123"/>
  <c r="CG33" i="105"/>
  <c r="CG33" i="123"/>
  <c r="CF33" i="105"/>
  <c r="CF33" i="123"/>
  <c r="CN32" i="105"/>
  <c r="CN32" i="123"/>
  <c r="CM32" i="105"/>
  <c r="CM32" i="123"/>
  <c r="CL32" i="105"/>
  <c r="CL32" i="123"/>
  <c r="CK32" i="105"/>
  <c r="CK32" i="123"/>
  <c r="CJ32" i="105"/>
  <c r="CJ32" i="123"/>
  <c r="CI32" i="105"/>
  <c r="CI32" i="123"/>
  <c r="CH32" i="105"/>
  <c r="CH32" i="123"/>
  <c r="CG32" i="105"/>
  <c r="CG32" i="123"/>
  <c r="CF32" i="105"/>
  <c r="CF32" i="123"/>
  <c r="CN31" i="105"/>
  <c r="CN31" i="123"/>
  <c r="CM31" i="105"/>
  <c r="CM31" i="123"/>
  <c r="CL31" i="105"/>
  <c r="CL31" i="123"/>
  <c r="CK31" i="105"/>
  <c r="CK31" i="123"/>
  <c r="CJ31" i="105"/>
  <c r="CJ31" i="123"/>
  <c r="CI31" i="105"/>
  <c r="CI31" i="123"/>
  <c r="CH31" i="105"/>
  <c r="CH31" i="123"/>
  <c r="CG31" i="105"/>
  <c r="CG31" i="123"/>
  <c r="CF31" i="105"/>
  <c r="CF31" i="123"/>
  <c r="CN29" i="105"/>
  <c r="CN29" i="123"/>
  <c r="CM29" i="105"/>
  <c r="CM29" i="123"/>
  <c r="CL29" i="105"/>
  <c r="CL29" i="123"/>
  <c r="CK29" i="105"/>
  <c r="CK29" i="123"/>
  <c r="CJ29" i="105"/>
  <c r="CJ29" i="123"/>
  <c r="CI29" i="105"/>
  <c r="CI29" i="123"/>
  <c r="CH29" i="105"/>
  <c r="CH29" i="123"/>
  <c r="CG29" i="105"/>
  <c r="CG29" i="123"/>
  <c r="CF29" i="105"/>
  <c r="CF29" i="123"/>
  <c r="CN28" i="105"/>
  <c r="CN28" i="123"/>
  <c r="CM28" i="105"/>
  <c r="CM28" i="123"/>
  <c r="CL28" i="105"/>
  <c r="CL28" i="123"/>
  <c r="CK28" i="105"/>
  <c r="CK28" i="123"/>
  <c r="CJ28" i="105"/>
  <c r="CJ28" i="123"/>
  <c r="CI28" i="105"/>
  <c r="CI28" i="123"/>
  <c r="CH28" i="105"/>
  <c r="CH28" i="123"/>
  <c r="CG28" i="105"/>
  <c r="CG28" i="123"/>
  <c r="CF28" i="105"/>
  <c r="CF28" i="123"/>
  <c r="CN27" i="105"/>
  <c r="CN27" i="123"/>
  <c r="CM27" i="105"/>
  <c r="CM27" i="123"/>
  <c r="CL27" i="105"/>
  <c r="CL27" i="123"/>
  <c r="CK27" i="105"/>
  <c r="CK27" i="123"/>
  <c r="CJ27" i="105"/>
  <c r="CJ27" i="123"/>
  <c r="CI27" i="105"/>
  <c r="CI27" i="123"/>
  <c r="CH27" i="105"/>
  <c r="CH27" i="123"/>
  <c r="CG27" i="105"/>
  <c r="CG27" i="123"/>
  <c r="CF27" i="105"/>
  <c r="CF27" i="123"/>
  <c r="CN25" i="105"/>
  <c r="CN25" i="123"/>
  <c r="CM25" i="105"/>
  <c r="CM25" i="123"/>
  <c r="CL25" i="105"/>
  <c r="CL25" i="123"/>
  <c r="CK25" i="105"/>
  <c r="CK25" i="123"/>
  <c r="CJ25" i="105"/>
  <c r="CJ25" i="123"/>
  <c r="CI25" i="105"/>
  <c r="CI25" i="123"/>
  <c r="CH25" i="105"/>
  <c r="CH25" i="123"/>
  <c r="CG25" i="105"/>
  <c r="CG25" i="123"/>
  <c r="CF25" i="105"/>
  <c r="CF25" i="123"/>
  <c r="CN24" i="105"/>
  <c r="CN24" i="123"/>
  <c r="CM24" i="105"/>
  <c r="CM24" i="123"/>
  <c r="CL24" i="105"/>
  <c r="CL24" i="123"/>
  <c r="CK24" i="105"/>
  <c r="CK24" i="123"/>
  <c r="CJ24" i="105"/>
  <c r="CJ24" i="123"/>
  <c r="CI24" i="105"/>
  <c r="CI24" i="123"/>
  <c r="CH24" i="105"/>
  <c r="CH24" i="123"/>
  <c r="CG24" i="105"/>
  <c r="CG24" i="123"/>
  <c r="CF24" i="105"/>
  <c r="CF24" i="123"/>
  <c r="CN23" i="105"/>
  <c r="CN23" i="123"/>
  <c r="CM23" i="105"/>
  <c r="CM23" i="123"/>
  <c r="CL23" i="105"/>
  <c r="CL23" i="123"/>
  <c r="CK23" i="105"/>
  <c r="CK23" i="123"/>
  <c r="CJ23" i="105"/>
  <c r="CJ23" i="123"/>
  <c r="CI23" i="105"/>
  <c r="CI23" i="123"/>
  <c r="CH23" i="105"/>
  <c r="CH23" i="123"/>
  <c r="CG23" i="105"/>
  <c r="CG23" i="123"/>
  <c r="CF23" i="105"/>
  <c r="CF23" i="123"/>
  <c r="CN22" i="105"/>
  <c r="CN22" i="123"/>
  <c r="CM22" i="105"/>
  <c r="CM22" i="123"/>
  <c r="CL22" i="105"/>
  <c r="CL22" i="123"/>
  <c r="CK22" i="105"/>
  <c r="CK22" i="123"/>
  <c r="CJ22" i="105"/>
  <c r="CJ22" i="123"/>
  <c r="CI22" i="105"/>
  <c r="CI22" i="123"/>
  <c r="CH22" i="105"/>
  <c r="CH22" i="123"/>
  <c r="CG22" i="105"/>
  <c r="CG22" i="123"/>
  <c r="CF22" i="105"/>
  <c r="CF22" i="123"/>
  <c r="CN20" i="105"/>
  <c r="CN20" i="123"/>
  <c r="CM20" i="105"/>
  <c r="CM20" i="123"/>
  <c r="CL20" i="105"/>
  <c r="CL20" i="123"/>
  <c r="CK20" i="105"/>
  <c r="CK20" i="123"/>
  <c r="CJ20" i="105"/>
  <c r="CJ20" i="123"/>
  <c r="CI20" i="105"/>
  <c r="CI20" i="123"/>
  <c r="CH20" i="105"/>
  <c r="CH20" i="123"/>
  <c r="CG20" i="105"/>
  <c r="CG20" i="123"/>
  <c r="CF20" i="105"/>
  <c r="CF20" i="123"/>
  <c r="CN19" i="105"/>
  <c r="CN19" i="123"/>
  <c r="CM19" i="105"/>
  <c r="CM19" i="123"/>
  <c r="CL19" i="105"/>
  <c r="CL19" i="123"/>
  <c r="CK19" i="105"/>
  <c r="CK19" i="123"/>
  <c r="CJ19" i="105"/>
  <c r="CJ19" i="123"/>
  <c r="CI19" i="105"/>
  <c r="CI19" i="123"/>
  <c r="CH19" i="105"/>
  <c r="CH19" i="123"/>
  <c r="CG19" i="105"/>
  <c r="CG19" i="123"/>
  <c r="CF19" i="105"/>
  <c r="CF19" i="123"/>
  <c r="CN17" i="105"/>
  <c r="CN17" i="123"/>
  <c r="CM17" i="105"/>
  <c r="CM17" i="123"/>
  <c r="CL17" i="105"/>
  <c r="CL17" i="123"/>
  <c r="CK17" i="105"/>
  <c r="CK17" i="123"/>
  <c r="CJ17" i="105"/>
  <c r="CJ17" i="123"/>
  <c r="CI17" i="105"/>
  <c r="CI17" i="123"/>
  <c r="CH17" i="105"/>
  <c r="CH17" i="123"/>
  <c r="CG17" i="105"/>
  <c r="CG17" i="123"/>
  <c r="CF17" i="105"/>
  <c r="CF17" i="123"/>
  <c r="CN16" i="105"/>
  <c r="CN16" i="123"/>
  <c r="CM16" i="105"/>
  <c r="CM16" i="123"/>
  <c r="CL16" i="105"/>
  <c r="CL16" i="123"/>
  <c r="CK16" i="105"/>
  <c r="CK16" i="123"/>
  <c r="CJ16" i="105"/>
  <c r="CJ16" i="123"/>
  <c r="CI16" i="105"/>
  <c r="CI16" i="123"/>
  <c r="CH16" i="105"/>
  <c r="CH16" i="123"/>
  <c r="CG16" i="105"/>
  <c r="CG16" i="123"/>
  <c r="CF16" i="105"/>
  <c r="CF16" i="123"/>
  <c r="CN15" i="105"/>
  <c r="CN15" i="123"/>
  <c r="CM15" i="105"/>
  <c r="CM15" i="123"/>
  <c r="CL15" i="105"/>
  <c r="CL15" i="123"/>
  <c r="CK15" i="105"/>
  <c r="CK15" i="123"/>
  <c r="CJ15" i="105"/>
  <c r="CJ15" i="123"/>
  <c r="CI15" i="105"/>
  <c r="CI15" i="123"/>
  <c r="CH15" i="105"/>
  <c r="CH15" i="123"/>
  <c r="CG15" i="105"/>
  <c r="CG15" i="123"/>
  <c r="CF15" i="105"/>
  <c r="CF15" i="123"/>
  <c r="CN14" i="105"/>
  <c r="CN14" i="123"/>
  <c r="CM14" i="105"/>
  <c r="CM14" i="123"/>
  <c r="CL14" i="105"/>
  <c r="CL14" i="123"/>
  <c r="CK14" i="105"/>
  <c r="CK14" i="123"/>
  <c r="CJ14" i="105"/>
  <c r="CJ14" i="123"/>
  <c r="CI14" i="105"/>
  <c r="CI14" i="123"/>
  <c r="CH14" i="105"/>
  <c r="CH14" i="123"/>
  <c r="CG14" i="105"/>
  <c r="CG14" i="123"/>
  <c r="CF14" i="105"/>
  <c r="CF14" i="123"/>
  <c r="CN12" i="105"/>
  <c r="CN12" i="123"/>
  <c r="CM12" i="105"/>
  <c r="CM12" i="123"/>
  <c r="CL12" i="105"/>
  <c r="CL12" i="123"/>
  <c r="CK12" i="105"/>
  <c r="CK12" i="123"/>
  <c r="CJ12" i="105"/>
  <c r="CJ12" i="123"/>
  <c r="CI12" i="105"/>
  <c r="CI12" i="123"/>
  <c r="CH12" i="105"/>
  <c r="CH12" i="123"/>
  <c r="CG12" i="123"/>
  <c r="CF12" i="105"/>
  <c r="CF12" i="123"/>
  <c r="CN11" i="105"/>
  <c r="CN11" i="123"/>
  <c r="CM11" i="105"/>
  <c r="CM11" i="123"/>
  <c r="CL11" i="105"/>
  <c r="CL11" i="123"/>
  <c r="CK11" i="105"/>
  <c r="CK11" i="123"/>
  <c r="CJ11" i="105"/>
  <c r="CJ11" i="123"/>
  <c r="CI11" i="105"/>
  <c r="CI11" i="123"/>
  <c r="CH11" i="105"/>
  <c r="CH11" i="123"/>
  <c r="CG11" i="105"/>
  <c r="CG11" i="123"/>
  <c r="CF11" i="105"/>
  <c r="CF11" i="123"/>
  <c r="CN10" i="123"/>
  <c r="CM10" i="123"/>
  <c r="CL10" i="123"/>
  <c r="CK10" i="123"/>
  <c r="CJ10" i="123"/>
  <c r="CI10" i="123"/>
  <c r="CH10" i="123"/>
  <c r="CG10" i="123"/>
  <c r="CF10" i="123"/>
  <c r="CN9" i="123"/>
  <c r="CM9" i="123"/>
  <c r="CL9" i="123"/>
  <c r="CK9" i="123"/>
  <c r="CJ9" i="123"/>
  <c r="CI9" i="123"/>
  <c r="CH9" i="123"/>
  <c r="CG9" i="123"/>
  <c r="CF9" i="123"/>
  <c r="CN8" i="123"/>
  <c r="CM8" i="123"/>
  <c r="CL8" i="123"/>
  <c r="CK8" i="123"/>
  <c r="CJ8" i="123"/>
  <c r="CI8" i="123"/>
  <c r="CH8" i="123"/>
  <c r="CG8" i="123"/>
  <c r="CF8" i="123"/>
  <c r="CN7" i="105"/>
  <c r="CN7" i="123"/>
  <c r="CM7" i="105"/>
  <c r="CM7" i="123"/>
  <c r="CL7" i="105"/>
  <c r="CL7" i="123"/>
  <c r="CK7" i="105"/>
  <c r="CK7" i="123"/>
  <c r="CJ7" i="105"/>
  <c r="CJ7" i="123"/>
  <c r="CI7" i="105"/>
  <c r="CI7" i="123"/>
  <c r="CH7" i="105"/>
  <c r="CH7" i="123"/>
  <c r="CG7" i="105"/>
  <c r="CG7" i="123"/>
  <c r="CF7" i="105"/>
  <c r="CF7" i="123"/>
  <c r="CN6" i="105"/>
  <c r="CN6" i="123"/>
  <c r="CM6" i="105"/>
  <c r="CM6" i="123"/>
  <c r="CL6" i="105"/>
  <c r="CL6" i="123"/>
  <c r="CK6" i="105"/>
  <c r="CK6" i="123"/>
  <c r="CJ6" i="105"/>
  <c r="CJ6" i="123"/>
  <c r="CI6" i="105"/>
  <c r="CI6" i="123"/>
  <c r="CH6" i="105"/>
  <c r="CH6" i="123"/>
  <c r="CG6" i="105"/>
  <c r="CG6" i="123"/>
  <c r="CF6" i="105"/>
  <c r="CF6" i="123"/>
  <c r="CN5" i="105"/>
  <c r="CN5" i="123"/>
  <c r="CM5" i="105"/>
  <c r="CM5" i="123"/>
  <c r="CL5" i="105"/>
  <c r="CL5" i="123"/>
  <c r="CK5" i="105"/>
  <c r="CK5" i="123"/>
  <c r="CJ5" i="105"/>
  <c r="CJ5" i="123"/>
  <c r="CI5" i="105"/>
  <c r="CI5" i="123"/>
  <c r="CH5" i="105"/>
  <c r="CH5" i="123"/>
  <c r="CG5" i="105"/>
  <c r="CG5" i="123"/>
  <c r="CF5" i="105"/>
  <c r="CF5" i="123"/>
  <c r="CN4" i="105"/>
  <c r="CN4" i="123"/>
  <c r="CM4" i="105"/>
  <c r="CM4" i="123"/>
  <c r="CL4" i="105"/>
  <c r="CL4" i="123"/>
  <c r="CK4" i="105"/>
  <c r="CK4" i="123"/>
  <c r="CJ4" i="105"/>
  <c r="CJ4" i="123"/>
  <c r="CI4" i="105"/>
  <c r="CI4" i="123"/>
  <c r="CH4" i="105"/>
  <c r="CH4" i="123"/>
  <c r="CG4" i="105"/>
  <c r="CG4" i="123"/>
  <c r="CF4" i="105"/>
  <c r="CF4" i="123"/>
  <c r="CN3" i="105"/>
  <c r="CN3" i="123"/>
  <c r="CM3" i="105"/>
  <c r="CM3" i="123"/>
  <c r="CL3" i="105"/>
  <c r="CL3" i="123"/>
  <c r="CK3" i="105"/>
  <c r="CK3" i="123"/>
  <c r="CJ3" i="105"/>
  <c r="CJ3" i="123"/>
  <c r="CI3" i="105"/>
  <c r="CI3" i="123"/>
  <c r="CH3" i="105"/>
  <c r="CH3" i="123"/>
  <c r="CG3" i="105"/>
  <c r="CG3" i="123"/>
  <c r="CF3" i="105"/>
  <c r="CF3" i="123"/>
  <c r="CA38" i="123"/>
  <c r="BZ38" i="123"/>
  <c r="BY38" i="123"/>
  <c r="BX38" i="123"/>
  <c r="BW38" i="123"/>
  <c r="BV38" i="123"/>
  <c r="BU38" i="123"/>
  <c r="BT38" i="123"/>
  <c r="BS38" i="123"/>
  <c r="CA37" i="123"/>
  <c r="BZ37" i="123"/>
  <c r="BY37" i="123"/>
  <c r="BX37" i="123"/>
  <c r="BW37" i="123"/>
  <c r="BV37" i="123"/>
  <c r="BU37" i="123"/>
  <c r="BT37" i="123"/>
  <c r="BS37" i="123"/>
  <c r="CA36" i="123"/>
  <c r="BZ36" i="123"/>
  <c r="BY36" i="123"/>
  <c r="BX36" i="123"/>
  <c r="BW36" i="123"/>
  <c r="BV36" i="123"/>
  <c r="BU36" i="123"/>
  <c r="BT36" i="123"/>
  <c r="BS36" i="123"/>
  <c r="CA35" i="123"/>
  <c r="BZ35" i="123"/>
  <c r="BY35" i="123"/>
  <c r="BX35" i="123"/>
  <c r="BW35" i="123"/>
  <c r="BV35" i="123"/>
  <c r="BU35" i="123"/>
  <c r="BT35" i="123"/>
  <c r="BS35" i="123"/>
  <c r="CA34" i="123"/>
  <c r="BZ34" i="123"/>
  <c r="BY34" i="123"/>
  <c r="BX34" i="123"/>
  <c r="BW34" i="123"/>
  <c r="BV34" i="123"/>
  <c r="BU34" i="123"/>
  <c r="BT34" i="123"/>
  <c r="BS34" i="123"/>
  <c r="CA33" i="123"/>
  <c r="BZ33" i="123"/>
  <c r="BY33" i="123"/>
  <c r="BX33" i="123"/>
  <c r="BW33" i="123"/>
  <c r="BV33" i="123"/>
  <c r="BU33" i="123"/>
  <c r="BT33" i="123"/>
  <c r="BS33" i="123"/>
  <c r="CA32" i="123"/>
  <c r="BZ32" i="123"/>
  <c r="BY32" i="123"/>
  <c r="BX32" i="123"/>
  <c r="BW32" i="123"/>
  <c r="BV32" i="123"/>
  <c r="BU32" i="123"/>
  <c r="BT32" i="123"/>
  <c r="BS32" i="123"/>
  <c r="CA31" i="123"/>
  <c r="BZ31" i="123"/>
  <c r="BY31" i="123"/>
  <c r="BX31" i="123"/>
  <c r="BW31" i="123"/>
  <c r="BV31" i="123"/>
  <c r="BU31" i="123"/>
  <c r="BT31" i="123"/>
  <c r="BS31" i="123"/>
  <c r="CA30" i="123"/>
  <c r="BZ30" i="123"/>
  <c r="BY30" i="123"/>
  <c r="BX30" i="123"/>
  <c r="BW30" i="123"/>
  <c r="BV30" i="123"/>
  <c r="BU30" i="123"/>
  <c r="BT30" i="123"/>
  <c r="BS30" i="123"/>
  <c r="CA29" i="123"/>
  <c r="BZ29" i="123"/>
  <c r="BY29" i="123"/>
  <c r="BX29" i="123"/>
  <c r="BW29" i="123"/>
  <c r="BV29" i="123"/>
  <c r="BU29" i="123"/>
  <c r="BT29" i="123"/>
  <c r="BS29" i="123"/>
  <c r="CA28" i="123"/>
  <c r="BZ28" i="123"/>
  <c r="BY28" i="123"/>
  <c r="BX28" i="123"/>
  <c r="BW28" i="123"/>
  <c r="BV28" i="123"/>
  <c r="BU28" i="123"/>
  <c r="BT28" i="123"/>
  <c r="BS28" i="123"/>
  <c r="CA27" i="123"/>
  <c r="BZ27" i="123"/>
  <c r="BY27" i="123"/>
  <c r="BX27" i="123"/>
  <c r="BW27" i="123"/>
  <c r="BV27" i="123"/>
  <c r="BU27" i="123"/>
  <c r="BT27" i="123"/>
  <c r="BS27" i="123"/>
  <c r="CA25" i="123"/>
  <c r="BZ25" i="123"/>
  <c r="BY25" i="123"/>
  <c r="BX25" i="123"/>
  <c r="BW25" i="123"/>
  <c r="BV25" i="123"/>
  <c r="BU25" i="123"/>
  <c r="BT25" i="123"/>
  <c r="BS25" i="123"/>
  <c r="CA24" i="123"/>
  <c r="BZ24" i="123"/>
  <c r="BY24" i="123"/>
  <c r="BX24" i="123"/>
  <c r="BW24" i="123"/>
  <c r="BV24" i="123"/>
  <c r="BU24" i="123"/>
  <c r="BT24" i="123"/>
  <c r="BS24" i="123"/>
  <c r="CA23" i="123"/>
  <c r="BZ23" i="123"/>
  <c r="BY23" i="123"/>
  <c r="BX23" i="123"/>
  <c r="BW23" i="123"/>
  <c r="BV23" i="123"/>
  <c r="BU23" i="123"/>
  <c r="BT23" i="123"/>
  <c r="BS23" i="123"/>
  <c r="CA22" i="123"/>
  <c r="BZ22" i="123"/>
  <c r="BY22" i="123"/>
  <c r="BX22" i="123"/>
  <c r="BW22" i="123"/>
  <c r="BV22" i="123"/>
  <c r="BU22" i="123"/>
  <c r="BT22" i="123"/>
  <c r="BS22" i="123"/>
  <c r="CA20" i="123"/>
  <c r="BZ20" i="123"/>
  <c r="BY20" i="123"/>
  <c r="BX20" i="123"/>
  <c r="BW20" i="123"/>
  <c r="BV20" i="123"/>
  <c r="BU20" i="123"/>
  <c r="BT20" i="123"/>
  <c r="BS20" i="123"/>
  <c r="CA19" i="123"/>
  <c r="BZ19" i="123"/>
  <c r="BY19" i="123"/>
  <c r="BX19" i="123"/>
  <c r="BW19" i="123"/>
  <c r="BV19" i="123"/>
  <c r="BU19" i="123"/>
  <c r="BT19" i="123"/>
  <c r="BS19" i="123"/>
  <c r="N514" i="113"/>
  <c r="N515" i="113"/>
  <c r="N516" i="113"/>
  <c r="N518" i="113"/>
  <c r="F297" i="113"/>
  <c r="H297" i="113"/>
  <c r="I297" i="113"/>
  <c r="J297" i="113"/>
  <c r="K297" i="113"/>
  <c r="L297" i="113"/>
  <c r="M297" i="113"/>
  <c r="N297" i="113"/>
  <c r="M514" i="113"/>
  <c r="M515" i="113"/>
  <c r="M516" i="113"/>
  <c r="M518" i="113"/>
  <c r="L514" i="113"/>
  <c r="L515" i="113"/>
  <c r="L516" i="113"/>
  <c r="L518" i="113"/>
  <c r="K514" i="113"/>
  <c r="K515" i="113"/>
  <c r="K516" i="113"/>
  <c r="K518" i="113"/>
  <c r="J514" i="113"/>
  <c r="J515" i="113"/>
  <c r="J516" i="113"/>
  <c r="J518" i="113"/>
  <c r="I514" i="113"/>
  <c r="I515" i="113"/>
  <c r="I516" i="113"/>
  <c r="I518" i="113"/>
  <c r="H514" i="113"/>
  <c r="H515" i="113"/>
  <c r="H516" i="113"/>
  <c r="H518" i="113"/>
  <c r="G514" i="113"/>
  <c r="G515" i="113"/>
  <c r="G516" i="113"/>
  <c r="G518" i="113"/>
  <c r="F514" i="113"/>
  <c r="F515" i="113"/>
  <c r="F516" i="113"/>
  <c r="F518" i="113"/>
  <c r="CA16" i="123"/>
  <c r="BZ16" i="123"/>
  <c r="BY16" i="123"/>
  <c r="BX16" i="123"/>
  <c r="BW16" i="123"/>
  <c r="BV16" i="123"/>
  <c r="BU16" i="123"/>
  <c r="BT16" i="123"/>
  <c r="BS16" i="123"/>
  <c r="CA15" i="123"/>
  <c r="BZ15" i="123"/>
  <c r="BY15" i="123"/>
  <c r="BX15" i="123"/>
  <c r="BW15" i="123"/>
  <c r="BV15" i="123"/>
  <c r="BU15" i="123"/>
  <c r="BT15" i="123"/>
  <c r="BS15" i="123"/>
  <c r="CA12" i="123"/>
  <c r="BZ12" i="123"/>
  <c r="BY12" i="123"/>
  <c r="BX12" i="123"/>
  <c r="BW12" i="123"/>
  <c r="BV12" i="123"/>
  <c r="BU12" i="123"/>
  <c r="BT12" i="123"/>
  <c r="BS12" i="123"/>
  <c r="CA11" i="123"/>
  <c r="BZ11" i="123"/>
  <c r="BY11" i="123"/>
  <c r="BX11" i="123"/>
  <c r="BW11" i="123"/>
  <c r="BV11" i="123"/>
  <c r="BU11" i="123"/>
  <c r="BT11" i="123"/>
  <c r="BS11" i="123"/>
  <c r="CA10" i="123"/>
  <c r="BZ10" i="123"/>
  <c r="BY10" i="123"/>
  <c r="BX10" i="123"/>
  <c r="BW10" i="123"/>
  <c r="BV10" i="123"/>
  <c r="BU10" i="123"/>
  <c r="BT10" i="123"/>
  <c r="BS10" i="123"/>
  <c r="CA9" i="123"/>
  <c r="BZ9" i="123"/>
  <c r="BY9" i="123"/>
  <c r="BX9" i="123"/>
  <c r="BW9" i="123"/>
  <c r="BV9" i="123"/>
  <c r="BU9" i="123"/>
  <c r="BT9" i="123"/>
  <c r="BS9" i="123"/>
  <c r="CA8" i="123"/>
  <c r="BZ8" i="123"/>
  <c r="BY8" i="123"/>
  <c r="BX8" i="123"/>
  <c r="BW8" i="123"/>
  <c r="BV8" i="123"/>
  <c r="BU8" i="123"/>
  <c r="BT8" i="123"/>
  <c r="BS8" i="123"/>
  <c r="CA7" i="123"/>
  <c r="BZ7" i="123"/>
  <c r="BY7" i="123"/>
  <c r="BX7" i="123"/>
  <c r="BW7" i="123"/>
  <c r="BV7" i="123"/>
  <c r="BU7" i="123"/>
  <c r="BT7" i="123"/>
  <c r="BS7" i="123"/>
  <c r="CA6" i="123"/>
  <c r="BZ6" i="123"/>
  <c r="BY6" i="123"/>
  <c r="BX6" i="123"/>
  <c r="BW6" i="123"/>
  <c r="BV6" i="123"/>
  <c r="BU6" i="123"/>
  <c r="BT6" i="123"/>
  <c r="BS6" i="123"/>
  <c r="CA5" i="123"/>
  <c r="BZ5" i="123"/>
  <c r="BY5" i="123"/>
  <c r="BX5" i="123"/>
  <c r="BW5" i="123"/>
  <c r="BV5" i="123"/>
  <c r="BU5" i="123"/>
  <c r="BT5" i="123"/>
  <c r="BS5" i="123"/>
  <c r="CA4" i="123"/>
  <c r="BZ4" i="123"/>
  <c r="BY4" i="123"/>
  <c r="BX4" i="123"/>
  <c r="BW4" i="123"/>
  <c r="BV4" i="123"/>
  <c r="BU4" i="123"/>
  <c r="BT4" i="123"/>
  <c r="BS4" i="123"/>
  <c r="CA3" i="123"/>
  <c r="BZ3" i="123"/>
  <c r="BY3" i="123"/>
  <c r="BX3" i="123"/>
  <c r="BW3" i="123"/>
  <c r="BV3" i="123"/>
  <c r="BU3" i="123"/>
  <c r="BT3" i="123"/>
  <c r="BS3" i="123"/>
  <c r="BQ42" i="123"/>
  <c r="BP42" i="123"/>
  <c r="BO42" i="123"/>
  <c r="BN42" i="123"/>
  <c r="BM42" i="123"/>
  <c r="BL42" i="123"/>
  <c r="BK42" i="123"/>
  <c r="BJ42" i="123"/>
  <c r="BI42" i="123"/>
  <c r="BQ41" i="123"/>
  <c r="BP41" i="123"/>
  <c r="BO41" i="123"/>
  <c r="BN41" i="123"/>
  <c r="BM41" i="123"/>
  <c r="BL41" i="123"/>
  <c r="BK41" i="123"/>
  <c r="BJ41" i="123"/>
  <c r="BI41" i="123"/>
  <c r="BQ40" i="123"/>
  <c r="BP40" i="123"/>
  <c r="BO40" i="123"/>
  <c r="BN40" i="123"/>
  <c r="BM40" i="123"/>
  <c r="BL40" i="123"/>
  <c r="BK40" i="123"/>
  <c r="BJ40" i="123"/>
  <c r="BI40" i="123"/>
  <c r="BI39" i="123"/>
  <c r="BQ38" i="123"/>
  <c r="BP38" i="123"/>
  <c r="BO38" i="123"/>
  <c r="BN38" i="123"/>
  <c r="BM38" i="123"/>
  <c r="BL38" i="123"/>
  <c r="BK38" i="123"/>
  <c r="BJ38" i="123"/>
  <c r="BI38" i="123"/>
  <c r="BQ37" i="123"/>
  <c r="BP37" i="123"/>
  <c r="BO37" i="123"/>
  <c r="BN37" i="123"/>
  <c r="BM37" i="123"/>
  <c r="BL37" i="123"/>
  <c r="BK37" i="123"/>
  <c r="BJ37" i="123"/>
  <c r="BI37" i="123"/>
  <c r="BQ36" i="123"/>
  <c r="BP36" i="123"/>
  <c r="BO36" i="123"/>
  <c r="BN36" i="123"/>
  <c r="BM36" i="123"/>
  <c r="BL36" i="123"/>
  <c r="BK36" i="123"/>
  <c r="BJ36" i="123"/>
  <c r="BI36" i="123"/>
  <c r="BQ35" i="123"/>
  <c r="BP35" i="123"/>
  <c r="BO35" i="123"/>
  <c r="BN35" i="123"/>
  <c r="BM35" i="123"/>
  <c r="BL35" i="123"/>
  <c r="BK35" i="123"/>
  <c r="BJ35" i="123"/>
  <c r="BI35" i="123"/>
  <c r="BQ34" i="123"/>
  <c r="BP34" i="123"/>
  <c r="BO34" i="123"/>
  <c r="BN34" i="123"/>
  <c r="BM34" i="123"/>
  <c r="BL34" i="123"/>
  <c r="BK34" i="123"/>
  <c r="BJ34" i="123"/>
  <c r="BI34" i="123"/>
  <c r="BQ33" i="123"/>
  <c r="BP33" i="123"/>
  <c r="BO33" i="123"/>
  <c r="BN33" i="123"/>
  <c r="BM33" i="123"/>
  <c r="BL33" i="123"/>
  <c r="BK33" i="123"/>
  <c r="BJ33" i="123"/>
  <c r="BI33" i="123"/>
  <c r="BQ32" i="123"/>
  <c r="BP32" i="123"/>
  <c r="BO32" i="123"/>
  <c r="BN32" i="123"/>
  <c r="BM32" i="123"/>
  <c r="BL32" i="123"/>
  <c r="BK32" i="123"/>
  <c r="BJ32" i="123"/>
  <c r="BI32" i="123"/>
  <c r="BQ31" i="123"/>
  <c r="BP31" i="123"/>
  <c r="BO31" i="123"/>
  <c r="BN31" i="123"/>
  <c r="BM31" i="123"/>
  <c r="BL31" i="123"/>
  <c r="BK31" i="123"/>
  <c r="BJ31" i="123"/>
  <c r="BI31" i="123"/>
  <c r="BQ30" i="123"/>
  <c r="BP30" i="123"/>
  <c r="BO30" i="123"/>
  <c r="BN30" i="123"/>
  <c r="BM30" i="123"/>
  <c r="BL30" i="123"/>
  <c r="BK30" i="123"/>
  <c r="BJ30" i="123"/>
  <c r="BI30" i="123"/>
  <c r="BQ29" i="123"/>
  <c r="BP29" i="123"/>
  <c r="BO29" i="123"/>
  <c r="BN29" i="123"/>
  <c r="BM29" i="123"/>
  <c r="BL29" i="123"/>
  <c r="BK29" i="123"/>
  <c r="BJ29" i="123"/>
  <c r="BI29" i="123"/>
  <c r="BQ28" i="123"/>
  <c r="BP28" i="123"/>
  <c r="BO28" i="123"/>
  <c r="BN28" i="123"/>
  <c r="BM28" i="123"/>
  <c r="BL28" i="123"/>
  <c r="BK28" i="123"/>
  <c r="BJ28" i="123"/>
  <c r="BI28" i="123"/>
  <c r="BQ27" i="123"/>
  <c r="BP27" i="123"/>
  <c r="BO27" i="123"/>
  <c r="BN27" i="123"/>
  <c r="BM27" i="123"/>
  <c r="BL27" i="123"/>
  <c r="BK27" i="123"/>
  <c r="BJ27" i="123"/>
  <c r="BI27" i="123"/>
  <c r="BQ25" i="123"/>
  <c r="BP25" i="123"/>
  <c r="BO25" i="123"/>
  <c r="BN25" i="123"/>
  <c r="BM25" i="123"/>
  <c r="BL25" i="123"/>
  <c r="BK25" i="123"/>
  <c r="BJ25" i="123"/>
  <c r="BI25" i="123"/>
  <c r="BQ24" i="123"/>
  <c r="BP24" i="123"/>
  <c r="BO24" i="123"/>
  <c r="BN24" i="123"/>
  <c r="BM24" i="123"/>
  <c r="BL24" i="123"/>
  <c r="BK24" i="123"/>
  <c r="BJ24" i="123"/>
  <c r="BI24" i="123"/>
  <c r="BQ23" i="123"/>
  <c r="BP23" i="123"/>
  <c r="BO23" i="123"/>
  <c r="BN23" i="123"/>
  <c r="BM23" i="123"/>
  <c r="BL23" i="123"/>
  <c r="BK23" i="123"/>
  <c r="BJ23" i="123"/>
  <c r="BI23" i="123"/>
  <c r="BQ22" i="123"/>
  <c r="BP22" i="123"/>
  <c r="BO22" i="123"/>
  <c r="BN22" i="123"/>
  <c r="BM22" i="123"/>
  <c r="BL22" i="123"/>
  <c r="BK22" i="123"/>
  <c r="BJ22" i="123"/>
  <c r="BI22" i="123"/>
  <c r="BQ20" i="123"/>
  <c r="BP20" i="123"/>
  <c r="BO20" i="123"/>
  <c r="BN20" i="123"/>
  <c r="BM20" i="123"/>
  <c r="BL20" i="123"/>
  <c r="BK20" i="123"/>
  <c r="BJ20" i="123"/>
  <c r="BI20" i="123"/>
  <c r="BQ19" i="123"/>
  <c r="BP19" i="123"/>
  <c r="BO19" i="123"/>
  <c r="BN19" i="123"/>
  <c r="BM19" i="123"/>
  <c r="BL19" i="123"/>
  <c r="BK19" i="123"/>
  <c r="BJ19" i="123"/>
  <c r="BI19" i="123"/>
  <c r="BQ17" i="123"/>
  <c r="BP17" i="123"/>
  <c r="BO17" i="123"/>
  <c r="BN17" i="123"/>
  <c r="BM17" i="123"/>
  <c r="BL17" i="123"/>
  <c r="BK17" i="123"/>
  <c r="BJ17" i="123"/>
  <c r="BI17" i="123"/>
  <c r="BQ16" i="123"/>
  <c r="BP16" i="123"/>
  <c r="BO16" i="123"/>
  <c r="BN16" i="123"/>
  <c r="BM16" i="123"/>
  <c r="BL16" i="123"/>
  <c r="BK16" i="123"/>
  <c r="BJ16" i="123"/>
  <c r="BI16" i="123"/>
  <c r="BQ15" i="123"/>
  <c r="BP15" i="123"/>
  <c r="BO15" i="123"/>
  <c r="BN15" i="123"/>
  <c r="BM15" i="123"/>
  <c r="BL15" i="123"/>
  <c r="BK15" i="123"/>
  <c r="BJ15" i="123"/>
  <c r="BI15" i="123"/>
  <c r="BQ14" i="123"/>
  <c r="BP14" i="123"/>
  <c r="BO14" i="123"/>
  <c r="BN14" i="123"/>
  <c r="BM14" i="123"/>
  <c r="BL14" i="123"/>
  <c r="BK14" i="123"/>
  <c r="BJ14" i="123"/>
  <c r="BI14" i="123"/>
  <c r="BQ12" i="123"/>
  <c r="BP12" i="123"/>
  <c r="BO12" i="123"/>
  <c r="BN12" i="123"/>
  <c r="BM12" i="123"/>
  <c r="BL12" i="123"/>
  <c r="BK12" i="123"/>
  <c r="BJ12" i="123"/>
  <c r="BI12" i="123"/>
  <c r="BQ11" i="123"/>
  <c r="BP11" i="123"/>
  <c r="BO11" i="123"/>
  <c r="BN11" i="123"/>
  <c r="BM11" i="123"/>
  <c r="BL11" i="123"/>
  <c r="BK11" i="123"/>
  <c r="BJ11" i="123"/>
  <c r="BI11" i="123"/>
  <c r="BQ10" i="123"/>
  <c r="BP10" i="123"/>
  <c r="BO10" i="123"/>
  <c r="BN10" i="123"/>
  <c r="BM10" i="123"/>
  <c r="BL10" i="123"/>
  <c r="BK10" i="123"/>
  <c r="BJ10" i="123"/>
  <c r="BI10" i="123"/>
  <c r="BQ9" i="123"/>
  <c r="BP9" i="123"/>
  <c r="BO9" i="123"/>
  <c r="BN9" i="123"/>
  <c r="BM9" i="123"/>
  <c r="BL9" i="123"/>
  <c r="BK9" i="123"/>
  <c r="BJ9" i="123"/>
  <c r="BI9" i="123"/>
  <c r="BQ8" i="123"/>
  <c r="BP8" i="123"/>
  <c r="BO8" i="123"/>
  <c r="BN8" i="123"/>
  <c r="BM8" i="123"/>
  <c r="BL8" i="123"/>
  <c r="BK8" i="123"/>
  <c r="BJ8" i="123"/>
  <c r="BI8" i="123"/>
  <c r="BQ7" i="123"/>
  <c r="BP7" i="123"/>
  <c r="BO7" i="123"/>
  <c r="BN7" i="123"/>
  <c r="BM7" i="123"/>
  <c r="BL7" i="123"/>
  <c r="BK7" i="123"/>
  <c r="BJ7" i="123"/>
  <c r="BI7" i="123"/>
  <c r="BQ6" i="123"/>
  <c r="BP6" i="123"/>
  <c r="BO6" i="123"/>
  <c r="BN6" i="123"/>
  <c r="BM6" i="123"/>
  <c r="BL6" i="123"/>
  <c r="BK6" i="123"/>
  <c r="BJ6" i="123"/>
  <c r="BI6" i="123"/>
  <c r="BQ5" i="123"/>
  <c r="BP5" i="123"/>
  <c r="BO5" i="123"/>
  <c r="BN5" i="123"/>
  <c r="BM5" i="123"/>
  <c r="BL5" i="123"/>
  <c r="BK5" i="123"/>
  <c r="BJ5" i="123"/>
  <c r="BI5" i="123"/>
  <c r="BQ4" i="123"/>
  <c r="BP4" i="123"/>
  <c r="BO4" i="123"/>
  <c r="BN4" i="123"/>
  <c r="BM4" i="123"/>
  <c r="BL4" i="123"/>
  <c r="BK4" i="123"/>
  <c r="BJ4" i="123"/>
  <c r="BI4" i="123"/>
  <c r="BQ3" i="123"/>
  <c r="BP3" i="123"/>
  <c r="BO3" i="123"/>
  <c r="BN3" i="123"/>
  <c r="BM3" i="123"/>
  <c r="BL3" i="123"/>
  <c r="BK3" i="123"/>
  <c r="BJ3" i="123"/>
  <c r="BI3" i="123"/>
  <c r="BG42" i="123"/>
  <c r="BF42" i="123"/>
  <c r="BE42" i="123"/>
  <c r="BD42" i="123"/>
  <c r="BC42" i="123"/>
  <c r="BB42" i="123"/>
  <c r="BA42" i="123"/>
  <c r="AZ42" i="123"/>
  <c r="AY42" i="123"/>
  <c r="BG41" i="123"/>
  <c r="BF41" i="123"/>
  <c r="BE41" i="123"/>
  <c r="BD41" i="123"/>
  <c r="BC41" i="123"/>
  <c r="BB41" i="123"/>
  <c r="BA41" i="123"/>
  <c r="AZ41" i="123"/>
  <c r="AY41" i="123"/>
  <c r="BG40" i="123"/>
  <c r="BF40" i="123"/>
  <c r="BE40" i="123"/>
  <c r="BD40" i="123"/>
  <c r="BC40" i="123"/>
  <c r="BB40" i="123"/>
  <c r="BA40" i="123"/>
  <c r="AZ40" i="123"/>
  <c r="AY40" i="123"/>
  <c r="AY39" i="123"/>
  <c r="BG38" i="123"/>
  <c r="BF38" i="123"/>
  <c r="BE38" i="123"/>
  <c r="BD38" i="123"/>
  <c r="BC38" i="123"/>
  <c r="BB38" i="123"/>
  <c r="BA38" i="123"/>
  <c r="AZ38" i="123"/>
  <c r="AY38" i="123"/>
  <c r="BG37" i="123"/>
  <c r="BF37" i="123"/>
  <c r="BE37" i="123"/>
  <c r="BD37" i="123"/>
  <c r="BC37" i="123"/>
  <c r="BB37" i="123"/>
  <c r="BA37" i="123"/>
  <c r="AZ37" i="123"/>
  <c r="AY37" i="123"/>
  <c r="BG36" i="123"/>
  <c r="BF36" i="123"/>
  <c r="BE36" i="123"/>
  <c r="BD36" i="123"/>
  <c r="BC36" i="123"/>
  <c r="BB36" i="123"/>
  <c r="BA36" i="123"/>
  <c r="AZ36" i="123"/>
  <c r="AY36" i="123"/>
  <c r="BG35" i="123"/>
  <c r="BF35" i="123"/>
  <c r="BE35" i="123"/>
  <c r="BD35" i="123"/>
  <c r="BC35" i="123"/>
  <c r="BB35" i="123"/>
  <c r="BA35" i="123"/>
  <c r="AZ35" i="123"/>
  <c r="AY35" i="123"/>
  <c r="BG34" i="123"/>
  <c r="BF34" i="123"/>
  <c r="BE34" i="123"/>
  <c r="BD34" i="123"/>
  <c r="BC34" i="123"/>
  <c r="BB34" i="123"/>
  <c r="BA34" i="123"/>
  <c r="AZ34" i="123"/>
  <c r="AY34" i="123"/>
  <c r="BG33" i="123"/>
  <c r="BF33" i="123"/>
  <c r="BE33" i="123"/>
  <c r="BD33" i="123"/>
  <c r="BC33" i="123"/>
  <c r="BB33" i="123"/>
  <c r="BA33" i="123"/>
  <c r="AZ33" i="123"/>
  <c r="AY33" i="123"/>
  <c r="BG32" i="123"/>
  <c r="BF32" i="123"/>
  <c r="BE32" i="123"/>
  <c r="BD32" i="123"/>
  <c r="BC32" i="123"/>
  <c r="BB32" i="123"/>
  <c r="BA32" i="123"/>
  <c r="AZ32" i="123"/>
  <c r="AY32" i="123"/>
  <c r="BG31" i="123"/>
  <c r="BF31" i="123"/>
  <c r="BE31" i="123"/>
  <c r="BD31" i="123"/>
  <c r="BC31" i="123"/>
  <c r="BB31" i="123"/>
  <c r="BA31" i="123"/>
  <c r="AZ31" i="123"/>
  <c r="AY31" i="123"/>
  <c r="BG30" i="123"/>
  <c r="BF30" i="123"/>
  <c r="BE30" i="123"/>
  <c r="BD30" i="123"/>
  <c r="BC30" i="123"/>
  <c r="BB30" i="123"/>
  <c r="BA30" i="123"/>
  <c r="AZ30" i="123"/>
  <c r="AY30" i="123"/>
  <c r="BG29" i="123"/>
  <c r="BF29" i="123"/>
  <c r="BE29" i="123"/>
  <c r="BD29" i="123"/>
  <c r="BC29" i="123"/>
  <c r="BB29" i="123"/>
  <c r="BA29" i="123"/>
  <c r="AZ29" i="123"/>
  <c r="AY29" i="123"/>
  <c r="BG28" i="123"/>
  <c r="BF28" i="123"/>
  <c r="BE28" i="123"/>
  <c r="BD28" i="123"/>
  <c r="BC28" i="123"/>
  <c r="BB28" i="123"/>
  <c r="BA28" i="123"/>
  <c r="AZ28" i="123"/>
  <c r="AY28" i="123"/>
  <c r="BG27" i="123"/>
  <c r="BF27" i="123"/>
  <c r="BE27" i="123"/>
  <c r="BD27" i="123"/>
  <c r="BC27" i="123"/>
  <c r="BB27" i="123"/>
  <c r="BA27" i="123"/>
  <c r="AZ27" i="123"/>
  <c r="AY27" i="123"/>
  <c r="BG25" i="123"/>
  <c r="BF25" i="123"/>
  <c r="BE25" i="123"/>
  <c r="BD25" i="123"/>
  <c r="BC25" i="123"/>
  <c r="BB25" i="123"/>
  <c r="BA25" i="123"/>
  <c r="AZ25" i="123"/>
  <c r="AY25" i="123"/>
  <c r="BG24" i="123"/>
  <c r="BF24" i="123"/>
  <c r="BE24" i="123"/>
  <c r="BD24" i="123"/>
  <c r="BC24" i="123"/>
  <c r="BB24" i="123"/>
  <c r="BA24" i="123"/>
  <c r="AZ24" i="123"/>
  <c r="AY24" i="123"/>
  <c r="BG23" i="123"/>
  <c r="BF23" i="123"/>
  <c r="BE23" i="123"/>
  <c r="BD23" i="123"/>
  <c r="BC23" i="123"/>
  <c r="BB23" i="123"/>
  <c r="BA23" i="123"/>
  <c r="AZ23" i="123"/>
  <c r="AY23" i="123"/>
  <c r="BG22" i="123"/>
  <c r="BF22" i="123"/>
  <c r="BE22" i="123"/>
  <c r="BD22" i="123"/>
  <c r="BC22" i="123"/>
  <c r="BB22" i="123"/>
  <c r="BA22" i="123"/>
  <c r="AZ22" i="123"/>
  <c r="AY22" i="123"/>
  <c r="BG20" i="123"/>
  <c r="BF20" i="123"/>
  <c r="BE20" i="123"/>
  <c r="BD20" i="123"/>
  <c r="BC20" i="123"/>
  <c r="BB20" i="123"/>
  <c r="BA20" i="123"/>
  <c r="AZ20" i="123"/>
  <c r="AY20" i="123"/>
  <c r="BG19" i="123"/>
  <c r="BF19" i="123"/>
  <c r="BE19" i="123"/>
  <c r="BD19" i="123"/>
  <c r="BC19" i="123"/>
  <c r="BB19" i="123"/>
  <c r="BA19" i="123"/>
  <c r="AZ19" i="123"/>
  <c r="AY19" i="123"/>
  <c r="BG17" i="123"/>
  <c r="BF17" i="123"/>
  <c r="BE17" i="123"/>
  <c r="BD17" i="123"/>
  <c r="BC17" i="123"/>
  <c r="BB17" i="123"/>
  <c r="BA17" i="123"/>
  <c r="AZ17" i="123"/>
  <c r="AY17" i="123"/>
  <c r="BG16" i="123"/>
  <c r="BF16" i="123"/>
  <c r="BE16" i="123"/>
  <c r="BD16" i="123"/>
  <c r="BC16" i="123"/>
  <c r="BB16" i="123"/>
  <c r="BA16" i="123"/>
  <c r="AZ16" i="123"/>
  <c r="AY16" i="123"/>
  <c r="BG15" i="123"/>
  <c r="BF15" i="123"/>
  <c r="BE15" i="123"/>
  <c r="BD15" i="123"/>
  <c r="BC15" i="123"/>
  <c r="BB15" i="123"/>
  <c r="BA15" i="123"/>
  <c r="AZ15" i="123"/>
  <c r="AY15" i="123"/>
  <c r="BG14" i="123"/>
  <c r="BF14" i="123"/>
  <c r="BE14" i="123"/>
  <c r="BD14" i="123"/>
  <c r="BC14" i="123"/>
  <c r="BB14" i="123"/>
  <c r="BA14" i="123"/>
  <c r="AZ14" i="123"/>
  <c r="AY14" i="123"/>
  <c r="BG12" i="123"/>
  <c r="BF12" i="123"/>
  <c r="BE12" i="123"/>
  <c r="BD12" i="123"/>
  <c r="BC12" i="123"/>
  <c r="BB12" i="123"/>
  <c r="BA12" i="123"/>
  <c r="AZ12" i="123"/>
  <c r="AY12" i="123"/>
  <c r="BG11" i="123"/>
  <c r="BF11" i="123"/>
  <c r="BE11" i="123"/>
  <c r="BD11" i="123"/>
  <c r="BC11" i="123"/>
  <c r="BB11" i="123"/>
  <c r="BA11" i="123"/>
  <c r="AZ11" i="123"/>
  <c r="AY11" i="123"/>
  <c r="BG10" i="123"/>
  <c r="BF10" i="123"/>
  <c r="BE10" i="123"/>
  <c r="BD10" i="123"/>
  <c r="BC10" i="123"/>
  <c r="BB10" i="123"/>
  <c r="BA10" i="123"/>
  <c r="AZ10" i="123"/>
  <c r="AY10" i="123"/>
  <c r="BG9" i="123"/>
  <c r="BF9" i="123"/>
  <c r="BE9" i="123"/>
  <c r="BD9" i="123"/>
  <c r="BC9" i="123"/>
  <c r="BB9" i="123"/>
  <c r="BA9" i="123"/>
  <c r="AZ9" i="123"/>
  <c r="AY9" i="123"/>
  <c r="BG8" i="123"/>
  <c r="BF8" i="123"/>
  <c r="BE8" i="123"/>
  <c r="BD8" i="123"/>
  <c r="BC8" i="123"/>
  <c r="BB8" i="123"/>
  <c r="BA8" i="123"/>
  <c r="AZ8" i="123"/>
  <c r="AY8" i="123"/>
  <c r="BG7" i="123"/>
  <c r="BF7" i="123"/>
  <c r="BE7" i="123"/>
  <c r="BD7" i="123"/>
  <c r="BC7" i="123"/>
  <c r="BB7" i="123"/>
  <c r="BA7" i="123"/>
  <c r="AZ7" i="123"/>
  <c r="AY7" i="123"/>
  <c r="BG6" i="123"/>
  <c r="BF6" i="123"/>
  <c r="BE6" i="123"/>
  <c r="BD6" i="123"/>
  <c r="BC6" i="123"/>
  <c r="BB6" i="123"/>
  <c r="BA6" i="123"/>
  <c r="AZ6" i="123"/>
  <c r="AY6" i="123"/>
  <c r="BG5" i="123"/>
  <c r="BF5" i="123"/>
  <c r="BE5" i="123"/>
  <c r="BD5" i="123"/>
  <c r="BC5" i="123"/>
  <c r="BB5" i="123"/>
  <c r="BA5" i="123"/>
  <c r="AZ5" i="123"/>
  <c r="AY5" i="123"/>
  <c r="BG4" i="123"/>
  <c r="BF4" i="123"/>
  <c r="BE4" i="123"/>
  <c r="BD4" i="123"/>
  <c r="BC4" i="123"/>
  <c r="BB4" i="123"/>
  <c r="BA4" i="123"/>
  <c r="AZ4" i="123"/>
  <c r="AY4" i="123"/>
  <c r="BG3" i="123"/>
  <c r="BF3" i="123"/>
  <c r="BE3" i="123"/>
  <c r="BD3" i="123"/>
  <c r="BC3" i="123"/>
  <c r="BB3" i="123"/>
  <c r="BA3" i="123"/>
  <c r="AZ3" i="123"/>
  <c r="AY3" i="123"/>
  <c r="AQ38" i="105"/>
  <c r="AQ38" i="123"/>
  <c r="AP38" i="105"/>
  <c r="AP38" i="123"/>
  <c r="AO38" i="105"/>
  <c r="AO38" i="123"/>
  <c r="AN38" i="105"/>
  <c r="AN38" i="123"/>
  <c r="AM38" i="105"/>
  <c r="AM38" i="123"/>
  <c r="AL38" i="105"/>
  <c r="AL38" i="123"/>
  <c r="AK38" i="105"/>
  <c r="AK38" i="123"/>
  <c r="AJ38" i="105"/>
  <c r="AJ38" i="123"/>
  <c r="AI38" i="105"/>
  <c r="AI38" i="123"/>
  <c r="AQ37" i="105"/>
  <c r="AQ37" i="123"/>
  <c r="AP37" i="105"/>
  <c r="AP37" i="123"/>
  <c r="AO37" i="105"/>
  <c r="AO37" i="123"/>
  <c r="AN37" i="105"/>
  <c r="AN37" i="123"/>
  <c r="AM37" i="105"/>
  <c r="AM37" i="123"/>
  <c r="AL37" i="105"/>
  <c r="AL37" i="123"/>
  <c r="AK37" i="105"/>
  <c r="AK37" i="123"/>
  <c r="AJ37" i="105"/>
  <c r="AJ37" i="123"/>
  <c r="AI37" i="105"/>
  <c r="AI37" i="123"/>
  <c r="AQ36" i="105"/>
  <c r="AQ36" i="123"/>
  <c r="AP36" i="105"/>
  <c r="AP36" i="123"/>
  <c r="AO36" i="105"/>
  <c r="AO36" i="123"/>
  <c r="AN36" i="105"/>
  <c r="AN36" i="123"/>
  <c r="AM36" i="105"/>
  <c r="AM36" i="123"/>
  <c r="AL36" i="105"/>
  <c r="AL36" i="123"/>
  <c r="AK36" i="105"/>
  <c r="AK36" i="123"/>
  <c r="AJ36" i="105"/>
  <c r="AJ36" i="123"/>
  <c r="AI36" i="105"/>
  <c r="AI36" i="123"/>
  <c r="AQ35" i="105"/>
  <c r="AQ35" i="123"/>
  <c r="AP35" i="105"/>
  <c r="AP35" i="123"/>
  <c r="AO35" i="105"/>
  <c r="AO35" i="123"/>
  <c r="AN35" i="105"/>
  <c r="AN35" i="123"/>
  <c r="AM35" i="105"/>
  <c r="AM35" i="123"/>
  <c r="AL35" i="105"/>
  <c r="AL35" i="123"/>
  <c r="AK35" i="105"/>
  <c r="AK35" i="123"/>
  <c r="AJ35" i="105"/>
  <c r="AJ35" i="123"/>
  <c r="AI35" i="105"/>
  <c r="AI35" i="123"/>
  <c r="AQ34" i="105"/>
  <c r="AQ34" i="123"/>
  <c r="AP34" i="105"/>
  <c r="AP34" i="123"/>
  <c r="AO34" i="105"/>
  <c r="AO34" i="123"/>
  <c r="AN34" i="105"/>
  <c r="AN34" i="123"/>
  <c r="AM34" i="105"/>
  <c r="AM34" i="123"/>
  <c r="AL34" i="105"/>
  <c r="AL34" i="123"/>
  <c r="AK34" i="105"/>
  <c r="AK34" i="123"/>
  <c r="AJ34" i="105"/>
  <c r="AJ34" i="123"/>
  <c r="AI34" i="105"/>
  <c r="AI34" i="123"/>
  <c r="AQ33" i="105"/>
  <c r="AQ33" i="123"/>
  <c r="AP33" i="105"/>
  <c r="AP33" i="123"/>
  <c r="AO33" i="105"/>
  <c r="AO33" i="123"/>
  <c r="AN33" i="105"/>
  <c r="AN33" i="123"/>
  <c r="AM33" i="105"/>
  <c r="AM33" i="123"/>
  <c r="AL33" i="105"/>
  <c r="AL33" i="123"/>
  <c r="AK33" i="105"/>
  <c r="AK33" i="123"/>
  <c r="AJ33" i="105"/>
  <c r="AJ33" i="123"/>
  <c r="AI33" i="105"/>
  <c r="AI33" i="123"/>
  <c r="AQ32" i="105"/>
  <c r="AQ32" i="123"/>
  <c r="AP32" i="105"/>
  <c r="AP32" i="123"/>
  <c r="AO32" i="105"/>
  <c r="AO32" i="123"/>
  <c r="AN32" i="105"/>
  <c r="AN32" i="123"/>
  <c r="AM32" i="105"/>
  <c r="AM32" i="123"/>
  <c r="AL32" i="105"/>
  <c r="AL32" i="123"/>
  <c r="AK32" i="105"/>
  <c r="AK32" i="123"/>
  <c r="AJ32" i="105"/>
  <c r="AJ32" i="123"/>
  <c r="AI32" i="105"/>
  <c r="AI32" i="123"/>
  <c r="AQ31" i="105"/>
  <c r="AQ31" i="123"/>
  <c r="AP31" i="105"/>
  <c r="AP31" i="123"/>
  <c r="AO31" i="105"/>
  <c r="AO31" i="123"/>
  <c r="AN31" i="105"/>
  <c r="AN31" i="123"/>
  <c r="AM31" i="105"/>
  <c r="AM31" i="123"/>
  <c r="AL31" i="105"/>
  <c r="AL31" i="123"/>
  <c r="AK31" i="105"/>
  <c r="AK31" i="123"/>
  <c r="AJ31" i="105"/>
  <c r="AJ31" i="123"/>
  <c r="AI31" i="105"/>
  <c r="AI31" i="123"/>
  <c r="AQ29" i="105"/>
  <c r="AQ29" i="123"/>
  <c r="AP29" i="105"/>
  <c r="AP29" i="123"/>
  <c r="AO29" i="105"/>
  <c r="AO29" i="123"/>
  <c r="AN29" i="105"/>
  <c r="AN29" i="123"/>
  <c r="AM29" i="105"/>
  <c r="AM29" i="123"/>
  <c r="AL29" i="105"/>
  <c r="AL29" i="123"/>
  <c r="AK29" i="105"/>
  <c r="AK29" i="123"/>
  <c r="AJ29" i="105"/>
  <c r="AJ29" i="123"/>
  <c r="AI29" i="105"/>
  <c r="AI29" i="123"/>
  <c r="AQ28" i="105"/>
  <c r="AQ28" i="123"/>
  <c r="AP28" i="105"/>
  <c r="AP28" i="123"/>
  <c r="AO28" i="105"/>
  <c r="AO28" i="123"/>
  <c r="AN28" i="105"/>
  <c r="AN28" i="123"/>
  <c r="AM28" i="105"/>
  <c r="AM28" i="123"/>
  <c r="AL28" i="105"/>
  <c r="AL28" i="123"/>
  <c r="AK28" i="105"/>
  <c r="AK28" i="123"/>
  <c r="AJ28" i="105"/>
  <c r="AJ28" i="123"/>
  <c r="AI28" i="105"/>
  <c r="AI28" i="123"/>
  <c r="AQ27" i="105"/>
  <c r="AQ27" i="123"/>
  <c r="AP27" i="105"/>
  <c r="AP27" i="123"/>
  <c r="AO27" i="105"/>
  <c r="AO27" i="123"/>
  <c r="AN27" i="105"/>
  <c r="AN27" i="123"/>
  <c r="AM27" i="105"/>
  <c r="AM27" i="123"/>
  <c r="AL27" i="105"/>
  <c r="AL27" i="123"/>
  <c r="AK27" i="105"/>
  <c r="AK27" i="123"/>
  <c r="AJ27" i="105"/>
  <c r="AJ27" i="123"/>
  <c r="AI27" i="105"/>
  <c r="AI27" i="123"/>
  <c r="AQ25" i="105"/>
  <c r="AQ25" i="123"/>
  <c r="AP25" i="105"/>
  <c r="AP25" i="123"/>
  <c r="AO25" i="105"/>
  <c r="AO25" i="123"/>
  <c r="AN25" i="105"/>
  <c r="AN25" i="123"/>
  <c r="AM25" i="105"/>
  <c r="AM25" i="123"/>
  <c r="AL25" i="105"/>
  <c r="AL25" i="123"/>
  <c r="AK25" i="105"/>
  <c r="AK25" i="123"/>
  <c r="AJ25" i="105"/>
  <c r="AJ25" i="123"/>
  <c r="AI25" i="105"/>
  <c r="AI25" i="123"/>
  <c r="AQ24" i="105"/>
  <c r="AQ24" i="123"/>
  <c r="AP24" i="105"/>
  <c r="AP24" i="123"/>
  <c r="AO24" i="105"/>
  <c r="AO24" i="123"/>
  <c r="AN24" i="105"/>
  <c r="AN24" i="123"/>
  <c r="AM24" i="105"/>
  <c r="AM24" i="123"/>
  <c r="AL24" i="105"/>
  <c r="AL24" i="123"/>
  <c r="AK24" i="105"/>
  <c r="AK24" i="123"/>
  <c r="AJ24" i="105"/>
  <c r="AJ24" i="123"/>
  <c r="AI24" i="105"/>
  <c r="AI24" i="123"/>
  <c r="AQ23" i="105"/>
  <c r="AQ23" i="123"/>
  <c r="AP23" i="105"/>
  <c r="AP23" i="123"/>
  <c r="AO23" i="105"/>
  <c r="AO23" i="123"/>
  <c r="AN23" i="105"/>
  <c r="AN23" i="123"/>
  <c r="AM23" i="105"/>
  <c r="AM23" i="123"/>
  <c r="AL23" i="105"/>
  <c r="AL23" i="123"/>
  <c r="AK23" i="105"/>
  <c r="AK23" i="123"/>
  <c r="AJ23" i="105"/>
  <c r="AJ23" i="123"/>
  <c r="AI23" i="105"/>
  <c r="AI23" i="123"/>
  <c r="AQ22" i="105"/>
  <c r="AQ22" i="123"/>
  <c r="AP22" i="105"/>
  <c r="AP22" i="123"/>
  <c r="AO22" i="105"/>
  <c r="AO22" i="123"/>
  <c r="AN22" i="105"/>
  <c r="AN22" i="123"/>
  <c r="AM22" i="105"/>
  <c r="AM22" i="123"/>
  <c r="AL22" i="105"/>
  <c r="AL22" i="123"/>
  <c r="AK22" i="105"/>
  <c r="AK22" i="123"/>
  <c r="AJ22" i="105"/>
  <c r="AJ22" i="123"/>
  <c r="AI22" i="105"/>
  <c r="AI22" i="123"/>
  <c r="AQ20" i="105"/>
  <c r="AQ20" i="123"/>
  <c r="AP20" i="105"/>
  <c r="AP20" i="123"/>
  <c r="AO20" i="105"/>
  <c r="AO20" i="123"/>
  <c r="AN20" i="105"/>
  <c r="AN20" i="123"/>
  <c r="AM20" i="105"/>
  <c r="AM20" i="123"/>
  <c r="AL20" i="105"/>
  <c r="AL20" i="123"/>
  <c r="AK20" i="105"/>
  <c r="AK20" i="123"/>
  <c r="AJ20" i="105"/>
  <c r="AJ20" i="123"/>
  <c r="AI20" i="105"/>
  <c r="AI20" i="123"/>
  <c r="AQ19" i="105"/>
  <c r="AQ19" i="123"/>
  <c r="AP19" i="105"/>
  <c r="AP19" i="123"/>
  <c r="AO19" i="105"/>
  <c r="AO19" i="123"/>
  <c r="AN19" i="105"/>
  <c r="AN19" i="123"/>
  <c r="AM19" i="105"/>
  <c r="AM19" i="123"/>
  <c r="AL19" i="105"/>
  <c r="AL19" i="123"/>
  <c r="AK19" i="105"/>
  <c r="AK19" i="123"/>
  <c r="AJ19" i="105"/>
  <c r="AJ19" i="123"/>
  <c r="AI19" i="105"/>
  <c r="AI19" i="123"/>
  <c r="AQ16" i="105"/>
  <c r="AQ16" i="123"/>
  <c r="AP16" i="105"/>
  <c r="AP16" i="123"/>
  <c r="AO16" i="105"/>
  <c r="AO16" i="123"/>
  <c r="AN16" i="105"/>
  <c r="AN16" i="123"/>
  <c r="AM16" i="105"/>
  <c r="AM16" i="123"/>
  <c r="AL16" i="105"/>
  <c r="AL16" i="123"/>
  <c r="AK16" i="105"/>
  <c r="AK16" i="123"/>
  <c r="AJ16" i="105"/>
  <c r="AJ16" i="123"/>
  <c r="AI16" i="105"/>
  <c r="AI16" i="123"/>
  <c r="AQ15" i="105"/>
  <c r="AQ15" i="123"/>
  <c r="AP15" i="105"/>
  <c r="AP15" i="123"/>
  <c r="AO15" i="105"/>
  <c r="AO15" i="123"/>
  <c r="AN15" i="105"/>
  <c r="AN15" i="123"/>
  <c r="AM15" i="105"/>
  <c r="AM15" i="123"/>
  <c r="AL15" i="105"/>
  <c r="AL15" i="123"/>
  <c r="AK15" i="105"/>
  <c r="AK15" i="123"/>
  <c r="AJ15" i="105"/>
  <c r="AJ15" i="123"/>
  <c r="AI15" i="105"/>
  <c r="AI15" i="123"/>
  <c r="AQ12" i="105"/>
  <c r="AQ12" i="123"/>
  <c r="AP12" i="105"/>
  <c r="AP12" i="123"/>
  <c r="AO12" i="105"/>
  <c r="AO12" i="123"/>
  <c r="AN12" i="105"/>
  <c r="AN12" i="123"/>
  <c r="AM12" i="105"/>
  <c r="AM12" i="123"/>
  <c r="AL12" i="105"/>
  <c r="AL12" i="123"/>
  <c r="AK12" i="105"/>
  <c r="AK12" i="123"/>
  <c r="AJ12" i="105"/>
  <c r="AJ12" i="123"/>
  <c r="AI12" i="105"/>
  <c r="AI12" i="123"/>
  <c r="AQ11" i="105"/>
  <c r="AQ11" i="123"/>
  <c r="AP11" i="105"/>
  <c r="AP11" i="123"/>
  <c r="AO11" i="105"/>
  <c r="AO11" i="123"/>
  <c r="AN11" i="105"/>
  <c r="AN11" i="123"/>
  <c r="AM11" i="105"/>
  <c r="AM11" i="123"/>
  <c r="AL11" i="105"/>
  <c r="AL11" i="123"/>
  <c r="AK11" i="105"/>
  <c r="AK11" i="123"/>
  <c r="AJ11" i="105"/>
  <c r="AJ11" i="123"/>
  <c r="AI11" i="105"/>
  <c r="AI11" i="123"/>
  <c r="AQ10" i="123"/>
  <c r="AP10" i="123"/>
  <c r="AO10" i="123"/>
  <c r="AN10" i="123"/>
  <c r="AM10" i="123"/>
  <c r="AL10" i="123"/>
  <c r="AK10" i="123"/>
  <c r="AJ10" i="123"/>
  <c r="AI10" i="123"/>
  <c r="AQ9" i="123"/>
  <c r="AP9" i="123"/>
  <c r="AO9" i="123"/>
  <c r="AN9" i="123"/>
  <c r="AM9" i="123"/>
  <c r="AL9" i="123"/>
  <c r="AK9" i="123"/>
  <c r="AJ9" i="123"/>
  <c r="AI9" i="123"/>
  <c r="AQ8" i="123"/>
  <c r="AP8" i="123"/>
  <c r="AO8" i="123"/>
  <c r="AN8" i="123"/>
  <c r="AM8" i="123"/>
  <c r="AL8" i="123"/>
  <c r="AK8" i="123"/>
  <c r="AJ8" i="123"/>
  <c r="AI8" i="123"/>
  <c r="AQ7" i="105"/>
  <c r="AQ7" i="123"/>
  <c r="AP7" i="105"/>
  <c r="AP7" i="123"/>
  <c r="AO7" i="105"/>
  <c r="AO7" i="123"/>
  <c r="AN7" i="105"/>
  <c r="AN7" i="123"/>
  <c r="AM7" i="105"/>
  <c r="AM7" i="123"/>
  <c r="AL7" i="105"/>
  <c r="AL7" i="123"/>
  <c r="AK7" i="105"/>
  <c r="AK7" i="123"/>
  <c r="AJ7" i="105"/>
  <c r="AJ7" i="123"/>
  <c r="AI7" i="105"/>
  <c r="AI7" i="123"/>
  <c r="AQ6" i="105"/>
  <c r="AQ6" i="123"/>
  <c r="AP6" i="105"/>
  <c r="AP6" i="123"/>
  <c r="AO6" i="105"/>
  <c r="AO6" i="123"/>
  <c r="AN6" i="105"/>
  <c r="AN6" i="123"/>
  <c r="AM6" i="105"/>
  <c r="AM6" i="123"/>
  <c r="AL6" i="105"/>
  <c r="AL6" i="123"/>
  <c r="AK6" i="105"/>
  <c r="AK6" i="123"/>
  <c r="AJ6" i="105"/>
  <c r="AJ6" i="123"/>
  <c r="AI6" i="105"/>
  <c r="AI6" i="123"/>
  <c r="AQ5" i="105"/>
  <c r="AQ5" i="123"/>
  <c r="AP5" i="105"/>
  <c r="AP5" i="123"/>
  <c r="AO5" i="105"/>
  <c r="AO5" i="123"/>
  <c r="AN5" i="105"/>
  <c r="AN5" i="123"/>
  <c r="AM5" i="105"/>
  <c r="AM5" i="123"/>
  <c r="AL5" i="105"/>
  <c r="AL5" i="123"/>
  <c r="AK5" i="105"/>
  <c r="AK5" i="123"/>
  <c r="AJ5" i="105"/>
  <c r="AJ5" i="123"/>
  <c r="AI5" i="105"/>
  <c r="AI5" i="123"/>
  <c r="AQ4" i="105"/>
  <c r="AQ4" i="123"/>
  <c r="AP4" i="105"/>
  <c r="AP4" i="123"/>
  <c r="AO4" i="105"/>
  <c r="AO4" i="123"/>
  <c r="AN4" i="105"/>
  <c r="AN4" i="123"/>
  <c r="AM4" i="105"/>
  <c r="AM4" i="123"/>
  <c r="AL4" i="105"/>
  <c r="AL4" i="123"/>
  <c r="AK4" i="105"/>
  <c r="AK4" i="123"/>
  <c r="AJ4" i="105"/>
  <c r="AJ4" i="123"/>
  <c r="AI4" i="105"/>
  <c r="AI4" i="123"/>
  <c r="AQ3" i="105"/>
  <c r="AQ3" i="123"/>
  <c r="AP3" i="105"/>
  <c r="AP3" i="123"/>
  <c r="AO3" i="105"/>
  <c r="AO3" i="123"/>
  <c r="AN3" i="105"/>
  <c r="AN3" i="123"/>
  <c r="AM3" i="105"/>
  <c r="AM3" i="123"/>
  <c r="AL3" i="105"/>
  <c r="AL3" i="123"/>
  <c r="AK3" i="105"/>
  <c r="AK3" i="123"/>
  <c r="AJ3" i="105"/>
  <c r="AJ3" i="123"/>
  <c r="AI3" i="105"/>
  <c r="AI3" i="123"/>
  <c r="AG39" i="123"/>
  <c r="AF39" i="123"/>
  <c r="AE39" i="123"/>
  <c r="AD39" i="123"/>
  <c r="AC39" i="123"/>
  <c r="AB39" i="123"/>
  <c r="AA39" i="123"/>
  <c r="Z39" i="123"/>
  <c r="Y39" i="123"/>
  <c r="AG38" i="123"/>
  <c r="AF38" i="123"/>
  <c r="AE38" i="123"/>
  <c r="AD38" i="123"/>
  <c r="AC38" i="123"/>
  <c r="AB38" i="123"/>
  <c r="AA38" i="123"/>
  <c r="Z38" i="123"/>
  <c r="Y38" i="123"/>
  <c r="AG37" i="123"/>
  <c r="AF37" i="123"/>
  <c r="AE37" i="123"/>
  <c r="AD37" i="123"/>
  <c r="AC37" i="123"/>
  <c r="AB37" i="123"/>
  <c r="AA37" i="123"/>
  <c r="Z37" i="123"/>
  <c r="Y37" i="123"/>
  <c r="AG36" i="123"/>
  <c r="AF36" i="123"/>
  <c r="AE36" i="123"/>
  <c r="AD36" i="123"/>
  <c r="AC36" i="123"/>
  <c r="AB36" i="123"/>
  <c r="AA36" i="123"/>
  <c r="Z36" i="123"/>
  <c r="Y36" i="123"/>
  <c r="AG35" i="123"/>
  <c r="AF35" i="123"/>
  <c r="AE35" i="123"/>
  <c r="AD35" i="123"/>
  <c r="AC35" i="123"/>
  <c r="AB35" i="123"/>
  <c r="AA35" i="123"/>
  <c r="Z35" i="123"/>
  <c r="Y35" i="123"/>
  <c r="AG34" i="123"/>
  <c r="AF34" i="123"/>
  <c r="AE34" i="123"/>
  <c r="AD34" i="123"/>
  <c r="AC34" i="123"/>
  <c r="AB34" i="123"/>
  <c r="AA34" i="123"/>
  <c r="Z34" i="123"/>
  <c r="Y34" i="123"/>
  <c r="AG33" i="123"/>
  <c r="AF33" i="123"/>
  <c r="AE33" i="123"/>
  <c r="AD33" i="123"/>
  <c r="AC33" i="123"/>
  <c r="AB33" i="123"/>
  <c r="AA33" i="123"/>
  <c r="Z33" i="123"/>
  <c r="Y33" i="123"/>
  <c r="AG32" i="123"/>
  <c r="AF32" i="123"/>
  <c r="AE32" i="123"/>
  <c r="AD32" i="123"/>
  <c r="AC32" i="123"/>
  <c r="AB32" i="123"/>
  <c r="AA32" i="123"/>
  <c r="Z32" i="123"/>
  <c r="Y32" i="123"/>
  <c r="AG31" i="123"/>
  <c r="AF31" i="123"/>
  <c r="AE31" i="123"/>
  <c r="AD31" i="123"/>
  <c r="AC31" i="123"/>
  <c r="AB31" i="123"/>
  <c r="AA31" i="123"/>
  <c r="Z31" i="123"/>
  <c r="Y31" i="123"/>
  <c r="AG30" i="123"/>
  <c r="AF30" i="123"/>
  <c r="AE30" i="123"/>
  <c r="AD30" i="123"/>
  <c r="AC30" i="123"/>
  <c r="AB30" i="123"/>
  <c r="AA30" i="123"/>
  <c r="Z30" i="123"/>
  <c r="Y30" i="123"/>
  <c r="AG29" i="123"/>
  <c r="AF29" i="123"/>
  <c r="AE29" i="123"/>
  <c r="AD29" i="123"/>
  <c r="AC29" i="123"/>
  <c r="AB29" i="123"/>
  <c r="AA29" i="123"/>
  <c r="Z29" i="123"/>
  <c r="Y29" i="123"/>
  <c r="AG28" i="123"/>
  <c r="AF28" i="123"/>
  <c r="AE28" i="123"/>
  <c r="AD28" i="123"/>
  <c r="AC28" i="123"/>
  <c r="AB28" i="123"/>
  <c r="AA28" i="123"/>
  <c r="Z28" i="123"/>
  <c r="Y28" i="123"/>
  <c r="AG27" i="123"/>
  <c r="AF27" i="123"/>
  <c r="AE27" i="123"/>
  <c r="AD27" i="123"/>
  <c r="AC27" i="123"/>
  <c r="AB27" i="123"/>
  <c r="AA27" i="123"/>
  <c r="Z27" i="123"/>
  <c r="Y27" i="123"/>
  <c r="AG26" i="123"/>
  <c r="AF26" i="123"/>
  <c r="AE26" i="123"/>
  <c r="AD26" i="123"/>
  <c r="AC26" i="123"/>
  <c r="AB26" i="123"/>
  <c r="AA26" i="123"/>
  <c r="Z26" i="123"/>
  <c r="Y26" i="123"/>
  <c r="AG25" i="123"/>
  <c r="AF25" i="123"/>
  <c r="AE25" i="123"/>
  <c r="AD25" i="123"/>
  <c r="AC25" i="123"/>
  <c r="AB25" i="123"/>
  <c r="AA25" i="123"/>
  <c r="Z25" i="123"/>
  <c r="Y25" i="123"/>
  <c r="AG24" i="123"/>
  <c r="AF24" i="123"/>
  <c r="AE24" i="123"/>
  <c r="AD24" i="123"/>
  <c r="AC24" i="123"/>
  <c r="AB24" i="123"/>
  <c r="AA24" i="123"/>
  <c r="Z24" i="123"/>
  <c r="Y24" i="123"/>
  <c r="AG23" i="123"/>
  <c r="AF23" i="123"/>
  <c r="AE23" i="123"/>
  <c r="AD23" i="123"/>
  <c r="AC23" i="123"/>
  <c r="AB23" i="123"/>
  <c r="AA23" i="123"/>
  <c r="Z23" i="123"/>
  <c r="Y23" i="123"/>
  <c r="AG22" i="123"/>
  <c r="AF22" i="123"/>
  <c r="AE22" i="123"/>
  <c r="AD22" i="123"/>
  <c r="AC22" i="123"/>
  <c r="AB22" i="123"/>
  <c r="AA22" i="123"/>
  <c r="Z22" i="123"/>
  <c r="Y22" i="123"/>
  <c r="AG21" i="123"/>
  <c r="AF21" i="105"/>
  <c r="AF21" i="123"/>
  <c r="AE21" i="105"/>
  <c r="AE21" i="123"/>
  <c r="AD21" i="105"/>
  <c r="AD21" i="123"/>
  <c r="AC21" i="105"/>
  <c r="AC21" i="123"/>
  <c r="AB21" i="105"/>
  <c r="AB21" i="123"/>
  <c r="AA21" i="105"/>
  <c r="AA21" i="123"/>
  <c r="Z21" i="105"/>
  <c r="Z21" i="123"/>
  <c r="Y21" i="105"/>
  <c r="Y21" i="123"/>
  <c r="AG20" i="123"/>
  <c r="AF20" i="123"/>
  <c r="AE20" i="123"/>
  <c r="AD20" i="123"/>
  <c r="AC20" i="123"/>
  <c r="AB20" i="123"/>
  <c r="AA20" i="123"/>
  <c r="Z20" i="123"/>
  <c r="Y20" i="123"/>
  <c r="AG19" i="123"/>
  <c r="AF19" i="123"/>
  <c r="AE19" i="123"/>
  <c r="AD19" i="123"/>
  <c r="AC19" i="123"/>
  <c r="AB19" i="123"/>
  <c r="AA19" i="123"/>
  <c r="Z19" i="123"/>
  <c r="Y19" i="123"/>
  <c r="AG18" i="123"/>
  <c r="AF18" i="123"/>
  <c r="AE18" i="123"/>
  <c r="AD18" i="123"/>
  <c r="AC18" i="123"/>
  <c r="AB18" i="123"/>
  <c r="AA18" i="123"/>
  <c r="Z18" i="123"/>
  <c r="Y18" i="123"/>
  <c r="AG17" i="123"/>
  <c r="AF17" i="123"/>
  <c r="AE17" i="123"/>
  <c r="AD17" i="123"/>
  <c r="AC17" i="123"/>
  <c r="AB17" i="123"/>
  <c r="AA17" i="123"/>
  <c r="Z17" i="123"/>
  <c r="Y17" i="123"/>
  <c r="AG16" i="123"/>
  <c r="AF16" i="123"/>
  <c r="AE16" i="123"/>
  <c r="AD16" i="123"/>
  <c r="AC16" i="123"/>
  <c r="AB16" i="123"/>
  <c r="AA16" i="123"/>
  <c r="Z16" i="123"/>
  <c r="Y16" i="123"/>
  <c r="AG15" i="123"/>
  <c r="AF15" i="123"/>
  <c r="AE15" i="123"/>
  <c r="AD15" i="123"/>
  <c r="AC15" i="123"/>
  <c r="AB15" i="123"/>
  <c r="AA15" i="123"/>
  <c r="Z15" i="123"/>
  <c r="Y15" i="123"/>
  <c r="AG13" i="105"/>
  <c r="AG13" i="123"/>
  <c r="AF13" i="105"/>
  <c r="AF13" i="123"/>
  <c r="AE13" i="105"/>
  <c r="AE13" i="123"/>
  <c r="AD13" i="105"/>
  <c r="AD13" i="123"/>
  <c r="AC13" i="105"/>
  <c r="AC13" i="123"/>
  <c r="AB13" i="105"/>
  <c r="AB13" i="123"/>
  <c r="AA13" i="105"/>
  <c r="AA13" i="123"/>
  <c r="Z13" i="105"/>
  <c r="Z13" i="123"/>
  <c r="Y13" i="105"/>
  <c r="Y13" i="123"/>
  <c r="AG12" i="123"/>
  <c r="AF12" i="123"/>
  <c r="AE12" i="123"/>
  <c r="AD12" i="123"/>
  <c r="AC12" i="123"/>
  <c r="AB12" i="123"/>
  <c r="AA12" i="123"/>
  <c r="Z12" i="123"/>
  <c r="Y12" i="123"/>
  <c r="AG11" i="123"/>
  <c r="AF11" i="123"/>
  <c r="AE11" i="123"/>
  <c r="AD11" i="123"/>
  <c r="AC11" i="123"/>
  <c r="AB11" i="123"/>
  <c r="AA11" i="123"/>
  <c r="Z11" i="123"/>
  <c r="Y11" i="123"/>
  <c r="AG10" i="123"/>
  <c r="AF10" i="123"/>
  <c r="AE10" i="123"/>
  <c r="AD10" i="123"/>
  <c r="AC10" i="123"/>
  <c r="AB10" i="123"/>
  <c r="AA10" i="123"/>
  <c r="Z10" i="123"/>
  <c r="Y10" i="123"/>
  <c r="AG9" i="123"/>
  <c r="AF9" i="123"/>
  <c r="AE9" i="123"/>
  <c r="AD9" i="123"/>
  <c r="AC9" i="123"/>
  <c r="AB9" i="123"/>
  <c r="AA9" i="123"/>
  <c r="Z9" i="123"/>
  <c r="Y9" i="123"/>
  <c r="AG8" i="123"/>
  <c r="AF8" i="123"/>
  <c r="AE8" i="123"/>
  <c r="AD8" i="123"/>
  <c r="AC8" i="123"/>
  <c r="AB8" i="123"/>
  <c r="AA8" i="123"/>
  <c r="Z8" i="123"/>
  <c r="Y8" i="123"/>
  <c r="AG7" i="123"/>
  <c r="AF7" i="123"/>
  <c r="AE7" i="123"/>
  <c r="AD7" i="123"/>
  <c r="AC7" i="123"/>
  <c r="AB7" i="123"/>
  <c r="AA7" i="123"/>
  <c r="Z7" i="123"/>
  <c r="Y7" i="123"/>
  <c r="AG6" i="123"/>
  <c r="AF6" i="123"/>
  <c r="AE6" i="123"/>
  <c r="AD6" i="123"/>
  <c r="AC6" i="123"/>
  <c r="AB6" i="123"/>
  <c r="AA6" i="123"/>
  <c r="Z6" i="123"/>
  <c r="Y6" i="123"/>
  <c r="AG5" i="123"/>
  <c r="AF5" i="123"/>
  <c r="AE5" i="123"/>
  <c r="AD5" i="123"/>
  <c r="AC5" i="123"/>
  <c r="AB5" i="123"/>
  <c r="AA5" i="123"/>
  <c r="Z5" i="123"/>
  <c r="Y5" i="123"/>
  <c r="AG4" i="123"/>
  <c r="AF4" i="123"/>
  <c r="AE4" i="123"/>
  <c r="AD4" i="123"/>
  <c r="AC4" i="123"/>
  <c r="AB4" i="123"/>
  <c r="AA4" i="123"/>
  <c r="Z4" i="123"/>
  <c r="Y4" i="123"/>
  <c r="AG3" i="123"/>
  <c r="AF3" i="123"/>
  <c r="AE3" i="123"/>
  <c r="AD3" i="123"/>
  <c r="AC3" i="123"/>
  <c r="AB3" i="123"/>
  <c r="AA3" i="123"/>
  <c r="Z3" i="123"/>
  <c r="Y3" i="123"/>
  <c r="W42" i="123"/>
  <c r="V42" i="123"/>
  <c r="U42" i="123"/>
  <c r="T42" i="123"/>
  <c r="S42" i="123"/>
  <c r="R42" i="123"/>
  <c r="Q42" i="123"/>
  <c r="P42" i="123"/>
  <c r="O42" i="123"/>
  <c r="W41" i="123"/>
  <c r="V41" i="123"/>
  <c r="U41" i="123"/>
  <c r="T41" i="123"/>
  <c r="S41" i="123"/>
  <c r="R41" i="123"/>
  <c r="Q41" i="123"/>
  <c r="P41" i="123"/>
  <c r="O41" i="123"/>
  <c r="W40" i="123"/>
  <c r="V40" i="123"/>
  <c r="U40" i="123"/>
  <c r="T40" i="123"/>
  <c r="S40" i="123"/>
  <c r="R40" i="123"/>
  <c r="Q40" i="123"/>
  <c r="P40" i="123"/>
  <c r="O40" i="123"/>
  <c r="W38" i="123"/>
  <c r="V38" i="123"/>
  <c r="U38" i="123"/>
  <c r="T38" i="123"/>
  <c r="S38" i="123"/>
  <c r="R38" i="123"/>
  <c r="Q38" i="123"/>
  <c r="P38" i="123"/>
  <c r="O38" i="123"/>
  <c r="W37" i="123"/>
  <c r="V37" i="123"/>
  <c r="U37" i="123"/>
  <c r="T37" i="123"/>
  <c r="S37" i="123"/>
  <c r="R37" i="123"/>
  <c r="Q37" i="123"/>
  <c r="P37" i="123"/>
  <c r="O37" i="123"/>
  <c r="W36" i="123"/>
  <c r="V36" i="123"/>
  <c r="U36" i="123"/>
  <c r="T36" i="123"/>
  <c r="S36" i="123"/>
  <c r="R36" i="123"/>
  <c r="Q36" i="123"/>
  <c r="P36" i="123"/>
  <c r="O36" i="123"/>
  <c r="W35" i="123"/>
  <c r="V35" i="123"/>
  <c r="U35" i="123"/>
  <c r="T35" i="123"/>
  <c r="S35" i="123"/>
  <c r="R35" i="123"/>
  <c r="Q35" i="123"/>
  <c r="P35" i="123"/>
  <c r="O35" i="123"/>
  <c r="W34" i="123"/>
  <c r="V34" i="123"/>
  <c r="U34" i="123"/>
  <c r="T34" i="123"/>
  <c r="S34" i="123"/>
  <c r="R34" i="123"/>
  <c r="Q34" i="123"/>
  <c r="P34" i="123"/>
  <c r="O34" i="123"/>
  <c r="W33" i="123"/>
  <c r="V33" i="123"/>
  <c r="U33" i="123"/>
  <c r="T33" i="123"/>
  <c r="S33" i="123"/>
  <c r="R33" i="123"/>
  <c r="Q33" i="123"/>
  <c r="P33" i="123"/>
  <c r="O33" i="123"/>
  <c r="W32" i="123"/>
  <c r="V32" i="123"/>
  <c r="U32" i="123"/>
  <c r="T32" i="123"/>
  <c r="S32" i="123"/>
  <c r="R32" i="123"/>
  <c r="Q32" i="123"/>
  <c r="P32" i="123"/>
  <c r="O32" i="123"/>
  <c r="W31" i="123"/>
  <c r="V31" i="123"/>
  <c r="U31" i="123"/>
  <c r="T31" i="123"/>
  <c r="S31" i="123"/>
  <c r="R31" i="123"/>
  <c r="Q31" i="123"/>
  <c r="P31" i="123"/>
  <c r="O31" i="123"/>
  <c r="W30" i="123"/>
  <c r="V30" i="123"/>
  <c r="U30" i="123"/>
  <c r="T30" i="123"/>
  <c r="S30" i="123"/>
  <c r="R30" i="123"/>
  <c r="Q30" i="123"/>
  <c r="P30" i="123"/>
  <c r="O30" i="123"/>
  <c r="W29" i="123"/>
  <c r="V29" i="123"/>
  <c r="U29" i="123"/>
  <c r="T29" i="123"/>
  <c r="S29" i="123"/>
  <c r="R29" i="123"/>
  <c r="Q29" i="123"/>
  <c r="P29" i="123"/>
  <c r="O29" i="123"/>
  <c r="W28" i="123"/>
  <c r="V28" i="123"/>
  <c r="U28" i="123"/>
  <c r="T28" i="123"/>
  <c r="S28" i="123"/>
  <c r="R28" i="123"/>
  <c r="Q28" i="123"/>
  <c r="P28" i="123"/>
  <c r="O28" i="123"/>
  <c r="W27" i="123"/>
  <c r="V27" i="123"/>
  <c r="U27" i="123"/>
  <c r="T27" i="123"/>
  <c r="S27" i="123"/>
  <c r="R27" i="123"/>
  <c r="Q27" i="123"/>
  <c r="P27" i="123"/>
  <c r="O27" i="123"/>
  <c r="W25" i="123"/>
  <c r="V25" i="123"/>
  <c r="U25" i="123"/>
  <c r="T25" i="123"/>
  <c r="S25" i="123"/>
  <c r="R25" i="123"/>
  <c r="Q25" i="123"/>
  <c r="P25" i="123"/>
  <c r="O25" i="123"/>
  <c r="W24" i="123"/>
  <c r="V24" i="123"/>
  <c r="U24" i="123"/>
  <c r="T24" i="123"/>
  <c r="S24" i="123"/>
  <c r="R24" i="123"/>
  <c r="Q24" i="123"/>
  <c r="P24" i="123"/>
  <c r="O24" i="123"/>
  <c r="W23" i="123"/>
  <c r="V23" i="123"/>
  <c r="U23" i="123"/>
  <c r="T23" i="123"/>
  <c r="S23" i="123"/>
  <c r="R23" i="123"/>
  <c r="Q23" i="123"/>
  <c r="P23" i="123"/>
  <c r="O23" i="123"/>
  <c r="W22" i="123"/>
  <c r="V22" i="123"/>
  <c r="U22" i="123"/>
  <c r="T22" i="123"/>
  <c r="S22" i="123"/>
  <c r="R22" i="123"/>
  <c r="Q22" i="123"/>
  <c r="P22" i="123"/>
  <c r="O22" i="123"/>
  <c r="W21" i="123"/>
  <c r="W20" i="123"/>
  <c r="V20" i="123"/>
  <c r="U20" i="123"/>
  <c r="T20" i="123"/>
  <c r="S20" i="123"/>
  <c r="R20" i="123"/>
  <c r="Q20" i="123"/>
  <c r="P20" i="123"/>
  <c r="O20" i="123"/>
  <c r="W19" i="123"/>
  <c r="V19" i="123"/>
  <c r="U19" i="123"/>
  <c r="T19" i="123"/>
  <c r="S19" i="123"/>
  <c r="R19" i="123"/>
  <c r="Q19" i="123"/>
  <c r="P19" i="123"/>
  <c r="O19" i="123"/>
  <c r="W16" i="123"/>
  <c r="V16" i="123"/>
  <c r="U16" i="123"/>
  <c r="T16" i="123"/>
  <c r="S16" i="123"/>
  <c r="R16" i="123"/>
  <c r="Q16" i="123"/>
  <c r="P16" i="123"/>
  <c r="O16" i="123"/>
  <c r="W15" i="123"/>
  <c r="V15" i="123"/>
  <c r="U15" i="123"/>
  <c r="T15" i="123"/>
  <c r="S15" i="123"/>
  <c r="R15" i="123"/>
  <c r="Q15" i="123"/>
  <c r="P15" i="123"/>
  <c r="O15" i="123"/>
  <c r="W14" i="123"/>
  <c r="V14" i="123"/>
  <c r="U14" i="123"/>
  <c r="T14" i="123"/>
  <c r="S14" i="123"/>
  <c r="R14" i="123"/>
  <c r="Q14" i="123"/>
  <c r="P14" i="123"/>
  <c r="O14" i="123"/>
  <c r="W12" i="123"/>
  <c r="V12" i="123"/>
  <c r="U12" i="123"/>
  <c r="T12" i="123"/>
  <c r="S12" i="123"/>
  <c r="R12" i="123"/>
  <c r="Q12" i="123"/>
  <c r="P12" i="123"/>
  <c r="O12" i="123"/>
  <c r="W11" i="123"/>
  <c r="V11" i="123"/>
  <c r="U11" i="123"/>
  <c r="T11" i="123"/>
  <c r="S11" i="123"/>
  <c r="R11" i="123"/>
  <c r="Q11" i="123"/>
  <c r="P11" i="123"/>
  <c r="O11" i="123"/>
  <c r="W10" i="123"/>
  <c r="V10" i="123"/>
  <c r="U10" i="123"/>
  <c r="T10" i="123"/>
  <c r="S10" i="123"/>
  <c r="R10" i="123"/>
  <c r="Q10" i="123"/>
  <c r="P10" i="123"/>
  <c r="O10" i="123"/>
  <c r="W9" i="123"/>
  <c r="V9" i="123"/>
  <c r="U9" i="123"/>
  <c r="T9" i="123"/>
  <c r="S9" i="123"/>
  <c r="R9" i="123"/>
  <c r="Q9" i="123"/>
  <c r="P9" i="123"/>
  <c r="O9" i="123"/>
  <c r="W8" i="123"/>
  <c r="V8" i="123"/>
  <c r="U8" i="123"/>
  <c r="T8" i="123"/>
  <c r="S8" i="123"/>
  <c r="R8" i="123"/>
  <c r="Q8" i="123"/>
  <c r="P8" i="123"/>
  <c r="O8" i="123"/>
  <c r="W7" i="123"/>
  <c r="V7" i="123"/>
  <c r="U7" i="123"/>
  <c r="T7" i="123"/>
  <c r="S7" i="123"/>
  <c r="R7" i="123"/>
  <c r="Q7" i="123"/>
  <c r="P7" i="123"/>
  <c r="O7" i="123"/>
  <c r="W6" i="123"/>
  <c r="V6" i="123"/>
  <c r="U6" i="123"/>
  <c r="T6" i="123"/>
  <c r="S6" i="123"/>
  <c r="R6" i="123"/>
  <c r="Q6" i="123"/>
  <c r="P6" i="123"/>
  <c r="O6" i="123"/>
  <c r="W5" i="123"/>
  <c r="V5" i="123"/>
  <c r="U5" i="123"/>
  <c r="T5" i="123"/>
  <c r="S5" i="123"/>
  <c r="R5" i="123"/>
  <c r="Q5" i="123"/>
  <c r="P5" i="123"/>
  <c r="O5" i="123"/>
  <c r="W4" i="123"/>
  <c r="V4" i="123"/>
  <c r="U4" i="123"/>
  <c r="T4" i="123"/>
  <c r="S4" i="123"/>
  <c r="R4" i="123"/>
  <c r="Q4" i="123"/>
  <c r="P4" i="123"/>
  <c r="O4" i="123"/>
  <c r="W3" i="123"/>
  <c r="V3" i="123"/>
  <c r="U3" i="123"/>
  <c r="T3" i="123"/>
  <c r="S3" i="123"/>
  <c r="R3" i="123"/>
  <c r="Q3" i="123"/>
  <c r="P3" i="123"/>
  <c r="O3" i="123"/>
  <c r="M42" i="123"/>
  <c r="L42" i="123"/>
  <c r="K42" i="123"/>
  <c r="J42" i="123"/>
  <c r="I42" i="123"/>
  <c r="H42" i="123"/>
  <c r="G42" i="123"/>
  <c r="F42" i="123"/>
  <c r="M41" i="123"/>
  <c r="L41" i="123"/>
  <c r="K41" i="123"/>
  <c r="J41" i="123"/>
  <c r="I41" i="123"/>
  <c r="H41" i="123"/>
  <c r="G41" i="123"/>
  <c r="F41" i="123"/>
  <c r="M40" i="123"/>
  <c r="L40" i="123"/>
  <c r="K40" i="123"/>
  <c r="J40" i="123"/>
  <c r="I40" i="123"/>
  <c r="H40" i="123"/>
  <c r="G40" i="123"/>
  <c r="F40" i="123"/>
  <c r="M38" i="123"/>
  <c r="L38" i="123"/>
  <c r="K38" i="123"/>
  <c r="J38" i="123"/>
  <c r="I38" i="123"/>
  <c r="H38" i="123"/>
  <c r="G38" i="123"/>
  <c r="F38" i="123"/>
  <c r="M37" i="123"/>
  <c r="L37" i="123"/>
  <c r="K37" i="123"/>
  <c r="J37" i="123"/>
  <c r="I37" i="123"/>
  <c r="H37" i="123"/>
  <c r="G37" i="123"/>
  <c r="F37" i="123"/>
  <c r="M36" i="123"/>
  <c r="L36" i="123"/>
  <c r="K36" i="123"/>
  <c r="J36" i="123"/>
  <c r="I36" i="123"/>
  <c r="H36" i="123"/>
  <c r="G36" i="123"/>
  <c r="F36" i="123"/>
  <c r="M35" i="123"/>
  <c r="L35" i="123"/>
  <c r="K35" i="123"/>
  <c r="J35" i="123"/>
  <c r="I35" i="123"/>
  <c r="H35" i="123"/>
  <c r="G35" i="123"/>
  <c r="F35" i="123"/>
  <c r="M34" i="123"/>
  <c r="L34" i="123"/>
  <c r="K34" i="123"/>
  <c r="J34" i="123"/>
  <c r="I34" i="123"/>
  <c r="H34" i="123"/>
  <c r="G34" i="123"/>
  <c r="F34" i="123"/>
  <c r="M33" i="123"/>
  <c r="L33" i="123"/>
  <c r="K33" i="123"/>
  <c r="J33" i="123"/>
  <c r="I33" i="123"/>
  <c r="H33" i="123"/>
  <c r="G33" i="123"/>
  <c r="F33" i="123"/>
  <c r="M32" i="123"/>
  <c r="L32" i="123"/>
  <c r="K32" i="123"/>
  <c r="J32" i="123"/>
  <c r="I32" i="123"/>
  <c r="H32" i="123"/>
  <c r="G32" i="123"/>
  <c r="F32" i="123"/>
  <c r="M31" i="123"/>
  <c r="L31" i="123"/>
  <c r="K31" i="123"/>
  <c r="J31" i="123"/>
  <c r="I31" i="123"/>
  <c r="H31" i="123"/>
  <c r="G31" i="123"/>
  <c r="F31" i="123"/>
  <c r="M30" i="123"/>
  <c r="L30" i="123"/>
  <c r="K30" i="123"/>
  <c r="J30" i="123"/>
  <c r="I30" i="123"/>
  <c r="H30" i="123"/>
  <c r="G30" i="123"/>
  <c r="F30" i="123"/>
  <c r="M29" i="123"/>
  <c r="L29" i="123"/>
  <c r="K29" i="123"/>
  <c r="J29" i="123"/>
  <c r="I29" i="123"/>
  <c r="H29" i="123"/>
  <c r="G29" i="123"/>
  <c r="F29" i="123"/>
  <c r="M28" i="123"/>
  <c r="L28" i="123"/>
  <c r="K28" i="123"/>
  <c r="J28" i="123"/>
  <c r="I28" i="123"/>
  <c r="H28" i="123"/>
  <c r="G28" i="123"/>
  <c r="F28" i="123"/>
  <c r="M27" i="123"/>
  <c r="L27" i="123"/>
  <c r="K27" i="123"/>
  <c r="J27" i="123"/>
  <c r="I27" i="123"/>
  <c r="H27" i="123"/>
  <c r="G27" i="123"/>
  <c r="F27" i="123"/>
  <c r="M25" i="123"/>
  <c r="L25" i="123"/>
  <c r="K25" i="123"/>
  <c r="J25" i="123"/>
  <c r="I25" i="123"/>
  <c r="H25" i="123"/>
  <c r="G25" i="123"/>
  <c r="F25" i="123"/>
  <c r="M24" i="123"/>
  <c r="L24" i="123"/>
  <c r="K24" i="123"/>
  <c r="J24" i="123"/>
  <c r="I24" i="123"/>
  <c r="H24" i="123"/>
  <c r="G24" i="123"/>
  <c r="F24" i="123"/>
  <c r="M23" i="123"/>
  <c r="L23" i="123"/>
  <c r="K23" i="123"/>
  <c r="J23" i="123"/>
  <c r="I23" i="123"/>
  <c r="H23" i="123"/>
  <c r="G23" i="123"/>
  <c r="F23" i="123"/>
  <c r="M22" i="123"/>
  <c r="L22" i="123"/>
  <c r="K22" i="123"/>
  <c r="J22" i="123"/>
  <c r="I22" i="123"/>
  <c r="H22" i="123"/>
  <c r="G22" i="123"/>
  <c r="F22" i="123"/>
  <c r="M20" i="123"/>
  <c r="L20" i="123"/>
  <c r="K20" i="123"/>
  <c r="J20" i="123"/>
  <c r="I20" i="123"/>
  <c r="H20" i="123"/>
  <c r="G20" i="123"/>
  <c r="F20" i="123"/>
  <c r="M19" i="123"/>
  <c r="L19" i="123"/>
  <c r="K19" i="123"/>
  <c r="J19" i="123"/>
  <c r="I19" i="123"/>
  <c r="H19" i="123"/>
  <c r="G19" i="123"/>
  <c r="F19" i="123"/>
  <c r="M17" i="123"/>
  <c r="L17" i="123"/>
  <c r="K17" i="123"/>
  <c r="J17" i="123"/>
  <c r="I17" i="123"/>
  <c r="H17" i="123"/>
  <c r="G17" i="123"/>
  <c r="F17" i="123"/>
  <c r="M16" i="123"/>
  <c r="L16" i="123"/>
  <c r="K16" i="123"/>
  <c r="J16" i="123"/>
  <c r="I16" i="123"/>
  <c r="H16" i="123"/>
  <c r="G16" i="123"/>
  <c r="F16" i="123"/>
  <c r="M15" i="123"/>
  <c r="L15" i="123"/>
  <c r="K15" i="123"/>
  <c r="J15" i="123"/>
  <c r="I15" i="123"/>
  <c r="H15" i="123"/>
  <c r="G15" i="123"/>
  <c r="F15" i="123"/>
  <c r="M14" i="123"/>
  <c r="L14" i="123"/>
  <c r="K14" i="123"/>
  <c r="J14" i="123"/>
  <c r="I14" i="123"/>
  <c r="H14" i="123"/>
  <c r="G14" i="123"/>
  <c r="F14" i="123"/>
  <c r="M12" i="123"/>
  <c r="L12" i="123"/>
  <c r="K12" i="123"/>
  <c r="J12" i="123"/>
  <c r="I12" i="123"/>
  <c r="H12" i="123"/>
  <c r="G12" i="123"/>
  <c r="F12" i="123"/>
  <c r="M11" i="123"/>
  <c r="L11" i="123"/>
  <c r="K11" i="123"/>
  <c r="J11" i="123"/>
  <c r="I11" i="123"/>
  <c r="H11" i="123"/>
  <c r="G11" i="123"/>
  <c r="F11" i="123"/>
  <c r="M10" i="123"/>
  <c r="L10" i="123"/>
  <c r="K10" i="123"/>
  <c r="J10" i="123"/>
  <c r="I10" i="123"/>
  <c r="H10" i="123"/>
  <c r="G10" i="123"/>
  <c r="F10" i="123"/>
  <c r="M9" i="123"/>
  <c r="L9" i="123"/>
  <c r="K9" i="123"/>
  <c r="J9" i="123"/>
  <c r="I9" i="123"/>
  <c r="H9" i="123"/>
  <c r="G9" i="123"/>
  <c r="F9" i="123"/>
  <c r="M8" i="123"/>
  <c r="L8" i="123"/>
  <c r="K8" i="123"/>
  <c r="J8" i="123"/>
  <c r="I8" i="123"/>
  <c r="H8" i="123"/>
  <c r="G8" i="123"/>
  <c r="F8" i="123"/>
  <c r="M7" i="123"/>
  <c r="L7" i="123"/>
  <c r="K7" i="123"/>
  <c r="J7" i="123"/>
  <c r="I7" i="123"/>
  <c r="H7" i="123"/>
  <c r="G7" i="123"/>
  <c r="F7" i="123"/>
  <c r="M6" i="123"/>
  <c r="L6" i="123"/>
  <c r="K6" i="123"/>
  <c r="J6" i="123"/>
  <c r="I6" i="123"/>
  <c r="H6" i="123"/>
  <c r="G6" i="123"/>
  <c r="F6" i="123"/>
  <c r="M5" i="123"/>
  <c r="L5" i="123"/>
  <c r="K5" i="123"/>
  <c r="J5" i="123"/>
  <c r="I5" i="123"/>
  <c r="H5" i="123"/>
  <c r="G5" i="123"/>
  <c r="F5" i="123"/>
  <c r="M4" i="123"/>
  <c r="L4" i="123"/>
  <c r="K4" i="123"/>
  <c r="J4" i="123"/>
  <c r="I4" i="123"/>
  <c r="H4" i="123"/>
  <c r="G4" i="123"/>
  <c r="F4" i="123"/>
  <c r="M3" i="123"/>
  <c r="L3" i="123"/>
  <c r="K3" i="123"/>
  <c r="J3" i="123"/>
  <c r="I3" i="123"/>
  <c r="H3" i="123"/>
  <c r="G3" i="123"/>
  <c r="F3" i="123"/>
  <c r="E42" i="123"/>
  <c r="E41" i="123"/>
  <c r="E40" i="123"/>
  <c r="E39" i="123"/>
  <c r="E38" i="123"/>
  <c r="E37" i="123"/>
  <c r="E36" i="123"/>
  <c r="E35" i="123"/>
  <c r="E34" i="123"/>
  <c r="E33" i="123"/>
  <c r="E32" i="123"/>
  <c r="E31" i="123"/>
  <c r="E30" i="123"/>
  <c r="E29" i="123"/>
  <c r="E28" i="123"/>
  <c r="E27" i="123"/>
  <c r="E25" i="123"/>
  <c r="E24" i="123"/>
  <c r="E23" i="123"/>
  <c r="E22" i="123"/>
  <c r="E20" i="123"/>
  <c r="E19" i="123"/>
  <c r="E17" i="123"/>
  <c r="E16" i="123"/>
  <c r="E15" i="123"/>
  <c r="E14" i="123"/>
  <c r="E12" i="123"/>
  <c r="E11" i="123"/>
  <c r="E10" i="123"/>
  <c r="E9" i="123"/>
  <c r="E8" i="123"/>
  <c r="E7" i="123"/>
  <c r="E6" i="123"/>
  <c r="E5" i="123"/>
  <c r="E4" i="123"/>
  <c r="E3" i="123"/>
  <c r="D216" i="157"/>
  <c r="D215" i="157"/>
  <c r="D214" i="157"/>
  <c r="D213" i="157"/>
  <c r="D212" i="157"/>
  <c r="D211" i="157"/>
  <c r="D210" i="157"/>
  <c r="D209" i="157"/>
  <c r="D208" i="157"/>
  <c r="N155" i="157"/>
  <c r="M155" i="157"/>
  <c r="L155" i="157"/>
  <c r="K155" i="157"/>
  <c r="J155" i="157"/>
  <c r="I155" i="157"/>
  <c r="H155" i="157"/>
  <c r="G155" i="157"/>
  <c r="F134" i="157"/>
  <c r="F136" i="157"/>
  <c r="F155" i="157"/>
  <c r="E155" i="157"/>
  <c r="E154" i="157"/>
  <c r="E153" i="157"/>
  <c r="N150" i="157"/>
  <c r="M150" i="157"/>
  <c r="L150" i="157"/>
  <c r="K150" i="157"/>
  <c r="J150" i="157"/>
  <c r="I150" i="157"/>
  <c r="H150" i="157"/>
  <c r="G150" i="157"/>
  <c r="F150" i="157"/>
  <c r="E150" i="157"/>
  <c r="E149" i="157"/>
  <c r="E148" i="157"/>
  <c r="N145" i="157"/>
  <c r="F145" i="157"/>
  <c r="E145" i="157"/>
  <c r="E144" i="157"/>
  <c r="E143" i="157"/>
  <c r="C137" i="157"/>
  <c r="C135" i="157"/>
  <c r="E130" i="157"/>
  <c r="N79" i="157"/>
  <c r="C78" i="157"/>
  <c r="D72" i="157"/>
  <c r="N71" i="157"/>
  <c r="N69" i="157"/>
  <c r="C69" i="157"/>
  <c r="N114" i="31"/>
  <c r="N112" i="31"/>
  <c r="N113" i="31"/>
  <c r="F114" i="31"/>
  <c r="F112" i="31"/>
  <c r="N107" i="31"/>
  <c r="N105" i="31"/>
  <c r="N106" i="31"/>
  <c r="F107" i="31"/>
  <c r="F105" i="31"/>
  <c r="N100" i="31"/>
  <c r="N98" i="31"/>
  <c r="N99" i="31"/>
  <c r="F100" i="31"/>
  <c r="F98" i="31"/>
  <c r="N91" i="31"/>
  <c r="N89" i="31"/>
  <c r="N90" i="31"/>
  <c r="F91" i="31"/>
  <c r="F89" i="31"/>
  <c r="N84" i="31"/>
  <c r="N82" i="31"/>
  <c r="N83" i="31"/>
  <c r="F84" i="31"/>
  <c r="F82" i="31"/>
  <c r="J46" i="107"/>
  <c r="J45" i="107"/>
  <c r="J44" i="107"/>
  <c r="K45" i="107"/>
  <c r="K44" i="107"/>
  <c r="L44" i="107"/>
  <c r="L45" i="107"/>
  <c r="L46" i="107"/>
  <c r="M46" i="107"/>
  <c r="M45" i="107"/>
  <c r="M44" i="107"/>
  <c r="N46" i="107"/>
  <c r="N45" i="107"/>
  <c r="N44" i="107"/>
  <c r="K46" i="107"/>
  <c r="F46" i="107"/>
  <c r="E46" i="107"/>
  <c r="G46" i="107"/>
  <c r="H46" i="107"/>
  <c r="I46" i="107"/>
  <c r="F45" i="107"/>
  <c r="E45" i="107"/>
  <c r="G45" i="107"/>
  <c r="H45" i="107"/>
  <c r="I45" i="107"/>
  <c r="F44" i="107"/>
  <c r="E44" i="107"/>
  <c r="G44" i="107"/>
  <c r="H44" i="107"/>
  <c r="I44" i="107"/>
  <c r="B1" i="123"/>
  <c r="N37" i="107"/>
  <c r="N36" i="107"/>
  <c r="N35" i="107"/>
  <c r="N28" i="107"/>
  <c r="N27" i="107"/>
  <c r="N26" i="107"/>
  <c r="F37" i="107"/>
  <c r="F36" i="107"/>
  <c r="F35" i="107"/>
  <c r="F28" i="107"/>
  <c r="F27" i="107"/>
  <c r="F26" i="107"/>
  <c r="O53" i="116"/>
  <c r="O51" i="116"/>
  <c r="O52" i="116"/>
  <c r="G53" i="116"/>
  <c r="G51" i="116"/>
  <c r="O47" i="116"/>
  <c r="O45" i="116"/>
  <c r="G47" i="116"/>
  <c r="G45" i="116"/>
  <c r="N254" i="41"/>
  <c r="F490" i="40"/>
  <c r="F473" i="40"/>
  <c r="F456" i="40"/>
  <c r="F439" i="40"/>
  <c r="F422" i="40"/>
  <c r="G150" i="39"/>
  <c r="G151" i="39"/>
  <c r="G152" i="39"/>
  <c r="G153" i="39"/>
  <c r="F150" i="39"/>
  <c r="F151" i="39"/>
  <c r="F152" i="39"/>
  <c r="F153" i="39"/>
  <c r="D74" i="62"/>
  <c r="D73" i="62"/>
  <c r="D51" i="138"/>
  <c r="D50" i="138"/>
  <c r="N54" i="137"/>
  <c r="F54" i="137"/>
  <c r="E54" i="137"/>
  <c r="N56" i="137"/>
  <c r="F56" i="137"/>
  <c r="E56" i="137"/>
  <c r="N55" i="137"/>
  <c r="F55" i="137"/>
  <c r="E55" i="137"/>
  <c r="H54" i="137"/>
  <c r="I54" i="137"/>
  <c r="J54" i="137"/>
  <c r="K54" i="137"/>
  <c r="L54" i="137"/>
  <c r="M54" i="137"/>
  <c r="G54" i="137"/>
  <c r="F56" i="30"/>
  <c r="F55" i="30"/>
  <c r="F54" i="30"/>
  <c r="N49" i="30"/>
  <c r="N48" i="30"/>
  <c r="N47" i="30"/>
  <c r="F49" i="30"/>
  <c r="F48" i="30"/>
  <c r="F47" i="30"/>
  <c r="N42" i="30"/>
  <c r="F41" i="30"/>
  <c r="F40" i="30"/>
  <c r="N35" i="30"/>
  <c r="N34" i="30"/>
  <c r="N33" i="30"/>
  <c r="F35" i="30"/>
  <c r="F34" i="30"/>
  <c r="F33" i="30"/>
  <c r="O262" i="113"/>
  <c r="O261" i="113"/>
  <c r="O259" i="113"/>
  <c r="O258" i="113"/>
  <c r="O257" i="113"/>
  <c r="O239" i="113"/>
  <c r="O251" i="113"/>
  <c r="O250" i="113"/>
  <c r="O249" i="113"/>
  <c r="O247" i="113"/>
  <c r="O246" i="113"/>
  <c r="O245" i="113"/>
  <c r="G261" i="113"/>
  <c r="G262" i="113"/>
  <c r="G259" i="113"/>
  <c r="G258" i="113"/>
  <c r="G257" i="113"/>
  <c r="G239" i="113"/>
  <c r="O255" i="112"/>
  <c r="G255" i="112"/>
  <c r="F255" i="112"/>
  <c r="H255" i="112"/>
  <c r="I255" i="112"/>
  <c r="J255" i="112"/>
  <c r="K255" i="112"/>
  <c r="L255" i="112"/>
  <c r="M255" i="112"/>
  <c r="N255" i="112"/>
  <c r="O249" i="112"/>
  <c r="N68" i="111"/>
  <c r="N67" i="111"/>
  <c r="N66" i="111"/>
  <c r="F68" i="111"/>
  <c r="F67" i="111"/>
  <c r="F66" i="111"/>
  <c r="O230" i="110"/>
  <c r="O226" i="110"/>
  <c r="O221" i="110"/>
  <c r="O218" i="110"/>
  <c r="O217" i="110"/>
  <c r="O216" i="110"/>
  <c r="G230" i="110"/>
  <c r="G226" i="110"/>
  <c r="G221" i="110"/>
  <c r="G218" i="110"/>
  <c r="G217" i="110"/>
  <c r="G216" i="110"/>
  <c r="O207" i="110"/>
  <c r="O204" i="110"/>
  <c r="O201" i="110"/>
  <c r="O198" i="110"/>
  <c r="O197" i="110"/>
  <c r="G207" i="110"/>
  <c r="G204" i="110"/>
  <c r="G201" i="110"/>
  <c r="G198" i="110"/>
  <c r="G197" i="110"/>
  <c r="O192" i="110"/>
  <c r="O188" i="110"/>
  <c r="O183" i="110"/>
  <c r="O180" i="110"/>
  <c r="O179" i="110"/>
  <c r="O178" i="110"/>
  <c r="G192" i="110"/>
  <c r="G188" i="110"/>
  <c r="G183" i="110"/>
  <c r="G180" i="110"/>
  <c r="G179" i="110"/>
  <c r="G178" i="110"/>
  <c r="O171" i="110"/>
  <c r="O167" i="110"/>
  <c r="O162" i="110"/>
  <c r="O159" i="110"/>
  <c r="O158" i="110"/>
  <c r="G171" i="110"/>
  <c r="G167" i="110"/>
  <c r="G162" i="110"/>
  <c r="G159" i="110"/>
  <c r="G158" i="110"/>
  <c r="O148" i="110"/>
  <c r="O145" i="110"/>
  <c r="O142" i="110"/>
  <c r="O140" i="110"/>
  <c r="O139" i="110"/>
  <c r="G148" i="110"/>
  <c r="G145" i="110"/>
  <c r="G142" i="110"/>
  <c r="G140" i="110"/>
  <c r="G139" i="110"/>
  <c r="O120" i="110"/>
  <c r="O119" i="110"/>
  <c r="O123" i="110"/>
  <c r="O128" i="110"/>
  <c r="O132" i="110"/>
  <c r="G132" i="110"/>
  <c r="G128" i="110"/>
  <c r="G123" i="110"/>
  <c r="G120" i="110"/>
  <c r="G119" i="110"/>
  <c r="E50" i="145"/>
  <c r="E58" i="144"/>
  <c r="N73" i="139"/>
  <c r="F73" i="139"/>
  <c r="E73" i="139"/>
  <c r="G73" i="139"/>
  <c r="H73" i="139"/>
  <c r="I73" i="139"/>
  <c r="J73" i="139"/>
  <c r="K73" i="139"/>
  <c r="L73" i="139"/>
  <c r="M73" i="139"/>
  <c r="E76" i="139"/>
  <c r="D68" i="12"/>
  <c r="D69" i="12"/>
  <c r="D70" i="12"/>
  <c r="D71" i="12"/>
  <c r="D72" i="12"/>
  <c r="D73" i="12"/>
  <c r="F11" i="12"/>
  <c r="D79" i="12"/>
  <c r="E490" i="40"/>
  <c r="G490" i="40"/>
  <c r="H490" i="40"/>
  <c r="I490" i="40"/>
  <c r="J490" i="40"/>
  <c r="K490" i="40"/>
  <c r="L490" i="40"/>
  <c r="M490" i="40"/>
  <c r="E491" i="40"/>
  <c r="G491" i="40"/>
  <c r="H491" i="40"/>
  <c r="I491" i="40"/>
  <c r="J491" i="40"/>
  <c r="K491" i="40"/>
  <c r="L491" i="40"/>
  <c r="M491" i="40"/>
  <c r="E473" i="40"/>
  <c r="G473" i="40"/>
  <c r="H473" i="40"/>
  <c r="I473" i="40"/>
  <c r="J473" i="40"/>
  <c r="K473" i="40"/>
  <c r="L473" i="40"/>
  <c r="M473" i="40"/>
  <c r="E474" i="40"/>
  <c r="G474" i="40"/>
  <c r="H474" i="40"/>
  <c r="I474" i="40"/>
  <c r="J474" i="40"/>
  <c r="K474" i="40"/>
  <c r="L474" i="40"/>
  <c r="M474" i="40"/>
  <c r="E456" i="40"/>
  <c r="G456" i="40"/>
  <c r="H456" i="40"/>
  <c r="I456" i="40"/>
  <c r="J456" i="40"/>
  <c r="K456" i="40"/>
  <c r="L456" i="40"/>
  <c r="M456" i="40"/>
  <c r="E457" i="40"/>
  <c r="G457" i="40"/>
  <c r="H457" i="40"/>
  <c r="I457" i="40"/>
  <c r="J457" i="40"/>
  <c r="K457" i="40"/>
  <c r="L457" i="40"/>
  <c r="M457" i="40"/>
  <c r="E422" i="40"/>
  <c r="G422" i="40"/>
  <c r="E440" i="40"/>
  <c r="G440" i="40"/>
  <c r="E406" i="40"/>
  <c r="G406" i="40"/>
  <c r="G423" i="40"/>
  <c r="E439" i="40"/>
  <c r="G439" i="40"/>
  <c r="H439" i="40"/>
  <c r="E405" i="40"/>
  <c r="G405" i="40"/>
  <c r="H405" i="40"/>
  <c r="H422" i="40"/>
  <c r="I439" i="40"/>
  <c r="I405" i="40"/>
  <c r="I422" i="40"/>
  <c r="J439" i="40"/>
  <c r="J405" i="40"/>
  <c r="J422" i="40"/>
  <c r="K439" i="40"/>
  <c r="K405" i="40"/>
  <c r="K422" i="40"/>
  <c r="L439" i="40"/>
  <c r="L405" i="40"/>
  <c r="L422" i="40"/>
  <c r="M439" i="40"/>
  <c r="M405" i="40"/>
  <c r="M422" i="40"/>
  <c r="H440" i="40"/>
  <c r="I440" i="40"/>
  <c r="J440" i="40"/>
  <c r="K440" i="40"/>
  <c r="L440" i="40"/>
  <c r="M440" i="40"/>
  <c r="H406" i="40"/>
  <c r="I406" i="40"/>
  <c r="J406" i="40"/>
  <c r="K406" i="40"/>
  <c r="L406" i="40"/>
  <c r="M406" i="40"/>
  <c r="M423" i="40"/>
  <c r="L423" i="40"/>
  <c r="K423" i="40"/>
  <c r="J423" i="40"/>
  <c r="I423" i="40"/>
  <c r="H423" i="40"/>
  <c r="E423" i="40"/>
  <c r="G573" i="40"/>
  <c r="F159" i="40"/>
  <c r="N159" i="40"/>
  <c r="G159" i="40"/>
  <c r="G592" i="40"/>
  <c r="G751" i="40"/>
  <c r="H573" i="40"/>
  <c r="H159" i="40"/>
  <c r="H592" i="40"/>
  <c r="H751" i="40"/>
  <c r="I573" i="40"/>
  <c r="I159" i="40"/>
  <c r="I592" i="40"/>
  <c r="I751" i="40"/>
  <c r="J573" i="40"/>
  <c r="J159" i="40"/>
  <c r="J592" i="40"/>
  <c r="J751" i="40"/>
  <c r="K573" i="40"/>
  <c r="K159" i="40"/>
  <c r="K592" i="40"/>
  <c r="K751" i="40"/>
  <c r="L573" i="40"/>
  <c r="L159" i="40"/>
  <c r="L592" i="40"/>
  <c r="L751" i="40"/>
  <c r="M573" i="40"/>
  <c r="M159" i="40"/>
  <c r="M592" i="40"/>
  <c r="M751" i="40"/>
  <c r="N573" i="40"/>
  <c r="N592" i="40"/>
  <c r="N751" i="40"/>
  <c r="F297" i="40"/>
  <c r="N297" i="40"/>
  <c r="G297" i="40"/>
  <c r="G526" i="40"/>
  <c r="G535" i="40"/>
  <c r="G555" i="40"/>
  <c r="G574" i="40"/>
  <c r="F161" i="40"/>
  <c r="N161" i="40"/>
  <c r="G161" i="40"/>
  <c r="G593" i="40"/>
  <c r="G752" i="40"/>
  <c r="H297" i="40"/>
  <c r="H526" i="40"/>
  <c r="H535" i="40"/>
  <c r="H555" i="40"/>
  <c r="H574" i="40"/>
  <c r="H161" i="40"/>
  <c r="H593" i="40"/>
  <c r="H752" i="40"/>
  <c r="I297" i="40"/>
  <c r="I526" i="40"/>
  <c r="I535" i="40"/>
  <c r="I555" i="40"/>
  <c r="I574" i="40"/>
  <c r="I161" i="40"/>
  <c r="I593" i="40"/>
  <c r="I752" i="40"/>
  <c r="J297" i="40"/>
  <c r="J526" i="40"/>
  <c r="J535" i="40"/>
  <c r="J555" i="40"/>
  <c r="J574" i="40"/>
  <c r="J161" i="40"/>
  <c r="J593" i="40"/>
  <c r="J752" i="40"/>
  <c r="K297" i="40"/>
  <c r="K526" i="40"/>
  <c r="K535" i="40"/>
  <c r="K555" i="40"/>
  <c r="K574" i="40"/>
  <c r="K161" i="40"/>
  <c r="K593" i="40"/>
  <c r="K752" i="40"/>
  <c r="L297" i="40"/>
  <c r="L526" i="40"/>
  <c r="L535" i="40"/>
  <c r="L555" i="40"/>
  <c r="L574" i="40"/>
  <c r="L161" i="40"/>
  <c r="L593" i="40"/>
  <c r="L752" i="40"/>
  <c r="M297" i="40"/>
  <c r="M526" i="40"/>
  <c r="M535" i="40"/>
  <c r="M555" i="40"/>
  <c r="M574" i="40"/>
  <c r="M161" i="40"/>
  <c r="M593" i="40"/>
  <c r="M752" i="40"/>
  <c r="N526" i="40"/>
  <c r="N535" i="40"/>
  <c r="N555" i="40"/>
  <c r="N574" i="40"/>
  <c r="N593" i="40"/>
  <c r="N752" i="40"/>
  <c r="F573" i="40"/>
  <c r="F592" i="40"/>
  <c r="F751" i="40"/>
  <c r="F526" i="40"/>
  <c r="F535" i="40"/>
  <c r="F555" i="40"/>
  <c r="F574" i="40"/>
  <c r="F593" i="40"/>
  <c r="F752" i="40"/>
  <c r="G731" i="40"/>
  <c r="H731" i="40"/>
  <c r="I731" i="40"/>
  <c r="J731" i="40"/>
  <c r="K731" i="40"/>
  <c r="L731" i="40"/>
  <c r="M731" i="40"/>
  <c r="N731" i="40"/>
  <c r="G732" i="40"/>
  <c r="H732" i="40"/>
  <c r="I732" i="40"/>
  <c r="J732" i="40"/>
  <c r="K732" i="40"/>
  <c r="L732" i="40"/>
  <c r="M732" i="40"/>
  <c r="N732" i="40"/>
  <c r="F731" i="40"/>
  <c r="F732" i="40"/>
  <c r="G711" i="40"/>
  <c r="H711" i="40"/>
  <c r="I711" i="40"/>
  <c r="J711" i="40"/>
  <c r="K711" i="40"/>
  <c r="L711" i="40"/>
  <c r="M711" i="40"/>
  <c r="N711" i="40"/>
  <c r="G712" i="40"/>
  <c r="H712" i="40"/>
  <c r="I712" i="40"/>
  <c r="J712" i="40"/>
  <c r="K712" i="40"/>
  <c r="L712" i="40"/>
  <c r="M712" i="40"/>
  <c r="N712" i="40"/>
  <c r="F711" i="40"/>
  <c r="F712" i="40"/>
  <c r="H611" i="40"/>
  <c r="H630" i="40"/>
  <c r="H691" i="40"/>
  <c r="I611" i="40"/>
  <c r="I630" i="40"/>
  <c r="I691" i="40"/>
  <c r="J611" i="40"/>
  <c r="J630" i="40"/>
  <c r="J691" i="40"/>
  <c r="K611" i="40"/>
  <c r="K630" i="40"/>
  <c r="K691" i="40"/>
  <c r="L611" i="40"/>
  <c r="L630" i="40"/>
  <c r="L691" i="40"/>
  <c r="M611" i="40"/>
  <c r="M630" i="40"/>
  <c r="M691" i="40"/>
  <c r="N611" i="40"/>
  <c r="N630" i="40"/>
  <c r="N691" i="40"/>
  <c r="H612" i="40"/>
  <c r="H631" i="40"/>
  <c r="H692" i="40"/>
  <c r="I612" i="40"/>
  <c r="I631" i="40"/>
  <c r="I692" i="40"/>
  <c r="J612" i="40"/>
  <c r="J631" i="40"/>
  <c r="J692" i="40"/>
  <c r="K612" i="40"/>
  <c r="K631" i="40"/>
  <c r="K692" i="40"/>
  <c r="L612" i="40"/>
  <c r="L631" i="40"/>
  <c r="L692" i="40"/>
  <c r="M612" i="40"/>
  <c r="M631" i="40"/>
  <c r="M692" i="40"/>
  <c r="N612" i="40"/>
  <c r="N631" i="40"/>
  <c r="N692" i="40"/>
  <c r="G611" i="40"/>
  <c r="G630" i="40"/>
  <c r="G691" i="40"/>
  <c r="G612" i="40"/>
  <c r="G631" i="40"/>
  <c r="G692" i="40"/>
  <c r="H671" i="40"/>
  <c r="I671" i="40"/>
  <c r="J671" i="40"/>
  <c r="K671" i="40"/>
  <c r="L671" i="40"/>
  <c r="M671" i="40"/>
  <c r="N671" i="40"/>
  <c r="G671" i="40"/>
  <c r="H649" i="40"/>
  <c r="I649" i="40"/>
  <c r="J649" i="40"/>
  <c r="K649" i="40"/>
  <c r="L649" i="40"/>
  <c r="M649" i="40"/>
  <c r="N649" i="40"/>
  <c r="H650" i="40"/>
  <c r="I650" i="40"/>
  <c r="J650" i="40"/>
  <c r="K650" i="40"/>
  <c r="L650" i="40"/>
  <c r="M650" i="40"/>
  <c r="N650" i="40"/>
  <c r="G649" i="40"/>
  <c r="G650" i="40"/>
  <c r="G370" i="40"/>
  <c r="H370" i="40"/>
  <c r="I370" i="40"/>
  <c r="J370" i="40"/>
  <c r="K370" i="40"/>
  <c r="L370" i="40"/>
  <c r="M370" i="40"/>
  <c r="N370" i="40"/>
  <c r="N347" i="40"/>
  <c r="F347" i="40"/>
  <c r="G347" i="40"/>
  <c r="G371" i="40"/>
  <c r="H347" i="40"/>
  <c r="H371" i="40"/>
  <c r="I347" i="40"/>
  <c r="I371" i="40"/>
  <c r="J347" i="40"/>
  <c r="J371" i="40"/>
  <c r="K347" i="40"/>
  <c r="K371" i="40"/>
  <c r="L347" i="40"/>
  <c r="L371" i="40"/>
  <c r="M347" i="40"/>
  <c r="M371" i="40"/>
  <c r="N371" i="40"/>
  <c r="F174" i="40"/>
  <c r="G174" i="40"/>
  <c r="N348" i="40"/>
  <c r="F55" i="40"/>
  <c r="F348" i="40"/>
  <c r="G348" i="40"/>
  <c r="G372" i="40"/>
  <c r="H174" i="40"/>
  <c r="H348" i="40"/>
  <c r="H372" i="40"/>
  <c r="I174" i="40"/>
  <c r="I348" i="40"/>
  <c r="I372" i="40"/>
  <c r="J174" i="40"/>
  <c r="J348" i="40"/>
  <c r="J372" i="40"/>
  <c r="K174" i="40"/>
  <c r="K348" i="40"/>
  <c r="K372" i="40"/>
  <c r="L174" i="40"/>
  <c r="L348" i="40"/>
  <c r="L372" i="40"/>
  <c r="M174" i="40"/>
  <c r="M348" i="40"/>
  <c r="M372" i="40"/>
  <c r="N174" i="40"/>
  <c r="N372" i="40"/>
  <c r="F370" i="40"/>
  <c r="F371" i="40"/>
  <c r="F372" i="40"/>
  <c r="N176" i="40"/>
  <c r="G317" i="40"/>
  <c r="G335" i="40"/>
  <c r="H317" i="40"/>
  <c r="H335" i="40"/>
  <c r="I317" i="40"/>
  <c r="I335" i="40"/>
  <c r="J317" i="40"/>
  <c r="J335" i="40"/>
  <c r="K317" i="40"/>
  <c r="K335" i="40"/>
  <c r="L317" i="40"/>
  <c r="L335" i="40"/>
  <c r="M317" i="40"/>
  <c r="M335" i="40"/>
  <c r="N317" i="40"/>
  <c r="N335" i="40"/>
  <c r="F117" i="40"/>
  <c r="G318" i="40" a="1"/>
  <c r="G318" i="40"/>
  <c r="G336" i="40"/>
  <c r="H318" i="40" a="1"/>
  <c r="H318" i="40"/>
  <c r="H336" i="40"/>
  <c r="I318" i="40" a="1"/>
  <c r="I318" i="40"/>
  <c r="I336" i="40"/>
  <c r="J318" i="40" a="1"/>
  <c r="J318" i="40"/>
  <c r="J336" i="40"/>
  <c r="K318" i="40" a="1"/>
  <c r="K318" i="40"/>
  <c r="K336" i="40"/>
  <c r="L318" i="40" a="1"/>
  <c r="L318" i="40"/>
  <c r="L336" i="40"/>
  <c r="M318" i="40" a="1"/>
  <c r="M318" i="40"/>
  <c r="M336" i="40"/>
  <c r="N318" i="40" a="1"/>
  <c r="N318" i="40"/>
  <c r="N336" i="40"/>
  <c r="G319" i="40" a="1"/>
  <c r="G319" i="40"/>
  <c r="G337" i="40"/>
  <c r="H319" i="40" a="1"/>
  <c r="H319" i="40"/>
  <c r="H337" i="40"/>
  <c r="I319" i="40" a="1"/>
  <c r="I319" i="40"/>
  <c r="I337" i="40"/>
  <c r="J319" i="40" a="1"/>
  <c r="J319" i="40"/>
  <c r="J337" i="40"/>
  <c r="K319" i="40" a="1"/>
  <c r="K319" i="40"/>
  <c r="K337" i="40"/>
  <c r="L319" i="40" a="1"/>
  <c r="L319" i="40"/>
  <c r="L337" i="40"/>
  <c r="M319" i="40" a="1"/>
  <c r="M319" i="40"/>
  <c r="M337" i="40"/>
  <c r="N319" i="40" a="1"/>
  <c r="N319" i="40"/>
  <c r="N337" i="40"/>
  <c r="F318" i="40" a="1"/>
  <c r="F318" i="40"/>
  <c r="F336" i="40"/>
  <c r="F319" i="40" a="1"/>
  <c r="F319" i="40"/>
  <c r="F337" i="40"/>
  <c r="G112" i="40"/>
  <c r="H112" i="40"/>
  <c r="I112" i="40"/>
  <c r="J112" i="40"/>
  <c r="K112" i="40"/>
  <c r="L112" i="40"/>
  <c r="F317" i="40"/>
  <c r="F335" i="40"/>
  <c r="F296" i="40"/>
  <c r="N296" i="40"/>
  <c r="G296" i="40"/>
  <c r="G525" i="40"/>
  <c r="G534" i="40"/>
  <c r="G306" i="40"/>
  <c r="G324" i="40"/>
  <c r="G543" i="40"/>
  <c r="G562" i="40"/>
  <c r="H296" i="40"/>
  <c r="H525" i="40"/>
  <c r="H534" i="40"/>
  <c r="H306" i="40"/>
  <c r="H324" i="40"/>
  <c r="H543" i="40"/>
  <c r="H562" i="40"/>
  <c r="I296" i="40"/>
  <c r="I525" i="40"/>
  <c r="I534" i="40"/>
  <c r="I306" i="40"/>
  <c r="I324" i="40"/>
  <c r="I543" i="40"/>
  <c r="I562" i="40"/>
  <c r="J296" i="40"/>
  <c r="J525" i="40"/>
  <c r="J534" i="40"/>
  <c r="J306" i="40"/>
  <c r="J324" i="40"/>
  <c r="J543" i="40"/>
  <c r="J562" i="40"/>
  <c r="K296" i="40"/>
  <c r="K525" i="40"/>
  <c r="K534" i="40"/>
  <c r="K306" i="40"/>
  <c r="K324" i="40"/>
  <c r="K543" i="40"/>
  <c r="K562" i="40"/>
  <c r="L296" i="40"/>
  <c r="L525" i="40"/>
  <c r="L534" i="40"/>
  <c r="L306" i="40"/>
  <c r="L324" i="40"/>
  <c r="L543" i="40"/>
  <c r="L562" i="40"/>
  <c r="M296" i="40"/>
  <c r="M525" i="40"/>
  <c r="M534" i="40"/>
  <c r="M306" i="40"/>
  <c r="M324" i="40"/>
  <c r="M543" i="40"/>
  <c r="M562" i="40"/>
  <c r="N525" i="40"/>
  <c r="N534" i="40"/>
  <c r="N306" i="40"/>
  <c r="N324" i="40"/>
  <c r="N543" i="40"/>
  <c r="N562" i="40"/>
  <c r="G76" i="40"/>
  <c r="H76" i="40"/>
  <c r="I76" i="40"/>
  <c r="J76" i="40"/>
  <c r="K76" i="40"/>
  <c r="L76" i="40"/>
  <c r="M76" i="40"/>
  <c r="N76" i="40"/>
  <c r="F525" i="40"/>
  <c r="F534" i="40"/>
  <c r="F306" i="40"/>
  <c r="F324" i="40"/>
  <c r="F543" i="40"/>
  <c r="F562" i="40"/>
  <c r="H19" i="39"/>
  <c r="H27" i="39"/>
  <c r="H28" i="39"/>
  <c r="H21" i="39"/>
  <c r="H29" i="39"/>
  <c r="G36" i="112"/>
  <c r="G37" i="112"/>
  <c r="F38" i="112"/>
  <c r="F42" i="112"/>
  <c r="G38" i="112"/>
  <c r="G39" i="112"/>
  <c r="G28" i="49"/>
  <c r="G27" i="62"/>
  <c r="G19" i="138"/>
  <c r="G20" i="137"/>
  <c r="G20" i="49"/>
  <c r="G19" i="62"/>
  <c r="W11" i="166"/>
  <c r="W12" i="166"/>
  <c r="W9" i="166"/>
  <c r="W10" i="166"/>
  <c r="W13" i="166"/>
  <c r="G198" i="49"/>
  <c r="W15" i="166"/>
  <c r="G160" i="62"/>
  <c r="W16" i="166"/>
  <c r="W17" i="166"/>
  <c r="G446" i="39"/>
  <c r="W19" i="166"/>
  <c r="W20" i="166"/>
  <c r="W22" i="166"/>
  <c r="W23" i="166"/>
  <c r="W24" i="166"/>
  <c r="W28" i="166"/>
  <c r="W34" i="166"/>
  <c r="W38" i="166"/>
  <c r="W39" i="166"/>
  <c r="W40" i="166"/>
  <c r="W42" i="166"/>
  <c r="W43" i="166"/>
  <c r="W44" i="166"/>
  <c r="W45" i="166"/>
  <c r="W46" i="166"/>
  <c r="W47" i="166"/>
  <c r="W49" i="166"/>
  <c r="W50" i="166"/>
  <c r="W53" i="166"/>
  <c r="W54" i="166"/>
  <c r="W57" i="166"/>
  <c r="W61" i="166"/>
  <c r="W63" i="166"/>
  <c r="W59" i="166"/>
  <c r="W64" i="166"/>
  <c r="W71" i="166"/>
  <c r="W73" i="166"/>
  <c r="W74" i="166"/>
  <c r="F256" i="110"/>
  <c r="G257" i="110"/>
  <c r="G258" i="110"/>
  <c r="F274" i="110"/>
  <c r="G275" i="110"/>
  <c r="G276" i="110"/>
  <c r="F292" i="110"/>
  <c r="G293" i="110"/>
  <c r="G294" i="110"/>
  <c r="F309" i="110"/>
  <c r="F310" i="110"/>
  <c r="G311" i="110"/>
  <c r="F327" i="110"/>
  <c r="G328" i="110"/>
  <c r="G329" i="110"/>
  <c r="G337" i="110"/>
  <c r="G417" i="110"/>
  <c r="W77" i="166"/>
  <c r="H36" i="112"/>
  <c r="H37" i="112"/>
  <c r="H38" i="112"/>
  <c r="H39" i="112"/>
  <c r="H28" i="49"/>
  <c r="H27" i="62"/>
  <c r="H19" i="138"/>
  <c r="H20" i="137"/>
  <c r="H20" i="49"/>
  <c r="H19" i="62"/>
  <c r="W11" i="167"/>
  <c r="W12" i="167"/>
  <c r="W9" i="167"/>
  <c r="W10" i="167"/>
  <c r="W13" i="167"/>
  <c r="H198" i="49"/>
  <c r="W15" i="167"/>
  <c r="H160" i="62"/>
  <c r="W16" i="167"/>
  <c r="W17" i="167"/>
  <c r="H446" i="39"/>
  <c r="W19" i="167"/>
  <c r="W20" i="167"/>
  <c r="W22" i="167"/>
  <c r="W23" i="167"/>
  <c r="W24" i="167"/>
  <c r="W28" i="167"/>
  <c r="W34" i="167"/>
  <c r="W38" i="167"/>
  <c r="W39" i="167"/>
  <c r="W40" i="167"/>
  <c r="W42" i="167"/>
  <c r="W43" i="167"/>
  <c r="W44" i="167"/>
  <c r="W45" i="167"/>
  <c r="W46" i="167"/>
  <c r="W47" i="167"/>
  <c r="W49" i="167"/>
  <c r="W50" i="167"/>
  <c r="W53" i="167"/>
  <c r="W54" i="167"/>
  <c r="W57" i="167"/>
  <c r="W61" i="167"/>
  <c r="W63" i="167"/>
  <c r="W59" i="167"/>
  <c r="W64" i="167"/>
  <c r="W71" i="167"/>
  <c r="W73" i="167"/>
  <c r="W74" i="167"/>
  <c r="H257" i="110"/>
  <c r="H258" i="110"/>
  <c r="H275" i="110"/>
  <c r="H276" i="110"/>
  <c r="H293" i="110"/>
  <c r="H294" i="110"/>
  <c r="H311" i="110"/>
  <c r="H328" i="110"/>
  <c r="H329" i="110"/>
  <c r="H337" i="110"/>
  <c r="H417" i="110"/>
  <c r="W77" i="167"/>
  <c r="I36" i="112"/>
  <c r="I37" i="112"/>
  <c r="I38" i="112"/>
  <c r="I39" i="112"/>
  <c r="I28" i="49"/>
  <c r="I27" i="62"/>
  <c r="I19" i="138"/>
  <c r="I20" i="137"/>
  <c r="I20" i="49"/>
  <c r="I19" i="62"/>
  <c r="W11" i="168"/>
  <c r="W12" i="168"/>
  <c r="W9" i="168"/>
  <c r="W10" i="168"/>
  <c r="W13" i="168"/>
  <c r="I198" i="49"/>
  <c r="W15" i="168"/>
  <c r="I160" i="62"/>
  <c r="W16" i="168"/>
  <c r="W17" i="168"/>
  <c r="I446" i="39"/>
  <c r="W19" i="168"/>
  <c r="W20" i="168"/>
  <c r="W22" i="168"/>
  <c r="W23" i="168"/>
  <c r="W24" i="168"/>
  <c r="W28" i="168"/>
  <c r="W34" i="168"/>
  <c r="W38" i="168"/>
  <c r="W39" i="168"/>
  <c r="W40" i="168"/>
  <c r="W42" i="168"/>
  <c r="W43" i="168"/>
  <c r="W44" i="168"/>
  <c r="W45" i="168"/>
  <c r="W46" i="168"/>
  <c r="W47" i="168"/>
  <c r="W49" i="168"/>
  <c r="W50" i="168"/>
  <c r="W53" i="168"/>
  <c r="W54" i="168"/>
  <c r="W57" i="168"/>
  <c r="W61" i="168"/>
  <c r="W63" i="168"/>
  <c r="W59" i="168"/>
  <c r="W64" i="168"/>
  <c r="W71" i="168"/>
  <c r="W73" i="168"/>
  <c r="W74" i="168"/>
  <c r="I257" i="110"/>
  <c r="I258" i="110"/>
  <c r="I275" i="110"/>
  <c r="I276" i="110"/>
  <c r="I293" i="110"/>
  <c r="I294" i="110"/>
  <c r="I311" i="110"/>
  <c r="I328" i="110"/>
  <c r="I329" i="110"/>
  <c r="I337" i="110"/>
  <c r="I417" i="110"/>
  <c r="W77" i="168"/>
  <c r="N18" i="39"/>
  <c r="N19" i="39"/>
  <c r="N20" i="39"/>
  <c r="N21" i="39"/>
  <c r="J36" i="112"/>
  <c r="J37" i="112"/>
  <c r="J38" i="112"/>
  <c r="J39" i="112"/>
  <c r="J28" i="49"/>
  <c r="J27" i="62"/>
  <c r="J19" i="138"/>
  <c r="J20" i="137"/>
  <c r="J20" i="49"/>
  <c r="J19" i="62"/>
  <c r="W11" i="169"/>
  <c r="W12" i="169"/>
  <c r="W9" i="169"/>
  <c r="W10" i="169"/>
  <c r="W13" i="169"/>
  <c r="J198" i="49"/>
  <c r="W15" i="169"/>
  <c r="J160" i="62"/>
  <c r="W16" i="169"/>
  <c r="W17" i="169"/>
  <c r="J446" i="39"/>
  <c r="W19" i="169"/>
  <c r="W20" i="169"/>
  <c r="W22" i="169"/>
  <c r="W23" i="169"/>
  <c r="W24" i="169"/>
  <c r="W28" i="169"/>
  <c r="W34" i="169"/>
  <c r="W38" i="169"/>
  <c r="W39" i="169"/>
  <c r="W40" i="169"/>
  <c r="W42" i="169"/>
  <c r="W43" i="169"/>
  <c r="W44" i="169"/>
  <c r="W45" i="169"/>
  <c r="W46" i="169"/>
  <c r="W47" i="169"/>
  <c r="W49" i="169"/>
  <c r="W50" i="169"/>
  <c r="W53" i="169"/>
  <c r="W54" i="169"/>
  <c r="W57" i="169"/>
  <c r="W61" i="169"/>
  <c r="W63" i="169"/>
  <c r="W59" i="169"/>
  <c r="W64" i="169"/>
  <c r="W71" i="169"/>
  <c r="W73" i="169"/>
  <c r="W74" i="169"/>
  <c r="J257" i="110"/>
  <c r="J258" i="110"/>
  <c r="J275" i="110"/>
  <c r="J276" i="110"/>
  <c r="J293" i="110"/>
  <c r="J294" i="110"/>
  <c r="J311" i="110"/>
  <c r="J328" i="110"/>
  <c r="J329" i="110"/>
  <c r="J337" i="110"/>
  <c r="J417" i="110"/>
  <c r="W77" i="169"/>
  <c r="K36" i="112"/>
  <c r="K37" i="112"/>
  <c r="K38" i="112"/>
  <c r="K39" i="112"/>
  <c r="K28" i="49"/>
  <c r="K27" i="62"/>
  <c r="K19" i="138"/>
  <c r="K20" i="137"/>
  <c r="K20" i="49"/>
  <c r="K19" i="62"/>
  <c r="W11" i="170"/>
  <c r="W12" i="170"/>
  <c r="W9" i="170"/>
  <c r="W10" i="170"/>
  <c r="W13" i="170"/>
  <c r="K198" i="49"/>
  <c r="W15" i="170"/>
  <c r="K160" i="62"/>
  <c r="W16" i="170"/>
  <c r="W17" i="170"/>
  <c r="K446" i="39"/>
  <c r="W19" i="170"/>
  <c r="W20" i="170"/>
  <c r="W22" i="170"/>
  <c r="W23" i="170"/>
  <c r="W24" i="170"/>
  <c r="W28" i="170"/>
  <c r="W34" i="170"/>
  <c r="W38" i="170"/>
  <c r="W39" i="170"/>
  <c r="W40" i="170"/>
  <c r="W42" i="170"/>
  <c r="W43" i="170"/>
  <c r="W44" i="170"/>
  <c r="W45" i="170"/>
  <c r="W46" i="170"/>
  <c r="W47" i="170"/>
  <c r="W49" i="170"/>
  <c r="W50" i="170"/>
  <c r="W53" i="170"/>
  <c r="W54" i="170"/>
  <c r="W57" i="170"/>
  <c r="W61" i="170"/>
  <c r="W63" i="170"/>
  <c r="W59" i="170"/>
  <c r="W64" i="170"/>
  <c r="W71" i="170"/>
  <c r="W73" i="170"/>
  <c r="W74" i="170"/>
  <c r="K257" i="110"/>
  <c r="K258" i="110"/>
  <c r="K275" i="110"/>
  <c r="K276" i="110"/>
  <c r="K293" i="110"/>
  <c r="K294" i="110"/>
  <c r="K311" i="110"/>
  <c r="K328" i="110"/>
  <c r="K329" i="110"/>
  <c r="K337" i="110"/>
  <c r="K417" i="110"/>
  <c r="W77" i="170"/>
  <c r="L36" i="112"/>
  <c r="L37" i="112"/>
  <c r="L38" i="112"/>
  <c r="L39" i="112"/>
  <c r="L28" i="49"/>
  <c r="L27" i="62"/>
  <c r="L19" i="138"/>
  <c r="L20" i="137"/>
  <c r="L20" i="49"/>
  <c r="L19" i="62"/>
  <c r="W11" i="171"/>
  <c r="W12" i="171"/>
  <c r="W9" i="171"/>
  <c r="W10" i="171"/>
  <c r="W13" i="171"/>
  <c r="L198" i="49"/>
  <c r="W15" i="171"/>
  <c r="L160" i="62"/>
  <c r="W16" i="171"/>
  <c r="W17" i="171"/>
  <c r="L446" i="39"/>
  <c r="W19" i="171"/>
  <c r="W20" i="171"/>
  <c r="W22" i="171"/>
  <c r="W23" i="171"/>
  <c r="W24" i="171"/>
  <c r="W28" i="171"/>
  <c r="W34" i="171"/>
  <c r="W38" i="171"/>
  <c r="W39" i="171"/>
  <c r="W40" i="171"/>
  <c r="W42" i="171"/>
  <c r="W43" i="171"/>
  <c r="W44" i="171"/>
  <c r="W45" i="171"/>
  <c r="W46" i="171"/>
  <c r="W47" i="171"/>
  <c r="W49" i="171"/>
  <c r="W50" i="171"/>
  <c r="W53" i="171"/>
  <c r="W54" i="171"/>
  <c r="W57" i="171"/>
  <c r="W61" i="171"/>
  <c r="W63" i="171"/>
  <c r="W59" i="171"/>
  <c r="W64" i="171"/>
  <c r="W71" i="171"/>
  <c r="W73" i="171"/>
  <c r="W74" i="171"/>
  <c r="L257" i="110"/>
  <c r="L258" i="110"/>
  <c r="L275" i="110"/>
  <c r="L276" i="110"/>
  <c r="L293" i="110"/>
  <c r="L294" i="110"/>
  <c r="L311" i="110"/>
  <c r="L328" i="110"/>
  <c r="L329" i="110"/>
  <c r="L337" i="110"/>
  <c r="L417" i="110"/>
  <c r="W77" i="171"/>
  <c r="M36" i="112"/>
  <c r="M37" i="112"/>
  <c r="M38" i="112"/>
  <c r="M39" i="112"/>
  <c r="M28" i="49"/>
  <c r="M27" i="62"/>
  <c r="M19" i="138"/>
  <c r="M20" i="137"/>
  <c r="M20" i="49"/>
  <c r="M19" i="62"/>
  <c r="W11" i="172"/>
  <c r="W12" i="172"/>
  <c r="W9" i="172"/>
  <c r="W10" i="172"/>
  <c r="W13" i="172"/>
  <c r="M198" i="49"/>
  <c r="W15" i="172"/>
  <c r="M160" i="62"/>
  <c r="W16" i="172"/>
  <c r="W17" i="172"/>
  <c r="M446" i="39"/>
  <c r="W19" i="172"/>
  <c r="W20" i="172"/>
  <c r="W22" i="172"/>
  <c r="W23" i="172"/>
  <c r="W24" i="172"/>
  <c r="W28" i="172"/>
  <c r="W34" i="172"/>
  <c r="W38" i="172"/>
  <c r="W39" i="172"/>
  <c r="W40" i="172"/>
  <c r="W42" i="172"/>
  <c r="W43" i="172"/>
  <c r="W44" i="172"/>
  <c r="W45" i="172"/>
  <c r="W46" i="172"/>
  <c r="W47" i="172"/>
  <c r="W49" i="172"/>
  <c r="W50" i="172"/>
  <c r="W53" i="172"/>
  <c r="W54" i="172"/>
  <c r="W57" i="172"/>
  <c r="W61" i="172"/>
  <c r="W63" i="172"/>
  <c r="W59" i="172"/>
  <c r="W64" i="172"/>
  <c r="W71" i="172"/>
  <c r="W73" i="172"/>
  <c r="W74" i="172"/>
  <c r="M257" i="110"/>
  <c r="M258" i="110"/>
  <c r="M275" i="110"/>
  <c r="M276" i="110"/>
  <c r="M293" i="110"/>
  <c r="M294" i="110"/>
  <c r="M311" i="110"/>
  <c r="M328" i="110"/>
  <c r="M329" i="110"/>
  <c r="M337" i="110"/>
  <c r="M417" i="110"/>
  <c r="W77" i="172"/>
  <c r="N36" i="112"/>
  <c r="N37" i="112"/>
  <c r="N38" i="112"/>
  <c r="N39" i="112"/>
  <c r="N28" i="49"/>
  <c r="N27" i="62"/>
  <c r="N19" i="138"/>
  <c r="N20" i="137"/>
  <c r="N20" i="49"/>
  <c r="N19" i="62"/>
  <c r="W11" i="173"/>
  <c r="W12" i="173"/>
  <c r="W9" i="173"/>
  <c r="W10" i="173"/>
  <c r="W13" i="173"/>
  <c r="N198" i="49"/>
  <c r="W15" i="173"/>
  <c r="N160" i="62"/>
  <c r="W16" i="173"/>
  <c r="W17" i="173"/>
  <c r="N446" i="39"/>
  <c r="W19" i="173"/>
  <c r="W20" i="173"/>
  <c r="W22" i="173"/>
  <c r="W23" i="173"/>
  <c r="W24" i="173"/>
  <c r="W28" i="173"/>
  <c r="W34" i="173"/>
  <c r="W38" i="173"/>
  <c r="W39" i="173"/>
  <c r="W40" i="173"/>
  <c r="W42" i="173"/>
  <c r="W43" i="173"/>
  <c r="W44" i="173"/>
  <c r="W45" i="173"/>
  <c r="W46" i="173"/>
  <c r="W47" i="173"/>
  <c r="W49" i="173"/>
  <c r="W50" i="173"/>
  <c r="W53" i="173"/>
  <c r="W54" i="173"/>
  <c r="W57" i="173"/>
  <c r="W61" i="173"/>
  <c r="W63" i="173"/>
  <c r="W59" i="173"/>
  <c r="W64" i="173"/>
  <c r="W71" i="173"/>
  <c r="W73" i="173"/>
  <c r="W74" i="173"/>
  <c r="N257" i="110"/>
  <c r="N258" i="110"/>
  <c r="N275" i="110"/>
  <c r="N276" i="110"/>
  <c r="N293" i="110"/>
  <c r="N294" i="110"/>
  <c r="N311" i="110"/>
  <c r="N328" i="110"/>
  <c r="N329" i="110"/>
  <c r="N337" i="110"/>
  <c r="N417" i="110"/>
  <c r="W77" i="173"/>
  <c r="F36" i="112"/>
  <c r="F37" i="112"/>
  <c r="F39" i="112"/>
  <c r="F28" i="49"/>
  <c r="F27" i="62"/>
  <c r="F19" i="138"/>
  <c r="F20" i="137"/>
  <c r="F20" i="49"/>
  <c r="F19" i="62"/>
  <c r="W11" i="70"/>
  <c r="W12" i="70"/>
  <c r="W9" i="70"/>
  <c r="W10" i="70"/>
  <c r="W13" i="70"/>
  <c r="F198" i="49"/>
  <c r="W15" i="70"/>
  <c r="F160" i="62"/>
  <c r="W16" i="70"/>
  <c r="W17" i="70"/>
  <c r="F446" i="39"/>
  <c r="W19" i="70"/>
  <c r="W20" i="70"/>
  <c r="W22" i="70"/>
  <c r="W23" i="70"/>
  <c r="W24" i="70"/>
  <c r="W28" i="70"/>
  <c r="W34" i="70"/>
  <c r="W38" i="70"/>
  <c r="W39" i="70"/>
  <c r="W40" i="70"/>
  <c r="W42" i="70"/>
  <c r="W43" i="70"/>
  <c r="W44" i="70"/>
  <c r="W45" i="70"/>
  <c r="W46" i="70"/>
  <c r="W47" i="70"/>
  <c r="W49" i="70"/>
  <c r="W50" i="70"/>
  <c r="W53" i="70"/>
  <c r="W54" i="70"/>
  <c r="W57" i="70"/>
  <c r="W61" i="70"/>
  <c r="W63" i="70"/>
  <c r="W59" i="70"/>
  <c r="W64" i="70"/>
  <c r="W71" i="70"/>
  <c r="W73" i="70"/>
  <c r="W74" i="70"/>
  <c r="F257" i="110"/>
  <c r="F258" i="110"/>
  <c r="F275" i="110"/>
  <c r="F276" i="110"/>
  <c r="F293" i="110"/>
  <c r="F294" i="110"/>
  <c r="F311" i="110"/>
  <c r="F328" i="110"/>
  <c r="F329" i="110"/>
  <c r="F337" i="110"/>
  <c r="F417" i="110"/>
  <c r="W77" i="70"/>
  <c r="N51" i="112"/>
  <c r="M51" i="112"/>
  <c r="L51" i="112"/>
  <c r="K51" i="112"/>
  <c r="J51" i="112"/>
  <c r="I51" i="112"/>
  <c r="H51" i="112"/>
  <c r="G51" i="112"/>
  <c r="F51" i="112"/>
  <c r="N50" i="112"/>
  <c r="M50" i="112"/>
  <c r="L50" i="112"/>
  <c r="K50" i="112"/>
  <c r="J50" i="112"/>
  <c r="I50" i="112"/>
  <c r="H50" i="112"/>
  <c r="G50" i="112"/>
  <c r="N49" i="112"/>
  <c r="M49" i="112"/>
  <c r="L49" i="112"/>
  <c r="K49" i="112"/>
  <c r="J49" i="112"/>
  <c r="I49" i="112"/>
  <c r="H49" i="112"/>
  <c r="G49" i="112"/>
  <c r="F49" i="112"/>
  <c r="N43" i="112"/>
  <c r="M43" i="112"/>
  <c r="L43" i="112"/>
  <c r="K43" i="112"/>
  <c r="J43" i="112"/>
  <c r="I43" i="112"/>
  <c r="H43" i="112"/>
  <c r="G43" i="112"/>
  <c r="F43" i="112"/>
  <c r="N42" i="112"/>
  <c r="M42" i="112"/>
  <c r="L42" i="112"/>
  <c r="K42" i="112"/>
  <c r="J42" i="112"/>
  <c r="I42" i="112"/>
  <c r="H42" i="112"/>
  <c r="G42" i="112"/>
  <c r="N41" i="112"/>
  <c r="M41" i="112"/>
  <c r="L41" i="112"/>
  <c r="K41" i="112"/>
  <c r="J41" i="112"/>
  <c r="I41" i="112"/>
  <c r="H41" i="112"/>
  <c r="G41" i="112"/>
  <c r="F41" i="112"/>
  <c r="N40" i="112"/>
  <c r="M40" i="112"/>
  <c r="L40" i="112"/>
  <c r="K40" i="112"/>
  <c r="J40" i="112"/>
  <c r="I40" i="112"/>
  <c r="H40" i="112"/>
  <c r="G40" i="112"/>
  <c r="F40" i="112"/>
  <c r="N35" i="112"/>
  <c r="M35" i="112"/>
  <c r="L35" i="112"/>
  <c r="K35" i="112"/>
  <c r="J35" i="112"/>
  <c r="I35" i="112"/>
  <c r="H35" i="112"/>
  <c r="G35" i="112"/>
  <c r="F35" i="112"/>
  <c r="N34" i="112"/>
  <c r="M34" i="112"/>
  <c r="L34" i="112"/>
  <c r="K34" i="112"/>
  <c r="J34" i="112"/>
  <c r="I34" i="112"/>
  <c r="H34" i="112"/>
  <c r="G34" i="112"/>
  <c r="F34" i="112"/>
  <c r="N33" i="112"/>
  <c r="M33" i="112"/>
  <c r="L33" i="112"/>
  <c r="K33" i="112"/>
  <c r="J33" i="112"/>
  <c r="I33" i="112"/>
  <c r="H33" i="112"/>
  <c r="G33" i="112"/>
  <c r="F33" i="112"/>
  <c r="N32" i="112"/>
  <c r="M32" i="112"/>
  <c r="L32" i="112"/>
  <c r="K32" i="112"/>
  <c r="J32" i="112"/>
  <c r="I32" i="112"/>
  <c r="H32" i="112"/>
  <c r="G32" i="112"/>
  <c r="F32" i="112"/>
  <c r="N31" i="112"/>
  <c r="M31" i="112"/>
  <c r="L31" i="112"/>
  <c r="K31" i="112"/>
  <c r="J31" i="112"/>
  <c r="I31" i="112"/>
  <c r="H31" i="112"/>
  <c r="G31" i="112"/>
  <c r="F31" i="112"/>
  <c r="N30" i="112"/>
  <c r="M30" i="112"/>
  <c r="L30" i="112"/>
  <c r="K30" i="112"/>
  <c r="J30" i="112"/>
  <c r="I30" i="112"/>
  <c r="H30" i="112"/>
  <c r="G30" i="112"/>
  <c r="F30" i="112"/>
  <c r="N29" i="112"/>
  <c r="M29" i="112"/>
  <c r="L29" i="112"/>
  <c r="K29" i="112"/>
  <c r="J29" i="112"/>
  <c r="I29" i="112"/>
  <c r="H29" i="112"/>
  <c r="G29" i="112"/>
  <c r="F29" i="112"/>
  <c r="N28" i="112"/>
  <c r="M28" i="112"/>
  <c r="L28" i="112"/>
  <c r="K28" i="112"/>
  <c r="J28" i="112"/>
  <c r="I28" i="112"/>
  <c r="H28" i="112"/>
  <c r="G28" i="112"/>
  <c r="F28" i="112"/>
  <c r="D6" i="35"/>
  <c r="F82" i="41"/>
  <c r="H82" i="41"/>
  <c r="G82" i="41"/>
  <c r="F284" i="110"/>
  <c r="G306" i="110"/>
  <c r="H306" i="110"/>
  <c r="I306" i="110"/>
  <c r="J306" i="110"/>
  <c r="K306" i="110"/>
  <c r="L306" i="110"/>
  <c r="M306" i="110"/>
  <c r="N306" i="110"/>
  <c r="G310" i="110"/>
  <c r="H310" i="110"/>
  <c r="I310" i="110"/>
  <c r="J310" i="110"/>
  <c r="K310" i="110"/>
  <c r="L310" i="110"/>
  <c r="M310" i="110"/>
  <c r="N310" i="110"/>
  <c r="E329" i="110"/>
  <c r="D329" i="110"/>
  <c r="E311" i="110"/>
  <c r="D311" i="110"/>
  <c r="E294" i="110"/>
  <c r="D294" i="110"/>
  <c r="E276" i="110"/>
  <c r="D276" i="110"/>
  <c r="E258" i="110"/>
  <c r="D258" i="110"/>
  <c r="D70" i="110"/>
  <c r="D53" i="110"/>
  <c r="D49" i="110"/>
  <c r="D45" i="110"/>
  <c r="D41" i="110"/>
  <c r="D37" i="110"/>
  <c r="N27" i="112"/>
  <c r="M27" i="112"/>
  <c r="L27" i="112"/>
  <c r="K27" i="112"/>
  <c r="J27" i="112"/>
  <c r="I27" i="112"/>
  <c r="H27" i="112"/>
  <c r="G27" i="112"/>
  <c r="N26" i="112"/>
  <c r="M26" i="112"/>
  <c r="L26" i="112"/>
  <c r="K26" i="112"/>
  <c r="J26" i="112"/>
  <c r="I26" i="112"/>
  <c r="H26" i="112"/>
  <c r="G26" i="112"/>
  <c r="N25" i="112"/>
  <c r="M25" i="112"/>
  <c r="L25" i="112"/>
  <c r="K25" i="112"/>
  <c r="J25" i="112"/>
  <c r="I25" i="112"/>
  <c r="H25" i="112"/>
  <c r="G25" i="112"/>
  <c r="F27" i="112"/>
  <c r="E7" i="111"/>
  <c r="E18" i="6"/>
  <c r="F18" i="6"/>
  <c r="F29" i="111"/>
  <c r="G29" i="111"/>
  <c r="F26" i="111"/>
  <c r="G26" i="111"/>
  <c r="F28" i="111"/>
  <c r="G28" i="111"/>
  <c r="G30" i="111"/>
  <c r="G75" i="111"/>
  <c r="G91" i="40"/>
  <c r="G94" i="40"/>
  <c r="F73" i="41"/>
  <c r="H73" i="41"/>
  <c r="G73" i="41"/>
  <c r="G25" i="41"/>
  <c r="G91" i="41"/>
  <c r="F38" i="111"/>
  <c r="N38" i="111"/>
  <c r="G38" i="111"/>
  <c r="F35" i="111"/>
  <c r="N35" i="111"/>
  <c r="G35" i="111"/>
  <c r="F37" i="111"/>
  <c r="N37" i="111"/>
  <c r="G37" i="111"/>
  <c r="G39" i="111"/>
  <c r="G76" i="111"/>
  <c r="H29" i="111"/>
  <c r="H26" i="111"/>
  <c r="H28" i="111"/>
  <c r="H30" i="111"/>
  <c r="H75" i="111"/>
  <c r="H91" i="40"/>
  <c r="H94" i="40"/>
  <c r="H25" i="41"/>
  <c r="H91" i="41"/>
  <c r="H38" i="111"/>
  <c r="H35" i="111"/>
  <c r="H37" i="111"/>
  <c r="H39" i="111"/>
  <c r="H76" i="111"/>
  <c r="I29" i="111"/>
  <c r="I26" i="111"/>
  <c r="I28" i="111"/>
  <c r="I30" i="111"/>
  <c r="I75" i="111"/>
  <c r="I91" i="40"/>
  <c r="I94" i="40"/>
  <c r="J73" i="41"/>
  <c r="I73" i="41"/>
  <c r="I25" i="41"/>
  <c r="I91" i="41"/>
  <c r="I38" i="111"/>
  <c r="I35" i="111"/>
  <c r="I37" i="111"/>
  <c r="I39" i="111"/>
  <c r="I76" i="111"/>
  <c r="J82" i="41"/>
  <c r="I82" i="41"/>
  <c r="J29" i="111"/>
  <c r="J26" i="111"/>
  <c r="J28" i="111"/>
  <c r="J30" i="111"/>
  <c r="J75" i="111"/>
  <c r="J91" i="40"/>
  <c r="J94" i="40"/>
  <c r="J25" i="41"/>
  <c r="J91" i="41"/>
  <c r="J38" i="111"/>
  <c r="J35" i="111"/>
  <c r="J37" i="111"/>
  <c r="J39" i="111"/>
  <c r="J76" i="111"/>
  <c r="K29" i="111"/>
  <c r="K26" i="111"/>
  <c r="K28" i="111"/>
  <c r="K30" i="111"/>
  <c r="K75" i="111"/>
  <c r="K91" i="40"/>
  <c r="K94" i="40"/>
  <c r="L73" i="41"/>
  <c r="K73" i="41"/>
  <c r="K25" i="41"/>
  <c r="K91" i="41"/>
  <c r="K38" i="111"/>
  <c r="K35" i="111"/>
  <c r="K37" i="111"/>
  <c r="K39" i="111"/>
  <c r="K76" i="111"/>
  <c r="L82" i="41"/>
  <c r="K82" i="41"/>
  <c r="L29" i="111"/>
  <c r="L26" i="111"/>
  <c r="L28" i="111"/>
  <c r="L30" i="111"/>
  <c r="L75" i="111"/>
  <c r="L91" i="40"/>
  <c r="L94" i="40"/>
  <c r="L25" i="41"/>
  <c r="L91" i="41"/>
  <c r="L38" i="111"/>
  <c r="L35" i="111"/>
  <c r="L37" i="111"/>
  <c r="L39" i="111"/>
  <c r="L76" i="111"/>
  <c r="M29" i="111"/>
  <c r="M26" i="111"/>
  <c r="M28" i="111"/>
  <c r="M30" i="111"/>
  <c r="M75" i="111"/>
  <c r="M91" i="40"/>
  <c r="M94" i="40"/>
  <c r="N73" i="41"/>
  <c r="M73" i="41"/>
  <c r="M25" i="41"/>
  <c r="M91" i="41"/>
  <c r="M38" i="111"/>
  <c r="M35" i="111"/>
  <c r="M37" i="111"/>
  <c r="M39" i="111"/>
  <c r="M76" i="111"/>
  <c r="N82" i="41"/>
  <c r="M82" i="41"/>
  <c r="N30" i="111"/>
  <c r="N75" i="111"/>
  <c r="N91" i="40"/>
  <c r="N94" i="40"/>
  <c r="N25" i="41"/>
  <c r="N91" i="41"/>
  <c r="N39" i="111"/>
  <c r="N76" i="111"/>
  <c r="F313" i="112"/>
  <c r="F30" i="111"/>
  <c r="F75" i="111"/>
  <c r="F25" i="41"/>
  <c r="F91" i="41"/>
  <c r="F39" i="111"/>
  <c r="F76" i="111"/>
  <c r="CO42" i="173"/>
  <c r="CO43" i="173"/>
  <c r="CO44" i="173"/>
  <c r="CO45" i="173"/>
  <c r="CO46" i="173"/>
  <c r="CO47" i="173"/>
  <c r="CP42" i="173"/>
  <c r="CP43" i="173"/>
  <c r="CP44" i="173"/>
  <c r="CP45" i="173"/>
  <c r="CP46" i="173"/>
  <c r="CP47" i="173"/>
  <c r="CQ42" i="173"/>
  <c r="CQ43" i="173"/>
  <c r="CQ44" i="173"/>
  <c r="CQ45" i="173"/>
  <c r="CQ46" i="173"/>
  <c r="CQ47" i="173"/>
  <c r="CW47" i="173"/>
  <c r="CO49" i="173"/>
  <c r="CO50" i="173"/>
  <c r="CP49" i="173"/>
  <c r="CP50" i="173"/>
  <c r="CQ49" i="173"/>
  <c r="CQ50" i="173"/>
  <c r="CW50" i="173"/>
  <c r="CO53" i="173"/>
  <c r="CO54" i="173"/>
  <c r="CP53" i="173"/>
  <c r="CP54" i="173"/>
  <c r="CQ53" i="173"/>
  <c r="CQ54" i="173"/>
  <c r="CW54" i="173"/>
  <c r="CO57" i="173"/>
  <c r="CO61" i="173"/>
  <c r="CO63" i="173"/>
  <c r="CO59" i="173"/>
  <c r="CO64" i="173"/>
  <c r="CP57" i="173"/>
  <c r="CP61" i="173"/>
  <c r="CP63" i="173"/>
  <c r="CP59" i="173"/>
  <c r="CP64" i="173"/>
  <c r="CQ57" i="173"/>
  <c r="CQ61" i="173"/>
  <c r="CQ63" i="173"/>
  <c r="CQ59" i="173"/>
  <c r="CQ64" i="173"/>
  <c r="S83" i="173"/>
  <c r="R63" i="173"/>
  <c r="R64" i="173"/>
  <c r="CO11" i="173"/>
  <c r="CO12" i="173"/>
  <c r="CO9" i="173"/>
  <c r="CO10" i="173"/>
  <c r="CO13" i="173"/>
  <c r="CO15" i="173"/>
  <c r="CO16" i="173"/>
  <c r="CO17" i="173"/>
  <c r="CO19" i="173"/>
  <c r="CO20" i="173"/>
  <c r="CO22" i="173"/>
  <c r="CO23" i="173"/>
  <c r="CO24" i="173"/>
  <c r="CO28" i="173"/>
  <c r="CO34" i="173"/>
  <c r="CO35" i="173"/>
  <c r="CO36" i="173"/>
  <c r="CO38" i="173"/>
  <c r="CO39" i="173"/>
  <c r="CO40" i="173"/>
  <c r="CO66" i="173"/>
  <c r="CO71" i="173"/>
  <c r="CO73" i="173"/>
  <c r="CO74" i="173"/>
  <c r="CO77" i="173"/>
  <c r="CO79" i="173"/>
  <c r="CO80" i="173"/>
  <c r="CO83" i="173"/>
  <c r="CO84" i="173"/>
  <c r="CO85" i="173"/>
  <c r="CO87" i="173"/>
  <c r="CO90" i="173"/>
  <c r="CP11" i="173"/>
  <c r="CP12" i="173"/>
  <c r="CP9" i="173"/>
  <c r="CP10" i="173"/>
  <c r="CP13" i="173"/>
  <c r="CP15" i="173"/>
  <c r="CP16" i="173"/>
  <c r="CP17" i="173"/>
  <c r="CP19" i="173"/>
  <c r="CP20" i="173"/>
  <c r="CP22" i="173"/>
  <c r="CP23" i="173"/>
  <c r="CP24" i="173"/>
  <c r="CP28" i="173"/>
  <c r="CP34" i="173"/>
  <c r="CP35" i="173"/>
  <c r="CP36" i="173"/>
  <c r="CP38" i="173"/>
  <c r="CP39" i="173"/>
  <c r="CP40" i="173"/>
  <c r="CP66" i="173"/>
  <c r="CP71" i="173"/>
  <c r="CP73" i="173"/>
  <c r="CP74" i="173"/>
  <c r="CP77" i="173"/>
  <c r="CP79" i="173"/>
  <c r="CP80" i="173"/>
  <c r="CP83" i="173"/>
  <c r="CP84" i="173"/>
  <c r="CP85" i="173"/>
  <c r="CP87" i="173"/>
  <c r="CP90" i="173"/>
  <c r="CQ11" i="173"/>
  <c r="CQ12" i="173"/>
  <c r="CQ9" i="173"/>
  <c r="CQ10" i="173"/>
  <c r="CQ13" i="173"/>
  <c r="CQ15" i="173"/>
  <c r="CQ16" i="173"/>
  <c r="CQ17" i="173"/>
  <c r="CQ19" i="173"/>
  <c r="CQ20" i="173"/>
  <c r="CQ22" i="173"/>
  <c r="CQ23" i="173"/>
  <c r="CQ24" i="173"/>
  <c r="CQ28" i="173"/>
  <c r="CQ34" i="173"/>
  <c r="CQ35" i="173"/>
  <c r="CQ36" i="173"/>
  <c r="CQ38" i="173"/>
  <c r="CQ39" i="173"/>
  <c r="CQ40" i="173"/>
  <c r="CQ66" i="173"/>
  <c r="CQ71" i="173"/>
  <c r="CQ73" i="173"/>
  <c r="CQ74" i="173"/>
  <c r="CQ77" i="173"/>
  <c r="CQ79" i="173"/>
  <c r="CQ80" i="173"/>
  <c r="CQ83" i="173"/>
  <c r="CQ84" i="173"/>
  <c r="CQ85" i="173"/>
  <c r="CQ87" i="173"/>
  <c r="CQ90" i="173"/>
  <c r="N110" i="138"/>
  <c r="G11" i="173"/>
  <c r="G12" i="173"/>
  <c r="N134" i="137"/>
  <c r="G9" i="173"/>
  <c r="G10" i="173"/>
  <c r="G13" i="173"/>
  <c r="G15" i="173"/>
  <c r="G16" i="173"/>
  <c r="G17" i="173"/>
  <c r="G19" i="173"/>
  <c r="G20" i="173"/>
  <c r="G22" i="173"/>
  <c r="G23" i="173"/>
  <c r="G24" i="173"/>
  <c r="G28" i="173"/>
  <c r="G34" i="173"/>
  <c r="G35" i="173"/>
  <c r="G36" i="173"/>
  <c r="G38" i="173"/>
  <c r="G39" i="173"/>
  <c r="G40" i="173"/>
  <c r="G42" i="173"/>
  <c r="G43" i="173"/>
  <c r="G44" i="173"/>
  <c r="G45" i="173"/>
  <c r="G46" i="173"/>
  <c r="G47" i="173"/>
  <c r="G49" i="173"/>
  <c r="G50" i="173"/>
  <c r="G53" i="173"/>
  <c r="G54" i="173"/>
  <c r="G57" i="173"/>
  <c r="G61" i="173"/>
  <c r="G63" i="173"/>
  <c r="G59" i="173"/>
  <c r="G64" i="173"/>
  <c r="G66" i="173"/>
  <c r="G71" i="173"/>
  <c r="G73" i="173"/>
  <c r="G74" i="173"/>
  <c r="G77" i="173"/>
  <c r="G79" i="173"/>
  <c r="G80" i="173"/>
  <c r="G83" i="173"/>
  <c r="G85" i="173"/>
  <c r="G87" i="173"/>
  <c r="G90" i="173"/>
  <c r="H11" i="173"/>
  <c r="H12" i="173"/>
  <c r="H9" i="173"/>
  <c r="H10" i="173"/>
  <c r="H13" i="173"/>
  <c r="N193" i="49"/>
  <c r="H15" i="173"/>
  <c r="N155" i="62"/>
  <c r="H16" i="173"/>
  <c r="H17" i="173"/>
  <c r="H19" i="173"/>
  <c r="H20" i="173"/>
  <c r="H22" i="173"/>
  <c r="H23" i="173"/>
  <c r="H24" i="173"/>
  <c r="H28" i="173"/>
  <c r="H34" i="173"/>
  <c r="H35" i="173"/>
  <c r="H36" i="173"/>
  <c r="H38" i="173"/>
  <c r="H39" i="173"/>
  <c r="H40" i="173"/>
  <c r="H42" i="173"/>
  <c r="H43" i="173"/>
  <c r="H44" i="173"/>
  <c r="H45" i="173"/>
  <c r="H46" i="173"/>
  <c r="H47" i="173"/>
  <c r="H49" i="173"/>
  <c r="H50" i="173"/>
  <c r="H53" i="173"/>
  <c r="H54" i="173"/>
  <c r="H57" i="173"/>
  <c r="H61" i="173"/>
  <c r="H63" i="173"/>
  <c r="H59" i="173"/>
  <c r="H64" i="173"/>
  <c r="H66" i="173"/>
  <c r="H71" i="173"/>
  <c r="H73" i="173"/>
  <c r="H74" i="173"/>
  <c r="H77" i="173"/>
  <c r="H79" i="173"/>
  <c r="H80" i="173"/>
  <c r="H83" i="173"/>
  <c r="H85" i="173"/>
  <c r="H87" i="173"/>
  <c r="H90" i="173"/>
  <c r="I11" i="173"/>
  <c r="I12" i="173"/>
  <c r="I9" i="173"/>
  <c r="I10" i="173"/>
  <c r="I13" i="173"/>
  <c r="N194" i="49"/>
  <c r="I15" i="173"/>
  <c r="N156" i="62"/>
  <c r="I16" i="173"/>
  <c r="I17" i="173"/>
  <c r="I19" i="173"/>
  <c r="I20" i="173"/>
  <c r="I22" i="173"/>
  <c r="I23" i="173"/>
  <c r="I24" i="173"/>
  <c r="I28" i="173"/>
  <c r="I34" i="173"/>
  <c r="I35" i="173"/>
  <c r="I36" i="173"/>
  <c r="I38" i="173"/>
  <c r="I39" i="173"/>
  <c r="I40" i="173"/>
  <c r="I42" i="173"/>
  <c r="I43" i="173"/>
  <c r="I44" i="173"/>
  <c r="I45" i="173"/>
  <c r="I46" i="173"/>
  <c r="I47" i="173"/>
  <c r="I49" i="173"/>
  <c r="I50" i="173"/>
  <c r="I53" i="173"/>
  <c r="I54" i="173"/>
  <c r="I57" i="173"/>
  <c r="I61" i="173"/>
  <c r="I63" i="173"/>
  <c r="I59" i="173"/>
  <c r="I64" i="173"/>
  <c r="I66" i="173"/>
  <c r="I71" i="173"/>
  <c r="I73" i="173"/>
  <c r="I74" i="173"/>
  <c r="I77" i="173"/>
  <c r="I79" i="173"/>
  <c r="I80" i="173"/>
  <c r="I83" i="173"/>
  <c r="I85" i="173"/>
  <c r="I87" i="173"/>
  <c r="I90" i="173"/>
  <c r="J11" i="173"/>
  <c r="J12" i="173"/>
  <c r="J9" i="173"/>
  <c r="J10" i="173"/>
  <c r="J13" i="173"/>
  <c r="J15" i="173"/>
  <c r="J16" i="173"/>
  <c r="J17" i="173"/>
  <c r="N441" i="39"/>
  <c r="J19" i="173"/>
  <c r="J20" i="173"/>
  <c r="J22" i="173"/>
  <c r="J23" i="173"/>
  <c r="J24" i="173"/>
  <c r="J28" i="173"/>
  <c r="J34" i="173"/>
  <c r="J38" i="173"/>
  <c r="N212" i="48"/>
  <c r="J39" i="173"/>
  <c r="J40" i="173"/>
  <c r="J42" i="173"/>
  <c r="J43" i="173"/>
  <c r="J44" i="173"/>
  <c r="J45" i="173"/>
  <c r="J46" i="173"/>
  <c r="J47" i="173"/>
  <c r="J49" i="173"/>
  <c r="J50" i="173"/>
  <c r="J53" i="173"/>
  <c r="J54" i="173"/>
  <c r="J57" i="173"/>
  <c r="J61" i="173"/>
  <c r="J63" i="173"/>
  <c r="J59" i="173"/>
  <c r="J64" i="173"/>
  <c r="J71" i="173"/>
  <c r="J73" i="173"/>
  <c r="J74" i="173"/>
  <c r="J77" i="173"/>
  <c r="J79" i="173"/>
  <c r="J80" i="173"/>
  <c r="J83" i="173"/>
  <c r="J85" i="173"/>
  <c r="J87" i="173"/>
  <c r="K11" i="173"/>
  <c r="K12" i="173"/>
  <c r="K9" i="173"/>
  <c r="K10" i="173"/>
  <c r="K13" i="173"/>
  <c r="K15" i="173"/>
  <c r="K16" i="173"/>
  <c r="K17" i="173"/>
  <c r="K19" i="173"/>
  <c r="K20" i="173"/>
  <c r="N436" i="41"/>
  <c r="K23" i="173"/>
  <c r="K34" i="173"/>
  <c r="K35" i="173"/>
  <c r="K36" i="173"/>
  <c r="K38" i="173"/>
  <c r="K39" i="173"/>
  <c r="K40" i="173"/>
  <c r="K42" i="173"/>
  <c r="K43" i="173"/>
  <c r="K44" i="173"/>
  <c r="K45" i="173"/>
  <c r="K46" i="173"/>
  <c r="K47" i="173"/>
  <c r="K49" i="173"/>
  <c r="K50" i="173"/>
  <c r="K53" i="173"/>
  <c r="K54" i="173"/>
  <c r="K57" i="173"/>
  <c r="K61" i="173"/>
  <c r="K63" i="173"/>
  <c r="K59" i="173"/>
  <c r="K64" i="173"/>
  <c r="K66" i="173"/>
  <c r="K71" i="173"/>
  <c r="K73" i="173"/>
  <c r="K74" i="173"/>
  <c r="K77" i="173"/>
  <c r="K79" i="173"/>
  <c r="K80" i="173"/>
  <c r="K83" i="173"/>
  <c r="K85" i="173"/>
  <c r="K87" i="173"/>
  <c r="L11" i="173"/>
  <c r="L12" i="173"/>
  <c r="L9" i="173"/>
  <c r="L10" i="173"/>
  <c r="L13" i="173"/>
  <c r="L15" i="173"/>
  <c r="L16" i="173"/>
  <c r="L17" i="173"/>
  <c r="L19" i="173"/>
  <c r="L20" i="173"/>
  <c r="N437" i="41"/>
  <c r="L23" i="173"/>
  <c r="L34" i="173"/>
  <c r="L35" i="173"/>
  <c r="L36" i="173"/>
  <c r="L38" i="173"/>
  <c r="L39" i="173"/>
  <c r="L40" i="173"/>
  <c r="L42" i="173"/>
  <c r="L43" i="173"/>
  <c r="L44" i="173"/>
  <c r="L45" i="173"/>
  <c r="L46" i="173"/>
  <c r="L47" i="173"/>
  <c r="L49" i="173"/>
  <c r="L50" i="173"/>
  <c r="L53" i="173"/>
  <c r="L54" i="173"/>
  <c r="L57" i="173"/>
  <c r="L61" i="173"/>
  <c r="L63" i="173"/>
  <c r="L59" i="173"/>
  <c r="L64" i="173"/>
  <c r="L66" i="173"/>
  <c r="L71" i="173"/>
  <c r="L73" i="173"/>
  <c r="L74" i="173"/>
  <c r="L77" i="173"/>
  <c r="L79" i="173"/>
  <c r="L80" i="173"/>
  <c r="L83" i="173"/>
  <c r="L85" i="173"/>
  <c r="L87" i="173"/>
  <c r="M11" i="173"/>
  <c r="M12" i="173"/>
  <c r="M9" i="173"/>
  <c r="M10" i="173"/>
  <c r="M13" i="173"/>
  <c r="M15" i="173"/>
  <c r="M16" i="173"/>
  <c r="M17" i="173"/>
  <c r="M19" i="173"/>
  <c r="M20" i="173"/>
  <c r="M23" i="173"/>
  <c r="M34" i="173"/>
  <c r="M35" i="173"/>
  <c r="M36" i="173"/>
  <c r="M38" i="173"/>
  <c r="M39" i="173"/>
  <c r="M40" i="173"/>
  <c r="M42" i="173"/>
  <c r="M43" i="173"/>
  <c r="M44" i="173"/>
  <c r="M45" i="173"/>
  <c r="M46" i="173"/>
  <c r="M47" i="173"/>
  <c r="M49" i="173"/>
  <c r="M50" i="173"/>
  <c r="M53" i="173"/>
  <c r="M54" i="173"/>
  <c r="M57" i="173"/>
  <c r="M61" i="173"/>
  <c r="M63" i="173"/>
  <c r="M59" i="173"/>
  <c r="M64" i="173"/>
  <c r="M66" i="173"/>
  <c r="M71" i="173"/>
  <c r="M73" i="173"/>
  <c r="M74" i="173"/>
  <c r="M77" i="173"/>
  <c r="M79" i="173"/>
  <c r="M80" i="173"/>
  <c r="M83" i="173"/>
  <c r="M85" i="173"/>
  <c r="M87" i="173"/>
  <c r="N11" i="173"/>
  <c r="N12" i="173"/>
  <c r="N9" i="173"/>
  <c r="N10" i="173"/>
  <c r="N13" i="173"/>
  <c r="N15" i="173"/>
  <c r="N16" i="173"/>
  <c r="N17" i="173"/>
  <c r="N19" i="173"/>
  <c r="N20" i="173"/>
  <c r="N22" i="173"/>
  <c r="N438" i="41"/>
  <c r="N23" i="173"/>
  <c r="N24" i="173"/>
  <c r="N28" i="173"/>
  <c r="N34" i="173"/>
  <c r="N35" i="173"/>
  <c r="N36" i="173"/>
  <c r="N38" i="173"/>
  <c r="N39" i="173"/>
  <c r="N40" i="173"/>
  <c r="N42" i="173"/>
  <c r="N43" i="173"/>
  <c r="N44" i="173"/>
  <c r="N45" i="173"/>
  <c r="N46" i="173"/>
  <c r="N47" i="173"/>
  <c r="N49" i="173"/>
  <c r="N50" i="173"/>
  <c r="N53" i="173"/>
  <c r="N54" i="173"/>
  <c r="N57" i="173"/>
  <c r="N61" i="173"/>
  <c r="N63" i="173"/>
  <c r="N59" i="173"/>
  <c r="N64" i="173"/>
  <c r="N66" i="173"/>
  <c r="N71" i="173"/>
  <c r="N73" i="173"/>
  <c r="N74" i="173"/>
  <c r="N77" i="173"/>
  <c r="N79" i="173"/>
  <c r="N80" i="173"/>
  <c r="N83" i="173"/>
  <c r="N85" i="173"/>
  <c r="N87" i="173"/>
  <c r="N90" i="173"/>
  <c r="O11" i="173"/>
  <c r="O12" i="173"/>
  <c r="O9" i="173"/>
  <c r="O10" i="173"/>
  <c r="O13" i="173"/>
  <c r="O15" i="173"/>
  <c r="O16" i="173"/>
  <c r="O17" i="173"/>
  <c r="O19" i="173"/>
  <c r="O20" i="173"/>
  <c r="O22" i="173"/>
  <c r="N439" i="41"/>
  <c r="O23" i="173"/>
  <c r="O24" i="173"/>
  <c r="O28" i="173"/>
  <c r="O34" i="173"/>
  <c r="O35" i="173"/>
  <c r="O36" i="173"/>
  <c r="O38" i="173"/>
  <c r="O39" i="173"/>
  <c r="O40" i="173"/>
  <c r="O42" i="173"/>
  <c r="O43" i="173"/>
  <c r="O44" i="173"/>
  <c r="O45" i="173"/>
  <c r="O46" i="173"/>
  <c r="O47" i="173"/>
  <c r="O49" i="173"/>
  <c r="O50" i="173"/>
  <c r="O53" i="173"/>
  <c r="O54" i="173"/>
  <c r="O57" i="173"/>
  <c r="O61" i="173"/>
  <c r="O63" i="173"/>
  <c r="O59" i="173"/>
  <c r="O64" i="173"/>
  <c r="O66" i="173"/>
  <c r="O71" i="173"/>
  <c r="O73" i="173"/>
  <c r="O74" i="173"/>
  <c r="O77" i="173"/>
  <c r="O79" i="173"/>
  <c r="O80" i="173"/>
  <c r="O83" i="173"/>
  <c r="O85" i="173"/>
  <c r="O87" i="173"/>
  <c r="O90" i="173"/>
  <c r="R83" i="173"/>
  <c r="R85" i="173"/>
  <c r="R87" i="173"/>
  <c r="AA11" i="173"/>
  <c r="AA12" i="173"/>
  <c r="AA9" i="173"/>
  <c r="AA10" i="173"/>
  <c r="AA13" i="173"/>
  <c r="AA15" i="173"/>
  <c r="AA16" i="173"/>
  <c r="AA17" i="173"/>
  <c r="AA19" i="173"/>
  <c r="AA20" i="173"/>
  <c r="AA22" i="173"/>
  <c r="AA23" i="173"/>
  <c r="AA24" i="173"/>
  <c r="AA28" i="173"/>
  <c r="AA34" i="173"/>
  <c r="AA35" i="173"/>
  <c r="AA36" i="173"/>
  <c r="AA38" i="173"/>
  <c r="AA39" i="173"/>
  <c r="AA40" i="173"/>
  <c r="AA42" i="173"/>
  <c r="AA43" i="173"/>
  <c r="AA44" i="173"/>
  <c r="AA45" i="173"/>
  <c r="AA46" i="173"/>
  <c r="AA47" i="173"/>
  <c r="AA49" i="173"/>
  <c r="AA50" i="173"/>
  <c r="AA53" i="173"/>
  <c r="AA54" i="173"/>
  <c r="AA57" i="173"/>
  <c r="AA61" i="173"/>
  <c r="AA63" i="173"/>
  <c r="AA59" i="173"/>
  <c r="AA64" i="173"/>
  <c r="AA66" i="173"/>
  <c r="AA71" i="173"/>
  <c r="AA73" i="173"/>
  <c r="AA74" i="173"/>
  <c r="AA77" i="173"/>
  <c r="AA79" i="173"/>
  <c r="AA80" i="173"/>
  <c r="AA83" i="173"/>
  <c r="AA85" i="173"/>
  <c r="AA87" i="173"/>
  <c r="AA90" i="173"/>
  <c r="AB11" i="173"/>
  <c r="AB12" i="173"/>
  <c r="AB9" i="173"/>
  <c r="AB10" i="173"/>
  <c r="AB13" i="173"/>
  <c r="AB15" i="173"/>
  <c r="AB16" i="173"/>
  <c r="AB17" i="173"/>
  <c r="AB19" i="173"/>
  <c r="AB20" i="173"/>
  <c r="AB22" i="173"/>
  <c r="AB23" i="173"/>
  <c r="AB24" i="173"/>
  <c r="AB28" i="173"/>
  <c r="AB34" i="173"/>
  <c r="AB35" i="173"/>
  <c r="AB36" i="173"/>
  <c r="AB38" i="173"/>
  <c r="AB39" i="173"/>
  <c r="AB40" i="173"/>
  <c r="AB42" i="173"/>
  <c r="AB43" i="173"/>
  <c r="AB44" i="173"/>
  <c r="AB45" i="173"/>
  <c r="AB46" i="173"/>
  <c r="AB47" i="173"/>
  <c r="AB49" i="173"/>
  <c r="AB50" i="173"/>
  <c r="AB53" i="173"/>
  <c r="AB54" i="173"/>
  <c r="AB57" i="173"/>
  <c r="AB61" i="173"/>
  <c r="AB63" i="173"/>
  <c r="AB59" i="173"/>
  <c r="AB64" i="173"/>
  <c r="AB66" i="173"/>
  <c r="AB71" i="173"/>
  <c r="AB73" i="173"/>
  <c r="AB74" i="173"/>
  <c r="AB77" i="173"/>
  <c r="AB79" i="173"/>
  <c r="AB80" i="173"/>
  <c r="AB83" i="173"/>
  <c r="AB85" i="173"/>
  <c r="AB87" i="173"/>
  <c r="AB90" i="173"/>
  <c r="N421" i="110"/>
  <c r="AC77" i="173"/>
  <c r="AC79" i="173"/>
  <c r="AC80" i="173"/>
  <c r="AC83" i="173"/>
  <c r="AC85" i="173"/>
  <c r="AC87" i="173"/>
  <c r="AC90" i="173"/>
  <c r="N422" i="110"/>
  <c r="AD77" i="173"/>
  <c r="AD79" i="173"/>
  <c r="AD80" i="173"/>
  <c r="AD83" i="173"/>
  <c r="AD85" i="173"/>
  <c r="AD87" i="173"/>
  <c r="AD90" i="173"/>
  <c r="N418" i="110"/>
  <c r="AE77" i="173"/>
  <c r="AE79" i="173"/>
  <c r="AE80" i="173"/>
  <c r="AE83" i="173"/>
  <c r="AE85" i="173"/>
  <c r="AE87" i="173"/>
  <c r="AE90" i="173"/>
  <c r="N419" i="110"/>
  <c r="AF77" i="173"/>
  <c r="AF79" i="173"/>
  <c r="AF80" i="173"/>
  <c r="AF83" i="173"/>
  <c r="AF85" i="173"/>
  <c r="AF87" i="173"/>
  <c r="AF90" i="173"/>
  <c r="N420" i="110"/>
  <c r="AG77" i="173"/>
  <c r="AG79" i="173"/>
  <c r="AG80" i="173"/>
  <c r="AG83" i="173"/>
  <c r="AG85" i="173"/>
  <c r="AG87" i="173"/>
  <c r="AG90" i="173"/>
  <c r="AJ11" i="173"/>
  <c r="AJ12" i="173"/>
  <c r="AJ9" i="173"/>
  <c r="AJ10" i="173"/>
  <c r="AJ13" i="173"/>
  <c r="AJ15" i="173"/>
  <c r="AJ16" i="173"/>
  <c r="AJ17" i="173"/>
  <c r="AJ19" i="173"/>
  <c r="AJ20" i="173"/>
  <c r="AJ22" i="173"/>
  <c r="AJ23" i="173"/>
  <c r="AJ24" i="173"/>
  <c r="AJ28" i="173"/>
  <c r="AJ34" i="173"/>
  <c r="AJ35" i="173"/>
  <c r="AJ36" i="173"/>
  <c r="AJ38" i="173"/>
  <c r="N219" i="48"/>
  <c r="AJ39" i="173"/>
  <c r="AJ40" i="173"/>
  <c r="AJ42" i="173"/>
  <c r="AJ43" i="173"/>
  <c r="AJ44" i="173"/>
  <c r="AJ45" i="173"/>
  <c r="AJ46" i="173"/>
  <c r="AJ47" i="173"/>
  <c r="AJ49" i="173"/>
  <c r="AJ50" i="173"/>
  <c r="AJ53" i="173"/>
  <c r="AJ54" i="173"/>
  <c r="AJ57" i="173"/>
  <c r="AJ61" i="173"/>
  <c r="AJ63" i="173"/>
  <c r="AJ59" i="173"/>
  <c r="AJ64" i="173"/>
  <c r="AJ66" i="173"/>
  <c r="AJ71" i="173"/>
  <c r="AJ73" i="173"/>
  <c r="AJ74" i="173"/>
  <c r="AJ77" i="173"/>
  <c r="AJ79" i="173"/>
  <c r="AJ80" i="173"/>
  <c r="AJ83" i="173"/>
  <c r="AJ85" i="173"/>
  <c r="AJ87" i="173"/>
  <c r="AJ90" i="173"/>
  <c r="AL11" i="173"/>
  <c r="AL12" i="173"/>
  <c r="AL9" i="173"/>
  <c r="AL10" i="173"/>
  <c r="AL13" i="173"/>
  <c r="AL15" i="173"/>
  <c r="AL16" i="173"/>
  <c r="AL17" i="173"/>
  <c r="AL19" i="173"/>
  <c r="AL20" i="173"/>
  <c r="AL22" i="173"/>
  <c r="AL23" i="173"/>
  <c r="AL24" i="173"/>
  <c r="AL28" i="173"/>
  <c r="AL34" i="173"/>
  <c r="AL35" i="173"/>
  <c r="AL36" i="173"/>
  <c r="AL38" i="173"/>
  <c r="N221" i="48"/>
  <c r="AL39" i="173"/>
  <c r="AL40" i="173"/>
  <c r="AL42" i="173"/>
  <c r="AL43" i="173"/>
  <c r="AL44" i="173"/>
  <c r="AL45" i="173"/>
  <c r="AL46" i="173"/>
  <c r="AL47" i="173"/>
  <c r="AL49" i="173"/>
  <c r="AL50" i="173"/>
  <c r="AL53" i="173"/>
  <c r="AL54" i="173"/>
  <c r="AL57" i="173"/>
  <c r="AL61" i="173"/>
  <c r="AL63" i="173"/>
  <c r="AL59" i="173"/>
  <c r="AL64" i="173"/>
  <c r="AL66" i="173"/>
  <c r="AL71" i="173"/>
  <c r="AL73" i="173"/>
  <c r="AL74" i="173"/>
  <c r="AL77" i="173"/>
  <c r="AL79" i="173"/>
  <c r="AL80" i="173"/>
  <c r="AL83" i="173"/>
  <c r="AL85" i="173"/>
  <c r="AL87" i="173"/>
  <c r="AL90" i="173"/>
  <c r="AM11" i="173"/>
  <c r="AM12" i="173"/>
  <c r="AM9" i="173"/>
  <c r="AM10" i="173"/>
  <c r="AM13" i="173"/>
  <c r="AM15" i="173"/>
  <c r="AM16" i="173"/>
  <c r="AM17" i="173"/>
  <c r="AM19" i="173"/>
  <c r="AM20" i="173"/>
  <c r="AM22" i="173"/>
  <c r="AM23" i="173"/>
  <c r="AM24" i="173"/>
  <c r="AM28" i="173"/>
  <c r="AM34" i="173"/>
  <c r="AM35" i="173"/>
  <c r="AM36" i="173"/>
  <c r="AM38" i="173"/>
  <c r="AM39" i="173"/>
  <c r="AM40" i="173"/>
  <c r="AM42" i="173"/>
  <c r="AM43" i="173"/>
  <c r="AM44" i="173"/>
  <c r="AM45" i="173"/>
  <c r="AM46" i="173"/>
  <c r="AM47" i="173"/>
  <c r="AM49" i="173"/>
  <c r="AM50" i="173"/>
  <c r="AM53" i="173"/>
  <c r="AM54" i="173"/>
  <c r="AM57" i="173"/>
  <c r="AM61" i="173"/>
  <c r="AM63" i="173"/>
  <c r="AM59" i="173"/>
  <c r="AM64" i="173"/>
  <c r="AM66" i="173"/>
  <c r="AM71" i="173"/>
  <c r="AM73" i="173"/>
  <c r="AM74" i="173"/>
  <c r="AM77" i="173"/>
  <c r="AM83" i="173"/>
  <c r="AM85" i="173"/>
  <c r="AN11" i="173"/>
  <c r="AN12" i="173"/>
  <c r="AN9" i="173"/>
  <c r="AN10" i="173"/>
  <c r="AN13" i="173"/>
  <c r="AN15" i="173"/>
  <c r="AN16" i="173"/>
  <c r="AN17" i="173"/>
  <c r="AN19" i="173"/>
  <c r="AN20" i="173"/>
  <c r="AN22" i="173"/>
  <c r="AN23" i="173"/>
  <c r="AN24" i="173"/>
  <c r="AN28" i="173"/>
  <c r="AN34" i="173"/>
  <c r="AN35" i="173"/>
  <c r="AN36" i="173"/>
  <c r="AN38" i="173"/>
  <c r="AN39" i="173"/>
  <c r="AN40" i="173"/>
  <c r="AN42" i="173"/>
  <c r="AN43" i="173"/>
  <c r="AN44" i="173"/>
  <c r="AN45" i="173"/>
  <c r="AN46" i="173"/>
  <c r="AN47" i="173"/>
  <c r="AN49" i="173"/>
  <c r="AN50" i="173"/>
  <c r="AN53" i="173"/>
  <c r="AN54" i="173"/>
  <c r="AN57" i="173"/>
  <c r="AN61" i="173"/>
  <c r="AN63" i="173"/>
  <c r="AN59" i="173"/>
  <c r="AN64" i="173"/>
  <c r="AN66" i="173"/>
  <c r="N151" i="31"/>
  <c r="AN71" i="173"/>
  <c r="AN73" i="173"/>
  <c r="AN74" i="173"/>
  <c r="AN77" i="173"/>
  <c r="AN79" i="173"/>
  <c r="AN80" i="173"/>
  <c r="AN83" i="173"/>
  <c r="AO11" i="173"/>
  <c r="AO12" i="173"/>
  <c r="AO9" i="173"/>
  <c r="AO10" i="173"/>
  <c r="AO13" i="173"/>
  <c r="AO15" i="173"/>
  <c r="AO16" i="173"/>
  <c r="AO17" i="173"/>
  <c r="AO19" i="173"/>
  <c r="AO20" i="173"/>
  <c r="AO22" i="173"/>
  <c r="AO23" i="173"/>
  <c r="AO24" i="173"/>
  <c r="AO28" i="173"/>
  <c r="AO34" i="173"/>
  <c r="AO35" i="173"/>
  <c r="AO36" i="173"/>
  <c r="AO38" i="173"/>
  <c r="AO39" i="173"/>
  <c r="AO40" i="173"/>
  <c r="AO42" i="173"/>
  <c r="AO43" i="173"/>
  <c r="AO44" i="173"/>
  <c r="AO45" i="173"/>
  <c r="AO46" i="173"/>
  <c r="AO47" i="173"/>
  <c r="AO49" i="173"/>
  <c r="AO50" i="173"/>
  <c r="AO53" i="173"/>
  <c r="AO54" i="173"/>
  <c r="AO57" i="173"/>
  <c r="AO61" i="173"/>
  <c r="AO63" i="173"/>
  <c r="AO59" i="173"/>
  <c r="AO64" i="173"/>
  <c r="AO66" i="173"/>
  <c r="AO71" i="173"/>
  <c r="AO73" i="173"/>
  <c r="AO74" i="173"/>
  <c r="AO77" i="173"/>
  <c r="AO79" i="173"/>
  <c r="AO80" i="173"/>
  <c r="AO83" i="173"/>
  <c r="AO84" i="173"/>
  <c r="AO85" i="173"/>
  <c r="AO87" i="173"/>
  <c r="AO90" i="173"/>
  <c r="AS11" i="173"/>
  <c r="AS12" i="173"/>
  <c r="AS9" i="173"/>
  <c r="AS10" i="173"/>
  <c r="AS13" i="173"/>
  <c r="AS15" i="173"/>
  <c r="AS16" i="173"/>
  <c r="AS17" i="173"/>
  <c r="AS19" i="173"/>
  <c r="AS20" i="173"/>
  <c r="AS22" i="173"/>
  <c r="AS23" i="173"/>
  <c r="AS24" i="173"/>
  <c r="AS28" i="173"/>
  <c r="AS34" i="173"/>
  <c r="AS35" i="173"/>
  <c r="AS36" i="173"/>
  <c r="AS38" i="173"/>
  <c r="AS39" i="173"/>
  <c r="AS40" i="173"/>
  <c r="AS42" i="173"/>
  <c r="AS43" i="173"/>
  <c r="AS44" i="173"/>
  <c r="AS45" i="173"/>
  <c r="AS46" i="173"/>
  <c r="AS47" i="173"/>
  <c r="AS49" i="173"/>
  <c r="AS50" i="173"/>
  <c r="AS53" i="173"/>
  <c r="AS54" i="173"/>
  <c r="AS57" i="173"/>
  <c r="AS61" i="173"/>
  <c r="AS63" i="173"/>
  <c r="AS59" i="173"/>
  <c r="AS64" i="173"/>
  <c r="AS66" i="173"/>
  <c r="AS71" i="173"/>
  <c r="AS73" i="173"/>
  <c r="AS74" i="173"/>
  <c r="AS77" i="173"/>
  <c r="AS79" i="173"/>
  <c r="AS80" i="173"/>
  <c r="AS83" i="173"/>
  <c r="AS85" i="173"/>
  <c r="AS87" i="173"/>
  <c r="AS90" i="173"/>
  <c r="AT11" i="173"/>
  <c r="AT12" i="173"/>
  <c r="AT9" i="173"/>
  <c r="AT10" i="173"/>
  <c r="AT13" i="173"/>
  <c r="AT15" i="173"/>
  <c r="AT16" i="173"/>
  <c r="AT17" i="173"/>
  <c r="AT19" i="173"/>
  <c r="AT20" i="173"/>
  <c r="AT22" i="173"/>
  <c r="AT23" i="173"/>
  <c r="AT24" i="173"/>
  <c r="AT28" i="173"/>
  <c r="AT34" i="173"/>
  <c r="AT35" i="173"/>
  <c r="AT36" i="173"/>
  <c r="AT38" i="173"/>
  <c r="AT39" i="173"/>
  <c r="AT40" i="173"/>
  <c r="AT42" i="173"/>
  <c r="AT43" i="173"/>
  <c r="AT44" i="173"/>
  <c r="N108" i="147"/>
  <c r="AT45" i="173"/>
  <c r="N110" i="146"/>
  <c r="AT46" i="173"/>
  <c r="AT47" i="173"/>
  <c r="N110" i="145"/>
  <c r="AT49" i="173"/>
  <c r="AT50" i="173"/>
  <c r="AT53" i="173"/>
  <c r="AT54" i="173"/>
  <c r="AT57" i="173"/>
  <c r="AT61" i="173"/>
  <c r="AT63" i="173"/>
  <c r="AT59" i="173"/>
  <c r="AT64" i="173"/>
  <c r="AT66" i="173"/>
  <c r="AT71" i="173"/>
  <c r="AT73" i="173"/>
  <c r="AT74" i="173"/>
  <c r="AT77" i="173"/>
  <c r="AT79" i="173"/>
  <c r="AT80" i="173"/>
  <c r="AT83" i="173"/>
  <c r="AT85" i="173"/>
  <c r="AT87" i="173"/>
  <c r="AT90" i="173"/>
  <c r="AU11" i="173"/>
  <c r="AU12" i="173"/>
  <c r="AU9" i="173"/>
  <c r="AU10" i="173"/>
  <c r="AU13" i="173"/>
  <c r="AU15" i="173"/>
  <c r="AU16" i="173"/>
  <c r="AU17" i="173"/>
  <c r="AU19" i="173"/>
  <c r="AU20" i="173"/>
  <c r="AU22" i="173"/>
  <c r="AU23" i="173"/>
  <c r="AU24" i="173"/>
  <c r="AU28" i="173"/>
  <c r="AU34" i="173"/>
  <c r="AU35" i="173"/>
  <c r="AU36" i="173"/>
  <c r="AU38" i="173"/>
  <c r="AU39" i="173"/>
  <c r="AU40" i="173"/>
  <c r="N116" i="142"/>
  <c r="AU42" i="173"/>
  <c r="AU43" i="173"/>
  <c r="AU44" i="173"/>
  <c r="AU45" i="173"/>
  <c r="AU46" i="173"/>
  <c r="AU47" i="173"/>
  <c r="AU49" i="173"/>
  <c r="AU50" i="173"/>
  <c r="AU53" i="173"/>
  <c r="AU54" i="173"/>
  <c r="AU57" i="173"/>
  <c r="AU61" i="173"/>
  <c r="AU63" i="173"/>
  <c r="AU59" i="173"/>
  <c r="AU64" i="173"/>
  <c r="AU66" i="173"/>
  <c r="AU71" i="173"/>
  <c r="AU73" i="173"/>
  <c r="AU74" i="173"/>
  <c r="AU77" i="173"/>
  <c r="AU79" i="173"/>
  <c r="AU80" i="173"/>
  <c r="AU83" i="173"/>
  <c r="AU85" i="173"/>
  <c r="AU87" i="173"/>
  <c r="AU90" i="173"/>
  <c r="AV11" i="173"/>
  <c r="AV12" i="173"/>
  <c r="AV9" i="173"/>
  <c r="AV10" i="173"/>
  <c r="AV13" i="173"/>
  <c r="AV15" i="173"/>
  <c r="AV16" i="173"/>
  <c r="AV17" i="173"/>
  <c r="AV19" i="173"/>
  <c r="AV20" i="173"/>
  <c r="AV22" i="173"/>
  <c r="AV23" i="173"/>
  <c r="AV24" i="173"/>
  <c r="AV28" i="173"/>
  <c r="AV34" i="173"/>
  <c r="AV35" i="173"/>
  <c r="AV36" i="173"/>
  <c r="AV38" i="173"/>
  <c r="AV39" i="173"/>
  <c r="AV40" i="173"/>
  <c r="AV42" i="173"/>
  <c r="N112" i="143"/>
  <c r="AV43" i="173"/>
  <c r="N112" i="144"/>
  <c r="AV44" i="173"/>
  <c r="AV45" i="173"/>
  <c r="AV46" i="173"/>
  <c r="AV47" i="173"/>
  <c r="AV49" i="173"/>
  <c r="AV50" i="173"/>
  <c r="AV53" i="173"/>
  <c r="AV54" i="173"/>
  <c r="AV57" i="173"/>
  <c r="AV61" i="173"/>
  <c r="AV63" i="173"/>
  <c r="AV59" i="173"/>
  <c r="AV64" i="173"/>
  <c r="AV66" i="173"/>
  <c r="AV71" i="173"/>
  <c r="AV73" i="173"/>
  <c r="AV74" i="173"/>
  <c r="AV77" i="173"/>
  <c r="AV79" i="173"/>
  <c r="AV80" i="173"/>
  <c r="AV83" i="173"/>
  <c r="AV85" i="173"/>
  <c r="AV87" i="173"/>
  <c r="AV90" i="173"/>
  <c r="AW11" i="173"/>
  <c r="AW12" i="173"/>
  <c r="AW9" i="173"/>
  <c r="AW10" i="173"/>
  <c r="AW13" i="173"/>
  <c r="AW15" i="173"/>
  <c r="AW16" i="173"/>
  <c r="AW17" i="173"/>
  <c r="AW19" i="173"/>
  <c r="AW20" i="173"/>
  <c r="AW22" i="173"/>
  <c r="AW23" i="173"/>
  <c r="AW24" i="173"/>
  <c r="AW28" i="173"/>
  <c r="AW34" i="173"/>
  <c r="N549" i="112"/>
  <c r="AW35" i="173"/>
  <c r="AW36" i="173"/>
  <c r="AW38" i="173"/>
  <c r="AW39" i="173"/>
  <c r="AW40" i="173"/>
  <c r="AW42" i="173"/>
  <c r="AW43" i="173"/>
  <c r="AW44" i="173"/>
  <c r="AW45" i="173"/>
  <c r="AW46" i="173"/>
  <c r="AW47" i="173"/>
  <c r="AW49" i="173"/>
  <c r="AW50" i="173"/>
  <c r="AW53" i="173"/>
  <c r="AW54" i="173"/>
  <c r="AW57" i="173"/>
  <c r="AW61" i="173"/>
  <c r="AW63" i="173"/>
  <c r="AW59" i="173"/>
  <c r="AW64" i="173"/>
  <c r="AW66" i="173"/>
  <c r="AW71" i="173"/>
  <c r="AW73" i="173"/>
  <c r="AW74" i="173"/>
  <c r="AW77" i="173"/>
  <c r="AW79" i="173"/>
  <c r="AW80" i="173"/>
  <c r="AW83" i="173"/>
  <c r="AW85" i="173"/>
  <c r="AW87" i="173"/>
  <c r="AW90" i="173"/>
  <c r="AX11" i="173"/>
  <c r="AX12" i="173"/>
  <c r="AX9" i="173"/>
  <c r="AX10" i="173"/>
  <c r="AX13" i="173"/>
  <c r="AX15" i="173"/>
  <c r="AX16" i="173"/>
  <c r="AX17" i="173"/>
  <c r="AX19" i="173"/>
  <c r="AX20" i="173"/>
  <c r="AX22" i="173"/>
  <c r="AX23" i="173"/>
  <c r="AX24" i="173"/>
  <c r="AX28" i="173"/>
  <c r="N528" i="113"/>
  <c r="AX34" i="173"/>
  <c r="N550" i="112"/>
  <c r="AX35" i="173"/>
  <c r="AX36" i="173"/>
  <c r="AX38" i="173"/>
  <c r="AX39" i="173"/>
  <c r="AX40" i="173"/>
  <c r="AX42" i="173"/>
  <c r="AX43" i="173"/>
  <c r="AX44" i="173"/>
  <c r="AX45" i="173"/>
  <c r="AX46" i="173"/>
  <c r="AX47" i="173"/>
  <c r="AX49" i="173"/>
  <c r="AX50" i="173"/>
  <c r="AX53" i="173"/>
  <c r="AX54" i="173"/>
  <c r="AX57" i="173"/>
  <c r="AX61" i="173"/>
  <c r="AX63" i="173"/>
  <c r="AX59" i="173"/>
  <c r="AX64" i="173"/>
  <c r="AX66" i="173"/>
  <c r="AX71" i="173"/>
  <c r="AX73" i="173"/>
  <c r="AX74" i="173"/>
  <c r="AX77" i="173"/>
  <c r="AX79" i="173"/>
  <c r="AX80" i="173"/>
  <c r="AX83" i="173"/>
  <c r="AX85" i="173"/>
  <c r="AX87" i="173"/>
  <c r="AX90" i="173"/>
  <c r="BA11" i="173"/>
  <c r="BA12" i="173"/>
  <c r="BA9" i="173"/>
  <c r="BA10" i="173"/>
  <c r="BA13" i="173"/>
  <c r="BA15" i="173"/>
  <c r="BA16" i="173"/>
  <c r="BA17" i="173"/>
  <c r="BA19" i="173"/>
  <c r="BA20" i="173"/>
  <c r="BA22" i="173"/>
  <c r="BA23" i="173"/>
  <c r="BA24" i="173"/>
  <c r="BA28" i="173"/>
  <c r="BA34" i="173"/>
  <c r="BA35" i="173"/>
  <c r="BA36" i="173"/>
  <c r="N174" i="46"/>
  <c r="BA38" i="173"/>
  <c r="BA39" i="173"/>
  <c r="BA40" i="173"/>
  <c r="BA42" i="173"/>
  <c r="BA43" i="173"/>
  <c r="BA44" i="173"/>
  <c r="BA45" i="173"/>
  <c r="BA46" i="173"/>
  <c r="BA47" i="173"/>
  <c r="BA49" i="173"/>
  <c r="BA50" i="173"/>
  <c r="N142" i="141"/>
  <c r="BA53" i="173"/>
  <c r="BA54" i="173"/>
  <c r="N168" i="157"/>
  <c r="BA57" i="173"/>
  <c r="N168" i="140"/>
  <c r="BA61" i="173"/>
  <c r="N160" i="139"/>
  <c r="BA59" i="173"/>
  <c r="BA71" i="173"/>
  <c r="BA73" i="173"/>
  <c r="BA74" i="173"/>
  <c r="N423" i="110"/>
  <c r="BA77" i="173"/>
  <c r="BA79" i="173"/>
  <c r="BA80" i="173"/>
  <c r="BA83" i="173"/>
  <c r="BA85" i="173"/>
  <c r="BA87" i="173"/>
  <c r="BB11" i="173"/>
  <c r="BB12" i="173"/>
  <c r="BB9" i="173"/>
  <c r="BB10" i="173"/>
  <c r="BB13" i="173"/>
  <c r="BB15" i="173"/>
  <c r="BB16" i="173"/>
  <c r="BB17" i="173"/>
  <c r="BB19" i="173"/>
  <c r="BB20" i="173"/>
  <c r="BB22" i="173"/>
  <c r="BB23" i="173"/>
  <c r="BB24" i="173"/>
  <c r="BB28" i="173"/>
  <c r="BB34" i="173"/>
  <c r="BB35" i="173"/>
  <c r="BB36" i="173"/>
  <c r="N175" i="46"/>
  <c r="BB38" i="173"/>
  <c r="BB39" i="173"/>
  <c r="BB40" i="173"/>
  <c r="BB42" i="173"/>
  <c r="BB43" i="173"/>
  <c r="BB44" i="173"/>
  <c r="BB45" i="173"/>
  <c r="BB46" i="173"/>
  <c r="BB47" i="173"/>
  <c r="BB49" i="173"/>
  <c r="BB50" i="173"/>
  <c r="N143" i="141"/>
  <c r="BB53" i="173"/>
  <c r="BB54" i="173"/>
  <c r="N169" i="157"/>
  <c r="BB57" i="173"/>
  <c r="N169" i="140"/>
  <c r="BB61" i="173"/>
  <c r="N161" i="139"/>
  <c r="BB59" i="173"/>
  <c r="BB71" i="173"/>
  <c r="BB77" i="173"/>
  <c r="BB79" i="173"/>
  <c r="BB80" i="173"/>
  <c r="P89" i="173"/>
  <c r="AH89" i="173"/>
  <c r="AY89" i="173"/>
  <c r="BC89" i="173"/>
  <c r="BE89" i="173"/>
  <c r="P88" i="173"/>
  <c r="AH88" i="173"/>
  <c r="AY88" i="173"/>
  <c r="BC88" i="173"/>
  <c r="BE88" i="173"/>
  <c r="P87" i="173"/>
  <c r="P86" i="173"/>
  <c r="AH86" i="173"/>
  <c r="AY86" i="173"/>
  <c r="BC86" i="173"/>
  <c r="BE86" i="173"/>
  <c r="CN83" i="173"/>
  <c r="CN84" i="173"/>
  <c r="CN85" i="173"/>
  <c r="P85" i="173"/>
  <c r="D85" i="173"/>
  <c r="CW84" i="173"/>
  <c r="P84" i="173"/>
  <c r="BC84" i="173"/>
  <c r="D84" i="173"/>
  <c r="P83" i="173"/>
  <c r="AY83" i="173"/>
  <c r="D83" i="173"/>
  <c r="CW82" i="173"/>
  <c r="BC82" i="173"/>
  <c r="AY82" i="173"/>
  <c r="P82" i="173"/>
  <c r="CW81" i="173"/>
  <c r="BC81" i="173"/>
  <c r="AY81" i="173"/>
  <c r="AH81" i="173"/>
  <c r="P81" i="173"/>
  <c r="CU77" i="173"/>
  <c r="CU79" i="173"/>
  <c r="CU80" i="173"/>
  <c r="P80" i="173"/>
  <c r="BC80" i="173"/>
  <c r="D80" i="173"/>
  <c r="P79" i="173"/>
  <c r="BC79" i="173"/>
  <c r="D79" i="173"/>
  <c r="CW78" i="173"/>
  <c r="BC78" i="173"/>
  <c r="AX78" i="173"/>
  <c r="AY78" i="173"/>
  <c r="AB76" i="173"/>
  <c r="AB78" i="173"/>
  <c r="AC78" i="173"/>
  <c r="AD78" i="173"/>
  <c r="AE78" i="173"/>
  <c r="AF78" i="173"/>
  <c r="AG78" i="173"/>
  <c r="P78" i="173"/>
  <c r="P77" i="173"/>
  <c r="AH77" i="173"/>
  <c r="AY77" i="173"/>
  <c r="BC77" i="173"/>
  <c r="BE77" i="173"/>
  <c r="D77" i="173"/>
  <c r="CW76" i="173"/>
  <c r="BC76" i="173"/>
  <c r="AX76" i="173"/>
  <c r="AY76" i="173"/>
  <c r="P76" i="173"/>
  <c r="CW75" i="173"/>
  <c r="P75" i="173"/>
  <c r="AH75" i="173"/>
  <c r="AY75" i="173"/>
  <c r="BC75" i="173"/>
  <c r="BE75" i="173"/>
  <c r="CW74" i="173"/>
  <c r="CV74" i="173"/>
  <c r="BG74" i="173"/>
  <c r="BF74" i="173"/>
  <c r="P71" i="173"/>
  <c r="AH71" i="173"/>
  <c r="AY71" i="173"/>
  <c r="BC71" i="173"/>
  <c r="BE71" i="173"/>
  <c r="P73" i="173"/>
  <c r="AY73" i="173"/>
  <c r="BD74" i="173"/>
  <c r="AZ74" i="173"/>
  <c r="AY74" i="173"/>
  <c r="AI74" i="173"/>
  <c r="Q74" i="173"/>
  <c r="P74" i="173"/>
  <c r="D74" i="173"/>
  <c r="D73" i="173"/>
  <c r="BC72" i="173"/>
  <c r="AY72" i="173"/>
  <c r="S72" i="173"/>
  <c r="P72" i="173"/>
  <c r="D71" i="173"/>
  <c r="BC70" i="173"/>
  <c r="AY70" i="173"/>
  <c r="AH70" i="173"/>
  <c r="P70" i="173"/>
  <c r="P69" i="173"/>
  <c r="AH69" i="173"/>
  <c r="AY69" i="173"/>
  <c r="BC69" i="173"/>
  <c r="BE69" i="173"/>
  <c r="P68" i="173"/>
  <c r="AH68" i="173"/>
  <c r="AY68" i="173"/>
  <c r="BC68" i="173"/>
  <c r="BE68" i="173"/>
  <c r="P67" i="173"/>
  <c r="AH67" i="173"/>
  <c r="AY67" i="173"/>
  <c r="BC67" i="173"/>
  <c r="BE67" i="173"/>
  <c r="AY66" i="173"/>
  <c r="P65" i="173"/>
  <c r="AH65" i="173"/>
  <c r="AY65" i="173"/>
  <c r="BC65" i="173"/>
  <c r="BE65" i="173"/>
  <c r="BG64" i="173"/>
  <c r="BF64" i="173"/>
  <c r="P57" i="173"/>
  <c r="AH57" i="173"/>
  <c r="AY57" i="173"/>
  <c r="BC57" i="173"/>
  <c r="BE57" i="173"/>
  <c r="P61" i="173"/>
  <c r="AH61" i="173"/>
  <c r="AY61" i="173"/>
  <c r="BC61" i="173"/>
  <c r="BE61" i="173"/>
  <c r="P63" i="173"/>
  <c r="AY63" i="173"/>
  <c r="P59" i="173"/>
  <c r="AH59" i="173"/>
  <c r="AY59" i="173"/>
  <c r="BC59" i="173"/>
  <c r="BE59" i="173"/>
  <c r="BD64" i="173"/>
  <c r="AZ64" i="173"/>
  <c r="AY64" i="173"/>
  <c r="AI64" i="173"/>
  <c r="Q64" i="173"/>
  <c r="P64" i="173"/>
  <c r="D64" i="173"/>
  <c r="D63" i="173"/>
  <c r="CW62" i="173"/>
  <c r="BC62" i="173"/>
  <c r="AY62" i="173"/>
  <c r="P62" i="173"/>
  <c r="CW61" i="173"/>
  <c r="D61" i="173"/>
  <c r="CW60" i="173"/>
  <c r="BC60" i="173"/>
  <c r="AY60" i="173"/>
  <c r="P60" i="173"/>
  <c r="CW59" i="173"/>
  <c r="D59" i="173"/>
  <c r="BC58" i="173"/>
  <c r="AY58" i="173"/>
  <c r="P58" i="173"/>
  <c r="CW57" i="173"/>
  <c r="D57" i="173"/>
  <c r="CW56" i="173"/>
  <c r="BC56" i="173"/>
  <c r="AY56" i="173"/>
  <c r="P56" i="173"/>
  <c r="CW55" i="173"/>
  <c r="P55" i="173"/>
  <c r="AH55" i="173"/>
  <c r="AY55" i="173"/>
  <c r="BC55" i="173"/>
  <c r="BE55" i="173"/>
  <c r="P54" i="173"/>
  <c r="AH54" i="173"/>
  <c r="AY54" i="173"/>
  <c r="BC54" i="173"/>
  <c r="BE54" i="173"/>
  <c r="D54" i="173"/>
  <c r="CW53" i="173"/>
  <c r="P53" i="173"/>
  <c r="AH53" i="173"/>
  <c r="AY53" i="173"/>
  <c r="BC53" i="173"/>
  <c r="BE53" i="173"/>
  <c r="D53" i="173"/>
  <c r="CW52" i="173"/>
  <c r="BC52" i="173"/>
  <c r="AY52" i="173"/>
  <c r="P52" i="173"/>
  <c r="CW51" i="173"/>
  <c r="BC51" i="173"/>
  <c r="AY51" i="173"/>
  <c r="AH51" i="173"/>
  <c r="P51" i="173"/>
  <c r="P50" i="173"/>
  <c r="AH50" i="173"/>
  <c r="AY50" i="173"/>
  <c r="BC50" i="173"/>
  <c r="BE50" i="173"/>
  <c r="D50" i="173"/>
  <c r="CW49" i="173"/>
  <c r="P49" i="173"/>
  <c r="AH49" i="173"/>
  <c r="AY49" i="173"/>
  <c r="BC49" i="173"/>
  <c r="BE49" i="173"/>
  <c r="D49" i="173"/>
  <c r="CW48" i="173"/>
  <c r="BC48" i="173"/>
  <c r="AY48" i="173"/>
  <c r="AH48" i="173"/>
  <c r="P48" i="173"/>
  <c r="P47" i="173"/>
  <c r="AH47" i="173"/>
  <c r="AY47" i="173"/>
  <c r="BC47" i="173"/>
  <c r="BE47" i="173"/>
  <c r="D47" i="173"/>
  <c r="CW46" i="173"/>
  <c r="P46" i="173"/>
  <c r="AH46" i="173"/>
  <c r="AY46" i="173"/>
  <c r="BC46" i="173"/>
  <c r="BE46" i="173"/>
  <c r="D46" i="173"/>
  <c r="CW45" i="173"/>
  <c r="P45" i="173"/>
  <c r="AH45" i="173"/>
  <c r="AY45" i="173"/>
  <c r="BC45" i="173"/>
  <c r="BE45" i="173"/>
  <c r="D45" i="173"/>
  <c r="CW44" i="173"/>
  <c r="P44" i="173"/>
  <c r="AH44" i="173"/>
  <c r="AY44" i="173"/>
  <c r="BC44" i="173"/>
  <c r="BE44" i="173"/>
  <c r="D44" i="173"/>
  <c r="CW43" i="173"/>
  <c r="P43" i="173"/>
  <c r="AH43" i="173"/>
  <c r="AY43" i="173"/>
  <c r="BC43" i="173"/>
  <c r="BE43" i="173"/>
  <c r="D43" i="173"/>
  <c r="CW42" i="173"/>
  <c r="P42" i="173"/>
  <c r="AH42" i="173"/>
  <c r="AY42" i="173"/>
  <c r="BC42" i="173"/>
  <c r="BE42" i="173"/>
  <c r="D42" i="173"/>
  <c r="CW41" i="173"/>
  <c r="P41" i="173"/>
  <c r="AH41" i="173"/>
  <c r="AY41" i="173"/>
  <c r="BC41" i="173"/>
  <c r="BE41" i="173"/>
  <c r="CW40" i="173"/>
  <c r="P40" i="173"/>
  <c r="AH40" i="173"/>
  <c r="AY40" i="173"/>
  <c r="BC40" i="173"/>
  <c r="BE40" i="173"/>
  <c r="D40" i="173"/>
  <c r="CW39" i="173"/>
  <c r="BC39" i="173"/>
  <c r="AY39" i="173"/>
  <c r="AH39" i="173"/>
  <c r="P39" i="173"/>
  <c r="D39" i="173"/>
  <c r="CW38" i="173"/>
  <c r="P38" i="173"/>
  <c r="AH38" i="173"/>
  <c r="AY38" i="173"/>
  <c r="BC38" i="173"/>
  <c r="BE38" i="173"/>
  <c r="D38" i="173"/>
  <c r="CW37" i="173"/>
  <c r="P37" i="173"/>
  <c r="AH37" i="173"/>
  <c r="AY37" i="173"/>
  <c r="BC37" i="173"/>
  <c r="BE37" i="173"/>
  <c r="AY36" i="173"/>
  <c r="BC36" i="173"/>
  <c r="D36" i="173"/>
  <c r="AY35" i="173"/>
  <c r="BC35" i="173"/>
  <c r="D35" i="173"/>
  <c r="CW34" i="173"/>
  <c r="BC34" i="173"/>
  <c r="AY34" i="173"/>
  <c r="AH34" i="173"/>
  <c r="P34" i="173"/>
  <c r="D34" i="173"/>
  <c r="CW33" i="173"/>
  <c r="P33" i="173"/>
  <c r="AH33" i="173"/>
  <c r="AY33" i="173"/>
  <c r="BC33" i="173"/>
  <c r="BE33" i="173"/>
  <c r="CW32" i="173"/>
  <c r="P32" i="173"/>
  <c r="AH32" i="173"/>
  <c r="AY32" i="173"/>
  <c r="BC32" i="173"/>
  <c r="BE32" i="173"/>
  <c r="P31" i="173"/>
  <c r="AH31" i="173"/>
  <c r="AY31" i="173"/>
  <c r="BC31" i="173"/>
  <c r="BE31" i="173"/>
  <c r="P30" i="173"/>
  <c r="AH30" i="173"/>
  <c r="AY30" i="173"/>
  <c r="BC30" i="173"/>
  <c r="BE30" i="173"/>
  <c r="P29" i="173"/>
  <c r="AH29" i="173"/>
  <c r="AY29" i="173"/>
  <c r="BC29" i="173"/>
  <c r="BE29" i="173"/>
  <c r="AY13" i="173"/>
  <c r="AY17" i="173"/>
  <c r="AY20" i="173"/>
  <c r="AY22" i="173"/>
  <c r="AY23" i="173"/>
  <c r="AY24" i="173"/>
  <c r="AY28" i="173"/>
  <c r="BC28" i="173"/>
  <c r="BD28" i="173"/>
  <c r="AZ24" i="173"/>
  <c r="AZ28" i="173"/>
  <c r="Q24" i="173"/>
  <c r="Q28" i="173"/>
  <c r="P27" i="173"/>
  <c r="AH27" i="173"/>
  <c r="AY27" i="173"/>
  <c r="BC27" i="173"/>
  <c r="BE27" i="173"/>
  <c r="CW26" i="173"/>
  <c r="P26" i="173"/>
  <c r="AH26" i="173"/>
  <c r="AY26" i="173"/>
  <c r="BC26" i="173"/>
  <c r="BE26" i="173"/>
  <c r="CW25" i="173"/>
  <c r="P25" i="173"/>
  <c r="AH25" i="173"/>
  <c r="AY25" i="173"/>
  <c r="BC25" i="173"/>
  <c r="BE25" i="173"/>
  <c r="CV24" i="173"/>
  <c r="P23" i="173"/>
  <c r="BC24" i="173"/>
  <c r="D24" i="173"/>
  <c r="CW23" i="173"/>
  <c r="AH23" i="173"/>
  <c r="BC23" i="173"/>
  <c r="BE23" i="173"/>
  <c r="D23" i="173"/>
  <c r="BC22" i="173"/>
  <c r="D22" i="173"/>
  <c r="CW21" i="173"/>
  <c r="P21" i="173"/>
  <c r="AH21" i="173"/>
  <c r="AY21" i="173"/>
  <c r="BC21" i="173"/>
  <c r="BE21" i="173"/>
  <c r="P20" i="173"/>
  <c r="AH20" i="173"/>
  <c r="BC20" i="173"/>
  <c r="BE20" i="173"/>
  <c r="D20" i="173"/>
  <c r="P19" i="173"/>
  <c r="AH19" i="173"/>
  <c r="AY19" i="173"/>
  <c r="BC19" i="173"/>
  <c r="BE19" i="173"/>
  <c r="D19" i="173"/>
  <c r="CW18" i="173"/>
  <c r="P18" i="173"/>
  <c r="AH18" i="173"/>
  <c r="AY18" i="173"/>
  <c r="BC18" i="173"/>
  <c r="BE18" i="173"/>
  <c r="P17" i="173"/>
  <c r="AH17" i="173"/>
  <c r="BC17" i="173"/>
  <c r="BE17" i="173"/>
  <c r="D17" i="173"/>
  <c r="P16" i="173"/>
  <c r="AH16" i="173"/>
  <c r="AY16" i="173"/>
  <c r="BC16" i="173"/>
  <c r="BE16" i="173"/>
  <c r="D16" i="173"/>
  <c r="P15" i="173"/>
  <c r="AH15" i="173"/>
  <c r="AY15" i="173"/>
  <c r="BC15" i="173"/>
  <c r="BE15" i="173"/>
  <c r="D15" i="173"/>
  <c r="CW14" i="173"/>
  <c r="P14" i="173"/>
  <c r="AH14" i="173"/>
  <c r="AY14" i="173"/>
  <c r="BC14" i="173"/>
  <c r="BE14" i="173"/>
  <c r="CW13" i="173"/>
  <c r="P13" i="173"/>
  <c r="AH13" i="173"/>
  <c r="BC13" i="173"/>
  <c r="BE13" i="173"/>
  <c r="D13" i="173"/>
  <c r="P12" i="173"/>
  <c r="AH12" i="173"/>
  <c r="AY12" i="173"/>
  <c r="BC12" i="173"/>
  <c r="BE12" i="173"/>
  <c r="P11" i="173"/>
  <c r="AH11" i="173"/>
  <c r="AY11" i="173"/>
  <c r="BC11" i="173"/>
  <c r="BE11" i="173"/>
  <c r="D11" i="173"/>
  <c r="P10" i="173"/>
  <c r="AH10" i="173"/>
  <c r="AY10" i="173"/>
  <c r="BC10" i="173"/>
  <c r="BE10" i="173"/>
  <c r="P9" i="173"/>
  <c r="AH9" i="173"/>
  <c r="AY9" i="173"/>
  <c r="BC9" i="173"/>
  <c r="BE9" i="173"/>
  <c r="D9" i="173"/>
  <c r="CR4" i="173"/>
  <c r="CN4" i="173"/>
  <c r="CJ4" i="173"/>
  <c r="CF4" i="173"/>
  <c r="CB4" i="173"/>
  <c r="BX4" i="173"/>
  <c r="BT4" i="173"/>
  <c r="BP4" i="173"/>
  <c r="BL4" i="173"/>
  <c r="BH4" i="173"/>
  <c r="BE4" i="173"/>
  <c r="BB4" i="173"/>
  <c r="BA4" i="173"/>
  <c r="AX4" i="173"/>
  <c r="AW4" i="173"/>
  <c r="AV4" i="173"/>
  <c r="AU4" i="173"/>
  <c r="AT4" i="173"/>
  <c r="AS4" i="173"/>
  <c r="AR4" i="173"/>
  <c r="AQ4" i="173"/>
  <c r="AP4" i="173"/>
  <c r="AO4" i="173"/>
  <c r="AN4" i="173"/>
  <c r="AM4" i="173"/>
  <c r="AL4" i="173"/>
  <c r="AK4" i="173"/>
  <c r="AJ4" i="173"/>
  <c r="AG4" i="173"/>
  <c r="AF4" i="173"/>
  <c r="AE4" i="173"/>
  <c r="AD4" i="173"/>
  <c r="AC4" i="173"/>
  <c r="AB4" i="173"/>
  <c r="AA4" i="173"/>
  <c r="Z4" i="173"/>
  <c r="Y4" i="173"/>
  <c r="X4" i="173"/>
  <c r="W4" i="173"/>
  <c r="V4" i="173"/>
  <c r="U4" i="173"/>
  <c r="T4" i="173"/>
  <c r="S4" i="173"/>
  <c r="R4" i="173"/>
  <c r="O4" i="173"/>
  <c r="N4" i="173"/>
  <c r="M4" i="173"/>
  <c r="L4" i="173"/>
  <c r="K4" i="173"/>
  <c r="J4" i="173"/>
  <c r="I4" i="173"/>
  <c r="H4" i="173"/>
  <c r="G4" i="173"/>
  <c r="E3" i="173"/>
  <c r="CO42" i="172"/>
  <c r="CO43" i="172"/>
  <c r="CO44" i="172"/>
  <c r="CO45" i="172"/>
  <c r="CO46" i="172"/>
  <c r="CO47" i="172"/>
  <c r="CP42" i="172"/>
  <c r="CP43" i="172"/>
  <c r="CP44" i="172"/>
  <c r="CP45" i="172"/>
  <c r="CP46" i="172"/>
  <c r="CP47" i="172"/>
  <c r="CQ42" i="172"/>
  <c r="CQ43" i="172"/>
  <c r="CQ44" i="172"/>
  <c r="CQ45" i="172"/>
  <c r="CQ46" i="172"/>
  <c r="CQ47" i="172"/>
  <c r="CW47" i="172"/>
  <c r="CO49" i="172"/>
  <c r="CO50" i="172"/>
  <c r="CP49" i="172"/>
  <c r="CP50" i="172"/>
  <c r="CQ49" i="172"/>
  <c r="CQ50" i="172"/>
  <c r="CW50" i="172"/>
  <c r="CO53" i="172"/>
  <c r="CO54" i="172"/>
  <c r="CP53" i="172"/>
  <c r="CP54" i="172"/>
  <c r="CQ53" i="172"/>
  <c r="CQ54" i="172"/>
  <c r="CW54" i="172"/>
  <c r="CO57" i="172"/>
  <c r="CO61" i="172"/>
  <c r="CO63" i="172"/>
  <c r="CO59" i="172"/>
  <c r="CO64" i="172"/>
  <c r="CP57" i="172"/>
  <c r="CP61" i="172"/>
  <c r="CP63" i="172"/>
  <c r="CP59" i="172"/>
  <c r="CP64" i="172"/>
  <c r="CQ57" i="172"/>
  <c r="CQ61" i="172"/>
  <c r="CQ63" i="172"/>
  <c r="CQ59" i="172"/>
  <c r="CQ64" i="172"/>
  <c r="S83" i="172"/>
  <c r="R63" i="172"/>
  <c r="R64" i="172"/>
  <c r="CO11" i="172"/>
  <c r="CO12" i="172"/>
  <c r="CO9" i="172"/>
  <c r="CO10" i="172"/>
  <c r="CO13" i="172"/>
  <c r="CO15" i="172"/>
  <c r="CO16" i="172"/>
  <c r="CO17" i="172"/>
  <c r="CO19" i="172"/>
  <c r="CO20" i="172"/>
  <c r="CO22" i="172"/>
  <c r="CO23" i="172"/>
  <c r="CO24" i="172"/>
  <c r="CO28" i="172"/>
  <c r="CO34" i="172"/>
  <c r="CO35" i="172"/>
  <c r="CO36" i="172"/>
  <c r="CO38" i="172"/>
  <c r="CO39" i="172"/>
  <c r="CO40" i="172"/>
  <c r="CO66" i="172"/>
  <c r="CO71" i="172"/>
  <c r="CO73" i="172"/>
  <c r="CO74" i="172"/>
  <c r="CO77" i="172"/>
  <c r="CO79" i="172"/>
  <c r="CO80" i="172"/>
  <c r="CO83" i="172"/>
  <c r="CO84" i="172"/>
  <c r="CO85" i="172"/>
  <c r="CO87" i="172"/>
  <c r="CO90" i="172"/>
  <c r="CP11" i="172"/>
  <c r="CP12" i="172"/>
  <c r="CP9" i="172"/>
  <c r="CP10" i="172"/>
  <c r="CP13" i="172"/>
  <c r="CP15" i="172"/>
  <c r="CP16" i="172"/>
  <c r="CP17" i="172"/>
  <c r="CP19" i="172"/>
  <c r="CP20" i="172"/>
  <c r="CP22" i="172"/>
  <c r="CP23" i="172"/>
  <c r="CP24" i="172"/>
  <c r="CP28" i="172"/>
  <c r="CP34" i="172"/>
  <c r="CP35" i="172"/>
  <c r="CP36" i="172"/>
  <c r="CP38" i="172"/>
  <c r="CP39" i="172"/>
  <c r="CP40" i="172"/>
  <c r="CP66" i="172"/>
  <c r="CP71" i="172"/>
  <c r="CP73" i="172"/>
  <c r="CP74" i="172"/>
  <c r="CP77" i="172"/>
  <c r="CP79" i="172"/>
  <c r="CP80" i="172"/>
  <c r="CP83" i="172"/>
  <c r="CP84" i="172"/>
  <c r="CP85" i="172"/>
  <c r="CP87" i="172"/>
  <c r="CP90" i="172"/>
  <c r="CQ11" i="172"/>
  <c r="CQ12" i="172"/>
  <c r="CQ9" i="172"/>
  <c r="CQ10" i="172"/>
  <c r="CQ13" i="172"/>
  <c r="CQ15" i="172"/>
  <c r="CQ16" i="172"/>
  <c r="CQ17" i="172"/>
  <c r="CQ19" i="172"/>
  <c r="CQ20" i="172"/>
  <c r="CQ22" i="172"/>
  <c r="CQ23" i="172"/>
  <c r="CQ24" i="172"/>
  <c r="CQ28" i="172"/>
  <c r="CQ34" i="172"/>
  <c r="CQ35" i="172"/>
  <c r="CQ36" i="172"/>
  <c r="CQ38" i="172"/>
  <c r="CQ39" i="172"/>
  <c r="CQ40" i="172"/>
  <c r="CQ66" i="172"/>
  <c r="CQ71" i="172"/>
  <c r="CQ73" i="172"/>
  <c r="CQ74" i="172"/>
  <c r="CQ77" i="172"/>
  <c r="CQ79" i="172"/>
  <c r="CQ80" i="172"/>
  <c r="CQ83" i="172"/>
  <c r="CQ84" i="172"/>
  <c r="CQ85" i="172"/>
  <c r="CQ87" i="172"/>
  <c r="CQ90" i="172"/>
  <c r="M110" i="138"/>
  <c r="G11" i="172"/>
  <c r="G12" i="172"/>
  <c r="M134" i="137"/>
  <c r="G9" i="172"/>
  <c r="G10" i="172"/>
  <c r="G13" i="172"/>
  <c r="G15" i="172"/>
  <c r="G16" i="172"/>
  <c r="G17" i="172"/>
  <c r="G19" i="172"/>
  <c r="G20" i="172"/>
  <c r="G22" i="172"/>
  <c r="G23" i="172"/>
  <c r="G24" i="172"/>
  <c r="G28" i="172"/>
  <c r="G34" i="172"/>
  <c r="G35" i="172"/>
  <c r="G36" i="172"/>
  <c r="G38" i="172"/>
  <c r="G39" i="172"/>
  <c r="G40" i="172"/>
  <c r="G42" i="172"/>
  <c r="G43" i="172"/>
  <c r="G44" i="172"/>
  <c r="G45" i="172"/>
  <c r="G46" i="172"/>
  <c r="G47" i="172"/>
  <c r="G49" i="172"/>
  <c r="G50" i="172"/>
  <c r="G53" i="172"/>
  <c r="G54" i="172"/>
  <c r="G57" i="172"/>
  <c r="G61" i="172"/>
  <c r="G63" i="172"/>
  <c r="G59" i="172"/>
  <c r="G64" i="172"/>
  <c r="G66" i="172"/>
  <c r="G71" i="172"/>
  <c r="G73" i="172"/>
  <c r="G74" i="172"/>
  <c r="G77" i="172"/>
  <c r="G79" i="172"/>
  <c r="G80" i="172"/>
  <c r="G83" i="172"/>
  <c r="G85" i="172"/>
  <c r="G87" i="172"/>
  <c r="G90" i="172"/>
  <c r="H11" i="172"/>
  <c r="H12" i="172"/>
  <c r="H9" i="172"/>
  <c r="H10" i="172"/>
  <c r="H13" i="172"/>
  <c r="M193" i="49"/>
  <c r="H15" i="172"/>
  <c r="M155" i="62"/>
  <c r="H16" i="172"/>
  <c r="H17" i="172"/>
  <c r="H19" i="172"/>
  <c r="H20" i="172"/>
  <c r="H22" i="172"/>
  <c r="H23" i="172"/>
  <c r="H24" i="172"/>
  <c r="H28" i="172"/>
  <c r="H34" i="172"/>
  <c r="H35" i="172"/>
  <c r="H36" i="172"/>
  <c r="H38" i="172"/>
  <c r="H39" i="172"/>
  <c r="H40" i="172"/>
  <c r="H42" i="172"/>
  <c r="H43" i="172"/>
  <c r="H44" i="172"/>
  <c r="H45" i="172"/>
  <c r="H46" i="172"/>
  <c r="H47" i="172"/>
  <c r="H49" i="172"/>
  <c r="H50" i="172"/>
  <c r="H53" i="172"/>
  <c r="H54" i="172"/>
  <c r="H57" i="172"/>
  <c r="H61" i="172"/>
  <c r="H63" i="172"/>
  <c r="H59" i="172"/>
  <c r="H64" i="172"/>
  <c r="H66" i="172"/>
  <c r="H71" i="172"/>
  <c r="H73" i="172"/>
  <c r="H74" i="172"/>
  <c r="H77" i="172"/>
  <c r="H79" i="172"/>
  <c r="H80" i="172"/>
  <c r="H83" i="172"/>
  <c r="H85" i="172"/>
  <c r="H87" i="172"/>
  <c r="H90" i="172"/>
  <c r="I11" i="172"/>
  <c r="I12" i="172"/>
  <c r="I9" i="172"/>
  <c r="I10" i="172"/>
  <c r="I13" i="172"/>
  <c r="M194" i="49"/>
  <c r="I15" i="172"/>
  <c r="M156" i="62"/>
  <c r="I16" i="172"/>
  <c r="I17" i="172"/>
  <c r="I19" i="172"/>
  <c r="I20" i="172"/>
  <c r="I22" i="172"/>
  <c r="I23" i="172"/>
  <c r="I24" i="172"/>
  <c r="I28" i="172"/>
  <c r="I34" i="172"/>
  <c r="I35" i="172"/>
  <c r="I36" i="172"/>
  <c r="I38" i="172"/>
  <c r="I39" i="172"/>
  <c r="I40" i="172"/>
  <c r="I42" i="172"/>
  <c r="I43" i="172"/>
  <c r="I44" i="172"/>
  <c r="I45" i="172"/>
  <c r="I46" i="172"/>
  <c r="I47" i="172"/>
  <c r="I49" i="172"/>
  <c r="I50" i="172"/>
  <c r="I53" i="172"/>
  <c r="I54" i="172"/>
  <c r="I57" i="172"/>
  <c r="I61" i="172"/>
  <c r="I63" i="172"/>
  <c r="I59" i="172"/>
  <c r="I64" i="172"/>
  <c r="I66" i="172"/>
  <c r="I71" i="172"/>
  <c r="I73" i="172"/>
  <c r="I74" i="172"/>
  <c r="I77" i="172"/>
  <c r="I79" i="172"/>
  <c r="I80" i="172"/>
  <c r="I83" i="172"/>
  <c r="I85" i="172"/>
  <c r="I87" i="172"/>
  <c r="I90" i="172"/>
  <c r="J11" i="172"/>
  <c r="J12" i="172"/>
  <c r="J9" i="172"/>
  <c r="J10" i="172"/>
  <c r="J13" i="172"/>
  <c r="J15" i="172"/>
  <c r="J16" i="172"/>
  <c r="J17" i="172"/>
  <c r="M441" i="39"/>
  <c r="J19" i="172"/>
  <c r="J20" i="172"/>
  <c r="J22" i="172"/>
  <c r="J23" i="172"/>
  <c r="J24" i="172"/>
  <c r="J28" i="172"/>
  <c r="J34" i="172"/>
  <c r="J38" i="172"/>
  <c r="M212" i="48"/>
  <c r="J39" i="172"/>
  <c r="J40" i="172"/>
  <c r="J42" i="172"/>
  <c r="J43" i="172"/>
  <c r="J44" i="172"/>
  <c r="J45" i="172"/>
  <c r="J46" i="172"/>
  <c r="J47" i="172"/>
  <c r="J49" i="172"/>
  <c r="J50" i="172"/>
  <c r="J53" i="172"/>
  <c r="J54" i="172"/>
  <c r="J57" i="172"/>
  <c r="J61" i="172"/>
  <c r="J63" i="172"/>
  <c r="J59" i="172"/>
  <c r="J64" i="172"/>
  <c r="J71" i="172"/>
  <c r="J73" i="172"/>
  <c r="J74" i="172"/>
  <c r="J77" i="172"/>
  <c r="J79" i="172"/>
  <c r="J80" i="172"/>
  <c r="J83" i="172"/>
  <c r="J85" i="172"/>
  <c r="J87" i="172"/>
  <c r="K11" i="172"/>
  <c r="K12" i="172"/>
  <c r="K9" i="172"/>
  <c r="K10" i="172"/>
  <c r="K13" i="172"/>
  <c r="K15" i="172"/>
  <c r="K16" i="172"/>
  <c r="K17" i="172"/>
  <c r="K19" i="172"/>
  <c r="K20" i="172"/>
  <c r="M436" i="41"/>
  <c r="K23" i="172"/>
  <c r="K34" i="172"/>
  <c r="K35" i="172"/>
  <c r="K36" i="172"/>
  <c r="K38" i="172"/>
  <c r="K39" i="172"/>
  <c r="K40" i="172"/>
  <c r="K42" i="172"/>
  <c r="K43" i="172"/>
  <c r="K44" i="172"/>
  <c r="K45" i="172"/>
  <c r="K46" i="172"/>
  <c r="K47" i="172"/>
  <c r="K49" i="172"/>
  <c r="K50" i="172"/>
  <c r="K53" i="172"/>
  <c r="K54" i="172"/>
  <c r="K57" i="172"/>
  <c r="K61" i="172"/>
  <c r="K63" i="172"/>
  <c r="K59" i="172"/>
  <c r="K64" i="172"/>
  <c r="K66" i="172"/>
  <c r="K71" i="172"/>
  <c r="K73" i="172"/>
  <c r="K74" i="172"/>
  <c r="K77" i="172"/>
  <c r="K79" i="172"/>
  <c r="K80" i="172"/>
  <c r="K83" i="172"/>
  <c r="K85" i="172"/>
  <c r="K87" i="172"/>
  <c r="L11" i="172"/>
  <c r="L12" i="172"/>
  <c r="L9" i="172"/>
  <c r="L10" i="172"/>
  <c r="L13" i="172"/>
  <c r="L15" i="172"/>
  <c r="L16" i="172"/>
  <c r="L17" i="172"/>
  <c r="L19" i="172"/>
  <c r="L20" i="172"/>
  <c r="M437" i="41"/>
  <c r="L23" i="172"/>
  <c r="L34" i="172"/>
  <c r="L35" i="172"/>
  <c r="L36" i="172"/>
  <c r="L38" i="172"/>
  <c r="L39" i="172"/>
  <c r="L40" i="172"/>
  <c r="L42" i="172"/>
  <c r="L43" i="172"/>
  <c r="L44" i="172"/>
  <c r="L45" i="172"/>
  <c r="L46" i="172"/>
  <c r="L47" i="172"/>
  <c r="L49" i="172"/>
  <c r="L50" i="172"/>
  <c r="L53" i="172"/>
  <c r="L54" i="172"/>
  <c r="L57" i="172"/>
  <c r="L61" i="172"/>
  <c r="L63" i="172"/>
  <c r="L59" i="172"/>
  <c r="L64" i="172"/>
  <c r="L66" i="172"/>
  <c r="L71" i="172"/>
  <c r="L73" i="172"/>
  <c r="L74" i="172"/>
  <c r="L77" i="172"/>
  <c r="L79" i="172"/>
  <c r="L80" i="172"/>
  <c r="L83" i="172"/>
  <c r="L85" i="172"/>
  <c r="L87" i="172"/>
  <c r="M11" i="172"/>
  <c r="M12" i="172"/>
  <c r="M9" i="172"/>
  <c r="M10" i="172"/>
  <c r="M13" i="172"/>
  <c r="M15" i="172"/>
  <c r="M16" i="172"/>
  <c r="M17" i="172"/>
  <c r="M19" i="172"/>
  <c r="M20" i="172"/>
  <c r="M23" i="172"/>
  <c r="M34" i="172"/>
  <c r="M35" i="172"/>
  <c r="M36" i="172"/>
  <c r="M38" i="172"/>
  <c r="M39" i="172"/>
  <c r="M40" i="172"/>
  <c r="M42" i="172"/>
  <c r="M43" i="172"/>
  <c r="M44" i="172"/>
  <c r="M45" i="172"/>
  <c r="M46" i="172"/>
  <c r="M47" i="172"/>
  <c r="M49" i="172"/>
  <c r="M50" i="172"/>
  <c r="M53" i="172"/>
  <c r="M54" i="172"/>
  <c r="M57" i="172"/>
  <c r="M61" i="172"/>
  <c r="M63" i="172"/>
  <c r="M59" i="172"/>
  <c r="M64" i="172"/>
  <c r="M66" i="172"/>
  <c r="M71" i="172"/>
  <c r="M73" i="172"/>
  <c r="M74" i="172"/>
  <c r="M77" i="172"/>
  <c r="M79" i="172"/>
  <c r="M80" i="172"/>
  <c r="M83" i="172"/>
  <c r="M85" i="172"/>
  <c r="M87" i="172"/>
  <c r="N11" i="172"/>
  <c r="N12" i="172"/>
  <c r="N9" i="172"/>
  <c r="N10" i="172"/>
  <c r="N13" i="172"/>
  <c r="N15" i="172"/>
  <c r="N16" i="172"/>
  <c r="N17" i="172"/>
  <c r="N19" i="172"/>
  <c r="N20" i="172"/>
  <c r="N22" i="172"/>
  <c r="M438" i="41"/>
  <c r="N23" i="172"/>
  <c r="N24" i="172"/>
  <c r="N28" i="172"/>
  <c r="N34" i="172"/>
  <c r="N35" i="172"/>
  <c r="N36" i="172"/>
  <c r="N38" i="172"/>
  <c r="N39" i="172"/>
  <c r="N40" i="172"/>
  <c r="N42" i="172"/>
  <c r="N43" i="172"/>
  <c r="N44" i="172"/>
  <c r="N45" i="172"/>
  <c r="N46" i="172"/>
  <c r="N47" i="172"/>
  <c r="N49" i="172"/>
  <c r="N50" i="172"/>
  <c r="N53" i="172"/>
  <c r="N54" i="172"/>
  <c r="N57" i="172"/>
  <c r="N61" i="172"/>
  <c r="N63" i="172"/>
  <c r="N59" i="172"/>
  <c r="N64" i="172"/>
  <c r="N66" i="172"/>
  <c r="N71" i="172"/>
  <c r="N73" i="172"/>
  <c r="N74" i="172"/>
  <c r="N77" i="172"/>
  <c r="N79" i="172"/>
  <c r="N80" i="172"/>
  <c r="N83" i="172"/>
  <c r="N85" i="172"/>
  <c r="N87" i="172"/>
  <c r="N90" i="172"/>
  <c r="O11" i="172"/>
  <c r="O12" i="172"/>
  <c r="O9" i="172"/>
  <c r="O10" i="172"/>
  <c r="O13" i="172"/>
  <c r="O15" i="172"/>
  <c r="O16" i="172"/>
  <c r="O17" i="172"/>
  <c r="O19" i="172"/>
  <c r="O20" i="172"/>
  <c r="O22" i="172"/>
  <c r="M439" i="41"/>
  <c r="O23" i="172"/>
  <c r="O24" i="172"/>
  <c r="O28" i="172"/>
  <c r="O34" i="172"/>
  <c r="O35" i="172"/>
  <c r="O36" i="172"/>
  <c r="O38" i="172"/>
  <c r="O39" i="172"/>
  <c r="O40" i="172"/>
  <c r="O42" i="172"/>
  <c r="O43" i="172"/>
  <c r="O44" i="172"/>
  <c r="O45" i="172"/>
  <c r="O46" i="172"/>
  <c r="O47" i="172"/>
  <c r="O49" i="172"/>
  <c r="O50" i="172"/>
  <c r="O53" i="172"/>
  <c r="O54" i="172"/>
  <c r="O57" i="172"/>
  <c r="O61" i="172"/>
  <c r="O63" i="172"/>
  <c r="O59" i="172"/>
  <c r="O64" i="172"/>
  <c r="O66" i="172"/>
  <c r="O71" i="172"/>
  <c r="O73" i="172"/>
  <c r="O74" i="172"/>
  <c r="O77" i="172"/>
  <c r="O79" i="172"/>
  <c r="O80" i="172"/>
  <c r="O83" i="172"/>
  <c r="O85" i="172"/>
  <c r="O87" i="172"/>
  <c r="O90" i="172"/>
  <c r="R83" i="172"/>
  <c r="R85" i="172"/>
  <c r="R87" i="172"/>
  <c r="AA11" i="172"/>
  <c r="AA12" i="172"/>
  <c r="AA9" i="172"/>
  <c r="AA10" i="172"/>
  <c r="AA13" i="172"/>
  <c r="AA15" i="172"/>
  <c r="AA16" i="172"/>
  <c r="AA17" i="172"/>
  <c r="AA19" i="172"/>
  <c r="AA20" i="172"/>
  <c r="AA22" i="172"/>
  <c r="AA23" i="172"/>
  <c r="AA24" i="172"/>
  <c r="AA28" i="172"/>
  <c r="AA34" i="172"/>
  <c r="AA35" i="172"/>
  <c r="AA36" i="172"/>
  <c r="AA38" i="172"/>
  <c r="AA39" i="172"/>
  <c r="AA40" i="172"/>
  <c r="AA42" i="172"/>
  <c r="AA43" i="172"/>
  <c r="AA44" i="172"/>
  <c r="AA45" i="172"/>
  <c r="AA46" i="172"/>
  <c r="AA47" i="172"/>
  <c r="AA49" i="172"/>
  <c r="AA50" i="172"/>
  <c r="AA53" i="172"/>
  <c r="AA54" i="172"/>
  <c r="AA57" i="172"/>
  <c r="AA61" i="172"/>
  <c r="AA63" i="172"/>
  <c r="AA59" i="172"/>
  <c r="AA64" i="172"/>
  <c r="AA66" i="172"/>
  <c r="AA71" i="172"/>
  <c r="AA73" i="172"/>
  <c r="AA74" i="172"/>
  <c r="AA77" i="172"/>
  <c r="AA79" i="172"/>
  <c r="AA80" i="172"/>
  <c r="AA83" i="172"/>
  <c r="AA85" i="172"/>
  <c r="AA87" i="172"/>
  <c r="AA90" i="172"/>
  <c r="AB11" i="172"/>
  <c r="AB12" i="172"/>
  <c r="AB9" i="172"/>
  <c r="AB10" i="172"/>
  <c r="AB13" i="172"/>
  <c r="AB15" i="172"/>
  <c r="AB16" i="172"/>
  <c r="AB17" i="172"/>
  <c r="AB19" i="172"/>
  <c r="AB20" i="172"/>
  <c r="AB22" i="172"/>
  <c r="AB23" i="172"/>
  <c r="AB24" i="172"/>
  <c r="AB28" i="172"/>
  <c r="AB34" i="172"/>
  <c r="AB35" i="172"/>
  <c r="AB36" i="172"/>
  <c r="AB38" i="172"/>
  <c r="AB39" i="172"/>
  <c r="AB40" i="172"/>
  <c r="AB42" i="172"/>
  <c r="AB43" i="172"/>
  <c r="AB44" i="172"/>
  <c r="AB45" i="172"/>
  <c r="AB46" i="172"/>
  <c r="AB47" i="172"/>
  <c r="AB49" i="172"/>
  <c r="AB50" i="172"/>
  <c r="AB53" i="172"/>
  <c r="AB54" i="172"/>
  <c r="AB57" i="172"/>
  <c r="AB61" i="172"/>
  <c r="AB63" i="172"/>
  <c r="AB59" i="172"/>
  <c r="AB64" i="172"/>
  <c r="AB66" i="172"/>
  <c r="AB71" i="172"/>
  <c r="AB73" i="172"/>
  <c r="AB74" i="172"/>
  <c r="AB77" i="172"/>
  <c r="AB79" i="172"/>
  <c r="AB80" i="172"/>
  <c r="AB83" i="172"/>
  <c r="AB85" i="172"/>
  <c r="AB87" i="172"/>
  <c r="AB90" i="172"/>
  <c r="M421" i="110"/>
  <c r="AC77" i="172"/>
  <c r="AC79" i="172"/>
  <c r="AC80" i="172"/>
  <c r="AC83" i="172"/>
  <c r="AC85" i="172"/>
  <c r="AC87" i="172"/>
  <c r="AC90" i="172"/>
  <c r="M422" i="110"/>
  <c r="AD77" i="172"/>
  <c r="AD79" i="172"/>
  <c r="AD80" i="172"/>
  <c r="AD83" i="172"/>
  <c r="AD85" i="172"/>
  <c r="AD87" i="172"/>
  <c r="AD90" i="172"/>
  <c r="M418" i="110"/>
  <c r="AE77" i="172"/>
  <c r="AE79" i="172"/>
  <c r="AE80" i="172"/>
  <c r="AE83" i="172"/>
  <c r="AE85" i="172"/>
  <c r="AE87" i="172"/>
  <c r="AE90" i="172"/>
  <c r="M419" i="110"/>
  <c r="AF77" i="172"/>
  <c r="AF79" i="172"/>
  <c r="AF80" i="172"/>
  <c r="AF83" i="172"/>
  <c r="AF85" i="172"/>
  <c r="AF87" i="172"/>
  <c r="AF90" i="172"/>
  <c r="M420" i="110"/>
  <c r="AG77" i="172"/>
  <c r="AG79" i="172"/>
  <c r="AG80" i="172"/>
  <c r="AG83" i="172"/>
  <c r="AG85" i="172"/>
  <c r="AG87" i="172"/>
  <c r="AG90" i="172"/>
  <c r="AJ11" i="172"/>
  <c r="AJ12" i="172"/>
  <c r="AJ9" i="172"/>
  <c r="AJ10" i="172"/>
  <c r="AJ13" i="172"/>
  <c r="AJ15" i="172"/>
  <c r="AJ16" i="172"/>
  <c r="AJ17" i="172"/>
  <c r="AJ19" i="172"/>
  <c r="AJ20" i="172"/>
  <c r="AJ22" i="172"/>
  <c r="AJ23" i="172"/>
  <c r="AJ24" i="172"/>
  <c r="AJ28" i="172"/>
  <c r="AJ34" i="172"/>
  <c r="AJ35" i="172"/>
  <c r="AJ36" i="172"/>
  <c r="AJ38" i="172"/>
  <c r="M219" i="48"/>
  <c r="AJ39" i="172"/>
  <c r="AJ40" i="172"/>
  <c r="AJ42" i="172"/>
  <c r="AJ43" i="172"/>
  <c r="AJ44" i="172"/>
  <c r="AJ45" i="172"/>
  <c r="AJ46" i="172"/>
  <c r="AJ47" i="172"/>
  <c r="AJ49" i="172"/>
  <c r="AJ50" i="172"/>
  <c r="AJ53" i="172"/>
  <c r="AJ54" i="172"/>
  <c r="AJ57" i="172"/>
  <c r="AJ61" i="172"/>
  <c r="AJ63" i="172"/>
  <c r="AJ59" i="172"/>
  <c r="AJ64" i="172"/>
  <c r="AJ66" i="172"/>
  <c r="AJ71" i="172"/>
  <c r="AJ73" i="172"/>
  <c r="AJ74" i="172"/>
  <c r="AJ77" i="172"/>
  <c r="AJ79" i="172"/>
  <c r="AJ80" i="172"/>
  <c r="AJ83" i="172"/>
  <c r="AJ85" i="172"/>
  <c r="AJ87" i="172"/>
  <c r="AJ90" i="172"/>
  <c r="AL11" i="172"/>
  <c r="AL12" i="172"/>
  <c r="AL9" i="172"/>
  <c r="AL10" i="172"/>
  <c r="AL13" i="172"/>
  <c r="AL15" i="172"/>
  <c r="AL16" i="172"/>
  <c r="AL17" i="172"/>
  <c r="AL19" i="172"/>
  <c r="AL20" i="172"/>
  <c r="AL22" i="172"/>
  <c r="AL23" i="172"/>
  <c r="AL24" i="172"/>
  <c r="AL28" i="172"/>
  <c r="AL34" i="172"/>
  <c r="AL35" i="172"/>
  <c r="AL36" i="172"/>
  <c r="AL38" i="172"/>
  <c r="M221" i="48"/>
  <c r="AL39" i="172"/>
  <c r="AL40" i="172"/>
  <c r="AL42" i="172"/>
  <c r="AL43" i="172"/>
  <c r="AL44" i="172"/>
  <c r="AL45" i="172"/>
  <c r="AL46" i="172"/>
  <c r="AL47" i="172"/>
  <c r="AL49" i="172"/>
  <c r="AL50" i="172"/>
  <c r="AL53" i="172"/>
  <c r="AL54" i="172"/>
  <c r="AL57" i="172"/>
  <c r="AL61" i="172"/>
  <c r="AL63" i="172"/>
  <c r="AL59" i="172"/>
  <c r="AL64" i="172"/>
  <c r="AL66" i="172"/>
  <c r="AL71" i="172"/>
  <c r="AL73" i="172"/>
  <c r="AL74" i="172"/>
  <c r="AL77" i="172"/>
  <c r="AL79" i="172"/>
  <c r="AL80" i="172"/>
  <c r="AL83" i="172"/>
  <c r="AL85" i="172"/>
  <c r="AL87" i="172"/>
  <c r="AL90" i="172"/>
  <c r="AM11" i="172"/>
  <c r="AM12" i="172"/>
  <c r="AM9" i="172"/>
  <c r="AM10" i="172"/>
  <c r="AM13" i="172"/>
  <c r="AM15" i="172"/>
  <c r="AM16" i="172"/>
  <c r="AM17" i="172"/>
  <c r="AM19" i="172"/>
  <c r="AM20" i="172"/>
  <c r="AM22" i="172"/>
  <c r="AM23" i="172"/>
  <c r="AM24" i="172"/>
  <c r="AM28" i="172"/>
  <c r="AM34" i="172"/>
  <c r="AM35" i="172"/>
  <c r="AM36" i="172"/>
  <c r="AM38" i="172"/>
  <c r="AM39" i="172"/>
  <c r="AM40" i="172"/>
  <c r="AM42" i="172"/>
  <c r="AM43" i="172"/>
  <c r="AM44" i="172"/>
  <c r="AM45" i="172"/>
  <c r="AM46" i="172"/>
  <c r="AM47" i="172"/>
  <c r="AM49" i="172"/>
  <c r="AM50" i="172"/>
  <c r="AM53" i="172"/>
  <c r="AM54" i="172"/>
  <c r="AM57" i="172"/>
  <c r="AM61" i="172"/>
  <c r="AM63" i="172"/>
  <c r="AM59" i="172"/>
  <c r="AM64" i="172"/>
  <c r="AM66" i="172"/>
  <c r="AM71" i="172"/>
  <c r="AM73" i="172"/>
  <c r="AM74" i="172"/>
  <c r="AM77" i="172"/>
  <c r="AM83" i="172"/>
  <c r="AM85" i="172"/>
  <c r="AN11" i="172"/>
  <c r="AN12" i="172"/>
  <c r="AN9" i="172"/>
  <c r="AN10" i="172"/>
  <c r="AN13" i="172"/>
  <c r="AN15" i="172"/>
  <c r="AN16" i="172"/>
  <c r="AN17" i="172"/>
  <c r="AN19" i="172"/>
  <c r="AN20" i="172"/>
  <c r="AN22" i="172"/>
  <c r="AN23" i="172"/>
  <c r="AN24" i="172"/>
  <c r="AN28" i="172"/>
  <c r="AN34" i="172"/>
  <c r="AN35" i="172"/>
  <c r="AN36" i="172"/>
  <c r="AN38" i="172"/>
  <c r="AN39" i="172"/>
  <c r="AN40" i="172"/>
  <c r="AN42" i="172"/>
  <c r="AN43" i="172"/>
  <c r="AN44" i="172"/>
  <c r="AN45" i="172"/>
  <c r="AN46" i="172"/>
  <c r="AN47" i="172"/>
  <c r="AN49" i="172"/>
  <c r="AN50" i="172"/>
  <c r="AN53" i="172"/>
  <c r="AN54" i="172"/>
  <c r="AN57" i="172"/>
  <c r="AN61" i="172"/>
  <c r="AN63" i="172"/>
  <c r="AN59" i="172"/>
  <c r="AN64" i="172"/>
  <c r="AN66" i="172"/>
  <c r="M151" i="31"/>
  <c r="AN71" i="172"/>
  <c r="AN73" i="172"/>
  <c r="AN74" i="172"/>
  <c r="AN77" i="172"/>
  <c r="AN79" i="172"/>
  <c r="AN80" i="172"/>
  <c r="AN83" i="172"/>
  <c r="AO11" i="172"/>
  <c r="AO12" i="172"/>
  <c r="AO9" i="172"/>
  <c r="AO10" i="172"/>
  <c r="AO13" i="172"/>
  <c r="AO15" i="172"/>
  <c r="AO16" i="172"/>
  <c r="AO17" i="172"/>
  <c r="AO19" i="172"/>
  <c r="AO20" i="172"/>
  <c r="AO22" i="172"/>
  <c r="AO23" i="172"/>
  <c r="AO24" i="172"/>
  <c r="AO28" i="172"/>
  <c r="AO34" i="172"/>
  <c r="AO35" i="172"/>
  <c r="AO36" i="172"/>
  <c r="AO38" i="172"/>
  <c r="AO39" i="172"/>
  <c r="AO40" i="172"/>
  <c r="AO42" i="172"/>
  <c r="AO43" i="172"/>
  <c r="AO44" i="172"/>
  <c r="AO45" i="172"/>
  <c r="AO46" i="172"/>
  <c r="AO47" i="172"/>
  <c r="AO49" i="172"/>
  <c r="AO50" i="172"/>
  <c r="AO53" i="172"/>
  <c r="AO54" i="172"/>
  <c r="AO57" i="172"/>
  <c r="AO61" i="172"/>
  <c r="AO63" i="172"/>
  <c r="AO59" i="172"/>
  <c r="AO64" i="172"/>
  <c r="AO66" i="172"/>
  <c r="AO71" i="172"/>
  <c r="AO73" i="172"/>
  <c r="AO74" i="172"/>
  <c r="AO77" i="172"/>
  <c r="AO79" i="172"/>
  <c r="AO80" i="172"/>
  <c r="AO83" i="172"/>
  <c r="AO84" i="172"/>
  <c r="AO85" i="172"/>
  <c r="AO87" i="172"/>
  <c r="AO90" i="172"/>
  <c r="AS11" i="172"/>
  <c r="AS12" i="172"/>
  <c r="AS9" i="172"/>
  <c r="AS10" i="172"/>
  <c r="AS13" i="172"/>
  <c r="AS15" i="172"/>
  <c r="AS16" i="172"/>
  <c r="AS17" i="172"/>
  <c r="AS19" i="172"/>
  <c r="AS20" i="172"/>
  <c r="AS22" i="172"/>
  <c r="AS23" i="172"/>
  <c r="AS24" i="172"/>
  <c r="AS28" i="172"/>
  <c r="AS34" i="172"/>
  <c r="AS35" i="172"/>
  <c r="AS36" i="172"/>
  <c r="AS38" i="172"/>
  <c r="AS39" i="172"/>
  <c r="AS40" i="172"/>
  <c r="AS42" i="172"/>
  <c r="AS43" i="172"/>
  <c r="AS44" i="172"/>
  <c r="AS45" i="172"/>
  <c r="AS46" i="172"/>
  <c r="AS47" i="172"/>
  <c r="AS49" i="172"/>
  <c r="AS50" i="172"/>
  <c r="AS53" i="172"/>
  <c r="AS54" i="172"/>
  <c r="AS57" i="172"/>
  <c r="AS61" i="172"/>
  <c r="AS63" i="172"/>
  <c r="AS59" i="172"/>
  <c r="AS64" i="172"/>
  <c r="AS66" i="172"/>
  <c r="AS71" i="172"/>
  <c r="AS73" i="172"/>
  <c r="AS74" i="172"/>
  <c r="AS77" i="172"/>
  <c r="AS79" i="172"/>
  <c r="AS80" i="172"/>
  <c r="AS83" i="172"/>
  <c r="AS85" i="172"/>
  <c r="AS87" i="172"/>
  <c r="AS90" i="172"/>
  <c r="AT11" i="172"/>
  <c r="AT12" i="172"/>
  <c r="AT9" i="172"/>
  <c r="AT10" i="172"/>
  <c r="AT13" i="172"/>
  <c r="AT15" i="172"/>
  <c r="AT16" i="172"/>
  <c r="AT17" i="172"/>
  <c r="AT19" i="172"/>
  <c r="AT20" i="172"/>
  <c r="AT22" i="172"/>
  <c r="AT23" i="172"/>
  <c r="AT24" i="172"/>
  <c r="AT28" i="172"/>
  <c r="AT34" i="172"/>
  <c r="AT35" i="172"/>
  <c r="AT36" i="172"/>
  <c r="AT38" i="172"/>
  <c r="AT39" i="172"/>
  <c r="AT40" i="172"/>
  <c r="AT42" i="172"/>
  <c r="AT43" i="172"/>
  <c r="AT44" i="172"/>
  <c r="M108" i="147"/>
  <c r="AT45" i="172"/>
  <c r="M110" i="146"/>
  <c r="AT46" i="172"/>
  <c r="AT47" i="172"/>
  <c r="M110" i="145"/>
  <c r="AT49" i="172"/>
  <c r="AT50" i="172"/>
  <c r="AT53" i="172"/>
  <c r="AT54" i="172"/>
  <c r="AT57" i="172"/>
  <c r="AT61" i="172"/>
  <c r="AT63" i="172"/>
  <c r="AT59" i="172"/>
  <c r="AT64" i="172"/>
  <c r="AT66" i="172"/>
  <c r="AT71" i="172"/>
  <c r="AT73" i="172"/>
  <c r="AT74" i="172"/>
  <c r="AT77" i="172"/>
  <c r="AT79" i="172"/>
  <c r="AT80" i="172"/>
  <c r="AT83" i="172"/>
  <c r="AT85" i="172"/>
  <c r="AT87" i="172"/>
  <c r="AT90" i="172"/>
  <c r="AU11" i="172"/>
  <c r="AU12" i="172"/>
  <c r="AU9" i="172"/>
  <c r="AU10" i="172"/>
  <c r="AU13" i="172"/>
  <c r="AU15" i="172"/>
  <c r="AU16" i="172"/>
  <c r="AU17" i="172"/>
  <c r="AU19" i="172"/>
  <c r="AU20" i="172"/>
  <c r="AU22" i="172"/>
  <c r="AU23" i="172"/>
  <c r="AU24" i="172"/>
  <c r="AU28" i="172"/>
  <c r="AU34" i="172"/>
  <c r="AU35" i="172"/>
  <c r="AU36" i="172"/>
  <c r="AU38" i="172"/>
  <c r="AU39" i="172"/>
  <c r="AU40" i="172"/>
  <c r="M116" i="142"/>
  <c r="AU42" i="172"/>
  <c r="AU43" i="172"/>
  <c r="AU44" i="172"/>
  <c r="AU45" i="172"/>
  <c r="AU46" i="172"/>
  <c r="AU47" i="172"/>
  <c r="AU49" i="172"/>
  <c r="AU50" i="172"/>
  <c r="AU53" i="172"/>
  <c r="AU54" i="172"/>
  <c r="AU57" i="172"/>
  <c r="AU61" i="172"/>
  <c r="AU63" i="172"/>
  <c r="AU59" i="172"/>
  <c r="AU64" i="172"/>
  <c r="AU66" i="172"/>
  <c r="AU71" i="172"/>
  <c r="AU73" i="172"/>
  <c r="AU74" i="172"/>
  <c r="AU77" i="172"/>
  <c r="AU79" i="172"/>
  <c r="AU80" i="172"/>
  <c r="AU83" i="172"/>
  <c r="AU85" i="172"/>
  <c r="AU87" i="172"/>
  <c r="AU90" i="172"/>
  <c r="AV11" i="172"/>
  <c r="AV12" i="172"/>
  <c r="AV9" i="172"/>
  <c r="AV10" i="172"/>
  <c r="AV13" i="172"/>
  <c r="AV15" i="172"/>
  <c r="AV16" i="172"/>
  <c r="AV17" i="172"/>
  <c r="AV19" i="172"/>
  <c r="AV20" i="172"/>
  <c r="AV22" i="172"/>
  <c r="AV23" i="172"/>
  <c r="AV24" i="172"/>
  <c r="AV28" i="172"/>
  <c r="AV34" i="172"/>
  <c r="AV35" i="172"/>
  <c r="AV36" i="172"/>
  <c r="AV38" i="172"/>
  <c r="AV39" i="172"/>
  <c r="AV40" i="172"/>
  <c r="AV42" i="172"/>
  <c r="M112" i="143"/>
  <c r="AV43" i="172"/>
  <c r="M112" i="144"/>
  <c r="AV44" i="172"/>
  <c r="AV45" i="172"/>
  <c r="AV46" i="172"/>
  <c r="AV47" i="172"/>
  <c r="AV49" i="172"/>
  <c r="AV50" i="172"/>
  <c r="AV53" i="172"/>
  <c r="AV54" i="172"/>
  <c r="AV57" i="172"/>
  <c r="AV61" i="172"/>
  <c r="AV63" i="172"/>
  <c r="AV59" i="172"/>
  <c r="AV64" i="172"/>
  <c r="AV66" i="172"/>
  <c r="AV71" i="172"/>
  <c r="AV73" i="172"/>
  <c r="AV74" i="172"/>
  <c r="AV77" i="172"/>
  <c r="AV79" i="172"/>
  <c r="AV80" i="172"/>
  <c r="AV83" i="172"/>
  <c r="AV85" i="172"/>
  <c r="AV87" i="172"/>
  <c r="AV90" i="172"/>
  <c r="AW11" i="172"/>
  <c r="AW12" i="172"/>
  <c r="AW9" i="172"/>
  <c r="AW10" i="172"/>
  <c r="AW13" i="172"/>
  <c r="AW15" i="172"/>
  <c r="AW16" i="172"/>
  <c r="AW17" i="172"/>
  <c r="AW19" i="172"/>
  <c r="AW20" i="172"/>
  <c r="AW22" i="172"/>
  <c r="AW23" i="172"/>
  <c r="AW24" i="172"/>
  <c r="AW28" i="172"/>
  <c r="AW34" i="172"/>
  <c r="M549" i="112"/>
  <c r="AW35" i="172"/>
  <c r="AW36" i="172"/>
  <c r="AW38" i="172"/>
  <c r="AW39" i="172"/>
  <c r="AW40" i="172"/>
  <c r="AW42" i="172"/>
  <c r="AW43" i="172"/>
  <c r="AW44" i="172"/>
  <c r="AW45" i="172"/>
  <c r="AW46" i="172"/>
  <c r="AW47" i="172"/>
  <c r="AW49" i="172"/>
  <c r="AW50" i="172"/>
  <c r="AW53" i="172"/>
  <c r="AW54" i="172"/>
  <c r="AW57" i="172"/>
  <c r="AW61" i="172"/>
  <c r="AW63" i="172"/>
  <c r="AW59" i="172"/>
  <c r="AW64" i="172"/>
  <c r="AW66" i="172"/>
  <c r="AW71" i="172"/>
  <c r="AW73" i="172"/>
  <c r="AW74" i="172"/>
  <c r="AW77" i="172"/>
  <c r="AW79" i="172"/>
  <c r="AW80" i="172"/>
  <c r="AW83" i="172"/>
  <c r="AW85" i="172"/>
  <c r="AW87" i="172"/>
  <c r="AW90" i="172"/>
  <c r="AX11" i="172"/>
  <c r="AX12" i="172"/>
  <c r="AX9" i="172"/>
  <c r="AX10" i="172"/>
  <c r="AX13" i="172"/>
  <c r="AX15" i="172"/>
  <c r="AX16" i="172"/>
  <c r="AX17" i="172"/>
  <c r="AX19" i="172"/>
  <c r="AX20" i="172"/>
  <c r="AX22" i="172"/>
  <c r="AX23" i="172"/>
  <c r="AX24" i="172"/>
  <c r="AX28" i="172"/>
  <c r="M528" i="113"/>
  <c r="AX34" i="172"/>
  <c r="M550" i="112"/>
  <c r="AX35" i="172"/>
  <c r="AX36" i="172"/>
  <c r="AX38" i="172"/>
  <c r="AX39" i="172"/>
  <c r="AX40" i="172"/>
  <c r="AX42" i="172"/>
  <c r="AX43" i="172"/>
  <c r="AX44" i="172"/>
  <c r="AX45" i="172"/>
  <c r="AX46" i="172"/>
  <c r="AX47" i="172"/>
  <c r="AX49" i="172"/>
  <c r="AX50" i="172"/>
  <c r="AX53" i="172"/>
  <c r="AX54" i="172"/>
  <c r="AX57" i="172"/>
  <c r="AX61" i="172"/>
  <c r="AX63" i="172"/>
  <c r="AX59" i="172"/>
  <c r="AX64" i="172"/>
  <c r="AX66" i="172"/>
  <c r="AX71" i="172"/>
  <c r="AX73" i="172"/>
  <c r="AX74" i="172"/>
  <c r="AX77" i="172"/>
  <c r="AX79" i="172"/>
  <c r="AX80" i="172"/>
  <c r="AX83" i="172"/>
  <c r="AX85" i="172"/>
  <c r="AX87" i="172"/>
  <c r="AX90" i="172"/>
  <c r="BA11" i="172"/>
  <c r="BA12" i="172"/>
  <c r="BA9" i="172"/>
  <c r="BA10" i="172"/>
  <c r="BA13" i="172"/>
  <c r="BA15" i="172"/>
  <c r="BA16" i="172"/>
  <c r="BA17" i="172"/>
  <c r="BA19" i="172"/>
  <c r="BA20" i="172"/>
  <c r="BA22" i="172"/>
  <c r="BA23" i="172"/>
  <c r="BA24" i="172"/>
  <c r="BA28" i="172"/>
  <c r="BA34" i="172"/>
  <c r="BA35" i="172"/>
  <c r="BA36" i="172"/>
  <c r="M174" i="46"/>
  <c r="BA38" i="172"/>
  <c r="BA39" i="172"/>
  <c r="BA40" i="172"/>
  <c r="BA42" i="172"/>
  <c r="BA43" i="172"/>
  <c r="BA44" i="172"/>
  <c r="BA45" i="172"/>
  <c r="BA46" i="172"/>
  <c r="BA47" i="172"/>
  <c r="BA49" i="172"/>
  <c r="BA50" i="172"/>
  <c r="M142" i="141"/>
  <c r="BA53" i="172"/>
  <c r="BA54" i="172"/>
  <c r="M168" i="157"/>
  <c r="BA57" i="172"/>
  <c r="M168" i="140"/>
  <c r="BA61" i="172"/>
  <c r="M160" i="139"/>
  <c r="BA59" i="172"/>
  <c r="BA71" i="172"/>
  <c r="BA73" i="172"/>
  <c r="BA74" i="172"/>
  <c r="M423" i="110"/>
  <c r="BA77" i="172"/>
  <c r="BA79" i="172"/>
  <c r="BA80" i="172"/>
  <c r="BA83" i="172"/>
  <c r="BA85" i="172"/>
  <c r="BA87" i="172"/>
  <c r="BB11" i="172"/>
  <c r="BB12" i="172"/>
  <c r="BB9" i="172"/>
  <c r="BB10" i="172"/>
  <c r="BB13" i="172"/>
  <c r="BB15" i="172"/>
  <c r="BB16" i="172"/>
  <c r="BB17" i="172"/>
  <c r="BB19" i="172"/>
  <c r="BB20" i="172"/>
  <c r="BB22" i="172"/>
  <c r="BB23" i="172"/>
  <c r="BB24" i="172"/>
  <c r="BB28" i="172"/>
  <c r="BB34" i="172"/>
  <c r="BB35" i="172"/>
  <c r="BB36" i="172"/>
  <c r="M175" i="46"/>
  <c r="BB38" i="172"/>
  <c r="BB39" i="172"/>
  <c r="BB40" i="172"/>
  <c r="BB42" i="172"/>
  <c r="BB43" i="172"/>
  <c r="BB44" i="172"/>
  <c r="BB45" i="172"/>
  <c r="BB46" i="172"/>
  <c r="BB47" i="172"/>
  <c r="BB49" i="172"/>
  <c r="BB50" i="172"/>
  <c r="M143" i="141"/>
  <c r="BB53" i="172"/>
  <c r="BB54" i="172"/>
  <c r="M169" i="157"/>
  <c r="BB57" i="172"/>
  <c r="M169" i="140"/>
  <c r="BB61" i="172"/>
  <c r="M161" i="139"/>
  <c r="BB59" i="172"/>
  <c r="BB71" i="172"/>
  <c r="BB77" i="172"/>
  <c r="BB79" i="172"/>
  <c r="BB80" i="172"/>
  <c r="P89" i="172"/>
  <c r="AH89" i="172"/>
  <c r="AY89" i="172"/>
  <c r="BC89" i="172"/>
  <c r="BE89" i="172"/>
  <c r="P88" i="172"/>
  <c r="AH88" i="172"/>
  <c r="AY88" i="172"/>
  <c r="BC88" i="172"/>
  <c r="BE88" i="172"/>
  <c r="P87" i="172"/>
  <c r="P86" i="172"/>
  <c r="AH86" i="172"/>
  <c r="AY86" i="172"/>
  <c r="BC86" i="172"/>
  <c r="BE86" i="172"/>
  <c r="CN83" i="172"/>
  <c r="CN84" i="172"/>
  <c r="CN85" i="172"/>
  <c r="P85" i="172"/>
  <c r="D85" i="172"/>
  <c r="CW84" i="172"/>
  <c r="P84" i="172"/>
  <c r="BC84" i="172"/>
  <c r="D84" i="172"/>
  <c r="P83" i="172"/>
  <c r="AY83" i="172"/>
  <c r="D83" i="172"/>
  <c r="CW82" i="172"/>
  <c r="BC82" i="172"/>
  <c r="AY82" i="172"/>
  <c r="P82" i="172"/>
  <c r="CW81" i="172"/>
  <c r="BC81" i="172"/>
  <c r="AY81" i="172"/>
  <c r="AH81" i="172"/>
  <c r="P81" i="172"/>
  <c r="CU77" i="172"/>
  <c r="CU79" i="172"/>
  <c r="CU80" i="172"/>
  <c r="P80" i="172"/>
  <c r="BC80" i="172"/>
  <c r="D80" i="172"/>
  <c r="P79" i="172"/>
  <c r="BC79" i="172"/>
  <c r="D79" i="172"/>
  <c r="CW78" i="172"/>
  <c r="BC78" i="172"/>
  <c r="AX78" i="172"/>
  <c r="AY78" i="172"/>
  <c r="AB76" i="172"/>
  <c r="AB78" i="172"/>
  <c r="AC78" i="172"/>
  <c r="AD78" i="172"/>
  <c r="AE78" i="172"/>
  <c r="AF78" i="172"/>
  <c r="AG78" i="172"/>
  <c r="P78" i="172"/>
  <c r="P77" i="172"/>
  <c r="AH77" i="172"/>
  <c r="AY77" i="172"/>
  <c r="BC77" i="172"/>
  <c r="BE77" i="172"/>
  <c r="D77" i="172"/>
  <c r="CW76" i="172"/>
  <c r="BC76" i="172"/>
  <c r="AX76" i="172"/>
  <c r="AY76" i="172"/>
  <c r="P76" i="172"/>
  <c r="CW75" i="172"/>
  <c r="P75" i="172"/>
  <c r="AH75" i="172"/>
  <c r="AY75" i="172"/>
  <c r="BC75" i="172"/>
  <c r="BE75" i="172"/>
  <c r="CW74" i="172"/>
  <c r="CV74" i="172"/>
  <c r="BG74" i="172"/>
  <c r="BF74" i="172"/>
  <c r="P71" i="172"/>
  <c r="AH71" i="172"/>
  <c r="AY71" i="172"/>
  <c r="BC71" i="172"/>
  <c r="BE71" i="172"/>
  <c r="P73" i="172"/>
  <c r="AY73" i="172"/>
  <c r="BD74" i="172"/>
  <c r="AZ74" i="172"/>
  <c r="AY74" i="172"/>
  <c r="AI74" i="172"/>
  <c r="Q74" i="172"/>
  <c r="P74" i="172"/>
  <c r="D74" i="172"/>
  <c r="D73" i="172"/>
  <c r="BC72" i="172"/>
  <c r="AY72" i="172"/>
  <c r="S72" i="172"/>
  <c r="P72" i="172"/>
  <c r="D71" i="172"/>
  <c r="BC70" i="172"/>
  <c r="AY70" i="172"/>
  <c r="AH70" i="172"/>
  <c r="P70" i="172"/>
  <c r="P69" i="172"/>
  <c r="AH69" i="172"/>
  <c r="AY69" i="172"/>
  <c r="BC69" i="172"/>
  <c r="BE69" i="172"/>
  <c r="P68" i="172"/>
  <c r="AH68" i="172"/>
  <c r="AY68" i="172"/>
  <c r="BC68" i="172"/>
  <c r="BE68" i="172"/>
  <c r="P67" i="172"/>
  <c r="AH67" i="172"/>
  <c r="AY67" i="172"/>
  <c r="BC67" i="172"/>
  <c r="BE67" i="172"/>
  <c r="AY66" i="172"/>
  <c r="P65" i="172"/>
  <c r="AH65" i="172"/>
  <c r="AY65" i="172"/>
  <c r="BC65" i="172"/>
  <c r="BE65" i="172"/>
  <c r="BG64" i="172"/>
  <c r="BF64" i="172"/>
  <c r="P57" i="172"/>
  <c r="AH57" i="172"/>
  <c r="AY57" i="172"/>
  <c r="BC57" i="172"/>
  <c r="BE57" i="172"/>
  <c r="P61" i="172"/>
  <c r="AH61" i="172"/>
  <c r="AY61" i="172"/>
  <c r="BC61" i="172"/>
  <c r="BE61" i="172"/>
  <c r="P63" i="172"/>
  <c r="AY63" i="172"/>
  <c r="P59" i="172"/>
  <c r="AH59" i="172"/>
  <c r="AY59" i="172"/>
  <c r="BC59" i="172"/>
  <c r="BE59" i="172"/>
  <c r="BD64" i="172"/>
  <c r="AZ64" i="172"/>
  <c r="AY64" i="172"/>
  <c r="AI64" i="172"/>
  <c r="Q64" i="172"/>
  <c r="P64" i="172"/>
  <c r="D64" i="172"/>
  <c r="D63" i="172"/>
  <c r="CW62" i="172"/>
  <c r="BC62" i="172"/>
  <c r="AY62" i="172"/>
  <c r="P62" i="172"/>
  <c r="CW61" i="172"/>
  <c r="D61" i="172"/>
  <c r="CW60" i="172"/>
  <c r="BC60" i="172"/>
  <c r="AY60" i="172"/>
  <c r="P60" i="172"/>
  <c r="CW59" i="172"/>
  <c r="D59" i="172"/>
  <c r="BC58" i="172"/>
  <c r="AY58" i="172"/>
  <c r="P58" i="172"/>
  <c r="CW57" i="172"/>
  <c r="D57" i="172"/>
  <c r="CW56" i="172"/>
  <c r="BC56" i="172"/>
  <c r="AY56" i="172"/>
  <c r="P56" i="172"/>
  <c r="CW55" i="172"/>
  <c r="P55" i="172"/>
  <c r="AH55" i="172"/>
  <c r="AY55" i="172"/>
  <c r="BC55" i="172"/>
  <c r="BE55" i="172"/>
  <c r="P54" i="172"/>
  <c r="AH54" i="172"/>
  <c r="AY54" i="172"/>
  <c r="BC54" i="172"/>
  <c r="BE54" i="172"/>
  <c r="D54" i="172"/>
  <c r="CW53" i="172"/>
  <c r="P53" i="172"/>
  <c r="AH53" i="172"/>
  <c r="AY53" i="172"/>
  <c r="BC53" i="172"/>
  <c r="BE53" i="172"/>
  <c r="D53" i="172"/>
  <c r="CW52" i="172"/>
  <c r="BC52" i="172"/>
  <c r="AY52" i="172"/>
  <c r="P52" i="172"/>
  <c r="CW51" i="172"/>
  <c r="BC51" i="172"/>
  <c r="AY51" i="172"/>
  <c r="AH51" i="172"/>
  <c r="P51" i="172"/>
  <c r="P50" i="172"/>
  <c r="AH50" i="172"/>
  <c r="AY50" i="172"/>
  <c r="BC50" i="172"/>
  <c r="BE50" i="172"/>
  <c r="D50" i="172"/>
  <c r="CW49" i="172"/>
  <c r="P49" i="172"/>
  <c r="AH49" i="172"/>
  <c r="AY49" i="172"/>
  <c r="BC49" i="172"/>
  <c r="BE49" i="172"/>
  <c r="D49" i="172"/>
  <c r="CW48" i="172"/>
  <c r="BC48" i="172"/>
  <c r="AY48" i="172"/>
  <c r="AH48" i="172"/>
  <c r="P48" i="172"/>
  <c r="P47" i="172"/>
  <c r="AH47" i="172"/>
  <c r="AY47" i="172"/>
  <c r="BC47" i="172"/>
  <c r="BE47" i="172"/>
  <c r="D47" i="172"/>
  <c r="CW46" i="172"/>
  <c r="P46" i="172"/>
  <c r="AH46" i="172"/>
  <c r="AY46" i="172"/>
  <c r="BC46" i="172"/>
  <c r="BE46" i="172"/>
  <c r="D46" i="172"/>
  <c r="CW45" i="172"/>
  <c r="P45" i="172"/>
  <c r="AH45" i="172"/>
  <c r="AY45" i="172"/>
  <c r="BC45" i="172"/>
  <c r="BE45" i="172"/>
  <c r="D45" i="172"/>
  <c r="CW44" i="172"/>
  <c r="P44" i="172"/>
  <c r="AH44" i="172"/>
  <c r="AY44" i="172"/>
  <c r="BC44" i="172"/>
  <c r="BE44" i="172"/>
  <c r="D44" i="172"/>
  <c r="CW43" i="172"/>
  <c r="P43" i="172"/>
  <c r="AH43" i="172"/>
  <c r="AY43" i="172"/>
  <c r="BC43" i="172"/>
  <c r="BE43" i="172"/>
  <c r="D43" i="172"/>
  <c r="CW42" i="172"/>
  <c r="P42" i="172"/>
  <c r="AH42" i="172"/>
  <c r="AY42" i="172"/>
  <c r="BC42" i="172"/>
  <c r="BE42" i="172"/>
  <c r="D42" i="172"/>
  <c r="CW41" i="172"/>
  <c r="P41" i="172"/>
  <c r="AH41" i="172"/>
  <c r="AY41" i="172"/>
  <c r="BC41" i="172"/>
  <c r="BE41" i="172"/>
  <c r="CW40" i="172"/>
  <c r="P40" i="172"/>
  <c r="AH40" i="172"/>
  <c r="AY40" i="172"/>
  <c r="BC40" i="172"/>
  <c r="BE40" i="172"/>
  <c r="D40" i="172"/>
  <c r="CW39" i="172"/>
  <c r="BC39" i="172"/>
  <c r="AY39" i="172"/>
  <c r="AH39" i="172"/>
  <c r="P39" i="172"/>
  <c r="D39" i="172"/>
  <c r="CW38" i="172"/>
  <c r="P38" i="172"/>
  <c r="AH38" i="172"/>
  <c r="AY38" i="172"/>
  <c r="BC38" i="172"/>
  <c r="BE38" i="172"/>
  <c r="D38" i="172"/>
  <c r="CW37" i="172"/>
  <c r="P37" i="172"/>
  <c r="AH37" i="172"/>
  <c r="AY37" i="172"/>
  <c r="BC37" i="172"/>
  <c r="BE37" i="172"/>
  <c r="AY36" i="172"/>
  <c r="BC36" i="172"/>
  <c r="D36" i="172"/>
  <c r="AY35" i="172"/>
  <c r="BC35" i="172"/>
  <c r="D35" i="172"/>
  <c r="CW34" i="172"/>
  <c r="BC34" i="172"/>
  <c r="AY34" i="172"/>
  <c r="AH34" i="172"/>
  <c r="P34" i="172"/>
  <c r="D34" i="172"/>
  <c r="CW33" i="172"/>
  <c r="P33" i="172"/>
  <c r="AH33" i="172"/>
  <c r="AY33" i="172"/>
  <c r="BC33" i="172"/>
  <c r="BE33" i="172"/>
  <c r="CW32" i="172"/>
  <c r="P32" i="172"/>
  <c r="AH32" i="172"/>
  <c r="AY32" i="172"/>
  <c r="BC32" i="172"/>
  <c r="BE32" i="172"/>
  <c r="P31" i="172"/>
  <c r="AH31" i="172"/>
  <c r="AY31" i="172"/>
  <c r="BC31" i="172"/>
  <c r="BE31" i="172"/>
  <c r="P30" i="172"/>
  <c r="AH30" i="172"/>
  <c r="AY30" i="172"/>
  <c r="BC30" i="172"/>
  <c r="BE30" i="172"/>
  <c r="P29" i="172"/>
  <c r="AH29" i="172"/>
  <c r="AY29" i="172"/>
  <c r="BC29" i="172"/>
  <c r="BE29" i="172"/>
  <c r="AY13" i="172"/>
  <c r="AY17" i="172"/>
  <c r="AY20" i="172"/>
  <c r="AY22" i="172"/>
  <c r="AY23" i="172"/>
  <c r="AY24" i="172"/>
  <c r="AY28" i="172"/>
  <c r="BC28" i="172"/>
  <c r="BD28" i="172"/>
  <c r="AZ24" i="172"/>
  <c r="AZ28" i="172"/>
  <c r="Q24" i="172"/>
  <c r="Q28" i="172"/>
  <c r="P27" i="172"/>
  <c r="AH27" i="172"/>
  <c r="AY27" i="172"/>
  <c r="BC27" i="172"/>
  <c r="BE27" i="172"/>
  <c r="CW26" i="172"/>
  <c r="P26" i="172"/>
  <c r="AH26" i="172"/>
  <c r="AY26" i="172"/>
  <c r="BC26" i="172"/>
  <c r="BE26" i="172"/>
  <c r="CW25" i="172"/>
  <c r="P25" i="172"/>
  <c r="AH25" i="172"/>
  <c r="AY25" i="172"/>
  <c r="BC25" i="172"/>
  <c r="BE25" i="172"/>
  <c r="CV24" i="172"/>
  <c r="P23" i="172"/>
  <c r="BC24" i="172"/>
  <c r="D24" i="172"/>
  <c r="CW23" i="172"/>
  <c r="AH23" i="172"/>
  <c r="BC23" i="172"/>
  <c r="BE23" i="172"/>
  <c r="D23" i="172"/>
  <c r="BC22" i="172"/>
  <c r="D22" i="172"/>
  <c r="CW21" i="172"/>
  <c r="P21" i="172"/>
  <c r="AH21" i="172"/>
  <c r="AY21" i="172"/>
  <c r="BC21" i="172"/>
  <c r="BE21" i="172"/>
  <c r="P20" i="172"/>
  <c r="AH20" i="172"/>
  <c r="BC20" i="172"/>
  <c r="BE20" i="172"/>
  <c r="D20" i="172"/>
  <c r="P19" i="172"/>
  <c r="AH19" i="172"/>
  <c r="AY19" i="172"/>
  <c r="BC19" i="172"/>
  <c r="BE19" i="172"/>
  <c r="D19" i="172"/>
  <c r="CW18" i="172"/>
  <c r="P18" i="172"/>
  <c r="AH18" i="172"/>
  <c r="AY18" i="172"/>
  <c r="BC18" i="172"/>
  <c r="BE18" i="172"/>
  <c r="P17" i="172"/>
  <c r="AH17" i="172"/>
  <c r="BC17" i="172"/>
  <c r="BE17" i="172"/>
  <c r="D17" i="172"/>
  <c r="P16" i="172"/>
  <c r="AH16" i="172"/>
  <c r="AY16" i="172"/>
  <c r="BC16" i="172"/>
  <c r="BE16" i="172"/>
  <c r="D16" i="172"/>
  <c r="P15" i="172"/>
  <c r="AH15" i="172"/>
  <c r="AY15" i="172"/>
  <c r="BC15" i="172"/>
  <c r="BE15" i="172"/>
  <c r="D15" i="172"/>
  <c r="CW14" i="172"/>
  <c r="P14" i="172"/>
  <c r="AH14" i="172"/>
  <c r="AY14" i="172"/>
  <c r="BC14" i="172"/>
  <c r="BE14" i="172"/>
  <c r="CW13" i="172"/>
  <c r="P13" i="172"/>
  <c r="AH13" i="172"/>
  <c r="BC13" i="172"/>
  <c r="BE13" i="172"/>
  <c r="D13" i="172"/>
  <c r="P12" i="172"/>
  <c r="AH12" i="172"/>
  <c r="AY12" i="172"/>
  <c r="BC12" i="172"/>
  <c r="BE12" i="172"/>
  <c r="P11" i="172"/>
  <c r="AH11" i="172"/>
  <c r="AY11" i="172"/>
  <c r="BC11" i="172"/>
  <c r="BE11" i="172"/>
  <c r="D11" i="172"/>
  <c r="P10" i="172"/>
  <c r="AH10" i="172"/>
  <c r="AY10" i="172"/>
  <c r="BC10" i="172"/>
  <c r="BE10" i="172"/>
  <c r="P9" i="172"/>
  <c r="AH9" i="172"/>
  <c r="AY9" i="172"/>
  <c r="BC9" i="172"/>
  <c r="BE9" i="172"/>
  <c r="D9" i="172"/>
  <c r="CR4" i="172"/>
  <c r="CN4" i="172"/>
  <c r="CJ4" i="172"/>
  <c r="CF4" i="172"/>
  <c r="CB4" i="172"/>
  <c r="BX4" i="172"/>
  <c r="BT4" i="172"/>
  <c r="BP4" i="172"/>
  <c r="BL4" i="172"/>
  <c r="BH4" i="172"/>
  <c r="BE4" i="172"/>
  <c r="BB4" i="172"/>
  <c r="BA4" i="172"/>
  <c r="AX4" i="172"/>
  <c r="AW4" i="172"/>
  <c r="AV4" i="172"/>
  <c r="AU4" i="172"/>
  <c r="AT4" i="172"/>
  <c r="AS4" i="172"/>
  <c r="AR4" i="172"/>
  <c r="AQ4" i="172"/>
  <c r="AP4" i="172"/>
  <c r="AO4" i="172"/>
  <c r="AN4" i="172"/>
  <c r="AM4" i="172"/>
  <c r="AL4" i="172"/>
  <c r="AK4" i="172"/>
  <c r="AJ4" i="172"/>
  <c r="AG4" i="172"/>
  <c r="AF4" i="172"/>
  <c r="AE4" i="172"/>
  <c r="AD4" i="172"/>
  <c r="AC4" i="172"/>
  <c r="AB4" i="172"/>
  <c r="AA4" i="172"/>
  <c r="Z4" i="172"/>
  <c r="Y4" i="172"/>
  <c r="X4" i="172"/>
  <c r="W4" i="172"/>
  <c r="V4" i="172"/>
  <c r="U4" i="172"/>
  <c r="T4" i="172"/>
  <c r="S4" i="172"/>
  <c r="R4" i="172"/>
  <c r="O4" i="172"/>
  <c r="N4" i="172"/>
  <c r="M4" i="172"/>
  <c r="L4" i="172"/>
  <c r="K4" i="172"/>
  <c r="J4" i="172"/>
  <c r="I4" i="172"/>
  <c r="H4" i="172"/>
  <c r="G4" i="172"/>
  <c r="E3" i="172"/>
  <c r="CO42" i="171"/>
  <c r="CO43" i="171"/>
  <c r="CO44" i="171"/>
  <c r="CO45" i="171"/>
  <c r="CO46" i="171"/>
  <c r="CO47" i="171"/>
  <c r="CP42" i="171"/>
  <c r="CP43" i="171"/>
  <c r="CP44" i="171"/>
  <c r="CP45" i="171"/>
  <c r="CP46" i="171"/>
  <c r="CP47" i="171"/>
  <c r="CQ42" i="171"/>
  <c r="CQ43" i="171"/>
  <c r="CQ44" i="171"/>
  <c r="CQ45" i="171"/>
  <c r="CQ46" i="171"/>
  <c r="CQ47" i="171"/>
  <c r="CW47" i="171"/>
  <c r="CO49" i="171"/>
  <c r="CO50" i="171"/>
  <c r="CP49" i="171"/>
  <c r="CP50" i="171"/>
  <c r="CQ49" i="171"/>
  <c r="CQ50" i="171"/>
  <c r="CW50" i="171"/>
  <c r="CO53" i="171"/>
  <c r="CO54" i="171"/>
  <c r="CP53" i="171"/>
  <c r="CP54" i="171"/>
  <c r="CQ53" i="171"/>
  <c r="CQ54" i="171"/>
  <c r="CW54" i="171"/>
  <c r="CO57" i="171"/>
  <c r="CO61" i="171"/>
  <c r="CO63" i="171"/>
  <c r="CO59" i="171"/>
  <c r="CO64" i="171"/>
  <c r="CP57" i="171"/>
  <c r="CP61" i="171"/>
  <c r="CP63" i="171"/>
  <c r="CP59" i="171"/>
  <c r="CP64" i="171"/>
  <c r="CQ57" i="171"/>
  <c r="CQ61" i="171"/>
  <c r="CQ63" i="171"/>
  <c r="CQ59" i="171"/>
  <c r="CQ64" i="171"/>
  <c r="S83" i="171"/>
  <c r="R63" i="171"/>
  <c r="R64" i="171"/>
  <c r="CO11" i="171"/>
  <c r="CO12" i="171"/>
  <c r="CO9" i="171"/>
  <c r="CO10" i="171"/>
  <c r="CO13" i="171"/>
  <c r="CO15" i="171"/>
  <c r="CO16" i="171"/>
  <c r="CO17" i="171"/>
  <c r="CO19" i="171"/>
  <c r="CO20" i="171"/>
  <c r="CO22" i="171"/>
  <c r="CO23" i="171"/>
  <c r="CO24" i="171"/>
  <c r="CO28" i="171"/>
  <c r="CO34" i="171"/>
  <c r="CO35" i="171"/>
  <c r="CO36" i="171"/>
  <c r="CO38" i="171"/>
  <c r="CO39" i="171"/>
  <c r="CO40" i="171"/>
  <c r="CO66" i="171"/>
  <c r="CO71" i="171"/>
  <c r="CO73" i="171"/>
  <c r="CO74" i="171"/>
  <c r="CO77" i="171"/>
  <c r="CO79" i="171"/>
  <c r="CO80" i="171"/>
  <c r="CO83" i="171"/>
  <c r="CO84" i="171"/>
  <c r="CO85" i="171"/>
  <c r="CO87" i="171"/>
  <c r="CO90" i="171"/>
  <c r="CP11" i="171"/>
  <c r="CP12" i="171"/>
  <c r="CP9" i="171"/>
  <c r="CP10" i="171"/>
  <c r="CP13" i="171"/>
  <c r="CP15" i="171"/>
  <c r="CP16" i="171"/>
  <c r="CP17" i="171"/>
  <c r="CP19" i="171"/>
  <c r="CP20" i="171"/>
  <c r="CP22" i="171"/>
  <c r="CP23" i="171"/>
  <c r="CP24" i="171"/>
  <c r="CP28" i="171"/>
  <c r="CP34" i="171"/>
  <c r="CP35" i="171"/>
  <c r="CP36" i="171"/>
  <c r="CP38" i="171"/>
  <c r="CP39" i="171"/>
  <c r="CP40" i="171"/>
  <c r="CP66" i="171"/>
  <c r="CP71" i="171"/>
  <c r="CP73" i="171"/>
  <c r="CP74" i="171"/>
  <c r="CP77" i="171"/>
  <c r="CP79" i="171"/>
  <c r="CP80" i="171"/>
  <c r="CP83" i="171"/>
  <c r="CP84" i="171"/>
  <c r="CP85" i="171"/>
  <c r="CP87" i="171"/>
  <c r="CP90" i="171"/>
  <c r="CQ11" i="171"/>
  <c r="CQ12" i="171"/>
  <c r="CQ9" i="171"/>
  <c r="CQ10" i="171"/>
  <c r="CQ13" i="171"/>
  <c r="CQ15" i="171"/>
  <c r="CQ16" i="171"/>
  <c r="CQ17" i="171"/>
  <c r="CQ19" i="171"/>
  <c r="CQ20" i="171"/>
  <c r="CQ22" i="171"/>
  <c r="CQ23" i="171"/>
  <c r="CQ24" i="171"/>
  <c r="CQ28" i="171"/>
  <c r="CQ34" i="171"/>
  <c r="CQ35" i="171"/>
  <c r="CQ36" i="171"/>
  <c r="CQ38" i="171"/>
  <c r="CQ39" i="171"/>
  <c r="CQ40" i="171"/>
  <c r="CQ66" i="171"/>
  <c r="CQ71" i="171"/>
  <c r="CQ73" i="171"/>
  <c r="CQ74" i="171"/>
  <c r="CQ77" i="171"/>
  <c r="CQ79" i="171"/>
  <c r="CQ80" i="171"/>
  <c r="CQ83" i="171"/>
  <c r="CQ84" i="171"/>
  <c r="CQ85" i="171"/>
  <c r="CQ87" i="171"/>
  <c r="CQ90" i="171"/>
  <c r="L110" i="138"/>
  <c r="G11" i="171"/>
  <c r="G12" i="171"/>
  <c r="L134" i="137"/>
  <c r="G9" i="171"/>
  <c r="G10" i="171"/>
  <c r="G13" i="171"/>
  <c r="G15" i="171"/>
  <c r="G16" i="171"/>
  <c r="G17" i="171"/>
  <c r="G19" i="171"/>
  <c r="G20" i="171"/>
  <c r="G22" i="171"/>
  <c r="G23" i="171"/>
  <c r="G24" i="171"/>
  <c r="G28" i="171"/>
  <c r="G34" i="171"/>
  <c r="G35" i="171"/>
  <c r="G36" i="171"/>
  <c r="G38" i="171"/>
  <c r="G39" i="171"/>
  <c r="G40" i="171"/>
  <c r="G42" i="171"/>
  <c r="G43" i="171"/>
  <c r="G44" i="171"/>
  <c r="G45" i="171"/>
  <c r="G46" i="171"/>
  <c r="G47" i="171"/>
  <c r="G49" i="171"/>
  <c r="G50" i="171"/>
  <c r="G53" i="171"/>
  <c r="G54" i="171"/>
  <c r="G57" i="171"/>
  <c r="G61" i="171"/>
  <c r="G63" i="171"/>
  <c r="G59" i="171"/>
  <c r="G64" i="171"/>
  <c r="G66" i="171"/>
  <c r="G71" i="171"/>
  <c r="G73" i="171"/>
  <c r="G74" i="171"/>
  <c r="G77" i="171"/>
  <c r="G79" i="171"/>
  <c r="G80" i="171"/>
  <c r="G83" i="171"/>
  <c r="G85" i="171"/>
  <c r="G87" i="171"/>
  <c r="G90" i="171"/>
  <c r="H11" i="171"/>
  <c r="H12" i="171"/>
  <c r="H9" i="171"/>
  <c r="H10" i="171"/>
  <c r="H13" i="171"/>
  <c r="L193" i="49"/>
  <c r="H15" i="171"/>
  <c r="L155" i="62"/>
  <c r="H16" i="171"/>
  <c r="H17" i="171"/>
  <c r="H19" i="171"/>
  <c r="H20" i="171"/>
  <c r="H22" i="171"/>
  <c r="H23" i="171"/>
  <c r="H24" i="171"/>
  <c r="H28" i="171"/>
  <c r="H34" i="171"/>
  <c r="H35" i="171"/>
  <c r="H36" i="171"/>
  <c r="H38" i="171"/>
  <c r="H39" i="171"/>
  <c r="H40" i="171"/>
  <c r="H42" i="171"/>
  <c r="H43" i="171"/>
  <c r="H44" i="171"/>
  <c r="H45" i="171"/>
  <c r="H46" i="171"/>
  <c r="H47" i="171"/>
  <c r="H49" i="171"/>
  <c r="H50" i="171"/>
  <c r="H53" i="171"/>
  <c r="H54" i="171"/>
  <c r="H57" i="171"/>
  <c r="H61" i="171"/>
  <c r="H63" i="171"/>
  <c r="H59" i="171"/>
  <c r="H64" i="171"/>
  <c r="H66" i="171"/>
  <c r="H71" i="171"/>
  <c r="H73" i="171"/>
  <c r="H74" i="171"/>
  <c r="H77" i="171"/>
  <c r="H79" i="171"/>
  <c r="H80" i="171"/>
  <c r="H83" i="171"/>
  <c r="H85" i="171"/>
  <c r="H87" i="171"/>
  <c r="H90" i="171"/>
  <c r="I11" i="171"/>
  <c r="I12" i="171"/>
  <c r="I9" i="171"/>
  <c r="I10" i="171"/>
  <c r="I13" i="171"/>
  <c r="L194" i="49"/>
  <c r="I15" i="171"/>
  <c r="L156" i="62"/>
  <c r="I16" i="171"/>
  <c r="I17" i="171"/>
  <c r="I19" i="171"/>
  <c r="I20" i="171"/>
  <c r="I22" i="171"/>
  <c r="I23" i="171"/>
  <c r="I24" i="171"/>
  <c r="I28" i="171"/>
  <c r="I34" i="171"/>
  <c r="I35" i="171"/>
  <c r="I36" i="171"/>
  <c r="I38" i="171"/>
  <c r="I39" i="171"/>
  <c r="I40" i="171"/>
  <c r="I42" i="171"/>
  <c r="I43" i="171"/>
  <c r="I44" i="171"/>
  <c r="I45" i="171"/>
  <c r="I46" i="171"/>
  <c r="I47" i="171"/>
  <c r="I49" i="171"/>
  <c r="I50" i="171"/>
  <c r="I53" i="171"/>
  <c r="I54" i="171"/>
  <c r="I57" i="171"/>
  <c r="I61" i="171"/>
  <c r="I63" i="171"/>
  <c r="I59" i="171"/>
  <c r="I64" i="171"/>
  <c r="I66" i="171"/>
  <c r="I71" i="171"/>
  <c r="I73" i="171"/>
  <c r="I74" i="171"/>
  <c r="I77" i="171"/>
  <c r="I79" i="171"/>
  <c r="I80" i="171"/>
  <c r="I83" i="171"/>
  <c r="I85" i="171"/>
  <c r="I87" i="171"/>
  <c r="I90" i="171"/>
  <c r="J11" i="171"/>
  <c r="J12" i="171"/>
  <c r="J9" i="171"/>
  <c r="J10" i="171"/>
  <c r="J13" i="171"/>
  <c r="J15" i="171"/>
  <c r="J16" i="171"/>
  <c r="J17" i="171"/>
  <c r="L441" i="39"/>
  <c r="J19" i="171"/>
  <c r="J20" i="171"/>
  <c r="J22" i="171"/>
  <c r="J23" i="171"/>
  <c r="J24" i="171"/>
  <c r="J28" i="171"/>
  <c r="J34" i="171"/>
  <c r="J38" i="171"/>
  <c r="L212" i="48"/>
  <c r="J39" i="171"/>
  <c r="J40" i="171"/>
  <c r="J42" i="171"/>
  <c r="J43" i="171"/>
  <c r="J44" i="171"/>
  <c r="J45" i="171"/>
  <c r="J46" i="171"/>
  <c r="J47" i="171"/>
  <c r="J49" i="171"/>
  <c r="J50" i="171"/>
  <c r="J53" i="171"/>
  <c r="J54" i="171"/>
  <c r="J57" i="171"/>
  <c r="J61" i="171"/>
  <c r="J63" i="171"/>
  <c r="J59" i="171"/>
  <c r="J64" i="171"/>
  <c r="J71" i="171"/>
  <c r="J73" i="171"/>
  <c r="J74" i="171"/>
  <c r="J77" i="171"/>
  <c r="J79" i="171"/>
  <c r="J80" i="171"/>
  <c r="J83" i="171"/>
  <c r="J85" i="171"/>
  <c r="J87" i="171"/>
  <c r="K11" i="171"/>
  <c r="K12" i="171"/>
  <c r="K9" i="171"/>
  <c r="K10" i="171"/>
  <c r="K13" i="171"/>
  <c r="K15" i="171"/>
  <c r="K16" i="171"/>
  <c r="K17" i="171"/>
  <c r="K19" i="171"/>
  <c r="K20" i="171"/>
  <c r="L436" i="41"/>
  <c r="K23" i="171"/>
  <c r="K34" i="171"/>
  <c r="K35" i="171"/>
  <c r="K36" i="171"/>
  <c r="K38" i="171"/>
  <c r="K39" i="171"/>
  <c r="K40" i="171"/>
  <c r="K42" i="171"/>
  <c r="K43" i="171"/>
  <c r="K44" i="171"/>
  <c r="K45" i="171"/>
  <c r="K46" i="171"/>
  <c r="K47" i="171"/>
  <c r="K49" i="171"/>
  <c r="K50" i="171"/>
  <c r="K53" i="171"/>
  <c r="K54" i="171"/>
  <c r="K57" i="171"/>
  <c r="K61" i="171"/>
  <c r="K63" i="171"/>
  <c r="K59" i="171"/>
  <c r="K64" i="171"/>
  <c r="K66" i="171"/>
  <c r="K71" i="171"/>
  <c r="K73" i="171"/>
  <c r="K74" i="171"/>
  <c r="K77" i="171"/>
  <c r="K79" i="171"/>
  <c r="K80" i="171"/>
  <c r="K83" i="171"/>
  <c r="K85" i="171"/>
  <c r="K87" i="171"/>
  <c r="L11" i="171"/>
  <c r="L12" i="171"/>
  <c r="L9" i="171"/>
  <c r="L10" i="171"/>
  <c r="L13" i="171"/>
  <c r="L15" i="171"/>
  <c r="L16" i="171"/>
  <c r="L17" i="171"/>
  <c r="L19" i="171"/>
  <c r="L20" i="171"/>
  <c r="L437" i="41"/>
  <c r="L23" i="171"/>
  <c r="L34" i="171"/>
  <c r="L35" i="171"/>
  <c r="L36" i="171"/>
  <c r="L38" i="171"/>
  <c r="L39" i="171"/>
  <c r="L40" i="171"/>
  <c r="L42" i="171"/>
  <c r="L43" i="171"/>
  <c r="L44" i="171"/>
  <c r="L45" i="171"/>
  <c r="L46" i="171"/>
  <c r="L47" i="171"/>
  <c r="L49" i="171"/>
  <c r="L50" i="171"/>
  <c r="L53" i="171"/>
  <c r="L54" i="171"/>
  <c r="L57" i="171"/>
  <c r="L61" i="171"/>
  <c r="L63" i="171"/>
  <c r="L59" i="171"/>
  <c r="L64" i="171"/>
  <c r="L66" i="171"/>
  <c r="L71" i="171"/>
  <c r="L73" i="171"/>
  <c r="L74" i="171"/>
  <c r="L77" i="171"/>
  <c r="L79" i="171"/>
  <c r="L80" i="171"/>
  <c r="L83" i="171"/>
  <c r="L85" i="171"/>
  <c r="L87" i="171"/>
  <c r="M11" i="171"/>
  <c r="M12" i="171"/>
  <c r="M9" i="171"/>
  <c r="M10" i="171"/>
  <c r="M13" i="171"/>
  <c r="M15" i="171"/>
  <c r="M16" i="171"/>
  <c r="M17" i="171"/>
  <c r="M19" i="171"/>
  <c r="M20" i="171"/>
  <c r="M23" i="171"/>
  <c r="M34" i="171"/>
  <c r="M35" i="171"/>
  <c r="M36" i="171"/>
  <c r="M38" i="171"/>
  <c r="M39" i="171"/>
  <c r="M40" i="171"/>
  <c r="M42" i="171"/>
  <c r="M43" i="171"/>
  <c r="M44" i="171"/>
  <c r="M45" i="171"/>
  <c r="M46" i="171"/>
  <c r="M47" i="171"/>
  <c r="M49" i="171"/>
  <c r="M50" i="171"/>
  <c r="M53" i="171"/>
  <c r="M54" i="171"/>
  <c r="M57" i="171"/>
  <c r="M61" i="171"/>
  <c r="M63" i="171"/>
  <c r="M59" i="171"/>
  <c r="M64" i="171"/>
  <c r="M66" i="171"/>
  <c r="M71" i="171"/>
  <c r="M73" i="171"/>
  <c r="M74" i="171"/>
  <c r="M77" i="171"/>
  <c r="M79" i="171"/>
  <c r="M80" i="171"/>
  <c r="M83" i="171"/>
  <c r="M85" i="171"/>
  <c r="M87" i="171"/>
  <c r="N11" i="171"/>
  <c r="N12" i="171"/>
  <c r="N9" i="171"/>
  <c r="N10" i="171"/>
  <c r="N13" i="171"/>
  <c r="N15" i="171"/>
  <c r="N16" i="171"/>
  <c r="N17" i="171"/>
  <c r="N19" i="171"/>
  <c r="N20" i="171"/>
  <c r="N22" i="171"/>
  <c r="L438" i="41"/>
  <c r="N23" i="171"/>
  <c r="N24" i="171"/>
  <c r="N28" i="171"/>
  <c r="N34" i="171"/>
  <c r="N35" i="171"/>
  <c r="N36" i="171"/>
  <c r="N38" i="171"/>
  <c r="N39" i="171"/>
  <c r="N40" i="171"/>
  <c r="N42" i="171"/>
  <c r="N43" i="171"/>
  <c r="N44" i="171"/>
  <c r="N45" i="171"/>
  <c r="N46" i="171"/>
  <c r="N47" i="171"/>
  <c r="N49" i="171"/>
  <c r="N50" i="171"/>
  <c r="N53" i="171"/>
  <c r="N54" i="171"/>
  <c r="N57" i="171"/>
  <c r="N61" i="171"/>
  <c r="N63" i="171"/>
  <c r="N59" i="171"/>
  <c r="N64" i="171"/>
  <c r="N66" i="171"/>
  <c r="N71" i="171"/>
  <c r="N73" i="171"/>
  <c r="N74" i="171"/>
  <c r="N77" i="171"/>
  <c r="N79" i="171"/>
  <c r="N80" i="171"/>
  <c r="N83" i="171"/>
  <c r="N85" i="171"/>
  <c r="N87" i="171"/>
  <c r="N90" i="171"/>
  <c r="O11" i="171"/>
  <c r="O12" i="171"/>
  <c r="O9" i="171"/>
  <c r="O10" i="171"/>
  <c r="O13" i="171"/>
  <c r="O15" i="171"/>
  <c r="O16" i="171"/>
  <c r="O17" i="171"/>
  <c r="O19" i="171"/>
  <c r="O20" i="171"/>
  <c r="O22" i="171"/>
  <c r="L439" i="41"/>
  <c r="O23" i="171"/>
  <c r="O24" i="171"/>
  <c r="O28" i="171"/>
  <c r="O34" i="171"/>
  <c r="O35" i="171"/>
  <c r="O36" i="171"/>
  <c r="O38" i="171"/>
  <c r="O39" i="171"/>
  <c r="O40" i="171"/>
  <c r="O42" i="171"/>
  <c r="O43" i="171"/>
  <c r="O44" i="171"/>
  <c r="O45" i="171"/>
  <c r="O46" i="171"/>
  <c r="O47" i="171"/>
  <c r="O49" i="171"/>
  <c r="O50" i="171"/>
  <c r="O53" i="171"/>
  <c r="O54" i="171"/>
  <c r="O57" i="171"/>
  <c r="O61" i="171"/>
  <c r="O63" i="171"/>
  <c r="O59" i="171"/>
  <c r="O64" i="171"/>
  <c r="O66" i="171"/>
  <c r="O71" i="171"/>
  <c r="O73" i="171"/>
  <c r="O74" i="171"/>
  <c r="O77" i="171"/>
  <c r="O79" i="171"/>
  <c r="O80" i="171"/>
  <c r="O83" i="171"/>
  <c r="O85" i="171"/>
  <c r="O87" i="171"/>
  <c r="O90" i="171"/>
  <c r="R83" i="171"/>
  <c r="R85" i="171"/>
  <c r="R87" i="171"/>
  <c r="AA11" i="171"/>
  <c r="AA12" i="171"/>
  <c r="AA9" i="171"/>
  <c r="AA10" i="171"/>
  <c r="AA13" i="171"/>
  <c r="AA15" i="171"/>
  <c r="AA16" i="171"/>
  <c r="AA17" i="171"/>
  <c r="AA19" i="171"/>
  <c r="AA20" i="171"/>
  <c r="AA22" i="171"/>
  <c r="AA23" i="171"/>
  <c r="AA24" i="171"/>
  <c r="AA28" i="171"/>
  <c r="AA34" i="171"/>
  <c r="AA35" i="171"/>
  <c r="AA36" i="171"/>
  <c r="AA38" i="171"/>
  <c r="AA39" i="171"/>
  <c r="AA40" i="171"/>
  <c r="AA42" i="171"/>
  <c r="AA43" i="171"/>
  <c r="AA44" i="171"/>
  <c r="AA45" i="171"/>
  <c r="AA46" i="171"/>
  <c r="AA47" i="171"/>
  <c r="AA49" i="171"/>
  <c r="AA50" i="171"/>
  <c r="AA53" i="171"/>
  <c r="AA54" i="171"/>
  <c r="AA57" i="171"/>
  <c r="AA61" i="171"/>
  <c r="AA63" i="171"/>
  <c r="AA59" i="171"/>
  <c r="AA64" i="171"/>
  <c r="AA66" i="171"/>
  <c r="AA71" i="171"/>
  <c r="AA73" i="171"/>
  <c r="AA74" i="171"/>
  <c r="AA77" i="171"/>
  <c r="AA79" i="171"/>
  <c r="AA80" i="171"/>
  <c r="AA83" i="171"/>
  <c r="AA85" i="171"/>
  <c r="AA87" i="171"/>
  <c r="AA90" i="171"/>
  <c r="AB11" i="171"/>
  <c r="AB12" i="171"/>
  <c r="AB9" i="171"/>
  <c r="AB10" i="171"/>
  <c r="AB13" i="171"/>
  <c r="AB15" i="171"/>
  <c r="AB16" i="171"/>
  <c r="AB17" i="171"/>
  <c r="AB19" i="171"/>
  <c r="AB20" i="171"/>
  <c r="AB22" i="171"/>
  <c r="AB23" i="171"/>
  <c r="AB24" i="171"/>
  <c r="AB28" i="171"/>
  <c r="AB34" i="171"/>
  <c r="AB35" i="171"/>
  <c r="AB36" i="171"/>
  <c r="AB38" i="171"/>
  <c r="AB39" i="171"/>
  <c r="AB40" i="171"/>
  <c r="AB42" i="171"/>
  <c r="AB43" i="171"/>
  <c r="AB44" i="171"/>
  <c r="AB45" i="171"/>
  <c r="AB46" i="171"/>
  <c r="AB47" i="171"/>
  <c r="AB49" i="171"/>
  <c r="AB50" i="171"/>
  <c r="AB53" i="171"/>
  <c r="AB54" i="171"/>
  <c r="AB57" i="171"/>
  <c r="AB61" i="171"/>
  <c r="AB63" i="171"/>
  <c r="AB59" i="171"/>
  <c r="AB64" i="171"/>
  <c r="AB66" i="171"/>
  <c r="AB71" i="171"/>
  <c r="AB73" i="171"/>
  <c r="AB74" i="171"/>
  <c r="AB77" i="171"/>
  <c r="AB79" i="171"/>
  <c r="AB80" i="171"/>
  <c r="AB83" i="171"/>
  <c r="AB85" i="171"/>
  <c r="AB87" i="171"/>
  <c r="AB90" i="171"/>
  <c r="L421" i="110"/>
  <c r="AC77" i="171"/>
  <c r="AC79" i="171"/>
  <c r="AC80" i="171"/>
  <c r="AC83" i="171"/>
  <c r="AC85" i="171"/>
  <c r="AC87" i="171"/>
  <c r="AC90" i="171"/>
  <c r="L422" i="110"/>
  <c r="AD77" i="171"/>
  <c r="AD79" i="171"/>
  <c r="AD80" i="171"/>
  <c r="AD83" i="171"/>
  <c r="AD85" i="171"/>
  <c r="AD87" i="171"/>
  <c r="AD90" i="171"/>
  <c r="L418" i="110"/>
  <c r="AE77" i="171"/>
  <c r="AE79" i="171"/>
  <c r="AE80" i="171"/>
  <c r="AE83" i="171"/>
  <c r="AE85" i="171"/>
  <c r="AE87" i="171"/>
  <c r="AE90" i="171"/>
  <c r="L419" i="110"/>
  <c r="AF77" i="171"/>
  <c r="AF79" i="171"/>
  <c r="AF80" i="171"/>
  <c r="AF83" i="171"/>
  <c r="AF85" i="171"/>
  <c r="AF87" i="171"/>
  <c r="AF90" i="171"/>
  <c r="L420" i="110"/>
  <c r="AG77" i="171"/>
  <c r="AG79" i="171"/>
  <c r="AG80" i="171"/>
  <c r="AG83" i="171"/>
  <c r="AG85" i="171"/>
  <c r="AG87" i="171"/>
  <c r="AG90" i="171"/>
  <c r="AJ11" i="171"/>
  <c r="AJ12" i="171"/>
  <c r="AJ9" i="171"/>
  <c r="AJ10" i="171"/>
  <c r="AJ13" i="171"/>
  <c r="AJ15" i="171"/>
  <c r="AJ16" i="171"/>
  <c r="AJ17" i="171"/>
  <c r="AJ19" i="171"/>
  <c r="AJ20" i="171"/>
  <c r="AJ22" i="171"/>
  <c r="AJ23" i="171"/>
  <c r="AJ24" i="171"/>
  <c r="AJ28" i="171"/>
  <c r="AJ34" i="171"/>
  <c r="AJ35" i="171"/>
  <c r="AJ36" i="171"/>
  <c r="AJ38" i="171"/>
  <c r="L219" i="48"/>
  <c r="AJ39" i="171"/>
  <c r="AJ40" i="171"/>
  <c r="AJ42" i="171"/>
  <c r="AJ43" i="171"/>
  <c r="AJ44" i="171"/>
  <c r="AJ45" i="171"/>
  <c r="AJ46" i="171"/>
  <c r="AJ47" i="171"/>
  <c r="AJ49" i="171"/>
  <c r="AJ50" i="171"/>
  <c r="AJ53" i="171"/>
  <c r="AJ54" i="171"/>
  <c r="AJ57" i="171"/>
  <c r="AJ61" i="171"/>
  <c r="AJ63" i="171"/>
  <c r="AJ59" i="171"/>
  <c r="AJ64" i="171"/>
  <c r="AJ66" i="171"/>
  <c r="AJ71" i="171"/>
  <c r="AJ73" i="171"/>
  <c r="AJ74" i="171"/>
  <c r="AJ77" i="171"/>
  <c r="AJ79" i="171"/>
  <c r="AJ80" i="171"/>
  <c r="AJ83" i="171"/>
  <c r="AJ85" i="171"/>
  <c r="AJ87" i="171"/>
  <c r="AJ90" i="171"/>
  <c r="AL11" i="171"/>
  <c r="AL12" i="171"/>
  <c r="AL9" i="171"/>
  <c r="AL10" i="171"/>
  <c r="AL13" i="171"/>
  <c r="AL15" i="171"/>
  <c r="AL16" i="171"/>
  <c r="AL17" i="171"/>
  <c r="AL19" i="171"/>
  <c r="AL20" i="171"/>
  <c r="AL22" i="171"/>
  <c r="AL23" i="171"/>
  <c r="AL24" i="171"/>
  <c r="AL28" i="171"/>
  <c r="AL34" i="171"/>
  <c r="AL35" i="171"/>
  <c r="AL36" i="171"/>
  <c r="AL38" i="171"/>
  <c r="L221" i="48"/>
  <c r="AL39" i="171"/>
  <c r="AL40" i="171"/>
  <c r="AL42" i="171"/>
  <c r="AL43" i="171"/>
  <c r="AL44" i="171"/>
  <c r="AL45" i="171"/>
  <c r="AL46" i="171"/>
  <c r="AL47" i="171"/>
  <c r="AL49" i="171"/>
  <c r="AL50" i="171"/>
  <c r="AL53" i="171"/>
  <c r="AL54" i="171"/>
  <c r="AL57" i="171"/>
  <c r="AL61" i="171"/>
  <c r="AL63" i="171"/>
  <c r="AL59" i="171"/>
  <c r="AL64" i="171"/>
  <c r="AL66" i="171"/>
  <c r="AL71" i="171"/>
  <c r="AL73" i="171"/>
  <c r="AL74" i="171"/>
  <c r="AL77" i="171"/>
  <c r="AL79" i="171"/>
  <c r="AL80" i="171"/>
  <c r="AL83" i="171"/>
  <c r="AL85" i="171"/>
  <c r="AL87" i="171"/>
  <c r="AL90" i="171"/>
  <c r="AM11" i="171"/>
  <c r="AM12" i="171"/>
  <c r="AM9" i="171"/>
  <c r="AM10" i="171"/>
  <c r="AM13" i="171"/>
  <c r="AM15" i="171"/>
  <c r="AM16" i="171"/>
  <c r="AM17" i="171"/>
  <c r="AM19" i="171"/>
  <c r="AM20" i="171"/>
  <c r="AM22" i="171"/>
  <c r="AM23" i="171"/>
  <c r="AM24" i="171"/>
  <c r="AM28" i="171"/>
  <c r="AM34" i="171"/>
  <c r="AM35" i="171"/>
  <c r="AM36" i="171"/>
  <c r="AM38" i="171"/>
  <c r="AM39" i="171"/>
  <c r="AM40" i="171"/>
  <c r="AM42" i="171"/>
  <c r="AM43" i="171"/>
  <c r="AM44" i="171"/>
  <c r="AM45" i="171"/>
  <c r="AM46" i="171"/>
  <c r="AM47" i="171"/>
  <c r="AM49" i="171"/>
  <c r="AM50" i="171"/>
  <c r="AM53" i="171"/>
  <c r="AM54" i="171"/>
  <c r="AM57" i="171"/>
  <c r="AM61" i="171"/>
  <c r="AM63" i="171"/>
  <c r="AM59" i="171"/>
  <c r="AM64" i="171"/>
  <c r="AM66" i="171"/>
  <c r="AM71" i="171"/>
  <c r="AM73" i="171"/>
  <c r="AM74" i="171"/>
  <c r="AM77" i="171"/>
  <c r="AM83" i="171"/>
  <c r="AM85" i="171"/>
  <c r="AN11" i="171"/>
  <c r="AN12" i="171"/>
  <c r="AN9" i="171"/>
  <c r="AN10" i="171"/>
  <c r="AN13" i="171"/>
  <c r="AN15" i="171"/>
  <c r="AN16" i="171"/>
  <c r="AN17" i="171"/>
  <c r="AN19" i="171"/>
  <c r="AN20" i="171"/>
  <c r="AN22" i="171"/>
  <c r="AN23" i="171"/>
  <c r="AN24" i="171"/>
  <c r="AN28" i="171"/>
  <c r="AN34" i="171"/>
  <c r="AN35" i="171"/>
  <c r="AN36" i="171"/>
  <c r="AN38" i="171"/>
  <c r="AN39" i="171"/>
  <c r="AN40" i="171"/>
  <c r="AN42" i="171"/>
  <c r="AN43" i="171"/>
  <c r="AN44" i="171"/>
  <c r="AN45" i="171"/>
  <c r="AN46" i="171"/>
  <c r="AN47" i="171"/>
  <c r="AN49" i="171"/>
  <c r="AN50" i="171"/>
  <c r="AN53" i="171"/>
  <c r="AN54" i="171"/>
  <c r="AN57" i="171"/>
  <c r="AN61" i="171"/>
  <c r="AN63" i="171"/>
  <c r="AN59" i="171"/>
  <c r="AN64" i="171"/>
  <c r="AN66" i="171"/>
  <c r="L151" i="31"/>
  <c r="AN71" i="171"/>
  <c r="AN73" i="171"/>
  <c r="AN74" i="171"/>
  <c r="AN77" i="171"/>
  <c r="AN79" i="171"/>
  <c r="AN80" i="171"/>
  <c r="AN83" i="171"/>
  <c r="AO11" i="171"/>
  <c r="AO12" i="171"/>
  <c r="AO9" i="171"/>
  <c r="AO10" i="171"/>
  <c r="AO13" i="171"/>
  <c r="AO15" i="171"/>
  <c r="AO16" i="171"/>
  <c r="AO17" i="171"/>
  <c r="AO19" i="171"/>
  <c r="AO20" i="171"/>
  <c r="AO22" i="171"/>
  <c r="AO23" i="171"/>
  <c r="AO24" i="171"/>
  <c r="AO28" i="171"/>
  <c r="AO34" i="171"/>
  <c r="AO35" i="171"/>
  <c r="AO36" i="171"/>
  <c r="AO38" i="171"/>
  <c r="AO39" i="171"/>
  <c r="AO40" i="171"/>
  <c r="AO42" i="171"/>
  <c r="AO43" i="171"/>
  <c r="AO44" i="171"/>
  <c r="AO45" i="171"/>
  <c r="AO46" i="171"/>
  <c r="AO47" i="171"/>
  <c r="AO49" i="171"/>
  <c r="AO50" i="171"/>
  <c r="AO53" i="171"/>
  <c r="AO54" i="171"/>
  <c r="AO57" i="171"/>
  <c r="AO61" i="171"/>
  <c r="AO63" i="171"/>
  <c r="AO59" i="171"/>
  <c r="AO64" i="171"/>
  <c r="AO66" i="171"/>
  <c r="AO71" i="171"/>
  <c r="AO73" i="171"/>
  <c r="AO74" i="171"/>
  <c r="AO77" i="171"/>
  <c r="AO79" i="171"/>
  <c r="AO80" i="171"/>
  <c r="AO83" i="171"/>
  <c r="AO84" i="171"/>
  <c r="AO85" i="171"/>
  <c r="AO87" i="171"/>
  <c r="AO90" i="171"/>
  <c r="AS11" i="171"/>
  <c r="AS12" i="171"/>
  <c r="AS9" i="171"/>
  <c r="AS10" i="171"/>
  <c r="AS13" i="171"/>
  <c r="AS15" i="171"/>
  <c r="AS16" i="171"/>
  <c r="AS17" i="171"/>
  <c r="AS19" i="171"/>
  <c r="AS20" i="171"/>
  <c r="AS22" i="171"/>
  <c r="AS23" i="171"/>
  <c r="AS24" i="171"/>
  <c r="AS28" i="171"/>
  <c r="AS34" i="171"/>
  <c r="AS35" i="171"/>
  <c r="AS36" i="171"/>
  <c r="AS38" i="171"/>
  <c r="AS39" i="171"/>
  <c r="AS40" i="171"/>
  <c r="AS42" i="171"/>
  <c r="AS43" i="171"/>
  <c r="AS44" i="171"/>
  <c r="AS45" i="171"/>
  <c r="AS46" i="171"/>
  <c r="AS47" i="171"/>
  <c r="AS49" i="171"/>
  <c r="AS50" i="171"/>
  <c r="AS53" i="171"/>
  <c r="AS54" i="171"/>
  <c r="AS57" i="171"/>
  <c r="AS61" i="171"/>
  <c r="AS63" i="171"/>
  <c r="AS59" i="171"/>
  <c r="AS64" i="171"/>
  <c r="AS66" i="171"/>
  <c r="AS71" i="171"/>
  <c r="AS73" i="171"/>
  <c r="AS74" i="171"/>
  <c r="AS77" i="171"/>
  <c r="AS79" i="171"/>
  <c r="AS80" i="171"/>
  <c r="AS83" i="171"/>
  <c r="AS85" i="171"/>
  <c r="AS87" i="171"/>
  <c r="AS90" i="171"/>
  <c r="AT11" i="171"/>
  <c r="AT12" i="171"/>
  <c r="AT9" i="171"/>
  <c r="AT10" i="171"/>
  <c r="AT13" i="171"/>
  <c r="AT15" i="171"/>
  <c r="AT16" i="171"/>
  <c r="AT17" i="171"/>
  <c r="AT19" i="171"/>
  <c r="AT20" i="171"/>
  <c r="AT22" i="171"/>
  <c r="AT23" i="171"/>
  <c r="AT24" i="171"/>
  <c r="AT28" i="171"/>
  <c r="AT34" i="171"/>
  <c r="AT35" i="171"/>
  <c r="AT36" i="171"/>
  <c r="AT38" i="171"/>
  <c r="AT39" i="171"/>
  <c r="AT40" i="171"/>
  <c r="AT42" i="171"/>
  <c r="AT43" i="171"/>
  <c r="AT44" i="171"/>
  <c r="L108" i="147"/>
  <c r="AT45" i="171"/>
  <c r="L110" i="146"/>
  <c r="AT46" i="171"/>
  <c r="AT47" i="171"/>
  <c r="L110" i="145"/>
  <c r="AT49" i="171"/>
  <c r="AT50" i="171"/>
  <c r="AT53" i="171"/>
  <c r="AT54" i="171"/>
  <c r="AT57" i="171"/>
  <c r="AT61" i="171"/>
  <c r="AT63" i="171"/>
  <c r="AT59" i="171"/>
  <c r="AT64" i="171"/>
  <c r="AT66" i="171"/>
  <c r="AT71" i="171"/>
  <c r="AT73" i="171"/>
  <c r="AT74" i="171"/>
  <c r="AT77" i="171"/>
  <c r="AT79" i="171"/>
  <c r="AT80" i="171"/>
  <c r="AT83" i="171"/>
  <c r="AT85" i="171"/>
  <c r="AT87" i="171"/>
  <c r="AT90" i="171"/>
  <c r="AU11" i="171"/>
  <c r="AU12" i="171"/>
  <c r="AU9" i="171"/>
  <c r="AU10" i="171"/>
  <c r="AU13" i="171"/>
  <c r="AU15" i="171"/>
  <c r="AU16" i="171"/>
  <c r="AU17" i="171"/>
  <c r="AU19" i="171"/>
  <c r="AU20" i="171"/>
  <c r="AU22" i="171"/>
  <c r="AU23" i="171"/>
  <c r="AU24" i="171"/>
  <c r="AU28" i="171"/>
  <c r="AU34" i="171"/>
  <c r="AU35" i="171"/>
  <c r="AU36" i="171"/>
  <c r="AU38" i="171"/>
  <c r="AU39" i="171"/>
  <c r="AU40" i="171"/>
  <c r="L116" i="142"/>
  <c r="AU42" i="171"/>
  <c r="AU43" i="171"/>
  <c r="AU44" i="171"/>
  <c r="AU45" i="171"/>
  <c r="AU46" i="171"/>
  <c r="AU47" i="171"/>
  <c r="AU49" i="171"/>
  <c r="AU50" i="171"/>
  <c r="AU53" i="171"/>
  <c r="AU54" i="171"/>
  <c r="AU57" i="171"/>
  <c r="AU61" i="171"/>
  <c r="AU63" i="171"/>
  <c r="AU59" i="171"/>
  <c r="AU64" i="171"/>
  <c r="AU66" i="171"/>
  <c r="AU71" i="171"/>
  <c r="AU73" i="171"/>
  <c r="AU74" i="171"/>
  <c r="AU77" i="171"/>
  <c r="AU79" i="171"/>
  <c r="AU80" i="171"/>
  <c r="AU83" i="171"/>
  <c r="AU85" i="171"/>
  <c r="AU87" i="171"/>
  <c r="AU90" i="171"/>
  <c r="AV11" i="171"/>
  <c r="AV12" i="171"/>
  <c r="AV9" i="171"/>
  <c r="AV10" i="171"/>
  <c r="AV13" i="171"/>
  <c r="AV15" i="171"/>
  <c r="AV16" i="171"/>
  <c r="AV17" i="171"/>
  <c r="AV19" i="171"/>
  <c r="AV20" i="171"/>
  <c r="AV22" i="171"/>
  <c r="AV23" i="171"/>
  <c r="AV24" i="171"/>
  <c r="AV28" i="171"/>
  <c r="AV34" i="171"/>
  <c r="AV35" i="171"/>
  <c r="AV36" i="171"/>
  <c r="AV38" i="171"/>
  <c r="AV39" i="171"/>
  <c r="AV40" i="171"/>
  <c r="AV42" i="171"/>
  <c r="L112" i="143"/>
  <c r="AV43" i="171"/>
  <c r="L112" i="144"/>
  <c r="AV44" i="171"/>
  <c r="AV45" i="171"/>
  <c r="AV46" i="171"/>
  <c r="AV47" i="171"/>
  <c r="AV49" i="171"/>
  <c r="AV50" i="171"/>
  <c r="AV53" i="171"/>
  <c r="AV54" i="171"/>
  <c r="AV57" i="171"/>
  <c r="AV61" i="171"/>
  <c r="AV63" i="171"/>
  <c r="AV59" i="171"/>
  <c r="AV64" i="171"/>
  <c r="AV66" i="171"/>
  <c r="AV71" i="171"/>
  <c r="AV73" i="171"/>
  <c r="AV74" i="171"/>
  <c r="AV77" i="171"/>
  <c r="AV79" i="171"/>
  <c r="AV80" i="171"/>
  <c r="AV83" i="171"/>
  <c r="AV85" i="171"/>
  <c r="AV87" i="171"/>
  <c r="AV90" i="171"/>
  <c r="AW11" i="171"/>
  <c r="AW12" i="171"/>
  <c r="AW9" i="171"/>
  <c r="AW10" i="171"/>
  <c r="AW13" i="171"/>
  <c r="AW15" i="171"/>
  <c r="AW16" i="171"/>
  <c r="AW17" i="171"/>
  <c r="AW19" i="171"/>
  <c r="AW20" i="171"/>
  <c r="AW22" i="171"/>
  <c r="AW23" i="171"/>
  <c r="AW24" i="171"/>
  <c r="AW28" i="171"/>
  <c r="AW34" i="171"/>
  <c r="L549" i="112"/>
  <c r="AW35" i="171"/>
  <c r="AW36" i="171"/>
  <c r="AW38" i="171"/>
  <c r="AW39" i="171"/>
  <c r="AW40" i="171"/>
  <c r="AW42" i="171"/>
  <c r="AW43" i="171"/>
  <c r="AW44" i="171"/>
  <c r="AW45" i="171"/>
  <c r="AW46" i="171"/>
  <c r="AW47" i="171"/>
  <c r="AW49" i="171"/>
  <c r="AW50" i="171"/>
  <c r="AW53" i="171"/>
  <c r="AW54" i="171"/>
  <c r="AW57" i="171"/>
  <c r="AW61" i="171"/>
  <c r="AW63" i="171"/>
  <c r="AW59" i="171"/>
  <c r="AW64" i="171"/>
  <c r="AW66" i="171"/>
  <c r="AW71" i="171"/>
  <c r="AW73" i="171"/>
  <c r="AW74" i="171"/>
  <c r="AW77" i="171"/>
  <c r="AW79" i="171"/>
  <c r="AW80" i="171"/>
  <c r="AW83" i="171"/>
  <c r="AW85" i="171"/>
  <c r="AW87" i="171"/>
  <c r="AW90" i="171"/>
  <c r="AX11" i="171"/>
  <c r="AX12" i="171"/>
  <c r="AX9" i="171"/>
  <c r="AX10" i="171"/>
  <c r="AX13" i="171"/>
  <c r="AX15" i="171"/>
  <c r="AX16" i="171"/>
  <c r="AX17" i="171"/>
  <c r="AX19" i="171"/>
  <c r="AX20" i="171"/>
  <c r="AX22" i="171"/>
  <c r="AX23" i="171"/>
  <c r="AX24" i="171"/>
  <c r="AX28" i="171"/>
  <c r="L528" i="113"/>
  <c r="AX34" i="171"/>
  <c r="L550" i="112"/>
  <c r="AX35" i="171"/>
  <c r="AX36" i="171"/>
  <c r="AX38" i="171"/>
  <c r="AX39" i="171"/>
  <c r="AX40" i="171"/>
  <c r="AX42" i="171"/>
  <c r="AX43" i="171"/>
  <c r="AX44" i="171"/>
  <c r="AX45" i="171"/>
  <c r="AX46" i="171"/>
  <c r="AX47" i="171"/>
  <c r="AX49" i="171"/>
  <c r="AX50" i="171"/>
  <c r="AX53" i="171"/>
  <c r="AX54" i="171"/>
  <c r="AX57" i="171"/>
  <c r="AX61" i="171"/>
  <c r="AX63" i="171"/>
  <c r="AX59" i="171"/>
  <c r="AX64" i="171"/>
  <c r="AX66" i="171"/>
  <c r="AX71" i="171"/>
  <c r="AX73" i="171"/>
  <c r="AX74" i="171"/>
  <c r="AX77" i="171"/>
  <c r="AX79" i="171"/>
  <c r="AX80" i="171"/>
  <c r="AX83" i="171"/>
  <c r="AX85" i="171"/>
  <c r="AX87" i="171"/>
  <c r="AX90" i="171"/>
  <c r="BA11" i="171"/>
  <c r="BA12" i="171"/>
  <c r="BA9" i="171"/>
  <c r="BA10" i="171"/>
  <c r="BA13" i="171"/>
  <c r="BA15" i="171"/>
  <c r="BA16" i="171"/>
  <c r="BA17" i="171"/>
  <c r="BA19" i="171"/>
  <c r="BA20" i="171"/>
  <c r="BA22" i="171"/>
  <c r="BA23" i="171"/>
  <c r="BA24" i="171"/>
  <c r="BA28" i="171"/>
  <c r="BA34" i="171"/>
  <c r="BA35" i="171"/>
  <c r="BA36" i="171"/>
  <c r="L174" i="46"/>
  <c r="BA38" i="171"/>
  <c r="BA39" i="171"/>
  <c r="BA40" i="171"/>
  <c r="BA42" i="171"/>
  <c r="BA43" i="171"/>
  <c r="BA44" i="171"/>
  <c r="BA45" i="171"/>
  <c r="BA46" i="171"/>
  <c r="BA47" i="171"/>
  <c r="BA49" i="171"/>
  <c r="BA50" i="171"/>
  <c r="L142" i="141"/>
  <c r="BA53" i="171"/>
  <c r="BA54" i="171"/>
  <c r="L168" i="157"/>
  <c r="BA57" i="171"/>
  <c r="L168" i="140"/>
  <c r="BA61" i="171"/>
  <c r="L160" i="139"/>
  <c r="BA59" i="171"/>
  <c r="BA71" i="171"/>
  <c r="BA73" i="171"/>
  <c r="BA74" i="171"/>
  <c r="L423" i="110"/>
  <c r="BA77" i="171"/>
  <c r="BA79" i="171"/>
  <c r="BA80" i="171"/>
  <c r="BA83" i="171"/>
  <c r="BA85" i="171"/>
  <c r="BA87" i="171"/>
  <c r="BB11" i="171"/>
  <c r="BB12" i="171"/>
  <c r="BB9" i="171"/>
  <c r="BB10" i="171"/>
  <c r="BB13" i="171"/>
  <c r="BB15" i="171"/>
  <c r="BB16" i="171"/>
  <c r="BB17" i="171"/>
  <c r="BB19" i="171"/>
  <c r="BB20" i="171"/>
  <c r="BB22" i="171"/>
  <c r="BB23" i="171"/>
  <c r="BB24" i="171"/>
  <c r="BB28" i="171"/>
  <c r="BB34" i="171"/>
  <c r="BB35" i="171"/>
  <c r="BB36" i="171"/>
  <c r="L175" i="46"/>
  <c r="BB38" i="171"/>
  <c r="BB39" i="171"/>
  <c r="BB40" i="171"/>
  <c r="BB42" i="171"/>
  <c r="BB43" i="171"/>
  <c r="BB44" i="171"/>
  <c r="BB45" i="171"/>
  <c r="BB46" i="171"/>
  <c r="BB47" i="171"/>
  <c r="BB49" i="171"/>
  <c r="BB50" i="171"/>
  <c r="L143" i="141"/>
  <c r="BB53" i="171"/>
  <c r="BB54" i="171"/>
  <c r="L169" i="157"/>
  <c r="BB57" i="171"/>
  <c r="L169" i="140"/>
  <c r="BB61" i="171"/>
  <c r="L161" i="139"/>
  <c r="BB59" i="171"/>
  <c r="BB71" i="171"/>
  <c r="BB77" i="171"/>
  <c r="BB79" i="171"/>
  <c r="BB80" i="171"/>
  <c r="P89" i="171"/>
  <c r="AH89" i="171"/>
  <c r="AY89" i="171"/>
  <c r="BC89" i="171"/>
  <c r="BE89" i="171"/>
  <c r="P88" i="171"/>
  <c r="AH88" i="171"/>
  <c r="AY88" i="171"/>
  <c r="BC88" i="171"/>
  <c r="BE88" i="171"/>
  <c r="P87" i="171"/>
  <c r="P86" i="171"/>
  <c r="AH86" i="171"/>
  <c r="AY86" i="171"/>
  <c r="BC86" i="171"/>
  <c r="BE86" i="171"/>
  <c r="CN83" i="171"/>
  <c r="CN84" i="171"/>
  <c r="CN85" i="171"/>
  <c r="P85" i="171"/>
  <c r="D85" i="171"/>
  <c r="CW84" i="171"/>
  <c r="P84" i="171"/>
  <c r="BC84" i="171"/>
  <c r="D84" i="171"/>
  <c r="P83" i="171"/>
  <c r="AY83" i="171"/>
  <c r="D83" i="171"/>
  <c r="CW82" i="171"/>
  <c r="BC82" i="171"/>
  <c r="AY82" i="171"/>
  <c r="P82" i="171"/>
  <c r="CW81" i="171"/>
  <c r="BC81" i="171"/>
  <c r="AY81" i="171"/>
  <c r="AH81" i="171"/>
  <c r="P81" i="171"/>
  <c r="CU77" i="171"/>
  <c r="CU79" i="171"/>
  <c r="CU80" i="171"/>
  <c r="P80" i="171"/>
  <c r="BC80" i="171"/>
  <c r="D80" i="171"/>
  <c r="P79" i="171"/>
  <c r="BC79" i="171"/>
  <c r="D79" i="171"/>
  <c r="CW78" i="171"/>
  <c r="BC78" i="171"/>
  <c r="AX78" i="171"/>
  <c r="AY78" i="171"/>
  <c r="AB76" i="171"/>
  <c r="AB78" i="171"/>
  <c r="AC78" i="171"/>
  <c r="AD78" i="171"/>
  <c r="AE78" i="171"/>
  <c r="AF78" i="171"/>
  <c r="AG78" i="171"/>
  <c r="P78" i="171"/>
  <c r="P77" i="171"/>
  <c r="AH77" i="171"/>
  <c r="AY77" i="171"/>
  <c r="BC77" i="171"/>
  <c r="BE77" i="171"/>
  <c r="D77" i="171"/>
  <c r="CW76" i="171"/>
  <c r="BC76" i="171"/>
  <c r="AX76" i="171"/>
  <c r="AY76" i="171"/>
  <c r="P76" i="171"/>
  <c r="CW75" i="171"/>
  <c r="P75" i="171"/>
  <c r="AH75" i="171"/>
  <c r="AY75" i="171"/>
  <c r="BC75" i="171"/>
  <c r="BE75" i="171"/>
  <c r="CW74" i="171"/>
  <c r="CV74" i="171"/>
  <c r="BG74" i="171"/>
  <c r="BF74" i="171"/>
  <c r="P71" i="171"/>
  <c r="AH71" i="171"/>
  <c r="AY71" i="171"/>
  <c r="BC71" i="171"/>
  <c r="BE71" i="171"/>
  <c r="P73" i="171"/>
  <c r="AY73" i="171"/>
  <c r="BD74" i="171"/>
  <c r="AZ74" i="171"/>
  <c r="AY74" i="171"/>
  <c r="AI74" i="171"/>
  <c r="Q74" i="171"/>
  <c r="P74" i="171"/>
  <c r="D74" i="171"/>
  <c r="D73" i="171"/>
  <c r="BC72" i="171"/>
  <c r="AY72" i="171"/>
  <c r="S72" i="171"/>
  <c r="P72" i="171"/>
  <c r="D71" i="171"/>
  <c r="BC70" i="171"/>
  <c r="AY70" i="171"/>
  <c r="AH70" i="171"/>
  <c r="P70" i="171"/>
  <c r="P69" i="171"/>
  <c r="AH69" i="171"/>
  <c r="AY69" i="171"/>
  <c r="BC69" i="171"/>
  <c r="BE69" i="171"/>
  <c r="P68" i="171"/>
  <c r="AH68" i="171"/>
  <c r="AY68" i="171"/>
  <c r="BC68" i="171"/>
  <c r="BE68" i="171"/>
  <c r="P67" i="171"/>
  <c r="AH67" i="171"/>
  <c r="AY67" i="171"/>
  <c r="BC67" i="171"/>
  <c r="BE67" i="171"/>
  <c r="AY66" i="171"/>
  <c r="P65" i="171"/>
  <c r="AH65" i="171"/>
  <c r="AY65" i="171"/>
  <c r="BC65" i="171"/>
  <c r="BE65" i="171"/>
  <c r="BG64" i="171"/>
  <c r="BF64" i="171"/>
  <c r="P57" i="171"/>
  <c r="AH57" i="171"/>
  <c r="AY57" i="171"/>
  <c r="BC57" i="171"/>
  <c r="BE57" i="171"/>
  <c r="P61" i="171"/>
  <c r="AH61" i="171"/>
  <c r="AY61" i="171"/>
  <c r="BC61" i="171"/>
  <c r="BE61" i="171"/>
  <c r="P63" i="171"/>
  <c r="AY63" i="171"/>
  <c r="P59" i="171"/>
  <c r="AH59" i="171"/>
  <c r="AY59" i="171"/>
  <c r="BC59" i="171"/>
  <c r="BE59" i="171"/>
  <c r="BD64" i="171"/>
  <c r="AZ64" i="171"/>
  <c r="AY64" i="171"/>
  <c r="AI64" i="171"/>
  <c r="Q64" i="171"/>
  <c r="P64" i="171"/>
  <c r="D64" i="171"/>
  <c r="D63" i="171"/>
  <c r="CW62" i="171"/>
  <c r="BC62" i="171"/>
  <c r="AY62" i="171"/>
  <c r="P62" i="171"/>
  <c r="CW61" i="171"/>
  <c r="D61" i="171"/>
  <c r="CW60" i="171"/>
  <c r="BC60" i="171"/>
  <c r="AY60" i="171"/>
  <c r="P60" i="171"/>
  <c r="CW59" i="171"/>
  <c r="D59" i="171"/>
  <c r="BC58" i="171"/>
  <c r="AY58" i="171"/>
  <c r="P58" i="171"/>
  <c r="CW57" i="171"/>
  <c r="D57" i="171"/>
  <c r="CW56" i="171"/>
  <c r="BC56" i="171"/>
  <c r="AY56" i="171"/>
  <c r="P56" i="171"/>
  <c r="CW55" i="171"/>
  <c r="P55" i="171"/>
  <c r="AH55" i="171"/>
  <c r="AY55" i="171"/>
  <c r="BC55" i="171"/>
  <c r="BE55" i="171"/>
  <c r="P54" i="171"/>
  <c r="AH54" i="171"/>
  <c r="AY54" i="171"/>
  <c r="BC54" i="171"/>
  <c r="BE54" i="171"/>
  <c r="D54" i="171"/>
  <c r="CW53" i="171"/>
  <c r="P53" i="171"/>
  <c r="AH53" i="171"/>
  <c r="AY53" i="171"/>
  <c r="BC53" i="171"/>
  <c r="BE53" i="171"/>
  <c r="D53" i="171"/>
  <c r="CW52" i="171"/>
  <c r="BC52" i="171"/>
  <c r="AY52" i="171"/>
  <c r="P52" i="171"/>
  <c r="CW51" i="171"/>
  <c r="BC51" i="171"/>
  <c r="AY51" i="171"/>
  <c r="AH51" i="171"/>
  <c r="P51" i="171"/>
  <c r="P50" i="171"/>
  <c r="AH50" i="171"/>
  <c r="AY50" i="171"/>
  <c r="BC50" i="171"/>
  <c r="BE50" i="171"/>
  <c r="D50" i="171"/>
  <c r="CW49" i="171"/>
  <c r="P49" i="171"/>
  <c r="AH49" i="171"/>
  <c r="AY49" i="171"/>
  <c r="BC49" i="171"/>
  <c r="BE49" i="171"/>
  <c r="D49" i="171"/>
  <c r="CW48" i="171"/>
  <c r="BC48" i="171"/>
  <c r="AY48" i="171"/>
  <c r="AH48" i="171"/>
  <c r="P48" i="171"/>
  <c r="P47" i="171"/>
  <c r="AH47" i="171"/>
  <c r="AY47" i="171"/>
  <c r="BC47" i="171"/>
  <c r="BE47" i="171"/>
  <c r="D47" i="171"/>
  <c r="CW46" i="171"/>
  <c r="P46" i="171"/>
  <c r="AH46" i="171"/>
  <c r="AY46" i="171"/>
  <c r="BC46" i="171"/>
  <c r="BE46" i="171"/>
  <c r="D46" i="171"/>
  <c r="CW45" i="171"/>
  <c r="P45" i="171"/>
  <c r="AH45" i="171"/>
  <c r="AY45" i="171"/>
  <c r="BC45" i="171"/>
  <c r="BE45" i="171"/>
  <c r="D45" i="171"/>
  <c r="CW44" i="171"/>
  <c r="P44" i="171"/>
  <c r="AH44" i="171"/>
  <c r="AY44" i="171"/>
  <c r="BC44" i="171"/>
  <c r="BE44" i="171"/>
  <c r="D44" i="171"/>
  <c r="CW43" i="171"/>
  <c r="P43" i="171"/>
  <c r="AH43" i="171"/>
  <c r="AY43" i="171"/>
  <c r="BC43" i="171"/>
  <c r="BE43" i="171"/>
  <c r="D43" i="171"/>
  <c r="CW42" i="171"/>
  <c r="P42" i="171"/>
  <c r="AH42" i="171"/>
  <c r="AY42" i="171"/>
  <c r="BC42" i="171"/>
  <c r="BE42" i="171"/>
  <c r="D42" i="171"/>
  <c r="CW41" i="171"/>
  <c r="P41" i="171"/>
  <c r="AH41" i="171"/>
  <c r="AY41" i="171"/>
  <c r="BC41" i="171"/>
  <c r="BE41" i="171"/>
  <c r="CW40" i="171"/>
  <c r="P40" i="171"/>
  <c r="AH40" i="171"/>
  <c r="AY40" i="171"/>
  <c r="BC40" i="171"/>
  <c r="BE40" i="171"/>
  <c r="D40" i="171"/>
  <c r="CW39" i="171"/>
  <c r="BC39" i="171"/>
  <c r="AY39" i="171"/>
  <c r="AH39" i="171"/>
  <c r="P39" i="171"/>
  <c r="D39" i="171"/>
  <c r="CW38" i="171"/>
  <c r="P38" i="171"/>
  <c r="AH38" i="171"/>
  <c r="AY38" i="171"/>
  <c r="BC38" i="171"/>
  <c r="BE38" i="171"/>
  <c r="D38" i="171"/>
  <c r="CW37" i="171"/>
  <c r="P37" i="171"/>
  <c r="AH37" i="171"/>
  <c r="AY37" i="171"/>
  <c r="BC37" i="171"/>
  <c r="BE37" i="171"/>
  <c r="AY36" i="171"/>
  <c r="BC36" i="171"/>
  <c r="D36" i="171"/>
  <c r="AY35" i="171"/>
  <c r="BC35" i="171"/>
  <c r="D35" i="171"/>
  <c r="CW34" i="171"/>
  <c r="BC34" i="171"/>
  <c r="AY34" i="171"/>
  <c r="AH34" i="171"/>
  <c r="P34" i="171"/>
  <c r="D34" i="171"/>
  <c r="CW33" i="171"/>
  <c r="P33" i="171"/>
  <c r="AH33" i="171"/>
  <c r="AY33" i="171"/>
  <c r="BC33" i="171"/>
  <c r="BE33" i="171"/>
  <c r="CW32" i="171"/>
  <c r="P32" i="171"/>
  <c r="AH32" i="171"/>
  <c r="AY32" i="171"/>
  <c r="BC32" i="171"/>
  <c r="BE32" i="171"/>
  <c r="P31" i="171"/>
  <c r="AH31" i="171"/>
  <c r="AY31" i="171"/>
  <c r="BC31" i="171"/>
  <c r="BE31" i="171"/>
  <c r="P30" i="171"/>
  <c r="AH30" i="171"/>
  <c r="AY30" i="171"/>
  <c r="BC30" i="171"/>
  <c r="BE30" i="171"/>
  <c r="P29" i="171"/>
  <c r="AH29" i="171"/>
  <c r="AY29" i="171"/>
  <c r="BC29" i="171"/>
  <c r="BE29" i="171"/>
  <c r="AY13" i="171"/>
  <c r="AY17" i="171"/>
  <c r="AY20" i="171"/>
  <c r="AY22" i="171"/>
  <c r="AY23" i="171"/>
  <c r="AY24" i="171"/>
  <c r="AY28" i="171"/>
  <c r="BC28" i="171"/>
  <c r="BD28" i="171"/>
  <c r="AZ24" i="171"/>
  <c r="AZ28" i="171"/>
  <c r="Q24" i="171"/>
  <c r="Q28" i="171"/>
  <c r="P27" i="171"/>
  <c r="AH27" i="171"/>
  <c r="AY27" i="171"/>
  <c r="BC27" i="171"/>
  <c r="BE27" i="171"/>
  <c r="CW26" i="171"/>
  <c r="P26" i="171"/>
  <c r="AH26" i="171"/>
  <c r="AY26" i="171"/>
  <c r="BC26" i="171"/>
  <c r="BE26" i="171"/>
  <c r="CW25" i="171"/>
  <c r="P25" i="171"/>
  <c r="AH25" i="171"/>
  <c r="AY25" i="171"/>
  <c r="BC25" i="171"/>
  <c r="BE25" i="171"/>
  <c r="CV24" i="171"/>
  <c r="P23" i="171"/>
  <c r="BC24" i="171"/>
  <c r="D24" i="171"/>
  <c r="CW23" i="171"/>
  <c r="AH23" i="171"/>
  <c r="BC23" i="171"/>
  <c r="BE23" i="171"/>
  <c r="D23" i="171"/>
  <c r="BC22" i="171"/>
  <c r="D22" i="171"/>
  <c r="CW21" i="171"/>
  <c r="P21" i="171"/>
  <c r="AH21" i="171"/>
  <c r="AY21" i="171"/>
  <c r="BC21" i="171"/>
  <c r="BE21" i="171"/>
  <c r="P20" i="171"/>
  <c r="AH20" i="171"/>
  <c r="BC20" i="171"/>
  <c r="BE20" i="171"/>
  <c r="D20" i="171"/>
  <c r="P19" i="171"/>
  <c r="AH19" i="171"/>
  <c r="AY19" i="171"/>
  <c r="BC19" i="171"/>
  <c r="BE19" i="171"/>
  <c r="D19" i="171"/>
  <c r="CW18" i="171"/>
  <c r="P18" i="171"/>
  <c r="AH18" i="171"/>
  <c r="AY18" i="171"/>
  <c r="BC18" i="171"/>
  <c r="BE18" i="171"/>
  <c r="P17" i="171"/>
  <c r="AH17" i="171"/>
  <c r="BC17" i="171"/>
  <c r="BE17" i="171"/>
  <c r="D17" i="171"/>
  <c r="P16" i="171"/>
  <c r="AH16" i="171"/>
  <c r="AY16" i="171"/>
  <c r="BC16" i="171"/>
  <c r="BE16" i="171"/>
  <c r="D16" i="171"/>
  <c r="P15" i="171"/>
  <c r="AH15" i="171"/>
  <c r="AY15" i="171"/>
  <c r="BC15" i="171"/>
  <c r="BE15" i="171"/>
  <c r="D15" i="171"/>
  <c r="CW14" i="171"/>
  <c r="P14" i="171"/>
  <c r="AH14" i="171"/>
  <c r="AY14" i="171"/>
  <c r="BC14" i="171"/>
  <c r="BE14" i="171"/>
  <c r="CW13" i="171"/>
  <c r="P13" i="171"/>
  <c r="AH13" i="171"/>
  <c r="BC13" i="171"/>
  <c r="BE13" i="171"/>
  <c r="D13" i="171"/>
  <c r="P12" i="171"/>
  <c r="AH12" i="171"/>
  <c r="AY12" i="171"/>
  <c r="BC12" i="171"/>
  <c r="BE12" i="171"/>
  <c r="P11" i="171"/>
  <c r="AH11" i="171"/>
  <c r="AY11" i="171"/>
  <c r="BC11" i="171"/>
  <c r="BE11" i="171"/>
  <c r="D11" i="171"/>
  <c r="P10" i="171"/>
  <c r="AH10" i="171"/>
  <c r="AY10" i="171"/>
  <c r="BC10" i="171"/>
  <c r="BE10" i="171"/>
  <c r="P9" i="171"/>
  <c r="AH9" i="171"/>
  <c r="AY9" i="171"/>
  <c r="BC9" i="171"/>
  <c r="BE9" i="171"/>
  <c r="D9" i="171"/>
  <c r="CR4" i="171"/>
  <c r="CN4" i="171"/>
  <c r="CJ4" i="171"/>
  <c r="CF4" i="171"/>
  <c r="CB4" i="171"/>
  <c r="BX4" i="171"/>
  <c r="BT4" i="171"/>
  <c r="BP4" i="171"/>
  <c r="BL4" i="171"/>
  <c r="BH4" i="171"/>
  <c r="BE4" i="171"/>
  <c r="BB4" i="171"/>
  <c r="BA4" i="171"/>
  <c r="AX4" i="171"/>
  <c r="AW4" i="171"/>
  <c r="AV4" i="171"/>
  <c r="AU4" i="171"/>
  <c r="AT4" i="171"/>
  <c r="AS4" i="171"/>
  <c r="AR4" i="171"/>
  <c r="AQ4" i="171"/>
  <c r="AP4" i="171"/>
  <c r="AO4" i="171"/>
  <c r="AN4" i="171"/>
  <c r="AM4" i="171"/>
  <c r="AL4" i="171"/>
  <c r="AK4" i="171"/>
  <c r="AJ4" i="171"/>
  <c r="AG4" i="171"/>
  <c r="AF4" i="171"/>
  <c r="AE4" i="171"/>
  <c r="AD4" i="171"/>
  <c r="AC4" i="171"/>
  <c r="AB4" i="171"/>
  <c r="AA4" i="171"/>
  <c r="Z4" i="171"/>
  <c r="Y4" i="171"/>
  <c r="X4" i="171"/>
  <c r="W4" i="171"/>
  <c r="V4" i="171"/>
  <c r="U4" i="171"/>
  <c r="T4" i="171"/>
  <c r="S4" i="171"/>
  <c r="R4" i="171"/>
  <c r="O4" i="171"/>
  <c r="N4" i="171"/>
  <c r="M4" i="171"/>
  <c r="L4" i="171"/>
  <c r="K4" i="171"/>
  <c r="J4" i="171"/>
  <c r="I4" i="171"/>
  <c r="H4" i="171"/>
  <c r="G4" i="171"/>
  <c r="E3" i="171"/>
  <c r="CO42" i="170"/>
  <c r="CO43" i="170"/>
  <c r="CO44" i="170"/>
  <c r="CO45" i="170"/>
  <c r="CO46" i="170"/>
  <c r="CO47" i="170"/>
  <c r="CP42" i="170"/>
  <c r="CP43" i="170"/>
  <c r="CP44" i="170"/>
  <c r="CP45" i="170"/>
  <c r="CP46" i="170"/>
  <c r="CP47" i="170"/>
  <c r="CQ42" i="170"/>
  <c r="CQ43" i="170"/>
  <c r="CQ44" i="170"/>
  <c r="CQ45" i="170"/>
  <c r="CQ46" i="170"/>
  <c r="CQ47" i="170"/>
  <c r="CW47" i="170"/>
  <c r="CO49" i="170"/>
  <c r="CO50" i="170"/>
  <c r="CP49" i="170"/>
  <c r="CP50" i="170"/>
  <c r="CQ49" i="170"/>
  <c r="CQ50" i="170"/>
  <c r="CW50" i="170"/>
  <c r="CO53" i="170"/>
  <c r="CO54" i="170"/>
  <c r="CP53" i="170"/>
  <c r="CP54" i="170"/>
  <c r="CQ53" i="170"/>
  <c r="CQ54" i="170"/>
  <c r="CW54" i="170"/>
  <c r="CO57" i="170"/>
  <c r="CO61" i="170"/>
  <c r="CO63" i="170"/>
  <c r="CO59" i="170"/>
  <c r="CO64" i="170"/>
  <c r="CP57" i="170"/>
  <c r="CP61" i="170"/>
  <c r="CP63" i="170"/>
  <c r="CP59" i="170"/>
  <c r="CP64" i="170"/>
  <c r="CQ57" i="170"/>
  <c r="CQ61" i="170"/>
  <c r="CQ63" i="170"/>
  <c r="CQ59" i="170"/>
  <c r="CQ64" i="170"/>
  <c r="S83" i="170"/>
  <c r="R63" i="170"/>
  <c r="R64" i="170"/>
  <c r="CO11" i="170"/>
  <c r="CO12" i="170"/>
  <c r="CO9" i="170"/>
  <c r="CO10" i="170"/>
  <c r="CO13" i="170"/>
  <c r="CO15" i="170"/>
  <c r="CO16" i="170"/>
  <c r="CO17" i="170"/>
  <c r="CO19" i="170"/>
  <c r="CO20" i="170"/>
  <c r="CO22" i="170"/>
  <c r="CO23" i="170"/>
  <c r="CO24" i="170"/>
  <c r="CO28" i="170"/>
  <c r="CO34" i="170"/>
  <c r="CO35" i="170"/>
  <c r="CO36" i="170"/>
  <c r="CO38" i="170"/>
  <c r="CO39" i="170"/>
  <c r="CO40" i="170"/>
  <c r="CO66" i="170"/>
  <c r="CO71" i="170"/>
  <c r="CO73" i="170"/>
  <c r="CO74" i="170"/>
  <c r="CO77" i="170"/>
  <c r="CO79" i="170"/>
  <c r="CO80" i="170"/>
  <c r="CO83" i="170"/>
  <c r="CO84" i="170"/>
  <c r="CO85" i="170"/>
  <c r="CO87" i="170"/>
  <c r="CO90" i="170"/>
  <c r="CP11" i="170"/>
  <c r="CP12" i="170"/>
  <c r="CP9" i="170"/>
  <c r="CP10" i="170"/>
  <c r="CP13" i="170"/>
  <c r="CP15" i="170"/>
  <c r="CP16" i="170"/>
  <c r="CP17" i="170"/>
  <c r="CP19" i="170"/>
  <c r="CP20" i="170"/>
  <c r="CP22" i="170"/>
  <c r="CP23" i="170"/>
  <c r="CP24" i="170"/>
  <c r="CP28" i="170"/>
  <c r="CP34" i="170"/>
  <c r="CP35" i="170"/>
  <c r="CP36" i="170"/>
  <c r="CP38" i="170"/>
  <c r="CP39" i="170"/>
  <c r="CP40" i="170"/>
  <c r="CP66" i="170"/>
  <c r="CP71" i="170"/>
  <c r="CP73" i="170"/>
  <c r="CP74" i="170"/>
  <c r="CP77" i="170"/>
  <c r="CP79" i="170"/>
  <c r="CP80" i="170"/>
  <c r="CP83" i="170"/>
  <c r="CP84" i="170"/>
  <c r="CP85" i="170"/>
  <c r="CP87" i="170"/>
  <c r="CP90" i="170"/>
  <c r="CQ11" i="170"/>
  <c r="CQ12" i="170"/>
  <c r="CQ9" i="170"/>
  <c r="CQ10" i="170"/>
  <c r="CQ13" i="170"/>
  <c r="CQ15" i="170"/>
  <c r="CQ16" i="170"/>
  <c r="CQ17" i="170"/>
  <c r="CQ19" i="170"/>
  <c r="CQ20" i="170"/>
  <c r="CQ22" i="170"/>
  <c r="CQ23" i="170"/>
  <c r="CQ24" i="170"/>
  <c r="CQ28" i="170"/>
  <c r="CQ34" i="170"/>
  <c r="CQ35" i="170"/>
  <c r="CQ36" i="170"/>
  <c r="CQ38" i="170"/>
  <c r="CQ39" i="170"/>
  <c r="CQ40" i="170"/>
  <c r="CQ66" i="170"/>
  <c r="CQ71" i="170"/>
  <c r="CQ73" i="170"/>
  <c r="CQ74" i="170"/>
  <c r="CQ77" i="170"/>
  <c r="CQ79" i="170"/>
  <c r="CQ80" i="170"/>
  <c r="CQ83" i="170"/>
  <c r="CQ84" i="170"/>
  <c r="CQ85" i="170"/>
  <c r="CQ87" i="170"/>
  <c r="CQ90" i="170"/>
  <c r="K110" i="138"/>
  <c r="G11" i="170"/>
  <c r="G12" i="170"/>
  <c r="K134" i="137"/>
  <c r="G9" i="170"/>
  <c r="G10" i="170"/>
  <c r="G13" i="170"/>
  <c r="G15" i="170"/>
  <c r="G16" i="170"/>
  <c r="G17" i="170"/>
  <c r="G19" i="170"/>
  <c r="G20" i="170"/>
  <c r="G22" i="170"/>
  <c r="G23" i="170"/>
  <c r="G24" i="170"/>
  <c r="G28" i="170"/>
  <c r="G34" i="170"/>
  <c r="G35" i="170"/>
  <c r="G36" i="170"/>
  <c r="G38" i="170"/>
  <c r="G39" i="170"/>
  <c r="G40" i="170"/>
  <c r="G42" i="170"/>
  <c r="G43" i="170"/>
  <c r="G44" i="170"/>
  <c r="G45" i="170"/>
  <c r="G46" i="170"/>
  <c r="G47" i="170"/>
  <c r="G49" i="170"/>
  <c r="G50" i="170"/>
  <c r="G53" i="170"/>
  <c r="G54" i="170"/>
  <c r="G57" i="170"/>
  <c r="G61" i="170"/>
  <c r="G63" i="170"/>
  <c r="G59" i="170"/>
  <c r="G64" i="170"/>
  <c r="G66" i="170"/>
  <c r="G71" i="170"/>
  <c r="G73" i="170"/>
  <c r="G74" i="170"/>
  <c r="G77" i="170"/>
  <c r="G79" i="170"/>
  <c r="G80" i="170"/>
  <c r="G83" i="170"/>
  <c r="G85" i="170"/>
  <c r="G87" i="170"/>
  <c r="G90" i="170"/>
  <c r="H11" i="170"/>
  <c r="H12" i="170"/>
  <c r="H9" i="170"/>
  <c r="H10" i="170"/>
  <c r="H13" i="170"/>
  <c r="K193" i="49"/>
  <c r="H15" i="170"/>
  <c r="K155" i="62"/>
  <c r="H16" i="170"/>
  <c r="H17" i="170"/>
  <c r="H19" i="170"/>
  <c r="H20" i="170"/>
  <c r="H22" i="170"/>
  <c r="H23" i="170"/>
  <c r="H24" i="170"/>
  <c r="H28" i="170"/>
  <c r="H34" i="170"/>
  <c r="H35" i="170"/>
  <c r="H36" i="170"/>
  <c r="H38" i="170"/>
  <c r="H39" i="170"/>
  <c r="H40" i="170"/>
  <c r="H42" i="170"/>
  <c r="H43" i="170"/>
  <c r="H44" i="170"/>
  <c r="H45" i="170"/>
  <c r="H46" i="170"/>
  <c r="H47" i="170"/>
  <c r="H49" i="170"/>
  <c r="H50" i="170"/>
  <c r="H53" i="170"/>
  <c r="H54" i="170"/>
  <c r="H57" i="170"/>
  <c r="H61" i="170"/>
  <c r="H63" i="170"/>
  <c r="H59" i="170"/>
  <c r="H64" i="170"/>
  <c r="H66" i="170"/>
  <c r="H71" i="170"/>
  <c r="H73" i="170"/>
  <c r="H74" i="170"/>
  <c r="H77" i="170"/>
  <c r="H79" i="170"/>
  <c r="H80" i="170"/>
  <c r="H83" i="170"/>
  <c r="H85" i="170"/>
  <c r="H87" i="170"/>
  <c r="H90" i="170"/>
  <c r="I11" i="170"/>
  <c r="I12" i="170"/>
  <c r="I9" i="170"/>
  <c r="I10" i="170"/>
  <c r="I13" i="170"/>
  <c r="K194" i="49"/>
  <c r="I15" i="170"/>
  <c r="K156" i="62"/>
  <c r="I16" i="170"/>
  <c r="I17" i="170"/>
  <c r="I19" i="170"/>
  <c r="I20" i="170"/>
  <c r="I22" i="170"/>
  <c r="I23" i="170"/>
  <c r="I24" i="170"/>
  <c r="I28" i="170"/>
  <c r="I34" i="170"/>
  <c r="I35" i="170"/>
  <c r="I36" i="170"/>
  <c r="I38" i="170"/>
  <c r="I39" i="170"/>
  <c r="I40" i="170"/>
  <c r="I42" i="170"/>
  <c r="I43" i="170"/>
  <c r="I44" i="170"/>
  <c r="I45" i="170"/>
  <c r="I46" i="170"/>
  <c r="I47" i="170"/>
  <c r="I49" i="170"/>
  <c r="I50" i="170"/>
  <c r="I53" i="170"/>
  <c r="I54" i="170"/>
  <c r="I57" i="170"/>
  <c r="I61" i="170"/>
  <c r="I63" i="170"/>
  <c r="I59" i="170"/>
  <c r="I64" i="170"/>
  <c r="I66" i="170"/>
  <c r="I71" i="170"/>
  <c r="I73" i="170"/>
  <c r="I74" i="170"/>
  <c r="I77" i="170"/>
  <c r="I79" i="170"/>
  <c r="I80" i="170"/>
  <c r="I83" i="170"/>
  <c r="I85" i="170"/>
  <c r="I87" i="170"/>
  <c r="I90" i="170"/>
  <c r="J11" i="170"/>
  <c r="J12" i="170"/>
  <c r="J9" i="170"/>
  <c r="J10" i="170"/>
  <c r="J13" i="170"/>
  <c r="J15" i="170"/>
  <c r="J16" i="170"/>
  <c r="J17" i="170"/>
  <c r="K441" i="39"/>
  <c r="J19" i="170"/>
  <c r="J20" i="170"/>
  <c r="J22" i="170"/>
  <c r="J23" i="170"/>
  <c r="J24" i="170"/>
  <c r="J28" i="170"/>
  <c r="J34" i="170"/>
  <c r="J38" i="170"/>
  <c r="K212" i="48"/>
  <c r="J39" i="170"/>
  <c r="J40" i="170"/>
  <c r="J42" i="170"/>
  <c r="J43" i="170"/>
  <c r="J44" i="170"/>
  <c r="J45" i="170"/>
  <c r="J46" i="170"/>
  <c r="J47" i="170"/>
  <c r="J49" i="170"/>
  <c r="J50" i="170"/>
  <c r="J53" i="170"/>
  <c r="J54" i="170"/>
  <c r="J57" i="170"/>
  <c r="J61" i="170"/>
  <c r="J63" i="170"/>
  <c r="J59" i="170"/>
  <c r="J64" i="170"/>
  <c r="J71" i="170"/>
  <c r="J73" i="170"/>
  <c r="J74" i="170"/>
  <c r="J77" i="170"/>
  <c r="J79" i="170"/>
  <c r="J80" i="170"/>
  <c r="J83" i="170"/>
  <c r="J85" i="170"/>
  <c r="J87" i="170"/>
  <c r="K11" i="170"/>
  <c r="K12" i="170"/>
  <c r="K9" i="170"/>
  <c r="K10" i="170"/>
  <c r="K13" i="170"/>
  <c r="K15" i="170"/>
  <c r="K16" i="170"/>
  <c r="K17" i="170"/>
  <c r="K19" i="170"/>
  <c r="K20" i="170"/>
  <c r="K436" i="41"/>
  <c r="K23" i="170"/>
  <c r="K34" i="170"/>
  <c r="K35" i="170"/>
  <c r="K36" i="170"/>
  <c r="K38" i="170"/>
  <c r="K39" i="170"/>
  <c r="K40" i="170"/>
  <c r="K42" i="170"/>
  <c r="K43" i="170"/>
  <c r="K44" i="170"/>
  <c r="K45" i="170"/>
  <c r="K46" i="170"/>
  <c r="K47" i="170"/>
  <c r="K49" i="170"/>
  <c r="K50" i="170"/>
  <c r="K53" i="170"/>
  <c r="K54" i="170"/>
  <c r="K57" i="170"/>
  <c r="K61" i="170"/>
  <c r="K63" i="170"/>
  <c r="K59" i="170"/>
  <c r="K64" i="170"/>
  <c r="K66" i="170"/>
  <c r="K71" i="170"/>
  <c r="K73" i="170"/>
  <c r="K74" i="170"/>
  <c r="K77" i="170"/>
  <c r="K79" i="170"/>
  <c r="K80" i="170"/>
  <c r="K83" i="170"/>
  <c r="K85" i="170"/>
  <c r="K87" i="170"/>
  <c r="L11" i="170"/>
  <c r="L12" i="170"/>
  <c r="L9" i="170"/>
  <c r="L10" i="170"/>
  <c r="L13" i="170"/>
  <c r="L15" i="170"/>
  <c r="L16" i="170"/>
  <c r="L17" i="170"/>
  <c r="L19" i="170"/>
  <c r="L20" i="170"/>
  <c r="K437" i="41"/>
  <c r="L23" i="170"/>
  <c r="L34" i="170"/>
  <c r="L35" i="170"/>
  <c r="L36" i="170"/>
  <c r="L38" i="170"/>
  <c r="L39" i="170"/>
  <c r="L40" i="170"/>
  <c r="L42" i="170"/>
  <c r="L43" i="170"/>
  <c r="L44" i="170"/>
  <c r="L45" i="170"/>
  <c r="L46" i="170"/>
  <c r="L47" i="170"/>
  <c r="L49" i="170"/>
  <c r="L50" i="170"/>
  <c r="L53" i="170"/>
  <c r="L54" i="170"/>
  <c r="L57" i="170"/>
  <c r="L61" i="170"/>
  <c r="L63" i="170"/>
  <c r="L59" i="170"/>
  <c r="L64" i="170"/>
  <c r="L66" i="170"/>
  <c r="L71" i="170"/>
  <c r="L73" i="170"/>
  <c r="L74" i="170"/>
  <c r="L77" i="170"/>
  <c r="L79" i="170"/>
  <c r="L80" i="170"/>
  <c r="L83" i="170"/>
  <c r="L85" i="170"/>
  <c r="L87" i="170"/>
  <c r="M11" i="170"/>
  <c r="M12" i="170"/>
  <c r="M9" i="170"/>
  <c r="M10" i="170"/>
  <c r="M13" i="170"/>
  <c r="M15" i="170"/>
  <c r="M16" i="170"/>
  <c r="M17" i="170"/>
  <c r="M19" i="170"/>
  <c r="M20" i="170"/>
  <c r="M23" i="170"/>
  <c r="M34" i="170"/>
  <c r="M35" i="170"/>
  <c r="M36" i="170"/>
  <c r="M38" i="170"/>
  <c r="M39" i="170"/>
  <c r="M40" i="170"/>
  <c r="M42" i="170"/>
  <c r="M43" i="170"/>
  <c r="M44" i="170"/>
  <c r="M45" i="170"/>
  <c r="M46" i="170"/>
  <c r="M47" i="170"/>
  <c r="M49" i="170"/>
  <c r="M50" i="170"/>
  <c r="M53" i="170"/>
  <c r="M54" i="170"/>
  <c r="M57" i="170"/>
  <c r="M61" i="170"/>
  <c r="M63" i="170"/>
  <c r="M59" i="170"/>
  <c r="M64" i="170"/>
  <c r="M66" i="170"/>
  <c r="M71" i="170"/>
  <c r="M73" i="170"/>
  <c r="M74" i="170"/>
  <c r="M77" i="170"/>
  <c r="M79" i="170"/>
  <c r="M80" i="170"/>
  <c r="M83" i="170"/>
  <c r="M85" i="170"/>
  <c r="M87" i="170"/>
  <c r="N11" i="170"/>
  <c r="N12" i="170"/>
  <c r="N9" i="170"/>
  <c r="N10" i="170"/>
  <c r="N13" i="170"/>
  <c r="N15" i="170"/>
  <c r="N16" i="170"/>
  <c r="N17" i="170"/>
  <c r="N19" i="170"/>
  <c r="N20" i="170"/>
  <c r="N22" i="170"/>
  <c r="K438" i="41"/>
  <c r="N23" i="170"/>
  <c r="N24" i="170"/>
  <c r="N28" i="170"/>
  <c r="N34" i="170"/>
  <c r="N35" i="170"/>
  <c r="N36" i="170"/>
  <c r="N38" i="170"/>
  <c r="N39" i="170"/>
  <c r="N40" i="170"/>
  <c r="N42" i="170"/>
  <c r="N43" i="170"/>
  <c r="N44" i="170"/>
  <c r="N45" i="170"/>
  <c r="N46" i="170"/>
  <c r="N47" i="170"/>
  <c r="N49" i="170"/>
  <c r="N50" i="170"/>
  <c r="N53" i="170"/>
  <c r="N54" i="170"/>
  <c r="N57" i="170"/>
  <c r="N61" i="170"/>
  <c r="N63" i="170"/>
  <c r="N59" i="170"/>
  <c r="N64" i="170"/>
  <c r="N66" i="170"/>
  <c r="N71" i="170"/>
  <c r="N73" i="170"/>
  <c r="N74" i="170"/>
  <c r="N77" i="170"/>
  <c r="N79" i="170"/>
  <c r="N80" i="170"/>
  <c r="N83" i="170"/>
  <c r="N85" i="170"/>
  <c r="N87" i="170"/>
  <c r="N90" i="170"/>
  <c r="O11" i="170"/>
  <c r="O12" i="170"/>
  <c r="O9" i="170"/>
  <c r="O10" i="170"/>
  <c r="O13" i="170"/>
  <c r="O15" i="170"/>
  <c r="O16" i="170"/>
  <c r="O17" i="170"/>
  <c r="O19" i="170"/>
  <c r="O20" i="170"/>
  <c r="O22" i="170"/>
  <c r="K439" i="41"/>
  <c r="O23" i="170"/>
  <c r="O24" i="170"/>
  <c r="O28" i="170"/>
  <c r="O34" i="170"/>
  <c r="O35" i="170"/>
  <c r="O36" i="170"/>
  <c r="O38" i="170"/>
  <c r="O39" i="170"/>
  <c r="O40" i="170"/>
  <c r="O42" i="170"/>
  <c r="O43" i="170"/>
  <c r="O44" i="170"/>
  <c r="O45" i="170"/>
  <c r="O46" i="170"/>
  <c r="O47" i="170"/>
  <c r="O49" i="170"/>
  <c r="O50" i="170"/>
  <c r="O53" i="170"/>
  <c r="O54" i="170"/>
  <c r="O57" i="170"/>
  <c r="O61" i="170"/>
  <c r="O63" i="170"/>
  <c r="O59" i="170"/>
  <c r="O64" i="170"/>
  <c r="O66" i="170"/>
  <c r="O71" i="170"/>
  <c r="O73" i="170"/>
  <c r="O74" i="170"/>
  <c r="O77" i="170"/>
  <c r="O79" i="170"/>
  <c r="O80" i="170"/>
  <c r="O83" i="170"/>
  <c r="O85" i="170"/>
  <c r="O87" i="170"/>
  <c r="O90" i="170"/>
  <c r="R83" i="170"/>
  <c r="R85" i="170"/>
  <c r="R87" i="170"/>
  <c r="AA11" i="170"/>
  <c r="AA12" i="170"/>
  <c r="AA9" i="170"/>
  <c r="AA10" i="170"/>
  <c r="AA13" i="170"/>
  <c r="AA15" i="170"/>
  <c r="AA16" i="170"/>
  <c r="AA17" i="170"/>
  <c r="AA19" i="170"/>
  <c r="AA20" i="170"/>
  <c r="AA22" i="170"/>
  <c r="AA23" i="170"/>
  <c r="AA24" i="170"/>
  <c r="AA28" i="170"/>
  <c r="AA34" i="170"/>
  <c r="AA35" i="170"/>
  <c r="AA36" i="170"/>
  <c r="AA38" i="170"/>
  <c r="AA39" i="170"/>
  <c r="AA40" i="170"/>
  <c r="AA42" i="170"/>
  <c r="AA43" i="170"/>
  <c r="AA44" i="170"/>
  <c r="AA45" i="170"/>
  <c r="AA46" i="170"/>
  <c r="AA47" i="170"/>
  <c r="AA49" i="170"/>
  <c r="AA50" i="170"/>
  <c r="AA53" i="170"/>
  <c r="AA54" i="170"/>
  <c r="AA57" i="170"/>
  <c r="AA61" i="170"/>
  <c r="AA63" i="170"/>
  <c r="AA59" i="170"/>
  <c r="AA64" i="170"/>
  <c r="AA66" i="170"/>
  <c r="AA71" i="170"/>
  <c r="AA73" i="170"/>
  <c r="AA74" i="170"/>
  <c r="AA77" i="170"/>
  <c r="AA79" i="170"/>
  <c r="AA80" i="170"/>
  <c r="AA83" i="170"/>
  <c r="AA85" i="170"/>
  <c r="AA87" i="170"/>
  <c r="AA90" i="170"/>
  <c r="AB11" i="170"/>
  <c r="AB12" i="170"/>
  <c r="AB9" i="170"/>
  <c r="AB10" i="170"/>
  <c r="AB13" i="170"/>
  <c r="AB15" i="170"/>
  <c r="AB16" i="170"/>
  <c r="AB17" i="170"/>
  <c r="AB19" i="170"/>
  <c r="AB20" i="170"/>
  <c r="AB22" i="170"/>
  <c r="AB23" i="170"/>
  <c r="AB24" i="170"/>
  <c r="AB28" i="170"/>
  <c r="AB34" i="170"/>
  <c r="AB35" i="170"/>
  <c r="AB36" i="170"/>
  <c r="AB38" i="170"/>
  <c r="AB39" i="170"/>
  <c r="AB40" i="170"/>
  <c r="AB42" i="170"/>
  <c r="AB43" i="170"/>
  <c r="AB44" i="170"/>
  <c r="AB45" i="170"/>
  <c r="AB46" i="170"/>
  <c r="AB47" i="170"/>
  <c r="AB49" i="170"/>
  <c r="AB50" i="170"/>
  <c r="AB53" i="170"/>
  <c r="AB54" i="170"/>
  <c r="AB57" i="170"/>
  <c r="AB61" i="170"/>
  <c r="AB63" i="170"/>
  <c r="AB59" i="170"/>
  <c r="AB64" i="170"/>
  <c r="AB66" i="170"/>
  <c r="AB71" i="170"/>
  <c r="AB73" i="170"/>
  <c r="AB74" i="170"/>
  <c r="AB77" i="170"/>
  <c r="AB79" i="170"/>
  <c r="AB80" i="170"/>
  <c r="AB83" i="170"/>
  <c r="AB85" i="170"/>
  <c r="AB87" i="170"/>
  <c r="AB90" i="170"/>
  <c r="K421" i="110"/>
  <c r="AC77" i="170"/>
  <c r="AC79" i="170"/>
  <c r="AC80" i="170"/>
  <c r="AC83" i="170"/>
  <c r="AC85" i="170"/>
  <c r="AC87" i="170"/>
  <c r="AC90" i="170"/>
  <c r="K422" i="110"/>
  <c r="AD77" i="170"/>
  <c r="AD79" i="170"/>
  <c r="AD80" i="170"/>
  <c r="AD83" i="170"/>
  <c r="AD85" i="170"/>
  <c r="AD87" i="170"/>
  <c r="AD90" i="170"/>
  <c r="K418" i="110"/>
  <c r="AE77" i="170"/>
  <c r="AE79" i="170"/>
  <c r="AE80" i="170"/>
  <c r="AE83" i="170"/>
  <c r="AE85" i="170"/>
  <c r="AE87" i="170"/>
  <c r="AE90" i="170"/>
  <c r="K419" i="110"/>
  <c r="AF77" i="170"/>
  <c r="AF79" i="170"/>
  <c r="AF80" i="170"/>
  <c r="AF83" i="170"/>
  <c r="AF85" i="170"/>
  <c r="AF87" i="170"/>
  <c r="AF90" i="170"/>
  <c r="K420" i="110"/>
  <c r="AG77" i="170"/>
  <c r="AG79" i="170"/>
  <c r="AG80" i="170"/>
  <c r="AG83" i="170"/>
  <c r="AG85" i="170"/>
  <c r="AG87" i="170"/>
  <c r="AG90" i="170"/>
  <c r="AJ11" i="170"/>
  <c r="AJ12" i="170"/>
  <c r="AJ9" i="170"/>
  <c r="AJ10" i="170"/>
  <c r="AJ13" i="170"/>
  <c r="AJ15" i="170"/>
  <c r="AJ16" i="170"/>
  <c r="AJ17" i="170"/>
  <c r="AJ19" i="170"/>
  <c r="AJ20" i="170"/>
  <c r="AJ22" i="170"/>
  <c r="AJ23" i="170"/>
  <c r="AJ24" i="170"/>
  <c r="AJ28" i="170"/>
  <c r="AJ34" i="170"/>
  <c r="AJ35" i="170"/>
  <c r="AJ36" i="170"/>
  <c r="AJ38" i="170"/>
  <c r="K219" i="48"/>
  <c r="AJ39" i="170"/>
  <c r="AJ40" i="170"/>
  <c r="AJ42" i="170"/>
  <c r="AJ43" i="170"/>
  <c r="AJ44" i="170"/>
  <c r="AJ45" i="170"/>
  <c r="AJ46" i="170"/>
  <c r="AJ47" i="170"/>
  <c r="AJ49" i="170"/>
  <c r="AJ50" i="170"/>
  <c r="AJ53" i="170"/>
  <c r="AJ54" i="170"/>
  <c r="AJ57" i="170"/>
  <c r="AJ61" i="170"/>
  <c r="AJ63" i="170"/>
  <c r="AJ59" i="170"/>
  <c r="AJ64" i="170"/>
  <c r="AJ66" i="170"/>
  <c r="AJ71" i="170"/>
  <c r="AJ73" i="170"/>
  <c r="AJ74" i="170"/>
  <c r="AJ77" i="170"/>
  <c r="AJ79" i="170"/>
  <c r="AJ80" i="170"/>
  <c r="AJ83" i="170"/>
  <c r="AJ85" i="170"/>
  <c r="AJ87" i="170"/>
  <c r="AJ90" i="170"/>
  <c r="AL11" i="170"/>
  <c r="AL12" i="170"/>
  <c r="AL9" i="170"/>
  <c r="AL10" i="170"/>
  <c r="AL13" i="170"/>
  <c r="AL15" i="170"/>
  <c r="AL16" i="170"/>
  <c r="AL17" i="170"/>
  <c r="AL19" i="170"/>
  <c r="AL20" i="170"/>
  <c r="AL22" i="170"/>
  <c r="AL23" i="170"/>
  <c r="AL24" i="170"/>
  <c r="AL28" i="170"/>
  <c r="AL34" i="170"/>
  <c r="AL35" i="170"/>
  <c r="AL36" i="170"/>
  <c r="AL38" i="170"/>
  <c r="K221" i="48"/>
  <c r="AL39" i="170"/>
  <c r="AL40" i="170"/>
  <c r="AL42" i="170"/>
  <c r="AL43" i="170"/>
  <c r="AL44" i="170"/>
  <c r="AL45" i="170"/>
  <c r="AL46" i="170"/>
  <c r="AL47" i="170"/>
  <c r="AL49" i="170"/>
  <c r="AL50" i="170"/>
  <c r="AL53" i="170"/>
  <c r="AL54" i="170"/>
  <c r="AL57" i="170"/>
  <c r="AL61" i="170"/>
  <c r="AL63" i="170"/>
  <c r="AL59" i="170"/>
  <c r="AL64" i="170"/>
  <c r="AL66" i="170"/>
  <c r="AL71" i="170"/>
  <c r="AL73" i="170"/>
  <c r="AL74" i="170"/>
  <c r="AL77" i="170"/>
  <c r="AL79" i="170"/>
  <c r="AL80" i="170"/>
  <c r="AL83" i="170"/>
  <c r="AL85" i="170"/>
  <c r="AL87" i="170"/>
  <c r="AL90" i="170"/>
  <c r="AM11" i="170"/>
  <c r="AM12" i="170"/>
  <c r="AM9" i="170"/>
  <c r="AM10" i="170"/>
  <c r="AM13" i="170"/>
  <c r="AM15" i="170"/>
  <c r="AM16" i="170"/>
  <c r="AM17" i="170"/>
  <c r="AM19" i="170"/>
  <c r="AM20" i="170"/>
  <c r="AM22" i="170"/>
  <c r="AM23" i="170"/>
  <c r="AM24" i="170"/>
  <c r="AM28" i="170"/>
  <c r="AM34" i="170"/>
  <c r="AM35" i="170"/>
  <c r="AM36" i="170"/>
  <c r="AM38" i="170"/>
  <c r="AM39" i="170"/>
  <c r="AM40" i="170"/>
  <c r="AM42" i="170"/>
  <c r="AM43" i="170"/>
  <c r="AM44" i="170"/>
  <c r="AM45" i="170"/>
  <c r="AM46" i="170"/>
  <c r="AM47" i="170"/>
  <c r="AM49" i="170"/>
  <c r="AM50" i="170"/>
  <c r="AM53" i="170"/>
  <c r="AM54" i="170"/>
  <c r="AM57" i="170"/>
  <c r="AM61" i="170"/>
  <c r="AM63" i="170"/>
  <c r="AM59" i="170"/>
  <c r="AM64" i="170"/>
  <c r="AM66" i="170"/>
  <c r="AM71" i="170"/>
  <c r="AM73" i="170"/>
  <c r="AM74" i="170"/>
  <c r="AM77" i="170"/>
  <c r="AM83" i="170"/>
  <c r="AM85" i="170"/>
  <c r="AN11" i="170"/>
  <c r="AN12" i="170"/>
  <c r="AN9" i="170"/>
  <c r="AN10" i="170"/>
  <c r="AN13" i="170"/>
  <c r="AN15" i="170"/>
  <c r="AN16" i="170"/>
  <c r="AN17" i="170"/>
  <c r="AN19" i="170"/>
  <c r="AN20" i="170"/>
  <c r="AN22" i="170"/>
  <c r="AN23" i="170"/>
  <c r="AN24" i="170"/>
  <c r="AN28" i="170"/>
  <c r="AN34" i="170"/>
  <c r="AN35" i="170"/>
  <c r="AN36" i="170"/>
  <c r="AN38" i="170"/>
  <c r="AN39" i="170"/>
  <c r="AN40" i="170"/>
  <c r="AN42" i="170"/>
  <c r="AN43" i="170"/>
  <c r="AN44" i="170"/>
  <c r="AN45" i="170"/>
  <c r="AN46" i="170"/>
  <c r="AN47" i="170"/>
  <c r="AN49" i="170"/>
  <c r="AN50" i="170"/>
  <c r="AN53" i="170"/>
  <c r="AN54" i="170"/>
  <c r="AN57" i="170"/>
  <c r="AN61" i="170"/>
  <c r="AN63" i="170"/>
  <c r="AN59" i="170"/>
  <c r="AN64" i="170"/>
  <c r="AN66" i="170"/>
  <c r="K151" i="31"/>
  <c r="AN71" i="170"/>
  <c r="AN73" i="170"/>
  <c r="AN74" i="170"/>
  <c r="AN77" i="170"/>
  <c r="AN79" i="170"/>
  <c r="AN80" i="170"/>
  <c r="AN83" i="170"/>
  <c r="AO11" i="170"/>
  <c r="AO12" i="170"/>
  <c r="AO9" i="170"/>
  <c r="AO10" i="170"/>
  <c r="AO13" i="170"/>
  <c r="AO15" i="170"/>
  <c r="AO16" i="170"/>
  <c r="AO17" i="170"/>
  <c r="AO19" i="170"/>
  <c r="AO20" i="170"/>
  <c r="AO22" i="170"/>
  <c r="AO23" i="170"/>
  <c r="AO24" i="170"/>
  <c r="AO28" i="170"/>
  <c r="AO34" i="170"/>
  <c r="AO35" i="170"/>
  <c r="AO36" i="170"/>
  <c r="AO38" i="170"/>
  <c r="AO39" i="170"/>
  <c r="AO40" i="170"/>
  <c r="AO42" i="170"/>
  <c r="AO43" i="170"/>
  <c r="AO44" i="170"/>
  <c r="AO45" i="170"/>
  <c r="AO46" i="170"/>
  <c r="AO47" i="170"/>
  <c r="AO49" i="170"/>
  <c r="AO50" i="170"/>
  <c r="AO53" i="170"/>
  <c r="AO54" i="170"/>
  <c r="AO57" i="170"/>
  <c r="AO61" i="170"/>
  <c r="AO63" i="170"/>
  <c r="AO59" i="170"/>
  <c r="AO64" i="170"/>
  <c r="AO66" i="170"/>
  <c r="AO71" i="170"/>
  <c r="AO73" i="170"/>
  <c r="AO74" i="170"/>
  <c r="AO77" i="170"/>
  <c r="AO79" i="170"/>
  <c r="AO80" i="170"/>
  <c r="AO83" i="170"/>
  <c r="AO84" i="170"/>
  <c r="AO85" i="170"/>
  <c r="AO87" i="170"/>
  <c r="AO90" i="170"/>
  <c r="AS11" i="170"/>
  <c r="AS12" i="170"/>
  <c r="AS9" i="170"/>
  <c r="AS10" i="170"/>
  <c r="AS13" i="170"/>
  <c r="AS15" i="170"/>
  <c r="AS16" i="170"/>
  <c r="AS17" i="170"/>
  <c r="AS19" i="170"/>
  <c r="AS20" i="170"/>
  <c r="AS22" i="170"/>
  <c r="AS23" i="170"/>
  <c r="AS24" i="170"/>
  <c r="AS28" i="170"/>
  <c r="AS34" i="170"/>
  <c r="AS35" i="170"/>
  <c r="AS36" i="170"/>
  <c r="AS38" i="170"/>
  <c r="AS39" i="170"/>
  <c r="AS40" i="170"/>
  <c r="AS42" i="170"/>
  <c r="AS43" i="170"/>
  <c r="AS44" i="170"/>
  <c r="AS45" i="170"/>
  <c r="AS46" i="170"/>
  <c r="AS47" i="170"/>
  <c r="AS49" i="170"/>
  <c r="AS50" i="170"/>
  <c r="AS53" i="170"/>
  <c r="AS54" i="170"/>
  <c r="AS57" i="170"/>
  <c r="AS61" i="170"/>
  <c r="AS63" i="170"/>
  <c r="AS59" i="170"/>
  <c r="AS64" i="170"/>
  <c r="AS66" i="170"/>
  <c r="AS71" i="170"/>
  <c r="AS73" i="170"/>
  <c r="AS74" i="170"/>
  <c r="AS77" i="170"/>
  <c r="AS79" i="170"/>
  <c r="AS80" i="170"/>
  <c r="AS83" i="170"/>
  <c r="AS85" i="170"/>
  <c r="AS87" i="170"/>
  <c r="AS90" i="170"/>
  <c r="AT11" i="170"/>
  <c r="AT12" i="170"/>
  <c r="AT9" i="170"/>
  <c r="AT10" i="170"/>
  <c r="AT13" i="170"/>
  <c r="AT15" i="170"/>
  <c r="AT16" i="170"/>
  <c r="AT17" i="170"/>
  <c r="AT19" i="170"/>
  <c r="AT20" i="170"/>
  <c r="AT22" i="170"/>
  <c r="AT23" i="170"/>
  <c r="AT24" i="170"/>
  <c r="AT28" i="170"/>
  <c r="AT34" i="170"/>
  <c r="AT35" i="170"/>
  <c r="AT36" i="170"/>
  <c r="AT38" i="170"/>
  <c r="AT39" i="170"/>
  <c r="AT40" i="170"/>
  <c r="AT42" i="170"/>
  <c r="AT43" i="170"/>
  <c r="AT44" i="170"/>
  <c r="K108" i="147"/>
  <c r="AT45" i="170"/>
  <c r="K110" i="146"/>
  <c r="AT46" i="170"/>
  <c r="AT47" i="170"/>
  <c r="K110" i="145"/>
  <c r="AT49" i="170"/>
  <c r="AT50" i="170"/>
  <c r="AT53" i="170"/>
  <c r="AT54" i="170"/>
  <c r="AT57" i="170"/>
  <c r="AT61" i="170"/>
  <c r="AT63" i="170"/>
  <c r="AT59" i="170"/>
  <c r="AT64" i="170"/>
  <c r="AT66" i="170"/>
  <c r="AT71" i="170"/>
  <c r="AT73" i="170"/>
  <c r="AT74" i="170"/>
  <c r="AT77" i="170"/>
  <c r="AT79" i="170"/>
  <c r="AT80" i="170"/>
  <c r="AT83" i="170"/>
  <c r="AT85" i="170"/>
  <c r="AT87" i="170"/>
  <c r="AT90" i="170"/>
  <c r="AU11" i="170"/>
  <c r="AU12" i="170"/>
  <c r="AU9" i="170"/>
  <c r="AU10" i="170"/>
  <c r="AU13" i="170"/>
  <c r="AU15" i="170"/>
  <c r="AU16" i="170"/>
  <c r="AU17" i="170"/>
  <c r="AU19" i="170"/>
  <c r="AU20" i="170"/>
  <c r="AU22" i="170"/>
  <c r="AU23" i="170"/>
  <c r="AU24" i="170"/>
  <c r="AU28" i="170"/>
  <c r="AU34" i="170"/>
  <c r="AU35" i="170"/>
  <c r="AU36" i="170"/>
  <c r="AU38" i="170"/>
  <c r="AU39" i="170"/>
  <c r="AU40" i="170"/>
  <c r="K116" i="142"/>
  <c r="AU42" i="170"/>
  <c r="AU43" i="170"/>
  <c r="AU44" i="170"/>
  <c r="AU45" i="170"/>
  <c r="AU46" i="170"/>
  <c r="AU47" i="170"/>
  <c r="AU49" i="170"/>
  <c r="AU50" i="170"/>
  <c r="AU53" i="170"/>
  <c r="AU54" i="170"/>
  <c r="AU57" i="170"/>
  <c r="AU61" i="170"/>
  <c r="AU63" i="170"/>
  <c r="AU59" i="170"/>
  <c r="AU64" i="170"/>
  <c r="AU66" i="170"/>
  <c r="AU71" i="170"/>
  <c r="AU73" i="170"/>
  <c r="AU74" i="170"/>
  <c r="AU77" i="170"/>
  <c r="AU79" i="170"/>
  <c r="AU80" i="170"/>
  <c r="AU83" i="170"/>
  <c r="AU85" i="170"/>
  <c r="AU87" i="170"/>
  <c r="AU90" i="170"/>
  <c r="AV11" i="170"/>
  <c r="AV12" i="170"/>
  <c r="AV9" i="170"/>
  <c r="AV10" i="170"/>
  <c r="AV13" i="170"/>
  <c r="AV15" i="170"/>
  <c r="AV16" i="170"/>
  <c r="AV17" i="170"/>
  <c r="AV19" i="170"/>
  <c r="AV20" i="170"/>
  <c r="AV22" i="170"/>
  <c r="AV23" i="170"/>
  <c r="AV24" i="170"/>
  <c r="AV28" i="170"/>
  <c r="AV34" i="170"/>
  <c r="AV35" i="170"/>
  <c r="AV36" i="170"/>
  <c r="AV38" i="170"/>
  <c r="AV39" i="170"/>
  <c r="AV40" i="170"/>
  <c r="AV42" i="170"/>
  <c r="K112" i="143"/>
  <c r="AV43" i="170"/>
  <c r="K112" i="144"/>
  <c r="AV44" i="170"/>
  <c r="AV45" i="170"/>
  <c r="AV46" i="170"/>
  <c r="AV47" i="170"/>
  <c r="AV49" i="170"/>
  <c r="AV50" i="170"/>
  <c r="AV53" i="170"/>
  <c r="AV54" i="170"/>
  <c r="AV57" i="170"/>
  <c r="AV61" i="170"/>
  <c r="AV63" i="170"/>
  <c r="AV59" i="170"/>
  <c r="AV64" i="170"/>
  <c r="AV66" i="170"/>
  <c r="AV71" i="170"/>
  <c r="AV73" i="170"/>
  <c r="AV74" i="170"/>
  <c r="AV77" i="170"/>
  <c r="AV79" i="170"/>
  <c r="AV80" i="170"/>
  <c r="AV83" i="170"/>
  <c r="AV85" i="170"/>
  <c r="AV87" i="170"/>
  <c r="AV90" i="170"/>
  <c r="AW11" i="170"/>
  <c r="AW12" i="170"/>
  <c r="AW9" i="170"/>
  <c r="AW10" i="170"/>
  <c r="AW13" i="170"/>
  <c r="AW15" i="170"/>
  <c r="AW16" i="170"/>
  <c r="AW17" i="170"/>
  <c r="AW19" i="170"/>
  <c r="AW20" i="170"/>
  <c r="AW22" i="170"/>
  <c r="AW23" i="170"/>
  <c r="AW24" i="170"/>
  <c r="AW28" i="170"/>
  <c r="AW34" i="170"/>
  <c r="K549" i="112"/>
  <c r="AW35" i="170"/>
  <c r="AW36" i="170"/>
  <c r="AW38" i="170"/>
  <c r="AW39" i="170"/>
  <c r="AW40" i="170"/>
  <c r="AW42" i="170"/>
  <c r="AW43" i="170"/>
  <c r="AW44" i="170"/>
  <c r="AW45" i="170"/>
  <c r="AW46" i="170"/>
  <c r="AW47" i="170"/>
  <c r="AW49" i="170"/>
  <c r="AW50" i="170"/>
  <c r="AW53" i="170"/>
  <c r="AW54" i="170"/>
  <c r="AW57" i="170"/>
  <c r="AW61" i="170"/>
  <c r="AW63" i="170"/>
  <c r="AW59" i="170"/>
  <c r="AW64" i="170"/>
  <c r="AW66" i="170"/>
  <c r="AW71" i="170"/>
  <c r="AW73" i="170"/>
  <c r="AW74" i="170"/>
  <c r="AW77" i="170"/>
  <c r="AW79" i="170"/>
  <c r="AW80" i="170"/>
  <c r="AW83" i="170"/>
  <c r="AW85" i="170"/>
  <c r="AW87" i="170"/>
  <c r="AW90" i="170"/>
  <c r="AX11" i="170"/>
  <c r="AX12" i="170"/>
  <c r="AX9" i="170"/>
  <c r="AX10" i="170"/>
  <c r="AX13" i="170"/>
  <c r="AX15" i="170"/>
  <c r="AX16" i="170"/>
  <c r="AX17" i="170"/>
  <c r="AX19" i="170"/>
  <c r="AX20" i="170"/>
  <c r="AX22" i="170"/>
  <c r="AX23" i="170"/>
  <c r="AX24" i="170"/>
  <c r="AX28" i="170"/>
  <c r="K528" i="113"/>
  <c r="AX34" i="170"/>
  <c r="K550" i="112"/>
  <c r="AX35" i="170"/>
  <c r="AX36" i="170"/>
  <c r="AX38" i="170"/>
  <c r="AX39" i="170"/>
  <c r="AX40" i="170"/>
  <c r="AX42" i="170"/>
  <c r="AX43" i="170"/>
  <c r="AX44" i="170"/>
  <c r="AX45" i="170"/>
  <c r="AX46" i="170"/>
  <c r="AX47" i="170"/>
  <c r="AX49" i="170"/>
  <c r="AX50" i="170"/>
  <c r="AX53" i="170"/>
  <c r="AX54" i="170"/>
  <c r="AX57" i="170"/>
  <c r="AX61" i="170"/>
  <c r="AX63" i="170"/>
  <c r="AX59" i="170"/>
  <c r="AX64" i="170"/>
  <c r="AX66" i="170"/>
  <c r="AX71" i="170"/>
  <c r="AX73" i="170"/>
  <c r="AX74" i="170"/>
  <c r="AX77" i="170"/>
  <c r="AX79" i="170"/>
  <c r="AX80" i="170"/>
  <c r="AX83" i="170"/>
  <c r="AX85" i="170"/>
  <c r="AX87" i="170"/>
  <c r="AX90" i="170"/>
  <c r="BA11" i="170"/>
  <c r="BA12" i="170"/>
  <c r="BA9" i="170"/>
  <c r="BA10" i="170"/>
  <c r="BA13" i="170"/>
  <c r="BA15" i="170"/>
  <c r="BA16" i="170"/>
  <c r="BA17" i="170"/>
  <c r="BA19" i="170"/>
  <c r="BA20" i="170"/>
  <c r="BA22" i="170"/>
  <c r="BA23" i="170"/>
  <c r="BA24" i="170"/>
  <c r="BA28" i="170"/>
  <c r="BA34" i="170"/>
  <c r="BA35" i="170"/>
  <c r="BA36" i="170"/>
  <c r="K174" i="46"/>
  <c r="BA38" i="170"/>
  <c r="BA39" i="170"/>
  <c r="BA40" i="170"/>
  <c r="BA42" i="170"/>
  <c r="BA43" i="170"/>
  <c r="BA44" i="170"/>
  <c r="BA45" i="170"/>
  <c r="BA46" i="170"/>
  <c r="BA47" i="170"/>
  <c r="BA49" i="170"/>
  <c r="BA50" i="170"/>
  <c r="K142" i="141"/>
  <c r="BA53" i="170"/>
  <c r="BA54" i="170"/>
  <c r="K168" i="157"/>
  <c r="BA57" i="170"/>
  <c r="K168" i="140"/>
  <c r="BA61" i="170"/>
  <c r="K160" i="139"/>
  <c r="BA59" i="170"/>
  <c r="BA71" i="170"/>
  <c r="BA73" i="170"/>
  <c r="BA74" i="170"/>
  <c r="K423" i="110"/>
  <c r="BA77" i="170"/>
  <c r="BA79" i="170"/>
  <c r="BA80" i="170"/>
  <c r="BA83" i="170"/>
  <c r="BA85" i="170"/>
  <c r="BA87" i="170"/>
  <c r="BB11" i="170"/>
  <c r="BB12" i="170"/>
  <c r="BB9" i="170"/>
  <c r="BB10" i="170"/>
  <c r="BB13" i="170"/>
  <c r="BB15" i="170"/>
  <c r="BB16" i="170"/>
  <c r="BB17" i="170"/>
  <c r="BB19" i="170"/>
  <c r="BB20" i="170"/>
  <c r="BB22" i="170"/>
  <c r="BB23" i="170"/>
  <c r="BB24" i="170"/>
  <c r="BB28" i="170"/>
  <c r="BB34" i="170"/>
  <c r="BB35" i="170"/>
  <c r="BB36" i="170"/>
  <c r="K175" i="46"/>
  <c r="BB38" i="170"/>
  <c r="BB39" i="170"/>
  <c r="BB40" i="170"/>
  <c r="BB42" i="170"/>
  <c r="BB43" i="170"/>
  <c r="BB44" i="170"/>
  <c r="BB45" i="170"/>
  <c r="BB46" i="170"/>
  <c r="BB47" i="170"/>
  <c r="BB49" i="170"/>
  <c r="BB50" i="170"/>
  <c r="K143" i="141"/>
  <c r="BB53" i="170"/>
  <c r="BB54" i="170"/>
  <c r="K169" i="157"/>
  <c r="BB57" i="170"/>
  <c r="K169" i="140"/>
  <c r="BB61" i="170"/>
  <c r="K161" i="139"/>
  <c r="BB59" i="170"/>
  <c r="BB71" i="170"/>
  <c r="BB77" i="170"/>
  <c r="BB79" i="170"/>
  <c r="BB80" i="170"/>
  <c r="P89" i="170"/>
  <c r="AH89" i="170"/>
  <c r="AY89" i="170"/>
  <c r="BC89" i="170"/>
  <c r="BE89" i="170"/>
  <c r="P88" i="170"/>
  <c r="AH88" i="170"/>
  <c r="AY88" i="170"/>
  <c r="BC88" i="170"/>
  <c r="BE88" i="170"/>
  <c r="P87" i="170"/>
  <c r="P86" i="170"/>
  <c r="AH86" i="170"/>
  <c r="AY86" i="170"/>
  <c r="BC86" i="170"/>
  <c r="BE86" i="170"/>
  <c r="CN83" i="170"/>
  <c r="CN84" i="170"/>
  <c r="CN85" i="170"/>
  <c r="P85" i="170"/>
  <c r="D85" i="170"/>
  <c r="CW84" i="170"/>
  <c r="P84" i="170"/>
  <c r="BC84" i="170"/>
  <c r="D84" i="170"/>
  <c r="P83" i="170"/>
  <c r="AY83" i="170"/>
  <c r="D83" i="170"/>
  <c r="CW82" i="170"/>
  <c r="BC82" i="170"/>
  <c r="AY82" i="170"/>
  <c r="P82" i="170"/>
  <c r="CW81" i="170"/>
  <c r="BC81" i="170"/>
  <c r="AY81" i="170"/>
  <c r="AH81" i="170"/>
  <c r="P81" i="170"/>
  <c r="CU77" i="170"/>
  <c r="CU79" i="170"/>
  <c r="CU80" i="170"/>
  <c r="P80" i="170"/>
  <c r="BC80" i="170"/>
  <c r="D80" i="170"/>
  <c r="P79" i="170"/>
  <c r="BC79" i="170"/>
  <c r="D79" i="170"/>
  <c r="CW78" i="170"/>
  <c r="BC78" i="170"/>
  <c r="AX78" i="170"/>
  <c r="AY78" i="170"/>
  <c r="AB76" i="170"/>
  <c r="AB78" i="170"/>
  <c r="AC78" i="170"/>
  <c r="AD78" i="170"/>
  <c r="AE78" i="170"/>
  <c r="AF78" i="170"/>
  <c r="AG78" i="170"/>
  <c r="P78" i="170"/>
  <c r="P77" i="170"/>
  <c r="AH77" i="170"/>
  <c r="AY77" i="170"/>
  <c r="BC77" i="170"/>
  <c r="BE77" i="170"/>
  <c r="D77" i="170"/>
  <c r="CW76" i="170"/>
  <c r="BC76" i="170"/>
  <c r="AX76" i="170"/>
  <c r="AY76" i="170"/>
  <c r="P76" i="170"/>
  <c r="CW75" i="170"/>
  <c r="P75" i="170"/>
  <c r="AH75" i="170"/>
  <c r="AY75" i="170"/>
  <c r="BC75" i="170"/>
  <c r="BE75" i="170"/>
  <c r="CW74" i="170"/>
  <c r="CV74" i="170"/>
  <c r="BG74" i="170"/>
  <c r="BF74" i="170"/>
  <c r="P71" i="170"/>
  <c r="AH71" i="170"/>
  <c r="AY71" i="170"/>
  <c r="BC71" i="170"/>
  <c r="BE71" i="170"/>
  <c r="P73" i="170"/>
  <c r="AY73" i="170"/>
  <c r="BD74" i="170"/>
  <c r="AZ74" i="170"/>
  <c r="AY74" i="170"/>
  <c r="AI74" i="170"/>
  <c r="Q74" i="170"/>
  <c r="P74" i="170"/>
  <c r="D74" i="170"/>
  <c r="D73" i="170"/>
  <c r="BC72" i="170"/>
  <c r="AY72" i="170"/>
  <c r="S72" i="170"/>
  <c r="P72" i="170"/>
  <c r="D71" i="170"/>
  <c r="BC70" i="170"/>
  <c r="AY70" i="170"/>
  <c r="AH70" i="170"/>
  <c r="P70" i="170"/>
  <c r="P69" i="170"/>
  <c r="AH69" i="170"/>
  <c r="AY69" i="170"/>
  <c r="BC69" i="170"/>
  <c r="BE69" i="170"/>
  <c r="P68" i="170"/>
  <c r="AH68" i="170"/>
  <c r="AY68" i="170"/>
  <c r="BC68" i="170"/>
  <c r="BE68" i="170"/>
  <c r="P67" i="170"/>
  <c r="AH67" i="170"/>
  <c r="AY67" i="170"/>
  <c r="BC67" i="170"/>
  <c r="BE67" i="170"/>
  <c r="AY66" i="170"/>
  <c r="P65" i="170"/>
  <c r="AH65" i="170"/>
  <c r="AY65" i="170"/>
  <c r="BC65" i="170"/>
  <c r="BE65" i="170"/>
  <c r="BG64" i="170"/>
  <c r="BF64" i="170"/>
  <c r="P57" i="170"/>
  <c r="AH57" i="170"/>
  <c r="AY57" i="170"/>
  <c r="BC57" i="170"/>
  <c r="BE57" i="170"/>
  <c r="P61" i="170"/>
  <c r="AH61" i="170"/>
  <c r="AY61" i="170"/>
  <c r="BC61" i="170"/>
  <c r="BE61" i="170"/>
  <c r="P63" i="170"/>
  <c r="AY63" i="170"/>
  <c r="P59" i="170"/>
  <c r="AH59" i="170"/>
  <c r="AY59" i="170"/>
  <c r="BC59" i="170"/>
  <c r="BE59" i="170"/>
  <c r="BD64" i="170"/>
  <c r="AZ64" i="170"/>
  <c r="AY64" i="170"/>
  <c r="AI64" i="170"/>
  <c r="Q64" i="170"/>
  <c r="P64" i="170"/>
  <c r="D64" i="170"/>
  <c r="D63" i="170"/>
  <c r="CW62" i="170"/>
  <c r="BC62" i="170"/>
  <c r="AY62" i="170"/>
  <c r="P62" i="170"/>
  <c r="CW61" i="170"/>
  <c r="D61" i="170"/>
  <c r="CW60" i="170"/>
  <c r="BC60" i="170"/>
  <c r="AY60" i="170"/>
  <c r="P60" i="170"/>
  <c r="CW59" i="170"/>
  <c r="D59" i="170"/>
  <c r="BC58" i="170"/>
  <c r="AY58" i="170"/>
  <c r="P58" i="170"/>
  <c r="CW57" i="170"/>
  <c r="D57" i="170"/>
  <c r="CW56" i="170"/>
  <c r="BC56" i="170"/>
  <c r="AY56" i="170"/>
  <c r="P56" i="170"/>
  <c r="CW55" i="170"/>
  <c r="P55" i="170"/>
  <c r="AH55" i="170"/>
  <c r="AY55" i="170"/>
  <c r="BC55" i="170"/>
  <c r="BE55" i="170"/>
  <c r="P54" i="170"/>
  <c r="AH54" i="170"/>
  <c r="AY54" i="170"/>
  <c r="BC54" i="170"/>
  <c r="BE54" i="170"/>
  <c r="D54" i="170"/>
  <c r="CW53" i="170"/>
  <c r="P53" i="170"/>
  <c r="AH53" i="170"/>
  <c r="AY53" i="170"/>
  <c r="BC53" i="170"/>
  <c r="BE53" i="170"/>
  <c r="D53" i="170"/>
  <c r="CW52" i="170"/>
  <c r="BC52" i="170"/>
  <c r="AY52" i="170"/>
  <c r="P52" i="170"/>
  <c r="CW51" i="170"/>
  <c r="BC51" i="170"/>
  <c r="AY51" i="170"/>
  <c r="AH51" i="170"/>
  <c r="P51" i="170"/>
  <c r="P50" i="170"/>
  <c r="AH50" i="170"/>
  <c r="AY50" i="170"/>
  <c r="BC50" i="170"/>
  <c r="BE50" i="170"/>
  <c r="D50" i="170"/>
  <c r="CW49" i="170"/>
  <c r="P49" i="170"/>
  <c r="AH49" i="170"/>
  <c r="AY49" i="170"/>
  <c r="BC49" i="170"/>
  <c r="BE49" i="170"/>
  <c r="D49" i="170"/>
  <c r="CW48" i="170"/>
  <c r="BC48" i="170"/>
  <c r="AY48" i="170"/>
  <c r="AH48" i="170"/>
  <c r="P48" i="170"/>
  <c r="P47" i="170"/>
  <c r="AH47" i="170"/>
  <c r="AY47" i="170"/>
  <c r="BC47" i="170"/>
  <c r="BE47" i="170"/>
  <c r="D47" i="170"/>
  <c r="CW46" i="170"/>
  <c r="P46" i="170"/>
  <c r="AH46" i="170"/>
  <c r="AY46" i="170"/>
  <c r="BC46" i="170"/>
  <c r="BE46" i="170"/>
  <c r="D46" i="170"/>
  <c r="CW45" i="170"/>
  <c r="P45" i="170"/>
  <c r="AH45" i="170"/>
  <c r="AY45" i="170"/>
  <c r="BC45" i="170"/>
  <c r="BE45" i="170"/>
  <c r="D45" i="170"/>
  <c r="CW44" i="170"/>
  <c r="P44" i="170"/>
  <c r="AH44" i="170"/>
  <c r="AY44" i="170"/>
  <c r="BC44" i="170"/>
  <c r="BE44" i="170"/>
  <c r="D44" i="170"/>
  <c r="CW43" i="170"/>
  <c r="P43" i="170"/>
  <c r="AH43" i="170"/>
  <c r="AY43" i="170"/>
  <c r="BC43" i="170"/>
  <c r="BE43" i="170"/>
  <c r="D43" i="170"/>
  <c r="CW42" i="170"/>
  <c r="P42" i="170"/>
  <c r="AH42" i="170"/>
  <c r="AY42" i="170"/>
  <c r="BC42" i="170"/>
  <c r="BE42" i="170"/>
  <c r="D42" i="170"/>
  <c r="CW41" i="170"/>
  <c r="P41" i="170"/>
  <c r="AH41" i="170"/>
  <c r="AY41" i="170"/>
  <c r="BC41" i="170"/>
  <c r="BE41" i="170"/>
  <c r="CW40" i="170"/>
  <c r="P40" i="170"/>
  <c r="AH40" i="170"/>
  <c r="AY40" i="170"/>
  <c r="BC40" i="170"/>
  <c r="BE40" i="170"/>
  <c r="D40" i="170"/>
  <c r="CW39" i="170"/>
  <c r="BC39" i="170"/>
  <c r="AY39" i="170"/>
  <c r="AH39" i="170"/>
  <c r="P39" i="170"/>
  <c r="D39" i="170"/>
  <c r="CW38" i="170"/>
  <c r="P38" i="170"/>
  <c r="AH38" i="170"/>
  <c r="AY38" i="170"/>
  <c r="BC38" i="170"/>
  <c r="BE38" i="170"/>
  <c r="D38" i="170"/>
  <c r="CW37" i="170"/>
  <c r="P37" i="170"/>
  <c r="AH37" i="170"/>
  <c r="AY37" i="170"/>
  <c r="BC37" i="170"/>
  <c r="BE37" i="170"/>
  <c r="AY36" i="170"/>
  <c r="BC36" i="170"/>
  <c r="D36" i="170"/>
  <c r="AY35" i="170"/>
  <c r="BC35" i="170"/>
  <c r="D35" i="170"/>
  <c r="CW34" i="170"/>
  <c r="BC34" i="170"/>
  <c r="AY34" i="170"/>
  <c r="AH34" i="170"/>
  <c r="P34" i="170"/>
  <c r="D34" i="170"/>
  <c r="CW33" i="170"/>
  <c r="P33" i="170"/>
  <c r="AH33" i="170"/>
  <c r="AY33" i="170"/>
  <c r="BC33" i="170"/>
  <c r="BE33" i="170"/>
  <c r="CW32" i="170"/>
  <c r="P32" i="170"/>
  <c r="AH32" i="170"/>
  <c r="AY32" i="170"/>
  <c r="BC32" i="170"/>
  <c r="BE32" i="170"/>
  <c r="P31" i="170"/>
  <c r="AH31" i="170"/>
  <c r="AY31" i="170"/>
  <c r="BC31" i="170"/>
  <c r="BE31" i="170"/>
  <c r="P30" i="170"/>
  <c r="AH30" i="170"/>
  <c r="AY30" i="170"/>
  <c r="BC30" i="170"/>
  <c r="BE30" i="170"/>
  <c r="P29" i="170"/>
  <c r="AH29" i="170"/>
  <c r="AY29" i="170"/>
  <c r="BC29" i="170"/>
  <c r="BE29" i="170"/>
  <c r="AY13" i="170"/>
  <c r="AY17" i="170"/>
  <c r="AY20" i="170"/>
  <c r="AY22" i="170"/>
  <c r="AY23" i="170"/>
  <c r="AY24" i="170"/>
  <c r="AY28" i="170"/>
  <c r="BC28" i="170"/>
  <c r="BD28" i="170"/>
  <c r="AZ24" i="170"/>
  <c r="AZ28" i="170"/>
  <c r="Q24" i="170"/>
  <c r="Q28" i="170"/>
  <c r="P27" i="170"/>
  <c r="AH27" i="170"/>
  <c r="AY27" i="170"/>
  <c r="BC27" i="170"/>
  <c r="BE27" i="170"/>
  <c r="CW26" i="170"/>
  <c r="P26" i="170"/>
  <c r="AH26" i="170"/>
  <c r="AY26" i="170"/>
  <c r="BC26" i="170"/>
  <c r="BE26" i="170"/>
  <c r="CW25" i="170"/>
  <c r="P25" i="170"/>
  <c r="AH25" i="170"/>
  <c r="AY25" i="170"/>
  <c r="BC25" i="170"/>
  <c r="BE25" i="170"/>
  <c r="CV24" i="170"/>
  <c r="P23" i="170"/>
  <c r="BC24" i="170"/>
  <c r="D24" i="170"/>
  <c r="CW23" i="170"/>
  <c r="AH23" i="170"/>
  <c r="BC23" i="170"/>
  <c r="BE23" i="170"/>
  <c r="D23" i="170"/>
  <c r="BC22" i="170"/>
  <c r="D22" i="170"/>
  <c r="CW21" i="170"/>
  <c r="P21" i="170"/>
  <c r="AH21" i="170"/>
  <c r="AY21" i="170"/>
  <c r="BC21" i="170"/>
  <c r="BE21" i="170"/>
  <c r="P20" i="170"/>
  <c r="AH20" i="170"/>
  <c r="BC20" i="170"/>
  <c r="BE20" i="170"/>
  <c r="D20" i="170"/>
  <c r="P19" i="170"/>
  <c r="AH19" i="170"/>
  <c r="AY19" i="170"/>
  <c r="BC19" i="170"/>
  <c r="BE19" i="170"/>
  <c r="D19" i="170"/>
  <c r="CW18" i="170"/>
  <c r="P18" i="170"/>
  <c r="AH18" i="170"/>
  <c r="AY18" i="170"/>
  <c r="BC18" i="170"/>
  <c r="BE18" i="170"/>
  <c r="P17" i="170"/>
  <c r="AH17" i="170"/>
  <c r="BC17" i="170"/>
  <c r="BE17" i="170"/>
  <c r="D17" i="170"/>
  <c r="P16" i="170"/>
  <c r="AH16" i="170"/>
  <c r="AY16" i="170"/>
  <c r="BC16" i="170"/>
  <c r="BE16" i="170"/>
  <c r="D16" i="170"/>
  <c r="P15" i="170"/>
  <c r="AH15" i="170"/>
  <c r="AY15" i="170"/>
  <c r="BC15" i="170"/>
  <c r="BE15" i="170"/>
  <c r="D15" i="170"/>
  <c r="CW14" i="170"/>
  <c r="P14" i="170"/>
  <c r="AH14" i="170"/>
  <c r="AY14" i="170"/>
  <c r="BC14" i="170"/>
  <c r="BE14" i="170"/>
  <c r="CW13" i="170"/>
  <c r="P13" i="170"/>
  <c r="AH13" i="170"/>
  <c r="BC13" i="170"/>
  <c r="BE13" i="170"/>
  <c r="D13" i="170"/>
  <c r="P12" i="170"/>
  <c r="AH12" i="170"/>
  <c r="AY12" i="170"/>
  <c r="BC12" i="170"/>
  <c r="BE12" i="170"/>
  <c r="P11" i="170"/>
  <c r="AH11" i="170"/>
  <c r="AY11" i="170"/>
  <c r="BC11" i="170"/>
  <c r="BE11" i="170"/>
  <c r="D11" i="170"/>
  <c r="P10" i="170"/>
  <c r="AH10" i="170"/>
  <c r="AY10" i="170"/>
  <c r="BC10" i="170"/>
  <c r="BE10" i="170"/>
  <c r="P9" i="170"/>
  <c r="AH9" i="170"/>
  <c r="AY9" i="170"/>
  <c r="BC9" i="170"/>
  <c r="BE9" i="170"/>
  <c r="D9" i="170"/>
  <c r="CR4" i="170"/>
  <c r="CN4" i="170"/>
  <c r="CJ4" i="170"/>
  <c r="CF4" i="170"/>
  <c r="CB4" i="170"/>
  <c r="BX4" i="170"/>
  <c r="BT4" i="170"/>
  <c r="BP4" i="170"/>
  <c r="BL4" i="170"/>
  <c r="BH4" i="170"/>
  <c r="BE4" i="170"/>
  <c r="BB4" i="170"/>
  <c r="BA4" i="170"/>
  <c r="AX4" i="170"/>
  <c r="AW4" i="170"/>
  <c r="AV4" i="170"/>
  <c r="AU4" i="170"/>
  <c r="AT4" i="170"/>
  <c r="AS4" i="170"/>
  <c r="AR4" i="170"/>
  <c r="AQ4" i="170"/>
  <c r="AP4" i="170"/>
  <c r="AO4" i="170"/>
  <c r="AN4" i="170"/>
  <c r="AM4" i="170"/>
  <c r="AL4" i="170"/>
  <c r="AK4" i="170"/>
  <c r="AJ4" i="170"/>
  <c r="AG4" i="170"/>
  <c r="AF4" i="170"/>
  <c r="AE4" i="170"/>
  <c r="AD4" i="170"/>
  <c r="AC4" i="170"/>
  <c r="AB4" i="170"/>
  <c r="AA4" i="170"/>
  <c r="Z4" i="170"/>
  <c r="Y4" i="170"/>
  <c r="X4" i="170"/>
  <c r="W4" i="170"/>
  <c r="V4" i="170"/>
  <c r="U4" i="170"/>
  <c r="T4" i="170"/>
  <c r="S4" i="170"/>
  <c r="R4" i="170"/>
  <c r="O4" i="170"/>
  <c r="N4" i="170"/>
  <c r="M4" i="170"/>
  <c r="L4" i="170"/>
  <c r="K4" i="170"/>
  <c r="J4" i="170"/>
  <c r="I4" i="170"/>
  <c r="H4" i="170"/>
  <c r="G4" i="170"/>
  <c r="E3" i="170"/>
  <c r="CO42" i="169"/>
  <c r="CO43" i="169"/>
  <c r="CO44" i="169"/>
  <c r="CO45" i="169"/>
  <c r="CO46" i="169"/>
  <c r="CO47" i="169"/>
  <c r="CP42" i="169"/>
  <c r="CP43" i="169"/>
  <c r="CP44" i="169"/>
  <c r="CP45" i="169"/>
  <c r="CP46" i="169"/>
  <c r="CP47" i="169"/>
  <c r="CQ42" i="169"/>
  <c r="CQ43" i="169"/>
  <c r="CQ44" i="169"/>
  <c r="CQ45" i="169"/>
  <c r="CQ46" i="169"/>
  <c r="CQ47" i="169"/>
  <c r="CW47" i="169"/>
  <c r="CO49" i="169"/>
  <c r="CO50" i="169"/>
  <c r="CP49" i="169"/>
  <c r="CP50" i="169"/>
  <c r="CQ49" i="169"/>
  <c r="CQ50" i="169"/>
  <c r="CW50" i="169"/>
  <c r="CO53" i="169"/>
  <c r="CO54" i="169"/>
  <c r="CP53" i="169"/>
  <c r="CP54" i="169"/>
  <c r="CQ53" i="169"/>
  <c r="CQ54" i="169"/>
  <c r="CW54" i="169"/>
  <c r="CO57" i="169"/>
  <c r="CO61" i="169"/>
  <c r="CO63" i="169"/>
  <c r="CO59" i="169"/>
  <c r="CO64" i="169"/>
  <c r="CP57" i="169"/>
  <c r="CP61" i="169"/>
  <c r="CP63" i="169"/>
  <c r="CP59" i="169"/>
  <c r="CP64" i="169"/>
  <c r="CQ57" i="169"/>
  <c r="CQ61" i="169"/>
  <c r="CQ63" i="169"/>
  <c r="CQ59" i="169"/>
  <c r="CQ64" i="169"/>
  <c r="S83" i="169"/>
  <c r="R63" i="169"/>
  <c r="R64" i="169"/>
  <c r="CO11" i="169"/>
  <c r="CO12" i="169"/>
  <c r="CO9" i="169"/>
  <c r="CO10" i="169"/>
  <c r="CO13" i="169"/>
  <c r="CO15" i="169"/>
  <c r="CO16" i="169"/>
  <c r="CO17" i="169"/>
  <c r="CO19" i="169"/>
  <c r="CO20" i="169"/>
  <c r="CO22" i="169"/>
  <c r="CO23" i="169"/>
  <c r="CO24" i="169"/>
  <c r="CO28" i="169"/>
  <c r="CO34" i="169"/>
  <c r="CO35" i="169"/>
  <c r="CO36" i="169"/>
  <c r="CO38" i="169"/>
  <c r="CO39" i="169"/>
  <c r="CO40" i="169"/>
  <c r="CO66" i="169"/>
  <c r="CO71" i="169"/>
  <c r="CO73" i="169"/>
  <c r="CO74" i="169"/>
  <c r="CO77" i="169"/>
  <c r="CO79" i="169"/>
  <c r="CO80" i="169"/>
  <c r="CO83" i="169"/>
  <c r="CO84" i="169"/>
  <c r="CO85" i="169"/>
  <c r="CO87" i="169"/>
  <c r="CO90" i="169"/>
  <c r="CP11" i="169"/>
  <c r="CP12" i="169"/>
  <c r="CP9" i="169"/>
  <c r="CP10" i="169"/>
  <c r="CP13" i="169"/>
  <c r="CP15" i="169"/>
  <c r="CP16" i="169"/>
  <c r="CP17" i="169"/>
  <c r="CP19" i="169"/>
  <c r="CP20" i="169"/>
  <c r="CP22" i="169"/>
  <c r="CP23" i="169"/>
  <c r="CP24" i="169"/>
  <c r="CP28" i="169"/>
  <c r="CP34" i="169"/>
  <c r="CP35" i="169"/>
  <c r="CP36" i="169"/>
  <c r="CP38" i="169"/>
  <c r="CP39" i="169"/>
  <c r="CP40" i="169"/>
  <c r="CP66" i="169"/>
  <c r="CP71" i="169"/>
  <c r="CP73" i="169"/>
  <c r="CP74" i="169"/>
  <c r="CP77" i="169"/>
  <c r="CP79" i="169"/>
  <c r="CP80" i="169"/>
  <c r="CP83" i="169"/>
  <c r="CP84" i="169"/>
  <c r="CP85" i="169"/>
  <c r="CP87" i="169"/>
  <c r="CP90" i="169"/>
  <c r="CQ11" i="169"/>
  <c r="CQ12" i="169"/>
  <c r="CQ9" i="169"/>
  <c r="CQ10" i="169"/>
  <c r="CQ13" i="169"/>
  <c r="CQ15" i="169"/>
  <c r="CQ16" i="169"/>
  <c r="CQ17" i="169"/>
  <c r="CQ19" i="169"/>
  <c r="CQ20" i="169"/>
  <c r="CQ22" i="169"/>
  <c r="CQ23" i="169"/>
  <c r="CQ24" i="169"/>
  <c r="CQ28" i="169"/>
  <c r="CQ34" i="169"/>
  <c r="CQ35" i="169"/>
  <c r="CQ36" i="169"/>
  <c r="CQ38" i="169"/>
  <c r="CQ39" i="169"/>
  <c r="CQ40" i="169"/>
  <c r="CQ66" i="169"/>
  <c r="CQ71" i="169"/>
  <c r="CQ73" i="169"/>
  <c r="CQ74" i="169"/>
  <c r="CQ77" i="169"/>
  <c r="CQ79" i="169"/>
  <c r="CQ80" i="169"/>
  <c r="CQ83" i="169"/>
  <c r="CQ84" i="169"/>
  <c r="CQ85" i="169"/>
  <c r="CQ87" i="169"/>
  <c r="CQ90" i="169"/>
  <c r="J110" i="138"/>
  <c r="G11" i="169"/>
  <c r="G12" i="169"/>
  <c r="J134" i="137"/>
  <c r="G9" i="169"/>
  <c r="G10" i="169"/>
  <c r="G13" i="169"/>
  <c r="G15" i="169"/>
  <c r="G16" i="169"/>
  <c r="G17" i="169"/>
  <c r="G19" i="169"/>
  <c r="G20" i="169"/>
  <c r="G22" i="169"/>
  <c r="G23" i="169"/>
  <c r="G24" i="169"/>
  <c r="G28" i="169"/>
  <c r="G34" i="169"/>
  <c r="G35" i="169"/>
  <c r="G36" i="169"/>
  <c r="G38" i="169"/>
  <c r="G39" i="169"/>
  <c r="G40" i="169"/>
  <c r="G42" i="169"/>
  <c r="G43" i="169"/>
  <c r="G44" i="169"/>
  <c r="G45" i="169"/>
  <c r="G46" i="169"/>
  <c r="G47" i="169"/>
  <c r="G49" i="169"/>
  <c r="G50" i="169"/>
  <c r="G53" i="169"/>
  <c r="G54" i="169"/>
  <c r="G57" i="169"/>
  <c r="G61" i="169"/>
  <c r="G63" i="169"/>
  <c r="G59" i="169"/>
  <c r="G64" i="169"/>
  <c r="G66" i="169"/>
  <c r="G71" i="169"/>
  <c r="G73" i="169"/>
  <c r="G74" i="169"/>
  <c r="G77" i="169"/>
  <c r="G79" i="169"/>
  <c r="G80" i="169"/>
  <c r="G83" i="169"/>
  <c r="G85" i="169"/>
  <c r="G87" i="169"/>
  <c r="G90" i="169"/>
  <c r="H11" i="169"/>
  <c r="H12" i="169"/>
  <c r="H9" i="169"/>
  <c r="H10" i="169"/>
  <c r="H13" i="169"/>
  <c r="J193" i="49"/>
  <c r="H15" i="169"/>
  <c r="J155" i="62"/>
  <c r="H16" i="169"/>
  <c r="H17" i="169"/>
  <c r="H19" i="169"/>
  <c r="H20" i="169"/>
  <c r="H22" i="169"/>
  <c r="H23" i="169"/>
  <c r="H24" i="169"/>
  <c r="H28" i="169"/>
  <c r="H34" i="169"/>
  <c r="H35" i="169"/>
  <c r="H36" i="169"/>
  <c r="H38" i="169"/>
  <c r="H39" i="169"/>
  <c r="H40" i="169"/>
  <c r="H42" i="169"/>
  <c r="H43" i="169"/>
  <c r="H44" i="169"/>
  <c r="H45" i="169"/>
  <c r="H46" i="169"/>
  <c r="H47" i="169"/>
  <c r="H49" i="169"/>
  <c r="H50" i="169"/>
  <c r="H53" i="169"/>
  <c r="H54" i="169"/>
  <c r="H57" i="169"/>
  <c r="H61" i="169"/>
  <c r="H63" i="169"/>
  <c r="H59" i="169"/>
  <c r="H64" i="169"/>
  <c r="H66" i="169"/>
  <c r="H71" i="169"/>
  <c r="H73" i="169"/>
  <c r="H74" i="169"/>
  <c r="H77" i="169"/>
  <c r="H79" i="169"/>
  <c r="H80" i="169"/>
  <c r="H83" i="169"/>
  <c r="H85" i="169"/>
  <c r="H87" i="169"/>
  <c r="H90" i="169"/>
  <c r="I11" i="169"/>
  <c r="I12" i="169"/>
  <c r="I9" i="169"/>
  <c r="I10" i="169"/>
  <c r="I13" i="169"/>
  <c r="J194" i="49"/>
  <c r="I15" i="169"/>
  <c r="J156" i="62"/>
  <c r="I16" i="169"/>
  <c r="I17" i="169"/>
  <c r="I19" i="169"/>
  <c r="I20" i="169"/>
  <c r="I22" i="169"/>
  <c r="I23" i="169"/>
  <c r="I24" i="169"/>
  <c r="I28" i="169"/>
  <c r="I34" i="169"/>
  <c r="I35" i="169"/>
  <c r="I36" i="169"/>
  <c r="I38" i="169"/>
  <c r="I39" i="169"/>
  <c r="I40" i="169"/>
  <c r="I42" i="169"/>
  <c r="I43" i="169"/>
  <c r="I44" i="169"/>
  <c r="I45" i="169"/>
  <c r="I46" i="169"/>
  <c r="I47" i="169"/>
  <c r="I49" i="169"/>
  <c r="I50" i="169"/>
  <c r="I53" i="169"/>
  <c r="I54" i="169"/>
  <c r="I57" i="169"/>
  <c r="I61" i="169"/>
  <c r="I63" i="169"/>
  <c r="I59" i="169"/>
  <c r="I64" i="169"/>
  <c r="I66" i="169"/>
  <c r="I71" i="169"/>
  <c r="I73" i="169"/>
  <c r="I74" i="169"/>
  <c r="I77" i="169"/>
  <c r="I79" i="169"/>
  <c r="I80" i="169"/>
  <c r="I83" i="169"/>
  <c r="I85" i="169"/>
  <c r="I87" i="169"/>
  <c r="I90" i="169"/>
  <c r="J11" i="169"/>
  <c r="J12" i="169"/>
  <c r="J9" i="169"/>
  <c r="J10" i="169"/>
  <c r="J13" i="169"/>
  <c r="J15" i="169"/>
  <c r="J16" i="169"/>
  <c r="J17" i="169"/>
  <c r="J441" i="39"/>
  <c r="J19" i="169"/>
  <c r="J20" i="169"/>
  <c r="J22" i="169"/>
  <c r="J23" i="169"/>
  <c r="J24" i="169"/>
  <c r="J28" i="169"/>
  <c r="J34" i="169"/>
  <c r="J38" i="169"/>
  <c r="J212" i="48"/>
  <c r="J39" i="169"/>
  <c r="J40" i="169"/>
  <c r="J42" i="169"/>
  <c r="J43" i="169"/>
  <c r="J44" i="169"/>
  <c r="J45" i="169"/>
  <c r="J46" i="169"/>
  <c r="J47" i="169"/>
  <c r="J49" i="169"/>
  <c r="J50" i="169"/>
  <c r="J53" i="169"/>
  <c r="J54" i="169"/>
  <c r="J57" i="169"/>
  <c r="J61" i="169"/>
  <c r="J63" i="169"/>
  <c r="J59" i="169"/>
  <c r="J64" i="169"/>
  <c r="J71" i="169"/>
  <c r="J73" i="169"/>
  <c r="J74" i="169"/>
  <c r="J77" i="169"/>
  <c r="J79" i="169"/>
  <c r="J80" i="169"/>
  <c r="J83" i="169"/>
  <c r="J85" i="169"/>
  <c r="J87" i="169"/>
  <c r="K11" i="169"/>
  <c r="K12" i="169"/>
  <c r="K9" i="169"/>
  <c r="K10" i="169"/>
  <c r="K13" i="169"/>
  <c r="K15" i="169"/>
  <c r="K16" i="169"/>
  <c r="K17" i="169"/>
  <c r="K19" i="169"/>
  <c r="K20" i="169"/>
  <c r="J436" i="41"/>
  <c r="K23" i="169"/>
  <c r="K34" i="169"/>
  <c r="K35" i="169"/>
  <c r="K36" i="169"/>
  <c r="K38" i="169"/>
  <c r="K39" i="169"/>
  <c r="K40" i="169"/>
  <c r="K42" i="169"/>
  <c r="K43" i="169"/>
  <c r="K44" i="169"/>
  <c r="K45" i="169"/>
  <c r="K46" i="169"/>
  <c r="K47" i="169"/>
  <c r="K49" i="169"/>
  <c r="K50" i="169"/>
  <c r="K53" i="169"/>
  <c r="K54" i="169"/>
  <c r="K57" i="169"/>
  <c r="K61" i="169"/>
  <c r="K63" i="169"/>
  <c r="K59" i="169"/>
  <c r="K64" i="169"/>
  <c r="K66" i="169"/>
  <c r="K71" i="169"/>
  <c r="K73" i="169"/>
  <c r="K74" i="169"/>
  <c r="K77" i="169"/>
  <c r="K79" i="169"/>
  <c r="K80" i="169"/>
  <c r="K83" i="169"/>
  <c r="K85" i="169"/>
  <c r="K87" i="169"/>
  <c r="L11" i="169"/>
  <c r="L12" i="169"/>
  <c r="L9" i="169"/>
  <c r="L10" i="169"/>
  <c r="L13" i="169"/>
  <c r="L15" i="169"/>
  <c r="L16" i="169"/>
  <c r="L17" i="169"/>
  <c r="L19" i="169"/>
  <c r="L20" i="169"/>
  <c r="J437" i="41"/>
  <c r="L23" i="169"/>
  <c r="L34" i="169"/>
  <c r="L35" i="169"/>
  <c r="L36" i="169"/>
  <c r="L38" i="169"/>
  <c r="L39" i="169"/>
  <c r="L40" i="169"/>
  <c r="L42" i="169"/>
  <c r="L43" i="169"/>
  <c r="L44" i="169"/>
  <c r="L45" i="169"/>
  <c r="L46" i="169"/>
  <c r="L47" i="169"/>
  <c r="L49" i="169"/>
  <c r="L50" i="169"/>
  <c r="L53" i="169"/>
  <c r="L54" i="169"/>
  <c r="L57" i="169"/>
  <c r="L61" i="169"/>
  <c r="L63" i="169"/>
  <c r="L59" i="169"/>
  <c r="L64" i="169"/>
  <c r="L66" i="169"/>
  <c r="L71" i="169"/>
  <c r="L73" i="169"/>
  <c r="L74" i="169"/>
  <c r="L77" i="169"/>
  <c r="L79" i="169"/>
  <c r="L80" i="169"/>
  <c r="L83" i="169"/>
  <c r="L85" i="169"/>
  <c r="L87" i="169"/>
  <c r="M11" i="169"/>
  <c r="M12" i="169"/>
  <c r="M9" i="169"/>
  <c r="M10" i="169"/>
  <c r="M13" i="169"/>
  <c r="M15" i="169"/>
  <c r="M16" i="169"/>
  <c r="M17" i="169"/>
  <c r="M19" i="169"/>
  <c r="M20" i="169"/>
  <c r="M23" i="169"/>
  <c r="M34" i="169"/>
  <c r="M35" i="169"/>
  <c r="M36" i="169"/>
  <c r="M38" i="169"/>
  <c r="M39" i="169"/>
  <c r="M40" i="169"/>
  <c r="M42" i="169"/>
  <c r="M43" i="169"/>
  <c r="M44" i="169"/>
  <c r="M45" i="169"/>
  <c r="M46" i="169"/>
  <c r="M47" i="169"/>
  <c r="M49" i="169"/>
  <c r="M50" i="169"/>
  <c r="M53" i="169"/>
  <c r="M54" i="169"/>
  <c r="M57" i="169"/>
  <c r="M61" i="169"/>
  <c r="M63" i="169"/>
  <c r="M59" i="169"/>
  <c r="M64" i="169"/>
  <c r="M66" i="169"/>
  <c r="M71" i="169"/>
  <c r="M73" i="169"/>
  <c r="M74" i="169"/>
  <c r="M77" i="169"/>
  <c r="M79" i="169"/>
  <c r="M80" i="169"/>
  <c r="M83" i="169"/>
  <c r="M85" i="169"/>
  <c r="M87" i="169"/>
  <c r="N11" i="169"/>
  <c r="N12" i="169"/>
  <c r="N9" i="169"/>
  <c r="N10" i="169"/>
  <c r="N13" i="169"/>
  <c r="N15" i="169"/>
  <c r="N16" i="169"/>
  <c r="N17" i="169"/>
  <c r="N19" i="169"/>
  <c r="N20" i="169"/>
  <c r="N22" i="169"/>
  <c r="J438" i="41"/>
  <c r="N23" i="169"/>
  <c r="N24" i="169"/>
  <c r="N28" i="169"/>
  <c r="N34" i="169"/>
  <c r="N35" i="169"/>
  <c r="N36" i="169"/>
  <c r="N38" i="169"/>
  <c r="N39" i="169"/>
  <c r="N40" i="169"/>
  <c r="N42" i="169"/>
  <c r="N43" i="169"/>
  <c r="N44" i="169"/>
  <c r="N45" i="169"/>
  <c r="N46" i="169"/>
  <c r="N47" i="169"/>
  <c r="N49" i="169"/>
  <c r="N50" i="169"/>
  <c r="N53" i="169"/>
  <c r="N54" i="169"/>
  <c r="N57" i="169"/>
  <c r="N61" i="169"/>
  <c r="N63" i="169"/>
  <c r="N59" i="169"/>
  <c r="N64" i="169"/>
  <c r="N66" i="169"/>
  <c r="N71" i="169"/>
  <c r="N73" i="169"/>
  <c r="N74" i="169"/>
  <c r="N77" i="169"/>
  <c r="N79" i="169"/>
  <c r="N80" i="169"/>
  <c r="N83" i="169"/>
  <c r="N85" i="169"/>
  <c r="N87" i="169"/>
  <c r="N90" i="169"/>
  <c r="O11" i="169"/>
  <c r="O12" i="169"/>
  <c r="O9" i="169"/>
  <c r="O10" i="169"/>
  <c r="O13" i="169"/>
  <c r="O15" i="169"/>
  <c r="O16" i="169"/>
  <c r="O17" i="169"/>
  <c r="O19" i="169"/>
  <c r="O20" i="169"/>
  <c r="O22" i="169"/>
  <c r="J439" i="41"/>
  <c r="O23" i="169"/>
  <c r="O24" i="169"/>
  <c r="O28" i="169"/>
  <c r="O34" i="169"/>
  <c r="O35" i="169"/>
  <c r="O36" i="169"/>
  <c r="O38" i="169"/>
  <c r="O39" i="169"/>
  <c r="O40" i="169"/>
  <c r="O42" i="169"/>
  <c r="O43" i="169"/>
  <c r="O44" i="169"/>
  <c r="O45" i="169"/>
  <c r="O46" i="169"/>
  <c r="O47" i="169"/>
  <c r="O49" i="169"/>
  <c r="O50" i="169"/>
  <c r="O53" i="169"/>
  <c r="O54" i="169"/>
  <c r="O57" i="169"/>
  <c r="O61" i="169"/>
  <c r="O63" i="169"/>
  <c r="O59" i="169"/>
  <c r="O64" i="169"/>
  <c r="O66" i="169"/>
  <c r="O71" i="169"/>
  <c r="O73" i="169"/>
  <c r="O74" i="169"/>
  <c r="O77" i="169"/>
  <c r="O79" i="169"/>
  <c r="O80" i="169"/>
  <c r="O83" i="169"/>
  <c r="O85" i="169"/>
  <c r="O87" i="169"/>
  <c r="O90" i="169"/>
  <c r="R83" i="169"/>
  <c r="R85" i="169"/>
  <c r="R87" i="169"/>
  <c r="AA11" i="169"/>
  <c r="AA12" i="169"/>
  <c r="AA9" i="169"/>
  <c r="AA10" i="169"/>
  <c r="AA13" i="169"/>
  <c r="AA15" i="169"/>
  <c r="AA16" i="169"/>
  <c r="AA17" i="169"/>
  <c r="AA19" i="169"/>
  <c r="AA20" i="169"/>
  <c r="AA22" i="169"/>
  <c r="AA23" i="169"/>
  <c r="AA24" i="169"/>
  <c r="AA28" i="169"/>
  <c r="AA34" i="169"/>
  <c r="AA35" i="169"/>
  <c r="AA36" i="169"/>
  <c r="AA38" i="169"/>
  <c r="AA39" i="169"/>
  <c r="AA40" i="169"/>
  <c r="AA42" i="169"/>
  <c r="AA43" i="169"/>
  <c r="AA44" i="169"/>
  <c r="AA45" i="169"/>
  <c r="AA46" i="169"/>
  <c r="AA47" i="169"/>
  <c r="AA49" i="169"/>
  <c r="AA50" i="169"/>
  <c r="AA53" i="169"/>
  <c r="AA54" i="169"/>
  <c r="AA57" i="169"/>
  <c r="AA61" i="169"/>
  <c r="AA63" i="169"/>
  <c r="AA59" i="169"/>
  <c r="AA64" i="169"/>
  <c r="AA66" i="169"/>
  <c r="AA71" i="169"/>
  <c r="AA73" i="169"/>
  <c r="AA74" i="169"/>
  <c r="AA77" i="169"/>
  <c r="AA79" i="169"/>
  <c r="AA80" i="169"/>
  <c r="AA83" i="169"/>
  <c r="AA85" i="169"/>
  <c r="AA87" i="169"/>
  <c r="AA90" i="169"/>
  <c r="AB11" i="169"/>
  <c r="AB12" i="169"/>
  <c r="AB9" i="169"/>
  <c r="AB10" i="169"/>
  <c r="AB13" i="169"/>
  <c r="AB15" i="169"/>
  <c r="AB16" i="169"/>
  <c r="AB17" i="169"/>
  <c r="AB19" i="169"/>
  <c r="AB20" i="169"/>
  <c r="AB22" i="169"/>
  <c r="AB23" i="169"/>
  <c r="AB24" i="169"/>
  <c r="AB28" i="169"/>
  <c r="AB34" i="169"/>
  <c r="AB35" i="169"/>
  <c r="AB36" i="169"/>
  <c r="AB38" i="169"/>
  <c r="AB39" i="169"/>
  <c r="AB40" i="169"/>
  <c r="AB42" i="169"/>
  <c r="AB43" i="169"/>
  <c r="AB44" i="169"/>
  <c r="AB45" i="169"/>
  <c r="AB46" i="169"/>
  <c r="AB47" i="169"/>
  <c r="AB49" i="169"/>
  <c r="AB50" i="169"/>
  <c r="AB53" i="169"/>
  <c r="AB54" i="169"/>
  <c r="AB57" i="169"/>
  <c r="AB61" i="169"/>
  <c r="AB63" i="169"/>
  <c r="AB59" i="169"/>
  <c r="AB64" i="169"/>
  <c r="AB66" i="169"/>
  <c r="AB71" i="169"/>
  <c r="AB73" i="169"/>
  <c r="AB74" i="169"/>
  <c r="AB77" i="169"/>
  <c r="AB79" i="169"/>
  <c r="AB80" i="169"/>
  <c r="AB83" i="169"/>
  <c r="AB85" i="169"/>
  <c r="AB87" i="169"/>
  <c r="AB90" i="169"/>
  <c r="J421" i="110"/>
  <c r="AC77" i="169"/>
  <c r="AC79" i="169"/>
  <c r="AC80" i="169"/>
  <c r="AC83" i="169"/>
  <c r="AC85" i="169"/>
  <c r="AC87" i="169"/>
  <c r="AC90" i="169"/>
  <c r="J422" i="110"/>
  <c r="AD77" i="169"/>
  <c r="AD79" i="169"/>
  <c r="AD80" i="169"/>
  <c r="AD83" i="169"/>
  <c r="AD85" i="169"/>
  <c r="AD87" i="169"/>
  <c r="AD90" i="169"/>
  <c r="J418" i="110"/>
  <c r="AE77" i="169"/>
  <c r="AE79" i="169"/>
  <c r="AE80" i="169"/>
  <c r="AE83" i="169"/>
  <c r="AE85" i="169"/>
  <c r="AE87" i="169"/>
  <c r="AE90" i="169"/>
  <c r="J419" i="110"/>
  <c r="AF77" i="169"/>
  <c r="AF79" i="169"/>
  <c r="AF80" i="169"/>
  <c r="AF83" i="169"/>
  <c r="AF85" i="169"/>
  <c r="AF87" i="169"/>
  <c r="AF90" i="169"/>
  <c r="J420" i="110"/>
  <c r="AG77" i="169"/>
  <c r="AG79" i="169"/>
  <c r="AG80" i="169"/>
  <c r="AG83" i="169"/>
  <c r="AG85" i="169"/>
  <c r="AG87" i="169"/>
  <c r="AG90" i="169"/>
  <c r="AJ11" i="169"/>
  <c r="AJ12" i="169"/>
  <c r="AJ9" i="169"/>
  <c r="AJ10" i="169"/>
  <c r="AJ13" i="169"/>
  <c r="AJ15" i="169"/>
  <c r="AJ16" i="169"/>
  <c r="AJ17" i="169"/>
  <c r="AJ19" i="169"/>
  <c r="AJ20" i="169"/>
  <c r="AJ22" i="169"/>
  <c r="AJ23" i="169"/>
  <c r="AJ24" i="169"/>
  <c r="AJ28" i="169"/>
  <c r="AJ34" i="169"/>
  <c r="AJ35" i="169"/>
  <c r="AJ36" i="169"/>
  <c r="AJ38" i="169"/>
  <c r="J219" i="48"/>
  <c r="AJ39" i="169"/>
  <c r="AJ40" i="169"/>
  <c r="AJ42" i="169"/>
  <c r="AJ43" i="169"/>
  <c r="AJ44" i="169"/>
  <c r="AJ45" i="169"/>
  <c r="AJ46" i="169"/>
  <c r="AJ47" i="169"/>
  <c r="AJ49" i="169"/>
  <c r="AJ50" i="169"/>
  <c r="AJ53" i="169"/>
  <c r="AJ54" i="169"/>
  <c r="AJ57" i="169"/>
  <c r="AJ61" i="169"/>
  <c r="AJ63" i="169"/>
  <c r="AJ59" i="169"/>
  <c r="AJ64" i="169"/>
  <c r="AJ66" i="169"/>
  <c r="AJ71" i="169"/>
  <c r="AJ73" i="169"/>
  <c r="AJ74" i="169"/>
  <c r="AJ77" i="169"/>
  <c r="AJ79" i="169"/>
  <c r="AJ80" i="169"/>
  <c r="AJ83" i="169"/>
  <c r="AJ85" i="169"/>
  <c r="AJ87" i="169"/>
  <c r="AJ90" i="169"/>
  <c r="AL11" i="169"/>
  <c r="AL12" i="169"/>
  <c r="AL9" i="169"/>
  <c r="AL10" i="169"/>
  <c r="AL13" i="169"/>
  <c r="AL15" i="169"/>
  <c r="AL16" i="169"/>
  <c r="AL17" i="169"/>
  <c r="AL19" i="169"/>
  <c r="AL20" i="169"/>
  <c r="AL22" i="169"/>
  <c r="AL23" i="169"/>
  <c r="AL24" i="169"/>
  <c r="AL28" i="169"/>
  <c r="AL34" i="169"/>
  <c r="AL35" i="169"/>
  <c r="AL36" i="169"/>
  <c r="AL38" i="169"/>
  <c r="J221" i="48"/>
  <c r="AL39" i="169"/>
  <c r="AL40" i="169"/>
  <c r="AL42" i="169"/>
  <c r="AL43" i="169"/>
  <c r="AL44" i="169"/>
  <c r="AL45" i="169"/>
  <c r="AL46" i="169"/>
  <c r="AL47" i="169"/>
  <c r="AL49" i="169"/>
  <c r="AL50" i="169"/>
  <c r="AL53" i="169"/>
  <c r="AL54" i="169"/>
  <c r="AL57" i="169"/>
  <c r="AL61" i="169"/>
  <c r="AL63" i="169"/>
  <c r="AL59" i="169"/>
  <c r="AL64" i="169"/>
  <c r="AL66" i="169"/>
  <c r="AL71" i="169"/>
  <c r="AL73" i="169"/>
  <c r="AL74" i="169"/>
  <c r="AL77" i="169"/>
  <c r="AL79" i="169"/>
  <c r="AL80" i="169"/>
  <c r="AL83" i="169"/>
  <c r="AL85" i="169"/>
  <c r="AL87" i="169"/>
  <c r="AL90" i="169"/>
  <c r="AM11" i="169"/>
  <c r="AM12" i="169"/>
  <c r="AM9" i="169"/>
  <c r="AM10" i="169"/>
  <c r="AM13" i="169"/>
  <c r="AM15" i="169"/>
  <c r="AM16" i="169"/>
  <c r="AM17" i="169"/>
  <c r="AM19" i="169"/>
  <c r="AM20" i="169"/>
  <c r="AM22" i="169"/>
  <c r="AM23" i="169"/>
  <c r="AM24" i="169"/>
  <c r="AM28" i="169"/>
  <c r="AM34" i="169"/>
  <c r="AM35" i="169"/>
  <c r="AM36" i="169"/>
  <c r="AM38" i="169"/>
  <c r="AM39" i="169"/>
  <c r="AM40" i="169"/>
  <c r="AM42" i="169"/>
  <c r="AM43" i="169"/>
  <c r="AM44" i="169"/>
  <c r="AM45" i="169"/>
  <c r="AM46" i="169"/>
  <c r="AM47" i="169"/>
  <c r="AM49" i="169"/>
  <c r="AM50" i="169"/>
  <c r="AM53" i="169"/>
  <c r="AM54" i="169"/>
  <c r="AM57" i="169"/>
  <c r="AM61" i="169"/>
  <c r="AM63" i="169"/>
  <c r="AM59" i="169"/>
  <c r="AM64" i="169"/>
  <c r="AM66" i="169"/>
  <c r="AM71" i="169"/>
  <c r="AM73" i="169"/>
  <c r="AM74" i="169"/>
  <c r="AM77" i="169"/>
  <c r="AM83" i="169"/>
  <c r="AM85" i="169"/>
  <c r="AN11" i="169"/>
  <c r="AN12" i="169"/>
  <c r="AN9" i="169"/>
  <c r="AN10" i="169"/>
  <c r="AN13" i="169"/>
  <c r="AN15" i="169"/>
  <c r="AN16" i="169"/>
  <c r="AN17" i="169"/>
  <c r="AN19" i="169"/>
  <c r="AN20" i="169"/>
  <c r="AN22" i="169"/>
  <c r="AN23" i="169"/>
  <c r="AN24" i="169"/>
  <c r="AN28" i="169"/>
  <c r="AN34" i="169"/>
  <c r="AN35" i="169"/>
  <c r="AN36" i="169"/>
  <c r="AN38" i="169"/>
  <c r="AN39" i="169"/>
  <c r="AN40" i="169"/>
  <c r="AN42" i="169"/>
  <c r="AN43" i="169"/>
  <c r="AN44" i="169"/>
  <c r="AN45" i="169"/>
  <c r="AN46" i="169"/>
  <c r="AN47" i="169"/>
  <c r="AN49" i="169"/>
  <c r="AN50" i="169"/>
  <c r="AN53" i="169"/>
  <c r="AN54" i="169"/>
  <c r="AN57" i="169"/>
  <c r="AN61" i="169"/>
  <c r="AN63" i="169"/>
  <c r="AN59" i="169"/>
  <c r="AN64" i="169"/>
  <c r="AN66" i="169"/>
  <c r="J151" i="31"/>
  <c r="AN71" i="169"/>
  <c r="AN73" i="169"/>
  <c r="AN74" i="169"/>
  <c r="AN77" i="169"/>
  <c r="AN79" i="169"/>
  <c r="AN80" i="169"/>
  <c r="AN83" i="169"/>
  <c r="AO11" i="169"/>
  <c r="AO12" i="169"/>
  <c r="AO9" i="169"/>
  <c r="AO10" i="169"/>
  <c r="AO13" i="169"/>
  <c r="AO15" i="169"/>
  <c r="AO16" i="169"/>
  <c r="AO17" i="169"/>
  <c r="AO19" i="169"/>
  <c r="AO20" i="169"/>
  <c r="AO22" i="169"/>
  <c r="AO23" i="169"/>
  <c r="AO24" i="169"/>
  <c r="AO28" i="169"/>
  <c r="AO34" i="169"/>
  <c r="AO35" i="169"/>
  <c r="AO36" i="169"/>
  <c r="AO38" i="169"/>
  <c r="AO39" i="169"/>
  <c r="AO40" i="169"/>
  <c r="AO42" i="169"/>
  <c r="AO43" i="169"/>
  <c r="AO44" i="169"/>
  <c r="AO45" i="169"/>
  <c r="AO46" i="169"/>
  <c r="AO47" i="169"/>
  <c r="AO49" i="169"/>
  <c r="AO50" i="169"/>
  <c r="AO53" i="169"/>
  <c r="AO54" i="169"/>
  <c r="AO57" i="169"/>
  <c r="AO61" i="169"/>
  <c r="AO63" i="169"/>
  <c r="AO59" i="169"/>
  <c r="AO64" i="169"/>
  <c r="AO66" i="169"/>
  <c r="AO71" i="169"/>
  <c r="AO73" i="169"/>
  <c r="AO74" i="169"/>
  <c r="AO77" i="169"/>
  <c r="AO79" i="169"/>
  <c r="AO80" i="169"/>
  <c r="AO83" i="169"/>
  <c r="AO84" i="169"/>
  <c r="AO85" i="169"/>
  <c r="AO87" i="169"/>
  <c r="AO90" i="169"/>
  <c r="AS11" i="169"/>
  <c r="AS12" i="169"/>
  <c r="AS9" i="169"/>
  <c r="AS10" i="169"/>
  <c r="AS13" i="169"/>
  <c r="AS15" i="169"/>
  <c r="AS16" i="169"/>
  <c r="AS17" i="169"/>
  <c r="AS19" i="169"/>
  <c r="AS20" i="169"/>
  <c r="AS22" i="169"/>
  <c r="AS23" i="169"/>
  <c r="AS24" i="169"/>
  <c r="AS28" i="169"/>
  <c r="AS34" i="169"/>
  <c r="AS35" i="169"/>
  <c r="AS36" i="169"/>
  <c r="AS38" i="169"/>
  <c r="AS39" i="169"/>
  <c r="AS40" i="169"/>
  <c r="AS42" i="169"/>
  <c r="AS43" i="169"/>
  <c r="AS44" i="169"/>
  <c r="AS45" i="169"/>
  <c r="AS46" i="169"/>
  <c r="AS47" i="169"/>
  <c r="AS49" i="169"/>
  <c r="AS50" i="169"/>
  <c r="AS53" i="169"/>
  <c r="AS54" i="169"/>
  <c r="AS57" i="169"/>
  <c r="AS61" i="169"/>
  <c r="AS63" i="169"/>
  <c r="AS59" i="169"/>
  <c r="AS64" i="169"/>
  <c r="AS66" i="169"/>
  <c r="AS71" i="169"/>
  <c r="AS73" i="169"/>
  <c r="AS74" i="169"/>
  <c r="AS77" i="169"/>
  <c r="AS79" i="169"/>
  <c r="AS80" i="169"/>
  <c r="AS83" i="169"/>
  <c r="AS85" i="169"/>
  <c r="AS87" i="169"/>
  <c r="AS90" i="169"/>
  <c r="AT11" i="169"/>
  <c r="AT12" i="169"/>
  <c r="AT9" i="169"/>
  <c r="AT10" i="169"/>
  <c r="AT13" i="169"/>
  <c r="AT15" i="169"/>
  <c r="AT16" i="169"/>
  <c r="AT17" i="169"/>
  <c r="AT19" i="169"/>
  <c r="AT20" i="169"/>
  <c r="AT22" i="169"/>
  <c r="AT23" i="169"/>
  <c r="AT24" i="169"/>
  <c r="AT28" i="169"/>
  <c r="AT34" i="169"/>
  <c r="AT35" i="169"/>
  <c r="AT36" i="169"/>
  <c r="AT38" i="169"/>
  <c r="AT39" i="169"/>
  <c r="AT40" i="169"/>
  <c r="AT42" i="169"/>
  <c r="AT43" i="169"/>
  <c r="AT44" i="169"/>
  <c r="J108" i="147"/>
  <c r="AT45" i="169"/>
  <c r="J110" i="146"/>
  <c r="AT46" i="169"/>
  <c r="AT47" i="169"/>
  <c r="J110" i="145"/>
  <c r="AT49" i="169"/>
  <c r="AT50" i="169"/>
  <c r="AT53" i="169"/>
  <c r="AT54" i="169"/>
  <c r="AT57" i="169"/>
  <c r="AT61" i="169"/>
  <c r="AT63" i="169"/>
  <c r="AT59" i="169"/>
  <c r="AT64" i="169"/>
  <c r="AT66" i="169"/>
  <c r="AT71" i="169"/>
  <c r="AT73" i="169"/>
  <c r="AT74" i="169"/>
  <c r="AT77" i="169"/>
  <c r="AT79" i="169"/>
  <c r="AT80" i="169"/>
  <c r="AT83" i="169"/>
  <c r="AT85" i="169"/>
  <c r="AT87" i="169"/>
  <c r="AT90" i="169"/>
  <c r="AU11" i="169"/>
  <c r="AU12" i="169"/>
  <c r="AU9" i="169"/>
  <c r="AU10" i="169"/>
  <c r="AU13" i="169"/>
  <c r="AU15" i="169"/>
  <c r="AU16" i="169"/>
  <c r="AU17" i="169"/>
  <c r="AU19" i="169"/>
  <c r="AU20" i="169"/>
  <c r="AU22" i="169"/>
  <c r="AU23" i="169"/>
  <c r="AU24" i="169"/>
  <c r="AU28" i="169"/>
  <c r="AU34" i="169"/>
  <c r="AU35" i="169"/>
  <c r="AU36" i="169"/>
  <c r="AU38" i="169"/>
  <c r="AU39" i="169"/>
  <c r="AU40" i="169"/>
  <c r="J116" i="142"/>
  <c r="AU42" i="169"/>
  <c r="AU43" i="169"/>
  <c r="AU44" i="169"/>
  <c r="AU45" i="169"/>
  <c r="AU46" i="169"/>
  <c r="AU47" i="169"/>
  <c r="AU49" i="169"/>
  <c r="AU50" i="169"/>
  <c r="AU53" i="169"/>
  <c r="AU54" i="169"/>
  <c r="AU57" i="169"/>
  <c r="AU61" i="169"/>
  <c r="AU63" i="169"/>
  <c r="AU59" i="169"/>
  <c r="AU64" i="169"/>
  <c r="AU66" i="169"/>
  <c r="AU71" i="169"/>
  <c r="AU73" i="169"/>
  <c r="AU74" i="169"/>
  <c r="AU77" i="169"/>
  <c r="AU79" i="169"/>
  <c r="AU80" i="169"/>
  <c r="AU83" i="169"/>
  <c r="AU85" i="169"/>
  <c r="AU87" i="169"/>
  <c r="AU90" i="169"/>
  <c r="AV11" i="169"/>
  <c r="AV12" i="169"/>
  <c r="AV9" i="169"/>
  <c r="AV10" i="169"/>
  <c r="AV13" i="169"/>
  <c r="AV15" i="169"/>
  <c r="AV16" i="169"/>
  <c r="AV17" i="169"/>
  <c r="AV19" i="169"/>
  <c r="AV20" i="169"/>
  <c r="AV22" i="169"/>
  <c r="AV23" i="169"/>
  <c r="AV24" i="169"/>
  <c r="AV28" i="169"/>
  <c r="AV34" i="169"/>
  <c r="AV35" i="169"/>
  <c r="AV36" i="169"/>
  <c r="AV38" i="169"/>
  <c r="AV39" i="169"/>
  <c r="AV40" i="169"/>
  <c r="AV42" i="169"/>
  <c r="J112" i="143"/>
  <c r="AV43" i="169"/>
  <c r="J112" i="144"/>
  <c r="AV44" i="169"/>
  <c r="AV45" i="169"/>
  <c r="AV46" i="169"/>
  <c r="AV47" i="169"/>
  <c r="AV49" i="169"/>
  <c r="AV50" i="169"/>
  <c r="AV53" i="169"/>
  <c r="AV54" i="169"/>
  <c r="AV57" i="169"/>
  <c r="AV61" i="169"/>
  <c r="AV63" i="169"/>
  <c r="AV59" i="169"/>
  <c r="AV64" i="169"/>
  <c r="AV66" i="169"/>
  <c r="AV71" i="169"/>
  <c r="AV73" i="169"/>
  <c r="AV74" i="169"/>
  <c r="AV77" i="169"/>
  <c r="AV79" i="169"/>
  <c r="AV80" i="169"/>
  <c r="AV83" i="169"/>
  <c r="AV85" i="169"/>
  <c r="AV87" i="169"/>
  <c r="AV90" i="169"/>
  <c r="AW11" i="169"/>
  <c r="AW12" i="169"/>
  <c r="AW9" i="169"/>
  <c r="AW10" i="169"/>
  <c r="AW13" i="169"/>
  <c r="AW15" i="169"/>
  <c r="AW16" i="169"/>
  <c r="AW17" i="169"/>
  <c r="AW19" i="169"/>
  <c r="AW20" i="169"/>
  <c r="AW22" i="169"/>
  <c r="AW23" i="169"/>
  <c r="AW24" i="169"/>
  <c r="AW28" i="169"/>
  <c r="AW34" i="169"/>
  <c r="J549" i="112"/>
  <c r="AW35" i="169"/>
  <c r="AW36" i="169"/>
  <c r="AW38" i="169"/>
  <c r="AW39" i="169"/>
  <c r="AW40" i="169"/>
  <c r="AW42" i="169"/>
  <c r="AW43" i="169"/>
  <c r="AW44" i="169"/>
  <c r="AW45" i="169"/>
  <c r="AW46" i="169"/>
  <c r="AW47" i="169"/>
  <c r="AW49" i="169"/>
  <c r="AW50" i="169"/>
  <c r="AW53" i="169"/>
  <c r="AW54" i="169"/>
  <c r="AW57" i="169"/>
  <c r="AW61" i="169"/>
  <c r="AW63" i="169"/>
  <c r="AW59" i="169"/>
  <c r="AW64" i="169"/>
  <c r="AW66" i="169"/>
  <c r="AW71" i="169"/>
  <c r="AW73" i="169"/>
  <c r="AW74" i="169"/>
  <c r="AW77" i="169"/>
  <c r="AW79" i="169"/>
  <c r="AW80" i="169"/>
  <c r="AW83" i="169"/>
  <c r="AW85" i="169"/>
  <c r="AW87" i="169"/>
  <c r="AW90" i="169"/>
  <c r="AX11" i="169"/>
  <c r="AX12" i="169"/>
  <c r="AX9" i="169"/>
  <c r="AX10" i="169"/>
  <c r="AX13" i="169"/>
  <c r="AX15" i="169"/>
  <c r="AX16" i="169"/>
  <c r="AX17" i="169"/>
  <c r="AX19" i="169"/>
  <c r="AX20" i="169"/>
  <c r="AX22" i="169"/>
  <c r="AX23" i="169"/>
  <c r="AX24" i="169"/>
  <c r="AX28" i="169"/>
  <c r="J528" i="113"/>
  <c r="AX34" i="169"/>
  <c r="J550" i="112"/>
  <c r="AX35" i="169"/>
  <c r="AX36" i="169"/>
  <c r="AX38" i="169"/>
  <c r="AX39" i="169"/>
  <c r="AX40" i="169"/>
  <c r="AX42" i="169"/>
  <c r="AX43" i="169"/>
  <c r="AX44" i="169"/>
  <c r="AX45" i="169"/>
  <c r="AX46" i="169"/>
  <c r="AX47" i="169"/>
  <c r="AX49" i="169"/>
  <c r="AX50" i="169"/>
  <c r="AX53" i="169"/>
  <c r="AX54" i="169"/>
  <c r="AX57" i="169"/>
  <c r="AX61" i="169"/>
  <c r="AX63" i="169"/>
  <c r="AX59" i="169"/>
  <c r="AX64" i="169"/>
  <c r="AX66" i="169"/>
  <c r="AX71" i="169"/>
  <c r="AX73" i="169"/>
  <c r="AX74" i="169"/>
  <c r="AX77" i="169"/>
  <c r="AX79" i="169"/>
  <c r="AX80" i="169"/>
  <c r="AX83" i="169"/>
  <c r="AX85" i="169"/>
  <c r="AX87" i="169"/>
  <c r="AX90" i="169"/>
  <c r="BA11" i="169"/>
  <c r="BA12" i="169"/>
  <c r="BA9" i="169"/>
  <c r="BA10" i="169"/>
  <c r="BA13" i="169"/>
  <c r="BA15" i="169"/>
  <c r="BA16" i="169"/>
  <c r="BA17" i="169"/>
  <c r="BA19" i="169"/>
  <c r="BA20" i="169"/>
  <c r="BA22" i="169"/>
  <c r="BA23" i="169"/>
  <c r="BA24" i="169"/>
  <c r="BA28" i="169"/>
  <c r="BA34" i="169"/>
  <c r="BA35" i="169"/>
  <c r="BA36" i="169"/>
  <c r="J174" i="46"/>
  <c r="BA38" i="169"/>
  <c r="BA39" i="169"/>
  <c r="BA40" i="169"/>
  <c r="BA42" i="169"/>
  <c r="BA43" i="169"/>
  <c r="BA44" i="169"/>
  <c r="BA45" i="169"/>
  <c r="BA46" i="169"/>
  <c r="BA47" i="169"/>
  <c r="BA49" i="169"/>
  <c r="BA50" i="169"/>
  <c r="J142" i="141"/>
  <c r="BA53" i="169"/>
  <c r="BA54" i="169"/>
  <c r="J168" i="157"/>
  <c r="BA57" i="169"/>
  <c r="J168" i="140"/>
  <c r="BA61" i="169"/>
  <c r="J160" i="139"/>
  <c r="BA59" i="169"/>
  <c r="BA71" i="169"/>
  <c r="BA73" i="169"/>
  <c r="BA74" i="169"/>
  <c r="J423" i="110"/>
  <c r="BA77" i="169"/>
  <c r="BA79" i="169"/>
  <c r="BA80" i="169"/>
  <c r="BA83" i="169"/>
  <c r="BA85" i="169"/>
  <c r="BA87" i="169"/>
  <c r="BB11" i="169"/>
  <c r="BB12" i="169"/>
  <c r="BB9" i="169"/>
  <c r="BB10" i="169"/>
  <c r="BB13" i="169"/>
  <c r="BB15" i="169"/>
  <c r="BB16" i="169"/>
  <c r="BB17" i="169"/>
  <c r="BB19" i="169"/>
  <c r="BB20" i="169"/>
  <c r="BB22" i="169"/>
  <c r="BB23" i="169"/>
  <c r="BB24" i="169"/>
  <c r="BB28" i="169"/>
  <c r="BB34" i="169"/>
  <c r="BB35" i="169"/>
  <c r="BB36" i="169"/>
  <c r="J175" i="46"/>
  <c r="BB38" i="169"/>
  <c r="BB39" i="169"/>
  <c r="BB40" i="169"/>
  <c r="BB42" i="169"/>
  <c r="BB43" i="169"/>
  <c r="BB44" i="169"/>
  <c r="BB45" i="169"/>
  <c r="BB46" i="169"/>
  <c r="BB47" i="169"/>
  <c r="BB49" i="169"/>
  <c r="BB50" i="169"/>
  <c r="J143" i="141"/>
  <c r="BB53" i="169"/>
  <c r="BB54" i="169"/>
  <c r="J169" i="157"/>
  <c r="BB57" i="169"/>
  <c r="J169" i="140"/>
  <c r="BB61" i="169"/>
  <c r="J161" i="139"/>
  <c r="BB59" i="169"/>
  <c r="BB71" i="169"/>
  <c r="BB77" i="169"/>
  <c r="BB79" i="169"/>
  <c r="BB80" i="169"/>
  <c r="P89" i="169"/>
  <c r="AH89" i="169"/>
  <c r="AY89" i="169"/>
  <c r="BC89" i="169"/>
  <c r="BE89" i="169"/>
  <c r="P88" i="169"/>
  <c r="AH88" i="169"/>
  <c r="AY88" i="169"/>
  <c r="BC88" i="169"/>
  <c r="BE88" i="169"/>
  <c r="P87" i="169"/>
  <c r="P86" i="169"/>
  <c r="AH86" i="169"/>
  <c r="AY86" i="169"/>
  <c r="BC86" i="169"/>
  <c r="BE86" i="169"/>
  <c r="CN83" i="169"/>
  <c r="CN84" i="169"/>
  <c r="CN85" i="169"/>
  <c r="P85" i="169"/>
  <c r="D85" i="169"/>
  <c r="CW84" i="169"/>
  <c r="P84" i="169"/>
  <c r="BC84" i="169"/>
  <c r="D84" i="169"/>
  <c r="P83" i="169"/>
  <c r="AY83" i="169"/>
  <c r="D83" i="169"/>
  <c r="CW82" i="169"/>
  <c r="BC82" i="169"/>
  <c r="AY82" i="169"/>
  <c r="P82" i="169"/>
  <c r="CW81" i="169"/>
  <c r="BC81" i="169"/>
  <c r="AY81" i="169"/>
  <c r="AH81" i="169"/>
  <c r="P81" i="169"/>
  <c r="CU77" i="169"/>
  <c r="CU79" i="169"/>
  <c r="CU80" i="169"/>
  <c r="P80" i="169"/>
  <c r="BC80" i="169"/>
  <c r="D80" i="169"/>
  <c r="P79" i="169"/>
  <c r="BC79" i="169"/>
  <c r="D79" i="169"/>
  <c r="CW78" i="169"/>
  <c r="BC78" i="169"/>
  <c r="AX78" i="169"/>
  <c r="AY78" i="169"/>
  <c r="AB76" i="169"/>
  <c r="AB78" i="169"/>
  <c r="AC78" i="169"/>
  <c r="AD78" i="169"/>
  <c r="AE78" i="169"/>
  <c r="AF78" i="169"/>
  <c r="AG78" i="169"/>
  <c r="P78" i="169"/>
  <c r="P77" i="169"/>
  <c r="AH77" i="169"/>
  <c r="AY77" i="169"/>
  <c r="BC77" i="169"/>
  <c r="BE77" i="169"/>
  <c r="D77" i="169"/>
  <c r="CW76" i="169"/>
  <c r="BC76" i="169"/>
  <c r="AX76" i="169"/>
  <c r="AY76" i="169"/>
  <c r="P76" i="169"/>
  <c r="CW75" i="169"/>
  <c r="P75" i="169"/>
  <c r="AH75" i="169"/>
  <c r="AY75" i="169"/>
  <c r="BC75" i="169"/>
  <c r="BE75" i="169"/>
  <c r="CW74" i="169"/>
  <c r="CV74" i="169"/>
  <c r="BG74" i="169"/>
  <c r="BF74" i="169"/>
  <c r="P71" i="169"/>
  <c r="AH71" i="169"/>
  <c r="AY71" i="169"/>
  <c r="BC71" i="169"/>
  <c r="BE71" i="169"/>
  <c r="P73" i="169"/>
  <c r="AY73" i="169"/>
  <c r="BD74" i="169"/>
  <c r="AZ74" i="169"/>
  <c r="AY74" i="169"/>
  <c r="AI74" i="169"/>
  <c r="Q74" i="169"/>
  <c r="P74" i="169"/>
  <c r="D74" i="169"/>
  <c r="D73" i="169"/>
  <c r="BC72" i="169"/>
  <c r="AY72" i="169"/>
  <c r="S72" i="169"/>
  <c r="P72" i="169"/>
  <c r="D71" i="169"/>
  <c r="BC70" i="169"/>
  <c r="AY70" i="169"/>
  <c r="AH70" i="169"/>
  <c r="P70" i="169"/>
  <c r="P69" i="169"/>
  <c r="AH69" i="169"/>
  <c r="AY69" i="169"/>
  <c r="BC69" i="169"/>
  <c r="BE69" i="169"/>
  <c r="P68" i="169"/>
  <c r="AH68" i="169"/>
  <c r="AY68" i="169"/>
  <c r="BC68" i="169"/>
  <c r="BE68" i="169"/>
  <c r="P67" i="169"/>
  <c r="AH67" i="169"/>
  <c r="AY67" i="169"/>
  <c r="BC67" i="169"/>
  <c r="BE67" i="169"/>
  <c r="AY66" i="169"/>
  <c r="P65" i="169"/>
  <c r="AH65" i="169"/>
  <c r="AY65" i="169"/>
  <c r="BC65" i="169"/>
  <c r="BE65" i="169"/>
  <c r="BG64" i="169"/>
  <c r="BF64" i="169"/>
  <c r="P57" i="169"/>
  <c r="AH57" i="169"/>
  <c r="AY57" i="169"/>
  <c r="BC57" i="169"/>
  <c r="BE57" i="169"/>
  <c r="P61" i="169"/>
  <c r="AH61" i="169"/>
  <c r="AY61" i="169"/>
  <c r="BC61" i="169"/>
  <c r="BE61" i="169"/>
  <c r="P63" i="169"/>
  <c r="AY63" i="169"/>
  <c r="P59" i="169"/>
  <c r="AH59" i="169"/>
  <c r="AY59" i="169"/>
  <c r="BC59" i="169"/>
  <c r="BE59" i="169"/>
  <c r="BD64" i="169"/>
  <c r="AZ64" i="169"/>
  <c r="AY64" i="169"/>
  <c r="AI64" i="169"/>
  <c r="Q64" i="169"/>
  <c r="P64" i="169"/>
  <c r="D64" i="169"/>
  <c r="D63" i="169"/>
  <c r="CW62" i="169"/>
  <c r="BC62" i="169"/>
  <c r="AY62" i="169"/>
  <c r="P62" i="169"/>
  <c r="CW61" i="169"/>
  <c r="D61" i="169"/>
  <c r="CW60" i="169"/>
  <c r="BC60" i="169"/>
  <c r="AY60" i="169"/>
  <c r="P60" i="169"/>
  <c r="CW59" i="169"/>
  <c r="D59" i="169"/>
  <c r="BC58" i="169"/>
  <c r="AY58" i="169"/>
  <c r="P58" i="169"/>
  <c r="CW57" i="169"/>
  <c r="D57" i="169"/>
  <c r="CW56" i="169"/>
  <c r="BC56" i="169"/>
  <c r="AY56" i="169"/>
  <c r="P56" i="169"/>
  <c r="CW55" i="169"/>
  <c r="P55" i="169"/>
  <c r="AH55" i="169"/>
  <c r="AY55" i="169"/>
  <c r="BC55" i="169"/>
  <c r="BE55" i="169"/>
  <c r="P54" i="169"/>
  <c r="AH54" i="169"/>
  <c r="AY54" i="169"/>
  <c r="BC54" i="169"/>
  <c r="BE54" i="169"/>
  <c r="D54" i="169"/>
  <c r="CW53" i="169"/>
  <c r="P53" i="169"/>
  <c r="AH53" i="169"/>
  <c r="AY53" i="169"/>
  <c r="BC53" i="169"/>
  <c r="BE53" i="169"/>
  <c r="D53" i="169"/>
  <c r="CW52" i="169"/>
  <c r="BC52" i="169"/>
  <c r="AY52" i="169"/>
  <c r="P52" i="169"/>
  <c r="CW51" i="169"/>
  <c r="BC51" i="169"/>
  <c r="AY51" i="169"/>
  <c r="AH51" i="169"/>
  <c r="P51" i="169"/>
  <c r="P50" i="169"/>
  <c r="AH50" i="169"/>
  <c r="AY50" i="169"/>
  <c r="BC50" i="169"/>
  <c r="BE50" i="169"/>
  <c r="D50" i="169"/>
  <c r="CW49" i="169"/>
  <c r="P49" i="169"/>
  <c r="AH49" i="169"/>
  <c r="AY49" i="169"/>
  <c r="BC49" i="169"/>
  <c r="BE49" i="169"/>
  <c r="D49" i="169"/>
  <c r="CW48" i="169"/>
  <c r="BC48" i="169"/>
  <c r="AY48" i="169"/>
  <c r="AH48" i="169"/>
  <c r="P48" i="169"/>
  <c r="P47" i="169"/>
  <c r="AH47" i="169"/>
  <c r="AY47" i="169"/>
  <c r="BC47" i="169"/>
  <c r="BE47" i="169"/>
  <c r="D47" i="169"/>
  <c r="CW46" i="169"/>
  <c r="P46" i="169"/>
  <c r="AH46" i="169"/>
  <c r="AY46" i="169"/>
  <c r="BC46" i="169"/>
  <c r="BE46" i="169"/>
  <c r="D46" i="169"/>
  <c r="CW45" i="169"/>
  <c r="P45" i="169"/>
  <c r="AH45" i="169"/>
  <c r="AY45" i="169"/>
  <c r="BC45" i="169"/>
  <c r="BE45" i="169"/>
  <c r="D45" i="169"/>
  <c r="CW44" i="169"/>
  <c r="P44" i="169"/>
  <c r="AH44" i="169"/>
  <c r="AY44" i="169"/>
  <c r="BC44" i="169"/>
  <c r="BE44" i="169"/>
  <c r="D44" i="169"/>
  <c r="CW43" i="169"/>
  <c r="P43" i="169"/>
  <c r="AH43" i="169"/>
  <c r="AY43" i="169"/>
  <c r="BC43" i="169"/>
  <c r="BE43" i="169"/>
  <c r="D43" i="169"/>
  <c r="CW42" i="169"/>
  <c r="P42" i="169"/>
  <c r="AH42" i="169"/>
  <c r="AY42" i="169"/>
  <c r="BC42" i="169"/>
  <c r="BE42" i="169"/>
  <c r="D42" i="169"/>
  <c r="CW41" i="169"/>
  <c r="P41" i="169"/>
  <c r="AH41" i="169"/>
  <c r="AY41" i="169"/>
  <c r="BC41" i="169"/>
  <c r="BE41" i="169"/>
  <c r="CW40" i="169"/>
  <c r="P40" i="169"/>
  <c r="AH40" i="169"/>
  <c r="AY40" i="169"/>
  <c r="BC40" i="169"/>
  <c r="BE40" i="169"/>
  <c r="D40" i="169"/>
  <c r="CW39" i="169"/>
  <c r="BC39" i="169"/>
  <c r="AY39" i="169"/>
  <c r="AH39" i="169"/>
  <c r="P39" i="169"/>
  <c r="D39" i="169"/>
  <c r="CW38" i="169"/>
  <c r="P38" i="169"/>
  <c r="AH38" i="169"/>
  <c r="AY38" i="169"/>
  <c r="BC38" i="169"/>
  <c r="BE38" i="169"/>
  <c r="D38" i="169"/>
  <c r="CW37" i="169"/>
  <c r="P37" i="169"/>
  <c r="AH37" i="169"/>
  <c r="AY37" i="169"/>
  <c r="BC37" i="169"/>
  <c r="BE37" i="169"/>
  <c r="AY36" i="169"/>
  <c r="BC36" i="169"/>
  <c r="D36" i="169"/>
  <c r="AY35" i="169"/>
  <c r="BC35" i="169"/>
  <c r="D35" i="169"/>
  <c r="CW34" i="169"/>
  <c r="BC34" i="169"/>
  <c r="AY34" i="169"/>
  <c r="AH34" i="169"/>
  <c r="P34" i="169"/>
  <c r="D34" i="169"/>
  <c r="CW33" i="169"/>
  <c r="P33" i="169"/>
  <c r="AH33" i="169"/>
  <c r="AY33" i="169"/>
  <c r="BC33" i="169"/>
  <c r="BE33" i="169"/>
  <c r="CW32" i="169"/>
  <c r="P32" i="169"/>
  <c r="AH32" i="169"/>
  <c r="AY32" i="169"/>
  <c r="BC32" i="169"/>
  <c r="BE32" i="169"/>
  <c r="P31" i="169"/>
  <c r="AH31" i="169"/>
  <c r="AY31" i="169"/>
  <c r="BC31" i="169"/>
  <c r="BE31" i="169"/>
  <c r="P30" i="169"/>
  <c r="AH30" i="169"/>
  <c r="AY30" i="169"/>
  <c r="BC30" i="169"/>
  <c r="BE30" i="169"/>
  <c r="P29" i="169"/>
  <c r="AH29" i="169"/>
  <c r="AY29" i="169"/>
  <c r="BC29" i="169"/>
  <c r="BE29" i="169"/>
  <c r="AY13" i="169"/>
  <c r="AY17" i="169"/>
  <c r="AY20" i="169"/>
  <c r="AY22" i="169"/>
  <c r="AY23" i="169"/>
  <c r="AY24" i="169"/>
  <c r="AY28" i="169"/>
  <c r="BC28" i="169"/>
  <c r="BD28" i="169"/>
  <c r="AZ24" i="169"/>
  <c r="AZ28" i="169"/>
  <c r="Q24" i="169"/>
  <c r="Q28" i="169"/>
  <c r="P27" i="169"/>
  <c r="AH27" i="169"/>
  <c r="AY27" i="169"/>
  <c r="BC27" i="169"/>
  <c r="BE27" i="169"/>
  <c r="CW26" i="169"/>
  <c r="P26" i="169"/>
  <c r="AH26" i="169"/>
  <c r="AY26" i="169"/>
  <c r="BC26" i="169"/>
  <c r="BE26" i="169"/>
  <c r="CW25" i="169"/>
  <c r="P25" i="169"/>
  <c r="AH25" i="169"/>
  <c r="AY25" i="169"/>
  <c r="BC25" i="169"/>
  <c r="BE25" i="169"/>
  <c r="CV24" i="169"/>
  <c r="P23" i="169"/>
  <c r="BC24" i="169"/>
  <c r="D24" i="169"/>
  <c r="CW23" i="169"/>
  <c r="AH23" i="169"/>
  <c r="BC23" i="169"/>
  <c r="BE23" i="169"/>
  <c r="D23" i="169"/>
  <c r="BC22" i="169"/>
  <c r="D22" i="169"/>
  <c r="CW21" i="169"/>
  <c r="P21" i="169"/>
  <c r="AH21" i="169"/>
  <c r="AY21" i="169"/>
  <c r="BC21" i="169"/>
  <c r="BE21" i="169"/>
  <c r="P20" i="169"/>
  <c r="AH20" i="169"/>
  <c r="BC20" i="169"/>
  <c r="BE20" i="169"/>
  <c r="D20" i="169"/>
  <c r="P19" i="169"/>
  <c r="AH19" i="169"/>
  <c r="AY19" i="169"/>
  <c r="BC19" i="169"/>
  <c r="BE19" i="169"/>
  <c r="D19" i="169"/>
  <c r="CW18" i="169"/>
  <c r="P18" i="169"/>
  <c r="AH18" i="169"/>
  <c r="AY18" i="169"/>
  <c r="BC18" i="169"/>
  <c r="BE18" i="169"/>
  <c r="P17" i="169"/>
  <c r="AH17" i="169"/>
  <c r="BC17" i="169"/>
  <c r="BE17" i="169"/>
  <c r="D17" i="169"/>
  <c r="P16" i="169"/>
  <c r="AH16" i="169"/>
  <c r="AY16" i="169"/>
  <c r="BC16" i="169"/>
  <c r="BE16" i="169"/>
  <c r="D16" i="169"/>
  <c r="P15" i="169"/>
  <c r="AH15" i="169"/>
  <c r="AY15" i="169"/>
  <c r="BC15" i="169"/>
  <c r="BE15" i="169"/>
  <c r="D15" i="169"/>
  <c r="CW14" i="169"/>
  <c r="P14" i="169"/>
  <c r="AH14" i="169"/>
  <c r="AY14" i="169"/>
  <c r="BC14" i="169"/>
  <c r="BE14" i="169"/>
  <c r="CW13" i="169"/>
  <c r="P13" i="169"/>
  <c r="AH13" i="169"/>
  <c r="BC13" i="169"/>
  <c r="BE13" i="169"/>
  <c r="D13" i="169"/>
  <c r="P12" i="169"/>
  <c r="AH12" i="169"/>
  <c r="AY12" i="169"/>
  <c r="BC12" i="169"/>
  <c r="BE12" i="169"/>
  <c r="P11" i="169"/>
  <c r="AH11" i="169"/>
  <c r="AY11" i="169"/>
  <c r="BC11" i="169"/>
  <c r="BE11" i="169"/>
  <c r="D11" i="169"/>
  <c r="P10" i="169"/>
  <c r="AH10" i="169"/>
  <c r="AY10" i="169"/>
  <c r="BC10" i="169"/>
  <c r="BE10" i="169"/>
  <c r="P9" i="169"/>
  <c r="AH9" i="169"/>
  <c r="AY9" i="169"/>
  <c r="BC9" i="169"/>
  <c r="BE9" i="169"/>
  <c r="D9" i="169"/>
  <c r="CR4" i="169"/>
  <c r="CN4" i="169"/>
  <c r="CJ4" i="169"/>
  <c r="CF4" i="169"/>
  <c r="CB4" i="169"/>
  <c r="BX4" i="169"/>
  <c r="BT4" i="169"/>
  <c r="BP4" i="169"/>
  <c r="BL4" i="169"/>
  <c r="BH4" i="169"/>
  <c r="BE4" i="169"/>
  <c r="BB4" i="169"/>
  <c r="BA4" i="169"/>
  <c r="AX4" i="169"/>
  <c r="AW4" i="169"/>
  <c r="AV4" i="169"/>
  <c r="AU4" i="169"/>
  <c r="AT4" i="169"/>
  <c r="AS4" i="169"/>
  <c r="AR4" i="169"/>
  <c r="AQ4" i="169"/>
  <c r="AP4" i="169"/>
  <c r="AO4" i="169"/>
  <c r="AN4" i="169"/>
  <c r="AM4" i="169"/>
  <c r="AL4" i="169"/>
  <c r="AK4" i="169"/>
  <c r="AJ4" i="169"/>
  <c r="AG4" i="169"/>
  <c r="AF4" i="169"/>
  <c r="AE4" i="169"/>
  <c r="AD4" i="169"/>
  <c r="AC4" i="169"/>
  <c r="AB4" i="169"/>
  <c r="AA4" i="169"/>
  <c r="Z4" i="169"/>
  <c r="Y4" i="169"/>
  <c r="X4" i="169"/>
  <c r="W4" i="169"/>
  <c r="V4" i="169"/>
  <c r="U4" i="169"/>
  <c r="T4" i="169"/>
  <c r="S4" i="169"/>
  <c r="R4" i="169"/>
  <c r="O4" i="169"/>
  <c r="N4" i="169"/>
  <c r="M4" i="169"/>
  <c r="L4" i="169"/>
  <c r="K4" i="169"/>
  <c r="J4" i="169"/>
  <c r="I4" i="169"/>
  <c r="H4" i="169"/>
  <c r="G4" i="169"/>
  <c r="E3" i="169"/>
  <c r="CO42" i="168"/>
  <c r="CO43" i="168"/>
  <c r="CO44" i="168"/>
  <c r="CO45" i="168"/>
  <c r="CO46" i="168"/>
  <c r="CO47" i="168"/>
  <c r="CP42" i="168"/>
  <c r="CP43" i="168"/>
  <c r="CP44" i="168"/>
  <c r="CP45" i="168"/>
  <c r="CP46" i="168"/>
  <c r="CP47" i="168"/>
  <c r="CQ42" i="168"/>
  <c r="CQ43" i="168"/>
  <c r="CQ44" i="168"/>
  <c r="CQ45" i="168"/>
  <c r="CQ46" i="168"/>
  <c r="CQ47" i="168"/>
  <c r="CW47" i="168"/>
  <c r="CO49" i="168"/>
  <c r="CO50" i="168"/>
  <c r="CP49" i="168"/>
  <c r="CP50" i="168"/>
  <c r="CQ49" i="168"/>
  <c r="CQ50" i="168"/>
  <c r="CW50" i="168"/>
  <c r="CO53" i="168"/>
  <c r="CO54" i="168"/>
  <c r="CP53" i="168"/>
  <c r="CP54" i="168"/>
  <c r="CQ53" i="168"/>
  <c r="CQ54" i="168"/>
  <c r="CW54" i="168"/>
  <c r="CO57" i="168"/>
  <c r="CO61" i="168"/>
  <c r="CO63" i="168"/>
  <c r="CO59" i="168"/>
  <c r="CO64" i="168"/>
  <c r="CP57" i="168"/>
  <c r="CP61" i="168"/>
  <c r="CP63" i="168"/>
  <c r="CP59" i="168"/>
  <c r="CP64" i="168"/>
  <c r="CQ57" i="168"/>
  <c r="CQ61" i="168"/>
  <c r="CQ63" i="168"/>
  <c r="CQ59" i="168"/>
  <c r="CQ64" i="168"/>
  <c r="S83" i="168"/>
  <c r="R63" i="168"/>
  <c r="R64" i="168"/>
  <c r="CO11" i="168"/>
  <c r="CO12" i="168"/>
  <c r="CO9" i="168"/>
  <c r="CO10" i="168"/>
  <c r="CO13" i="168"/>
  <c r="CO15" i="168"/>
  <c r="CO16" i="168"/>
  <c r="CO17" i="168"/>
  <c r="CO19" i="168"/>
  <c r="CO20" i="168"/>
  <c r="CO22" i="168"/>
  <c r="CO23" i="168"/>
  <c r="CO24" i="168"/>
  <c r="CO28" i="168"/>
  <c r="CO34" i="168"/>
  <c r="CO35" i="168"/>
  <c r="CO36" i="168"/>
  <c r="CO38" i="168"/>
  <c r="CO39" i="168"/>
  <c r="CO40" i="168"/>
  <c r="CO66" i="168"/>
  <c r="CO71" i="168"/>
  <c r="CO73" i="168"/>
  <c r="CO74" i="168"/>
  <c r="CO77" i="168"/>
  <c r="CO79" i="168"/>
  <c r="CO80" i="168"/>
  <c r="CO83" i="168"/>
  <c r="CO84" i="168"/>
  <c r="CO85" i="168"/>
  <c r="CO87" i="168"/>
  <c r="CO90" i="168"/>
  <c r="CP11" i="168"/>
  <c r="CP12" i="168"/>
  <c r="CP9" i="168"/>
  <c r="CP10" i="168"/>
  <c r="CP13" i="168"/>
  <c r="CP15" i="168"/>
  <c r="CP16" i="168"/>
  <c r="CP17" i="168"/>
  <c r="CP19" i="168"/>
  <c r="CP20" i="168"/>
  <c r="CP22" i="168"/>
  <c r="CP23" i="168"/>
  <c r="CP24" i="168"/>
  <c r="CP28" i="168"/>
  <c r="CP34" i="168"/>
  <c r="CP35" i="168"/>
  <c r="CP36" i="168"/>
  <c r="CP38" i="168"/>
  <c r="CP39" i="168"/>
  <c r="CP40" i="168"/>
  <c r="CP66" i="168"/>
  <c r="CP71" i="168"/>
  <c r="CP73" i="168"/>
  <c r="CP74" i="168"/>
  <c r="CP77" i="168"/>
  <c r="CP79" i="168"/>
  <c r="CP80" i="168"/>
  <c r="CP83" i="168"/>
  <c r="CP84" i="168"/>
  <c r="CP85" i="168"/>
  <c r="CP87" i="168"/>
  <c r="CP90" i="168"/>
  <c r="CQ11" i="168"/>
  <c r="CQ12" i="168"/>
  <c r="CQ9" i="168"/>
  <c r="CQ10" i="168"/>
  <c r="CQ13" i="168"/>
  <c r="CQ15" i="168"/>
  <c r="CQ16" i="168"/>
  <c r="CQ17" i="168"/>
  <c r="CQ19" i="168"/>
  <c r="CQ20" i="168"/>
  <c r="CQ22" i="168"/>
  <c r="CQ23" i="168"/>
  <c r="CQ24" i="168"/>
  <c r="CQ28" i="168"/>
  <c r="CQ34" i="168"/>
  <c r="CQ35" i="168"/>
  <c r="CQ36" i="168"/>
  <c r="CQ38" i="168"/>
  <c r="CQ39" i="168"/>
  <c r="CQ40" i="168"/>
  <c r="CQ66" i="168"/>
  <c r="CQ71" i="168"/>
  <c r="CQ73" i="168"/>
  <c r="CQ74" i="168"/>
  <c r="CQ77" i="168"/>
  <c r="CQ79" i="168"/>
  <c r="CQ80" i="168"/>
  <c r="CQ83" i="168"/>
  <c r="CQ84" i="168"/>
  <c r="CQ85" i="168"/>
  <c r="CQ87" i="168"/>
  <c r="CQ90" i="168"/>
  <c r="I110" i="138"/>
  <c r="G11" i="168"/>
  <c r="G12" i="168"/>
  <c r="I134" i="137"/>
  <c r="G9" i="168"/>
  <c r="G10" i="168"/>
  <c r="G13" i="168"/>
  <c r="G15" i="168"/>
  <c r="G16" i="168"/>
  <c r="G17" i="168"/>
  <c r="G19" i="168"/>
  <c r="G20" i="168"/>
  <c r="G22" i="168"/>
  <c r="G23" i="168"/>
  <c r="G24" i="168"/>
  <c r="G28" i="168"/>
  <c r="G34" i="168"/>
  <c r="G35" i="168"/>
  <c r="G36" i="168"/>
  <c r="G38" i="168"/>
  <c r="G39" i="168"/>
  <c r="G40" i="168"/>
  <c r="G42" i="168"/>
  <c r="G43" i="168"/>
  <c r="G44" i="168"/>
  <c r="G45" i="168"/>
  <c r="G46" i="168"/>
  <c r="G47" i="168"/>
  <c r="G49" i="168"/>
  <c r="G50" i="168"/>
  <c r="G53" i="168"/>
  <c r="G54" i="168"/>
  <c r="G57" i="168"/>
  <c r="G61" i="168"/>
  <c r="G63" i="168"/>
  <c r="G59" i="168"/>
  <c r="G64" i="168"/>
  <c r="G66" i="168"/>
  <c r="G71" i="168"/>
  <c r="G73" i="168"/>
  <c r="G74" i="168"/>
  <c r="G77" i="168"/>
  <c r="G79" i="168"/>
  <c r="G80" i="168"/>
  <c r="G83" i="168"/>
  <c r="G85" i="168"/>
  <c r="G87" i="168"/>
  <c r="G90" i="168"/>
  <c r="H11" i="168"/>
  <c r="H12" i="168"/>
  <c r="H9" i="168"/>
  <c r="H10" i="168"/>
  <c r="H13" i="168"/>
  <c r="I193" i="49"/>
  <c r="H15" i="168"/>
  <c r="I155" i="62"/>
  <c r="H16" i="168"/>
  <c r="H17" i="168"/>
  <c r="H19" i="168"/>
  <c r="H20" i="168"/>
  <c r="H22" i="168"/>
  <c r="H23" i="168"/>
  <c r="H24" i="168"/>
  <c r="H28" i="168"/>
  <c r="H34" i="168"/>
  <c r="H35" i="168"/>
  <c r="H36" i="168"/>
  <c r="H38" i="168"/>
  <c r="H39" i="168"/>
  <c r="H40" i="168"/>
  <c r="H42" i="168"/>
  <c r="H43" i="168"/>
  <c r="H44" i="168"/>
  <c r="H45" i="168"/>
  <c r="H46" i="168"/>
  <c r="H47" i="168"/>
  <c r="H49" i="168"/>
  <c r="H50" i="168"/>
  <c r="H53" i="168"/>
  <c r="H54" i="168"/>
  <c r="H57" i="168"/>
  <c r="H61" i="168"/>
  <c r="H63" i="168"/>
  <c r="H59" i="168"/>
  <c r="H64" i="168"/>
  <c r="H66" i="168"/>
  <c r="H71" i="168"/>
  <c r="H73" i="168"/>
  <c r="H74" i="168"/>
  <c r="H77" i="168"/>
  <c r="H79" i="168"/>
  <c r="H80" i="168"/>
  <c r="H83" i="168"/>
  <c r="H85" i="168"/>
  <c r="H87" i="168"/>
  <c r="H90" i="168"/>
  <c r="I11" i="168"/>
  <c r="I12" i="168"/>
  <c r="I9" i="168"/>
  <c r="I10" i="168"/>
  <c r="I13" i="168"/>
  <c r="I194" i="49"/>
  <c r="I15" i="168"/>
  <c r="I156" i="62"/>
  <c r="I16" i="168"/>
  <c r="I17" i="168"/>
  <c r="I19" i="168"/>
  <c r="I20" i="168"/>
  <c r="I22" i="168"/>
  <c r="I23" i="168"/>
  <c r="I24" i="168"/>
  <c r="I28" i="168"/>
  <c r="I34" i="168"/>
  <c r="I35" i="168"/>
  <c r="I36" i="168"/>
  <c r="I38" i="168"/>
  <c r="I39" i="168"/>
  <c r="I40" i="168"/>
  <c r="I42" i="168"/>
  <c r="I43" i="168"/>
  <c r="I44" i="168"/>
  <c r="I45" i="168"/>
  <c r="I46" i="168"/>
  <c r="I47" i="168"/>
  <c r="I49" i="168"/>
  <c r="I50" i="168"/>
  <c r="I53" i="168"/>
  <c r="I54" i="168"/>
  <c r="I57" i="168"/>
  <c r="I61" i="168"/>
  <c r="I63" i="168"/>
  <c r="I59" i="168"/>
  <c r="I64" i="168"/>
  <c r="I66" i="168"/>
  <c r="I71" i="168"/>
  <c r="I73" i="168"/>
  <c r="I74" i="168"/>
  <c r="I77" i="168"/>
  <c r="I79" i="168"/>
  <c r="I80" i="168"/>
  <c r="I83" i="168"/>
  <c r="I85" i="168"/>
  <c r="I87" i="168"/>
  <c r="I90" i="168"/>
  <c r="J11" i="168"/>
  <c r="J12" i="168"/>
  <c r="J9" i="168"/>
  <c r="J10" i="168"/>
  <c r="J13" i="168"/>
  <c r="J15" i="168"/>
  <c r="J16" i="168"/>
  <c r="J17" i="168"/>
  <c r="I441" i="39"/>
  <c r="J19" i="168"/>
  <c r="J20" i="168"/>
  <c r="J22" i="168"/>
  <c r="J23" i="168"/>
  <c r="J24" i="168"/>
  <c r="J28" i="168"/>
  <c r="J34" i="168"/>
  <c r="J38" i="168"/>
  <c r="I212" i="48"/>
  <c r="J39" i="168"/>
  <c r="J40" i="168"/>
  <c r="J42" i="168"/>
  <c r="J43" i="168"/>
  <c r="J44" i="168"/>
  <c r="J45" i="168"/>
  <c r="J46" i="168"/>
  <c r="J47" i="168"/>
  <c r="J49" i="168"/>
  <c r="J50" i="168"/>
  <c r="J53" i="168"/>
  <c r="J54" i="168"/>
  <c r="J57" i="168"/>
  <c r="J61" i="168"/>
  <c r="J63" i="168"/>
  <c r="J59" i="168"/>
  <c r="J64" i="168"/>
  <c r="J71" i="168"/>
  <c r="J73" i="168"/>
  <c r="J74" i="168"/>
  <c r="J77" i="168"/>
  <c r="J79" i="168"/>
  <c r="J80" i="168"/>
  <c r="J83" i="168"/>
  <c r="J85" i="168"/>
  <c r="J87" i="168"/>
  <c r="K11" i="168"/>
  <c r="K12" i="168"/>
  <c r="K9" i="168"/>
  <c r="K10" i="168"/>
  <c r="K13" i="168"/>
  <c r="K15" i="168"/>
  <c r="K16" i="168"/>
  <c r="K17" i="168"/>
  <c r="K19" i="168"/>
  <c r="K20" i="168"/>
  <c r="I436" i="41"/>
  <c r="K23" i="168"/>
  <c r="K34" i="168"/>
  <c r="K35" i="168"/>
  <c r="K36" i="168"/>
  <c r="K38" i="168"/>
  <c r="K39" i="168"/>
  <c r="K40" i="168"/>
  <c r="K42" i="168"/>
  <c r="K43" i="168"/>
  <c r="K44" i="168"/>
  <c r="K45" i="168"/>
  <c r="K46" i="168"/>
  <c r="K47" i="168"/>
  <c r="K49" i="168"/>
  <c r="K50" i="168"/>
  <c r="K53" i="168"/>
  <c r="K54" i="168"/>
  <c r="K57" i="168"/>
  <c r="K61" i="168"/>
  <c r="K63" i="168"/>
  <c r="K59" i="168"/>
  <c r="K64" i="168"/>
  <c r="K66" i="168"/>
  <c r="K71" i="168"/>
  <c r="K73" i="168"/>
  <c r="K74" i="168"/>
  <c r="K77" i="168"/>
  <c r="K79" i="168"/>
  <c r="K80" i="168"/>
  <c r="K83" i="168"/>
  <c r="K85" i="168"/>
  <c r="K87" i="168"/>
  <c r="L11" i="168"/>
  <c r="L12" i="168"/>
  <c r="L9" i="168"/>
  <c r="L10" i="168"/>
  <c r="L13" i="168"/>
  <c r="L15" i="168"/>
  <c r="L16" i="168"/>
  <c r="L17" i="168"/>
  <c r="L19" i="168"/>
  <c r="L20" i="168"/>
  <c r="I437" i="41"/>
  <c r="L23" i="168"/>
  <c r="L34" i="168"/>
  <c r="L35" i="168"/>
  <c r="L36" i="168"/>
  <c r="L38" i="168"/>
  <c r="L39" i="168"/>
  <c r="L40" i="168"/>
  <c r="L42" i="168"/>
  <c r="L43" i="168"/>
  <c r="L44" i="168"/>
  <c r="L45" i="168"/>
  <c r="L46" i="168"/>
  <c r="L47" i="168"/>
  <c r="L49" i="168"/>
  <c r="L50" i="168"/>
  <c r="L53" i="168"/>
  <c r="L54" i="168"/>
  <c r="L57" i="168"/>
  <c r="L61" i="168"/>
  <c r="L63" i="168"/>
  <c r="L59" i="168"/>
  <c r="L64" i="168"/>
  <c r="L66" i="168"/>
  <c r="L71" i="168"/>
  <c r="L73" i="168"/>
  <c r="L74" i="168"/>
  <c r="L77" i="168"/>
  <c r="L79" i="168"/>
  <c r="L80" i="168"/>
  <c r="L83" i="168"/>
  <c r="L85" i="168"/>
  <c r="L87" i="168"/>
  <c r="M11" i="168"/>
  <c r="M12" i="168"/>
  <c r="M9" i="168"/>
  <c r="M10" i="168"/>
  <c r="M13" i="168"/>
  <c r="M15" i="168"/>
  <c r="M16" i="168"/>
  <c r="M17" i="168"/>
  <c r="M19" i="168"/>
  <c r="M20" i="168"/>
  <c r="M23" i="168"/>
  <c r="M34" i="168"/>
  <c r="M35" i="168"/>
  <c r="M36" i="168"/>
  <c r="M38" i="168"/>
  <c r="M39" i="168"/>
  <c r="M40" i="168"/>
  <c r="M42" i="168"/>
  <c r="M43" i="168"/>
  <c r="M44" i="168"/>
  <c r="M45" i="168"/>
  <c r="M46" i="168"/>
  <c r="M47" i="168"/>
  <c r="M49" i="168"/>
  <c r="M50" i="168"/>
  <c r="M53" i="168"/>
  <c r="M54" i="168"/>
  <c r="M57" i="168"/>
  <c r="M61" i="168"/>
  <c r="M63" i="168"/>
  <c r="M59" i="168"/>
  <c r="M64" i="168"/>
  <c r="M66" i="168"/>
  <c r="M71" i="168"/>
  <c r="M73" i="168"/>
  <c r="M74" i="168"/>
  <c r="M77" i="168"/>
  <c r="M79" i="168"/>
  <c r="M80" i="168"/>
  <c r="M83" i="168"/>
  <c r="M85" i="168"/>
  <c r="M87" i="168"/>
  <c r="N11" i="168"/>
  <c r="N12" i="168"/>
  <c r="N9" i="168"/>
  <c r="N10" i="168"/>
  <c r="N13" i="168"/>
  <c r="N15" i="168"/>
  <c r="N16" i="168"/>
  <c r="N17" i="168"/>
  <c r="N19" i="168"/>
  <c r="N20" i="168"/>
  <c r="N22" i="168"/>
  <c r="I438" i="41"/>
  <c r="N23" i="168"/>
  <c r="N24" i="168"/>
  <c r="N28" i="168"/>
  <c r="N34" i="168"/>
  <c r="N35" i="168"/>
  <c r="N36" i="168"/>
  <c r="N38" i="168"/>
  <c r="N39" i="168"/>
  <c r="N40" i="168"/>
  <c r="N42" i="168"/>
  <c r="N43" i="168"/>
  <c r="N44" i="168"/>
  <c r="N45" i="168"/>
  <c r="N46" i="168"/>
  <c r="N47" i="168"/>
  <c r="N49" i="168"/>
  <c r="N50" i="168"/>
  <c r="N53" i="168"/>
  <c r="N54" i="168"/>
  <c r="N57" i="168"/>
  <c r="N61" i="168"/>
  <c r="N63" i="168"/>
  <c r="N59" i="168"/>
  <c r="N64" i="168"/>
  <c r="N66" i="168"/>
  <c r="N71" i="168"/>
  <c r="N73" i="168"/>
  <c r="N74" i="168"/>
  <c r="N77" i="168"/>
  <c r="N79" i="168"/>
  <c r="N80" i="168"/>
  <c r="N83" i="168"/>
  <c r="N85" i="168"/>
  <c r="N87" i="168"/>
  <c r="N90" i="168"/>
  <c r="O11" i="168"/>
  <c r="O12" i="168"/>
  <c r="O9" i="168"/>
  <c r="O10" i="168"/>
  <c r="O13" i="168"/>
  <c r="O15" i="168"/>
  <c r="O16" i="168"/>
  <c r="O17" i="168"/>
  <c r="O19" i="168"/>
  <c r="O20" i="168"/>
  <c r="O22" i="168"/>
  <c r="I439" i="41"/>
  <c r="O23" i="168"/>
  <c r="O24" i="168"/>
  <c r="O28" i="168"/>
  <c r="O34" i="168"/>
  <c r="O35" i="168"/>
  <c r="O36" i="168"/>
  <c r="O38" i="168"/>
  <c r="O39" i="168"/>
  <c r="O40" i="168"/>
  <c r="O42" i="168"/>
  <c r="O43" i="168"/>
  <c r="O44" i="168"/>
  <c r="O45" i="168"/>
  <c r="O46" i="168"/>
  <c r="O47" i="168"/>
  <c r="O49" i="168"/>
  <c r="O50" i="168"/>
  <c r="O53" i="168"/>
  <c r="O54" i="168"/>
  <c r="O57" i="168"/>
  <c r="O61" i="168"/>
  <c r="O63" i="168"/>
  <c r="O59" i="168"/>
  <c r="O64" i="168"/>
  <c r="O66" i="168"/>
  <c r="O71" i="168"/>
  <c r="O73" i="168"/>
  <c r="O74" i="168"/>
  <c r="O77" i="168"/>
  <c r="O79" i="168"/>
  <c r="O80" i="168"/>
  <c r="O83" i="168"/>
  <c r="O85" i="168"/>
  <c r="O87" i="168"/>
  <c r="O90" i="168"/>
  <c r="R83" i="168"/>
  <c r="R85" i="168"/>
  <c r="R87" i="168"/>
  <c r="AA11" i="168"/>
  <c r="AA12" i="168"/>
  <c r="AA9" i="168"/>
  <c r="AA10" i="168"/>
  <c r="AA13" i="168"/>
  <c r="AA15" i="168"/>
  <c r="AA16" i="168"/>
  <c r="AA17" i="168"/>
  <c r="AA19" i="168"/>
  <c r="AA20" i="168"/>
  <c r="AA22" i="168"/>
  <c r="AA23" i="168"/>
  <c r="AA24" i="168"/>
  <c r="AA28" i="168"/>
  <c r="AA34" i="168"/>
  <c r="AA35" i="168"/>
  <c r="AA36" i="168"/>
  <c r="AA38" i="168"/>
  <c r="AA39" i="168"/>
  <c r="AA40" i="168"/>
  <c r="AA42" i="168"/>
  <c r="AA43" i="168"/>
  <c r="AA44" i="168"/>
  <c r="AA45" i="168"/>
  <c r="AA46" i="168"/>
  <c r="AA47" i="168"/>
  <c r="AA49" i="168"/>
  <c r="AA50" i="168"/>
  <c r="AA53" i="168"/>
  <c r="AA54" i="168"/>
  <c r="AA57" i="168"/>
  <c r="AA61" i="168"/>
  <c r="AA63" i="168"/>
  <c r="AA59" i="168"/>
  <c r="AA64" i="168"/>
  <c r="AA66" i="168"/>
  <c r="AA71" i="168"/>
  <c r="AA73" i="168"/>
  <c r="AA74" i="168"/>
  <c r="AA77" i="168"/>
  <c r="AA79" i="168"/>
  <c r="AA80" i="168"/>
  <c r="AA83" i="168"/>
  <c r="AA85" i="168"/>
  <c r="AA87" i="168"/>
  <c r="AA90" i="168"/>
  <c r="AB11" i="168"/>
  <c r="AB12" i="168"/>
  <c r="AB9" i="168"/>
  <c r="AB10" i="168"/>
  <c r="AB13" i="168"/>
  <c r="AB15" i="168"/>
  <c r="AB16" i="168"/>
  <c r="AB17" i="168"/>
  <c r="AB19" i="168"/>
  <c r="AB20" i="168"/>
  <c r="AB22" i="168"/>
  <c r="AB23" i="168"/>
  <c r="AB24" i="168"/>
  <c r="AB28" i="168"/>
  <c r="AB34" i="168"/>
  <c r="AB35" i="168"/>
  <c r="AB36" i="168"/>
  <c r="AB38" i="168"/>
  <c r="AB39" i="168"/>
  <c r="AB40" i="168"/>
  <c r="AB42" i="168"/>
  <c r="AB43" i="168"/>
  <c r="AB44" i="168"/>
  <c r="AB45" i="168"/>
  <c r="AB46" i="168"/>
  <c r="AB47" i="168"/>
  <c r="AB49" i="168"/>
  <c r="AB50" i="168"/>
  <c r="AB53" i="168"/>
  <c r="AB54" i="168"/>
  <c r="AB57" i="168"/>
  <c r="AB61" i="168"/>
  <c r="AB63" i="168"/>
  <c r="AB59" i="168"/>
  <c r="AB64" i="168"/>
  <c r="AB66" i="168"/>
  <c r="AB71" i="168"/>
  <c r="AB73" i="168"/>
  <c r="AB74" i="168"/>
  <c r="AB77" i="168"/>
  <c r="AB79" i="168"/>
  <c r="AB80" i="168"/>
  <c r="AB83" i="168"/>
  <c r="AB85" i="168"/>
  <c r="AB87" i="168"/>
  <c r="AB90" i="168"/>
  <c r="I421" i="110"/>
  <c r="AC77" i="168"/>
  <c r="AC79" i="168"/>
  <c r="AC80" i="168"/>
  <c r="AC83" i="168"/>
  <c r="AC85" i="168"/>
  <c r="AC87" i="168"/>
  <c r="AC90" i="168"/>
  <c r="I422" i="110"/>
  <c r="AD77" i="168"/>
  <c r="AD79" i="168"/>
  <c r="AD80" i="168"/>
  <c r="AD83" i="168"/>
  <c r="AD85" i="168"/>
  <c r="AD87" i="168"/>
  <c r="AD90" i="168"/>
  <c r="I418" i="110"/>
  <c r="AE77" i="168"/>
  <c r="AE79" i="168"/>
  <c r="AE80" i="168"/>
  <c r="AE83" i="168"/>
  <c r="AE85" i="168"/>
  <c r="AE87" i="168"/>
  <c r="AE90" i="168"/>
  <c r="I419" i="110"/>
  <c r="AF77" i="168"/>
  <c r="AF79" i="168"/>
  <c r="AF80" i="168"/>
  <c r="AF83" i="168"/>
  <c r="AF85" i="168"/>
  <c r="AF87" i="168"/>
  <c r="AF90" i="168"/>
  <c r="I420" i="110"/>
  <c r="AG77" i="168"/>
  <c r="AG79" i="168"/>
  <c r="AG80" i="168"/>
  <c r="AG83" i="168"/>
  <c r="AG85" i="168"/>
  <c r="AG87" i="168"/>
  <c r="AG90" i="168"/>
  <c r="AJ11" i="168"/>
  <c r="AJ12" i="168"/>
  <c r="AJ9" i="168"/>
  <c r="AJ10" i="168"/>
  <c r="AJ13" i="168"/>
  <c r="AJ15" i="168"/>
  <c r="AJ16" i="168"/>
  <c r="AJ17" i="168"/>
  <c r="AJ19" i="168"/>
  <c r="AJ20" i="168"/>
  <c r="AJ22" i="168"/>
  <c r="AJ23" i="168"/>
  <c r="AJ24" i="168"/>
  <c r="AJ28" i="168"/>
  <c r="AJ34" i="168"/>
  <c r="AJ35" i="168"/>
  <c r="AJ36" i="168"/>
  <c r="AJ38" i="168"/>
  <c r="I219" i="48"/>
  <c r="AJ39" i="168"/>
  <c r="AJ40" i="168"/>
  <c r="AJ42" i="168"/>
  <c r="AJ43" i="168"/>
  <c r="AJ44" i="168"/>
  <c r="AJ45" i="168"/>
  <c r="AJ46" i="168"/>
  <c r="AJ47" i="168"/>
  <c r="AJ49" i="168"/>
  <c r="AJ50" i="168"/>
  <c r="AJ53" i="168"/>
  <c r="AJ54" i="168"/>
  <c r="AJ57" i="168"/>
  <c r="AJ61" i="168"/>
  <c r="AJ63" i="168"/>
  <c r="AJ59" i="168"/>
  <c r="AJ64" i="168"/>
  <c r="AJ66" i="168"/>
  <c r="AJ71" i="168"/>
  <c r="AJ73" i="168"/>
  <c r="AJ74" i="168"/>
  <c r="AJ77" i="168"/>
  <c r="AJ79" i="168"/>
  <c r="AJ80" i="168"/>
  <c r="AJ83" i="168"/>
  <c r="AJ85" i="168"/>
  <c r="AJ87" i="168"/>
  <c r="AJ90" i="168"/>
  <c r="AL11" i="168"/>
  <c r="AL12" i="168"/>
  <c r="AL9" i="168"/>
  <c r="AL10" i="168"/>
  <c r="AL13" i="168"/>
  <c r="AL15" i="168"/>
  <c r="AL16" i="168"/>
  <c r="AL17" i="168"/>
  <c r="AL19" i="168"/>
  <c r="AL20" i="168"/>
  <c r="AL22" i="168"/>
  <c r="AL23" i="168"/>
  <c r="AL24" i="168"/>
  <c r="AL28" i="168"/>
  <c r="AL34" i="168"/>
  <c r="AL35" i="168"/>
  <c r="AL36" i="168"/>
  <c r="AL38" i="168"/>
  <c r="I221" i="48"/>
  <c r="AL39" i="168"/>
  <c r="AL40" i="168"/>
  <c r="AL42" i="168"/>
  <c r="AL43" i="168"/>
  <c r="AL44" i="168"/>
  <c r="AL45" i="168"/>
  <c r="AL46" i="168"/>
  <c r="AL47" i="168"/>
  <c r="AL49" i="168"/>
  <c r="AL50" i="168"/>
  <c r="AL53" i="168"/>
  <c r="AL54" i="168"/>
  <c r="AL57" i="168"/>
  <c r="AL61" i="168"/>
  <c r="AL63" i="168"/>
  <c r="AL59" i="168"/>
  <c r="AL64" i="168"/>
  <c r="AL66" i="168"/>
  <c r="AL71" i="168"/>
  <c r="AL73" i="168"/>
  <c r="AL74" i="168"/>
  <c r="AL77" i="168"/>
  <c r="AL79" i="168"/>
  <c r="AL80" i="168"/>
  <c r="AL83" i="168"/>
  <c r="AL85" i="168"/>
  <c r="AL87" i="168"/>
  <c r="AL90" i="168"/>
  <c r="AM11" i="168"/>
  <c r="AM12" i="168"/>
  <c r="AM9" i="168"/>
  <c r="AM10" i="168"/>
  <c r="AM13" i="168"/>
  <c r="AM15" i="168"/>
  <c r="AM16" i="168"/>
  <c r="AM17" i="168"/>
  <c r="AM19" i="168"/>
  <c r="AM20" i="168"/>
  <c r="AM22" i="168"/>
  <c r="AM23" i="168"/>
  <c r="AM24" i="168"/>
  <c r="AM28" i="168"/>
  <c r="AM34" i="168"/>
  <c r="AM35" i="168"/>
  <c r="AM36" i="168"/>
  <c r="AM38" i="168"/>
  <c r="AM39" i="168"/>
  <c r="AM40" i="168"/>
  <c r="AM42" i="168"/>
  <c r="AM43" i="168"/>
  <c r="AM44" i="168"/>
  <c r="AM45" i="168"/>
  <c r="AM46" i="168"/>
  <c r="AM47" i="168"/>
  <c r="AM49" i="168"/>
  <c r="AM50" i="168"/>
  <c r="AM53" i="168"/>
  <c r="AM54" i="168"/>
  <c r="AM57" i="168"/>
  <c r="AM61" i="168"/>
  <c r="AM63" i="168"/>
  <c r="AM59" i="168"/>
  <c r="AM64" i="168"/>
  <c r="AM66" i="168"/>
  <c r="AM71" i="168"/>
  <c r="AM73" i="168"/>
  <c r="AM74" i="168"/>
  <c r="AM77" i="168"/>
  <c r="AM83" i="168"/>
  <c r="AM85" i="168"/>
  <c r="AN11" i="168"/>
  <c r="AN12" i="168"/>
  <c r="AN9" i="168"/>
  <c r="AN10" i="168"/>
  <c r="AN13" i="168"/>
  <c r="AN15" i="168"/>
  <c r="AN16" i="168"/>
  <c r="AN17" i="168"/>
  <c r="AN19" i="168"/>
  <c r="AN20" i="168"/>
  <c r="AN22" i="168"/>
  <c r="AN23" i="168"/>
  <c r="AN24" i="168"/>
  <c r="AN28" i="168"/>
  <c r="AN34" i="168"/>
  <c r="AN35" i="168"/>
  <c r="AN36" i="168"/>
  <c r="AN38" i="168"/>
  <c r="AN39" i="168"/>
  <c r="AN40" i="168"/>
  <c r="AN42" i="168"/>
  <c r="AN43" i="168"/>
  <c r="AN44" i="168"/>
  <c r="AN45" i="168"/>
  <c r="AN46" i="168"/>
  <c r="AN47" i="168"/>
  <c r="AN49" i="168"/>
  <c r="AN50" i="168"/>
  <c r="AN53" i="168"/>
  <c r="AN54" i="168"/>
  <c r="AN57" i="168"/>
  <c r="AN61" i="168"/>
  <c r="AN63" i="168"/>
  <c r="AN59" i="168"/>
  <c r="AN64" i="168"/>
  <c r="AN66" i="168"/>
  <c r="I151" i="31"/>
  <c r="AN71" i="168"/>
  <c r="AN73" i="168"/>
  <c r="AN74" i="168"/>
  <c r="AN77" i="168"/>
  <c r="AN79" i="168"/>
  <c r="AN80" i="168"/>
  <c r="AN83" i="168"/>
  <c r="AO11" i="168"/>
  <c r="AO12" i="168"/>
  <c r="AO9" i="168"/>
  <c r="AO10" i="168"/>
  <c r="AO13" i="168"/>
  <c r="AO15" i="168"/>
  <c r="AO16" i="168"/>
  <c r="AO17" i="168"/>
  <c r="AO19" i="168"/>
  <c r="AO20" i="168"/>
  <c r="AO22" i="168"/>
  <c r="AO23" i="168"/>
  <c r="AO24" i="168"/>
  <c r="AO28" i="168"/>
  <c r="AO34" i="168"/>
  <c r="AO35" i="168"/>
  <c r="AO36" i="168"/>
  <c r="AO38" i="168"/>
  <c r="AO39" i="168"/>
  <c r="AO40" i="168"/>
  <c r="AO42" i="168"/>
  <c r="AO43" i="168"/>
  <c r="AO44" i="168"/>
  <c r="AO45" i="168"/>
  <c r="AO46" i="168"/>
  <c r="AO47" i="168"/>
  <c r="AO49" i="168"/>
  <c r="AO50" i="168"/>
  <c r="AO53" i="168"/>
  <c r="AO54" i="168"/>
  <c r="AO57" i="168"/>
  <c r="AO61" i="168"/>
  <c r="AO63" i="168"/>
  <c r="AO59" i="168"/>
  <c r="AO64" i="168"/>
  <c r="AO66" i="168"/>
  <c r="AO71" i="168"/>
  <c r="AO73" i="168"/>
  <c r="AO74" i="168"/>
  <c r="AO77" i="168"/>
  <c r="AO79" i="168"/>
  <c r="AO80" i="168"/>
  <c r="AO83" i="168"/>
  <c r="AO84" i="168"/>
  <c r="AO85" i="168"/>
  <c r="AO87" i="168"/>
  <c r="AO90" i="168"/>
  <c r="AS11" i="168"/>
  <c r="AS12" i="168"/>
  <c r="AS9" i="168"/>
  <c r="AS10" i="168"/>
  <c r="AS13" i="168"/>
  <c r="AS15" i="168"/>
  <c r="AS16" i="168"/>
  <c r="AS17" i="168"/>
  <c r="AS19" i="168"/>
  <c r="AS20" i="168"/>
  <c r="AS22" i="168"/>
  <c r="AS23" i="168"/>
  <c r="AS24" i="168"/>
  <c r="AS28" i="168"/>
  <c r="AS34" i="168"/>
  <c r="AS35" i="168"/>
  <c r="AS36" i="168"/>
  <c r="AS38" i="168"/>
  <c r="AS39" i="168"/>
  <c r="AS40" i="168"/>
  <c r="AS42" i="168"/>
  <c r="AS43" i="168"/>
  <c r="AS44" i="168"/>
  <c r="AS45" i="168"/>
  <c r="AS46" i="168"/>
  <c r="AS47" i="168"/>
  <c r="AS49" i="168"/>
  <c r="AS50" i="168"/>
  <c r="AS53" i="168"/>
  <c r="AS54" i="168"/>
  <c r="AS57" i="168"/>
  <c r="AS61" i="168"/>
  <c r="AS63" i="168"/>
  <c r="AS59" i="168"/>
  <c r="AS64" i="168"/>
  <c r="AS66" i="168"/>
  <c r="AS71" i="168"/>
  <c r="AS73" i="168"/>
  <c r="AS74" i="168"/>
  <c r="AS77" i="168"/>
  <c r="AS79" i="168"/>
  <c r="AS80" i="168"/>
  <c r="AS83" i="168"/>
  <c r="AS85" i="168"/>
  <c r="AS87" i="168"/>
  <c r="AS90" i="168"/>
  <c r="AT11" i="168"/>
  <c r="AT12" i="168"/>
  <c r="AT9" i="168"/>
  <c r="AT10" i="168"/>
  <c r="AT13" i="168"/>
  <c r="AT15" i="168"/>
  <c r="AT16" i="168"/>
  <c r="AT17" i="168"/>
  <c r="AT19" i="168"/>
  <c r="AT20" i="168"/>
  <c r="AT22" i="168"/>
  <c r="AT23" i="168"/>
  <c r="AT24" i="168"/>
  <c r="AT28" i="168"/>
  <c r="AT34" i="168"/>
  <c r="AT35" i="168"/>
  <c r="AT36" i="168"/>
  <c r="AT38" i="168"/>
  <c r="AT39" i="168"/>
  <c r="AT40" i="168"/>
  <c r="AT42" i="168"/>
  <c r="AT43" i="168"/>
  <c r="AT44" i="168"/>
  <c r="I108" i="147"/>
  <c r="AT45" i="168"/>
  <c r="I110" i="146"/>
  <c r="AT46" i="168"/>
  <c r="AT47" i="168"/>
  <c r="I110" i="145"/>
  <c r="AT49" i="168"/>
  <c r="AT50" i="168"/>
  <c r="AT53" i="168"/>
  <c r="AT54" i="168"/>
  <c r="AT57" i="168"/>
  <c r="AT61" i="168"/>
  <c r="AT63" i="168"/>
  <c r="AT59" i="168"/>
  <c r="AT64" i="168"/>
  <c r="AT66" i="168"/>
  <c r="AT71" i="168"/>
  <c r="AT73" i="168"/>
  <c r="AT74" i="168"/>
  <c r="AT77" i="168"/>
  <c r="AT79" i="168"/>
  <c r="AT80" i="168"/>
  <c r="AT83" i="168"/>
  <c r="AT85" i="168"/>
  <c r="AT87" i="168"/>
  <c r="AT90" i="168"/>
  <c r="AU11" i="168"/>
  <c r="AU12" i="168"/>
  <c r="AU9" i="168"/>
  <c r="AU10" i="168"/>
  <c r="AU13" i="168"/>
  <c r="AU15" i="168"/>
  <c r="AU16" i="168"/>
  <c r="AU17" i="168"/>
  <c r="AU19" i="168"/>
  <c r="AU20" i="168"/>
  <c r="AU22" i="168"/>
  <c r="AU23" i="168"/>
  <c r="AU24" i="168"/>
  <c r="AU28" i="168"/>
  <c r="AU34" i="168"/>
  <c r="AU35" i="168"/>
  <c r="AU36" i="168"/>
  <c r="AU38" i="168"/>
  <c r="AU39" i="168"/>
  <c r="AU40" i="168"/>
  <c r="I116" i="142"/>
  <c r="AU42" i="168"/>
  <c r="AU43" i="168"/>
  <c r="AU44" i="168"/>
  <c r="AU45" i="168"/>
  <c r="AU46" i="168"/>
  <c r="AU47" i="168"/>
  <c r="AU49" i="168"/>
  <c r="AU50" i="168"/>
  <c r="AU53" i="168"/>
  <c r="AU54" i="168"/>
  <c r="AU57" i="168"/>
  <c r="AU61" i="168"/>
  <c r="AU63" i="168"/>
  <c r="AU59" i="168"/>
  <c r="AU64" i="168"/>
  <c r="AU66" i="168"/>
  <c r="AU71" i="168"/>
  <c r="AU73" i="168"/>
  <c r="AU74" i="168"/>
  <c r="AU77" i="168"/>
  <c r="AU79" i="168"/>
  <c r="AU80" i="168"/>
  <c r="AU83" i="168"/>
  <c r="AU85" i="168"/>
  <c r="AU87" i="168"/>
  <c r="AU90" i="168"/>
  <c r="AV11" i="168"/>
  <c r="AV12" i="168"/>
  <c r="AV9" i="168"/>
  <c r="AV10" i="168"/>
  <c r="AV13" i="168"/>
  <c r="AV15" i="168"/>
  <c r="AV16" i="168"/>
  <c r="AV17" i="168"/>
  <c r="AV19" i="168"/>
  <c r="AV20" i="168"/>
  <c r="AV22" i="168"/>
  <c r="AV23" i="168"/>
  <c r="AV24" i="168"/>
  <c r="AV28" i="168"/>
  <c r="AV34" i="168"/>
  <c r="AV35" i="168"/>
  <c r="AV36" i="168"/>
  <c r="AV38" i="168"/>
  <c r="AV39" i="168"/>
  <c r="AV40" i="168"/>
  <c r="AV42" i="168"/>
  <c r="I112" i="143"/>
  <c r="AV43" i="168"/>
  <c r="I112" i="144"/>
  <c r="AV44" i="168"/>
  <c r="AV45" i="168"/>
  <c r="AV46" i="168"/>
  <c r="AV47" i="168"/>
  <c r="AV49" i="168"/>
  <c r="AV50" i="168"/>
  <c r="AV53" i="168"/>
  <c r="AV54" i="168"/>
  <c r="AV57" i="168"/>
  <c r="AV61" i="168"/>
  <c r="AV63" i="168"/>
  <c r="AV59" i="168"/>
  <c r="AV64" i="168"/>
  <c r="AV66" i="168"/>
  <c r="AV71" i="168"/>
  <c r="AV73" i="168"/>
  <c r="AV74" i="168"/>
  <c r="AV77" i="168"/>
  <c r="AV79" i="168"/>
  <c r="AV80" i="168"/>
  <c r="AV83" i="168"/>
  <c r="AV85" i="168"/>
  <c r="AV87" i="168"/>
  <c r="AV90" i="168"/>
  <c r="AW11" i="168"/>
  <c r="AW12" i="168"/>
  <c r="AW9" i="168"/>
  <c r="AW10" i="168"/>
  <c r="AW13" i="168"/>
  <c r="AW15" i="168"/>
  <c r="AW16" i="168"/>
  <c r="AW17" i="168"/>
  <c r="AW19" i="168"/>
  <c r="AW20" i="168"/>
  <c r="AW22" i="168"/>
  <c r="AW23" i="168"/>
  <c r="AW24" i="168"/>
  <c r="AW28" i="168"/>
  <c r="AW34" i="168"/>
  <c r="I549" i="112"/>
  <c r="AW35" i="168"/>
  <c r="AW36" i="168"/>
  <c r="AW38" i="168"/>
  <c r="AW39" i="168"/>
  <c r="AW40" i="168"/>
  <c r="AW42" i="168"/>
  <c r="AW43" i="168"/>
  <c r="AW44" i="168"/>
  <c r="AW45" i="168"/>
  <c r="AW46" i="168"/>
  <c r="AW47" i="168"/>
  <c r="AW49" i="168"/>
  <c r="AW50" i="168"/>
  <c r="AW53" i="168"/>
  <c r="AW54" i="168"/>
  <c r="AW57" i="168"/>
  <c r="AW61" i="168"/>
  <c r="AW63" i="168"/>
  <c r="AW59" i="168"/>
  <c r="AW64" i="168"/>
  <c r="AW66" i="168"/>
  <c r="AW71" i="168"/>
  <c r="AW73" i="168"/>
  <c r="AW74" i="168"/>
  <c r="AW77" i="168"/>
  <c r="AW79" i="168"/>
  <c r="AW80" i="168"/>
  <c r="AW83" i="168"/>
  <c r="AW85" i="168"/>
  <c r="AW87" i="168"/>
  <c r="AW90" i="168"/>
  <c r="AX11" i="168"/>
  <c r="AX12" i="168"/>
  <c r="AX9" i="168"/>
  <c r="AX10" i="168"/>
  <c r="AX13" i="168"/>
  <c r="AX15" i="168"/>
  <c r="AX16" i="168"/>
  <c r="AX17" i="168"/>
  <c r="AX19" i="168"/>
  <c r="AX20" i="168"/>
  <c r="AX22" i="168"/>
  <c r="AX23" i="168"/>
  <c r="AX24" i="168"/>
  <c r="AX28" i="168"/>
  <c r="I528" i="113"/>
  <c r="AX34" i="168"/>
  <c r="I550" i="112"/>
  <c r="AX35" i="168"/>
  <c r="AX36" i="168"/>
  <c r="AX38" i="168"/>
  <c r="AX39" i="168"/>
  <c r="AX40" i="168"/>
  <c r="AX42" i="168"/>
  <c r="AX43" i="168"/>
  <c r="AX44" i="168"/>
  <c r="AX45" i="168"/>
  <c r="AX46" i="168"/>
  <c r="AX47" i="168"/>
  <c r="AX49" i="168"/>
  <c r="AX50" i="168"/>
  <c r="AX53" i="168"/>
  <c r="AX54" i="168"/>
  <c r="AX57" i="168"/>
  <c r="AX61" i="168"/>
  <c r="AX63" i="168"/>
  <c r="AX59" i="168"/>
  <c r="AX64" i="168"/>
  <c r="AX66" i="168"/>
  <c r="AX71" i="168"/>
  <c r="AX73" i="168"/>
  <c r="AX74" i="168"/>
  <c r="AX77" i="168"/>
  <c r="AX79" i="168"/>
  <c r="AX80" i="168"/>
  <c r="AX83" i="168"/>
  <c r="AX85" i="168"/>
  <c r="AX87" i="168"/>
  <c r="AX90" i="168"/>
  <c r="BA11" i="168"/>
  <c r="BA12" i="168"/>
  <c r="BA9" i="168"/>
  <c r="BA10" i="168"/>
  <c r="BA13" i="168"/>
  <c r="BA15" i="168"/>
  <c r="BA16" i="168"/>
  <c r="BA17" i="168"/>
  <c r="BA19" i="168"/>
  <c r="BA20" i="168"/>
  <c r="BA22" i="168"/>
  <c r="BA23" i="168"/>
  <c r="BA24" i="168"/>
  <c r="BA28" i="168"/>
  <c r="BA34" i="168"/>
  <c r="BA35" i="168"/>
  <c r="BA36" i="168"/>
  <c r="I174" i="46"/>
  <c r="BA38" i="168"/>
  <c r="BA39" i="168"/>
  <c r="BA40" i="168"/>
  <c r="BA42" i="168"/>
  <c r="BA43" i="168"/>
  <c r="BA44" i="168"/>
  <c r="BA45" i="168"/>
  <c r="BA46" i="168"/>
  <c r="BA47" i="168"/>
  <c r="BA49" i="168"/>
  <c r="BA50" i="168"/>
  <c r="I142" i="141"/>
  <c r="BA53" i="168"/>
  <c r="BA54" i="168"/>
  <c r="I168" i="157"/>
  <c r="BA57" i="168"/>
  <c r="I168" i="140"/>
  <c r="BA61" i="168"/>
  <c r="I160" i="139"/>
  <c r="BA59" i="168"/>
  <c r="BA71" i="168"/>
  <c r="BA73" i="168"/>
  <c r="BA74" i="168"/>
  <c r="I423" i="110"/>
  <c r="BA77" i="168"/>
  <c r="BA79" i="168"/>
  <c r="BA80" i="168"/>
  <c r="BA83" i="168"/>
  <c r="BA85" i="168"/>
  <c r="BA87" i="168"/>
  <c r="BB11" i="168"/>
  <c r="BB12" i="168"/>
  <c r="BB9" i="168"/>
  <c r="BB10" i="168"/>
  <c r="BB13" i="168"/>
  <c r="BB15" i="168"/>
  <c r="BB16" i="168"/>
  <c r="BB17" i="168"/>
  <c r="BB19" i="168"/>
  <c r="BB20" i="168"/>
  <c r="BB22" i="168"/>
  <c r="BB23" i="168"/>
  <c r="BB24" i="168"/>
  <c r="BB28" i="168"/>
  <c r="BB34" i="168"/>
  <c r="BB35" i="168"/>
  <c r="BB36" i="168"/>
  <c r="I175" i="46"/>
  <c r="BB38" i="168"/>
  <c r="BB39" i="168"/>
  <c r="BB40" i="168"/>
  <c r="BB42" i="168"/>
  <c r="BB43" i="168"/>
  <c r="BB44" i="168"/>
  <c r="BB45" i="168"/>
  <c r="BB46" i="168"/>
  <c r="BB47" i="168"/>
  <c r="BB49" i="168"/>
  <c r="BB50" i="168"/>
  <c r="I143" i="141"/>
  <c r="BB53" i="168"/>
  <c r="BB54" i="168"/>
  <c r="I169" i="157"/>
  <c r="BB57" i="168"/>
  <c r="I169" i="140"/>
  <c r="BB61" i="168"/>
  <c r="I161" i="139"/>
  <c r="BB59" i="168"/>
  <c r="BB71" i="168"/>
  <c r="BB77" i="168"/>
  <c r="BB79" i="168"/>
  <c r="BB80" i="168"/>
  <c r="P89" i="168"/>
  <c r="AH89" i="168"/>
  <c r="AY89" i="168"/>
  <c r="BC89" i="168"/>
  <c r="BE89" i="168"/>
  <c r="P88" i="168"/>
  <c r="AH88" i="168"/>
  <c r="AY88" i="168"/>
  <c r="BC88" i="168"/>
  <c r="BE88" i="168"/>
  <c r="P87" i="168"/>
  <c r="P86" i="168"/>
  <c r="AH86" i="168"/>
  <c r="AY86" i="168"/>
  <c r="BC86" i="168"/>
  <c r="BE86" i="168"/>
  <c r="CN83" i="168"/>
  <c r="CN84" i="168"/>
  <c r="CN85" i="168"/>
  <c r="P85" i="168"/>
  <c r="D85" i="168"/>
  <c r="CW84" i="168"/>
  <c r="P84" i="168"/>
  <c r="BC84" i="168"/>
  <c r="D84" i="168"/>
  <c r="P83" i="168"/>
  <c r="AY83" i="168"/>
  <c r="D83" i="168"/>
  <c r="CW82" i="168"/>
  <c r="BC82" i="168"/>
  <c r="AY82" i="168"/>
  <c r="P82" i="168"/>
  <c r="CW81" i="168"/>
  <c r="BC81" i="168"/>
  <c r="AY81" i="168"/>
  <c r="AH81" i="168"/>
  <c r="P81" i="168"/>
  <c r="CU77" i="168"/>
  <c r="CU79" i="168"/>
  <c r="CU80" i="168"/>
  <c r="P80" i="168"/>
  <c r="BC80" i="168"/>
  <c r="D80" i="168"/>
  <c r="P79" i="168"/>
  <c r="BC79" i="168"/>
  <c r="D79" i="168"/>
  <c r="CW78" i="168"/>
  <c r="BC78" i="168"/>
  <c r="AX78" i="168"/>
  <c r="AY78" i="168"/>
  <c r="AB76" i="168"/>
  <c r="AB78" i="168"/>
  <c r="AC78" i="168"/>
  <c r="AD78" i="168"/>
  <c r="AE78" i="168"/>
  <c r="AF78" i="168"/>
  <c r="AG78" i="168"/>
  <c r="P78" i="168"/>
  <c r="P77" i="168"/>
  <c r="AH77" i="168"/>
  <c r="AY77" i="168"/>
  <c r="BC77" i="168"/>
  <c r="BE77" i="168"/>
  <c r="D77" i="168"/>
  <c r="CW76" i="168"/>
  <c r="BC76" i="168"/>
  <c r="AX76" i="168"/>
  <c r="AY76" i="168"/>
  <c r="P76" i="168"/>
  <c r="CW75" i="168"/>
  <c r="P75" i="168"/>
  <c r="AH75" i="168"/>
  <c r="AY75" i="168"/>
  <c r="BC75" i="168"/>
  <c r="BE75" i="168"/>
  <c r="CW74" i="168"/>
  <c r="CV74" i="168"/>
  <c r="BG74" i="168"/>
  <c r="BF74" i="168"/>
  <c r="P71" i="168"/>
  <c r="AH71" i="168"/>
  <c r="AY71" i="168"/>
  <c r="BC71" i="168"/>
  <c r="BE71" i="168"/>
  <c r="P73" i="168"/>
  <c r="AY73" i="168"/>
  <c r="BD74" i="168"/>
  <c r="AZ74" i="168"/>
  <c r="AY74" i="168"/>
  <c r="AI74" i="168"/>
  <c r="Q74" i="168"/>
  <c r="P74" i="168"/>
  <c r="D74" i="168"/>
  <c r="D73" i="168"/>
  <c r="BC72" i="168"/>
  <c r="AY72" i="168"/>
  <c r="S72" i="168"/>
  <c r="P72" i="168"/>
  <c r="D71" i="168"/>
  <c r="BC70" i="168"/>
  <c r="AY70" i="168"/>
  <c r="AH70" i="168"/>
  <c r="P70" i="168"/>
  <c r="P69" i="168"/>
  <c r="AH69" i="168"/>
  <c r="AY69" i="168"/>
  <c r="BC69" i="168"/>
  <c r="BE69" i="168"/>
  <c r="P68" i="168"/>
  <c r="AH68" i="168"/>
  <c r="AY68" i="168"/>
  <c r="BC68" i="168"/>
  <c r="BE68" i="168"/>
  <c r="P67" i="168"/>
  <c r="AH67" i="168"/>
  <c r="AY67" i="168"/>
  <c r="BC67" i="168"/>
  <c r="BE67" i="168"/>
  <c r="AY66" i="168"/>
  <c r="P65" i="168"/>
  <c r="AH65" i="168"/>
  <c r="AY65" i="168"/>
  <c r="BC65" i="168"/>
  <c r="BE65" i="168"/>
  <c r="BG64" i="168"/>
  <c r="BF64" i="168"/>
  <c r="P57" i="168"/>
  <c r="AH57" i="168"/>
  <c r="AY57" i="168"/>
  <c r="BC57" i="168"/>
  <c r="BE57" i="168"/>
  <c r="P61" i="168"/>
  <c r="AH61" i="168"/>
  <c r="AY61" i="168"/>
  <c r="BC61" i="168"/>
  <c r="BE61" i="168"/>
  <c r="P63" i="168"/>
  <c r="AY63" i="168"/>
  <c r="P59" i="168"/>
  <c r="AH59" i="168"/>
  <c r="AY59" i="168"/>
  <c r="BC59" i="168"/>
  <c r="BE59" i="168"/>
  <c r="BD64" i="168"/>
  <c r="AZ64" i="168"/>
  <c r="AY64" i="168"/>
  <c r="AI64" i="168"/>
  <c r="Q64" i="168"/>
  <c r="P64" i="168"/>
  <c r="D64" i="168"/>
  <c r="D63" i="168"/>
  <c r="CW62" i="168"/>
  <c r="BC62" i="168"/>
  <c r="AY62" i="168"/>
  <c r="P62" i="168"/>
  <c r="CW61" i="168"/>
  <c r="D61" i="168"/>
  <c r="CW60" i="168"/>
  <c r="BC60" i="168"/>
  <c r="AY60" i="168"/>
  <c r="P60" i="168"/>
  <c r="CW59" i="168"/>
  <c r="D59" i="168"/>
  <c r="BC58" i="168"/>
  <c r="AY58" i="168"/>
  <c r="P58" i="168"/>
  <c r="CW57" i="168"/>
  <c r="D57" i="168"/>
  <c r="CW56" i="168"/>
  <c r="BC56" i="168"/>
  <c r="AY56" i="168"/>
  <c r="P56" i="168"/>
  <c r="CW55" i="168"/>
  <c r="P55" i="168"/>
  <c r="AH55" i="168"/>
  <c r="AY55" i="168"/>
  <c r="BC55" i="168"/>
  <c r="BE55" i="168"/>
  <c r="P54" i="168"/>
  <c r="AH54" i="168"/>
  <c r="AY54" i="168"/>
  <c r="BC54" i="168"/>
  <c r="BE54" i="168"/>
  <c r="D54" i="168"/>
  <c r="CW53" i="168"/>
  <c r="P53" i="168"/>
  <c r="AH53" i="168"/>
  <c r="AY53" i="168"/>
  <c r="BC53" i="168"/>
  <c r="BE53" i="168"/>
  <c r="D53" i="168"/>
  <c r="CW52" i="168"/>
  <c r="BC52" i="168"/>
  <c r="AY52" i="168"/>
  <c r="P52" i="168"/>
  <c r="CW51" i="168"/>
  <c r="BC51" i="168"/>
  <c r="AY51" i="168"/>
  <c r="AH51" i="168"/>
  <c r="P51" i="168"/>
  <c r="P50" i="168"/>
  <c r="AH50" i="168"/>
  <c r="AY50" i="168"/>
  <c r="BC50" i="168"/>
  <c r="BE50" i="168"/>
  <c r="D50" i="168"/>
  <c r="CW49" i="168"/>
  <c r="P49" i="168"/>
  <c r="AH49" i="168"/>
  <c r="AY49" i="168"/>
  <c r="BC49" i="168"/>
  <c r="BE49" i="168"/>
  <c r="D49" i="168"/>
  <c r="CW48" i="168"/>
  <c r="BC48" i="168"/>
  <c r="AY48" i="168"/>
  <c r="AH48" i="168"/>
  <c r="P48" i="168"/>
  <c r="P47" i="168"/>
  <c r="AH47" i="168"/>
  <c r="AY47" i="168"/>
  <c r="BC47" i="168"/>
  <c r="BE47" i="168"/>
  <c r="D47" i="168"/>
  <c r="CW46" i="168"/>
  <c r="P46" i="168"/>
  <c r="AH46" i="168"/>
  <c r="AY46" i="168"/>
  <c r="BC46" i="168"/>
  <c r="BE46" i="168"/>
  <c r="D46" i="168"/>
  <c r="CW45" i="168"/>
  <c r="P45" i="168"/>
  <c r="AH45" i="168"/>
  <c r="AY45" i="168"/>
  <c r="BC45" i="168"/>
  <c r="BE45" i="168"/>
  <c r="D45" i="168"/>
  <c r="CW44" i="168"/>
  <c r="P44" i="168"/>
  <c r="AH44" i="168"/>
  <c r="AY44" i="168"/>
  <c r="BC44" i="168"/>
  <c r="BE44" i="168"/>
  <c r="D44" i="168"/>
  <c r="CW43" i="168"/>
  <c r="P43" i="168"/>
  <c r="AH43" i="168"/>
  <c r="AY43" i="168"/>
  <c r="BC43" i="168"/>
  <c r="BE43" i="168"/>
  <c r="D43" i="168"/>
  <c r="CW42" i="168"/>
  <c r="P42" i="168"/>
  <c r="AH42" i="168"/>
  <c r="AY42" i="168"/>
  <c r="BC42" i="168"/>
  <c r="BE42" i="168"/>
  <c r="D42" i="168"/>
  <c r="CW41" i="168"/>
  <c r="P41" i="168"/>
  <c r="AH41" i="168"/>
  <c r="AY41" i="168"/>
  <c r="BC41" i="168"/>
  <c r="BE41" i="168"/>
  <c r="CW40" i="168"/>
  <c r="P40" i="168"/>
  <c r="AH40" i="168"/>
  <c r="AY40" i="168"/>
  <c r="BC40" i="168"/>
  <c r="BE40" i="168"/>
  <c r="D40" i="168"/>
  <c r="CW39" i="168"/>
  <c r="BC39" i="168"/>
  <c r="AY39" i="168"/>
  <c r="AH39" i="168"/>
  <c r="P39" i="168"/>
  <c r="D39" i="168"/>
  <c r="CW38" i="168"/>
  <c r="P38" i="168"/>
  <c r="AH38" i="168"/>
  <c r="AY38" i="168"/>
  <c r="BC38" i="168"/>
  <c r="BE38" i="168"/>
  <c r="D38" i="168"/>
  <c r="CW37" i="168"/>
  <c r="P37" i="168"/>
  <c r="AH37" i="168"/>
  <c r="AY37" i="168"/>
  <c r="BC37" i="168"/>
  <c r="BE37" i="168"/>
  <c r="AY36" i="168"/>
  <c r="BC36" i="168"/>
  <c r="D36" i="168"/>
  <c r="AY35" i="168"/>
  <c r="BC35" i="168"/>
  <c r="D35" i="168"/>
  <c r="CW34" i="168"/>
  <c r="BC34" i="168"/>
  <c r="AY34" i="168"/>
  <c r="AH34" i="168"/>
  <c r="P34" i="168"/>
  <c r="D34" i="168"/>
  <c r="CW33" i="168"/>
  <c r="P33" i="168"/>
  <c r="AH33" i="168"/>
  <c r="AY33" i="168"/>
  <c r="BC33" i="168"/>
  <c r="BE33" i="168"/>
  <c r="CW32" i="168"/>
  <c r="P32" i="168"/>
  <c r="AH32" i="168"/>
  <c r="AY32" i="168"/>
  <c r="BC32" i="168"/>
  <c r="BE32" i="168"/>
  <c r="P31" i="168"/>
  <c r="AH31" i="168"/>
  <c r="AY31" i="168"/>
  <c r="BC31" i="168"/>
  <c r="BE31" i="168"/>
  <c r="P30" i="168"/>
  <c r="AH30" i="168"/>
  <c r="AY30" i="168"/>
  <c r="BC30" i="168"/>
  <c r="BE30" i="168"/>
  <c r="P29" i="168"/>
  <c r="AH29" i="168"/>
  <c r="AY29" i="168"/>
  <c r="BC29" i="168"/>
  <c r="BE29" i="168"/>
  <c r="AY13" i="168"/>
  <c r="AY17" i="168"/>
  <c r="AY20" i="168"/>
  <c r="AY22" i="168"/>
  <c r="AY23" i="168"/>
  <c r="AY24" i="168"/>
  <c r="AY28" i="168"/>
  <c r="BC28" i="168"/>
  <c r="BD28" i="168"/>
  <c r="AZ24" i="168"/>
  <c r="AZ28" i="168"/>
  <c r="Q24" i="168"/>
  <c r="Q28" i="168"/>
  <c r="P27" i="168"/>
  <c r="AH27" i="168"/>
  <c r="AY27" i="168"/>
  <c r="BC27" i="168"/>
  <c r="BE27" i="168"/>
  <c r="CW26" i="168"/>
  <c r="P26" i="168"/>
  <c r="AH26" i="168"/>
  <c r="AY26" i="168"/>
  <c r="BC26" i="168"/>
  <c r="BE26" i="168"/>
  <c r="CW25" i="168"/>
  <c r="P25" i="168"/>
  <c r="AH25" i="168"/>
  <c r="AY25" i="168"/>
  <c r="BC25" i="168"/>
  <c r="BE25" i="168"/>
  <c r="CV24" i="168"/>
  <c r="P23" i="168"/>
  <c r="BC24" i="168"/>
  <c r="D24" i="168"/>
  <c r="CW23" i="168"/>
  <c r="AH23" i="168"/>
  <c r="BC23" i="168"/>
  <c r="BE23" i="168"/>
  <c r="D23" i="168"/>
  <c r="BC22" i="168"/>
  <c r="D22" i="168"/>
  <c r="CW21" i="168"/>
  <c r="P21" i="168"/>
  <c r="AH21" i="168"/>
  <c r="AY21" i="168"/>
  <c r="BC21" i="168"/>
  <c r="BE21" i="168"/>
  <c r="P20" i="168"/>
  <c r="AH20" i="168"/>
  <c r="BC20" i="168"/>
  <c r="BE20" i="168"/>
  <c r="D20" i="168"/>
  <c r="P19" i="168"/>
  <c r="AH19" i="168"/>
  <c r="AY19" i="168"/>
  <c r="BC19" i="168"/>
  <c r="BE19" i="168"/>
  <c r="D19" i="168"/>
  <c r="CW18" i="168"/>
  <c r="P18" i="168"/>
  <c r="AH18" i="168"/>
  <c r="AY18" i="168"/>
  <c r="BC18" i="168"/>
  <c r="BE18" i="168"/>
  <c r="P17" i="168"/>
  <c r="AH17" i="168"/>
  <c r="BC17" i="168"/>
  <c r="BE17" i="168"/>
  <c r="D17" i="168"/>
  <c r="P16" i="168"/>
  <c r="AH16" i="168"/>
  <c r="AY16" i="168"/>
  <c r="BC16" i="168"/>
  <c r="BE16" i="168"/>
  <c r="D16" i="168"/>
  <c r="P15" i="168"/>
  <c r="AH15" i="168"/>
  <c r="AY15" i="168"/>
  <c r="BC15" i="168"/>
  <c r="BE15" i="168"/>
  <c r="D15" i="168"/>
  <c r="CW14" i="168"/>
  <c r="P14" i="168"/>
  <c r="AH14" i="168"/>
  <c r="AY14" i="168"/>
  <c r="BC14" i="168"/>
  <c r="BE14" i="168"/>
  <c r="CW13" i="168"/>
  <c r="P13" i="168"/>
  <c r="AH13" i="168"/>
  <c r="BC13" i="168"/>
  <c r="BE13" i="168"/>
  <c r="D13" i="168"/>
  <c r="P12" i="168"/>
  <c r="AH12" i="168"/>
  <c r="AY12" i="168"/>
  <c r="BC12" i="168"/>
  <c r="BE12" i="168"/>
  <c r="P11" i="168"/>
  <c r="AH11" i="168"/>
  <c r="AY11" i="168"/>
  <c r="BC11" i="168"/>
  <c r="BE11" i="168"/>
  <c r="D11" i="168"/>
  <c r="P10" i="168"/>
  <c r="AH10" i="168"/>
  <c r="AY10" i="168"/>
  <c r="BC10" i="168"/>
  <c r="BE10" i="168"/>
  <c r="P9" i="168"/>
  <c r="AH9" i="168"/>
  <c r="AY9" i="168"/>
  <c r="BC9" i="168"/>
  <c r="BE9" i="168"/>
  <c r="D9" i="168"/>
  <c r="CR4" i="168"/>
  <c r="CN4" i="168"/>
  <c r="CJ4" i="168"/>
  <c r="CF4" i="168"/>
  <c r="CB4" i="168"/>
  <c r="BX4" i="168"/>
  <c r="BT4" i="168"/>
  <c r="BP4" i="168"/>
  <c r="BL4" i="168"/>
  <c r="BH4" i="168"/>
  <c r="BE4" i="168"/>
  <c r="BB4" i="168"/>
  <c r="BA4" i="168"/>
  <c r="AX4" i="168"/>
  <c r="AW4" i="168"/>
  <c r="AV4" i="168"/>
  <c r="AU4" i="168"/>
  <c r="AT4" i="168"/>
  <c r="AS4" i="168"/>
  <c r="AR4" i="168"/>
  <c r="AQ4" i="168"/>
  <c r="AP4" i="168"/>
  <c r="AO4" i="168"/>
  <c r="AN4" i="168"/>
  <c r="AM4" i="168"/>
  <c r="AL4" i="168"/>
  <c r="AK4" i="168"/>
  <c r="AJ4" i="168"/>
  <c r="AG4" i="168"/>
  <c r="AF4" i="168"/>
  <c r="AE4" i="168"/>
  <c r="AD4" i="168"/>
  <c r="AC4" i="168"/>
  <c r="AB4" i="168"/>
  <c r="AA4" i="168"/>
  <c r="Z4" i="168"/>
  <c r="Y4" i="168"/>
  <c r="X4" i="168"/>
  <c r="W4" i="168"/>
  <c r="V4" i="168"/>
  <c r="U4" i="168"/>
  <c r="T4" i="168"/>
  <c r="S4" i="168"/>
  <c r="R4" i="168"/>
  <c r="O4" i="168"/>
  <c r="N4" i="168"/>
  <c r="M4" i="168"/>
  <c r="L4" i="168"/>
  <c r="K4" i="168"/>
  <c r="J4" i="168"/>
  <c r="I4" i="168"/>
  <c r="H4" i="168"/>
  <c r="G4" i="168"/>
  <c r="E3" i="168"/>
  <c r="CO42" i="167"/>
  <c r="CO43" i="167"/>
  <c r="CO44" i="167"/>
  <c r="CO45" i="167"/>
  <c r="CO46" i="167"/>
  <c r="CO47" i="167"/>
  <c r="CP42" i="167"/>
  <c r="CP43" i="167"/>
  <c r="CP44" i="167"/>
  <c r="CP45" i="167"/>
  <c r="CP46" i="167"/>
  <c r="CP47" i="167"/>
  <c r="CQ42" i="167"/>
  <c r="CQ43" i="167"/>
  <c r="CQ44" i="167"/>
  <c r="CQ45" i="167"/>
  <c r="CQ46" i="167"/>
  <c r="CQ47" i="167"/>
  <c r="CW47" i="167"/>
  <c r="CO49" i="167"/>
  <c r="CO50" i="167"/>
  <c r="CP49" i="167"/>
  <c r="CP50" i="167"/>
  <c r="CQ49" i="167"/>
  <c r="CQ50" i="167"/>
  <c r="CW50" i="167"/>
  <c r="CO53" i="167"/>
  <c r="CO54" i="167"/>
  <c r="CP53" i="167"/>
  <c r="CP54" i="167"/>
  <c r="CQ53" i="167"/>
  <c r="CQ54" i="167"/>
  <c r="CW54" i="167"/>
  <c r="CO57" i="167"/>
  <c r="CO61" i="167"/>
  <c r="CO63" i="167"/>
  <c r="CO59" i="167"/>
  <c r="CO64" i="167"/>
  <c r="CP57" i="167"/>
  <c r="CP61" i="167"/>
  <c r="CP63" i="167"/>
  <c r="CP59" i="167"/>
  <c r="CP64" i="167"/>
  <c r="CQ57" i="167"/>
  <c r="CQ61" i="167"/>
  <c r="CQ63" i="167"/>
  <c r="CQ59" i="167"/>
  <c r="CQ64" i="167"/>
  <c r="S83" i="167"/>
  <c r="R63" i="167"/>
  <c r="R64" i="167"/>
  <c r="CO11" i="167"/>
  <c r="CO12" i="167"/>
  <c r="CO9" i="167"/>
  <c r="CO10" i="167"/>
  <c r="CO13" i="167"/>
  <c r="CO15" i="167"/>
  <c r="CO16" i="167"/>
  <c r="CO17" i="167"/>
  <c r="CO19" i="167"/>
  <c r="CO20" i="167"/>
  <c r="CO22" i="167"/>
  <c r="CO23" i="167"/>
  <c r="CO24" i="167"/>
  <c r="CO28" i="167"/>
  <c r="CO34" i="167"/>
  <c r="CO35" i="167"/>
  <c r="CO36" i="167"/>
  <c r="CO38" i="167"/>
  <c r="CO39" i="167"/>
  <c r="CO40" i="167"/>
  <c r="CO66" i="167"/>
  <c r="CO71" i="167"/>
  <c r="CO73" i="167"/>
  <c r="CO74" i="167"/>
  <c r="CO77" i="167"/>
  <c r="CO79" i="167"/>
  <c r="CO80" i="167"/>
  <c r="CO83" i="167"/>
  <c r="CO84" i="167"/>
  <c r="CO85" i="167"/>
  <c r="CO87" i="167"/>
  <c r="CO90" i="167"/>
  <c r="CP11" i="167"/>
  <c r="CP12" i="167"/>
  <c r="CP9" i="167"/>
  <c r="CP10" i="167"/>
  <c r="CP13" i="167"/>
  <c r="CP15" i="167"/>
  <c r="CP16" i="167"/>
  <c r="CP17" i="167"/>
  <c r="CP19" i="167"/>
  <c r="CP20" i="167"/>
  <c r="CP22" i="167"/>
  <c r="CP23" i="167"/>
  <c r="CP24" i="167"/>
  <c r="CP28" i="167"/>
  <c r="CP34" i="167"/>
  <c r="CP35" i="167"/>
  <c r="CP36" i="167"/>
  <c r="CP38" i="167"/>
  <c r="CP39" i="167"/>
  <c r="CP40" i="167"/>
  <c r="CP66" i="167"/>
  <c r="CP71" i="167"/>
  <c r="CP73" i="167"/>
  <c r="CP74" i="167"/>
  <c r="CP77" i="167"/>
  <c r="CP79" i="167"/>
  <c r="CP80" i="167"/>
  <c r="CP83" i="167"/>
  <c r="CP84" i="167"/>
  <c r="CP85" i="167"/>
  <c r="CP87" i="167"/>
  <c r="CP90" i="167"/>
  <c r="CQ11" i="167"/>
  <c r="CQ12" i="167"/>
  <c r="CQ9" i="167"/>
  <c r="CQ10" i="167"/>
  <c r="CQ13" i="167"/>
  <c r="CQ15" i="167"/>
  <c r="CQ16" i="167"/>
  <c r="CQ17" i="167"/>
  <c r="CQ19" i="167"/>
  <c r="CQ20" i="167"/>
  <c r="CQ22" i="167"/>
  <c r="CQ23" i="167"/>
  <c r="CQ24" i="167"/>
  <c r="CQ28" i="167"/>
  <c r="CQ34" i="167"/>
  <c r="CQ35" i="167"/>
  <c r="CQ36" i="167"/>
  <c r="CQ38" i="167"/>
  <c r="CQ39" i="167"/>
  <c r="CQ40" i="167"/>
  <c r="CQ66" i="167"/>
  <c r="CQ71" i="167"/>
  <c r="CQ73" i="167"/>
  <c r="CQ74" i="167"/>
  <c r="CQ77" i="167"/>
  <c r="CQ79" i="167"/>
  <c r="CQ80" i="167"/>
  <c r="CQ83" i="167"/>
  <c r="CQ84" i="167"/>
  <c r="CQ85" i="167"/>
  <c r="CQ87" i="167"/>
  <c r="CQ90" i="167"/>
  <c r="H110" i="138"/>
  <c r="G11" i="167"/>
  <c r="G12" i="167"/>
  <c r="H134" i="137"/>
  <c r="G9" i="167"/>
  <c r="G10" i="167"/>
  <c r="G13" i="167"/>
  <c r="G15" i="167"/>
  <c r="G16" i="167"/>
  <c r="G17" i="167"/>
  <c r="G19" i="167"/>
  <c r="G20" i="167"/>
  <c r="G22" i="167"/>
  <c r="G23" i="167"/>
  <c r="G24" i="167"/>
  <c r="G28" i="167"/>
  <c r="G34" i="167"/>
  <c r="G35" i="167"/>
  <c r="G36" i="167"/>
  <c r="G38" i="167"/>
  <c r="G39" i="167"/>
  <c r="G40" i="167"/>
  <c r="G42" i="167"/>
  <c r="G43" i="167"/>
  <c r="G44" i="167"/>
  <c r="G45" i="167"/>
  <c r="G46" i="167"/>
  <c r="G47" i="167"/>
  <c r="G49" i="167"/>
  <c r="G50" i="167"/>
  <c r="G53" i="167"/>
  <c r="G54" i="167"/>
  <c r="G57" i="167"/>
  <c r="G61" i="167"/>
  <c r="G63" i="167"/>
  <c r="G59" i="167"/>
  <c r="G64" i="167"/>
  <c r="G66" i="167"/>
  <c r="G71" i="167"/>
  <c r="G73" i="167"/>
  <c r="G74" i="167"/>
  <c r="G77" i="167"/>
  <c r="G79" i="167"/>
  <c r="G80" i="167"/>
  <c r="G83" i="167"/>
  <c r="G85" i="167"/>
  <c r="G87" i="167"/>
  <c r="G90" i="167"/>
  <c r="H11" i="167"/>
  <c r="H12" i="167"/>
  <c r="H9" i="167"/>
  <c r="H10" i="167"/>
  <c r="H13" i="167"/>
  <c r="H193" i="49"/>
  <c r="H15" i="167"/>
  <c r="H155" i="62"/>
  <c r="H16" i="167"/>
  <c r="H17" i="167"/>
  <c r="H19" i="167"/>
  <c r="H20" i="167"/>
  <c r="H22" i="167"/>
  <c r="H23" i="167"/>
  <c r="H24" i="167"/>
  <c r="H28" i="167"/>
  <c r="H34" i="167"/>
  <c r="H35" i="167"/>
  <c r="H36" i="167"/>
  <c r="H38" i="167"/>
  <c r="H39" i="167"/>
  <c r="H40" i="167"/>
  <c r="H42" i="167"/>
  <c r="H43" i="167"/>
  <c r="H44" i="167"/>
  <c r="H45" i="167"/>
  <c r="H46" i="167"/>
  <c r="H47" i="167"/>
  <c r="H49" i="167"/>
  <c r="H50" i="167"/>
  <c r="H53" i="167"/>
  <c r="H54" i="167"/>
  <c r="H57" i="167"/>
  <c r="H61" i="167"/>
  <c r="H63" i="167"/>
  <c r="H59" i="167"/>
  <c r="H64" i="167"/>
  <c r="H66" i="167"/>
  <c r="H71" i="167"/>
  <c r="H73" i="167"/>
  <c r="H74" i="167"/>
  <c r="H77" i="167"/>
  <c r="H79" i="167"/>
  <c r="H80" i="167"/>
  <c r="H83" i="167"/>
  <c r="H85" i="167"/>
  <c r="H87" i="167"/>
  <c r="H90" i="167"/>
  <c r="I11" i="167"/>
  <c r="I12" i="167"/>
  <c r="I9" i="167"/>
  <c r="I10" i="167"/>
  <c r="I13" i="167"/>
  <c r="H194" i="49"/>
  <c r="I15" i="167"/>
  <c r="H156" i="62"/>
  <c r="I16" i="167"/>
  <c r="I17" i="167"/>
  <c r="I19" i="167"/>
  <c r="I20" i="167"/>
  <c r="I22" i="167"/>
  <c r="I23" i="167"/>
  <c r="I24" i="167"/>
  <c r="I28" i="167"/>
  <c r="I34" i="167"/>
  <c r="I35" i="167"/>
  <c r="I36" i="167"/>
  <c r="I38" i="167"/>
  <c r="I39" i="167"/>
  <c r="I40" i="167"/>
  <c r="I42" i="167"/>
  <c r="I43" i="167"/>
  <c r="I44" i="167"/>
  <c r="I45" i="167"/>
  <c r="I46" i="167"/>
  <c r="I47" i="167"/>
  <c r="I49" i="167"/>
  <c r="I50" i="167"/>
  <c r="I53" i="167"/>
  <c r="I54" i="167"/>
  <c r="I57" i="167"/>
  <c r="I61" i="167"/>
  <c r="I63" i="167"/>
  <c r="I59" i="167"/>
  <c r="I64" i="167"/>
  <c r="I66" i="167"/>
  <c r="I71" i="167"/>
  <c r="I73" i="167"/>
  <c r="I74" i="167"/>
  <c r="I77" i="167"/>
  <c r="I79" i="167"/>
  <c r="I80" i="167"/>
  <c r="I83" i="167"/>
  <c r="I85" i="167"/>
  <c r="I87" i="167"/>
  <c r="I90" i="167"/>
  <c r="J11" i="167"/>
  <c r="J12" i="167"/>
  <c r="J9" i="167"/>
  <c r="J10" i="167"/>
  <c r="J13" i="167"/>
  <c r="J15" i="167"/>
  <c r="J16" i="167"/>
  <c r="J17" i="167"/>
  <c r="H441" i="39"/>
  <c r="J19" i="167"/>
  <c r="J20" i="167"/>
  <c r="J22" i="167"/>
  <c r="J23" i="167"/>
  <c r="J24" i="167"/>
  <c r="J28" i="167"/>
  <c r="J34" i="167"/>
  <c r="J38" i="167"/>
  <c r="H212" i="48"/>
  <c r="J39" i="167"/>
  <c r="J40" i="167"/>
  <c r="J42" i="167"/>
  <c r="J43" i="167"/>
  <c r="J44" i="167"/>
  <c r="J45" i="167"/>
  <c r="J46" i="167"/>
  <c r="J47" i="167"/>
  <c r="J49" i="167"/>
  <c r="J50" i="167"/>
  <c r="J53" i="167"/>
  <c r="J54" i="167"/>
  <c r="J57" i="167"/>
  <c r="J61" i="167"/>
  <c r="J63" i="167"/>
  <c r="J59" i="167"/>
  <c r="J64" i="167"/>
  <c r="J71" i="167"/>
  <c r="J73" i="167"/>
  <c r="J74" i="167"/>
  <c r="J77" i="167"/>
  <c r="J79" i="167"/>
  <c r="J80" i="167"/>
  <c r="J83" i="167"/>
  <c r="J85" i="167"/>
  <c r="J87" i="167"/>
  <c r="K11" i="167"/>
  <c r="K12" i="167"/>
  <c r="K9" i="167"/>
  <c r="K10" i="167"/>
  <c r="K13" i="167"/>
  <c r="K15" i="167"/>
  <c r="K16" i="167"/>
  <c r="K17" i="167"/>
  <c r="K19" i="167"/>
  <c r="K20" i="167"/>
  <c r="H436" i="41"/>
  <c r="K23" i="167"/>
  <c r="K34" i="167"/>
  <c r="K35" i="167"/>
  <c r="K36" i="167"/>
  <c r="K38" i="167"/>
  <c r="K39" i="167"/>
  <c r="K40" i="167"/>
  <c r="K42" i="167"/>
  <c r="K43" i="167"/>
  <c r="K44" i="167"/>
  <c r="K45" i="167"/>
  <c r="K46" i="167"/>
  <c r="K47" i="167"/>
  <c r="K49" i="167"/>
  <c r="K50" i="167"/>
  <c r="K53" i="167"/>
  <c r="K54" i="167"/>
  <c r="K57" i="167"/>
  <c r="K61" i="167"/>
  <c r="K63" i="167"/>
  <c r="K59" i="167"/>
  <c r="K64" i="167"/>
  <c r="K66" i="167"/>
  <c r="K71" i="167"/>
  <c r="K73" i="167"/>
  <c r="K74" i="167"/>
  <c r="K77" i="167"/>
  <c r="K79" i="167"/>
  <c r="K80" i="167"/>
  <c r="K83" i="167"/>
  <c r="K85" i="167"/>
  <c r="K87" i="167"/>
  <c r="L11" i="167"/>
  <c r="L12" i="167"/>
  <c r="L9" i="167"/>
  <c r="L10" i="167"/>
  <c r="L13" i="167"/>
  <c r="L15" i="167"/>
  <c r="L16" i="167"/>
  <c r="L17" i="167"/>
  <c r="L19" i="167"/>
  <c r="L20" i="167"/>
  <c r="H437" i="41"/>
  <c r="L23" i="167"/>
  <c r="L34" i="167"/>
  <c r="L35" i="167"/>
  <c r="L36" i="167"/>
  <c r="L38" i="167"/>
  <c r="L39" i="167"/>
  <c r="L40" i="167"/>
  <c r="L42" i="167"/>
  <c r="L43" i="167"/>
  <c r="L44" i="167"/>
  <c r="L45" i="167"/>
  <c r="L46" i="167"/>
  <c r="L47" i="167"/>
  <c r="L49" i="167"/>
  <c r="L50" i="167"/>
  <c r="L53" i="167"/>
  <c r="L54" i="167"/>
  <c r="L57" i="167"/>
  <c r="L61" i="167"/>
  <c r="L63" i="167"/>
  <c r="L59" i="167"/>
  <c r="L64" i="167"/>
  <c r="L66" i="167"/>
  <c r="L71" i="167"/>
  <c r="L73" i="167"/>
  <c r="L74" i="167"/>
  <c r="L77" i="167"/>
  <c r="L79" i="167"/>
  <c r="L80" i="167"/>
  <c r="L83" i="167"/>
  <c r="L85" i="167"/>
  <c r="L87" i="167"/>
  <c r="M11" i="167"/>
  <c r="M12" i="167"/>
  <c r="M9" i="167"/>
  <c r="M10" i="167"/>
  <c r="M13" i="167"/>
  <c r="M15" i="167"/>
  <c r="M16" i="167"/>
  <c r="M17" i="167"/>
  <c r="M19" i="167"/>
  <c r="M20" i="167"/>
  <c r="M23" i="167"/>
  <c r="M34" i="167"/>
  <c r="M35" i="167"/>
  <c r="M36" i="167"/>
  <c r="M38" i="167"/>
  <c r="M39" i="167"/>
  <c r="M40" i="167"/>
  <c r="M42" i="167"/>
  <c r="M43" i="167"/>
  <c r="M44" i="167"/>
  <c r="M45" i="167"/>
  <c r="M46" i="167"/>
  <c r="M47" i="167"/>
  <c r="M49" i="167"/>
  <c r="M50" i="167"/>
  <c r="M53" i="167"/>
  <c r="M54" i="167"/>
  <c r="M57" i="167"/>
  <c r="M61" i="167"/>
  <c r="M63" i="167"/>
  <c r="M59" i="167"/>
  <c r="M64" i="167"/>
  <c r="M66" i="167"/>
  <c r="M71" i="167"/>
  <c r="M73" i="167"/>
  <c r="M74" i="167"/>
  <c r="M77" i="167"/>
  <c r="M79" i="167"/>
  <c r="M80" i="167"/>
  <c r="M83" i="167"/>
  <c r="M85" i="167"/>
  <c r="M87" i="167"/>
  <c r="N11" i="167"/>
  <c r="N12" i="167"/>
  <c r="N9" i="167"/>
  <c r="N10" i="167"/>
  <c r="N13" i="167"/>
  <c r="N15" i="167"/>
  <c r="N16" i="167"/>
  <c r="N17" i="167"/>
  <c r="N19" i="167"/>
  <c r="N20" i="167"/>
  <c r="N22" i="167"/>
  <c r="H438" i="41"/>
  <c r="N23" i="167"/>
  <c r="N24" i="167"/>
  <c r="N28" i="167"/>
  <c r="N34" i="167"/>
  <c r="N35" i="167"/>
  <c r="N36" i="167"/>
  <c r="N38" i="167"/>
  <c r="N39" i="167"/>
  <c r="N40" i="167"/>
  <c r="N42" i="167"/>
  <c r="N43" i="167"/>
  <c r="N44" i="167"/>
  <c r="N45" i="167"/>
  <c r="N46" i="167"/>
  <c r="N47" i="167"/>
  <c r="N49" i="167"/>
  <c r="N50" i="167"/>
  <c r="N53" i="167"/>
  <c r="N54" i="167"/>
  <c r="N57" i="167"/>
  <c r="N61" i="167"/>
  <c r="N63" i="167"/>
  <c r="N59" i="167"/>
  <c r="N64" i="167"/>
  <c r="N66" i="167"/>
  <c r="N71" i="167"/>
  <c r="N73" i="167"/>
  <c r="N74" i="167"/>
  <c r="N77" i="167"/>
  <c r="N79" i="167"/>
  <c r="N80" i="167"/>
  <c r="N83" i="167"/>
  <c r="N85" i="167"/>
  <c r="N87" i="167"/>
  <c r="N90" i="167"/>
  <c r="O11" i="167"/>
  <c r="O12" i="167"/>
  <c r="O9" i="167"/>
  <c r="O10" i="167"/>
  <c r="O13" i="167"/>
  <c r="O15" i="167"/>
  <c r="O16" i="167"/>
  <c r="O17" i="167"/>
  <c r="O19" i="167"/>
  <c r="O20" i="167"/>
  <c r="O22" i="167"/>
  <c r="H439" i="41"/>
  <c r="O23" i="167"/>
  <c r="O24" i="167"/>
  <c r="O28" i="167"/>
  <c r="O34" i="167"/>
  <c r="O35" i="167"/>
  <c r="O36" i="167"/>
  <c r="O38" i="167"/>
  <c r="O39" i="167"/>
  <c r="O40" i="167"/>
  <c r="O42" i="167"/>
  <c r="O43" i="167"/>
  <c r="O44" i="167"/>
  <c r="O45" i="167"/>
  <c r="O46" i="167"/>
  <c r="O47" i="167"/>
  <c r="O49" i="167"/>
  <c r="O50" i="167"/>
  <c r="O53" i="167"/>
  <c r="O54" i="167"/>
  <c r="O57" i="167"/>
  <c r="O61" i="167"/>
  <c r="O63" i="167"/>
  <c r="O59" i="167"/>
  <c r="O64" i="167"/>
  <c r="O66" i="167"/>
  <c r="O71" i="167"/>
  <c r="O73" i="167"/>
  <c r="O74" i="167"/>
  <c r="O77" i="167"/>
  <c r="O79" i="167"/>
  <c r="O80" i="167"/>
  <c r="O83" i="167"/>
  <c r="O85" i="167"/>
  <c r="O87" i="167"/>
  <c r="O90" i="167"/>
  <c r="R83" i="167"/>
  <c r="R85" i="167"/>
  <c r="R87" i="167"/>
  <c r="AA11" i="167"/>
  <c r="AA12" i="167"/>
  <c r="AA9" i="167"/>
  <c r="AA10" i="167"/>
  <c r="AA13" i="167"/>
  <c r="AA15" i="167"/>
  <c r="AA16" i="167"/>
  <c r="AA17" i="167"/>
  <c r="AA19" i="167"/>
  <c r="AA20" i="167"/>
  <c r="AA22" i="167"/>
  <c r="AA23" i="167"/>
  <c r="AA24" i="167"/>
  <c r="AA28" i="167"/>
  <c r="AA34" i="167"/>
  <c r="AA35" i="167"/>
  <c r="AA36" i="167"/>
  <c r="AA38" i="167"/>
  <c r="AA39" i="167"/>
  <c r="AA40" i="167"/>
  <c r="AA42" i="167"/>
  <c r="AA43" i="167"/>
  <c r="AA44" i="167"/>
  <c r="AA45" i="167"/>
  <c r="AA46" i="167"/>
  <c r="AA47" i="167"/>
  <c r="AA49" i="167"/>
  <c r="AA50" i="167"/>
  <c r="AA53" i="167"/>
  <c r="AA54" i="167"/>
  <c r="AA57" i="167"/>
  <c r="AA61" i="167"/>
  <c r="AA63" i="167"/>
  <c r="AA59" i="167"/>
  <c r="AA64" i="167"/>
  <c r="AA66" i="167"/>
  <c r="AA71" i="167"/>
  <c r="AA73" i="167"/>
  <c r="AA74" i="167"/>
  <c r="AA77" i="167"/>
  <c r="AA79" i="167"/>
  <c r="AA80" i="167"/>
  <c r="AA83" i="167"/>
  <c r="AA85" i="167"/>
  <c r="AA87" i="167"/>
  <c r="AA90" i="167"/>
  <c r="AB11" i="167"/>
  <c r="AB12" i="167"/>
  <c r="AB9" i="167"/>
  <c r="AB10" i="167"/>
  <c r="AB13" i="167"/>
  <c r="AB15" i="167"/>
  <c r="AB16" i="167"/>
  <c r="AB17" i="167"/>
  <c r="AB19" i="167"/>
  <c r="AB20" i="167"/>
  <c r="AB22" i="167"/>
  <c r="AB23" i="167"/>
  <c r="AB24" i="167"/>
  <c r="AB28" i="167"/>
  <c r="AB34" i="167"/>
  <c r="AB35" i="167"/>
  <c r="AB36" i="167"/>
  <c r="AB38" i="167"/>
  <c r="AB39" i="167"/>
  <c r="AB40" i="167"/>
  <c r="AB42" i="167"/>
  <c r="AB43" i="167"/>
  <c r="AB44" i="167"/>
  <c r="AB45" i="167"/>
  <c r="AB46" i="167"/>
  <c r="AB47" i="167"/>
  <c r="AB49" i="167"/>
  <c r="AB50" i="167"/>
  <c r="AB53" i="167"/>
  <c r="AB54" i="167"/>
  <c r="AB57" i="167"/>
  <c r="AB61" i="167"/>
  <c r="AB63" i="167"/>
  <c r="AB59" i="167"/>
  <c r="AB64" i="167"/>
  <c r="AB66" i="167"/>
  <c r="AB71" i="167"/>
  <c r="AB73" i="167"/>
  <c r="AB74" i="167"/>
  <c r="AB77" i="167"/>
  <c r="AB79" i="167"/>
  <c r="AB80" i="167"/>
  <c r="AB83" i="167"/>
  <c r="AB85" i="167"/>
  <c r="AB87" i="167"/>
  <c r="AB90" i="167"/>
  <c r="H421" i="110"/>
  <c r="AC77" i="167"/>
  <c r="AC79" i="167"/>
  <c r="AC80" i="167"/>
  <c r="AC83" i="167"/>
  <c r="AC85" i="167"/>
  <c r="AC87" i="167"/>
  <c r="AC90" i="167"/>
  <c r="H422" i="110"/>
  <c r="AD77" i="167"/>
  <c r="AD79" i="167"/>
  <c r="AD80" i="167"/>
  <c r="AD83" i="167"/>
  <c r="AD85" i="167"/>
  <c r="AD87" i="167"/>
  <c r="AD90" i="167"/>
  <c r="H418" i="110"/>
  <c r="AE77" i="167"/>
  <c r="AE79" i="167"/>
  <c r="AE80" i="167"/>
  <c r="AE83" i="167"/>
  <c r="AE85" i="167"/>
  <c r="AE87" i="167"/>
  <c r="AE90" i="167"/>
  <c r="H419" i="110"/>
  <c r="AF77" i="167"/>
  <c r="AF79" i="167"/>
  <c r="AF80" i="167"/>
  <c r="AF83" i="167"/>
  <c r="AF85" i="167"/>
  <c r="AF87" i="167"/>
  <c r="AF90" i="167"/>
  <c r="H420" i="110"/>
  <c r="AG77" i="167"/>
  <c r="AG79" i="167"/>
  <c r="AG80" i="167"/>
  <c r="AG83" i="167"/>
  <c r="AG85" i="167"/>
  <c r="AG87" i="167"/>
  <c r="AG90" i="167"/>
  <c r="AJ11" i="167"/>
  <c r="AJ12" i="167"/>
  <c r="AJ9" i="167"/>
  <c r="AJ10" i="167"/>
  <c r="AJ13" i="167"/>
  <c r="AJ15" i="167"/>
  <c r="AJ16" i="167"/>
  <c r="AJ17" i="167"/>
  <c r="AJ19" i="167"/>
  <c r="AJ20" i="167"/>
  <c r="AJ22" i="167"/>
  <c r="AJ23" i="167"/>
  <c r="AJ24" i="167"/>
  <c r="AJ28" i="167"/>
  <c r="AJ34" i="167"/>
  <c r="AJ35" i="167"/>
  <c r="AJ36" i="167"/>
  <c r="AJ38" i="167"/>
  <c r="H219" i="48"/>
  <c r="AJ39" i="167"/>
  <c r="AJ40" i="167"/>
  <c r="AJ42" i="167"/>
  <c r="AJ43" i="167"/>
  <c r="AJ44" i="167"/>
  <c r="AJ45" i="167"/>
  <c r="AJ46" i="167"/>
  <c r="AJ47" i="167"/>
  <c r="AJ49" i="167"/>
  <c r="AJ50" i="167"/>
  <c r="AJ53" i="167"/>
  <c r="AJ54" i="167"/>
  <c r="AJ57" i="167"/>
  <c r="AJ61" i="167"/>
  <c r="AJ63" i="167"/>
  <c r="AJ59" i="167"/>
  <c r="AJ64" i="167"/>
  <c r="AJ66" i="167"/>
  <c r="AJ71" i="167"/>
  <c r="AJ73" i="167"/>
  <c r="AJ74" i="167"/>
  <c r="AJ77" i="167"/>
  <c r="AJ79" i="167"/>
  <c r="AJ80" i="167"/>
  <c r="AJ83" i="167"/>
  <c r="AJ85" i="167"/>
  <c r="AJ87" i="167"/>
  <c r="AJ90" i="167"/>
  <c r="AL11" i="167"/>
  <c r="AL12" i="167"/>
  <c r="AL9" i="167"/>
  <c r="AL10" i="167"/>
  <c r="AL13" i="167"/>
  <c r="AL15" i="167"/>
  <c r="AL16" i="167"/>
  <c r="AL17" i="167"/>
  <c r="AL19" i="167"/>
  <c r="AL20" i="167"/>
  <c r="AL22" i="167"/>
  <c r="AL23" i="167"/>
  <c r="AL24" i="167"/>
  <c r="AL28" i="167"/>
  <c r="AL34" i="167"/>
  <c r="AL35" i="167"/>
  <c r="AL36" i="167"/>
  <c r="AL38" i="167"/>
  <c r="H221" i="48"/>
  <c r="AL39" i="167"/>
  <c r="AL40" i="167"/>
  <c r="AL42" i="167"/>
  <c r="AL43" i="167"/>
  <c r="AL44" i="167"/>
  <c r="AL45" i="167"/>
  <c r="AL46" i="167"/>
  <c r="AL47" i="167"/>
  <c r="AL49" i="167"/>
  <c r="AL50" i="167"/>
  <c r="AL53" i="167"/>
  <c r="AL54" i="167"/>
  <c r="AL57" i="167"/>
  <c r="AL61" i="167"/>
  <c r="AL63" i="167"/>
  <c r="AL59" i="167"/>
  <c r="AL64" i="167"/>
  <c r="AL66" i="167"/>
  <c r="AL71" i="167"/>
  <c r="AL73" i="167"/>
  <c r="AL74" i="167"/>
  <c r="AL77" i="167"/>
  <c r="AL79" i="167"/>
  <c r="AL80" i="167"/>
  <c r="AL83" i="167"/>
  <c r="AL85" i="167"/>
  <c r="AL87" i="167"/>
  <c r="AL90" i="167"/>
  <c r="AM11" i="167"/>
  <c r="AM12" i="167"/>
  <c r="AM9" i="167"/>
  <c r="AM10" i="167"/>
  <c r="AM13" i="167"/>
  <c r="AM15" i="167"/>
  <c r="AM16" i="167"/>
  <c r="AM17" i="167"/>
  <c r="AM19" i="167"/>
  <c r="AM20" i="167"/>
  <c r="AM22" i="167"/>
  <c r="AM23" i="167"/>
  <c r="AM24" i="167"/>
  <c r="AM28" i="167"/>
  <c r="AM34" i="167"/>
  <c r="AM35" i="167"/>
  <c r="AM36" i="167"/>
  <c r="AM38" i="167"/>
  <c r="AM39" i="167"/>
  <c r="AM40" i="167"/>
  <c r="AM42" i="167"/>
  <c r="AM43" i="167"/>
  <c r="AM44" i="167"/>
  <c r="AM45" i="167"/>
  <c r="AM46" i="167"/>
  <c r="AM47" i="167"/>
  <c r="AM49" i="167"/>
  <c r="AM50" i="167"/>
  <c r="AM53" i="167"/>
  <c r="AM54" i="167"/>
  <c r="AM57" i="167"/>
  <c r="AM61" i="167"/>
  <c r="AM63" i="167"/>
  <c r="AM59" i="167"/>
  <c r="AM64" i="167"/>
  <c r="AM66" i="167"/>
  <c r="AM71" i="167"/>
  <c r="AM73" i="167"/>
  <c r="AM74" i="167"/>
  <c r="AM77" i="167"/>
  <c r="AM83" i="167"/>
  <c r="AM85" i="167"/>
  <c r="AN11" i="167"/>
  <c r="AN12" i="167"/>
  <c r="AN9" i="167"/>
  <c r="AN10" i="167"/>
  <c r="AN13" i="167"/>
  <c r="AN15" i="167"/>
  <c r="AN16" i="167"/>
  <c r="AN17" i="167"/>
  <c r="AN19" i="167"/>
  <c r="AN20" i="167"/>
  <c r="AN22" i="167"/>
  <c r="AN23" i="167"/>
  <c r="AN24" i="167"/>
  <c r="AN28" i="167"/>
  <c r="AN34" i="167"/>
  <c r="AN35" i="167"/>
  <c r="AN36" i="167"/>
  <c r="AN38" i="167"/>
  <c r="AN39" i="167"/>
  <c r="AN40" i="167"/>
  <c r="AN42" i="167"/>
  <c r="AN43" i="167"/>
  <c r="AN44" i="167"/>
  <c r="AN45" i="167"/>
  <c r="AN46" i="167"/>
  <c r="AN47" i="167"/>
  <c r="AN49" i="167"/>
  <c r="AN50" i="167"/>
  <c r="AN53" i="167"/>
  <c r="AN54" i="167"/>
  <c r="AN57" i="167"/>
  <c r="AN61" i="167"/>
  <c r="AN63" i="167"/>
  <c r="AN59" i="167"/>
  <c r="AN64" i="167"/>
  <c r="AN66" i="167"/>
  <c r="H151" i="31"/>
  <c r="AN71" i="167"/>
  <c r="AN73" i="167"/>
  <c r="AN74" i="167"/>
  <c r="AN77" i="167"/>
  <c r="AN79" i="167"/>
  <c r="AN80" i="167"/>
  <c r="AN83" i="167"/>
  <c r="AO11" i="167"/>
  <c r="AO12" i="167"/>
  <c r="AO9" i="167"/>
  <c r="AO10" i="167"/>
  <c r="AO13" i="167"/>
  <c r="AO15" i="167"/>
  <c r="AO16" i="167"/>
  <c r="AO17" i="167"/>
  <c r="AO19" i="167"/>
  <c r="AO20" i="167"/>
  <c r="AO22" i="167"/>
  <c r="AO23" i="167"/>
  <c r="AO24" i="167"/>
  <c r="AO28" i="167"/>
  <c r="AO34" i="167"/>
  <c r="AO35" i="167"/>
  <c r="AO36" i="167"/>
  <c r="AO38" i="167"/>
  <c r="AO39" i="167"/>
  <c r="AO40" i="167"/>
  <c r="AO42" i="167"/>
  <c r="AO43" i="167"/>
  <c r="AO44" i="167"/>
  <c r="AO45" i="167"/>
  <c r="AO46" i="167"/>
  <c r="AO47" i="167"/>
  <c r="AO49" i="167"/>
  <c r="AO50" i="167"/>
  <c r="AO53" i="167"/>
  <c r="AO54" i="167"/>
  <c r="AO57" i="167"/>
  <c r="AO61" i="167"/>
  <c r="AO63" i="167"/>
  <c r="AO59" i="167"/>
  <c r="AO64" i="167"/>
  <c r="AO66" i="167"/>
  <c r="AO71" i="167"/>
  <c r="AO73" i="167"/>
  <c r="AO74" i="167"/>
  <c r="AO77" i="167"/>
  <c r="AO79" i="167"/>
  <c r="AO80" i="167"/>
  <c r="AO83" i="167"/>
  <c r="AO84" i="167"/>
  <c r="AO85" i="167"/>
  <c r="AO87" i="167"/>
  <c r="AO90" i="167"/>
  <c r="AS11" i="167"/>
  <c r="AS12" i="167"/>
  <c r="AS9" i="167"/>
  <c r="AS10" i="167"/>
  <c r="AS13" i="167"/>
  <c r="AS15" i="167"/>
  <c r="AS16" i="167"/>
  <c r="AS17" i="167"/>
  <c r="AS19" i="167"/>
  <c r="AS20" i="167"/>
  <c r="AS22" i="167"/>
  <c r="AS23" i="167"/>
  <c r="AS24" i="167"/>
  <c r="AS28" i="167"/>
  <c r="AS34" i="167"/>
  <c r="AS35" i="167"/>
  <c r="AS36" i="167"/>
  <c r="AS38" i="167"/>
  <c r="AS39" i="167"/>
  <c r="AS40" i="167"/>
  <c r="AS42" i="167"/>
  <c r="AS43" i="167"/>
  <c r="AS44" i="167"/>
  <c r="AS45" i="167"/>
  <c r="AS46" i="167"/>
  <c r="AS47" i="167"/>
  <c r="AS49" i="167"/>
  <c r="AS50" i="167"/>
  <c r="AS53" i="167"/>
  <c r="AS54" i="167"/>
  <c r="AS57" i="167"/>
  <c r="AS61" i="167"/>
  <c r="AS63" i="167"/>
  <c r="AS59" i="167"/>
  <c r="AS64" i="167"/>
  <c r="AS66" i="167"/>
  <c r="AS71" i="167"/>
  <c r="AS73" i="167"/>
  <c r="AS74" i="167"/>
  <c r="AS77" i="167"/>
  <c r="AS79" i="167"/>
  <c r="AS80" i="167"/>
  <c r="AS83" i="167"/>
  <c r="AS85" i="167"/>
  <c r="AS87" i="167"/>
  <c r="AS90" i="167"/>
  <c r="AT11" i="167"/>
  <c r="AT12" i="167"/>
  <c r="AT9" i="167"/>
  <c r="AT10" i="167"/>
  <c r="AT13" i="167"/>
  <c r="AT15" i="167"/>
  <c r="AT16" i="167"/>
  <c r="AT17" i="167"/>
  <c r="AT19" i="167"/>
  <c r="AT20" i="167"/>
  <c r="AT22" i="167"/>
  <c r="AT23" i="167"/>
  <c r="AT24" i="167"/>
  <c r="AT28" i="167"/>
  <c r="AT34" i="167"/>
  <c r="AT35" i="167"/>
  <c r="AT36" i="167"/>
  <c r="AT38" i="167"/>
  <c r="AT39" i="167"/>
  <c r="AT40" i="167"/>
  <c r="AT42" i="167"/>
  <c r="AT43" i="167"/>
  <c r="AT44" i="167"/>
  <c r="H108" i="147"/>
  <c r="AT45" i="167"/>
  <c r="H110" i="146"/>
  <c r="AT46" i="167"/>
  <c r="AT47" i="167"/>
  <c r="H110" i="145"/>
  <c r="AT49" i="167"/>
  <c r="AT50" i="167"/>
  <c r="AT53" i="167"/>
  <c r="AT54" i="167"/>
  <c r="AT57" i="167"/>
  <c r="AT61" i="167"/>
  <c r="AT63" i="167"/>
  <c r="AT59" i="167"/>
  <c r="AT64" i="167"/>
  <c r="AT66" i="167"/>
  <c r="AT71" i="167"/>
  <c r="AT73" i="167"/>
  <c r="AT74" i="167"/>
  <c r="AT77" i="167"/>
  <c r="AT79" i="167"/>
  <c r="AT80" i="167"/>
  <c r="AT83" i="167"/>
  <c r="AT85" i="167"/>
  <c r="AT87" i="167"/>
  <c r="AT90" i="167"/>
  <c r="AU11" i="167"/>
  <c r="AU12" i="167"/>
  <c r="AU9" i="167"/>
  <c r="AU10" i="167"/>
  <c r="AU13" i="167"/>
  <c r="AU15" i="167"/>
  <c r="AU16" i="167"/>
  <c r="AU17" i="167"/>
  <c r="AU19" i="167"/>
  <c r="AU20" i="167"/>
  <c r="AU22" i="167"/>
  <c r="AU23" i="167"/>
  <c r="AU24" i="167"/>
  <c r="AU28" i="167"/>
  <c r="AU34" i="167"/>
  <c r="AU35" i="167"/>
  <c r="AU36" i="167"/>
  <c r="AU38" i="167"/>
  <c r="AU39" i="167"/>
  <c r="AU40" i="167"/>
  <c r="H116" i="142"/>
  <c r="AU42" i="167"/>
  <c r="AU43" i="167"/>
  <c r="AU44" i="167"/>
  <c r="AU45" i="167"/>
  <c r="AU46" i="167"/>
  <c r="AU47" i="167"/>
  <c r="AU49" i="167"/>
  <c r="AU50" i="167"/>
  <c r="AU53" i="167"/>
  <c r="AU54" i="167"/>
  <c r="AU57" i="167"/>
  <c r="AU61" i="167"/>
  <c r="AU63" i="167"/>
  <c r="AU59" i="167"/>
  <c r="AU64" i="167"/>
  <c r="AU66" i="167"/>
  <c r="AU71" i="167"/>
  <c r="AU73" i="167"/>
  <c r="AU74" i="167"/>
  <c r="AU77" i="167"/>
  <c r="AU79" i="167"/>
  <c r="AU80" i="167"/>
  <c r="AU83" i="167"/>
  <c r="AU85" i="167"/>
  <c r="AU87" i="167"/>
  <c r="AU90" i="167"/>
  <c r="AV11" i="167"/>
  <c r="AV12" i="167"/>
  <c r="AV9" i="167"/>
  <c r="AV10" i="167"/>
  <c r="AV13" i="167"/>
  <c r="AV15" i="167"/>
  <c r="AV16" i="167"/>
  <c r="AV17" i="167"/>
  <c r="AV19" i="167"/>
  <c r="AV20" i="167"/>
  <c r="AV22" i="167"/>
  <c r="AV23" i="167"/>
  <c r="AV24" i="167"/>
  <c r="AV28" i="167"/>
  <c r="AV34" i="167"/>
  <c r="AV35" i="167"/>
  <c r="AV36" i="167"/>
  <c r="AV38" i="167"/>
  <c r="AV39" i="167"/>
  <c r="AV40" i="167"/>
  <c r="AV42" i="167"/>
  <c r="H112" i="143"/>
  <c r="AV43" i="167"/>
  <c r="H112" i="144"/>
  <c r="AV44" i="167"/>
  <c r="AV45" i="167"/>
  <c r="AV46" i="167"/>
  <c r="AV47" i="167"/>
  <c r="AV49" i="167"/>
  <c r="AV50" i="167"/>
  <c r="AV53" i="167"/>
  <c r="AV54" i="167"/>
  <c r="AV57" i="167"/>
  <c r="AV61" i="167"/>
  <c r="AV63" i="167"/>
  <c r="AV59" i="167"/>
  <c r="AV64" i="167"/>
  <c r="AV66" i="167"/>
  <c r="AV71" i="167"/>
  <c r="AV73" i="167"/>
  <c r="AV74" i="167"/>
  <c r="AV77" i="167"/>
  <c r="AV79" i="167"/>
  <c r="AV80" i="167"/>
  <c r="AV83" i="167"/>
  <c r="AV85" i="167"/>
  <c r="AV87" i="167"/>
  <c r="AV90" i="167"/>
  <c r="AW11" i="167"/>
  <c r="AW12" i="167"/>
  <c r="AW9" i="167"/>
  <c r="AW10" i="167"/>
  <c r="AW13" i="167"/>
  <c r="AW15" i="167"/>
  <c r="AW16" i="167"/>
  <c r="AW17" i="167"/>
  <c r="AW19" i="167"/>
  <c r="AW20" i="167"/>
  <c r="AW22" i="167"/>
  <c r="AW23" i="167"/>
  <c r="AW24" i="167"/>
  <c r="AW28" i="167"/>
  <c r="AW34" i="167"/>
  <c r="H549" i="112"/>
  <c r="AW35" i="167"/>
  <c r="AW36" i="167"/>
  <c r="AW38" i="167"/>
  <c r="AW39" i="167"/>
  <c r="AW40" i="167"/>
  <c r="AW42" i="167"/>
  <c r="AW43" i="167"/>
  <c r="AW44" i="167"/>
  <c r="AW45" i="167"/>
  <c r="AW46" i="167"/>
  <c r="AW47" i="167"/>
  <c r="AW49" i="167"/>
  <c r="AW50" i="167"/>
  <c r="AW53" i="167"/>
  <c r="AW54" i="167"/>
  <c r="AW57" i="167"/>
  <c r="AW61" i="167"/>
  <c r="AW63" i="167"/>
  <c r="AW59" i="167"/>
  <c r="AW64" i="167"/>
  <c r="AW66" i="167"/>
  <c r="AW71" i="167"/>
  <c r="AW73" i="167"/>
  <c r="AW74" i="167"/>
  <c r="AW77" i="167"/>
  <c r="AW79" i="167"/>
  <c r="AW80" i="167"/>
  <c r="AW83" i="167"/>
  <c r="AW85" i="167"/>
  <c r="AW87" i="167"/>
  <c r="AW90" i="167"/>
  <c r="AX11" i="167"/>
  <c r="AX12" i="167"/>
  <c r="AX9" i="167"/>
  <c r="AX10" i="167"/>
  <c r="AX13" i="167"/>
  <c r="AX15" i="167"/>
  <c r="AX16" i="167"/>
  <c r="AX17" i="167"/>
  <c r="AX19" i="167"/>
  <c r="AX20" i="167"/>
  <c r="AX22" i="167"/>
  <c r="AX23" i="167"/>
  <c r="AX24" i="167"/>
  <c r="AX28" i="167"/>
  <c r="H528" i="113"/>
  <c r="AX34" i="167"/>
  <c r="H550" i="112"/>
  <c r="AX35" i="167"/>
  <c r="AX36" i="167"/>
  <c r="AX38" i="167"/>
  <c r="AX39" i="167"/>
  <c r="AX40" i="167"/>
  <c r="AX42" i="167"/>
  <c r="AX43" i="167"/>
  <c r="AX44" i="167"/>
  <c r="AX45" i="167"/>
  <c r="AX46" i="167"/>
  <c r="AX47" i="167"/>
  <c r="AX49" i="167"/>
  <c r="AX50" i="167"/>
  <c r="AX53" i="167"/>
  <c r="AX54" i="167"/>
  <c r="AX57" i="167"/>
  <c r="AX61" i="167"/>
  <c r="AX63" i="167"/>
  <c r="AX59" i="167"/>
  <c r="AX64" i="167"/>
  <c r="AX66" i="167"/>
  <c r="AX71" i="167"/>
  <c r="AX73" i="167"/>
  <c r="AX74" i="167"/>
  <c r="AX77" i="167"/>
  <c r="AX79" i="167"/>
  <c r="AX80" i="167"/>
  <c r="AX83" i="167"/>
  <c r="AX85" i="167"/>
  <c r="AX87" i="167"/>
  <c r="AX90" i="167"/>
  <c r="BA11" i="167"/>
  <c r="BA12" i="167"/>
  <c r="BA9" i="167"/>
  <c r="BA10" i="167"/>
  <c r="BA13" i="167"/>
  <c r="BA15" i="167"/>
  <c r="BA16" i="167"/>
  <c r="BA17" i="167"/>
  <c r="BA19" i="167"/>
  <c r="BA20" i="167"/>
  <c r="BA22" i="167"/>
  <c r="BA23" i="167"/>
  <c r="BA24" i="167"/>
  <c r="BA28" i="167"/>
  <c r="BA34" i="167"/>
  <c r="BA35" i="167"/>
  <c r="BA36" i="167"/>
  <c r="H174" i="46"/>
  <c r="BA38" i="167"/>
  <c r="BA39" i="167"/>
  <c r="BA40" i="167"/>
  <c r="BA42" i="167"/>
  <c r="BA43" i="167"/>
  <c r="BA44" i="167"/>
  <c r="BA45" i="167"/>
  <c r="BA46" i="167"/>
  <c r="BA47" i="167"/>
  <c r="BA49" i="167"/>
  <c r="BA50" i="167"/>
  <c r="H142" i="141"/>
  <c r="BA53" i="167"/>
  <c r="BA54" i="167"/>
  <c r="H168" i="157"/>
  <c r="BA57" i="167"/>
  <c r="H168" i="140"/>
  <c r="BA61" i="167"/>
  <c r="H160" i="139"/>
  <c r="BA59" i="167"/>
  <c r="BA71" i="167"/>
  <c r="BA73" i="167"/>
  <c r="BA74" i="167"/>
  <c r="H423" i="110"/>
  <c r="BA77" i="167"/>
  <c r="BA79" i="167"/>
  <c r="BA80" i="167"/>
  <c r="BA83" i="167"/>
  <c r="BA85" i="167"/>
  <c r="BA87" i="167"/>
  <c r="BB11" i="167"/>
  <c r="BB12" i="167"/>
  <c r="BB9" i="167"/>
  <c r="BB10" i="167"/>
  <c r="BB13" i="167"/>
  <c r="BB15" i="167"/>
  <c r="BB16" i="167"/>
  <c r="BB17" i="167"/>
  <c r="BB19" i="167"/>
  <c r="BB20" i="167"/>
  <c r="BB22" i="167"/>
  <c r="BB23" i="167"/>
  <c r="BB24" i="167"/>
  <c r="BB28" i="167"/>
  <c r="BB34" i="167"/>
  <c r="BB35" i="167"/>
  <c r="BB36" i="167"/>
  <c r="H175" i="46"/>
  <c r="BB38" i="167"/>
  <c r="BB39" i="167"/>
  <c r="BB40" i="167"/>
  <c r="BB42" i="167"/>
  <c r="BB43" i="167"/>
  <c r="BB44" i="167"/>
  <c r="BB45" i="167"/>
  <c r="BB46" i="167"/>
  <c r="BB47" i="167"/>
  <c r="BB49" i="167"/>
  <c r="BB50" i="167"/>
  <c r="H143" i="141"/>
  <c r="BB53" i="167"/>
  <c r="BB54" i="167"/>
  <c r="H169" i="157"/>
  <c r="BB57" i="167"/>
  <c r="H169" i="140"/>
  <c r="BB61" i="167"/>
  <c r="H161" i="139"/>
  <c r="BB59" i="167"/>
  <c r="BB71" i="167"/>
  <c r="BB77" i="167"/>
  <c r="BB79" i="167"/>
  <c r="BB80" i="167"/>
  <c r="P89" i="167"/>
  <c r="AH89" i="167"/>
  <c r="AY89" i="167"/>
  <c r="BC89" i="167"/>
  <c r="BE89" i="167"/>
  <c r="P88" i="167"/>
  <c r="AH88" i="167"/>
  <c r="AY88" i="167"/>
  <c r="BC88" i="167"/>
  <c r="BE88" i="167"/>
  <c r="P87" i="167"/>
  <c r="P86" i="167"/>
  <c r="AH86" i="167"/>
  <c r="AY86" i="167"/>
  <c r="BC86" i="167"/>
  <c r="BE86" i="167"/>
  <c r="CN83" i="167"/>
  <c r="CN84" i="167"/>
  <c r="CN85" i="167"/>
  <c r="P85" i="167"/>
  <c r="D85" i="167"/>
  <c r="CW84" i="167"/>
  <c r="P84" i="167"/>
  <c r="BC84" i="167"/>
  <c r="D84" i="167"/>
  <c r="P83" i="167"/>
  <c r="AY83" i="167"/>
  <c r="D83" i="167"/>
  <c r="CW82" i="167"/>
  <c r="BC82" i="167"/>
  <c r="AY82" i="167"/>
  <c r="P82" i="167"/>
  <c r="CW81" i="167"/>
  <c r="BC81" i="167"/>
  <c r="AY81" i="167"/>
  <c r="AH81" i="167"/>
  <c r="P81" i="167"/>
  <c r="CU77" i="167"/>
  <c r="CU79" i="167"/>
  <c r="CU80" i="167"/>
  <c r="P80" i="167"/>
  <c r="BC80" i="167"/>
  <c r="D80" i="167"/>
  <c r="P79" i="167"/>
  <c r="BC79" i="167"/>
  <c r="D79" i="167"/>
  <c r="CW78" i="167"/>
  <c r="BC78" i="167"/>
  <c r="AX78" i="167"/>
  <c r="AY78" i="167"/>
  <c r="AB76" i="167"/>
  <c r="AB78" i="167"/>
  <c r="AC78" i="167"/>
  <c r="AD78" i="167"/>
  <c r="AE78" i="167"/>
  <c r="AF78" i="167"/>
  <c r="AG78" i="167"/>
  <c r="P78" i="167"/>
  <c r="P77" i="167"/>
  <c r="AH77" i="167"/>
  <c r="AY77" i="167"/>
  <c r="BC77" i="167"/>
  <c r="BE77" i="167"/>
  <c r="D77" i="167"/>
  <c r="CW76" i="167"/>
  <c r="BC76" i="167"/>
  <c r="AX76" i="167"/>
  <c r="AY76" i="167"/>
  <c r="P76" i="167"/>
  <c r="CW75" i="167"/>
  <c r="P75" i="167"/>
  <c r="AH75" i="167"/>
  <c r="AY75" i="167"/>
  <c r="BC75" i="167"/>
  <c r="BE75" i="167"/>
  <c r="CW74" i="167"/>
  <c r="CV74" i="167"/>
  <c r="BG74" i="167"/>
  <c r="BF74" i="167"/>
  <c r="P71" i="167"/>
  <c r="AH71" i="167"/>
  <c r="AY71" i="167"/>
  <c r="BC71" i="167"/>
  <c r="BE71" i="167"/>
  <c r="P73" i="167"/>
  <c r="AY73" i="167"/>
  <c r="BD74" i="167"/>
  <c r="AZ74" i="167"/>
  <c r="AY74" i="167"/>
  <c r="AI74" i="167"/>
  <c r="Q74" i="167"/>
  <c r="P74" i="167"/>
  <c r="D74" i="167"/>
  <c r="D73" i="167"/>
  <c r="BC72" i="167"/>
  <c r="AY72" i="167"/>
  <c r="S72" i="167"/>
  <c r="P72" i="167"/>
  <c r="D71" i="167"/>
  <c r="BC70" i="167"/>
  <c r="AY70" i="167"/>
  <c r="AH70" i="167"/>
  <c r="P70" i="167"/>
  <c r="P69" i="167"/>
  <c r="AH69" i="167"/>
  <c r="AY69" i="167"/>
  <c r="BC69" i="167"/>
  <c r="BE69" i="167"/>
  <c r="P68" i="167"/>
  <c r="AH68" i="167"/>
  <c r="AY68" i="167"/>
  <c r="BC68" i="167"/>
  <c r="BE68" i="167"/>
  <c r="P67" i="167"/>
  <c r="AH67" i="167"/>
  <c r="AY67" i="167"/>
  <c r="BC67" i="167"/>
  <c r="BE67" i="167"/>
  <c r="AY66" i="167"/>
  <c r="P65" i="167"/>
  <c r="AH65" i="167"/>
  <c r="AY65" i="167"/>
  <c r="BC65" i="167"/>
  <c r="BE65" i="167"/>
  <c r="BG64" i="167"/>
  <c r="BF64" i="167"/>
  <c r="P57" i="167"/>
  <c r="AH57" i="167"/>
  <c r="AY57" i="167"/>
  <c r="BC57" i="167"/>
  <c r="BE57" i="167"/>
  <c r="P61" i="167"/>
  <c r="AH61" i="167"/>
  <c r="AY61" i="167"/>
  <c r="BC61" i="167"/>
  <c r="BE61" i="167"/>
  <c r="P63" i="167"/>
  <c r="AY63" i="167"/>
  <c r="P59" i="167"/>
  <c r="AH59" i="167"/>
  <c r="AY59" i="167"/>
  <c r="BC59" i="167"/>
  <c r="BE59" i="167"/>
  <c r="BD64" i="167"/>
  <c r="AZ64" i="167"/>
  <c r="AY64" i="167"/>
  <c r="AI64" i="167"/>
  <c r="Q64" i="167"/>
  <c r="P64" i="167"/>
  <c r="D64" i="167"/>
  <c r="D63" i="167"/>
  <c r="CW62" i="167"/>
  <c r="BC62" i="167"/>
  <c r="AY62" i="167"/>
  <c r="P62" i="167"/>
  <c r="CW61" i="167"/>
  <c r="D61" i="167"/>
  <c r="CW60" i="167"/>
  <c r="BC60" i="167"/>
  <c r="AY60" i="167"/>
  <c r="P60" i="167"/>
  <c r="CW59" i="167"/>
  <c r="D59" i="167"/>
  <c r="BC58" i="167"/>
  <c r="AY58" i="167"/>
  <c r="P58" i="167"/>
  <c r="CW57" i="167"/>
  <c r="D57" i="167"/>
  <c r="CW56" i="167"/>
  <c r="BC56" i="167"/>
  <c r="AY56" i="167"/>
  <c r="P56" i="167"/>
  <c r="CW55" i="167"/>
  <c r="P55" i="167"/>
  <c r="AH55" i="167"/>
  <c r="AY55" i="167"/>
  <c r="BC55" i="167"/>
  <c r="BE55" i="167"/>
  <c r="P54" i="167"/>
  <c r="AH54" i="167"/>
  <c r="AY54" i="167"/>
  <c r="BC54" i="167"/>
  <c r="BE54" i="167"/>
  <c r="D54" i="167"/>
  <c r="CW53" i="167"/>
  <c r="P53" i="167"/>
  <c r="AH53" i="167"/>
  <c r="AY53" i="167"/>
  <c r="BC53" i="167"/>
  <c r="BE53" i="167"/>
  <c r="D53" i="167"/>
  <c r="CW52" i="167"/>
  <c r="BC52" i="167"/>
  <c r="AY52" i="167"/>
  <c r="P52" i="167"/>
  <c r="CW51" i="167"/>
  <c r="BC51" i="167"/>
  <c r="AY51" i="167"/>
  <c r="AH51" i="167"/>
  <c r="P51" i="167"/>
  <c r="P50" i="167"/>
  <c r="AH50" i="167"/>
  <c r="AY50" i="167"/>
  <c r="BC50" i="167"/>
  <c r="BE50" i="167"/>
  <c r="D50" i="167"/>
  <c r="CW49" i="167"/>
  <c r="P49" i="167"/>
  <c r="AH49" i="167"/>
  <c r="AY49" i="167"/>
  <c r="BC49" i="167"/>
  <c r="BE49" i="167"/>
  <c r="D49" i="167"/>
  <c r="CW48" i="167"/>
  <c r="BC48" i="167"/>
  <c r="AY48" i="167"/>
  <c r="AH48" i="167"/>
  <c r="P48" i="167"/>
  <c r="P47" i="167"/>
  <c r="AH47" i="167"/>
  <c r="AY47" i="167"/>
  <c r="BC47" i="167"/>
  <c r="BE47" i="167"/>
  <c r="D47" i="167"/>
  <c r="CW46" i="167"/>
  <c r="P46" i="167"/>
  <c r="AH46" i="167"/>
  <c r="AY46" i="167"/>
  <c r="BC46" i="167"/>
  <c r="BE46" i="167"/>
  <c r="D46" i="167"/>
  <c r="CW45" i="167"/>
  <c r="P45" i="167"/>
  <c r="AH45" i="167"/>
  <c r="AY45" i="167"/>
  <c r="BC45" i="167"/>
  <c r="BE45" i="167"/>
  <c r="D45" i="167"/>
  <c r="CW44" i="167"/>
  <c r="P44" i="167"/>
  <c r="AH44" i="167"/>
  <c r="AY44" i="167"/>
  <c r="BC44" i="167"/>
  <c r="BE44" i="167"/>
  <c r="D44" i="167"/>
  <c r="CW43" i="167"/>
  <c r="P43" i="167"/>
  <c r="AH43" i="167"/>
  <c r="AY43" i="167"/>
  <c r="BC43" i="167"/>
  <c r="BE43" i="167"/>
  <c r="D43" i="167"/>
  <c r="CW42" i="167"/>
  <c r="P42" i="167"/>
  <c r="AH42" i="167"/>
  <c r="AY42" i="167"/>
  <c r="BC42" i="167"/>
  <c r="BE42" i="167"/>
  <c r="D42" i="167"/>
  <c r="CW41" i="167"/>
  <c r="P41" i="167"/>
  <c r="AH41" i="167"/>
  <c r="AY41" i="167"/>
  <c r="BC41" i="167"/>
  <c r="BE41" i="167"/>
  <c r="CW40" i="167"/>
  <c r="P40" i="167"/>
  <c r="AH40" i="167"/>
  <c r="AY40" i="167"/>
  <c r="BC40" i="167"/>
  <c r="BE40" i="167"/>
  <c r="D40" i="167"/>
  <c r="CW39" i="167"/>
  <c r="BC39" i="167"/>
  <c r="AY39" i="167"/>
  <c r="AH39" i="167"/>
  <c r="P39" i="167"/>
  <c r="D39" i="167"/>
  <c r="CW38" i="167"/>
  <c r="P38" i="167"/>
  <c r="AH38" i="167"/>
  <c r="AY38" i="167"/>
  <c r="BC38" i="167"/>
  <c r="BE38" i="167"/>
  <c r="D38" i="167"/>
  <c r="CW37" i="167"/>
  <c r="P37" i="167"/>
  <c r="AH37" i="167"/>
  <c r="AY37" i="167"/>
  <c r="BC37" i="167"/>
  <c r="BE37" i="167"/>
  <c r="AY36" i="167"/>
  <c r="BC36" i="167"/>
  <c r="D36" i="167"/>
  <c r="AY35" i="167"/>
  <c r="BC35" i="167"/>
  <c r="D35" i="167"/>
  <c r="CW34" i="167"/>
  <c r="BC34" i="167"/>
  <c r="AY34" i="167"/>
  <c r="AH34" i="167"/>
  <c r="P34" i="167"/>
  <c r="D34" i="167"/>
  <c r="CW33" i="167"/>
  <c r="P33" i="167"/>
  <c r="AH33" i="167"/>
  <c r="AY33" i="167"/>
  <c r="BC33" i="167"/>
  <c r="BE33" i="167"/>
  <c r="CW32" i="167"/>
  <c r="P32" i="167"/>
  <c r="AH32" i="167"/>
  <c r="AY32" i="167"/>
  <c r="BC32" i="167"/>
  <c r="BE32" i="167"/>
  <c r="P31" i="167"/>
  <c r="AH31" i="167"/>
  <c r="AY31" i="167"/>
  <c r="BC31" i="167"/>
  <c r="BE31" i="167"/>
  <c r="P30" i="167"/>
  <c r="AH30" i="167"/>
  <c r="AY30" i="167"/>
  <c r="BC30" i="167"/>
  <c r="BE30" i="167"/>
  <c r="P29" i="167"/>
  <c r="AH29" i="167"/>
  <c r="AY29" i="167"/>
  <c r="BC29" i="167"/>
  <c r="BE29" i="167"/>
  <c r="AY13" i="167"/>
  <c r="AY17" i="167"/>
  <c r="AY20" i="167"/>
  <c r="AY22" i="167"/>
  <c r="AY23" i="167"/>
  <c r="AY24" i="167"/>
  <c r="AY28" i="167"/>
  <c r="BC28" i="167"/>
  <c r="BD28" i="167"/>
  <c r="AZ24" i="167"/>
  <c r="AZ28" i="167"/>
  <c r="Q24" i="167"/>
  <c r="Q28" i="167"/>
  <c r="P27" i="167"/>
  <c r="AH27" i="167"/>
  <c r="AY27" i="167"/>
  <c r="BC27" i="167"/>
  <c r="BE27" i="167"/>
  <c r="CW26" i="167"/>
  <c r="P26" i="167"/>
  <c r="AH26" i="167"/>
  <c r="AY26" i="167"/>
  <c r="BC26" i="167"/>
  <c r="BE26" i="167"/>
  <c r="CW25" i="167"/>
  <c r="P25" i="167"/>
  <c r="AH25" i="167"/>
  <c r="AY25" i="167"/>
  <c r="BC25" i="167"/>
  <c r="BE25" i="167"/>
  <c r="CV24" i="167"/>
  <c r="P23" i="167"/>
  <c r="BC24" i="167"/>
  <c r="D24" i="167"/>
  <c r="CW23" i="167"/>
  <c r="AH23" i="167"/>
  <c r="BC23" i="167"/>
  <c r="BE23" i="167"/>
  <c r="D23" i="167"/>
  <c r="BC22" i="167"/>
  <c r="D22" i="167"/>
  <c r="CW21" i="167"/>
  <c r="P21" i="167"/>
  <c r="AH21" i="167"/>
  <c r="AY21" i="167"/>
  <c r="BC21" i="167"/>
  <c r="BE21" i="167"/>
  <c r="P20" i="167"/>
  <c r="AH20" i="167"/>
  <c r="BC20" i="167"/>
  <c r="BE20" i="167"/>
  <c r="D20" i="167"/>
  <c r="P19" i="167"/>
  <c r="AH19" i="167"/>
  <c r="AY19" i="167"/>
  <c r="BC19" i="167"/>
  <c r="BE19" i="167"/>
  <c r="D19" i="167"/>
  <c r="CW18" i="167"/>
  <c r="P18" i="167"/>
  <c r="AH18" i="167"/>
  <c r="AY18" i="167"/>
  <c r="BC18" i="167"/>
  <c r="BE18" i="167"/>
  <c r="P17" i="167"/>
  <c r="AH17" i="167"/>
  <c r="BC17" i="167"/>
  <c r="BE17" i="167"/>
  <c r="D17" i="167"/>
  <c r="P16" i="167"/>
  <c r="AH16" i="167"/>
  <c r="AY16" i="167"/>
  <c r="BC16" i="167"/>
  <c r="BE16" i="167"/>
  <c r="D16" i="167"/>
  <c r="P15" i="167"/>
  <c r="AH15" i="167"/>
  <c r="AY15" i="167"/>
  <c r="BC15" i="167"/>
  <c r="BE15" i="167"/>
  <c r="D15" i="167"/>
  <c r="CW14" i="167"/>
  <c r="P14" i="167"/>
  <c r="AH14" i="167"/>
  <c r="AY14" i="167"/>
  <c r="BC14" i="167"/>
  <c r="BE14" i="167"/>
  <c r="CW13" i="167"/>
  <c r="P13" i="167"/>
  <c r="AH13" i="167"/>
  <c r="BC13" i="167"/>
  <c r="BE13" i="167"/>
  <c r="D13" i="167"/>
  <c r="P12" i="167"/>
  <c r="AH12" i="167"/>
  <c r="AY12" i="167"/>
  <c r="BC12" i="167"/>
  <c r="BE12" i="167"/>
  <c r="P11" i="167"/>
  <c r="AH11" i="167"/>
  <c r="AY11" i="167"/>
  <c r="BC11" i="167"/>
  <c r="BE11" i="167"/>
  <c r="D11" i="167"/>
  <c r="P10" i="167"/>
  <c r="AH10" i="167"/>
  <c r="AY10" i="167"/>
  <c r="BC10" i="167"/>
  <c r="BE10" i="167"/>
  <c r="P9" i="167"/>
  <c r="AH9" i="167"/>
  <c r="AY9" i="167"/>
  <c r="BC9" i="167"/>
  <c r="BE9" i="167"/>
  <c r="D9" i="167"/>
  <c r="CR4" i="167"/>
  <c r="CN4" i="167"/>
  <c r="CJ4" i="167"/>
  <c r="CF4" i="167"/>
  <c r="CB4" i="167"/>
  <c r="BX4" i="167"/>
  <c r="BT4" i="167"/>
  <c r="BP4" i="167"/>
  <c r="BL4" i="167"/>
  <c r="BH4" i="167"/>
  <c r="BE4" i="167"/>
  <c r="BB4" i="167"/>
  <c r="BA4" i="167"/>
  <c r="AX4" i="167"/>
  <c r="AW4" i="167"/>
  <c r="AV4" i="167"/>
  <c r="AU4" i="167"/>
  <c r="AT4" i="167"/>
  <c r="AS4" i="167"/>
  <c r="AR4" i="167"/>
  <c r="AQ4" i="167"/>
  <c r="AP4" i="167"/>
  <c r="AO4" i="167"/>
  <c r="AN4" i="167"/>
  <c r="AM4" i="167"/>
  <c r="AL4" i="167"/>
  <c r="AK4" i="167"/>
  <c r="AJ4" i="167"/>
  <c r="AG4" i="167"/>
  <c r="AF4" i="167"/>
  <c r="AE4" i="167"/>
  <c r="AD4" i="167"/>
  <c r="AC4" i="167"/>
  <c r="AB4" i="167"/>
  <c r="AA4" i="167"/>
  <c r="Z4" i="167"/>
  <c r="Y4" i="167"/>
  <c r="X4" i="167"/>
  <c r="W4" i="167"/>
  <c r="V4" i="167"/>
  <c r="U4" i="167"/>
  <c r="T4" i="167"/>
  <c r="S4" i="167"/>
  <c r="R4" i="167"/>
  <c r="O4" i="167"/>
  <c r="N4" i="167"/>
  <c r="M4" i="167"/>
  <c r="L4" i="167"/>
  <c r="K4" i="167"/>
  <c r="J4" i="167"/>
  <c r="I4" i="167"/>
  <c r="H4" i="167"/>
  <c r="G4" i="167"/>
  <c r="E3" i="167"/>
  <c r="CO42" i="166"/>
  <c r="CO43" i="166"/>
  <c r="CO44" i="166"/>
  <c r="CO45" i="166"/>
  <c r="CO46" i="166"/>
  <c r="CO47" i="166"/>
  <c r="CP42" i="166"/>
  <c r="CP43" i="166"/>
  <c r="CP44" i="166"/>
  <c r="CP45" i="166"/>
  <c r="CP46" i="166"/>
  <c r="CP47" i="166"/>
  <c r="CQ42" i="166"/>
  <c r="CQ43" i="166"/>
  <c r="CQ44" i="166"/>
  <c r="CQ45" i="166"/>
  <c r="CQ46" i="166"/>
  <c r="CQ47" i="166"/>
  <c r="CW47" i="166"/>
  <c r="CO49" i="166"/>
  <c r="CO50" i="166"/>
  <c r="CP49" i="166"/>
  <c r="CP50" i="166"/>
  <c r="CQ49" i="166"/>
  <c r="CQ50" i="166"/>
  <c r="CW50" i="166"/>
  <c r="CO53" i="166"/>
  <c r="CO54" i="166"/>
  <c r="CP53" i="166"/>
  <c r="CP54" i="166"/>
  <c r="CQ53" i="166"/>
  <c r="CQ54" i="166"/>
  <c r="CW54" i="166"/>
  <c r="CO57" i="166"/>
  <c r="CO61" i="166"/>
  <c r="CO63" i="166"/>
  <c r="CO59" i="166"/>
  <c r="CO64" i="166"/>
  <c r="CP57" i="166"/>
  <c r="CP61" i="166"/>
  <c r="CP63" i="166"/>
  <c r="CP59" i="166"/>
  <c r="CP64" i="166"/>
  <c r="CQ57" i="166"/>
  <c r="CQ61" i="166"/>
  <c r="CQ63" i="166"/>
  <c r="CQ59" i="166"/>
  <c r="CQ64" i="166"/>
  <c r="S83" i="166"/>
  <c r="R63" i="166"/>
  <c r="R64" i="166"/>
  <c r="CO11" i="166"/>
  <c r="CO12" i="166"/>
  <c r="CO9" i="166"/>
  <c r="CO10" i="166"/>
  <c r="CO13" i="166"/>
  <c r="CO15" i="166"/>
  <c r="CO16" i="166"/>
  <c r="CO17" i="166"/>
  <c r="CO19" i="166"/>
  <c r="CO20" i="166"/>
  <c r="CO22" i="166"/>
  <c r="CO23" i="166"/>
  <c r="CO24" i="166"/>
  <c r="CO28" i="166"/>
  <c r="CO34" i="166"/>
  <c r="CO35" i="166"/>
  <c r="CO36" i="166"/>
  <c r="CO38" i="166"/>
  <c r="CO39" i="166"/>
  <c r="CO40" i="166"/>
  <c r="CO66" i="166"/>
  <c r="CO71" i="166"/>
  <c r="CO73" i="166"/>
  <c r="CO74" i="166"/>
  <c r="CO77" i="166"/>
  <c r="CO79" i="166"/>
  <c r="CO80" i="166"/>
  <c r="CO83" i="166"/>
  <c r="CO84" i="166"/>
  <c r="CO85" i="166"/>
  <c r="CO87" i="166"/>
  <c r="CO90" i="166"/>
  <c r="CP11" i="166"/>
  <c r="CP12" i="166"/>
  <c r="CP9" i="166"/>
  <c r="CP10" i="166"/>
  <c r="CP13" i="166"/>
  <c r="CP15" i="166"/>
  <c r="CP16" i="166"/>
  <c r="CP17" i="166"/>
  <c r="CP19" i="166"/>
  <c r="CP20" i="166"/>
  <c r="CP22" i="166"/>
  <c r="CP23" i="166"/>
  <c r="CP24" i="166"/>
  <c r="CP28" i="166"/>
  <c r="CP34" i="166"/>
  <c r="CP35" i="166"/>
  <c r="CP36" i="166"/>
  <c r="CP38" i="166"/>
  <c r="CP39" i="166"/>
  <c r="CP40" i="166"/>
  <c r="CP66" i="166"/>
  <c r="CP71" i="166"/>
  <c r="CP73" i="166"/>
  <c r="CP74" i="166"/>
  <c r="CP77" i="166"/>
  <c r="CP79" i="166"/>
  <c r="CP80" i="166"/>
  <c r="CP83" i="166"/>
  <c r="CP84" i="166"/>
  <c r="CP85" i="166"/>
  <c r="CP87" i="166"/>
  <c r="CP90" i="166"/>
  <c r="CQ11" i="166"/>
  <c r="CQ12" i="166"/>
  <c r="CQ9" i="166"/>
  <c r="CQ10" i="166"/>
  <c r="CQ13" i="166"/>
  <c r="CQ15" i="166"/>
  <c r="CQ16" i="166"/>
  <c r="CQ17" i="166"/>
  <c r="CQ19" i="166"/>
  <c r="CQ20" i="166"/>
  <c r="CQ22" i="166"/>
  <c r="CQ23" i="166"/>
  <c r="CQ24" i="166"/>
  <c r="CQ28" i="166"/>
  <c r="CQ34" i="166"/>
  <c r="CQ35" i="166"/>
  <c r="CQ36" i="166"/>
  <c r="CQ38" i="166"/>
  <c r="CQ39" i="166"/>
  <c r="CQ40" i="166"/>
  <c r="CQ66" i="166"/>
  <c r="CQ71" i="166"/>
  <c r="CQ73" i="166"/>
  <c r="CQ74" i="166"/>
  <c r="CQ77" i="166"/>
  <c r="CQ79" i="166"/>
  <c r="CQ80" i="166"/>
  <c r="CQ83" i="166"/>
  <c r="CQ84" i="166"/>
  <c r="CQ85" i="166"/>
  <c r="CQ87" i="166"/>
  <c r="CQ90" i="166"/>
  <c r="G110" i="138"/>
  <c r="G11" i="166"/>
  <c r="G12" i="166"/>
  <c r="G134" i="137"/>
  <c r="G9" i="166"/>
  <c r="G10" i="166"/>
  <c r="G13" i="166"/>
  <c r="G15" i="166"/>
  <c r="G16" i="166"/>
  <c r="G17" i="166"/>
  <c r="G19" i="166"/>
  <c r="G20" i="166"/>
  <c r="G22" i="166"/>
  <c r="G23" i="166"/>
  <c r="G24" i="166"/>
  <c r="G28" i="166"/>
  <c r="G34" i="166"/>
  <c r="G35" i="166"/>
  <c r="G36" i="166"/>
  <c r="G38" i="166"/>
  <c r="G39" i="166"/>
  <c r="G40" i="166"/>
  <c r="G42" i="166"/>
  <c r="G43" i="166"/>
  <c r="G44" i="166"/>
  <c r="G45" i="166"/>
  <c r="G46" i="166"/>
  <c r="G47" i="166"/>
  <c r="G49" i="166"/>
  <c r="G50" i="166"/>
  <c r="G53" i="166"/>
  <c r="G54" i="166"/>
  <c r="G57" i="166"/>
  <c r="G61" i="166"/>
  <c r="G63" i="166"/>
  <c r="G59" i="166"/>
  <c r="G64" i="166"/>
  <c r="G66" i="166"/>
  <c r="G71" i="166"/>
  <c r="G73" i="166"/>
  <c r="G74" i="166"/>
  <c r="G77" i="166"/>
  <c r="G79" i="166"/>
  <c r="G80" i="166"/>
  <c r="G83" i="166"/>
  <c r="G85" i="166"/>
  <c r="G87" i="166"/>
  <c r="G90" i="166"/>
  <c r="H11" i="166"/>
  <c r="H12" i="166"/>
  <c r="H9" i="166"/>
  <c r="H10" i="166"/>
  <c r="H13" i="166"/>
  <c r="G193" i="49"/>
  <c r="H15" i="166"/>
  <c r="G155" i="62"/>
  <c r="H16" i="166"/>
  <c r="H17" i="166"/>
  <c r="H19" i="166"/>
  <c r="H20" i="166"/>
  <c r="H22" i="166"/>
  <c r="H23" i="166"/>
  <c r="H24" i="166"/>
  <c r="H28" i="166"/>
  <c r="H34" i="166"/>
  <c r="H35" i="166"/>
  <c r="H36" i="166"/>
  <c r="H38" i="166"/>
  <c r="H39" i="166"/>
  <c r="H40" i="166"/>
  <c r="H42" i="166"/>
  <c r="H43" i="166"/>
  <c r="H44" i="166"/>
  <c r="H45" i="166"/>
  <c r="H46" i="166"/>
  <c r="H47" i="166"/>
  <c r="H49" i="166"/>
  <c r="H50" i="166"/>
  <c r="H53" i="166"/>
  <c r="H54" i="166"/>
  <c r="H57" i="166"/>
  <c r="H61" i="166"/>
  <c r="H63" i="166"/>
  <c r="H59" i="166"/>
  <c r="H64" i="166"/>
  <c r="H66" i="166"/>
  <c r="H71" i="166"/>
  <c r="H73" i="166"/>
  <c r="H74" i="166"/>
  <c r="H77" i="166"/>
  <c r="H79" i="166"/>
  <c r="H80" i="166"/>
  <c r="H83" i="166"/>
  <c r="H85" i="166"/>
  <c r="H87" i="166"/>
  <c r="H90" i="166"/>
  <c r="I11" i="166"/>
  <c r="I12" i="166"/>
  <c r="I9" i="166"/>
  <c r="I10" i="166"/>
  <c r="I13" i="166"/>
  <c r="G194" i="49"/>
  <c r="I15" i="166"/>
  <c r="G156" i="62"/>
  <c r="I16" i="166"/>
  <c r="I17" i="166"/>
  <c r="I19" i="166"/>
  <c r="I20" i="166"/>
  <c r="I22" i="166"/>
  <c r="I23" i="166"/>
  <c r="I24" i="166"/>
  <c r="I28" i="166"/>
  <c r="I34" i="166"/>
  <c r="I35" i="166"/>
  <c r="I36" i="166"/>
  <c r="I38" i="166"/>
  <c r="I39" i="166"/>
  <c r="I40" i="166"/>
  <c r="I42" i="166"/>
  <c r="I43" i="166"/>
  <c r="I44" i="166"/>
  <c r="I45" i="166"/>
  <c r="I46" i="166"/>
  <c r="I47" i="166"/>
  <c r="I49" i="166"/>
  <c r="I50" i="166"/>
  <c r="I53" i="166"/>
  <c r="I54" i="166"/>
  <c r="I57" i="166"/>
  <c r="I61" i="166"/>
  <c r="I63" i="166"/>
  <c r="I59" i="166"/>
  <c r="I64" i="166"/>
  <c r="I66" i="166"/>
  <c r="I71" i="166"/>
  <c r="I73" i="166"/>
  <c r="I74" i="166"/>
  <c r="I77" i="166"/>
  <c r="I79" i="166"/>
  <c r="I80" i="166"/>
  <c r="I83" i="166"/>
  <c r="I85" i="166"/>
  <c r="I87" i="166"/>
  <c r="I90" i="166"/>
  <c r="J11" i="166"/>
  <c r="J12" i="166"/>
  <c r="J9" i="166"/>
  <c r="J10" i="166"/>
  <c r="J13" i="166"/>
  <c r="J15" i="166"/>
  <c r="J16" i="166"/>
  <c r="J17" i="166"/>
  <c r="G441" i="39"/>
  <c r="J19" i="166"/>
  <c r="J20" i="166"/>
  <c r="J22" i="166"/>
  <c r="J23" i="166"/>
  <c r="J24" i="166"/>
  <c r="J28" i="166"/>
  <c r="J34" i="166"/>
  <c r="J38" i="166"/>
  <c r="G212" i="48"/>
  <c r="J39" i="166"/>
  <c r="J40" i="166"/>
  <c r="J42" i="166"/>
  <c r="J43" i="166"/>
  <c r="J44" i="166"/>
  <c r="J45" i="166"/>
  <c r="J46" i="166"/>
  <c r="J47" i="166"/>
  <c r="J49" i="166"/>
  <c r="J50" i="166"/>
  <c r="J53" i="166"/>
  <c r="J54" i="166"/>
  <c r="J57" i="166"/>
  <c r="J61" i="166"/>
  <c r="J63" i="166"/>
  <c r="J59" i="166"/>
  <c r="J64" i="166"/>
  <c r="J71" i="166"/>
  <c r="J73" i="166"/>
  <c r="J74" i="166"/>
  <c r="J77" i="166"/>
  <c r="J79" i="166"/>
  <c r="J80" i="166"/>
  <c r="J83" i="166"/>
  <c r="J85" i="166"/>
  <c r="J87" i="166"/>
  <c r="K11" i="166"/>
  <c r="K12" i="166"/>
  <c r="K9" i="166"/>
  <c r="K10" i="166"/>
  <c r="K13" i="166"/>
  <c r="K15" i="166"/>
  <c r="K16" i="166"/>
  <c r="K17" i="166"/>
  <c r="K19" i="166"/>
  <c r="K20" i="166"/>
  <c r="G436" i="41"/>
  <c r="K23" i="166"/>
  <c r="K34" i="166"/>
  <c r="K35" i="166"/>
  <c r="K36" i="166"/>
  <c r="K38" i="166"/>
  <c r="K39" i="166"/>
  <c r="K40" i="166"/>
  <c r="K42" i="166"/>
  <c r="K43" i="166"/>
  <c r="K44" i="166"/>
  <c r="K45" i="166"/>
  <c r="K46" i="166"/>
  <c r="K47" i="166"/>
  <c r="K49" i="166"/>
  <c r="K50" i="166"/>
  <c r="K53" i="166"/>
  <c r="K54" i="166"/>
  <c r="K57" i="166"/>
  <c r="K61" i="166"/>
  <c r="K63" i="166"/>
  <c r="K59" i="166"/>
  <c r="K64" i="166"/>
  <c r="K66" i="166"/>
  <c r="K71" i="166"/>
  <c r="K73" i="166"/>
  <c r="K74" i="166"/>
  <c r="K77" i="166"/>
  <c r="K79" i="166"/>
  <c r="K80" i="166"/>
  <c r="K83" i="166"/>
  <c r="K85" i="166"/>
  <c r="K87" i="166"/>
  <c r="L11" i="166"/>
  <c r="L12" i="166"/>
  <c r="L9" i="166"/>
  <c r="L10" i="166"/>
  <c r="L13" i="166"/>
  <c r="L15" i="166"/>
  <c r="L16" i="166"/>
  <c r="L17" i="166"/>
  <c r="L19" i="166"/>
  <c r="L20" i="166"/>
  <c r="G437" i="41"/>
  <c r="L23" i="166"/>
  <c r="L34" i="166"/>
  <c r="L35" i="166"/>
  <c r="L36" i="166"/>
  <c r="L38" i="166"/>
  <c r="L39" i="166"/>
  <c r="L40" i="166"/>
  <c r="L42" i="166"/>
  <c r="L43" i="166"/>
  <c r="L44" i="166"/>
  <c r="L45" i="166"/>
  <c r="L46" i="166"/>
  <c r="L47" i="166"/>
  <c r="L49" i="166"/>
  <c r="L50" i="166"/>
  <c r="L53" i="166"/>
  <c r="L54" i="166"/>
  <c r="L57" i="166"/>
  <c r="L61" i="166"/>
  <c r="L63" i="166"/>
  <c r="L59" i="166"/>
  <c r="L64" i="166"/>
  <c r="L66" i="166"/>
  <c r="L71" i="166"/>
  <c r="L73" i="166"/>
  <c r="L74" i="166"/>
  <c r="L77" i="166"/>
  <c r="L79" i="166"/>
  <c r="L80" i="166"/>
  <c r="L83" i="166"/>
  <c r="L85" i="166"/>
  <c r="L87" i="166"/>
  <c r="M11" i="166"/>
  <c r="M12" i="166"/>
  <c r="M9" i="166"/>
  <c r="M10" i="166"/>
  <c r="M13" i="166"/>
  <c r="M15" i="166"/>
  <c r="M16" i="166"/>
  <c r="M17" i="166"/>
  <c r="M19" i="166"/>
  <c r="M20" i="166"/>
  <c r="M23" i="166"/>
  <c r="M34" i="166"/>
  <c r="M35" i="166"/>
  <c r="M36" i="166"/>
  <c r="M38" i="166"/>
  <c r="M39" i="166"/>
  <c r="M40" i="166"/>
  <c r="M42" i="166"/>
  <c r="M43" i="166"/>
  <c r="M44" i="166"/>
  <c r="M45" i="166"/>
  <c r="M46" i="166"/>
  <c r="M47" i="166"/>
  <c r="M49" i="166"/>
  <c r="M50" i="166"/>
  <c r="M53" i="166"/>
  <c r="M54" i="166"/>
  <c r="M57" i="166"/>
  <c r="M61" i="166"/>
  <c r="M63" i="166"/>
  <c r="M59" i="166"/>
  <c r="M64" i="166"/>
  <c r="M66" i="166"/>
  <c r="M71" i="166"/>
  <c r="M73" i="166"/>
  <c r="M74" i="166"/>
  <c r="M77" i="166"/>
  <c r="M79" i="166"/>
  <c r="M80" i="166"/>
  <c r="M83" i="166"/>
  <c r="M85" i="166"/>
  <c r="M87" i="166"/>
  <c r="N11" i="166"/>
  <c r="N12" i="166"/>
  <c r="N9" i="166"/>
  <c r="N10" i="166"/>
  <c r="N13" i="166"/>
  <c r="N15" i="166"/>
  <c r="N16" i="166"/>
  <c r="N17" i="166"/>
  <c r="N19" i="166"/>
  <c r="N20" i="166"/>
  <c r="N22" i="166"/>
  <c r="G438" i="41"/>
  <c r="N23" i="166"/>
  <c r="N24" i="166"/>
  <c r="N28" i="166"/>
  <c r="N34" i="166"/>
  <c r="N35" i="166"/>
  <c r="N36" i="166"/>
  <c r="N38" i="166"/>
  <c r="N39" i="166"/>
  <c r="N40" i="166"/>
  <c r="N42" i="166"/>
  <c r="N43" i="166"/>
  <c r="N44" i="166"/>
  <c r="N45" i="166"/>
  <c r="N46" i="166"/>
  <c r="N47" i="166"/>
  <c r="N49" i="166"/>
  <c r="N50" i="166"/>
  <c r="N53" i="166"/>
  <c r="N54" i="166"/>
  <c r="N57" i="166"/>
  <c r="N61" i="166"/>
  <c r="N63" i="166"/>
  <c r="N59" i="166"/>
  <c r="N64" i="166"/>
  <c r="N66" i="166"/>
  <c r="N71" i="166"/>
  <c r="N73" i="166"/>
  <c r="N74" i="166"/>
  <c r="N77" i="166"/>
  <c r="N79" i="166"/>
  <c r="N80" i="166"/>
  <c r="N83" i="166"/>
  <c r="N85" i="166"/>
  <c r="N87" i="166"/>
  <c r="N90" i="166"/>
  <c r="O11" i="166"/>
  <c r="O12" i="166"/>
  <c r="O9" i="166"/>
  <c r="O10" i="166"/>
  <c r="O13" i="166"/>
  <c r="O15" i="166"/>
  <c r="O16" i="166"/>
  <c r="O17" i="166"/>
  <c r="O19" i="166"/>
  <c r="O20" i="166"/>
  <c r="O22" i="166"/>
  <c r="G439" i="41"/>
  <c r="O23" i="166"/>
  <c r="O24" i="166"/>
  <c r="O28" i="166"/>
  <c r="O34" i="166"/>
  <c r="O35" i="166"/>
  <c r="O36" i="166"/>
  <c r="O38" i="166"/>
  <c r="O39" i="166"/>
  <c r="O40" i="166"/>
  <c r="O42" i="166"/>
  <c r="O43" i="166"/>
  <c r="O44" i="166"/>
  <c r="O45" i="166"/>
  <c r="O46" i="166"/>
  <c r="O47" i="166"/>
  <c r="O49" i="166"/>
  <c r="O50" i="166"/>
  <c r="O53" i="166"/>
  <c r="O54" i="166"/>
  <c r="O57" i="166"/>
  <c r="O61" i="166"/>
  <c r="O63" i="166"/>
  <c r="O59" i="166"/>
  <c r="O64" i="166"/>
  <c r="O66" i="166"/>
  <c r="O71" i="166"/>
  <c r="O73" i="166"/>
  <c r="O74" i="166"/>
  <c r="O77" i="166"/>
  <c r="O79" i="166"/>
  <c r="O80" i="166"/>
  <c r="O83" i="166"/>
  <c r="O85" i="166"/>
  <c r="O87" i="166"/>
  <c r="O90" i="166"/>
  <c r="R83" i="166"/>
  <c r="R85" i="166"/>
  <c r="R87" i="166"/>
  <c r="AA11" i="166"/>
  <c r="AA12" i="166"/>
  <c r="AA9" i="166"/>
  <c r="AA10" i="166"/>
  <c r="AA13" i="166"/>
  <c r="AA15" i="166"/>
  <c r="AA16" i="166"/>
  <c r="AA17" i="166"/>
  <c r="AA19" i="166"/>
  <c r="AA20" i="166"/>
  <c r="AA22" i="166"/>
  <c r="AA23" i="166"/>
  <c r="AA24" i="166"/>
  <c r="AA28" i="166"/>
  <c r="AA34" i="166"/>
  <c r="AA35" i="166"/>
  <c r="AA36" i="166"/>
  <c r="AA38" i="166"/>
  <c r="AA39" i="166"/>
  <c r="AA40" i="166"/>
  <c r="AA42" i="166"/>
  <c r="AA43" i="166"/>
  <c r="AA44" i="166"/>
  <c r="AA45" i="166"/>
  <c r="AA46" i="166"/>
  <c r="AA47" i="166"/>
  <c r="AA49" i="166"/>
  <c r="AA50" i="166"/>
  <c r="AA53" i="166"/>
  <c r="AA54" i="166"/>
  <c r="AA57" i="166"/>
  <c r="AA61" i="166"/>
  <c r="AA63" i="166"/>
  <c r="AA59" i="166"/>
  <c r="AA64" i="166"/>
  <c r="AA66" i="166"/>
  <c r="AA71" i="166"/>
  <c r="AA73" i="166"/>
  <c r="AA74" i="166"/>
  <c r="AA77" i="166"/>
  <c r="AA79" i="166"/>
  <c r="AA80" i="166"/>
  <c r="AA83" i="166"/>
  <c r="AA85" i="166"/>
  <c r="AA87" i="166"/>
  <c r="AA90" i="166"/>
  <c r="AB11" i="166"/>
  <c r="AB12" i="166"/>
  <c r="AB9" i="166"/>
  <c r="AB10" i="166"/>
  <c r="AB13" i="166"/>
  <c r="AB15" i="166"/>
  <c r="AB16" i="166"/>
  <c r="AB17" i="166"/>
  <c r="AB19" i="166"/>
  <c r="AB20" i="166"/>
  <c r="AB22" i="166"/>
  <c r="AB23" i="166"/>
  <c r="AB24" i="166"/>
  <c r="AB28" i="166"/>
  <c r="AB34" i="166"/>
  <c r="AB35" i="166"/>
  <c r="AB36" i="166"/>
  <c r="AB38" i="166"/>
  <c r="AB39" i="166"/>
  <c r="AB40" i="166"/>
  <c r="AB42" i="166"/>
  <c r="AB43" i="166"/>
  <c r="AB44" i="166"/>
  <c r="AB45" i="166"/>
  <c r="AB46" i="166"/>
  <c r="AB47" i="166"/>
  <c r="AB49" i="166"/>
  <c r="AB50" i="166"/>
  <c r="AB53" i="166"/>
  <c r="AB54" i="166"/>
  <c r="AB57" i="166"/>
  <c r="AB61" i="166"/>
  <c r="AB63" i="166"/>
  <c r="AB59" i="166"/>
  <c r="AB64" i="166"/>
  <c r="AB66" i="166"/>
  <c r="AB71" i="166"/>
  <c r="AB73" i="166"/>
  <c r="AB74" i="166"/>
  <c r="AB77" i="166"/>
  <c r="AB79" i="166"/>
  <c r="AB80" i="166"/>
  <c r="AB83" i="166"/>
  <c r="AB85" i="166"/>
  <c r="AB87" i="166"/>
  <c r="AB90" i="166"/>
  <c r="G421" i="110"/>
  <c r="AC77" i="166"/>
  <c r="AC79" i="166"/>
  <c r="AC80" i="166"/>
  <c r="AC83" i="166"/>
  <c r="AC85" i="166"/>
  <c r="AC87" i="166"/>
  <c r="AC90" i="166"/>
  <c r="G422" i="110"/>
  <c r="AD77" i="166"/>
  <c r="AD79" i="166"/>
  <c r="AD80" i="166"/>
  <c r="AD83" i="166"/>
  <c r="AD85" i="166"/>
  <c r="AD87" i="166"/>
  <c r="AD90" i="166"/>
  <c r="G418" i="110"/>
  <c r="AE77" i="166"/>
  <c r="AE79" i="166"/>
  <c r="AE80" i="166"/>
  <c r="AE83" i="166"/>
  <c r="AE85" i="166"/>
  <c r="AE87" i="166"/>
  <c r="AE90" i="166"/>
  <c r="G419" i="110"/>
  <c r="AF77" i="166"/>
  <c r="AF79" i="166"/>
  <c r="AF80" i="166"/>
  <c r="AF83" i="166"/>
  <c r="AF85" i="166"/>
  <c r="AF87" i="166"/>
  <c r="AF90" i="166"/>
  <c r="G420" i="110"/>
  <c r="AG77" i="166"/>
  <c r="AG79" i="166"/>
  <c r="AG80" i="166"/>
  <c r="AG83" i="166"/>
  <c r="AG85" i="166"/>
  <c r="AG87" i="166"/>
  <c r="AG90" i="166"/>
  <c r="AJ11" i="166"/>
  <c r="AJ12" i="166"/>
  <c r="AJ9" i="166"/>
  <c r="AJ10" i="166"/>
  <c r="AJ13" i="166"/>
  <c r="AJ15" i="166"/>
  <c r="AJ16" i="166"/>
  <c r="AJ17" i="166"/>
  <c r="AJ19" i="166"/>
  <c r="AJ20" i="166"/>
  <c r="AJ22" i="166"/>
  <c r="AJ23" i="166"/>
  <c r="AJ24" i="166"/>
  <c r="AJ28" i="166"/>
  <c r="AJ34" i="166"/>
  <c r="AJ35" i="166"/>
  <c r="AJ36" i="166"/>
  <c r="AJ38" i="166"/>
  <c r="G219" i="48"/>
  <c r="AJ39" i="166"/>
  <c r="AJ40" i="166"/>
  <c r="AJ42" i="166"/>
  <c r="AJ43" i="166"/>
  <c r="AJ44" i="166"/>
  <c r="AJ45" i="166"/>
  <c r="AJ46" i="166"/>
  <c r="AJ47" i="166"/>
  <c r="AJ49" i="166"/>
  <c r="AJ50" i="166"/>
  <c r="AJ53" i="166"/>
  <c r="AJ54" i="166"/>
  <c r="AJ57" i="166"/>
  <c r="AJ61" i="166"/>
  <c r="AJ63" i="166"/>
  <c r="AJ59" i="166"/>
  <c r="AJ64" i="166"/>
  <c r="AJ66" i="166"/>
  <c r="AJ71" i="166"/>
  <c r="AJ73" i="166"/>
  <c r="AJ74" i="166"/>
  <c r="AJ77" i="166"/>
  <c r="AJ79" i="166"/>
  <c r="AJ80" i="166"/>
  <c r="AJ83" i="166"/>
  <c r="AJ85" i="166"/>
  <c r="AJ87" i="166"/>
  <c r="AJ90" i="166"/>
  <c r="AL11" i="166"/>
  <c r="AL12" i="166"/>
  <c r="AL9" i="166"/>
  <c r="AL10" i="166"/>
  <c r="AL13" i="166"/>
  <c r="AL15" i="166"/>
  <c r="AL16" i="166"/>
  <c r="AL17" i="166"/>
  <c r="AL19" i="166"/>
  <c r="AL20" i="166"/>
  <c r="AL22" i="166"/>
  <c r="AL23" i="166"/>
  <c r="AL24" i="166"/>
  <c r="AL28" i="166"/>
  <c r="AL34" i="166"/>
  <c r="AL35" i="166"/>
  <c r="AL36" i="166"/>
  <c r="AL38" i="166"/>
  <c r="G221" i="48"/>
  <c r="AL39" i="166"/>
  <c r="AL40" i="166"/>
  <c r="AL42" i="166"/>
  <c r="AL43" i="166"/>
  <c r="AL44" i="166"/>
  <c r="AL45" i="166"/>
  <c r="AL46" i="166"/>
  <c r="AL47" i="166"/>
  <c r="AL49" i="166"/>
  <c r="AL50" i="166"/>
  <c r="AL53" i="166"/>
  <c r="AL54" i="166"/>
  <c r="AL57" i="166"/>
  <c r="AL61" i="166"/>
  <c r="AL63" i="166"/>
  <c r="AL59" i="166"/>
  <c r="AL64" i="166"/>
  <c r="AL66" i="166"/>
  <c r="AL71" i="166"/>
  <c r="AL73" i="166"/>
  <c r="AL74" i="166"/>
  <c r="AL77" i="166"/>
  <c r="AL79" i="166"/>
  <c r="AL80" i="166"/>
  <c r="AL83" i="166"/>
  <c r="AL85" i="166"/>
  <c r="AL87" i="166"/>
  <c r="AL90" i="166"/>
  <c r="AM11" i="166"/>
  <c r="AM12" i="166"/>
  <c r="AM9" i="166"/>
  <c r="AM10" i="166"/>
  <c r="AM13" i="166"/>
  <c r="AM15" i="166"/>
  <c r="AM16" i="166"/>
  <c r="AM17" i="166"/>
  <c r="AM19" i="166"/>
  <c r="AM20" i="166"/>
  <c r="AM22" i="166"/>
  <c r="AM23" i="166"/>
  <c r="AM24" i="166"/>
  <c r="AM28" i="166"/>
  <c r="AM34" i="166"/>
  <c r="AM35" i="166"/>
  <c r="AM36" i="166"/>
  <c r="AM38" i="166"/>
  <c r="AM39" i="166"/>
  <c r="AM40" i="166"/>
  <c r="AM42" i="166"/>
  <c r="AM43" i="166"/>
  <c r="AM44" i="166"/>
  <c r="AM45" i="166"/>
  <c r="AM46" i="166"/>
  <c r="AM47" i="166"/>
  <c r="AM49" i="166"/>
  <c r="AM50" i="166"/>
  <c r="AM53" i="166"/>
  <c r="AM54" i="166"/>
  <c r="AM57" i="166"/>
  <c r="AM61" i="166"/>
  <c r="AM63" i="166"/>
  <c r="AM59" i="166"/>
  <c r="AM64" i="166"/>
  <c r="AM66" i="166"/>
  <c r="AM71" i="166"/>
  <c r="AM73" i="166"/>
  <c r="AM74" i="166"/>
  <c r="AM77" i="166"/>
  <c r="AM83" i="166"/>
  <c r="AM85" i="166"/>
  <c r="AN11" i="166"/>
  <c r="AN12" i="166"/>
  <c r="AN9" i="166"/>
  <c r="AN10" i="166"/>
  <c r="AN13" i="166"/>
  <c r="AN15" i="166"/>
  <c r="AN16" i="166"/>
  <c r="AN17" i="166"/>
  <c r="AN19" i="166"/>
  <c r="AN20" i="166"/>
  <c r="AN22" i="166"/>
  <c r="AN23" i="166"/>
  <c r="AN24" i="166"/>
  <c r="AN28" i="166"/>
  <c r="AN34" i="166"/>
  <c r="AN35" i="166"/>
  <c r="AN36" i="166"/>
  <c r="AN38" i="166"/>
  <c r="AN39" i="166"/>
  <c r="AN40" i="166"/>
  <c r="AN42" i="166"/>
  <c r="AN43" i="166"/>
  <c r="AN44" i="166"/>
  <c r="AN45" i="166"/>
  <c r="AN46" i="166"/>
  <c r="AN47" i="166"/>
  <c r="AN49" i="166"/>
  <c r="AN50" i="166"/>
  <c r="AN53" i="166"/>
  <c r="AN54" i="166"/>
  <c r="AN57" i="166"/>
  <c r="AN61" i="166"/>
  <c r="AN63" i="166"/>
  <c r="AN59" i="166"/>
  <c r="AN64" i="166"/>
  <c r="AN66" i="166"/>
  <c r="G151" i="31"/>
  <c r="AN71" i="166"/>
  <c r="AN73" i="166"/>
  <c r="AN74" i="166"/>
  <c r="AN77" i="166"/>
  <c r="AN79" i="166"/>
  <c r="AN80" i="166"/>
  <c r="AN83" i="166"/>
  <c r="AO11" i="166"/>
  <c r="AO12" i="166"/>
  <c r="AO9" i="166"/>
  <c r="AO10" i="166"/>
  <c r="AO13" i="166"/>
  <c r="AO15" i="166"/>
  <c r="AO16" i="166"/>
  <c r="AO17" i="166"/>
  <c r="AO19" i="166"/>
  <c r="AO20" i="166"/>
  <c r="AO22" i="166"/>
  <c r="AO23" i="166"/>
  <c r="AO24" i="166"/>
  <c r="AO28" i="166"/>
  <c r="AO34" i="166"/>
  <c r="AO35" i="166"/>
  <c r="AO36" i="166"/>
  <c r="AO38" i="166"/>
  <c r="AO39" i="166"/>
  <c r="AO40" i="166"/>
  <c r="AO42" i="166"/>
  <c r="AO43" i="166"/>
  <c r="AO44" i="166"/>
  <c r="AO45" i="166"/>
  <c r="AO46" i="166"/>
  <c r="AO47" i="166"/>
  <c r="AO49" i="166"/>
  <c r="AO50" i="166"/>
  <c r="AO53" i="166"/>
  <c r="AO54" i="166"/>
  <c r="AO57" i="166"/>
  <c r="AO61" i="166"/>
  <c r="AO63" i="166"/>
  <c r="AO59" i="166"/>
  <c r="AO64" i="166"/>
  <c r="AO66" i="166"/>
  <c r="AO71" i="166"/>
  <c r="AO73" i="166"/>
  <c r="AO74" i="166"/>
  <c r="AO77" i="166"/>
  <c r="AO79" i="166"/>
  <c r="AO80" i="166"/>
  <c r="AO83" i="166"/>
  <c r="AO84" i="166"/>
  <c r="AO85" i="166"/>
  <c r="AO87" i="166"/>
  <c r="AO90" i="166"/>
  <c r="AS11" i="166"/>
  <c r="AS12" i="166"/>
  <c r="AS9" i="166"/>
  <c r="AS10" i="166"/>
  <c r="AS13" i="166"/>
  <c r="AS15" i="166"/>
  <c r="AS16" i="166"/>
  <c r="AS17" i="166"/>
  <c r="AS19" i="166"/>
  <c r="AS20" i="166"/>
  <c r="AS22" i="166"/>
  <c r="AS23" i="166"/>
  <c r="AS24" i="166"/>
  <c r="AS28" i="166"/>
  <c r="AS34" i="166"/>
  <c r="AS35" i="166"/>
  <c r="AS36" i="166"/>
  <c r="AS38" i="166"/>
  <c r="AS39" i="166"/>
  <c r="AS40" i="166"/>
  <c r="AS42" i="166"/>
  <c r="AS43" i="166"/>
  <c r="AS44" i="166"/>
  <c r="AS45" i="166"/>
  <c r="AS46" i="166"/>
  <c r="AS47" i="166"/>
  <c r="AS49" i="166"/>
  <c r="AS50" i="166"/>
  <c r="AS53" i="166"/>
  <c r="AS54" i="166"/>
  <c r="AS57" i="166"/>
  <c r="AS61" i="166"/>
  <c r="AS63" i="166"/>
  <c r="AS59" i="166"/>
  <c r="AS64" i="166"/>
  <c r="AS66" i="166"/>
  <c r="AS71" i="166"/>
  <c r="AS73" i="166"/>
  <c r="AS74" i="166"/>
  <c r="AS77" i="166"/>
  <c r="AS79" i="166"/>
  <c r="AS80" i="166"/>
  <c r="AS83" i="166"/>
  <c r="AS85" i="166"/>
  <c r="AS87" i="166"/>
  <c r="AS90" i="166"/>
  <c r="AT11" i="166"/>
  <c r="AT12" i="166"/>
  <c r="AT9" i="166"/>
  <c r="AT10" i="166"/>
  <c r="AT13" i="166"/>
  <c r="AT15" i="166"/>
  <c r="AT16" i="166"/>
  <c r="AT17" i="166"/>
  <c r="AT19" i="166"/>
  <c r="AT20" i="166"/>
  <c r="AT22" i="166"/>
  <c r="AT23" i="166"/>
  <c r="AT24" i="166"/>
  <c r="AT28" i="166"/>
  <c r="AT34" i="166"/>
  <c r="AT35" i="166"/>
  <c r="AT36" i="166"/>
  <c r="AT38" i="166"/>
  <c r="AT39" i="166"/>
  <c r="AT40" i="166"/>
  <c r="AT42" i="166"/>
  <c r="AT43" i="166"/>
  <c r="AT44" i="166"/>
  <c r="G108" i="147"/>
  <c r="AT45" i="166"/>
  <c r="G110" i="146"/>
  <c r="AT46" i="166"/>
  <c r="AT47" i="166"/>
  <c r="G110" i="145"/>
  <c r="AT49" i="166"/>
  <c r="AT50" i="166"/>
  <c r="AT53" i="166"/>
  <c r="AT54" i="166"/>
  <c r="AT57" i="166"/>
  <c r="AT61" i="166"/>
  <c r="AT63" i="166"/>
  <c r="AT59" i="166"/>
  <c r="AT64" i="166"/>
  <c r="AT66" i="166"/>
  <c r="AT71" i="166"/>
  <c r="AT73" i="166"/>
  <c r="AT74" i="166"/>
  <c r="AT77" i="166"/>
  <c r="AT79" i="166"/>
  <c r="AT80" i="166"/>
  <c r="AT83" i="166"/>
  <c r="AT85" i="166"/>
  <c r="AT87" i="166"/>
  <c r="AT90" i="166"/>
  <c r="AU11" i="166"/>
  <c r="AU12" i="166"/>
  <c r="AU9" i="166"/>
  <c r="AU10" i="166"/>
  <c r="AU13" i="166"/>
  <c r="AU15" i="166"/>
  <c r="AU16" i="166"/>
  <c r="AU17" i="166"/>
  <c r="AU19" i="166"/>
  <c r="AU20" i="166"/>
  <c r="AU22" i="166"/>
  <c r="AU23" i="166"/>
  <c r="AU24" i="166"/>
  <c r="AU28" i="166"/>
  <c r="AU34" i="166"/>
  <c r="AU35" i="166"/>
  <c r="AU36" i="166"/>
  <c r="AU38" i="166"/>
  <c r="AU39" i="166"/>
  <c r="AU40" i="166"/>
  <c r="G116" i="142"/>
  <c r="AU42" i="166"/>
  <c r="AU43" i="166"/>
  <c r="AU44" i="166"/>
  <c r="AU45" i="166"/>
  <c r="AU46" i="166"/>
  <c r="AU47" i="166"/>
  <c r="AU49" i="166"/>
  <c r="AU50" i="166"/>
  <c r="AU53" i="166"/>
  <c r="AU54" i="166"/>
  <c r="AU57" i="166"/>
  <c r="AU61" i="166"/>
  <c r="AU63" i="166"/>
  <c r="AU59" i="166"/>
  <c r="AU64" i="166"/>
  <c r="AU66" i="166"/>
  <c r="AU71" i="166"/>
  <c r="AU73" i="166"/>
  <c r="AU74" i="166"/>
  <c r="AU77" i="166"/>
  <c r="AU79" i="166"/>
  <c r="AU80" i="166"/>
  <c r="AU83" i="166"/>
  <c r="AU85" i="166"/>
  <c r="AU87" i="166"/>
  <c r="AU90" i="166"/>
  <c r="AV11" i="166"/>
  <c r="AV12" i="166"/>
  <c r="AV9" i="166"/>
  <c r="AV10" i="166"/>
  <c r="AV13" i="166"/>
  <c r="AV15" i="166"/>
  <c r="AV16" i="166"/>
  <c r="AV17" i="166"/>
  <c r="AV19" i="166"/>
  <c r="AV20" i="166"/>
  <c r="AV22" i="166"/>
  <c r="AV23" i="166"/>
  <c r="AV24" i="166"/>
  <c r="AV28" i="166"/>
  <c r="AV34" i="166"/>
  <c r="AV35" i="166"/>
  <c r="AV36" i="166"/>
  <c r="AV38" i="166"/>
  <c r="AV39" i="166"/>
  <c r="AV40" i="166"/>
  <c r="AV42" i="166"/>
  <c r="G112" i="143"/>
  <c r="AV43" i="166"/>
  <c r="G112" i="144"/>
  <c r="AV44" i="166"/>
  <c r="AV45" i="166"/>
  <c r="AV46" i="166"/>
  <c r="AV47" i="166"/>
  <c r="AV49" i="166"/>
  <c r="AV50" i="166"/>
  <c r="AV53" i="166"/>
  <c r="AV54" i="166"/>
  <c r="AV57" i="166"/>
  <c r="AV61" i="166"/>
  <c r="AV63" i="166"/>
  <c r="AV59" i="166"/>
  <c r="AV64" i="166"/>
  <c r="AV66" i="166"/>
  <c r="AV71" i="166"/>
  <c r="AV73" i="166"/>
  <c r="AV74" i="166"/>
  <c r="AV77" i="166"/>
  <c r="AV79" i="166"/>
  <c r="AV80" i="166"/>
  <c r="AV83" i="166"/>
  <c r="AV85" i="166"/>
  <c r="AV87" i="166"/>
  <c r="AV90" i="166"/>
  <c r="AW11" i="166"/>
  <c r="AW12" i="166"/>
  <c r="AW9" i="166"/>
  <c r="AW10" i="166"/>
  <c r="AW13" i="166"/>
  <c r="AW15" i="166"/>
  <c r="AW16" i="166"/>
  <c r="AW17" i="166"/>
  <c r="AW19" i="166"/>
  <c r="AW20" i="166"/>
  <c r="AW22" i="166"/>
  <c r="AW23" i="166"/>
  <c r="AW24" i="166"/>
  <c r="AW28" i="166"/>
  <c r="AW34" i="166"/>
  <c r="G549" i="112"/>
  <c r="AW35" i="166"/>
  <c r="AW36" i="166"/>
  <c r="AW38" i="166"/>
  <c r="AW39" i="166"/>
  <c r="AW40" i="166"/>
  <c r="AW42" i="166"/>
  <c r="AW43" i="166"/>
  <c r="AW44" i="166"/>
  <c r="AW45" i="166"/>
  <c r="AW46" i="166"/>
  <c r="AW47" i="166"/>
  <c r="AW49" i="166"/>
  <c r="AW50" i="166"/>
  <c r="AW53" i="166"/>
  <c r="AW54" i="166"/>
  <c r="AW57" i="166"/>
  <c r="AW61" i="166"/>
  <c r="AW63" i="166"/>
  <c r="AW59" i="166"/>
  <c r="AW64" i="166"/>
  <c r="AW66" i="166"/>
  <c r="AW71" i="166"/>
  <c r="AW73" i="166"/>
  <c r="AW74" i="166"/>
  <c r="AW77" i="166"/>
  <c r="AW79" i="166"/>
  <c r="AW80" i="166"/>
  <c r="AW83" i="166"/>
  <c r="AW85" i="166"/>
  <c r="AW87" i="166"/>
  <c r="AW90" i="166"/>
  <c r="AX11" i="166"/>
  <c r="AX12" i="166"/>
  <c r="AX9" i="166"/>
  <c r="AX10" i="166"/>
  <c r="AX13" i="166"/>
  <c r="AX15" i="166"/>
  <c r="AX16" i="166"/>
  <c r="AX17" i="166"/>
  <c r="AX19" i="166"/>
  <c r="AX20" i="166"/>
  <c r="AX22" i="166"/>
  <c r="AX23" i="166"/>
  <c r="AX24" i="166"/>
  <c r="AX28" i="166"/>
  <c r="G528" i="113"/>
  <c r="AX34" i="166"/>
  <c r="G550" i="112"/>
  <c r="AX35" i="166"/>
  <c r="AX36" i="166"/>
  <c r="AX38" i="166"/>
  <c r="AX39" i="166"/>
  <c r="AX40" i="166"/>
  <c r="AX42" i="166"/>
  <c r="AX43" i="166"/>
  <c r="AX44" i="166"/>
  <c r="AX45" i="166"/>
  <c r="AX46" i="166"/>
  <c r="AX47" i="166"/>
  <c r="AX49" i="166"/>
  <c r="AX50" i="166"/>
  <c r="AX53" i="166"/>
  <c r="AX54" i="166"/>
  <c r="AX57" i="166"/>
  <c r="AX61" i="166"/>
  <c r="AX63" i="166"/>
  <c r="AX59" i="166"/>
  <c r="AX64" i="166"/>
  <c r="AX66" i="166"/>
  <c r="AX71" i="166"/>
  <c r="AX73" i="166"/>
  <c r="AX74" i="166"/>
  <c r="AX77" i="166"/>
  <c r="AX79" i="166"/>
  <c r="AX80" i="166"/>
  <c r="AX83" i="166"/>
  <c r="AX85" i="166"/>
  <c r="AX87" i="166"/>
  <c r="AX90" i="166"/>
  <c r="BA11" i="166"/>
  <c r="BA12" i="166"/>
  <c r="BA9" i="166"/>
  <c r="BA10" i="166"/>
  <c r="BA13" i="166"/>
  <c r="BA15" i="166"/>
  <c r="BA16" i="166"/>
  <c r="BA17" i="166"/>
  <c r="BA19" i="166"/>
  <c r="BA20" i="166"/>
  <c r="BA22" i="166"/>
  <c r="BA23" i="166"/>
  <c r="BA24" i="166"/>
  <c r="BA28" i="166"/>
  <c r="BA34" i="166"/>
  <c r="BA35" i="166"/>
  <c r="BA36" i="166"/>
  <c r="G174" i="46"/>
  <c r="BA38" i="166"/>
  <c r="BA39" i="166"/>
  <c r="BA40" i="166"/>
  <c r="BA42" i="166"/>
  <c r="BA43" i="166"/>
  <c r="BA44" i="166"/>
  <c r="BA45" i="166"/>
  <c r="BA46" i="166"/>
  <c r="BA47" i="166"/>
  <c r="BA49" i="166"/>
  <c r="BA50" i="166"/>
  <c r="G142" i="141"/>
  <c r="BA53" i="166"/>
  <c r="BA54" i="166"/>
  <c r="G168" i="157"/>
  <c r="BA57" i="166"/>
  <c r="G168" i="140"/>
  <c r="BA61" i="166"/>
  <c r="G160" i="139"/>
  <c r="BA59" i="166"/>
  <c r="BA71" i="166"/>
  <c r="BA73" i="166"/>
  <c r="BA74" i="166"/>
  <c r="G423" i="110"/>
  <c r="BA77" i="166"/>
  <c r="BA79" i="166"/>
  <c r="BA80" i="166"/>
  <c r="BA83" i="166"/>
  <c r="BA85" i="166"/>
  <c r="BA87" i="166"/>
  <c r="BB11" i="166"/>
  <c r="BB12" i="166"/>
  <c r="BB9" i="166"/>
  <c r="BB10" i="166"/>
  <c r="BB13" i="166"/>
  <c r="BB15" i="166"/>
  <c r="BB16" i="166"/>
  <c r="BB17" i="166"/>
  <c r="BB19" i="166"/>
  <c r="BB20" i="166"/>
  <c r="BB22" i="166"/>
  <c r="BB23" i="166"/>
  <c r="BB24" i="166"/>
  <c r="BB28" i="166"/>
  <c r="BB34" i="166"/>
  <c r="BB35" i="166"/>
  <c r="BB36" i="166"/>
  <c r="G175" i="46"/>
  <c r="BB38" i="166"/>
  <c r="BB39" i="166"/>
  <c r="BB40" i="166"/>
  <c r="BB42" i="166"/>
  <c r="BB43" i="166"/>
  <c r="BB44" i="166"/>
  <c r="BB45" i="166"/>
  <c r="BB46" i="166"/>
  <c r="BB47" i="166"/>
  <c r="BB49" i="166"/>
  <c r="BB50" i="166"/>
  <c r="G143" i="141"/>
  <c r="BB53" i="166"/>
  <c r="BB54" i="166"/>
  <c r="G169" i="157"/>
  <c r="BB57" i="166"/>
  <c r="G169" i="140"/>
  <c r="BB61" i="166"/>
  <c r="G161" i="139"/>
  <c r="BB59" i="166"/>
  <c r="BB71" i="166"/>
  <c r="BB77" i="166"/>
  <c r="BB79" i="166"/>
  <c r="BB80" i="166"/>
  <c r="P89" i="166"/>
  <c r="AH89" i="166"/>
  <c r="AY89" i="166"/>
  <c r="BC89" i="166"/>
  <c r="BE89" i="166"/>
  <c r="P88" i="166"/>
  <c r="AH88" i="166"/>
  <c r="AY88" i="166"/>
  <c r="BC88" i="166"/>
  <c r="BE88" i="166"/>
  <c r="P87" i="166"/>
  <c r="P86" i="166"/>
  <c r="AH86" i="166"/>
  <c r="AY86" i="166"/>
  <c r="BC86" i="166"/>
  <c r="BE86" i="166"/>
  <c r="CN83" i="166"/>
  <c r="CN84" i="166"/>
  <c r="CN85" i="166"/>
  <c r="P85" i="166"/>
  <c r="D85" i="166"/>
  <c r="CW84" i="166"/>
  <c r="P84" i="166"/>
  <c r="BC84" i="166"/>
  <c r="D84" i="166"/>
  <c r="P83" i="166"/>
  <c r="AY83" i="166"/>
  <c r="D83" i="166"/>
  <c r="CW82" i="166"/>
  <c r="BC82" i="166"/>
  <c r="AY82" i="166"/>
  <c r="P82" i="166"/>
  <c r="CW81" i="166"/>
  <c r="BC81" i="166"/>
  <c r="AY81" i="166"/>
  <c r="AH81" i="166"/>
  <c r="P81" i="166"/>
  <c r="CU77" i="166"/>
  <c r="CU79" i="166"/>
  <c r="CU80" i="166"/>
  <c r="P80" i="166"/>
  <c r="BC80" i="166"/>
  <c r="D80" i="166"/>
  <c r="P79" i="166"/>
  <c r="BC79" i="166"/>
  <c r="D79" i="166"/>
  <c r="CW78" i="166"/>
  <c r="BC78" i="166"/>
  <c r="AX78" i="166"/>
  <c r="AY78" i="166"/>
  <c r="AB76" i="166"/>
  <c r="AB78" i="166"/>
  <c r="AC78" i="166"/>
  <c r="AD78" i="166"/>
  <c r="AE78" i="166"/>
  <c r="AF78" i="166"/>
  <c r="AG78" i="166"/>
  <c r="P78" i="166"/>
  <c r="P77" i="166"/>
  <c r="AH77" i="166"/>
  <c r="AY77" i="166"/>
  <c r="BC77" i="166"/>
  <c r="BE77" i="166"/>
  <c r="D77" i="166"/>
  <c r="CW76" i="166"/>
  <c r="BC76" i="166"/>
  <c r="AX76" i="166"/>
  <c r="AY76" i="166"/>
  <c r="P76" i="166"/>
  <c r="CW75" i="166"/>
  <c r="P75" i="166"/>
  <c r="AH75" i="166"/>
  <c r="AY75" i="166"/>
  <c r="BC75" i="166"/>
  <c r="BE75" i="166"/>
  <c r="CW74" i="166"/>
  <c r="CV74" i="166"/>
  <c r="BG74" i="166"/>
  <c r="BF74" i="166"/>
  <c r="P71" i="166"/>
  <c r="AH71" i="166"/>
  <c r="AY71" i="166"/>
  <c r="BC71" i="166"/>
  <c r="BE71" i="166"/>
  <c r="P73" i="166"/>
  <c r="AY73" i="166"/>
  <c r="BD74" i="166"/>
  <c r="AZ74" i="166"/>
  <c r="AY74" i="166"/>
  <c r="AI74" i="166"/>
  <c r="Q74" i="166"/>
  <c r="P74" i="166"/>
  <c r="D74" i="166"/>
  <c r="D73" i="166"/>
  <c r="BC72" i="166"/>
  <c r="AY72" i="166"/>
  <c r="S72" i="166"/>
  <c r="P72" i="166"/>
  <c r="D71" i="166"/>
  <c r="BC70" i="166"/>
  <c r="AY70" i="166"/>
  <c r="AH70" i="166"/>
  <c r="P70" i="166"/>
  <c r="P69" i="166"/>
  <c r="AH69" i="166"/>
  <c r="AY69" i="166"/>
  <c r="BC69" i="166"/>
  <c r="BE69" i="166"/>
  <c r="P68" i="166"/>
  <c r="AH68" i="166"/>
  <c r="AY68" i="166"/>
  <c r="BC68" i="166"/>
  <c r="BE68" i="166"/>
  <c r="P67" i="166"/>
  <c r="AH67" i="166"/>
  <c r="AY67" i="166"/>
  <c r="BC67" i="166"/>
  <c r="BE67" i="166"/>
  <c r="AY66" i="166"/>
  <c r="P65" i="166"/>
  <c r="AH65" i="166"/>
  <c r="AY65" i="166"/>
  <c r="BC65" i="166"/>
  <c r="BE65" i="166"/>
  <c r="BG64" i="166"/>
  <c r="BF64" i="166"/>
  <c r="P57" i="166"/>
  <c r="AH57" i="166"/>
  <c r="AY57" i="166"/>
  <c r="BC57" i="166"/>
  <c r="BE57" i="166"/>
  <c r="P61" i="166"/>
  <c r="AH61" i="166"/>
  <c r="AY61" i="166"/>
  <c r="BC61" i="166"/>
  <c r="BE61" i="166"/>
  <c r="P63" i="166"/>
  <c r="AY63" i="166"/>
  <c r="P59" i="166"/>
  <c r="AH59" i="166"/>
  <c r="AY59" i="166"/>
  <c r="BC59" i="166"/>
  <c r="BE59" i="166"/>
  <c r="BD64" i="166"/>
  <c r="AZ64" i="166"/>
  <c r="AY64" i="166"/>
  <c r="AI64" i="166"/>
  <c r="Q64" i="166"/>
  <c r="P64" i="166"/>
  <c r="D64" i="166"/>
  <c r="D63" i="166"/>
  <c r="CW62" i="166"/>
  <c r="BC62" i="166"/>
  <c r="AY62" i="166"/>
  <c r="P62" i="166"/>
  <c r="CW61" i="166"/>
  <c r="D61" i="166"/>
  <c r="CW60" i="166"/>
  <c r="BC60" i="166"/>
  <c r="AY60" i="166"/>
  <c r="P60" i="166"/>
  <c r="CW59" i="166"/>
  <c r="D59" i="166"/>
  <c r="BC58" i="166"/>
  <c r="AY58" i="166"/>
  <c r="P58" i="166"/>
  <c r="CW57" i="166"/>
  <c r="D57" i="166"/>
  <c r="CW56" i="166"/>
  <c r="BC56" i="166"/>
  <c r="AY56" i="166"/>
  <c r="P56" i="166"/>
  <c r="CW55" i="166"/>
  <c r="P55" i="166"/>
  <c r="AH55" i="166"/>
  <c r="AY55" i="166"/>
  <c r="BC55" i="166"/>
  <c r="BE55" i="166"/>
  <c r="P54" i="166"/>
  <c r="AH54" i="166"/>
  <c r="AY54" i="166"/>
  <c r="BC54" i="166"/>
  <c r="BE54" i="166"/>
  <c r="D54" i="166"/>
  <c r="CW53" i="166"/>
  <c r="P53" i="166"/>
  <c r="AH53" i="166"/>
  <c r="AY53" i="166"/>
  <c r="BC53" i="166"/>
  <c r="BE53" i="166"/>
  <c r="D53" i="166"/>
  <c r="CW52" i="166"/>
  <c r="BC52" i="166"/>
  <c r="AY52" i="166"/>
  <c r="P52" i="166"/>
  <c r="CW51" i="166"/>
  <c r="BC51" i="166"/>
  <c r="AY51" i="166"/>
  <c r="AH51" i="166"/>
  <c r="P51" i="166"/>
  <c r="P50" i="166"/>
  <c r="AH50" i="166"/>
  <c r="AY50" i="166"/>
  <c r="BC50" i="166"/>
  <c r="BE50" i="166"/>
  <c r="D50" i="166"/>
  <c r="CW49" i="166"/>
  <c r="P49" i="166"/>
  <c r="AH49" i="166"/>
  <c r="AY49" i="166"/>
  <c r="BC49" i="166"/>
  <c r="BE49" i="166"/>
  <c r="D49" i="166"/>
  <c r="CW48" i="166"/>
  <c r="BC48" i="166"/>
  <c r="AY48" i="166"/>
  <c r="AH48" i="166"/>
  <c r="P48" i="166"/>
  <c r="P47" i="166"/>
  <c r="AH47" i="166"/>
  <c r="AY47" i="166"/>
  <c r="BC47" i="166"/>
  <c r="BE47" i="166"/>
  <c r="D47" i="166"/>
  <c r="CW46" i="166"/>
  <c r="P46" i="166"/>
  <c r="AH46" i="166"/>
  <c r="AY46" i="166"/>
  <c r="BC46" i="166"/>
  <c r="BE46" i="166"/>
  <c r="D46" i="166"/>
  <c r="CW45" i="166"/>
  <c r="P45" i="166"/>
  <c r="AH45" i="166"/>
  <c r="AY45" i="166"/>
  <c r="BC45" i="166"/>
  <c r="BE45" i="166"/>
  <c r="D45" i="166"/>
  <c r="CW44" i="166"/>
  <c r="P44" i="166"/>
  <c r="AH44" i="166"/>
  <c r="AY44" i="166"/>
  <c r="BC44" i="166"/>
  <c r="BE44" i="166"/>
  <c r="D44" i="166"/>
  <c r="CW43" i="166"/>
  <c r="P43" i="166"/>
  <c r="AH43" i="166"/>
  <c r="AY43" i="166"/>
  <c r="BC43" i="166"/>
  <c r="BE43" i="166"/>
  <c r="D43" i="166"/>
  <c r="CW42" i="166"/>
  <c r="P42" i="166"/>
  <c r="AH42" i="166"/>
  <c r="AY42" i="166"/>
  <c r="BC42" i="166"/>
  <c r="BE42" i="166"/>
  <c r="D42" i="166"/>
  <c r="CW41" i="166"/>
  <c r="P41" i="166"/>
  <c r="AH41" i="166"/>
  <c r="AY41" i="166"/>
  <c r="BC41" i="166"/>
  <c r="BE41" i="166"/>
  <c r="CW40" i="166"/>
  <c r="P40" i="166"/>
  <c r="AH40" i="166"/>
  <c r="AY40" i="166"/>
  <c r="BC40" i="166"/>
  <c r="BE40" i="166"/>
  <c r="D40" i="166"/>
  <c r="CW39" i="166"/>
  <c r="BC39" i="166"/>
  <c r="AY39" i="166"/>
  <c r="AH39" i="166"/>
  <c r="P39" i="166"/>
  <c r="D39" i="166"/>
  <c r="CW38" i="166"/>
  <c r="P38" i="166"/>
  <c r="AH38" i="166"/>
  <c r="AY38" i="166"/>
  <c r="BC38" i="166"/>
  <c r="BE38" i="166"/>
  <c r="D38" i="166"/>
  <c r="CW37" i="166"/>
  <c r="P37" i="166"/>
  <c r="AH37" i="166"/>
  <c r="AY37" i="166"/>
  <c r="BC37" i="166"/>
  <c r="BE37" i="166"/>
  <c r="AY36" i="166"/>
  <c r="BC36" i="166"/>
  <c r="D36" i="166"/>
  <c r="AY35" i="166"/>
  <c r="BC35" i="166"/>
  <c r="D35" i="166"/>
  <c r="CW34" i="166"/>
  <c r="BC34" i="166"/>
  <c r="AY34" i="166"/>
  <c r="AH34" i="166"/>
  <c r="P34" i="166"/>
  <c r="D34" i="166"/>
  <c r="CW33" i="166"/>
  <c r="P33" i="166"/>
  <c r="AH33" i="166"/>
  <c r="AY33" i="166"/>
  <c r="BC33" i="166"/>
  <c r="BE33" i="166"/>
  <c r="CW32" i="166"/>
  <c r="P32" i="166"/>
  <c r="AH32" i="166"/>
  <c r="AY32" i="166"/>
  <c r="BC32" i="166"/>
  <c r="BE32" i="166"/>
  <c r="P31" i="166"/>
  <c r="AH31" i="166"/>
  <c r="AY31" i="166"/>
  <c r="BC31" i="166"/>
  <c r="BE31" i="166"/>
  <c r="P30" i="166"/>
  <c r="AH30" i="166"/>
  <c r="AY30" i="166"/>
  <c r="BC30" i="166"/>
  <c r="BE30" i="166"/>
  <c r="P29" i="166"/>
  <c r="AH29" i="166"/>
  <c r="AY29" i="166"/>
  <c r="BC29" i="166"/>
  <c r="BE29" i="166"/>
  <c r="AY13" i="166"/>
  <c r="AY17" i="166"/>
  <c r="AY20" i="166"/>
  <c r="AY22" i="166"/>
  <c r="AY23" i="166"/>
  <c r="AY24" i="166"/>
  <c r="AY28" i="166"/>
  <c r="BC28" i="166"/>
  <c r="BD28" i="166"/>
  <c r="AZ24" i="166"/>
  <c r="AZ28" i="166"/>
  <c r="Q24" i="166"/>
  <c r="Q28" i="166"/>
  <c r="P27" i="166"/>
  <c r="AH27" i="166"/>
  <c r="AY27" i="166"/>
  <c r="BC27" i="166"/>
  <c r="BE27" i="166"/>
  <c r="CW26" i="166"/>
  <c r="P26" i="166"/>
  <c r="AH26" i="166"/>
  <c r="AY26" i="166"/>
  <c r="BC26" i="166"/>
  <c r="BE26" i="166"/>
  <c r="CW25" i="166"/>
  <c r="P25" i="166"/>
  <c r="AH25" i="166"/>
  <c r="AY25" i="166"/>
  <c r="BC25" i="166"/>
  <c r="BE25" i="166"/>
  <c r="CV24" i="166"/>
  <c r="P23" i="166"/>
  <c r="BC24" i="166"/>
  <c r="D24" i="166"/>
  <c r="CW23" i="166"/>
  <c r="AH23" i="166"/>
  <c r="BC23" i="166"/>
  <c r="BE23" i="166"/>
  <c r="D23" i="166"/>
  <c r="BC22" i="166"/>
  <c r="D22" i="166"/>
  <c r="CW21" i="166"/>
  <c r="P21" i="166"/>
  <c r="AH21" i="166"/>
  <c r="AY21" i="166"/>
  <c r="BC21" i="166"/>
  <c r="BE21" i="166"/>
  <c r="P20" i="166"/>
  <c r="AH20" i="166"/>
  <c r="BC20" i="166"/>
  <c r="BE20" i="166"/>
  <c r="D20" i="166"/>
  <c r="P19" i="166"/>
  <c r="AH19" i="166"/>
  <c r="AY19" i="166"/>
  <c r="BC19" i="166"/>
  <c r="BE19" i="166"/>
  <c r="D19" i="166"/>
  <c r="CW18" i="166"/>
  <c r="P18" i="166"/>
  <c r="AH18" i="166"/>
  <c r="AY18" i="166"/>
  <c r="BC18" i="166"/>
  <c r="BE18" i="166"/>
  <c r="P17" i="166"/>
  <c r="AH17" i="166"/>
  <c r="BC17" i="166"/>
  <c r="BE17" i="166"/>
  <c r="D17" i="166"/>
  <c r="P16" i="166"/>
  <c r="AH16" i="166"/>
  <c r="AY16" i="166"/>
  <c r="BC16" i="166"/>
  <c r="BE16" i="166"/>
  <c r="D16" i="166"/>
  <c r="P15" i="166"/>
  <c r="AH15" i="166"/>
  <c r="AY15" i="166"/>
  <c r="BC15" i="166"/>
  <c r="BE15" i="166"/>
  <c r="D15" i="166"/>
  <c r="CW14" i="166"/>
  <c r="P14" i="166"/>
  <c r="AH14" i="166"/>
  <c r="AY14" i="166"/>
  <c r="BC14" i="166"/>
  <c r="BE14" i="166"/>
  <c r="CW13" i="166"/>
  <c r="P13" i="166"/>
  <c r="AH13" i="166"/>
  <c r="BC13" i="166"/>
  <c r="BE13" i="166"/>
  <c r="D13" i="166"/>
  <c r="P12" i="166"/>
  <c r="AH12" i="166"/>
  <c r="AY12" i="166"/>
  <c r="BC12" i="166"/>
  <c r="BE12" i="166"/>
  <c r="P11" i="166"/>
  <c r="AH11" i="166"/>
  <c r="AY11" i="166"/>
  <c r="BC11" i="166"/>
  <c r="BE11" i="166"/>
  <c r="D11" i="166"/>
  <c r="P10" i="166"/>
  <c r="AH10" i="166"/>
  <c r="AY10" i="166"/>
  <c r="BC10" i="166"/>
  <c r="BE10" i="166"/>
  <c r="P9" i="166"/>
  <c r="AH9" i="166"/>
  <c r="AY9" i="166"/>
  <c r="BC9" i="166"/>
  <c r="BE9" i="166"/>
  <c r="D9" i="166"/>
  <c r="CR4" i="166"/>
  <c r="CN4" i="166"/>
  <c r="CJ4" i="166"/>
  <c r="CF4" i="166"/>
  <c r="CB4" i="166"/>
  <c r="BX4" i="166"/>
  <c r="BT4" i="166"/>
  <c r="BP4" i="166"/>
  <c r="BL4" i="166"/>
  <c r="BH4" i="166"/>
  <c r="BE4" i="166"/>
  <c r="BB4" i="166"/>
  <c r="BA4" i="166"/>
  <c r="AX4" i="166"/>
  <c r="AW4" i="166"/>
  <c r="AV4" i="166"/>
  <c r="AU4" i="166"/>
  <c r="AT4" i="166"/>
  <c r="AS4" i="166"/>
  <c r="AR4" i="166"/>
  <c r="AQ4" i="166"/>
  <c r="AP4" i="166"/>
  <c r="AO4" i="166"/>
  <c r="AN4" i="166"/>
  <c r="AM4" i="166"/>
  <c r="AL4" i="166"/>
  <c r="AK4" i="166"/>
  <c r="AJ4" i="166"/>
  <c r="AG4" i="166"/>
  <c r="AF4" i="166"/>
  <c r="AE4" i="166"/>
  <c r="AD4" i="166"/>
  <c r="AC4" i="166"/>
  <c r="AB4" i="166"/>
  <c r="AA4" i="166"/>
  <c r="Z4" i="166"/>
  <c r="Y4" i="166"/>
  <c r="X4" i="166"/>
  <c r="W4" i="166"/>
  <c r="V4" i="166"/>
  <c r="U4" i="166"/>
  <c r="T4" i="166"/>
  <c r="S4" i="166"/>
  <c r="R4" i="166"/>
  <c r="O4" i="166"/>
  <c r="N4" i="166"/>
  <c r="M4" i="166"/>
  <c r="L4" i="166"/>
  <c r="K4" i="166"/>
  <c r="J4" i="166"/>
  <c r="I4" i="166"/>
  <c r="H4" i="166"/>
  <c r="G4" i="166"/>
  <c r="E3" i="166"/>
  <c r="CO77" i="70"/>
  <c r="CO79" i="70"/>
  <c r="CO80" i="70"/>
  <c r="CP77" i="70"/>
  <c r="CP79" i="70"/>
  <c r="CP80" i="70"/>
  <c r="CQ77" i="70"/>
  <c r="CQ79" i="70"/>
  <c r="CQ80" i="70"/>
  <c r="CU77" i="70"/>
  <c r="CU79" i="70"/>
  <c r="CU80" i="70"/>
  <c r="BB77" i="70"/>
  <c r="BB79" i="70"/>
  <c r="BB80" i="70"/>
  <c r="F423" i="110"/>
  <c r="BA77" i="70"/>
  <c r="BA79" i="70"/>
  <c r="BA80" i="70"/>
  <c r="AL77" i="70"/>
  <c r="AL79" i="70"/>
  <c r="AL80" i="70"/>
  <c r="AM77" i="70"/>
  <c r="AN77" i="70"/>
  <c r="AN79" i="70"/>
  <c r="AN80" i="70"/>
  <c r="AO77" i="70"/>
  <c r="AO79" i="70"/>
  <c r="AO80" i="70"/>
  <c r="AS77" i="70"/>
  <c r="AS79" i="70"/>
  <c r="AS80" i="70"/>
  <c r="AT77" i="70"/>
  <c r="AT79" i="70"/>
  <c r="AT80" i="70"/>
  <c r="AU77" i="70"/>
  <c r="AU79" i="70"/>
  <c r="AU80" i="70"/>
  <c r="AV77" i="70"/>
  <c r="AV79" i="70"/>
  <c r="AV80" i="70"/>
  <c r="AW77" i="70"/>
  <c r="AW79" i="70"/>
  <c r="AW80" i="70"/>
  <c r="AX77" i="70"/>
  <c r="AX79" i="70"/>
  <c r="AX80" i="70"/>
  <c r="AJ77" i="70"/>
  <c r="AJ79" i="70"/>
  <c r="AJ80" i="70"/>
  <c r="AA77" i="70"/>
  <c r="AA79" i="70"/>
  <c r="AA80" i="70"/>
  <c r="AB77" i="70"/>
  <c r="AB79" i="70"/>
  <c r="AB80" i="70"/>
  <c r="F421" i="110"/>
  <c r="AC77" i="70"/>
  <c r="AC79" i="70"/>
  <c r="AC80" i="70"/>
  <c r="F422" i="110"/>
  <c r="AD77" i="70"/>
  <c r="AD79" i="70"/>
  <c r="AD80" i="70"/>
  <c r="F418" i="110"/>
  <c r="AE77" i="70"/>
  <c r="AE79" i="70"/>
  <c r="AE80" i="70"/>
  <c r="F419" i="110"/>
  <c r="AF77" i="70"/>
  <c r="AF79" i="70"/>
  <c r="AF80" i="70"/>
  <c r="F420" i="110"/>
  <c r="AG77" i="70"/>
  <c r="AG79" i="70"/>
  <c r="AG80" i="70"/>
  <c r="H77" i="70"/>
  <c r="H79" i="70"/>
  <c r="H80" i="70"/>
  <c r="I77" i="70"/>
  <c r="I79" i="70"/>
  <c r="I80" i="70"/>
  <c r="J77" i="70"/>
  <c r="J79" i="70"/>
  <c r="J80" i="70"/>
  <c r="K77" i="70"/>
  <c r="K79" i="70"/>
  <c r="K80" i="70"/>
  <c r="L77" i="70"/>
  <c r="L79" i="70"/>
  <c r="L80" i="70"/>
  <c r="M77" i="70"/>
  <c r="M79" i="70"/>
  <c r="M80" i="70"/>
  <c r="N77" i="70"/>
  <c r="N79" i="70"/>
  <c r="N80" i="70"/>
  <c r="O77" i="70"/>
  <c r="O79" i="70"/>
  <c r="O80" i="70"/>
  <c r="G77" i="70"/>
  <c r="G79" i="70"/>
  <c r="G80" i="70"/>
  <c r="AY89" i="59"/>
  <c r="AY90" i="59"/>
  <c r="AY91" i="59"/>
  <c r="AY94" i="59"/>
  <c r="AY92" i="59"/>
  <c r="AY93" i="59"/>
  <c r="AY96" i="59"/>
  <c r="AY97" i="59"/>
  <c r="AY98" i="59"/>
  <c r="AY99" i="59"/>
  <c r="AY100" i="59"/>
  <c r="AY101" i="59"/>
  <c r="AY102" i="59"/>
  <c r="AY103" i="59"/>
  <c r="AY104" i="59"/>
  <c r="AZ89" i="59"/>
  <c r="AZ90" i="59"/>
  <c r="AZ91" i="59"/>
  <c r="AZ94" i="59"/>
  <c r="AZ92" i="59"/>
  <c r="AZ93" i="59"/>
  <c r="AZ96" i="59"/>
  <c r="AZ97" i="59"/>
  <c r="AZ98" i="59"/>
  <c r="AZ99" i="59"/>
  <c r="AZ100" i="59"/>
  <c r="AZ101" i="59"/>
  <c r="AZ102" i="59"/>
  <c r="AZ103" i="59"/>
  <c r="AZ104" i="59"/>
  <c r="BA89" i="59"/>
  <c r="BA90" i="59"/>
  <c r="BA91" i="59"/>
  <c r="BA94" i="59"/>
  <c r="BA92" i="59"/>
  <c r="BA93" i="59"/>
  <c r="BA96" i="59"/>
  <c r="BA97" i="59"/>
  <c r="BA98" i="59"/>
  <c r="BA99" i="59"/>
  <c r="BA100" i="59"/>
  <c r="BA101" i="59"/>
  <c r="BA102" i="59"/>
  <c r="BA103" i="59"/>
  <c r="BA104" i="59"/>
  <c r="BB89" i="59"/>
  <c r="BB90" i="59"/>
  <c r="BB91" i="59"/>
  <c r="BB94" i="59"/>
  <c r="BB92" i="59"/>
  <c r="BB93" i="59"/>
  <c r="BB96" i="59"/>
  <c r="BB97" i="59"/>
  <c r="BB98" i="59"/>
  <c r="BB99" i="59"/>
  <c r="BB100" i="59"/>
  <c r="BB101" i="59"/>
  <c r="BB102" i="59"/>
  <c r="BB103" i="59"/>
  <c r="BB104" i="59"/>
  <c r="BC89" i="59"/>
  <c r="BC90" i="59"/>
  <c r="BC91" i="59"/>
  <c r="BC94" i="59"/>
  <c r="BC92" i="59"/>
  <c r="BC93" i="59"/>
  <c r="BC96" i="59"/>
  <c r="BC97" i="59"/>
  <c r="BC98" i="59"/>
  <c r="BC99" i="59"/>
  <c r="BC100" i="59"/>
  <c r="BC101" i="59"/>
  <c r="BC102" i="59"/>
  <c r="BC103" i="59"/>
  <c r="BC104" i="59"/>
  <c r="BD89" i="59"/>
  <c r="BD90" i="59"/>
  <c r="BD91" i="59"/>
  <c r="BD94" i="59"/>
  <c r="BD92" i="59"/>
  <c r="BD93" i="59"/>
  <c r="BD96" i="59"/>
  <c r="BD97" i="59"/>
  <c r="BD98" i="59"/>
  <c r="BD99" i="59"/>
  <c r="BD100" i="59"/>
  <c r="BD101" i="59"/>
  <c r="BD102" i="59"/>
  <c r="BD103" i="59"/>
  <c r="BD104" i="59"/>
  <c r="BE89" i="59"/>
  <c r="BE90" i="59"/>
  <c r="BE91" i="59"/>
  <c r="BE94" i="59"/>
  <c r="BE92" i="59"/>
  <c r="BE93" i="59"/>
  <c r="BE96" i="59"/>
  <c r="BE97" i="59"/>
  <c r="BE98" i="59"/>
  <c r="BE99" i="59"/>
  <c r="BE100" i="59"/>
  <c r="BE101" i="59"/>
  <c r="BE102" i="59"/>
  <c r="BE103" i="59"/>
  <c r="BE104" i="59"/>
  <c r="BF89" i="59"/>
  <c r="BF90" i="59"/>
  <c r="BF91" i="59"/>
  <c r="BF94" i="59"/>
  <c r="BF92" i="59"/>
  <c r="BF93" i="59"/>
  <c r="BF96" i="59"/>
  <c r="BF97" i="59"/>
  <c r="BF98" i="59"/>
  <c r="BF99" i="59"/>
  <c r="BF100" i="59"/>
  <c r="BF101" i="59"/>
  <c r="BF102" i="59"/>
  <c r="BF103" i="59"/>
  <c r="BF104" i="59"/>
  <c r="AX89" i="59"/>
  <c r="AX90" i="59"/>
  <c r="AX91" i="59"/>
  <c r="AX94" i="59"/>
  <c r="AX92" i="59"/>
  <c r="AX93" i="59"/>
  <c r="AX96" i="59"/>
  <c r="AX97" i="59"/>
  <c r="AX98" i="59"/>
  <c r="AX99" i="59"/>
  <c r="AX100" i="59"/>
  <c r="AX101" i="59"/>
  <c r="AX102" i="59"/>
  <c r="AX103" i="59"/>
  <c r="AX104" i="59"/>
  <c r="G197" i="140"/>
  <c r="AY111" i="59"/>
  <c r="G95" i="157"/>
  <c r="G197" i="157"/>
  <c r="AY112" i="59"/>
  <c r="G190" i="139"/>
  <c r="AY113" i="59"/>
  <c r="G152" i="141"/>
  <c r="AY115" i="59"/>
  <c r="G126" i="142"/>
  <c r="AY116" i="59"/>
  <c r="G121" i="143"/>
  <c r="AY117" i="59"/>
  <c r="G121" i="144"/>
  <c r="AY118" i="59"/>
  <c r="G118" i="147"/>
  <c r="AY119" i="59"/>
  <c r="G120" i="146"/>
  <c r="AY120" i="59"/>
  <c r="G120" i="145"/>
  <c r="AY121" i="59"/>
  <c r="H197" i="140"/>
  <c r="AZ111" i="59"/>
  <c r="H95" i="157"/>
  <c r="H197" i="157"/>
  <c r="AZ112" i="59"/>
  <c r="H190" i="139"/>
  <c r="AZ113" i="59"/>
  <c r="H152" i="141"/>
  <c r="AZ115" i="59"/>
  <c r="H126" i="142"/>
  <c r="AZ116" i="59"/>
  <c r="H121" i="143"/>
  <c r="AZ117" i="59"/>
  <c r="H121" i="144"/>
  <c r="AZ118" i="59"/>
  <c r="H118" i="147"/>
  <c r="AZ119" i="59"/>
  <c r="H120" i="146"/>
  <c r="AZ120" i="59"/>
  <c r="H120" i="145"/>
  <c r="AZ121" i="59"/>
  <c r="I197" i="140"/>
  <c r="BA111" i="59"/>
  <c r="I95" i="157"/>
  <c r="I197" i="157"/>
  <c r="BA112" i="59"/>
  <c r="I190" i="139"/>
  <c r="BA113" i="59"/>
  <c r="I152" i="141"/>
  <c r="BA115" i="59"/>
  <c r="I126" i="142"/>
  <c r="BA116" i="59"/>
  <c r="I121" i="143"/>
  <c r="BA117" i="59"/>
  <c r="I121" i="144"/>
  <c r="BA118" i="59"/>
  <c r="I118" i="147"/>
  <c r="BA119" i="59"/>
  <c r="I120" i="146"/>
  <c r="BA120" i="59"/>
  <c r="I120" i="145"/>
  <c r="BA121" i="59"/>
  <c r="J197" i="140"/>
  <c r="BB111" i="59"/>
  <c r="J95" i="157"/>
  <c r="J197" i="157"/>
  <c r="BB112" i="59"/>
  <c r="J190" i="139"/>
  <c r="BB113" i="59"/>
  <c r="J152" i="141"/>
  <c r="BB115" i="59"/>
  <c r="J126" i="142"/>
  <c r="BB116" i="59"/>
  <c r="J121" i="143"/>
  <c r="BB117" i="59"/>
  <c r="J121" i="144"/>
  <c r="BB118" i="59"/>
  <c r="J118" i="147"/>
  <c r="BB119" i="59"/>
  <c r="J120" i="146"/>
  <c r="BB120" i="59"/>
  <c r="J120" i="145"/>
  <c r="BB121" i="59"/>
  <c r="K197" i="140"/>
  <c r="BC111" i="59"/>
  <c r="K95" i="157"/>
  <c r="K197" i="157"/>
  <c r="BC112" i="59"/>
  <c r="K190" i="139"/>
  <c r="BC113" i="59"/>
  <c r="K152" i="141"/>
  <c r="BC115" i="59"/>
  <c r="K126" i="142"/>
  <c r="BC116" i="59"/>
  <c r="K121" i="143"/>
  <c r="BC117" i="59"/>
  <c r="K121" i="144"/>
  <c r="BC118" i="59"/>
  <c r="K118" i="147"/>
  <c r="BC119" i="59"/>
  <c r="K120" i="146"/>
  <c r="BC120" i="59"/>
  <c r="K120" i="145"/>
  <c r="BC121" i="59"/>
  <c r="L197" i="140"/>
  <c r="BD111" i="59"/>
  <c r="L95" i="157"/>
  <c r="L197" i="157"/>
  <c r="BD112" i="59"/>
  <c r="L190" i="139"/>
  <c r="BD113" i="59"/>
  <c r="L152" i="141"/>
  <c r="BD115" i="59"/>
  <c r="L126" i="142"/>
  <c r="BD116" i="59"/>
  <c r="L121" i="143"/>
  <c r="BD117" i="59"/>
  <c r="L121" i="144"/>
  <c r="BD118" i="59"/>
  <c r="L118" i="147"/>
  <c r="BD119" i="59"/>
  <c r="L120" i="146"/>
  <c r="BD120" i="59"/>
  <c r="L120" i="145"/>
  <c r="BD121" i="59"/>
  <c r="M197" i="140"/>
  <c r="BE111" i="59"/>
  <c r="M95" i="157"/>
  <c r="M197" i="157"/>
  <c r="BE112" i="59"/>
  <c r="M190" i="139"/>
  <c r="BE113" i="59"/>
  <c r="M152" i="141"/>
  <c r="BE115" i="59"/>
  <c r="M126" i="142"/>
  <c r="BE116" i="59"/>
  <c r="M121" i="143"/>
  <c r="BE117" i="59"/>
  <c r="M121" i="144"/>
  <c r="BE118" i="59"/>
  <c r="M118" i="147"/>
  <c r="BE119" i="59"/>
  <c r="M120" i="146"/>
  <c r="BE120" i="59"/>
  <c r="M120" i="145"/>
  <c r="BE121" i="59"/>
  <c r="N197" i="140"/>
  <c r="BF111" i="59"/>
  <c r="N95" i="157"/>
  <c r="N197" i="157"/>
  <c r="BF112" i="59"/>
  <c r="N190" i="139"/>
  <c r="BF113" i="59"/>
  <c r="N152" i="141"/>
  <c r="BF115" i="59"/>
  <c r="N126" i="142"/>
  <c r="BF116" i="59"/>
  <c r="N121" i="143"/>
  <c r="BF117" i="59"/>
  <c r="N121" i="144"/>
  <c r="BF118" i="59"/>
  <c r="N118" i="147"/>
  <c r="BF119" i="59"/>
  <c r="N120" i="146"/>
  <c r="BF120" i="59"/>
  <c r="N120" i="145"/>
  <c r="BF121" i="59"/>
  <c r="F197" i="140"/>
  <c r="AX111" i="59"/>
  <c r="F95" i="157"/>
  <c r="F197" i="157"/>
  <c r="AX112" i="59"/>
  <c r="F190" i="139"/>
  <c r="AX113" i="59"/>
  <c r="F152" i="141"/>
  <c r="AX115" i="59"/>
  <c r="F126" i="142"/>
  <c r="AX116" i="59"/>
  <c r="F121" i="143"/>
  <c r="AX117" i="59"/>
  <c r="F121" i="144"/>
  <c r="AX118" i="59"/>
  <c r="F118" i="147"/>
  <c r="AX119" i="59"/>
  <c r="F120" i="146"/>
  <c r="AX120" i="59"/>
  <c r="F120" i="145"/>
  <c r="AX121" i="59"/>
  <c r="M21" i="39"/>
  <c r="M20" i="39"/>
  <c r="M19" i="39"/>
  <c r="M18" i="39"/>
  <c r="N19" i="49"/>
  <c r="M19" i="49"/>
  <c r="L19" i="49"/>
  <c r="K19" i="49"/>
  <c r="J19" i="49"/>
  <c r="I19" i="49"/>
  <c r="H19" i="49"/>
  <c r="G19" i="49"/>
  <c r="F19" i="49"/>
  <c r="N27" i="49"/>
  <c r="M27" i="49"/>
  <c r="L27" i="49"/>
  <c r="K27" i="49"/>
  <c r="J27" i="49"/>
  <c r="I27" i="49"/>
  <c r="H27" i="49"/>
  <c r="G27" i="49"/>
  <c r="F27" i="49"/>
  <c r="H41" i="40"/>
  <c r="I215" i="39"/>
  <c r="I222" i="39"/>
  <c r="I221" i="39"/>
  <c r="I220" i="39"/>
  <c r="I219" i="39"/>
  <c r="H222" i="39"/>
  <c r="H221" i="39"/>
  <c r="H220" i="39"/>
  <c r="H219" i="39"/>
  <c r="F222" i="39"/>
  <c r="F221" i="39"/>
  <c r="F220" i="39"/>
  <c r="G222" i="39"/>
  <c r="G221" i="39"/>
  <c r="G220" i="39"/>
  <c r="G219" i="39"/>
  <c r="F219" i="39"/>
  <c r="F160" i="112"/>
  <c r="C58" i="144"/>
  <c r="C51" i="144"/>
  <c r="F25" i="112"/>
  <c r="G16" i="142"/>
  <c r="G25" i="142"/>
  <c r="F16" i="142"/>
  <c r="F25" i="142"/>
  <c r="H16" i="142"/>
  <c r="H25" i="142"/>
  <c r="I16" i="142"/>
  <c r="I25" i="142"/>
  <c r="J16" i="142"/>
  <c r="J25" i="142"/>
  <c r="K16" i="142"/>
  <c r="K25" i="142"/>
  <c r="L16" i="142"/>
  <c r="L25" i="142"/>
  <c r="M16" i="142"/>
  <c r="M25" i="142"/>
  <c r="N16" i="142"/>
  <c r="N25" i="142"/>
  <c r="M25" i="177"/>
  <c r="M79" i="177"/>
  <c r="M32" i="177"/>
  <c r="M44" i="177"/>
  <c r="M48" i="177"/>
  <c r="M6" i="177"/>
  <c r="N16" i="157"/>
  <c r="M8" i="177"/>
  <c r="N17" i="143"/>
  <c r="N17" i="144"/>
  <c r="N17" i="147"/>
  <c r="N17" i="146"/>
  <c r="N16" i="141"/>
  <c r="M10" i="177"/>
  <c r="M12" i="177"/>
  <c r="M13" i="177"/>
  <c r="M14" i="177"/>
  <c r="M15" i="177"/>
  <c r="M21" i="177"/>
  <c r="M22" i="177"/>
  <c r="M23" i="177"/>
  <c r="M24" i="177"/>
  <c r="M26" i="177"/>
  <c r="M30" i="177"/>
  <c r="M33" i="177"/>
  <c r="M36" i="177"/>
  <c r="M37" i="177"/>
  <c r="M38" i="177"/>
  <c r="M41" i="177"/>
  <c r="M42" i="177"/>
  <c r="M43" i="177"/>
  <c r="M45" i="177"/>
  <c r="M46" i="177"/>
  <c r="M47" i="177"/>
  <c r="M49" i="177"/>
  <c r="M50" i="177"/>
  <c r="M51" i="177"/>
  <c r="M52" i="177"/>
  <c r="M53" i="177"/>
  <c r="M54" i="177"/>
  <c r="M55" i="177"/>
  <c r="N466" i="41"/>
  <c r="M66" i="177"/>
  <c r="N473" i="41"/>
  <c r="M67" i="177"/>
  <c r="G78" i="12"/>
  <c r="M95" i="176"/>
  <c r="L25" i="177"/>
  <c r="L79" i="177"/>
  <c r="L32" i="177"/>
  <c r="L44" i="177"/>
  <c r="L48" i="177"/>
  <c r="L6" i="177"/>
  <c r="M16" i="157"/>
  <c r="L8" i="177"/>
  <c r="M17" i="143"/>
  <c r="M17" i="144"/>
  <c r="M17" i="147"/>
  <c r="M17" i="146"/>
  <c r="M16" i="141"/>
  <c r="L10" i="177"/>
  <c r="L12" i="177"/>
  <c r="L13" i="177"/>
  <c r="L14" i="177"/>
  <c r="L15" i="177"/>
  <c r="L21" i="177"/>
  <c r="L22" i="177"/>
  <c r="L23" i="177"/>
  <c r="L24" i="177"/>
  <c r="L26" i="177"/>
  <c r="L30" i="177"/>
  <c r="L33" i="177"/>
  <c r="L36" i="177"/>
  <c r="L37" i="177"/>
  <c r="L38" i="177"/>
  <c r="L41" i="177"/>
  <c r="L42" i="177"/>
  <c r="L43" i="177"/>
  <c r="L45" i="177"/>
  <c r="L46" i="177"/>
  <c r="L47" i="177"/>
  <c r="L49" i="177"/>
  <c r="L50" i="177"/>
  <c r="L51" i="177"/>
  <c r="L52" i="177"/>
  <c r="L53" i="177"/>
  <c r="L54" i="177"/>
  <c r="L55" i="177"/>
  <c r="M466" i="41"/>
  <c r="L66" i="177"/>
  <c r="M473" i="41"/>
  <c r="L67" i="177"/>
  <c r="L95" i="176"/>
  <c r="K25" i="177"/>
  <c r="K79" i="177"/>
  <c r="K32" i="177"/>
  <c r="K44" i="177"/>
  <c r="K48" i="177"/>
  <c r="K6" i="177"/>
  <c r="L16" i="157"/>
  <c r="K8" i="177"/>
  <c r="L17" i="143"/>
  <c r="L17" i="144"/>
  <c r="L17" i="147"/>
  <c r="L17" i="146"/>
  <c r="L16" i="141"/>
  <c r="K10" i="177"/>
  <c r="K12" i="177"/>
  <c r="K13" i="177"/>
  <c r="K14" i="177"/>
  <c r="K15" i="177"/>
  <c r="K21" i="177"/>
  <c r="K22" i="177"/>
  <c r="K23" i="177"/>
  <c r="K24" i="177"/>
  <c r="K26" i="177"/>
  <c r="K30" i="177"/>
  <c r="K33" i="177"/>
  <c r="K36" i="177"/>
  <c r="K37" i="177"/>
  <c r="K38" i="177"/>
  <c r="K41" i="177"/>
  <c r="K42" i="177"/>
  <c r="K43" i="177"/>
  <c r="K45" i="177"/>
  <c r="K46" i="177"/>
  <c r="K47" i="177"/>
  <c r="K49" i="177"/>
  <c r="K50" i="177"/>
  <c r="K51" i="177"/>
  <c r="K52" i="177"/>
  <c r="K53" i="177"/>
  <c r="K54" i="177"/>
  <c r="K55" i="177"/>
  <c r="L466" i="41"/>
  <c r="K66" i="177"/>
  <c r="L473" i="41"/>
  <c r="K67" i="177"/>
  <c r="K95" i="176"/>
  <c r="J25" i="177"/>
  <c r="J79" i="177"/>
  <c r="J32" i="177"/>
  <c r="J44" i="177"/>
  <c r="J48" i="177"/>
  <c r="J6" i="177"/>
  <c r="K16" i="157"/>
  <c r="J8" i="177"/>
  <c r="K17" i="143"/>
  <c r="K17" i="144"/>
  <c r="K17" i="147"/>
  <c r="K17" i="146"/>
  <c r="K16" i="141"/>
  <c r="J10" i="177"/>
  <c r="J12" i="177"/>
  <c r="J13" i="177"/>
  <c r="J14" i="177"/>
  <c r="J15" i="177"/>
  <c r="J21" i="177"/>
  <c r="J22" i="177"/>
  <c r="J23" i="177"/>
  <c r="J24" i="177"/>
  <c r="J26" i="177"/>
  <c r="J30" i="177"/>
  <c r="J33" i="177"/>
  <c r="J36" i="177"/>
  <c r="J37" i="177"/>
  <c r="J38" i="177"/>
  <c r="J41" i="177"/>
  <c r="J42" i="177"/>
  <c r="J43" i="177"/>
  <c r="J45" i="177"/>
  <c r="J46" i="177"/>
  <c r="J47" i="177"/>
  <c r="J49" i="177"/>
  <c r="J50" i="177"/>
  <c r="J51" i="177"/>
  <c r="J52" i="177"/>
  <c r="J53" i="177"/>
  <c r="J54" i="177"/>
  <c r="J55" i="177"/>
  <c r="K466" i="41"/>
  <c r="J66" i="177"/>
  <c r="K473" i="41"/>
  <c r="J67" i="177"/>
  <c r="J95" i="176"/>
  <c r="I25" i="177"/>
  <c r="I79" i="177"/>
  <c r="I32" i="177"/>
  <c r="I44" i="177"/>
  <c r="I48" i="177"/>
  <c r="I6" i="177"/>
  <c r="J16" i="157"/>
  <c r="I8" i="177"/>
  <c r="J17" i="143"/>
  <c r="J17" i="144"/>
  <c r="J17" i="147"/>
  <c r="J17" i="146"/>
  <c r="J16" i="141"/>
  <c r="I10" i="177"/>
  <c r="I12" i="177"/>
  <c r="I13" i="177"/>
  <c r="I14" i="177"/>
  <c r="I15" i="177"/>
  <c r="I21" i="177"/>
  <c r="I22" i="177"/>
  <c r="I23" i="177"/>
  <c r="I24" i="177"/>
  <c r="I26" i="177"/>
  <c r="I30" i="177"/>
  <c r="I33" i="177"/>
  <c r="I36" i="177"/>
  <c r="I37" i="177"/>
  <c r="I38" i="177"/>
  <c r="I41" i="177"/>
  <c r="I42" i="177"/>
  <c r="I43" i="177"/>
  <c r="I45" i="177"/>
  <c r="I46" i="177"/>
  <c r="I47" i="177"/>
  <c r="I49" i="177"/>
  <c r="I50" i="177"/>
  <c r="I51" i="177"/>
  <c r="I52" i="177"/>
  <c r="I53" i="177"/>
  <c r="I54" i="177"/>
  <c r="I55" i="177"/>
  <c r="J466" i="41"/>
  <c r="I66" i="177"/>
  <c r="J473" i="41"/>
  <c r="I67" i="177"/>
  <c r="I95" i="176"/>
  <c r="H25" i="177"/>
  <c r="H79" i="177"/>
  <c r="H32" i="177"/>
  <c r="H44" i="177"/>
  <c r="H48" i="177"/>
  <c r="H6" i="177"/>
  <c r="I16" i="157"/>
  <c r="H8" i="177"/>
  <c r="I17" i="143"/>
  <c r="I17" i="144"/>
  <c r="I17" i="147"/>
  <c r="I17" i="146"/>
  <c r="I16" i="141"/>
  <c r="H10" i="177"/>
  <c r="H12" i="177"/>
  <c r="H13" i="177"/>
  <c r="H14" i="177"/>
  <c r="H15" i="177"/>
  <c r="H21" i="177"/>
  <c r="H22" i="177"/>
  <c r="H23" i="177"/>
  <c r="H24" i="177"/>
  <c r="H26" i="177"/>
  <c r="H30" i="177"/>
  <c r="H33" i="177"/>
  <c r="H36" i="177"/>
  <c r="H37" i="177"/>
  <c r="H38" i="177"/>
  <c r="H41" i="177"/>
  <c r="H42" i="177"/>
  <c r="H43" i="177"/>
  <c r="H45" i="177"/>
  <c r="H46" i="177"/>
  <c r="H47" i="177"/>
  <c r="H49" i="177"/>
  <c r="H50" i="177"/>
  <c r="H51" i="177"/>
  <c r="H52" i="177"/>
  <c r="H53" i="177"/>
  <c r="H54" i="177"/>
  <c r="H55" i="177"/>
  <c r="I466" i="41"/>
  <c r="H66" i="177"/>
  <c r="I473" i="41"/>
  <c r="H67" i="177"/>
  <c r="H95" i="176"/>
  <c r="G25" i="177"/>
  <c r="G79" i="177"/>
  <c r="G32" i="177"/>
  <c r="G44" i="177"/>
  <c r="G48" i="177"/>
  <c r="G6" i="177"/>
  <c r="H16" i="157"/>
  <c r="G8" i="177"/>
  <c r="H17" i="143"/>
  <c r="H17" i="144"/>
  <c r="H17" i="147"/>
  <c r="H17" i="146"/>
  <c r="H16" i="141"/>
  <c r="G10" i="177"/>
  <c r="G12" i="177"/>
  <c r="G13" i="177"/>
  <c r="G14" i="177"/>
  <c r="G15" i="177"/>
  <c r="G21" i="177"/>
  <c r="G22" i="177"/>
  <c r="G23" i="177"/>
  <c r="G24" i="177"/>
  <c r="G26" i="177"/>
  <c r="G30" i="177"/>
  <c r="G33" i="177"/>
  <c r="G36" i="177"/>
  <c r="G37" i="177"/>
  <c r="G38" i="177"/>
  <c r="G41" i="177"/>
  <c r="G42" i="177"/>
  <c r="G43" i="177"/>
  <c r="G45" i="177"/>
  <c r="G46" i="177"/>
  <c r="G47" i="177"/>
  <c r="G49" i="177"/>
  <c r="G50" i="177"/>
  <c r="G51" i="177"/>
  <c r="G52" i="177"/>
  <c r="G53" i="177"/>
  <c r="G54" i="177"/>
  <c r="G55" i="177"/>
  <c r="H466" i="41"/>
  <c r="G66" i="177"/>
  <c r="H473" i="41"/>
  <c r="G67" i="177"/>
  <c r="G95" i="176"/>
  <c r="G77" i="12"/>
  <c r="G76" i="12"/>
  <c r="M93" i="176"/>
  <c r="L93" i="176"/>
  <c r="K93" i="176"/>
  <c r="J93" i="176"/>
  <c r="I93" i="176"/>
  <c r="H93" i="176"/>
  <c r="G93" i="176"/>
  <c r="F25" i="177"/>
  <c r="F79" i="177"/>
  <c r="F32" i="177"/>
  <c r="F44" i="177"/>
  <c r="F48" i="177"/>
  <c r="F6" i="177"/>
  <c r="G16" i="157"/>
  <c r="F8" i="177"/>
  <c r="G17" i="143"/>
  <c r="G17" i="144"/>
  <c r="G17" i="147"/>
  <c r="G17" i="146"/>
  <c r="G16" i="141"/>
  <c r="F10" i="177"/>
  <c r="F12" i="177"/>
  <c r="F13" i="177"/>
  <c r="F14" i="177"/>
  <c r="F15" i="177"/>
  <c r="F21" i="177"/>
  <c r="F22" i="177"/>
  <c r="F23" i="177"/>
  <c r="F24" i="177"/>
  <c r="F26" i="177"/>
  <c r="F30" i="177"/>
  <c r="F33" i="177"/>
  <c r="F36" i="177"/>
  <c r="F37" i="177"/>
  <c r="F38" i="177"/>
  <c r="F41" i="177"/>
  <c r="F42" i="177"/>
  <c r="F43" i="177"/>
  <c r="F45" i="177"/>
  <c r="F46" i="177"/>
  <c r="F47" i="177"/>
  <c r="F49" i="177"/>
  <c r="F50" i="177"/>
  <c r="F51" i="177"/>
  <c r="F52" i="177"/>
  <c r="F53" i="177"/>
  <c r="F54" i="177"/>
  <c r="F55" i="177"/>
  <c r="G466" i="41"/>
  <c r="F66" i="177"/>
  <c r="G473" i="41"/>
  <c r="F67" i="177"/>
  <c r="F95" i="176"/>
  <c r="F93" i="176"/>
  <c r="F16" i="157"/>
  <c r="E23" i="177"/>
  <c r="E30" i="177"/>
  <c r="E52" i="177"/>
  <c r="F17" i="143"/>
  <c r="F17" i="144"/>
  <c r="F17" i="147"/>
  <c r="F17" i="146"/>
  <c r="F16" i="141"/>
  <c r="E24" i="177"/>
  <c r="AO11" i="70"/>
  <c r="AO12" i="70"/>
  <c r="AO9" i="70"/>
  <c r="AO10" i="70"/>
  <c r="AO13" i="70"/>
  <c r="AO15" i="70"/>
  <c r="AO16" i="70"/>
  <c r="AO17" i="70"/>
  <c r="AO19" i="70"/>
  <c r="AO20" i="70"/>
  <c r="AO22" i="70"/>
  <c r="AO23" i="70"/>
  <c r="AO24" i="70"/>
  <c r="AO28" i="70"/>
  <c r="AO34" i="70"/>
  <c r="AO35" i="70"/>
  <c r="AO36" i="70"/>
  <c r="AO38" i="70"/>
  <c r="AO39" i="70"/>
  <c r="AO40" i="70"/>
  <c r="AO42" i="70"/>
  <c r="AO43" i="70"/>
  <c r="AO44" i="70"/>
  <c r="AO45" i="70"/>
  <c r="AO46" i="70"/>
  <c r="AO47" i="70"/>
  <c r="AO49" i="70"/>
  <c r="AO50" i="70"/>
  <c r="AO53" i="70"/>
  <c r="AO54" i="70"/>
  <c r="AO57" i="70"/>
  <c r="AO61" i="70"/>
  <c r="AO63" i="70"/>
  <c r="AO59" i="70"/>
  <c r="AO64" i="70"/>
  <c r="AO66" i="70"/>
  <c r="AO71" i="70"/>
  <c r="AO73" i="70"/>
  <c r="AO74" i="70"/>
  <c r="AO83" i="70"/>
  <c r="AO84" i="70"/>
  <c r="AO85" i="70"/>
  <c r="AO87" i="70"/>
  <c r="AO90" i="70"/>
  <c r="E45" i="177"/>
  <c r="E49" i="177"/>
  <c r="F219" i="48"/>
  <c r="E6" i="177"/>
  <c r="E8" i="177"/>
  <c r="F221" i="48"/>
  <c r="E10" i="177"/>
  <c r="F549" i="112"/>
  <c r="E12" i="177"/>
  <c r="F550" i="112"/>
  <c r="E13" i="177"/>
  <c r="F528" i="113"/>
  <c r="E14" i="177"/>
  <c r="E15" i="177"/>
  <c r="F110" i="145"/>
  <c r="F108" i="147"/>
  <c r="F110" i="146"/>
  <c r="E21" i="177"/>
  <c r="E22" i="177"/>
  <c r="E25" i="177"/>
  <c r="E26" i="177"/>
  <c r="E32" i="177"/>
  <c r="E33" i="177"/>
  <c r="F168" i="140"/>
  <c r="F168" i="157"/>
  <c r="F142" i="141"/>
  <c r="F160" i="139"/>
  <c r="F151" i="31"/>
  <c r="E36" i="177"/>
  <c r="E37" i="177"/>
  <c r="E38" i="177"/>
  <c r="AN11" i="70"/>
  <c r="AN12" i="70"/>
  <c r="AN9" i="70"/>
  <c r="AN10" i="70"/>
  <c r="AN13" i="70"/>
  <c r="AN15" i="70"/>
  <c r="AN16" i="70"/>
  <c r="AN17" i="70"/>
  <c r="AN19" i="70"/>
  <c r="AN20" i="70"/>
  <c r="AN22" i="70"/>
  <c r="AN23" i="70"/>
  <c r="AN24" i="70"/>
  <c r="AN28" i="70"/>
  <c r="AN34" i="70"/>
  <c r="AN35" i="70"/>
  <c r="AN36" i="70"/>
  <c r="AN38" i="70"/>
  <c r="AN39" i="70"/>
  <c r="AN40" i="70"/>
  <c r="AN42" i="70"/>
  <c r="AN43" i="70"/>
  <c r="AN44" i="70"/>
  <c r="AN45" i="70"/>
  <c r="AN46" i="70"/>
  <c r="AN47" i="70"/>
  <c r="AN49" i="70"/>
  <c r="AN50" i="70"/>
  <c r="AN53" i="70"/>
  <c r="AN54" i="70"/>
  <c r="AN57" i="70"/>
  <c r="AN61" i="70"/>
  <c r="AN63" i="70"/>
  <c r="AN59" i="70"/>
  <c r="AN64" i="70"/>
  <c r="AN66" i="70"/>
  <c r="AN71" i="70"/>
  <c r="AN73" i="70"/>
  <c r="AN74" i="70"/>
  <c r="AN83" i="70"/>
  <c r="R63" i="70"/>
  <c r="R64" i="70"/>
  <c r="E41" i="177"/>
  <c r="E42" i="177"/>
  <c r="E43" i="177"/>
  <c r="E44" i="177"/>
  <c r="E46" i="177"/>
  <c r="E47" i="177"/>
  <c r="E48" i="177"/>
  <c r="E50" i="177"/>
  <c r="E51" i="177"/>
  <c r="E53" i="177"/>
  <c r="E54" i="177"/>
  <c r="E55" i="177"/>
  <c r="F466" i="41"/>
  <c r="E66" i="177"/>
  <c r="F439" i="41"/>
  <c r="F473" i="41"/>
  <c r="E67" i="177"/>
  <c r="E79" i="177"/>
  <c r="E95" i="176"/>
  <c r="E93" i="176"/>
  <c r="M92" i="176"/>
  <c r="L92" i="176"/>
  <c r="K92" i="176"/>
  <c r="J92" i="176"/>
  <c r="I92" i="176"/>
  <c r="H92" i="176"/>
  <c r="M91" i="176"/>
  <c r="L91" i="176"/>
  <c r="K91" i="176"/>
  <c r="J91" i="176"/>
  <c r="I91" i="176"/>
  <c r="H91" i="176"/>
  <c r="M90" i="176"/>
  <c r="L90" i="176"/>
  <c r="K90" i="176"/>
  <c r="J90" i="176"/>
  <c r="I90" i="176"/>
  <c r="H90" i="176"/>
  <c r="M89" i="176"/>
  <c r="L89" i="176"/>
  <c r="K89" i="176"/>
  <c r="J89" i="176"/>
  <c r="I89" i="176"/>
  <c r="H89" i="176"/>
  <c r="M88" i="176"/>
  <c r="L88" i="176"/>
  <c r="K88" i="176"/>
  <c r="J88" i="176"/>
  <c r="I88" i="176"/>
  <c r="H88" i="176"/>
  <c r="G88" i="176"/>
  <c r="G89" i="176"/>
  <c r="G90" i="176"/>
  <c r="G91" i="176"/>
  <c r="G92" i="176"/>
  <c r="F88" i="176"/>
  <c r="F89" i="176"/>
  <c r="F90" i="176"/>
  <c r="F91" i="176"/>
  <c r="F92" i="176"/>
  <c r="N36" i="111"/>
  <c r="F36" i="111"/>
  <c r="G465" i="41"/>
  <c r="H465" i="41"/>
  <c r="I465" i="41"/>
  <c r="J465" i="41"/>
  <c r="K465" i="41"/>
  <c r="L465" i="41"/>
  <c r="M465" i="41"/>
  <c r="N465" i="41"/>
  <c r="F465" i="41"/>
  <c r="H22" i="48"/>
  <c r="G22" i="48"/>
  <c r="F22" i="48"/>
  <c r="AB8" i="177"/>
  <c r="AC8" i="177"/>
  <c r="AD8" i="177"/>
  <c r="AE8" i="177"/>
  <c r="AF8" i="177"/>
  <c r="AG8" i="177"/>
  <c r="AH8" i="177"/>
  <c r="AI8" i="177"/>
  <c r="AJ8" i="177"/>
  <c r="AB9" i="177"/>
  <c r="AC9" i="177"/>
  <c r="AD9" i="177"/>
  <c r="AE9" i="177"/>
  <c r="AF9" i="177"/>
  <c r="AG9" i="177"/>
  <c r="AH9" i="177"/>
  <c r="AI9" i="177"/>
  <c r="AJ9" i="177"/>
  <c r="AB10" i="177"/>
  <c r="AC10" i="177"/>
  <c r="AD10" i="177"/>
  <c r="AE10" i="177"/>
  <c r="AF10" i="177"/>
  <c r="AG10" i="177"/>
  <c r="AH10" i="177"/>
  <c r="AI10" i="177"/>
  <c r="AJ10" i="177"/>
  <c r="AB12" i="177"/>
  <c r="AC12" i="177"/>
  <c r="AD12" i="177"/>
  <c r="AE12" i="177"/>
  <c r="AF12" i="177"/>
  <c r="AG12" i="177"/>
  <c r="AH12" i="177"/>
  <c r="AI12" i="177"/>
  <c r="AJ12" i="177"/>
  <c r="AB15" i="177"/>
  <c r="AC15" i="177"/>
  <c r="AD15" i="177"/>
  <c r="AE15" i="177"/>
  <c r="AF15" i="177"/>
  <c r="AG15" i="177"/>
  <c r="AH15" i="177"/>
  <c r="AI15" i="177"/>
  <c r="AJ15" i="177"/>
  <c r="AB17" i="177"/>
  <c r="AC17" i="177"/>
  <c r="AD17" i="177"/>
  <c r="AE17" i="177"/>
  <c r="AF17" i="177"/>
  <c r="AG17" i="177"/>
  <c r="AH17" i="177"/>
  <c r="AI17" i="177"/>
  <c r="AJ17" i="177"/>
  <c r="AB18" i="177"/>
  <c r="AC18" i="177"/>
  <c r="AD18" i="177"/>
  <c r="AE18" i="177"/>
  <c r="AF18" i="177"/>
  <c r="AG18" i="177"/>
  <c r="AH18" i="177"/>
  <c r="AI18" i="177"/>
  <c r="AJ18" i="177"/>
  <c r="AB19" i="177"/>
  <c r="AC19" i="177"/>
  <c r="AD19" i="177"/>
  <c r="AE19" i="177"/>
  <c r="AF19" i="177"/>
  <c r="AG19" i="177"/>
  <c r="AH19" i="177"/>
  <c r="AI19" i="177"/>
  <c r="AJ19" i="177"/>
  <c r="AB20" i="177"/>
  <c r="AC20" i="177"/>
  <c r="AD20" i="177"/>
  <c r="AE20" i="177"/>
  <c r="AF20" i="177"/>
  <c r="AG20" i="177"/>
  <c r="AH20" i="177"/>
  <c r="AI20" i="177"/>
  <c r="AJ20" i="177"/>
  <c r="AB21" i="177"/>
  <c r="AC21" i="177"/>
  <c r="AD21" i="177"/>
  <c r="AE21" i="177"/>
  <c r="AF21" i="177"/>
  <c r="AG21" i="177"/>
  <c r="AH21" i="177"/>
  <c r="AI21" i="177"/>
  <c r="AJ21" i="177"/>
  <c r="AB22" i="177"/>
  <c r="AC22" i="177"/>
  <c r="AD22" i="177"/>
  <c r="AE22" i="177"/>
  <c r="AF22" i="177"/>
  <c r="AG22" i="177"/>
  <c r="AH22" i="177"/>
  <c r="AI22" i="177"/>
  <c r="AJ22" i="177"/>
  <c r="AB23" i="177"/>
  <c r="AC23" i="177"/>
  <c r="AD23" i="177"/>
  <c r="AE23" i="177"/>
  <c r="AF23" i="177"/>
  <c r="AG23" i="177"/>
  <c r="AH23" i="177"/>
  <c r="AI23" i="177"/>
  <c r="AJ23" i="177"/>
  <c r="AB24" i="177"/>
  <c r="AC24" i="177"/>
  <c r="AD24" i="177"/>
  <c r="AE24" i="177"/>
  <c r="AF24" i="177"/>
  <c r="AG24" i="177"/>
  <c r="AH24" i="177"/>
  <c r="AI24" i="177"/>
  <c r="AJ24" i="177"/>
  <c r="AB27" i="177"/>
  <c r="AC27" i="177"/>
  <c r="AD27" i="177"/>
  <c r="AE27" i="177"/>
  <c r="AF27" i="177"/>
  <c r="AG27" i="177"/>
  <c r="AH27" i="177"/>
  <c r="AI27" i="177"/>
  <c r="AJ27" i="177"/>
  <c r="AB28" i="177"/>
  <c r="AC28" i="177"/>
  <c r="AD28" i="177"/>
  <c r="AE28" i="177"/>
  <c r="AF28" i="177"/>
  <c r="AG28" i="177"/>
  <c r="AH28" i="177"/>
  <c r="AI28" i="177"/>
  <c r="AJ28" i="177"/>
  <c r="AB30" i="177"/>
  <c r="AC30" i="177"/>
  <c r="AD30" i="177"/>
  <c r="AE30" i="177"/>
  <c r="AF30" i="177"/>
  <c r="AG30" i="177"/>
  <c r="AH30" i="177"/>
  <c r="AI30" i="177"/>
  <c r="AJ30" i="177"/>
  <c r="AB32" i="177"/>
  <c r="AC32" i="177"/>
  <c r="AD32" i="177"/>
  <c r="AE32" i="177"/>
  <c r="AF32" i="177"/>
  <c r="AG32" i="177"/>
  <c r="AH32" i="177"/>
  <c r="AI32" i="177"/>
  <c r="AJ32" i="177"/>
  <c r="AB33" i="177"/>
  <c r="AC33" i="177"/>
  <c r="AD33" i="177"/>
  <c r="AE33" i="177"/>
  <c r="AF33" i="177"/>
  <c r="AG33" i="177"/>
  <c r="AH33" i="177"/>
  <c r="AI33" i="177"/>
  <c r="AJ33" i="177"/>
  <c r="AB34" i="177"/>
  <c r="AC34" i="177"/>
  <c r="AD34" i="177"/>
  <c r="AE34" i="177"/>
  <c r="AF34" i="177"/>
  <c r="AG34" i="177"/>
  <c r="AH34" i="177"/>
  <c r="AI34" i="177"/>
  <c r="AJ34" i="177"/>
  <c r="AB38" i="177"/>
  <c r="AC38" i="177"/>
  <c r="AD38" i="177"/>
  <c r="AE38" i="177"/>
  <c r="AF38" i="177"/>
  <c r="AG38" i="177"/>
  <c r="AH38" i="177"/>
  <c r="AI38" i="177"/>
  <c r="AJ38" i="177"/>
  <c r="AB39" i="177"/>
  <c r="AC39" i="177"/>
  <c r="AD39" i="177"/>
  <c r="AE39" i="177"/>
  <c r="AF39" i="177"/>
  <c r="AG39" i="177"/>
  <c r="AH39" i="177"/>
  <c r="AI39" i="177"/>
  <c r="AJ39" i="177"/>
  <c r="AB42" i="177"/>
  <c r="AC42" i="177"/>
  <c r="AD42" i="177"/>
  <c r="AE42" i="177"/>
  <c r="AF42" i="177"/>
  <c r="AG42" i="177"/>
  <c r="AH42" i="177"/>
  <c r="AI42" i="177"/>
  <c r="AJ42" i="177"/>
  <c r="AB43" i="177"/>
  <c r="AC43" i="177"/>
  <c r="AD43" i="177"/>
  <c r="AE43" i="177"/>
  <c r="AF43" i="177"/>
  <c r="AG43" i="177"/>
  <c r="AH43" i="177"/>
  <c r="AI43" i="177"/>
  <c r="AJ43" i="177"/>
  <c r="AC6" i="177"/>
  <c r="AD6" i="177"/>
  <c r="AE6" i="177"/>
  <c r="AF6" i="177"/>
  <c r="AG6" i="177"/>
  <c r="AH6" i="177"/>
  <c r="AI6" i="177"/>
  <c r="AJ6" i="177"/>
  <c r="AB6" i="177"/>
  <c r="R7" i="177"/>
  <c r="S7" i="177"/>
  <c r="T7" i="177"/>
  <c r="U7" i="177"/>
  <c r="V7" i="177"/>
  <c r="W7" i="177"/>
  <c r="X7" i="177"/>
  <c r="Y7" i="177"/>
  <c r="Z7" i="177"/>
  <c r="R8" i="177"/>
  <c r="S8" i="177"/>
  <c r="T8" i="177"/>
  <c r="U8" i="177"/>
  <c r="V8" i="177"/>
  <c r="W8" i="177"/>
  <c r="X8" i="177"/>
  <c r="Y8" i="177"/>
  <c r="Z8" i="177"/>
  <c r="R12" i="177"/>
  <c r="S12" i="177"/>
  <c r="T12" i="177"/>
  <c r="U12" i="177"/>
  <c r="V12" i="177"/>
  <c r="W12" i="177"/>
  <c r="X12" i="177"/>
  <c r="Y12" i="177"/>
  <c r="Z12" i="177"/>
  <c r="R13" i="177"/>
  <c r="S13" i="177"/>
  <c r="T13" i="177"/>
  <c r="U13" i="177"/>
  <c r="V13" i="177"/>
  <c r="W13" i="177"/>
  <c r="X13" i="177"/>
  <c r="Y13" i="177"/>
  <c r="Z13" i="177"/>
  <c r="R15" i="177"/>
  <c r="S15" i="177"/>
  <c r="T15" i="177"/>
  <c r="U15" i="177"/>
  <c r="V15" i="177"/>
  <c r="W15" i="177"/>
  <c r="X15" i="177"/>
  <c r="Y15" i="177"/>
  <c r="Z15" i="177"/>
  <c r="R18" i="177"/>
  <c r="S18" i="177"/>
  <c r="T18" i="177"/>
  <c r="U18" i="177"/>
  <c r="V18" i="177"/>
  <c r="W18" i="177"/>
  <c r="X18" i="177"/>
  <c r="Y18" i="177"/>
  <c r="Z18" i="177"/>
  <c r="R19" i="177"/>
  <c r="S19" i="177"/>
  <c r="T19" i="177"/>
  <c r="U19" i="177"/>
  <c r="V19" i="177"/>
  <c r="W19" i="177"/>
  <c r="X19" i="177"/>
  <c r="Y19" i="177"/>
  <c r="Z19" i="177"/>
  <c r="R20" i="177"/>
  <c r="S20" i="177"/>
  <c r="T20" i="177"/>
  <c r="U20" i="177"/>
  <c r="V20" i="177"/>
  <c r="W20" i="177"/>
  <c r="X20" i="177"/>
  <c r="Y20" i="177"/>
  <c r="Z20" i="177"/>
  <c r="R21" i="177"/>
  <c r="S21" i="177"/>
  <c r="T21" i="177"/>
  <c r="U21" i="177"/>
  <c r="V21" i="177"/>
  <c r="W21" i="177"/>
  <c r="X21" i="177"/>
  <c r="Y21" i="177"/>
  <c r="Z21" i="177"/>
  <c r="R22" i="177"/>
  <c r="S22" i="177"/>
  <c r="T22" i="177"/>
  <c r="U22" i="177"/>
  <c r="V22" i="177"/>
  <c r="W22" i="177"/>
  <c r="X22" i="177"/>
  <c r="Y22" i="177"/>
  <c r="Z22" i="177"/>
  <c r="R23" i="177"/>
  <c r="S23" i="177"/>
  <c r="T23" i="177"/>
  <c r="U23" i="177"/>
  <c r="V23" i="177"/>
  <c r="W23" i="177"/>
  <c r="X23" i="177"/>
  <c r="Y23" i="177"/>
  <c r="Z23" i="177"/>
  <c r="R24" i="177"/>
  <c r="S24" i="177"/>
  <c r="T24" i="177"/>
  <c r="U24" i="177"/>
  <c r="V24" i="177"/>
  <c r="W24" i="177"/>
  <c r="X24" i="177"/>
  <c r="Y24" i="177"/>
  <c r="Z24" i="177"/>
  <c r="R26" i="177"/>
  <c r="S26" i="177"/>
  <c r="T26" i="177"/>
  <c r="U26" i="177"/>
  <c r="V26" i="177"/>
  <c r="W26" i="177"/>
  <c r="X26" i="177"/>
  <c r="Y26" i="177"/>
  <c r="Z26" i="177"/>
  <c r="R27" i="177"/>
  <c r="S27" i="177"/>
  <c r="T27" i="177"/>
  <c r="U27" i="177"/>
  <c r="V27" i="177"/>
  <c r="W27" i="177"/>
  <c r="X27" i="177"/>
  <c r="Y27" i="177"/>
  <c r="Z27" i="177"/>
  <c r="R28" i="177"/>
  <c r="S28" i="177"/>
  <c r="T28" i="177"/>
  <c r="U28" i="177"/>
  <c r="V28" i="177"/>
  <c r="W28" i="177"/>
  <c r="X28" i="177"/>
  <c r="Y28" i="177"/>
  <c r="Z28" i="177"/>
  <c r="R30" i="177"/>
  <c r="S30" i="177"/>
  <c r="T30" i="177"/>
  <c r="U30" i="177"/>
  <c r="V30" i="177"/>
  <c r="W30" i="177"/>
  <c r="X30" i="177"/>
  <c r="Y30" i="177"/>
  <c r="Z30" i="177"/>
  <c r="R33" i="177"/>
  <c r="S33" i="177"/>
  <c r="T33" i="177"/>
  <c r="U33" i="177"/>
  <c r="V33" i="177"/>
  <c r="W33" i="177"/>
  <c r="X33" i="177"/>
  <c r="Y33" i="177"/>
  <c r="Z33" i="177"/>
  <c r="R34" i="177"/>
  <c r="S34" i="177"/>
  <c r="T34" i="177"/>
  <c r="U34" i="177"/>
  <c r="V34" i="177"/>
  <c r="W34" i="177"/>
  <c r="X34" i="177"/>
  <c r="Y34" i="177"/>
  <c r="Z34" i="177"/>
  <c r="R35" i="177"/>
  <c r="S35" i="177"/>
  <c r="T35" i="177"/>
  <c r="U35" i="177"/>
  <c r="V35" i="177"/>
  <c r="W35" i="177"/>
  <c r="X35" i="177"/>
  <c r="Y35" i="177"/>
  <c r="Z35" i="177"/>
  <c r="R36" i="177"/>
  <c r="S36" i="177"/>
  <c r="T36" i="177"/>
  <c r="U36" i="177"/>
  <c r="V36" i="177"/>
  <c r="W36" i="177"/>
  <c r="X36" i="177"/>
  <c r="Y36" i="177"/>
  <c r="Z36" i="177"/>
  <c r="R37" i="177"/>
  <c r="S37" i="177"/>
  <c r="T37" i="177"/>
  <c r="U37" i="177"/>
  <c r="V37" i="177"/>
  <c r="W37" i="177"/>
  <c r="X37" i="177"/>
  <c r="Y37" i="177"/>
  <c r="Z37" i="177"/>
  <c r="R38" i="177"/>
  <c r="S38" i="177"/>
  <c r="T38" i="177"/>
  <c r="U38" i="177"/>
  <c r="V38" i="177"/>
  <c r="W38" i="177"/>
  <c r="X38" i="177"/>
  <c r="Y38" i="177"/>
  <c r="Z38" i="177"/>
  <c r="R39" i="177"/>
  <c r="S39" i="177"/>
  <c r="T39" i="177"/>
  <c r="U39" i="177"/>
  <c r="V39" i="177"/>
  <c r="W39" i="177"/>
  <c r="X39" i="177"/>
  <c r="Y39" i="177"/>
  <c r="Z39" i="177"/>
  <c r="R42" i="177"/>
  <c r="S42" i="177"/>
  <c r="T42" i="177"/>
  <c r="U42" i="177"/>
  <c r="V42" i="177"/>
  <c r="W42" i="177"/>
  <c r="X42" i="177"/>
  <c r="Y42" i="177"/>
  <c r="Z42" i="177"/>
  <c r="R43" i="177"/>
  <c r="S43" i="177"/>
  <c r="T43" i="177"/>
  <c r="U43" i="177"/>
  <c r="V43" i="177"/>
  <c r="W43" i="177"/>
  <c r="X43" i="177"/>
  <c r="Y43" i="177"/>
  <c r="Z43" i="177"/>
  <c r="S6" i="177"/>
  <c r="T6" i="177"/>
  <c r="U6" i="177"/>
  <c r="V6" i="177"/>
  <c r="W6" i="177"/>
  <c r="X6" i="177"/>
  <c r="Y6" i="177"/>
  <c r="Z6" i="177"/>
  <c r="R6" i="177"/>
  <c r="G542" i="41"/>
  <c r="H542" i="41"/>
  <c r="I542" i="41"/>
  <c r="J542" i="41"/>
  <c r="K542" i="41"/>
  <c r="L542" i="41"/>
  <c r="M542" i="41"/>
  <c r="N542" i="41"/>
  <c r="F542" i="41"/>
  <c r="D8" i="175"/>
  <c r="D7" i="175"/>
  <c r="D22" i="175"/>
  <c r="D21" i="175"/>
  <c r="D20" i="175"/>
  <c r="D19" i="175"/>
  <c r="D18" i="175"/>
  <c r="D17" i="175"/>
  <c r="D16" i="175"/>
  <c r="D15" i="175"/>
  <c r="F200" i="112"/>
  <c r="F201" i="112"/>
  <c r="F202" i="112"/>
  <c r="K66" i="30"/>
  <c r="K89" i="156"/>
  <c r="K107" i="156"/>
  <c r="N66" i="30"/>
  <c r="N89" i="156"/>
  <c r="N107" i="156"/>
  <c r="G20" i="116"/>
  <c r="H20" i="116"/>
  <c r="I20" i="116"/>
  <c r="J20" i="116"/>
  <c r="K20" i="116"/>
  <c r="L20" i="116"/>
  <c r="M20" i="116"/>
  <c r="N20" i="116"/>
  <c r="N68" i="30"/>
  <c r="N449" i="41"/>
  <c r="N450" i="41"/>
  <c r="N458" i="41"/>
  <c r="N459" i="41"/>
  <c r="F27" i="111"/>
  <c r="K27" i="111"/>
  <c r="K36" i="111"/>
  <c r="K68" i="30"/>
  <c r="K449" i="41"/>
  <c r="K450" i="41"/>
  <c r="K458" i="41"/>
  <c r="K459" i="41"/>
  <c r="L66" i="30"/>
  <c r="L89" i="156"/>
  <c r="L107" i="156"/>
  <c r="L27" i="111"/>
  <c r="L36" i="111"/>
  <c r="L68" i="30"/>
  <c r="L449" i="41"/>
  <c r="L450" i="41"/>
  <c r="L458" i="41"/>
  <c r="L459" i="41"/>
  <c r="J66" i="30"/>
  <c r="J89" i="156"/>
  <c r="J107" i="156"/>
  <c r="M66" i="30"/>
  <c r="M89" i="156"/>
  <c r="M107" i="156"/>
  <c r="M27" i="111"/>
  <c r="M36" i="111"/>
  <c r="M68" i="30"/>
  <c r="M449" i="41"/>
  <c r="M450" i="41"/>
  <c r="M458" i="41"/>
  <c r="M459" i="41"/>
  <c r="J27" i="111"/>
  <c r="J36" i="111"/>
  <c r="J68" i="30"/>
  <c r="J449" i="41"/>
  <c r="J450" i="41"/>
  <c r="J458" i="41"/>
  <c r="J459" i="41"/>
  <c r="I66" i="30"/>
  <c r="I89" i="156"/>
  <c r="I107" i="156"/>
  <c r="I27" i="111"/>
  <c r="I36" i="111"/>
  <c r="I68" i="30"/>
  <c r="I449" i="41"/>
  <c r="I450" i="41"/>
  <c r="I458" i="41"/>
  <c r="I459" i="41"/>
  <c r="H66" i="30"/>
  <c r="H89" i="156"/>
  <c r="H107" i="156"/>
  <c r="H27" i="111"/>
  <c r="H36" i="111"/>
  <c r="H68" i="30"/>
  <c r="H449" i="41"/>
  <c r="H450" i="41"/>
  <c r="H458" i="41"/>
  <c r="H459" i="41"/>
  <c r="G18" i="30"/>
  <c r="G66" i="30"/>
  <c r="G89" i="156"/>
  <c r="G107" i="156"/>
  <c r="G27" i="111"/>
  <c r="G36" i="111"/>
  <c r="G68" i="30"/>
  <c r="G449" i="41"/>
  <c r="G450" i="41"/>
  <c r="G458" i="41"/>
  <c r="G459" i="41"/>
  <c r="F66" i="30"/>
  <c r="F89" i="156"/>
  <c r="F107" i="156"/>
  <c r="F169" i="140"/>
  <c r="F169" i="157"/>
  <c r="F143" i="141"/>
  <c r="F68" i="30"/>
  <c r="F449" i="41"/>
  <c r="F450" i="41"/>
  <c r="F458" i="41"/>
  <c r="F459" i="41"/>
  <c r="E92" i="176"/>
  <c r="E91" i="176"/>
  <c r="E90" i="176"/>
  <c r="E89" i="176"/>
  <c r="E88" i="176"/>
  <c r="M105" i="177"/>
  <c r="M93" i="177"/>
  <c r="M87" i="177"/>
  <c r="M81" i="177"/>
  <c r="M75" i="177"/>
  <c r="AT39" i="177"/>
  <c r="AS39" i="177"/>
  <c r="AR39" i="177"/>
  <c r="AQ39" i="177"/>
  <c r="AP39" i="177"/>
  <c r="AO39" i="177"/>
  <c r="AN39" i="177"/>
  <c r="AM39" i="177"/>
  <c r="AL39" i="177"/>
  <c r="AT8" i="177"/>
  <c r="AS8" i="177"/>
  <c r="AR8" i="177"/>
  <c r="AQ8" i="177"/>
  <c r="AP8" i="177"/>
  <c r="AO8" i="177"/>
  <c r="AN8" i="177"/>
  <c r="AM8" i="177"/>
  <c r="AL8" i="177"/>
  <c r="M4" i="177"/>
  <c r="D79" i="176"/>
  <c r="D78" i="176"/>
  <c r="E76" i="176"/>
  <c r="F76" i="176"/>
  <c r="G76" i="176"/>
  <c r="H76" i="176"/>
  <c r="I76" i="176"/>
  <c r="J76" i="176"/>
  <c r="K76" i="176"/>
  <c r="L76" i="176"/>
  <c r="M76" i="176"/>
  <c r="E77" i="176"/>
  <c r="F77" i="176"/>
  <c r="G77" i="176"/>
  <c r="H77" i="176"/>
  <c r="I77" i="176"/>
  <c r="J77" i="176"/>
  <c r="K77" i="176"/>
  <c r="L77" i="176"/>
  <c r="M77" i="176"/>
  <c r="D76" i="176"/>
  <c r="D77" i="176"/>
  <c r="D66" i="176"/>
  <c r="D65" i="176"/>
  <c r="D64" i="176"/>
  <c r="D75" i="176"/>
  <c r="D74" i="176"/>
  <c r="D73" i="176"/>
  <c r="D72" i="176"/>
  <c r="D71" i="176"/>
  <c r="D70" i="176"/>
  <c r="D69" i="176"/>
  <c r="D68" i="176"/>
  <c r="D67" i="176"/>
  <c r="P79" i="70"/>
  <c r="BC79" i="70"/>
  <c r="D79" i="70"/>
  <c r="D53" i="176"/>
  <c r="D54" i="176"/>
  <c r="E54" i="176"/>
  <c r="F54" i="176"/>
  <c r="G54" i="176"/>
  <c r="H54" i="176"/>
  <c r="I54" i="176"/>
  <c r="J54" i="176"/>
  <c r="K54" i="176"/>
  <c r="L54" i="176"/>
  <c r="M54" i="176"/>
  <c r="D51" i="176"/>
  <c r="D52" i="176"/>
  <c r="F35" i="176"/>
  <c r="G35" i="176"/>
  <c r="H35" i="176"/>
  <c r="I35" i="176"/>
  <c r="J35" i="176"/>
  <c r="K35" i="176"/>
  <c r="L35" i="176"/>
  <c r="M35" i="176"/>
  <c r="E35" i="176"/>
  <c r="D35" i="176"/>
  <c r="E53" i="176"/>
  <c r="F53" i="176"/>
  <c r="G53" i="176"/>
  <c r="H53" i="176"/>
  <c r="I53" i="176"/>
  <c r="J53" i="176"/>
  <c r="K53" i="176"/>
  <c r="L53" i="176"/>
  <c r="M53" i="176"/>
  <c r="E52" i="176"/>
  <c r="F52" i="176"/>
  <c r="G52" i="176"/>
  <c r="H52" i="176"/>
  <c r="I52" i="176"/>
  <c r="J52" i="176"/>
  <c r="K52" i="176"/>
  <c r="L52" i="176"/>
  <c r="M52" i="176"/>
  <c r="E51" i="176"/>
  <c r="F51" i="176"/>
  <c r="G51" i="176"/>
  <c r="H51" i="176"/>
  <c r="I51" i="176"/>
  <c r="J51" i="176"/>
  <c r="K51" i="176"/>
  <c r="L51" i="176"/>
  <c r="M51" i="176"/>
  <c r="F34" i="176"/>
  <c r="G34" i="176"/>
  <c r="H34" i="176"/>
  <c r="I34" i="176"/>
  <c r="J34" i="176"/>
  <c r="K34" i="176"/>
  <c r="L34" i="176"/>
  <c r="M34" i="176"/>
  <c r="E34" i="176"/>
  <c r="D36" i="176"/>
  <c r="D55" i="176"/>
  <c r="D50" i="176"/>
  <c r="D49" i="176"/>
  <c r="D48" i="176"/>
  <c r="D47" i="176"/>
  <c r="D46" i="176"/>
  <c r="D45" i="176"/>
  <c r="D44" i="176"/>
  <c r="D43" i="176"/>
  <c r="D34" i="176"/>
  <c r="F8" i="176"/>
  <c r="F9" i="176"/>
  <c r="F24" i="176"/>
  <c r="G8" i="176"/>
  <c r="G9" i="176"/>
  <c r="G24" i="176"/>
  <c r="H8" i="176"/>
  <c r="H9" i="176"/>
  <c r="H24" i="176"/>
  <c r="I8" i="176"/>
  <c r="I9" i="176"/>
  <c r="I24" i="176"/>
  <c r="J8" i="176"/>
  <c r="J9" i="176"/>
  <c r="J24" i="176"/>
  <c r="K8" i="176"/>
  <c r="K9" i="176"/>
  <c r="K24" i="176"/>
  <c r="L8" i="176"/>
  <c r="L9" i="176"/>
  <c r="L24" i="176"/>
  <c r="M8" i="176"/>
  <c r="M9" i="176"/>
  <c r="M24" i="176"/>
  <c r="F14" i="176"/>
  <c r="G14" i="176"/>
  <c r="H14" i="176"/>
  <c r="I14" i="176"/>
  <c r="J14" i="176"/>
  <c r="K14" i="176"/>
  <c r="L14" i="176"/>
  <c r="M14" i="176"/>
  <c r="E8" i="176"/>
  <c r="E9" i="176"/>
  <c r="E24" i="176"/>
  <c r="E14" i="176"/>
  <c r="D16" i="176"/>
  <c r="D15" i="176"/>
  <c r="D14" i="176"/>
  <c r="D13" i="176"/>
  <c r="D12" i="176"/>
  <c r="D11" i="176"/>
  <c r="D10" i="176"/>
  <c r="D9" i="176"/>
  <c r="D8" i="176"/>
  <c r="D7" i="176"/>
  <c r="CO11" i="70"/>
  <c r="CO12" i="70"/>
  <c r="CO9" i="70"/>
  <c r="CO10" i="70"/>
  <c r="CO13" i="70"/>
  <c r="CO15" i="70"/>
  <c r="CO16" i="70"/>
  <c r="CO17" i="70"/>
  <c r="CO19" i="70"/>
  <c r="CO20" i="70"/>
  <c r="CO22" i="70"/>
  <c r="CO23" i="70"/>
  <c r="CO24" i="70"/>
  <c r="CO28" i="70"/>
  <c r="CO34" i="70"/>
  <c r="CO35" i="70"/>
  <c r="CO36" i="70"/>
  <c r="CO38" i="70"/>
  <c r="CO39" i="70"/>
  <c r="CO40" i="70"/>
  <c r="CO42" i="70"/>
  <c r="CO43" i="70"/>
  <c r="CO44" i="70"/>
  <c r="CO45" i="70"/>
  <c r="CO46" i="70"/>
  <c r="CO47" i="70"/>
  <c r="CO49" i="70"/>
  <c r="CO50" i="70"/>
  <c r="CO53" i="70"/>
  <c r="CO54" i="70"/>
  <c r="CO57" i="70"/>
  <c r="CO61" i="70"/>
  <c r="CO63" i="70"/>
  <c r="CO59" i="70"/>
  <c r="CO64" i="70"/>
  <c r="CO66" i="70"/>
  <c r="CO71" i="70"/>
  <c r="CO73" i="70"/>
  <c r="CO74" i="70"/>
  <c r="CO83" i="70"/>
  <c r="CO84" i="70"/>
  <c r="CO85" i="70"/>
  <c r="CO87" i="70"/>
  <c r="CO90" i="70"/>
  <c r="CP11" i="70"/>
  <c r="CP12" i="70"/>
  <c r="CP9" i="70"/>
  <c r="CP10" i="70"/>
  <c r="CP13" i="70"/>
  <c r="CP15" i="70"/>
  <c r="CP16" i="70"/>
  <c r="CP17" i="70"/>
  <c r="CP19" i="70"/>
  <c r="CP20" i="70"/>
  <c r="CP22" i="70"/>
  <c r="CP23" i="70"/>
  <c r="CP24" i="70"/>
  <c r="CP28" i="70"/>
  <c r="CP34" i="70"/>
  <c r="CP35" i="70"/>
  <c r="CP36" i="70"/>
  <c r="CP38" i="70"/>
  <c r="CP39" i="70"/>
  <c r="CP40" i="70"/>
  <c r="CP42" i="70"/>
  <c r="CP43" i="70"/>
  <c r="CP44" i="70"/>
  <c r="CP45" i="70"/>
  <c r="CP46" i="70"/>
  <c r="CP47" i="70"/>
  <c r="CP49" i="70"/>
  <c r="CP50" i="70"/>
  <c r="CP53" i="70"/>
  <c r="CP54" i="70"/>
  <c r="CP57" i="70"/>
  <c r="CP61" i="70"/>
  <c r="CP63" i="70"/>
  <c r="CP59" i="70"/>
  <c r="CP64" i="70"/>
  <c r="CP66" i="70"/>
  <c r="CP71" i="70"/>
  <c r="CP73" i="70"/>
  <c r="CP74" i="70"/>
  <c r="CP83" i="70"/>
  <c r="CP84" i="70"/>
  <c r="CP85" i="70"/>
  <c r="CP87" i="70"/>
  <c r="CP90" i="70"/>
  <c r="CQ11" i="70"/>
  <c r="CQ12" i="70"/>
  <c r="CQ9" i="70"/>
  <c r="CQ10" i="70"/>
  <c r="CQ13" i="70"/>
  <c r="CQ15" i="70"/>
  <c r="CQ16" i="70"/>
  <c r="CQ17" i="70"/>
  <c r="CQ19" i="70"/>
  <c r="CQ20" i="70"/>
  <c r="CQ22" i="70"/>
  <c r="CQ23" i="70"/>
  <c r="CQ24" i="70"/>
  <c r="CQ28" i="70"/>
  <c r="CQ34" i="70"/>
  <c r="CQ35" i="70"/>
  <c r="CQ36" i="70"/>
  <c r="CQ38" i="70"/>
  <c r="CQ39" i="70"/>
  <c r="CQ40" i="70"/>
  <c r="CQ42" i="70"/>
  <c r="CQ43" i="70"/>
  <c r="CQ44" i="70"/>
  <c r="CQ45" i="70"/>
  <c r="CQ46" i="70"/>
  <c r="CQ47" i="70"/>
  <c r="CQ49" i="70"/>
  <c r="CQ50" i="70"/>
  <c r="CQ53" i="70"/>
  <c r="CQ54" i="70"/>
  <c r="CQ57" i="70"/>
  <c r="CQ61" i="70"/>
  <c r="CQ63" i="70"/>
  <c r="CQ59" i="70"/>
  <c r="CQ64" i="70"/>
  <c r="CQ66" i="70"/>
  <c r="CQ71" i="70"/>
  <c r="CQ73" i="70"/>
  <c r="CQ74" i="70"/>
  <c r="CQ83" i="70"/>
  <c r="CQ84" i="70"/>
  <c r="CQ85" i="70"/>
  <c r="CQ87" i="70"/>
  <c r="CQ90" i="70"/>
  <c r="F372" i="39"/>
  <c r="M85" i="176"/>
  <c r="M64" i="176"/>
  <c r="M65" i="176"/>
  <c r="M66" i="176"/>
  <c r="N94" i="156"/>
  <c r="N111" i="156"/>
  <c r="M68" i="176"/>
  <c r="M69" i="176"/>
  <c r="M70" i="176"/>
  <c r="M71" i="176"/>
  <c r="M72" i="176"/>
  <c r="M73" i="176"/>
  <c r="M74" i="176"/>
  <c r="M75" i="176"/>
  <c r="M78" i="176"/>
  <c r="M79" i="176"/>
  <c r="L64" i="176"/>
  <c r="L65" i="176"/>
  <c r="L66" i="176"/>
  <c r="M94" i="156"/>
  <c r="M111" i="156"/>
  <c r="L68" i="176"/>
  <c r="L69" i="176"/>
  <c r="L70" i="176"/>
  <c r="L71" i="176"/>
  <c r="L72" i="176"/>
  <c r="L73" i="176"/>
  <c r="L74" i="176"/>
  <c r="L75" i="176"/>
  <c r="L78" i="176"/>
  <c r="L79" i="176"/>
  <c r="K64" i="176"/>
  <c r="K65" i="176"/>
  <c r="K66" i="176"/>
  <c r="L94" i="156"/>
  <c r="L111" i="156"/>
  <c r="K68" i="176"/>
  <c r="K69" i="176"/>
  <c r="K70" i="176"/>
  <c r="K71" i="176"/>
  <c r="K72" i="176"/>
  <c r="K73" i="176"/>
  <c r="K74" i="176"/>
  <c r="K75" i="176"/>
  <c r="K78" i="176"/>
  <c r="K79" i="176"/>
  <c r="J64" i="176"/>
  <c r="J65" i="176"/>
  <c r="J66" i="176"/>
  <c r="K94" i="156"/>
  <c r="K111" i="156"/>
  <c r="J68" i="176"/>
  <c r="J69" i="176"/>
  <c r="J70" i="176"/>
  <c r="J71" i="176"/>
  <c r="J72" i="176"/>
  <c r="J73" i="176"/>
  <c r="J74" i="176"/>
  <c r="J75" i="176"/>
  <c r="J78" i="176"/>
  <c r="J79" i="176"/>
  <c r="I64" i="176"/>
  <c r="I65" i="176"/>
  <c r="I66" i="176"/>
  <c r="J94" i="156"/>
  <c r="J111" i="156"/>
  <c r="I68" i="176"/>
  <c r="I69" i="176"/>
  <c r="I70" i="176"/>
  <c r="I71" i="176"/>
  <c r="I72" i="176"/>
  <c r="I73" i="176"/>
  <c r="I74" i="176"/>
  <c r="I75" i="176"/>
  <c r="I78" i="176"/>
  <c r="I79" i="176"/>
  <c r="H64" i="176"/>
  <c r="H65" i="176"/>
  <c r="H66" i="176"/>
  <c r="I94" i="156"/>
  <c r="I111" i="156"/>
  <c r="H68" i="176"/>
  <c r="H69" i="176"/>
  <c r="H70" i="176"/>
  <c r="H71" i="176"/>
  <c r="H72" i="176"/>
  <c r="H73" i="176"/>
  <c r="H74" i="176"/>
  <c r="H75" i="176"/>
  <c r="H78" i="176"/>
  <c r="H79" i="176"/>
  <c r="G64" i="176"/>
  <c r="G65" i="176"/>
  <c r="G66" i="176"/>
  <c r="H94" i="156"/>
  <c r="H111" i="156"/>
  <c r="G68" i="176"/>
  <c r="G69" i="176"/>
  <c r="G70" i="176"/>
  <c r="G71" i="176"/>
  <c r="G72" i="176"/>
  <c r="G73" i="176"/>
  <c r="G74" i="176"/>
  <c r="G75" i="176"/>
  <c r="G78" i="176"/>
  <c r="G79" i="176"/>
  <c r="F64" i="176"/>
  <c r="F65" i="176"/>
  <c r="F66" i="176"/>
  <c r="G94" i="156"/>
  <c r="G111" i="156"/>
  <c r="F68" i="176"/>
  <c r="F69" i="176"/>
  <c r="F70" i="176"/>
  <c r="F71" i="176"/>
  <c r="F72" i="176"/>
  <c r="F73" i="176"/>
  <c r="F74" i="176"/>
  <c r="F75" i="176"/>
  <c r="F78" i="176"/>
  <c r="F79" i="176"/>
  <c r="E64" i="176"/>
  <c r="E65" i="176"/>
  <c r="E66" i="176"/>
  <c r="F94" i="156"/>
  <c r="F111" i="156"/>
  <c r="E68" i="176"/>
  <c r="E69" i="176"/>
  <c r="E70" i="176"/>
  <c r="E71" i="176"/>
  <c r="E72" i="176"/>
  <c r="E73" i="176"/>
  <c r="E74" i="176"/>
  <c r="E75" i="176"/>
  <c r="E78" i="176"/>
  <c r="E79" i="176"/>
  <c r="M61" i="176"/>
  <c r="M43" i="176"/>
  <c r="M44" i="176"/>
  <c r="M45" i="176"/>
  <c r="M46" i="176"/>
  <c r="M47" i="176"/>
  <c r="M48" i="176"/>
  <c r="M49" i="176"/>
  <c r="M50" i="176"/>
  <c r="M55" i="176"/>
  <c r="L43" i="176"/>
  <c r="L44" i="176"/>
  <c r="L45" i="176"/>
  <c r="L46" i="176"/>
  <c r="L47" i="176"/>
  <c r="L48" i="176"/>
  <c r="L49" i="176"/>
  <c r="L50" i="176"/>
  <c r="L55" i="176"/>
  <c r="K43" i="176"/>
  <c r="K44" i="176"/>
  <c r="K45" i="176"/>
  <c r="K46" i="176"/>
  <c r="K47" i="176"/>
  <c r="K48" i="176"/>
  <c r="K49" i="176"/>
  <c r="K50" i="176"/>
  <c r="K55" i="176"/>
  <c r="J43" i="176"/>
  <c r="J44" i="176"/>
  <c r="J45" i="176"/>
  <c r="J46" i="176"/>
  <c r="J47" i="176"/>
  <c r="J48" i="176"/>
  <c r="J49" i="176"/>
  <c r="J50" i="176"/>
  <c r="J55" i="176"/>
  <c r="I43" i="176"/>
  <c r="I44" i="176"/>
  <c r="I45" i="176"/>
  <c r="I46" i="176"/>
  <c r="I47" i="176"/>
  <c r="I48" i="176"/>
  <c r="I49" i="176"/>
  <c r="I50" i="176"/>
  <c r="I55" i="176"/>
  <c r="H43" i="176"/>
  <c r="H44" i="176"/>
  <c r="H45" i="176"/>
  <c r="H46" i="176"/>
  <c r="H47" i="176"/>
  <c r="H48" i="176"/>
  <c r="H49" i="176"/>
  <c r="H50" i="176"/>
  <c r="H55" i="176"/>
  <c r="G43" i="176"/>
  <c r="G44" i="176"/>
  <c r="G45" i="176"/>
  <c r="G46" i="176"/>
  <c r="G47" i="176"/>
  <c r="G48" i="176"/>
  <c r="G49" i="176"/>
  <c r="G50" i="176"/>
  <c r="G55" i="176"/>
  <c r="F43" i="176"/>
  <c r="F44" i="176"/>
  <c r="F45" i="176"/>
  <c r="F46" i="176"/>
  <c r="F47" i="176"/>
  <c r="F48" i="176"/>
  <c r="F49" i="176"/>
  <c r="F50" i="176"/>
  <c r="F55" i="176"/>
  <c r="E43" i="176"/>
  <c r="E44" i="176"/>
  <c r="E45" i="176"/>
  <c r="E46" i="176"/>
  <c r="E47" i="176"/>
  <c r="E48" i="176"/>
  <c r="E49" i="176"/>
  <c r="E50" i="176"/>
  <c r="E55" i="176"/>
  <c r="M39" i="176"/>
  <c r="M31" i="176"/>
  <c r="M15" i="176"/>
  <c r="M16" i="176"/>
  <c r="M12" i="176"/>
  <c r="M10" i="176"/>
  <c r="M11" i="176"/>
  <c r="M25" i="176"/>
  <c r="L15" i="176"/>
  <c r="L16" i="176"/>
  <c r="L12" i="176"/>
  <c r="L10" i="176"/>
  <c r="L11" i="176"/>
  <c r="L25" i="176"/>
  <c r="K15" i="176"/>
  <c r="K16" i="176"/>
  <c r="K12" i="176"/>
  <c r="K10" i="176"/>
  <c r="K11" i="176"/>
  <c r="K25" i="176"/>
  <c r="J15" i="176"/>
  <c r="J16" i="176"/>
  <c r="J12" i="176"/>
  <c r="J10" i="176"/>
  <c r="J11" i="176"/>
  <c r="J25" i="176"/>
  <c r="I15" i="176"/>
  <c r="I16" i="176"/>
  <c r="I12" i="176"/>
  <c r="I10" i="176"/>
  <c r="I11" i="176"/>
  <c r="I25" i="176"/>
  <c r="H15" i="176"/>
  <c r="H16" i="176"/>
  <c r="H12" i="176"/>
  <c r="H10" i="176"/>
  <c r="H11" i="176"/>
  <c r="H25" i="176"/>
  <c r="G15" i="176"/>
  <c r="G16" i="176"/>
  <c r="G12" i="176"/>
  <c r="G10" i="176"/>
  <c r="G11" i="176"/>
  <c r="G25" i="176"/>
  <c r="F15" i="176"/>
  <c r="F16" i="176"/>
  <c r="F12" i="176"/>
  <c r="F10" i="176"/>
  <c r="F11" i="176"/>
  <c r="F25" i="176"/>
  <c r="E15" i="176"/>
  <c r="E16" i="176"/>
  <c r="E12" i="176"/>
  <c r="E10" i="176"/>
  <c r="E11" i="176"/>
  <c r="E25" i="176"/>
  <c r="M19" i="176"/>
  <c r="M4" i="176"/>
  <c r="E35" i="175"/>
  <c r="D119" i="116"/>
  <c r="H21" i="46"/>
  <c r="H22" i="46"/>
  <c r="D246" i="59"/>
  <c r="D245" i="59"/>
  <c r="D244" i="59"/>
  <c r="D113" i="111"/>
  <c r="E88" i="111"/>
  <c r="E82" i="111"/>
  <c r="D17" i="111"/>
  <c r="N51" i="137"/>
  <c r="D417" i="110"/>
  <c r="D26" i="110"/>
  <c r="BD28" i="70"/>
  <c r="CV24" i="70"/>
  <c r="AZ24" i="70"/>
  <c r="AZ28" i="70"/>
  <c r="Q24" i="70"/>
  <c r="Q28" i="70"/>
  <c r="D21" i="135"/>
  <c r="D11" i="135"/>
  <c r="D16" i="59"/>
  <c r="D11" i="59"/>
  <c r="D19" i="110"/>
  <c r="D27" i="110"/>
  <c r="E69" i="116"/>
  <c r="D115" i="116"/>
  <c r="D11" i="116"/>
  <c r="BC89" i="70"/>
  <c r="BC88" i="70"/>
  <c r="BC86" i="70"/>
  <c r="BC84" i="70"/>
  <c r="BC82" i="70"/>
  <c r="BC81" i="70"/>
  <c r="BC78" i="70"/>
  <c r="BC76" i="70"/>
  <c r="BC75" i="70"/>
  <c r="BC72" i="70"/>
  <c r="BC70" i="70"/>
  <c r="BC69" i="70"/>
  <c r="BC68" i="70"/>
  <c r="BC67" i="70"/>
  <c r="BC65" i="70"/>
  <c r="BC62" i="70"/>
  <c r="BC60" i="70"/>
  <c r="BC58" i="70"/>
  <c r="BC56" i="70"/>
  <c r="BC55" i="70"/>
  <c r="BC52" i="70"/>
  <c r="BC51" i="70"/>
  <c r="BC48" i="70"/>
  <c r="BC41" i="70"/>
  <c r="BC37" i="70"/>
  <c r="BC33" i="70"/>
  <c r="BC32" i="70"/>
  <c r="BC31" i="70"/>
  <c r="BC30" i="70"/>
  <c r="BC29" i="70"/>
  <c r="BC27" i="70"/>
  <c r="BC26" i="70"/>
  <c r="BC25" i="70"/>
  <c r="BC21" i="70"/>
  <c r="BC18" i="70"/>
  <c r="BC14" i="70"/>
  <c r="AY89" i="70"/>
  <c r="AY88" i="70"/>
  <c r="AY86" i="70"/>
  <c r="AY82" i="70"/>
  <c r="AY81" i="70"/>
  <c r="AY75" i="70"/>
  <c r="AY72" i="70"/>
  <c r="AY70" i="70"/>
  <c r="AY69" i="70"/>
  <c r="AY68" i="70"/>
  <c r="AY67" i="70"/>
  <c r="AY65" i="70"/>
  <c r="AY62" i="70"/>
  <c r="AY60" i="70"/>
  <c r="AY58" i="70"/>
  <c r="AY56" i="70"/>
  <c r="AY55" i="70"/>
  <c r="AY52" i="70"/>
  <c r="AY51" i="70"/>
  <c r="AY48" i="70"/>
  <c r="AY41" i="70"/>
  <c r="AY37" i="70"/>
  <c r="AY33" i="70"/>
  <c r="AY32" i="70"/>
  <c r="AY31" i="70"/>
  <c r="AY30" i="70"/>
  <c r="AY29" i="70"/>
  <c r="AY27" i="70"/>
  <c r="AY26" i="70"/>
  <c r="AY25" i="70"/>
  <c r="AY21" i="70"/>
  <c r="AY18" i="70"/>
  <c r="AY14" i="70"/>
  <c r="AH89" i="70"/>
  <c r="AH88" i="70"/>
  <c r="AH86" i="70"/>
  <c r="AH81" i="70"/>
  <c r="AH75" i="70"/>
  <c r="AH70" i="70"/>
  <c r="AH69" i="70"/>
  <c r="AH68" i="70"/>
  <c r="AH67" i="70"/>
  <c r="AH65" i="70"/>
  <c r="AH55" i="70"/>
  <c r="AH51" i="70"/>
  <c r="AH48" i="70"/>
  <c r="AH41" i="70"/>
  <c r="AH37" i="70"/>
  <c r="AH33" i="70"/>
  <c r="AH32" i="70"/>
  <c r="AH31" i="70"/>
  <c r="AH30" i="70"/>
  <c r="AH29" i="70"/>
  <c r="AH27" i="70"/>
  <c r="AH26" i="70"/>
  <c r="AH25" i="70"/>
  <c r="AH21" i="70"/>
  <c r="AH18" i="70"/>
  <c r="AH14" i="70"/>
  <c r="P14" i="70"/>
  <c r="P18" i="70"/>
  <c r="P21" i="70"/>
  <c r="P25" i="70"/>
  <c r="P26" i="70"/>
  <c r="P27" i="70"/>
  <c r="P29" i="70"/>
  <c r="P30" i="70"/>
  <c r="P31" i="70"/>
  <c r="P32" i="70"/>
  <c r="P33" i="70"/>
  <c r="P37" i="70"/>
  <c r="P41" i="70"/>
  <c r="P48" i="70"/>
  <c r="P51" i="70"/>
  <c r="P52" i="70"/>
  <c r="P55" i="70"/>
  <c r="P56" i="70"/>
  <c r="P58" i="70"/>
  <c r="P60" i="70"/>
  <c r="P62" i="70"/>
  <c r="P65" i="70"/>
  <c r="P67" i="70"/>
  <c r="P68" i="70"/>
  <c r="P69" i="70"/>
  <c r="P70" i="70"/>
  <c r="P72" i="70"/>
  <c r="P75" i="70"/>
  <c r="P76" i="70"/>
  <c r="P78" i="70"/>
  <c r="P81" i="70"/>
  <c r="P82" i="70"/>
  <c r="P84" i="70"/>
  <c r="P86" i="70"/>
  <c r="P88" i="70"/>
  <c r="P89" i="70"/>
  <c r="Q64" i="70"/>
  <c r="AI64" i="70"/>
  <c r="AZ64" i="70"/>
  <c r="BD64" i="70"/>
  <c r="BF64" i="70"/>
  <c r="BG64" i="70"/>
  <c r="O4" i="70"/>
  <c r="M112" i="40"/>
  <c r="N112" i="40"/>
  <c r="F354" i="40"/>
  <c r="F353" i="40"/>
  <c r="F352" i="40"/>
  <c r="F315" i="39"/>
  <c r="F314" i="39"/>
  <c r="F313" i="39"/>
  <c r="F312" i="39"/>
  <c r="F316" i="39"/>
  <c r="F167" i="113"/>
  <c r="F166" i="113"/>
  <c r="O22" i="70"/>
  <c r="O63" i="70"/>
  <c r="I71" i="70"/>
  <c r="O59" i="70"/>
  <c r="O43" i="70"/>
  <c r="I73" i="70"/>
  <c r="O45" i="70"/>
  <c r="O71" i="70"/>
  <c r="O35" i="70"/>
  <c r="O57" i="70"/>
  <c r="O11" i="70"/>
  <c r="O15" i="70"/>
  <c r="O19" i="70"/>
  <c r="O34" i="70"/>
  <c r="O53" i="70"/>
  <c r="O49" i="70"/>
  <c r="O42" i="70"/>
  <c r="O9" i="70"/>
  <c r="O46" i="70"/>
  <c r="I83" i="70"/>
  <c r="O61" i="70"/>
  <c r="O39" i="70"/>
  <c r="O38" i="70"/>
  <c r="O16" i="70"/>
  <c r="O73" i="70"/>
  <c r="O44" i="70"/>
  <c r="O83" i="70"/>
  <c r="O85" i="70"/>
  <c r="O40" i="70"/>
  <c r="I85" i="70"/>
  <c r="O10" i="70"/>
  <c r="O47" i="70"/>
  <c r="O50" i="70"/>
  <c r="O54" i="70"/>
  <c r="O36" i="70"/>
  <c r="O20" i="70"/>
  <c r="O17" i="70"/>
  <c r="O12" i="70"/>
  <c r="O64" i="70"/>
  <c r="O74" i="70"/>
  <c r="O87" i="70"/>
  <c r="I74" i="70"/>
  <c r="I87" i="70"/>
  <c r="O13" i="70"/>
  <c r="Q74" i="70"/>
  <c r="AI74" i="70"/>
  <c r="AZ74" i="70"/>
  <c r="BD74" i="70"/>
  <c r="BF74" i="70"/>
  <c r="BG74" i="70"/>
  <c r="CV74" i="70"/>
  <c r="CW74" i="70"/>
  <c r="N24" i="31"/>
  <c r="D59" i="59"/>
  <c r="F167" i="59"/>
  <c r="F176" i="59"/>
  <c r="F322" i="112"/>
  <c r="D210" i="112"/>
  <c r="C438" i="112"/>
  <c r="F467" i="112"/>
  <c r="G467" i="112"/>
  <c r="H467" i="112"/>
  <c r="I467" i="112"/>
  <c r="J467" i="112"/>
  <c r="K467" i="112"/>
  <c r="L467" i="112"/>
  <c r="M467" i="112"/>
  <c r="N467" i="112"/>
  <c r="C467" i="112"/>
  <c r="D543" i="112"/>
  <c r="O66" i="70"/>
  <c r="F329" i="112"/>
  <c r="F331" i="112"/>
  <c r="F330" i="112"/>
  <c r="F328" i="112"/>
  <c r="C348" i="110"/>
  <c r="E348" i="110"/>
  <c r="E337" i="110"/>
  <c r="C337" i="110"/>
  <c r="E343" i="110"/>
  <c r="C343" i="110"/>
  <c r="D25" i="110"/>
  <c r="AY201" i="59"/>
  <c r="BA201" i="59"/>
  <c r="BC201" i="59"/>
  <c r="BE201" i="59"/>
  <c r="AZ201" i="59"/>
  <c r="BB201" i="59"/>
  <c r="BD201" i="59"/>
  <c r="BF201" i="59"/>
  <c r="F515" i="112"/>
  <c r="D67" i="48"/>
  <c r="G21" i="39"/>
  <c r="AT121" i="127"/>
  <c r="AS121" i="127"/>
  <c r="AR121" i="127"/>
  <c r="AQ121" i="127"/>
  <c r="AP121" i="127"/>
  <c r="AI121" i="127"/>
  <c r="AH121" i="127"/>
  <c r="AG121" i="127"/>
  <c r="AF121" i="127"/>
  <c r="AE121" i="127"/>
  <c r="X121" i="127"/>
  <c r="W121" i="127"/>
  <c r="V121" i="127"/>
  <c r="U121" i="127"/>
  <c r="T121" i="127"/>
  <c r="M121" i="127"/>
  <c r="L121" i="127"/>
  <c r="K121" i="127"/>
  <c r="J121" i="127"/>
  <c r="I121" i="127"/>
  <c r="D46" i="133"/>
  <c r="D64" i="133"/>
  <c r="CW51" i="70"/>
  <c r="E109" i="140"/>
  <c r="O7" i="156"/>
  <c r="E101" i="139"/>
  <c r="AI42" i="127"/>
  <c r="Q41" i="127"/>
  <c r="AC41" i="127"/>
  <c r="I42" i="127"/>
  <c r="P41" i="127"/>
  <c r="AE42" i="127"/>
  <c r="Q42" i="127"/>
  <c r="AN42" i="127"/>
  <c r="G41" i="127"/>
  <c r="P43" i="127"/>
  <c r="F43" i="127"/>
  <c r="AE41" i="127"/>
  <c r="AF42" i="127"/>
  <c r="AH43" i="127"/>
  <c r="AD42" i="127"/>
  <c r="T42" i="127"/>
  <c r="AA43" i="127"/>
  <c r="H42" i="127"/>
  <c r="AU43" i="127"/>
  <c r="AI41" i="127"/>
  <c r="V41" i="127"/>
  <c r="W42" i="127"/>
  <c r="F41" i="127"/>
  <c r="M43" i="127"/>
  <c r="AB42" i="127"/>
  <c r="AM41" i="127"/>
  <c r="M41" i="127"/>
  <c r="Y43" i="127"/>
  <c r="AH41" i="127"/>
  <c r="R42" i="127"/>
  <c r="X43" i="127"/>
  <c r="AI43" i="127"/>
  <c r="AH42" i="127"/>
  <c r="AN41" i="127"/>
  <c r="J43" i="127"/>
  <c r="S42" i="127"/>
  <c r="AR41" i="127"/>
  <c r="AR42" i="127"/>
  <c r="AO41" i="127"/>
  <c r="N43" i="127"/>
  <c r="AO42" i="127"/>
  <c r="N41" i="127"/>
  <c r="L42" i="127"/>
  <c r="AL42" i="127"/>
  <c r="T43" i="127"/>
  <c r="AS43" i="127"/>
  <c r="AQ41" i="127"/>
  <c r="AG42" i="127"/>
  <c r="AG43" i="127"/>
  <c r="Y41" i="127"/>
  <c r="AQ42" i="127"/>
  <c r="J41" i="127"/>
  <c r="U41" i="127"/>
  <c r="F42" i="127"/>
  <c r="AT42" i="127"/>
  <c r="Y42" i="127"/>
  <c r="U43" i="127"/>
  <c r="AQ43" i="127"/>
  <c r="K43" i="127"/>
  <c r="AM43" i="127"/>
  <c r="AJ41" i="127"/>
  <c r="J42" i="127"/>
  <c r="G43" i="127"/>
  <c r="AU41" i="127"/>
  <c r="R43" i="127"/>
  <c r="AJ42" i="127"/>
  <c r="AL41" i="127"/>
  <c r="V42" i="127"/>
  <c r="AM42" i="127"/>
  <c r="AO43" i="127"/>
  <c r="W41" i="127"/>
  <c r="AG41" i="127"/>
  <c r="AP43" i="127"/>
  <c r="AJ43" i="127"/>
  <c r="R41" i="127"/>
  <c r="L41" i="127"/>
  <c r="AU42" i="127"/>
  <c r="AT43" i="127"/>
  <c r="U42" i="127"/>
  <c r="AF43" i="127"/>
  <c r="V43" i="127"/>
  <c r="H41" i="127"/>
  <c r="I43" i="127"/>
  <c r="L43" i="127"/>
  <c r="W43" i="127"/>
  <c r="AB43" i="127"/>
  <c r="AL43" i="127"/>
  <c r="AS41" i="127"/>
  <c r="AC43" i="127"/>
  <c r="N42" i="127"/>
  <c r="AR43" i="127"/>
  <c r="T41" i="127"/>
  <c r="X41" i="127"/>
  <c r="I41" i="127"/>
  <c r="AP41" i="127"/>
  <c r="AD41" i="127"/>
  <c r="AS42" i="127"/>
  <c r="AE43" i="127"/>
  <c r="AP42" i="127"/>
  <c r="AB41" i="127"/>
  <c r="G42" i="127"/>
  <c r="AN43" i="127"/>
  <c r="AA42" i="127"/>
  <c r="AD43" i="127"/>
  <c r="AC42" i="127"/>
  <c r="AA41" i="127"/>
  <c r="X42" i="127"/>
  <c r="P42" i="127"/>
  <c r="AT41" i="127"/>
  <c r="AF41" i="127"/>
  <c r="Q43" i="127"/>
  <c r="H43" i="127"/>
  <c r="M42" i="127"/>
  <c r="K41" i="127"/>
  <c r="K42" i="127"/>
  <c r="S41" i="127"/>
  <c r="S43" i="127"/>
  <c r="N119" i="31"/>
  <c r="N56" i="31"/>
  <c r="N18" i="31"/>
  <c r="D198" i="157"/>
  <c r="D197" i="157"/>
  <c r="C189" i="157"/>
  <c r="C188" i="157"/>
  <c r="C187" i="157"/>
  <c r="C186" i="157"/>
  <c r="D169" i="157"/>
  <c r="D168" i="157"/>
  <c r="D167" i="157"/>
  <c r="D166" i="157"/>
  <c r="C126" i="157"/>
  <c r="C125" i="157"/>
  <c r="C124" i="157"/>
  <c r="C123" i="157"/>
  <c r="B1" i="157"/>
  <c r="B2" i="157"/>
  <c r="E197" i="157"/>
  <c r="N163" i="157"/>
  <c r="N122" i="157"/>
  <c r="M122" i="157"/>
  <c r="L122" i="157"/>
  <c r="K122" i="157"/>
  <c r="J122" i="157"/>
  <c r="I122" i="157"/>
  <c r="H122" i="157"/>
  <c r="G122" i="157"/>
  <c r="F122" i="157"/>
  <c r="N113" i="157"/>
  <c r="M113" i="157"/>
  <c r="L113" i="157"/>
  <c r="K113" i="157"/>
  <c r="J113" i="157"/>
  <c r="I113" i="157"/>
  <c r="H113" i="157"/>
  <c r="G113" i="157"/>
  <c r="F113" i="157"/>
  <c r="E105" i="157"/>
  <c r="N198" i="157"/>
  <c r="M198" i="157"/>
  <c r="L198" i="157"/>
  <c r="K198" i="157"/>
  <c r="J198" i="157"/>
  <c r="I198" i="157"/>
  <c r="H198" i="157"/>
  <c r="G198" i="157"/>
  <c r="F198" i="157"/>
  <c r="E102" i="157"/>
  <c r="N100" i="157"/>
  <c r="M100" i="157"/>
  <c r="L100" i="157"/>
  <c r="K100" i="157"/>
  <c r="J100" i="157"/>
  <c r="I100" i="157"/>
  <c r="H100" i="157"/>
  <c r="G100" i="157"/>
  <c r="F100" i="157"/>
  <c r="N61" i="157"/>
  <c r="N56" i="157"/>
  <c r="N51" i="157"/>
  <c r="N46" i="157"/>
  <c r="F43" i="157"/>
  <c r="D231" i="59"/>
  <c r="D119" i="59"/>
  <c r="D120" i="59"/>
  <c r="D114" i="59"/>
  <c r="D115" i="59"/>
  <c r="O17" i="131"/>
  <c r="O18" i="131"/>
  <c r="AV9" i="123"/>
  <c r="AW9" i="123"/>
  <c r="AV10" i="123"/>
  <c r="AW10" i="123"/>
  <c r="AV11" i="123"/>
  <c r="AW11" i="123"/>
  <c r="D175" i="156"/>
  <c r="D174" i="156"/>
  <c r="C165" i="156"/>
  <c r="C164" i="156"/>
  <c r="C163" i="156"/>
  <c r="C162" i="156"/>
  <c r="D145" i="156"/>
  <c r="D144" i="156"/>
  <c r="D143" i="156"/>
  <c r="D142" i="156"/>
  <c r="C133" i="156"/>
  <c r="C132" i="156"/>
  <c r="C131" i="156"/>
  <c r="C130" i="156"/>
  <c r="CW62" i="70"/>
  <c r="D63" i="70"/>
  <c r="D11" i="156"/>
  <c r="D10" i="156"/>
  <c r="D95" i="59"/>
  <c r="H10" i="23"/>
  <c r="I10" i="23"/>
  <c r="B2" i="156"/>
  <c r="B1" i="156"/>
  <c r="E174" i="156"/>
  <c r="N139" i="156"/>
  <c r="N124" i="156"/>
  <c r="M124" i="156"/>
  <c r="L124" i="156"/>
  <c r="K124" i="156"/>
  <c r="J124" i="156"/>
  <c r="I124" i="156"/>
  <c r="H124" i="156"/>
  <c r="G124" i="156"/>
  <c r="F124" i="156"/>
  <c r="E102" i="156"/>
  <c r="E80" i="156"/>
  <c r="N66" i="156"/>
  <c r="N61" i="156"/>
  <c r="N55" i="156"/>
  <c r="N49" i="156"/>
  <c r="N46" i="156"/>
  <c r="N175" i="156"/>
  <c r="M46" i="156"/>
  <c r="M175" i="156"/>
  <c r="L46" i="156"/>
  <c r="L175" i="156"/>
  <c r="K46" i="156"/>
  <c r="K175" i="156"/>
  <c r="J46" i="156"/>
  <c r="J175" i="156"/>
  <c r="I46" i="156"/>
  <c r="I175" i="156"/>
  <c r="H46" i="156"/>
  <c r="H175" i="156"/>
  <c r="G46" i="156"/>
  <c r="G175" i="156"/>
  <c r="F46" i="156"/>
  <c r="F175" i="156"/>
  <c r="M18" i="131"/>
  <c r="AP37" i="127"/>
  <c r="AT37" i="127"/>
  <c r="AL63" i="70"/>
  <c r="AR37" i="127"/>
  <c r="AS37" i="127"/>
  <c r="AL37" i="127"/>
  <c r="AO37" i="127"/>
  <c r="L63" i="70"/>
  <c r="AT63" i="70"/>
  <c r="AS63" i="70"/>
  <c r="G63" i="70"/>
  <c r="AA63" i="70"/>
  <c r="I63" i="70"/>
  <c r="AW63" i="70"/>
  <c r="AB63" i="70"/>
  <c r="AX63" i="70"/>
  <c r="H63" i="70"/>
  <c r="AV63" i="70"/>
  <c r="AN37" i="127"/>
  <c r="M17" i="131"/>
  <c r="J63" i="70"/>
  <c r="AU63" i="70"/>
  <c r="AM37" i="127"/>
  <c r="AU37" i="127"/>
  <c r="AM63" i="70"/>
  <c r="N63" i="70"/>
  <c r="AQ37" i="127"/>
  <c r="K63" i="70"/>
  <c r="M63" i="70"/>
  <c r="AJ63" i="70"/>
  <c r="AY63" i="70"/>
  <c r="P63" i="70"/>
  <c r="O7" i="131"/>
  <c r="M7" i="131"/>
  <c r="N10" i="145"/>
  <c r="D111" i="59"/>
  <c r="D118" i="59"/>
  <c r="D45" i="70"/>
  <c r="D100" i="59"/>
  <c r="D101" i="59"/>
  <c r="D44" i="70"/>
  <c r="D99" i="59"/>
  <c r="D201" i="139"/>
  <c r="D202" i="139"/>
  <c r="D203" i="139"/>
  <c r="D204" i="139"/>
  <c r="D205" i="139"/>
  <c r="D206" i="139"/>
  <c r="D207" i="139"/>
  <c r="D208" i="139"/>
  <c r="D200" i="139"/>
  <c r="D191" i="139"/>
  <c r="D190" i="139"/>
  <c r="C181" i="139"/>
  <c r="C180" i="139"/>
  <c r="C179" i="139"/>
  <c r="C178" i="139"/>
  <c r="C121" i="139"/>
  <c r="C122" i="139"/>
  <c r="C123" i="139"/>
  <c r="C120" i="139"/>
  <c r="D159" i="139"/>
  <c r="D160" i="139"/>
  <c r="D161" i="139"/>
  <c r="D158" i="139"/>
  <c r="D59" i="70"/>
  <c r="D129" i="146"/>
  <c r="D130" i="146"/>
  <c r="D131" i="146"/>
  <c r="D132" i="146"/>
  <c r="D133" i="146"/>
  <c r="D128" i="146"/>
  <c r="D120" i="146"/>
  <c r="D110" i="146"/>
  <c r="D109" i="146"/>
  <c r="D65" i="146"/>
  <c r="D36" i="146"/>
  <c r="D31" i="146"/>
  <c r="H16" i="23"/>
  <c r="I16" i="23"/>
  <c r="B2" i="146"/>
  <c r="B1" i="146"/>
  <c r="D131" i="147"/>
  <c r="D130" i="147"/>
  <c r="D129" i="147"/>
  <c r="D128" i="147"/>
  <c r="D127" i="147"/>
  <c r="D126" i="147"/>
  <c r="O123" i="147"/>
  <c r="E118" i="147"/>
  <c r="D118" i="147"/>
  <c r="E117" i="147"/>
  <c r="D108" i="147"/>
  <c r="D107" i="147"/>
  <c r="O104" i="147"/>
  <c r="E100" i="147"/>
  <c r="E99" i="147"/>
  <c r="E98" i="147"/>
  <c r="E95" i="147"/>
  <c r="E94" i="147"/>
  <c r="E93" i="147"/>
  <c r="E90" i="147"/>
  <c r="E89" i="147"/>
  <c r="E88" i="147"/>
  <c r="E75" i="147"/>
  <c r="E74" i="147"/>
  <c r="E71" i="147"/>
  <c r="E68" i="147"/>
  <c r="D63" i="147"/>
  <c r="N60" i="147"/>
  <c r="N50" i="147"/>
  <c r="N43" i="147"/>
  <c r="F38" i="147"/>
  <c r="D36" i="147"/>
  <c r="D31" i="147"/>
  <c r="N13" i="147"/>
  <c r="B2" i="147"/>
  <c r="B1" i="147"/>
  <c r="H15" i="23"/>
  <c r="I15" i="23"/>
  <c r="D129" i="145"/>
  <c r="D130" i="145"/>
  <c r="D131" i="145"/>
  <c r="D132" i="145"/>
  <c r="D133" i="145"/>
  <c r="D128" i="145"/>
  <c r="D120" i="145"/>
  <c r="D110" i="145"/>
  <c r="D109" i="145"/>
  <c r="D63" i="145"/>
  <c r="D36" i="145"/>
  <c r="D31" i="145"/>
  <c r="B2" i="145"/>
  <c r="B1" i="145"/>
  <c r="D133" i="144"/>
  <c r="D134" i="144"/>
  <c r="D135" i="144"/>
  <c r="D136" i="144"/>
  <c r="D137" i="144"/>
  <c r="D132" i="144"/>
  <c r="D112" i="144"/>
  <c r="D111" i="144"/>
  <c r="D71" i="144"/>
  <c r="D34" i="144"/>
  <c r="H14" i="23"/>
  <c r="I14" i="23"/>
  <c r="B2" i="144"/>
  <c r="B1" i="144"/>
  <c r="D133" i="143"/>
  <c r="D134" i="143"/>
  <c r="D135" i="143"/>
  <c r="D136" i="143"/>
  <c r="D137" i="143"/>
  <c r="D132" i="143"/>
  <c r="D112" i="143"/>
  <c r="D111" i="143"/>
  <c r="D71" i="143"/>
  <c r="D34" i="143"/>
  <c r="B2" i="143"/>
  <c r="B1" i="143"/>
  <c r="D136" i="142"/>
  <c r="D137" i="142"/>
  <c r="D138" i="142"/>
  <c r="D139" i="142"/>
  <c r="D140" i="142"/>
  <c r="D135" i="142"/>
  <c r="D116" i="142"/>
  <c r="D115" i="142"/>
  <c r="B2" i="142"/>
  <c r="B1" i="142"/>
  <c r="D163" i="141"/>
  <c r="D164" i="141"/>
  <c r="D165" i="141"/>
  <c r="D166" i="141"/>
  <c r="D167" i="141"/>
  <c r="D168" i="141"/>
  <c r="D169" i="141"/>
  <c r="D170" i="141"/>
  <c r="D162" i="141"/>
  <c r="D153" i="141"/>
  <c r="D152" i="141"/>
  <c r="D140" i="141"/>
  <c r="D141" i="141"/>
  <c r="D142" i="141"/>
  <c r="D143" i="141"/>
  <c r="D93" i="141"/>
  <c r="D46" i="141"/>
  <c r="D41" i="141"/>
  <c r="D36" i="141"/>
  <c r="B2" i="141"/>
  <c r="B1" i="141"/>
  <c r="D208" i="140"/>
  <c r="D209" i="140"/>
  <c r="D210" i="140"/>
  <c r="D211" i="140"/>
  <c r="D212" i="140"/>
  <c r="D213" i="140"/>
  <c r="D214" i="140"/>
  <c r="D215" i="140"/>
  <c r="D207" i="140"/>
  <c r="D198" i="140"/>
  <c r="D197" i="140"/>
  <c r="C189" i="140"/>
  <c r="C188" i="140"/>
  <c r="C187" i="140"/>
  <c r="C186" i="140"/>
  <c r="D167" i="140"/>
  <c r="D168" i="140"/>
  <c r="D169" i="140"/>
  <c r="D166" i="140"/>
  <c r="C128" i="140"/>
  <c r="C127" i="140"/>
  <c r="C126" i="140"/>
  <c r="C125" i="140"/>
  <c r="B1" i="140"/>
  <c r="B2" i="140"/>
  <c r="B2" i="139"/>
  <c r="B1" i="139"/>
  <c r="O125" i="146"/>
  <c r="E120" i="146"/>
  <c r="E119" i="146"/>
  <c r="O106" i="146"/>
  <c r="E102" i="146"/>
  <c r="E101" i="146"/>
  <c r="E100" i="146"/>
  <c r="E97" i="146"/>
  <c r="E96" i="146"/>
  <c r="E95" i="146"/>
  <c r="E92" i="146"/>
  <c r="E91" i="146"/>
  <c r="E90" i="146"/>
  <c r="E77" i="146"/>
  <c r="E76" i="146"/>
  <c r="E73" i="146"/>
  <c r="E70" i="146"/>
  <c r="N62" i="146"/>
  <c r="N52" i="146"/>
  <c r="N45" i="146"/>
  <c r="E39" i="146"/>
  <c r="N13" i="146"/>
  <c r="O125" i="145"/>
  <c r="E120" i="145"/>
  <c r="E119" i="145"/>
  <c r="O106" i="145"/>
  <c r="E102" i="145"/>
  <c r="E101" i="145"/>
  <c r="E100" i="145"/>
  <c r="E97" i="145"/>
  <c r="E96" i="145"/>
  <c r="E95" i="145"/>
  <c r="E92" i="145"/>
  <c r="E91" i="145"/>
  <c r="E90" i="145"/>
  <c r="E75" i="145"/>
  <c r="E74" i="145"/>
  <c r="E71" i="145"/>
  <c r="E68" i="145"/>
  <c r="N60" i="145"/>
  <c r="N50" i="145"/>
  <c r="N43" i="145"/>
  <c r="F38" i="145"/>
  <c r="N13" i="145"/>
  <c r="O129" i="144"/>
  <c r="E124" i="144"/>
  <c r="E123" i="144"/>
  <c r="D122" i="144"/>
  <c r="E121" i="144"/>
  <c r="O108" i="144"/>
  <c r="E102" i="144"/>
  <c r="E101" i="144"/>
  <c r="E100" i="144"/>
  <c r="E97" i="144"/>
  <c r="E96" i="144"/>
  <c r="E95" i="144"/>
  <c r="E92" i="144"/>
  <c r="E91" i="144"/>
  <c r="E90" i="144"/>
  <c r="E84" i="144"/>
  <c r="E83" i="144"/>
  <c r="C82" i="144"/>
  <c r="E79" i="144"/>
  <c r="E75" i="144"/>
  <c r="N68" i="144"/>
  <c r="N58" i="144"/>
  <c r="N51" i="144"/>
  <c r="G41" i="144"/>
  <c r="G40" i="144"/>
  <c r="G39" i="144"/>
  <c r="N13" i="144"/>
  <c r="N129" i="143"/>
  <c r="E124" i="143"/>
  <c r="E123" i="143"/>
  <c r="D122" i="143"/>
  <c r="E121" i="143"/>
  <c r="N108" i="143"/>
  <c r="E102" i="143"/>
  <c r="E101" i="143"/>
  <c r="E100" i="143"/>
  <c r="E97" i="143"/>
  <c r="E96" i="143"/>
  <c r="E95" i="143"/>
  <c r="E92" i="143"/>
  <c r="E91" i="143"/>
  <c r="E90" i="143"/>
  <c r="E84" i="143"/>
  <c r="E83" i="143"/>
  <c r="C82" i="143"/>
  <c r="E79" i="143"/>
  <c r="E75" i="143"/>
  <c r="N68" i="143"/>
  <c r="N58" i="143"/>
  <c r="N51" i="143"/>
  <c r="G41" i="143"/>
  <c r="G40" i="143"/>
  <c r="G39" i="143"/>
  <c r="N13" i="143"/>
  <c r="E126" i="142"/>
  <c r="E125" i="142"/>
  <c r="O112" i="142"/>
  <c r="E108" i="142"/>
  <c r="E107" i="142"/>
  <c r="E106" i="142"/>
  <c r="E103" i="142"/>
  <c r="E102" i="142"/>
  <c r="E101" i="142"/>
  <c r="E98" i="142"/>
  <c r="E97" i="142"/>
  <c r="E96" i="142"/>
  <c r="E93" i="142"/>
  <c r="E88" i="142"/>
  <c r="E85" i="142"/>
  <c r="N78" i="142"/>
  <c r="N68" i="142"/>
  <c r="N61" i="142"/>
  <c r="G44" i="142"/>
  <c r="G43" i="142"/>
  <c r="N21" i="142"/>
  <c r="O159" i="141"/>
  <c r="N153" i="141"/>
  <c r="M153" i="141"/>
  <c r="L153" i="141"/>
  <c r="K153" i="141"/>
  <c r="J153" i="141"/>
  <c r="I153" i="141"/>
  <c r="H153" i="141"/>
  <c r="G153" i="141"/>
  <c r="F153" i="141"/>
  <c r="E152" i="141"/>
  <c r="O137" i="141"/>
  <c r="E133" i="141"/>
  <c r="E132" i="141"/>
  <c r="E131" i="141"/>
  <c r="E130" i="141"/>
  <c r="E127" i="141"/>
  <c r="E126" i="141"/>
  <c r="E125" i="141"/>
  <c r="E124" i="141"/>
  <c r="E121" i="141"/>
  <c r="E120" i="141"/>
  <c r="E119" i="141"/>
  <c r="E118" i="141"/>
  <c r="E114" i="141"/>
  <c r="E112" i="141"/>
  <c r="E111" i="141"/>
  <c r="E100" i="141"/>
  <c r="E97" i="141"/>
  <c r="N90" i="141"/>
  <c r="N80" i="141"/>
  <c r="N73" i="141"/>
  <c r="N66" i="141"/>
  <c r="N59" i="141"/>
  <c r="G52" i="141"/>
  <c r="N198" i="140"/>
  <c r="M198" i="140"/>
  <c r="L198" i="140"/>
  <c r="K198" i="140"/>
  <c r="J198" i="140"/>
  <c r="I198" i="140"/>
  <c r="H198" i="140"/>
  <c r="G198" i="140"/>
  <c r="F198" i="140"/>
  <c r="E197" i="140"/>
  <c r="N163" i="140"/>
  <c r="E158" i="140"/>
  <c r="E157" i="140"/>
  <c r="E156" i="140"/>
  <c r="E153" i="140"/>
  <c r="E152" i="140"/>
  <c r="E151" i="140"/>
  <c r="E148" i="140"/>
  <c r="E147" i="140"/>
  <c r="E146" i="140"/>
  <c r="E133" i="140"/>
  <c r="N120" i="140"/>
  <c r="M120" i="140"/>
  <c r="L120" i="140"/>
  <c r="K120" i="140"/>
  <c r="J120" i="140"/>
  <c r="I120" i="140"/>
  <c r="H120" i="140"/>
  <c r="G120" i="140"/>
  <c r="F120" i="140"/>
  <c r="E107" i="140"/>
  <c r="E104" i="140"/>
  <c r="C80" i="140"/>
  <c r="C71" i="140"/>
  <c r="N62" i="140"/>
  <c r="N57" i="140"/>
  <c r="N52" i="140"/>
  <c r="N47" i="140"/>
  <c r="F44" i="140"/>
  <c r="E190" i="139"/>
  <c r="N155" i="139"/>
  <c r="E150" i="139"/>
  <c r="E149" i="139"/>
  <c r="E148" i="139"/>
  <c r="E145" i="139"/>
  <c r="E144" i="139"/>
  <c r="E143" i="139"/>
  <c r="E140" i="139"/>
  <c r="E139" i="139"/>
  <c r="E138" i="139"/>
  <c r="E127" i="139"/>
  <c r="N115" i="139"/>
  <c r="M115" i="139"/>
  <c r="L115" i="139"/>
  <c r="K115" i="139"/>
  <c r="J115" i="139"/>
  <c r="I115" i="139"/>
  <c r="H115" i="139"/>
  <c r="G115" i="139"/>
  <c r="F115" i="139"/>
  <c r="N191" i="139"/>
  <c r="M191" i="139"/>
  <c r="L191" i="139"/>
  <c r="K191" i="139"/>
  <c r="J191" i="139"/>
  <c r="I191" i="139"/>
  <c r="H191" i="139"/>
  <c r="G191" i="139"/>
  <c r="F191" i="139"/>
  <c r="E98" i="139"/>
  <c r="C76" i="139"/>
  <c r="C68" i="139"/>
  <c r="N59" i="139"/>
  <c r="N54" i="139"/>
  <c r="N49" i="139"/>
  <c r="N44" i="139"/>
  <c r="F41" i="139"/>
  <c r="F112" i="141"/>
  <c r="D473" i="41"/>
  <c r="D472" i="41"/>
  <c r="N469" i="41"/>
  <c r="D451" i="41"/>
  <c r="D442" i="41"/>
  <c r="D439" i="41"/>
  <c r="E298" i="41"/>
  <c r="E299" i="41"/>
  <c r="E287" i="41"/>
  <c r="E286" i="41"/>
  <c r="D150" i="41"/>
  <c r="N121" i="41"/>
  <c r="N78" i="41"/>
  <c r="AM44" i="70"/>
  <c r="K59" i="70"/>
  <c r="I45" i="70"/>
  <c r="I44" i="70"/>
  <c r="AJ59" i="70"/>
  <c r="G59" i="70"/>
  <c r="AX45" i="70"/>
  <c r="AS44" i="70"/>
  <c r="AT59" i="70"/>
  <c r="AV59" i="70"/>
  <c r="AA44" i="70"/>
  <c r="AM59" i="70"/>
  <c r="N44" i="70"/>
  <c r="AL45" i="70"/>
  <c r="H44" i="70"/>
  <c r="AM45" i="70"/>
  <c r="J45" i="70"/>
  <c r="AB44" i="70"/>
  <c r="AW44" i="70"/>
  <c r="G45" i="70"/>
  <c r="AA45" i="70"/>
  <c r="AB45" i="70"/>
  <c r="M45" i="70"/>
  <c r="M44" i="70"/>
  <c r="AA59" i="70"/>
  <c r="N45" i="70"/>
  <c r="AJ45" i="70"/>
  <c r="AJ44" i="70"/>
  <c r="AS59" i="70"/>
  <c r="AB59" i="70"/>
  <c r="L44" i="70"/>
  <c r="AW59" i="70"/>
  <c r="AU44" i="70"/>
  <c r="J59" i="70"/>
  <c r="K45" i="70"/>
  <c r="H45" i="70"/>
  <c r="H59" i="70"/>
  <c r="I59" i="70"/>
  <c r="BA45" i="70"/>
  <c r="AV45" i="70"/>
  <c r="K44" i="70"/>
  <c r="AT44" i="70"/>
  <c r="L45" i="70"/>
  <c r="AL59" i="70"/>
  <c r="AX59" i="70"/>
  <c r="L59" i="70"/>
  <c r="BB45" i="70"/>
  <c r="M59" i="70"/>
  <c r="BB44" i="70"/>
  <c r="AS45" i="70"/>
  <c r="AL44" i="70"/>
  <c r="AU45" i="70"/>
  <c r="AX44" i="70"/>
  <c r="N59" i="70"/>
  <c r="J44" i="70"/>
  <c r="G44" i="70"/>
  <c r="BA44" i="70"/>
  <c r="AW45" i="70"/>
  <c r="AU59" i="70"/>
  <c r="AY59" i="70"/>
  <c r="BC45" i="70"/>
  <c r="BC44" i="70"/>
  <c r="P44" i="70"/>
  <c r="P59" i="70"/>
  <c r="P45" i="70"/>
  <c r="CW44" i="70"/>
  <c r="CW45" i="70"/>
  <c r="I41" i="40"/>
  <c r="BE153" i="59"/>
  <c r="BB153" i="59"/>
  <c r="BC153" i="59"/>
  <c r="AZ153" i="59"/>
  <c r="BA153" i="59"/>
  <c r="BF153" i="59"/>
  <c r="BD153" i="59"/>
  <c r="AY153" i="59"/>
  <c r="N160" i="40"/>
  <c r="N109" i="40"/>
  <c r="M109" i="40"/>
  <c r="L109" i="40"/>
  <c r="K109" i="40"/>
  <c r="J109" i="40"/>
  <c r="I109" i="40"/>
  <c r="H109" i="40"/>
  <c r="G109" i="40"/>
  <c r="F160" i="40"/>
  <c r="H160" i="40"/>
  <c r="J160" i="40"/>
  <c r="L160" i="40"/>
  <c r="G160" i="40"/>
  <c r="I160" i="40"/>
  <c r="K160" i="40"/>
  <c r="M160" i="40"/>
  <c r="D111" i="138"/>
  <c r="D110" i="138"/>
  <c r="E107" i="138"/>
  <c r="E103" i="138"/>
  <c r="E102" i="138"/>
  <c r="E101" i="138"/>
  <c r="E98" i="138"/>
  <c r="E97" i="138"/>
  <c r="E96" i="138"/>
  <c r="E93" i="138"/>
  <c r="E92" i="138"/>
  <c r="E91" i="138"/>
  <c r="E80" i="138"/>
  <c r="C80" i="138"/>
  <c r="C76" i="138"/>
  <c r="E75" i="138"/>
  <c r="D69" i="138"/>
  <c r="F49" i="138"/>
  <c r="C46" i="138"/>
  <c r="D40" i="138"/>
  <c r="G24" i="138"/>
  <c r="N14" i="138"/>
  <c r="B2" i="138"/>
  <c r="B1" i="138"/>
  <c r="C51" i="137"/>
  <c r="N152" i="137"/>
  <c r="D135" i="137"/>
  <c r="D134" i="137"/>
  <c r="N131" i="137"/>
  <c r="E127" i="137"/>
  <c r="E126" i="137"/>
  <c r="E125" i="137"/>
  <c r="E122" i="137"/>
  <c r="E121" i="137"/>
  <c r="E120" i="137"/>
  <c r="E117" i="137"/>
  <c r="E116" i="137"/>
  <c r="E115" i="137"/>
  <c r="D108" i="137"/>
  <c r="D104" i="137"/>
  <c r="D98" i="137"/>
  <c r="E89" i="137"/>
  <c r="C89" i="137"/>
  <c r="C85" i="137"/>
  <c r="E84" i="137"/>
  <c r="E82" i="137"/>
  <c r="D65" i="137"/>
  <c r="D41" i="137"/>
  <c r="G24" i="137"/>
  <c r="N15" i="137"/>
  <c r="B2" i="137"/>
  <c r="B1" i="137"/>
  <c r="D156" i="62"/>
  <c r="J32" i="49"/>
  <c r="I32" i="49"/>
  <c r="H32" i="49"/>
  <c r="J31" i="62"/>
  <c r="I31" i="62"/>
  <c r="H31" i="62"/>
  <c r="E116" i="62"/>
  <c r="E117" i="62"/>
  <c r="D158" i="62"/>
  <c r="D159" i="62"/>
  <c r="C117" i="62"/>
  <c r="C116" i="62"/>
  <c r="C103" i="62"/>
  <c r="C104" i="62"/>
  <c r="D93" i="62"/>
  <c r="D94" i="62"/>
  <c r="D160" i="49"/>
  <c r="D161" i="49"/>
  <c r="D162" i="49"/>
  <c r="D153" i="49"/>
  <c r="D154" i="49"/>
  <c r="D155" i="49"/>
  <c r="D144" i="49"/>
  <c r="D145" i="49"/>
  <c r="D146" i="49"/>
  <c r="W4" i="70"/>
  <c r="I4" i="70"/>
  <c r="D194" i="49"/>
  <c r="D196" i="49"/>
  <c r="D197" i="49"/>
  <c r="D198" i="49"/>
  <c r="E132" i="49"/>
  <c r="E133" i="49"/>
  <c r="E134" i="49"/>
  <c r="C132" i="49"/>
  <c r="C134" i="49"/>
  <c r="I34" i="70"/>
  <c r="I19" i="70"/>
  <c r="I42" i="70"/>
  <c r="I23" i="70"/>
  <c r="I57" i="70"/>
  <c r="I9" i="70"/>
  <c r="I39" i="70"/>
  <c r="I22" i="70"/>
  <c r="I11" i="70"/>
  <c r="I38" i="70"/>
  <c r="I35" i="70"/>
  <c r="I61" i="70"/>
  <c r="I46" i="70"/>
  <c r="I53" i="70"/>
  <c r="I49" i="70"/>
  <c r="I43" i="70"/>
  <c r="I24" i="70"/>
  <c r="I64" i="70"/>
  <c r="I10" i="70"/>
  <c r="I20" i="70"/>
  <c r="I36" i="70"/>
  <c r="I40" i="70"/>
  <c r="I50" i="70"/>
  <c r="I54" i="70"/>
  <c r="I12" i="70"/>
  <c r="I47" i="70"/>
  <c r="I66" i="70"/>
  <c r="I13" i="70"/>
  <c r="C119" i="49"/>
  <c r="C117" i="49"/>
  <c r="D94" i="49"/>
  <c r="D95" i="49"/>
  <c r="D96" i="49"/>
  <c r="F147" i="39"/>
  <c r="I39" i="39"/>
  <c r="G27" i="39"/>
  <c r="G28" i="39"/>
  <c r="G29" i="39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1" i="6"/>
  <c r="D102" i="6"/>
  <c r="D103" i="6"/>
  <c r="D85" i="6"/>
  <c r="D220" i="59"/>
  <c r="D240" i="59"/>
  <c r="D113" i="59"/>
  <c r="D94" i="59"/>
  <c r="O15" i="131"/>
  <c r="I120" i="127"/>
  <c r="J120" i="127"/>
  <c r="K120" i="127"/>
  <c r="L120" i="127"/>
  <c r="M120" i="127"/>
  <c r="T120" i="127"/>
  <c r="U120" i="127"/>
  <c r="V120" i="127"/>
  <c r="W120" i="127"/>
  <c r="X120" i="127"/>
  <c r="AE120" i="127"/>
  <c r="AF120" i="127"/>
  <c r="AG120" i="127"/>
  <c r="AH120" i="127"/>
  <c r="AI120" i="127"/>
  <c r="AP120" i="127"/>
  <c r="AQ120" i="127"/>
  <c r="AR120" i="127"/>
  <c r="AS120" i="127"/>
  <c r="AT120" i="127"/>
  <c r="AV94" i="123"/>
  <c r="AW94" i="123"/>
  <c r="AV49" i="123"/>
  <c r="AW49" i="123"/>
  <c r="AV5" i="123"/>
  <c r="AW5" i="123"/>
  <c r="H9" i="23"/>
  <c r="I9" i="23"/>
  <c r="E9" i="6"/>
  <c r="E53" i="6"/>
  <c r="D52" i="135"/>
  <c r="D51" i="135"/>
  <c r="D50" i="135"/>
  <c r="D49" i="135"/>
  <c r="D48" i="135"/>
  <c r="M46" i="135"/>
  <c r="D42" i="135"/>
  <c r="D41" i="135"/>
  <c r="D40" i="135"/>
  <c r="D39" i="135"/>
  <c r="D38" i="135"/>
  <c r="D37" i="135"/>
  <c r="D36" i="135"/>
  <c r="D35" i="135"/>
  <c r="D34" i="135"/>
  <c r="D33" i="135"/>
  <c r="D32" i="135"/>
  <c r="D31" i="135"/>
  <c r="D30" i="135"/>
  <c r="D29" i="135"/>
  <c r="M27" i="135"/>
  <c r="L325" i="41"/>
  <c r="L337" i="41"/>
  <c r="M15" i="135"/>
  <c r="D20" i="135"/>
  <c r="D19" i="135"/>
  <c r="D18" i="135"/>
  <c r="D10" i="135"/>
  <c r="D9" i="135"/>
  <c r="D8" i="135"/>
  <c r="D7" i="135"/>
  <c r="D6" i="135"/>
  <c r="J212" i="123"/>
  <c r="J213" i="123"/>
  <c r="J214" i="123"/>
  <c r="F76" i="6"/>
  <c r="O19" i="131"/>
  <c r="O16" i="131"/>
  <c r="O14" i="131"/>
  <c r="O13" i="131"/>
  <c r="O12" i="131"/>
  <c r="O11" i="131"/>
  <c r="P12" i="131"/>
  <c r="P11" i="131"/>
  <c r="O10" i="131"/>
  <c r="O9" i="131"/>
  <c r="O8" i="131"/>
  <c r="O6" i="131"/>
  <c r="O5" i="131"/>
  <c r="P10" i="131"/>
  <c r="P9" i="131"/>
  <c r="P8" i="131"/>
  <c r="P6" i="131"/>
  <c r="P5" i="131"/>
  <c r="M126" i="133"/>
  <c r="D127" i="133"/>
  <c r="M112" i="133"/>
  <c r="D86" i="133"/>
  <c r="D85" i="133"/>
  <c r="D84" i="133"/>
  <c r="D83" i="133"/>
  <c r="D82" i="133"/>
  <c r="D81" i="133"/>
  <c r="D80" i="133"/>
  <c r="D79" i="133"/>
  <c r="D78" i="133"/>
  <c r="D77" i="133"/>
  <c r="D76" i="133"/>
  <c r="D75" i="133"/>
  <c r="D74" i="133"/>
  <c r="D73" i="133"/>
  <c r="M71" i="133"/>
  <c r="M101" i="133"/>
  <c r="M90" i="133"/>
  <c r="D25" i="133"/>
  <c r="D44" i="133"/>
  <c r="D62" i="133"/>
  <c r="D23" i="133"/>
  <c r="D42" i="133"/>
  <c r="D60" i="133"/>
  <c r="D21" i="133"/>
  <c r="D40" i="133"/>
  <c r="D58" i="133"/>
  <c r="D57" i="133"/>
  <c r="D19" i="133"/>
  <c r="D38" i="133"/>
  <c r="D56" i="133"/>
  <c r="D54" i="133"/>
  <c r="D16" i="133"/>
  <c r="D35" i="133"/>
  <c r="D53" i="133"/>
  <c r="D15" i="133"/>
  <c r="D34" i="133"/>
  <c r="D52" i="133"/>
  <c r="D26" i="133"/>
  <c r="D24" i="133"/>
  <c r="D22" i="133"/>
  <c r="D20" i="133"/>
  <c r="D18" i="133"/>
  <c r="D37" i="133"/>
  <c r="D17" i="133"/>
  <c r="D14" i="133"/>
  <c r="D33" i="133"/>
  <c r="D13" i="133"/>
  <c r="D32" i="133"/>
  <c r="M11" i="133"/>
  <c r="C217" i="127"/>
  <c r="D217" i="127"/>
  <c r="R73" i="127"/>
  <c r="E217" i="127"/>
  <c r="S73" i="127"/>
  <c r="T73" i="127"/>
  <c r="U73" i="127"/>
  <c r="V73" i="127"/>
  <c r="W73" i="127"/>
  <c r="X73" i="127"/>
  <c r="Y73" i="127"/>
  <c r="F217" i="127"/>
  <c r="F73" i="127"/>
  <c r="G217" i="127"/>
  <c r="G73" i="127"/>
  <c r="H217" i="127"/>
  <c r="H73" i="127"/>
  <c r="I73" i="127"/>
  <c r="J73" i="127"/>
  <c r="K73" i="127"/>
  <c r="L73" i="127"/>
  <c r="M73" i="127"/>
  <c r="N73" i="127"/>
  <c r="I217" i="127"/>
  <c r="AB73" i="127"/>
  <c r="AA73" i="127"/>
  <c r="J217" i="127"/>
  <c r="AC73" i="127"/>
  <c r="K217" i="127"/>
  <c r="AD73" i="127"/>
  <c r="AE73" i="127"/>
  <c r="AF73" i="127"/>
  <c r="AG73" i="127"/>
  <c r="AH73" i="127"/>
  <c r="AI73" i="127"/>
  <c r="AJ73" i="127"/>
  <c r="L217" i="127"/>
  <c r="AM73" i="127"/>
  <c r="AL73" i="127"/>
  <c r="M217" i="127"/>
  <c r="N217" i="127"/>
  <c r="AO73" i="127"/>
  <c r="AP73" i="127"/>
  <c r="AQ73" i="127"/>
  <c r="AR73" i="127"/>
  <c r="AS73" i="127"/>
  <c r="AT73" i="127"/>
  <c r="AU73" i="127"/>
  <c r="I118" i="127"/>
  <c r="J118" i="127"/>
  <c r="K118" i="127"/>
  <c r="L118" i="127"/>
  <c r="M118" i="127"/>
  <c r="T118" i="127"/>
  <c r="U118" i="127"/>
  <c r="V118" i="127"/>
  <c r="W118" i="127"/>
  <c r="X118" i="127"/>
  <c r="AE118" i="127"/>
  <c r="AF118" i="127"/>
  <c r="AG118" i="127"/>
  <c r="AH118" i="127"/>
  <c r="AI118" i="127"/>
  <c r="AP118" i="127"/>
  <c r="AQ118" i="127"/>
  <c r="AR118" i="127"/>
  <c r="AS118" i="127"/>
  <c r="AT118" i="127"/>
  <c r="I119" i="127"/>
  <c r="J119" i="127"/>
  <c r="K119" i="127"/>
  <c r="L119" i="127"/>
  <c r="M119" i="127"/>
  <c r="T119" i="127"/>
  <c r="U119" i="127"/>
  <c r="V119" i="127"/>
  <c r="W119" i="127"/>
  <c r="X119" i="127"/>
  <c r="AE119" i="127"/>
  <c r="AF119" i="127"/>
  <c r="AG119" i="127"/>
  <c r="AH119" i="127"/>
  <c r="AI119" i="127"/>
  <c r="AP119" i="127"/>
  <c r="AQ119" i="127"/>
  <c r="AR119" i="127"/>
  <c r="AS119" i="127"/>
  <c r="AT119" i="127"/>
  <c r="I131" i="127"/>
  <c r="J131" i="127"/>
  <c r="K131" i="127"/>
  <c r="L131" i="127"/>
  <c r="M131" i="127"/>
  <c r="T131" i="127"/>
  <c r="U131" i="127"/>
  <c r="V131" i="127"/>
  <c r="W131" i="127"/>
  <c r="X131" i="127"/>
  <c r="AE131" i="127"/>
  <c r="AF131" i="127"/>
  <c r="AG131" i="127"/>
  <c r="AH131" i="127"/>
  <c r="AI131" i="127"/>
  <c r="AP131" i="127"/>
  <c r="AQ131" i="127"/>
  <c r="AR131" i="127"/>
  <c r="AS131" i="127"/>
  <c r="AT131" i="127"/>
  <c r="I132" i="127"/>
  <c r="J132" i="127"/>
  <c r="K132" i="127"/>
  <c r="L132" i="127"/>
  <c r="M132" i="127"/>
  <c r="T132" i="127"/>
  <c r="U132" i="127"/>
  <c r="V132" i="127"/>
  <c r="W132" i="127"/>
  <c r="X132" i="127"/>
  <c r="AE132" i="127"/>
  <c r="AF132" i="127"/>
  <c r="AG132" i="127"/>
  <c r="AH132" i="127"/>
  <c r="AI132" i="127"/>
  <c r="AP132" i="127"/>
  <c r="AQ132" i="127"/>
  <c r="AR132" i="127"/>
  <c r="AS132" i="127"/>
  <c r="AT132" i="127"/>
  <c r="I138" i="127"/>
  <c r="J138" i="127"/>
  <c r="K138" i="127"/>
  <c r="L138" i="127"/>
  <c r="M138" i="127"/>
  <c r="T138" i="127"/>
  <c r="U138" i="127"/>
  <c r="V138" i="127"/>
  <c r="W138" i="127"/>
  <c r="X138" i="127"/>
  <c r="AE138" i="127"/>
  <c r="AF138" i="127"/>
  <c r="AG138" i="127"/>
  <c r="AH138" i="127"/>
  <c r="AI138" i="127"/>
  <c r="AP138" i="127"/>
  <c r="AQ138" i="127"/>
  <c r="AR138" i="127"/>
  <c r="AS138" i="127"/>
  <c r="AT138" i="127"/>
  <c r="I139" i="127"/>
  <c r="J139" i="127"/>
  <c r="K139" i="127"/>
  <c r="L139" i="127"/>
  <c r="M139" i="127"/>
  <c r="T139" i="127"/>
  <c r="U139" i="127"/>
  <c r="V139" i="127"/>
  <c r="W139" i="127"/>
  <c r="X139" i="127"/>
  <c r="AE139" i="127"/>
  <c r="AF139" i="127"/>
  <c r="AG139" i="127"/>
  <c r="AH139" i="127"/>
  <c r="AI139" i="127"/>
  <c r="AP139" i="127"/>
  <c r="AQ139" i="127"/>
  <c r="AR139" i="127"/>
  <c r="AS139" i="127"/>
  <c r="AT139" i="127"/>
  <c r="I140" i="127"/>
  <c r="J140" i="127"/>
  <c r="K140" i="127"/>
  <c r="L140" i="127"/>
  <c r="M140" i="127"/>
  <c r="T140" i="127"/>
  <c r="U140" i="127"/>
  <c r="V140" i="127"/>
  <c r="W140" i="127"/>
  <c r="X140" i="127"/>
  <c r="AE140" i="127"/>
  <c r="AF140" i="127"/>
  <c r="AG140" i="127"/>
  <c r="AH140" i="127"/>
  <c r="AI140" i="127"/>
  <c r="AP140" i="127"/>
  <c r="AQ140" i="127"/>
  <c r="AR140" i="127"/>
  <c r="AS140" i="127"/>
  <c r="AT140" i="127"/>
  <c r="I141" i="127"/>
  <c r="J141" i="127"/>
  <c r="K141" i="127"/>
  <c r="L141" i="127"/>
  <c r="M141" i="127"/>
  <c r="T141" i="127"/>
  <c r="U141" i="127"/>
  <c r="V141" i="127"/>
  <c r="W141" i="127"/>
  <c r="X141" i="127"/>
  <c r="AE141" i="127"/>
  <c r="AF141" i="127"/>
  <c r="AG141" i="127"/>
  <c r="AH141" i="127"/>
  <c r="AI141" i="127"/>
  <c r="AP141" i="127"/>
  <c r="AQ141" i="127"/>
  <c r="AR141" i="127"/>
  <c r="AS141" i="127"/>
  <c r="AT141" i="127"/>
  <c r="I142" i="127"/>
  <c r="J142" i="127"/>
  <c r="K142" i="127"/>
  <c r="L142" i="127"/>
  <c r="M142" i="127"/>
  <c r="T142" i="127"/>
  <c r="U142" i="127"/>
  <c r="V142" i="127"/>
  <c r="W142" i="127"/>
  <c r="X142" i="127"/>
  <c r="AE142" i="127"/>
  <c r="AF142" i="127"/>
  <c r="AG142" i="127"/>
  <c r="AH142" i="127"/>
  <c r="AI142" i="127"/>
  <c r="AP142" i="127"/>
  <c r="AQ142" i="127"/>
  <c r="AR142" i="127"/>
  <c r="AS142" i="127"/>
  <c r="AT142" i="127"/>
  <c r="I143" i="127"/>
  <c r="J143" i="127"/>
  <c r="K143" i="127"/>
  <c r="L143" i="127"/>
  <c r="M143" i="127"/>
  <c r="T143" i="127"/>
  <c r="U143" i="127"/>
  <c r="V143" i="127"/>
  <c r="W143" i="127"/>
  <c r="X143" i="127"/>
  <c r="AE143" i="127"/>
  <c r="AF143" i="127"/>
  <c r="AG143" i="127"/>
  <c r="AH143" i="127"/>
  <c r="AI143" i="127"/>
  <c r="AP143" i="127"/>
  <c r="AQ143" i="127"/>
  <c r="AR143" i="127"/>
  <c r="AS143" i="127"/>
  <c r="AT143" i="127"/>
  <c r="I144" i="127"/>
  <c r="J144" i="127"/>
  <c r="K144" i="127"/>
  <c r="L144" i="127"/>
  <c r="M144" i="127"/>
  <c r="T144" i="127"/>
  <c r="U144" i="127"/>
  <c r="V144" i="127"/>
  <c r="W144" i="127"/>
  <c r="X144" i="127"/>
  <c r="AE144" i="127"/>
  <c r="AF144" i="127"/>
  <c r="AG144" i="127"/>
  <c r="AH144" i="127"/>
  <c r="AI144" i="127"/>
  <c r="AP144" i="127"/>
  <c r="AQ144" i="127"/>
  <c r="AR144" i="127"/>
  <c r="AS144" i="127"/>
  <c r="AT144" i="127"/>
  <c r="I145" i="127"/>
  <c r="J145" i="127"/>
  <c r="K145" i="127"/>
  <c r="L145" i="127"/>
  <c r="M145" i="127"/>
  <c r="T145" i="127"/>
  <c r="U145" i="127"/>
  <c r="V145" i="127"/>
  <c r="W145" i="127"/>
  <c r="X145" i="127"/>
  <c r="AE145" i="127"/>
  <c r="AF145" i="127"/>
  <c r="AG145" i="127"/>
  <c r="AH145" i="127"/>
  <c r="AI145" i="127"/>
  <c r="AP145" i="127"/>
  <c r="AQ145" i="127"/>
  <c r="AR145" i="127"/>
  <c r="AS145" i="127"/>
  <c r="AT145" i="127"/>
  <c r="I146" i="127"/>
  <c r="J146" i="127"/>
  <c r="K146" i="127"/>
  <c r="L146" i="127"/>
  <c r="M146" i="127"/>
  <c r="T146" i="127"/>
  <c r="U146" i="127"/>
  <c r="V146" i="127"/>
  <c r="W146" i="127"/>
  <c r="X146" i="127"/>
  <c r="AE146" i="127"/>
  <c r="AF146" i="127"/>
  <c r="AG146" i="127"/>
  <c r="AH146" i="127"/>
  <c r="AI146" i="127"/>
  <c r="AP146" i="127"/>
  <c r="AQ146" i="127"/>
  <c r="AR146" i="127"/>
  <c r="AS146" i="127"/>
  <c r="AT146" i="127"/>
  <c r="I147" i="127"/>
  <c r="J147" i="127"/>
  <c r="K147" i="127"/>
  <c r="L147" i="127"/>
  <c r="M147" i="127"/>
  <c r="T147" i="127"/>
  <c r="U147" i="127"/>
  <c r="V147" i="127"/>
  <c r="W147" i="127"/>
  <c r="X147" i="127"/>
  <c r="AE147" i="127"/>
  <c r="AF147" i="127"/>
  <c r="AG147" i="127"/>
  <c r="AH147" i="127"/>
  <c r="AI147" i="127"/>
  <c r="AP147" i="127"/>
  <c r="AQ147" i="127"/>
  <c r="AR147" i="127"/>
  <c r="AS147" i="127"/>
  <c r="AT147" i="127"/>
  <c r="I148" i="127"/>
  <c r="J148" i="127"/>
  <c r="K148" i="127"/>
  <c r="L148" i="127"/>
  <c r="M148" i="127"/>
  <c r="T148" i="127"/>
  <c r="U148" i="127"/>
  <c r="V148" i="127"/>
  <c r="W148" i="127"/>
  <c r="X148" i="127"/>
  <c r="AE148" i="127"/>
  <c r="AF148" i="127"/>
  <c r="AG148" i="127"/>
  <c r="AH148" i="127"/>
  <c r="AI148" i="127"/>
  <c r="AP148" i="127"/>
  <c r="AQ148" i="127"/>
  <c r="AR148" i="127"/>
  <c r="AS148" i="127"/>
  <c r="AT148" i="127"/>
  <c r="I149" i="127"/>
  <c r="J149" i="127"/>
  <c r="K149" i="127"/>
  <c r="L149" i="127"/>
  <c r="M149" i="127"/>
  <c r="T149" i="127"/>
  <c r="U149" i="127"/>
  <c r="V149" i="127"/>
  <c r="W149" i="127"/>
  <c r="X149" i="127"/>
  <c r="AE149" i="127"/>
  <c r="AF149" i="127"/>
  <c r="AG149" i="127"/>
  <c r="AH149" i="127"/>
  <c r="AI149" i="127"/>
  <c r="AP149" i="127"/>
  <c r="AQ149" i="127"/>
  <c r="AR149" i="127"/>
  <c r="AS149" i="127"/>
  <c r="AT149" i="127"/>
  <c r="I150" i="127"/>
  <c r="J150" i="127"/>
  <c r="K150" i="127"/>
  <c r="L150" i="127"/>
  <c r="M150" i="127"/>
  <c r="T150" i="127"/>
  <c r="U150" i="127"/>
  <c r="V150" i="127"/>
  <c r="W150" i="127"/>
  <c r="X150" i="127"/>
  <c r="AE150" i="127"/>
  <c r="AF150" i="127"/>
  <c r="AG150" i="127"/>
  <c r="AH150" i="127"/>
  <c r="AI150" i="127"/>
  <c r="AP150" i="127"/>
  <c r="AQ150" i="127"/>
  <c r="AR150" i="127"/>
  <c r="AS150" i="127"/>
  <c r="AT150" i="127"/>
  <c r="AP151" i="127"/>
  <c r="AQ151" i="127"/>
  <c r="AR151" i="127"/>
  <c r="AS151" i="127"/>
  <c r="AT151" i="127"/>
  <c r="AK181" i="127"/>
  <c r="AK182" i="127"/>
  <c r="AK183" i="127"/>
  <c r="AK184" i="127"/>
  <c r="AK185" i="127"/>
  <c r="AK186" i="127"/>
  <c r="G258" i="40"/>
  <c r="H258" i="40"/>
  <c r="I258" i="40"/>
  <c r="J258" i="40"/>
  <c r="K258" i="40"/>
  <c r="L258" i="40"/>
  <c r="M258" i="40"/>
  <c r="N258" i="40"/>
  <c r="C1018" i="40"/>
  <c r="C476" i="39"/>
  <c r="N18" i="48"/>
  <c r="N26" i="48"/>
  <c r="N34" i="48"/>
  <c r="D93" i="59"/>
  <c r="D96" i="59"/>
  <c r="D98" i="59"/>
  <c r="J157" i="116"/>
  <c r="I157" i="116"/>
  <c r="H322" i="39"/>
  <c r="G322" i="39"/>
  <c r="H321" i="39"/>
  <c r="G321" i="39"/>
  <c r="H320" i="39"/>
  <c r="G320" i="39"/>
  <c r="H319" i="39"/>
  <c r="H323" i="39"/>
  <c r="H477" i="39"/>
  <c r="G319" i="39"/>
  <c r="AV93" i="123"/>
  <c r="AW93" i="123"/>
  <c r="AV102" i="123"/>
  <c r="AW102" i="123"/>
  <c r="AV103" i="123"/>
  <c r="AW103" i="123"/>
  <c r="AV104" i="123"/>
  <c r="AW104" i="123"/>
  <c r="AV105" i="123"/>
  <c r="AW105" i="123"/>
  <c r="AV106" i="123"/>
  <c r="AW106" i="123"/>
  <c r="AV107" i="123"/>
  <c r="AW107" i="123"/>
  <c r="AV108" i="123"/>
  <c r="AW108" i="123"/>
  <c r="AV109" i="123"/>
  <c r="AW109" i="123"/>
  <c r="AV110" i="123"/>
  <c r="AW110" i="123"/>
  <c r="AV111" i="123"/>
  <c r="AW111" i="123"/>
  <c r="AV112" i="123"/>
  <c r="AW112" i="123"/>
  <c r="AV113" i="123"/>
  <c r="AW113" i="123"/>
  <c r="AV114" i="123"/>
  <c r="AW114" i="123"/>
  <c r="AV115" i="123"/>
  <c r="AW115" i="123"/>
  <c r="AV116" i="123"/>
  <c r="AW116" i="123"/>
  <c r="AV117" i="123"/>
  <c r="AW117" i="123"/>
  <c r="AV118" i="123"/>
  <c r="AW118" i="123"/>
  <c r="AV119" i="123"/>
  <c r="AW119" i="123"/>
  <c r="AV120" i="123"/>
  <c r="AW120" i="123"/>
  <c r="AV121" i="123"/>
  <c r="AW121" i="123"/>
  <c r="AV122" i="123"/>
  <c r="AW122" i="123"/>
  <c r="AV123" i="123"/>
  <c r="AW123" i="123"/>
  <c r="AV124" i="123"/>
  <c r="AW124" i="123"/>
  <c r="AV125" i="123"/>
  <c r="AW125" i="123"/>
  <c r="AV126" i="123"/>
  <c r="AW126" i="123"/>
  <c r="AV127" i="123"/>
  <c r="AW127" i="123"/>
  <c r="AV128" i="123"/>
  <c r="AW128" i="123"/>
  <c r="AV129" i="123"/>
  <c r="AW129" i="123"/>
  <c r="AV130" i="123"/>
  <c r="AW130" i="123"/>
  <c r="AV131" i="123"/>
  <c r="AW131" i="123"/>
  <c r="AW92" i="123"/>
  <c r="AV92" i="123"/>
  <c r="AV48" i="123"/>
  <c r="AW48" i="123"/>
  <c r="AV59" i="123"/>
  <c r="AW59" i="123"/>
  <c r="AV60" i="123"/>
  <c r="AW60" i="123"/>
  <c r="AV61" i="123"/>
  <c r="AW61" i="123"/>
  <c r="AV62" i="123"/>
  <c r="AW62" i="123"/>
  <c r="AV63" i="123"/>
  <c r="AW63" i="123"/>
  <c r="AV64" i="123"/>
  <c r="AW64" i="123"/>
  <c r="AV65" i="123"/>
  <c r="AW65" i="123"/>
  <c r="AV66" i="123"/>
  <c r="AW66" i="123"/>
  <c r="AV67" i="123"/>
  <c r="AW67" i="123"/>
  <c r="AV68" i="123"/>
  <c r="AW68" i="123"/>
  <c r="AV69" i="123"/>
  <c r="AW69" i="123"/>
  <c r="AV70" i="123"/>
  <c r="AW70" i="123"/>
  <c r="AV71" i="123"/>
  <c r="AW71" i="123"/>
  <c r="AV72" i="123"/>
  <c r="AW72" i="123"/>
  <c r="AV73" i="123"/>
  <c r="AW73" i="123"/>
  <c r="AV74" i="123"/>
  <c r="AW74" i="123"/>
  <c r="AV75" i="123"/>
  <c r="AW75" i="123"/>
  <c r="AV76" i="123"/>
  <c r="AW76" i="123"/>
  <c r="AV77" i="123"/>
  <c r="AW77" i="123"/>
  <c r="AV78" i="123"/>
  <c r="AW78" i="123"/>
  <c r="AV79" i="123"/>
  <c r="AW79" i="123"/>
  <c r="AV80" i="123"/>
  <c r="AW80" i="123"/>
  <c r="AV81" i="123"/>
  <c r="AW81" i="123"/>
  <c r="AV82" i="123"/>
  <c r="AW82" i="123"/>
  <c r="AV83" i="123"/>
  <c r="AW83" i="123"/>
  <c r="AV84" i="123"/>
  <c r="AW84" i="123"/>
  <c r="AV85" i="123"/>
  <c r="AW85" i="123"/>
  <c r="AV86" i="123"/>
  <c r="AW86" i="123"/>
  <c r="AW47" i="123"/>
  <c r="AV47" i="123"/>
  <c r="AV102" i="105"/>
  <c r="AV110" i="105"/>
  <c r="F72" i="62"/>
  <c r="C158" i="123"/>
  <c r="C146" i="123"/>
  <c r="C134" i="123"/>
  <c r="C37" i="12"/>
  <c r="I92" i="110"/>
  <c r="I98" i="110"/>
  <c r="C466" i="112"/>
  <c r="C465" i="112"/>
  <c r="C464" i="112"/>
  <c r="C158" i="105"/>
  <c r="C146" i="105"/>
  <c r="C134" i="105"/>
  <c r="N250" i="41"/>
  <c r="N243" i="41"/>
  <c r="N236" i="41"/>
  <c r="N228" i="41"/>
  <c r="N221" i="41"/>
  <c r="G285" i="113"/>
  <c r="O285" i="113"/>
  <c r="D183" i="48"/>
  <c r="D182" i="48"/>
  <c r="D181" i="48"/>
  <c r="D180" i="48"/>
  <c r="D175" i="48"/>
  <c r="D174" i="48"/>
  <c r="D173" i="48"/>
  <c r="D172" i="48"/>
  <c r="AW110" i="105"/>
  <c r="AW102" i="105"/>
  <c r="AW65" i="105"/>
  <c r="AV65" i="105"/>
  <c r="AW57" i="105"/>
  <c r="AV57" i="105"/>
  <c r="B45" i="105"/>
  <c r="D498" i="39"/>
  <c r="D499" i="39"/>
  <c r="E422" i="39"/>
  <c r="E400" i="39"/>
  <c r="E143" i="62"/>
  <c r="E142" i="62"/>
  <c r="E141" i="62"/>
  <c r="N213" i="41"/>
  <c r="E41" i="107"/>
  <c r="G41" i="107"/>
  <c r="H41" i="107"/>
  <c r="I41" i="107"/>
  <c r="E40" i="107"/>
  <c r="G40" i="107"/>
  <c r="H40" i="107"/>
  <c r="I40" i="107"/>
  <c r="E42" i="107"/>
  <c r="G42" i="107"/>
  <c r="H42" i="107"/>
  <c r="I42" i="107"/>
  <c r="E32" i="107"/>
  <c r="G32" i="107"/>
  <c r="H32" i="107"/>
  <c r="E33" i="107"/>
  <c r="G33" i="107"/>
  <c r="H33" i="107"/>
  <c r="I33" i="107"/>
  <c r="E31" i="107"/>
  <c r="G31" i="107"/>
  <c r="E24" i="107"/>
  <c r="G24" i="107"/>
  <c r="H24" i="107"/>
  <c r="I24" i="107"/>
  <c r="E23" i="107"/>
  <c r="G23" i="107"/>
  <c r="H23" i="107"/>
  <c r="I23" i="107"/>
  <c r="E22" i="107"/>
  <c r="G22" i="107"/>
  <c r="H22" i="107"/>
  <c r="I22" i="107"/>
  <c r="D46" i="107"/>
  <c r="D45" i="107"/>
  <c r="D44" i="107"/>
  <c r="D37" i="107"/>
  <c r="D36" i="107"/>
  <c r="D35" i="107"/>
  <c r="D28" i="107"/>
  <c r="D27" i="107"/>
  <c r="D26" i="107"/>
  <c r="E133" i="48"/>
  <c r="G133" i="48"/>
  <c r="H133" i="48"/>
  <c r="I133" i="48"/>
  <c r="E132" i="48"/>
  <c r="G132" i="48"/>
  <c r="H132" i="48"/>
  <c r="I132" i="48"/>
  <c r="E131" i="48"/>
  <c r="G131" i="48"/>
  <c r="H131" i="48"/>
  <c r="I131" i="48"/>
  <c r="E123" i="48"/>
  <c r="G123" i="48"/>
  <c r="H123" i="48"/>
  <c r="I123" i="48"/>
  <c r="E124" i="48"/>
  <c r="G124" i="48"/>
  <c r="H124" i="48"/>
  <c r="I124" i="48"/>
  <c r="E122" i="48"/>
  <c r="G122" i="48"/>
  <c r="H122" i="48"/>
  <c r="I122" i="48"/>
  <c r="E114" i="48"/>
  <c r="G114" i="48"/>
  <c r="H114" i="48"/>
  <c r="I114" i="48"/>
  <c r="E888" i="40"/>
  <c r="E889" i="40"/>
  <c r="E887" i="40"/>
  <c r="E880" i="40"/>
  <c r="E881" i="40"/>
  <c r="E879" i="40"/>
  <c r="E872" i="40"/>
  <c r="E873" i="40"/>
  <c r="E871" i="40"/>
  <c r="E864" i="40"/>
  <c r="E865" i="40"/>
  <c r="E863" i="40"/>
  <c r="E156" i="46"/>
  <c r="N82" i="46"/>
  <c r="C82" i="46"/>
  <c r="D854" i="40"/>
  <c r="D852" i="40"/>
  <c r="D853" i="40"/>
  <c r="D851" i="40"/>
  <c r="D843" i="40"/>
  <c r="D844" i="40"/>
  <c r="D845" i="40"/>
  <c r="D842" i="40"/>
  <c r="D834" i="40"/>
  <c r="D835" i="40"/>
  <c r="D836" i="40"/>
  <c r="D833" i="40"/>
  <c r="D827" i="40"/>
  <c r="D824" i="40"/>
  <c r="D825" i="40"/>
  <c r="D826" i="40"/>
  <c r="D823" i="40"/>
  <c r="D822" i="40"/>
  <c r="D909" i="40"/>
  <c r="D908" i="40"/>
  <c r="E908" i="40"/>
  <c r="D903" i="40"/>
  <c r="D898" i="40"/>
  <c r="D979" i="40"/>
  <c r="D980" i="40"/>
  <c r="D981" i="40"/>
  <c r="D982" i="40"/>
  <c r="D983" i="40"/>
  <c r="D978" i="40"/>
  <c r="D969" i="40"/>
  <c r="D970" i="40"/>
  <c r="D971" i="40"/>
  <c r="D972" i="40"/>
  <c r="D973" i="40"/>
  <c r="D968" i="40"/>
  <c r="D963" i="40"/>
  <c r="D959" i="40"/>
  <c r="D960" i="40"/>
  <c r="D961" i="40"/>
  <c r="D962" i="40"/>
  <c r="D958" i="40"/>
  <c r="D949" i="40"/>
  <c r="D950" i="40"/>
  <c r="D951" i="40"/>
  <c r="D952" i="40"/>
  <c r="D953" i="40"/>
  <c r="D948" i="40"/>
  <c r="D939" i="40"/>
  <c r="D940" i="40"/>
  <c r="D941" i="40"/>
  <c r="D942" i="40"/>
  <c r="D943" i="40"/>
  <c r="D938" i="40"/>
  <c r="D929" i="40"/>
  <c r="D930" i="40"/>
  <c r="D931" i="40"/>
  <c r="D932" i="40"/>
  <c r="D933" i="40"/>
  <c r="D928" i="40"/>
  <c r="D920" i="40"/>
  <c r="D921" i="40"/>
  <c r="D922" i="40"/>
  <c r="D923" i="40"/>
  <c r="D919" i="40"/>
  <c r="D918" i="40"/>
  <c r="G790" i="40"/>
  <c r="G775" i="40"/>
  <c r="G758" i="40"/>
  <c r="D107" i="107"/>
  <c r="D114" i="107"/>
  <c r="D121" i="107"/>
  <c r="E66" i="107"/>
  <c r="E65" i="107"/>
  <c r="E64" i="107"/>
  <c r="E63" i="107"/>
  <c r="E69" i="107"/>
  <c r="E70" i="107"/>
  <c r="E71" i="107"/>
  <c r="D150" i="116"/>
  <c r="D147" i="116"/>
  <c r="E99" i="116"/>
  <c r="E98" i="116"/>
  <c r="E97" i="116"/>
  <c r="E96" i="116"/>
  <c r="O49" i="116"/>
  <c r="D254" i="48"/>
  <c r="D268" i="48"/>
  <c r="D261" i="48"/>
  <c r="E198" i="48"/>
  <c r="E197" i="48"/>
  <c r="E196" i="48"/>
  <c r="E195" i="48"/>
  <c r="D137" i="48"/>
  <c r="D136" i="48"/>
  <c r="D135" i="48"/>
  <c r="D128" i="48"/>
  <c r="D127" i="48"/>
  <c r="D126" i="48"/>
  <c r="D118" i="48"/>
  <c r="D119" i="48"/>
  <c r="C75" i="46"/>
  <c r="N75" i="46"/>
  <c r="E424" i="41"/>
  <c r="E423" i="41"/>
  <c r="E422" i="41"/>
  <c r="N400" i="41"/>
  <c r="AN73" i="127"/>
  <c r="Q73" i="127"/>
  <c r="P73" i="127"/>
  <c r="AK102" i="127"/>
  <c r="Z102" i="127"/>
  <c r="O102" i="127"/>
  <c r="AK101" i="127"/>
  <c r="Z101" i="127"/>
  <c r="O101" i="127"/>
  <c r="AK100" i="127"/>
  <c r="Z100" i="127"/>
  <c r="O100" i="127"/>
  <c r="AK99" i="127"/>
  <c r="Z99" i="127"/>
  <c r="O99" i="127"/>
  <c r="AK98" i="127"/>
  <c r="Z98" i="127"/>
  <c r="O98" i="127"/>
  <c r="AK97" i="127"/>
  <c r="Z97" i="127"/>
  <c r="O97" i="127"/>
  <c r="N93" i="48"/>
  <c r="N87" i="48"/>
  <c r="N81" i="48"/>
  <c r="O75" i="48"/>
  <c r="N59" i="46"/>
  <c r="N53" i="46"/>
  <c r="N47" i="46"/>
  <c r="O41" i="46"/>
  <c r="C1021" i="40"/>
  <c r="C1020" i="40"/>
  <c r="C1019" i="40"/>
  <c r="C1012" i="40"/>
  <c r="C1011" i="40"/>
  <c r="C1010" i="40"/>
  <c r="C1009" i="40"/>
  <c r="C1003" i="40"/>
  <c r="C1002" i="40"/>
  <c r="C1001" i="40"/>
  <c r="C1000" i="40"/>
  <c r="C994" i="40"/>
  <c r="C993" i="40"/>
  <c r="C992" i="40"/>
  <c r="C991" i="40"/>
  <c r="N240" i="40"/>
  <c r="N225" i="40"/>
  <c r="N210" i="40"/>
  <c r="N195" i="40"/>
  <c r="B332" i="39"/>
  <c r="B325" i="39"/>
  <c r="B318" i="39"/>
  <c r="B311" i="39"/>
  <c r="B362" i="39"/>
  <c r="B361" i="39"/>
  <c r="B360" i="39"/>
  <c r="B359" i="39"/>
  <c r="C471" i="39"/>
  <c r="C470" i="39"/>
  <c r="C469" i="39"/>
  <c r="C468" i="39"/>
  <c r="C479" i="39"/>
  <c r="C478" i="39"/>
  <c r="C477" i="39"/>
  <c r="C180" i="62"/>
  <c r="C179" i="62"/>
  <c r="C178" i="62"/>
  <c r="C177" i="62"/>
  <c r="C218" i="49"/>
  <c r="C217" i="49"/>
  <c r="C216" i="49"/>
  <c r="C215" i="49"/>
  <c r="N130" i="39"/>
  <c r="N123" i="39"/>
  <c r="N116" i="39"/>
  <c r="N109" i="39"/>
  <c r="I107" i="39"/>
  <c r="H107" i="39"/>
  <c r="G107" i="39"/>
  <c r="F107" i="39"/>
  <c r="I98" i="39"/>
  <c r="H98" i="39"/>
  <c r="G98" i="39"/>
  <c r="F98" i="39"/>
  <c r="I89" i="39"/>
  <c r="H89" i="39"/>
  <c r="G89" i="39"/>
  <c r="F89" i="39"/>
  <c r="N59" i="62"/>
  <c r="N54" i="62"/>
  <c r="N49" i="62"/>
  <c r="N44" i="62"/>
  <c r="N61" i="49"/>
  <c r="N56" i="49"/>
  <c r="N51" i="49"/>
  <c r="N46" i="49"/>
  <c r="C481" i="112"/>
  <c r="C480" i="112"/>
  <c r="C479" i="112"/>
  <c r="C477" i="112"/>
  <c r="N234" i="112"/>
  <c r="N227" i="112"/>
  <c r="N220" i="112"/>
  <c r="N372" i="41"/>
  <c r="E903" i="40"/>
  <c r="E898" i="40"/>
  <c r="N848" i="40"/>
  <c r="N839" i="40"/>
  <c r="N830" i="40"/>
  <c r="N819" i="40"/>
  <c r="N806" i="40"/>
  <c r="N791" i="40"/>
  <c r="N776" i="40"/>
  <c r="N759" i="40"/>
  <c r="N738" i="40"/>
  <c r="N718" i="40"/>
  <c r="N698" i="40"/>
  <c r="N678" i="40"/>
  <c r="N657" i="40"/>
  <c r="N636" i="40"/>
  <c r="N477" i="40"/>
  <c r="N460" i="40"/>
  <c r="N443" i="40"/>
  <c r="N426" i="40"/>
  <c r="N409" i="40"/>
  <c r="N80" i="49"/>
  <c r="N73" i="49"/>
  <c r="C80" i="49"/>
  <c r="C73" i="49"/>
  <c r="E181" i="49"/>
  <c r="E180" i="49"/>
  <c r="E179" i="49"/>
  <c r="C213" i="110"/>
  <c r="C194" i="110"/>
  <c r="C175" i="110"/>
  <c r="C154" i="110"/>
  <c r="C135" i="110"/>
  <c r="O213" i="110"/>
  <c r="O194" i="110"/>
  <c r="O175" i="110"/>
  <c r="O154" i="110"/>
  <c r="O135" i="110"/>
  <c r="O115" i="110"/>
  <c r="C115" i="110"/>
  <c r="E102" i="30"/>
  <c r="E101" i="30"/>
  <c r="E100" i="30"/>
  <c r="E99" i="30"/>
  <c r="E82" i="30"/>
  <c r="E81" i="30"/>
  <c r="E80" i="30"/>
  <c r="E79" i="30"/>
  <c r="N51" i="30"/>
  <c r="N44" i="30"/>
  <c r="N37" i="30"/>
  <c r="C51" i="30"/>
  <c r="C44" i="30"/>
  <c r="C37" i="30"/>
  <c r="C30" i="30"/>
  <c r="N30" i="30"/>
  <c r="N109" i="31"/>
  <c r="N102" i="31"/>
  <c r="N95" i="31"/>
  <c r="C102" i="31"/>
  <c r="C95" i="31"/>
  <c r="C86" i="31"/>
  <c r="N86" i="31"/>
  <c r="N79" i="31"/>
  <c r="C79" i="31"/>
  <c r="E299" i="113"/>
  <c r="E298" i="113"/>
  <c r="E297" i="113"/>
  <c r="E296" i="113"/>
  <c r="E295" i="113"/>
  <c r="E294" i="113"/>
  <c r="E293" i="113"/>
  <c r="E292" i="113"/>
  <c r="E287" i="113"/>
  <c r="E286" i="113"/>
  <c r="E285" i="113"/>
  <c r="E284" i="113"/>
  <c r="E283" i="113"/>
  <c r="E282" i="113"/>
  <c r="E281" i="113"/>
  <c r="E280" i="113"/>
  <c r="E275" i="113"/>
  <c r="E274" i="113"/>
  <c r="E273" i="113"/>
  <c r="E272" i="113"/>
  <c r="E271" i="113"/>
  <c r="E270" i="113"/>
  <c r="E269" i="113"/>
  <c r="E268" i="113"/>
  <c r="E263" i="113"/>
  <c r="E262" i="113"/>
  <c r="E261" i="113"/>
  <c r="E260" i="113"/>
  <c r="E259" i="113"/>
  <c r="E258" i="113"/>
  <c r="E257" i="113"/>
  <c r="E256" i="113"/>
  <c r="E251" i="113"/>
  <c r="E250" i="113"/>
  <c r="E249" i="113"/>
  <c r="E248" i="113"/>
  <c r="E247" i="113"/>
  <c r="E246" i="113"/>
  <c r="E245" i="113"/>
  <c r="E244" i="113"/>
  <c r="E239" i="113"/>
  <c r="E237" i="113"/>
  <c r="E238" i="113"/>
  <c r="E236" i="113"/>
  <c r="E233" i="113"/>
  <c r="E234" i="113"/>
  <c r="E235" i="113"/>
  <c r="E232" i="113"/>
  <c r="D584" i="113"/>
  <c r="D583" i="113"/>
  <c r="D582" i="113"/>
  <c r="D581" i="113"/>
  <c r="D580" i="113"/>
  <c r="D579" i="113"/>
  <c r="D573" i="113"/>
  <c r="D572" i="113"/>
  <c r="D571" i="113"/>
  <c r="D570" i="113"/>
  <c r="D569" i="113"/>
  <c r="D568" i="113"/>
  <c r="E510" i="113"/>
  <c r="E458" i="113"/>
  <c r="C289" i="113"/>
  <c r="C277" i="113"/>
  <c r="C265" i="113"/>
  <c r="C253" i="113"/>
  <c r="C241" i="113"/>
  <c r="C229" i="113"/>
  <c r="C244" i="112"/>
  <c r="O244" i="112"/>
  <c r="C252" i="112"/>
  <c r="O252" i="112"/>
  <c r="C259" i="112"/>
  <c r="O259" i="112"/>
  <c r="C267" i="112"/>
  <c r="O267" i="112"/>
  <c r="C274" i="112"/>
  <c r="O274" i="112"/>
  <c r="C282" i="112"/>
  <c r="O282" i="112"/>
  <c r="N296" i="112"/>
  <c r="E503" i="112"/>
  <c r="D602" i="112"/>
  <c r="D595" i="112"/>
  <c r="E516" i="112"/>
  <c r="E514" i="112"/>
  <c r="E500" i="112"/>
  <c r="E498" i="112"/>
  <c r="E512" i="112"/>
  <c r="E496" i="112"/>
  <c r="N361" i="112"/>
  <c r="D142" i="111"/>
  <c r="D141" i="111"/>
  <c r="D140" i="111"/>
  <c r="D453" i="110"/>
  <c r="D450" i="110"/>
  <c r="D451" i="110"/>
  <c r="E394" i="110"/>
  <c r="E395" i="110"/>
  <c r="E399" i="110"/>
  <c r="E400" i="110"/>
  <c r="E404" i="110"/>
  <c r="E405" i="110"/>
  <c r="E97" i="111"/>
  <c r="E100" i="111"/>
  <c r="E103" i="111"/>
  <c r="C63" i="111"/>
  <c r="C56" i="111"/>
  <c r="N63" i="111"/>
  <c r="N56" i="111"/>
  <c r="D452" i="110"/>
  <c r="D455" i="110"/>
  <c r="D454" i="110"/>
  <c r="N447" i="110"/>
  <c r="E406" i="110"/>
  <c r="E401" i="110"/>
  <c r="E396" i="110"/>
  <c r="F219" i="110"/>
  <c r="H219" i="110"/>
  <c r="I219" i="110"/>
  <c r="J219" i="110"/>
  <c r="K219" i="110"/>
  <c r="L219" i="110"/>
  <c r="M219" i="110"/>
  <c r="N219" i="110"/>
  <c r="F225" i="110"/>
  <c r="H225" i="110"/>
  <c r="F227" i="110"/>
  <c r="H227" i="110"/>
  <c r="F228" i="110"/>
  <c r="H228" i="110"/>
  <c r="I228" i="110"/>
  <c r="J228" i="110"/>
  <c r="K228" i="110"/>
  <c r="L228" i="110"/>
  <c r="M228" i="110"/>
  <c r="N228" i="110"/>
  <c r="F229" i="110"/>
  <c r="H229" i="110"/>
  <c r="I229" i="110"/>
  <c r="J229" i="110"/>
  <c r="K229" i="110"/>
  <c r="L229" i="110"/>
  <c r="M229" i="110"/>
  <c r="N229" i="110"/>
  <c r="F210" i="110"/>
  <c r="H210" i="110"/>
  <c r="I210" i="110"/>
  <c r="J210" i="110"/>
  <c r="K210" i="110"/>
  <c r="L210" i="110"/>
  <c r="M210" i="110"/>
  <c r="N210" i="110"/>
  <c r="F209" i="110"/>
  <c r="H209" i="110"/>
  <c r="I209" i="110"/>
  <c r="F208" i="110"/>
  <c r="H208" i="110"/>
  <c r="I208" i="110"/>
  <c r="F206" i="110"/>
  <c r="H206" i="110"/>
  <c r="I206" i="110"/>
  <c r="J206" i="110"/>
  <c r="K206" i="110"/>
  <c r="L206" i="110"/>
  <c r="M206" i="110"/>
  <c r="N206" i="110"/>
  <c r="F200" i="110"/>
  <c r="H200" i="110"/>
  <c r="I200" i="110"/>
  <c r="J200" i="110"/>
  <c r="K200" i="110"/>
  <c r="L200" i="110"/>
  <c r="M200" i="110"/>
  <c r="N200" i="110"/>
  <c r="F181" i="110"/>
  <c r="H181" i="110"/>
  <c r="I181" i="110"/>
  <c r="F187" i="110"/>
  <c r="H187" i="110"/>
  <c r="I187" i="110"/>
  <c r="F189" i="110"/>
  <c r="H189" i="110"/>
  <c r="I189" i="110"/>
  <c r="J189" i="110"/>
  <c r="K189" i="110"/>
  <c r="L189" i="110"/>
  <c r="M189" i="110"/>
  <c r="N189" i="110"/>
  <c r="F190" i="110"/>
  <c r="H190" i="110"/>
  <c r="I190" i="110"/>
  <c r="J190" i="110"/>
  <c r="K190" i="110"/>
  <c r="L190" i="110"/>
  <c r="M190" i="110"/>
  <c r="N190" i="110"/>
  <c r="F191" i="110"/>
  <c r="H191" i="110"/>
  <c r="I191" i="110"/>
  <c r="J191" i="110"/>
  <c r="K191" i="110"/>
  <c r="L191" i="110"/>
  <c r="M191" i="110"/>
  <c r="N191" i="110"/>
  <c r="F160" i="110"/>
  <c r="H160" i="110"/>
  <c r="I160" i="110"/>
  <c r="J160" i="110"/>
  <c r="K160" i="110"/>
  <c r="L160" i="110"/>
  <c r="M160" i="110"/>
  <c r="N160" i="110"/>
  <c r="F166" i="110"/>
  <c r="H166" i="110"/>
  <c r="I166" i="110"/>
  <c r="J166" i="110"/>
  <c r="K166" i="110"/>
  <c r="L166" i="110"/>
  <c r="M166" i="110"/>
  <c r="N166" i="110"/>
  <c r="F168" i="110"/>
  <c r="H168" i="110"/>
  <c r="I168" i="110"/>
  <c r="J168" i="110"/>
  <c r="K168" i="110"/>
  <c r="L168" i="110"/>
  <c r="M168" i="110"/>
  <c r="N168" i="110"/>
  <c r="F169" i="110"/>
  <c r="H169" i="110"/>
  <c r="I169" i="110"/>
  <c r="J169" i="110"/>
  <c r="K169" i="110"/>
  <c r="L169" i="110"/>
  <c r="M169" i="110"/>
  <c r="N169" i="110"/>
  <c r="F170" i="110"/>
  <c r="H170" i="110"/>
  <c r="I170" i="110"/>
  <c r="J170" i="110"/>
  <c r="K170" i="110"/>
  <c r="L170" i="110"/>
  <c r="M170" i="110"/>
  <c r="N170" i="110"/>
  <c r="F141" i="110"/>
  <c r="H141" i="110"/>
  <c r="I141" i="110"/>
  <c r="J141" i="110"/>
  <c r="K141" i="110"/>
  <c r="L141" i="110"/>
  <c r="M141" i="110"/>
  <c r="N141" i="110"/>
  <c r="F147" i="110"/>
  <c r="H147" i="110"/>
  <c r="I147" i="110"/>
  <c r="J147" i="110"/>
  <c r="K147" i="110"/>
  <c r="L147" i="110"/>
  <c r="M147" i="110"/>
  <c r="N147" i="110"/>
  <c r="F149" i="110"/>
  <c r="H149" i="110"/>
  <c r="I149" i="110"/>
  <c r="J149" i="110"/>
  <c r="K149" i="110"/>
  <c r="L149" i="110"/>
  <c r="M149" i="110"/>
  <c r="N149" i="110"/>
  <c r="F150" i="110"/>
  <c r="H150" i="110"/>
  <c r="I150" i="110"/>
  <c r="J150" i="110"/>
  <c r="K150" i="110"/>
  <c r="L150" i="110"/>
  <c r="M150" i="110"/>
  <c r="N150" i="110"/>
  <c r="F151" i="110"/>
  <c r="H151" i="110"/>
  <c r="I151" i="110"/>
  <c r="J151" i="110"/>
  <c r="K151" i="110"/>
  <c r="L151" i="110"/>
  <c r="M151" i="110"/>
  <c r="N151" i="110"/>
  <c r="F138" i="110"/>
  <c r="H138" i="110"/>
  <c r="I138" i="110"/>
  <c r="J138" i="110"/>
  <c r="K138" i="110"/>
  <c r="L138" i="110"/>
  <c r="M138" i="110"/>
  <c r="N138" i="110"/>
  <c r="F157" i="110"/>
  <c r="H157" i="110"/>
  <c r="I157" i="110"/>
  <c r="J157" i="110"/>
  <c r="K157" i="110"/>
  <c r="L157" i="110"/>
  <c r="M157" i="110"/>
  <c r="N157" i="110"/>
  <c r="O163" i="110"/>
  <c r="G163" i="110"/>
  <c r="O144" i="110"/>
  <c r="G144" i="110"/>
  <c r="F121" i="110"/>
  <c r="H121" i="110"/>
  <c r="I121" i="110"/>
  <c r="J121" i="110"/>
  <c r="K121" i="110"/>
  <c r="L121" i="110"/>
  <c r="M121" i="110"/>
  <c r="N121" i="110"/>
  <c r="F127" i="110"/>
  <c r="H127" i="110"/>
  <c r="F129" i="110"/>
  <c r="H129" i="110"/>
  <c r="F130" i="110"/>
  <c r="H130" i="110"/>
  <c r="I130" i="110"/>
  <c r="F131" i="110"/>
  <c r="H131" i="110"/>
  <c r="I131" i="110"/>
  <c r="F118" i="110"/>
  <c r="H118" i="110"/>
  <c r="I118" i="110"/>
  <c r="J118" i="110"/>
  <c r="K118" i="110"/>
  <c r="L118" i="110"/>
  <c r="M118" i="110"/>
  <c r="N118" i="110"/>
  <c r="O124" i="110"/>
  <c r="G124" i="110"/>
  <c r="D106" i="110"/>
  <c r="D105" i="110"/>
  <c r="D104" i="110"/>
  <c r="D103" i="110"/>
  <c r="D102" i="110"/>
  <c r="D101" i="110"/>
  <c r="D100" i="110"/>
  <c r="D99" i="110"/>
  <c r="D98" i="110"/>
  <c r="D97" i="110"/>
  <c r="D96" i="110"/>
  <c r="D95" i="110"/>
  <c r="D92" i="110"/>
  <c r="I108" i="110"/>
  <c r="D94" i="110"/>
  <c r="D93" i="110"/>
  <c r="D230" i="110"/>
  <c r="D229" i="110"/>
  <c r="D228" i="110"/>
  <c r="D227" i="110"/>
  <c r="D226" i="110"/>
  <c r="D225" i="110"/>
  <c r="D224" i="110"/>
  <c r="D223" i="110"/>
  <c r="D222" i="110"/>
  <c r="D221" i="110"/>
  <c r="D220" i="110"/>
  <c r="D219" i="110"/>
  <c r="D218" i="110"/>
  <c r="D217" i="110"/>
  <c r="D216" i="110"/>
  <c r="D211" i="110"/>
  <c r="D210" i="110"/>
  <c r="D209" i="110"/>
  <c r="D208" i="110"/>
  <c r="D207" i="110"/>
  <c r="D206" i="110"/>
  <c r="D205" i="110"/>
  <c r="D204" i="110"/>
  <c r="D203" i="110"/>
  <c r="D202" i="110"/>
  <c r="D201" i="110"/>
  <c r="D200" i="110"/>
  <c r="D199" i="110"/>
  <c r="D198" i="110"/>
  <c r="D197" i="110"/>
  <c r="D192" i="110"/>
  <c r="D191" i="110"/>
  <c r="D190" i="110"/>
  <c r="D189" i="110"/>
  <c r="D188" i="110"/>
  <c r="D187" i="110"/>
  <c r="D186" i="110"/>
  <c r="D185" i="110"/>
  <c r="D184" i="110"/>
  <c r="D183" i="110"/>
  <c r="D182" i="110"/>
  <c r="D181" i="110"/>
  <c r="D180" i="110"/>
  <c r="D179" i="110"/>
  <c r="D178" i="110"/>
  <c r="D171" i="110"/>
  <c r="D170" i="110"/>
  <c r="D169" i="110"/>
  <c r="D168" i="110"/>
  <c r="D167" i="110"/>
  <c r="D166" i="110"/>
  <c r="D165" i="110"/>
  <c r="D164" i="110"/>
  <c r="D163" i="110"/>
  <c r="D162" i="110"/>
  <c r="D161" i="110"/>
  <c r="D160" i="110"/>
  <c r="D159" i="110"/>
  <c r="D158" i="110"/>
  <c r="D157" i="110"/>
  <c r="D152" i="110"/>
  <c r="D151" i="110"/>
  <c r="D150" i="110"/>
  <c r="D149" i="110"/>
  <c r="D148" i="110"/>
  <c r="D147" i="110"/>
  <c r="D146" i="110"/>
  <c r="D145" i="110"/>
  <c r="D144" i="110"/>
  <c r="D143" i="110"/>
  <c r="D142" i="110"/>
  <c r="D141" i="110"/>
  <c r="D140" i="110"/>
  <c r="D139" i="110"/>
  <c r="D138" i="110"/>
  <c r="N233" i="49"/>
  <c r="N131" i="30"/>
  <c r="N147" i="31"/>
  <c r="N213" i="112"/>
  <c r="N598" i="112"/>
  <c r="N576" i="113"/>
  <c r="N565" i="113"/>
  <c r="N591" i="112"/>
  <c r="AW42" i="123"/>
  <c r="AV42" i="123"/>
  <c r="AW41" i="123"/>
  <c r="AV41" i="123"/>
  <c r="AW40" i="123"/>
  <c r="AV40" i="123"/>
  <c r="AW39" i="123"/>
  <c r="AV39" i="123"/>
  <c r="AW38" i="123"/>
  <c r="AV38" i="123"/>
  <c r="AW37" i="123"/>
  <c r="AV37" i="123"/>
  <c r="AW36" i="123"/>
  <c r="AV36" i="123"/>
  <c r="AW35" i="123"/>
  <c r="AV35" i="123"/>
  <c r="AW34" i="123"/>
  <c r="AV34" i="123"/>
  <c r="AW33" i="123"/>
  <c r="AV33" i="123"/>
  <c r="AW32" i="123"/>
  <c r="AV32" i="123"/>
  <c r="AW31" i="123"/>
  <c r="AV31" i="123"/>
  <c r="AW30" i="123"/>
  <c r="AV30" i="123"/>
  <c r="AW29" i="123"/>
  <c r="AV29" i="123"/>
  <c r="AW28" i="123"/>
  <c r="AV28" i="123"/>
  <c r="AW27" i="123"/>
  <c r="AV27" i="123"/>
  <c r="AW26" i="123"/>
  <c r="AV26" i="123"/>
  <c r="AW25" i="123"/>
  <c r="AV25" i="123"/>
  <c r="AW24" i="123"/>
  <c r="AV24" i="123"/>
  <c r="AW23" i="123"/>
  <c r="AV23" i="123"/>
  <c r="AW22" i="123"/>
  <c r="AV22" i="123"/>
  <c r="AW21" i="123"/>
  <c r="AV21" i="123"/>
  <c r="AW20" i="123"/>
  <c r="AV20" i="123"/>
  <c r="AW19" i="123"/>
  <c r="AV19" i="123"/>
  <c r="AW18" i="123"/>
  <c r="AV18" i="123"/>
  <c r="AW17" i="123"/>
  <c r="AV17" i="123"/>
  <c r="AW16" i="123"/>
  <c r="AV16" i="123"/>
  <c r="AW15" i="123"/>
  <c r="AV15" i="123"/>
  <c r="AW14" i="123"/>
  <c r="AV14" i="123"/>
  <c r="AW13" i="123"/>
  <c r="AV13" i="123"/>
  <c r="AW12" i="123"/>
  <c r="AV12" i="123"/>
  <c r="AW8" i="123"/>
  <c r="AV8" i="123"/>
  <c r="AW7" i="123"/>
  <c r="AV7" i="123"/>
  <c r="AW6" i="123"/>
  <c r="AV6" i="123"/>
  <c r="AW4" i="123"/>
  <c r="AV4" i="123"/>
  <c r="AW13" i="105"/>
  <c r="AV13" i="105"/>
  <c r="H35" i="23"/>
  <c r="I35" i="23"/>
  <c r="N209" i="48"/>
  <c r="AW3" i="123"/>
  <c r="AV3" i="123"/>
  <c r="F157" i="116"/>
  <c r="G157" i="116"/>
  <c r="H157" i="116"/>
  <c r="D157" i="116"/>
  <c r="D278" i="48"/>
  <c r="D277" i="48"/>
  <c r="D276" i="48"/>
  <c r="D275" i="48"/>
  <c r="D227" i="46"/>
  <c r="D226" i="46"/>
  <c r="D225" i="46"/>
  <c r="D224" i="46"/>
  <c r="D573" i="112"/>
  <c r="D572" i="112"/>
  <c r="D571" i="112"/>
  <c r="D570" i="112"/>
  <c r="D552" i="113"/>
  <c r="D551" i="113"/>
  <c r="D550" i="113"/>
  <c r="D549" i="113"/>
  <c r="G315" i="39"/>
  <c r="D576" i="41"/>
  <c r="D577" i="41"/>
  <c r="D578" i="41"/>
  <c r="D579" i="41"/>
  <c r="D567" i="41"/>
  <c r="D568" i="41"/>
  <c r="D569" i="41"/>
  <c r="D570" i="41"/>
  <c r="D549" i="41"/>
  <c r="D550" i="41"/>
  <c r="D551" i="41"/>
  <c r="D552" i="41"/>
  <c r="D558" i="41"/>
  <c r="D559" i="41"/>
  <c r="D560" i="41"/>
  <c r="D561" i="41"/>
  <c r="N186" i="41"/>
  <c r="N175" i="41"/>
  <c r="N164" i="41"/>
  <c r="N153" i="41"/>
  <c r="G336" i="39"/>
  <c r="G329" i="39"/>
  <c r="G335" i="39"/>
  <c r="G328" i="39"/>
  <c r="G314" i="39"/>
  <c r="G334" i="39"/>
  <c r="G327" i="39"/>
  <c r="G313" i="39"/>
  <c r="G333" i="39"/>
  <c r="G326" i="39"/>
  <c r="G312" i="39"/>
  <c r="H315" i="39"/>
  <c r="H314" i="39"/>
  <c r="H313" i="39"/>
  <c r="H312" i="39"/>
  <c r="C337" i="39"/>
  <c r="C330" i="39"/>
  <c r="C323" i="39"/>
  <c r="C316" i="39"/>
  <c r="H43" i="12"/>
  <c r="C46" i="12"/>
  <c r="G46" i="12"/>
  <c r="C47" i="12"/>
  <c r="G47" i="12"/>
  <c r="C48" i="12"/>
  <c r="G48" i="12"/>
  <c r="C49" i="12"/>
  <c r="G49" i="12"/>
  <c r="C50" i="12"/>
  <c r="G50" i="12"/>
  <c r="C51" i="12"/>
  <c r="G51" i="12"/>
  <c r="C52" i="12"/>
  <c r="G52" i="12"/>
  <c r="C53" i="12"/>
  <c r="G53" i="12"/>
  <c r="C54" i="12"/>
  <c r="G54" i="12"/>
  <c r="C55" i="12"/>
  <c r="G55" i="12"/>
  <c r="C56" i="12"/>
  <c r="G56" i="12"/>
  <c r="C57" i="12"/>
  <c r="G57" i="12"/>
  <c r="C58" i="12"/>
  <c r="G58" i="12"/>
  <c r="C59" i="12"/>
  <c r="G59" i="12"/>
  <c r="C60" i="12"/>
  <c r="G60" i="12"/>
  <c r="C61" i="12"/>
  <c r="G61" i="12"/>
  <c r="C62" i="12"/>
  <c r="G62" i="12"/>
  <c r="C63" i="12"/>
  <c r="G63" i="12"/>
  <c r="C64" i="12"/>
  <c r="G64" i="12"/>
  <c r="C65" i="12"/>
  <c r="G65" i="12"/>
  <c r="C66" i="12"/>
  <c r="G66" i="12"/>
  <c r="C67" i="12"/>
  <c r="G67" i="12"/>
  <c r="C68" i="12"/>
  <c r="C69" i="12"/>
  <c r="C70" i="12"/>
  <c r="C71" i="12"/>
  <c r="C72" i="12"/>
  <c r="C73" i="12"/>
  <c r="C74" i="12"/>
  <c r="G74" i="12"/>
  <c r="C75" i="12"/>
  <c r="G75" i="12"/>
  <c r="C76" i="12"/>
  <c r="C77" i="12"/>
  <c r="C78" i="12"/>
  <c r="C79" i="12"/>
  <c r="C80" i="12"/>
  <c r="G80" i="12"/>
  <c r="C81" i="12"/>
  <c r="G81" i="12"/>
  <c r="C82" i="12"/>
  <c r="G82" i="12"/>
  <c r="C83" i="12"/>
  <c r="G83" i="12"/>
  <c r="C84" i="12"/>
  <c r="D27" i="35"/>
  <c r="D28" i="35"/>
  <c r="E27" i="35"/>
  <c r="F27" i="35"/>
  <c r="G27" i="35"/>
  <c r="H27" i="35"/>
  <c r="I27" i="35"/>
  <c r="H7" i="23"/>
  <c r="I7" i="23"/>
  <c r="H8" i="23"/>
  <c r="I8" i="23"/>
  <c r="H11" i="23"/>
  <c r="I11" i="23"/>
  <c r="H12" i="23"/>
  <c r="I12" i="23"/>
  <c r="H13" i="23"/>
  <c r="I13" i="23"/>
  <c r="H17" i="23"/>
  <c r="I17" i="23"/>
  <c r="H18" i="23"/>
  <c r="I18" i="23"/>
  <c r="H19" i="23"/>
  <c r="I19" i="23"/>
  <c r="H20" i="23"/>
  <c r="I20" i="23"/>
  <c r="H21" i="23"/>
  <c r="I21" i="23"/>
  <c r="H22" i="23"/>
  <c r="I22" i="23"/>
  <c r="H23" i="23"/>
  <c r="I23" i="23"/>
  <c r="H24" i="23"/>
  <c r="I24" i="23"/>
  <c r="H25" i="23"/>
  <c r="I25" i="23"/>
  <c r="H26" i="23"/>
  <c r="I26" i="23"/>
  <c r="H27" i="23"/>
  <c r="I27" i="23"/>
  <c r="H28" i="23"/>
  <c r="I28" i="23"/>
  <c r="H29" i="23"/>
  <c r="I29" i="23"/>
  <c r="H30" i="23"/>
  <c r="I30" i="23"/>
  <c r="H31" i="23"/>
  <c r="I31" i="23"/>
  <c r="H32" i="23"/>
  <c r="I32" i="23"/>
  <c r="H33" i="23"/>
  <c r="I33" i="23"/>
  <c r="H34" i="23"/>
  <c r="I34" i="23"/>
  <c r="F75" i="6"/>
  <c r="E75" i="6"/>
  <c r="H333" i="39"/>
  <c r="H334" i="39"/>
  <c r="H335" i="39"/>
  <c r="H336" i="39"/>
  <c r="H326" i="39"/>
  <c r="H327" i="39"/>
  <c r="H328" i="39"/>
  <c r="H329" i="39"/>
  <c r="E71" i="6"/>
  <c r="J134" i="110"/>
  <c r="D603" i="112"/>
  <c r="D601" i="112"/>
  <c r="N91" i="113"/>
  <c r="M91" i="113"/>
  <c r="L91" i="113"/>
  <c r="K91" i="113"/>
  <c r="J91" i="113"/>
  <c r="I91" i="113"/>
  <c r="H91" i="113"/>
  <c r="G91" i="113"/>
  <c r="F91" i="113"/>
  <c r="E134" i="31"/>
  <c r="D267" i="48"/>
  <c r="D269" i="48"/>
  <c r="D260" i="48"/>
  <c r="D262" i="48"/>
  <c r="D106" i="107"/>
  <c r="D108" i="107"/>
  <c r="D113" i="107"/>
  <c r="D115" i="107"/>
  <c r="C69" i="62"/>
  <c r="E415" i="39"/>
  <c r="E429" i="39"/>
  <c r="E393" i="39"/>
  <c r="E407" i="39"/>
  <c r="N392" i="40"/>
  <c r="E274" i="39"/>
  <c r="C274" i="39"/>
  <c r="E273" i="39"/>
  <c r="C273" i="39"/>
  <c r="E272" i="39"/>
  <c r="C272" i="39"/>
  <c r="E271" i="39"/>
  <c r="C271" i="39"/>
  <c r="E270" i="39"/>
  <c r="C270" i="39"/>
  <c r="E267" i="39"/>
  <c r="C267" i="39"/>
  <c r="E266" i="39"/>
  <c r="C266" i="39"/>
  <c r="E265" i="39"/>
  <c r="C265" i="39"/>
  <c r="E264" i="39"/>
  <c r="C264" i="39"/>
  <c r="E263" i="39"/>
  <c r="C263" i="39"/>
  <c r="E260" i="39"/>
  <c r="C260" i="39"/>
  <c r="E259" i="39"/>
  <c r="C259" i="39"/>
  <c r="E258" i="39"/>
  <c r="C258" i="39"/>
  <c r="E257" i="39"/>
  <c r="C257" i="39"/>
  <c r="E256" i="39"/>
  <c r="C256" i="39"/>
  <c r="N382" i="41"/>
  <c r="N363" i="41"/>
  <c r="D112" i="59"/>
  <c r="E419" i="41"/>
  <c r="E418" i="41"/>
  <c r="E417" i="41"/>
  <c r="E429" i="41"/>
  <c r="E428" i="41"/>
  <c r="E427" i="41"/>
  <c r="E143" i="31"/>
  <c r="E141" i="31"/>
  <c r="E142" i="31"/>
  <c r="E140" i="31"/>
  <c r="E137" i="31"/>
  <c r="D160" i="31"/>
  <c r="N35" i="31"/>
  <c r="N12" i="31"/>
  <c r="G38" i="46"/>
  <c r="O204" i="46"/>
  <c r="E378" i="39"/>
  <c r="E381" i="39"/>
  <c r="H164" i="39"/>
  <c r="H158" i="39"/>
  <c r="D149" i="116"/>
  <c r="D146" i="116"/>
  <c r="D151" i="116"/>
  <c r="D148" i="116"/>
  <c r="E129" i="116"/>
  <c r="D120" i="116"/>
  <c r="D118" i="116"/>
  <c r="D117" i="116"/>
  <c r="D116" i="116"/>
  <c r="D114" i="116"/>
  <c r="D113" i="116"/>
  <c r="D112" i="116"/>
  <c r="D20" i="116"/>
  <c r="D12" i="116"/>
  <c r="D10" i="116"/>
  <c r="D9" i="116"/>
  <c r="B2" i="116"/>
  <c r="B1" i="116"/>
  <c r="D210" i="46"/>
  <c r="D208" i="46"/>
  <c r="D207" i="46"/>
  <c r="D209" i="46"/>
  <c r="D212" i="46"/>
  <c r="D211" i="46"/>
  <c r="D497" i="39"/>
  <c r="D496" i="39"/>
  <c r="D501" i="39"/>
  <c r="D500" i="39"/>
  <c r="D159" i="49"/>
  <c r="D152" i="49"/>
  <c r="D143" i="49"/>
  <c r="N109" i="116"/>
  <c r="E93" i="116"/>
  <c r="E92" i="116"/>
  <c r="E91" i="116"/>
  <c r="E90" i="116"/>
  <c r="E105" i="116"/>
  <c r="E104" i="116"/>
  <c r="E103" i="116"/>
  <c r="E102" i="116"/>
  <c r="E81" i="116"/>
  <c r="E65" i="116"/>
  <c r="E63" i="116"/>
  <c r="E62" i="116"/>
  <c r="O43" i="116"/>
  <c r="N6" i="116"/>
  <c r="E151" i="46"/>
  <c r="E161" i="46"/>
  <c r="E138" i="62"/>
  <c r="E137" i="62"/>
  <c r="E136" i="62"/>
  <c r="E148" i="62"/>
  <c r="E147" i="62"/>
  <c r="E146" i="62"/>
  <c r="E176" i="49"/>
  <c r="E175" i="49"/>
  <c r="E174" i="49"/>
  <c r="E186" i="49"/>
  <c r="E185" i="49"/>
  <c r="E184" i="49"/>
  <c r="E123" i="111"/>
  <c r="D114" i="111"/>
  <c r="D112" i="111"/>
  <c r="D111" i="111"/>
  <c r="D110" i="111"/>
  <c r="E543" i="113"/>
  <c r="E542" i="113"/>
  <c r="E541" i="113"/>
  <c r="D532" i="113"/>
  <c r="D531" i="113"/>
  <c r="D530" i="113"/>
  <c r="D529" i="113"/>
  <c r="D528" i="113"/>
  <c r="D415" i="113"/>
  <c r="D397" i="113"/>
  <c r="D382" i="113"/>
  <c r="D370" i="113"/>
  <c r="D369" i="113"/>
  <c r="B2" i="113"/>
  <c r="B1" i="113"/>
  <c r="D596" i="112"/>
  <c r="D594" i="112"/>
  <c r="E564" i="112"/>
  <c r="E563" i="112"/>
  <c r="E562" i="112"/>
  <c r="E561" i="112"/>
  <c r="E560" i="112"/>
  <c r="E559" i="112"/>
  <c r="D550" i="112"/>
  <c r="D549" i="112"/>
  <c r="D548" i="112"/>
  <c r="D547" i="112"/>
  <c r="D546" i="112"/>
  <c r="D545" i="112"/>
  <c r="D544" i="112"/>
  <c r="D542" i="112"/>
  <c r="D541" i="112"/>
  <c r="D540" i="112"/>
  <c r="D539" i="112"/>
  <c r="C437" i="112"/>
  <c r="C436" i="112"/>
  <c r="C435" i="112"/>
  <c r="C434" i="112"/>
  <c r="D424" i="112"/>
  <c r="D423" i="112"/>
  <c r="D397" i="112"/>
  <c r="D384" i="112"/>
  <c r="D211" i="112"/>
  <c r="D209" i="112"/>
  <c r="D208" i="112"/>
  <c r="D207" i="112"/>
  <c r="D195" i="112"/>
  <c r="B2" i="112"/>
  <c r="B1" i="112"/>
  <c r="C86" i="111"/>
  <c r="C85" i="111"/>
  <c r="C80" i="111"/>
  <c r="C79" i="111"/>
  <c r="C76" i="111"/>
  <c r="C75" i="111"/>
  <c r="D18" i="111"/>
  <c r="D16" i="111"/>
  <c r="D15" i="111"/>
  <c r="B2" i="111"/>
  <c r="B1" i="111"/>
  <c r="E432" i="110"/>
  <c r="D423" i="110"/>
  <c r="D422" i="110"/>
  <c r="D421" i="110"/>
  <c r="D420" i="110"/>
  <c r="D419" i="110"/>
  <c r="D418" i="110"/>
  <c r="D416" i="110"/>
  <c r="D415" i="110"/>
  <c r="D414" i="110"/>
  <c r="C349" i="110"/>
  <c r="C347" i="110"/>
  <c r="C346" i="110"/>
  <c r="C342" i="110"/>
  <c r="C341" i="110"/>
  <c r="C340" i="110"/>
  <c r="C336" i="110"/>
  <c r="C335" i="110"/>
  <c r="C334" i="110"/>
  <c r="D325" i="110"/>
  <c r="D321" i="110"/>
  <c r="D317" i="110"/>
  <c r="D314" i="110"/>
  <c r="D307" i="110"/>
  <c r="D303" i="110"/>
  <c r="D299" i="110"/>
  <c r="D296" i="110"/>
  <c r="D290" i="110"/>
  <c r="D286" i="110"/>
  <c r="D282" i="110"/>
  <c r="D279" i="110"/>
  <c r="D272" i="110"/>
  <c r="D268" i="110"/>
  <c r="D264" i="110"/>
  <c r="D261" i="110"/>
  <c r="D254" i="110"/>
  <c r="D250" i="110"/>
  <c r="D246" i="110"/>
  <c r="D243" i="110"/>
  <c r="D132" i="110"/>
  <c r="D131" i="110"/>
  <c r="D130" i="110"/>
  <c r="D129" i="110"/>
  <c r="D128" i="110"/>
  <c r="D127" i="110"/>
  <c r="D126" i="110"/>
  <c r="D125" i="110"/>
  <c r="D124" i="110"/>
  <c r="D123" i="110"/>
  <c r="D122" i="110"/>
  <c r="D121" i="110"/>
  <c r="D120" i="110"/>
  <c r="D119" i="110"/>
  <c r="D118" i="110"/>
  <c r="D71" i="110"/>
  <c r="D69" i="110"/>
  <c r="D68" i="110"/>
  <c r="K66" i="110"/>
  <c r="J66" i="110"/>
  <c r="I66" i="110"/>
  <c r="H66" i="110"/>
  <c r="G66" i="110"/>
  <c r="D54" i="110"/>
  <c r="D52" i="110"/>
  <c r="D51" i="110"/>
  <c r="D50" i="110"/>
  <c r="D48" i="110"/>
  <c r="D47" i="110"/>
  <c r="D46" i="110"/>
  <c r="D44" i="110"/>
  <c r="D43" i="110"/>
  <c r="D42" i="110"/>
  <c r="D40" i="110"/>
  <c r="D39" i="110"/>
  <c r="D38" i="110"/>
  <c r="D36" i="110"/>
  <c r="D35" i="110"/>
  <c r="D24" i="110"/>
  <c r="D18" i="110"/>
  <c r="D17" i="110"/>
  <c r="D16" i="110"/>
  <c r="D15" i="110"/>
  <c r="B2" i="110"/>
  <c r="B1" i="110"/>
  <c r="N525" i="113"/>
  <c r="E497" i="113"/>
  <c r="E484" i="113"/>
  <c r="E445" i="113"/>
  <c r="E471" i="113"/>
  <c r="E415" i="113"/>
  <c r="E397" i="113"/>
  <c r="E382" i="113"/>
  <c r="E370" i="113"/>
  <c r="E369" i="113"/>
  <c r="E366" i="113"/>
  <c r="E365" i="113"/>
  <c r="E364" i="113"/>
  <c r="F169" i="113"/>
  <c r="F153" i="113"/>
  <c r="I152" i="113"/>
  <c r="H152" i="113"/>
  <c r="G152" i="113"/>
  <c r="N83" i="113"/>
  <c r="M83" i="113"/>
  <c r="L83" i="113"/>
  <c r="K83" i="113"/>
  <c r="J83" i="113"/>
  <c r="I83" i="113"/>
  <c r="H83" i="113"/>
  <c r="G83" i="113"/>
  <c r="F83" i="113"/>
  <c r="N75" i="113"/>
  <c r="M75" i="113"/>
  <c r="L75" i="113"/>
  <c r="K75" i="113"/>
  <c r="J75" i="113"/>
  <c r="I75" i="113"/>
  <c r="H75" i="113"/>
  <c r="G75" i="113"/>
  <c r="F75" i="113"/>
  <c r="N67" i="113"/>
  <c r="M67" i="113"/>
  <c r="L67" i="113"/>
  <c r="K67" i="113"/>
  <c r="J67" i="113"/>
  <c r="I67" i="113"/>
  <c r="H67" i="113"/>
  <c r="G67" i="113"/>
  <c r="F67" i="113"/>
  <c r="E586" i="112"/>
  <c r="E581" i="112"/>
  <c r="N536" i="112"/>
  <c r="E532" i="112"/>
  <c r="E530" i="112"/>
  <c r="E528" i="112"/>
  <c r="E519" i="112"/>
  <c r="E487" i="112"/>
  <c r="E431" i="112"/>
  <c r="E430" i="112"/>
  <c r="E429" i="112"/>
  <c r="E424" i="112"/>
  <c r="E420" i="112"/>
  <c r="E419" i="112"/>
  <c r="E414" i="112"/>
  <c r="E413" i="112"/>
  <c r="E410" i="112"/>
  <c r="E409" i="112"/>
  <c r="E405" i="112"/>
  <c r="E404" i="112"/>
  <c r="E397" i="112"/>
  <c r="E393" i="112"/>
  <c r="E391" i="112"/>
  <c r="E390" i="112"/>
  <c r="E384" i="112"/>
  <c r="E381" i="112"/>
  <c r="E380" i="112"/>
  <c r="F212" i="112"/>
  <c r="F197" i="112"/>
  <c r="F187" i="112"/>
  <c r="F172" i="112"/>
  <c r="F166" i="112"/>
  <c r="F153" i="112"/>
  <c r="F152" i="112"/>
  <c r="N17" i="112"/>
  <c r="E132" i="111"/>
  <c r="N107" i="111"/>
  <c r="E92" i="111"/>
  <c r="E87" i="111"/>
  <c r="E86" i="111"/>
  <c r="E85" i="111"/>
  <c r="E81" i="111"/>
  <c r="E80" i="111"/>
  <c r="E79" i="111"/>
  <c r="E76" i="111"/>
  <c r="E75" i="111"/>
  <c r="G44" i="111"/>
  <c r="N32" i="111"/>
  <c r="N23" i="111"/>
  <c r="N12" i="111"/>
  <c r="E411" i="110"/>
  <c r="E349" i="110"/>
  <c r="E347" i="110"/>
  <c r="E346" i="110"/>
  <c r="E342" i="110"/>
  <c r="E341" i="110"/>
  <c r="E340" i="110"/>
  <c r="E336" i="110"/>
  <c r="E335" i="110"/>
  <c r="E334" i="110"/>
  <c r="E325" i="110"/>
  <c r="E321" i="110"/>
  <c r="N320" i="110"/>
  <c r="M320" i="110"/>
  <c r="L320" i="110"/>
  <c r="K320" i="110"/>
  <c r="J320" i="110"/>
  <c r="I320" i="110"/>
  <c r="H320" i="110"/>
  <c r="G320" i="110"/>
  <c r="F320" i="110"/>
  <c r="E317" i="110"/>
  <c r="E314" i="110"/>
  <c r="E307" i="110"/>
  <c r="E303" i="110"/>
  <c r="E299" i="110"/>
  <c r="H298" i="110"/>
  <c r="G298" i="110"/>
  <c r="E296" i="110"/>
  <c r="E290" i="110"/>
  <c r="E286" i="110"/>
  <c r="E282" i="110"/>
  <c r="E279" i="110"/>
  <c r="E272" i="110"/>
  <c r="E268" i="110"/>
  <c r="E264" i="110"/>
  <c r="E261" i="110"/>
  <c r="E254" i="110"/>
  <c r="E250" i="110"/>
  <c r="E246" i="110"/>
  <c r="E243" i="110"/>
  <c r="N21" i="110"/>
  <c r="N12" i="110"/>
  <c r="D151" i="31"/>
  <c r="D150" i="31"/>
  <c r="D59" i="31"/>
  <c r="B2" i="31"/>
  <c r="B1" i="31"/>
  <c r="E160" i="31"/>
  <c r="E131" i="31"/>
  <c r="N41" i="31"/>
  <c r="D15" i="107"/>
  <c r="N409" i="41"/>
  <c r="N391" i="41"/>
  <c r="D137" i="30"/>
  <c r="D135" i="30"/>
  <c r="D134" i="30"/>
  <c r="D136" i="30"/>
  <c r="D139" i="30"/>
  <c r="D138" i="30"/>
  <c r="E96" i="30"/>
  <c r="E95" i="30"/>
  <c r="E94" i="30"/>
  <c r="E93" i="30"/>
  <c r="E108" i="30"/>
  <c r="E107" i="30"/>
  <c r="E106" i="30"/>
  <c r="E105" i="30"/>
  <c r="E76" i="30"/>
  <c r="E75" i="30"/>
  <c r="E74" i="30"/>
  <c r="E85" i="30"/>
  <c r="E88" i="30"/>
  <c r="E87" i="30"/>
  <c r="E86" i="30"/>
  <c r="E73" i="30"/>
  <c r="E10" i="30"/>
  <c r="D531" i="41"/>
  <c r="D529" i="41"/>
  <c r="D528" i="41"/>
  <c r="D530" i="41"/>
  <c r="D533" i="41"/>
  <c r="D532" i="41"/>
  <c r="D253" i="48"/>
  <c r="D255" i="48"/>
  <c r="D117" i="48"/>
  <c r="E192" i="48"/>
  <c r="E191" i="48"/>
  <c r="E190" i="48"/>
  <c r="E189" i="48"/>
  <c r="E204" i="48"/>
  <c r="E203" i="48"/>
  <c r="E202" i="48"/>
  <c r="E201" i="48"/>
  <c r="D11" i="107"/>
  <c r="D10" i="107"/>
  <c r="D9" i="107"/>
  <c r="B2" i="107"/>
  <c r="B1" i="107"/>
  <c r="D120" i="107"/>
  <c r="D122" i="107"/>
  <c r="E60" i="107"/>
  <c r="E59" i="107"/>
  <c r="E58" i="107"/>
  <c r="E57" i="107"/>
  <c r="E72" i="107"/>
  <c r="N90" i="107"/>
  <c r="M90" i="107"/>
  <c r="L90" i="107"/>
  <c r="K90" i="107"/>
  <c r="J90" i="107"/>
  <c r="I90" i="107"/>
  <c r="H90" i="107"/>
  <c r="G90" i="107"/>
  <c r="F90" i="107"/>
  <c r="N81" i="107"/>
  <c r="M81" i="107"/>
  <c r="L81" i="107"/>
  <c r="K81" i="107"/>
  <c r="J81" i="107"/>
  <c r="I81" i="107"/>
  <c r="H81" i="107"/>
  <c r="G81" i="107"/>
  <c r="F81" i="107"/>
  <c r="O77" i="107"/>
  <c r="O6" i="107"/>
  <c r="E11" i="6"/>
  <c r="E34" i="6"/>
  <c r="B58" i="6"/>
  <c r="F58" i="6"/>
  <c r="B59" i="6"/>
  <c r="F59" i="6"/>
  <c r="B60" i="6"/>
  <c r="F60" i="6"/>
  <c r="B90" i="105"/>
  <c r="B1" i="105"/>
  <c r="D110" i="59"/>
  <c r="D222" i="59"/>
  <c r="D221" i="59"/>
  <c r="D230" i="59"/>
  <c r="D236" i="59"/>
  <c r="D238" i="59"/>
  <c r="D239" i="59"/>
  <c r="D235" i="59"/>
  <c r="D121" i="59"/>
  <c r="D117" i="59"/>
  <c r="D116" i="59"/>
  <c r="BG295" i="59"/>
  <c r="D284" i="59"/>
  <c r="D297" i="59"/>
  <c r="D306" i="59"/>
  <c r="D305" i="59"/>
  <c r="D304" i="59"/>
  <c r="D303" i="59"/>
  <c r="D302" i="59"/>
  <c r="D301" i="59"/>
  <c r="D300" i="59"/>
  <c r="D299" i="59"/>
  <c r="D298" i="59"/>
  <c r="BE28" i="60"/>
  <c r="BH33" i="60"/>
  <c r="BE89" i="70"/>
  <c r="BE88" i="70"/>
  <c r="BE86" i="70"/>
  <c r="D85" i="70"/>
  <c r="D84" i="70"/>
  <c r="D83" i="70"/>
  <c r="CW82" i="70"/>
  <c r="CW81" i="70"/>
  <c r="D80" i="70"/>
  <c r="CW78" i="70"/>
  <c r="D77" i="70"/>
  <c r="CW76" i="70"/>
  <c r="CW75" i="70"/>
  <c r="BE75" i="70"/>
  <c r="D74" i="70"/>
  <c r="D73" i="70"/>
  <c r="D71" i="70"/>
  <c r="BE69" i="70"/>
  <c r="BE68" i="70"/>
  <c r="BE67" i="70"/>
  <c r="BE65" i="70"/>
  <c r="D64" i="70"/>
  <c r="D61" i="70"/>
  <c r="CW60" i="70"/>
  <c r="D57" i="70"/>
  <c r="CW56" i="70"/>
  <c r="CW55" i="70"/>
  <c r="BE55" i="70"/>
  <c r="D54" i="70"/>
  <c r="D53" i="70"/>
  <c r="CW52" i="70"/>
  <c r="D50" i="70"/>
  <c r="D49" i="70"/>
  <c r="CW48" i="70"/>
  <c r="D47" i="70"/>
  <c r="D46" i="70"/>
  <c r="D43" i="70"/>
  <c r="D42" i="70"/>
  <c r="CW41" i="70"/>
  <c r="BE41" i="70"/>
  <c r="D40" i="70"/>
  <c r="D39" i="70"/>
  <c r="D38" i="70"/>
  <c r="CW37" i="70"/>
  <c r="BE37" i="70"/>
  <c r="D36" i="70"/>
  <c r="D35" i="70"/>
  <c r="D34" i="70"/>
  <c r="CW33" i="70"/>
  <c r="BE33" i="70"/>
  <c r="CW32" i="70"/>
  <c r="BE32" i="70"/>
  <c r="BE31" i="70"/>
  <c r="BE30" i="70"/>
  <c r="BE29" i="70"/>
  <c r="BE27" i="70"/>
  <c r="CW26" i="70"/>
  <c r="BE26" i="70"/>
  <c r="CW25" i="70"/>
  <c r="BE25" i="70"/>
  <c r="D24" i="70"/>
  <c r="D23" i="70"/>
  <c r="D22" i="70"/>
  <c r="CW21" i="70"/>
  <c r="BE21" i="70"/>
  <c r="D20" i="70"/>
  <c r="D19" i="70"/>
  <c r="CW18" i="70"/>
  <c r="BE18" i="70"/>
  <c r="D17" i="70"/>
  <c r="D16" i="70"/>
  <c r="D15" i="70"/>
  <c r="CW14" i="70"/>
  <c r="BE14" i="70"/>
  <c r="D13" i="70"/>
  <c r="D11" i="70"/>
  <c r="D9" i="70"/>
  <c r="CR4" i="70"/>
  <c r="CN4" i="70"/>
  <c r="CJ4" i="70"/>
  <c r="CF4" i="70"/>
  <c r="CB4" i="70"/>
  <c r="BX4" i="70"/>
  <c r="BT4" i="70"/>
  <c r="BP4" i="70"/>
  <c r="BL4" i="70"/>
  <c r="BH4" i="70"/>
  <c r="BE4" i="70"/>
  <c r="BB4" i="70"/>
  <c r="BA4" i="70"/>
  <c r="AX4" i="70"/>
  <c r="AW4" i="70"/>
  <c r="AV4" i="70"/>
  <c r="AU4" i="70"/>
  <c r="AT4" i="70"/>
  <c r="AS4" i="70"/>
  <c r="AR4" i="70"/>
  <c r="AQ4" i="70"/>
  <c r="AP4" i="70"/>
  <c r="AO4" i="70"/>
  <c r="AN4" i="70"/>
  <c r="AM4" i="70"/>
  <c r="AL4" i="70"/>
  <c r="AK4" i="70"/>
  <c r="AJ4" i="70"/>
  <c r="AG4" i="70"/>
  <c r="AF4" i="70"/>
  <c r="AE4" i="70"/>
  <c r="AD4" i="70"/>
  <c r="AC4" i="70"/>
  <c r="AB4" i="70"/>
  <c r="AA4" i="70"/>
  <c r="Z4" i="70"/>
  <c r="Y4" i="70"/>
  <c r="X4" i="70"/>
  <c r="V4" i="70"/>
  <c r="U4" i="70"/>
  <c r="T4" i="70"/>
  <c r="S4" i="70"/>
  <c r="R4" i="70"/>
  <c r="N4" i="70"/>
  <c r="M4" i="70"/>
  <c r="L4" i="70"/>
  <c r="K4" i="70"/>
  <c r="J4" i="70"/>
  <c r="H4" i="70"/>
  <c r="G4" i="70"/>
  <c r="E3" i="70"/>
  <c r="E234" i="48"/>
  <c r="E233" i="48"/>
  <c r="E232" i="48"/>
  <c r="E231" i="48"/>
  <c r="E230" i="48"/>
  <c r="D221" i="48"/>
  <c r="D220" i="48"/>
  <c r="D219" i="48"/>
  <c r="D218" i="48"/>
  <c r="D217" i="48"/>
  <c r="D216" i="48"/>
  <c r="D215" i="48"/>
  <c r="D214" i="48"/>
  <c r="D213" i="48"/>
  <c r="D212" i="48"/>
  <c r="E149" i="48"/>
  <c r="D66" i="48"/>
  <c r="D61" i="48"/>
  <c r="D60" i="48"/>
  <c r="D59" i="48"/>
  <c r="D51" i="48"/>
  <c r="D50" i="48"/>
  <c r="D49" i="48"/>
  <c r="N46" i="48"/>
  <c r="B2" i="48"/>
  <c r="B1" i="48"/>
  <c r="D198" i="46"/>
  <c r="D197" i="46"/>
  <c r="E197" i="46"/>
  <c r="D196" i="46"/>
  <c r="E196" i="46"/>
  <c r="E186" i="46"/>
  <c r="E185" i="46"/>
  <c r="E184" i="46"/>
  <c r="D175" i="46"/>
  <c r="D174" i="46"/>
  <c r="D173" i="46"/>
  <c r="D172" i="46"/>
  <c r="D171" i="46"/>
  <c r="D170" i="46"/>
  <c r="N130" i="46"/>
  <c r="E126" i="46"/>
  <c r="D102" i="46"/>
  <c r="N99" i="46"/>
  <c r="D97" i="46"/>
  <c r="N94" i="46"/>
  <c r="D34" i="46"/>
  <c r="D33" i="46"/>
  <c r="D32" i="46"/>
  <c r="D27" i="46"/>
  <c r="D22" i="46"/>
  <c r="F19" i="46"/>
  <c r="D17" i="46"/>
  <c r="N14" i="46"/>
  <c r="D9" i="46"/>
  <c r="O6" i="46"/>
  <c r="B2" i="46"/>
  <c r="B1" i="46"/>
  <c r="D519" i="41"/>
  <c r="N518" i="41"/>
  <c r="M518" i="41"/>
  <c r="L518" i="41"/>
  <c r="K518" i="41"/>
  <c r="J518" i="41"/>
  <c r="I518" i="41"/>
  <c r="H518" i="41"/>
  <c r="G518" i="41"/>
  <c r="F518" i="41"/>
  <c r="D518" i="41"/>
  <c r="E518" i="41"/>
  <c r="D517" i="41"/>
  <c r="E517" i="41"/>
  <c r="E507" i="41"/>
  <c r="E506" i="41"/>
  <c r="E505" i="41"/>
  <c r="E499" i="41"/>
  <c r="E498" i="41"/>
  <c r="E497" i="41"/>
  <c r="E491" i="41"/>
  <c r="E490" i="41"/>
  <c r="E489" i="41"/>
  <c r="E483" i="41"/>
  <c r="E482" i="41"/>
  <c r="E481" i="41"/>
  <c r="D466" i="41"/>
  <c r="D465" i="41"/>
  <c r="N462" i="41"/>
  <c r="D459" i="41"/>
  <c r="D458" i="41"/>
  <c r="D457" i="41"/>
  <c r="N454" i="41"/>
  <c r="D450" i="41"/>
  <c r="D449" i="41"/>
  <c r="D448" i="41"/>
  <c r="N445" i="41"/>
  <c r="D441" i="41"/>
  <c r="D440" i="41"/>
  <c r="D438" i="41"/>
  <c r="D437" i="41"/>
  <c r="D436" i="41"/>
  <c r="N433" i="41"/>
  <c r="E301" i="41"/>
  <c r="E293" i="41"/>
  <c r="E292" i="41"/>
  <c r="E281" i="41"/>
  <c r="E280" i="41"/>
  <c r="E276" i="41"/>
  <c r="E274" i="41"/>
  <c r="E273" i="41"/>
  <c r="D151" i="41"/>
  <c r="D149" i="41"/>
  <c r="N146" i="41"/>
  <c r="G146" i="41"/>
  <c r="N87" i="41"/>
  <c r="N69" i="41"/>
  <c r="N21" i="41"/>
  <c r="B2" i="41"/>
  <c r="B1" i="41"/>
  <c r="N382" i="40"/>
  <c r="N374" i="40"/>
  <c r="N362" i="40"/>
  <c r="N190" i="40"/>
  <c r="N184" i="40"/>
  <c r="N164" i="40"/>
  <c r="J33" i="40"/>
  <c r="I33" i="40"/>
  <c r="H33" i="40"/>
  <c r="G33" i="40"/>
  <c r="F33" i="40"/>
  <c r="B2" i="40"/>
  <c r="B1" i="40"/>
  <c r="E462" i="39"/>
  <c r="E461" i="39"/>
  <c r="E460" i="39"/>
  <c r="E459" i="39"/>
  <c r="E458" i="39"/>
  <c r="E457" i="39"/>
  <c r="E456" i="39"/>
  <c r="E455" i="39"/>
  <c r="D446" i="39"/>
  <c r="D445" i="39"/>
  <c r="D444" i="39"/>
  <c r="D443" i="39"/>
  <c r="D442" i="39"/>
  <c r="D441" i="39"/>
  <c r="N438" i="39"/>
  <c r="C345" i="39"/>
  <c r="C344" i="39"/>
  <c r="C343" i="39"/>
  <c r="C304" i="39"/>
  <c r="C297" i="39"/>
  <c r="C290" i="39"/>
  <c r="C283" i="39"/>
  <c r="E253" i="39"/>
  <c r="C253" i="39"/>
  <c r="E252" i="39"/>
  <c r="C252" i="39"/>
  <c r="E251" i="39"/>
  <c r="C251" i="39"/>
  <c r="E250" i="39"/>
  <c r="C250" i="39"/>
  <c r="E249" i="39"/>
  <c r="C249" i="39"/>
  <c r="E246" i="39"/>
  <c r="C246" i="39"/>
  <c r="E245" i="39"/>
  <c r="C245" i="39"/>
  <c r="E244" i="39"/>
  <c r="C244" i="39"/>
  <c r="E243" i="39"/>
  <c r="C243" i="39"/>
  <c r="E242" i="39"/>
  <c r="C242" i="39"/>
  <c r="E239" i="39"/>
  <c r="D197" i="39"/>
  <c r="D196" i="39"/>
  <c r="D195" i="39"/>
  <c r="D194" i="39"/>
  <c r="D193" i="39"/>
  <c r="N181" i="39"/>
  <c r="D71" i="39"/>
  <c r="D70" i="39"/>
  <c r="D69" i="39"/>
  <c r="D68" i="39"/>
  <c r="D67" i="39"/>
  <c r="I64" i="39"/>
  <c r="D38" i="39"/>
  <c r="D37" i="39"/>
  <c r="D36" i="39"/>
  <c r="D35" i="39"/>
  <c r="D34" i="39"/>
  <c r="B2" i="39"/>
  <c r="B1" i="39"/>
  <c r="E171" i="62"/>
  <c r="E170" i="62"/>
  <c r="E169" i="62"/>
  <c r="D160" i="62"/>
  <c r="D157" i="62"/>
  <c r="D155" i="62"/>
  <c r="E152" i="62"/>
  <c r="E118" i="62"/>
  <c r="C118" i="62"/>
  <c r="E115" i="62"/>
  <c r="C115" i="62"/>
  <c r="C111" i="62"/>
  <c r="E110" i="62"/>
  <c r="C105" i="62"/>
  <c r="C102" i="62"/>
  <c r="E101" i="62"/>
  <c r="D95" i="62"/>
  <c r="D92" i="62"/>
  <c r="G31" i="62"/>
  <c r="N22" i="62"/>
  <c r="N14" i="62"/>
  <c r="B2" i="62"/>
  <c r="B1" i="62"/>
  <c r="E209" i="49"/>
  <c r="E208" i="49"/>
  <c r="E207" i="49"/>
  <c r="D195" i="49"/>
  <c r="D193" i="49"/>
  <c r="N190" i="49"/>
  <c r="C133" i="49"/>
  <c r="E131" i="49"/>
  <c r="C131" i="49"/>
  <c r="C127" i="49"/>
  <c r="E126" i="49"/>
  <c r="E124" i="49"/>
  <c r="C118" i="49"/>
  <c r="C116" i="49"/>
  <c r="E115" i="49"/>
  <c r="E113" i="49"/>
  <c r="D93" i="49"/>
  <c r="G32" i="49"/>
  <c r="N23" i="49"/>
  <c r="N15" i="49"/>
  <c r="B2" i="49"/>
  <c r="B1" i="49"/>
  <c r="D116" i="30"/>
  <c r="D115" i="30"/>
  <c r="N112" i="30"/>
  <c r="E65" i="30"/>
  <c r="D18" i="30"/>
  <c r="D9" i="30"/>
  <c r="N6" i="30"/>
  <c r="B2" i="30"/>
  <c r="B1" i="30"/>
  <c r="C35" i="12"/>
  <c r="C20" i="12"/>
  <c r="C13" i="12"/>
  <c r="C7" i="12"/>
  <c r="H4" i="12"/>
  <c r="AW290" i="59"/>
  <c r="AW288" i="59"/>
  <c r="AW287" i="59"/>
  <c r="E287" i="59"/>
  <c r="AW286" i="59"/>
  <c r="E286" i="59"/>
  <c r="D286" i="59"/>
  <c r="AW285" i="59"/>
  <c r="E285" i="59"/>
  <c r="AW284" i="59"/>
  <c r="E284" i="59"/>
  <c r="AW283" i="59"/>
  <c r="E283" i="59"/>
  <c r="AW282" i="59"/>
  <c r="E282" i="59"/>
  <c r="C282" i="59"/>
  <c r="AW281" i="59"/>
  <c r="E281" i="59"/>
  <c r="C281" i="59"/>
  <c r="AW280" i="59"/>
  <c r="E280" i="59"/>
  <c r="C280" i="59"/>
  <c r="AW279" i="59"/>
  <c r="E279" i="59"/>
  <c r="C279" i="59"/>
  <c r="AW278" i="59"/>
  <c r="E278" i="59"/>
  <c r="C278" i="59"/>
  <c r="E187" i="59"/>
  <c r="E188" i="59"/>
  <c r="AX186" i="59"/>
  <c r="AW186" i="59"/>
  <c r="D175" i="59"/>
  <c r="D174" i="59"/>
  <c r="D173" i="59"/>
  <c r="D172" i="59"/>
  <c r="D171" i="59"/>
  <c r="D170" i="59"/>
  <c r="D169" i="59"/>
  <c r="D168" i="59"/>
  <c r="D166" i="59"/>
  <c r="D165" i="59"/>
  <c r="D139" i="59"/>
  <c r="D138" i="59"/>
  <c r="D137" i="59"/>
  <c r="D136" i="59"/>
  <c r="D135" i="59"/>
  <c r="D134" i="59"/>
  <c r="D133" i="59"/>
  <c r="D132" i="59"/>
  <c r="D130" i="59"/>
  <c r="D129" i="59"/>
  <c r="D104" i="59"/>
  <c r="D102" i="59"/>
  <c r="D97" i="59"/>
  <c r="D91" i="59"/>
  <c r="D90" i="59"/>
  <c r="D89" i="59"/>
  <c r="D82" i="59"/>
  <c r="D74" i="59"/>
  <c r="D73" i="59"/>
  <c r="D64" i="59"/>
  <c r="D63" i="59"/>
  <c r="D62" i="59"/>
  <c r="D61" i="59"/>
  <c r="D60" i="59"/>
  <c r="D58" i="59"/>
  <c r="D57" i="59"/>
  <c r="D56" i="59"/>
  <c r="D55" i="59"/>
  <c r="D54" i="59"/>
  <c r="D53" i="59"/>
  <c r="D48" i="59"/>
  <c r="D47" i="59"/>
  <c r="D40" i="59"/>
  <c r="D39" i="59"/>
  <c r="D37" i="59"/>
  <c r="D36" i="59"/>
  <c r="D35" i="59"/>
  <c r="D33" i="59"/>
  <c r="D32" i="59"/>
  <c r="D30" i="59"/>
  <c r="D29" i="59"/>
  <c r="D28" i="59"/>
  <c r="D26" i="59"/>
  <c r="D282" i="59"/>
  <c r="D25" i="59"/>
  <c r="D281" i="59"/>
  <c r="D24" i="59"/>
  <c r="D280" i="59"/>
  <c r="D23" i="59"/>
  <c r="D279" i="59"/>
  <c r="D22" i="59"/>
  <c r="D278" i="59"/>
  <c r="D15" i="59"/>
  <c r="D14" i="59"/>
  <c r="D13" i="59"/>
  <c r="D10" i="59"/>
  <c r="D9" i="59"/>
  <c r="D8" i="59"/>
  <c r="D7" i="59"/>
  <c r="D4" i="59"/>
  <c r="AS51" i="60"/>
  <c r="AS50" i="60"/>
  <c r="AS49" i="60"/>
  <c r="AS45" i="60"/>
  <c r="AS44" i="60"/>
  <c r="AS43" i="60"/>
  <c r="AS42" i="60"/>
  <c r="AS41" i="60"/>
  <c r="AS40" i="60"/>
  <c r="AS39" i="60"/>
  <c r="BE29" i="60"/>
  <c r="BE27" i="60"/>
  <c r="BE26" i="60"/>
  <c r="BE25" i="60"/>
  <c r="BH24" i="60"/>
  <c r="F22" i="6"/>
  <c r="E21" i="6"/>
  <c r="F21" i="6"/>
  <c r="H372" i="39"/>
  <c r="E115" i="48"/>
  <c r="G115" i="48"/>
  <c r="H115" i="48"/>
  <c r="I115" i="48"/>
  <c r="E113" i="48"/>
  <c r="G113" i="48"/>
  <c r="H113" i="48"/>
  <c r="I113" i="48"/>
  <c r="E329" i="112"/>
  <c r="I372" i="39"/>
  <c r="E328" i="112"/>
  <c r="E72" i="6"/>
  <c r="E74" i="6"/>
  <c r="M372" i="39"/>
  <c r="L372" i="39"/>
  <c r="G372" i="39"/>
  <c r="E330" i="112"/>
  <c r="E331" i="112"/>
  <c r="E313" i="112"/>
  <c r="J372" i="39"/>
  <c r="K372" i="39"/>
  <c r="N372" i="39"/>
  <c r="M12" i="131"/>
  <c r="AY46" i="60"/>
  <c r="AY47" i="60"/>
  <c r="AY48" i="60"/>
  <c r="F17" i="6"/>
  <c r="F357" i="40"/>
  <c r="F359" i="40"/>
  <c r="F358" i="40"/>
  <c r="E76" i="6"/>
  <c r="F287" i="113"/>
  <c r="F50" i="6"/>
  <c r="N204" i="39"/>
  <c r="E322" i="112"/>
  <c r="J322" i="112"/>
  <c r="F53" i="6"/>
  <c r="F34" i="6"/>
  <c r="F11" i="6"/>
  <c r="F286" i="113"/>
  <c r="F328" i="113"/>
  <c r="F321" i="113"/>
  <c r="F313" i="113"/>
  <c r="J313" i="112"/>
  <c r="L313" i="112"/>
  <c r="N313" i="112"/>
  <c r="G313" i="112"/>
  <c r="K313" i="112"/>
  <c r="H313" i="112"/>
  <c r="I313" i="112"/>
  <c r="M313" i="112"/>
  <c r="J330" i="112"/>
  <c r="L330" i="112"/>
  <c r="N330" i="112"/>
  <c r="G330" i="112"/>
  <c r="I330" i="112"/>
  <c r="K330" i="112"/>
  <c r="M330" i="112"/>
  <c r="H330" i="112"/>
  <c r="J328" i="112"/>
  <c r="J515" i="112"/>
  <c r="L328" i="112"/>
  <c r="L515" i="112"/>
  <c r="N328" i="112"/>
  <c r="N515" i="112"/>
  <c r="G328" i="112"/>
  <c r="G515" i="112"/>
  <c r="I328" i="112"/>
  <c r="I515" i="112"/>
  <c r="K328" i="112"/>
  <c r="K515" i="112"/>
  <c r="M328" i="112"/>
  <c r="M515" i="112"/>
  <c r="H328" i="112"/>
  <c r="H515" i="112"/>
  <c r="J329" i="112"/>
  <c r="L329" i="112"/>
  <c r="N329" i="112"/>
  <c r="G329" i="112"/>
  <c r="I329" i="112"/>
  <c r="K329" i="112"/>
  <c r="M329" i="112"/>
  <c r="H329" i="112"/>
  <c r="J331" i="112"/>
  <c r="L331" i="112"/>
  <c r="N331" i="112"/>
  <c r="G331" i="112"/>
  <c r="I331" i="112"/>
  <c r="K331" i="112"/>
  <c r="M331" i="112"/>
  <c r="H331" i="112"/>
  <c r="N30" i="48"/>
  <c r="L30" i="48"/>
  <c r="J30" i="48"/>
  <c r="H30" i="48"/>
  <c r="F30" i="48"/>
  <c r="M30" i="48"/>
  <c r="K30" i="48"/>
  <c r="I30" i="48"/>
  <c r="G30" i="48"/>
  <c r="N75" i="147"/>
  <c r="L75" i="147"/>
  <c r="J75" i="147"/>
  <c r="H75" i="147"/>
  <c r="F75" i="147"/>
  <c r="M75" i="147"/>
  <c r="K75" i="147"/>
  <c r="I75" i="147"/>
  <c r="G75" i="147"/>
  <c r="N77" i="146"/>
  <c r="L77" i="146"/>
  <c r="J77" i="146"/>
  <c r="H77" i="146"/>
  <c r="F77" i="146"/>
  <c r="N75" i="145"/>
  <c r="M77" i="146"/>
  <c r="K77" i="146"/>
  <c r="I77" i="146"/>
  <c r="G77" i="146"/>
  <c r="M75" i="145"/>
  <c r="K75" i="145"/>
  <c r="I75" i="145"/>
  <c r="G75" i="145"/>
  <c r="L75" i="145"/>
  <c r="H75" i="145"/>
  <c r="J75" i="145"/>
  <c r="F75" i="145"/>
  <c r="H337" i="39"/>
  <c r="H479" i="39"/>
  <c r="F163" i="110"/>
  <c r="H163" i="110"/>
  <c r="I163" i="110"/>
  <c r="J163" i="110"/>
  <c r="K163" i="110"/>
  <c r="L163" i="110"/>
  <c r="M163" i="110"/>
  <c r="N163" i="110"/>
  <c r="I129" i="110"/>
  <c r="J129" i="110"/>
  <c r="K129" i="110"/>
  <c r="L129" i="110"/>
  <c r="M129" i="110"/>
  <c r="N129" i="110"/>
  <c r="H31" i="107"/>
  <c r="I31" i="107"/>
  <c r="I227" i="110"/>
  <c r="J227" i="110"/>
  <c r="K227" i="110"/>
  <c r="L227" i="110"/>
  <c r="M227" i="110"/>
  <c r="N227" i="110"/>
  <c r="M348" i="41"/>
  <c r="M325" i="41"/>
  <c r="M337" i="41"/>
  <c r="K325" i="41"/>
  <c r="K337" i="41"/>
  <c r="I325" i="41"/>
  <c r="I337" i="41"/>
  <c r="G325" i="41"/>
  <c r="G337" i="41"/>
  <c r="N325" i="41"/>
  <c r="N337" i="41"/>
  <c r="J325" i="41"/>
  <c r="J337" i="41"/>
  <c r="H325" i="41"/>
  <c r="H337" i="41"/>
  <c r="F325" i="41"/>
  <c r="J323" i="41"/>
  <c r="J335" i="41"/>
  <c r="N323" i="41"/>
  <c r="N335" i="41"/>
  <c r="L323" i="41"/>
  <c r="L335" i="41"/>
  <c r="H323" i="41"/>
  <c r="H335" i="41"/>
  <c r="M323" i="41"/>
  <c r="M335" i="41"/>
  <c r="K323" i="41"/>
  <c r="K335" i="41"/>
  <c r="I323" i="41"/>
  <c r="I335" i="41"/>
  <c r="G323" i="41"/>
  <c r="G335" i="41"/>
  <c r="H472" i="41"/>
  <c r="J472" i="41"/>
  <c r="L472" i="41"/>
  <c r="N472" i="41"/>
  <c r="G472" i="41"/>
  <c r="I472" i="41"/>
  <c r="K472" i="41"/>
  <c r="M472" i="41"/>
  <c r="G316" i="39"/>
  <c r="G476" i="39"/>
  <c r="N353" i="40"/>
  <c r="N352" i="40"/>
  <c r="N354" i="40"/>
  <c r="K4" i="6"/>
  <c r="F52" i="6"/>
  <c r="F9" i="6"/>
  <c r="N18" i="138"/>
  <c r="M18" i="138"/>
  <c r="L18" i="138"/>
  <c r="K18" i="138"/>
  <c r="J18" i="138"/>
  <c r="I18" i="138"/>
  <c r="H18" i="138"/>
  <c r="G18" i="138"/>
  <c r="F18" i="138"/>
  <c r="K19" i="137"/>
  <c r="F71" i="137"/>
  <c r="N26" i="62"/>
  <c r="M26" i="62"/>
  <c r="L26" i="62"/>
  <c r="K26" i="62"/>
  <c r="J26" i="62"/>
  <c r="I26" i="62"/>
  <c r="H26" i="62"/>
  <c r="G26" i="62"/>
  <c r="F26" i="62"/>
  <c r="N18" i="62"/>
  <c r="F18" i="62"/>
  <c r="M18" i="62"/>
  <c r="K18" i="62"/>
  <c r="I18" i="62"/>
  <c r="G18" i="62"/>
  <c r="L18" i="62"/>
  <c r="J18" i="62"/>
  <c r="H18" i="62"/>
  <c r="G337" i="39"/>
  <c r="G479" i="39"/>
  <c r="G323" i="39"/>
  <c r="G477" i="39"/>
  <c r="G330" i="39"/>
  <c r="G478" i="39"/>
  <c r="F124" i="110"/>
  <c r="H124" i="110"/>
  <c r="I124" i="110"/>
  <c r="F144" i="110"/>
  <c r="H144" i="110"/>
  <c r="I144" i="110"/>
  <c r="J144" i="110"/>
  <c r="K144" i="110"/>
  <c r="L144" i="110"/>
  <c r="M144" i="110"/>
  <c r="N144" i="110"/>
  <c r="F476" i="39"/>
  <c r="H330" i="39"/>
  <c r="H478" i="39"/>
  <c r="E28" i="35"/>
  <c r="F28" i="35"/>
  <c r="I127" i="110"/>
  <c r="J127" i="110"/>
  <c r="K127" i="110"/>
  <c r="L127" i="110"/>
  <c r="M127" i="110"/>
  <c r="N127" i="110"/>
  <c r="AX188" i="59"/>
  <c r="F285" i="113"/>
  <c r="AW188" i="59"/>
  <c r="J208" i="110"/>
  <c r="K208" i="110"/>
  <c r="L208" i="110"/>
  <c r="M208" i="110"/>
  <c r="N208" i="110"/>
  <c r="J131" i="110"/>
  <c r="K131" i="110"/>
  <c r="L131" i="110"/>
  <c r="M131" i="110"/>
  <c r="N131" i="110"/>
  <c r="J130" i="110"/>
  <c r="K130" i="110"/>
  <c r="L130" i="110"/>
  <c r="M130" i="110"/>
  <c r="N130" i="110"/>
  <c r="J187" i="110"/>
  <c r="K187" i="110"/>
  <c r="L187" i="110"/>
  <c r="M187" i="110"/>
  <c r="N187" i="110"/>
  <c r="J181" i="110"/>
  <c r="K181" i="110"/>
  <c r="L181" i="110"/>
  <c r="M181" i="110"/>
  <c r="N181" i="110"/>
  <c r="J209" i="110"/>
  <c r="K209" i="110"/>
  <c r="L209" i="110"/>
  <c r="M209" i="110"/>
  <c r="N209" i="110"/>
  <c r="I32" i="107"/>
  <c r="H285" i="113"/>
  <c r="H322" i="112"/>
  <c r="G322" i="112"/>
  <c r="K322" i="112"/>
  <c r="L322" i="112"/>
  <c r="M17" i="142"/>
  <c r="K17" i="142"/>
  <c r="I17" i="142"/>
  <c r="M17" i="157"/>
  <c r="K17" i="157"/>
  <c r="I17" i="157"/>
  <c r="N17" i="142"/>
  <c r="L17" i="142"/>
  <c r="J17" i="142"/>
  <c r="H17" i="142"/>
  <c r="N17" i="157"/>
  <c r="L17" i="157"/>
  <c r="J17" i="157"/>
  <c r="H17" i="157"/>
  <c r="M322" i="112"/>
  <c r="I322" i="112"/>
  <c r="N322" i="112"/>
  <c r="F125" i="137"/>
  <c r="F157" i="137"/>
  <c r="O270" i="112"/>
  <c r="F9" i="24"/>
  <c r="N203" i="39"/>
  <c r="N205" i="39"/>
  <c r="N202" i="39"/>
  <c r="F335" i="39"/>
  <c r="F321" i="39"/>
  <c r="F328" i="39"/>
  <c r="F131" i="62"/>
  <c r="F115" i="137"/>
  <c r="F155" i="137"/>
  <c r="M30" i="31"/>
  <c r="M27" i="31"/>
  <c r="M31" i="31"/>
  <c r="M38" i="31"/>
  <c r="K30" i="31"/>
  <c r="K27" i="31"/>
  <c r="K31" i="31"/>
  <c r="K38" i="31"/>
  <c r="I30" i="31"/>
  <c r="I27" i="31"/>
  <c r="I31" i="31"/>
  <c r="I38" i="31"/>
  <c r="G30" i="31"/>
  <c r="G27" i="31"/>
  <c r="G31" i="31"/>
  <c r="G38" i="31"/>
  <c r="N29" i="31"/>
  <c r="L29" i="31"/>
  <c r="J29" i="31"/>
  <c r="H29" i="31"/>
  <c r="F29" i="31"/>
  <c r="M28" i="31"/>
  <c r="K28" i="31"/>
  <c r="I28" i="31"/>
  <c r="G28" i="31"/>
  <c r="N27" i="31"/>
  <c r="L27" i="31"/>
  <c r="J27" i="31"/>
  <c r="H27" i="31"/>
  <c r="F27" i="31"/>
  <c r="N30" i="31"/>
  <c r="N31" i="31"/>
  <c r="N38" i="31"/>
  <c r="L30" i="31"/>
  <c r="L31" i="31"/>
  <c r="L38" i="31"/>
  <c r="J30" i="31"/>
  <c r="J31" i="31"/>
  <c r="J38" i="31"/>
  <c r="H30" i="31"/>
  <c r="H31" i="31"/>
  <c r="H38" i="31"/>
  <c r="F30" i="31"/>
  <c r="F31" i="31"/>
  <c r="F38" i="31"/>
  <c r="M29" i="31"/>
  <c r="K29" i="31"/>
  <c r="I29" i="31"/>
  <c r="G29" i="31"/>
  <c r="N28" i="31"/>
  <c r="L28" i="31"/>
  <c r="J28" i="31"/>
  <c r="H28" i="31"/>
  <c r="F28" i="31"/>
  <c r="F355" i="113"/>
  <c r="F451" i="112"/>
  <c r="M38" i="48"/>
  <c r="K38" i="48"/>
  <c r="I38" i="48"/>
  <c r="G38" i="48"/>
  <c r="G73" i="48"/>
  <c r="N38" i="48"/>
  <c r="L38" i="48"/>
  <c r="J38" i="48"/>
  <c r="H38" i="48"/>
  <c r="F38" i="48"/>
  <c r="N22" i="48"/>
  <c r="L22" i="48"/>
  <c r="J22" i="48"/>
  <c r="I22" i="48"/>
  <c r="M22" i="48"/>
  <c r="K22" i="48"/>
  <c r="G168" i="39"/>
  <c r="F168" i="39"/>
  <c r="G162" i="39"/>
  <c r="F162" i="39"/>
  <c r="G167" i="39"/>
  <c r="F167" i="39"/>
  <c r="G161" i="39"/>
  <c r="F161" i="39"/>
  <c r="AL220" i="59"/>
  <c r="M64" i="157"/>
  <c r="K64" i="157"/>
  <c r="I64" i="157"/>
  <c r="G64" i="157"/>
  <c r="M59" i="157"/>
  <c r="K59" i="157"/>
  <c r="I59" i="157"/>
  <c r="G59" i="157"/>
  <c r="M54" i="157"/>
  <c r="K54" i="157"/>
  <c r="I54" i="157"/>
  <c r="G54" i="157"/>
  <c r="M49" i="157"/>
  <c r="K49" i="157"/>
  <c r="I49" i="157"/>
  <c r="G49" i="157"/>
  <c r="N64" i="157"/>
  <c r="L64" i="157"/>
  <c r="J64" i="157"/>
  <c r="H64" i="157"/>
  <c r="F64" i="157"/>
  <c r="N59" i="157"/>
  <c r="L59" i="157"/>
  <c r="J59" i="157"/>
  <c r="H59" i="157"/>
  <c r="F59" i="157"/>
  <c r="N54" i="157"/>
  <c r="L54" i="157"/>
  <c r="J54" i="157"/>
  <c r="H54" i="157"/>
  <c r="F54" i="157"/>
  <c r="N49" i="157"/>
  <c r="L49" i="157"/>
  <c r="J49" i="157"/>
  <c r="H49" i="157"/>
  <c r="F49" i="157"/>
  <c r="M70" i="156"/>
  <c r="K70" i="156"/>
  <c r="I70" i="156"/>
  <c r="G70" i="156"/>
  <c r="N69" i="156"/>
  <c r="L69" i="156"/>
  <c r="J69" i="156"/>
  <c r="H69" i="156"/>
  <c r="F69" i="156"/>
  <c r="N65" i="156"/>
  <c r="L65" i="156"/>
  <c r="J65" i="156"/>
  <c r="H65" i="156"/>
  <c r="F65" i="156"/>
  <c r="M64" i="156"/>
  <c r="K64" i="156"/>
  <c r="I64" i="156"/>
  <c r="G64" i="156"/>
  <c r="M59" i="156"/>
  <c r="K59" i="156"/>
  <c r="I59" i="156"/>
  <c r="G59" i="156"/>
  <c r="N58" i="156"/>
  <c r="L58" i="156"/>
  <c r="J58" i="156"/>
  <c r="H58" i="156"/>
  <c r="F58" i="156"/>
  <c r="N53" i="156"/>
  <c r="L53" i="156"/>
  <c r="J53" i="156"/>
  <c r="H53" i="156"/>
  <c r="F53" i="156"/>
  <c r="M52" i="156"/>
  <c r="K52" i="156"/>
  <c r="I52" i="156"/>
  <c r="G52" i="156"/>
  <c r="N70" i="156"/>
  <c r="L70" i="156"/>
  <c r="J70" i="156"/>
  <c r="H70" i="156"/>
  <c r="F70" i="156"/>
  <c r="M69" i="156"/>
  <c r="K69" i="156"/>
  <c r="I69" i="156"/>
  <c r="G69" i="156"/>
  <c r="M65" i="156"/>
  <c r="K65" i="156"/>
  <c r="I65" i="156"/>
  <c r="G65" i="156"/>
  <c r="N64" i="156"/>
  <c r="L64" i="156"/>
  <c r="J64" i="156"/>
  <c r="H64" i="156"/>
  <c r="F64" i="156"/>
  <c r="N59" i="156"/>
  <c r="L59" i="156"/>
  <c r="J59" i="156"/>
  <c r="H59" i="156"/>
  <c r="F59" i="156"/>
  <c r="M58" i="156"/>
  <c r="K58" i="156"/>
  <c r="I58" i="156"/>
  <c r="G58" i="156"/>
  <c r="M53" i="156"/>
  <c r="K53" i="156"/>
  <c r="I53" i="156"/>
  <c r="G53" i="156"/>
  <c r="N52" i="156"/>
  <c r="L52" i="156"/>
  <c r="J52" i="156"/>
  <c r="H52" i="156"/>
  <c r="F52" i="156"/>
  <c r="N65" i="140"/>
  <c r="L65" i="140"/>
  <c r="J65" i="140"/>
  <c r="H65" i="140"/>
  <c r="F65" i="140"/>
  <c r="N60" i="140"/>
  <c r="L60" i="140"/>
  <c r="J60" i="140"/>
  <c r="H60" i="140"/>
  <c r="F60" i="140"/>
  <c r="N55" i="140"/>
  <c r="L55" i="140"/>
  <c r="J55" i="140"/>
  <c r="H55" i="140"/>
  <c r="F55" i="140"/>
  <c r="N50" i="140"/>
  <c r="L50" i="140"/>
  <c r="J50" i="140"/>
  <c r="H50" i="140"/>
  <c r="F50" i="140"/>
  <c r="N62" i="139"/>
  <c r="L62" i="139"/>
  <c r="J62" i="139"/>
  <c r="H62" i="139"/>
  <c r="F62" i="139"/>
  <c r="N57" i="139"/>
  <c r="L57" i="139"/>
  <c r="J57" i="139"/>
  <c r="H57" i="139"/>
  <c r="F57" i="139"/>
  <c r="N52" i="139"/>
  <c r="L52" i="139"/>
  <c r="J52" i="139"/>
  <c r="H52" i="139"/>
  <c r="F52" i="139"/>
  <c r="N47" i="139"/>
  <c r="L47" i="139"/>
  <c r="J47" i="139"/>
  <c r="H47" i="139"/>
  <c r="F47" i="139"/>
  <c r="M65" i="140"/>
  <c r="K65" i="140"/>
  <c r="I65" i="140"/>
  <c r="G65" i="140"/>
  <c r="M60" i="140"/>
  <c r="K60" i="140"/>
  <c r="I60" i="140"/>
  <c r="G60" i="140"/>
  <c r="M55" i="140"/>
  <c r="K55" i="140"/>
  <c r="I55" i="140"/>
  <c r="G55" i="140"/>
  <c r="M50" i="140"/>
  <c r="K50" i="140"/>
  <c r="I50" i="140"/>
  <c r="G50" i="140"/>
  <c r="M62" i="139"/>
  <c r="K62" i="139"/>
  <c r="I62" i="139"/>
  <c r="G62" i="139"/>
  <c r="M57" i="139"/>
  <c r="K57" i="139"/>
  <c r="I57" i="139"/>
  <c r="G57" i="139"/>
  <c r="M52" i="139"/>
  <c r="K52" i="139"/>
  <c r="I52" i="139"/>
  <c r="G52" i="139"/>
  <c r="M47" i="139"/>
  <c r="K47" i="139"/>
  <c r="I47" i="139"/>
  <c r="G47" i="139"/>
  <c r="F17" i="157"/>
  <c r="G17" i="157"/>
  <c r="G18" i="145"/>
  <c r="G17" i="145"/>
  <c r="M18" i="140"/>
  <c r="K18" i="140"/>
  <c r="I18" i="140"/>
  <c r="N17" i="140"/>
  <c r="L17" i="140"/>
  <c r="J17" i="140"/>
  <c r="F17" i="140"/>
  <c r="N18" i="147"/>
  <c r="L18" i="147"/>
  <c r="J18" i="147"/>
  <c r="H18" i="147"/>
  <c r="G18" i="147"/>
  <c r="F18" i="147"/>
  <c r="N18" i="140"/>
  <c r="L18" i="140"/>
  <c r="J18" i="140"/>
  <c r="H18" i="140"/>
  <c r="M17" i="140"/>
  <c r="K17" i="140"/>
  <c r="I17" i="140"/>
  <c r="F18" i="140"/>
  <c r="M18" i="147"/>
  <c r="K18" i="147"/>
  <c r="I18" i="147"/>
  <c r="L26" i="142"/>
  <c r="N26" i="142"/>
  <c r="H17" i="140"/>
  <c r="I18" i="139"/>
  <c r="G17" i="140"/>
  <c r="G18" i="140"/>
  <c r="N18" i="146"/>
  <c r="L18" i="146"/>
  <c r="J18" i="146"/>
  <c r="H18" i="146"/>
  <c r="F18" i="146"/>
  <c r="M18" i="146"/>
  <c r="K18" i="146"/>
  <c r="I18" i="146"/>
  <c r="G18" i="146"/>
  <c r="M18" i="145"/>
  <c r="K18" i="145"/>
  <c r="I18" i="145"/>
  <c r="F18" i="145"/>
  <c r="M17" i="145"/>
  <c r="K17" i="145"/>
  <c r="I17" i="145"/>
  <c r="F17" i="145"/>
  <c r="N18" i="144"/>
  <c r="L18" i="144"/>
  <c r="J18" i="144"/>
  <c r="H18" i="144"/>
  <c r="F18" i="144"/>
  <c r="M18" i="143"/>
  <c r="K18" i="143"/>
  <c r="I18" i="143"/>
  <c r="G18" i="143"/>
  <c r="L18" i="145"/>
  <c r="H18" i="145"/>
  <c r="L17" i="145"/>
  <c r="H17" i="145"/>
  <c r="K18" i="144"/>
  <c r="G18" i="144"/>
  <c r="L18" i="143"/>
  <c r="H18" i="143"/>
  <c r="M26" i="142"/>
  <c r="J26" i="142"/>
  <c r="H26" i="142"/>
  <c r="F26" i="142"/>
  <c r="F17" i="142"/>
  <c r="N17" i="141"/>
  <c r="L17" i="141"/>
  <c r="J17" i="141"/>
  <c r="H17" i="141"/>
  <c r="F17" i="141"/>
  <c r="N18" i="145"/>
  <c r="J18" i="145"/>
  <c r="N17" i="145"/>
  <c r="J17" i="145"/>
  <c r="I18" i="144"/>
  <c r="J18" i="143"/>
  <c r="I26" i="142"/>
  <c r="I17" i="141"/>
  <c r="M18" i="144"/>
  <c r="N18" i="143"/>
  <c r="F18" i="143"/>
  <c r="K26" i="142"/>
  <c r="G26" i="142"/>
  <c r="G17" i="142"/>
  <c r="K17" i="141"/>
  <c r="G17" i="141"/>
  <c r="N18" i="139"/>
  <c r="L18" i="139"/>
  <c r="J18" i="139"/>
  <c r="M17" i="139"/>
  <c r="K17" i="139"/>
  <c r="I17" i="139"/>
  <c r="G18" i="139"/>
  <c r="G17" i="139"/>
  <c r="M17" i="141"/>
  <c r="M18" i="139"/>
  <c r="K18" i="139"/>
  <c r="N17" i="139"/>
  <c r="L17" i="139"/>
  <c r="J17" i="139"/>
  <c r="H18" i="139"/>
  <c r="F18" i="139"/>
  <c r="H17" i="139"/>
  <c r="F17" i="139"/>
  <c r="F41" i="143"/>
  <c r="F41" i="144"/>
  <c r="C50" i="145"/>
  <c r="C43" i="145"/>
  <c r="F40" i="143"/>
  <c r="O84" i="143"/>
  <c r="F40" i="144"/>
  <c r="O84" i="144"/>
  <c r="AR240" i="59"/>
  <c r="AV220" i="59"/>
  <c r="O223" i="110"/>
  <c r="AM220" i="59"/>
  <c r="AU220" i="59"/>
  <c r="AQ240" i="59"/>
  <c r="AN220" i="59"/>
  <c r="AV240" i="59"/>
  <c r="AN240" i="59"/>
  <c r="AQ220" i="59"/>
  <c r="AU240" i="59"/>
  <c r="AM240" i="59"/>
  <c r="AR220" i="59"/>
  <c r="G182" i="110"/>
  <c r="AT240" i="59"/>
  <c r="AP240" i="59"/>
  <c r="AL240" i="59"/>
  <c r="AS220" i="59"/>
  <c r="AO220" i="59"/>
  <c r="AK220" i="59"/>
  <c r="AS240" i="59"/>
  <c r="AO240" i="59"/>
  <c r="AK240" i="59"/>
  <c r="AT220" i="59"/>
  <c r="AP220" i="59"/>
  <c r="O126" i="110"/>
  <c r="G224" i="110"/>
  <c r="G222" i="110"/>
  <c r="G223" i="110"/>
  <c r="G165" i="110"/>
  <c r="G164" i="110"/>
  <c r="O164" i="110"/>
  <c r="G126" i="110"/>
  <c r="H46" i="31"/>
  <c r="H122" i="31"/>
  <c r="F46" i="31"/>
  <c r="F122" i="31"/>
  <c r="H45" i="31"/>
  <c r="F45" i="31"/>
  <c r="N46" i="31"/>
  <c r="N122" i="31"/>
  <c r="M45" i="31"/>
  <c r="L46" i="31"/>
  <c r="L122" i="31"/>
  <c r="K45" i="31"/>
  <c r="J46" i="31"/>
  <c r="J122" i="31"/>
  <c r="G46" i="31"/>
  <c r="G122" i="31"/>
  <c r="I45" i="31"/>
  <c r="G45" i="31"/>
  <c r="N45" i="31"/>
  <c r="M46" i="31"/>
  <c r="M122" i="31"/>
  <c r="K46" i="31"/>
  <c r="K122" i="31"/>
  <c r="J45" i="31"/>
  <c r="I46" i="31"/>
  <c r="I122" i="31"/>
  <c r="L45" i="31"/>
  <c r="G184" i="110"/>
  <c r="G125" i="110"/>
  <c r="F159" i="110"/>
  <c r="O222" i="110"/>
  <c r="F222" i="110"/>
  <c r="F218" i="110"/>
  <c r="G143" i="110"/>
  <c r="F226" i="110"/>
  <c r="H226" i="110"/>
  <c r="I226" i="110"/>
  <c r="J226" i="110"/>
  <c r="K226" i="110"/>
  <c r="L226" i="110"/>
  <c r="M226" i="110"/>
  <c r="N226" i="110"/>
  <c r="F221" i="110"/>
  <c r="O184" i="110"/>
  <c r="F184" i="110"/>
  <c r="F119" i="110"/>
  <c r="O186" i="110"/>
  <c r="J124" i="110"/>
  <c r="K124" i="110"/>
  <c r="L124" i="110"/>
  <c r="M124" i="110"/>
  <c r="N124" i="110"/>
  <c r="H71" i="137"/>
  <c r="N201" i="40"/>
  <c r="M205" i="40"/>
  <c r="G205" i="40"/>
  <c r="L216" i="40"/>
  <c r="H216" i="40"/>
  <c r="M220" i="40"/>
  <c r="I220" i="40"/>
  <c r="L231" i="40"/>
  <c r="H231" i="40"/>
  <c r="M235" i="40"/>
  <c r="I235" i="40"/>
  <c r="N250" i="40"/>
  <c r="J250" i="40"/>
  <c r="F250" i="40"/>
  <c r="K246" i="40"/>
  <c r="G246" i="40"/>
  <c r="M201" i="40"/>
  <c r="K201" i="40"/>
  <c r="I201" i="40"/>
  <c r="G201" i="40"/>
  <c r="N205" i="40"/>
  <c r="L205" i="40"/>
  <c r="J205" i="40"/>
  <c r="H205" i="40"/>
  <c r="F205" i="40"/>
  <c r="M216" i="40"/>
  <c r="K216" i="40"/>
  <c r="I216" i="40"/>
  <c r="G216" i="40"/>
  <c r="N220" i="40"/>
  <c r="L220" i="40"/>
  <c r="J220" i="40"/>
  <c r="H220" i="40"/>
  <c r="F220" i="40"/>
  <c r="M231" i="40"/>
  <c r="K231" i="40"/>
  <c r="I231" i="40"/>
  <c r="G231" i="40"/>
  <c r="N235" i="40"/>
  <c r="L235" i="40"/>
  <c r="J235" i="40"/>
  <c r="H235" i="40"/>
  <c r="F235" i="40"/>
  <c r="M250" i="40"/>
  <c r="K250" i="40"/>
  <c r="I250" i="40"/>
  <c r="G250" i="40"/>
  <c r="N246" i="40"/>
  <c r="L246" i="40"/>
  <c r="J246" i="40"/>
  <c r="H246" i="40"/>
  <c r="F246" i="40"/>
  <c r="L201" i="40"/>
  <c r="J201" i="40"/>
  <c r="H201" i="40"/>
  <c r="F201" i="40"/>
  <c r="K205" i="40"/>
  <c r="I205" i="40"/>
  <c r="N216" i="40"/>
  <c r="J216" i="40"/>
  <c r="F216" i="40"/>
  <c r="K220" i="40"/>
  <c r="G220" i="40"/>
  <c r="N231" i="40"/>
  <c r="J231" i="40"/>
  <c r="F231" i="40"/>
  <c r="K235" i="40"/>
  <c r="G235" i="40"/>
  <c r="L250" i="40"/>
  <c r="H250" i="40"/>
  <c r="M246" i="40"/>
  <c r="I246" i="40"/>
  <c r="N192" i="41"/>
  <c r="L192" i="41"/>
  <c r="J192" i="41"/>
  <c r="H192" i="41"/>
  <c r="F192" i="41"/>
  <c r="G181" i="41"/>
  <c r="I181" i="41"/>
  <c r="K181" i="41"/>
  <c r="M181" i="41"/>
  <c r="N170" i="41"/>
  <c r="L170" i="41"/>
  <c r="J170" i="41"/>
  <c r="H170" i="41"/>
  <c r="F170" i="41"/>
  <c r="M159" i="41"/>
  <c r="K159" i="41"/>
  <c r="I159" i="41"/>
  <c r="M192" i="41"/>
  <c r="K192" i="41"/>
  <c r="I192" i="41"/>
  <c r="G192" i="41"/>
  <c r="F181" i="41"/>
  <c r="H181" i="41"/>
  <c r="J181" i="41"/>
  <c r="L181" i="41"/>
  <c r="N181" i="41"/>
  <c r="M170" i="41"/>
  <c r="K170" i="41"/>
  <c r="I170" i="41"/>
  <c r="G170" i="41"/>
  <c r="N159" i="41"/>
  <c r="L159" i="41"/>
  <c r="J159" i="41"/>
  <c r="H159" i="41"/>
  <c r="F159" i="41"/>
  <c r="G159" i="41"/>
  <c r="F472" i="41"/>
  <c r="J346" i="41"/>
  <c r="J356" i="41"/>
  <c r="N346" i="41"/>
  <c r="N356" i="41"/>
  <c r="M346" i="41"/>
  <c r="M356" i="41"/>
  <c r="K346" i="41"/>
  <c r="K356" i="41"/>
  <c r="I348" i="41"/>
  <c r="I358" i="41"/>
  <c r="H348" i="41"/>
  <c r="H358" i="41"/>
  <c r="L348" i="41"/>
  <c r="L358" i="41"/>
  <c r="H346" i="41"/>
  <c r="H356" i="41"/>
  <c r="L346" i="41"/>
  <c r="L356" i="41"/>
  <c r="I346" i="41"/>
  <c r="I356" i="41"/>
  <c r="K348" i="41"/>
  <c r="K358" i="41"/>
  <c r="J348" i="41"/>
  <c r="J358" i="41"/>
  <c r="N348" i="41"/>
  <c r="N358" i="41"/>
  <c r="M358" i="41"/>
  <c r="F337" i="41"/>
  <c r="M195" i="41"/>
  <c r="K195" i="41"/>
  <c r="I195" i="41"/>
  <c r="G195" i="41"/>
  <c r="N184" i="41"/>
  <c r="L184" i="41"/>
  <c r="J184" i="41"/>
  <c r="H184" i="41"/>
  <c r="F184" i="41"/>
  <c r="M173" i="41"/>
  <c r="K173" i="41"/>
  <c r="I173" i="41"/>
  <c r="G173" i="41"/>
  <c r="N162" i="41"/>
  <c r="L162" i="41"/>
  <c r="J162" i="41"/>
  <c r="H162" i="41"/>
  <c r="F162" i="41"/>
  <c r="G172" i="41"/>
  <c r="J183" i="41"/>
  <c r="M194" i="41"/>
  <c r="G194" i="41"/>
  <c r="J161" i="41"/>
  <c r="N195" i="41"/>
  <c r="L195" i="41"/>
  <c r="J195" i="41"/>
  <c r="H195" i="41"/>
  <c r="F195" i="41"/>
  <c r="M184" i="41"/>
  <c r="K184" i="41"/>
  <c r="I184" i="41"/>
  <c r="G184" i="41"/>
  <c r="N173" i="41"/>
  <c r="L173" i="41"/>
  <c r="J173" i="41"/>
  <c r="H173" i="41"/>
  <c r="F173" i="41"/>
  <c r="M162" i="41"/>
  <c r="K162" i="41"/>
  <c r="I162" i="41"/>
  <c r="G162" i="41"/>
  <c r="N172" i="41"/>
  <c r="L172" i="41"/>
  <c r="J172" i="41"/>
  <c r="H172" i="41"/>
  <c r="F172" i="41"/>
  <c r="M183" i="41"/>
  <c r="K183" i="41"/>
  <c r="I183" i="41"/>
  <c r="G183" i="41"/>
  <c r="N194" i="41"/>
  <c r="L194" i="41"/>
  <c r="J194" i="41"/>
  <c r="H194" i="41"/>
  <c r="F194" i="41"/>
  <c r="M161" i="41"/>
  <c r="K161" i="41"/>
  <c r="I161" i="41"/>
  <c r="G161" i="41"/>
  <c r="M172" i="41"/>
  <c r="K172" i="41"/>
  <c r="I172" i="41"/>
  <c r="N183" i="41"/>
  <c r="L183" i="41"/>
  <c r="H183" i="41"/>
  <c r="F183" i="41"/>
  <c r="K194" i="41"/>
  <c r="I194" i="41"/>
  <c r="N161" i="41"/>
  <c r="L161" i="41"/>
  <c r="H161" i="41"/>
  <c r="F161" i="41"/>
  <c r="F74" i="41"/>
  <c r="N74" i="41"/>
  <c r="L74" i="41"/>
  <c r="J74" i="41"/>
  <c r="H74" i="41"/>
  <c r="M19" i="137"/>
  <c r="M26" i="41"/>
  <c r="K26" i="41"/>
  <c r="I26" i="41"/>
  <c r="G538" i="41"/>
  <c r="G26" i="41"/>
  <c r="N26" i="41"/>
  <c r="M538" i="41"/>
  <c r="L26" i="41"/>
  <c r="J26" i="41"/>
  <c r="H26" i="41"/>
  <c r="F26" i="41"/>
  <c r="N541" i="41"/>
  <c r="L541" i="41"/>
  <c r="J541" i="41"/>
  <c r="H541" i="41"/>
  <c r="N83" i="41"/>
  <c r="L83" i="41"/>
  <c r="J83" i="41"/>
  <c r="H83" i="41"/>
  <c r="F83" i="41"/>
  <c r="N150" i="41"/>
  <c r="L150" i="41"/>
  <c r="J150" i="41"/>
  <c r="H150" i="41"/>
  <c r="F150" i="41"/>
  <c r="H19" i="137"/>
  <c r="F19" i="137"/>
  <c r="J19" i="137"/>
  <c r="L19" i="137"/>
  <c r="H354" i="40"/>
  <c r="I354" i="40"/>
  <c r="J354" i="40"/>
  <c r="K354" i="40"/>
  <c r="G354" i="40"/>
  <c r="M354" i="40"/>
  <c r="L354" i="40"/>
  <c r="K352" i="40"/>
  <c r="I352" i="40"/>
  <c r="M352" i="40"/>
  <c r="L352" i="40"/>
  <c r="H352" i="40"/>
  <c r="J352" i="40"/>
  <c r="G352" i="40"/>
  <c r="H353" i="40"/>
  <c r="J353" i="40"/>
  <c r="L353" i="40"/>
  <c r="G353" i="40"/>
  <c r="M353" i="40"/>
  <c r="I353" i="40"/>
  <c r="K353" i="40"/>
  <c r="E51" i="138"/>
  <c r="F51" i="138"/>
  <c r="N19" i="137"/>
  <c r="J188" i="40"/>
  <c r="F188" i="40"/>
  <c r="K187" i="40"/>
  <c r="G187" i="40"/>
  <c r="G385" i="40"/>
  <c r="L188" i="40"/>
  <c r="H188" i="40"/>
  <c r="L187" i="40"/>
  <c r="L385" i="40"/>
  <c r="J187" i="40"/>
  <c r="J385" i="40"/>
  <c r="H187" i="40"/>
  <c r="F187" i="40"/>
  <c r="F385" i="40"/>
  <c r="M187" i="40"/>
  <c r="M385" i="40"/>
  <c r="I187" i="40"/>
  <c r="G19" i="137"/>
  <c r="I19" i="137"/>
  <c r="F44" i="111"/>
  <c r="F7" i="24"/>
  <c r="E35" i="6"/>
  <c r="F35" i="6"/>
  <c r="H39" i="46"/>
  <c r="N208" i="40"/>
  <c r="AS211" i="59"/>
  <c r="AP198" i="59"/>
  <c r="AP224" i="59"/>
  <c r="N204" i="113"/>
  <c r="AK204" i="59"/>
  <c r="M128" i="39"/>
  <c r="K128" i="39"/>
  <c r="I128" i="39"/>
  <c r="F128" i="39"/>
  <c r="G128" i="39"/>
  <c r="N193" i="41"/>
  <c r="L193" i="41"/>
  <c r="J193" i="41"/>
  <c r="H193" i="41"/>
  <c r="F193" i="41"/>
  <c r="M191" i="41"/>
  <c r="K191" i="41"/>
  <c r="I191" i="41"/>
  <c r="G191" i="41"/>
  <c r="N190" i="41"/>
  <c r="L190" i="41"/>
  <c r="J190" i="41"/>
  <c r="H190" i="41"/>
  <c r="F190" i="41"/>
  <c r="M189" i="41"/>
  <c r="K189" i="41"/>
  <c r="I189" i="41"/>
  <c r="G189" i="41"/>
  <c r="M182" i="41"/>
  <c r="K182" i="41"/>
  <c r="I182" i="41"/>
  <c r="G182" i="41"/>
  <c r="N180" i="41"/>
  <c r="L180" i="41"/>
  <c r="J180" i="41"/>
  <c r="H180" i="41"/>
  <c r="F180" i="41"/>
  <c r="M179" i="41"/>
  <c r="K179" i="41"/>
  <c r="I179" i="41"/>
  <c r="G179" i="41"/>
  <c r="N178" i="41"/>
  <c r="L178" i="41"/>
  <c r="J178" i="41"/>
  <c r="H178" i="41"/>
  <c r="F178" i="41"/>
  <c r="N171" i="41"/>
  <c r="L171" i="41"/>
  <c r="J171" i="41"/>
  <c r="H171" i="41"/>
  <c r="F171" i="41"/>
  <c r="M169" i="41"/>
  <c r="K169" i="41"/>
  <c r="I169" i="41"/>
  <c r="G169" i="41"/>
  <c r="N168" i="41"/>
  <c r="L168" i="41"/>
  <c r="J168" i="41"/>
  <c r="H168" i="41"/>
  <c r="F168" i="41"/>
  <c r="M167" i="41"/>
  <c r="K167" i="41"/>
  <c r="I167" i="41"/>
  <c r="G167" i="41"/>
  <c r="N160" i="41"/>
  <c r="L160" i="41"/>
  <c r="J160" i="41"/>
  <c r="H160" i="41"/>
  <c r="F160" i="41"/>
  <c r="M158" i="41"/>
  <c r="K158" i="41"/>
  <c r="I158" i="41"/>
  <c r="G158" i="41"/>
  <c r="N157" i="41"/>
  <c r="L157" i="41"/>
  <c r="J157" i="41"/>
  <c r="H157" i="41"/>
  <c r="F157" i="41"/>
  <c r="M156" i="41"/>
  <c r="K156" i="41"/>
  <c r="I156" i="41"/>
  <c r="G156" i="41"/>
  <c r="M208" i="40"/>
  <c r="K208" i="40"/>
  <c r="I208" i="40"/>
  <c r="G208" i="40"/>
  <c r="N207" i="40"/>
  <c r="L207" i="40"/>
  <c r="J207" i="40"/>
  <c r="H207" i="40"/>
  <c r="F207" i="40"/>
  <c r="M206" i="40"/>
  <c r="K206" i="40"/>
  <c r="I206" i="40"/>
  <c r="G206" i="40"/>
  <c r="M204" i="40"/>
  <c r="K204" i="40"/>
  <c r="I204" i="40"/>
  <c r="G204" i="40"/>
  <c r="N203" i="40"/>
  <c r="L203" i="40"/>
  <c r="J203" i="40"/>
  <c r="H203" i="40"/>
  <c r="F203" i="40"/>
  <c r="M202" i="40"/>
  <c r="K202" i="40"/>
  <c r="I202" i="40"/>
  <c r="G202" i="40"/>
  <c r="M200" i="40"/>
  <c r="K200" i="40"/>
  <c r="I200" i="40"/>
  <c r="G200" i="40"/>
  <c r="N199" i="40"/>
  <c r="L199" i="40"/>
  <c r="J199" i="40"/>
  <c r="H199" i="40"/>
  <c r="F199" i="40"/>
  <c r="M198" i="40"/>
  <c r="K198" i="40"/>
  <c r="I198" i="40"/>
  <c r="G198" i="40"/>
  <c r="N223" i="40"/>
  <c r="L223" i="40"/>
  <c r="J223" i="40"/>
  <c r="H223" i="40"/>
  <c r="F223" i="40"/>
  <c r="M222" i="40"/>
  <c r="K222" i="40"/>
  <c r="I222" i="40"/>
  <c r="G222" i="40"/>
  <c r="N221" i="40"/>
  <c r="L221" i="40"/>
  <c r="J221" i="40"/>
  <c r="H221" i="40"/>
  <c r="F221" i="40"/>
  <c r="N219" i="40"/>
  <c r="L219" i="40"/>
  <c r="J219" i="40"/>
  <c r="H219" i="40"/>
  <c r="F219" i="40"/>
  <c r="M218" i="40"/>
  <c r="K218" i="40"/>
  <c r="I218" i="40"/>
  <c r="G218" i="40"/>
  <c r="N217" i="40"/>
  <c r="L217" i="40"/>
  <c r="J217" i="40"/>
  <c r="H217" i="40"/>
  <c r="F217" i="40"/>
  <c r="N215" i="40"/>
  <c r="L215" i="40"/>
  <c r="J215" i="40"/>
  <c r="H215" i="40"/>
  <c r="F215" i="40"/>
  <c r="M214" i="40"/>
  <c r="K214" i="40"/>
  <c r="I214" i="40"/>
  <c r="G214" i="40"/>
  <c r="N213" i="40"/>
  <c r="L213" i="40"/>
  <c r="J213" i="40"/>
  <c r="H213" i="40"/>
  <c r="F213" i="40"/>
  <c r="M253" i="40"/>
  <c r="K253" i="40"/>
  <c r="I253" i="40"/>
  <c r="G253" i="40"/>
  <c r="N252" i="40"/>
  <c r="L252" i="40"/>
  <c r="J252" i="40"/>
  <c r="H252" i="40"/>
  <c r="F252" i="40"/>
  <c r="M251" i="40"/>
  <c r="K251" i="40"/>
  <c r="I251" i="40"/>
  <c r="G251" i="40"/>
  <c r="M249" i="40"/>
  <c r="K249" i="40"/>
  <c r="I249" i="40"/>
  <c r="G249" i="40"/>
  <c r="N248" i="40"/>
  <c r="L248" i="40"/>
  <c r="J248" i="40"/>
  <c r="H248" i="40"/>
  <c r="L128" i="39"/>
  <c r="H128" i="39"/>
  <c r="K193" i="41"/>
  <c r="G193" i="41"/>
  <c r="L191" i="41"/>
  <c r="H191" i="41"/>
  <c r="M190" i="41"/>
  <c r="I190" i="41"/>
  <c r="N189" i="41"/>
  <c r="J189" i="41"/>
  <c r="F189" i="41"/>
  <c r="L182" i="41"/>
  <c r="H182" i="41"/>
  <c r="M180" i="41"/>
  <c r="I180" i="41"/>
  <c r="N179" i="41"/>
  <c r="J179" i="41"/>
  <c r="F179" i="41"/>
  <c r="K178" i="41"/>
  <c r="G178" i="41"/>
  <c r="M171" i="41"/>
  <c r="I171" i="41"/>
  <c r="N169" i="41"/>
  <c r="J169" i="41"/>
  <c r="F169" i="41"/>
  <c r="K168" i="41"/>
  <c r="G168" i="41"/>
  <c r="L167" i="41"/>
  <c r="H167" i="41"/>
  <c r="M160" i="41"/>
  <c r="I160" i="41"/>
  <c r="N158" i="41"/>
  <c r="J158" i="41"/>
  <c r="F158" i="41"/>
  <c r="K157" i="41"/>
  <c r="G157" i="41"/>
  <c r="L156" i="41"/>
  <c r="H156" i="41"/>
  <c r="L208" i="40"/>
  <c r="H208" i="40"/>
  <c r="M207" i="40"/>
  <c r="I207" i="40"/>
  <c r="N206" i="40"/>
  <c r="J206" i="40"/>
  <c r="F206" i="40"/>
  <c r="L204" i="40"/>
  <c r="H204" i="40"/>
  <c r="M203" i="40"/>
  <c r="I203" i="40"/>
  <c r="N202" i="40"/>
  <c r="J202" i="40"/>
  <c r="F202" i="40"/>
  <c r="L200" i="40"/>
  <c r="H200" i="40"/>
  <c r="M199" i="40"/>
  <c r="I199" i="40"/>
  <c r="N198" i="40"/>
  <c r="J198" i="40"/>
  <c r="F198" i="40"/>
  <c r="K223" i="40"/>
  <c r="G223" i="40"/>
  <c r="L222" i="40"/>
  <c r="H222" i="40"/>
  <c r="M221" i="40"/>
  <c r="I221" i="40"/>
  <c r="K219" i="40"/>
  <c r="G219" i="40"/>
  <c r="L218" i="40"/>
  <c r="H218" i="40"/>
  <c r="M217" i="40"/>
  <c r="I217" i="40"/>
  <c r="K215" i="40"/>
  <c r="G215" i="40"/>
  <c r="L214" i="40"/>
  <c r="H214" i="40"/>
  <c r="M213" i="40"/>
  <c r="I213" i="40"/>
  <c r="N253" i="40"/>
  <c r="J253" i="40"/>
  <c r="F253" i="40"/>
  <c r="K252" i="40"/>
  <c r="G252" i="40"/>
  <c r="L251" i="40"/>
  <c r="H251" i="40"/>
  <c r="N249" i="40"/>
  <c r="J249" i="40"/>
  <c r="F249" i="40"/>
  <c r="K248" i="40"/>
  <c r="G248" i="40"/>
  <c r="N247" i="40"/>
  <c r="L247" i="40"/>
  <c r="J247" i="40"/>
  <c r="H247" i="40"/>
  <c r="F247" i="40"/>
  <c r="N245" i="40"/>
  <c r="L245" i="40"/>
  <c r="J245" i="40"/>
  <c r="H245" i="40"/>
  <c r="F245" i="40"/>
  <c r="M244" i="40"/>
  <c r="K244" i="40"/>
  <c r="I244" i="40"/>
  <c r="G244" i="40"/>
  <c r="N243" i="40"/>
  <c r="L243" i="40"/>
  <c r="J243" i="40"/>
  <c r="H243" i="40"/>
  <c r="F243" i="40"/>
  <c r="M238" i="40"/>
  <c r="K238" i="40"/>
  <c r="I238" i="40"/>
  <c r="G238" i="40"/>
  <c r="N237" i="40"/>
  <c r="L237" i="40"/>
  <c r="J237" i="40"/>
  <c r="H237" i="40"/>
  <c r="F237" i="40"/>
  <c r="M236" i="40"/>
  <c r="K236" i="40"/>
  <c r="I236" i="40"/>
  <c r="G236" i="40"/>
  <c r="M234" i="40"/>
  <c r="K234" i="40"/>
  <c r="I234" i="40"/>
  <c r="G234" i="40"/>
  <c r="N233" i="40"/>
  <c r="L233" i="40"/>
  <c r="J233" i="40"/>
  <c r="H233" i="40"/>
  <c r="F233" i="40"/>
  <c r="M232" i="40"/>
  <c r="K232" i="40"/>
  <c r="I232" i="40"/>
  <c r="G232" i="40"/>
  <c r="M230" i="40"/>
  <c r="K230" i="40"/>
  <c r="I230" i="40"/>
  <c r="G230" i="40"/>
  <c r="N229" i="40"/>
  <c r="L229" i="40"/>
  <c r="J229" i="40"/>
  <c r="H229" i="40"/>
  <c r="F229" i="40"/>
  <c r="M228" i="40"/>
  <c r="K228" i="40"/>
  <c r="I228" i="40"/>
  <c r="G228" i="40"/>
  <c r="M57" i="46"/>
  <c r="K57" i="46"/>
  <c r="I57" i="46"/>
  <c r="G57" i="46"/>
  <c r="N63" i="46"/>
  <c r="L63" i="46"/>
  <c r="J63" i="46"/>
  <c r="H63" i="46"/>
  <c r="F63" i="46"/>
  <c r="M62" i="46"/>
  <c r="K62" i="46"/>
  <c r="I62" i="46"/>
  <c r="G62" i="46"/>
  <c r="N56" i="46"/>
  <c r="L56" i="46"/>
  <c r="J56" i="46"/>
  <c r="H56" i="46"/>
  <c r="F56" i="46"/>
  <c r="M51" i="46"/>
  <c r="K51" i="46"/>
  <c r="I51" i="46"/>
  <c r="G51" i="46"/>
  <c r="N50" i="46"/>
  <c r="L50" i="46"/>
  <c r="J50" i="46"/>
  <c r="H50" i="46"/>
  <c r="F50" i="46"/>
  <c r="M45" i="46"/>
  <c r="K45" i="46"/>
  <c r="I45" i="46"/>
  <c r="G45" i="46"/>
  <c r="N44" i="46"/>
  <c r="L44" i="46"/>
  <c r="J44" i="46"/>
  <c r="H44" i="46"/>
  <c r="F44" i="46"/>
  <c r="M79" i="48"/>
  <c r="K79" i="48"/>
  <c r="I79" i="48"/>
  <c r="G79" i="48"/>
  <c r="N78" i="48"/>
  <c r="L78" i="48"/>
  <c r="J78" i="48"/>
  <c r="H78" i="48"/>
  <c r="F78" i="48"/>
  <c r="M85" i="48"/>
  <c r="K85" i="48"/>
  <c r="I85" i="48"/>
  <c r="G85" i="48"/>
  <c r="N84" i="48"/>
  <c r="L84" i="48"/>
  <c r="J84" i="48"/>
  <c r="H84" i="48"/>
  <c r="F84" i="48"/>
  <c r="M91" i="48"/>
  <c r="K91" i="48"/>
  <c r="I91" i="48"/>
  <c r="G91" i="48"/>
  <c r="N90" i="48"/>
  <c r="L90" i="48"/>
  <c r="J90" i="48"/>
  <c r="H90" i="48"/>
  <c r="F90" i="48"/>
  <c r="M97" i="48"/>
  <c r="K97" i="48"/>
  <c r="I97" i="48"/>
  <c r="G97" i="48"/>
  <c r="N96" i="48"/>
  <c r="L96" i="48"/>
  <c r="J96" i="48"/>
  <c r="H96" i="48"/>
  <c r="F96" i="48"/>
  <c r="M135" i="39"/>
  <c r="K135" i="39"/>
  <c r="I135" i="39"/>
  <c r="G135" i="39"/>
  <c r="N134" i="39"/>
  <c r="L134" i="39"/>
  <c r="J134" i="39"/>
  <c r="H134" i="39"/>
  <c r="F134" i="39"/>
  <c r="M133" i="39"/>
  <c r="K133" i="39"/>
  <c r="I133" i="39"/>
  <c r="G133" i="39"/>
  <c r="N114" i="39"/>
  <c r="L114" i="39"/>
  <c r="J114" i="39"/>
  <c r="H114" i="39"/>
  <c r="F114" i="39"/>
  <c r="M113" i="39"/>
  <c r="K113" i="39"/>
  <c r="I113" i="39"/>
  <c r="G113" i="39"/>
  <c r="N112" i="39"/>
  <c r="L112" i="39"/>
  <c r="J112" i="39"/>
  <c r="H112" i="39"/>
  <c r="F112" i="39"/>
  <c r="M121" i="39"/>
  <c r="K121" i="39"/>
  <c r="I121" i="39"/>
  <c r="G121" i="39"/>
  <c r="N120" i="39"/>
  <c r="L120" i="39"/>
  <c r="J120" i="39"/>
  <c r="H120" i="39"/>
  <c r="F120" i="39"/>
  <c r="M119" i="39"/>
  <c r="K119" i="39"/>
  <c r="I119" i="39"/>
  <c r="G119" i="39"/>
  <c r="N127" i="39"/>
  <c r="L127" i="39"/>
  <c r="J127" i="39"/>
  <c r="H127" i="39"/>
  <c r="F127" i="39"/>
  <c r="M126" i="39"/>
  <c r="K126" i="39"/>
  <c r="I126" i="39"/>
  <c r="G126" i="39"/>
  <c r="N219" i="113"/>
  <c r="L219" i="113"/>
  <c r="J219" i="113"/>
  <c r="H219" i="113"/>
  <c r="F219" i="113"/>
  <c r="M209" i="113"/>
  <c r="K209" i="113"/>
  <c r="I209" i="113"/>
  <c r="G209" i="113"/>
  <c r="M204" i="113"/>
  <c r="K204" i="113"/>
  <c r="I204" i="113"/>
  <c r="G204" i="113"/>
  <c r="N239" i="112"/>
  <c r="L239" i="112"/>
  <c r="J239" i="112"/>
  <c r="H239" i="112"/>
  <c r="F239" i="112"/>
  <c r="M238" i="112"/>
  <c r="K238" i="112"/>
  <c r="I238" i="112"/>
  <c r="G238" i="112"/>
  <c r="N237" i="112"/>
  <c r="L237" i="112"/>
  <c r="J237" i="112"/>
  <c r="H237" i="112"/>
  <c r="F237" i="112"/>
  <c r="M232" i="112"/>
  <c r="K232" i="112"/>
  <c r="I232" i="112"/>
  <c r="G232" i="112"/>
  <c r="N231" i="112"/>
  <c r="L231" i="112"/>
  <c r="J231" i="112"/>
  <c r="H231" i="112"/>
  <c r="F231" i="112"/>
  <c r="M230" i="112"/>
  <c r="K230" i="112"/>
  <c r="I230" i="112"/>
  <c r="G230" i="112"/>
  <c r="N225" i="112"/>
  <c r="L225" i="112"/>
  <c r="J225" i="112"/>
  <c r="H225" i="112"/>
  <c r="F225" i="112"/>
  <c r="M224" i="112"/>
  <c r="K224" i="112"/>
  <c r="I224" i="112"/>
  <c r="G224" i="112"/>
  <c r="N223" i="112"/>
  <c r="L223" i="112"/>
  <c r="J223" i="112"/>
  <c r="H223" i="112"/>
  <c r="F223" i="112"/>
  <c r="M218" i="112"/>
  <c r="K218" i="112"/>
  <c r="I218" i="112"/>
  <c r="G218" i="112"/>
  <c r="N217" i="112"/>
  <c r="L217" i="112"/>
  <c r="J217" i="112"/>
  <c r="H217" i="112"/>
  <c r="F217" i="112"/>
  <c r="M216" i="112"/>
  <c r="K216" i="112"/>
  <c r="I216" i="112"/>
  <c r="G216" i="112"/>
  <c r="N128" i="39"/>
  <c r="J128" i="39"/>
  <c r="M193" i="41"/>
  <c r="I193" i="41"/>
  <c r="N191" i="41"/>
  <c r="J191" i="41"/>
  <c r="F191" i="41"/>
  <c r="K190" i="41"/>
  <c r="G190" i="41"/>
  <c r="L189" i="41"/>
  <c r="H189" i="41"/>
  <c r="N182" i="41"/>
  <c r="J182" i="41"/>
  <c r="F182" i="41"/>
  <c r="K180" i="41"/>
  <c r="G180" i="41"/>
  <c r="L179" i="41"/>
  <c r="H179" i="41"/>
  <c r="M178" i="41"/>
  <c r="I178" i="41"/>
  <c r="K171" i="41"/>
  <c r="G171" i="41"/>
  <c r="L169" i="41"/>
  <c r="M168" i="41"/>
  <c r="N167" i="41"/>
  <c r="F167" i="41"/>
  <c r="G160" i="41"/>
  <c r="H158" i="41"/>
  <c r="I157" i="41"/>
  <c r="J156" i="41"/>
  <c r="J208" i="40"/>
  <c r="K207" i="40"/>
  <c r="L206" i="40"/>
  <c r="N204" i="40"/>
  <c r="F204" i="40"/>
  <c r="G203" i="40"/>
  <c r="H202" i="40"/>
  <c r="J200" i="40"/>
  <c r="K199" i="40"/>
  <c r="L198" i="40"/>
  <c r="M223" i="40"/>
  <c r="N222" i="40"/>
  <c r="F222" i="40"/>
  <c r="G221" i="40"/>
  <c r="I219" i="40"/>
  <c r="J218" i="40"/>
  <c r="K217" i="40"/>
  <c r="M215" i="40"/>
  <c r="N214" i="40"/>
  <c r="F214" i="40"/>
  <c r="G213" i="40"/>
  <c r="H253" i="40"/>
  <c r="I252" i="40"/>
  <c r="J251" i="40"/>
  <c r="L249" i="40"/>
  <c r="M248" i="40"/>
  <c r="F248" i="40"/>
  <c r="K247" i="40"/>
  <c r="G247" i="40"/>
  <c r="M245" i="40"/>
  <c r="I245" i="40"/>
  <c r="N244" i="40"/>
  <c r="J244" i="40"/>
  <c r="F244" i="40"/>
  <c r="K243" i="40"/>
  <c r="G243" i="40"/>
  <c r="L238" i="40"/>
  <c r="H238" i="40"/>
  <c r="M237" i="40"/>
  <c r="I237" i="40"/>
  <c r="N236" i="40"/>
  <c r="J236" i="40"/>
  <c r="F236" i="40"/>
  <c r="L234" i="40"/>
  <c r="H234" i="40"/>
  <c r="M233" i="40"/>
  <c r="I233" i="40"/>
  <c r="N232" i="40"/>
  <c r="J232" i="40"/>
  <c r="F232" i="40"/>
  <c r="L230" i="40"/>
  <c r="H230" i="40"/>
  <c r="M229" i="40"/>
  <c r="I229" i="40"/>
  <c r="N228" i="40"/>
  <c r="J228" i="40"/>
  <c r="F228" i="40"/>
  <c r="N57" i="46"/>
  <c r="J57" i="46"/>
  <c r="F57" i="46"/>
  <c r="K63" i="46"/>
  <c r="G63" i="46"/>
  <c r="L62" i="46"/>
  <c r="H62" i="46"/>
  <c r="M56" i="46"/>
  <c r="I56" i="46"/>
  <c r="N51" i="46"/>
  <c r="J51" i="46"/>
  <c r="F51" i="46"/>
  <c r="K50" i="46"/>
  <c r="G50" i="46"/>
  <c r="L45" i="46"/>
  <c r="H45" i="46"/>
  <c r="M44" i="46"/>
  <c r="I44" i="46"/>
  <c r="N79" i="48"/>
  <c r="J79" i="48"/>
  <c r="F79" i="48"/>
  <c r="K78" i="48"/>
  <c r="G78" i="48"/>
  <c r="L85" i="48"/>
  <c r="H85" i="48"/>
  <c r="M84" i="48"/>
  <c r="I84" i="48"/>
  <c r="N91" i="48"/>
  <c r="J91" i="48"/>
  <c r="F91" i="48"/>
  <c r="K90" i="48"/>
  <c r="G90" i="48"/>
  <c r="L97" i="48"/>
  <c r="H97" i="48"/>
  <c r="M96" i="48"/>
  <c r="I96" i="48"/>
  <c r="N135" i="39"/>
  <c r="J135" i="39"/>
  <c r="F135" i="39"/>
  <c r="K134" i="39"/>
  <c r="G134" i="39"/>
  <c r="L133" i="39"/>
  <c r="H133" i="39"/>
  <c r="M114" i="39"/>
  <c r="I114" i="39"/>
  <c r="N113" i="39"/>
  <c r="J113" i="39"/>
  <c r="F113" i="39"/>
  <c r="K112" i="39"/>
  <c r="G112" i="39"/>
  <c r="L121" i="39"/>
  <c r="H121" i="39"/>
  <c r="M120" i="39"/>
  <c r="I120" i="39"/>
  <c r="N119" i="39"/>
  <c r="J119" i="39"/>
  <c r="F119" i="39"/>
  <c r="K127" i="39"/>
  <c r="G127" i="39"/>
  <c r="L126" i="39"/>
  <c r="H126" i="39"/>
  <c r="M219" i="113"/>
  <c r="I219" i="113"/>
  <c r="N209" i="113"/>
  <c r="J209" i="113"/>
  <c r="F209" i="113"/>
  <c r="J204" i="113"/>
  <c r="F204" i="113"/>
  <c r="K239" i="112"/>
  <c r="G239" i="112"/>
  <c r="L238" i="112"/>
  <c r="H238" i="112"/>
  <c r="M237" i="112"/>
  <c r="I237" i="112"/>
  <c r="N232" i="112"/>
  <c r="J232" i="112"/>
  <c r="F232" i="112"/>
  <c r="K231" i="112"/>
  <c r="G231" i="112"/>
  <c r="L230" i="112"/>
  <c r="H230" i="112"/>
  <c r="M225" i="112"/>
  <c r="I225" i="112"/>
  <c r="N224" i="112"/>
  <c r="J224" i="112"/>
  <c r="F224" i="112"/>
  <c r="K223" i="112"/>
  <c r="G223" i="112"/>
  <c r="L218" i="112"/>
  <c r="H218" i="112"/>
  <c r="M217" i="112"/>
  <c r="I217" i="112"/>
  <c r="N216" i="112"/>
  <c r="I168" i="41"/>
  <c r="L158" i="41"/>
  <c r="N156" i="41"/>
  <c r="F208" i="40"/>
  <c r="H206" i="40"/>
  <c r="J204" i="40"/>
  <c r="L202" i="40"/>
  <c r="N200" i="40"/>
  <c r="G199" i="40"/>
  <c r="I223" i="40"/>
  <c r="K221" i="40"/>
  <c r="M219" i="40"/>
  <c r="F218" i="40"/>
  <c r="J214" i="40"/>
  <c r="L253" i="40"/>
  <c r="N251" i="40"/>
  <c r="I248" i="40"/>
  <c r="I247" i="40"/>
  <c r="K245" i="40"/>
  <c r="L244" i="40"/>
  <c r="M243" i="40"/>
  <c r="N238" i="40"/>
  <c r="F238" i="40"/>
  <c r="G237" i="40"/>
  <c r="H236" i="40"/>
  <c r="J234" i="40"/>
  <c r="K233" i="40"/>
  <c r="L232" i="40"/>
  <c r="N230" i="40"/>
  <c r="F230" i="40"/>
  <c r="G229" i="40"/>
  <c r="H228" i="40"/>
  <c r="L57" i="46"/>
  <c r="M63" i="46"/>
  <c r="N62" i="46"/>
  <c r="F62" i="46"/>
  <c r="G56" i="46"/>
  <c r="H51" i="46"/>
  <c r="I50" i="46"/>
  <c r="J45" i="46"/>
  <c r="K44" i="46"/>
  <c r="L79" i="48"/>
  <c r="M78" i="48"/>
  <c r="N85" i="48"/>
  <c r="F85" i="48"/>
  <c r="G84" i="48"/>
  <c r="H91" i="48"/>
  <c r="I90" i="48"/>
  <c r="J97" i="48"/>
  <c r="K96" i="48"/>
  <c r="L135" i="39"/>
  <c r="M134" i="39"/>
  <c r="N133" i="39"/>
  <c r="F133" i="39"/>
  <c r="G114" i="39"/>
  <c r="H113" i="39"/>
  <c r="I112" i="39"/>
  <c r="J121" i="39"/>
  <c r="K120" i="39"/>
  <c r="L119" i="39"/>
  <c r="M127" i="39"/>
  <c r="N126" i="39"/>
  <c r="F126" i="39"/>
  <c r="G219" i="113"/>
  <c r="H209" i="113"/>
  <c r="H204" i="113"/>
  <c r="I239" i="112"/>
  <c r="J238" i="112"/>
  <c r="K237" i="112"/>
  <c r="L232" i="112"/>
  <c r="M231" i="112"/>
  <c r="N230" i="112"/>
  <c r="F230" i="112"/>
  <c r="G225" i="112"/>
  <c r="H224" i="112"/>
  <c r="I223" i="112"/>
  <c r="J218" i="112"/>
  <c r="K217" i="112"/>
  <c r="L216" i="112"/>
  <c r="H216" i="112"/>
  <c r="H169" i="41"/>
  <c r="J167" i="41"/>
  <c r="K160" i="41"/>
  <c r="M157" i="41"/>
  <c r="F156" i="41"/>
  <c r="G207" i="40"/>
  <c r="K203" i="40"/>
  <c r="F200" i="40"/>
  <c r="H198" i="40"/>
  <c r="J222" i="40"/>
  <c r="N218" i="40"/>
  <c r="G217" i="40"/>
  <c r="I215" i="40"/>
  <c r="K213" i="40"/>
  <c r="M252" i="40"/>
  <c r="F251" i="40"/>
  <c r="H249" i="40"/>
  <c r="M247" i="40"/>
  <c r="G245" i="40"/>
  <c r="H244" i="40"/>
  <c r="I243" i="40"/>
  <c r="J238" i="40"/>
  <c r="K237" i="40"/>
  <c r="L236" i="40"/>
  <c r="N234" i="40"/>
  <c r="F234" i="40"/>
  <c r="G233" i="40"/>
  <c r="H232" i="40"/>
  <c r="J230" i="40"/>
  <c r="K229" i="40"/>
  <c r="L228" i="40"/>
  <c r="H57" i="46"/>
  <c r="I63" i="46"/>
  <c r="J62" i="46"/>
  <c r="K56" i="46"/>
  <c r="L51" i="46"/>
  <c r="M50" i="46"/>
  <c r="N45" i="46"/>
  <c r="F45" i="46"/>
  <c r="G44" i="46"/>
  <c r="H79" i="48"/>
  <c r="I78" i="48"/>
  <c r="J85" i="48"/>
  <c r="K84" i="48"/>
  <c r="L91" i="48"/>
  <c r="M90" i="48"/>
  <c r="N97" i="48"/>
  <c r="F97" i="48"/>
  <c r="G96" i="48"/>
  <c r="H135" i="39"/>
  <c r="I134" i="39"/>
  <c r="J133" i="39"/>
  <c r="K114" i="39"/>
  <c r="L113" i="39"/>
  <c r="M112" i="39"/>
  <c r="N121" i="39"/>
  <c r="F121" i="39"/>
  <c r="G120" i="39"/>
  <c r="H119" i="39"/>
  <c r="I127" i="39"/>
  <c r="J126" i="39"/>
  <c r="K219" i="113"/>
  <c r="L209" i="113"/>
  <c r="L204" i="113"/>
  <c r="M239" i="112"/>
  <c r="N238" i="112"/>
  <c r="F238" i="112"/>
  <c r="G237" i="112"/>
  <c r="H232" i="112"/>
  <c r="I231" i="112"/>
  <c r="J230" i="112"/>
  <c r="K225" i="112"/>
  <c r="L224" i="112"/>
  <c r="M223" i="112"/>
  <c r="N218" i="112"/>
  <c r="F218" i="112"/>
  <c r="G217" i="112"/>
  <c r="J216" i="112"/>
  <c r="F216" i="112"/>
  <c r="E74" i="62"/>
  <c r="F74" i="62"/>
  <c r="AO206" i="59"/>
  <c r="AJ200" i="59"/>
  <c r="AQ199" i="59"/>
  <c r="AU221" i="59"/>
  <c r="AT198" i="59"/>
  <c r="AM199" i="59"/>
  <c r="AP204" i="59"/>
  <c r="AK206" i="59"/>
  <c r="AN210" i="59"/>
  <c r="AL223" i="59"/>
  <c r="AU199" i="59"/>
  <c r="AK200" i="59"/>
  <c r="AP205" i="59"/>
  <c r="AV210" i="59"/>
  <c r="AM221" i="59"/>
  <c r="AO237" i="59"/>
  <c r="AT230" i="59"/>
  <c r="AL224" i="59"/>
  <c r="AP223" i="59"/>
  <c r="AM222" i="59"/>
  <c r="AK212" i="59"/>
  <c r="AM211" i="59"/>
  <c r="AU211" i="59"/>
  <c r="AP210" i="59"/>
  <c r="AU206" i="59"/>
  <c r="AM206" i="59"/>
  <c r="AN205" i="59"/>
  <c r="AV205" i="59"/>
  <c r="AQ204" i="59"/>
  <c r="AL200" i="59"/>
  <c r="AT200" i="59"/>
  <c r="AO199" i="59"/>
  <c r="AJ198" i="59"/>
  <c r="AR198" i="59"/>
  <c r="AR239" i="59"/>
  <c r="AN230" i="59"/>
  <c r="AR229" i="59"/>
  <c r="AV224" i="59"/>
  <c r="AS222" i="59"/>
  <c r="AO221" i="59"/>
  <c r="AU212" i="59"/>
  <c r="AR211" i="59"/>
  <c r="AM210" i="59"/>
  <c r="AU210" i="59"/>
  <c r="AP206" i="59"/>
  <c r="AK205" i="59"/>
  <c r="AS205" i="59"/>
  <c r="AN204" i="59"/>
  <c r="AV204" i="59"/>
  <c r="AQ200" i="59"/>
  <c r="AL199" i="59"/>
  <c r="AT199" i="59"/>
  <c r="AO198" i="59"/>
  <c r="AS235" i="59"/>
  <c r="AN229" i="59"/>
  <c r="AR224" i="59"/>
  <c r="AV223" i="59"/>
  <c r="AS221" i="59"/>
  <c r="AQ212" i="59"/>
  <c r="AP211" i="59"/>
  <c r="AV238" i="59"/>
  <c r="AQ222" i="59"/>
  <c r="AK210" i="59"/>
  <c r="AR206" i="59"/>
  <c r="AQ205" i="59"/>
  <c r="AT204" i="59"/>
  <c r="AJ199" i="59"/>
  <c r="AM198" i="59"/>
  <c r="AN199" i="59"/>
  <c r="AS204" i="59"/>
  <c r="AL205" i="59"/>
  <c r="AO210" i="59"/>
  <c r="AT223" i="59"/>
  <c r="AK211" i="59"/>
  <c r="AT212" i="59"/>
  <c r="AP212" i="59"/>
  <c r="AL212" i="59"/>
  <c r="AL221" i="59"/>
  <c r="AP221" i="59"/>
  <c r="AT221" i="59"/>
  <c r="AL222" i="59"/>
  <c r="AP222" i="59"/>
  <c r="AT222" i="59"/>
  <c r="AU223" i="59"/>
  <c r="AQ223" i="59"/>
  <c r="AM223" i="59"/>
  <c r="AU224" i="59"/>
  <c r="AQ224" i="59"/>
  <c r="AM224" i="59"/>
  <c r="AU229" i="59"/>
  <c r="AQ229" i="59"/>
  <c r="AM229" i="59"/>
  <c r="AU230" i="59"/>
  <c r="AQ230" i="59"/>
  <c r="AM230" i="59"/>
  <c r="AT235" i="59"/>
  <c r="AT236" i="59"/>
  <c r="AU237" i="59"/>
  <c r="AQ237" i="59"/>
  <c r="AL238" i="59"/>
  <c r="AT238" i="59"/>
  <c r="AP239" i="59"/>
  <c r="AN237" i="59"/>
  <c r="AK238" i="59"/>
  <c r="AO238" i="59"/>
  <c r="AS238" i="59"/>
  <c r="AK239" i="59"/>
  <c r="AO239" i="59"/>
  <c r="AS239" i="59"/>
  <c r="AU235" i="59"/>
  <c r="AV237" i="59"/>
  <c r="AK237" i="59"/>
  <c r="AN239" i="59"/>
  <c r="AL198" i="59"/>
  <c r="AU205" i="59"/>
  <c r="AO211" i="59"/>
  <c r="AV212" i="59"/>
  <c r="AN212" i="59"/>
  <c r="AN221" i="59"/>
  <c r="AR221" i="59"/>
  <c r="AN222" i="59"/>
  <c r="AV222" i="59"/>
  <c r="AS223" i="59"/>
  <c r="AK223" i="59"/>
  <c r="AO224" i="59"/>
  <c r="AS229" i="59"/>
  <c r="AK229" i="59"/>
  <c r="AO230" i="59"/>
  <c r="AR235" i="59"/>
  <c r="AS237" i="59"/>
  <c r="AP238" i="59"/>
  <c r="AL239" i="59"/>
  <c r="AP237" i="59"/>
  <c r="AL237" i="59"/>
  <c r="AQ238" i="59"/>
  <c r="AM239" i="59"/>
  <c r="AU239" i="59"/>
  <c r="AS200" i="59"/>
  <c r="AL229" i="59"/>
  <c r="AR210" i="59"/>
  <c r="AM205" i="59"/>
  <c r="AV199" i="59"/>
  <c r="AN200" i="59"/>
  <c r="AT205" i="59"/>
  <c r="AV206" i="59"/>
  <c r="AO212" i="59"/>
  <c r="AS236" i="59"/>
  <c r="AQ198" i="59"/>
  <c r="AV200" i="59"/>
  <c r="AO204" i="59"/>
  <c r="AN206" i="59"/>
  <c r="AJ210" i="59"/>
  <c r="AL230" i="59"/>
  <c r="AP229" i="59"/>
  <c r="AT224" i="59"/>
  <c r="AU222" i="59"/>
  <c r="AQ221" i="59"/>
  <c r="AS212" i="59"/>
  <c r="AQ211" i="59"/>
  <c r="AL210" i="59"/>
  <c r="AT210" i="59"/>
  <c r="AQ206" i="59"/>
  <c r="AJ205" i="59"/>
  <c r="AR205" i="59"/>
  <c r="AM204" i="59"/>
  <c r="AU204" i="59"/>
  <c r="AP200" i="59"/>
  <c r="AK199" i="59"/>
  <c r="AS199" i="59"/>
  <c r="AN198" i="59"/>
  <c r="AV198" i="59"/>
  <c r="AT237" i="59"/>
  <c r="AV230" i="59"/>
  <c r="AN224" i="59"/>
  <c r="AR223" i="59"/>
  <c r="AK222" i="59"/>
  <c r="AM212" i="59"/>
  <c r="AN211" i="59"/>
  <c r="AV211" i="59"/>
  <c r="AQ210" i="59"/>
  <c r="AT206" i="59"/>
  <c r="AL206" i="59"/>
  <c r="AO205" i="59"/>
  <c r="AJ204" i="59"/>
  <c r="AR204" i="59"/>
  <c r="AM200" i="59"/>
  <c r="AU200" i="59"/>
  <c r="AP199" i="59"/>
  <c r="AK198" i="59"/>
  <c r="AS198" i="59"/>
  <c r="AN238" i="59"/>
  <c r="AR230" i="59"/>
  <c r="AV229" i="59"/>
  <c r="AN223" i="59"/>
  <c r="AO222" i="59"/>
  <c r="AK221" i="59"/>
  <c r="AL211" i="59"/>
  <c r="AT211" i="59"/>
  <c r="AT229" i="59"/>
  <c r="AJ211" i="59"/>
  <c r="AS210" i="59"/>
  <c r="AJ206" i="59"/>
  <c r="AL204" i="59"/>
  <c r="AO200" i="59"/>
  <c r="AR199" i="59"/>
  <c r="AU198" i="59"/>
  <c r="AR200" i="59"/>
  <c r="AS206" i="59"/>
  <c r="AP230" i="59"/>
  <c r="AR212" i="59"/>
  <c r="AJ212" i="59"/>
  <c r="AV221" i="59"/>
  <c r="AR222" i="59"/>
  <c r="AO223" i="59"/>
  <c r="AS224" i="59"/>
  <c r="AK224" i="59"/>
  <c r="AO229" i="59"/>
  <c r="AS230" i="59"/>
  <c r="AK230" i="59"/>
  <c r="AR236" i="59"/>
  <c r="AM237" i="59"/>
  <c r="AT239" i="59"/>
  <c r="AM238" i="59"/>
  <c r="AU238" i="59"/>
  <c r="AQ239" i="59"/>
  <c r="AU236" i="59"/>
  <c r="AR237" i="59"/>
  <c r="AR238" i="59"/>
  <c r="AV239" i="59"/>
  <c r="M35" i="107"/>
  <c r="M36" i="107"/>
  <c r="K35" i="107"/>
  <c r="L35" i="107"/>
  <c r="L37" i="107"/>
  <c r="K37" i="107"/>
  <c r="K36" i="107"/>
  <c r="J36" i="107"/>
  <c r="J35" i="107"/>
  <c r="L36" i="107"/>
  <c r="M37" i="107"/>
  <c r="J37" i="107"/>
  <c r="I94" i="110"/>
  <c r="I100" i="110"/>
  <c r="L62" i="62"/>
  <c r="H62" i="62"/>
  <c r="N52" i="62"/>
  <c r="J52" i="62"/>
  <c r="F52" i="62"/>
  <c r="L47" i="62"/>
  <c r="H47" i="62"/>
  <c r="M64" i="49"/>
  <c r="I64" i="49"/>
  <c r="M59" i="49"/>
  <c r="I59" i="49"/>
  <c r="M54" i="49"/>
  <c r="I54" i="49"/>
  <c r="M49" i="49"/>
  <c r="I49" i="49"/>
  <c r="M62" i="62"/>
  <c r="I62" i="62"/>
  <c r="M52" i="62"/>
  <c r="I52" i="62"/>
  <c r="M47" i="62"/>
  <c r="I47" i="62"/>
  <c r="N64" i="49"/>
  <c r="J64" i="49"/>
  <c r="F64" i="49"/>
  <c r="L59" i="49"/>
  <c r="H59" i="49"/>
  <c r="N54" i="49"/>
  <c r="J54" i="49"/>
  <c r="F54" i="49"/>
  <c r="L49" i="49"/>
  <c r="H49" i="49"/>
  <c r="N62" i="62"/>
  <c r="J62" i="62"/>
  <c r="F62" i="62"/>
  <c r="L52" i="62"/>
  <c r="H52" i="62"/>
  <c r="N47" i="62"/>
  <c r="J47" i="62"/>
  <c r="F47" i="62"/>
  <c r="K64" i="49"/>
  <c r="G64" i="49"/>
  <c r="K59" i="49"/>
  <c r="G59" i="49"/>
  <c r="K54" i="49"/>
  <c r="G54" i="49"/>
  <c r="K49" i="49"/>
  <c r="G49" i="49"/>
  <c r="K62" i="62"/>
  <c r="G62" i="62"/>
  <c r="K52" i="62"/>
  <c r="G52" i="62"/>
  <c r="K47" i="62"/>
  <c r="G47" i="62"/>
  <c r="L64" i="49"/>
  <c r="H64" i="49"/>
  <c r="N59" i="49"/>
  <c r="J59" i="49"/>
  <c r="F59" i="49"/>
  <c r="L54" i="49"/>
  <c r="H54" i="49"/>
  <c r="N49" i="49"/>
  <c r="J49" i="49"/>
  <c r="F49" i="49"/>
  <c r="M214" i="113"/>
  <c r="I214" i="113"/>
  <c r="N214" i="113"/>
  <c r="J214" i="113"/>
  <c r="F214" i="113"/>
  <c r="K214" i="113"/>
  <c r="G214" i="113"/>
  <c r="L214" i="113"/>
  <c r="H214" i="113"/>
  <c r="J168" i="40"/>
  <c r="J170" i="40"/>
  <c r="K168" i="40"/>
  <c r="H168" i="40"/>
  <c r="L170" i="40"/>
  <c r="M168" i="40"/>
  <c r="N168" i="40"/>
  <c r="F168" i="40"/>
  <c r="N170" i="40"/>
  <c r="F170" i="40"/>
  <c r="G168" i="40"/>
  <c r="L168" i="40"/>
  <c r="H170" i="40"/>
  <c r="I168" i="40"/>
  <c r="H87" i="138"/>
  <c r="L87" i="138"/>
  <c r="K87" i="138"/>
  <c r="J87" i="138"/>
  <c r="N87" i="138"/>
  <c r="I87" i="138"/>
  <c r="M87" i="138"/>
  <c r="F98" i="137"/>
  <c r="F104" i="137"/>
  <c r="G71" i="137"/>
  <c r="G98" i="137"/>
  <c r="F194" i="49"/>
  <c r="F175" i="112"/>
  <c r="I93" i="110"/>
  <c r="K132" i="62"/>
  <c r="F420" i="113"/>
  <c r="F155" i="62"/>
  <c r="G245" i="113"/>
  <c r="L67" i="111"/>
  <c r="H67" i="111"/>
  <c r="K67" i="111"/>
  <c r="G67" i="111"/>
  <c r="M140" i="110"/>
  <c r="K198" i="110"/>
  <c r="I139" i="110"/>
  <c r="L140" i="110"/>
  <c r="N198" i="110"/>
  <c r="L139" i="110"/>
  <c r="M198" i="110"/>
  <c r="K139" i="110"/>
  <c r="N140" i="110"/>
  <c r="L198" i="110"/>
  <c r="J139" i="110"/>
  <c r="M197" i="110"/>
  <c r="L197" i="110"/>
  <c r="G203" i="110"/>
  <c r="N197" i="110"/>
  <c r="J67" i="111"/>
  <c r="M67" i="111"/>
  <c r="I67" i="111"/>
  <c r="I140" i="110"/>
  <c r="M139" i="110"/>
  <c r="H140" i="110"/>
  <c r="J198" i="110"/>
  <c r="H139" i="110"/>
  <c r="G146" i="110"/>
  <c r="K140" i="110"/>
  <c r="I198" i="110"/>
  <c r="J140" i="110"/>
  <c r="H198" i="110"/>
  <c r="N139" i="110"/>
  <c r="I197" i="110"/>
  <c r="H197" i="110"/>
  <c r="K197" i="110"/>
  <c r="J197" i="110"/>
  <c r="J328" i="39"/>
  <c r="J335" i="39"/>
  <c r="J321" i="39"/>
  <c r="J314" i="39"/>
  <c r="M328" i="39"/>
  <c r="M335" i="39"/>
  <c r="M314" i="39"/>
  <c r="M321" i="39"/>
  <c r="K314" i="39"/>
  <c r="K335" i="39"/>
  <c r="K321" i="39"/>
  <c r="K328" i="39"/>
  <c r="I328" i="39"/>
  <c r="I321" i="39"/>
  <c r="I314" i="39"/>
  <c r="I335" i="39"/>
  <c r="G28" i="35"/>
  <c r="H28" i="35"/>
  <c r="I28" i="35"/>
  <c r="J28" i="35"/>
  <c r="K28" i="35"/>
  <c r="F284" i="112"/>
  <c r="H316" i="39"/>
  <c r="H476" i="39"/>
  <c r="I225" i="110"/>
  <c r="J225" i="110"/>
  <c r="K225" i="110"/>
  <c r="L225" i="110"/>
  <c r="M225" i="110"/>
  <c r="N225" i="110"/>
  <c r="N314" i="39"/>
  <c r="N328" i="39"/>
  <c r="N321" i="39"/>
  <c r="N335" i="39"/>
  <c r="F146" i="49"/>
  <c r="F155" i="49"/>
  <c r="E58" i="6"/>
  <c r="E59" i="6"/>
  <c r="F44" i="142"/>
  <c r="E60" i="6"/>
  <c r="L335" i="39"/>
  <c r="L321" i="39"/>
  <c r="L328" i="39"/>
  <c r="L314" i="39"/>
  <c r="N131" i="62"/>
  <c r="O185" i="110"/>
  <c r="O182" i="110"/>
  <c r="O23" i="70"/>
  <c r="E112" i="31"/>
  <c r="G185" i="110"/>
  <c r="G220" i="110"/>
  <c r="N361" i="113"/>
  <c r="O220" i="110"/>
  <c r="O165" i="110"/>
  <c r="F165" i="110"/>
  <c r="E114" i="31"/>
  <c r="G55" i="137"/>
  <c r="H55" i="137"/>
  <c r="I55" i="137"/>
  <c r="J55" i="137"/>
  <c r="K55" i="137"/>
  <c r="L55" i="137"/>
  <c r="M55" i="137"/>
  <c r="L361" i="113"/>
  <c r="F145" i="110"/>
  <c r="H385" i="40"/>
  <c r="F132" i="110"/>
  <c r="K385" i="40"/>
  <c r="I385" i="40"/>
  <c r="O202" i="110"/>
  <c r="O161" i="110"/>
  <c r="F220" i="110"/>
  <c r="H220" i="110"/>
  <c r="I220" i="110"/>
  <c r="J220" i="110"/>
  <c r="K220" i="110"/>
  <c r="L220" i="110"/>
  <c r="M220" i="110"/>
  <c r="N220" i="110"/>
  <c r="F216" i="110"/>
  <c r="G122" i="110"/>
  <c r="O24" i="70"/>
  <c r="O28" i="70"/>
  <c r="O90" i="70"/>
  <c r="E254" i="41"/>
  <c r="F162" i="110"/>
  <c r="H162" i="110"/>
  <c r="E76" i="49"/>
  <c r="G270" i="112"/>
  <c r="F270" i="112"/>
  <c r="H270" i="112"/>
  <c r="I270" i="112"/>
  <c r="J270" i="112"/>
  <c r="K270" i="112"/>
  <c r="L270" i="112"/>
  <c r="M270" i="112"/>
  <c r="N270" i="112"/>
  <c r="H474" i="41"/>
  <c r="I474" i="41"/>
  <c r="J474" i="41"/>
  <c r="G474" i="41"/>
  <c r="F179" i="110"/>
  <c r="L474" i="41"/>
  <c r="M474" i="41"/>
  <c r="N474" i="41"/>
  <c r="K474" i="41"/>
  <c r="E66" i="111"/>
  <c r="G66" i="111"/>
  <c r="H66" i="111"/>
  <c r="I66" i="111"/>
  <c r="J66" i="111"/>
  <c r="K66" i="111"/>
  <c r="L66" i="111"/>
  <c r="M66" i="111"/>
  <c r="O125" i="110"/>
  <c r="O122" i="110"/>
  <c r="F183" i="110"/>
  <c r="H183" i="110"/>
  <c r="I183" i="110"/>
  <c r="J183" i="110"/>
  <c r="K183" i="110"/>
  <c r="L183" i="110"/>
  <c r="M183" i="110"/>
  <c r="N183" i="110"/>
  <c r="G152" i="110"/>
  <c r="G211" i="110"/>
  <c r="F171" i="110"/>
  <c r="F192" i="110"/>
  <c r="H192" i="110"/>
  <c r="I192" i="110"/>
  <c r="J192" i="110"/>
  <c r="K192" i="110"/>
  <c r="L192" i="110"/>
  <c r="M192" i="110"/>
  <c r="N192" i="110"/>
  <c r="O143" i="110"/>
  <c r="I170" i="40"/>
  <c r="F158" i="110"/>
  <c r="G161" i="110"/>
  <c r="F217" i="110"/>
  <c r="H217" i="110"/>
  <c r="I217" i="110"/>
  <c r="J217" i="110"/>
  <c r="K217" i="110"/>
  <c r="L217" i="110"/>
  <c r="M217" i="110"/>
  <c r="N217" i="110"/>
  <c r="F120" i="110"/>
  <c r="O199" i="110"/>
  <c r="F333" i="39"/>
  <c r="F319" i="39"/>
  <c r="F326" i="39"/>
  <c r="F329" i="39"/>
  <c r="F336" i="39"/>
  <c r="F322" i="39"/>
  <c r="F327" i="39"/>
  <c r="F334" i="39"/>
  <c r="F320" i="39"/>
  <c r="F87" i="62"/>
  <c r="N355" i="113"/>
  <c r="O152" i="110"/>
  <c r="F178" i="110"/>
  <c r="H178" i="110"/>
  <c r="I178" i="110"/>
  <c r="J178" i="110"/>
  <c r="K178" i="110"/>
  <c r="L178" i="110"/>
  <c r="M178" i="110"/>
  <c r="N178" i="110"/>
  <c r="O211" i="110"/>
  <c r="F211" i="110"/>
  <c r="O224" i="110"/>
  <c r="F224" i="110"/>
  <c r="F71" i="12"/>
  <c r="G108" i="137"/>
  <c r="G104" i="137"/>
  <c r="F123" i="110"/>
  <c r="H123" i="110"/>
  <c r="I123" i="110"/>
  <c r="J123" i="110"/>
  <c r="K123" i="110"/>
  <c r="L123" i="110"/>
  <c r="M123" i="110"/>
  <c r="N123" i="110"/>
  <c r="F230" i="110"/>
  <c r="H230" i="110"/>
  <c r="I230" i="110"/>
  <c r="F126" i="110"/>
  <c r="G118" i="31"/>
  <c r="F180" i="110"/>
  <c r="H180" i="110"/>
  <c r="I180" i="110"/>
  <c r="J180" i="110"/>
  <c r="K180" i="110"/>
  <c r="L180" i="110"/>
  <c r="M180" i="110"/>
  <c r="N180" i="110"/>
  <c r="L355" i="113"/>
  <c r="H144" i="49"/>
  <c r="F428" i="113"/>
  <c r="F198" i="110"/>
  <c r="F361" i="113"/>
  <c r="K361" i="113"/>
  <c r="G186" i="110"/>
  <c r="F186" i="110"/>
  <c r="G199" i="110"/>
  <c r="D125" i="142"/>
  <c r="I91" i="139"/>
  <c r="E50" i="138"/>
  <c r="F50" i="138"/>
  <c r="M361" i="113"/>
  <c r="F64" i="138"/>
  <c r="F223" i="110"/>
  <c r="H223" i="110"/>
  <c r="I223" i="110"/>
  <c r="J223" i="110"/>
  <c r="K223" i="110"/>
  <c r="L223" i="110"/>
  <c r="M223" i="110"/>
  <c r="N223" i="110"/>
  <c r="M355" i="113"/>
  <c r="F144" i="49"/>
  <c r="F153" i="49"/>
  <c r="I154" i="141"/>
  <c r="N154" i="141"/>
  <c r="N81" i="140"/>
  <c r="N73" i="140"/>
  <c r="D74" i="140"/>
  <c r="N71" i="140"/>
  <c r="C58" i="143"/>
  <c r="C51" i="143"/>
  <c r="C43" i="147"/>
  <c r="C50" i="147"/>
  <c r="D199" i="140"/>
  <c r="N78" i="139"/>
  <c r="N68" i="139"/>
  <c r="C140" i="140"/>
  <c r="D71" i="139"/>
  <c r="N77" i="139"/>
  <c r="C138" i="140"/>
  <c r="C113" i="141"/>
  <c r="C115" i="141"/>
  <c r="C66" i="141"/>
  <c r="D154" i="141"/>
  <c r="C59" i="141"/>
  <c r="G83" i="144"/>
  <c r="G123" i="144"/>
  <c r="G84" i="144"/>
  <c r="G124" i="144"/>
  <c r="I84" i="144"/>
  <c r="I124" i="144"/>
  <c r="I83" i="144"/>
  <c r="I123" i="144"/>
  <c r="H122" i="144"/>
  <c r="H84" i="144"/>
  <c r="H124" i="144"/>
  <c r="H83" i="144"/>
  <c r="H123" i="144"/>
  <c r="L84" i="144"/>
  <c r="L124" i="144"/>
  <c r="L83" i="144"/>
  <c r="L123" i="144"/>
  <c r="L122" i="144"/>
  <c r="G199" i="157"/>
  <c r="M199" i="157"/>
  <c r="J199" i="157"/>
  <c r="N199" i="157"/>
  <c r="D127" i="142"/>
  <c r="C91" i="142"/>
  <c r="C61" i="142"/>
  <c r="C68" i="142"/>
  <c r="C92" i="142"/>
  <c r="C45" i="146"/>
  <c r="C52" i="146"/>
  <c r="D199" i="157"/>
  <c r="N84" i="143"/>
  <c r="N124" i="143"/>
  <c r="K84" i="144"/>
  <c r="K124" i="144"/>
  <c r="K83" i="144"/>
  <c r="K123" i="144"/>
  <c r="F84" i="143"/>
  <c r="F124" i="143"/>
  <c r="F83" i="143"/>
  <c r="F123" i="143"/>
  <c r="F122" i="143"/>
  <c r="M83" i="144"/>
  <c r="M123" i="144"/>
  <c r="M84" i="144"/>
  <c r="M124" i="144"/>
  <c r="M84" i="143"/>
  <c r="M124" i="143"/>
  <c r="M83" i="143"/>
  <c r="M123" i="143"/>
  <c r="F84" i="144"/>
  <c r="F124" i="144"/>
  <c r="F83" i="144"/>
  <c r="F123" i="144"/>
  <c r="F122" i="144"/>
  <c r="J84" i="144"/>
  <c r="J124" i="144"/>
  <c r="J122" i="144"/>
  <c r="J83" i="144"/>
  <c r="J123" i="144"/>
  <c r="N84" i="144"/>
  <c r="N124" i="144"/>
  <c r="N83" i="144"/>
  <c r="N123" i="144"/>
  <c r="C132" i="139"/>
  <c r="D192" i="139"/>
  <c r="C130" i="139"/>
  <c r="K199" i="157"/>
  <c r="H199" i="157"/>
  <c r="L199" i="157"/>
  <c r="I199" i="157"/>
  <c r="E35" i="107"/>
  <c r="G35" i="107"/>
  <c r="H35" i="107"/>
  <c r="I35" i="107"/>
  <c r="K103" i="138"/>
  <c r="F128" i="110"/>
  <c r="H128" i="110"/>
  <c r="I128" i="110"/>
  <c r="J128" i="110"/>
  <c r="K128" i="110"/>
  <c r="L128" i="110"/>
  <c r="M128" i="110"/>
  <c r="N128" i="110"/>
  <c r="G551" i="113"/>
  <c r="N551" i="113"/>
  <c r="L549" i="113"/>
  <c r="N550" i="113"/>
  <c r="G549" i="113"/>
  <c r="K549" i="113"/>
  <c r="G550" i="113"/>
  <c r="K550" i="113"/>
  <c r="I126" i="31"/>
  <c r="K126" i="31"/>
  <c r="M126" i="31"/>
  <c r="G126" i="31"/>
  <c r="L126" i="31"/>
  <c r="H126" i="31"/>
  <c r="J126" i="31"/>
  <c r="N126" i="31"/>
  <c r="F126" i="31"/>
  <c r="F134" i="31"/>
  <c r="F118" i="31"/>
  <c r="N118" i="31"/>
  <c r="N134" i="31"/>
  <c r="F167" i="110"/>
  <c r="H167" i="110"/>
  <c r="I167" i="110"/>
  <c r="J167" i="110"/>
  <c r="K167" i="110"/>
  <c r="L167" i="110"/>
  <c r="M167" i="110"/>
  <c r="N167" i="110"/>
  <c r="I131" i="62"/>
  <c r="K355" i="113"/>
  <c r="G202" i="110"/>
  <c r="E68" i="111"/>
  <c r="G68" i="111"/>
  <c r="H68" i="111"/>
  <c r="I68" i="111"/>
  <c r="J68" i="111"/>
  <c r="K68" i="111"/>
  <c r="L68" i="111"/>
  <c r="M68" i="111"/>
  <c r="L551" i="113"/>
  <c r="K551" i="113"/>
  <c r="M551" i="113"/>
  <c r="L550" i="113"/>
  <c r="M549" i="113"/>
  <c r="M550" i="113"/>
  <c r="N549" i="113"/>
  <c r="M103" i="138"/>
  <c r="I361" i="113"/>
  <c r="M93" i="138"/>
  <c r="E47" i="116"/>
  <c r="H47" i="116"/>
  <c r="I47" i="116"/>
  <c r="J355" i="113"/>
  <c r="H355" i="113"/>
  <c r="I355" i="113"/>
  <c r="J131" i="62"/>
  <c r="J451" i="41"/>
  <c r="N451" i="41"/>
  <c r="H451" i="41"/>
  <c r="L451" i="41"/>
  <c r="H538" i="41"/>
  <c r="G346" i="41"/>
  <c r="G356" i="41"/>
  <c r="G348" i="41"/>
  <c r="G358" i="41"/>
  <c r="H92" i="41"/>
  <c r="H149" i="41"/>
  <c r="H151" i="41"/>
  <c r="J92" i="41"/>
  <c r="J149" i="41"/>
  <c r="J151" i="41"/>
  <c r="L92" i="41"/>
  <c r="L149" i="41"/>
  <c r="L151" i="41"/>
  <c r="N540" i="41"/>
  <c r="N92" i="41"/>
  <c r="N149" i="41"/>
  <c r="N151" i="41"/>
  <c r="F92" i="41"/>
  <c r="F149" i="41"/>
  <c r="K150" i="41"/>
  <c r="K83" i="41"/>
  <c r="M541" i="41"/>
  <c r="G150" i="41"/>
  <c r="G83" i="41"/>
  <c r="I150" i="41"/>
  <c r="M150" i="41"/>
  <c r="I83" i="41"/>
  <c r="M83" i="41"/>
  <c r="K541" i="41"/>
  <c r="F550" i="113"/>
  <c r="F549" i="113"/>
  <c r="K131" i="62"/>
  <c r="I74" i="41"/>
  <c r="G357" i="40"/>
  <c r="G358" i="40"/>
  <c r="G359" i="40"/>
  <c r="F551" i="113"/>
  <c r="I188" i="40"/>
  <c r="I386" i="40"/>
  <c r="H386" i="40"/>
  <c r="G188" i="40"/>
  <c r="G386" i="40"/>
  <c r="F386" i="40"/>
  <c r="M188" i="40"/>
  <c r="M386" i="40"/>
  <c r="L386" i="40"/>
  <c r="K188" i="40"/>
  <c r="K386" i="40"/>
  <c r="J386" i="40"/>
  <c r="J361" i="113"/>
  <c r="F83" i="31"/>
  <c r="E98" i="31"/>
  <c r="G98" i="31"/>
  <c r="H98" i="31"/>
  <c r="I98" i="31"/>
  <c r="J98" i="31"/>
  <c r="K98" i="31"/>
  <c r="L98" i="31"/>
  <c r="M98" i="31"/>
  <c r="F99" i="31"/>
  <c r="K74" i="41"/>
  <c r="G247" i="113"/>
  <c r="M74" i="41"/>
  <c r="M170" i="40"/>
  <c r="G74" i="41"/>
  <c r="E100" i="31"/>
  <c r="G100" i="31"/>
  <c r="H100" i="31"/>
  <c r="I100" i="31"/>
  <c r="J100" i="31"/>
  <c r="K100" i="31"/>
  <c r="L100" i="31"/>
  <c r="M100" i="31"/>
  <c r="E37" i="107"/>
  <c r="G37" i="107"/>
  <c r="H37" i="107"/>
  <c r="I37" i="107"/>
  <c r="F75" i="62"/>
  <c r="E73" i="62"/>
  <c r="F73" i="62"/>
  <c r="G79" i="12"/>
  <c r="H357" i="40"/>
  <c r="G170" i="40"/>
  <c r="K170" i="40"/>
  <c r="E36" i="107"/>
  <c r="G36" i="107"/>
  <c r="H36" i="107"/>
  <c r="I36" i="107"/>
  <c r="F148" i="62"/>
  <c r="F98" i="138"/>
  <c r="F103" i="138"/>
  <c r="F93" i="138"/>
  <c r="G87" i="138"/>
  <c r="I103" i="138"/>
  <c r="F52" i="138"/>
  <c r="G56" i="137"/>
  <c r="H56" i="137"/>
  <c r="I56" i="137"/>
  <c r="J56" i="137"/>
  <c r="K56" i="137"/>
  <c r="L56" i="137"/>
  <c r="M56" i="137"/>
  <c r="F193" i="49"/>
  <c r="H98" i="137"/>
  <c r="J132" i="62"/>
  <c r="F249" i="112"/>
  <c r="H249" i="112"/>
  <c r="I249" i="112"/>
  <c r="J249" i="112"/>
  <c r="K249" i="112"/>
  <c r="L249" i="112"/>
  <c r="M249" i="112"/>
  <c r="N249" i="112"/>
  <c r="F148" i="110"/>
  <c r="H148" i="110"/>
  <c r="I148" i="110"/>
  <c r="J148" i="110"/>
  <c r="K148" i="110"/>
  <c r="L148" i="110"/>
  <c r="M148" i="110"/>
  <c r="N148" i="110"/>
  <c r="I132" i="62"/>
  <c r="F239" i="113"/>
  <c r="H239" i="113"/>
  <c r="I239" i="113"/>
  <c r="J239" i="113"/>
  <c r="K239" i="113"/>
  <c r="L239" i="113"/>
  <c r="M239" i="113"/>
  <c r="N239" i="113"/>
  <c r="L28" i="107"/>
  <c r="L26" i="107"/>
  <c r="K27" i="107"/>
  <c r="J28" i="107"/>
  <c r="J26" i="107"/>
  <c r="M26" i="107"/>
  <c r="K26" i="107"/>
  <c r="L27" i="107"/>
  <c r="M28" i="107"/>
  <c r="J27" i="107"/>
  <c r="K28" i="107"/>
  <c r="M27" i="107"/>
  <c r="E53" i="116"/>
  <c r="H53" i="116"/>
  <c r="I53" i="116"/>
  <c r="I96" i="110"/>
  <c r="I99" i="110"/>
  <c r="L132" i="62"/>
  <c r="G146" i="49"/>
  <c r="G155" i="49"/>
  <c r="G144" i="49"/>
  <c r="G153" i="49"/>
  <c r="G46" i="116"/>
  <c r="G52" i="116"/>
  <c r="F257" i="113"/>
  <c r="F245" i="113"/>
  <c r="H245" i="113"/>
  <c r="I245" i="113"/>
  <c r="J245" i="113"/>
  <c r="K245" i="113"/>
  <c r="L245" i="113"/>
  <c r="M245" i="113"/>
  <c r="N245" i="113"/>
  <c r="F142" i="110"/>
  <c r="H142" i="110"/>
  <c r="I142" i="110"/>
  <c r="J142" i="110"/>
  <c r="K142" i="110"/>
  <c r="L142" i="110"/>
  <c r="M142" i="110"/>
  <c r="N142" i="110"/>
  <c r="G154" i="39"/>
  <c r="E67" i="111"/>
  <c r="F259" i="113"/>
  <c r="H259" i="113"/>
  <c r="I259" i="113"/>
  <c r="J259" i="113"/>
  <c r="K259" i="113"/>
  <c r="L259" i="113"/>
  <c r="M259" i="113"/>
  <c r="N259" i="113"/>
  <c r="F258" i="113"/>
  <c r="E84" i="31"/>
  <c r="G84" i="31"/>
  <c r="H84" i="31"/>
  <c r="I84" i="31"/>
  <c r="J84" i="31"/>
  <c r="K84" i="31"/>
  <c r="L84" i="31"/>
  <c r="M84" i="31"/>
  <c r="F139" i="110"/>
  <c r="F201" i="110"/>
  <c r="E45" i="116"/>
  <c r="H45" i="116"/>
  <c r="I45" i="116"/>
  <c r="J45" i="116"/>
  <c r="K45" i="116"/>
  <c r="L45" i="116"/>
  <c r="M45" i="116"/>
  <c r="N45" i="116"/>
  <c r="F207" i="110"/>
  <c r="O203" i="110"/>
  <c r="F203" i="110"/>
  <c r="H203" i="110"/>
  <c r="I203" i="110"/>
  <c r="J203" i="110"/>
  <c r="K203" i="110"/>
  <c r="L203" i="110"/>
  <c r="M203" i="110"/>
  <c r="N203" i="110"/>
  <c r="F197" i="110"/>
  <c r="O146" i="110"/>
  <c r="F146" i="110"/>
  <c r="H146" i="110"/>
  <c r="I146" i="110"/>
  <c r="J146" i="110"/>
  <c r="K146" i="110"/>
  <c r="L146" i="110"/>
  <c r="M146" i="110"/>
  <c r="N146" i="110"/>
  <c r="F140" i="110"/>
  <c r="H145" i="110"/>
  <c r="I145" i="110"/>
  <c r="J145" i="110"/>
  <c r="K145" i="110"/>
  <c r="L145" i="110"/>
  <c r="M145" i="110"/>
  <c r="N145" i="110"/>
  <c r="F204" i="110"/>
  <c r="H204" i="110"/>
  <c r="I204" i="110"/>
  <c r="J204" i="110"/>
  <c r="K204" i="110"/>
  <c r="L204" i="110"/>
  <c r="M204" i="110"/>
  <c r="N204" i="110"/>
  <c r="F154" i="39"/>
  <c r="O46" i="116"/>
  <c r="G246" i="113"/>
  <c r="E51" i="116"/>
  <c r="H51" i="116"/>
  <c r="I51" i="116"/>
  <c r="J51" i="116"/>
  <c r="K51" i="116"/>
  <c r="L51" i="116"/>
  <c r="M51" i="116"/>
  <c r="N51" i="116"/>
  <c r="G251" i="113"/>
  <c r="F164" i="110"/>
  <c r="H164" i="110"/>
  <c r="I164" i="110"/>
  <c r="J164" i="110"/>
  <c r="K164" i="110"/>
  <c r="L164" i="110"/>
  <c r="M164" i="110"/>
  <c r="N164" i="110"/>
  <c r="F143" i="110"/>
  <c r="J549" i="113"/>
  <c r="J550" i="113"/>
  <c r="I549" i="113"/>
  <c r="I550" i="113"/>
  <c r="H549" i="113"/>
  <c r="H550" i="113"/>
  <c r="I551" i="113"/>
  <c r="F188" i="110"/>
  <c r="F113" i="31"/>
  <c r="E113" i="31"/>
  <c r="F76" i="30"/>
  <c r="I55" i="30"/>
  <c r="K55" i="30"/>
  <c r="H55" i="30"/>
  <c r="M55" i="30"/>
  <c r="J55" i="30"/>
  <c r="G55" i="30"/>
  <c r="F74" i="30"/>
  <c r="F75" i="30"/>
  <c r="H41" i="30"/>
  <c r="J41" i="30"/>
  <c r="L55" i="30"/>
  <c r="G41" i="30"/>
  <c r="I41" i="30"/>
  <c r="K41" i="30"/>
  <c r="M41" i="30"/>
  <c r="L41" i="30"/>
  <c r="N538" i="41"/>
  <c r="H551" i="113"/>
  <c r="J551" i="113"/>
  <c r="G355" i="113"/>
  <c r="L131" i="62"/>
  <c r="J539" i="41"/>
  <c r="G131" i="62"/>
  <c r="H131" i="62"/>
  <c r="H361" i="113"/>
  <c r="N299" i="40"/>
  <c r="F182" i="110"/>
  <c r="H182" i="110"/>
  <c r="I182" i="110"/>
  <c r="J182" i="110"/>
  <c r="K182" i="110"/>
  <c r="L182" i="110"/>
  <c r="M182" i="110"/>
  <c r="N182" i="110"/>
  <c r="F161" i="110"/>
  <c r="H161" i="110"/>
  <c r="I161" i="110"/>
  <c r="J161" i="110"/>
  <c r="K161" i="110"/>
  <c r="L161" i="110"/>
  <c r="M161" i="110"/>
  <c r="N161" i="110"/>
  <c r="M131" i="62"/>
  <c r="F125" i="110"/>
  <c r="H125" i="110"/>
  <c r="I125" i="110"/>
  <c r="J125" i="110"/>
  <c r="K125" i="110"/>
  <c r="L125" i="110"/>
  <c r="M125" i="110"/>
  <c r="N125" i="110"/>
  <c r="M132" i="62"/>
  <c r="N132" i="62"/>
  <c r="L538" i="41"/>
  <c r="K538" i="41"/>
  <c r="J538" i="41"/>
  <c r="I538" i="41"/>
  <c r="H132" i="62"/>
  <c r="N305" i="112"/>
  <c r="N586" i="112"/>
  <c r="L305" i="112"/>
  <c r="L586" i="112"/>
  <c r="J305" i="112"/>
  <c r="J586" i="112"/>
  <c r="H305" i="112"/>
  <c r="H586" i="112"/>
  <c r="M305" i="112"/>
  <c r="M586" i="112"/>
  <c r="K305" i="112"/>
  <c r="K586" i="112"/>
  <c r="I305" i="112"/>
  <c r="I586" i="112"/>
  <c r="G305" i="112"/>
  <c r="G586" i="112"/>
  <c r="N306" i="112"/>
  <c r="J306" i="112"/>
  <c r="F306" i="112"/>
  <c r="N304" i="112"/>
  <c r="J304" i="112"/>
  <c r="F304" i="112"/>
  <c r="M306" i="112"/>
  <c r="I306" i="112"/>
  <c r="K304" i="112"/>
  <c r="G304" i="112"/>
  <c r="L306" i="112"/>
  <c r="H306" i="112"/>
  <c r="L304" i="112"/>
  <c r="H304" i="112"/>
  <c r="K306" i="112"/>
  <c r="M304" i="112"/>
  <c r="G306" i="112"/>
  <c r="I304" i="112"/>
  <c r="H284" i="112"/>
  <c r="I284" i="112"/>
  <c r="J284" i="112"/>
  <c r="K284" i="112"/>
  <c r="L284" i="112"/>
  <c r="M284" i="112"/>
  <c r="N284" i="112"/>
  <c r="I285" i="113"/>
  <c r="H179" i="110"/>
  <c r="I179" i="110"/>
  <c r="J179" i="110"/>
  <c r="K179" i="110"/>
  <c r="L179" i="110"/>
  <c r="M179" i="110"/>
  <c r="N179" i="110"/>
  <c r="H221" i="110"/>
  <c r="I221" i="110"/>
  <c r="J221" i="110"/>
  <c r="K221" i="110"/>
  <c r="L221" i="110"/>
  <c r="M221" i="110"/>
  <c r="N221" i="110"/>
  <c r="O137" i="46"/>
  <c r="G114" i="31"/>
  <c r="H114" i="31"/>
  <c r="I114" i="31"/>
  <c r="J114" i="31"/>
  <c r="H158" i="110"/>
  <c r="I158" i="110"/>
  <c r="J158" i="110"/>
  <c r="K158" i="110"/>
  <c r="L158" i="110"/>
  <c r="M158" i="110"/>
  <c r="N158" i="110"/>
  <c r="H120" i="110"/>
  <c r="I120" i="110"/>
  <c r="J120" i="110"/>
  <c r="K120" i="110"/>
  <c r="L120" i="110"/>
  <c r="M120" i="110"/>
  <c r="N120" i="110"/>
  <c r="H171" i="110"/>
  <c r="I171" i="110"/>
  <c r="F185" i="110"/>
  <c r="H184" i="110"/>
  <c r="I184" i="110"/>
  <c r="J184" i="110"/>
  <c r="K184" i="110"/>
  <c r="L184" i="110"/>
  <c r="M184" i="110"/>
  <c r="N184" i="110"/>
  <c r="G112" i="31"/>
  <c r="H112" i="31"/>
  <c r="I112" i="31"/>
  <c r="J112" i="31"/>
  <c r="K112" i="31"/>
  <c r="L112" i="31"/>
  <c r="M112" i="31"/>
  <c r="H126" i="110"/>
  <c r="I126" i="110"/>
  <c r="J126" i="110"/>
  <c r="K126" i="110"/>
  <c r="L126" i="110"/>
  <c r="M126" i="110"/>
  <c r="N126" i="110"/>
  <c r="J285" i="113"/>
  <c r="G442" i="113"/>
  <c r="G560" i="113"/>
  <c r="J312" i="39"/>
  <c r="J326" i="39"/>
  <c r="J333" i="39"/>
  <c r="J319" i="39"/>
  <c r="I319" i="39"/>
  <c r="I333" i="39"/>
  <c r="I326" i="39"/>
  <c r="I312" i="39"/>
  <c r="K326" i="39"/>
  <c r="K319" i="39"/>
  <c r="K333" i="39"/>
  <c r="K312" i="39"/>
  <c r="N312" i="39"/>
  <c r="N333" i="39"/>
  <c r="N326" i="39"/>
  <c r="N319" i="39"/>
  <c r="I322" i="39"/>
  <c r="I329" i="39"/>
  <c r="I315" i="39"/>
  <c r="I336" i="39"/>
  <c r="M315" i="39"/>
  <c r="M336" i="39"/>
  <c r="M322" i="39"/>
  <c r="M329" i="39"/>
  <c r="L329" i="39"/>
  <c r="L315" i="39"/>
  <c r="L322" i="39"/>
  <c r="L336" i="39"/>
  <c r="I106" i="110"/>
  <c r="I102" i="110"/>
  <c r="I97" i="110"/>
  <c r="H119" i="110"/>
  <c r="I119" i="110"/>
  <c r="J119" i="110"/>
  <c r="K119" i="110"/>
  <c r="L119" i="110"/>
  <c r="M119" i="110"/>
  <c r="N119" i="110"/>
  <c r="H132" i="110"/>
  <c r="I132" i="110"/>
  <c r="J132" i="110"/>
  <c r="K132" i="110"/>
  <c r="L132" i="110"/>
  <c r="M132" i="110"/>
  <c r="N132" i="110"/>
  <c r="H218" i="110"/>
  <c r="I218" i="110"/>
  <c r="J218" i="110"/>
  <c r="K218" i="110"/>
  <c r="L218" i="110"/>
  <c r="M218" i="110"/>
  <c r="N218" i="110"/>
  <c r="H216" i="110"/>
  <c r="I216" i="110"/>
  <c r="J216" i="110"/>
  <c r="K216" i="110"/>
  <c r="L216" i="110"/>
  <c r="M216" i="110"/>
  <c r="N216" i="110"/>
  <c r="H165" i="110"/>
  <c r="I165" i="110"/>
  <c r="J165" i="110"/>
  <c r="K165" i="110"/>
  <c r="L165" i="110"/>
  <c r="M165" i="110"/>
  <c r="N165" i="110"/>
  <c r="F68" i="12"/>
  <c r="K327" i="39"/>
  <c r="K334" i="39"/>
  <c r="K313" i="39"/>
  <c r="K320" i="39"/>
  <c r="J320" i="39"/>
  <c r="J327" i="39"/>
  <c r="J313" i="39"/>
  <c r="J334" i="39"/>
  <c r="N313" i="39"/>
  <c r="N334" i="39"/>
  <c r="N320" i="39"/>
  <c r="N327" i="39"/>
  <c r="F72" i="12"/>
  <c r="F69" i="12"/>
  <c r="G361" i="113"/>
  <c r="G134" i="31"/>
  <c r="L319" i="39"/>
  <c r="L326" i="39"/>
  <c r="L333" i="39"/>
  <c r="L312" i="39"/>
  <c r="M312" i="39"/>
  <c r="M326" i="39"/>
  <c r="M319" i="39"/>
  <c r="M333" i="39"/>
  <c r="K315" i="39"/>
  <c r="K336" i="39"/>
  <c r="K322" i="39"/>
  <c r="K329" i="39"/>
  <c r="J315" i="39"/>
  <c r="J322" i="39"/>
  <c r="J329" i="39"/>
  <c r="J336" i="39"/>
  <c r="N315" i="39"/>
  <c r="N336" i="39"/>
  <c r="N322" i="39"/>
  <c r="N329" i="39"/>
  <c r="O205" i="110"/>
  <c r="H224" i="110"/>
  <c r="I224" i="110"/>
  <c r="J224" i="110"/>
  <c r="K224" i="110"/>
  <c r="L224" i="110"/>
  <c r="M224" i="110"/>
  <c r="N224" i="110"/>
  <c r="H222" i="110"/>
  <c r="I222" i="110"/>
  <c r="J222" i="110"/>
  <c r="K222" i="110"/>
  <c r="L222" i="110"/>
  <c r="M222" i="110"/>
  <c r="N222" i="110"/>
  <c r="H159" i="110"/>
  <c r="I159" i="110"/>
  <c r="J159" i="110"/>
  <c r="K159" i="110"/>
  <c r="L159" i="110"/>
  <c r="M159" i="110"/>
  <c r="N159" i="110"/>
  <c r="I327" i="39"/>
  <c r="I334" i="39"/>
  <c r="I320" i="39"/>
  <c r="I313" i="39"/>
  <c r="M327" i="39"/>
  <c r="M320" i="39"/>
  <c r="M334" i="39"/>
  <c r="M313" i="39"/>
  <c r="L313" i="39"/>
  <c r="L320" i="39"/>
  <c r="L334" i="39"/>
  <c r="L327" i="39"/>
  <c r="J11" i="135"/>
  <c r="M11" i="135"/>
  <c r="BA11" i="59"/>
  <c r="L11" i="135"/>
  <c r="G7" i="131"/>
  <c r="D7" i="131"/>
  <c r="D6" i="131"/>
  <c r="I7" i="131"/>
  <c r="I11" i="135"/>
  <c r="F21" i="135"/>
  <c r="AZ11" i="59"/>
  <c r="F7" i="131"/>
  <c r="BB11" i="59"/>
  <c r="G11" i="135"/>
  <c r="K7" i="131"/>
  <c r="BC11" i="59"/>
  <c r="AY16" i="59"/>
  <c r="K11" i="135"/>
  <c r="H7" i="131"/>
  <c r="J7" i="131"/>
  <c r="AX11" i="59"/>
  <c r="H11" i="135"/>
  <c r="BE11" i="59"/>
  <c r="E7" i="131"/>
  <c r="BF11" i="59"/>
  <c r="AY11" i="59"/>
  <c r="BD11" i="59"/>
  <c r="E11" i="135"/>
  <c r="F11" i="135"/>
  <c r="F134" i="137"/>
  <c r="N83" i="143"/>
  <c r="N123" i="143"/>
  <c r="H146" i="49"/>
  <c r="H155" i="49"/>
  <c r="F152" i="110"/>
  <c r="E223" i="41"/>
  <c r="F202" i="110"/>
  <c r="H202" i="110"/>
  <c r="I202" i="110"/>
  <c r="J202" i="110"/>
  <c r="K202" i="110"/>
  <c r="L202" i="110"/>
  <c r="M202" i="110"/>
  <c r="N202" i="110"/>
  <c r="F122" i="110"/>
  <c r="H122" i="110"/>
  <c r="I122" i="110"/>
  <c r="J122" i="110"/>
  <c r="K122" i="110"/>
  <c r="L122" i="110"/>
  <c r="M122" i="110"/>
  <c r="N122" i="110"/>
  <c r="F73" i="12"/>
  <c r="G73" i="12"/>
  <c r="F70" i="12"/>
  <c r="I71" i="137"/>
  <c r="F120" i="137"/>
  <c r="F156" i="137"/>
  <c r="H91" i="139"/>
  <c r="F91" i="139"/>
  <c r="K84" i="143"/>
  <c r="K124" i="143"/>
  <c r="K83" i="143"/>
  <c r="K123" i="143"/>
  <c r="I83" i="143"/>
  <c r="I123" i="143"/>
  <c r="F323" i="39"/>
  <c r="F477" i="39"/>
  <c r="F330" i="39"/>
  <c r="F478" i="39"/>
  <c r="F337" i="39"/>
  <c r="F479" i="39"/>
  <c r="F156" i="62"/>
  <c r="F132" i="62"/>
  <c r="H83" i="143"/>
  <c r="H123" i="143"/>
  <c r="H104" i="137"/>
  <c r="H108" i="137"/>
  <c r="G125" i="137"/>
  <c r="G120" i="137"/>
  <c r="G115" i="137"/>
  <c r="F154" i="141"/>
  <c r="F199" i="157"/>
  <c r="E85" i="46"/>
  <c r="I122" i="143"/>
  <c r="G91" i="139"/>
  <c r="H84" i="143"/>
  <c r="H124" i="143"/>
  <c r="I84" i="143"/>
  <c r="I124" i="143"/>
  <c r="F77" i="30"/>
  <c r="G249" i="113"/>
  <c r="F438" i="113"/>
  <c r="F450" i="113"/>
  <c r="F477" i="113"/>
  <c r="F464" i="113"/>
  <c r="K122" i="143"/>
  <c r="F586" i="112"/>
  <c r="F199" i="110"/>
  <c r="H199" i="110"/>
  <c r="I199" i="110"/>
  <c r="J199" i="110"/>
  <c r="K199" i="110"/>
  <c r="L199" i="110"/>
  <c r="M199" i="110"/>
  <c r="N199" i="110"/>
  <c r="G205" i="110"/>
  <c r="F205" i="110"/>
  <c r="H205" i="110"/>
  <c r="I205" i="110"/>
  <c r="J205" i="110"/>
  <c r="K205" i="110"/>
  <c r="L205" i="110"/>
  <c r="M205" i="110"/>
  <c r="N205" i="110"/>
  <c r="K180" i="48"/>
  <c r="K181" i="48"/>
  <c r="K183" i="48"/>
  <c r="K182" i="48"/>
  <c r="M183" i="48"/>
  <c r="M180" i="48"/>
  <c r="M181" i="48"/>
  <c r="M182" i="48"/>
  <c r="N180" i="48"/>
  <c r="N182" i="48"/>
  <c r="N183" i="48"/>
  <c r="N181" i="48"/>
  <c r="L183" i="48"/>
  <c r="L181" i="48"/>
  <c r="L182" i="48"/>
  <c r="L180" i="48"/>
  <c r="G544" i="113"/>
  <c r="H122" i="143"/>
  <c r="J154" i="141"/>
  <c r="L540" i="41"/>
  <c r="K198" i="48"/>
  <c r="E27" i="107"/>
  <c r="G27" i="107"/>
  <c r="H27" i="107"/>
  <c r="I27" i="107"/>
  <c r="H154" i="141"/>
  <c r="N122" i="143"/>
  <c r="G84" i="143"/>
  <c r="G124" i="143"/>
  <c r="G83" i="143"/>
  <c r="G123" i="143"/>
  <c r="M154" i="141"/>
  <c r="H199" i="140"/>
  <c r="L199" i="140"/>
  <c r="I122" i="144"/>
  <c r="G122" i="144"/>
  <c r="N91" i="139"/>
  <c r="J91" i="139"/>
  <c r="J199" i="140"/>
  <c r="K199" i="140"/>
  <c r="N199" i="140"/>
  <c r="N122" i="144"/>
  <c r="M122" i="143"/>
  <c r="M122" i="144"/>
  <c r="J83" i="143"/>
  <c r="J123" i="143"/>
  <c r="J84" i="143"/>
  <c r="J124" i="143"/>
  <c r="L154" i="141"/>
  <c r="K122" i="144"/>
  <c r="K154" i="141"/>
  <c r="L91" i="139"/>
  <c r="M91" i="139"/>
  <c r="I199" i="140"/>
  <c r="G199" i="140"/>
  <c r="M199" i="140"/>
  <c r="L83" i="143"/>
  <c r="L123" i="143"/>
  <c r="L84" i="143"/>
  <c r="L124" i="143"/>
  <c r="G154" i="141"/>
  <c r="K91" i="139"/>
  <c r="F112" i="144"/>
  <c r="F112" i="143"/>
  <c r="M98" i="138"/>
  <c r="J540" i="41"/>
  <c r="J559" i="41"/>
  <c r="E105" i="31"/>
  <c r="G105" i="31"/>
  <c r="H105" i="31"/>
  <c r="I105" i="31"/>
  <c r="J105" i="31"/>
  <c r="K105" i="31"/>
  <c r="L105" i="31"/>
  <c r="M105" i="31"/>
  <c r="G71" i="12"/>
  <c r="G68" i="12"/>
  <c r="F539" i="41"/>
  <c r="H52" i="116"/>
  <c r="E55" i="30"/>
  <c r="F280" i="113"/>
  <c r="F247" i="113"/>
  <c r="H247" i="113"/>
  <c r="I247" i="113"/>
  <c r="J247" i="113"/>
  <c r="K247" i="113"/>
  <c r="L247" i="113"/>
  <c r="M247" i="113"/>
  <c r="N247" i="113"/>
  <c r="M466" i="113"/>
  <c r="E99" i="31"/>
  <c r="G99" i="31"/>
  <c r="H99" i="31"/>
  <c r="I99" i="31"/>
  <c r="J99" i="31"/>
  <c r="K99" i="31"/>
  <c r="L99" i="31"/>
  <c r="M99" i="31"/>
  <c r="G477" i="113"/>
  <c r="I93" i="138"/>
  <c r="I148" i="62"/>
  <c r="F474" i="41"/>
  <c r="K451" i="41"/>
  <c r="M451" i="41"/>
  <c r="F438" i="41"/>
  <c r="F281" i="113"/>
  <c r="F151" i="41"/>
  <c r="F540" i="41"/>
  <c r="I541" i="41"/>
  <c r="G541" i="41"/>
  <c r="I577" i="41"/>
  <c r="L577" i="41"/>
  <c r="J579" i="41"/>
  <c r="M149" i="41"/>
  <c r="M151" i="41"/>
  <c r="M92" i="41"/>
  <c r="I92" i="41"/>
  <c r="I149" i="41"/>
  <c r="I151" i="41"/>
  <c r="G92" i="41"/>
  <c r="G149" i="41"/>
  <c r="G151" i="41"/>
  <c r="K92" i="41"/>
  <c r="K540" i="41"/>
  <c r="K149" i="41"/>
  <c r="K151" i="41"/>
  <c r="N539" i="41"/>
  <c r="F538" i="41"/>
  <c r="H358" i="40"/>
  <c r="H359" i="40"/>
  <c r="L118" i="31"/>
  <c r="J112" i="138"/>
  <c r="L112" i="138"/>
  <c r="G132" i="62"/>
  <c r="L467" i="41"/>
  <c r="E42" i="30"/>
  <c r="G42" i="30"/>
  <c r="H42" i="30"/>
  <c r="I42" i="30"/>
  <c r="J42" i="30"/>
  <c r="K42" i="30"/>
  <c r="L42" i="30"/>
  <c r="M42" i="30"/>
  <c r="E56" i="30"/>
  <c r="G56" i="30"/>
  <c r="H56" i="30"/>
  <c r="I56" i="30"/>
  <c r="J56" i="30"/>
  <c r="K56" i="30"/>
  <c r="L56" i="30"/>
  <c r="M56" i="30"/>
  <c r="G112" i="138"/>
  <c r="K112" i="138"/>
  <c r="H112" i="138"/>
  <c r="J118" i="31"/>
  <c r="H118" i="31"/>
  <c r="F143" i="62"/>
  <c r="F110" i="138"/>
  <c r="E34" i="30"/>
  <c r="G34" i="30"/>
  <c r="H34" i="30"/>
  <c r="I34" i="30"/>
  <c r="J34" i="30"/>
  <c r="K34" i="30"/>
  <c r="L34" i="30"/>
  <c r="M34" i="30"/>
  <c r="K93" i="138"/>
  <c r="N112" i="138"/>
  <c r="L103" i="138"/>
  <c r="J93" i="138"/>
  <c r="H103" i="138"/>
  <c r="G103" i="138"/>
  <c r="N103" i="138"/>
  <c r="L93" i="138"/>
  <c r="J103" i="138"/>
  <c r="H93" i="138"/>
  <c r="G93" i="138"/>
  <c r="N93" i="138"/>
  <c r="F136" i="137"/>
  <c r="I98" i="137"/>
  <c r="I104" i="137"/>
  <c r="G160" i="49"/>
  <c r="G162" i="49"/>
  <c r="H162" i="49"/>
  <c r="E28" i="107"/>
  <c r="G28" i="107"/>
  <c r="H28" i="107"/>
  <c r="I28" i="107"/>
  <c r="E26" i="107"/>
  <c r="G26" i="107"/>
  <c r="H26" i="107"/>
  <c r="I26" i="107"/>
  <c r="F576" i="41"/>
  <c r="L539" i="41"/>
  <c r="F246" i="113"/>
  <c r="H246" i="113"/>
  <c r="I246" i="113"/>
  <c r="J246" i="113"/>
  <c r="K246" i="113"/>
  <c r="L246" i="113"/>
  <c r="M246" i="113"/>
  <c r="N246" i="113"/>
  <c r="E46" i="116"/>
  <c r="J148" i="62"/>
  <c r="K138" i="62"/>
  <c r="K148" i="62"/>
  <c r="H160" i="49"/>
  <c r="H153" i="49"/>
  <c r="F282" i="113"/>
  <c r="E49" i="30"/>
  <c r="G49" i="30"/>
  <c r="H49" i="30"/>
  <c r="I49" i="30"/>
  <c r="J49" i="30"/>
  <c r="K49" i="30"/>
  <c r="L49" i="30"/>
  <c r="M49" i="30"/>
  <c r="E47" i="30"/>
  <c r="G47" i="30"/>
  <c r="H47" i="30"/>
  <c r="I47" i="30"/>
  <c r="J47" i="30"/>
  <c r="K47" i="30"/>
  <c r="L47" i="30"/>
  <c r="M47" i="30"/>
  <c r="H46" i="116"/>
  <c r="E52" i="116"/>
  <c r="G581" i="112"/>
  <c r="N581" i="112"/>
  <c r="M581" i="112"/>
  <c r="L581" i="112"/>
  <c r="K581" i="112"/>
  <c r="J581" i="112"/>
  <c r="I581" i="112"/>
  <c r="F283" i="113"/>
  <c r="G408" i="39"/>
  <c r="H408" i="39"/>
  <c r="J408" i="39"/>
  <c r="K408" i="39"/>
  <c r="M408" i="39"/>
  <c r="F408" i="39"/>
  <c r="I408" i="39"/>
  <c r="L408" i="39"/>
  <c r="N408" i="39"/>
  <c r="H207" i="110"/>
  <c r="I207" i="110"/>
  <c r="J207" i="110"/>
  <c r="K207" i="110"/>
  <c r="L207" i="110"/>
  <c r="M207" i="110"/>
  <c r="N207" i="110"/>
  <c r="M417" i="39"/>
  <c r="N417" i="39"/>
  <c r="L417" i="39"/>
  <c r="F417" i="39"/>
  <c r="J417" i="39"/>
  <c r="K417" i="39"/>
  <c r="G417" i="39"/>
  <c r="H417" i="39"/>
  <c r="I417" i="39"/>
  <c r="F251" i="113"/>
  <c r="G418" i="39"/>
  <c r="M418" i="39"/>
  <c r="N418" i="39"/>
  <c r="F418" i="39"/>
  <c r="H418" i="39"/>
  <c r="I418" i="39"/>
  <c r="J418" i="39"/>
  <c r="K418" i="39"/>
  <c r="L418" i="39"/>
  <c r="K409" i="39"/>
  <c r="G409" i="39"/>
  <c r="F409" i="39"/>
  <c r="L409" i="39"/>
  <c r="N409" i="39"/>
  <c r="H409" i="39"/>
  <c r="M409" i="39"/>
  <c r="I409" i="39"/>
  <c r="J409" i="39"/>
  <c r="J47" i="116"/>
  <c r="I46" i="116"/>
  <c r="G416" i="39"/>
  <c r="I416" i="39"/>
  <c r="N416" i="39"/>
  <c r="L416" i="39"/>
  <c r="F416" i="39"/>
  <c r="H416" i="39"/>
  <c r="K416" i="39"/>
  <c r="J416" i="39"/>
  <c r="M416" i="39"/>
  <c r="K430" i="39"/>
  <c r="I430" i="39"/>
  <c r="J430" i="39"/>
  <c r="L430" i="39"/>
  <c r="M430" i="39"/>
  <c r="N430" i="39"/>
  <c r="F430" i="39"/>
  <c r="G430" i="39"/>
  <c r="H430" i="39"/>
  <c r="F410" i="39"/>
  <c r="H410" i="39"/>
  <c r="I410" i="39"/>
  <c r="J410" i="39"/>
  <c r="K410" i="39"/>
  <c r="M410" i="39"/>
  <c r="N410" i="39"/>
  <c r="L410" i="39"/>
  <c r="G410" i="39"/>
  <c r="F284" i="113"/>
  <c r="I394" i="39"/>
  <c r="L394" i="39"/>
  <c r="N394" i="39"/>
  <c r="H394" i="39"/>
  <c r="J394" i="39"/>
  <c r="K394" i="39"/>
  <c r="M394" i="39"/>
  <c r="G394" i="39"/>
  <c r="F394" i="39"/>
  <c r="J431" i="39"/>
  <c r="K431" i="39"/>
  <c r="G431" i="39"/>
  <c r="L431" i="39"/>
  <c r="M431" i="39"/>
  <c r="N431" i="39"/>
  <c r="I431" i="39"/>
  <c r="H431" i="39"/>
  <c r="F431" i="39"/>
  <c r="H201" i="110"/>
  <c r="I201" i="110"/>
  <c r="J201" i="110"/>
  <c r="K201" i="110"/>
  <c r="L201" i="110"/>
  <c r="M201" i="110"/>
  <c r="N201" i="110"/>
  <c r="E83" i="31"/>
  <c r="E82" i="31"/>
  <c r="H258" i="113"/>
  <c r="I258" i="113"/>
  <c r="J258" i="113"/>
  <c r="K258" i="113"/>
  <c r="L258" i="113"/>
  <c r="M258" i="113"/>
  <c r="N258" i="113"/>
  <c r="H432" i="39"/>
  <c r="M432" i="39"/>
  <c r="N432" i="39"/>
  <c r="G432" i="39"/>
  <c r="L432" i="39"/>
  <c r="K432" i="39"/>
  <c r="J432" i="39"/>
  <c r="F432" i="39"/>
  <c r="I432" i="39"/>
  <c r="L395" i="39"/>
  <c r="M395" i="39"/>
  <c r="N395" i="39"/>
  <c r="H395" i="39"/>
  <c r="F395" i="39"/>
  <c r="G395" i="39"/>
  <c r="J395" i="39"/>
  <c r="K395" i="39"/>
  <c r="I395" i="39"/>
  <c r="H257" i="113"/>
  <c r="I396" i="39"/>
  <c r="K396" i="39"/>
  <c r="F396" i="39"/>
  <c r="L396" i="39"/>
  <c r="N396" i="39"/>
  <c r="G396" i="39"/>
  <c r="J396" i="39"/>
  <c r="H396" i="39"/>
  <c r="M396" i="39"/>
  <c r="F106" i="31"/>
  <c r="E33" i="30"/>
  <c r="G33" i="30"/>
  <c r="H33" i="30"/>
  <c r="I33" i="30"/>
  <c r="J33" i="30"/>
  <c r="K33" i="30"/>
  <c r="L33" i="30"/>
  <c r="M33" i="30"/>
  <c r="F90" i="31"/>
  <c r="H540" i="41"/>
  <c r="I162" i="110"/>
  <c r="I143" i="110"/>
  <c r="E40" i="30"/>
  <c r="G40" i="30"/>
  <c r="H40" i="30"/>
  <c r="I40" i="30"/>
  <c r="J40" i="30"/>
  <c r="K40" i="30"/>
  <c r="L40" i="30"/>
  <c r="M40" i="30"/>
  <c r="E41" i="30"/>
  <c r="E48" i="30"/>
  <c r="E107" i="31"/>
  <c r="E35" i="30"/>
  <c r="E54" i="30"/>
  <c r="E89" i="31"/>
  <c r="E91" i="31"/>
  <c r="H188" i="110"/>
  <c r="I188" i="110"/>
  <c r="J188" i="110"/>
  <c r="K188" i="110"/>
  <c r="L188" i="110"/>
  <c r="M188" i="110"/>
  <c r="N188" i="110"/>
  <c r="H539" i="41"/>
  <c r="G72" i="12"/>
  <c r="N477" i="113"/>
  <c r="N464" i="113"/>
  <c r="L477" i="113"/>
  <c r="F307" i="112"/>
  <c r="F581" i="112"/>
  <c r="N307" i="112"/>
  <c r="M307" i="112"/>
  <c r="L307" i="112"/>
  <c r="K307" i="112"/>
  <c r="J307" i="112"/>
  <c r="M118" i="31"/>
  <c r="J53" i="116"/>
  <c r="I52" i="116"/>
  <c r="H477" i="113"/>
  <c r="G299" i="40"/>
  <c r="I299" i="40"/>
  <c r="K299" i="40"/>
  <c r="M299" i="40"/>
  <c r="M477" i="113"/>
  <c r="I477" i="113"/>
  <c r="J448" i="41"/>
  <c r="M316" i="39"/>
  <c r="M476" i="39"/>
  <c r="L316" i="39"/>
  <c r="L476" i="39"/>
  <c r="L330" i="39"/>
  <c r="L478" i="39"/>
  <c r="G70" i="12"/>
  <c r="G69" i="12"/>
  <c r="J477" i="113"/>
  <c r="G307" i="112"/>
  <c r="I307" i="112"/>
  <c r="H581" i="112"/>
  <c r="H307" i="112"/>
  <c r="H299" i="40"/>
  <c r="J299" i="40"/>
  <c r="L299" i="40"/>
  <c r="F299" i="40"/>
  <c r="K477" i="113"/>
  <c r="K577" i="41"/>
  <c r="K576" i="41"/>
  <c r="K578" i="41"/>
  <c r="K579" i="41"/>
  <c r="M579" i="41"/>
  <c r="M578" i="41"/>
  <c r="M577" i="41"/>
  <c r="M576" i="41"/>
  <c r="N323" i="39"/>
  <c r="N477" i="39"/>
  <c r="N337" i="39"/>
  <c r="N479" i="39"/>
  <c r="N316" i="39"/>
  <c r="N476" i="39"/>
  <c r="K316" i="39"/>
  <c r="K476" i="39"/>
  <c r="I330" i="39"/>
  <c r="I478" i="39"/>
  <c r="J337" i="39"/>
  <c r="J479" i="39"/>
  <c r="J316" i="39"/>
  <c r="J476" i="39"/>
  <c r="G349" i="113"/>
  <c r="L479" i="113"/>
  <c r="N466" i="113"/>
  <c r="N479" i="113"/>
  <c r="N138" i="62"/>
  <c r="K285" i="113"/>
  <c r="I211" i="110"/>
  <c r="H211" i="110"/>
  <c r="O138" i="46"/>
  <c r="K479" i="113"/>
  <c r="M479" i="113"/>
  <c r="K539" i="41"/>
  <c r="H185" i="110"/>
  <c r="I185" i="110"/>
  <c r="J185" i="110"/>
  <c r="K185" i="110"/>
  <c r="L185" i="110"/>
  <c r="M185" i="110"/>
  <c r="N185" i="110"/>
  <c r="I152" i="110"/>
  <c r="J113" i="31"/>
  <c r="I113" i="31"/>
  <c r="H442" i="113"/>
  <c r="H560" i="113"/>
  <c r="J442" i="113"/>
  <c r="J560" i="113"/>
  <c r="L442" i="113"/>
  <c r="L560" i="113"/>
  <c r="N442" i="113"/>
  <c r="N560" i="113"/>
  <c r="H479" i="113"/>
  <c r="I479" i="113"/>
  <c r="F262" i="113"/>
  <c r="M337" i="39"/>
  <c r="M479" i="39"/>
  <c r="F442" i="113"/>
  <c r="F560" i="113"/>
  <c r="G250" i="113"/>
  <c r="H186" i="110"/>
  <c r="I186" i="110"/>
  <c r="J186" i="110"/>
  <c r="K186" i="110"/>
  <c r="L186" i="110"/>
  <c r="M186" i="110"/>
  <c r="N186" i="110"/>
  <c r="M323" i="39"/>
  <c r="M477" i="39"/>
  <c r="M330" i="39"/>
  <c r="M478" i="39"/>
  <c r="L337" i="39"/>
  <c r="L479" i="39"/>
  <c r="L323" i="39"/>
  <c r="L477" i="39"/>
  <c r="G479" i="113"/>
  <c r="J479" i="113"/>
  <c r="O139" i="46"/>
  <c r="I442" i="113"/>
  <c r="I560" i="113"/>
  <c r="K442" i="113"/>
  <c r="K560" i="113"/>
  <c r="M442" i="113"/>
  <c r="M560" i="113"/>
  <c r="N330" i="39"/>
  <c r="N478" i="39"/>
  <c r="K337" i="39"/>
  <c r="K479" i="39"/>
  <c r="K323" i="39"/>
  <c r="K477" i="39"/>
  <c r="K330" i="39"/>
  <c r="K478" i="39"/>
  <c r="I316" i="39"/>
  <c r="I476" i="39"/>
  <c r="I337" i="39"/>
  <c r="I479" i="39"/>
  <c r="I323" i="39"/>
  <c r="I477" i="39"/>
  <c r="J323" i="39"/>
  <c r="J477" i="39"/>
  <c r="J330" i="39"/>
  <c r="J478" i="39"/>
  <c r="N148" i="62"/>
  <c r="J230" i="110"/>
  <c r="M539" i="41"/>
  <c r="J171" i="110"/>
  <c r="H152" i="110"/>
  <c r="H113" i="31"/>
  <c r="K114" i="31"/>
  <c r="G113" i="31"/>
  <c r="AX244" i="59"/>
  <c r="AY244" i="59"/>
  <c r="AX306" i="59"/>
  <c r="AV44" i="70"/>
  <c r="G21" i="135"/>
  <c r="AZ16" i="59"/>
  <c r="L7" i="131"/>
  <c r="K192" i="48"/>
  <c r="N204" i="48"/>
  <c r="L579" i="41"/>
  <c r="J576" i="41"/>
  <c r="G467" i="41"/>
  <c r="M204" i="48"/>
  <c r="L192" i="48"/>
  <c r="N467" i="41"/>
  <c r="K204" i="48"/>
  <c r="M192" i="48"/>
  <c r="L198" i="48"/>
  <c r="I173" i="48"/>
  <c r="I276" i="48"/>
  <c r="N198" i="48"/>
  <c r="M198" i="48"/>
  <c r="L204" i="48"/>
  <c r="K544" i="113"/>
  <c r="M544" i="113"/>
  <c r="H544" i="113"/>
  <c r="AY44" i="70"/>
  <c r="AH44" i="70"/>
  <c r="J452" i="41"/>
  <c r="H125" i="137"/>
  <c r="H157" i="137"/>
  <c r="H120" i="137"/>
  <c r="H115" i="137"/>
  <c r="I578" i="41"/>
  <c r="I172" i="48"/>
  <c r="I275" i="48"/>
  <c r="G466" i="113"/>
  <c r="F433" i="113"/>
  <c r="F249" i="113"/>
  <c r="H249" i="113"/>
  <c r="I249" i="113"/>
  <c r="J249" i="113"/>
  <c r="K249" i="113"/>
  <c r="L249" i="113"/>
  <c r="M249" i="113"/>
  <c r="N249" i="113"/>
  <c r="F261" i="113"/>
  <c r="H261" i="113"/>
  <c r="I261" i="113"/>
  <c r="J261" i="113"/>
  <c r="K261" i="113"/>
  <c r="L261" i="113"/>
  <c r="M261" i="113"/>
  <c r="N261" i="113"/>
  <c r="L466" i="113"/>
  <c r="L552" i="113"/>
  <c r="L544" i="113"/>
  <c r="F552" i="113"/>
  <c r="G552" i="113"/>
  <c r="F544" i="113"/>
  <c r="N552" i="113"/>
  <c r="N544" i="113"/>
  <c r="I552" i="113"/>
  <c r="J466" i="113"/>
  <c r="I466" i="113"/>
  <c r="H466" i="113"/>
  <c r="K466" i="113"/>
  <c r="F192" i="48"/>
  <c r="H552" i="113"/>
  <c r="J552" i="113"/>
  <c r="K552" i="113"/>
  <c r="M552" i="113"/>
  <c r="G451" i="112"/>
  <c r="H393" i="112"/>
  <c r="H394" i="112"/>
  <c r="J560" i="41"/>
  <c r="N192" i="48"/>
  <c r="M161" i="62"/>
  <c r="L448" i="41"/>
  <c r="L452" i="41"/>
  <c r="I579" i="41"/>
  <c r="I544" i="113"/>
  <c r="N448" i="41"/>
  <c r="N452" i="41"/>
  <c r="J558" i="41"/>
  <c r="I174" i="48"/>
  <c r="I277" i="48"/>
  <c r="F204" i="48"/>
  <c r="F102" i="143"/>
  <c r="F198" i="48"/>
  <c r="J561" i="41"/>
  <c r="I175" i="48"/>
  <c r="I278" i="48"/>
  <c r="F161" i="139"/>
  <c r="F199" i="49"/>
  <c r="H199" i="49"/>
  <c r="F97" i="143"/>
  <c r="L122" i="143"/>
  <c r="K74" i="147"/>
  <c r="K76" i="147"/>
  <c r="K117" i="147"/>
  <c r="N74" i="145"/>
  <c r="N76" i="145"/>
  <c r="N119" i="145"/>
  <c r="J74" i="145"/>
  <c r="J76" i="145"/>
  <c r="J119" i="145"/>
  <c r="I127" i="142"/>
  <c r="L127" i="142"/>
  <c r="J122" i="143"/>
  <c r="H76" i="146"/>
  <c r="H78" i="146"/>
  <c r="H119" i="146"/>
  <c r="L76" i="146"/>
  <c r="L78" i="146"/>
  <c r="L119" i="146"/>
  <c r="G74" i="147"/>
  <c r="G76" i="147"/>
  <c r="G117" i="147"/>
  <c r="I74" i="147"/>
  <c r="I76" i="147"/>
  <c r="I117" i="147"/>
  <c r="M74" i="147"/>
  <c r="M76" i="147"/>
  <c r="M117" i="147"/>
  <c r="M76" i="146"/>
  <c r="M78" i="146"/>
  <c r="M119" i="146"/>
  <c r="F86" i="146"/>
  <c r="J74" i="147"/>
  <c r="J76" i="147"/>
  <c r="J117" i="147"/>
  <c r="K74" i="145"/>
  <c r="K76" i="145"/>
  <c r="K119" i="145"/>
  <c r="H192" i="139"/>
  <c r="H128" i="139"/>
  <c r="F92" i="143"/>
  <c r="M74" i="145"/>
  <c r="M76" i="145"/>
  <c r="M119" i="145"/>
  <c r="J127" i="142"/>
  <c r="I76" i="146"/>
  <c r="I78" i="146"/>
  <c r="I119" i="146"/>
  <c r="N76" i="146"/>
  <c r="N78" i="146"/>
  <c r="N119" i="146"/>
  <c r="N74" i="147"/>
  <c r="N76" i="147"/>
  <c r="N117" i="147"/>
  <c r="G74" i="145"/>
  <c r="G76" i="145"/>
  <c r="F102" i="144"/>
  <c r="G192" i="139"/>
  <c r="G128" i="139"/>
  <c r="F92" i="144"/>
  <c r="G76" i="146"/>
  <c r="G78" i="146"/>
  <c r="G119" i="146"/>
  <c r="K76" i="146"/>
  <c r="K78" i="146"/>
  <c r="K119" i="146"/>
  <c r="L74" i="147"/>
  <c r="L76" i="147"/>
  <c r="L117" i="147"/>
  <c r="H74" i="145"/>
  <c r="H76" i="145"/>
  <c r="F76" i="146"/>
  <c r="F78" i="146"/>
  <c r="F119" i="146"/>
  <c r="J76" i="146"/>
  <c r="J78" i="146"/>
  <c r="J119" i="146"/>
  <c r="I128" i="139"/>
  <c r="I192" i="139"/>
  <c r="F137" i="140"/>
  <c r="G122" i="143"/>
  <c r="H74" i="147"/>
  <c r="H76" i="147"/>
  <c r="H117" i="147"/>
  <c r="I74" i="145"/>
  <c r="I76" i="145"/>
  <c r="L74" i="145"/>
  <c r="L76" i="145"/>
  <c r="L119" i="145"/>
  <c r="M127" i="142"/>
  <c r="G92" i="144"/>
  <c r="I113" i="144"/>
  <c r="G113" i="144"/>
  <c r="K113" i="143"/>
  <c r="H113" i="144"/>
  <c r="M113" i="144"/>
  <c r="N113" i="143"/>
  <c r="L113" i="144"/>
  <c r="F113" i="143"/>
  <c r="K113" i="144"/>
  <c r="N113" i="144"/>
  <c r="J113" i="144"/>
  <c r="M113" i="143"/>
  <c r="F113" i="144"/>
  <c r="M540" i="41"/>
  <c r="M558" i="41"/>
  <c r="I576" i="41"/>
  <c r="J467" i="41"/>
  <c r="K467" i="41"/>
  <c r="L576" i="41"/>
  <c r="J578" i="41"/>
  <c r="J138" i="62"/>
  <c r="I98" i="138"/>
  <c r="L578" i="41"/>
  <c r="J577" i="41"/>
  <c r="J544" i="113"/>
  <c r="M112" i="138"/>
  <c r="I112" i="138"/>
  <c r="N558" i="41"/>
  <c r="N559" i="41"/>
  <c r="N560" i="41"/>
  <c r="N561" i="41"/>
  <c r="K558" i="41"/>
  <c r="K559" i="41"/>
  <c r="K560" i="41"/>
  <c r="K561" i="41"/>
  <c r="H558" i="41"/>
  <c r="H559" i="41"/>
  <c r="H560" i="41"/>
  <c r="H561" i="41"/>
  <c r="L558" i="41"/>
  <c r="L559" i="41"/>
  <c r="L560" i="41"/>
  <c r="L561" i="41"/>
  <c r="F537" i="41"/>
  <c r="F451" i="41"/>
  <c r="F541" i="41"/>
  <c r="F558" i="41"/>
  <c r="I451" i="41"/>
  <c r="G451" i="41"/>
  <c r="F436" i="41"/>
  <c r="M467" i="41"/>
  <c r="I467" i="41"/>
  <c r="I359" i="40"/>
  <c r="I358" i="40"/>
  <c r="I357" i="40"/>
  <c r="L134" i="31"/>
  <c r="F112" i="138"/>
  <c r="H174" i="48"/>
  <c r="H277" i="48"/>
  <c r="H172" i="48"/>
  <c r="H275" i="48"/>
  <c r="H173" i="48"/>
  <c r="H276" i="48"/>
  <c r="H175" i="48"/>
  <c r="H278" i="48"/>
  <c r="N175" i="48"/>
  <c r="N278" i="48"/>
  <c r="N173" i="48"/>
  <c r="N276" i="48"/>
  <c r="N174" i="48"/>
  <c r="N277" i="48"/>
  <c r="N172" i="48"/>
  <c r="N275" i="48"/>
  <c r="F138" i="62"/>
  <c r="I118" i="31"/>
  <c r="K118" i="31"/>
  <c r="I138" i="62"/>
  <c r="F212" i="48"/>
  <c r="H134" i="31"/>
  <c r="J134" i="31"/>
  <c r="E37" i="39"/>
  <c r="J98" i="138"/>
  <c r="H98" i="138"/>
  <c r="N98" i="138"/>
  <c r="G98" i="138"/>
  <c r="K98" i="138"/>
  <c r="L98" i="138"/>
  <c r="H156" i="137"/>
  <c r="H155" i="137"/>
  <c r="G157" i="137"/>
  <c r="G156" i="137"/>
  <c r="G155" i="137"/>
  <c r="I108" i="137"/>
  <c r="J71" i="137"/>
  <c r="N161" i="62"/>
  <c r="E106" i="31"/>
  <c r="G106" i="31"/>
  <c r="H106" i="31"/>
  <c r="I106" i="31"/>
  <c r="J106" i="31"/>
  <c r="K106" i="31"/>
  <c r="L106" i="31"/>
  <c r="M106" i="31"/>
  <c r="K403" i="39"/>
  <c r="H402" i="39"/>
  <c r="F425" i="39"/>
  <c r="K425" i="39"/>
  <c r="M425" i="39"/>
  <c r="J198" i="48"/>
  <c r="H577" i="41"/>
  <c r="H576" i="41"/>
  <c r="H579" i="41"/>
  <c r="H578" i="41"/>
  <c r="H467" i="41"/>
  <c r="F578" i="41"/>
  <c r="F579" i="41"/>
  <c r="F577" i="41"/>
  <c r="F467" i="41"/>
  <c r="H537" i="41"/>
  <c r="J537" i="41"/>
  <c r="I537" i="41"/>
  <c r="G537" i="41"/>
  <c r="K537" i="41"/>
  <c r="I161" i="62"/>
  <c r="N577" i="41"/>
  <c r="N578" i="41"/>
  <c r="N579" i="41"/>
  <c r="N576" i="41"/>
  <c r="M537" i="41"/>
  <c r="G578" i="41"/>
  <c r="G576" i="41"/>
  <c r="G579" i="41"/>
  <c r="G577" i="41"/>
  <c r="L537" i="41"/>
  <c r="N537" i="41"/>
  <c r="F437" i="41"/>
  <c r="J192" i="48"/>
  <c r="J204" i="48"/>
  <c r="K143" i="62"/>
  <c r="I144" i="49"/>
  <c r="I146" i="49"/>
  <c r="H143" i="110"/>
  <c r="J162" i="110"/>
  <c r="J143" i="110"/>
  <c r="E90" i="31"/>
  <c r="G90" i="31"/>
  <c r="F403" i="39"/>
  <c r="I403" i="39"/>
  <c r="I425" i="39"/>
  <c r="H424" i="39"/>
  <c r="L424" i="39"/>
  <c r="I424" i="39"/>
  <c r="J425" i="39"/>
  <c r="L425" i="39"/>
  <c r="N425" i="39"/>
  <c r="H425" i="39"/>
  <c r="F424" i="39"/>
  <c r="L403" i="39"/>
  <c r="M403" i="39"/>
  <c r="N402" i="39"/>
  <c r="K402" i="39"/>
  <c r="I257" i="113"/>
  <c r="G425" i="39"/>
  <c r="G82" i="31"/>
  <c r="H82" i="31"/>
  <c r="I82" i="31"/>
  <c r="J82" i="31"/>
  <c r="K82" i="31"/>
  <c r="L82" i="31"/>
  <c r="N424" i="39"/>
  <c r="G401" i="39"/>
  <c r="J401" i="39"/>
  <c r="N401" i="39"/>
  <c r="G403" i="39"/>
  <c r="N403" i="39"/>
  <c r="H423" i="39"/>
  <c r="G423" i="39"/>
  <c r="N423" i="39"/>
  <c r="L423" i="39"/>
  <c r="I423" i="39"/>
  <c r="J46" i="116"/>
  <c r="K47" i="116"/>
  <c r="M419" i="39"/>
  <c r="M420" i="39"/>
  <c r="N419" i="39"/>
  <c r="N420" i="39"/>
  <c r="K419" i="39"/>
  <c r="K420" i="39"/>
  <c r="L419" i="39"/>
  <c r="L420" i="39"/>
  <c r="F419" i="39"/>
  <c r="F420" i="39"/>
  <c r="J419" i="39"/>
  <c r="J420" i="39"/>
  <c r="H419" i="39"/>
  <c r="H420" i="39"/>
  <c r="I419" i="39"/>
  <c r="I420" i="39"/>
  <c r="G419" i="39"/>
  <c r="G420" i="39"/>
  <c r="I402" i="39"/>
  <c r="L402" i="39"/>
  <c r="G402" i="39"/>
  <c r="K424" i="39"/>
  <c r="M424" i="39"/>
  <c r="M401" i="39"/>
  <c r="G397" i="39"/>
  <c r="G398" i="39"/>
  <c r="J397" i="39"/>
  <c r="J398" i="39"/>
  <c r="K397" i="39"/>
  <c r="K398" i="39"/>
  <c r="M397" i="39"/>
  <c r="M398" i="39"/>
  <c r="F397" i="39"/>
  <c r="F398" i="39"/>
  <c r="H397" i="39"/>
  <c r="H398" i="39"/>
  <c r="L397" i="39"/>
  <c r="L398" i="39"/>
  <c r="I397" i="39"/>
  <c r="I398" i="39"/>
  <c r="N397" i="39"/>
  <c r="N398" i="39"/>
  <c r="G83" i="31"/>
  <c r="H83" i="31"/>
  <c r="F401" i="39"/>
  <c r="H401" i="39"/>
  <c r="L401" i="39"/>
  <c r="J403" i="39"/>
  <c r="H403" i="39"/>
  <c r="F423" i="39"/>
  <c r="M423" i="39"/>
  <c r="J423" i="39"/>
  <c r="K423" i="39"/>
  <c r="I433" i="39"/>
  <c r="J433" i="39"/>
  <c r="F433" i="39"/>
  <c r="K433" i="39"/>
  <c r="N433" i="39"/>
  <c r="N434" i="39"/>
  <c r="H433" i="39"/>
  <c r="G433" i="39"/>
  <c r="L433" i="39"/>
  <c r="M433" i="39"/>
  <c r="J402" i="39"/>
  <c r="M402" i="39"/>
  <c r="F402" i="39"/>
  <c r="H251" i="113"/>
  <c r="G424" i="39"/>
  <c r="J424" i="39"/>
  <c r="I401" i="39"/>
  <c r="K401" i="39"/>
  <c r="F411" i="39"/>
  <c r="I411" i="39"/>
  <c r="J411" i="39"/>
  <c r="L411" i="39"/>
  <c r="N411" i="39"/>
  <c r="G411" i="39"/>
  <c r="H411" i="39"/>
  <c r="K411" i="39"/>
  <c r="M411" i="39"/>
  <c r="G91" i="31"/>
  <c r="G54" i="30"/>
  <c r="H54" i="30"/>
  <c r="I54" i="30"/>
  <c r="J54" i="30"/>
  <c r="K54" i="30"/>
  <c r="L54" i="30"/>
  <c r="M54" i="30"/>
  <c r="G35" i="30"/>
  <c r="H35" i="30"/>
  <c r="I35" i="30"/>
  <c r="J35" i="30"/>
  <c r="K35" i="30"/>
  <c r="L35" i="30"/>
  <c r="M35" i="30"/>
  <c r="G539" i="41"/>
  <c r="H448" i="41"/>
  <c r="H452" i="41"/>
  <c r="G89" i="31"/>
  <c r="G107" i="31"/>
  <c r="H107" i="31"/>
  <c r="I107" i="31"/>
  <c r="J107" i="31"/>
  <c r="K107" i="31"/>
  <c r="L107" i="31"/>
  <c r="M107" i="31"/>
  <c r="G48" i="30"/>
  <c r="H48" i="30"/>
  <c r="I48" i="30"/>
  <c r="J48" i="30"/>
  <c r="K48" i="30"/>
  <c r="L48" i="30"/>
  <c r="M48" i="30"/>
  <c r="I540" i="41"/>
  <c r="I539" i="41"/>
  <c r="G540" i="41"/>
  <c r="G393" i="112"/>
  <c r="G394" i="112"/>
  <c r="J393" i="112"/>
  <c r="J394" i="112"/>
  <c r="L148" i="62"/>
  <c r="M138" i="62"/>
  <c r="K580" i="41"/>
  <c r="G85" i="46"/>
  <c r="H85" i="46"/>
  <c r="I85" i="46"/>
  <c r="J85" i="46"/>
  <c r="K85" i="46"/>
  <c r="L85" i="46"/>
  <c r="M85" i="46"/>
  <c r="H148" i="62"/>
  <c r="G537" i="40"/>
  <c r="G148" i="62"/>
  <c r="J52" i="116"/>
  <c r="K53" i="116"/>
  <c r="M134" i="31"/>
  <c r="M580" i="41"/>
  <c r="L138" i="62"/>
  <c r="M148" i="62"/>
  <c r="F537" i="40"/>
  <c r="H537" i="40"/>
  <c r="M393" i="112"/>
  <c r="M394" i="112"/>
  <c r="H138" i="62"/>
  <c r="G138" i="62"/>
  <c r="K393" i="112"/>
  <c r="K394" i="112"/>
  <c r="L161" i="62"/>
  <c r="M349" i="113"/>
  <c r="I349" i="113"/>
  <c r="F453" i="113"/>
  <c r="F466" i="113"/>
  <c r="F479" i="113"/>
  <c r="F250" i="113"/>
  <c r="L285" i="113"/>
  <c r="K113" i="31"/>
  <c r="L114" i="31"/>
  <c r="N143" i="62"/>
  <c r="K349" i="113"/>
  <c r="J152" i="110"/>
  <c r="K171" i="110"/>
  <c r="J211" i="110"/>
  <c r="K230" i="110"/>
  <c r="F349" i="113"/>
  <c r="H262" i="113"/>
  <c r="I262" i="113"/>
  <c r="J262" i="113"/>
  <c r="K262" i="113"/>
  <c r="L262" i="113"/>
  <c r="M262" i="113"/>
  <c r="N262" i="113"/>
  <c r="N349" i="113"/>
  <c r="L349" i="113"/>
  <c r="J349" i="113"/>
  <c r="H349" i="113"/>
  <c r="AY245" i="59"/>
  <c r="BF245" i="59"/>
  <c r="BE245" i="59"/>
  <c r="BB245" i="59"/>
  <c r="BD245" i="59"/>
  <c r="AZ245" i="59"/>
  <c r="BC245" i="59"/>
  <c r="BA245" i="59"/>
  <c r="AX245" i="59"/>
  <c r="AZ244" i="59"/>
  <c r="H21" i="135"/>
  <c r="G18" i="131"/>
  <c r="K18" i="131"/>
  <c r="L18" i="131"/>
  <c r="BA16" i="59"/>
  <c r="F393" i="112"/>
  <c r="F394" i="112"/>
  <c r="I393" i="112"/>
  <c r="I394" i="112"/>
  <c r="H113" i="143"/>
  <c r="N393" i="112"/>
  <c r="N394" i="112"/>
  <c r="I113" i="143"/>
  <c r="BA244" i="59"/>
  <c r="I18" i="131"/>
  <c r="F17" i="131"/>
  <c r="G17" i="131"/>
  <c r="E18" i="131"/>
  <c r="I16" i="70"/>
  <c r="E17" i="131"/>
  <c r="H18" i="131"/>
  <c r="F18" i="131"/>
  <c r="L17" i="131"/>
  <c r="K17" i="131"/>
  <c r="I17" i="131"/>
  <c r="BB59" i="70"/>
  <c r="J17" i="131"/>
  <c r="H17" i="131"/>
  <c r="D18" i="131"/>
  <c r="G199" i="49"/>
  <c r="L113" i="143"/>
  <c r="G113" i="143"/>
  <c r="J113" i="143"/>
  <c r="L580" i="41"/>
  <c r="I580" i="41"/>
  <c r="J562" i="41"/>
  <c r="K253" i="39"/>
  <c r="K263" i="39"/>
  <c r="N264" i="39"/>
  <c r="K78" i="145"/>
  <c r="F192" i="139"/>
  <c r="F449" i="113"/>
  <c r="F475" i="113"/>
  <c r="F462" i="113"/>
  <c r="L393" i="112"/>
  <c r="L394" i="112"/>
  <c r="G116" i="139"/>
  <c r="G120" i="139"/>
  <c r="G178" i="139"/>
  <c r="H97" i="146"/>
  <c r="H451" i="112"/>
  <c r="F235" i="48"/>
  <c r="F144" i="141"/>
  <c r="J235" i="48"/>
  <c r="N235" i="48"/>
  <c r="L235" i="48"/>
  <c r="K448" i="41"/>
  <c r="K452" i="41"/>
  <c r="I235" i="48"/>
  <c r="J79" i="145"/>
  <c r="G119" i="157"/>
  <c r="G123" i="157"/>
  <c r="G186" i="157"/>
  <c r="L119" i="157"/>
  <c r="L120" i="157"/>
  <c r="K119" i="157"/>
  <c r="K125" i="157"/>
  <c r="K188" i="157"/>
  <c r="N119" i="157"/>
  <c r="N126" i="157"/>
  <c r="BE44" i="70"/>
  <c r="G181" i="157"/>
  <c r="L181" i="157"/>
  <c r="M119" i="157"/>
  <c r="M124" i="157"/>
  <c r="M187" i="157"/>
  <c r="N181" i="157"/>
  <c r="I119" i="157"/>
  <c r="I123" i="157"/>
  <c r="I186" i="157"/>
  <c r="M181" i="157"/>
  <c r="J580" i="41"/>
  <c r="K181" i="157"/>
  <c r="M561" i="41"/>
  <c r="I92" i="145"/>
  <c r="I116" i="139"/>
  <c r="I120" i="139"/>
  <c r="I178" i="139"/>
  <c r="I181" i="157"/>
  <c r="F119" i="157"/>
  <c r="G170" i="157"/>
  <c r="N170" i="157"/>
  <c r="K170" i="157"/>
  <c r="I170" i="157"/>
  <c r="M170" i="157"/>
  <c r="L170" i="157"/>
  <c r="G127" i="142"/>
  <c r="M93" i="142"/>
  <c r="M125" i="142"/>
  <c r="F84" i="147"/>
  <c r="H93" i="142"/>
  <c r="H125" i="142"/>
  <c r="N93" i="142"/>
  <c r="N125" i="142"/>
  <c r="N127" i="142"/>
  <c r="J192" i="139"/>
  <c r="J128" i="139"/>
  <c r="N97" i="144"/>
  <c r="F74" i="145"/>
  <c r="F76" i="145"/>
  <c r="N92" i="143"/>
  <c r="N97" i="143"/>
  <c r="K127" i="142"/>
  <c r="F97" i="144"/>
  <c r="F127" i="142"/>
  <c r="L93" i="142"/>
  <c r="L125" i="142"/>
  <c r="I93" i="142"/>
  <c r="I125" i="142"/>
  <c r="M128" i="139"/>
  <c r="M192" i="139"/>
  <c r="K192" i="139"/>
  <c r="K128" i="139"/>
  <c r="J78" i="145"/>
  <c r="G93" i="142"/>
  <c r="G125" i="142"/>
  <c r="I119" i="145"/>
  <c r="I78" i="145"/>
  <c r="I79" i="145"/>
  <c r="F74" i="147"/>
  <c r="F76" i="147"/>
  <c r="F117" i="147"/>
  <c r="H127" i="142"/>
  <c r="H119" i="145"/>
  <c r="H79" i="145"/>
  <c r="H78" i="145"/>
  <c r="N92" i="144"/>
  <c r="N102" i="144"/>
  <c r="L192" i="139"/>
  <c r="L128" i="139"/>
  <c r="G119" i="145"/>
  <c r="G78" i="145"/>
  <c r="G79" i="145"/>
  <c r="F86" i="145"/>
  <c r="J93" i="142"/>
  <c r="J125" i="142"/>
  <c r="N102" i="143"/>
  <c r="F93" i="142"/>
  <c r="F125" i="142"/>
  <c r="F116" i="142"/>
  <c r="N192" i="139"/>
  <c r="N128" i="139"/>
  <c r="M559" i="41"/>
  <c r="H97" i="145"/>
  <c r="H90" i="147"/>
  <c r="I102" i="146"/>
  <c r="I102" i="145"/>
  <c r="H92" i="144"/>
  <c r="M560" i="41"/>
  <c r="K79" i="145"/>
  <c r="K162" i="110"/>
  <c r="K143" i="110"/>
  <c r="E34" i="39"/>
  <c r="E35" i="39"/>
  <c r="K457" i="41"/>
  <c r="K460" i="41"/>
  <c r="N222" i="48"/>
  <c r="I457" i="41"/>
  <c r="I460" i="41"/>
  <c r="M235" i="48"/>
  <c r="K235" i="48"/>
  <c r="M448" i="41"/>
  <c r="M452" i="41"/>
  <c r="I222" i="48"/>
  <c r="M457" i="41"/>
  <c r="G457" i="41"/>
  <c r="G460" i="41"/>
  <c r="H457" i="41"/>
  <c r="H460" i="41"/>
  <c r="H136" i="137"/>
  <c r="G136" i="137"/>
  <c r="H222" i="48"/>
  <c r="G161" i="62"/>
  <c r="G235" i="48"/>
  <c r="H235" i="48"/>
  <c r="L562" i="41"/>
  <c r="N562" i="41"/>
  <c r="K443" i="41"/>
  <c r="F476" i="113"/>
  <c r="E38" i="39"/>
  <c r="E36" i="39"/>
  <c r="F560" i="41"/>
  <c r="N552" i="41"/>
  <c r="N549" i="41"/>
  <c r="N550" i="41"/>
  <c r="N551" i="41"/>
  <c r="M549" i="41"/>
  <c r="M550" i="41"/>
  <c r="M551" i="41"/>
  <c r="M552" i="41"/>
  <c r="K549" i="41"/>
  <c r="K550" i="41"/>
  <c r="K551" i="41"/>
  <c r="K552" i="41"/>
  <c r="F559" i="41"/>
  <c r="F561" i="41"/>
  <c r="I558" i="41"/>
  <c r="I559" i="41"/>
  <c r="I560" i="41"/>
  <c r="I561" i="41"/>
  <c r="G558" i="41"/>
  <c r="G559" i="41"/>
  <c r="G560" i="41"/>
  <c r="G561" i="41"/>
  <c r="L552" i="41"/>
  <c r="L549" i="41"/>
  <c r="L550" i="41"/>
  <c r="L551" i="41"/>
  <c r="G549" i="41"/>
  <c r="G550" i="41"/>
  <c r="G551" i="41"/>
  <c r="G552" i="41"/>
  <c r="I549" i="41"/>
  <c r="I550" i="41"/>
  <c r="I551" i="41"/>
  <c r="I552" i="41"/>
  <c r="J549" i="41"/>
  <c r="J550" i="41"/>
  <c r="J551" i="41"/>
  <c r="J552" i="41"/>
  <c r="H549" i="41"/>
  <c r="H550" i="41"/>
  <c r="H551" i="41"/>
  <c r="H552" i="41"/>
  <c r="F549" i="41"/>
  <c r="F567" i="41"/>
  <c r="F551" i="41"/>
  <c r="F552" i="41"/>
  <c r="F550" i="41"/>
  <c r="F506" i="41"/>
  <c r="F498" i="41"/>
  <c r="F491" i="41"/>
  <c r="F507" i="41"/>
  <c r="F499" i="41"/>
  <c r="N497" i="41"/>
  <c r="N505" i="41"/>
  <c r="N506" i="41"/>
  <c r="N498" i="41"/>
  <c r="L506" i="41"/>
  <c r="L498" i="41"/>
  <c r="M498" i="41"/>
  <c r="M506" i="41"/>
  <c r="M507" i="41"/>
  <c r="M499" i="41"/>
  <c r="K505" i="41"/>
  <c r="K497" i="41"/>
  <c r="G498" i="41"/>
  <c r="G506" i="41"/>
  <c r="G507" i="41"/>
  <c r="G499" i="41"/>
  <c r="I505" i="41"/>
  <c r="I497" i="41"/>
  <c r="J497" i="41"/>
  <c r="J505" i="41"/>
  <c r="J506" i="41"/>
  <c r="J498" i="41"/>
  <c r="H497" i="41"/>
  <c r="H505" i="41"/>
  <c r="F505" i="41"/>
  <c r="F489" i="41"/>
  <c r="F497" i="41"/>
  <c r="N499" i="41"/>
  <c r="N507" i="41"/>
  <c r="L499" i="41"/>
  <c r="L507" i="41"/>
  <c r="L497" i="41"/>
  <c r="L505" i="41"/>
  <c r="L508" i="41"/>
  <c r="M505" i="41"/>
  <c r="M497" i="41"/>
  <c r="K498" i="41"/>
  <c r="K506" i="41"/>
  <c r="K507" i="41"/>
  <c r="K499" i="41"/>
  <c r="G505" i="41"/>
  <c r="G497" i="41"/>
  <c r="I498" i="41"/>
  <c r="I506" i="41"/>
  <c r="I507" i="41"/>
  <c r="I499" i="41"/>
  <c r="J499" i="41"/>
  <c r="J507" i="41"/>
  <c r="H506" i="41"/>
  <c r="H498" i="41"/>
  <c r="H499" i="41"/>
  <c r="H507" i="41"/>
  <c r="M443" i="41"/>
  <c r="F490" i="41"/>
  <c r="N489" i="41"/>
  <c r="N490" i="41"/>
  <c r="L490" i="41"/>
  <c r="M490" i="41"/>
  <c r="M491" i="41"/>
  <c r="K489" i="41"/>
  <c r="G490" i="41"/>
  <c r="G491" i="41"/>
  <c r="I489" i="41"/>
  <c r="J489" i="41"/>
  <c r="J490" i="41"/>
  <c r="H489" i="41"/>
  <c r="N491" i="41"/>
  <c r="L491" i="41"/>
  <c r="L489" i="41"/>
  <c r="M489" i="41"/>
  <c r="K490" i="41"/>
  <c r="K491" i="41"/>
  <c r="G489" i="41"/>
  <c r="I490" i="41"/>
  <c r="I491" i="41"/>
  <c r="J491" i="41"/>
  <c r="H490" i="41"/>
  <c r="H491" i="41"/>
  <c r="F448" i="41"/>
  <c r="H443" i="41"/>
  <c r="J358" i="40"/>
  <c r="J357" i="40"/>
  <c r="J359" i="40"/>
  <c r="I537" i="40"/>
  <c r="H90" i="31"/>
  <c r="I90" i="31"/>
  <c r="J90" i="31"/>
  <c r="K90" i="31"/>
  <c r="K265" i="39"/>
  <c r="N251" i="39"/>
  <c r="N250" i="39"/>
  <c r="N252" i="39"/>
  <c r="N253" i="39"/>
  <c r="N249" i="39"/>
  <c r="M174" i="48"/>
  <c r="M277" i="48"/>
  <c r="M173" i="48"/>
  <c r="M276" i="48"/>
  <c r="M175" i="48"/>
  <c r="M278" i="48"/>
  <c r="M172" i="48"/>
  <c r="M275" i="48"/>
  <c r="N270" i="39"/>
  <c r="N274" i="39"/>
  <c r="N272" i="39"/>
  <c r="N273" i="39"/>
  <c r="N271" i="39"/>
  <c r="K274" i="39"/>
  <c r="K272" i="39"/>
  <c r="K271" i="39"/>
  <c r="K273" i="39"/>
  <c r="K270" i="39"/>
  <c r="L175" i="48"/>
  <c r="L278" i="48"/>
  <c r="L172" i="48"/>
  <c r="L275" i="48"/>
  <c r="L173" i="48"/>
  <c r="L276" i="48"/>
  <c r="L174" i="48"/>
  <c r="L277" i="48"/>
  <c r="G222" i="48"/>
  <c r="F188" i="39"/>
  <c r="K134" i="31"/>
  <c r="L222" i="48"/>
  <c r="M222" i="48"/>
  <c r="K222" i="48"/>
  <c r="J172" i="48"/>
  <c r="J275" i="48"/>
  <c r="J174" i="48"/>
  <c r="J277" i="48"/>
  <c r="J175" i="48"/>
  <c r="J278" i="48"/>
  <c r="J173" i="48"/>
  <c r="J276" i="48"/>
  <c r="F173" i="48"/>
  <c r="F276" i="48"/>
  <c r="F172" i="48"/>
  <c r="F275" i="48"/>
  <c r="F174" i="48"/>
  <c r="F277" i="48"/>
  <c r="F175" i="48"/>
  <c r="F278" i="48"/>
  <c r="G175" i="48"/>
  <c r="G278" i="48"/>
  <c r="G172" i="48"/>
  <c r="G275" i="48"/>
  <c r="G173" i="48"/>
  <c r="G276" i="48"/>
  <c r="G174" i="48"/>
  <c r="G277" i="48"/>
  <c r="F222" i="48"/>
  <c r="I143" i="62"/>
  <c r="K174" i="48"/>
  <c r="K277" i="48"/>
  <c r="K175" i="48"/>
  <c r="K278" i="48"/>
  <c r="K173" i="48"/>
  <c r="K276" i="48"/>
  <c r="K172" i="48"/>
  <c r="K275" i="48"/>
  <c r="I134" i="31"/>
  <c r="J222" i="48"/>
  <c r="I125" i="137"/>
  <c r="I157" i="137"/>
  <c r="I120" i="137"/>
  <c r="I156" i="137"/>
  <c r="I115" i="137"/>
  <c r="I155" i="137"/>
  <c r="K71" i="137"/>
  <c r="J98" i="137"/>
  <c r="J104" i="137"/>
  <c r="H161" i="62"/>
  <c r="J161" i="62"/>
  <c r="M82" i="31"/>
  <c r="J143" i="62"/>
  <c r="J146" i="49"/>
  <c r="J144" i="49"/>
  <c r="I155" i="49"/>
  <c r="I162" i="49"/>
  <c r="I153" i="49"/>
  <c r="I160" i="49"/>
  <c r="I83" i="31"/>
  <c r="G404" i="39"/>
  <c r="M426" i="39"/>
  <c r="H426" i="39"/>
  <c r="K426" i="39"/>
  <c r="F463" i="113"/>
  <c r="G426" i="39"/>
  <c r="J426" i="39"/>
  <c r="L78" i="145"/>
  <c r="M404" i="39"/>
  <c r="H404" i="39"/>
  <c r="I404" i="39"/>
  <c r="L426" i="39"/>
  <c r="N426" i="39"/>
  <c r="I426" i="39"/>
  <c r="K404" i="39"/>
  <c r="N404" i="39"/>
  <c r="J404" i="39"/>
  <c r="F404" i="39"/>
  <c r="M412" i="39"/>
  <c r="M405" i="39"/>
  <c r="H89" i="31"/>
  <c r="L404" i="39"/>
  <c r="H412" i="39"/>
  <c r="H405" i="39"/>
  <c r="I412" i="39"/>
  <c r="I405" i="39"/>
  <c r="N412" i="39"/>
  <c r="N405" i="39"/>
  <c r="F426" i="39"/>
  <c r="K434" i="39"/>
  <c r="K427" i="39"/>
  <c r="F434" i="39"/>
  <c r="F427" i="39"/>
  <c r="J412" i="39"/>
  <c r="J405" i="39"/>
  <c r="L412" i="39"/>
  <c r="L405" i="39"/>
  <c r="K46" i="116"/>
  <c r="L47" i="116"/>
  <c r="I434" i="39"/>
  <c r="I427" i="39"/>
  <c r="L434" i="39"/>
  <c r="L427" i="39"/>
  <c r="G434" i="39"/>
  <c r="G427" i="39"/>
  <c r="H434" i="39"/>
  <c r="H427" i="39"/>
  <c r="K412" i="39"/>
  <c r="K405" i="39"/>
  <c r="I251" i="113"/>
  <c r="G464" i="113"/>
  <c r="J434" i="39"/>
  <c r="J427" i="39"/>
  <c r="M434" i="39"/>
  <c r="M427" i="39"/>
  <c r="G412" i="39"/>
  <c r="G405" i="39"/>
  <c r="F412" i="39"/>
  <c r="F405" i="39"/>
  <c r="N427" i="39"/>
  <c r="J257" i="113"/>
  <c r="I443" i="41"/>
  <c r="I448" i="41"/>
  <c r="I452" i="41"/>
  <c r="G448" i="41"/>
  <c r="G452" i="41"/>
  <c r="G443" i="41"/>
  <c r="H91" i="31"/>
  <c r="H562" i="41"/>
  <c r="M143" i="62"/>
  <c r="L53" i="116"/>
  <c r="K52" i="116"/>
  <c r="G143" i="62"/>
  <c r="H143" i="62"/>
  <c r="L143" i="62"/>
  <c r="K211" i="110"/>
  <c r="L230" i="110"/>
  <c r="K152" i="110"/>
  <c r="L171" i="110"/>
  <c r="L113" i="31"/>
  <c r="M114" i="31"/>
  <c r="M113" i="31"/>
  <c r="M285" i="113"/>
  <c r="K562" i="41"/>
  <c r="H250" i="113"/>
  <c r="I250" i="113"/>
  <c r="J250" i="113"/>
  <c r="K250" i="113"/>
  <c r="L250" i="113"/>
  <c r="M250" i="113"/>
  <c r="N250" i="113"/>
  <c r="I21" i="135"/>
  <c r="J18" i="131"/>
  <c r="BB16" i="59"/>
  <c r="D17" i="131"/>
  <c r="K251" i="39"/>
  <c r="N188" i="39"/>
  <c r="K252" i="39"/>
  <c r="N267" i="39"/>
  <c r="J188" i="39"/>
  <c r="K250" i="39"/>
  <c r="N263" i="39"/>
  <c r="N266" i="39"/>
  <c r="L125" i="157"/>
  <c r="L188" i="157"/>
  <c r="K124" i="157"/>
  <c r="K187" i="157"/>
  <c r="K123" i="157"/>
  <c r="K186" i="157"/>
  <c r="L126" i="157"/>
  <c r="L189" i="157"/>
  <c r="G123" i="139"/>
  <c r="G181" i="139"/>
  <c r="F271" i="39"/>
  <c r="F256" i="39"/>
  <c r="F276" i="39"/>
  <c r="G188" i="39"/>
  <c r="H188" i="39"/>
  <c r="K188" i="39"/>
  <c r="I188" i="39"/>
  <c r="K249" i="39"/>
  <c r="N265" i="39"/>
  <c r="K267" i="39"/>
  <c r="I145" i="139"/>
  <c r="F273" i="39"/>
  <c r="K266" i="39"/>
  <c r="F274" i="39"/>
  <c r="L188" i="39"/>
  <c r="K264" i="39"/>
  <c r="I140" i="139"/>
  <c r="G121" i="139"/>
  <c r="G179" i="139"/>
  <c r="F270" i="39"/>
  <c r="F278" i="39"/>
  <c r="N120" i="157"/>
  <c r="G117" i="139"/>
  <c r="G122" i="139"/>
  <c r="G180" i="139"/>
  <c r="M125" i="157"/>
  <c r="M188" i="157"/>
  <c r="I162" i="139"/>
  <c r="J144" i="141"/>
  <c r="G162" i="139"/>
  <c r="F260" i="39"/>
  <c r="F249" i="39"/>
  <c r="F279" i="39"/>
  <c r="F259" i="39"/>
  <c r="F257" i="39"/>
  <c r="M188" i="39"/>
  <c r="F264" i="39"/>
  <c r="F252" i="39"/>
  <c r="F441" i="39"/>
  <c r="F266" i="39"/>
  <c r="F250" i="39"/>
  <c r="F265" i="39"/>
  <c r="I258" i="39"/>
  <c r="F263" i="39"/>
  <c r="I270" i="39"/>
  <c r="I278" i="39"/>
  <c r="I263" i="39"/>
  <c r="F267" i="39"/>
  <c r="I267" i="39"/>
  <c r="I252" i="39"/>
  <c r="I264" i="39"/>
  <c r="F251" i="39"/>
  <c r="F272" i="39"/>
  <c r="F253" i="39"/>
  <c r="F258" i="39"/>
  <c r="F181" i="157"/>
  <c r="I120" i="157"/>
  <c r="K120" i="157"/>
  <c r="K126" i="157"/>
  <c r="K189" i="157"/>
  <c r="L123" i="157"/>
  <c r="L186" i="157"/>
  <c r="L124" i="157"/>
  <c r="L187" i="157"/>
  <c r="I108" i="142"/>
  <c r="L162" i="110"/>
  <c r="L143" i="110"/>
  <c r="N533" i="113"/>
  <c r="J170" i="140"/>
  <c r="I121" i="139"/>
  <c r="I179" i="139"/>
  <c r="M120" i="157"/>
  <c r="G120" i="157"/>
  <c r="N124" i="157"/>
  <c r="N187" i="157"/>
  <c r="H162" i="139"/>
  <c r="I123" i="139"/>
  <c r="I181" i="139"/>
  <c r="I124" i="157"/>
  <c r="I187" i="157"/>
  <c r="I126" i="157"/>
  <c r="I189" i="157"/>
  <c r="M126" i="157"/>
  <c r="M189" i="157"/>
  <c r="G124" i="157"/>
  <c r="G187" i="157"/>
  <c r="G126" i="157"/>
  <c r="G189" i="157"/>
  <c r="I451" i="112"/>
  <c r="L170" i="140"/>
  <c r="M562" i="41"/>
  <c r="I98" i="142"/>
  <c r="N125" i="157"/>
  <c r="N188" i="157"/>
  <c r="N123" i="157"/>
  <c r="N186" i="157"/>
  <c r="H116" i="139"/>
  <c r="H123" i="139"/>
  <c r="H181" i="139"/>
  <c r="I117" i="139"/>
  <c r="I122" i="139"/>
  <c r="I180" i="139"/>
  <c r="I125" i="157"/>
  <c r="I188" i="157"/>
  <c r="M123" i="157"/>
  <c r="M186" i="157"/>
  <c r="G125" i="157"/>
  <c r="G188" i="157"/>
  <c r="I103" i="142"/>
  <c r="H97" i="144"/>
  <c r="H119" i="157"/>
  <c r="H123" i="157"/>
  <c r="H186" i="157"/>
  <c r="H170" i="157"/>
  <c r="G97" i="144"/>
  <c r="F173" i="139"/>
  <c r="F116" i="139"/>
  <c r="J140" i="139"/>
  <c r="I150" i="139"/>
  <c r="J119" i="157"/>
  <c r="J124" i="157"/>
  <c r="J187" i="157"/>
  <c r="J170" i="157"/>
  <c r="F170" i="157"/>
  <c r="N189" i="157"/>
  <c r="G173" i="139"/>
  <c r="J181" i="157"/>
  <c r="N111" i="146"/>
  <c r="H102" i="143"/>
  <c r="F139" i="140"/>
  <c r="H181" i="157"/>
  <c r="H111" i="146"/>
  <c r="L111" i="146"/>
  <c r="H92" i="143"/>
  <c r="H97" i="143"/>
  <c r="H100" i="147"/>
  <c r="H92" i="145"/>
  <c r="F98" i="142"/>
  <c r="F103" i="142"/>
  <c r="F117" i="142"/>
  <c r="M111" i="146"/>
  <c r="F102" i="146"/>
  <c r="F92" i="146"/>
  <c r="J109" i="147"/>
  <c r="K111" i="145"/>
  <c r="M111" i="145"/>
  <c r="J117" i="142"/>
  <c r="G111" i="146"/>
  <c r="K111" i="146"/>
  <c r="N98" i="142"/>
  <c r="N108" i="142"/>
  <c r="G97" i="143"/>
  <c r="G92" i="143"/>
  <c r="G117" i="142"/>
  <c r="N97" i="146"/>
  <c r="N92" i="146"/>
  <c r="N100" i="147"/>
  <c r="J111" i="145"/>
  <c r="L117" i="142"/>
  <c r="G97" i="146"/>
  <c r="G102" i="146"/>
  <c r="G109" i="147"/>
  <c r="M109" i="147"/>
  <c r="G102" i="144"/>
  <c r="H145" i="139"/>
  <c r="I111" i="146"/>
  <c r="G111" i="145"/>
  <c r="N97" i="145"/>
  <c r="N92" i="145"/>
  <c r="G145" i="139"/>
  <c r="H92" i="146"/>
  <c r="N158" i="140"/>
  <c r="L109" i="147"/>
  <c r="H111" i="145"/>
  <c r="F111" i="146"/>
  <c r="J111" i="146"/>
  <c r="F199" i="140"/>
  <c r="H148" i="140"/>
  <c r="H158" i="140"/>
  <c r="H108" i="142"/>
  <c r="H117" i="142"/>
  <c r="L111" i="145"/>
  <c r="G108" i="142"/>
  <c r="G98" i="142"/>
  <c r="F150" i="139"/>
  <c r="H150" i="139"/>
  <c r="G140" i="139"/>
  <c r="H102" i="145"/>
  <c r="F108" i="142"/>
  <c r="F97" i="146"/>
  <c r="N103" i="142"/>
  <c r="G102" i="143"/>
  <c r="N102" i="146"/>
  <c r="N95" i="147"/>
  <c r="N90" i="147"/>
  <c r="K109" i="147"/>
  <c r="N111" i="145"/>
  <c r="I117" i="142"/>
  <c r="G92" i="146"/>
  <c r="I109" i="147"/>
  <c r="K93" i="142"/>
  <c r="K125" i="142"/>
  <c r="F119" i="145"/>
  <c r="F79" i="145"/>
  <c r="F78" i="145"/>
  <c r="N109" i="147"/>
  <c r="N102" i="145"/>
  <c r="H102" i="146"/>
  <c r="N148" i="140"/>
  <c r="F145" i="139"/>
  <c r="N117" i="142"/>
  <c r="H98" i="142"/>
  <c r="H103" i="142"/>
  <c r="H109" i="147"/>
  <c r="I111" i="145"/>
  <c r="M117" i="142"/>
  <c r="G103" i="142"/>
  <c r="H102" i="144"/>
  <c r="F140" i="139"/>
  <c r="H140" i="139"/>
  <c r="G150" i="139"/>
  <c r="I97" i="146"/>
  <c r="J102" i="145"/>
  <c r="J102" i="146"/>
  <c r="J98" i="142"/>
  <c r="I90" i="147"/>
  <c r="J108" i="142"/>
  <c r="J92" i="145"/>
  <c r="I97" i="145"/>
  <c r="J103" i="142"/>
  <c r="I92" i="144"/>
  <c r="I173" i="139"/>
  <c r="N144" i="141"/>
  <c r="J121" i="140"/>
  <c r="I144" i="141"/>
  <c r="H121" i="140"/>
  <c r="J121" i="141"/>
  <c r="J133" i="141"/>
  <c r="F126" i="157"/>
  <c r="F189" i="157"/>
  <c r="F124" i="157"/>
  <c r="F187" i="157"/>
  <c r="F125" i="157"/>
  <c r="F188" i="157"/>
  <c r="F123" i="157"/>
  <c r="F186" i="157"/>
  <c r="F120" i="157"/>
  <c r="K484" i="41"/>
  <c r="G508" i="41"/>
  <c r="I484" i="41"/>
  <c r="K500" i="41"/>
  <c r="L79" i="145"/>
  <c r="G484" i="41"/>
  <c r="G492" i="41"/>
  <c r="M492" i="41"/>
  <c r="I492" i="41"/>
  <c r="I508" i="41"/>
  <c r="K508" i="41"/>
  <c r="M508" i="41"/>
  <c r="I500" i="41"/>
  <c r="G500" i="41"/>
  <c r="M500" i="41"/>
  <c r="K492" i="41"/>
  <c r="H508" i="41"/>
  <c r="K553" i="41"/>
  <c r="M484" i="41"/>
  <c r="I136" i="137"/>
  <c r="F562" i="41"/>
  <c r="M553" i="41"/>
  <c r="F533" i="113"/>
  <c r="H553" i="41"/>
  <c r="H500" i="41"/>
  <c r="H492" i="41"/>
  <c r="L484" i="41"/>
  <c r="H484" i="41"/>
  <c r="L500" i="41"/>
  <c r="F452" i="41"/>
  <c r="L492" i="41"/>
  <c r="K358" i="40"/>
  <c r="K359" i="40"/>
  <c r="K357" i="40"/>
  <c r="F734" i="40"/>
  <c r="K279" i="39"/>
  <c r="N279" i="39"/>
  <c r="J537" i="40"/>
  <c r="K278" i="39"/>
  <c r="K277" i="39"/>
  <c r="K260" i="39"/>
  <c r="K258" i="39"/>
  <c r="K256" i="39"/>
  <c r="K276" i="39"/>
  <c r="K257" i="39"/>
  <c r="K259" i="39"/>
  <c r="N260" i="39"/>
  <c r="N258" i="39"/>
  <c r="N257" i="39"/>
  <c r="N256" i="39"/>
  <c r="N276" i="39"/>
  <c r="N259" i="39"/>
  <c r="I256" i="39"/>
  <c r="I276" i="39"/>
  <c r="N278" i="39"/>
  <c r="N277" i="39"/>
  <c r="J108" i="137"/>
  <c r="K98" i="137"/>
  <c r="K104" i="137"/>
  <c r="L71" i="137"/>
  <c r="K161" i="62"/>
  <c r="N457" i="41"/>
  <c r="N460" i="41"/>
  <c r="N443" i="41"/>
  <c r="L570" i="41"/>
  <c r="L567" i="41"/>
  <c r="L568" i="41"/>
  <c r="L569" i="41"/>
  <c r="G198" i="48"/>
  <c r="M460" i="41"/>
  <c r="N580" i="41"/>
  <c r="G192" i="48"/>
  <c r="F161" i="62"/>
  <c r="G567" i="41"/>
  <c r="G568" i="41"/>
  <c r="G570" i="41"/>
  <c r="G569" i="41"/>
  <c r="I569" i="41"/>
  <c r="I567" i="41"/>
  <c r="I568" i="41"/>
  <c r="I570" i="41"/>
  <c r="J457" i="41"/>
  <c r="J460" i="41"/>
  <c r="J443" i="41"/>
  <c r="H567" i="41"/>
  <c r="H568" i="41"/>
  <c r="H569" i="41"/>
  <c r="H570" i="41"/>
  <c r="F508" i="41"/>
  <c r="F500" i="41"/>
  <c r="F492" i="41"/>
  <c r="F570" i="41"/>
  <c r="F569" i="41"/>
  <c r="F568" i="41"/>
  <c r="F443" i="41"/>
  <c r="F457" i="41"/>
  <c r="N568" i="41"/>
  <c r="N567" i="41"/>
  <c r="N569" i="41"/>
  <c r="N570" i="41"/>
  <c r="L457" i="41"/>
  <c r="L460" i="41"/>
  <c r="L443" i="41"/>
  <c r="G580" i="41"/>
  <c r="M568" i="41"/>
  <c r="M570" i="41"/>
  <c r="M567" i="41"/>
  <c r="M569" i="41"/>
  <c r="G204" i="48"/>
  <c r="K570" i="41"/>
  <c r="K569" i="41"/>
  <c r="K568" i="41"/>
  <c r="K567" i="41"/>
  <c r="J500" i="41"/>
  <c r="J508" i="41"/>
  <c r="J492" i="41"/>
  <c r="J570" i="41"/>
  <c r="J568" i="41"/>
  <c r="J569" i="41"/>
  <c r="J567" i="41"/>
  <c r="F580" i="41"/>
  <c r="H580" i="41"/>
  <c r="F714" i="40"/>
  <c r="H734" i="40"/>
  <c r="K146" i="49"/>
  <c r="K144" i="49"/>
  <c r="J160" i="49"/>
  <c r="J153" i="49"/>
  <c r="J162" i="49"/>
  <c r="J155" i="49"/>
  <c r="J83" i="31"/>
  <c r="M78" i="145"/>
  <c r="I199" i="49"/>
  <c r="I89" i="31"/>
  <c r="J89" i="31"/>
  <c r="G734" i="40"/>
  <c r="H754" i="40"/>
  <c r="K257" i="113"/>
  <c r="J251" i="113"/>
  <c r="H464" i="113"/>
  <c r="L46" i="116"/>
  <c r="M47" i="116"/>
  <c r="H714" i="40"/>
  <c r="G562" i="41"/>
  <c r="G553" i="41"/>
  <c r="I553" i="41"/>
  <c r="I91" i="31"/>
  <c r="I562" i="41"/>
  <c r="F754" i="40"/>
  <c r="L90" i="31"/>
  <c r="G714" i="40"/>
  <c r="L52" i="116"/>
  <c r="M53" i="116"/>
  <c r="G365" i="112"/>
  <c r="G754" i="40"/>
  <c r="N285" i="113"/>
  <c r="M533" i="113"/>
  <c r="L152" i="110"/>
  <c r="M171" i="110"/>
  <c r="L211" i="110"/>
  <c r="M230" i="110"/>
  <c r="G533" i="113"/>
  <c r="BB244" i="59"/>
  <c r="J21" i="135"/>
  <c r="BC16" i="59"/>
  <c r="I259" i="39"/>
  <c r="M162" i="110"/>
  <c r="I257" i="39"/>
  <c r="I260" i="39"/>
  <c r="F277" i="39"/>
  <c r="L121" i="140"/>
  <c r="H125" i="157"/>
  <c r="H188" i="157"/>
  <c r="I277" i="39"/>
  <c r="BC244" i="59"/>
  <c r="AT45" i="70"/>
  <c r="BA59" i="70"/>
  <c r="K533" i="113"/>
  <c r="J145" i="139"/>
  <c r="H170" i="140"/>
  <c r="H117" i="139"/>
  <c r="I249" i="39"/>
  <c r="I279" i="39"/>
  <c r="AY45" i="70"/>
  <c r="BC59" i="70"/>
  <c r="AH45" i="70"/>
  <c r="AH59" i="70"/>
  <c r="J150" i="139"/>
  <c r="I271" i="39"/>
  <c r="I250" i="39"/>
  <c r="I273" i="39"/>
  <c r="I266" i="39"/>
  <c r="I265" i="39"/>
  <c r="I272" i="39"/>
  <c r="I251" i="39"/>
  <c r="I274" i="39"/>
  <c r="I253" i="39"/>
  <c r="H122" i="139"/>
  <c r="H180" i="139"/>
  <c r="H120" i="139"/>
  <c r="H178" i="139"/>
  <c r="G462" i="113"/>
  <c r="G475" i="113"/>
  <c r="G476" i="113"/>
  <c r="L533" i="113"/>
  <c r="G463" i="113"/>
  <c r="H121" i="139"/>
  <c r="H179" i="139"/>
  <c r="H173" i="139"/>
  <c r="L181" i="140"/>
  <c r="J451" i="112"/>
  <c r="J533" i="113"/>
  <c r="I533" i="113"/>
  <c r="J181" i="140"/>
  <c r="H124" i="157"/>
  <c r="H187" i="157"/>
  <c r="H120" i="157"/>
  <c r="H126" i="157"/>
  <c r="H189" i="157"/>
  <c r="I97" i="144"/>
  <c r="L116" i="139"/>
  <c r="CW59" i="70"/>
  <c r="F123" i="139"/>
  <c r="F181" i="139"/>
  <c r="F117" i="139"/>
  <c r="F121" i="139"/>
  <c r="F179" i="139"/>
  <c r="F120" i="139"/>
  <c r="F178" i="139"/>
  <c r="F122" i="139"/>
  <c r="F180" i="139"/>
  <c r="F162" i="139"/>
  <c r="K116" i="139"/>
  <c r="K121" i="139"/>
  <c r="K179" i="139"/>
  <c r="J120" i="157"/>
  <c r="J123" i="157"/>
  <c r="J186" i="157"/>
  <c r="J126" i="157"/>
  <c r="J189" i="157"/>
  <c r="J125" i="157"/>
  <c r="J188" i="157"/>
  <c r="G158" i="140"/>
  <c r="G148" i="140"/>
  <c r="F158" i="140"/>
  <c r="I148" i="140"/>
  <c r="I102" i="143"/>
  <c r="I92" i="146"/>
  <c r="I158" i="140"/>
  <c r="I97" i="143"/>
  <c r="I92" i="143"/>
  <c r="F111" i="145"/>
  <c r="H181" i="140"/>
  <c r="F100" i="147"/>
  <c r="F148" i="140"/>
  <c r="K117" i="142"/>
  <c r="H95" i="147"/>
  <c r="J116" i="139"/>
  <c r="F102" i="145"/>
  <c r="F92" i="145"/>
  <c r="N145" i="139"/>
  <c r="G92" i="145"/>
  <c r="G90" i="147"/>
  <c r="N116" i="139"/>
  <c r="N150" i="139"/>
  <c r="M116" i="139"/>
  <c r="F95" i="147"/>
  <c r="F90" i="147"/>
  <c r="F109" i="147"/>
  <c r="F97" i="145"/>
  <c r="G97" i="145"/>
  <c r="G102" i="145"/>
  <c r="I102" i="144"/>
  <c r="G95" i="147"/>
  <c r="G100" i="147"/>
  <c r="L144" i="141"/>
  <c r="N140" i="139"/>
  <c r="J92" i="144"/>
  <c r="K145" i="139"/>
  <c r="K103" i="142"/>
  <c r="J97" i="145"/>
  <c r="K150" i="139"/>
  <c r="K92" i="145"/>
  <c r="K108" i="142"/>
  <c r="J90" i="147"/>
  <c r="K98" i="142"/>
  <c r="K102" i="146"/>
  <c r="K102" i="145"/>
  <c r="K140" i="139"/>
  <c r="J97" i="146"/>
  <c r="G181" i="140"/>
  <c r="G121" i="140"/>
  <c r="G170" i="140"/>
  <c r="M121" i="140"/>
  <c r="M170" i="140"/>
  <c r="I181" i="140"/>
  <c r="I121" i="140"/>
  <c r="I170" i="140"/>
  <c r="N153" i="140"/>
  <c r="K181" i="140"/>
  <c r="N121" i="140"/>
  <c r="N170" i="140"/>
  <c r="I133" i="141"/>
  <c r="J127" i="140"/>
  <c r="J188" i="140"/>
  <c r="J128" i="140"/>
  <c r="K189" i="140"/>
  <c r="J122" i="140"/>
  <c r="J125" i="140"/>
  <c r="J186" i="140"/>
  <c r="J126" i="140"/>
  <c r="J187" i="140"/>
  <c r="N127" i="141"/>
  <c r="M181" i="140"/>
  <c r="L125" i="140"/>
  <c r="L186" i="140"/>
  <c r="L126" i="140"/>
  <c r="L187" i="140"/>
  <c r="L127" i="140"/>
  <c r="L188" i="140"/>
  <c r="L128" i="140"/>
  <c r="M189" i="140"/>
  <c r="L122" i="140"/>
  <c r="K121" i="140"/>
  <c r="K170" i="140"/>
  <c r="H127" i="140"/>
  <c r="H188" i="140"/>
  <c r="H128" i="140"/>
  <c r="I189" i="140"/>
  <c r="H122" i="140"/>
  <c r="H125" i="140"/>
  <c r="H186" i="140"/>
  <c r="H126" i="140"/>
  <c r="H187" i="140"/>
  <c r="I121" i="141"/>
  <c r="N121" i="141"/>
  <c r="N133" i="141"/>
  <c r="M79" i="145"/>
  <c r="G694" i="40"/>
  <c r="F460" i="41"/>
  <c r="L358" i="40"/>
  <c r="L359" i="40"/>
  <c r="L357" i="40"/>
  <c r="H694" i="40"/>
  <c r="K537" i="40"/>
  <c r="J125" i="137"/>
  <c r="J157" i="137"/>
  <c r="J120" i="137"/>
  <c r="J156" i="137"/>
  <c r="J115" i="137"/>
  <c r="J155" i="137"/>
  <c r="J136" i="137"/>
  <c r="L98" i="137"/>
  <c r="L104" i="137"/>
  <c r="M71" i="137"/>
  <c r="K108" i="137"/>
  <c r="F553" i="41"/>
  <c r="H192" i="48"/>
  <c r="M571" i="41"/>
  <c r="N571" i="41"/>
  <c r="I571" i="41"/>
  <c r="H204" i="48"/>
  <c r="L553" i="41"/>
  <c r="N484" i="41"/>
  <c r="J553" i="41"/>
  <c r="J484" i="41"/>
  <c r="K571" i="41"/>
  <c r="I192" i="48"/>
  <c r="I198" i="48"/>
  <c r="N553" i="41"/>
  <c r="F571" i="41"/>
  <c r="F484" i="41"/>
  <c r="H571" i="41"/>
  <c r="G571" i="41"/>
  <c r="I204" i="48"/>
  <c r="L571" i="41"/>
  <c r="N500" i="41"/>
  <c r="N492" i="41"/>
  <c r="J571" i="41"/>
  <c r="H198" i="48"/>
  <c r="K155" i="49"/>
  <c r="K162" i="49"/>
  <c r="L146" i="49"/>
  <c r="L144" i="49"/>
  <c r="K153" i="49"/>
  <c r="K160" i="49"/>
  <c r="K83" i="31"/>
  <c r="N78" i="145"/>
  <c r="K251" i="113"/>
  <c r="I464" i="113"/>
  <c r="L257" i="113"/>
  <c r="M46" i="116"/>
  <c r="N47" i="116"/>
  <c r="N46" i="116"/>
  <c r="K89" i="31"/>
  <c r="M90" i="31"/>
  <c r="J91" i="31"/>
  <c r="M52" i="116"/>
  <c r="N53" i="116"/>
  <c r="N52" i="116"/>
  <c r="H365" i="112"/>
  <c r="M211" i="110"/>
  <c r="N230" i="110"/>
  <c r="N211" i="110"/>
  <c r="H533" i="113"/>
  <c r="M152" i="110"/>
  <c r="N171" i="110"/>
  <c r="N152" i="110"/>
  <c r="M143" i="110"/>
  <c r="N162" i="110"/>
  <c r="N143" i="110"/>
  <c r="K21" i="135"/>
  <c r="BD16" i="59"/>
  <c r="N181" i="140"/>
  <c r="L162" i="139"/>
  <c r="BD244" i="59"/>
  <c r="K122" i="139"/>
  <c r="K180" i="139"/>
  <c r="J199" i="49"/>
  <c r="L173" i="139"/>
  <c r="L117" i="139"/>
  <c r="L122" i="139"/>
  <c r="L180" i="139"/>
  <c r="K144" i="141"/>
  <c r="L120" i="139"/>
  <c r="L178" i="139"/>
  <c r="L121" i="139"/>
  <c r="L179" i="139"/>
  <c r="K451" i="112"/>
  <c r="L123" i="139"/>
  <c r="L181" i="139"/>
  <c r="K117" i="139"/>
  <c r="K123" i="139"/>
  <c r="K181" i="139"/>
  <c r="J97" i="144"/>
  <c r="K173" i="139"/>
  <c r="K120" i="139"/>
  <c r="K178" i="139"/>
  <c r="J102" i="144"/>
  <c r="BE59" i="70"/>
  <c r="K162" i="139"/>
  <c r="J158" i="140"/>
  <c r="J92" i="146"/>
  <c r="J102" i="143"/>
  <c r="J148" i="140"/>
  <c r="J92" i="143"/>
  <c r="J97" i="143"/>
  <c r="BE45" i="70"/>
  <c r="I95" i="147"/>
  <c r="M122" i="139"/>
  <c r="M180" i="139"/>
  <c r="M117" i="139"/>
  <c r="M121" i="139"/>
  <c r="M179" i="139"/>
  <c r="M123" i="139"/>
  <c r="M181" i="139"/>
  <c r="M120" i="139"/>
  <c r="M178" i="139"/>
  <c r="M173" i="139"/>
  <c r="M144" i="141"/>
  <c r="N162" i="139"/>
  <c r="N173" i="139"/>
  <c r="J162" i="139"/>
  <c r="J123" i="139"/>
  <c r="J181" i="139"/>
  <c r="J120" i="139"/>
  <c r="J178" i="139"/>
  <c r="J122" i="139"/>
  <c r="J180" i="139"/>
  <c r="J117" i="139"/>
  <c r="J121" i="139"/>
  <c r="J179" i="139"/>
  <c r="H144" i="141"/>
  <c r="I100" i="147"/>
  <c r="M162" i="139"/>
  <c r="N121" i="139"/>
  <c r="N179" i="139"/>
  <c r="N123" i="139"/>
  <c r="N181" i="139"/>
  <c r="N120" i="139"/>
  <c r="N178" i="139"/>
  <c r="N122" i="139"/>
  <c r="N180" i="139"/>
  <c r="N117" i="139"/>
  <c r="G144" i="141"/>
  <c r="G121" i="141"/>
  <c r="J173" i="139"/>
  <c r="K92" i="144"/>
  <c r="M140" i="139"/>
  <c r="M102" i="145"/>
  <c r="M102" i="146"/>
  <c r="M98" i="142"/>
  <c r="M108" i="142"/>
  <c r="M92" i="145"/>
  <c r="M150" i="139"/>
  <c r="M103" i="142"/>
  <c r="L145" i="139"/>
  <c r="K97" i="146"/>
  <c r="L140" i="139"/>
  <c r="L102" i="145"/>
  <c r="L102" i="146"/>
  <c r="L121" i="141"/>
  <c r="L133" i="141"/>
  <c r="L98" i="142"/>
  <c r="K90" i="147"/>
  <c r="L108" i="142"/>
  <c r="L92" i="145"/>
  <c r="L150" i="139"/>
  <c r="K97" i="145"/>
  <c r="L103" i="142"/>
  <c r="I126" i="140"/>
  <c r="I187" i="140"/>
  <c r="I127" i="140"/>
  <c r="I188" i="140"/>
  <c r="I128" i="140"/>
  <c r="J189" i="140"/>
  <c r="I122" i="140"/>
  <c r="I125" i="140"/>
  <c r="I186" i="140"/>
  <c r="K126" i="140"/>
  <c r="K187" i="140"/>
  <c r="K128" i="140"/>
  <c r="L189" i="140"/>
  <c r="K122" i="140"/>
  <c r="K125" i="140"/>
  <c r="K186" i="140"/>
  <c r="K127" i="140"/>
  <c r="K188" i="140"/>
  <c r="N127" i="140"/>
  <c r="N188" i="140"/>
  <c r="N128" i="140"/>
  <c r="O189" i="140"/>
  <c r="N122" i="140"/>
  <c r="N125" i="140"/>
  <c r="N186" i="140"/>
  <c r="N126" i="140"/>
  <c r="N187" i="140"/>
  <c r="M128" i="140"/>
  <c r="N189" i="140"/>
  <c r="M122" i="140"/>
  <c r="M125" i="140"/>
  <c r="M186" i="140"/>
  <c r="M126" i="140"/>
  <c r="M187" i="140"/>
  <c r="M127" i="140"/>
  <c r="M188" i="140"/>
  <c r="G126" i="140"/>
  <c r="G187" i="140"/>
  <c r="G127" i="140"/>
  <c r="G188" i="140"/>
  <c r="G128" i="140"/>
  <c r="H189" i="140"/>
  <c r="G122" i="140"/>
  <c r="G125" i="140"/>
  <c r="G186" i="140"/>
  <c r="N79" i="145"/>
  <c r="CQ9" i="123"/>
  <c r="M359" i="40"/>
  <c r="M358" i="40"/>
  <c r="M357" i="40"/>
  <c r="K125" i="137"/>
  <c r="K157" i="137"/>
  <c r="K120" i="137"/>
  <c r="K156" i="137"/>
  <c r="K115" i="137"/>
  <c r="K155" i="137"/>
  <c r="L108" i="137"/>
  <c r="N71" i="137"/>
  <c r="M98" i="137"/>
  <c r="M104" i="137"/>
  <c r="N508" i="41"/>
  <c r="M146" i="49"/>
  <c r="M144" i="49"/>
  <c r="L162" i="49"/>
  <c r="L155" i="49"/>
  <c r="L160" i="49"/>
  <c r="L153" i="49"/>
  <c r="F447" i="39"/>
  <c r="L83" i="31"/>
  <c r="M257" i="113"/>
  <c r="J464" i="113"/>
  <c r="L251" i="113"/>
  <c r="K91" i="31"/>
  <c r="L89" i="31"/>
  <c r="I365" i="112"/>
  <c r="H476" i="113"/>
  <c r="H463" i="113"/>
  <c r="BF246" i="59"/>
  <c r="BC246" i="59"/>
  <c r="BA246" i="59"/>
  <c r="L21" i="135"/>
  <c r="BE16" i="59"/>
  <c r="K121" i="141"/>
  <c r="K199" i="49"/>
  <c r="K133" i="141"/>
  <c r="H475" i="113"/>
  <c r="H462" i="113"/>
  <c r="L451" i="112"/>
  <c r="K97" i="144"/>
  <c r="M133" i="141"/>
  <c r="M121" i="141"/>
  <c r="L199" i="49"/>
  <c r="K148" i="140"/>
  <c r="K102" i="143"/>
  <c r="K92" i="146"/>
  <c r="K158" i="140"/>
  <c r="K97" i="143"/>
  <c r="K92" i="143"/>
  <c r="H121" i="141"/>
  <c r="H133" i="141"/>
  <c r="G133" i="141"/>
  <c r="K102" i="144"/>
  <c r="J95" i="147"/>
  <c r="J100" i="147"/>
  <c r="M92" i="144"/>
  <c r="M97" i="145"/>
  <c r="M90" i="147"/>
  <c r="M97" i="146"/>
  <c r="M145" i="139"/>
  <c r="L92" i="144"/>
  <c r="L97" i="145"/>
  <c r="L90" i="147"/>
  <c r="L97" i="146"/>
  <c r="CP9" i="123"/>
  <c r="CD9" i="123"/>
  <c r="CC9" i="123"/>
  <c r="K136" i="137"/>
  <c r="L136" i="137"/>
  <c r="I714" i="40"/>
  <c r="C16" i="35"/>
  <c r="L537" i="40"/>
  <c r="I734" i="40"/>
  <c r="I754" i="40"/>
  <c r="L125" i="137"/>
  <c r="L157" i="137"/>
  <c r="L120" i="137"/>
  <c r="L156" i="137"/>
  <c r="L115" i="137"/>
  <c r="L155" i="137"/>
  <c r="M108" i="137"/>
  <c r="N98" i="137"/>
  <c r="N104" i="137"/>
  <c r="N146" i="49"/>
  <c r="N144" i="49"/>
  <c r="M153" i="49"/>
  <c r="M160" i="49"/>
  <c r="M155" i="49"/>
  <c r="M162" i="49"/>
  <c r="M83" i="31"/>
  <c r="N152" i="49"/>
  <c r="N257" i="113"/>
  <c r="M251" i="113"/>
  <c r="K464" i="113"/>
  <c r="L91" i="31"/>
  <c r="M89" i="31"/>
  <c r="J365" i="112"/>
  <c r="BE244" i="59"/>
  <c r="BF16" i="59"/>
  <c r="M21" i="135"/>
  <c r="M451" i="112"/>
  <c r="L97" i="144"/>
  <c r="M158" i="140"/>
  <c r="M92" i="146"/>
  <c r="M102" i="143"/>
  <c r="M148" i="140"/>
  <c r="M97" i="144"/>
  <c r="L158" i="140"/>
  <c r="L92" i="146"/>
  <c r="L102" i="143"/>
  <c r="L148" i="140"/>
  <c r="M92" i="143"/>
  <c r="M97" i="143"/>
  <c r="L92" i="143"/>
  <c r="L97" i="143"/>
  <c r="L102" i="144"/>
  <c r="M102" i="144"/>
  <c r="K100" i="147"/>
  <c r="K95" i="147"/>
  <c r="K447" i="39"/>
  <c r="N359" i="40"/>
  <c r="N357" i="40"/>
  <c r="N358" i="40"/>
  <c r="K754" i="40"/>
  <c r="K714" i="40"/>
  <c r="K734" i="40"/>
  <c r="I447" i="39"/>
  <c r="N447" i="39"/>
  <c r="M537" i="40"/>
  <c r="J754" i="40"/>
  <c r="J734" i="40"/>
  <c r="I694" i="40"/>
  <c r="J714" i="40"/>
  <c r="M125" i="137"/>
  <c r="M157" i="137"/>
  <c r="M120" i="137"/>
  <c r="M156" i="137"/>
  <c r="M115" i="137"/>
  <c r="M155" i="137"/>
  <c r="N108" i="137"/>
  <c r="N154" i="49"/>
  <c r="N160" i="49"/>
  <c r="N153" i="49"/>
  <c r="N162" i="49"/>
  <c r="N155" i="49"/>
  <c r="M199" i="49"/>
  <c r="N251" i="113"/>
  <c r="M464" i="113"/>
  <c r="L464" i="113"/>
  <c r="M91" i="31"/>
  <c r="K365" i="112"/>
  <c r="I476" i="113"/>
  <c r="I463" i="113"/>
  <c r="BF244" i="59"/>
  <c r="I462" i="113"/>
  <c r="I475" i="113"/>
  <c r="N451" i="112"/>
  <c r="F153" i="140"/>
  <c r="M95" i="147"/>
  <c r="M100" i="147"/>
  <c r="F170" i="140"/>
  <c r="F121" i="140"/>
  <c r="L95" i="147"/>
  <c r="L100" i="147"/>
  <c r="AT10" i="123"/>
  <c r="AS10" i="123"/>
  <c r="AS9" i="123"/>
  <c r="AT9" i="123"/>
  <c r="CR9" i="123"/>
  <c r="M136" i="137"/>
  <c r="N136" i="137"/>
  <c r="L714" i="40"/>
  <c r="N537" i="40"/>
  <c r="K694" i="40"/>
  <c r="J694" i="40"/>
  <c r="N125" i="137"/>
  <c r="N157" i="137"/>
  <c r="N120" i="137"/>
  <c r="N156" i="137"/>
  <c r="N115" i="137"/>
  <c r="N155" i="137"/>
  <c r="N199" i="49"/>
  <c r="L365" i="112"/>
  <c r="CQ11" i="105"/>
  <c r="CP11" i="105"/>
  <c r="AS11" i="105"/>
  <c r="AT11" i="105"/>
  <c r="CC11" i="105"/>
  <c r="CD11" i="105"/>
  <c r="G153" i="140"/>
  <c r="F126" i="140"/>
  <c r="F128" i="140"/>
  <c r="F125" i="140"/>
  <c r="F127" i="140"/>
  <c r="F122" i="140"/>
  <c r="F181" i="140"/>
  <c r="L734" i="40"/>
  <c r="L754" i="40"/>
  <c r="M714" i="40"/>
  <c r="M754" i="40"/>
  <c r="M734" i="40"/>
  <c r="M365" i="112"/>
  <c r="J476" i="113"/>
  <c r="J463" i="113"/>
  <c r="J475" i="113"/>
  <c r="J462" i="113"/>
  <c r="CR11" i="105"/>
  <c r="AT11" i="123"/>
  <c r="AS11" i="123"/>
  <c r="CQ11" i="123"/>
  <c r="CP11" i="123"/>
  <c r="CC11" i="123"/>
  <c r="CD11" i="123"/>
  <c r="H153" i="140"/>
  <c r="F186" i="140"/>
  <c r="F187" i="140"/>
  <c r="F188" i="140"/>
  <c r="G189" i="140"/>
  <c r="F189" i="140"/>
  <c r="CP10" i="123"/>
  <c r="CQ10" i="123"/>
  <c r="L694" i="40"/>
  <c r="M694" i="40"/>
  <c r="N714" i="40"/>
  <c r="N365" i="112"/>
  <c r="CR11" i="123"/>
  <c r="I153" i="140"/>
  <c r="CC10" i="123"/>
  <c r="CD10" i="123"/>
  <c r="CR10" i="123"/>
  <c r="N734" i="40"/>
  <c r="N754" i="40"/>
  <c r="K463" i="113"/>
  <c r="K476" i="113"/>
  <c r="K475" i="113"/>
  <c r="K462" i="113"/>
  <c r="J153" i="140"/>
  <c r="N694" i="40"/>
  <c r="K153" i="140"/>
  <c r="L463" i="113"/>
  <c r="L476" i="113"/>
  <c r="L462" i="113"/>
  <c r="L475" i="113"/>
  <c r="L153" i="140"/>
  <c r="M153" i="140"/>
  <c r="M463" i="113"/>
  <c r="M476" i="113"/>
  <c r="M462" i="113"/>
  <c r="M475" i="113"/>
  <c r="N463" i="113"/>
  <c r="N476" i="113"/>
  <c r="N462" i="113"/>
  <c r="N475" i="113"/>
  <c r="AU79" i="127"/>
  <c r="AU98" i="127"/>
  <c r="Q79" i="127"/>
  <c r="Q98" i="127"/>
  <c r="AP79" i="127"/>
  <c r="AP98" i="127"/>
  <c r="AG79" i="127"/>
  <c r="AG98" i="127"/>
  <c r="J79" i="127"/>
  <c r="J98" i="127"/>
  <c r="AS79" i="127"/>
  <c r="AS98" i="127"/>
  <c r="G79" i="127"/>
  <c r="G98" i="127"/>
  <c r="AC79" i="127"/>
  <c r="AC98" i="127"/>
  <c r="T79" i="127"/>
  <c r="T98" i="127"/>
  <c r="I79" i="127"/>
  <c r="I98" i="127"/>
  <c r="F79" i="127"/>
  <c r="F98" i="127"/>
  <c r="V79" i="127"/>
  <c r="V98" i="127"/>
  <c r="AH79" i="127"/>
  <c r="AH98" i="127"/>
  <c r="AF79" i="127"/>
  <c r="AF98" i="127"/>
  <c r="S79" i="127"/>
  <c r="S98" i="127"/>
  <c r="W79" i="127"/>
  <c r="W98" i="127"/>
  <c r="K79" i="127"/>
  <c r="K98" i="127"/>
  <c r="AE79" i="127"/>
  <c r="AE98" i="127"/>
  <c r="AB79" i="127"/>
  <c r="AB98" i="127"/>
  <c r="AT79" i="127"/>
  <c r="AT98" i="127"/>
  <c r="H79" i="127"/>
  <c r="H98" i="127"/>
  <c r="M79" i="127"/>
  <c r="M98" i="127"/>
  <c r="AQ79" i="127"/>
  <c r="AQ98" i="127"/>
  <c r="X79" i="127"/>
  <c r="X98" i="127"/>
  <c r="U79" i="127"/>
  <c r="U98" i="127"/>
  <c r="R79" i="127"/>
  <c r="R98" i="127"/>
  <c r="AD79" i="127"/>
  <c r="AD98" i="127"/>
  <c r="AO79" i="127"/>
  <c r="AO98" i="127"/>
  <c r="AA79" i="127"/>
  <c r="AA98" i="127"/>
  <c r="AM79" i="127"/>
  <c r="AM98" i="127"/>
  <c r="P79" i="127"/>
  <c r="P98" i="127"/>
  <c r="N79" i="127"/>
  <c r="N98" i="127"/>
  <c r="AR79" i="127"/>
  <c r="AR98" i="127"/>
  <c r="AL79" i="127"/>
  <c r="AL98" i="127"/>
  <c r="AI79" i="127"/>
  <c r="AI98" i="127"/>
  <c r="AJ79" i="127"/>
  <c r="AJ98" i="127"/>
  <c r="Y79" i="127"/>
  <c r="Y98" i="127"/>
  <c r="L79" i="127"/>
  <c r="L98" i="127"/>
  <c r="AN79" i="127"/>
  <c r="AN98" i="127"/>
  <c r="AV73" i="70"/>
  <c r="L85" i="133"/>
  <c r="AO62" i="127"/>
  <c r="AH68" i="127"/>
  <c r="BA83" i="70"/>
  <c r="AH50" i="127"/>
  <c r="V51" i="127"/>
  <c r="BB34" i="70"/>
  <c r="AT70" i="127"/>
  <c r="P58" i="127"/>
  <c r="K16" i="133"/>
  <c r="BB29" i="59"/>
  <c r="AN68" i="127"/>
  <c r="AC63" i="127"/>
  <c r="L75" i="133"/>
  <c r="AQ48" i="127"/>
  <c r="H14" i="133"/>
  <c r="AX299" i="59"/>
  <c r="BC302" i="59"/>
  <c r="AF36" i="127"/>
  <c r="AH40" i="127"/>
  <c r="M69" i="127"/>
  <c r="P63" i="127"/>
  <c r="AP64" i="127"/>
  <c r="AN45" i="127"/>
  <c r="R83" i="70"/>
  <c r="BE304" i="59"/>
  <c r="BB19" i="70"/>
  <c r="BF148" i="59"/>
  <c r="AR48" i="127"/>
  <c r="AB63" i="127"/>
  <c r="H53" i="127"/>
  <c r="AW57" i="70"/>
  <c r="AA51" i="127"/>
  <c r="X69" i="127"/>
  <c r="L57" i="70"/>
  <c r="AV46" i="70"/>
  <c r="AQ70" i="127"/>
  <c r="Y70" i="127"/>
  <c r="K49" i="127"/>
  <c r="T68" i="127"/>
  <c r="G6" i="131"/>
  <c r="AX34" i="70"/>
  <c r="M11" i="131"/>
  <c r="G14" i="133"/>
  <c r="AL60" i="127"/>
  <c r="AQ39" i="127"/>
  <c r="V62" i="127"/>
  <c r="AZ24" i="59"/>
  <c r="BA24" i="59"/>
  <c r="K25" i="133"/>
  <c r="AC48" i="127"/>
  <c r="AU48" i="127"/>
  <c r="M45" i="127"/>
  <c r="BC33" i="59"/>
  <c r="M15" i="131"/>
  <c r="AU15" i="70"/>
  <c r="BA14" i="59"/>
  <c r="AJ35" i="70"/>
  <c r="AL19" i="70"/>
  <c r="H48" i="127"/>
  <c r="R63" i="127"/>
  <c r="M43" i="70"/>
  <c r="G31" i="135"/>
  <c r="AU49" i="70"/>
  <c r="AB67" i="127"/>
  <c r="AM63" i="127"/>
  <c r="F75" i="133"/>
  <c r="AJ67" i="127"/>
  <c r="L51" i="127"/>
  <c r="BE220" i="59"/>
  <c r="F32" i="135"/>
  <c r="BB235" i="59"/>
  <c r="K8" i="131"/>
  <c r="J14" i="131"/>
  <c r="BB149" i="59"/>
  <c r="D15" i="131"/>
  <c r="BF10" i="59"/>
  <c r="J15" i="133"/>
  <c r="AB36" i="127"/>
  <c r="X53" i="127"/>
  <c r="M21" i="133"/>
  <c r="BA221" i="59"/>
  <c r="BA39" i="70"/>
  <c r="BC147" i="59"/>
  <c r="Q52" i="127"/>
  <c r="AU43" i="70"/>
  <c r="AS36" i="127"/>
  <c r="AQ62" i="127"/>
  <c r="W63" i="127"/>
  <c r="BB11" i="70"/>
  <c r="AX304" i="59"/>
  <c r="Y63" i="127"/>
  <c r="AA44" i="127"/>
  <c r="S45" i="127"/>
  <c r="P61" i="127"/>
  <c r="AC70" i="127"/>
  <c r="AT50" i="127"/>
  <c r="T36" i="127"/>
  <c r="AO69" i="127"/>
  <c r="AP34" i="127"/>
  <c r="BA71" i="70"/>
  <c r="BD24" i="59"/>
  <c r="H19" i="133"/>
  <c r="H45" i="127"/>
  <c r="AM11" i="70"/>
  <c r="U45" i="127"/>
  <c r="F53" i="127"/>
  <c r="L43" i="70"/>
  <c r="BE40" i="59"/>
  <c r="BC170" i="59"/>
  <c r="AL15" i="70"/>
  <c r="BC300" i="59"/>
  <c r="AH53" i="127"/>
  <c r="H14" i="131"/>
  <c r="S49" i="127"/>
  <c r="K67" i="127"/>
  <c r="D10" i="131"/>
  <c r="AB15" i="70"/>
  <c r="AC49" i="127"/>
  <c r="AX73" i="70"/>
  <c r="AL51" i="127"/>
  <c r="AC46" i="127"/>
  <c r="M35" i="135"/>
  <c r="V38" i="127"/>
  <c r="AR52" i="127"/>
  <c r="T53" i="127"/>
  <c r="AR63" i="127"/>
  <c r="T39" i="127"/>
  <c r="AU38" i="127"/>
  <c r="AJ69" i="127"/>
  <c r="AL50" i="127"/>
  <c r="BB23" i="59"/>
  <c r="AE63" i="127"/>
  <c r="L34" i="70"/>
  <c r="F46" i="127"/>
  <c r="BA57" i="70"/>
  <c r="K15" i="133"/>
  <c r="AX83" i="70"/>
  <c r="BE170" i="59"/>
  <c r="AG70" i="127"/>
  <c r="J38" i="127"/>
  <c r="AF64" i="127"/>
  <c r="AU39" i="127"/>
  <c r="BB57" i="70"/>
  <c r="AT53" i="127"/>
  <c r="AM53" i="70"/>
  <c r="AV61" i="70"/>
  <c r="U63" i="127"/>
  <c r="V45" i="127"/>
  <c r="AN44" i="127"/>
  <c r="I29" i="135"/>
  <c r="Y48" i="127"/>
  <c r="AJ73" i="70"/>
  <c r="Y69" i="127"/>
  <c r="AS63" i="127"/>
  <c r="AN36" i="127"/>
  <c r="AZ28" i="59"/>
  <c r="J52" i="127"/>
  <c r="L48" i="127"/>
  <c r="AJ39" i="127"/>
  <c r="J63" i="127"/>
  <c r="AW9" i="70"/>
  <c r="K69" i="127"/>
  <c r="L83" i="70"/>
  <c r="AX61" i="70"/>
  <c r="AA61" i="70"/>
  <c r="AE54" i="127"/>
  <c r="AM73" i="70"/>
  <c r="AM45" i="127"/>
  <c r="BE23" i="59"/>
  <c r="U67" i="127"/>
  <c r="S50" i="127"/>
  <c r="AO64" i="127"/>
  <c r="K61" i="70"/>
  <c r="I19" i="135"/>
  <c r="G36" i="127"/>
  <c r="M19" i="135"/>
  <c r="Y62" i="127"/>
  <c r="BD171" i="59"/>
  <c r="H32" i="135"/>
  <c r="AN64" i="127"/>
  <c r="K35" i="135"/>
  <c r="X54" i="127"/>
  <c r="G40" i="127"/>
  <c r="F39" i="135"/>
  <c r="K11" i="70"/>
  <c r="Y64" i="127"/>
  <c r="AB64" i="127"/>
  <c r="Q39" i="127"/>
  <c r="G10" i="131"/>
  <c r="H83" i="70"/>
  <c r="L14" i="133"/>
  <c r="W131" i="105"/>
  <c r="H11" i="70"/>
  <c r="AS19" i="70"/>
  <c r="AV19" i="70"/>
  <c r="I35" i="135"/>
  <c r="H9" i="70"/>
  <c r="M57" i="70"/>
  <c r="AI64" i="127"/>
  <c r="BB22" i="70"/>
  <c r="AI68" i="127"/>
  <c r="T63" i="127"/>
  <c r="Q58" i="127"/>
  <c r="S51" i="127"/>
  <c r="S52" i="127"/>
  <c r="F50" i="127"/>
  <c r="F85" i="133"/>
  <c r="P36" i="127"/>
  <c r="H16" i="133"/>
  <c r="K36" i="127"/>
  <c r="E15" i="131"/>
  <c r="I70" i="127"/>
  <c r="AJ46" i="127"/>
  <c r="AA23" i="70"/>
  <c r="M19" i="70"/>
  <c r="L34" i="135"/>
  <c r="K63" i="127"/>
  <c r="AF45" i="127"/>
  <c r="P59" i="127"/>
  <c r="BE168" i="59"/>
  <c r="J29" i="135"/>
  <c r="J83" i="70"/>
  <c r="AS38" i="127"/>
  <c r="AM53" i="127"/>
  <c r="G79" i="133"/>
  <c r="AR62" i="127"/>
  <c r="AZ239" i="59"/>
  <c r="L19" i="135"/>
  <c r="AT49" i="70"/>
  <c r="AT83" i="70"/>
  <c r="AA39" i="127"/>
  <c r="F38" i="127"/>
  <c r="AV83" i="70"/>
  <c r="L45" i="127"/>
  <c r="W36" i="127"/>
  <c r="BC235" i="59"/>
  <c r="J70" i="127"/>
  <c r="X70" i="127"/>
  <c r="J54" i="127"/>
  <c r="I50" i="127"/>
  <c r="AQ34" i="127"/>
  <c r="V48" i="127"/>
  <c r="F78" i="133"/>
  <c r="BE157" i="59"/>
  <c r="H41" i="135"/>
  <c r="AX41" i="60"/>
  <c r="BF24" i="59"/>
  <c r="AY25" i="59"/>
  <c r="AU23" i="70"/>
  <c r="AT54" i="127"/>
  <c r="N40" i="127"/>
  <c r="Q63" i="127"/>
  <c r="L53" i="70"/>
  <c r="I64" i="127"/>
  <c r="H43" i="70"/>
  <c r="BB35" i="59"/>
  <c r="F52" i="127"/>
  <c r="BF35" i="59"/>
  <c r="BA224" i="59"/>
  <c r="L38" i="70"/>
  <c r="K78" i="133"/>
  <c r="BC173" i="59"/>
  <c r="AQ51" i="127"/>
  <c r="AU51" i="127"/>
  <c r="V50" i="127"/>
  <c r="V39" i="127"/>
  <c r="BE240" i="59"/>
  <c r="AJ58" i="127"/>
  <c r="H74" i="133"/>
  <c r="AZ236" i="59"/>
  <c r="AJ34" i="70"/>
  <c r="F16" i="133"/>
  <c r="BB306" i="59"/>
  <c r="I38" i="127"/>
  <c r="G22" i="70"/>
  <c r="W52" i="127"/>
  <c r="AS34" i="127"/>
  <c r="AT9" i="70"/>
  <c r="AX46" i="70"/>
  <c r="AB52" i="127"/>
  <c r="AB62" i="127"/>
  <c r="R70" i="127"/>
  <c r="BA15" i="70"/>
  <c r="W54" i="127"/>
  <c r="J16" i="70"/>
  <c r="G63" i="127"/>
  <c r="H44" i="127"/>
  <c r="K53" i="127"/>
  <c r="L50" i="127"/>
  <c r="G16" i="131"/>
  <c r="H34" i="135"/>
  <c r="AL22" i="70"/>
  <c r="K19" i="70"/>
  <c r="W44" i="127"/>
  <c r="H52" i="127"/>
  <c r="G37" i="135"/>
  <c r="W39" i="127"/>
  <c r="G39" i="70"/>
  <c r="M49" i="127"/>
  <c r="AA73" i="70"/>
  <c r="N51" i="127"/>
  <c r="M23" i="70"/>
  <c r="M25" i="133"/>
  <c r="G83" i="133"/>
  <c r="Y58" i="127"/>
  <c r="BC23" i="59"/>
  <c r="BF22" i="59"/>
  <c r="U70" i="127"/>
  <c r="AP63" i="127"/>
  <c r="AH63" i="127"/>
  <c r="AA53" i="70"/>
  <c r="G16" i="70"/>
  <c r="X50" i="127"/>
  <c r="F21" i="133"/>
  <c r="BE10" i="59"/>
  <c r="X46" i="127"/>
  <c r="N53" i="127"/>
  <c r="N68" i="127"/>
  <c r="H13" i="133"/>
  <c r="W50" i="127"/>
  <c r="K19" i="131"/>
  <c r="AG62" i="127"/>
  <c r="L39" i="70"/>
  <c r="AT71" i="70"/>
  <c r="M61" i="70"/>
  <c r="AM38" i="127"/>
  <c r="G46" i="70"/>
  <c r="AG66" i="127"/>
  <c r="AG46" i="127"/>
  <c r="K79" i="133"/>
  <c r="M50" i="127"/>
  <c r="AB83" i="70"/>
  <c r="AQ53" i="127"/>
  <c r="L49" i="127"/>
  <c r="L38" i="127"/>
  <c r="U52" i="127"/>
  <c r="BC24" i="59"/>
  <c r="BB61" i="59"/>
  <c r="S44" i="127"/>
  <c r="K38" i="127"/>
  <c r="H83" i="133"/>
  <c r="AG49" i="127"/>
  <c r="BC299" i="59"/>
  <c r="F63" i="127"/>
  <c r="R38" i="127"/>
  <c r="F23" i="133"/>
  <c r="W67" i="127"/>
  <c r="AT38" i="127"/>
  <c r="AB42" i="70"/>
  <c r="F48" i="127"/>
  <c r="J62" i="127"/>
  <c r="BA43" i="70"/>
  <c r="I49" i="127"/>
  <c r="I16" i="133"/>
  <c r="H16" i="131"/>
  <c r="BD236" i="59"/>
  <c r="N9" i="70"/>
  <c r="AT40" i="127"/>
  <c r="G32" i="135"/>
  <c r="V64" i="127"/>
  <c r="BD298" i="59"/>
  <c r="L13" i="133"/>
  <c r="M53" i="70"/>
  <c r="AR50" i="127"/>
  <c r="H31" i="135"/>
  <c r="AW61" i="70"/>
  <c r="L46" i="70"/>
  <c r="AU53" i="127"/>
  <c r="AL39" i="127"/>
  <c r="G8" i="131"/>
  <c r="AM16" i="70"/>
  <c r="AF62" i="127"/>
  <c r="BD224" i="59"/>
  <c r="BB33" i="59"/>
  <c r="G5" i="131"/>
  <c r="BB221" i="59"/>
  <c r="AP50" i="127"/>
  <c r="J49" i="127"/>
  <c r="AI45" i="127"/>
  <c r="AI48" i="127"/>
  <c r="R66" i="127"/>
  <c r="K54" i="127"/>
  <c r="AM69" i="127"/>
  <c r="F19" i="131"/>
  <c r="AC58" i="127"/>
  <c r="T64" i="127"/>
  <c r="AO54" i="127"/>
  <c r="E16" i="131"/>
  <c r="AX49" i="70"/>
  <c r="AH69" i="127"/>
  <c r="P69" i="127"/>
  <c r="L61" i="70"/>
  <c r="BD14" i="59"/>
  <c r="AB49" i="127"/>
  <c r="K37" i="135"/>
  <c r="AF53" i="127"/>
  <c r="K6" i="131"/>
  <c r="AW11" i="70"/>
  <c r="AD68" i="127"/>
  <c r="BD172" i="59"/>
  <c r="AU52" i="127"/>
  <c r="J83" i="133"/>
  <c r="M71" i="70"/>
  <c r="AM38" i="70"/>
  <c r="J53" i="70"/>
  <c r="G45" i="127"/>
  <c r="AH49" i="127"/>
  <c r="H39" i="127"/>
  <c r="K76" i="133"/>
  <c r="AR44" i="127"/>
  <c r="AM58" i="127"/>
  <c r="S131" i="105"/>
  <c r="M36" i="127"/>
  <c r="BA49" i="70"/>
  <c r="Q51" i="127"/>
  <c r="AB49" i="70"/>
  <c r="AD51" i="127"/>
  <c r="AU34" i="70"/>
  <c r="AW23" i="70"/>
  <c r="AT35" i="70"/>
  <c r="AD70" i="127"/>
  <c r="N38" i="70"/>
  <c r="AJ9" i="70"/>
  <c r="F70" i="127"/>
  <c r="E10" i="131"/>
  <c r="V131" i="105"/>
  <c r="AI49" i="127"/>
  <c r="G52" i="127"/>
  <c r="AC53" i="127"/>
  <c r="AM71" i="70"/>
  <c r="BD221" i="59"/>
  <c r="P49" i="127"/>
  <c r="AU46" i="70"/>
  <c r="G73" i="70"/>
  <c r="AW35" i="70"/>
  <c r="K45" i="127"/>
  <c r="AQ63" i="127"/>
  <c r="AU44" i="127"/>
  <c r="K83" i="133"/>
  <c r="H19" i="135"/>
  <c r="P39" i="127"/>
  <c r="M49" i="70"/>
  <c r="AY300" i="59"/>
  <c r="AA46" i="127"/>
  <c r="F15" i="131"/>
  <c r="K62" i="127"/>
  <c r="F37" i="135"/>
  <c r="H16" i="70"/>
  <c r="AA49" i="127"/>
  <c r="AM66" i="127"/>
  <c r="N15" i="107"/>
  <c r="AR49" i="127"/>
  <c r="BF304" i="59"/>
  <c r="AJ45" i="127"/>
  <c r="F14" i="133"/>
  <c r="AA19" i="70"/>
  <c r="AM43" i="70"/>
  <c r="AS43" i="70"/>
  <c r="I46" i="127"/>
  <c r="AH70" i="127"/>
  <c r="K73" i="70"/>
  <c r="AI52" i="127"/>
  <c r="BD149" i="59"/>
  <c r="X51" i="127"/>
  <c r="AL52" i="127"/>
  <c r="M31" i="135"/>
  <c r="AS49" i="127"/>
  <c r="BA149" i="59"/>
  <c r="W40" i="127"/>
  <c r="H10" i="135"/>
  <c r="BA23" i="70"/>
  <c r="AP38" i="127"/>
  <c r="L35" i="70"/>
  <c r="BB71" i="70"/>
  <c r="G53" i="70"/>
  <c r="AX35" i="70"/>
  <c r="AG48" i="127"/>
  <c r="AB35" i="70"/>
  <c r="G21" i="133"/>
  <c r="N70" i="127"/>
  <c r="K85" i="133"/>
  <c r="BD15" i="59"/>
  <c r="AL61" i="70"/>
  <c r="AL38" i="127"/>
  <c r="E14" i="131"/>
  <c r="L64" i="127"/>
  <c r="J79" i="133"/>
  <c r="AO36" i="127"/>
  <c r="AZ171" i="59"/>
  <c r="AN54" i="127"/>
  <c r="G70" i="127"/>
  <c r="V53" i="127"/>
  <c r="V40" i="127"/>
  <c r="H34" i="70"/>
  <c r="BB304" i="59"/>
  <c r="J10" i="135"/>
  <c r="AT34" i="127"/>
  <c r="H66" i="127"/>
  <c r="P45" i="127"/>
  <c r="K35" i="70"/>
  <c r="AB44" i="127"/>
  <c r="G57" i="70"/>
  <c r="I85" i="133"/>
  <c r="AT48" i="127"/>
  <c r="H78" i="133"/>
  <c r="AI36" i="127"/>
  <c r="J50" i="127"/>
  <c r="AS11" i="70"/>
  <c r="AX11" i="70"/>
  <c r="X68" i="127"/>
  <c r="BE61" i="59"/>
  <c r="M9" i="131"/>
  <c r="K75" i="133"/>
  <c r="AB73" i="70"/>
  <c r="AP45" i="127"/>
  <c r="AZ235" i="59"/>
  <c r="AB70" i="127"/>
  <c r="S69" i="127"/>
  <c r="AT44" i="127"/>
  <c r="BE236" i="59"/>
  <c r="F36" i="127"/>
  <c r="K70" i="127"/>
  <c r="AO51" i="127"/>
  <c r="J51" i="127"/>
  <c r="AT62" i="127"/>
  <c r="G34" i="135"/>
  <c r="K23" i="133"/>
  <c r="J19" i="131"/>
  <c r="J39" i="127"/>
  <c r="M79" i="133"/>
  <c r="AQ49" i="127"/>
  <c r="I15" i="131"/>
  <c r="AF39" i="127"/>
  <c r="BB148" i="59"/>
  <c r="AH44" i="127"/>
  <c r="AS68" i="127"/>
  <c r="N69" i="127"/>
  <c r="BA169" i="59"/>
  <c r="P53" i="127"/>
  <c r="AY236" i="59"/>
  <c r="F83" i="133"/>
  <c r="T48" i="127"/>
  <c r="F14" i="131"/>
  <c r="H46" i="127"/>
  <c r="BB42" i="70"/>
  <c r="AS44" i="127"/>
  <c r="AA50" i="127"/>
  <c r="BD169" i="59"/>
  <c r="I76" i="133"/>
  <c r="N64" i="127"/>
  <c r="J5" i="131"/>
  <c r="AU83" i="70"/>
  <c r="AB19" i="70"/>
  <c r="J67" i="127"/>
  <c r="I58" i="127"/>
  <c r="K44" i="127"/>
  <c r="BF220" i="59"/>
  <c r="K16" i="131"/>
  <c r="BB28" i="59"/>
  <c r="AZ148" i="59"/>
  <c r="AA59" i="127"/>
  <c r="AY157" i="59"/>
  <c r="J8" i="131"/>
  <c r="AL44" i="127"/>
  <c r="H8" i="131"/>
  <c r="AX240" i="59"/>
  <c r="AF44" i="127"/>
  <c r="M18" i="133"/>
  <c r="H30" i="135"/>
  <c r="AE51" i="127"/>
  <c r="AZ301" i="59"/>
  <c r="J81" i="133"/>
  <c r="G46" i="127"/>
  <c r="BD148" i="59"/>
  <c r="AM34" i="127"/>
  <c r="AA70" i="127"/>
  <c r="BB171" i="59"/>
  <c r="U50" i="127"/>
  <c r="Y67" i="127"/>
  <c r="G38" i="127"/>
  <c r="G39" i="127"/>
  <c r="E5" i="131"/>
  <c r="H25" i="133"/>
  <c r="AL11" i="70"/>
  <c r="AQ64" i="127"/>
  <c r="AX302" i="59"/>
  <c r="Q67" i="127"/>
  <c r="BA304" i="59"/>
  <c r="AU19" i="70"/>
  <c r="BE173" i="59"/>
  <c r="AJ83" i="70"/>
  <c r="X63" i="127"/>
  <c r="P62" i="127"/>
  <c r="F81" i="133"/>
  <c r="AA39" i="70"/>
  <c r="AM48" i="127"/>
  <c r="AA71" i="70"/>
  <c r="AY60" i="59"/>
  <c r="AF46" i="127"/>
  <c r="I31" i="135"/>
  <c r="H61" i="70"/>
  <c r="AB46" i="70"/>
  <c r="AT46" i="70"/>
  <c r="P51" i="127"/>
  <c r="K29" i="135"/>
  <c r="BB25" i="59"/>
  <c r="W62" i="127"/>
  <c r="BC37" i="59"/>
  <c r="K14" i="131"/>
  <c r="BA19" i="70"/>
  <c r="AA49" i="70"/>
  <c r="AV42" i="70"/>
  <c r="AL46" i="70"/>
  <c r="AL53" i="70"/>
  <c r="BA28" i="59"/>
  <c r="AE66" i="127"/>
  <c r="AM54" i="127"/>
  <c r="I48" i="127"/>
  <c r="AM19" i="70"/>
  <c r="AZ10" i="59"/>
  <c r="AX221" i="59"/>
  <c r="AZ169" i="59"/>
  <c r="F66" i="127"/>
  <c r="AJ53" i="127"/>
  <c r="G11" i="70"/>
  <c r="AD58" i="127"/>
  <c r="I13" i="133"/>
  <c r="AZ157" i="59"/>
  <c r="BF301" i="59"/>
  <c r="R44" i="127"/>
  <c r="BB157" i="59"/>
  <c r="BA240" i="59"/>
  <c r="S66" i="127"/>
  <c r="E6" i="131"/>
  <c r="H23" i="70"/>
  <c r="G69" i="127"/>
  <c r="AA63" i="127"/>
  <c r="AB50" i="127"/>
  <c r="AZ149" i="59"/>
  <c r="AO38" i="127"/>
  <c r="AB51" i="127"/>
  <c r="N46" i="70"/>
  <c r="AH36" i="127"/>
  <c r="AG68" i="127"/>
  <c r="AR58" i="127"/>
  <c r="AW53" i="70"/>
  <c r="G29" i="135"/>
  <c r="BF235" i="59"/>
  <c r="N52" i="127"/>
  <c r="AE44" i="127"/>
  <c r="J23" i="133"/>
  <c r="AN66" i="127"/>
  <c r="BE221" i="59"/>
  <c r="W38" i="127"/>
  <c r="AT61" i="70"/>
  <c r="AI70" i="127"/>
  <c r="AT57" i="70"/>
  <c r="AY172" i="59"/>
  <c r="AP69" i="127"/>
  <c r="AU39" i="70"/>
  <c r="AY10" i="59"/>
  <c r="H57" i="70"/>
  <c r="G39" i="135"/>
  <c r="AO53" i="127"/>
  <c r="Q62" i="127"/>
  <c r="AH39" i="127"/>
  <c r="I78" i="133"/>
  <c r="G50" i="127"/>
  <c r="AR46" i="127"/>
  <c r="AM64" i="127"/>
  <c r="K10" i="135"/>
  <c r="N49" i="127"/>
  <c r="M73" i="70"/>
  <c r="BC40" i="59"/>
  <c r="H69" i="127"/>
  <c r="I67" i="127"/>
  <c r="AC40" i="127"/>
  <c r="AJ38" i="70"/>
  <c r="BC304" i="59"/>
  <c r="AZ306" i="59"/>
  <c r="BD25" i="59"/>
  <c r="AR66" i="127"/>
  <c r="S62" i="127"/>
  <c r="M66" i="127"/>
  <c r="AW39" i="70"/>
  <c r="AP49" i="127"/>
  <c r="BE239" i="59"/>
  <c r="G64" i="127"/>
  <c r="AM23" i="70"/>
  <c r="AF67" i="127"/>
  <c r="J15" i="70"/>
  <c r="AF69" i="127"/>
  <c r="K15" i="131"/>
  <c r="AZ221" i="59"/>
  <c r="AQ66" i="127"/>
  <c r="AJ48" i="127"/>
  <c r="M67" i="127"/>
  <c r="F39" i="127"/>
  <c r="AF83" i="70"/>
  <c r="AG36" i="127"/>
  <c r="AP53" i="127"/>
  <c r="K16" i="70"/>
  <c r="AO66" i="127"/>
  <c r="AY298" i="59"/>
  <c r="J73" i="133"/>
  <c r="M38" i="127"/>
  <c r="H15" i="107"/>
  <c r="AL68" i="127"/>
  <c r="M40" i="127"/>
  <c r="J46" i="127"/>
  <c r="I83" i="133"/>
  <c r="BD299" i="59"/>
  <c r="AE70" i="127"/>
  <c r="H22" i="70"/>
  <c r="J48" i="127"/>
  <c r="K15" i="70"/>
  <c r="R46" i="127"/>
  <c r="AS51" i="127"/>
  <c r="I25" i="133"/>
  <c r="AT38" i="70"/>
  <c r="BB169" i="59"/>
  <c r="AS46" i="127"/>
  <c r="G53" i="127"/>
  <c r="M46" i="70"/>
  <c r="N23" i="70"/>
  <c r="Y51" i="127"/>
  <c r="BF299" i="59"/>
  <c r="M15" i="70"/>
  <c r="F25" i="133"/>
  <c r="T66" i="127"/>
  <c r="AZ240" i="59"/>
  <c r="S54" i="127"/>
  <c r="AS53" i="70"/>
  <c r="H67" i="127"/>
  <c r="L29" i="135"/>
  <c r="G54" i="127"/>
  <c r="AA46" i="70"/>
  <c r="AR34" i="127"/>
  <c r="M19" i="133"/>
  <c r="BB60" i="59"/>
  <c r="AT45" i="127"/>
  <c r="AW49" i="70"/>
  <c r="AI66" i="127"/>
  <c r="AH52" i="127"/>
  <c r="L39" i="127"/>
  <c r="BF302" i="59"/>
  <c r="AJ39" i="70"/>
  <c r="R50" i="127"/>
  <c r="AO48" i="127"/>
  <c r="BF171" i="59"/>
  <c r="BD235" i="59"/>
  <c r="BC148" i="59"/>
  <c r="F9" i="131"/>
  <c r="AR64" i="127"/>
  <c r="AG54" i="127"/>
  <c r="H73" i="70"/>
  <c r="K58" i="127"/>
  <c r="BB236" i="59"/>
  <c r="X58" i="127"/>
  <c r="AS64" i="127"/>
  <c r="AO50" i="127"/>
  <c r="AF54" i="127"/>
  <c r="U40" i="127"/>
  <c r="K74" i="133"/>
  <c r="BB14" i="59"/>
  <c r="AL61" i="127"/>
  <c r="AQ36" i="127"/>
  <c r="AN67" i="127"/>
  <c r="AG50" i="127"/>
  <c r="M9" i="70"/>
  <c r="L15" i="107"/>
  <c r="J57" i="70"/>
  <c r="J40" i="127"/>
  <c r="BA239" i="59"/>
  <c r="N53" i="70"/>
  <c r="AX16" i="70"/>
  <c r="L83" i="133"/>
  <c r="BC240" i="59"/>
  <c r="G85" i="133"/>
  <c r="AA15" i="70"/>
  <c r="AL48" i="127"/>
  <c r="I69" i="127"/>
  <c r="AA83" i="70"/>
  <c r="AS15" i="70"/>
  <c r="AS58" i="127"/>
  <c r="AF66" i="127"/>
  <c r="AT34" i="70"/>
  <c r="BF33" i="59"/>
  <c r="AA36" i="127"/>
  <c r="T38" i="127"/>
  <c r="AX9" i="70"/>
  <c r="W49" i="127"/>
  <c r="BA236" i="59"/>
  <c r="J53" i="127"/>
  <c r="J76" i="133"/>
  <c r="AS9" i="70"/>
  <c r="G9" i="131"/>
  <c r="H15" i="133"/>
  <c r="G25" i="133"/>
  <c r="L8" i="131"/>
  <c r="AP62" i="127"/>
  <c r="W66" i="127"/>
  <c r="L73" i="70"/>
  <c r="V69" i="127"/>
  <c r="AP68" i="127"/>
  <c r="M8" i="131"/>
  <c r="AL83" i="70"/>
  <c r="AU35" i="70"/>
  <c r="G14" i="131"/>
  <c r="AN49" i="127"/>
  <c r="F5" i="131"/>
  <c r="L9" i="131"/>
  <c r="AX298" i="59"/>
  <c r="M13" i="133"/>
  <c r="H36" i="127"/>
  <c r="X48" i="127"/>
  <c r="AP40" i="127"/>
  <c r="I6" i="131"/>
  <c r="AM46" i="127"/>
  <c r="AP39" i="127"/>
  <c r="BB240" i="59"/>
  <c r="AH45" i="127"/>
  <c r="J74" i="133"/>
  <c r="AP52" i="127"/>
  <c r="P38" i="127"/>
  <c r="H62" i="127"/>
  <c r="J46" i="70"/>
  <c r="AN53" i="127"/>
  <c r="BA35" i="59"/>
  <c r="Y36" i="127"/>
  <c r="AL23" i="70"/>
  <c r="BF170" i="59"/>
  <c r="M83" i="70"/>
  <c r="AM49" i="70"/>
  <c r="D8" i="131"/>
  <c r="Q68" i="127"/>
  <c r="BA9" i="70"/>
  <c r="M63" i="127"/>
  <c r="AE62" i="127"/>
  <c r="J35" i="135"/>
  <c r="AQ68" i="127"/>
  <c r="Y50" i="127"/>
  <c r="AL40" i="127"/>
  <c r="I34" i="135"/>
  <c r="AT68" i="127"/>
  <c r="BE298" i="59"/>
  <c r="J39" i="135"/>
  <c r="Q66" i="127"/>
  <c r="AS35" i="70"/>
  <c r="P48" i="127"/>
  <c r="R58" i="127"/>
  <c r="M13" i="131"/>
  <c r="BA40" i="59"/>
  <c r="AY171" i="59"/>
  <c r="AU54" i="127"/>
  <c r="AZ29" i="59"/>
  <c r="AH38" i="127"/>
  <c r="AY37" i="59"/>
  <c r="J34" i="70"/>
  <c r="AY235" i="59"/>
  <c r="AA34" i="70"/>
  <c r="F29" i="135"/>
  <c r="J45" i="127"/>
  <c r="H38" i="70"/>
  <c r="AM68" i="127"/>
  <c r="AF40" i="127"/>
  <c r="AY33" i="59"/>
  <c r="AB46" i="127"/>
  <c r="AM50" i="127"/>
  <c r="AI44" i="127"/>
  <c r="Y52" i="127"/>
  <c r="AL35" i="70"/>
  <c r="AA48" i="127"/>
  <c r="AJ49" i="70"/>
  <c r="AJ51" i="127"/>
  <c r="P60" i="127"/>
  <c r="Y49" i="127"/>
  <c r="AJ52" i="127"/>
  <c r="H53" i="70"/>
  <c r="BE60" i="59"/>
  <c r="I52" i="127"/>
  <c r="BA22" i="70"/>
  <c r="K53" i="70"/>
  <c r="AN46" i="127"/>
  <c r="AZ172" i="59"/>
  <c r="U46" i="127"/>
  <c r="AU70" i="127"/>
  <c r="Q50" i="127"/>
  <c r="X40" i="127"/>
  <c r="AS50" i="127"/>
  <c r="N54" i="127"/>
  <c r="J23" i="70"/>
  <c r="W69" i="127"/>
  <c r="X45" i="127"/>
  <c r="F74" i="133"/>
  <c r="AQ40" i="127"/>
  <c r="J58" i="127"/>
  <c r="G15" i="133"/>
  <c r="AS48" i="127"/>
  <c r="G49" i="70"/>
  <c r="AS62" i="127"/>
  <c r="G66" i="127"/>
  <c r="H51" i="127"/>
  <c r="AX220" i="59"/>
  <c r="X44" i="127"/>
  <c r="L53" i="127"/>
  <c r="H15" i="70"/>
  <c r="G44" i="127"/>
  <c r="J16" i="131"/>
  <c r="G76" i="133"/>
  <c r="BC223" i="59"/>
  <c r="AI69" i="127"/>
  <c r="AX23" i="70"/>
  <c r="J25" i="133"/>
  <c r="J15" i="107"/>
  <c r="AT23" i="70"/>
  <c r="AW43" i="70"/>
  <c r="BA300" i="59"/>
  <c r="AC66" i="127"/>
  <c r="G19" i="131"/>
  <c r="Y38" i="127"/>
  <c r="BD22" i="59"/>
  <c r="BB9" i="70"/>
  <c r="AA43" i="70"/>
  <c r="H29" i="135"/>
  <c r="AJ57" i="70"/>
  <c r="AN58" i="127"/>
  <c r="AP36" i="127"/>
  <c r="AN51" i="127"/>
  <c r="T69" i="127"/>
  <c r="K50" i="127"/>
  <c r="BE299" i="59"/>
  <c r="I79" i="133"/>
  <c r="BA168" i="59"/>
  <c r="J71" i="70"/>
  <c r="AT46" i="127"/>
  <c r="BA171" i="59"/>
  <c r="P40" i="127"/>
  <c r="R36" i="127"/>
  <c r="K73" i="133"/>
  <c r="AF48" i="127"/>
  <c r="AY41" i="60"/>
  <c r="H24" i="70"/>
  <c r="BA24" i="70"/>
  <c r="AL24" i="70"/>
  <c r="AX246" i="59"/>
  <c r="K19" i="135"/>
  <c r="K14" i="133"/>
  <c r="BE306" i="59"/>
  <c r="G83" i="70"/>
  <c r="L10" i="135"/>
  <c r="R48" i="127"/>
  <c r="M11" i="70"/>
  <c r="AJ40" i="127"/>
  <c r="U36" i="127"/>
  <c r="H20" i="135"/>
  <c r="M58" i="127"/>
  <c r="AV39" i="70"/>
  <c r="J18" i="133"/>
  <c r="AO34" i="127"/>
  <c r="BB40" i="59"/>
  <c r="G10" i="135"/>
  <c r="AI67" i="127"/>
  <c r="U53" i="127"/>
  <c r="BD168" i="59"/>
  <c r="J19" i="135"/>
  <c r="U49" i="127"/>
  <c r="AE38" i="127"/>
  <c r="AB39" i="127"/>
  <c r="G19" i="135"/>
  <c r="AM49" i="127"/>
  <c r="BE148" i="59"/>
  <c r="BF239" i="59"/>
  <c r="AJ54" i="127"/>
  <c r="BA301" i="59"/>
  <c r="S64" i="127"/>
  <c r="AR39" i="127"/>
  <c r="G58" i="127"/>
  <c r="F30" i="135"/>
  <c r="G73" i="133"/>
  <c r="Y46" i="127"/>
  <c r="AI40" i="127"/>
  <c r="Q131" i="105"/>
  <c r="AE52" i="127"/>
  <c r="H49" i="127"/>
  <c r="AN38" i="127"/>
  <c r="AT43" i="70"/>
  <c r="AW73" i="70"/>
  <c r="BD240" i="59"/>
  <c r="J14" i="133"/>
  <c r="AF58" i="127"/>
  <c r="AL43" i="70"/>
  <c r="AH66" i="127"/>
  <c r="AO70" i="127"/>
  <c r="AB45" i="127"/>
  <c r="T58" i="127"/>
  <c r="E19" i="131"/>
  <c r="F10" i="135"/>
  <c r="S70" i="127"/>
  <c r="X49" i="127"/>
  <c r="L35" i="135"/>
  <c r="AJ23" i="70"/>
  <c r="N63" i="127"/>
  <c r="BE149" i="59"/>
  <c r="BB220" i="59"/>
  <c r="R49" i="127"/>
  <c r="AQ38" i="127"/>
  <c r="V52" i="127"/>
  <c r="AH51" i="127"/>
  <c r="G15" i="70"/>
  <c r="AF52" i="127"/>
  <c r="K9" i="131"/>
  <c r="I23" i="133"/>
  <c r="I19" i="133"/>
  <c r="M15" i="107"/>
  <c r="AC52" i="127"/>
  <c r="H42" i="70"/>
  <c r="G49" i="127"/>
  <c r="AS22" i="70"/>
  <c r="S53" i="127"/>
  <c r="L19" i="131"/>
  <c r="AS39" i="70"/>
  <c r="BF61" i="59"/>
  <c r="AA53" i="127"/>
  <c r="AW15" i="70"/>
  <c r="I10" i="131"/>
  <c r="H73" i="133"/>
  <c r="E9" i="131"/>
  <c r="AM46" i="70"/>
  <c r="AC45" i="127"/>
  <c r="AA16" i="70"/>
  <c r="J43" i="70"/>
  <c r="AB53" i="70"/>
  <c r="AY40" i="59"/>
  <c r="I66" i="127"/>
  <c r="BA53" i="70"/>
  <c r="N58" i="127"/>
  <c r="AC54" i="127"/>
  <c r="AL53" i="127"/>
  <c r="F8" i="131"/>
  <c r="AG38" i="127"/>
  <c r="V44" i="127"/>
  <c r="BB15" i="70"/>
  <c r="AS66" i="127"/>
  <c r="BA148" i="59"/>
  <c r="Q54" i="127"/>
  <c r="H18" i="133"/>
  <c r="R53" i="127"/>
  <c r="H19" i="70"/>
  <c r="N35" i="70"/>
  <c r="AA61" i="127"/>
  <c r="M75" i="133"/>
  <c r="J85" i="133"/>
  <c r="N22" i="70"/>
  <c r="BC61" i="59"/>
  <c r="AJ62" i="127"/>
  <c r="L69" i="127"/>
  <c r="F49" i="127"/>
  <c r="R51" i="127"/>
  <c r="N48" i="127"/>
  <c r="BC15" i="59"/>
  <c r="J64" i="127"/>
  <c r="D14" i="131"/>
  <c r="G30" i="135"/>
  <c r="V46" i="127"/>
  <c r="BA172" i="59"/>
  <c r="AG51" i="127"/>
  <c r="L63" i="127"/>
  <c r="BA298" i="59"/>
  <c r="F54" i="127"/>
  <c r="BE235" i="59"/>
  <c r="AB34" i="70"/>
  <c r="AE40" i="127"/>
  <c r="Q44" i="127"/>
  <c r="CN84" i="70"/>
  <c r="J41" i="135"/>
  <c r="N50" i="127"/>
  <c r="F51" i="127"/>
  <c r="AD38" i="127"/>
  <c r="BC239" i="59"/>
  <c r="K51" i="127"/>
  <c r="AG67" i="127"/>
  <c r="AP70" i="127"/>
  <c r="K43" i="70"/>
  <c r="BF236" i="59"/>
  <c r="AB71" i="70"/>
  <c r="J13" i="133"/>
  <c r="BC25" i="59"/>
  <c r="L58" i="127"/>
  <c r="J42" i="70"/>
  <c r="U66" i="127"/>
  <c r="AX19" i="70"/>
  <c r="T62" i="127"/>
  <c r="AS46" i="70"/>
  <c r="G75" i="133"/>
  <c r="AU40" i="127"/>
  <c r="AI46" i="127"/>
  <c r="P54" i="127"/>
  <c r="F76" i="133"/>
  <c r="BB170" i="59"/>
  <c r="L31" i="135"/>
  <c r="L54" i="127"/>
  <c r="AZ168" i="59"/>
  <c r="I45" i="127"/>
  <c r="L10" i="131"/>
  <c r="AV57" i="70"/>
  <c r="AL38" i="70"/>
  <c r="AS57" i="70"/>
  <c r="AU22" i="70"/>
  <c r="BB37" i="59"/>
  <c r="AO46" i="127"/>
  <c r="X66" i="127"/>
  <c r="AB61" i="70"/>
  <c r="AN39" i="127"/>
  <c r="H35" i="135"/>
  <c r="AI39" i="127"/>
  <c r="N19" i="70"/>
  <c r="AB11" i="70"/>
  <c r="M34" i="70"/>
  <c r="AF38" i="127"/>
  <c r="Q53" i="127"/>
  <c r="AM34" i="70"/>
  <c r="V70" i="127"/>
  <c r="BD28" i="59"/>
  <c r="AB69" i="127"/>
  <c r="BE25" i="59"/>
  <c r="M39" i="70"/>
  <c r="P50" i="127"/>
  <c r="I9" i="131"/>
  <c r="M68" i="127"/>
  <c r="BB298" i="59"/>
  <c r="Q49" i="127"/>
  <c r="R39" i="127"/>
  <c r="R62" i="127"/>
  <c r="M16" i="70"/>
  <c r="N15" i="70"/>
  <c r="BA73" i="70"/>
  <c r="M41" i="135"/>
  <c r="T52" i="127"/>
  <c r="J34" i="135"/>
  <c r="AM62" i="127"/>
  <c r="K57" i="70"/>
  <c r="AX38" i="70"/>
  <c r="M19" i="131"/>
  <c r="AJ19" i="70"/>
  <c r="AP48" i="127"/>
  <c r="AA35" i="70"/>
  <c r="K13" i="133"/>
  <c r="AS53" i="127"/>
  <c r="AB48" i="127"/>
  <c r="AR53" i="127"/>
  <c r="AH58" i="127"/>
  <c r="AZ37" i="59"/>
  <c r="AI62" i="127"/>
  <c r="BD10" i="59"/>
  <c r="BB39" i="70"/>
  <c r="F58" i="127"/>
  <c r="AM83" i="70"/>
  <c r="BA16" i="70"/>
  <c r="N44" i="127"/>
  <c r="AS83" i="70"/>
  <c r="AZ25" i="59"/>
  <c r="BF14" i="59"/>
  <c r="AT53" i="70"/>
  <c r="AC50" i="127"/>
  <c r="K5" i="131"/>
  <c r="AU66" i="127"/>
  <c r="G35" i="70"/>
  <c r="J19" i="133"/>
  <c r="L23" i="133"/>
  <c r="AB57" i="70"/>
  <c r="AX39" i="70"/>
  <c r="AC39" i="127"/>
  <c r="AU24" i="70"/>
  <c r="N24" i="70"/>
  <c r="AE67" i="127"/>
  <c r="BB147" i="59"/>
  <c r="N11" i="70"/>
  <c r="AS16" i="70"/>
  <c r="T40" i="127"/>
  <c r="AC44" i="127"/>
  <c r="BA235" i="59"/>
  <c r="F62" i="127"/>
  <c r="M53" i="127"/>
  <c r="AO67" i="127"/>
  <c r="G62" i="127"/>
  <c r="AY148" i="59"/>
  <c r="M20" i="135"/>
  <c r="AT11" i="70"/>
  <c r="AC38" i="127"/>
  <c r="V49" i="127"/>
  <c r="BC29" i="59"/>
  <c r="BD33" i="59"/>
  <c r="K32" i="135"/>
  <c r="I20" i="135"/>
  <c r="AU46" i="127"/>
  <c r="I44" i="127"/>
  <c r="AM52" i="127"/>
  <c r="AF49" i="127"/>
  <c r="AD54" i="127"/>
  <c r="L41" i="135"/>
  <c r="I14" i="133"/>
  <c r="BF173" i="59"/>
  <c r="AA69" i="127"/>
  <c r="Y45" i="127"/>
  <c r="L68" i="127"/>
  <c r="AA60" i="127"/>
  <c r="L30" i="135"/>
  <c r="BB299" i="59"/>
  <c r="M54" i="127"/>
  <c r="AA11" i="70"/>
  <c r="AD66" i="127"/>
  <c r="AR68" i="127"/>
  <c r="AY35" i="59"/>
  <c r="BC298" i="59"/>
  <c r="AA57" i="70"/>
  <c r="AB38" i="70"/>
  <c r="AL73" i="70"/>
  <c r="Y68" i="127"/>
  <c r="AG63" i="127"/>
  <c r="H64" i="127"/>
  <c r="AO39" i="127"/>
  <c r="BD23" i="59"/>
  <c r="AV71" i="70"/>
  <c r="M6" i="131"/>
  <c r="AH67" i="127"/>
  <c r="I63" i="127"/>
  <c r="T54" i="127"/>
  <c r="G67" i="127"/>
  <c r="AX15" i="70"/>
  <c r="AM42" i="70"/>
  <c r="AD83" i="70"/>
  <c r="BC169" i="59"/>
  <c r="BA147" i="59"/>
  <c r="AS73" i="70"/>
  <c r="M30" i="135"/>
  <c r="K15" i="107"/>
  <c r="AJ36" i="127"/>
  <c r="AM61" i="70"/>
  <c r="AZ299" i="59"/>
  <c r="G51" i="127"/>
  <c r="BF172" i="59"/>
  <c r="BF40" i="59"/>
  <c r="AU64" i="127"/>
  <c r="BA229" i="59"/>
  <c r="AP54" i="127"/>
  <c r="T50" i="127"/>
  <c r="AA67" i="127"/>
  <c r="W68" i="127"/>
  <c r="L19" i="70"/>
  <c r="AJ11" i="70"/>
  <c r="F10" i="131"/>
  <c r="P131" i="105"/>
  <c r="L73" i="133"/>
  <c r="I5" i="131"/>
  <c r="U69" i="127"/>
  <c r="K9" i="70"/>
  <c r="G16" i="133"/>
  <c r="AY224" i="59"/>
  <c r="BC35" i="59"/>
  <c r="AD40" i="127"/>
  <c r="M34" i="135"/>
  <c r="AT73" i="70"/>
  <c r="G68" i="127"/>
  <c r="H76" i="133"/>
  <c r="L46" i="127"/>
  <c r="M37" i="135"/>
  <c r="AH46" i="127"/>
  <c r="H85" i="133"/>
  <c r="BA29" i="59"/>
  <c r="F44" i="127"/>
  <c r="BD239" i="59"/>
  <c r="AU71" i="70"/>
  <c r="M35" i="70"/>
  <c r="AJ71" i="70"/>
  <c r="BB15" i="59"/>
  <c r="AA9" i="70"/>
  <c r="X39" i="127"/>
  <c r="AN70" i="127"/>
  <c r="M74" i="133"/>
  <c r="I74" i="133"/>
  <c r="R131" i="105"/>
  <c r="AL57" i="70"/>
  <c r="BB168" i="59"/>
  <c r="AT36" i="127"/>
  <c r="AR45" i="127"/>
  <c r="BD157" i="59"/>
  <c r="T67" i="127"/>
  <c r="F19" i="133"/>
  <c r="W45" i="127"/>
  <c r="N57" i="70"/>
  <c r="BC229" i="59"/>
  <c r="S67" i="127"/>
  <c r="AZ147" i="59"/>
  <c r="BC10" i="59"/>
  <c r="AJ66" i="127"/>
  <c r="BB23" i="70"/>
  <c r="BB16" i="70"/>
  <c r="H40" i="127"/>
  <c r="L79" i="133"/>
  <c r="AU42" i="70"/>
  <c r="AU57" i="70"/>
  <c r="L20" i="135"/>
  <c r="K48" i="127"/>
  <c r="BE224" i="59"/>
  <c r="AW19" i="70"/>
  <c r="AH48" i="127"/>
  <c r="BF300" i="59"/>
  <c r="BE29" i="59"/>
  <c r="AA62" i="127"/>
  <c r="K66" i="127"/>
  <c r="AJ46" i="70"/>
  <c r="AX53" i="70"/>
  <c r="BE35" i="59"/>
  <c r="L6" i="131"/>
  <c r="BA35" i="70"/>
  <c r="J75" i="133"/>
  <c r="AJ22" i="70"/>
  <c r="AW71" i="70"/>
  <c r="AD63" i="127"/>
  <c r="AA66" i="127"/>
  <c r="BE171" i="59"/>
  <c r="BD306" i="59"/>
  <c r="N49" i="70"/>
  <c r="AJ50" i="127"/>
  <c r="AZ60" i="59"/>
  <c r="H68" i="127"/>
  <c r="AG39" i="127"/>
  <c r="BF169" i="59"/>
  <c r="W48" i="127"/>
  <c r="AY169" i="59"/>
  <c r="J19" i="70"/>
  <c r="BA10" i="59"/>
  <c r="AH62" i="127"/>
  <c r="BC172" i="59"/>
  <c r="H63" i="127"/>
  <c r="R52" i="127"/>
  <c r="W51" i="127"/>
  <c r="G48" i="127"/>
  <c r="M81" i="133"/>
  <c r="AD46" i="127"/>
  <c r="G61" i="70"/>
  <c r="M44" i="127"/>
  <c r="X36" i="127"/>
  <c r="AG58" i="127"/>
  <c r="BC221" i="59"/>
  <c r="U39" i="127"/>
  <c r="Q36" i="127"/>
  <c r="AY220" i="59"/>
  <c r="AY147" i="59"/>
  <c r="K83" i="70"/>
  <c r="M5" i="131"/>
  <c r="BB301" i="59"/>
  <c r="AZ33" i="59"/>
  <c r="AX236" i="59"/>
  <c r="K34" i="135"/>
  <c r="L42" i="70"/>
  <c r="AE48" i="127"/>
  <c r="J69" i="127"/>
  <c r="BA299" i="59"/>
  <c r="H71" i="70"/>
  <c r="F20" i="135"/>
  <c r="AZ170" i="59"/>
  <c r="K64" i="127"/>
  <c r="BF147" i="59"/>
  <c r="AO44" i="127"/>
  <c r="AY29" i="59"/>
  <c r="AW83" i="70"/>
  <c r="AL45" i="127"/>
  <c r="N83" i="70"/>
  <c r="I54" i="127"/>
  <c r="AA54" i="127"/>
  <c r="AS34" i="70"/>
  <c r="AY239" i="59"/>
  <c r="BB239" i="59"/>
  <c r="R40" i="127"/>
  <c r="AG64" i="127"/>
  <c r="T44" i="127"/>
  <c r="X38" i="127"/>
  <c r="AR70" i="127"/>
  <c r="K71" i="70"/>
  <c r="H9" i="131"/>
  <c r="AE36" i="127"/>
  <c r="N39" i="127"/>
  <c r="J21" i="133"/>
  <c r="AM70" i="127"/>
  <c r="AZ220" i="59"/>
  <c r="M14" i="133"/>
  <c r="G78" i="133"/>
  <c r="E8" i="131"/>
  <c r="AY23" i="59"/>
  <c r="AU63" i="127"/>
  <c r="BD29" i="59"/>
  <c r="P64" i="127"/>
  <c r="BF60" i="59"/>
  <c r="AZ23" i="59"/>
  <c r="P68" i="127"/>
  <c r="AX300" i="59"/>
  <c r="G42" i="70"/>
  <c r="M51" i="127"/>
  <c r="AX22" i="70"/>
  <c r="AT39" i="127"/>
  <c r="BC306" i="59"/>
  <c r="H23" i="133"/>
  <c r="L15" i="131"/>
  <c r="AD52" i="127"/>
  <c r="T131" i="105"/>
  <c r="S36" i="127"/>
  <c r="AC62" i="127"/>
  <c r="I36" i="127"/>
  <c r="U51" i="127"/>
  <c r="AL42" i="70"/>
  <c r="I15" i="133"/>
  <c r="H5" i="131"/>
  <c r="M39" i="135"/>
  <c r="I53" i="127"/>
  <c r="L19" i="133"/>
  <c r="G19" i="133"/>
  <c r="AF68" i="127"/>
  <c r="T46" i="127"/>
  <c r="BD60" i="59"/>
  <c r="N36" i="127"/>
  <c r="BF157" i="59"/>
  <c r="P67" i="127"/>
  <c r="J22" i="70"/>
  <c r="G38" i="70"/>
  <c r="H50" i="127"/>
  <c r="AU73" i="70"/>
  <c r="L15" i="133"/>
  <c r="W46" i="127"/>
  <c r="AL36" i="127"/>
  <c r="R64" i="127"/>
  <c r="AR38" i="127"/>
  <c r="AX43" i="70"/>
  <c r="AI53" i="127"/>
  <c r="AT58" i="127"/>
  <c r="S46" i="127"/>
  <c r="AP46" i="127"/>
  <c r="H75" i="133"/>
  <c r="AU36" i="127"/>
  <c r="BD173" i="59"/>
  <c r="I21" i="133"/>
  <c r="M10" i="131"/>
  <c r="K42" i="70"/>
  <c r="M16" i="131"/>
  <c r="N67" i="127"/>
  <c r="M23" i="133"/>
  <c r="F64" i="127"/>
  <c r="K20" i="135"/>
  <c r="M38" i="70"/>
  <c r="AW46" i="70"/>
  <c r="AU69" i="127"/>
  <c r="AZ173" i="59"/>
  <c r="AD62" i="127"/>
  <c r="BF240" i="59"/>
  <c r="BC28" i="59"/>
  <c r="P46" i="127"/>
  <c r="AD45" i="127"/>
  <c r="I39" i="127"/>
  <c r="L44" i="127"/>
  <c r="N71" i="70"/>
  <c r="J37" i="135"/>
  <c r="N34" i="70"/>
  <c r="R54" i="127"/>
  <c r="AP44" i="127"/>
  <c r="H37" i="135"/>
  <c r="W53" i="127"/>
  <c r="J9" i="131"/>
  <c r="AB68" i="127"/>
  <c r="BB53" i="70"/>
  <c r="K46" i="70"/>
  <c r="AM57" i="70"/>
  <c r="H38" i="127"/>
  <c r="AL62" i="127"/>
  <c r="AB22" i="70"/>
  <c r="L78" i="133"/>
  <c r="J9" i="70"/>
  <c r="AP58" i="127"/>
  <c r="BD35" i="59"/>
  <c r="AI63" i="127"/>
  <c r="AW16" i="70"/>
  <c r="AM40" i="127"/>
  <c r="L21" i="133"/>
  <c r="R45" i="127"/>
  <c r="F13" i="133"/>
  <c r="M70" i="127"/>
  <c r="U58" i="127"/>
  <c r="AE46" i="127"/>
  <c r="AS38" i="70"/>
  <c r="AS61" i="70"/>
  <c r="N62" i="127"/>
  <c r="R68" i="127"/>
  <c r="AY299" i="59"/>
  <c r="BF224" i="59"/>
  <c r="AU50" i="127"/>
  <c r="J78" i="133"/>
  <c r="L74" i="133"/>
  <c r="K52" i="127"/>
  <c r="AX71" i="70"/>
  <c r="BD304" i="59"/>
  <c r="AU58" i="127"/>
  <c r="D9" i="131"/>
  <c r="AO68" i="127"/>
  <c r="AU11" i="70"/>
  <c r="BA25" i="59"/>
  <c r="BF298" i="59"/>
  <c r="K34" i="70"/>
  <c r="V68" i="127"/>
  <c r="AV16" i="70"/>
  <c r="S48" i="127"/>
  <c r="G41" i="135"/>
  <c r="S58" i="127"/>
  <c r="BF37" i="59"/>
  <c r="I14" i="131"/>
  <c r="AS45" i="127"/>
  <c r="Y66" i="127"/>
  <c r="S83" i="70"/>
  <c r="M76" i="133"/>
  <c r="AV43" i="70"/>
  <c r="J30" i="135"/>
  <c r="N46" i="127"/>
  <c r="U54" i="127"/>
  <c r="W70" i="127"/>
  <c r="BA223" i="59"/>
  <c r="L76" i="133"/>
  <c r="BB22" i="59"/>
  <c r="K49" i="70"/>
  <c r="AH54" i="127"/>
  <c r="V36" i="127"/>
  <c r="AO52" i="127"/>
  <c r="F19" i="135"/>
  <c r="AR54" i="127"/>
  <c r="M10" i="135"/>
  <c r="AU68" i="127"/>
  <c r="BA220" i="59"/>
  <c r="L71" i="70"/>
  <c r="BC14" i="59"/>
  <c r="AP66" i="127"/>
  <c r="D16" i="131"/>
  <c r="Q70" i="127"/>
  <c r="AV15" i="70"/>
  <c r="J44" i="127"/>
  <c r="J49" i="70"/>
  <c r="BE169" i="59"/>
  <c r="AZ300" i="59"/>
  <c r="G81" i="133"/>
  <c r="T51" i="127"/>
  <c r="AS70" i="127"/>
  <c r="AB38" i="127"/>
  <c r="AQ44" i="127"/>
  <c r="AU62" i="127"/>
  <c r="AA42" i="70"/>
  <c r="BF237" i="59"/>
  <c r="AE68" i="127"/>
  <c r="L11" i="70"/>
  <c r="AO58" i="127"/>
  <c r="T70" i="127"/>
  <c r="H58" i="127"/>
  <c r="M73" i="133"/>
  <c r="L16" i="70"/>
  <c r="X52" i="127"/>
  <c r="AN63" i="127"/>
  <c r="AC36" i="127"/>
  <c r="AO63" i="127"/>
  <c r="M32" i="135"/>
  <c r="U64" i="127"/>
  <c r="BC60" i="59"/>
  <c r="L16" i="131"/>
  <c r="BA61" i="59"/>
  <c r="L39" i="135"/>
  <c r="AY24" i="59"/>
  <c r="F40" i="127"/>
  <c r="BE172" i="59"/>
  <c r="G15" i="131"/>
  <c r="G43" i="70"/>
  <c r="BB46" i="70"/>
  <c r="N39" i="70"/>
  <c r="AV35" i="70"/>
  <c r="AG44" i="127"/>
  <c r="AY28" i="59"/>
  <c r="BC301" i="59"/>
  <c r="AL16" i="70"/>
  <c r="H81" i="133"/>
  <c r="AM67" i="127"/>
  <c r="F45" i="127"/>
  <c r="I15" i="107"/>
  <c r="BC168" i="59"/>
  <c r="BD147" i="59"/>
  <c r="AQ50" i="127"/>
  <c r="AE69" i="127"/>
  <c r="I10" i="135"/>
  <c r="BC237" i="59"/>
  <c r="AN52" i="127"/>
  <c r="G13" i="133"/>
  <c r="F31" i="135"/>
  <c r="AC69" i="127"/>
  <c r="I16" i="131"/>
  <c r="O131" i="105"/>
  <c r="K39" i="70"/>
  <c r="AT16" i="70"/>
  <c r="BB43" i="70"/>
  <c r="F18" i="133"/>
  <c r="N61" i="70"/>
  <c r="I75" i="133"/>
  <c r="AJ24" i="70"/>
  <c r="AX24" i="70"/>
  <c r="BB24" i="70"/>
  <c r="J24" i="70"/>
  <c r="AT52" i="127"/>
  <c r="AU34" i="127"/>
  <c r="AD53" i="127"/>
  <c r="AG69" i="127"/>
  <c r="AF70" i="127"/>
  <c r="AU53" i="70"/>
  <c r="AJ64" i="127"/>
  <c r="BD61" i="59"/>
  <c r="U44" i="127"/>
  <c r="AR36" i="127"/>
  <c r="AX42" i="70"/>
  <c r="S63" i="127"/>
  <c r="AT39" i="70"/>
  <c r="AB53" i="127"/>
  <c r="AY240" i="59"/>
  <c r="AY170" i="59"/>
  <c r="AS40" i="127"/>
  <c r="J20" i="135"/>
  <c r="G9" i="70"/>
  <c r="M52" i="127"/>
  <c r="AF63" i="127"/>
  <c r="H46" i="70"/>
  <c r="AZ304" i="59"/>
  <c r="AX57" i="70"/>
  <c r="BA170" i="59"/>
  <c r="BE147" i="59"/>
  <c r="G15" i="107"/>
  <c r="L16" i="133"/>
  <c r="AT69" i="127"/>
  <c r="G74" i="133"/>
  <c r="AH64" i="127"/>
  <c r="BA37" i="59"/>
  <c r="H79" i="133"/>
  <c r="F15" i="133"/>
  <c r="AM44" i="127"/>
  <c r="AM36" i="127"/>
  <c r="H35" i="70"/>
  <c r="AY173" i="59"/>
  <c r="AD44" i="127"/>
  <c r="AL71" i="70"/>
  <c r="AV38" i="70"/>
  <c r="Y53" i="127"/>
  <c r="Y40" i="127"/>
  <c r="AN48" i="127"/>
  <c r="AM9" i="70"/>
  <c r="AS54" i="127"/>
  <c r="K38" i="70"/>
  <c r="P44" i="127"/>
  <c r="J61" i="70"/>
  <c r="H49" i="70"/>
  <c r="AU16" i="70"/>
  <c r="V54" i="127"/>
  <c r="AS42" i="70"/>
  <c r="I62" i="127"/>
  <c r="BA60" i="59"/>
  <c r="AN34" i="127"/>
  <c r="R69" i="127"/>
  <c r="K68" i="127"/>
  <c r="AU61" i="70"/>
  <c r="M14" i="131"/>
  <c r="F16" i="131"/>
  <c r="AL49" i="127"/>
  <c r="I51" i="127"/>
  <c r="J68" i="127"/>
  <c r="I15" i="70"/>
  <c r="L32" i="135"/>
  <c r="V58" i="127"/>
  <c r="AW22" i="70"/>
  <c r="AF51" i="127"/>
  <c r="H39" i="135"/>
  <c r="I39" i="135"/>
  <c r="H6" i="131"/>
  <c r="AJ61" i="70"/>
  <c r="N73" i="70"/>
  <c r="AA68" i="127"/>
  <c r="AC83" i="70"/>
  <c r="J31" i="135"/>
  <c r="BB224" i="59"/>
  <c r="AJ38" i="127"/>
  <c r="AG53" i="127"/>
  <c r="AS71" i="70"/>
  <c r="Q48" i="127"/>
  <c r="BA302" i="59"/>
  <c r="AL63" i="127"/>
  <c r="AE45" i="127"/>
  <c r="M83" i="133"/>
  <c r="N45" i="127"/>
  <c r="L62" i="127"/>
  <c r="AT66" i="127"/>
  <c r="L23" i="70"/>
  <c r="AR69" i="127"/>
  <c r="K40" i="127"/>
  <c r="BA11" i="70"/>
  <c r="AV9" i="70"/>
  <c r="BC157" i="59"/>
  <c r="AY221" i="59"/>
  <c r="I32" i="135"/>
  <c r="F68" i="127"/>
  <c r="BE28" i="59"/>
  <c r="P70" i="127"/>
  <c r="BB173" i="59"/>
  <c r="N38" i="127"/>
  <c r="AQ58" i="127"/>
  <c r="AB54" i="127"/>
  <c r="AM39" i="127"/>
  <c r="AJ15" i="70"/>
  <c r="AJ53" i="70"/>
  <c r="AD39" i="127"/>
  <c r="I68" i="127"/>
  <c r="M85" i="133"/>
  <c r="AD64" i="127"/>
  <c r="AL70" i="127"/>
  <c r="I19" i="131"/>
  <c r="M29" i="135"/>
  <c r="S38" i="127"/>
  <c r="AL46" i="127"/>
  <c r="AT51" i="127"/>
  <c r="AY306" i="59"/>
  <c r="K39" i="135"/>
  <c r="H54" i="127"/>
  <c r="BD220" i="59"/>
  <c r="AD49" i="127"/>
  <c r="H19" i="131"/>
  <c r="BE24" i="59"/>
  <c r="AG40" i="127"/>
  <c r="AB9" i="70"/>
  <c r="AE39" i="127"/>
  <c r="AC51" i="127"/>
  <c r="F73" i="133"/>
  <c r="N16" i="70"/>
  <c r="BE14" i="59"/>
  <c r="BF221" i="59"/>
  <c r="AS52" i="127"/>
  <c r="BA23" i="59"/>
  <c r="AY168" i="59"/>
  <c r="BA46" i="70"/>
  <c r="AY15" i="59"/>
  <c r="AD69" i="127"/>
  <c r="AD36" i="127"/>
  <c r="AM22" i="70"/>
  <c r="F69" i="127"/>
  <c r="S68" i="127"/>
  <c r="AD67" i="127"/>
  <c r="AI38" i="127"/>
  <c r="P52" i="127"/>
  <c r="AI50" i="127"/>
  <c r="J10" i="131"/>
  <c r="AN62" i="127"/>
  <c r="N66" i="127"/>
  <c r="AL58" i="127"/>
  <c r="BD301" i="59"/>
  <c r="AP67" i="127"/>
  <c r="AL66" i="127"/>
  <c r="BF29" i="59"/>
  <c r="U68" i="127"/>
  <c r="F6" i="131"/>
  <c r="H39" i="70"/>
  <c r="AR51" i="127"/>
  <c r="X67" i="127"/>
  <c r="V66" i="127"/>
  <c r="Q38" i="127"/>
  <c r="AZ22" i="59"/>
  <c r="AM51" i="127"/>
  <c r="AA40" i="127"/>
  <c r="AU45" i="127"/>
  <c r="AB66" i="127"/>
  <c r="AL39" i="70"/>
  <c r="AU49" i="127"/>
  <c r="AA45" i="127"/>
  <c r="J36" i="127"/>
  <c r="AW34" i="70"/>
  <c r="K46" i="127"/>
  <c r="Q40" i="127"/>
  <c r="BB35" i="70"/>
  <c r="M39" i="127"/>
  <c r="X62" i="127"/>
  <c r="AA38" i="70"/>
  <c r="M15" i="133"/>
  <c r="M46" i="127"/>
  <c r="V67" i="127"/>
  <c r="T45" i="127"/>
  <c r="I73" i="133"/>
  <c r="BA42" i="70"/>
  <c r="AO40" i="127"/>
  <c r="AM24" i="70"/>
  <c r="AW24" i="70"/>
  <c r="AJ70" i="127"/>
  <c r="AA38" i="127"/>
  <c r="BB49" i="70"/>
  <c r="J39" i="70"/>
  <c r="AT42" i="70"/>
  <c r="AS49" i="70"/>
  <c r="AA64" i="127"/>
  <c r="D19" i="131"/>
  <c r="BA306" i="59"/>
  <c r="J16" i="133"/>
  <c r="AZ61" i="59"/>
  <c r="AV49" i="70"/>
  <c r="AL49" i="70"/>
  <c r="BE22" i="59"/>
  <c r="BB10" i="59"/>
  <c r="BE37" i="59"/>
  <c r="BA173" i="59"/>
  <c r="AC68" i="127"/>
  <c r="G23" i="133"/>
  <c r="L9" i="70"/>
  <c r="BD40" i="59"/>
  <c r="AI54" i="127"/>
  <c r="P66" i="127"/>
  <c r="F67" i="127"/>
  <c r="AO49" i="127"/>
  <c r="AY22" i="59"/>
  <c r="G18" i="133"/>
  <c r="W58" i="127"/>
  <c r="BA34" i="70"/>
  <c r="AS39" i="127"/>
  <c r="J32" i="135"/>
  <c r="Y54" i="127"/>
  <c r="I41" i="135"/>
  <c r="AY14" i="59"/>
  <c r="U48" i="127"/>
  <c r="J6" i="131"/>
  <c r="J38" i="70"/>
  <c r="BF168" i="59"/>
  <c r="CN83" i="70"/>
  <c r="I18" i="133"/>
  <c r="S39" i="127"/>
  <c r="G35" i="135"/>
  <c r="AG83" i="70"/>
  <c r="N43" i="70"/>
  <c r="BE15" i="59"/>
  <c r="AJ44" i="127"/>
  <c r="AM35" i="70"/>
  <c r="BA157" i="59"/>
  <c r="AT19" i="70"/>
  <c r="AT49" i="127"/>
  <c r="AA52" i="127"/>
  <c r="AL64" i="127"/>
  <c r="H15" i="131"/>
  <c r="AE53" i="127"/>
  <c r="BB24" i="59"/>
  <c r="AA22" i="70"/>
  <c r="AA24" i="70"/>
  <c r="Y39" i="127"/>
  <c r="L49" i="70"/>
  <c r="BB172" i="59"/>
  <c r="J15" i="131"/>
  <c r="L67" i="127"/>
  <c r="K10" i="131"/>
  <c r="AV11" i="70"/>
  <c r="AJ43" i="70"/>
  <c r="AX301" i="59"/>
  <c r="AY61" i="59"/>
  <c r="G19" i="70"/>
  <c r="V63" i="127"/>
  <c r="AJ63" i="127"/>
  <c r="AF50" i="127"/>
  <c r="AJ16" i="70"/>
  <c r="AB43" i="70"/>
  <c r="AV53" i="70"/>
  <c r="K39" i="127"/>
  <c r="G34" i="70"/>
  <c r="L52" i="127"/>
  <c r="G71" i="70"/>
  <c r="AZ298" i="59"/>
  <c r="AJ68" i="127"/>
  <c r="AZ15" i="59"/>
  <c r="J66" i="127"/>
  <c r="AR40" i="127"/>
  <c r="AQ52" i="127"/>
  <c r="AQ67" i="127"/>
  <c r="I81" i="133"/>
  <c r="AU9" i="70"/>
  <c r="M16" i="133"/>
  <c r="K31" i="135"/>
  <c r="BC149" i="59"/>
  <c r="AB23" i="70"/>
  <c r="AZ35" i="59"/>
  <c r="AI58" i="127"/>
  <c r="Q64" i="127"/>
  <c r="AL54" i="127"/>
  <c r="AN50" i="127"/>
  <c r="AG45" i="127"/>
  <c r="AJ42" i="70"/>
  <c r="AQ54" i="127"/>
  <c r="R67" i="127"/>
  <c r="AZ40" i="59"/>
  <c r="L18" i="133"/>
  <c r="AQ69" i="127"/>
  <c r="L14" i="131"/>
  <c r="AB16" i="70"/>
  <c r="AW38" i="70"/>
  <c r="K21" i="133"/>
  <c r="Q45" i="127"/>
  <c r="H10" i="131"/>
  <c r="L25" i="133"/>
  <c r="AV23" i="70"/>
  <c r="AT15" i="70"/>
  <c r="AC67" i="127"/>
  <c r="BE33" i="59"/>
  <c r="AJ49" i="127"/>
  <c r="AL9" i="70"/>
  <c r="BA22" i="59"/>
  <c r="BA15" i="59"/>
  <c r="BA33" i="59"/>
  <c r="N42" i="70"/>
  <c r="K41" i="135"/>
  <c r="BF223" i="59"/>
  <c r="J73" i="70"/>
  <c r="AL34" i="70"/>
  <c r="U131" i="105"/>
  <c r="AL34" i="127"/>
  <c r="L5" i="131"/>
  <c r="AE83" i="70"/>
  <c r="T49" i="127"/>
  <c r="L70" i="127"/>
  <c r="AP51" i="127"/>
  <c r="M62" i="127"/>
  <c r="BE300" i="59"/>
  <c r="AB39" i="70"/>
  <c r="X64" i="127"/>
  <c r="L81" i="133"/>
  <c r="BC224" i="59"/>
  <c r="AW42" i="70"/>
  <c r="BC171" i="59"/>
  <c r="BD300" i="59"/>
  <c r="AY149" i="59"/>
  <c r="L15" i="70"/>
  <c r="H70" i="127"/>
  <c r="AU38" i="70"/>
  <c r="BF149" i="59"/>
  <c r="AS69" i="127"/>
  <c r="AV34" i="70"/>
  <c r="Y44" i="127"/>
  <c r="K23" i="70"/>
  <c r="AS23" i="70"/>
  <c r="AC64" i="127"/>
  <c r="BD37" i="59"/>
  <c r="I30" i="135"/>
  <c r="F34" i="135"/>
  <c r="F41" i="135"/>
  <c r="BC22" i="59"/>
  <c r="M48" i="127"/>
  <c r="AB24" i="70"/>
  <c r="AS24" i="70"/>
  <c r="AN40" i="127"/>
  <c r="AE58" i="127"/>
  <c r="L36" i="127"/>
  <c r="I40" i="127"/>
  <c r="AE50" i="127"/>
  <c r="G23" i="70"/>
  <c r="AX43" i="60"/>
  <c r="AD48" i="127"/>
  <c r="K19" i="133"/>
  <c r="U62" i="127"/>
  <c r="AM39" i="70"/>
  <c r="BB300" i="59"/>
  <c r="AL59" i="127"/>
  <c r="G20" i="135"/>
  <c r="AN69" i="127"/>
  <c r="AO45" i="127"/>
  <c r="AY43" i="60"/>
  <c r="G24" i="70"/>
  <c r="I8" i="131"/>
  <c r="M42" i="70"/>
  <c r="K18" i="133"/>
  <c r="I37" i="135"/>
  <c r="BF23" i="59"/>
  <c r="AB58" i="127"/>
  <c r="L37" i="135"/>
  <c r="AQ45" i="127"/>
  <c r="BF229" i="59"/>
  <c r="BF28" i="59"/>
  <c r="F79" i="133"/>
  <c r="AV22" i="70"/>
  <c r="H21" i="133"/>
  <c r="M64" i="127"/>
  <c r="BF25" i="59"/>
  <c r="AY301" i="59"/>
  <c r="S40" i="127"/>
  <c r="BD170" i="59"/>
  <c r="F35" i="135"/>
  <c r="AQ46" i="127"/>
  <c r="L40" i="127"/>
  <c r="D5" i="131"/>
  <c r="Q69" i="127"/>
  <c r="Q46" i="127"/>
  <c r="L66" i="127"/>
  <c r="BA237" i="59"/>
  <c r="AT22" i="70"/>
  <c r="AB40" i="127"/>
  <c r="AM15" i="70"/>
  <c r="BF15" i="59"/>
  <c r="U38" i="127"/>
  <c r="BF306" i="59"/>
  <c r="AI51" i="127"/>
  <c r="AG52" i="127"/>
  <c r="AT63" i="127"/>
  <c r="K30" i="135"/>
  <c r="AA58" i="127"/>
  <c r="BC220" i="59"/>
  <c r="AD50" i="127"/>
  <c r="M78" i="133"/>
  <c r="AL69" i="127"/>
  <c r="AT64" i="127"/>
  <c r="AZ14" i="59"/>
  <c r="J11" i="70"/>
  <c r="AE49" i="127"/>
  <c r="W64" i="127"/>
  <c r="BE301" i="59"/>
  <c r="BC236" i="59"/>
  <c r="AY304" i="59"/>
  <c r="AE64" i="127"/>
  <c r="AZ224" i="59"/>
  <c r="AV24" i="70"/>
  <c r="AT24" i="70"/>
  <c r="AY16" i="70"/>
  <c r="AY43" i="70"/>
  <c r="AY42" i="70"/>
  <c r="BC34" i="70"/>
  <c r="BC46" i="70"/>
  <c r="AY53" i="70"/>
  <c r="BC11" i="70"/>
  <c r="BC42" i="70"/>
  <c r="AY15" i="70"/>
  <c r="AY61" i="70"/>
  <c r="AY22" i="70"/>
  <c r="AY11" i="70"/>
  <c r="BC35" i="70"/>
  <c r="AY46" i="70"/>
  <c r="BC53" i="70"/>
  <c r="AY23" i="70"/>
  <c r="AY19" i="70"/>
  <c r="BC16" i="70"/>
  <c r="BC15" i="70"/>
  <c r="AY83" i="70"/>
  <c r="AY49" i="70"/>
  <c r="BC57" i="70"/>
  <c r="BC43" i="70"/>
  <c r="BC19" i="70"/>
  <c r="AY38" i="70"/>
  <c r="AY73" i="70"/>
  <c r="BC22" i="70"/>
  <c r="BC71" i="70"/>
  <c r="BC49" i="70"/>
  <c r="AY57" i="70"/>
  <c r="BC39" i="70"/>
  <c r="AY35" i="70"/>
  <c r="AY39" i="70"/>
  <c r="AY34" i="70"/>
  <c r="AY77" i="70"/>
  <c r="BC23" i="70"/>
  <c r="AH39" i="70"/>
  <c r="AH11" i="70"/>
  <c r="AH49" i="70"/>
  <c r="AH46" i="70"/>
  <c r="AH16" i="70"/>
  <c r="AH53" i="70"/>
  <c r="AH23" i="70"/>
  <c r="AH57" i="70"/>
  <c r="AH42" i="70"/>
  <c r="AH43" i="70"/>
  <c r="AH34" i="70"/>
  <c r="AH19" i="70"/>
  <c r="AH15" i="70"/>
  <c r="P23" i="70"/>
  <c r="P34" i="70"/>
  <c r="P19" i="70"/>
  <c r="P71" i="70"/>
  <c r="P38" i="70"/>
  <c r="P61" i="70"/>
  <c r="P77" i="70"/>
  <c r="P42" i="70"/>
  <c r="P43" i="70"/>
  <c r="P15" i="70"/>
  <c r="P83" i="70"/>
  <c r="P49" i="70"/>
  <c r="P46" i="70"/>
  <c r="P11" i="70"/>
  <c r="P73" i="70"/>
  <c r="P16" i="70"/>
  <c r="P57" i="70"/>
  <c r="P39" i="70"/>
  <c r="P53" i="70"/>
  <c r="AX64" i="70"/>
  <c r="AU64" i="70"/>
  <c r="AM64" i="70"/>
  <c r="AA64" i="70"/>
  <c r="N64" i="70"/>
  <c r="AL64" i="70"/>
  <c r="AB64" i="70"/>
  <c r="AS64" i="70"/>
  <c r="K64" i="70"/>
  <c r="AV64" i="70"/>
  <c r="M64" i="70"/>
  <c r="AT64" i="70"/>
  <c r="H64" i="70"/>
  <c r="AJ64" i="70"/>
  <c r="J64" i="70"/>
  <c r="L64" i="70"/>
  <c r="AW64" i="70"/>
  <c r="G64" i="70"/>
  <c r="N74" i="70"/>
  <c r="AX74" i="70"/>
  <c r="BA74" i="70"/>
  <c r="G74" i="70"/>
  <c r="H74" i="70"/>
  <c r="K74" i="70"/>
  <c r="AA74" i="70"/>
  <c r="AW74" i="70"/>
  <c r="AL74" i="70"/>
  <c r="AS74" i="70"/>
  <c r="AT74" i="70"/>
  <c r="AU74" i="70"/>
  <c r="AJ74" i="70"/>
  <c r="J74" i="70"/>
  <c r="M74" i="70"/>
  <c r="AB74" i="70"/>
  <c r="AM74" i="70"/>
  <c r="AV74" i="70"/>
  <c r="L74" i="70"/>
  <c r="AW17" i="70"/>
  <c r="BC279" i="59"/>
  <c r="AU47" i="70"/>
  <c r="M47" i="70"/>
  <c r="AA164" i="105"/>
  <c r="L54" i="70"/>
  <c r="AW85" i="70"/>
  <c r="H50" i="135"/>
  <c r="AF154" i="105"/>
  <c r="AM17" i="70"/>
  <c r="AJ47" i="70"/>
  <c r="H85" i="70"/>
  <c r="K51" i="135"/>
  <c r="CW43" i="70"/>
  <c r="J10" i="70"/>
  <c r="AA20" i="70"/>
  <c r="BF281" i="59"/>
  <c r="AA142" i="105"/>
  <c r="AA78" i="127"/>
  <c r="AA97" i="127"/>
  <c r="AC166" i="105"/>
  <c r="AW20" i="70"/>
  <c r="AX10" i="70"/>
  <c r="BF279" i="59"/>
  <c r="F127" i="31"/>
  <c r="G20" i="70"/>
  <c r="AM50" i="70"/>
  <c r="AW47" i="70"/>
  <c r="I127" i="31"/>
  <c r="N363" i="110"/>
  <c r="AE163" i="105"/>
  <c r="AL20" i="70"/>
  <c r="AA10" i="70"/>
  <c r="CW57" i="70"/>
  <c r="L12" i="70"/>
  <c r="K49" i="135"/>
  <c r="AV36" i="70"/>
  <c r="M40" i="70"/>
  <c r="Z141" i="105"/>
  <c r="AF165" i="105"/>
  <c r="AG85" i="70"/>
  <c r="AJ85" i="70"/>
  <c r="AC164" i="105"/>
  <c r="AC163" i="105"/>
  <c r="L10" i="70"/>
  <c r="AF142" i="105"/>
  <c r="K85" i="70"/>
  <c r="AL36" i="70"/>
  <c r="J12" i="70"/>
  <c r="Y166" i="105"/>
  <c r="AT20" i="70"/>
  <c r="AF166" i="105"/>
  <c r="AY278" i="59"/>
  <c r="Z140" i="105"/>
  <c r="AL12" i="70"/>
  <c r="L20" i="70"/>
  <c r="BC312" i="59"/>
  <c r="G50" i="135"/>
  <c r="AM40" i="70"/>
  <c r="F51" i="135"/>
  <c r="Y151" i="105"/>
  <c r="BB312" i="59"/>
  <c r="AM54" i="70"/>
  <c r="AL78" i="127"/>
  <c r="AL97" i="127"/>
  <c r="AX17" i="70"/>
  <c r="AJ17" i="70"/>
  <c r="AA163" i="105"/>
  <c r="K369" i="110"/>
  <c r="AU36" i="70"/>
  <c r="AE140" i="105"/>
  <c r="BE278" i="59"/>
  <c r="AM47" i="70"/>
  <c r="AA166" i="105"/>
  <c r="K20" i="70"/>
  <c r="AM12" i="70"/>
  <c r="BB280" i="59"/>
  <c r="AS50" i="70"/>
  <c r="AG154" i="105"/>
  <c r="AA152" i="105"/>
  <c r="I366" i="110"/>
  <c r="BC311" i="59"/>
  <c r="AF152" i="105"/>
  <c r="AD164" i="105"/>
  <c r="AB164" i="105"/>
  <c r="AG163" i="105"/>
  <c r="AC165" i="105"/>
  <c r="G363" i="110"/>
  <c r="AF139" i="105"/>
  <c r="Z163" i="105"/>
  <c r="J51" i="135"/>
  <c r="CW84" i="70"/>
  <c r="AT50" i="70"/>
  <c r="AB40" i="70"/>
  <c r="AY312" i="59"/>
  <c r="AV12" i="70"/>
  <c r="AW36" i="70"/>
  <c r="AA36" i="70"/>
  <c r="AD85" i="70"/>
  <c r="G40" i="70"/>
  <c r="AZ279" i="59"/>
  <c r="AB141" i="105"/>
  <c r="AB165" i="105"/>
  <c r="BD279" i="59"/>
  <c r="J373" i="110"/>
  <c r="N17" i="70"/>
  <c r="AE166" i="105"/>
  <c r="N20" i="70"/>
  <c r="AX50" i="70"/>
  <c r="AL50" i="70"/>
  <c r="AA50" i="70"/>
  <c r="M51" i="135"/>
  <c r="J40" i="70"/>
  <c r="AU50" i="70"/>
  <c r="H54" i="70"/>
  <c r="AJ50" i="70"/>
  <c r="Z152" i="105"/>
  <c r="G51" i="135"/>
  <c r="BC280" i="59"/>
  <c r="AV50" i="70"/>
  <c r="AM85" i="70"/>
  <c r="AM36" i="70"/>
  <c r="G17" i="70"/>
  <c r="AB17" i="70"/>
  <c r="K50" i="70"/>
  <c r="CW34" i="70"/>
  <c r="AG164" i="105"/>
  <c r="L36" i="70"/>
  <c r="AL10" i="70"/>
  <c r="AT47" i="70"/>
  <c r="BA36" i="70"/>
  <c r="I369" i="110"/>
  <c r="AE151" i="105"/>
  <c r="AC142" i="105"/>
  <c r="BB50" i="70"/>
  <c r="BF312" i="59"/>
  <c r="M103" i="133"/>
  <c r="M92" i="133"/>
  <c r="BE311" i="59"/>
  <c r="M50" i="70"/>
  <c r="AT40" i="70"/>
  <c r="Y152" i="105"/>
  <c r="AC141" i="105"/>
  <c r="CN85" i="70"/>
  <c r="Y153" i="105"/>
  <c r="K36" i="70"/>
  <c r="BD280" i="59"/>
  <c r="AV17" i="70"/>
  <c r="K50" i="135"/>
  <c r="AA85" i="70"/>
  <c r="AT17" i="70"/>
  <c r="AJ36" i="70"/>
  <c r="AL85" i="70"/>
  <c r="AE139" i="105"/>
  <c r="AJ40" i="70"/>
  <c r="AD166" i="105"/>
  <c r="N54" i="70"/>
  <c r="BB47" i="70"/>
  <c r="I362" i="110"/>
  <c r="N40" i="70"/>
  <c r="N50" i="70"/>
  <c r="AV47" i="70"/>
  <c r="AX54" i="70"/>
  <c r="AT10" i="70"/>
  <c r="AX312" i="59"/>
  <c r="AL47" i="70"/>
  <c r="L47" i="70"/>
  <c r="AV85" i="70"/>
  <c r="AZ281" i="59"/>
  <c r="AS47" i="70"/>
  <c r="AF164" i="105"/>
  <c r="AC152" i="105"/>
  <c r="AX78" i="70"/>
  <c r="AY78" i="70"/>
  <c r="G48" i="135"/>
  <c r="AS36" i="70"/>
  <c r="BB17" i="70"/>
  <c r="AD154" i="105"/>
  <c r="BC278" i="59"/>
  <c r="G36" i="70"/>
  <c r="AA12" i="70"/>
  <c r="BA312" i="59"/>
  <c r="AA153" i="105"/>
  <c r="M50" i="135"/>
  <c r="G47" i="70"/>
  <c r="AT54" i="70"/>
  <c r="AB47" i="70"/>
  <c r="AX311" i="59"/>
  <c r="AX20" i="70"/>
  <c r="AG152" i="105"/>
  <c r="L127" i="31"/>
  <c r="AL54" i="70"/>
  <c r="AD139" i="105"/>
  <c r="AE165" i="105"/>
  <c r="AV54" i="70"/>
  <c r="N321" i="110"/>
  <c r="N372" i="110"/>
  <c r="AT85" i="70"/>
  <c r="AU12" i="70"/>
  <c r="CW49" i="70"/>
  <c r="AC85" i="70"/>
  <c r="AF153" i="105"/>
  <c r="AB153" i="105"/>
  <c r="AD153" i="105"/>
  <c r="AA47" i="70"/>
  <c r="M48" i="135"/>
  <c r="G360" i="110"/>
  <c r="AB154" i="105"/>
  <c r="AX47" i="70"/>
  <c r="BA54" i="70"/>
  <c r="AY281" i="59"/>
  <c r="AY279" i="59"/>
  <c r="Z141" i="123"/>
  <c r="L92" i="133"/>
  <c r="L103" i="133"/>
  <c r="AC140" i="105"/>
  <c r="J48" i="135"/>
  <c r="BD311" i="59"/>
  <c r="N12" i="70"/>
  <c r="J50" i="135"/>
  <c r="Y142" i="105"/>
  <c r="AA54" i="70"/>
  <c r="AD165" i="105"/>
  <c r="BA311" i="59"/>
  <c r="K373" i="110"/>
  <c r="AB139" i="105"/>
  <c r="L50" i="135"/>
  <c r="Z153" i="105"/>
  <c r="AD151" i="105"/>
  <c r="Y141" i="105"/>
  <c r="G85" i="70"/>
  <c r="AF151" i="105"/>
  <c r="Y165" i="105"/>
  <c r="BB278" i="59"/>
  <c r="J92" i="133"/>
  <c r="J103" i="133"/>
  <c r="AA139" i="105"/>
  <c r="AB20" i="70"/>
  <c r="AE141" i="105"/>
  <c r="BE312" i="59"/>
  <c r="AJ20" i="70"/>
  <c r="F50" i="135"/>
  <c r="BA278" i="59"/>
  <c r="L17" i="70"/>
  <c r="K47" i="70"/>
  <c r="BB54" i="70"/>
  <c r="AZ311" i="59"/>
  <c r="AZ278" i="59"/>
  <c r="AJ12" i="70"/>
  <c r="AL17" i="70"/>
  <c r="L51" i="135"/>
  <c r="H10" i="70"/>
  <c r="AY311" i="59"/>
  <c r="AT12" i="70"/>
  <c r="N127" i="31"/>
  <c r="I49" i="135"/>
  <c r="AF85" i="70"/>
  <c r="H12" i="70"/>
  <c r="M85" i="70"/>
  <c r="AG151" i="105"/>
  <c r="BA279" i="59"/>
  <c r="H50" i="70"/>
  <c r="AM20" i="70"/>
  <c r="AS40" i="70"/>
  <c r="N47" i="70"/>
  <c r="AF141" i="105"/>
  <c r="I51" i="135"/>
  <c r="CW23" i="70"/>
  <c r="AU85" i="70"/>
  <c r="I50" i="135"/>
  <c r="K12" i="70"/>
  <c r="AB10" i="70"/>
  <c r="M12" i="70"/>
  <c r="AV40" i="70"/>
  <c r="K10" i="70"/>
  <c r="AB151" i="105"/>
  <c r="AZ312" i="59"/>
  <c r="AW12" i="70"/>
  <c r="AG165" i="105"/>
  <c r="Z164" i="105"/>
  <c r="AW40" i="70"/>
  <c r="J20" i="70"/>
  <c r="BA281" i="59"/>
  <c r="AB152" i="105"/>
  <c r="H47" i="70"/>
  <c r="AH9" i="70"/>
  <c r="AJ54" i="70"/>
  <c r="Y164" i="105"/>
  <c r="H49" i="135"/>
  <c r="BA12" i="70"/>
  <c r="AS12" i="70"/>
  <c r="AA141" i="105"/>
  <c r="BA20" i="70"/>
  <c r="Y140" i="105"/>
  <c r="CW53" i="70"/>
  <c r="AA17" i="70"/>
  <c r="J47" i="70"/>
  <c r="G49" i="135"/>
  <c r="K54" i="70"/>
  <c r="BD312" i="59"/>
  <c r="M49" i="135"/>
  <c r="BA10" i="70"/>
  <c r="BC9" i="70"/>
  <c r="L50" i="70"/>
  <c r="H36" i="70"/>
  <c r="J49" i="135"/>
  <c r="F48" i="135"/>
  <c r="CW39" i="70"/>
  <c r="AB36" i="70"/>
  <c r="AS85" i="70"/>
  <c r="M367" i="110"/>
  <c r="AU10" i="70"/>
  <c r="M321" i="110"/>
  <c r="M372" i="110"/>
  <c r="BD281" i="59"/>
  <c r="N36" i="70"/>
  <c r="BF311" i="59"/>
  <c r="AU40" i="70"/>
  <c r="AE85" i="70"/>
  <c r="H40" i="70"/>
  <c r="BA50" i="70"/>
  <c r="CW42" i="70"/>
  <c r="AW50" i="70"/>
  <c r="Z165" i="105"/>
  <c r="AA165" i="105"/>
  <c r="G92" i="133"/>
  <c r="G103" i="133"/>
  <c r="AB140" i="105"/>
  <c r="M361" i="110"/>
  <c r="BB10" i="70"/>
  <c r="BB311" i="59"/>
  <c r="H48" i="135"/>
  <c r="AG166" i="105"/>
  <c r="BA85" i="70"/>
  <c r="AB50" i="70"/>
  <c r="I92" i="133"/>
  <c r="I103" i="133"/>
  <c r="M127" i="31"/>
  <c r="AD141" i="105"/>
  <c r="AC151" i="105"/>
  <c r="L365" i="110"/>
  <c r="N367" i="110"/>
  <c r="AS10" i="70"/>
  <c r="BF280" i="59"/>
  <c r="AG139" i="105"/>
  <c r="AX85" i="70"/>
  <c r="K48" i="135"/>
  <c r="AB54" i="70"/>
  <c r="AC153" i="105"/>
  <c r="BB36" i="70"/>
  <c r="AE164" i="105"/>
  <c r="AS17" i="70"/>
  <c r="AD140" i="105"/>
  <c r="AA40" i="70"/>
  <c r="Z142" i="105"/>
  <c r="AZ280" i="59"/>
  <c r="N10" i="70"/>
  <c r="J85" i="70"/>
  <c r="AG142" i="105"/>
  <c r="AG142" i="123"/>
  <c r="AE152" i="105"/>
  <c r="AG153" i="123"/>
  <c r="AG153" i="105"/>
  <c r="AM10" i="70"/>
  <c r="H51" i="135"/>
  <c r="H17" i="70"/>
  <c r="AV10" i="70"/>
  <c r="H103" i="133"/>
  <c r="H92" i="133"/>
  <c r="BE280" i="59"/>
  <c r="BB279" i="59"/>
  <c r="J127" i="31"/>
  <c r="J54" i="70"/>
  <c r="AT36" i="70"/>
  <c r="Y139" i="105"/>
  <c r="F92" i="133"/>
  <c r="F103" i="133"/>
  <c r="BC281" i="59"/>
  <c r="AC139" i="105"/>
  <c r="G54" i="70"/>
  <c r="L40" i="70"/>
  <c r="F49" i="135"/>
  <c r="AE153" i="105"/>
  <c r="AE142" i="105"/>
  <c r="K40" i="70"/>
  <c r="G10" i="70"/>
  <c r="P9" i="70"/>
  <c r="AL40" i="70"/>
  <c r="Z154" i="105"/>
  <c r="AE154" i="105"/>
  <c r="G50" i="70"/>
  <c r="K17" i="70"/>
  <c r="H127" i="31"/>
  <c r="M54" i="70"/>
  <c r="J17" i="70"/>
  <c r="I17" i="70"/>
  <c r="L48" i="135"/>
  <c r="AW54" i="70"/>
  <c r="BE281" i="59"/>
  <c r="AX40" i="70"/>
  <c r="K127" i="31"/>
  <c r="BB20" i="70"/>
  <c r="AA154" i="105"/>
  <c r="H20" i="70"/>
  <c r="Y154" i="105"/>
  <c r="AF140" i="105"/>
  <c r="AA140" i="105"/>
  <c r="BA47" i="70"/>
  <c r="R85" i="70"/>
  <c r="BB12" i="70"/>
  <c r="AB166" i="105"/>
  <c r="AB166" i="123"/>
  <c r="BA280" i="59"/>
  <c r="CW46" i="70"/>
  <c r="AC154" i="105"/>
  <c r="Z151" i="105"/>
  <c r="K92" i="133"/>
  <c r="K103" i="133"/>
  <c r="AF163" i="105"/>
  <c r="BF278" i="59"/>
  <c r="AS20" i="70"/>
  <c r="L85" i="70"/>
  <c r="AB163" i="105"/>
  <c r="AX12" i="70"/>
  <c r="AB12" i="70"/>
  <c r="Z139" i="105"/>
  <c r="M363" i="110"/>
  <c r="Y163" i="105"/>
  <c r="BD278" i="59"/>
  <c r="M36" i="70"/>
  <c r="AD152" i="105"/>
  <c r="M17" i="70"/>
  <c r="AD163" i="105"/>
  <c r="AW10" i="70"/>
  <c r="G12" i="70"/>
  <c r="N85" i="70"/>
  <c r="BA17" i="70"/>
  <c r="AV20" i="70"/>
  <c r="AX36" i="70"/>
  <c r="AD142" i="105"/>
  <c r="AG141" i="105"/>
  <c r="J50" i="70"/>
  <c r="AG140" i="105"/>
  <c r="G366" i="110"/>
  <c r="AY280" i="59"/>
  <c r="J362" i="110"/>
  <c r="AU17" i="70"/>
  <c r="AU20" i="70"/>
  <c r="AB85" i="70"/>
  <c r="BB281" i="59"/>
  <c r="G127" i="31"/>
  <c r="L49" i="135"/>
  <c r="Z166" i="105"/>
  <c r="AU54" i="70"/>
  <c r="M20" i="70"/>
  <c r="AA151" i="105"/>
  <c r="I48" i="135"/>
  <c r="M10" i="70"/>
  <c r="P78" i="127"/>
  <c r="P97" i="127"/>
  <c r="AS54" i="70"/>
  <c r="BE279" i="59"/>
  <c r="AY9" i="70"/>
  <c r="AJ10" i="70"/>
  <c r="AB142" i="105"/>
  <c r="AF142" i="123"/>
  <c r="G371" i="110"/>
  <c r="L321" i="110"/>
  <c r="L372" i="110"/>
  <c r="L371" i="110"/>
  <c r="N364" i="110"/>
  <c r="N362" i="110"/>
  <c r="G364" i="110"/>
  <c r="G362" i="110"/>
  <c r="L13" i="70"/>
  <c r="L373" i="110"/>
  <c r="H166" i="105"/>
  <c r="H373" i="110"/>
  <c r="AX235" i="59"/>
  <c r="K81" i="133"/>
  <c r="AX239" i="59"/>
  <c r="H321" i="110"/>
  <c r="H372" i="110"/>
  <c r="AA154" i="123"/>
  <c r="AF153" i="123"/>
  <c r="H87" i="70"/>
  <c r="K370" i="110"/>
  <c r="J13" i="70"/>
  <c r="J28" i="70"/>
  <c r="AF154" i="123"/>
  <c r="AB165" i="123"/>
  <c r="AF166" i="123"/>
  <c r="I367" i="110"/>
  <c r="AC166" i="123"/>
  <c r="AD142" i="123"/>
  <c r="Y166" i="123"/>
  <c r="J371" i="110"/>
  <c r="I28" i="70"/>
  <c r="I90" i="70"/>
  <c r="AY24" i="70"/>
  <c r="BC50" i="70"/>
  <c r="BC47" i="70"/>
  <c r="AY10" i="70"/>
  <c r="BC17" i="70"/>
  <c r="AY54" i="70"/>
  <c r="AH17" i="70"/>
  <c r="BC10" i="70"/>
  <c r="BC20" i="70"/>
  <c r="BC12" i="70"/>
  <c r="AY12" i="70"/>
  <c r="AY20" i="70"/>
  <c r="BC54" i="70"/>
  <c r="AY36" i="70"/>
  <c r="AY47" i="70"/>
  <c r="AY40" i="70"/>
  <c r="BC24" i="70"/>
  <c r="BC36" i="70"/>
  <c r="AY50" i="70"/>
  <c r="AY17" i="70"/>
  <c r="AY64" i="70"/>
  <c r="AH54" i="70"/>
  <c r="AH50" i="70"/>
  <c r="P10" i="70"/>
  <c r="AH12" i="70"/>
  <c r="AH10" i="70"/>
  <c r="AH47" i="70"/>
  <c r="P12" i="70"/>
  <c r="AH20" i="70"/>
  <c r="P47" i="70"/>
  <c r="P50" i="70"/>
  <c r="P54" i="70"/>
  <c r="Z165" i="123"/>
  <c r="P85" i="70"/>
  <c r="P40" i="70"/>
  <c r="P80" i="70"/>
  <c r="P64" i="70"/>
  <c r="P17" i="70"/>
  <c r="P20" i="70"/>
  <c r="P74" i="70"/>
  <c r="AG154" i="123"/>
  <c r="AL13" i="70"/>
  <c r="AL28" i="70"/>
  <c r="H364" i="110"/>
  <c r="H362" i="110"/>
  <c r="AA142" i="123"/>
  <c r="G373" i="110"/>
  <c r="G321" i="110"/>
  <c r="G372" i="110"/>
  <c r="I373" i="110"/>
  <c r="I321" i="110"/>
  <c r="I372" i="110"/>
  <c r="H363" i="110"/>
  <c r="K368" i="110"/>
  <c r="I371" i="110"/>
  <c r="AX13" i="70"/>
  <c r="AX28" i="70"/>
  <c r="AB142" i="123"/>
  <c r="AM13" i="70"/>
  <c r="AM28" i="70"/>
  <c r="AX87" i="70"/>
  <c r="AB153" i="123"/>
  <c r="AA13" i="70"/>
  <c r="AA28" i="70"/>
  <c r="I365" i="110"/>
  <c r="H371" i="110"/>
  <c r="AF165" i="123"/>
  <c r="I370" i="110"/>
  <c r="Y153" i="123"/>
  <c r="Z166" i="123"/>
  <c r="AE154" i="123"/>
  <c r="AG141" i="123"/>
  <c r="AA166" i="123"/>
  <c r="Z154" i="123"/>
  <c r="G13" i="70"/>
  <c r="G28" i="70"/>
  <c r="AE142" i="123"/>
  <c r="AX223" i="59"/>
  <c r="AX237" i="59"/>
  <c r="AX229" i="59"/>
  <c r="E21" i="135"/>
  <c r="AX16" i="59"/>
  <c r="AA153" i="123"/>
  <c r="AV13" i="70"/>
  <c r="AV28" i="70"/>
  <c r="AL66" i="70"/>
  <c r="AT13" i="70"/>
  <c r="AT28" i="70"/>
  <c r="L87" i="70"/>
  <c r="Y165" i="123"/>
  <c r="BE57" i="70"/>
  <c r="Z142" i="123"/>
  <c r="AC141" i="123"/>
  <c r="AE166" i="123"/>
  <c r="AA141" i="123"/>
  <c r="M114" i="133"/>
  <c r="N87" i="70"/>
  <c r="AD141" i="123"/>
  <c r="AC165" i="123"/>
  <c r="AT87" i="70"/>
  <c r="I368" i="110"/>
  <c r="AB141" i="123"/>
  <c r="AA165" i="123"/>
  <c r="J114" i="133"/>
  <c r="AD166" i="123"/>
  <c r="AE140" i="123"/>
  <c r="AT73" i="123"/>
  <c r="AD140" i="123"/>
  <c r="K363" i="110"/>
  <c r="K362" i="110"/>
  <c r="AB87" i="70"/>
  <c r="Y141" i="123"/>
  <c r="G359" i="110"/>
  <c r="M366" i="110"/>
  <c r="J365" i="110"/>
  <c r="J367" i="110"/>
  <c r="H365" i="110"/>
  <c r="H383" i="110"/>
  <c r="H366" i="110"/>
  <c r="H384" i="110"/>
  <c r="AX76" i="70"/>
  <c r="AY76" i="70"/>
  <c r="AC153" i="123"/>
  <c r="Y163" i="123"/>
  <c r="AS71" i="105"/>
  <c r="AT48" i="105"/>
  <c r="AS37" i="105"/>
  <c r="AD139" i="123"/>
  <c r="AT125" i="105"/>
  <c r="Z139" i="123"/>
  <c r="AW13" i="70"/>
  <c r="AW28" i="70"/>
  <c r="R87" i="70"/>
  <c r="AJ13" i="70"/>
  <c r="AJ28" i="70"/>
  <c r="AD151" i="123"/>
  <c r="Z153" i="123"/>
  <c r="AM66" i="70"/>
  <c r="AT126" i="123"/>
  <c r="AD153" i="123"/>
  <c r="AS87" i="70"/>
  <c r="M373" i="110"/>
  <c r="M371" i="110"/>
  <c r="AT104" i="105"/>
  <c r="I361" i="110"/>
  <c r="I359" i="110"/>
  <c r="H166" i="123"/>
  <c r="AS27" i="105"/>
  <c r="AS104" i="105"/>
  <c r="H367" i="110"/>
  <c r="H385" i="110"/>
  <c r="J366" i="110"/>
  <c r="G361" i="110"/>
  <c r="M365" i="110"/>
  <c r="L383" i="110"/>
  <c r="I360" i="110"/>
  <c r="K364" i="110"/>
  <c r="M364" i="110"/>
  <c r="M362" i="110"/>
  <c r="AS25" i="123"/>
  <c r="AS29" i="123"/>
  <c r="F198" i="123"/>
  <c r="AT25" i="105"/>
  <c r="L367" i="110"/>
  <c r="L366" i="110"/>
  <c r="AT119" i="105"/>
  <c r="CW54" i="70"/>
  <c r="N373" i="110"/>
  <c r="N371" i="110"/>
  <c r="AA164" i="123"/>
  <c r="AV87" i="70"/>
  <c r="AG164" i="123"/>
  <c r="AG166" i="123"/>
  <c r="AE164" i="123"/>
  <c r="AA151" i="123"/>
  <c r="AE153" i="123"/>
  <c r="Y164" i="123"/>
  <c r="AA152" i="123"/>
  <c r="AG152" i="123"/>
  <c r="AG140" i="123"/>
  <c r="AS4" i="123"/>
  <c r="F174" i="123"/>
  <c r="AX66" i="70"/>
  <c r="BE15" i="70"/>
  <c r="BE11" i="70"/>
  <c r="AD164" i="123"/>
  <c r="AS120" i="105"/>
  <c r="M66" i="70"/>
  <c r="AA163" i="123"/>
  <c r="AB154" i="123"/>
  <c r="AB13" i="70"/>
  <c r="AB28" i="70"/>
  <c r="AB163" i="123"/>
  <c r="K114" i="133"/>
  <c r="Z151" i="123"/>
  <c r="AC154" i="123"/>
  <c r="AC140" i="123"/>
  <c r="BE19" i="70"/>
  <c r="AT27" i="105"/>
  <c r="AC139" i="123"/>
  <c r="AG151" i="123"/>
  <c r="BE49" i="70"/>
  <c r="AS72" i="105"/>
  <c r="AC163" i="123"/>
  <c r="K66" i="70"/>
  <c r="AB151" i="123"/>
  <c r="L66" i="70"/>
  <c r="BE53" i="70"/>
  <c r="F114" i="133"/>
  <c r="AT66" i="70"/>
  <c r="H114" i="133"/>
  <c r="BE16" i="70"/>
  <c r="AT24" i="123"/>
  <c r="Z152" i="123"/>
  <c r="AE151" i="123"/>
  <c r="AC151" i="123"/>
  <c r="I114" i="133"/>
  <c r="BB13" i="70"/>
  <c r="BB28" i="70"/>
  <c r="BE43" i="70"/>
  <c r="AT93" i="105"/>
  <c r="G114" i="133"/>
  <c r="AW66" i="70"/>
  <c r="AU66" i="70"/>
  <c r="N66" i="70"/>
  <c r="Z163" i="123"/>
  <c r="AU13" i="70"/>
  <c r="AU28" i="70"/>
  <c r="AS22" i="123"/>
  <c r="F194" i="123"/>
  <c r="AS28" i="105"/>
  <c r="AA87" i="70"/>
  <c r="Y140" i="123"/>
  <c r="K87" i="70"/>
  <c r="AS13" i="70"/>
  <c r="AS28" i="70"/>
  <c r="AF139" i="123"/>
  <c r="AF141" i="123"/>
  <c r="AS66" i="70"/>
  <c r="M87" i="70"/>
  <c r="AJ87" i="70"/>
  <c r="AT19" i="105"/>
  <c r="AL87" i="70"/>
  <c r="AE141" i="123"/>
  <c r="AF152" i="123"/>
  <c r="J391" i="110"/>
  <c r="AF163" i="123"/>
  <c r="BE23" i="70"/>
  <c r="L114" i="133"/>
  <c r="AS80" i="105"/>
  <c r="BE42" i="70"/>
  <c r="AT118" i="105"/>
  <c r="AD154" i="123"/>
  <c r="Y154" i="123"/>
  <c r="AE165" i="123"/>
  <c r="AW87" i="70"/>
  <c r="AC142" i="123"/>
  <c r="F180" i="123"/>
  <c r="AS67" i="105"/>
  <c r="AS31" i="123"/>
  <c r="AS35" i="123"/>
  <c r="F204" i="123"/>
  <c r="CW47" i="70"/>
  <c r="AE163" i="123"/>
  <c r="AS77" i="105"/>
  <c r="AB164" i="123"/>
  <c r="AT117" i="123"/>
  <c r="AS118" i="105"/>
  <c r="AT23" i="105"/>
  <c r="AT105" i="105"/>
  <c r="AT28" i="105"/>
  <c r="AC164" i="123"/>
  <c r="Y139" i="123"/>
  <c r="AD152" i="123"/>
  <c r="AF164" i="123"/>
  <c r="AS16" i="123"/>
  <c r="H66" i="70"/>
  <c r="AT4" i="123"/>
  <c r="AS19" i="105"/>
  <c r="AT4" i="105"/>
  <c r="AS25" i="105"/>
  <c r="AS122" i="105"/>
  <c r="AT33" i="105"/>
  <c r="AS118" i="123"/>
  <c r="AS122" i="123"/>
  <c r="H202" i="123"/>
  <c r="AS38" i="105"/>
  <c r="AT32" i="123"/>
  <c r="AS28" i="123"/>
  <c r="AS32" i="123"/>
  <c r="F201" i="123"/>
  <c r="AS5" i="123"/>
  <c r="AT74" i="105"/>
  <c r="AS59" i="105"/>
  <c r="AT38" i="105"/>
  <c r="AT113" i="123"/>
  <c r="AT112" i="105"/>
  <c r="AS33" i="123"/>
  <c r="F202" i="123"/>
  <c r="AA140" i="123"/>
  <c r="AT66" i="105"/>
  <c r="AS30" i="105"/>
  <c r="AT59" i="105"/>
  <c r="AT126" i="105"/>
  <c r="AT37" i="105"/>
  <c r="AS93" i="105"/>
  <c r="AT75" i="105"/>
  <c r="AS127" i="123"/>
  <c r="H222" i="123"/>
  <c r="AT63" i="105"/>
  <c r="AS48" i="105"/>
  <c r="AS16" i="105"/>
  <c r="AS32" i="105"/>
  <c r="AS102" i="123"/>
  <c r="H183" i="123"/>
  <c r="AT63" i="123"/>
  <c r="AT94" i="105"/>
  <c r="AS82" i="105"/>
  <c r="AT114" i="105"/>
  <c r="AT69" i="105"/>
  <c r="G66" i="70"/>
  <c r="K371" i="110"/>
  <c r="J389" i="110"/>
  <c r="H361" i="110"/>
  <c r="H360" i="110"/>
  <c r="AS15" i="123"/>
  <c r="AT15" i="105"/>
  <c r="J363" i="110"/>
  <c r="J364" i="110"/>
  <c r="G367" i="110"/>
  <c r="G365" i="110"/>
  <c r="AT120" i="105"/>
  <c r="AD163" i="123"/>
  <c r="AS68" i="105"/>
  <c r="AT72" i="105"/>
  <c r="AS66" i="105"/>
  <c r="BE9" i="70"/>
  <c r="AS75" i="105"/>
  <c r="AT30" i="105"/>
  <c r="AS56" i="105"/>
  <c r="AS126" i="123"/>
  <c r="H221" i="123"/>
  <c r="AT31" i="123"/>
  <c r="N365" i="110"/>
  <c r="N366" i="110"/>
  <c r="AT122" i="105"/>
  <c r="M360" i="110"/>
  <c r="M359" i="110"/>
  <c r="AT36" i="105"/>
  <c r="AB140" i="123"/>
  <c r="H178" i="123"/>
  <c r="N370" i="110"/>
  <c r="N388" i="110"/>
  <c r="N369" i="110"/>
  <c r="N387" i="110"/>
  <c r="AS81" i="105"/>
  <c r="AT22" i="105"/>
  <c r="AB66" i="70"/>
  <c r="AE152" i="123"/>
  <c r="BA13" i="70"/>
  <c r="BA28" i="70"/>
  <c r="Y151" i="123"/>
  <c r="AB152" i="123"/>
  <c r="Z164" i="123"/>
  <c r="AG165" i="123"/>
  <c r="AT7" i="123"/>
  <c r="AT7" i="105"/>
  <c r="AV66" i="70"/>
  <c r="K13" i="70"/>
  <c r="K366" i="110"/>
  <c r="K367" i="110"/>
  <c r="AT67" i="105"/>
  <c r="J87" i="70"/>
  <c r="AE139" i="123"/>
  <c r="H13" i="70"/>
  <c r="H28" i="70"/>
  <c r="Z140" i="123"/>
  <c r="AT71" i="105"/>
  <c r="AA139" i="123"/>
  <c r="AF151" i="123"/>
  <c r="AS77" i="123"/>
  <c r="AS81" i="123"/>
  <c r="G206" i="123"/>
  <c r="AT77" i="105"/>
  <c r="AU87" i="70"/>
  <c r="AB139" i="123"/>
  <c r="AT49" i="105"/>
  <c r="AS49" i="105"/>
  <c r="AS82" i="123"/>
  <c r="G222" i="123"/>
  <c r="AD165" i="123"/>
  <c r="Y142" i="123"/>
  <c r="N13" i="70"/>
  <c r="N28" i="70"/>
  <c r="AG139" i="123"/>
  <c r="AT80" i="123"/>
  <c r="AT80" i="105"/>
  <c r="BE46" i="70"/>
  <c r="AA66" i="70"/>
  <c r="AF140" i="123"/>
  <c r="CW50" i="70"/>
  <c r="AG163" i="123"/>
  <c r="L364" i="110"/>
  <c r="L363" i="110"/>
  <c r="Y152" i="123"/>
  <c r="AC152" i="123"/>
  <c r="AS119" i="105"/>
  <c r="AT69" i="123"/>
  <c r="J361" i="110"/>
  <c r="J360" i="110"/>
  <c r="F419" i="113"/>
  <c r="F447" i="113"/>
  <c r="F455" i="113"/>
  <c r="F572" i="113"/>
  <c r="E106" i="105"/>
  <c r="F486" i="113"/>
  <c r="F494" i="113"/>
  <c r="F573" i="113"/>
  <c r="O106" i="105"/>
  <c r="AI106" i="105"/>
  <c r="AI107" i="123"/>
  <c r="G419" i="113"/>
  <c r="G447" i="113"/>
  <c r="G455" i="113"/>
  <c r="G572" i="113"/>
  <c r="F106" i="105"/>
  <c r="G486" i="113"/>
  <c r="G494" i="113"/>
  <c r="G573" i="113"/>
  <c r="P106" i="105"/>
  <c r="AJ106" i="105"/>
  <c r="AJ107" i="123"/>
  <c r="H419" i="113"/>
  <c r="H447" i="113"/>
  <c r="H455" i="113"/>
  <c r="H572" i="113"/>
  <c r="G106" i="105"/>
  <c r="H486" i="113"/>
  <c r="H494" i="113"/>
  <c r="H573" i="113"/>
  <c r="Q106" i="105"/>
  <c r="AK106" i="105"/>
  <c r="AK107" i="123"/>
  <c r="I419" i="113"/>
  <c r="I447" i="113"/>
  <c r="I455" i="113"/>
  <c r="I572" i="113"/>
  <c r="H106" i="105"/>
  <c r="I486" i="113"/>
  <c r="I494" i="113"/>
  <c r="I573" i="113"/>
  <c r="R106" i="105"/>
  <c r="AL106" i="105"/>
  <c r="AL107" i="123"/>
  <c r="J419" i="113"/>
  <c r="J447" i="113"/>
  <c r="J455" i="113"/>
  <c r="J572" i="113"/>
  <c r="I106" i="105"/>
  <c r="J486" i="113"/>
  <c r="J494" i="113"/>
  <c r="J573" i="113"/>
  <c r="S106" i="105"/>
  <c r="AM106" i="105"/>
  <c r="AM107" i="123"/>
  <c r="K419" i="113"/>
  <c r="K447" i="113"/>
  <c r="K455" i="113"/>
  <c r="K572" i="113"/>
  <c r="J106" i="105"/>
  <c r="K486" i="113"/>
  <c r="K494" i="113"/>
  <c r="K573" i="113"/>
  <c r="T106" i="105"/>
  <c r="AN106" i="105"/>
  <c r="AN107" i="123"/>
  <c r="L419" i="113"/>
  <c r="L447" i="113"/>
  <c r="L455" i="113"/>
  <c r="L572" i="113"/>
  <c r="K106" i="105"/>
  <c r="L486" i="113"/>
  <c r="L494" i="113"/>
  <c r="L573" i="113"/>
  <c r="U106" i="105"/>
  <c r="AO106" i="105"/>
  <c r="AO107" i="123"/>
  <c r="M419" i="113"/>
  <c r="M447" i="113"/>
  <c r="M455" i="113"/>
  <c r="M572" i="113"/>
  <c r="L106" i="105"/>
  <c r="M486" i="113"/>
  <c r="M494" i="113"/>
  <c r="M573" i="113"/>
  <c r="V106" i="105"/>
  <c r="AP106" i="105"/>
  <c r="AP107" i="123"/>
  <c r="N419" i="113"/>
  <c r="N447" i="113"/>
  <c r="N455" i="113"/>
  <c r="N572" i="113"/>
  <c r="M106" i="105"/>
  <c r="N486" i="113"/>
  <c r="N494" i="113"/>
  <c r="N573" i="113"/>
  <c r="W106" i="105"/>
  <c r="AQ106" i="105"/>
  <c r="AQ107" i="123"/>
  <c r="AS107" i="123"/>
  <c r="H187" i="123"/>
  <c r="I363" i="110"/>
  <c r="I364" i="110"/>
  <c r="AS94" i="123"/>
  <c r="H175" i="123"/>
  <c r="AT116" i="105"/>
  <c r="AJ66" i="70"/>
  <c r="AS111" i="105"/>
  <c r="J321" i="110"/>
  <c r="J372" i="110"/>
  <c r="G391" i="110"/>
  <c r="AT48" i="123"/>
  <c r="AT117" i="105"/>
  <c r="AT72" i="123"/>
  <c r="AS36" i="105"/>
  <c r="AS74" i="105"/>
  <c r="AS37" i="123"/>
  <c r="F206" i="123"/>
  <c r="AT73" i="105"/>
  <c r="AS105" i="105"/>
  <c r="AS126" i="105"/>
  <c r="AS112" i="105"/>
  <c r="AS38" i="123"/>
  <c r="F222" i="123"/>
  <c r="AT32" i="105"/>
  <c r="G177" i="123"/>
  <c r="AS12" i="105"/>
  <c r="AS24" i="123"/>
  <c r="F197" i="123"/>
  <c r="AS15" i="105"/>
  <c r="AS22" i="105"/>
  <c r="AS94" i="105"/>
  <c r="AS5" i="105"/>
  <c r="AT6" i="105"/>
  <c r="AS127" i="105"/>
  <c r="AS4" i="105"/>
  <c r="AS116" i="105"/>
  <c r="AT29" i="105"/>
  <c r="AS73" i="105"/>
  <c r="AS69" i="105"/>
  <c r="AT24" i="105"/>
  <c r="AS7" i="105"/>
  <c r="AS33" i="105"/>
  <c r="AS113" i="105"/>
  <c r="AT68" i="105"/>
  <c r="AT31" i="105"/>
  <c r="AS31" i="105"/>
  <c r="AT12" i="105"/>
  <c r="AT16" i="105"/>
  <c r="AS6" i="105"/>
  <c r="AS23" i="105"/>
  <c r="AT113" i="105"/>
  <c r="AS63" i="105"/>
  <c r="AS114" i="105"/>
  <c r="AT108" i="105"/>
  <c r="AS125" i="105"/>
  <c r="G87" i="70"/>
  <c r="AS108" i="105"/>
  <c r="AT56" i="105"/>
  <c r="AS115" i="123"/>
  <c r="H195" i="123"/>
  <c r="AT82" i="105"/>
  <c r="AT81" i="105"/>
  <c r="AS29" i="105"/>
  <c r="AT111" i="105"/>
  <c r="AT5" i="105"/>
  <c r="AS117" i="105"/>
  <c r="AT127" i="105"/>
  <c r="AS24" i="105"/>
  <c r="H359" i="110"/>
  <c r="K365" i="110"/>
  <c r="K383" i="110"/>
  <c r="J359" i="110"/>
  <c r="L362" i="110"/>
  <c r="N368" i="110"/>
  <c r="N386" i="110"/>
  <c r="K321" i="110"/>
  <c r="K372" i="110"/>
  <c r="M13" i="70"/>
  <c r="G380" i="110"/>
  <c r="L390" i="110"/>
  <c r="J380" i="110"/>
  <c r="G382" i="110"/>
  <c r="AT29" i="123"/>
  <c r="G381" i="110"/>
  <c r="AS69" i="123"/>
  <c r="AS73" i="123"/>
  <c r="G198" i="123"/>
  <c r="F421" i="113"/>
  <c r="F478" i="113"/>
  <c r="F482" i="113"/>
  <c r="F579" i="113"/>
  <c r="E18" i="105"/>
  <c r="F517" i="113"/>
  <c r="F521" i="113"/>
  <c r="F580" i="113"/>
  <c r="O18" i="105"/>
  <c r="AI18" i="105"/>
  <c r="AI18" i="123"/>
  <c r="G421" i="113"/>
  <c r="G478" i="113"/>
  <c r="G482" i="113"/>
  <c r="G579" i="113"/>
  <c r="F18" i="105"/>
  <c r="G517" i="113"/>
  <c r="G521" i="113"/>
  <c r="G580" i="113"/>
  <c r="P18" i="105"/>
  <c r="AJ18" i="105"/>
  <c r="AJ18" i="123"/>
  <c r="H421" i="113"/>
  <c r="H478" i="113"/>
  <c r="H482" i="113"/>
  <c r="H579" i="113"/>
  <c r="G18" i="105"/>
  <c r="H517" i="113"/>
  <c r="H521" i="113"/>
  <c r="H580" i="113"/>
  <c r="Q18" i="105"/>
  <c r="AK18" i="105"/>
  <c r="AK18" i="123"/>
  <c r="I421" i="113"/>
  <c r="I478" i="113"/>
  <c r="I482" i="113"/>
  <c r="I579" i="113"/>
  <c r="H18" i="105"/>
  <c r="I517" i="113"/>
  <c r="I521" i="113"/>
  <c r="I580" i="113"/>
  <c r="R18" i="105"/>
  <c r="AL18" i="105"/>
  <c r="AL18" i="123"/>
  <c r="J421" i="113"/>
  <c r="J478" i="113"/>
  <c r="J482" i="113"/>
  <c r="J579" i="113"/>
  <c r="I18" i="105"/>
  <c r="J517" i="113"/>
  <c r="J521" i="113"/>
  <c r="J580" i="113"/>
  <c r="S18" i="105"/>
  <c r="AM18" i="105"/>
  <c r="AM18" i="123"/>
  <c r="K421" i="113"/>
  <c r="K478" i="113"/>
  <c r="K482" i="113"/>
  <c r="K579" i="113"/>
  <c r="J18" i="105"/>
  <c r="K517" i="113"/>
  <c r="K521" i="113"/>
  <c r="K580" i="113"/>
  <c r="T18" i="105"/>
  <c r="AN18" i="105"/>
  <c r="AN18" i="123"/>
  <c r="L421" i="113"/>
  <c r="L478" i="113"/>
  <c r="L482" i="113"/>
  <c r="L579" i="113"/>
  <c r="K18" i="105"/>
  <c r="L517" i="113"/>
  <c r="L521" i="113"/>
  <c r="L580" i="113"/>
  <c r="U18" i="105"/>
  <c r="AO18" i="105"/>
  <c r="AO18" i="123"/>
  <c r="M421" i="113"/>
  <c r="M478" i="113"/>
  <c r="M482" i="113"/>
  <c r="M579" i="113"/>
  <c r="L18" i="105"/>
  <c r="M517" i="113"/>
  <c r="M521" i="113"/>
  <c r="M580" i="113"/>
  <c r="V18" i="105"/>
  <c r="AP18" i="105"/>
  <c r="AP18" i="123"/>
  <c r="N421" i="113"/>
  <c r="N478" i="113"/>
  <c r="N482" i="113"/>
  <c r="N579" i="113"/>
  <c r="M18" i="105"/>
  <c r="N517" i="113"/>
  <c r="N521" i="113"/>
  <c r="N580" i="113"/>
  <c r="W18" i="105"/>
  <c r="AQ18" i="105"/>
  <c r="AQ18" i="123"/>
  <c r="AS18" i="123"/>
  <c r="F187" i="123"/>
  <c r="AT49" i="123"/>
  <c r="AX157" i="59"/>
  <c r="AW41" i="60"/>
  <c r="BF63" i="59"/>
  <c r="AX147" i="59"/>
  <c r="BA63" i="59"/>
  <c r="BC63" i="59"/>
  <c r="BE64" i="59"/>
  <c r="AY64" i="59"/>
  <c r="BD63" i="59"/>
  <c r="AY63" i="59"/>
  <c r="BE62" i="59"/>
  <c r="AY62" i="59"/>
  <c r="AZ62" i="59"/>
  <c r="AX148" i="59"/>
  <c r="BA64" i="59"/>
  <c r="AZ64" i="59"/>
  <c r="BB64" i="59"/>
  <c r="BC62" i="59"/>
  <c r="J381" i="110"/>
  <c r="BC28" i="70"/>
  <c r="K381" i="110"/>
  <c r="AY66" i="70"/>
  <c r="BC13" i="70"/>
  <c r="AY13" i="70"/>
  <c r="AY28" i="70"/>
  <c r="AH13" i="70"/>
  <c r="P87" i="70"/>
  <c r="P13" i="70"/>
  <c r="J385" i="110"/>
  <c r="BF62" i="59"/>
  <c r="AZ63" i="59"/>
  <c r="BB62" i="59"/>
  <c r="BF64" i="59"/>
  <c r="BD64" i="59"/>
  <c r="AX224" i="59"/>
  <c r="BD62" i="59"/>
  <c r="BC64" i="59"/>
  <c r="BB63" i="59"/>
  <c r="BE63" i="59"/>
  <c r="AX149" i="59"/>
  <c r="BA62" i="59"/>
  <c r="J384" i="110"/>
  <c r="G90" i="70"/>
  <c r="L384" i="110"/>
  <c r="G181" i="123"/>
  <c r="AS114" i="123"/>
  <c r="H194" i="123"/>
  <c r="I194" i="123"/>
  <c r="J390" i="110"/>
  <c r="AS80" i="123"/>
  <c r="G220" i="123"/>
  <c r="AS7" i="123"/>
  <c r="AS6" i="123"/>
  <c r="F176" i="123"/>
  <c r="K385" i="110"/>
  <c r="K390" i="110"/>
  <c r="AS68" i="123"/>
  <c r="AS72" i="123"/>
  <c r="G197" i="123"/>
  <c r="AT68" i="123"/>
  <c r="AS76" i="123"/>
  <c r="G201" i="123"/>
  <c r="AT77" i="123"/>
  <c r="AS19" i="123"/>
  <c r="AS20" i="123"/>
  <c r="F189" i="123"/>
  <c r="AL90" i="70"/>
  <c r="H177" i="123"/>
  <c r="H179" i="123"/>
  <c r="AS36" i="123"/>
  <c r="F220" i="123"/>
  <c r="BE12" i="70"/>
  <c r="F188" i="123"/>
  <c r="F179" i="123"/>
  <c r="F177" i="123"/>
  <c r="AS63" i="123"/>
  <c r="AS64" i="123"/>
  <c r="G189" i="123"/>
  <c r="AS113" i="123"/>
  <c r="AS117" i="123"/>
  <c r="H197" i="123"/>
  <c r="I197" i="123"/>
  <c r="G389" i="110"/>
  <c r="H181" i="123"/>
  <c r="G188" i="123"/>
  <c r="AT82" i="123"/>
  <c r="AU90" i="70"/>
  <c r="K380" i="110"/>
  <c r="G176" i="123"/>
  <c r="AS67" i="123"/>
  <c r="AS71" i="123"/>
  <c r="G196" i="123"/>
  <c r="AT125" i="123"/>
  <c r="G182" i="123"/>
  <c r="AS48" i="123"/>
  <c r="G174" i="123"/>
  <c r="AT127" i="123"/>
  <c r="AS78" i="123"/>
  <c r="G203" i="123"/>
  <c r="G178" i="123"/>
  <c r="H206" i="123"/>
  <c r="I206" i="123"/>
  <c r="I187" i="123"/>
  <c r="G180" i="123"/>
  <c r="AB76" i="70"/>
  <c r="AB78" i="70"/>
  <c r="H90" i="70"/>
  <c r="H176" i="123"/>
  <c r="AT22" i="123"/>
  <c r="AT120" i="123"/>
  <c r="BE20" i="70"/>
  <c r="AT33" i="123"/>
  <c r="N90" i="70"/>
  <c r="AT36" i="123"/>
  <c r="AA90" i="70"/>
  <c r="BE54" i="70"/>
  <c r="H180" i="123"/>
  <c r="I180" i="123"/>
  <c r="AS34" i="123"/>
  <c r="F203" i="123"/>
  <c r="I202" i="123"/>
  <c r="AS12" i="123"/>
  <c r="F182" i="123"/>
  <c r="BE17" i="70"/>
  <c r="AS112" i="123"/>
  <c r="F347" i="39" a="1"/>
  <c r="F347" i="39"/>
  <c r="I347" i="39" a="1"/>
  <c r="I347" i="39"/>
  <c r="K347" i="39" a="1"/>
  <c r="K347" i="39"/>
  <c r="N347" i="39" a="1"/>
  <c r="N347" i="39"/>
  <c r="AS93" i="123"/>
  <c r="H174" i="123"/>
  <c r="I174" i="123"/>
  <c r="AT5" i="123"/>
  <c r="AS75" i="123"/>
  <c r="AS79" i="123"/>
  <c r="G204" i="123"/>
  <c r="AT37" i="123"/>
  <c r="AS59" i="123"/>
  <c r="AT12" i="123"/>
  <c r="AT66" i="123"/>
  <c r="F175" i="123"/>
  <c r="I175" i="123"/>
  <c r="AT23" i="123"/>
  <c r="AS27" i="123"/>
  <c r="F200" i="123"/>
  <c r="AT27" i="123"/>
  <c r="H182" i="123"/>
  <c r="AT105" i="123"/>
  <c r="AS105" i="123"/>
  <c r="CW13" i="70"/>
  <c r="AT28" i="123"/>
  <c r="AS121" i="123"/>
  <c r="H201" i="123"/>
  <c r="I201" i="123"/>
  <c r="AV90" i="70"/>
  <c r="AS90" i="70"/>
  <c r="AT30" i="123"/>
  <c r="AT90" i="70"/>
  <c r="AT59" i="123"/>
  <c r="AT75" i="123"/>
  <c r="BE50" i="70"/>
  <c r="F221" i="123"/>
  <c r="I221" i="123"/>
  <c r="AX90" i="70"/>
  <c r="AB90" i="70"/>
  <c r="AT93" i="123"/>
  <c r="F181" i="123"/>
  <c r="AT67" i="123"/>
  <c r="G200" i="123"/>
  <c r="AT71" i="123"/>
  <c r="AT8" i="123"/>
  <c r="AS8" i="123"/>
  <c r="F178" i="123"/>
  <c r="I178" i="123"/>
  <c r="BE47" i="70"/>
  <c r="AW90" i="70"/>
  <c r="AT15" i="123"/>
  <c r="F465" i="113"/>
  <c r="F469" i="113"/>
  <c r="F581" i="113"/>
  <c r="E62" i="105"/>
  <c r="F504" i="113"/>
  <c r="F508" i="113"/>
  <c r="F582" i="113"/>
  <c r="O62" i="105"/>
  <c r="AI62" i="105"/>
  <c r="AI62" i="123"/>
  <c r="G465" i="113"/>
  <c r="G469" i="113"/>
  <c r="G581" i="113"/>
  <c r="F62" i="105"/>
  <c r="G504" i="113"/>
  <c r="G508" i="113"/>
  <c r="G582" i="113"/>
  <c r="P62" i="105"/>
  <c r="AJ62" i="105"/>
  <c r="AJ62" i="123"/>
  <c r="H465" i="113"/>
  <c r="H469" i="113"/>
  <c r="H581" i="113"/>
  <c r="G62" i="105"/>
  <c r="H504" i="113"/>
  <c r="H508" i="113"/>
  <c r="H582" i="113"/>
  <c r="Q62" i="105"/>
  <c r="AK62" i="105"/>
  <c r="AK62" i="123"/>
  <c r="I465" i="113"/>
  <c r="I469" i="113"/>
  <c r="I581" i="113"/>
  <c r="H62" i="105"/>
  <c r="I504" i="113"/>
  <c r="I508" i="113"/>
  <c r="I582" i="113"/>
  <c r="R62" i="105"/>
  <c r="AL62" i="105"/>
  <c r="AL62" i="123"/>
  <c r="J465" i="113"/>
  <c r="J469" i="113"/>
  <c r="J581" i="113"/>
  <c r="I62" i="105"/>
  <c r="J504" i="113"/>
  <c r="J508" i="113"/>
  <c r="J582" i="113"/>
  <c r="S62" i="105"/>
  <c r="AM62" i="105"/>
  <c r="AM62" i="123"/>
  <c r="K465" i="113"/>
  <c r="K469" i="113"/>
  <c r="K581" i="113"/>
  <c r="J62" i="105"/>
  <c r="K504" i="113"/>
  <c r="K508" i="113"/>
  <c r="K582" i="113"/>
  <c r="T62" i="105"/>
  <c r="AN62" i="105"/>
  <c r="AN62" i="123"/>
  <c r="L465" i="113"/>
  <c r="L469" i="113"/>
  <c r="L581" i="113"/>
  <c r="K62" i="105"/>
  <c r="L504" i="113"/>
  <c r="L508" i="113"/>
  <c r="L582" i="113"/>
  <c r="U62" i="105"/>
  <c r="AO62" i="105"/>
  <c r="AO62" i="123"/>
  <c r="M465" i="113"/>
  <c r="M469" i="113"/>
  <c r="M581" i="113"/>
  <c r="L62" i="105"/>
  <c r="M504" i="113"/>
  <c r="M508" i="113"/>
  <c r="M582" i="113"/>
  <c r="V62" i="105"/>
  <c r="AP62" i="105"/>
  <c r="AP62" i="123"/>
  <c r="N465" i="113"/>
  <c r="N469" i="113"/>
  <c r="N581" i="113"/>
  <c r="M62" i="105"/>
  <c r="N504" i="113"/>
  <c r="N508" i="113"/>
  <c r="N582" i="113"/>
  <c r="W62" i="105"/>
  <c r="AQ62" i="105"/>
  <c r="AQ62" i="123"/>
  <c r="AS62" i="123"/>
  <c r="G187" i="123"/>
  <c r="G202" i="123"/>
  <c r="AT6" i="123"/>
  <c r="AT74" i="123"/>
  <c r="AT38" i="123"/>
  <c r="I222" i="123"/>
  <c r="AT94" i="123"/>
  <c r="AS120" i="123"/>
  <c r="AS124" i="123"/>
  <c r="H204" i="123"/>
  <c r="I204" i="123"/>
  <c r="AT118" i="123"/>
  <c r="AS128" i="123"/>
  <c r="H208" i="123"/>
  <c r="AT19" i="123"/>
  <c r="AT16" i="123"/>
  <c r="AT81" i="123"/>
  <c r="G221" i="123"/>
  <c r="F452" i="113"/>
  <c r="F456" i="113"/>
  <c r="F583" i="113"/>
  <c r="E107" i="105"/>
  <c r="F491" i="113"/>
  <c r="F495" i="113"/>
  <c r="F584" i="113"/>
  <c r="O107" i="105"/>
  <c r="AI107" i="105"/>
  <c r="AI108" i="123"/>
  <c r="G452" i="113"/>
  <c r="G456" i="113"/>
  <c r="G583" i="113"/>
  <c r="F107" i="105"/>
  <c r="G491" i="113"/>
  <c r="G495" i="113"/>
  <c r="G584" i="113"/>
  <c r="P107" i="105"/>
  <c r="AJ107" i="105"/>
  <c r="AJ108" i="123"/>
  <c r="H452" i="113"/>
  <c r="H456" i="113"/>
  <c r="H583" i="113"/>
  <c r="G107" i="105"/>
  <c r="H491" i="113"/>
  <c r="H495" i="113"/>
  <c r="H584" i="113"/>
  <c r="Q107" i="105"/>
  <c r="AK107" i="105"/>
  <c r="AK108" i="123"/>
  <c r="I452" i="113"/>
  <c r="I456" i="113"/>
  <c r="I583" i="113"/>
  <c r="H107" i="105"/>
  <c r="I491" i="113"/>
  <c r="I495" i="113"/>
  <c r="I584" i="113"/>
  <c r="R107" i="105"/>
  <c r="AL107" i="105"/>
  <c r="AL108" i="123"/>
  <c r="J452" i="113"/>
  <c r="J456" i="113"/>
  <c r="J583" i="113"/>
  <c r="I107" i="105"/>
  <c r="J491" i="113"/>
  <c r="J495" i="113"/>
  <c r="J584" i="113"/>
  <c r="S107" i="105"/>
  <c r="AM107" i="105"/>
  <c r="AM108" i="123"/>
  <c r="K452" i="113"/>
  <c r="K456" i="113"/>
  <c r="K583" i="113"/>
  <c r="J107" i="105"/>
  <c r="K491" i="113"/>
  <c r="K495" i="113"/>
  <c r="K584" i="113"/>
  <c r="T107" i="105"/>
  <c r="AN107" i="105"/>
  <c r="AN108" i="123"/>
  <c r="L452" i="113"/>
  <c r="L456" i="113"/>
  <c r="L583" i="113"/>
  <c r="K107" i="105"/>
  <c r="L491" i="113"/>
  <c r="L495" i="113"/>
  <c r="L584" i="113"/>
  <c r="U107" i="105"/>
  <c r="AO107" i="105"/>
  <c r="AO108" i="123"/>
  <c r="M452" i="113"/>
  <c r="M456" i="113"/>
  <c r="M583" i="113"/>
  <c r="L107" i="105"/>
  <c r="M491" i="113"/>
  <c r="M495" i="113"/>
  <c r="M584" i="113"/>
  <c r="V107" i="105"/>
  <c r="AP107" i="105"/>
  <c r="AP108" i="123"/>
  <c r="N452" i="113"/>
  <c r="N456" i="113"/>
  <c r="N583" i="113"/>
  <c r="M107" i="105"/>
  <c r="N491" i="113"/>
  <c r="N495" i="113"/>
  <c r="N584" i="113"/>
  <c r="W107" i="105"/>
  <c r="AQ107" i="105"/>
  <c r="AQ108" i="123"/>
  <c r="AS108" i="123"/>
  <c r="H188" i="123"/>
  <c r="AS49" i="123"/>
  <c r="G179" i="123"/>
  <c r="AT25" i="123"/>
  <c r="AS66" i="123"/>
  <c r="G194" i="123"/>
  <c r="AS23" i="123"/>
  <c r="F196" i="123"/>
  <c r="AT122" i="123"/>
  <c r="AT112" i="123"/>
  <c r="AT119" i="123"/>
  <c r="AS123" i="123"/>
  <c r="H203" i="123"/>
  <c r="AT114" i="123"/>
  <c r="H198" i="123"/>
  <c r="I198" i="123"/>
  <c r="F205" i="123"/>
  <c r="BE10" i="70"/>
  <c r="AS125" i="123"/>
  <c r="H220" i="123"/>
  <c r="J382" i="110"/>
  <c r="I382" i="110"/>
  <c r="L391" i="110"/>
  <c r="K382" i="110"/>
  <c r="L389" i="110"/>
  <c r="G390" i="110"/>
  <c r="K391" i="110"/>
  <c r="K389" i="110"/>
  <c r="L385" i="110"/>
  <c r="K384" i="110"/>
  <c r="J383" i="110"/>
  <c r="H142" i="123"/>
  <c r="H142" i="105"/>
  <c r="BB142" i="123"/>
  <c r="AL142" i="123"/>
  <c r="R142" i="105"/>
  <c r="R142" i="123"/>
  <c r="R154" i="105"/>
  <c r="R154" i="123"/>
  <c r="H154" i="123"/>
  <c r="H154" i="105"/>
  <c r="BB154" i="123"/>
  <c r="AL154" i="123"/>
  <c r="R166" i="105"/>
  <c r="R166" i="123"/>
  <c r="AL166" i="123"/>
  <c r="H380" i="110"/>
  <c r="H379" i="110"/>
  <c r="L381" i="110"/>
  <c r="H391" i="110"/>
  <c r="H381" i="110"/>
  <c r="G378" i="110"/>
  <c r="G383" i="110"/>
  <c r="V142" i="123"/>
  <c r="V142" i="105"/>
  <c r="V154" i="123"/>
  <c r="V154" i="105"/>
  <c r="I154" i="123"/>
  <c r="I154" i="105"/>
  <c r="S154" i="123"/>
  <c r="S154" i="105"/>
  <c r="S142" i="123"/>
  <c r="S142" i="105"/>
  <c r="K154" i="123"/>
  <c r="K154" i="105"/>
  <c r="K142" i="123"/>
  <c r="K142" i="105"/>
  <c r="U142" i="123"/>
  <c r="U142" i="105"/>
  <c r="G166" i="105"/>
  <c r="G166" i="123"/>
  <c r="G142" i="123"/>
  <c r="G142" i="105"/>
  <c r="G154" i="123"/>
  <c r="G154" i="105"/>
  <c r="T166" i="123"/>
  <c r="T166" i="105"/>
  <c r="J154" i="123"/>
  <c r="J154" i="105"/>
  <c r="F142" i="123"/>
  <c r="F142" i="105"/>
  <c r="P154" i="123"/>
  <c r="P154" i="105"/>
  <c r="P142" i="123"/>
  <c r="P142" i="105"/>
  <c r="W154" i="123"/>
  <c r="W154" i="105"/>
  <c r="L142" i="123"/>
  <c r="L142" i="105"/>
  <c r="L166" i="123"/>
  <c r="L166" i="105"/>
  <c r="L154" i="123"/>
  <c r="L154" i="105"/>
  <c r="I166" i="123"/>
  <c r="I166" i="105"/>
  <c r="S166" i="123"/>
  <c r="S166" i="105"/>
  <c r="I142" i="123"/>
  <c r="I142" i="105"/>
  <c r="K166" i="123"/>
  <c r="K166" i="105"/>
  <c r="U166" i="123"/>
  <c r="U166" i="105"/>
  <c r="Q166" i="123"/>
  <c r="Q166" i="105"/>
  <c r="Q154" i="123"/>
  <c r="Q154" i="105"/>
  <c r="Q142" i="123"/>
  <c r="Q142" i="105"/>
  <c r="J142" i="123"/>
  <c r="J142" i="105"/>
  <c r="J166" i="123"/>
  <c r="J166" i="105"/>
  <c r="T142" i="123"/>
  <c r="T142" i="105"/>
  <c r="P166" i="123"/>
  <c r="P166" i="105"/>
  <c r="F154" i="123"/>
  <c r="F154" i="105"/>
  <c r="F166" i="123"/>
  <c r="F166" i="105"/>
  <c r="M154" i="123"/>
  <c r="M154" i="105"/>
  <c r="M142" i="123"/>
  <c r="M142" i="105"/>
  <c r="W166" i="123"/>
  <c r="W166" i="105"/>
  <c r="W142" i="123"/>
  <c r="W142" i="105"/>
  <c r="V166" i="123"/>
  <c r="V166" i="105"/>
  <c r="U154" i="123"/>
  <c r="U154" i="105"/>
  <c r="T154" i="123"/>
  <c r="T154" i="105"/>
  <c r="M166" i="123"/>
  <c r="M166" i="105"/>
  <c r="N359" i="110"/>
  <c r="N383" i="110"/>
  <c r="M383" i="110"/>
  <c r="N384" i="110"/>
  <c r="M384" i="110"/>
  <c r="M391" i="110"/>
  <c r="N391" i="110"/>
  <c r="L361" i="110"/>
  <c r="L379" i="110"/>
  <c r="L380" i="110"/>
  <c r="G377" i="110"/>
  <c r="M380" i="110"/>
  <c r="N380" i="110"/>
  <c r="K360" i="110"/>
  <c r="J378" i="110"/>
  <c r="K359" i="110"/>
  <c r="I391" i="110"/>
  <c r="I381" i="110"/>
  <c r="I385" i="110"/>
  <c r="H382" i="110"/>
  <c r="N360" i="110"/>
  <c r="N361" i="110"/>
  <c r="N385" i="110"/>
  <c r="M385" i="110"/>
  <c r="M390" i="110"/>
  <c r="N390" i="110"/>
  <c r="L360" i="110"/>
  <c r="L378" i="110"/>
  <c r="L359" i="110"/>
  <c r="L377" i="110"/>
  <c r="L382" i="110"/>
  <c r="H390" i="110"/>
  <c r="H389" i="110"/>
  <c r="I390" i="110"/>
  <c r="H377" i="110"/>
  <c r="H378" i="110"/>
  <c r="I384" i="110"/>
  <c r="G384" i="110"/>
  <c r="M381" i="110"/>
  <c r="N381" i="110"/>
  <c r="N382" i="110"/>
  <c r="M382" i="110"/>
  <c r="K361" i="110"/>
  <c r="J379" i="110"/>
  <c r="I378" i="110"/>
  <c r="I379" i="110"/>
  <c r="I389" i="110"/>
  <c r="G379" i="110"/>
  <c r="I380" i="110"/>
  <c r="I383" i="110"/>
  <c r="G385" i="110"/>
  <c r="BB166" i="105"/>
  <c r="BB166" i="123"/>
  <c r="M389" i="110"/>
  <c r="N389" i="110"/>
  <c r="I377" i="110"/>
  <c r="E39" i="135"/>
  <c r="E18" i="133"/>
  <c r="AX173" i="59"/>
  <c r="E35" i="135"/>
  <c r="E14" i="133"/>
  <c r="E79" i="133"/>
  <c r="E13" i="133"/>
  <c r="E19" i="135"/>
  <c r="BC199" i="59"/>
  <c r="E74" i="133"/>
  <c r="AX172" i="59"/>
  <c r="AX10" i="59"/>
  <c r="E34" i="135"/>
  <c r="E31" i="135"/>
  <c r="AX61" i="59"/>
  <c r="AX35" i="59"/>
  <c r="AX22" i="59"/>
  <c r="AX15" i="59"/>
  <c r="AX14" i="59"/>
  <c r="AX40" i="59"/>
  <c r="E85" i="133"/>
  <c r="F15" i="107"/>
  <c r="AX168" i="59"/>
  <c r="E23" i="133"/>
  <c r="AX23" i="59"/>
  <c r="BF199" i="59"/>
  <c r="E19" i="133"/>
  <c r="E20" i="135"/>
  <c r="AX29" i="59"/>
  <c r="AX170" i="59"/>
  <c r="E73" i="133"/>
  <c r="E83" i="133"/>
  <c r="AX60" i="59"/>
  <c r="AX153" i="59"/>
  <c r="E76" i="133"/>
  <c r="E25" i="133"/>
  <c r="AX28" i="59"/>
  <c r="AX24" i="59"/>
  <c r="E75" i="133"/>
  <c r="E15" i="133"/>
  <c r="E29" i="135"/>
  <c r="AX169" i="59"/>
  <c r="E41" i="135"/>
  <c r="E10" i="135"/>
  <c r="BA199" i="59"/>
  <c r="AW43" i="60"/>
  <c r="AX37" i="59"/>
  <c r="AX171" i="59"/>
  <c r="E32" i="135"/>
  <c r="E16" i="133"/>
  <c r="E78" i="133"/>
  <c r="E30" i="135"/>
  <c r="AX25" i="59"/>
  <c r="AX132" i="59"/>
  <c r="AX137" i="59"/>
  <c r="AX135" i="59"/>
  <c r="AX136" i="59"/>
  <c r="AX134" i="59"/>
  <c r="AX133" i="59"/>
  <c r="I176" i="123"/>
  <c r="I220" i="123"/>
  <c r="I188" i="123"/>
  <c r="I177" i="123"/>
  <c r="I203" i="123"/>
  <c r="CP127" i="123"/>
  <c r="L222" i="123"/>
  <c r="M222" i="123"/>
  <c r="I179" i="123"/>
  <c r="CC48" i="105"/>
  <c r="CD48" i="105"/>
  <c r="CQ31" i="105"/>
  <c r="CP23" i="105"/>
  <c r="CD22" i="105"/>
  <c r="CC19" i="105"/>
  <c r="CP56" i="105"/>
  <c r="CP31" i="105"/>
  <c r="CC31" i="105"/>
  <c r="CD81" i="123"/>
  <c r="CD127" i="123"/>
  <c r="AL142" i="105"/>
  <c r="CQ19" i="105"/>
  <c r="I181" i="123"/>
  <c r="AX280" i="59"/>
  <c r="E50" i="135"/>
  <c r="CC127" i="123"/>
  <c r="CD118" i="105"/>
  <c r="CC12" i="105"/>
  <c r="CD108" i="105"/>
  <c r="CC28" i="105"/>
  <c r="CQ42" i="105"/>
  <c r="CP75" i="105"/>
  <c r="CC120" i="105"/>
  <c r="CD113" i="105"/>
  <c r="CC112" i="105"/>
  <c r="CP24" i="105"/>
  <c r="CP49" i="105"/>
  <c r="CQ22" i="105"/>
  <c r="CQ120" i="105"/>
  <c r="CP37" i="105"/>
  <c r="CC25" i="105"/>
  <c r="CQ25" i="105"/>
  <c r="CC23" i="105"/>
  <c r="CD112" i="105"/>
  <c r="CQ119" i="105"/>
  <c r="CD119" i="123"/>
  <c r="CC7" i="123"/>
  <c r="CQ27" i="123"/>
  <c r="CQ126" i="105"/>
  <c r="CD7" i="123"/>
  <c r="CC56" i="105"/>
  <c r="CD30" i="105"/>
  <c r="CD72" i="105"/>
  <c r="CD120" i="105"/>
  <c r="CC22" i="105"/>
  <c r="CQ75" i="105"/>
  <c r="CQ48" i="105"/>
  <c r="CP48" i="105"/>
  <c r="CQ56" i="105"/>
  <c r="CQ40" i="105"/>
  <c r="CC15" i="105"/>
  <c r="CQ72" i="105"/>
  <c r="CQ41" i="105"/>
  <c r="CD31" i="105"/>
  <c r="CD69" i="105"/>
  <c r="CC73" i="105"/>
  <c r="CD16" i="105"/>
  <c r="CQ16" i="105"/>
  <c r="CP16" i="105"/>
  <c r="CP14" i="105"/>
  <c r="CC122" i="105"/>
  <c r="CQ23" i="105"/>
  <c r="CD56" i="105"/>
  <c r="CP12" i="105"/>
  <c r="CD7" i="105"/>
  <c r="CQ81" i="105"/>
  <c r="CQ127" i="105"/>
  <c r="CC68" i="105"/>
  <c r="CQ32" i="123"/>
  <c r="CQ74" i="105"/>
  <c r="BE13" i="70"/>
  <c r="I182" i="123"/>
  <c r="AL154" i="105"/>
  <c r="CC37" i="105"/>
  <c r="CC32" i="105"/>
  <c r="CC30" i="105"/>
  <c r="CQ15" i="105"/>
  <c r="CC126" i="105"/>
  <c r="CC114" i="105"/>
  <c r="CC80" i="105"/>
  <c r="CD71" i="105"/>
  <c r="CP30" i="105"/>
  <c r="CQ30" i="105"/>
  <c r="CD66" i="105"/>
  <c r="CC6" i="105"/>
  <c r="CP28" i="105"/>
  <c r="CC74" i="105"/>
  <c r="CC111" i="105"/>
  <c r="CC5" i="105"/>
  <c r="CP5" i="105"/>
  <c r="CQ28" i="105"/>
  <c r="CC104" i="105"/>
  <c r="CC75" i="105"/>
  <c r="CC38" i="105"/>
  <c r="CP38" i="105"/>
  <c r="CP84" i="105"/>
  <c r="CD59" i="105"/>
  <c r="CQ93" i="105"/>
  <c r="CD49" i="105"/>
  <c r="CQ32" i="105"/>
  <c r="CD116" i="105"/>
  <c r="CQ24" i="105"/>
  <c r="AY106" i="105"/>
  <c r="BI106" i="105"/>
  <c r="CF106" i="105"/>
  <c r="CF107" i="123"/>
  <c r="AZ106" i="105"/>
  <c r="BJ106" i="105"/>
  <c r="CG106" i="105"/>
  <c r="CG107" i="123"/>
  <c r="BA106" i="105"/>
  <c r="BK106" i="105"/>
  <c r="CH106" i="105"/>
  <c r="CH107" i="123"/>
  <c r="BB106" i="105"/>
  <c r="BL106" i="105"/>
  <c r="CI106" i="105"/>
  <c r="CI107" i="123"/>
  <c r="BC106" i="105"/>
  <c r="BM106" i="105"/>
  <c r="CJ106" i="105"/>
  <c r="CJ107" i="123"/>
  <c r="BD106" i="105"/>
  <c r="BN106" i="105"/>
  <c r="CK106" i="105"/>
  <c r="CK107" i="123"/>
  <c r="BE106" i="105"/>
  <c r="BO106" i="105"/>
  <c r="CL106" i="105"/>
  <c r="CL107" i="123"/>
  <c r="BF106" i="105"/>
  <c r="BP106" i="105"/>
  <c r="CM106" i="105"/>
  <c r="CM107" i="123"/>
  <c r="BG106" i="105"/>
  <c r="BQ106" i="105"/>
  <c r="CN106" i="105"/>
  <c r="CN107" i="123"/>
  <c r="CP107" i="123"/>
  <c r="L187" i="123"/>
  <c r="M187" i="123"/>
  <c r="CD27" i="105"/>
  <c r="CC77" i="123"/>
  <c r="CQ127" i="123"/>
  <c r="CP24" i="123"/>
  <c r="CP27" i="123"/>
  <c r="CC81" i="123"/>
  <c r="CP94" i="123"/>
  <c r="L175" i="123"/>
  <c r="M175" i="123"/>
  <c r="E49" i="135"/>
  <c r="AX279" i="59"/>
  <c r="AX281" i="59"/>
  <c r="E51" i="135"/>
  <c r="E92" i="133"/>
  <c r="E103" i="133"/>
  <c r="E48" i="135"/>
  <c r="AX278" i="59"/>
  <c r="CP86" i="105"/>
  <c r="CP19" i="105"/>
  <c r="CP71" i="105"/>
  <c r="CQ71" i="105"/>
  <c r="CP63" i="105"/>
  <c r="CQ63" i="105"/>
  <c r="CD24" i="105"/>
  <c r="CC24" i="105"/>
  <c r="CQ105" i="105"/>
  <c r="CC105" i="105"/>
  <c r="CD105" i="105"/>
  <c r="CD68" i="123"/>
  <c r="CD68" i="105"/>
  <c r="BB154" i="105"/>
  <c r="CD37" i="105"/>
  <c r="CD32" i="105"/>
  <c r="CP22" i="105"/>
  <c r="CP15" i="105"/>
  <c r="CC72" i="105"/>
  <c r="CD126" i="105"/>
  <c r="CC118" i="105"/>
  <c r="CD12" i="105"/>
  <c r="CC108" i="105"/>
  <c r="CD28" i="105"/>
  <c r="CP42" i="105"/>
  <c r="CD114" i="105"/>
  <c r="CD19" i="105"/>
  <c r="CD80" i="105"/>
  <c r="CP59" i="105"/>
  <c r="CQ59" i="105"/>
  <c r="CP40" i="105"/>
  <c r="CC67" i="105"/>
  <c r="CQ37" i="105"/>
  <c r="CD25" i="105"/>
  <c r="CP25" i="105"/>
  <c r="CC71" i="105"/>
  <c r="CC113" i="105"/>
  <c r="CQ113" i="105"/>
  <c r="CC66" i="105"/>
  <c r="CD6" i="105"/>
  <c r="CQ38" i="105"/>
  <c r="CD15" i="105"/>
  <c r="CP72" i="105"/>
  <c r="CP41" i="105"/>
  <c r="CD74" i="105"/>
  <c r="CD111" i="105"/>
  <c r="CQ111" i="105"/>
  <c r="CC69" i="105"/>
  <c r="CQ118" i="105"/>
  <c r="CD73" i="105"/>
  <c r="CC16" i="105"/>
  <c r="CD5" i="105"/>
  <c r="CQ5" i="105"/>
  <c r="CQ14" i="105"/>
  <c r="CD104" i="105"/>
  <c r="CD122" i="105"/>
  <c r="CD23" i="105"/>
  <c r="CD75" i="105"/>
  <c r="CP17" i="105"/>
  <c r="CQ17" i="105"/>
  <c r="CD38" i="105"/>
  <c r="CQ84" i="105"/>
  <c r="CC59" i="105"/>
  <c r="CD119" i="105"/>
  <c r="CC81" i="105"/>
  <c r="CC119" i="105"/>
  <c r="CC49" i="105"/>
  <c r="CP27" i="105"/>
  <c r="CD81" i="105"/>
  <c r="CQ73" i="105"/>
  <c r="CQ108" i="105"/>
  <c r="CC63" i="105"/>
  <c r="CD63" i="105"/>
  <c r="CC7" i="105"/>
  <c r="CP32" i="123"/>
  <c r="CC125" i="105"/>
  <c r="CD125" i="105"/>
  <c r="CQ60" i="105"/>
  <c r="CP60" i="105"/>
  <c r="CQ66" i="105"/>
  <c r="CP66" i="105"/>
  <c r="CQ49" i="105"/>
  <c r="CD49" i="123"/>
  <c r="CQ129" i="105"/>
  <c r="CP80" i="105"/>
  <c r="CQ80" i="105"/>
  <c r="CP73" i="105"/>
  <c r="CQ103" i="105"/>
  <c r="CQ112" i="105"/>
  <c r="CQ24" i="123"/>
  <c r="CQ130" i="105"/>
  <c r="CP69" i="105"/>
  <c r="CP6" i="105"/>
  <c r="CQ6" i="105"/>
  <c r="CP29" i="105"/>
  <c r="CQ29" i="105"/>
  <c r="CD29" i="105"/>
  <c r="CC29" i="105"/>
  <c r="CQ12" i="123"/>
  <c r="CD93" i="105"/>
  <c r="CQ36" i="105"/>
  <c r="CQ131" i="123"/>
  <c r="CQ131" i="105"/>
  <c r="CP36" i="105"/>
  <c r="CC36" i="105"/>
  <c r="CP81" i="105"/>
  <c r="CD117" i="105"/>
  <c r="CP77" i="105"/>
  <c r="CC116" i="105"/>
  <c r="CQ12" i="105"/>
  <c r="CD77" i="123"/>
  <c r="CC93" i="105"/>
  <c r="CQ27" i="105"/>
  <c r="CC77" i="105"/>
  <c r="CQ82" i="105"/>
  <c r="CP82" i="105"/>
  <c r="CQ86" i="105"/>
  <c r="CD33" i="105"/>
  <c r="CP130" i="123"/>
  <c r="L210" i="123"/>
  <c r="M210" i="123"/>
  <c r="CQ125" i="105"/>
  <c r="CC63" i="123"/>
  <c r="CP68" i="105"/>
  <c r="CQ68" i="105"/>
  <c r="CP85" i="105"/>
  <c r="CQ85" i="105"/>
  <c r="CQ114" i="105"/>
  <c r="CP74" i="105"/>
  <c r="CQ94" i="105"/>
  <c r="CD94" i="105"/>
  <c r="CC94" i="105"/>
  <c r="CC27" i="105"/>
  <c r="CQ122" i="105"/>
  <c r="CD36" i="105"/>
  <c r="CQ104" i="123"/>
  <c r="CQ104" i="105"/>
  <c r="CP4" i="105"/>
  <c r="CQ4" i="105"/>
  <c r="CC4" i="105"/>
  <c r="CD4" i="105"/>
  <c r="CQ117" i="105"/>
  <c r="CC117" i="105"/>
  <c r="CC119" i="123"/>
  <c r="CD63" i="123"/>
  <c r="CP32" i="105"/>
  <c r="CQ69" i="105"/>
  <c r="CQ77" i="105"/>
  <c r="CD77" i="105"/>
  <c r="CC127" i="105"/>
  <c r="CD127" i="105"/>
  <c r="AJ90" i="70"/>
  <c r="CD82" i="105"/>
  <c r="CC82" i="105"/>
  <c r="CP7" i="105"/>
  <c r="CQ7" i="105"/>
  <c r="CP58" i="105"/>
  <c r="CQ58" i="105"/>
  <c r="CQ67" i="105"/>
  <c r="CP67" i="105"/>
  <c r="CD67" i="105"/>
  <c r="CP33" i="105"/>
  <c r="CQ33" i="105"/>
  <c r="CC33" i="105"/>
  <c r="CP12" i="123"/>
  <c r="CC49" i="123"/>
  <c r="BB142" i="105"/>
  <c r="CC32" i="123"/>
  <c r="CD32" i="123"/>
  <c r="CC30" i="123"/>
  <c r="CD30" i="123"/>
  <c r="CD72" i="123"/>
  <c r="CC72" i="123"/>
  <c r="CQ8" i="123"/>
  <c r="CP8" i="123"/>
  <c r="CP22" i="123"/>
  <c r="CQ22" i="123"/>
  <c r="CD120" i="123"/>
  <c r="CC120" i="123"/>
  <c r="CQ120" i="123"/>
  <c r="CP120" i="123"/>
  <c r="CP124" i="123"/>
  <c r="L204" i="123"/>
  <c r="M204" i="123"/>
  <c r="CC126" i="123"/>
  <c r="CD126" i="123"/>
  <c r="L179" i="123"/>
  <c r="M179" i="123"/>
  <c r="CC118" i="123"/>
  <c r="CD118" i="123"/>
  <c r="CC22" i="123"/>
  <c r="CD22" i="123"/>
  <c r="CC19" i="123"/>
  <c r="CD19" i="123"/>
  <c r="CQ48" i="123"/>
  <c r="CP48" i="123"/>
  <c r="CP37" i="123"/>
  <c r="CQ37" i="123"/>
  <c r="CQ25" i="123"/>
  <c r="CP25" i="123"/>
  <c r="CD113" i="123"/>
  <c r="CC113" i="123"/>
  <c r="CQ113" i="123"/>
  <c r="CP113" i="123"/>
  <c r="CP117" i="123"/>
  <c r="L197" i="123"/>
  <c r="M197" i="123"/>
  <c r="CC66" i="123"/>
  <c r="CD66" i="123"/>
  <c r="CP72" i="123"/>
  <c r="CQ72" i="123"/>
  <c r="CD8" i="123"/>
  <c r="CC8" i="123"/>
  <c r="CC112" i="123"/>
  <c r="CD112" i="123"/>
  <c r="CC74" i="123"/>
  <c r="CD74" i="123"/>
  <c r="CP114" i="123"/>
  <c r="L194" i="123"/>
  <c r="M194" i="123"/>
  <c r="CD69" i="123"/>
  <c r="CC69" i="123"/>
  <c r="CP118" i="123"/>
  <c r="CP122" i="123"/>
  <c r="L202" i="123"/>
  <c r="M202" i="123"/>
  <c r="CQ118" i="123"/>
  <c r="CD5" i="123"/>
  <c r="CC5" i="123"/>
  <c r="CD23" i="123"/>
  <c r="CC23" i="123"/>
  <c r="CQ17" i="123"/>
  <c r="CP17" i="123"/>
  <c r="CD38" i="123"/>
  <c r="CC38" i="123"/>
  <c r="CP38" i="123"/>
  <c r="CQ38" i="123"/>
  <c r="CD59" i="123"/>
  <c r="CC59" i="123"/>
  <c r="CC48" i="123"/>
  <c r="CD48" i="123"/>
  <c r="CC37" i="123"/>
  <c r="CD37" i="123"/>
  <c r="CP93" i="123"/>
  <c r="L174" i="123"/>
  <c r="M174" i="123"/>
  <c r="CQ93" i="123"/>
  <c r="CQ15" i="123"/>
  <c r="CP15" i="123"/>
  <c r="CP31" i="123"/>
  <c r="CQ31" i="123"/>
  <c r="CC12" i="123"/>
  <c r="CD12" i="123"/>
  <c r="CC28" i="123"/>
  <c r="CD28" i="123"/>
  <c r="CP42" i="123"/>
  <c r="CQ42" i="123"/>
  <c r="CC114" i="123"/>
  <c r="CD114" i="123"/>
  <c r="CP75" i="123"/>
  <c r="CQ75" i="123"/>
  <c r="CC80" i="123"/>
  <c r="CD80" i="123"/>
  <c r="CQ59" i="123"/>
  <c r="CP59" i="123"/>
  <c r="CD25" i="123"/>
  <c r="CC25" i="123"/>
  <c r="CC71" i="123"/>
  <c r="CD71" i="123"/>
  <c r="CQ30" i="123"/>
  <c r="CD6" i="123"/>
  <c r="CC6" i="123"/>
  <c r="CP40" i="123"/>
  <c r="CQ40" i="123"/>
  <c r="CD15" i="123"/>
  <c r="CC15" i="123"/>
  <c r="CQ41" i="123"/>
  <c r="CP41" i="123"/>
  <c r="CC31" i="123"/>
  <c r="CD31" i="123"/>
  <c r="CC73" i="123"/>
  <c r="CD73" i="123"/>
  <c r="CD16" i="123"/>
  <c r="CC16" i="123"/>
  <c r="CQ16" i="123"/>
  <c r="CP16" i="123"/>
  <c r="CP5" i="123"/>
  <c r="CQ5" i="123"/>
  <c r="CQ14" i="123"/>
  <c r="CP14" i="123"/>
  <c r="CP28" i="123"/>
  <c r="CQ28" i="123"/>
  <c r="CC122" i="123"/>
  <c r="CD122" i="123"/>
  <c r="CP23" i="123"/>
  <c r="CQ23" i="123"/>
  <c r="CC75" i="123"/>
  <c r="CD75" i="123"/>
  <c r="CQ84" i="123"/>
  <c r="CP84" i="123"/>
  <c r="AL166" i="105"/>
  <c r="BL142" i="123"/>
  <c r="M377" i="110"/>
  <c r="N377" i="110"/>
  <c r="AQ166" i="105"/>
  <c r="AQ166" i="123"/>
  <c r="BD166" i="105"/>
  <c r="BD166" i="123"/>
  <c r="K378" i="110"/>
  <c r="M379" i="110"/>
  <c r="N379" i="110"/>
  <c r="N378" i="110"/>
  <c r="M378" i="110"/>
  <c r="K379" i="110"/>
  <c r="BG166" i="123"/>
  <c r="BG166" i="105"/>
  <c r="BG142" i="105"/>
  <c r="BG142" i="123"/>
  <c r="BG154" i="123"/>
  <c r="BG154" i="105"/>
  <c r="AJ166" i="105"/>
  <c r="AJ154" i="105"/>
  <c r="AZ154" i="105"/>
  <c r="AZ154" i="123"/>
  <c r="AN166" i="123"/>
  <c r="AN166" i="105"/>
  <c r="AN142" i="123"/>
  <c r="AN142" i="105"/>
  <c r="BD142" i="105"/>
  <c r="BD142" i="123"/>
  <c r="AO166" i="105"/>
  <c r="AO166" i="123"/>
  <c r="BC142" i="105"/>
  <c r="BC142" i="123"/>
  <c r="AP154" i="123"/>
  <c r="AP154" i="105"/>
  <c r="BF166" i="123"/>
  <c r="BF166" i="105"/>
  <c r="BF142" i="105"/>
  <c r="BF142" i="123"/>
  <c r="AJ142" i="105"/>
  <c r="AZ142" i="105"/>
  <c r="AZ142" i="123"/>
  <c r="BD154" i="105"/>
  <c r="BD154" i="123"/>
  <c r="AK154" i="123"/>
  <c r="AK154" i="105"/>
  <c r="BA142" i="105"/>
  <c r="BA142" i="123"/>
  <c r="AK142" i="123"/>
  <c r="AK142" i="105"/>
  <c r="AK166" i="123"/>
  <c r="AK166" i="105"/>
  <c r="AO142" i="105"/>
  <c r="AO142" i="123"/>
  <c r="AO154" i="123"/>
  <c r="AO154" i="105"/>
  <c r="AM154" i="123"/>
  <c r="AM154" i="105"/>
  <c r="BC154" i="105"/>
  <c r="BC154" i="123"/>
  <c r="K377" i="110"/>
  <c r="J377" i="110"/>
  <c r="AQ142" i="123"/>
  <c r="AQ142" i="105"/>
  <c r="AQ154" i="123"/>
  <c r="AQ154" i="105"/>
  <c r="AZ166" i="105"/>
  <c r="AZ166" i="123"/>
  <c r="BE166" i="105"/>
  <c r="BE166" i="123"/>
  <c r="AM142" i="123"/>
  <c r="AM142" i="105"/>
  <c r="AM166" i="123"/>
  <c r="AM166" i="105"/>
  <c r="BC166" i="105"/>
  <c r="BC166" i="123"/>
  <c r="BF154" i="105"/>
  <c r="BF154" i="123"/>
  <c r="AP166" i="123"/>
  <c r="AP166" i="105"/>
  <c r="AP142" i="123"/>
  <c r="AP142" i="105"/>
  <c r="AN154" i="123"/>
  <c r="AN154" i="105"/>
  <c r="BA154" i="105"/>
  <c r="BA154" i="123"/>
  <c r="BA166" i="105"/>
  <c r="BA166" i="123"/>
  <c r="BE142" i="123"/>
  <c r="BE142" i="105"/>
  <c r="BE154" i="105"/>
  <c r="BE154" i="123"/>
  <c r="F429" i="41"/>
  <c r="AX33" i="59"/>
  <c r="K178" i="123"/>
  <c r="CR48" i="105"/>
  <c r="CR22" i="105"/>
  <c r="F321" i="110"/>
  <c r="F363" i="110"/>
  <c r="F362" i="110"/>
  <c r="F361" i="110"/>
  <c r="F379" i="110"/>
  <c r="CR7" i="105"/>
  <c r="CR32" i="123"/>
  <c r="CR118" i="105"/>
  <c r="CR113" i="105"/>
  <c r="CR31" i="105"/>
  <c r="CP49" i="123"/>
  <c r="K224" i="123"/>
  <c r="CR59" i="105"/>
  <c r="CR19" i="105"/>
  <c r="CP36" i="123"/>
  <c r="CP35" i="123"/>
  <c r="K204" i="123"/>
  <c r="CR119" i="105"/>
  <c r="CR81" i="105"/>
  <c r="CR23" i="105"/>
  <c r="CR15" i="105"/>
  <c r="CR126" i="105"/>
  <c r="CP33" i="123"/>
  <c r="K201" i="123"/>
  <c r="CR127" i="105"/>
  <c r="CR112" i="105"/>
  <c r="CR127" i="123"/>
  <c r="CR29" i="105"/>
  <c r="K185" i="123"/>
  <c r="K222" i="123"/>
  <c r="K225" i="123"/>
  <c r="CP29" i="123"/>
  <c r="K198" i="123"/>
  <c r="K205" i="123"/>
  <c r="K200" i="123"/>
  <c r="CR32" i="105"/>
  <c r="BA200" i="59"/>
  <c r="E37" i="135"/>
  <c r="BC198" i="59"/>
  <c r="BF198" i="59"/>
  <c r="E81" i="133"/>
  <c r="BA198" i="59"/>
  <c r="E21" i="133"/>
  <c r="BC200" i="59"/>
  <c r="BF200" i="59"/>
  <c r="AE87" i="70"/>
  <c r="AE90" i="70"/>
  <c r="AF87" i="70"/>
  <c r="AF90" i="70"/>
  <c r="AG87" i="70"/>
  <c r="AG90" i="70"/>
  <c r="AD87" i="70"/>
  <c r="AD90" i="70"/>
  <c r="CR77" i="105"/>
  <c r="CR12" i="123"/>
  <c r="F364" i="110"/>
  <c r="F382" i="110"/>
  <c r="F359" i="110"/>
  <c r="F377" i="110"/>
  <c r="CR30" i="123"/>
  <c r="CP104" i="123"/>
  <c r="L224" i="123"/>
  <c r="M224" i="123"/>
  <c r="L182" i="123"/>
  <c r="M182" i="123"/>
  <c r="CR38" i="105"/>
  <c r="CR75" i="105"/>
  <c r="CR5" i="105"/>
  <c r="CR73" i="105"/>
  <c r="CR74" i="105"/>
  <c r="CR30" i="105"/>
  <c r="CR72" i="105"/>
  <c r="CR69" i="105"/>
  <c r="CR108" i="105"/>
  <c r="CR25" i="105"/>
  <c r="CR24" i="105"/>
  <c r="BV154" i="123"/>
  <c r="CR37" i="123"/>
  <c r="CR27" i="105"/>
  <c r="F174" i="46"/>
  <c r="CR33" i="105"/>
  <c r="CC117" i="123"/>
  <c r="CR93" i="105"/>
  <c r="CR28" i="105"/>
  <c r="CQ86" i="123"/>
  <c r="CP20" i="123"/>
  <c r="CP19" i="123"/>
  <c r="K188" i="123"/>
  <c r="CR49" i="105"/>
  <c r="CR37" i="105"/>
  <c r="E114" i="133"/>
  <c r="CR56" i="105"/>
  <c r="CI142" i="123"/>
  <c r="CC68" i="123"/>
  <c r="CR23" i="123"/>
  <c r="AD78" i="70"/>
  <c r="CR16" i="105"/>
  <c r="CR120" i="105"/>
  <c r="F369" i="110"/>
  <c r="F368" i="110"/>
  <c r="F370" i="110"/>
  <c r="AC78" i="70"/>
  <c r="AC87" i="70"/>
  <c r="AC90" i="70"/>
  <c r="BV142" i="105"/>
  <c r="CR28" i="123"/>
  <c r="CR72" i="123"/>
  <c r="CR4" i="105"/>
  <c r="CR94" i="105"/>
  <c r="CR125" i="105"/>
  <c r="F366" i="110"/>
  <c r="F384" i="110"/>
  <c r="F367" i="110"/>
  <c r="F385" i="110"/>
  <c r="F365" i="110"/>
  <c r="CR12" i="105"/>
  <c r="AF78" i="70"/>
  <c r="AE78" i="70"/>
  <c r="CR120" i="123"/>
  <c r="CR67" i="105"/>
  <c r="CP128" i="123"/>
  <c r="L208" i="123"/>
  <c r="M208" i="123"/>
  <c r="CR66" i="105"/>
  <c r="CR63" i="105"/>
  <c r="CR71" i="105"/>
  <c r="AG78" i="70"/>
  <c r="BL154" i="123"/>
  <c r="CR31" i="123"/>
  <c r="K214" i="123"/>
  <c r="CR38" i="123"/>
  <c r="CR118" i="123"/>
  <c r="CR25" i="123"/>
  <c r="CR8" i="123"/>
  <c r="CQ33" i="123"/>
  <c r="CC67" i="123"/>
  <c r="CD67" i="123"/>
  <c r="CR82" i="105"/>
  <c r="CR117" i="105"/>
  <c r="CQ117" i="123"/>
  <c r="CP121" i="123"/>
  <c r="L201" i="123"/>
  <c r="M201" i="123"/>
  <c r="CQ4" i="123"/>
  <c r="CP4" i="123"/>
  <c r="K174" i="123"/>
  <c r="K180" i="123"/>
  <c r="CQ122" i="123"/>
  <c r="CR122" i="123"/>
  <c r="CP126" i="123"/>
  <c r="L206" i="123"/>
  <c r="M206" i="123"/>
  <c r="CC27" i="123"/>
  <c r="CD27" i="123"/>
  <c r="CR27" i="123"/>
  <c r="CQ94" i="123"/>
  <c r="L198" i="123"/>
  <c r="M198" i="123"/>
  <c r="CQ114" i="123"/>
  <c r="CR114" i="123"/>
  <c r="CQ68" i="123"/>
  <c r="CR68" i="123"/>
  <c r="CP68" i="123"/>
  <c r="CP123" i="123"/>
  <c r="L203" i="123"/>
  <c r="M203" i="123"/>
  <c r="CQ119" i="123"/>
  <c r="CR119" i="123"/>
  <c r="F380" i="110"/>
  <c r="F360" i="110"/>
  <c r="L180" i="123"/>
  <c r="M180" i="123"/>
  <c r="AY18" i="105"/>
  <c r="BI18" i="105"/>
  <c r="CF18" i="105"/>
  <c r="CF18" i="123"/>
  <c r="AZ18" i="105"/>
  <c r="BJ18" i="105"/>
  <c r="CG18" i="105"/>
  <c r="CG18" i="123"/>
  <c r="BA18" i="105"/>
  <c r="BK18" i="105"/>
  <c r="CH18" i="105"/>
  <c r="CH18" i="123"/>
  <c r="BB18" i="105"/>
  <c r="BL18" i="105"/>
  <c r="CI18" i="105"/>
  <c r="CI18" i="123"/>
  <c r="BC18" i="105"/>
  <c r="BM18" i="105"/>
  <c r="CJ18" i="105"/>
  <c r="CJ18" i="123"/>
  <c r="BD18" i="105"/>
  <c r="BN18" i="105"/>
  <c r="CK18" i="105"/>
  <c r="CK18" i="123"/>
  <c r="BE18" i="105"/>
  <c r="BO18" i="105"/>
  <c r="CL18" i="105"/>
  <c r="CL18" i="123"/>
  <c r="BF18" i="105"/>
  <c r="BP18" i="105"/>
  <c r="CM18" i="105"/>
  <c r="CM18" i="123"/>
  <c r="BG18" i="105"/>
  <c r="BQ18" i="105"/>
  <c r="CN18" i="105"/>
  <c r="CN18" i="123"/>
  <c r="CP18" i="123"/>
  <c r="K187" i="123"/>
  <c r="CP82" i="123"/>
  <c r="CQ82" i="123"/>
  <c r="L178" i="123"/>
  <c r="M178" i="123"/>
  <c r="AY107" i="105"/>
  <c r="BI107" i="105"/>
  <c r="CF107" i="105"/>
  <c r="CF108" i="123"/>
  <c r="AZ107" i="105"/>
  <c r="BJ107" i="105"/>
  <c r="CG107" i="105"/>
  <c r="CG108" i="123"/>
  <c r="BA107" i="105"/>
  <c r="BK107" i="105"/>
  <c r="CH107" i="105"/>
  <c r="CH108" i="123"/>
  <c r="BB107" i="105"/>
  <c r="BL107" i="105"/>
  <c r="CI107" i="105"/>
  <c r="CI108" i="123"/>
  <c r="BC107" i="105"/>
  <c r="BM107" i="105"/>
  <c r="CJ107" i="105"/>
  <c r="CJ108" i="123"/>
  <c r="BD107" i="105"/>
  <c r="BN107" i="105"/>
  <c r="CK107" i="105"/>
  <c r="CK108" i="123"/>
  <c r="BE107" i="105"/>
  <c r="BO107" i="105"/>
  <c r="CL107" i="105"/>
  <c r="CL108" i="123"/>
  <c r="BF107" i="105"/>
  <c r="BP107" i="105"/>
  <c r="CM107" i="105"/>
  <c r="CM108" i="123"/>
  <c r="BG107" i="105"/>
  <c r="BQ107" i="105"/>
  <c r="CN107" i="105"/>
  <c r="CN108" i="123"/>
  <c r="CP108" i="123"/>
  <c r="L188" i="123"/>
  <c r="M188" i="123"/>
  <c r="CD117" i="123"/>
  <c r="CP81" i="123"/>
  <c r="CQ81" i="123"/>
  <c r="CR81" i="123"/>
  <c r="CC36" i="123"/>
  <c r="CD36" i="123"/>
  <c r="L177" i="123"/>
  <c r="M177" i="123"/>
  <c r="CD29" i="123"/>
  <c r="CC29" i="123"/>
  <c r="CQ6" i="123"/>
  <c r="CR6" i="123"/>
  <c r="CP6" i="123"/>
  <c r="K175" i="123"/>
  <c r="L176" i="123"/>
  <c r="M176" i="123"/>
  <c r="CP69" i="123"/>
  <c r="CQ69" i="123"/>
  <c r="CR69" i="123"/>
  <c r="CQ130" i="123"/>
  <c r="CQ73" i="123"/>
  <c r="CR73" i="123"/>
  <c r="CP73" i="123"/>
  <c r="CQ49" i="123"/>
  <c r="CR49" i="123"/>
  <c r="CQ66" i="123"/>
  <c r="CR66" i="123"/>
  <c r="CP66" i="123"/>
  <c r="CP131" i="123"/>
  <c r="L225" i="123"/>
  <c r="CP60" i="123"/>
  <c r="CQ60" i="123"/>
  <c r="CR122" i="105"/>
  <c r="CR111" i="105"/>
  <c r="CR6" i="105"/>
  <c r="CR114" i="105"/>
  <c r="CR105" i="105"/>
  <c r="CQ105" i="123"/>
  <c r="CP105" i="123"/>
  <c r="CQ63" i="123"/>
  <c r="CR63" i="123"/>
  <c r="CP63" i="123"/>
  <c r="CD33" i="123"/>
  <c r="CC33" i="123"/>
  <c r="CQ67" i="123"/>
  <c r="CP67" i="123"/>
  <c r="CQ7" i="123"/>
  <c r="CR7" i="123"/>
  <c r="CP7" i="123"/>
  <c r="CC82" i="123"/>
  <c r="CD82" i="123"/>
  <c r="CC4" i="123"/>
  <c r="CD4" i="123"/>
  <c r="CD94" i="123"/>
  <c r="CC94" i="123"/>
  <c r="CQ74" i="123"/>
  <c r="CR74" i="123"/>
  <c r="CP74" i="123"/>
  <c r="CQ85" i="123"/>
  <c r="CP85" i="123"/>
  <c r="CQ125" i="123"/>
  <c r="CP125" i="123"/>
  <c r="L220" i="123"/>
  <c r="F381" i="110"/>
  <c r="L181" i="123"/>
  <c r="M181" i="123"/>
  <c r="CP77" i="123"/>
  <c r="CQ77" i="123"/>
  <c r="CR77" i="123"/>
  <c r="CQ36" i="123"/>
  <c r="CP102" i="123"/>
  <c r="L183" i="123"/>
  <c r="M183" i="123"/>
  <c r="CR36" i="105"/>
  <c r="CD93" i="123"/>
  <c r="CR93" i="123"/>
  <c r="CC93" i="123"/>
  <c r="CP34" i="123"/>
  <c r="K202" i="123"/>
  <c r="CQ29" i="123"/>
  <c r="CP112" i="123"/>
  <c r="CQ112" i="123"/>
  <c r="CR112" i="123"/>
  <c r="CQ80" i="123"/>
  <c r="CR80" i="123"/>
  <c r="CP80" i="123"/>
  <c r="CC125" i="123"/>
  <c r="CD125" i="123"/>
  <c r="CR104" i="105"/>
  <c r="CR80" i="105"/>
  <c r="F378" i="110"/>
  <c r="F383" i="110"/>
  <c r="G368" i="110"/>
  <c r="F386" i="110"/>
  <c r="G369" i="110"/>
  <c r="F387" i="110"/>
  <c r="G370" i="110"/>
  <c r="F388" i="110"/>
  <c r="F371" i="110"/>
  <c r="F389" i="110"/>
  <c r="F372" i="110"/>
  <c r="F390" i="110"/>
  <c r="F373" i="110"/>
  <c r="F391" i="110"/>
  <c r="H368" i="110"/>
  <c r="G386" i="110"/>
  <c r="H369" i="110"/>
  <c r="G387" i="110"/>
  <c r="H370" i="110"/>
  <c r="G388" i="110"/>
  <c r="H386" i="110"/>
  <c r="H387" i="110"/>
  <c r="H388" i="110"/>
  <c r="J368" i="110"/>
  <c r="I386" i="110"/>
  <c r="J369" i="110"/>
  <c r="I387" i="110"/>
  <c r="J370" i="110"/>
  <c r="I388" i="110"/>
  <c r="J386" i="110"/>
  <c r="J387" i="110"/>
  <c r="J388" i="110"/>
  <c r="L368" i="110"/>
  <c r="K386" i="110"/>
  <c r="L369" i="110"/>
  <c r="K387" i="110"/>
  <c r="L370" i="110"/>
  <c r="K388" i="110"/>
  <c r="M368" i="110"/>
  <c r="L386" i="110"/>
  <c r="M369" i="110"/>
  <c r="L387" i="110"/>
  <c r="M370" i="110"/>
  <c r="L388" i="110"/>
  <c r="M386" i="110"/>
  <c r="M387" i="110"/>
  <c r="M388" i="110"/>
  <c r="CR68" i="105"/>
  <c r="CD105" i="123"/>
  <c r="CC105" i="123"/>
  <c r="CP115" i="123"/>
  <c r="L195" i="123"/>
  <c r="M195" i="123"/>
  <c r="CQ126" i="123"/>
  <c r="CR126" i="123"/>
  <c r="L221" i="123"/>
  <c r="CC24" i="123"/>
  <c r="CD24" i="123"/>
  <c r="CR24" i="123"/>
  <c r="CP71" i="123"/>
  <c r="CQ71" i="123"/>
  <c r="CR71" i="123"/>
  <c r="CQ19" i="123"/>
  <c r="CR19" i="123"/>
  <c r="CP86" i="123"/>
  <c r="BL154" i="105"/>
  <c r="CR16" i="123"/>
  <c r="CR59" i="123"/>
  <c r="CR15" i="123"/>
  <c r="CR48" i="123"/>
  <c r="CR22" i="123"/>
  <c r="CR75" i="123"/>
  <c r="CR5" i="123"/>
  <c r="CR113" i="123"/>
  <c r="BV166" i="105"/>
  <c r="BL166" i="123"/>
  <c r="BL142" i="105"/>
  <c r="BL166" i="105"/>
  <c r="R152" i="123"/>
  <c r="R152" i="105"/>
  <c r="R140" i="123"/>
  <c r="R140" i="105"/>
  <c r="S140" i="123"/>
  <c r="S140" i="105"/>
  <c r="V140" i="123"/>
  <c r="V140" i="105"/>
  <c r="W152" i="123"/>
  <c r="W152" i="105"/>
  <c r="U152" i="123"/>
  <c r="U152" i="105"/>
  <c r="P140" i="123"/>
  <c r="P140" i="105"/>
  <c r="S164" i="105"/>
  <c r="Q164" i="105"/>
  <c r="W140" i="123"/>
  <c r="W140" i="105"/>
  <c r="S152" i="123"/>
  <c r="S152" i="105"/>
  <c r="R164" i="105"/>
  <c r="V152" i="123"/>
  <c r="V152" i="105"/>
  <c r="Q140" i="123"/>
  <c r="Q140" i="105"/>
  <c r="T152" i="123"/>
  <c r="T152" i="105"/>
  <c r="W164" i="105"/>
  <c r="P164" i="105"/>
  <c r="V164" i="105"/>
  <c r="Q152" i="123"/>
  <c r="Q152" i="105"/>
  <c r="T140" i="123"/>
  <c r="T140" i="105"/>
  <c r="P152" i="123"/>
  <c r="P152" i="105"/>
  <c r="BO142" i="123"/>
  <c r="BO142" i="105"/>
  <c r="BP154" i="123"/>
  <c r="BP154" i="105"/>
  <c r="BN154" i="123"/>
  <c r="BN154" i="105"/>
  <c r="BP142" i="123"/>
  <c r="BP142" i="105"/>
  <c r="BN142" i="123"/>
  <c r="BN142" i="105"/>
  <c r="AJ154" i="123"/>
  <c r="AJ166" i="123"/>
  <c r="BQ154" i="105"/>
  <c r="BQ154" i="123"/>
  <c r="BO154" i="123"/>
  <c r="BO154" i="105"/>
  <c r="BM166" i="105"/>
  <c r="BM166" i="123"/>
  <c r="BO166" i="123"/>
  <c r="BO166" i="105"/>
  <c r="CI154" i="123"/>
  <c r="CI154" i="105"/>
  <c r="BM154" i="105"/>
  <c r="BM154" i="123"/>
  <c r="AJ142" i="123"/>
  <c r="BP166" i="123"/>
  <c r="BP166" i="105"/>
  <c r="BM142" i="123"/>
  <c r="BM142" i="105"/>
  <c r="BQ142" i="123"/>
  <c r="BQ142" i="105"/>
  <c r="BQ166" i="123"/>
  <c r="BQ166" i="105"/>
  <c r="BN166" i="123"/>
  <c r="BN166" i="105"/>
  <c r="CI166" i="123"/>
  <c r="CI166" i="105"/>
  <c r="L429" i="41"/>
  <c r="L424" i="41"/>
  <c r="N424" i="41"/>
  <c r="I419" i="41"/>
  <c r="M424" i="41"/>
  <c r="H429" i="41"/>
  <c r="H424" i="41"/>
  <c r="J419" i="41"/>
  <c r="J429" i="41"/>
  <c r="G424" i="41"/>
  <c r="K419" i="41"/>
  <c r="L419" i="41"/>
  <c r="N429" i="41"/>
  <c r="N419" i="41"/>
  <c r="I424" i="41"/>
  <c r="M419" i="41"/>
  <c r="M429" i="41"/>
  <c r="H419" i="41"/>
  <c r="F424" i="41"/>
  <c r="F419" i="41"/>
  <c r="J424" i="41"/>
  <c r="G429" i="41"/>
  <c r="G419" i="41"/>
  <c r="K429" i="41"/>
  <c r="I429" i="41"/>
  <c r="K424" i="41"/>
  <c r="AX201" i="59"/>
  <c r="AX63" i="59"/>
  <c r="AX64" i="59"/>
  <c r="AX62" i="59"/>
  <c r="BV142" i="123"/>
  <c r="BV154" i="105"/>
  <c r="CI142" i="105"/>
  <c r="K182" i="123"/>
  <c r="K176" i="123"/>
  <c r="K177" i="123"/>
  <c r="K220" i="123"/>
  <c r="K223" i="123"/>
  <c r="K179" i="123"/>
  <c r="K181" i="123"/>
  <c r="K206" i="123"/>
  <c r="K210" i="123"/>
  <c r="K209" i="123"/>
  <c r="K221" i="123"/>
  <c r="K213" i="123"/>
  <c r="T164" i="105"/>
  <c r="BA38" i="70"/>
  <c r="K212" i="123"/>
  <c r="U140" i="123"/>
  <c r="U140" i="105"/>
  <c r="U164" i="105"/>
  <c r="BV166" i="123"/>
  <c r="CR82" i="123"/>
  <c r="CR125" i="123"/>
  <c r="CR33" i="123"/>
  <c r="CR117" i="123"/>
  <c r="O154" i="105"/>
  <c r="O154" i="123"/>
  <c r="O142" i="123"/>
  <c r="O142" i="105"/>
  <c r="O166" i="123"/>
  <c r="O166" i="105"/>
  <c r="E166" i="123"/>
  <c r="E166" i="105"/>
  <c r="E142" i="105"/>
  <c r="E142" i="123"/>
  <c r="E154" i="123"/>
  <c r="E154" i="105"/>
  <c r="BA40" i="70"/>
  <c r="L213" i="123"/>
  <c r="M221" i="123"/>
  <c r="M213" i="123"/>
  <c r="M220" i="123"/>
  <c r="CR4" i="123"/>
  <c r="CR36" i="123"/>
  <c r="CR67" i="123"/>
  <c r="CR105" i="123"/>
  <c r="M225" i="123"/>
  <c r="M214" i="123"/>
  <c r="L214" i="123"/>
  <c r="CR29" i="123"/>
  <c r="CR94" i="123"/>
  <c r="CJ142" i="123"/>
  <c r="CJ142" i="105"/>
  <c r="CM166" i="105"/>
  <c r="CM166" i="123"/>
  <c r="CJ154" i="123"/>
  <c r="CJ154" i="105"/>
  <c r="CL166" i="105"/>
  <c r="CL166" i="123"/>
  <c r="CJ166" i="105"/>
  <c r="CJ166" i="123"/>
  <c r="CA154" i="123"/>
  <c r="CA154" i="105"/>
  <c r="BZ142" i="105"/>
  <c r="BZ142" i="123"/>
  <c r="BX154" i="123"/>
  <c r="BX154" i="105"/>
  <c r="CK154" i="123"/>
  <c r="CK154" i="105"/>
  <c r="CM154" i="123"/>
  <c r="CM154" i="105"/>
  <c r="CK166" i="123"/>
  <c r="CK166" i="105"/>
  <c r="CA166" i="123"/>
  <c r="CA166" i="105"/>
  <c r="CA142" i="123"/>
  <c r="CA142" i="105"/>
  <c r="BW142" i="123"/>
  <c r="BW142" i="105"/>
  <c r="BZ166" i="123"/>
  <c r="BZ166" i="105"/>
  <c r="BW154" i="123"/>
  <c r="BW154" i="105"/>
  <c r="BY166" i="105"/>
  <c r="BY166" i="123"/>
  <c r="BW166" i="105"/>
  <c r="BW166" i="123"/>
  <c r="BY154" i="123"/>
  <c r="BY154" i="105"/>
  <c r="CN154" i="123"/>
  <c r="CN154" i="105"/>
  <c r="CK142" i="123"/>
  <c r="CK142" i="105"/>
  <c r="CM142" i="123"/>
  <c r="CM142" i="105"/>
  <c r="BZ154" i="123"/>
  <c r="BZ154" i="105"/>
  <c r="BY142" i="123"/>
  <c r="BY142" i="105"/>
  <c r="CL142" i="105"/>
  <c r="CL142" i="123"/>
  <c r="BX166" i="123"/>
  <c r="BX166" i="105"/>
  <c r="CN166" i="105"/>
  <c r="CN166" i="123"/>
  <c r="CN142" i="105"/>
  <c r="CN142" i="123"/>
  <c r="CL154" i="123"/>
  <c r="CL154" i="105"/>
  <c r="BX142" i="123"/>
  <c r="BX142" i="105"/>
  <c r="H140" i="105"/>
  <c r="J140" i="105"/>
  <c r="L140" i="105"/>
  <c r="M140" i="105"/>
  <c r="I140" i="105"/>
  <c r="K140" i="105"/>
  <c r="G140" i="105"/>
  <c r="AX199" i="59"/>
  <c r="G217" i="46"/>
  <c r="G225" i="46"/>
  <c r="AX198" i="59"/>
  <c r="BD305" i="59"/>
  <c r="AZ305" i="59"/>
  <c r="R65" i="127"/>
  <c r="K217" i="46"/>
  <c r="K225" i="46"/>
  <c r="H217" i="46"/>
  <c r="H225" i="46"/>
  <c r="H216" i="46"/>
  <c r="H224" i="46"/>
  <c r="K216" i="46"/>
  <c r="K224" i="46"/>
  <c r="K219" i="46"/>
  <c r="K227" i="46"/>
  <c r="K218" i="46"/>
  <c r="K226" i="46"/>
  <c r="H218" i="46"/>
  <c r="H226" i="46"/>
  <c r="H219" i="46"/>
  <c r="H227" i="46"/>
  <c r="L216" i="46"/>
  <c r="L224" i="46"/>
  <c r="L217" i="46"/>
  <c r="L225" i="46"/>
  <c r="G216" i="46"/>
  <c r="G224" i="46"/>
  <c r="G219" i="46"/>
  <c r="G227" i="46"/>
  <c r="G218" i="46"/>
  <c r="G226" i="46"/>
  <c r="L219" i="46"/>
  <c r="L227" i="46"/>
  <c r="L218" i="46"/>
  <c r="L226" i="46"/>
  <c r="N217" i="46"/>
  <c r="N225" i="46"/>
  <c r="N219" i="46"/>
  <c r="N227" i="46"/>
  <c r="N216" i="46"/>
  <c r="N224" i="46"/>
  <c r="N218" i="46"/>
  <c r="N226" i="46"/>
  <c r="I219" i="46"/>
  <c r="I227" i="46"/>
  <c r="I218" i="46"/>
  <c r="I226" i="46"/>
  <c r="I216" i="46"/>
  <c r="I224" i="46"/>
  <c r="I217" i="46"/>
  <c r="I225" i="46"/>
  <c r="M217" i="46"/>
  <c r="M225" i="46"/>
  <c r="M216" i="46"/>
  <c r="M224" i="46"/>
  <c r="M219" i="46"/>
  <c r="M227" i="46"/>
  <c r="M218" i="46"/>
  <c r="M226" i="46"/>
  <c r="J218" i="46"/>
  <c r="J226" i="46"/>
  <c r="J219" i="46"/>
  <c r="J227" i="46"/>
  <c r="J217" i="46"/>
  <c r="J225" i="46"/>
  <c r="J216" i="46"/>
  <c r="J224" i="46"/>
  <c r="H140" i="123"/>
  <c r="G140" i="123"/>
  <c r="I140" i="123"/>
  <c r="M140" i="123"/>
  <c r="AY142" i="105"/>
  <c r="AY142" i="123"/>
  <c r="AY166" i="105"/>
  <c r="AY166" i="123"/>
  <c r="AS166" i="105"/>
  <c r="AT166" i="105"/>
  <c r="AI166" i="105"/>
  <c r="AY154" i="123"/>
  <c r="AY154" i="105"/>
  <c r="AI154" i="105"/>
  <c r="AT154" i="105"/>
  <c r="AS154" i="105"/>
  <c r="AI142" i="105"/>
  <c r="AS142" i="105"/>
  <c r="AT142" i="105"/>
  <c r="K140" i="123"/>
  <c r="J140" i="123"/>
  <c r="L140" i="123"/>
  <c r="BA140" i="123"/>
  <c r="BA140" i="105"/>
  <c r="AT123" i="105"/>
  <c r="BE140" i="105"/>
  <c r="BC140" i="105"/>
  <c r="BG140" i="105"/>
  <c r="AK140" i="105"/>
  <c r="AK140" i="123"/>
  <c r="AT78" i="105"/>
  <c r="AO140" i="105"/>
  <c r="AO140" i="123"/>
  <c r="AM140" i="105"/>
  <c r="AM140" i="123"/>
  <c r="AQ140" i="105"/>
  <c r="AQ140" i="123"/>
  <c r="AP140" i="105"/>
  <c r="AP140" i="123"/>
  <c r="BF140" i="105"/>
  <c r="AS123" i="105"/>
  <c r="BD140" i="105"/>
  <c r="AT34" i="105"/>
  <c r="AL140" i="105"/>
  <c r="AL140" i="123"/>
  <c r="AS34" i="105"/>
  <c r="AS78" i="105"/>
  <c r="AN140" i="105"/>
  <c r="AN140" i="123"/>
  <c r="BB140" i="105"/>
  <c r="BB140" i="123"/>
  <c r="K65" i="127"/>
  <c r="L65" i="127"/>
  <c r="AI65" i="127"/>
  <c r="AN65" i="127"/>
  <c r="AP65" i="127"/>
  <c r="W65" i="127"/>
  <c r="AT65" i="127"/>
  <c r="AH65" i="127"/>
  <c r="I65" i="127"/>
  <c r="BB305" i="59"/>
  <c r="BA305" i="59"/>
  <c r="S65" i="127"/>
  <c r="AF65" i="127"/>
  <c r="BE305" i="59"/>
  <c r="AY305" i="59"/>
  <c r="X65" i="127"/>
  <c r="AO65" i="127"/>
  <c r="N65" i="127"/>
  <c r="BF305" i="59"/>
  <c r="AJ65" i="127"/>
  <c r="Y65" i="127"/>
  <c r="BC305" i="59"/>
  <c r="T65" i="127"/>
  <c r="U65" i="127"/>
  <c r="AE65" i="127"/>
  <c r="V65" i="127"/>
  <c r="J65" i="127"/>
  <c r="AS65" i="127"/>
  <c r="AD65" i="127"/>
  <c r="AU65" i="127"/>
  <c r="AG65" i="127"/>
  <c r="M65" i="127"/>
  <c r="AC65" i="127"/>
  <c r="G65" i="127"/>
  <c r="H65" i="127"/>
  <c r="AQ65" i="127"/>
  <c r="AR65" i="127"/>
  <c r="K187" i="46"/>
  <c r="L176" i="46"/>
  <c r="H176" i="46"/>
  <c r="K176" i="46"/>
  <c r="G176" i="46"/>
  <c r="H187" i="46"/>
  <c r="F175" i="46"/>
  <c r="G187" i="46"/>
  <c r="L187" i="46"/>
  <c r="J187" i="46"/>
  <c r="J176" i="46"/>
  <c r="M154" i="46"/>
  <c r="M159" i="46"/>
  <c r="I187" i="46"/>
  <c r="N187" i="46"/>
  <c r="M176" i="46"/>
  <c r="I176" i="46"/>
  <c r="M187" i="46"/>
  <c r="N176" i="46"/>
  <c r="AX200" i="59"/>
  <c r="L154" i="46"/>
  <c r="BC77" i="70"/>
  <c r="N159" i="46"/>
  <c r="I164" i="46"/>
  <c r="L159" i="46"/>
  <c r="I154" i="46"/>
  <c r="I159" i="46"/>
  <c r="M164" i="46"/>
  <c r="H164" i="46"/>
  <c r="N154" i="46"/>
  <c r="J154" i="46"/>
  <c r="BC80" i="70"/>
  <c r="O164" i="105"/>
  <c r="O140" i="123"/>
  <c r="O140" i="105"/>
  <c r="O152" i="105"/>
  <c r="O152" i="123"/>
  <c r="AI142" i="123"/>
  <c r="AT142" i="123"/>
  <c r="BI154" i="123"/>
  <c r="BI154" i="105"/>
  <c r="AI166" i="123"/>
  <c r="AT166" i="123"/>
  <c r="BI166" i="123"/>
  <c r="BI166" i="105"/>
  <c r="BJ166" i="105"/>
  <c r="BJ166" i="123"/>
  <c r="BI142" i="123"/>
  <c r="BI142" i="105"/>
  <c r="BJ142" i="123"/>
  <c r="BJ142" i="105"/>
  <c r="AT154" i="123"/>
  <c r="AI154" i="123"/>
  <c r="BJ154" i="123"/>
  <c r="BJ154" i="105"/>
  <c r="BK154" i="123"/>
  <c r="BK154" i="105"/>
  <c r="BK166" i="105"/>
  <c r="BK166" i="123"/>
  <c r="BK142" i="123"/>
  <c r="BK142" i="105"/>
  <c r="F217" i="46"/>
  <c r="F225" i="46"/>
  <c r="F219" i="46"/>
  <c r="F227" i="46"/>
  <c r="F216" i="46"/>
  <c r="F224" i="46"/>
  <c r="F218" i="46"/>
  <c r="F226" i="46"/>
  <c r="BC140" i="123"/>
  <c r="BD140" i="123"/>
  <c r="BE140" i="123"/>
  <c r="BG140" i="123"/>
  <c r="P163" i="105"/>
  <c r="P139" i="123"/>
  <c r="P139" i="105"/>
  <c r="W139" i="123"/>
  <c r="W139" i="105"/>
  <c r="U163" i="105"/>
  <c r="Q139" i="123"/>
  <c r="Q139" i="105"/>
  <c r="R151" i="123"/>
  <c r="R151" i="105"/>
  <c r="P151" i="123"/>
  <c r="P151" i="105"/>
  <c r="W151" i="123"/>
  <c r="W151" i="105"/>
  <c r="W163" i="123"/>
  <c r="W163" i="105"/>
  <c r="U139" i="123"/>
  <c r="U139" i="105"/>
  <c r="U151" i="123"/>
  <c r="U151" i="105"/>
  <c r="Q163" i="105"/>
  <c r="Q151" i="123"/>
  <c r="Q151" i="105"/>
  <c r="R139" i="123"/>
  <c r="R139" i="105"/>
  <c r="R163" i="105"/>
  <c r="BF140" i="123"/>
  <c r="BP140" i="105"/>
  <c r="AT34" i="123"/>
  <c r="BQ140" i="105"/>
  <c r="BO140" i="105"/>
  <c r="AT123" i="123"/>
  <c r="AT78" i="123"/>
  <c r="AM65" i="127"/>
  <c r="AX305" i="59"/>
  <c r="BD158" i="59"/>
  <c r="BB38" i="70"/>
  <c r="BF158" i="59"/>
  <c r="BA158" i="59"/>
  <c r="AX50" i="60"/>
  <c r="F65" i="127"/>
  <c r="AY158" i="59"/>
  <c r="Q65" i="127"/>
  <c r="BB158" i="59"/>
  <c r="BE158" i="59"/>
  <c r="AB65" i="127"/>
  <c r="AZ158" i="59"/>
  <c r="BC158" i="59"/>
  <c r="L164" i="46"/>
  <c r="AY50" i="60"/>
  <c r="N164" i="46"/>
  <c r="BC38" i="70"/>
  <c r="AH38" i="70"/>
  <c r="J159" i="46"/>
  <c r="J164" i="46"/>
  <c r="H159" i="46"/>
  <c r="H154" i="46"/>
  <c r="E152" i="123"/>
  <c r="E152" i="105"/>
  <c r="BB40" i="70"/>
  <c r="BC40" i="70"/>
  <c r="CW38" i="70"/>
  <c r="E140" i="123"/>
  <c r="E140" i="105"/>
  <c r="E164" i="105"/>
  <c r="F140" i="123"/>
  <c r="F140" i="105"/>
  <c r="BU142" i="123"/>
  <c r="BU142" i="105"/>
  <c r="BU154" i="105"/>
  <c r="BU154" i="123"/>
  <c r="CH154" i="123"/>
  <c r="CH154" i="105"/>
  <c r="BT154" i="105"/>
  <c r="BT154" i="123"/>
  <c r="CG154" i="105"/>
  <c r="CG154" i="123"/>
  <c r="AS154" i="123"/>
  <c r="BT142" i="105"/>
  <c r="BT142" i="123"/>
  <c r="CC142" i="105"/>
  <c r="BS142" i="105"/>
  <c r="CQ142" i="105"/>
  <c r="CF142" i="105"/>
  <c r="CP142" i="105"/>
  <c r="BT166" i="123"/>
  <c r="BT166" i="105"/>
  <c r="CC166" i="105"/>
  <c r="BS166" i="105"/>
  <c r="AS166" i="123"/>
  <c r="BS154" i="105"/>
  <c r="CC154" i="105"/>
  <c r="CF154" i="105"/>
  <c r="CP154" i="105"/>
  <c r="CQ154" i="105"/>
  <c r="F187" i="46"/>
  <c r="CH142" i="123"/>
  <c r="CH142" i="105"/>
  <c r="BU166" i="123"/>
  <c r="BU166" i="105"/>
  <c r="CH166" i="123"/>
  <c r="CH166" i="105"/>
  <c r="F176" i="46"/>
  <c r="CG142" i="123"/>
  <c r="CG142" i="105"/>
  <c r="CG166" i="105"/>
  <c r="CG166" i="123"/>
  <c r="CQ166" i="105"/>
  <c r="CP166" i="105"/>
  <c r="CF166" i="105"/>
  <c r="AS142" i="123"/>
  <c r="BP140" i="123"/>
  <c r="BQ140" i="123"/>
  <c r="G151" i="123"/>
  <c r="G151" i="105"/>
  <c r="K154" i="46"/>
  <c r="BO140" i="123"/>
  <c r="K164" i="46"/>
  <c r="K159" i="46"/>
  <c r="CP78" i="105"/>
  <c r="BY140" i="105"/>
  <c r="BY140" i="123"/>
  <c r="CL140" i="123"/>
  <c r="CL140" i="105"/>
  <c r="CA140" i="105"/>
  <c r="CA140" i="123"/>
  <c r="CD123" i="105"/>
  <c r="CQ123" i="105"/>
  <c r="CC78" i="105"/>
  <c r="CN140" i="123"/>
  <c r="CN140" i="105"/>
  <c r="CD34" i="105"/>
  <c r="G207" i="123"/>
  <c r="CP34" i="105"/>
  <c r="F207" i="123"/>
  <c r="CD78" i="105"/>
  <c r="CQ78" i="105"/>
  <c r="H207" i="123"/>
  <c r="CQ34" i="105"/>
  <c r="CC123" i="105"/>
  <c r="CC34" i="105"/>
  <c r="BZ140" i="105"/>
  <c r="BZ140" i="123"/>
  <c r="CM140" i="123"/>
  <c r="CM140" i="105"/>
  <c r="AH40" i="70"/>
  <c r="BB230" i="59"/>
  <c r="BA230" i="59"/>
  <c r="P65" i="127"/>
  <c r="AZ230" i="59"/>
  <c r="AY230" i="59"/>
  <c r="BF230" i="59"/>
  <c r="AL65" i="127"/>
  <c r="BE230" i="59"/>
  <c r="BD230" i="59"/>
  <c r="AA65" i="127"/>
  <c r="BC230" i="59"/>
  <c r="AX230" i="59"/>
  <c r="G154" i="46"/>
  <c r="G164" i="46"/>
  <c r="BE38" i="70"/>
  <c r="CW40" i="70"/>
  <c r="G163" i="105"/>
  <c r="CD154" i="105"/>
  <c r="CR154" i="105"/>
  <c r="BS166" i="123"/>
  <c r="CC166" i="123"/>
  <c r="CF142" i="123"/>
  <c r="CQ142" i="123"/>
  <c r="CC142" i="123"/>
  <c r="BS142" i="123"/>
  <c r="AZ140" i="105"/>
  <c r="AZ140" i="123"/>
  <c r="AI164" i="105"/>
  <c r="AY164" i="105"/>
  <c r="AI140" i="105"/>
  <c r="AS140" i="105"/>
  <c r="AT140" i="105"/>
  <c r="CF166" i="123"/>
  <c r="CQ166" i="123"/>
  <c r="CQ154" i="123"/>
  <c r="CP154" i="123"/>
  <c r="CF154" i="123"/>
  <c r="BS154" i="123"/>
  <c r="CC154" i="123"/>
  <c r="CD166" i="105"/>
  <c r="CR166" i="105"/>
  <c r="CD142" i="105"/>
  <c r="CR142" i="105"/>
  <c r="G159" i="46"/>
  <c r="AJ140" i="105"/>
  <c r="AY140" i="123"/>
  <c r="AY140" i="105"/>
  <c r="AY152" i="105"/>
  <c r="AY152" i="123"/>
  <c r="AI152" i="105"/>
  <c r="AK139" i="123"/>
  <c r="BA139" i="123"/>
  <c r="G139" i="123"/>
  <c r="G139" i="105"/>
  <c r="V151" i="105"/>
  <c r="V151" i="123"/>
  <c r="V139" i="105"/>
  <c r="V139" i="123"/>
  <c r="T151" i="105"/>
  <c r="T151" i="123"/>
  <c r="T163" i="105"/>
  <c r="V163" i="105"/>
  <c r="T139" i="123"/>
  <c r="T139" i="105"/>
  <c r="H163" i="105"/>
  <c r="H139" i="123"/>
  <c r="H139" i="105"/>
  <c r="S139" i="123"/>
  <c r="S139" i="105"/>
  <c r="H151" i="123"/>
  <c r="H151" i="105"/>
  <c r="S163" i="105"/>
  <c r="AK151" i="123"/>
  <c r="AK151" i="105"/>
  <c r="BA151" i="123"/>
  <c r="BA151" i="105"/>
  <c r="CQ34" i="123"/>
  <c r="CR34" i="105"/>
  <c r="CC123" i="123"/>
  <c r="I207" i="123"/>
  <c r="CQ78" i="123"/>
  <c r="CR78" i="105"/>
  <c r="CD78" i="123"/>
  <c r="CD34" i="123"/>
  <c r="CQ123" i="123"/>
  <c r="CD123" i="123"/>
  <c r="CP78" i="123"/>
  <c r="CC34" i="123"/>
  <c r="CC78" i="123"/>
  <c r="CR123" i="105"/>
  <c r="BA163" i="105"/>
  <c r="AK163" i="105"/>
  <c r="BE40" i="70"/>
  <c r="S151" i="123"/>
  <c r="S151" i="105"/>
  <c r="AK139" i="105"/>
  <c r="AX158" i="59"/>
  <c r="BA139" i="105"/>
  <c r="F164" i="46"/>
  <c r="F154" i="46"/>
  <c r="F159" i="46"/>
  <c r="BI152" i="105"/>
  <c r="BI152" i="123"/>
  <c r="BM140" i="105"/>
  <c r="BM140" i="123"/>
  <c r="BL140" i="123"/>
  <c r="BL140" i="105"/>
  <c r="BI140" i="123"/>
  <c r="BI140" i="105"/>
  <c r="CD154" i="123"/>
  <c r="CR154" i="123"/>
  <c r="CP166" i="123"/>
  <c r="AI140" i="123"/>
  <c r="BI164" i="105"/>
  <c r="BJ140" i="105"/>
  <c r="BJ140" i="123"/>
  <c r="CD142" i="123"/>
  <c r="CR142" i="123"/>
  <c r="CP142" i="123"/>
  <c r="AI152" i="123"/>
  <c r="BK140" i="123"/>
  <c r="BK140" i="105"/>
  <c r="AT140" i="123"/>
  <c r="AJ140" i="123"/>
  <c r="BN140" i="123"/>
  <c r="BN140" i="105"/>
  <c r="CD166" i="123"/>
  <c r="CR166" i="123"/>
  <c r="L163" i="105"/>
  <c r="L139" i="123"/>
  <c r="L139" i="105"/>
  <c r="L151" i="123"/>
  <c r="L151" i="105"/>
  <c r="I139" i="123"/>
  <c r="I139" i="105"/>
  <c r="I163" i="105"/>
  <c r="I151" i="123"/>
  <c r="I151" i="105"/>
  <c r="BB139" i="105"/>
  <c r="BB139" i="123"/>
  <c r="BB163" i="105"/>
  <c r="BB151" i="105"/>
  <c r="BB151" i="123"/>
  <c r="AL151" i="123"/>
  <c r="AL151" i="105"/>
  <c r="AL139" i="123"/>
  <c r="AL139" i="105"/>
  <c r="AL163" i="105"/>
  <c r="CR34" i="123"/>
  <c r="L207" i="123"/>
  <c r="M207" i="123"/>
  <c r="CR78" i="123"/>
  <c r="CR123" i="123"/>
  <c r="K207" i="123"/>
  <c r="AW50" i="60"/>
  <c r="AT35" i="105"/>
  <c r="O151" i="105"/>
  <c r="O151" i="123"/>
  <c r="O139" i="123"/>
  <c r="O139" i="105"/>
  <c r="O163" i="105"/>
  <c r="CH140" i="123"/>
  <c r="CH140" i="105"/>
  <c r="G193" i="123"/>
  <c r="CG140" i="105"/>
  <c r="CF164" i="105"/>
  <c r="F193" i="123"/>
  <c r="AS140" i="123"/>
  <c r="CC140" i="105"/>
  <c r="BS140" i="105"/>
  <c r="BV140" i="123"/>
  <c r="BV140" i="105"/>
  <c r="CJ140" i="123"/>
  <c r="CJ140" i="105"/>
  <c r="CF152" i="105"/>
  <c r="BX140" i="123"/>
  <c r="BX140" i="105"/>
  <c r="CK140" i="123"/>
  <c r="CK140" i="105"/>
  <c r="BU140" i="123"/>
  <c r="BU140" i="105"/>
  <c r="BT140" i="105"/>
  <c r="H193" i="123"/>
  <c r="BS164" i="105"/>
  <c r="CF140" i="105"/>
  <c r="CP140" i="105"/>
  <c r="CQ140" i="105"/>
  <c r="CI140" i="123"/>
  <c r="CI140" i="105"/>
  <c r="BW140" i="123"/>
  <c r="BW140" i="105"/>
  <c r="BS152" i="105"/>
  <c r="M139" i="123"/>
  <c r="M139" i="105"/>
  <c r="K139" i="123"/>
  <c r="K139" i="105"/>
  <c r="M163" i="105"/>
  <c r="M151" i="123"/>
  <c r="M151" i="105"/>
  <c r="K151" i="123"/>
  <c r="K151" i="105"/>
  <c r="BF151" i="123"/>
  <c r="BF151" i="105"/>
  <c r="AP151" i="105"/>
  <c r="AP151" i="123"/>
  <c r="AP139" i="105"/>
  <c r="AP139" i="123"/>
  <c r="BF139" i="105"/>
  <c r="BF139" i="123"/>
  <c r="AP163" i="105"/>
  <c r="BF163" i="105"/>
  <c r="J163" i="105"/>
  <c r="J139" i="123"/>
  <c r="J139" i="105"/>
  <c r="J151" i="123"/>
  <c r="J151" i="105"/>
  <c r="AM151" i="105"/>
  <c r="AM151" i="123"/>
  <c r="BC151" i="105"/>
  <c r="BC151" i="123"/>
  <c r="AM163" i="105"/>
  <c r="BC163" i="105"/>
  <c r="BC139" i="123"/>
  <c r="BC139" i="105"/>
  <c r="AM139" i="105"/>
  <c r="AM139" i="123"/>
  <c r="K163" i="105"/>
  <c r="I193" i="123"/>
  <c r="AS35" i="105"/>
  <c r="AT124" i="105"/>
  <c r="AS124" i="105"/>
  <c r="AT79" i="105"/>
  <c r="AS79" i="105"/>
  <c r="AT35" i="123"/>
  <c r="CF152" i="123"/>
  <c r="CC140" i="123"/>
  <c r="BS140" i="123"/>
  <c r="BS152" i="123"/>
  <c r="K197" i="123"/>
  <c r="CF140" i="123"/>
  <c r="BT140" i="123"/>
  <c r="CD140" i="105"/>
  <c r="CR140" i="105"/>
  <c r="CQ140" i="123"/>
  <c r="CG140" i="123"/>
  <c r="AO151" i="123"/>
  <c r="AO151" i="105"/>
  <c r="BE151" i="105"/>
  <c r="BE151" i="123"/>
  <c r="BG151" i="105"/>
  <c r="BG151" i="123"/>
  <c r="BG163" i="105"/>
  <c r="AQ163" i="105"/>
  <c r="AO139" i="123"/>
  <c r="AO139" i="105"/>
  <c r="AQ139" i="105"/>
  <c r="AQ139" i="123"/>
  <c r="BG139" i="123"/>
  <c r="BG139" i="105"/>
  <c r="AO163" i="105"/>
  <c r="BE163" i="105"/>
  <c r="AQ151" i="105"/>
  <c r="AQ151" i="123"/>
  <c r="BE139" i="123"/>
  <c r="BE139" i="105"/>
  <c r="BM139" i="123"/>
  <c r="BM139" i="105"/>
  <c r="BM163" i="105"/>
  <c r="BM151" i="105"/>
  <c r="BM151" i="123"/>
  <c r="AN139" i="123"/>
  <c r="AN139" i="105"/>
  <c r="AN151" i="123"/>
  <c r="AN151" i="105"/>
  <c r="BD151" i="105"/>
  <c r="BD151" i="123"/>
  <c r="BD139" i="105"/>
  <c r="BD139" i="123"/>
  <c r="AN163" i="105"/>
  <c r="BD163" i="105"/>
  <c r="E163" i="105"/>
  <c r="E151" i="105"/>
  <c r="AI151" i="105"/>
  <c r="E151" i="123"/>
  <c r="AY151" i="123"/>
  <c r="E139" i="123"/>
  <c r="AY139" i="105"/>
  <c r="AI139" i="105"/>
  <c r="E139" i="105"/>
  <c r="AT79" i="123"/>
  <c r="AT124" i="123"/>
  <c r="CP79" i="105"/>
  <c r="CC79" i="105"/>
  <c r="CQ35" i="105"/>
  <c r="CQ124" i="105"/>
  <c r="CD124" i="105"/>
  <c r="F139" i="123"/>
  <c r="F139" i="105"/>
  <c r="F151" i="105"/>
  <c r="F151" i="123"/>
  <c r="F163" i="105"/>
  <c r="L193" i="123"/>
  <c r="M193" i="123"/>
  <c r="CD140" i="123"/>
  <c r="CR140" i="123"/>
  <c r="K193" i="123"/>
  <c r="CP140" i="123"/>
  <c r="BQ163" i="105"/>
  <c r="BQ139" i="123"/>
  <c r="BQ139" i="105"/>
  <c r="BQ151" i="105"/>
  <c r="BQ151" i="123"/>
  <c r="BO163" i="105"/>
  <c r="BP139" i="123"/>
  <c r="BP139" i="105"/>
  <c r="BN139" i="123"/>
  <c r="BN139" i="105"/>
  <c r="BO151" i="123"/>
  <c r="BO151" i="105"/>
  <c r="BW163" i="105"/>
  <c r="CJ139" i="123"/>
  <c r="CJ139" i="105"/>
  <c r="BP163" i="105"/>
  <c r="BN163" i="105"/>
  <c r="BO139" i="123"/>
  <c r="BO139" i="105"/>
  <c r="BP151" i="105"/>
  <c r="BP151" i="123"/>
  <c r="BN151" i="123"/>
  <c r="BN151" i="105"/>
  <c r="CJ151" i="123"/>
  <c r="CJ151" i="105"/>
  <c r="CJ163" i="105"/>
  <c r="BW139" i="123"/>
  <c r="BW139" i="105"/>
  <c r="BW151" i="123"/>
  <c r="BW151" i="105"/>
  <c r="CQ79" i="105"/>
  <c r="AI151" i="123"/>
  <c r="AY163" i="105"/>
  <c r="AY151" i="105"/>
  <c r="AY139" i="123"/>
  <c r="AI139" i="123"/>
  <c r="AI163" i="105"/>
  <c r="CR124" i="105"/>
  <c r="CC124" i="123"/>
  <c r="CD35" i="105"/>
  <c r="CC35" i="105"/>
  <c r="CD79" i="105"/>
  <c r="CC124" i="105"/>
  <c r="CP35" i="105"/>
  <c r="BK151" i="123"/>
  <c r="BJ163" i="105"/>
  <c r="BJ151" i="123"/>
  <c r="BJ151" i="105"/>
  <c r="BK163" i="105"/>
  <c r="BI163" i="105"/>
  <c r="BK139" i="123"/>
  <c r="BK139" i="105"/>
  <c r="BI139" i="105"/>
  <c r="BI139" i="123"/>
  <c r="BJ139" i="105"/>
  <c r="BJ139" i="123"/>
  <c r="BI151" i="123"/>
  <c r="BI151" i="105"/>
  <c r="AZ139" i="105"/>
  <c r="AZ139" i="123"/>
  <c r="AZ163" i="105"/>
  <c r="AJ163" i="105"/>
  <c r="AS163" i="105"/>
  <c r="AT163" i="105"/>
  <c r="AJ151" i="105"/>
  <c r="AS151" i="105"/>
  <c r="AT151" i="105"/>
  <c r="AZ151" i="123"/>
  <c r="AZ151" i="105"/>
  <c r="AJ139" i="105"/>
  <c r="AS139" i="105"/>
  <c r="AT139" i="105"/>
  <c r="CN151" i="123"/>
  <c r="CN151" i="105"/>
  <c r="CN139" i="123"/>
  <c r="CN139" i="105"/>
  <c r="CA163" i="105"/>
  <c r="CA151" i="123"/>
  <c r="CA151" i="105"/>
  <c r="CA139" i="123"/>
  <c r="CA139" i="105"/>
  <c r="CN163" i="105"/>
  <c r="CK151" i="123"/>
  <c r="CK151" i="105"/>
  <c r="CM151" i="123"/>
  <c r="CM151" i="105"/>
  <c r="BY139" i="123"/>
  <c r="BY139" i="105"/>
  <c r="BX163" i="105"/>
  <c r="CK163" i="105"/>
  <c r="BZ163" i="105"/>
  <c r="BY151" i="123"/>
  <c r="BY151" i="105"/>
  <c r="BX139" i="123"/>
  <c r="BX139" i="105"/>
  <c r="CK139" i="123"/>
  <c r="CK139" i="105"/>
  <c r="BZ139" i="123"/>
  <c r="BZ139" i="105"/>
  <c r="BX151" i="123"/>
  <c r="BX151" i="105"/>
  <c r="BZ151" i="123"/>
  <c r="BZ151" i="105"/>
  <c r="CL139" i="123"/>
  <c r="CL139" i="105"/>
  <c r="CM163" i="105"/>
  <c r="CL151" i="123"/>
  <c r="CL151" i="105"/>
  <c r="CM139" i="123"/>
  <c r="CM139" i="105"/>
  <c r="BY163" i="105"/>
  <c r="CL163" i="105"/>
  <c r="CQ35" i="123"/>
  <c r="CQ79" i="123"/>
  <c r="CH151" i="123"/>
  <c r="BK151" i="105"/>
  <c r="CC79" i="123"/>
  <c r="CQ124" i="123"/>
  <c r="BU151" i="123"/>
  <c r="CD79" i="123"/>
  <c r="CP79" i="123"/>
  <c r="CD35" i="123"/>
  <c r="CC35" i="123"/>
  <c r="CR79" i="105"/>
  <c r="CR35" i="105"/>
  <c r="CD124" i="123"/>
  <c r="BL151" i="123"/>
  <c r="BL151" i="105"/>
  <c r="AJ151" i="123"/>
  <c r="AT151" i="123"/>
  <c r="BL163" i="105"/>
  <c r="BL139" i="123"/>
  <c r="BL139" i="105"/>
  <c r="BS151" i="105"/>
  <c r="BS151" i="123"/>
  <c r="BT139" i="105"/>
  <c r="BT139" i="123"/>
  <c r="BS139" i="123"/>
  <c r="BS139" i="105"/>
  <c r="BU139" i="105"/>
  <c r="BU139" i="123"/>
  <c r="CH139" i="123"/>
  <c r="CH139" i="105"/>
  <c r="BS163" i="105"/>
  <c r="BU163" i="105"/>
  <c r="BT151" i="105"/>
  <c r="BT151" i="123"/>
  <c r="CG163" i="105"/>
  <c r="AJ139" i="123"/>
  <c r="AT139" i="123"/>
  <c r="CF151" i="105"/>
  <c r="CF151" i="123"/>
  <c r="CG139" i="105"/>
  <c r="CG139" i="123"/>
  <c r="CF139" i="123"/>
  <c r="CF139" i="105"/>
  <c r="CF163" i="105"/>
  <c r="CH163" i="105"/>
  <c r="CG151" i="105"/>
  <c r="CG151" i="123"/>
  <c r="BT163" i="105"/>
  <c r="CR79" i="123"/>
  <c r="CH151" i="105"/>
  <c r="BU151" i="105"/>
  <c r="L211" i="123"/>
  <c r="M211" i="123"/>
  <c r="CR124" i="123"/>
  <c r="CR35" i="123"/>
  <c r="AS139" i="123"/>
  <c r="BV139" i="105"/>
  <c r="CC139" i="105"/>
  <c r="CI163" i="105"/>
  <c r="CQ163" i="105"/>
  <c r="CP163" i="105"/>
  <c r="CI151" i="105"/>
  <c r="CP151" i="105"/>
  <c r="CQ151" i="105"/>
  <c r="CI139" i="123"/>
  <c r="CI139" i="105"/>
  <c r="CP139" i="105"/>
  <c r="CQ139" i="105"/>
  <c r="BV163" i="105"/>
  <c r="CC163" i="105"/>
  <c r="AS151" i="123"/>
  <c r="BV151" i="105"/>
  <c r="BV151" i="123"/>
  <c r="CC151" i="105"/>
  <c r="L13" i="131"/>
  <c r="CD151" i="123"/>
  <c r="CD151" i="105"/>
  <c r="CR151" i="105"/>
  <c r="CD163" i="105"/>
  <c r="CR163" i="105"/>
  <c r="CI151" i="123"/>
  <c r="CP151" i="123"/>
  <c r="CD139" i="105"/>
  <c r="CR139" i="105"/>
  <c r="BV139" i="123"/>
  <c r="CC139" i="123"/>
  <c r="CQ139" i="123"/>
  <c r="CC151" i="123"/>
  <c r="N125" i="31"/>
  <c r="N128" i="31"/>
  <c r="N140" i="31"/>
  <c r="I13" i="131"/>
  <c r="G13" i="131"/>
  <c r="J13" i="131"/>
  <c r="AY222" i="59"/>
  <c r="AZ222" i="59"/>
  <c r="BC222" i="59"/>
  <c r="BD222" i="59"/>
  <c r="BF222" i="59"/>
  <c r="K13" i="131"/>
  <c r="BA222" i="59"/>
  <c r="F13" i="131"/>
  <c r="E13" i="131"/>
  <c r="BE222" i="59"/>
  <c r="H192" i="123"/>
  <c r="G192" i="123"/>
  <c r="CP139" i="123"/>
  <c r="CD139" i="123"/>
  <c r="CR139" i="123"/>
  <c r="CQ151" i="123"/>
  <c r="CR151" i="123"/>
  <c r="M125" i="31"/>
  <c r="M128" i="31"/>
  <c r="M140" i="31"/>
  <c r="N142" i="31"/>
  <c r="I125" i="31"/>
  <c r="I128" i="31"/>
  <c r="I140" i="31"/>
  <c r="K125" i="31"/>
  <c r="K128" i="31"/>
  <c r="K140" i="31"/>
  <c r="N160" i="31"/>
  <c r="BB61" i="70"/>
  <c r="AX222" i="59"/>
  <c r="L12" i="131"/>
  <c r="N152" i="31"/>
  <c r="F192" i="123"/>
  <c r="I192" i="123"/>
  <c r="H125" i="31"/>
  <c r="H128" i="31"/>
  <c r="H140" i="31"/>
  <c r="I142" i="31"/>
  <c r="AG162" i="123"/>
  <c r="AG162" i="105"/>
  <c r="G125" i="31"/>
  <c r="G128" i="31"/>
  <c r="G140" i="31"/>
  <c r="AG138" i="123"/>
  <c r="AG138" i="105"/>
  <c r="AG150" i="123"/>
  <c r="AG150" i="105"/>
  <c r="L125" i="31"/>
  <c r="L128" i="31"/>
  <c r="L140" i="31"/>
  <c r="M142" i="31"/>
  <c r="K160" i="31"/>
  <c r="L141" i="31"/>
  <c r="M160" i="31"/>
  <c r="N141" i="31"/>
  <c r="N143" i="31"/>
  <c r="I160" i="31"/>
  <c r="J141" i="31"/>
  <c r="BC238" i="59"/>
  <c r="AZ238" i="59"/>
  <c r="BB238" i="59"/>
  <c r="BB222" i="59"/>
  <c r="G12" i="131"/>
  <c r="BE238" i="59"/>
  <c r="BA238" i="59"/>
  <c r="BA61" i="70"/>
  <c r="BF238" i="59"/>
  <c r="BD238" i="59"/>
  <c r="D13" i="131"/>
  <c r="I12" i="131"/>
  <c r="K12" i="131"/>
  <c r="AY238" i="59"/>
  <c r="K152" i="31"/>
  <c r="I152" i="31"/>
  <c r="M152" i="31"/>
  <c r="BC61" i="70"/>
  <c r="AH61" i="70"/>
  <c r="K196" i="123"/>
  <c r="L192" i="123"/>
  <c r="M192" i="123"/>
  <c r="K192" i="123"/>
  <c r="AF138" i="123"/>
  <c r="AF138" i="105"/>
  <c r="AB138" i="123"/>
  <c r="AB138" i="105"/>
  <c r="AD150" i="123"/>
  <c r="AD150" i="105"/>
  <c r="AF150" i="123"/>
  <c r="AF150" i="105"/>
  <c r="AF162" i="123"/>
  <c r="AF162" i="105"/>
  <c r="AB150" i="123"/>
  <c r="AB150" i="105"/>
  <c r="AB162" i="123"/>
  <c r="AB162" i="105"/>
  <c r="AD138" i="123"/>
  <c r="AD138" i="105"/>
  <c r="CW61" i="70"/>
  <c r="H141" i="31"/>
  <c r="G160" i="31"/>
  <c r="L160" i="31"/>
  <c r="L142" i="31"/>
  <c r="L143" i="31"/>
  <c r="M141" i="31"/>
  <c r="M143" i="31"/>
  <c r="H160" i="31"/>
  <c r="H142" i="31"/>
  <c r="I141" i="31"/>
  <c r="I143" i="31"/>
  <c r="F12" i="131"/>
  <c r="E12" i="131"/>
  <c r="J12" i="131"/>
  <c r="G152" i="31"/>
  <c r="H152" i="31"/>
  <c r="L152" i="31"/>
  <c r="F125" i="31"/>
  <c r="F128" i="31"/>
  <c r="F140" i="31"/>
  <c r="AD162" i="123"/>
  <c r="AD162" i="105"/>
  <c r="AX238" i="59"/>
  <c r="H13" i="131"/>
  <c r="AY71" i="70"/>
  <c r="AH71" i="70"/>
  <c r="AY74" i="70"/>
  <c r="S72" i="70"/>
  <c r="F152" i="31"/>
  <c r="F160" i="31"/>
  <c r="G141" i="31"/>
  <c r="G142" i="31"/>
  <c r="BE61" i="70"/>
  <c r="AA162" i="123"/>
  <c r="AA162" i="105"/>
  <c r="Z150" i="123"/>
  <c r="Z150" i="105"/>
  <c r="Z138" i="123"/>
  <c r="Z138" i="105"/>
  <c r="AE138" i="123"/>
  <c r="AE138" i="105"/>
  <c r="AA150" i="123"/>
  <c r="AA150" i="105"/>
  <c r="AA138" i="123"/>
  <c r="AA138" i="105"/>
  <c r="Z162" i="123"/>
  <c r="Z162" i="105"/>
  <c r="AE150" i="123"/>
  <c r="AE150" i="105"/>
  <c r="AE162" i="123"/>
  <c r="AE162" i="105"/>
  <c r="H143" i="31"/>
  <c r="D12" i="131"/>
  <c r="BE71" i="70"/>
  <c r="G143" i="31"/>
  <c r="Y138" i="123"/>
  <c r="Y138" i="105"/>
  <c r="Y162" i="123"/>
  <c r="Y162" i="105"/>
  <c r="Y150" i="105"/>
  <c r="Y150" i="123"/>
  <c r="J125" i="31"/>
  <c r="J128" i="31"/>
  <c r="J140" i="31"/>
  <c r="AS92" i="105"/>
  <c r="AS3" i="105"/>
  <c r="J160" i="31"/>
  <c r="J142" i="31"/>
  <c r="J143" i="31"/>
  <c r="K141" i="31"/>
  <c r="K142" i="31"/>
  <c r="H12" i="131"/>
  <c r="J152" i="31"/>
  <c r="Y34" i="127"/>
  <c r="AJ34" i="127"/>
  <c r="N34" i="127"/>
  <c r="AC138" i="123"/>
  <c r="AC138" i="105"/>
  <c r="AC150" i="123"/>
  <c r="AC150" i="105"/>
  <c r="AC162" i="123"/>
  <c r="AC162" i="105"/>
  <c r="AT3" i="123"/>
  <c r="AT3" i="105"/>
  <c r="K143" i="31"/>
  <c r="AT92" i="123"/>
  <c r="AT92" i="105"/>
  <c r="X35" i="127"/>
  <c r="X34" i="127"/>
  <c r="AS35" i="127"/>
  <c r="AO35" i="127"/>
  <c r="AC35" i="127"/>
  <c r="L35" i="127"/>
  <c r="AD34" i="127"/>
  <c r="M35" i="127"/>
  <c r="W34" i="127"/>
  <c r="AD35" i="127"/>
  <c r="H34" i="127"/>
  <c r="AN35" i="127"/>
  <c r="S35" i="127"/>
  <c r="M34" i="127"/>
  <c r="AH35" i="127"/>
  <c r="AE34" i="127"/>
  <c r="G34" i="127"/>
  <c r="AP35" i="127"/>
  <c r="I34" i="127"/>
  <c r="AI35" i="127"/>
  <c r="R34" i="127"/>
  <c r="AT35" i="127"/>
  <c r="R35" i="127"/>
  <c r="S34" i="127"/>
  <c r="W35" i="127"/>
  <c r="AH34" i="127"/>
  <c r="AC34" i="127"/>
  <c r="T34" i="127"/>
  <c r="I35" i="127"/>
  <c r="T35" i="127"/>
  <c r="H35" i="127"/>
  <c r="AI34" i="127"/>
  <c r="L34" i="127"/>
  <c r="G35" i="127"/>
  <c r="AE35" i="127"/>
  <c r="AS3" i="123"/>
  <c r="F173" i="123"/>
  <c r="AT80" i="127"/>
  <c r="AT99" i="127"/>
  <c r="AP80" i="127"/>
  <c r="AP99" i="127"/>
  <c r="AO80" i="127"/>
  <c r="AO99" i="127"/>
  <c r="AN80" i="127"/>
  <c r="AN99" i="127"/>
  <c r="AS80" i="127"/>
  <c r="AS99" i="127"/>
  <c r="AS92" i="123"/>
  <c r="CC92" i="105"/>
  <c r="CD92" i="105"/>
  <c r="H173" i="123"/>
  <c r="I173" i="123"/>
  <c r="CP3" i="105"/>
  <c r="CQ47" i="105"/>
  <c r="CP47" i="105"/>
  <c r="CC3" i="105"/>
  <c r="CQ92" i="105"/>
  <c r="CQ3" i="105"/>
  <c r="CD3" i="105"/>
  <c r="P34" i="127"/>
  <c r="CR92" i="105"/>
  <c r="AG35" i="127"/>
  <c r="AG34" i="127"/>
  <c r="AB34" i="127"/>
  <c r="N35" i="127"/>
  <c r="V34" i="127"/>
  <c r="AR35" i="127"/>
  <c r="V35" i="127"/>
  <c r="Y35" i="127"/>
  <c r="K35" i="127"/>
  <c r="AJ35" i="127"/>
  <c r="AU35" i="127"/>
  <c r="AA34" i="127"/>
  <c r="F34" i="127"/>
  <c r="K34" i="127"/>
  <c r="Q34" i="127"/>
  <c r="CP92" i="123"/>
  <c r="L173" i="123"/>
  <c r="M173" i="123"/>
  <c r="CP3" i="123"/>
  <c r="K173" i="123"/>
  <c r="CC3" i="123"/>
  <c r="CP47" i="123"/>
  <c r="CC92" i="123"/>
  <c r="CQ3" i="123"/>
  <c r="CQ47" i="123"/>
  <c r="CD92" i="123"/>
  <c r="CQ92" i="123"/>
  <c r="AR80" i="127"/>
  <c r="AR99" i="127"/>
  <c r="AT64" i="105"/>
  <c r="AU80" i="127"/>
  <c r="AU99" i="127"/>
  <c r="CR3" i="105"/>
  <c r="CD3" i="123"/>
  <c r="AA37" i="127"/>
  <c r="M129" i="133"/>
  <c r="P37" i="127"/>
  <c r="CR92" i="123"/>
  <c r="AS47" i="105"/>
  <c r="CC47" i="105"/>
  <c r="AT47" i="105"/>
  <c r="CD47" i="105"/>
  <c r="CR3" i="123"/>
  <c r="AS20" i="105"/>
  <c r="AT20" i="105"/>
  <c r="AS64" i="105"/>
  <c r="AT109" i="105"/>
  <c r="AS109" i="105"/>
  <c r="U35" i="127"/>
  <c r="AL55" i="127"/>
  <c r="AA55" i="127"/>
  <c r="P55" i="127"/>
  <c r="J34" i="127"/>
  <c r="AF34" i="127"/>
  <c r="U34" i="127"/>
  <c r="P56" i="127"/>
  <c r="AF35" i="127"/>
  <c r="AQ35" i="127"/>
  <c r="AA56" i="127"/>
  <c r="J35" i="127"/>
  <c r="AL56" i="127"/>
  <c r="AT47" i="123"/>
  <c r="CR47" i="105"/>
  <c r="AS47" i="123"/>
  <c r="G173" i="123"/>
  <c r="CC47" i="123"/>
  <c r="CD47" i="123"/>
  <c r="AS109" i="123"/>
  <c r="AS110" i="123"/>
  <c r="H190" i="123"/>
  <c r="AA82" i="127"/>
  <c r="AA101" i="127"/>
  <c r="AL82" i="127"/>
  <c r="AL101" i="127"/>
  <c r="P82" i="127"/>
  <c r="P101" i="127"/>
  <c r="AQ80" i="127"/>
  <c r="AQ99" i="127"/>
  <c r="AT20" i="123"/>
  <c r="AT109" i="123"/>
  <c r="AT64" i="123"/>
  <c r="CQ20" i="105"/>
  <c r="P57" i="127"/>
  <c r="P35" i="127"/>
  <c r="AA35" i="127"/>
  <c r="AL67" i="127"/>
  <c r="BF152" i="59"/>
  <c r="AL47" i="127"/>
  <c r="AM35" i="127"/>
  <c r="AB35" i="127"/>
  <c r="AL57" i="127"/>
  <c r="AA47" i="127"/>
  <c r="AA57" i="127"/>
  <c r="AL35" i="127"/>
  <c r="F35" i="127"/>
  <c r="Q35" i="127"/>
  <c r="P47" i="127"/>
  <c r="CR47" i="123"/>
  <c r="CP64" i="105"/>
  <c r="P81" i="127"/>
  <c r="P100" i="127"/>
  <c r="AA83" i="127"/>
  <c r="AA102" i="127"/>
  <c r="AL83" i="127"/>
  <c r="AL102" i="127"/>
  <c r="AM80" i="127"/>
  <c r="AM99" i="127"/>
  <c r="AL165" i="127" a="1"/>
  <c r="AL165" i="127"/>
  <c r="AL184" i="127"/>
  <c r="AL162" i="127" a="1"/>
  <c r="AL162" i="127"/>
  <c r="AL163" i="127" a="1"/>
  <c r="AL163" i="127"/>
  <c r="AL182" i="127"/>
  <c r="AL164" i="127" a="1"/>
  <c r="AL164" i="127"/>
  <c r="AL183" i="127"/>
  <c r="AL167" i="127" a="1"/>
  <c r="AL167" i="127"/>
  <c r="AL186" i="127"/>
  <c r="AL166" i="127" a="1"/>
  <c r="AL166" i="127"/>
  <c r="AL185" i="127"/>
  <c r="AL80" i="127"/>
  <c r="AL99" i="127"/>
  <c r="AL71" i="127"/>
  <c r="AA80" i="127"/>
  <c r="AA99" i="127"/>
  <c r="AA165" i="127" a="1"/>
  <c r="AA165" i="127"/>
  <c r="AA184" i="127"/>
  <c r="AA164" i="127" a="1"/>
  <c r="AA164" i="127"/>
  <c r="AA183" i="127"/>
  <c r="AA163" i="127" a="1"/>
  <c r="AA163" i="127"/>
  <c r="AA182" i="127"/>
  <c r="AA167" i="127" a="1"/>
  <c r="AA167" i="127"/>
  <c r="AA186" i="127"/>
  <c r="AA166" i="127" a="1"/>
  <c r="AA166" i="127"/>
  <c r="AA185" i="127"/>
  <c r="AA162" i="127" a="1"/>
  <c r="AA162" i="127"/>
  <c r="AA71" i="127"/>
  <c r="AL81" i="127"/>
  <c r="AL100" i="127"/>
  <c r="P83" i="127"/>
  <c r="P102" i="127"/>
  <c r="P71" i="127"/>
  <c r="P167" i="127" a="1"/>
  <c r="P167" i="127"/>
  <c r="P186" i="127"/>
  <c r="P164" i="127" a="1"/>
  <c r="P164" i="127"/>
  <c r="P183" i="127"/>
  <c r="P165" i="127" a="1"/>
  <c r="P165" i="127"/>
  <c r="P184" i="127"/>
  <c r="P163" i="127" a="1"/>
  <c r="P163" i="127"/>
  <c r="P182" i="127"/>
  <c r="P80" i="127"/>
  <c r="P99" i="127"/>
  <c r="P166" i="127" a="1"/>
  <c r="P166" i="127"/>
  <c r="P185" i="127"/>
  <c r="P162" i="127" a="1"/>
  <c r="P162" i="127"/>
  <c r="AA81" i="127"/>
  <c r="AA100" i="127"/>
  <c r="CC20" i="105"/>
  <c r="CD20" i="105"/>
  <c r="CP20" i="105"/>
  <c r="CD109" i="105"/>
  <c r="CC109" i="105"/>
  <c r="CC64" i="105"/>
  <c r="CD64" i="105"/>
  <c r="CQ64" i="105"/>
  <c r="CQ109" i="105"/>
  <c r="CQ20" i="123"/>
  <c r="P103" i="127"/>
  <c r="CQ109" i="123"/>
  <c r="CR20" i="105"/>
  <c r="CC109" i="123"/>
  <c r="CC64" i="123"/>
  <c r="CD64" i="123"/>
  <c r="CD109" i="123"/>
  <c r="P155" i="127"/>
  <c r="P84" i="127"/>
  <c r="P74" i="127"/>
  <c r="AA181" i="127"/>
  <c r="AA187" i="127"/>
  <c r="AA168" i="127"/>
  <c r="AA103" i="127"/>
  <c r="CR64" i="105"/>
  <c r="CQ64" i="123"/>
  <c r="CP64" i="123"/>
  <c r="CP109" i="123"/>
  <c r="CR109" i="105"/>
  <c r="K194" i="123"/>
  <c r="CC20" i="123"/>
  <c r="CD20" i="123"/>
  <c r="P168" i="127"/>
  <c r="P181" i="127"/>
  <c r="P187" i="127"/>
  <c r="AA155" i="127"/>
  <c r="AA74" i="127"/>
  <c r="AA84" i="127"/>
  <c r="AL155" i="127"/>
  <c r="AL74" i="127"/>
  <c r="AL84" i="127"/>
  <c r="AL181" i="127"/>
  <c r="AL187" i="127"/>
  <c r="AL168" i="127"/>
  <c r="AL103" i="127"/>
  <c r="N424" i="110"/>
  <c r="CR109" i="123"/>
  <c r="CR20" i="123"/>
  <c r="CP110" i="123"/>
  <c r="L190" i="123"/>
  <c r="M190" i="123"/>
  <c r="CR64" i="123"/>
  <c r="E148" i="123"/>
  <c r="E148" i="105"/>
  <c r="E136" i="123"/>
  <c r="E136" i="105"/>
  <c r="E160" i="123"/>
  <c r="E160" i="105"/>
  <c r="AY160" i="105"/>
  <c r="AY160" i="123"/>
  <c r="AY148" i="105"/>
  <c r="AY148" i="123"/>
  <c r="AY136" i="105"/>
  <c r="AY136" i="123"/>
  <c r="BI160" i="123"/>
  <c r="BI160" i="105"/>
  <c r="BI148" i="105"/>
  <c r="BI148" i="123"/>
  <c r="BI136" i="123"/>
  <c r="BI136" i="105"/>
  <c r="CF136" i="105"/>
  <c r="CF148" i="105"/>
  <c r="CF160" i="105"/>
  <c r="CF160" i="123"/>
  <c r="CF148" i="123"/>
  <c r="CF136" i="123"/>
  <c r="AT106" i="123"/>
  <c r="AS106" i="123"/>
  <c r="H186" i="123"/>
  <c r="CD106" i="123"/>
  <c r="CQ106" i="123"/>
  <c r="CC106" i="123"/>
  <c r="CP106" i="123"/>
  <c r="CR106" i="123"/>
  <c r="L186" i="123"/>
  <c r="M186" i="123"/>
  <c r="E129" i="133"/>
  <c r="AX152" i="59"/>
  <c r="G129" i="133"/>
  <c r="BA87" i="70"/>
  <c r="I129" i="133"/>
  <c r="F129" i="133"/>
  <c r="K129" i="133"/>
  <c r="J129" i="133"/>
  <c r="AZ152" i="59"/>
  <c r="L129" i="133"/>
  <c r="H129" i="133"/>
  <c r="AH77" i="70"/>
  <c r="BE77" i="70"/>
  <c r="F424" i="110"/>
  <c r="BD152" i="59"/>
  <c r="BB152" i="59"/>
  <c r="AY152" i="59"/>
  <c r="BA152" i="59"/>
  <c r="BC152" i="59"/>
  <c r="BE152" i="59"/>
  <c r="N73" i="30"/>
  <c r="N105" i="30"/>
  <c r="N93" i="30"/>
  <c r="N79" i="30"/>
  <c r="N99" i="30"/>
  <c r="N85" i="30"/>
  <c r="K424" i="110"/>
  <c r="I424" i="110"/>
  <c r="W138" i="123"/>
  <c r="W138" i="105"/>
  <c r="W150" i="105"/>
  <c r="W150" i="123"/>
  <c r="W162" i="105"/>
  <c r="BC136" i="59"/>
  <c r="BB136" i="59"/>
  <c r="BC135" i="59"/>
  <c r="BD134" i="59"/>
  <c r="BA137" i="59"/>
  <c r="AY133" i="59"/>
  <c r="BF137" i="59"/>
  <c r="BB133" i="59"/>
  <c r="BC132" i="59"/>
  <c r="BB134" i="59"/>
  <c r="BF133" i="59"/>
  <c r="AZ133" i="59"/>
  <c r="AY137" i="59"/>
  <c r="BB135" i="59"/>
  <c r="BD135" i="59"/>
  <c r="BD133" i="59"/>
  <c r="BA135" i="59"/>
  <c r="BF134" i="59"/>
  <c r="AZ136" i="59"/>
  <c r="AZ135" i="59"/>
  <c r="BE132" i="59"/>
  <c r="BB132" i="59"/>
  <c r="BE134" i="59"/>
  <c r="AZ134" i="59"/>
  <c r="BE133" i="59"/>
  <c r="BF136" i="59"/>
  <c r="BA136" i="59"/>
  <c r="BC133" i="59"/>
  <c r="BF135" i="59"/>
  <c r="BF132" i="59"/>
  <c r="BC134" i="59"/>
  <c r="BE137" i="59"/>
  <c r="AZ132" i="59"/>
  <c r="BA132" i="59"/>
  <c r="BA133" i="59"/>
  <c r="AZ137" i="59"/>
  <c r="AY135" i="59"/>
  <c r="BB137" i="59"/>
  <c r="BD137" i="59"/>
  <c r="AY136" i="59"/>
  <c r="BE135" i="59"/>
  <c r="BC137" i="59"/>
  <c r="BD132" i="59"/>
  <c r="AY134" i="59"/>
  <c r="AY132" i="59"/>
  <c r="BD136" i="59"/>
  <c r="BE136" i="59"/>
  <c r="BA134" i="59"/>
  <c r="L253" i="39"/>
  <c r="L274" i="39"/>
  <c r="L260" i="39"/>
  <c r="L267" i="39"/>
  <c r="M260" i="39"/>
  <c r="M253" i="39"/>
  <c r="M267" i="39"/>
  <c r="M274" i="39"/>
  <c r="BD246" i="59"/>
  <c r="M263" i="39"/>
  <c r="L263" i="39"/>
  <c r="J253" i="39"/>
  <c r="J260" i="39"/>
  <c r="J274" i="39"/>
  <c r="J267" i="39"/>
  <c r="J263" i="39"/>
  <c r="BE246" i="59"/>
  <c r="BD302" i="59"/>
  <c r="BD200" i="59"/>
  <c r="BE302" i="59"/>
  <c r="BD199" i="59"/>
  <c r="BB302" i="59"/>
  <c r="G274" i="39"/>
  <c r="G267" i="39"/>
  <c r="G253" i="39"/>
  <c r="G260" i="39"/>
  <c r="BB246" i="59"/>
  <c r="BE200" i="59"/>
  <c r="BE198" i="59"/>
  <c r="BE199" i="59"/>
  <c r="BD198" i="59"/>
  <c r="H260" i="39"/>
  <c r="H274" i="39"/>
  <c r="H267" i="39"/>
  <c r="H253" i="39"/>
  <c r="AY246" i="59"/>
  <c r="BB199" i="59"/>
  <c r="AZ246" i="59"/>
  <c r="BB200" i="59"/>
  <c r="BB198" i="59"/>
  <c r="L265" i="39"/>
  <c r="L272" i="39"/>
  <c r="L258" i="39"/>
  <c r="L251" i="39"/>
  <c r="J272" i="39"/>
  <c r="J258" i="39"/>
  <c r="J265" i="39"/>
  <c r="J251" i="39"/>
  <c r="M265" i="39"/>
  <c r="M258" i="39"/>
  <c r="M272" i="39"/>
  <c r="M251" i="39"/>
  <c r="L273" i="39"/>
  <c r="L259" i="39"/>
  <c r="L266" i="39"/>
  <c r="L252" i="39"/>
  <c r="G250" i="39"/>
  <c r="G271" i="39"/>
  <c r="G257" i="39"/>
  <c r="G264" i="39"/>
  <c r="H263" i="39"/>
  <c r="G263" i="39"/>
  <c r="G258" i="39"/>
  <c r="G251" i="39"/>
  <c r="G272" i="39"/>
  <c r="G265" i="39"/>
  <c r="M264" i="39"/>
  <c r="M257" i="39"/>
  <c r="M271" i="39"/>
  <c r="M250" i="39"/>
  <c r="L257" i="39"/>
  <c r="L271" i="39"/>
  <c r="L264" i="39"/>
  <c r="L250" i="39"/>
  <c r="H264" i="39"/>
  <c r="H271" i="39"/>
  <c r="H250" i="39"/>
  <c r="H257" i="39"/>
  <c r="M259" i="39"/>
  <c r="M273" i="39"/>
  <c r="M252" i="39"/>
  <c r="M266" i="39"/>
  <c r="J273" i="39"/>
  <c r="J259" i="39"/>
  <c r="J252" i="39"/>
  <c r="J266" i="39"/>
  <c r="J271" i="39"/>
  <c r="J257" i="39"/>
  <c r="J250" i="39"/>
  <c r="J264" i="39"/>
  <c r="G252" i="39"/>
  <c r="G273" i="39"/>
  <c r="G259" i="39"/>
  <c r="G266" i="39"/>
  <c r="H249" i="39"/>
  <c r="H270" i="39"/>
  <c r="H277" i="39"/>
  <c r="G249" i="39"/>
  <c r="H258" i="39"/>
  <c r="H272" i="39"/>
  <c r="H265" i="39"/>
  <c r="H251" i="39"/>
  <c r="G270" i="39"/>
  <c r="G278" i="39"/>
  <c r="H266" i="39"/>
  <c r="H273" i="39"/>
  <c r="H259" i="39"/>
  <c r="H252" i="39"/>
  <c r="M249" i="39"/>
  <c r="J249" i="39"/>
  <c r="L270" i="39"/>
  <c r="L277" i="39"/>
  <c r="M270" i="39"/>
  <c r="M277" i="39"/>
  <c r="L249" i="39"/>
  <c r="H256" i="39"/>
  <c r="H276" i="39"/>
  <c r="M256" i="39"/>
  <c r="M276" i="39"/>
  <c r="J256" i="39"/>
  <c r="J276" i="39"/>
  <c r="L256" i="39"/>
  <c r="L276" i="39"/>
  <c r="G256" i="39"/>
  <c r="G276" i="39"/>
  <c r="J270" i="39"/>
  <c r="J278" i="39"/>
  <c r="AY199" i="59"/>
  <c r="G279" i="39"/>
  <c r="L279" i="39"/>
  <c r="L278" i="39"/>
  <c r="M279" i="39"/>
  <c r="G277" i="39"/>
  <c r="H279" i="39"/>
  <c r="J277" i="39"/>
  <c r="M278" i="39"/>
  <c r="J279" i="39"/>
  <c r="H278" i="39"/>
  <c r="AY200" i="59"/>
  <c r="AZ302" i="59"/>
  <c r="AY302" i="59"/>
  <c r="AY198" i="59"/>
  <c r="M447" i="39"/>
  <c r="H447" i="39"/>
  <c r="G447" i="39"/>
  <c r="L447" i="39"/>
  <c r="J447" i="39"/>
  <c r="BE237" i="59"/>
  <c r="BB223" i="59"/>
  <c r="AZ223" i="59"/>
  <c r="AY223" i="59"/>
  <c r="AZ237" i="59"/>
  <c r="BB229" i="59"/>
  <c r="AY229" i="59"/>
  <c r="AY237" i="59"/>
  <c r="BD223" i="59"/>
  <c r="AZ199" i="59"/>
  <c r="BE229" i="59"/>
  <c r="BB237" i="59"/>
  <c r="BD229" i="59"/>
  <c r="BD237" i="59"/>
  <c r="AZ229" i="59"/>
  <c r="BE223" i="59"/>
  <c r="AZ198" i="59"/>
  <c r="AZ200" i="59"/>
  <c r="J424" i="110"/>
  <c r="G424" i="110"/>
  <c r="L424" i="110"/>
  <c r="H424" i="110"/>
  <c r="M424" i="110"/>
  <c r="AT102" i="123"/>
  <c r="F404" i="110"/>
  <c r="F450" i="110"/>
  <c r="E102" i="105"/>
  <c r="F405" i="110"/>
  <c r="F451" i="110"/>
  <c r="O102" i="105"/>
  <c r="AI102" i="105"/>
  <c r="AI103" i="123"/>
  <c r="G404" i="110"/>
  <c r="G450" i="110"/>
  <c r="F102" i="105"/>
  <c r="G405" i="110"/>
  <c r="G451" i="110"/>
  <c r="P102" i="105"/>
  <c r="AJ102" i="105"/>
  <c r="AJ103" i="123"/>
  <c r="H404" i="110"/>
  <c r="H450" i="110"/>
  <c r="G102" i="105"/>
  <c r="H405" i="110"/>
  <c r="H451" i="110"/>
  <c r="Q102" i="105"/>
  <c r="AK102" i="105"/>
  <c r="AK103" i="123"/>
  <c r="I404" i="110"/>
  <c r="I450" i="110"/>
  <c r="H102" i="105"/>
  <c r="I405" i="110"/>
  <c r="I451" i="110"/>
  <c r="R102" i="105"/>
  <c r="AL102" i="105"/>
  <c r="AL103" i="123"/>
  <c r="J404" i="110"/>
  <c r="J450" i="110"/>
  <c r="I102" i="105"/>
  <c r="J405" i="110"/>
  <c r="J451" i="110"/>
  <c r="S102" i="105"/>
  <c r="AM102" i="105"/>
  <c r="AM103" i="123"/>
  <c r="K404" i="110"/>
  <c r="K450" i="110"/>
  <c r="J102" i="105"/>
  <c r="K405" i="110"/>
  <c r="K451" i="110"/>
  <c r="T102" i="105"/>
  <c r="AN102" i="105"/>
  <c r="AN103" i="123"/>
  <c r="L404" i="110"/>
  <c r="L450" i="110"/>
  <c r="K102" i="105"/>
  <c r="L405" i="110"/>
  <c r="L451" i="110"/>
  <c r="U102" i="105"/>
  <c r="AO102" i="105"/>
  <c r="AO103" i="123"/>
  <c r="M404" i="110"/>
  <c r="M450" i="110"/>
  <c r="L102" i="105"/>
  <c r="M405" i="110"/>
  <c r="M451" i="110"/>
  <c r="V102" i="105"/>
  <c r="AP102" i="105"/>
  <c r="AP103" i="123"/>
  <c r="N404" i="110"/>
  <c r="N450" i="110"/>
  <c r="M102" i="105"/>
  <c r="N405" i="110"/>
  <c r="N451" i="110"/>
  <c r="W102" i="105"/>
  <c r="AQ102" i="105"/>
  <c r="AQ103" i="123"/>
  <c r="AS103" i="123"/>
  <c r="H184" i="123"/>
  <c r="CD102" i="123"/>
  <c r="CC102" i="123"/>
  <c r="CQ102" i="123"/>
  <c r="CR102" i="123"/>
  <c r="AY102" i="105"/>
  <c r="BI102" i="105"/>
  <c r="CF102" i="105"/>
  <c r="CF103" i="123"/>
  <c r="AZ102" i="105"/>
  <c r="BJ102" i="105"/>
  <c r="CG102" i="105"/>
  <c r="CG103" i="123"/>
  <c r="BA102" i="105"/>
  <c r="BK102" i="105"/>
  <c r="CH102" i="105"/>
  <c r="CH103" i="123"/>
  <c r="BB102" i="105"/>
  <c r="BL102" i="105"/>
  <c r="CI102" i="105"/>
  <c r="CI103" i="123"/>
  <c r="BC102" i="105"/>
  <c r="BM102" i="105"/>
  <c r="CJ102" i="105"/>
  <c r="CJ103" i="123"/>
  <c r="BD102" i="105"/>
  <c r="BN102" i="105"/>
  <c r="CK102" i="105"/>
  <c r="CK103" i="123"/>
  <c r="BE102" i="105"/>
  <c r="BO102" i="105"/>
  <c r="CL102" i="105"/>
  <c r="CL103" i="123"/>
  <c r="BF102" i="105"/>
  <c r="BP102" i="105"/>
  <c r="CM102" i="105"/>
  <c r="CM103" i="123"/>
  <c r="BG102" i="105"/>
  <c r="BQ102" i="105"/>
  <c r="CN102" i="105"/>
  <c r="CN103" i="123"/>
  <c r="CP103" i="123"/>
  <c r="L184" i="123"/>
  <c r="M184" i="123"/>
  <c r="K186" i="123"/>
  <c r="AX166" i="59"/>
  <c r="CW85" i="70"/>
  <c r="AX159" i="59"/>
  <c r="AW51" i="60"/>
  <c r="F130" i="116"/>
  <c r="CW83" i="70"/>
  <c r="E421" i="40"/>
  <c r="H652" i="40"/>
  <c r="G652" i="40"/>
  <c r="I652" i="40"/>
  <c r="J652" i="40"/>
  <c r="K652" i="40"/>
  <c r="M652" i="40"/>
  <c r="L652" i="40"/>
  <c r="N652" i="40"/>
  <c r="G205" i="123"/>
  <c r="H205" i="123"/>
  <c r="I205" i="123"/>
  <c r="L205" i="123"/>
  <c r="M205" i="123"/>
  <c r="M164" i="105"/>
  <c r="M152" i="123"/>
  <c r="BG152" i="123"/>
  <c r="M152" i="105"/>
  <c r="L152" i="105"/>
  <c r="G152" i="123"/>
  <c r="G152" i="105"/>
  <c r="AQ152" i="105"/>
  <c r="AQ164" i="105"/>
  <c r="BG164" i="105"/>
  <c r="F152" i="123"/>
  <c r="F152" i="105"/>
  <c r="BG152" i="105"/>
  <c r="AQ152" i="123"/>
  <c r="L164" i="105"/>
  <c r="F164" i="105"/>
  <c r="L152" i="123"/>
  <c r="G164" i="105"/>
  <c r="BA152" i="123"/>
  <c r="K152" i="123"/>
  <c r="J164" i="105"/>
  <c r="I164" i="105"/>
  <c r="BC152" i="123"/>
  <c r="BE152" i="123"/>
  <c r="BC152" i="105"/>
  <c r="I152" i="105"/>
  <c r="BE152" i="105"/>
  <c r="K152" i="105"/>
  <c r="H152" i="105"/>
  <c r="J152" i="123"/>
  <c r="J152" i="105"/>
  <c r="I152" i="123"/>
  <c r="H152" i="123"/>
  <c r="AN152" i="123"/>
  <c r="K164" i="105"/>
  <c r="H164" i="105"/>
  <c r="BA152" i="105"/>
  <c r="BK152" i="105"/>
  <c r="AZ152" i="105"/>
  <c r="BA164" i="105"/>
  <c r="BD164" i="105"/>
  <c r="AL152" i="105"/>
  <c r="AL152" i="123"/>
  <c r="AZ164" i="105"/>
  <c r="BF152" i="105"/>
  <c r="BF164" i="105"/>
  <c r="BF152" i="123"/>
  <c r="AZ152" i="123"/>
  <c r="AN164" i="105"/>
  <c r="BK152" i="123"/>
  <c r="BB152" i="123"/>
  <c r="BP164" i="105"/>
  <c r="BC164" i="105"/>
  <c r="BO152" i="105"/>
  <c r="BD152" i="123"/>
  <c r="BP152" i="123"/>
  <c r="BB152" i="105"/>
  <c r="AN152" i="105"/>
  <c r="BN152" i="105"/>
  <c r="BE164" i="105"/>
  <c r="BM164" i="105"/>
  <c r="BD152" i="105"/>
  <c r="BK164" i="105"/>
  <c r="BL164" i="105"/>
  <c r="AL164" i="105"/>
  <c r="CM152" i="123"/>
  <c r="BJ152" i="105"/>
  <c r="BQ164" i="105"/>
  <c r="BB164" i="105"/>
  <c r="BJ164" i="105"/>
  <c r="CN164" i="105"/>
  <c r="BL152" i="105"/>
  <c r="BJ152" i="123"/>
  <c r="BO152" i="123"/>
  <c r="CA164" i="105"/>
  <c r="CI164" i="105"/>
  <c r="BL152" i="123"/>
  <c r="CH152" i="105"/>
  <c r="CH152" i="123"/>
  <c r="BV164" i="105"/>
  <c r="BP152" i="105"/>
  <c r="CJ152" i="123"/>
  <c r="BM152" i="123"/>
  <c r="CM152" i="105"/>
  <c r="BM152" i="105"/>
  <c r="BN152" i="123"/>
  <c r="CK152" i="105"/>
  <c r="CK152" i="123"/>
  <c r="BQ152" i="105"/>
  <c r="BO164" i="105"/>
  <c r="BQ152" i="123"/>
  <c r="CN152" i="105"/>
  <c r="BN164" i="105"/>
  <c r="CI152" i="123"/>
  <c r="CL152" i="123"/>
  <c r="CM164" i="105"/>
  <c r="BW164" i="105"/>
  <c r="BY152" i="123"/>
  <c r="BY152" i="105"/>
  <c r="BV152" i="105"/>
  <c r="CG152" i="105"/>
  <c r="CL152" i="105"/>
  <c r="CI152" i="105"/>
  <c r="BV152" i="123"/>
  <c r="CG164" i="105"/>
  <c r="CH164" i="105"/>
  <c r="CJ164" i="105"/>
  <c r="BX164" i="105"/>
  <c r="CK164" i="105"/>
  <c r="CJ152" i="105"/>
  <c r="CP76" i="105"/>
  <c r="CP152" i="105"/>
  <c r="BX152" i="123"/>
  <c r="BX152" i="105"/>
  <c r="CN152" i="123"/>
  <c r="CA152" i="105"/>
  <c r="CA152" i="123"/>
  <c r="CL164" i="105"/>
  <c r="AO164" i="105"/>
  <c r="AO152" i="123"/>
  <c r="BW152" i="105"/>
  <c r="BY164" i="105"/>
  <c r="AM164" i="105"/>
  <c r="AM152" i="123"/>
  <c r="AO152" i="105"/>
  <c r="BW152" i="123"/>
  <c r="AM152" i="105"/>
  <c r="CG152" i="123"/>
  <c r="CP76" i="123"/>
  <c r="CP152" i="123"/>
  <c r="CQ121" i="123"/>
  <c r="AP164" i="105"/>
  <c r="AP152" i="105"/>
  <c r="BZ152" i="105"/>
  <c r="AP152" i="123"/>
  <c r="BZ164" i="105"/>
  <c r="BZ152" i="123"/>
  <c r="BU152" i="105"/>
  <c r="BU164" i="105"/>
  <c r="BU152" i="123"/>
  <c r="AJ152" i="105"/>
  <c r="BT164" i="105"/>
  <c r="AJ164" i="105"/>
  <c r="AK152" i="105"/>
  <c r="AK164" i="105"/>
  <c r="CC76" i="105"/>
  <c r="CC152" i="105"/>
  <c r="AT76" i="105"/>
  <c r="AT152" i="105"/>
  <c r="AS76" i="105"/>
  <c r="AS152" i="105"/>
  <c r="CC121" i="105"/>
  <c r="CC164" i="105"/>
  <c r="AS121" i="105"/>
  <c r="AS164" i="105"/>
  <c r="AT121" i="105"/>
  <c r="AT164" i="105"/>
  <c r="AK152" i="123"/>
  <c r="BT152" i="105"/>
  <c r="AJ152" i="123"/>
  <c r="AT121" i="123"/>
  <c r="AT76" i="123"/>
  <c r="AT152" i="123"/>
  <c r="CC76" i="123"/>
  <c r="CC152" i="123"/>
  <c r="CC121" i="123"/>
  <c r="BT152" i="123"/>
  <c r="AS152" i="123"/>
  <c r="CQ121" i="105"/>
  <c r="CQ76" i="123"/>
  <c r="CQ152" i="123"/>
  <c r="CQ76" i="105"/>
  <c r="CQ152" i="105"/>
  <c r="CD76" i="105"/>
  <c r="CD152" i="105"/>
  <c r="CD121" i="105"/>
  <c r="CD164" i="105"/>
  <c r="CD121" i="123"/>
  <c r="CD76" i="123"/>
  <c r="CD152" i="123"/>
  <c r="CR152" i="123"/>
  <c r="CR152" i="105"/>
  <c r="CR76" i="123"/>
  <c r="CR76" i="105"/>
  <c r="CR121" i="123"/>
  <c r="CR121" i="105"/>
  <c r="G670" i="40"/>
  <c r="G673" i="40"/>
  <c r="H670" i="40"/>
  <c r="H673" i="40"/>
  <c r="I670" i="40"/>
  <c r="I673" i="40"/>
  <c r="J670" i="40"/>
  <c r="J673" i="40"/>
  <c r="K670" i="40"/>
  <c r="K673" i="40"/>
  <c r="M670" i="40"/>
  <c r="M673" i="40"/>
  <c r="L670" i="40"/>
  <c r="L673" i="40"/>
  <c r="N670" i="40"/>
  <c r="N673" i="40"/>
  <c r="AT128" i="123"/>
  <c r="CC128" i="123"/>
  <c r="CQ128" i="123"/>
  <c r="M165" i="123"/>
  <c r="AQ165" i="123"/>
  <c r="BG165" i="123"/>
  <c r="K203" i="123"/>
  <c r="W165" i="123"/>
  <c r="BB165" i="123"/>
  <c r="AL165" i="123"/>
  <c r="AN165" i="123"/>
  <c r="BD165" i="123"/>
  <c r="H165" i="123"/>
  <c r="J165" i="123"/>
  <c r="T165" i="123"/>
  <c r="R165" i="123"/>
  <c r="BS165" i="123"/>
  <c r="CF165" i="123"/>
  <c r="BI165" i="123"/>
  <c r="AI165" i="123"/>
  <c r="AY165" i="123"/>
  <c r="O165" i="123"/>
  <c r="E165" i="123"/>
  <c r="CD128" i="123"/>
  <c r="CR128" i="123"/>
  <c r="G175" i="123"/>
  <c r="M127" i="141"/>
  <c r="G127" i="141"/>
  <c r="H127" i="141"/>
  <c r="L127" i="141"/>
  <c r="K127" i="141"/>
  <c r="I127" i="141"/>
  <c r="J127" i="141"/>
  <c r="K211" i="123"/>
  <c r="K189" i="123"/>
  <c r="BV165" i="123"/>
  <c r="BX165" i="123"/>
  <c r="BW165" i="123"/>
  <c r="AO165" i="123"/>
  <c r="BY165" i="123"/>
  <c r="AM165" i="123"/>
  <c r="AP165" i="123"/>
  <c r="BZ165" i="123"/>
  <c r="BU165" i="123"/>
  <c r="AK165" i="123"/>
  <c r="AJ165" i="123"/>
  <c r="AT115" i="123"/>
  <c r="AT165" i="123"/>
  <c r="BT165" i="123"/>
  <c r="CC115" i="123"/>
  <c r="CC165" i="123"/>
  <c r="AS165" i="123"/>
  <c r="CA165" i="123"/>
  <c r="CP165" i="123"/>
  <c r="CG165" i="123"/>
  <c r="CL165" i="123"/>
  <c r="CM165" i="123"/>
  <c r="CJ165" i="123"/>
  <c r="CH165" i="123"/>
  <c r="CK165" i="123"/>
  <c r="BO165" i="123"/>
  <c r="BM165" i="123"/>
  <c r="BK165" i="123"/>
  <c r="BJ165" i="123"/>
  <c r="BP165" i="123"/>
  <c r="CN165" i="123"/>
  <c r="CI165" i="123"/>
  <c r="BQ165" i="123"/>
  <c r="BN165" i="123"/>
  <c r="BL165" i="123"/>
  <c r="BE165" i="123"/>
  <c r="BF165" i="123"/>
  <c r="BA165" i="123"/>
  <c r="AZ165" i="123"/>
  <c r="I165" i="123"/>
  <c r="BC165" i="123"/>
  <c r="K165" i="123"/>
  <c r="G165" i="123"/>
  <c r="F165" i="123"/>
  <c r="L165" i="123"/>
  <c r="U165" i="123"/>
  <c r="S165" i="123"/>
  <c r="Q165" i="123"/>
  <c r="P165" i="123"/>
  <c r="V165" i="123"/>
  <c r="CQ115" i="123"/>
  <c r="CQ165" i="123"/>
  <c r="CD115" i="123"/>
  <c r="CR115" i="123"/>
  <c r="CD165" i="123"/>
  <c r="CR165" i="123"/>
  <c r="G145" i="157"/>
  <c r="H145" i="157"/>
  <c r="I145" i="157"/>
  <c r="J145" i="157"/>
  <c r="K145" i="157"/>
  <c r="L145" i="157"/>
  <c r="M145" i="157"/>
  <c r="CC110" i="123"/>
  <c r="AT110" i="123"/>
  <c r="CD110" i="123"/>
  <c r="CQ110" i="123"/>
  <c r="CR110" i="123"/>
  <c r="N394" i="110"/>
  <c r="G394" i="110"/>
  <c r="G454" i="110"/>
  <c r="F13" i="105"/>
  <c r="AZ13" i="105"/>
  <c r="H394" i="110"/>
  <c r="H454" i="110"/>
  <c r="G13" i="105"/>
  <c r="BA13" i="105"/>
  <c r="I394" i="110"/>
  <c r="I454" i="110"/>
  <c r="H13" i="105"/>
  <c r="BB13" i="105"/>
  <c r="J394" i="110"/>
  <c r="J454" i="110"/>
  <c r="I13" i="105"/>
  <c r="BC13" i="105"/>
  <c r="K394" i="110"/>
  <c r="K454" i="110"/>
  <c r="J13" i="105"/>
  <c r="BD13" i="105"/>
  <c r="L394" i="110"/>
  <c r="L454" i="110"/>
  <c r="K13" i="105"/>
  <c r="BE13" i="105"/>
  <c r="BO13" i="105"/>
  <c r="CL13" i="105"/>
  <c r="CL13" i="123"/>
  <c r="M394" i="110"/>
  <c r="M454" i="110"/>
  <c r="L13" i="105"/>
  <c r="BF13" i="105"/>
  <c r="BP13" i="105"/>
  <c r="CM13" i="105"/>
  <c r="CM13" i="123"/>
  <c r="N454" i="110"/>
  <c r="M13" i="105"/>
  <c r="BG13" i="105"/>
  <c r="BQ13" i="105"/>
  <c r="CN13" i="105"/>
  <c r="CN13" i="123"/>
  <c r="K184" i="123"/>
  <c r="O103" i="123"/>
  <c r="M13" i="123"/>
  <c r="R103" i="123"/>
  <c r="T103" i="123"/>
  <c r="BG13" i="123"/>
  <c r="BB13" i="123"/>
  <c r="H13" i="123"/>
  <c r="J13" i="123"/>
  <c r="BD13" i="123"/>
  <c r="BQ13" i="123"/>
  <c r="BO13" i="123"/>
  <c r="BA13" i="123"/>
  <c r="BP13" i="123"/>
  <c r="AZ13" i="123"/>
  <c r="BF13" i="123"/>
  <c r="G13" i="123"/>
  <c r="K13" i="123"/>
  <c r="BE13" i="123"/>
  <c r="BC13" i="123"/>
  <c r="F13" i="123"/>
  <c r="L13" i="123"/>
  <c r="U103" i="123"/>
  <c r="I13" i="123"/>
  <c r="S103" i="123"/>
  <c r="Q103" i="123"/>
  <c r="P103" i="123"/>
  <c r="V103" i="123"/>
  <c r="W103" i="123"/>
  <c r="N406" i="110"/>
  <c r="M406" i="110"/>
  <c r="K406" i="110"/>
  <c r="L406" i="110"/>
  <c r="J406" i="110"/>
  <c r="I406" i="110"/>
  <c r="H406" i="110"/>
  <c r="G406" i="110"/>
  <c r="L103" i="123"/>
  <c r="F103" i="123"/>
  <c r="G103" i="123"/>
  <c r="K103" i="123"/>
  <c r="BC103" i="123"/>
  <c r="I103" i="123"/>
  <c r="AZ103" i="123"/>
  <c r="BA103" i="123"/>
  <c r="BF103" i="123"/>
  <c r="BE103" i="123"/>
  <c r="BQ103" i="123"/>
  <c r="BP103" i="123"/>
  <c r="BO103" i="123"/>
  <c r="CA102" i="105"/>
  <c r="CA103" i="123"/>
  <c r="BY102" i="105"/>
  <c r="BY103" i="123"/>
  <c r="BZ102" i="105"/>
  <c r="BZ103" i="123"/>
  <c r="BB103" i="123"/>
  <c r="BD103" i="123"/>
  <c r="H103" i="123"/>
  <c r="J103" i="123"/>
  <c r="BG103" i="123"/>
  <c r="M103" i="123"/>
  <c r="CD8" i="105"/>
  <c r="CD9" i="105"/>
  <c r="CD10" i="105"/>
  <c r="CQ8" i="105"/>
  <c r="CQ9" i="105"/>
  <c r="CQ10" i="105"/>
  <c r="AT8" i="105"/>
  <c r="AT9" i="105"/>
  <c r="AT10" i="105"/>
  <c r="CR8" i="105"/>
  <c r="CR9" i="105"/>
  <c r="CR10" i="105"/>
  <c r="CD50" i="105"/>
  <c r="CD51" i="105"/>
  <c r="CD52" i="105"/>
  <c r="CD53" i="105"/>
  <c r="CD54" i="105"/>
  <c r="CD55" i="105"/>
  <c r="CQ50" i="105"/>
  <c r="CQ51" i="105"/>
  <c r="CQ52" i="105"/>
  <c r="CQ53" i="105"/>
  <c r="CQ54" i="105"/>
  <c r="CQ55" i="105"/>
  <c r="AT50" i="105"/>
  <c r="AT51" i="105"/>
  <c r="AT52" i="105"/>
  <c r="AT53" i="105"/>
  <c r="AT54" i="105"/>
  <c r="AT55" i="105"/>
  <c r="CR50" i="105"/>
  <c r="CR51" i="105"/>
  <c r="CR52" i="105"/>
  <c r="CR53" i="105"/>
  <c r="CR54" i="105"/>
  <c r="CR55" i="105"/>
  <c r="CD95" i="105"/>
  <c r="CD96" i="105"/>
  <c r="CD97" i="105"/>
  <c r="CD98" i="105"/>
  <c r="CD99" i="105"/>
  <c r="CD100" i="105"/>
  <c r="CD101" i="105"/>
  <c r="CQ95" i="105"/>
  <c r="CQ96" i="105"/>
  <c r="CQ97" i="105"/>
  <c r="CQ98" i="105"/>
  <c r="CQ99" i="105"/>
  <c r="CQ100" i="105"/>
  <c r="CQ101" i="105"/>
  <c r="AT95" i="105"/>
  <c r="AT96" i="105"/>
  <c r="AT97" i="105"/>
  <c r="AT98" i="105"/>
  <c r="AT99" i="105"/>
  <c r="AT100" i="105"/>
  <c r="AT101" i="105"/>
  <c r="CR95" i="105"/>
  <c r="CR96" i="105"/>
  <c r="CR97" i="105"/>
  <c r="CR98" i="105"/>
  <c r="CR99" i="105"/>
  <c r="CR100" i="105"/>
  <c r="CR101" i="105"/>
  <c r="CQ50" i="123"/>
  <c r="CQ51" i="123"/>
  <c r="CQ52" i="123"/>
  <c r="CQ53" i="123"/>
  <c r="CQ54" i="123"/>
  <c r="CQ55" i="123"/>
  <c r="CQ56" i="123"/>
  <c r="CQ58" i="123"/>
  <c r="F400" i="110"/>
  <c r="F453" i="110"/>
  <c r="O57" i="105"/>
  <c r="G400" i="110"/>
  <c r="G453" i="110"/>
  <c r="P57" i="105"/>
  <c r="G399" i="110"/>
  <c r="G452" i="110"/>
  <c r="F57" i="105"/>
  <c r="AZ57" i="105"/>
  <c r="H400" i="110"/>
  <c r="H453" i="110"/>
  <c r="Q57" i="105"/>
  <c r="H399" i="110"/>
  <c r="H452" i="110"/>
  <c r="G57" i="105"/>
  <c r="BA57" i="105"/>
  <c r="I400" i="110"/>
  <c r="I453" i="110"/>
  <c r="R57" i="105"/>
  <c r="I399" i="110"/>
  <c r="I452" i="110"/>
  <c r="H57" i="105"/>
  <c r="BB57" i="105"/>
  <c r="J400" i="110"/>
  <c r="J453" i="110"/>
  <c r="S57" i="105"/>
  <c r="J399" i="110"/>
  <c r="J452" i="110"/>
  <c r="I57" i="105"/>
  <c r="BC57" i="105"/>
  <c r="K400" i="110"/>
  <c r="K453" i="110"/>
  <c r="T57" i="105"/>
  <c r="K399" i="110"/>
  <c r="K452" i="110"/>
  <c r="J57" i="105"/>
  <c r="BD57" i="105"/>
  <c r="L400" i="110"/>
  <c r="L453" i="110"/>
  <c r="U57" i="105"/>
  <c r="L399" i="110"/>
  <c r="L452" i="110"/>
  <c r="K57" i="105"/>
  <c r="BE57" i="105"/>
  <c r="BO57" i="105"/>
  <c r="BY57" i="105"/>
  <c r="M400" i="110"/>
  <c r="M453" i="110"/>
  <c r="V57" i="105"/>
  <c r="M399" i="110"/>
  <c r="M452" i="110"/>
  <c r="L57" i="105"/>
  <c r="BF57" i="105"/>
  <c r="BP57" i="105"/>
  <c r="BZ57" i="105"/>
  <c r="N400" i="110"/>
  <c r="N453" i="110"/>
  <c r="W57" i="105"/>
  <c r="N399" i="110"/>
  <c r="N452" i="110"/>
  <c r="M57" i="105"/>
  <c r="BG57" i="105"/>
  <c r="BQ57" i="105"/>
  <c r="CA57" i="105"/>
  <c r="CD50" i="123"/>
  <c r="CD51" i="123"/>
  <c r="CD52" i="123"/>
  <c r="CD53" i="123"/>
  <c r="CD54" i="123"/>
  <c r="CD55" i="123"/>
  <c r="CD56" i="123"/>
  <c r="AT50" i="123"/>
  <c r="AT51" i="123"/>
  <c r="AT52" i="123"/>
  <c r="AT53" i="123"/>
  <c r="AT54" i="123"/>
  <c r="AT55" i="123"/>
  <c r="AT56" i="123"/>
  <c r="BY57" i="123"/>
  <c r="BZ57" i="123"/>
  <c r="CA57" i="123"/>
  <c r="O57" i="123"/>
  <c r="M57" i="123"/>
  <c r="BG57" i="123"/>
  <c r="J57" i="123"/>
  <c r="H57" i="123"/>
  <c r="BB57" i="123"/>
  <c r="BD57" i="123"/>
  <c r="AQ57" i="105"/>
  <c r="AQ57" i="123"/>
  <c r="T57" i="123"/>
  <c r="R57" i="123"/>
  <c r="AN57" i="105"/>
  <c r="AN57" i="123"/>
  <c r="AL57" i="105"/>
  <c r="AL57" i="123"/>
  <c r="AJ57" i="105"/>
  <c r="AJ57" i="123"/>
  <c r="AK57" i="105"/>
  <c r="AK57" i="123"/>
  <c r="AM57" i="105"/>
  <c r="AM57" i="123"/>
  <c r="AO57" i="105"/>
  <c r="AO57" i="123"/>
  <c r="AP57" i="105"/>
  <c r="AP57" i="123"/>
  <c r="Q57" i="123"/>
  <c r="S57" i="123"/>
  <c r="P57" i="123"/>
  <c r="U57" i="123"/>
  <c r="V57" i="123"/>
  <c r="CL57" i="105"/>
  <c r="CL57" i="123"/>
  <c r="CM57" i="105"/>
  <c r="CM57" i="123"/>
  <c r="CN57" i="105"/>
  <c r="CN57" i="123"/>
  <c r="BQ57" i="123"/>
  <c r="BO57" i="123"/>
  <c r="BP57" i="123"/>
  <c r="AZ57" i="123"/>
  <c r="BF57" i="123"/>
  <c r="I57" i="123"/>
  <c r="BE57" i="123"/>
  <c r="BC57" i="123"/>
  <c r="K57" i="123"/>
  <c r="BA57" i="123"/>
  <c r="L57" i="123"/>
  <c r="F57" i="123"/>
  <c r="G57" i="123"/>
  <c r="W57" i="123"/>
  <c r="N401" i="110"/>
  <c r="K401" i="110"/>
  <c r="L401" i="110"/>
  <c r="M401" i="110"/>
  <c r="I401" i="110"/>
  <c r="J401" i="110"/>
  <c r="H401" i="110"/>
  <c r="G401" i="110"/>
  <c r="CR50" i="123"/>
  <c r="CR51" i="123"/>
  <c r="CR52" i="123"/>
  <c r="CR53" i="123"/>
  <c r="CR54" i="123"/>
  <c r="CR55" i="123"/>
  <c r="CR56" i="123"/>
  <c r="CD95" i="123"/>
  <c r="CD96" i="123"/>
  <c r="CD98" i="123"/>
  <c r="CD99" i="123"/>
  <c r="CD100" i="123"/>
  <c r="CD101" i="123"/>
  <c r="CQ95" i="123"/>
  <c r="CQ96" i="123"/>
  <c r="CQ98" i="123"/>
  <c r="CQ99" i="123"/>
  <c r="CQ100" i="123"/>
  <c r="CQ101" i="123"/>
  <c r="AT95" i="123"/>
  <c r="AT96" i="123"/>
  <c r="AT98" i="123"/>
  <c r="AT99" i="123"/>
  <c r="AT100" i="123"/>
  <c r="AT101" i="123"/>
  <c r="CR95" i="123"/>
  <c r="CR96" i="123"/>
  <c r="CR98" i="123"/>
  <c r="CR99" i="123"/>
  <c r="CR100" i="123"/>
  <c r="CR101" i="123"/>
  <c r="CD97" i="123"/>
  <c r="CQ97" i="123"/>
  <c r="AT97" i="123"/>
  <c r="CR97" i="123"/>
  <c r="G395" i="110"/>
  <c r="G455" i="110"/>
  <c r="P13" i="105"/>
  <c r="AJ13" i="105"/>
  <c r="H395" i="110"/>
  <c r="H455" i="110"/>
  <c r="Q13" i="105"/>
  <c r="AK13" i="105"/>
  <c r="I395" i="110"/>
  <c r="I455" i="110"/>
  <c r="R13" i="105"/>
  <c r="AL13" i="105"/>
  <c r="J395" i="110"/>
  <c r="J455" i="110"/>
  <c r="S13" i="105"/>
  <c r="AM13" i="105"/>
  <c r="K395" i="110"/>
  <c r="K455" i="110"/>
  <c r="T13" i="105"/>
  <c r="AN13" i="105"/>
  <c r="L395" i="110"/>
  <c r="L455" i="110"/>
  <c r="U13" i="105"/>
  <c r="BY13" i="105"/>
  <c r="AO13" i="105"/>
  <c r="M395" i="110"/>
  <c r="M455" i="110"/>
  <c r="V13" i="105"/>
  <c r="BZ13" i="105"/>
  <c r="AP13" i="105"/>
  <c r="N395" i="110"/>
  <c r="N455" i="110"/>
  <c r="W13" i="105"/>
  <c r="CA13" i="105"/>
  <c r="AQ13" i="105"/>
  <c r="F395" i="110"/>
  <c r="F455" i="110"/>
  <c r="O13" i="105"/>
  <c r="W13" i="123"/>
  <c r="H396" i="110"/>
  <c r="G396" i="110"/>
  <c r="J396" i="110"/>
  <c r="I396" i="110"/>
  <c r="M396" i="110"/>
  <c r="L396" i="110"/>
  <c r="K396" i="110"/>
  <c r="N396" i="110"/>
  <c r="O13" i="123"/>
  <c r="R13" i="123"/>
  <c r="T13" i="123"/>
  <c r="CA13" i="123"/>
  <c r="AQ13" i="123"/>
  <c r="AN13" i="123"/>
  <c r="AL13" i="123"/>
  <c r="AO13" i="123"/>
  <c r="AM13" i="123"/>
  <c r="AP13" i="123"/>
  <c r="BY13" i="123"/>
  <c r="BZ13" i="123"/>
  <c r="AK13" i="123"/>
  <c r="AJ13" i="123"/>
  <c r="V13" i="123"/>
  <c r="U13" i="123"/>
  <c r="S13" i="123"/>
  <c r="Q13" i="123"/>
  <c r="P13" i="123"/>
  <c r="BT102" i="105"/>
  <c r="BT103" i="123"/>
  <c r="BU102" i="105"/>
  <c r="BU103" i="123"/>
  <c r="BV102" i="105"/>
  <c r="BV103" i="123"/>
  <c r="BW102" i="105"/>
  <c r="BW103" i="123"/>
  <c r="BX102" i="105"/>
  <c r="BX103" i="123"/>
  <c r="BS102" i="105"/>
  <c r="BS103" i="123"/>
  <c r="CD103" i="123"/>
  <c r="CQ103" i="123"/>
  <c r="AT103" i="123"/>
  <c r="AT102" i="105"/>
  <c r="CQ102" i="105"/>
  <c r="CD102" i="105"/>
  <c r="BL103" i="123"/>
  <c r="BN103" i="123"/>
  <c r="BJ103" i="123"/>
  <c r="BK103" i="123"/>
  <c r="BM103" i="123"/>
  <c r="CP102" i="105"/>
  <c r="CC103" i="123"/>
  <c r="AS102" i="105"/>
  <c r="CC102" i="105"/>
  <c r="BI103" i="123"/>
  <c r="AY103" i="123"/>
  <c r="E103" i="123"/>
  <c r="CR103" i="123"/>
  <c r="CR102" i="105"/>
  <c r="F406" i="110"/>
  <c r="L185" i="123"/>
  <c r="M185" i="123"/>
  <c r="CQ116" i="105"/>
  <c r="CQ164" i="105"/>
  <c r="CR164" i="105"/>
  <c r="CR116" i="105"/>
  <c r="F499" i="113"/>
  <c r="F507" i="113"/>
  <c r="F571" i="113"/>
  <c r="O61" i="105"/>
  <c r="F570" i="113"/>
  <c r="E61" i="105"/>
  <c r="AY61" i="105"/>
  <c r="BI61" i="105"/>
  <c r="BS61" i="105"/>
  <c r="AY62" i="105"/>
  <c r="BI62" i="105"/>
  <c r="BS62" i="105"/>
  <c r="G512" i="113"/>
  <c r="G520" i="113"/>
  <c r="G569" i="113"/>
  <c r="P17" i="105"/>
  <c r="BT17" i="105"/>
  <c r="BT18" i="105"/>
  <c r="H512" i="113"/>
  <c r="H520" i="113"/>
  <c r="H569" i="113"/>
  <c r="Q17" i="105"/>
  <c r="BU17" i="105"/>
  <c r="BU18" i="105"/>
  <c r="I512" i="113"/>
  <c r="I520" i="113"/>
  <c r="I569" i="113"/>
  <c r="R17" i="105"/>
  <c r="BV17" i="105"/>
  <c r="BV18" i="105"/>
  <c r="J512" i="113"/>
  <c r="J520" i="113"/>
  <c r="J569" i="113"/>
  <c r="S17" i="105"/>
  <c r="BW17" i="105"/>
  <c r="BW18" i="105"/>
  <c r="K512" i="113"/>
  <c r="K520" i="113"/>
  <c r="K569" i="113"/>
  <c r="T17" i="105"/>
  <c r="BX17" i="105"/>
  <c r="BX18" i="105"/>
  <c r="L512" i="113"/>
  <c r="L520" i="113"/>
  <c r="L569" i="113"/>
  <c r="U17" i="105"/>
  <c r="BY17" i="105"/>
  <c r="BY18" i="105"/>
  <c r="M512" i="113"/>
  <c r="M520" i="113"/>
  <c r="M569" i="113"/>
  <c r="V17" i="105"/>
  <c r="BZ17" i="105"/>
  <c r="BZ18" i="105"/>
  <c r="N512" i="113"/>
  <c r="N520" i="113"/>
  <c r="N569" i="113"/>
  <c r="W17" i="105"/>
  <c r="CA17" i="105"/>
  <c r="CA18" i="105"/>
  <c r="F512" i="113"/>
  <c r="F520" i="113"/>
  <c r="F569" i="113"/>
  <c r="O17" i="105"/>
  <c r="BS17" i="105"/>
  <c r="BS18" i="105"/>
  <c r="M570" i="113"/>
  <c r="L61" i="105"/>
  <c r="L149" i="105"/>
  <c r="H570" i="113"/>
  <c r="G61" i="105"/>
  <c r="G61" i="123"/>
  <c r="G62" i="123"/>
  <c r="G149" i="123"/>
  <c r="G149" i="105"/>
  <c r="G570" i="113"/>
  <c r="F61" i="105"/>
  <c r="F61" i="123"/>
  <c r="F62" i="123"/>
  <c r="F149" i="123"/>
  <c r="F149" i="105"/>
  <c r="L61" i="123"/>
  <c r="L62" i="123"/>
  <c r="L149" i="123"/>
  <c r="BA61" i="105"/>
  <c r="BA61" i="123"/>
  <c r="BA62" i="105"/>
  <c r="BA62" i="123"/>
  <c r="BA149" i="123"/>
  <c r="L570" i="113"/>
  <c r="K61" i="105"/>
  <c r="K61" i="123"/>
  <c r="K62" i="123"/>
  <c r="K149" i="123"/>
  <c r="J570" i="113"/>
  <c r="I61" i="105"/>
  <c r="BC61" i="105"/>
  <c r="BC61" i="123"/>
  <c r="BC62" i="105"/>
  <c r="BC62" i="123"/>
  <c r="BC149" i="123"/>
  <c r="BE61" i="105"/>
  <c r="BE61" i="123"/>
  <c r="BE62" i="105"/>
  <c r="BE62" i="123"/>
  <c r="BE149" i="123"/>
  <c r="BC149" i="105"/>
  <c r="I149" i="105"/>
  <c r="BE149" i="105"/>
  <c r="K149" i="105"/>
  <c r="I61" i="123"/>
  <c r="I62" i="123"/>
  <c r="I149" i="123"/>
  <c r="BA149" i="105"/>
  <c r="AZ61" i="105"/>
  <c r="BK61" i="105"/>
  <c r="AZ62" i="105"/>
  <c r="BK62" i="105"/>
  <c r="AZ149" i="105"/>
  <c r="BF61" i="105"/>
  <c r="BF62" i="105"/>
  <c r="BF149" i="105"/>
  <c r="BF61" i="123"/>
  <c r="BF62" i="123"/>
  <c r="BF149" i="123"/>
  <c r="AZ61" i="123"/>
  <c r="AZ62" i="123"/>
  <c r="AZ149" i="123"/>
  <c r="BK61" i="123"/>
  <c r="BK62" i="123"/>
  <c r="K570" i="113"/>
  <c r="J61" i="105"/>
  <c r="BD61" i="105"/>
  <c r="BO61" i="105"/>
  <c r="BD62" i="105"/>
  <c r="BO62" i="105"/>
  <c r="BO149" i="105"/>
  <c r="BP61" i="105"/>
  <c r="BP61" i="123"/>
  <c r="BP62" i="105"/>
  <c r="BP62" i="123"/>
  <c r="BP149" i="123"/>
  <c r="I570" i="113"/>
  <c r="H61" i="105"/>
  <c r="BB61" i="105"/>
  <c r="BN61" i="105"/>
  <c r="BB62" i="105"/>
  <c r="BN62" i="105"/>
  <c r="CM61" i="105"/>
  <c r="CM61" i="123"/>
  <c r="CM62" i="105"/>
  <c r="CM62" i="123"/>
  <c r="CM149" i="123"/>
  <c r="BJ61" i="105"/>
  <c r="BJ62" i="105"/>
  <c r="BL61" i="105"/>
  <c r="BL62" i="105"/>
  <c r="BJ61" i="123"/>
  <c r="BJ62" i="123"/>
  <c r="BO61" i="123"/>
  <c r="BO62" i="123"/>
  <c r="BO149" i="123"/>
  <c r="BL61" i="123"/>
  <c r="BL62" i="123"/>
  <c r="CH61" i="105"/>
  <c r="CH62" i="105"/>
  <c r="CH61" i="123"/>
  <c r="CH62" i="123"/>
  <c r="BP149" i="105"/>
  <c r="BM61" i="105"/>
  <c r="CJ61" i="105"/>
  <c r="CJ61" i="123"/>
  <c r="BM62" i="105"/>
  <c r="CJ62" i="105"/>
  <c r="CJ62" i="123"/>
  <c r="BM61" i="123"/>
  <c r="BM62" i="123"/>
  <c r="CM149" i="105"/>
  <c r="BN61" i="123"/>
  <c r="BN62" i="123"/>
  <c r="CK61" i="105"/>
  <c r="CK62" i="105"/>
  <c r="CK61" i="123"/>
  <c r="CK62" i="123"/>
  <c r="N570" i="113"/>
  <c r="M61" i="105"/>
  <c r="BG61" i="105"/>
  <c r="BQ61" i="105"/>
  <c r="BG62" i="105"/>
  <c r="BQ62" i="105"/>
  <c r="BQ149" i="105"/>
  <c r="BQ61" i="123"/>
  <c r="BQ62" i="123"/>
  <c r="BQ149" i="123"/>
  <c r="CN61" i="105"/>
  <c r="CN62" i="105"/>
  <c r="CN149" i="105"/>
  <c r="CI61" i="105"/>
  <c r="CI61" i="123"/>
  <c r="CI62" i="105"/>
  <c r="CI62" i="123"/>
  <c r="CL61" i="105"/>
  <c r="CL61" i="123"/>
  <c r="CL62" i="105"/>
  <c r="CL62" i="123"/>
  <c r="CL149" i="123"/>
  <c r="CG61" i="105"/>
  <c r="CG62" i="105"/>
  <c r="CL149" i="105"/>
  <c r="CF61" i="105"/>
  <c r="CP61" i="105"/>
  <c r="CF62" i="105"/>
  <c r="CP62" i="105"/>
  <c r="CN61" i="123"/>
  <c r="CN62" i="123"/>
  <c r="CN149" i="123"/>
  <c r="CG61" i="123"/>
  <c r="CG62" i="123"/>
  <c r="CF61" i="123"/>
  <c r="CP61" i="123"/>
  <c r="CF62" i="123"/>
  <c r="CP62" i="123"/>
  <c r="N499" i="113"/>
  <c r="N507" i="113"/>
  <c r="N571" i="113"/>
  <c r="W61" i="105"/>
  <c r="CA61" i="105"/>
  <c r="CA61" i="123"/>
  <c r="CA62" i="105"/>
  <c r="CA62" i="123"/>
  <c r="M499" i="113"/>
  <c r="M507" i="113"/>
  <c r="M571" i="113"/>
  <c r="V61" i="105"/>
  <c r="V149" i="105"/>
  <c r="V61" i="123"/>
  <c r="V62" i="123"/>
  <c r="V149" i="123"/>
  <c r="J499" i="113"/>
  <c r="J507" i="113"/>
  <c r="J571" i="113"/>
  <c r="S61" i="105"/>
  <c r="S149" i="105"/>
  <c r="L499" i="113"/>
  <c r="L507" i="113"/>
  <c r="L571" i="113"/>
  <c r="U61" i="105"/>
  <c r="U61" i="123"/>
  <c r="U62" i="123"/>
  <c r="U149" i="123"/>
  <c r="U149" i="105"/>
  <c r="G499" i="113"/>
  <c r="G507" i="113"/>
  <c r="G571" i="113"/>
  <c r="P61" i="105"/>
  <c r="P61" i="123"/>
  <c r="P62" i="123"/>
  <c r="P149" i="123"/>
  <c r="S61" i="123"/>
  <c r="S62" i="123"/>
  <c r="S149" i="123"/>
  <c r="H499" i="113"/>
  <c r="H507" i="113"/>
  <c r="H571" i="113"/>
  <c r="Q61" i="105"/>
  <c r="Q149" i="105"/>
  <c r="P149" i="105"/>
  <c r="Q61" i="123"/>
  <c r="Q62" i="123"/>
  <c r="Q149" i="123"/>
  <c r="BY61" i="105"/>
  <c r="BY61" i="123"/>
  <c r="BY62" i="105"/>
  <c r="BY62" i="123"/>
  <c r="I499" i="113"/>
  <c r="I507" i="113"/>
  <c r="I571" i="113"/>
  <c r="R61" i="105"/>
  <c r="BV61" i="105"/>
  <c r="BV62" i="105"/>
  <c r="BV61" i="123"/>
  <c r="BV62" i="123"/>
  <c r="K499" i="113"/>
  <c r="K507" i="113"/>
  <c r="K571" i="113"/>
  <c r="T61" i="105"/>
  <c r="BX61" i="105"/>
  <c r="BX61" i="123"/>
  <c r="BX62" i="105"/>
  <c r="BX62" i="123"/>
  <c r="AO61" i="105"/>
  <c r="AO61" i="123"/>
  <c r="BW61" i="105"/>
  <c r="BW62" i="105"/>
  <c r="AM61" i="105"/>
  <c r="AM61" i="123"/>
  <c r="BW61" i="123"/>
  <c r="BW62" i="123"/>
  <c r="AP61" i="105"/>
  <c r="BZ61" i="105"/>
  <c r="BZ62" i="105"/>
  <c r="AP61" i="123"/>
  <c r="BZ61" i="123"/>
  <c r="BZ62" i="123"/>
  <c r="BU61" i="105"/>
  <c r="BU62" i="105"/>
  <c r="BU61" i="123"/>
  <c r="BU62" i="123"/>
  <c r="AJ61" i="105"/>
  <c r="AK61" i="105"/>
  <c r="BT61" i="105"/>
  <c r="CC61" i="105"/>
  <c r="BT62" i="105"/>
  <c r="CC62" i="105"/>
  <c r="AI61" i="105"/>
  <c r="AL61" i="105"/>
  <c r="AN61" i="105"/>
  <c r="AQ61" i="105"/>
  <c r="AS61" i="105"/>
  <c r="AS62" i="105"/>
  <c r="AK61" i="123"/>
  <c r="AJ61" i="123"/>
  <c r="BS61" i="123"/>
  <c r="BT61" i="123"/>
  <c r="CC61" i="123"/>
  <c r="BS62" i="123"/>
  <c r="BT62" i="123"/>
  <c r="CC62" i="123"/>
  <c r="AI61" i="123"/>
  <c r="AL61" i="123"/>
  <c r="AN61" i="123"/>
  <c r="AQ61" i="123"/>
  <c r="AS61" i="123"/>
  <c r="R149" i="105"/>
  <c r="R61" i="123"/>
  <c r="R62" i="123"/>
  <c r="R149" i="123"/>
  <c r="T61" i="123"/>
  <c r="T62" i="123"/>
  <c r="T149" i="123"/>
  <c r="T149" i="105"/>
  <c r="BD149" i="105"/>
  <c r="BB149" i="105"/>
  <c r="BD61" i="123"/>
  <c r="BD62" i="123"/>
  <c r="BD149" i="123"/>
  <c r="BB61" i="123"/>
  <c r="BB62" i="123"/>
  <c r="BB149" i="123"/>
  <c r="H61" i="123"/>
  <c r="H62" i="123"/>
  <c r="H149" i="123"/>
  <c r="J149" i="105"/>
  <c r="J61" i="123"/>
  <c r="J62" i="123"/>
  <c r="J149" i="123"/>
  <c r="H149" i="105"/>
  <c r="BG149" i="105"/>
  <c r="M149" i="105"/>
  <c r="BG61" i="123"/>
  <c r="BG62" i="123"/>
  <c r="BG149" i="123"/>
  <c r="M61" i="123"/>
  <c r="M62" i="123"/>
  <c r="M149" i="123"/>
  <c r="O61" i="123"/>
  <c r="O62" i="123"/>
  <c r="BI61" i="123"/>
  <c r="BI62" i="123"/>
  <c r="AY61" i="123"/>
  <c r="AY62" i="123"/>
  <c r="E61" i="123"/>
  <c r="E62" i="123"/>
  <c r="E18" i="123"/>
  <c r="E161" i="105"/>
  <c r="E107" i="123"/>
  <c r="E161" i="123"/>
  <c r="E108" i="123"/>
  <c r="E162" i="123"/>
  <c r="AY107" i="123"/>
  <c r="AY161" i="123"/>
  <c r="AY108" i="123"/>
  <c r="AY162" i="123"/>
  <c r="AY18" i="123"/>
  <c r="AY161" i="105"/>
  <c r="BI161" i="105"/>
  <c r="BI18" i="123"/>
  <c r="BI107" i="123"/>
  <c r="BI161" i="123"/>
  <c r="BI108" i="123"/>
  <c r="BI162" i="123"/>
  <c r="CF161" i="105"/>
  <c r="CF161" i="123"/>
  <c r="CF162" i="123"/>
  <c r="O161" i="105"/>
  <c r="O107" i="123"/>
  <c r="O161" i="123"/>
  <c r="O108" i="123"/>
  <c r="O162" i="123"/>
  <c r="O17" i="123"/>
  <c r="O18" i="123"/>
  <c r="O137" i="123"/>
  <c r="O137" i="105"/>
  <c r="M18" i="123"/>
  <c r="M137" i="123"/>
  <c r="R137" i="105"/>
  <c r="R17" i="123"/>
  <c r="R18" i="123"/>
  <c r="R137" i="123"/>
  <c r="M137" i="105"/>
  <c r="R107" i="123"/>
  <c r="R161" i="123"/>
  <c r="R108" i="123"/>
  <c r="R162" i="123"/>
  <c r="R161" i="105"/>
  <c r="T137" i="105"/>
  <c r="T107" i="123"/>
  <c r="T161" i="123"/>
  <c r="T108" i="123"/>
  <c r="T162" i="123"/>
  <c r="T161" i="105"/>
  <c r="T17" i="123"/>
  <c r="T18" i="123"/>
  <c r="T137" i="123"/>
  <c r="BG137" i="105"/>
  <c r="BG18" i="123"/>
  <c r="BG137" i="123"/>
  <c r="H137" i="105"/>
  <c r="BB18" i="123"/>
  <c r="BB137" i="123"/>
  <c r="H18" i="123"/>
  <c r="H137" i="123"/>
  <c r="BB137" i="105"/>
  <c r="J137" i="105"/>
  <c r="J18" i="123"/>
  <c r="J137" i="123"/>
  <c r="CN137" i="123"/>
  <c r="BL18" i="123"/>
  <c r="BD137" i="105"/>
  <c r="BD18" i="123"/>
  <c r="BD137" i="123"/>
  <c r="CN137" i="105"/>
  <c r="BQ137" i="105"/>
  <c r="BQ18" i="123"/>
  <c r="BQ137" i="123"/>
  <c r="BN18" i="123"/>
  <c r="M107" i="123"/>
  <c r="M161" i="123"/>
  <c r="M108" i="123"/>
  <c r="M162" i="123"/>
  <c r="M161" i="105"/>
  <c r="BG161" i="105"/>
  <c r="BG107" i="123"/>
  <c r="BG161" i="123"/>
  <c r="BG108" i="123"/>
  <c r="BG162" i="123"/>
  <c r="J161" i="105"/>
  <c r="J107" i="123"/>
  <c r="J161" i="123"/>
  <c r="J108" i="123"/>
  <c r="J162" i="123"/>
  <c r="H161" i="105"/>
  <c r="H107" i="123"/>
  <c r="H161" i="123"/>
  <c r="H108" i="123"/>
  <c r="H162" i="123"/>
  <c r="BD161" i="105"/>
  <c r="BD107" i="123"/>
  <c r="BD161" i="123"/>
  <c r="BD108" i="123"/>
  <c r="BD162" i="123"/>
  <c r="BB107" i="123"/>
  <c r="BB161" i="123"/>
  <c r="BB108" i="123"/>
  <c r="BB162" i="123"/>
  <c r="BB161" i="105"/>
  <c r="AQ162" i="123"/>
  <c r="CA17" i="123"/>
  <c r="CA18" i="123"/>
  <c r="AQ17" i="105"/>
  <c r="AQ17" i="123"/>
  <c r="AI17" i="105"/>
  <c r="AI17" i="123"/>
  <c r="AI162" i="123"/>
  <c r="BS106" i="105"/>
  <c r="BS107" i="105"/>
  <c r="BS107" i="123"/>
  <c r="BS108" i="123"/>
  <c r="BS162" i="123"/>
  <c r="BS17" i="123"/>
  <c r="BS18" i="123"/>
  <c r="AL162" i="123"/>
  <c r="AN162" i="123"/>
  <c r="BX17" i="123"/>
  <c r="BX18" i="123"/>
  <c r="BV17" i="123"/>
  <c r="BV18" i="123"/>
  <c r="AN17" i="105"/>
  <c r="AN17" i="123"/>
  <c r="AL17" i="105"/>
  <c r="AL17" i="123"/>
  <c r="CQ18" i="123"/>
  <c r="AO17" i="105"/>
  <c r="AO17" i="123"/>
  <c r="AM17" i="105"/>
  <c r="AM17" i="123"/>
  <c r="AP17" i="105"/>
  <c r="BW17" i="123"/>
  <c r="BW18" i="123"/>
  <c r="AP17" i="123"/>
  <c r="BY17" i="123"/>
  <c r="BY18" i="123"/>
  <c r="BZ17" i="123"/>
  <c r="BZ18" i="123"/>
  <c r="AK17" i="105"/>
  <c r="AK17" i="123"/>
  <c r="AJ17" i="105"/>
  <c r="AS17" i="105"/>
  <c r="AS18" i="105"/>
  <c r="CC17" i="105"/>
  <c r="CC18" i="105"/>
  <c r="AJ17" i="123"/>
  <c r="AT17" i="123"/>
  <c r="AT18" i="123"/>
  <c r="BU17" i="123"/>
  <c r="BU18" i="123"/>
  <c r="AS17" i="123"/>
  <c r="BT17" i="123"/>
  <c r="CC17" i="123"/>
  <c r="BT18" i="123"/>
  <c r="CC18" i="123"/>
  <c r="BV106" i="105"/>
  <c r="BV107" i="123"/>
  <c r="BV107" i="105"/>
  <c r="BV108" i="123"/>
  <c r="BV162" i="123"/>
  <c r="BW106" i="105"/>
  <c r="BW107" i="105"/>
  <c r="BX106" i="105"/>
  <c r="BX107" i="105"/>
  <c r="BX107" i="123"/>
  <c r="BX108" i="123"/>
  <c r="BX162" i="123"/>
  <c r="BY106" i="105"/>
  <c r="BY107" i="105"/>
  <c r="BW107" i="123"/>
  <c r="BW108" i="123"/>
  <c r="BW162" i="123"/>
  <c r="AO162" i="123"/>
  <c r="BY107" i="123"/>
  <c r="BY108" i="123"/>
  <c r="BY162" i="123"/>
  <c r="AM162" i="123"/>
  <c r="AP162" i="123"/>
  <c r="BZ106" i="105"/>
  <c r="BZ107" i="105"/>
  <c r="BZ107" i="123"/>
  <c r="BZ108" i="123"/>
  <c r="BZ162" i="123"/>
  <c r="BU106" i="105"/>
  <c r="BU107" i="105"/>
  <c r="BT106" i="105"/>
  <c r="BT107" i="105"/>
  <c r="BU107" i="123"/>
  <c r="BU108" i="123"/>
  <c r="BU162" i="123"/>
  <c r="CA106" i="105"/>
  <c r="CC106" i="105"/>
  <c r="CA107" i="105"/>
  <c r="CC107" i="105"/>
  <c r="AS106" i="105"/>
  <c r="AS107" i="105"/>
  <c r="AK162" i="123"/>
  <c r="AJ162" i="123"/>
  <c r="BT107" i="123"/>
  <c r="BT108" i="123"/>
  <c r="BT162" i="123"/>
  <c r="CA107" i="123"/>
  <c r="CC107" i="123"/>
  <c r="CA108" i="123"/>
  <c r="CC108" i="123"/>
  <c r="CC162" i="123"/>
  <c r="AS162" i="123"/>
  <c r="CA162" i="123"/>
  <c r="CP161" i="123"/>
  <c r="CP162" i="123"/>
  <c r="CG161" i="123"/>
  <c r="CG162" i="123"/>
  <c r="CL161" i="105"/>
  <c r="CL161" i="123"/>
  <c r="CL162" i="123"/>
  <c r="CP106" i="105"/>
  <c r="CP107" i="105"/>
  <c r="CP161" i="105"/>
  <c r="CK161" i="105"/>
  <c r="CJ161" i="105"/>
  <c r="CH161" i="105"/>
  <c r="CG161" i="105"/>
  <c r="CM161" i="123"/>
  <c r="CM162" i="123"/>
  <c r="CJ161" i="123"/>
  <c r="CJ162" i="123"/>
  <c r="CH161" i="123"/>
  <c r="CH162" i="123"/>
  <c r="CK161" i="123"/>
  <c r="CK162" i="123"/>
  <c r="CM161" i="105"/>
  <c r="BO107" i="123"/>
  <c r="BO161" i="123"/>
  <c r="BO108" i="123"/>
  <c r="BO162" i="123"/>
  <c r="BN161" i="105"/>
  <c r="BO161" i="105"/>
  <c r="BM107" i="123"/>
  <c r="BM161" i="123"/>
  <c r="BM108" i="123"/>
  <c r="BM162" i="123"/>
  <c r="BK107" i="123"/>
  <c r="BK161" i="123"/>
  <c r="BK108" i="123"/>
  <c r="BK162" i="123"/>
  <c r="BJ107" i="123"/>
  <c r="BJ161" i="123"/>
  <c r="BJ108" i="123"/>
  <c r="BJ162" i="123"/>
  <c r="BP107" i="123"/>
  <c r="BP161" i="123"/>
  <c r="BP108" i="123"/>
  <c r="BP162" i="123"/>
  <c r="CN161" i="123"/>
  <c r="CN162" i="123"/>
  <c r="CI161" i="105"/>
  <c r="CN161" i="105"/>
  <c r="BJ161" i="105"/>
  <c r="CI161" i="123"/>
  <c r="CI162" i="123"/>
  <c r="BQ161" i="105"/>
  <c r="BQ107" i="123"/>
  <c r="BQ161" i="123"/>
  <c r="BQ108" i="123"/>
  <c r="BQ162" i="123"/>
  <c r="BN107" i="123"/>
  <c r="BN161" i="123"/>
  <c r="BN108" i="123"/>
  <c r="BN162" i="123"/>
  <c r="BL161" i="105"/>
  <c r="BK161" i="105"/>
  <c r="BM161" i="105"/>
  <c r="BE161" i="105"/>
  <c r="BL107" i="123"/>
  <c r="BL161" i="123"/>
  <c r="BL108" i="123"/>
  <c r="BL162" i="123"/>
  <c r="BE107" i="123"/>
  <c r="BE161" i="123"/>
  <c r="BE108" i="123"/>
  <c r="BE162" i="123"/>
  <c r="BC161" i="105"/>
  <c r="BP161" i="105"/>
  <c r="BF161" i="105"/>
  <c r="BF107" i="123"/>
  <c r="BF161" i="123"/>
  <c r="BF108" i="123"/>
  <c r="BF162" i="123"/>
  <c r="AZ161" i="105"/>
  <c r="BA161" i="105"/>
  <c r="BA107" i="123"/>
  <c r="BA161" i="123"/>
  <c r="BA108" i="123"/>
  <c r="BA162" i="123"/>
  <c r="AZ107" i="123"/>
  <c r="AZ161" i="123"/>
  <c r="AZ108" i="123"/>
  <c r="AZ162" i="123"/>
  <c r="K161" i="105"/>
  <c r="I107" i="123"/>
  <c r="I161" i="123"/>
  <c r="I108" i="123"/>
  <c r="I162" i="123"/>
  <c r="BC107" i="123"/>
  <c r="BC161" i="123"/>
  <c r="BC108" i="123"/>
  <c r="BC162" i="123"/>
  <c r="I161" i="105"/>
  <c r="K107" i="123"/>
  <c r="K161" i="123"/>
  <c r="K108" i="123"/>
  <c r="K162" i="123"/>
  <c r="G161" i="105"/>
  <c r="G107" i="123"/>
  <c r="G161" i="123"/>
  <c r="G108" i="123"/>
  <c r="G162" i="123"/>
  <c r="F161" i="105"/>
  <c r="F107" i="123"/>
  <c r="F161" i="123"/>
  <c r="F108" i="123"/>
  <c r="F162" i="123"/>
  <c r="L161" i="105"/>
  <c r="L107" i="123"/>
  <c r="L161" i="123"/>
  <c r="L108" i="123"/>
  <c r="L162" i="123"/>
  <c r="CM137" i="105"/>
  <c r="CL137" i="105"/>
  <c r="CL137" i="123"/>
  <c r="CM137" i="123"/>
  <c r="CP18" i="105"/>
  <c r="BP137" i="105"/>
  <c r="BM18" i="123"/>
  <c r="BO18" i="123"/>
  <c r="BO137" i="123"/>
  <c r="BK18" i="123"/>
  <c r="BJ18" i="123"/>
  <c r="BA18" i="123"/>
  <c r="BA137" i="123"/>
  <c r="BA137" i="105"/>
  <c r="BP18" i="123"/>
  <c r="BP137" i="123"/>
  <c r="BO137" i="105"/>
  <c r="BC137" i="105"/>
  <c r="AZ137" i="105"/>
  <c r="AZ18" i="123"/>
  <c r="AZ137" i="123"/>
  <c r="BF18" i="123"/>
  <c r="BF137" i="123"/>
  <c r="BF137" i="105"/>
  <c r="G18" i="123"/>
  <c r="G137" i="123"/>
  <c r="G137" i="105"/>
  <c r="BE137" i="105"/>
  <c r="K137" i="105"/>
  <c r="K18" i="123"/>
  <c r="K137" i="123"/>
  <c r="I137" i="105"/>
  <c r="BE18" i="123"/>
  <c r="BE137" i="123"/>
  <c r="BC18" i="123"/>
  <c r="BC137" i="123"/>
  <c r="F137" i="105"/>
  <c r="F18" i="123"/>
  <c r="F137" i="123"/>
  <c r="V17" i="123"/>
  <c r="V18" i="123"/>
  <c r="V137" i="123"/>
  <c r="V137" i="105"/>
  <c r="L18" i="123"/>
  <c r="L137" i="123"/>
  <c r="L137" i="105"/>
  <c r="U107" i="123"/>
  <c r="U161" i="123"/>
  <c r="U108" i="123"/>
  <c r="U162" i="123"/>
  <c r="U161" i="105"/>
  <c r="U17" i="123"/>
  <c r="U18" i="123"/>
  <c r="U137" i="123"/>
  <c r="U137" i="105"/>
  <c r="I18" i="123"/>
  <c r="I137" i="123"/>
  <c r="S17" i="123"/>
  <c r="S18" i="123"/>
  <c r="S137" i="123"/>
  <c r="S161" i="105"/>
  <c r="S107" i="123"/>
  <c r="S161" i="123"/>
  <c r="S108" i="123"/>
  <c r="S162" i="123"/>
  <c r="Q107" i="123"/>
  <c r="Q161" i="123"/>
  <c r="Q108" i="123"/>
  <c r="Q162" i="123"/>
  <c r="P107" i="123"/>
  <c r="P161" i="123"/>
  <c r="P108" i="123"/>
  <c r="P162" i="123"/>
  <c r="P161" i="105"/>
  <c r="S137" i="105"/>
  <c r="Q161" i="105"/>
  <c r="V161" i="105"/>
  <c r="P137" i="105"/>
  <c r="Q137" i="105"/>
  <c r="Q17" i="123"/>
  <c r="Q18" i="123"/>
  <c r="Q137" i="123"/>
  <c r="V107" i="123"/>
  <c r="V161" i="123"/>
  <c r="V108" i="123"/>
  <c r="V162" i="123"/>
  <c r="P17" i="123"/>
  <c r="P18" i="123"/>
  <c r="P137" i="123"/>
  <c r="CQ106" i="105"/>
  <c r="CQ107" i="105"/>
  <c r="CQ161" i="105"/>
  <c r="AT106" i="105"/>
  <c r="AT107" i="105"/>
  <c r="AT107" i="123"/>
  <c r="CD17" i="123"/>
  <c r="CD18" i="123"/>
  <c r="CD17" i="105"/>
  <c r="CD18" i="105"/>
  <c r="AT17" i="105"/>
  <c r="AT18" i="105"/>
  <c r="W17" i="123"/>
  <c r="W18" i="123"/>
  <c r="W137" i="123"/>
  <c r="W137" i="105"/>
  <c r="CD108" i="123"/>
  <c r="CD162" i="123"/>
  <c r="CQ108" i="123"/>
  <c r="CQ162" i="123"/>
  <c r="AT108" i="123"/>
  <c r="AT162" i="123"/>
  <c r="CR162" i="123"/>
  <c r="CD61" i="105"/>
  <c r="CD62" i="105"/>
  <c r="CQ61" i="105"/>
  <c r="CQ62" i="105"/>
  <c r="AT61" i="105"/>
  <c r="AT62" i="105"/>
  <c r="CD61" i="123"/>
  <c r="CD62" i="123"/>
  <c r="AT61" i="123"/>
  <c r="AT62" i="123"/>
  <c r="W149" i="105"/>
  <c r="W61" i="123"/>
  <c r="W62" i="123"/>
  <c r="W149" i="123"/>
  <c r="W107" i="123"/>
  <c r="W161" i="123"/>
  <c r="W108" i="123"/>
  <c r="W162" i="123"/>
  <c r="W161" i="105"/>
  <c r="CD106" i="105"/>
  <c r="CR106" i="105"/>
  <c r="F186" i="123"/>
  <c r="I186" i="123"/>
  <c r="M454" i="113"/>
  <c r="L454" i="113"/>
  <c r="K454" i="113"/>
  <c r="J454" i="113"/>
  <c r="I454" i="113"/>
  <c r="H454" i="113"/>
  <c r="G454" i="113"/>
  <c r="CQ62" i="123"/>
  <c r="CR62" i="123"/>
  <c r="CR61" i="105"/>
  <c r="CR17" i="105"/>
  <c r="CR18" i="123"/>
  <c r="CD107" i="123"/>
  <c r="CR17" i="123"/>
  <c r="CD107" i="105"/>
  <c r="CR107" i="105"/>
  <c r="CR108" i="123"/>
  <c r="CR62" i="105"/>
  <c r="L189" i="123"/>
  <c r="M189" i="123"/>
  <c r="H189" i="123"/>
  <c r="I189" i="123"/>
  <c r="G186" i="123"/>
  <c r="N454" i="113"/>
  <c r="N460" i="113"/>
  <c r="N467" i="113"/>
  <c r="N473" i="113"/>
  <c r="N481" i="113"/>
  <c r="N480" i="113"/>
  <c r="N468" i="113"/>
  <c r="M460" i="113"/>
  <c r="M467" i="113"/>
  <c r="M473" i="113"/>
  <c r="M481" i="113"/>
  <c r="M480" i="113"/>
  <c r="M468" i="113"/>
  <c r="L460" i="113"/>
  <c r="L467" i="113"/>
  <c r="L473" i="113"/>
  <c r="L480" i="113"/>
  <c r="L481" i="113"/>
  <c r="L468" i="113"/>
  <c r="K473" i="113"/>
  <c r="K481" i="113"/>
  <c r="K460" i="113"/>
  <c r="K468" i="113"/>
  <c r="K467" i="113"/>
  <c r="K480" i="113"/>
  <c r="J473" i="113"/>
  <c r="J480" i="113"/>
  <c r="J460" i="113"/>
  <c r="J468" i="113"/>
  <c r="J467" i="113"/>
  <c r="J481" i="113"/>
  <c r="M506" i="113"/>
  <c r="M493" i="113"/>
  <c r="I473" i="113"/>
  <c r="I480" i="113"/>
  <c r="I460" i="113"/>
  <c r="I468" i="113"/>
  <c r="L493" i="113"/>
  <c r="L506" i="113"/>
  <c r="K506" i="113"/>
  <c r="I481" i="113"/>
  <c r="I467" i="113"/>
  <c r="L519" i="113"/>
  <c r="K493" i="113"/>
  <c r="M519" i="113"/>
  <c r="H473" i="113"/>
  <c r="H481" i="113"/>
  <c r="K519" i="113"/>
  <c r="J493" i="113"/>
  <c r="J506" i="113"/>
  <c r="H460" i="113"/>
  <c r="H467" i="113"/>
  <c r="H468" i="113"/>
  <c r="H480" i="113"/>
  <c r="J519" i="113"/>
  <c r="I493" i="113"/>
  <c r="I506" i="113"/>
  <c r="G460" i="113"/>
  <c r="G468" i="113"/>
  <c r="G467" i="113"/>
  <c r="G473" i="113"/>
  <c r="G480" i="113"/>
  <c r="I519" i="113"/>
  <c r="H493" i="113"/>
  <c r="H506" i="113"/>
  <c r="G481" i="113"/>
  <c r="H519" i="113"/>
  <c r="F460" i="113"/>
  <c r="F467" i="113"/>
  <c r="F473" i="113"/>
  <c r="F480" i="113"/>
  <c r="F481" i="113"/>
  <c r="F519" i="113"/>
  <c r="G506" i="113"/>
  <c r="F468" i="113"/>
  <c r="F506" i="113"/>
  <c r="G519" i="113"/>
  <c r="G493" i="113"/>
  <c r="F454" i="113"/>
  <c r="F493" i="113"/>
  <c r="N506" i="113"/>
  <c r="N493" i="113"/>
  <c r="N519" i="113"/>
  <c r="CQ18" i="105"/>
  <c r="CR18" i="105"/>
  <c r="CQ107" i="123"/>
  <c r="CR107" i="123"/>
  <c r="CQ61" i="123"/>
  <c r="CR61" i="123"/>
  <c r="CQ161" i="123"/>
  <c r="L200" i="123"/>
  <c r="M200" i="123"/>
  <c r="H200" i="123"/>
  <c r="I200" i="123"/>
  <c r="F185" i="123"/>
  <c r="K191" i="123"/>
  <c r="F191" i="123"/>
  <c r="G191" i="123"/>
  <c r="F399" i="110"/>
  <c r="F452" i="110"/>
  <c r="E57" i="105"/>
  <c r="AI57" i="105"/>
  <c r="AT57" i="105"/>
  <c r="AY57" i="105"/>
  <c r="BJ57" i="105"/>
  <c r="BT57" i="105"/>
  <c r="BK57" i="105"/>
  <c r="BU57" i="105"/>
  <c r="BL57" i="105"/>
  <c r="BV57" i="105"/>
  <c r="BM57" i="105"/>
  <c r="BW57" i="105"/>
  <c r="BN57" i="105"/>
  <c r="BX57" i="105"/>
  <c r="BI57" i="105"/>
  <c r="BS57" i="105"/>
  <c r="CD57" i="105"/>
  <c r="CG57" i="105"/>
  <c r="CH57" i="105"/>
  <c r="CI57" i="105"/>
  <c r="CJ57" i="105"/>
  <c r="CK57" i="105"/>
  <c r="CF57" i="105"/>
  <c r="CQ57" i="105"/>
  <c r="CQ149" i="105"/>
  <c r="BT57" i="123"/>
  <c r="BU57" i="123"/>
  <c r="BV57" i="123"/>
  <c r="BW57" i="123"/>
  <c r="BX57" i="123"/>
  <c r="BS57" i="123"/>
  <c r="CD57" i="123"/>
  <c r="CG57" i="123"/>
  <c r="CH57" i="123"/>
  <c r="CI57" i="123"/>
  <c r="CJ57" i="123"/>
  <c r="CK57" i="123"/>
  <c r="CF57" i="123"/>
  <c r="CQ57" i="123"/>
  <c r="CQ149" i="123"/>
  <c r="AI57" i="123"/>
  <c r="AT57" i="123"/>
  <c r="F394" i="110"/>
  <c r="F454" i="110"/>
  <c r="E13" i="105"/>
  <c r="AY13" i="105"/>
  <c r="BJ13" i="105"/>
  <c r="CG13" i="105"/>
  <c r="BK13" i="105"/>
  <c r="CH13" i="105"/>
  <c r="BL13" i="105"/>
  <c r="CI13" i="105"/>
  <c r="BM13" i="105"/>
  <c r="CJ13" i="105"/>
  <c r="BN13" i="105"/>
  <c r="CK13" i="105"/>
  <c r="BI13" i="105"/>
  <c r="CF13" i="105"/>
  <c r="CQ13" i="105"/>
  <c r="CQ137" i="105"/>
  <c r="AI13" i="105"/>
  <c r="AT13" i="105"/>
  <c r="BT13" i="105"/>
  <c r="BU13" i="105"/>
  <c r="BV13" i="105"/>
  <c r="BW13" i="105"/>
  <c r="BX13" i="105"/>
  <c r="BS13" i="105"/>
  <c r="CD13" i="105"/>
  <c r="BT13" i="123"/>
  <c r="BU13" i="123"/>
  <c r="BV13" i="123"/>
  <c r="BW13" i="123"/>
  <c r="BX13" i="123"/>
  <c r="BS13" i="123"/>
  <c r="CD13" i="123"/>
  <c r="BK149" i="105"/>
  <c r="BK57" i="123"/>
  <c r="BK149" i="123"/>
  <c r="BN149" i="105"/>
  <c r="BJ149" i="105"/>
  <c r="BL149" i="105"/>
  <c r="BJ57" i="123"/>
  <c r="BJ149" i="123"/>
  <c r="BL57" i="123"/>
  <c r="BL149" i="123"/>
  <c r="CH149" i="105"/>
  <c r="CH149" i="123"/>
  <c r="CJ149" i="123"/>
  <c r="BM57" i="123"/>
  <c r="BM149" i="123"/>
  <c r="BM149" i="105"/>
  <c r="BN57" i="123"/>
  <c r="BN149" i="123"/>
  <c r="CK149" i="105"/>
  <c r="CK149" i="123"/>
  <c r="CI149" i="123"/>
  <c r="CG149" i="105"/>
  <c r="CI149" i="105"/>
  <c r="CJ149" i="105"/>
  <c r="CP57" i="105"/>
  <c r="CP149" i="105"/>
  <c r="CG149" i="123"/>
  <c r="CP57" i="123"/>
  <c r="CP149" i="123"/>
  <c r="CC57" i="105"/>
  <c r="AS57" i="105"/>
  <c r="CC57" i="123"/>
  <c r="AS57" i="123"/>
  <c r="CF149" i="123"/>
  <c r="CF149" i="105"/>
  <c r="BI149" i="105"/>
  <c r="BI57" i="123"/>
  <c r="BI149" i="123"/>
  <c r="AY149" i="105"/>
  <c r="AY57" i="123"/>
  <c r="AY149" i="123"/>
  <c r="E149" i="105"/>
  <c r="E57" i="123"/>
  <c r="E149" i="123"/>
  <c r="E13" i="123"/>
  <c r="E137" i="123"/>
  <c r="E137" i="105"/>
  <c r="AY137" i="105"/>
  <c r="AY13" i="123"/>
  <c r="AY137" i="123"/>
  <c r="BI13" i="123"/>
  <c r="BI137" i="123"/>
  <c r="BI137" i="105"/>
  <c r="CF137" i="105"/>
  <c r="CF13" i="123"/>
  <c r="CF137" i="123"/>
  <c r="BL137" i="105"/>
  <c r="BL13" i="123"/>
  <c r="BL137" i="123"/>
  <c r="BN13" i="123"/>
  <c r="BN137" i="123"/>
  <c r="BN137" i="105"/>
  <c r="CI137" i="105"/>
  <c r="CI13" i="123"/>
  <c r="CI137" i="123"/>
  <c r="CK13" i="123"/>
  <c r="CK137" i="123"/>
  <c r="CK137" i="105"/>
  <c r="AI13" i="123"/>
  <c r="CG13" i="123"/>
  <c r="CH13" i="123"/>
  <c r="CJ13" i="123"/>
  <c r="CQ13" i="123"/>
  <c r="CQ137" i="123"/>
  <c r="AS13" i="105"/>
  <c r="CC13" i="105"/>
  <c r="AT13" i="123"/>
  <c r="AS13" i="123"/>
  <c r="CC13" i="123"/>
  <c r="CP13" i="123"/>
  <c r="CP137" i="123"/>
  <c r="CP13" i="105"/>
  <c r="CP137" i="105"/>
  <c r="CG137" i="105"/>
  <c r="CH137" i="123"/>
  <c r="CG137" i="123"/>
  <c r="CH137" i="105"/>
  <c r="BM137" i="105"/>
  <c r="BM13" i="123"/>
  <c r="BM137" i="123"/>
  <c r="BK13" i="123"/>
  <c r="BK137" i="123"/>
  <c r="BK137" i="105"/>
  <c r="BJ13" i="123"/>
  <c r="BJ137" i="123"/>
  <c r="BJ137" i="105"/>
  <c r="CJ137" i="123"/>
  <c r="CJ137" i="105"/>
  <c r="CR13" i="105"/>
  <c r="CR13" i="123"/>
  <c r="F396" i="110"/>
  <c r="CR57" i="105"/>
  <c r="CR57" i="123"/>
  <c r="F401" i="110"/>
  <c r="K183" i="123"/>
  <c r="G183" i="123"/>
  <c r="F183" i="123"/>
  <c r="I183" i="123"/>
  <c r="G347" i="39" a="1"/>
  <c r="G347" i="39"/>
  <c r="H347" i="39" a="1"/>
  <c r="H347" i="39"/>
  <c r="J347" i="39" a="1"/>
  <c r="J347" i="39"/>
  <c r="L347" i="39" a="1"/>
  <c r="L347" i="39"/>
  <c r="M347" i="39" a="1"/>
  <c r="M347" i="39"/>
  <c r="F167" i="49" a="1"/>
  <c r="F167" i="49"/>
  <c r="F207" i="49"/>
  <c r="BH15" i="70"/>
  <c r="F122" i="62" a="1"/>
  <c r="F122" i="62"/>
  <c r="F169" i="62"/>
  <c r="BH16" i="70"/>
  <c r="BH17" i="70"/>
  <c r="F343" i="39" a="1"/>
  <c r="F343" i="39"/>
  <c r="F455" i="39"/>
  <c r="BH19" i="70"/>
  <c r="BH20" i="70"/>
  <c r="F760" i="40" a="1"/>
  <c r="F760" i="40"/>
  <c r="F761" i="40"/>
  <c r="F762" i="40"/>
  <c r="F763" i="40"/>
  <c r="F764" i="40"/>
  <c r="F765" i="40"/>
  <c r="F766" i="40"/>
  <c r="F767" i="40"/>
  <c r="F768" i="40"/>
  <c r="F769" i="40"/>
  <c r="F770" i="40"/>
  <c r="F773" i="40"/>
  <c r="F813" i="40"/>
  <c r="F863" i="40"/>
  <c r="BH22" i="70"/>
  <c r="BH24" i="70"/>
  <c r="BH28" i="70"/>
  <c r="F777" i="40" a="1"/>
  <c r="F777" i="40"/>
  <c r="F778" i="40"/>
  <c r="F779" i="40"/>
  <c r="F780" i="40"/>
  <c r="F781" i="40"/>
  <c r="F782" i="40"/>
  <c r="F783" i="40"/>
  <c r="F784" i="40"/>
  <c r="F785" i="40"/>
  <c r="F786" i="40"/>
  <c r="F787" i="40"/>
  <c r="F788" i="40"/>
  <c r="F826" i="40"/>
  <c r="R22" i="70"/>
  <c r="R24" i="70"/>
  <c r="R28" i="70"/>
  <c r="F429" i="112" a="1"/>
  <c r="F429" i="112"/>
  <c r="F430" i="112"/>
  <c r="F431" i="112"/>
  <c r="F433" i="112"/>
  <c r="F434" i="112" a="1"/>
  <c r="F434" i="112"/>
  <c r="F539" i="112"/>
  <c r="R35" i="70"/>
  <c r="R36" i="70"/>
  <c r="R52" i="70"/>
  <c r="R56" i="70"/>
  <c r="R58" i="70"/>
  <c r="R60" i="70"/>
  <c r="R62" i="70"/>
  <c r="F10" i="156"/>
  <c r="R72" i="70"/>
  <c r="F9" i="30"/>
  <c r="F65" i="30"/>
  <c r="F67" i="30"/>
  <c r="F115" i="30"/>
  <c r="S73" i="70"/>
  <c r="S74" i="70"/>
  <c r="S52" i="70"/>
  <c r="S56" i="70"/>
  <c r="S58" i="70"/>
  <c r="S60" i="70"/>
  <c r="S62" i="70"/>
  <c r="F11" i="156"/>
  <c r="F80" i="156"/>
  <c r="F85" i="156"/>
  <c r="F102" i="156"/>
  <c r="F104" i="156"/>
  <c r="F105" i="156"/>
  <c r="F106" i="156"/>
  <c r="F108" i="156"/>
  <c r="F87" i="156"/>
  <c r="F88" i="156"/>
  <c r="F90" i="156"/>
  <c r="F120" i="156"/>
  <c r="F154" i="156"/>
  <c r="BH63" i="70"/>
  <c r="BH64" i="70"/>
  <c r="F121" i="156"/>
  <c r="F155" i="156"/>
  <c r="BI63" i="70"/>
  <c r="BI64" i="70"/>
  <c r="F122" i="156"/>
  <c r="F156" i="156"/>
  <c r="BJ63" i="70"/>
  <c r="BJ64" i="70"/>
  <c r="CW64" i="70"/>
  <c r="AW39" i="60"/>
  <c r="N167" i="49" a="1"/>
  <c r="N167" i="49"/>
  <c r="N207" i="49"/>
  <c r="BH15" i="173"/>
  <c r="N122" i="62" a="1"/>
  <c r="N122" i="62"/>
  <c r="N169" i="62"/>
  <c r="BH16" i="173"/>
  <c r="BH17" i="173"/>
  <c r="N343" i="39" a="1"/>
  <c r="N343" i="39"/>
  <c r="N455" i="39"/>
  <c r="BH19" i="173"/>
  <c r="BH20" i="173"/>
  <c r="N760" i="40" a="1"/>
  <c r="N760" i="40"/>
  <c r="N761" i="40"/>
  <c r="N762" i="40"/>
  <c r="N763" i="40"/>
  <c r="N764" i="40"/>
  <c r="N765" i="40"/>
  <c r="N766" i="40"/>
  <c r="N767" i="40"/>
  <c r="N768" i="40"/>
  <c r="N769" i="40"/>
  <c r="N770" i="40"/>
  <c r="N773" i="40"/>
  <c r="N813" i="40"/>
  <c r="N863" i="40"/>
  <c r="BH22" i="173"/>
  <c r="BH24" i="173"/>
  <c r="BH28" i="173"/>
  <c r="H167" i="49" a="1"/>
  <c r="H167" i="49"/>
  <c r="H207" i="49"/>
  <c r="BH15" i="167"/>
  <c r="H122" i="62" a="1"/>
  <c r="H122" i="62"/>
  <c r="H169" i="62"/>
  <c r="BH16" i="167"/>
  <c r="BH17" i="167"/>
  <c r="H343" i="39" a="1"/>
  <c r="H343" i="39"/>
  <c r="H455" i="39"/>
  <c r="BH19" i="167"/>
  <c r="BH20" i="167"/>
  <c r="H760" i="40" a="1"/>
  <c r="H760" i="40"/>
  <c r="H761" i="40"/>
  <c r="H762" i="40"/>
  <c r="H763" i="40"/>
  <c r="H764" i="40"/>
  <c r="H765" i="40"/>
  <c r="H766" i="40"/>
  <c r="H767" i="40"/>
  <c r="H768" i="40"/>
  <c r="H769" i="40"/>
  <c r="H770" i="40"/>
  <c r="H773" i="40"/>
  <c r="H813" i="40"/>
  <c r="H863" i="40"/>
  <c r="BH22" i="167"/>
  <c r="BH24" i="167"/>
  <c r="BH28" i="167"/>
  <c r="J167" i="49" a="1"/>
  <c r="J167" i="49"/>
  <c r="J207" i="49"/>
  <c r="BH15" i="169"/>
  <c r="J122" i="62" a="1"/>
  <c r="J122" i="62"/>
  <c r="J169" i="62"/>
  <c r="BH16" i="169"/>
  <c r="BH17" i="169"/>
  <c r="J343" i="39" a="1"/>
  <c r="J343" i="39"/>
  <c r="J455" i="39"/>
  <c r="BH19" i="169"/>
  <c r="BH20" i="169"/>
  <c r="J760" i="40" a="1"/>
  <c r="J760" i="40"/>
  <c r="J761" i="40"/>
  <c r="J762" i="40"/>
  <c r="J763" i="40"/>
  <c r="J764" i="40"/>
  <c r="J765" i="40"/>
  <c r="J766" i="40"/>
  <c r="J767" i="40"/>
  <c r="J768" i="40"/>
  <c r="J769" i="40"/>
  <c r="J770" i="40"/>
  <c r="J773" i="40"/>
  <c r="J813" i="40"/>
  <c r="J863" i="40"/>
  <c r="BH22" i="169"/>
  <c r="BH24" i="169"/>
  <c r="BH28" i="169"/>
  <c r="M777" i="40" a="1"/>
  <c r="M777" i="40"/>
  <c r="M778" i="40"/>
  <c r="M779" i="40"/>
  <c r="M780" i="40"/>
  <c r="M781" i="40"/>
  <c r="M782" i="40"/>
  <c r="M783" i="40"/>
  <c r="M784" i="40"/>
  <c r="M785" i="40"/>
  <c r="M786" i="40"/>
  <c r="M787" i="40"/>
  <c r="M788" i="40"/>
  <c r="M826" i="40"/>
  <c r="R22" i="172"/>
  <c r="R24" i="172"/>
  <c r="R28" i="172"/>
  <c r="M429" i="112"/>
  <c r="M430" i="112"/>
  <c r="M431" i="112"/>
  <c r="M433" i="112"/>
  <c r="M434" i="112" a="1"/>
  <c r="M434" i="112"/>
  <c r="M539" i="112"/>
  <c r="R35" i="172"/>
  <c r="R36" i="172"/>
  <c r="R52" i="172"/>
  <c r="R56" i="172"/>
  <c r="R58" i="172"/>
  <c r="R60" i="172"/>
  <c r="R62" i="172"/>
  <c r="M10" i="156"/>
  <c r="R72" i="172"/>
  <c r="M9" i="30"/>
  <c r="M65" i="30"/>
  <c r="M67" i="30"/>
  <c r="M115" i="30"/>
  <c r="S73" i="172"/>
  <c r="S74" i="172"/>
  <c r="S52" i="172"/>
  <c r="S56" i="172"/>
  <c r="S58" i="172"/>
  <c r="S60" i="172"/>
  <c r="S62" i="172"/>
  <c r="M11" i="156"/>
  <c r="M80" i="156"/>
  <c r="M85" i="156"/>
  <c r="M102" i="156"/>
  <c r="M104" i="156"/>
  <c r="M105" i="156"/>
  <c r="M106" i="156"/>
  <c r="M108" i="156"/>
  <c r="M87" i="156"/>
  <c r="M88" i="156"/>
  <c r="M90" i="156"/>
  <c r="M120" i="156"/>
  <c r="M154" i="156"/>
  <c r="BH63" i="172"/>
  <c r="BH64" i="172"/>
  <c r="M121" i="156"/>
  <c r="M155" i="156"/>
  <c r="BI63" i="172"/>
  <c r="BI64" i="172"/>
  <c r="M122" i="156"/>
  <c r="M156" i="156"/>
  <c r="BJ63" i="172"/>
  <c r="BJ64" i="172"/>
  <c r="CW64" i="172"/>
  <c r="BE146" i="59"/>
  <c r="L777" i="40" a="1"/>
  <c r="L777" i="40"/>
  <c r="L778" i="40"/>
  <c r="L779" i="40"/>
  <c r="L780" i="40"/>
  <c r="L781" i="40"/>
  <c r="L782" i="40"/>
  <c r="L783" i="40"/>
  <c r="L784" i="40"/>
  <c r="L785" i="40"/>
  <c r="L786" i="40"/>
  <c r="L787" i="40"/>
  <c r="L788" i="40"/>
  <c r="L826" i="40"/>
  <c r="R22" i="171"/>
  <c r="R24" i="171"/>
  <c r="R28" i="171"/>
  <c r="L429" i="112"/>
  <c r="L430" i="112"/>
  <c r="L431" i="112"/>
  <c r="L433" i="112"/>
  <c r="L434" i="112" a="1"/>
  <c r="L434" i="112"/>
  <c r="L539" i="112"/>
  <c r="R35" i="171"/>
  <c r="R36" i="171"/>
  <c r="R52" i="171"/>
  <c r="R56" i="171"/>
  <c r="R58" i="171"/>
  <c r="R60" i="171"/>
  <c r="R62" i="171"/>
  <c r="L10" i="156"/>
  <c r="R72" i="171"/>
  <c r="L9" i="30"/>
  <c r="L65" i="30"/>
  <c r="L67" i="30"/>
  <c r="L115" i="30"/>
  <c r="S73" i="171"/>
  <c r="S74" i="171"/>
  <c r="S52" i="171"/>
  <c r="S56" i="171"/>
  <c r="S58" i="171"/>
  <c r="S60" i="171"/>
  <c r="S62" i="171"/>
  <c r="L11" i="156"/>
  <c r="L80" i="156"/>
  <c r="L85" i="156"/>
  <c r="L102" i="156"/>
  <c r="L104" i="156"/>
  <c r="L105" i="156"/>
  <c r="L106" i="156"/>
  <c r="L108" i="156"/>
  <c r="L87" i="156"/>
  <c r="L88" i="156"/>
  <c r="L90" i="156"/>
  <c r="L120" i="156"/>
  <c r="L154" i="156"/>
  <c r="BH63" i="171"/>
  <c r="BH64" i="171"/>
  <c r="L121" i="156"/>
  <c r="L155" i="156"/>
  <c r="BI63" i="171"/>
  <c r="BI64" i="171"/>
  <c r="L122" i="156"/>
  <c r="L156" i="156"/>
  <c r="BJ63" i="171"/>
  <c r="BJ64" i="171"/>
  <c r="CW64" i="171"/>
  <c r="BD146" i="59"/>
  <c r="K777" i="40" a="1"/>
  <c r="K777" i="40"/>
  <c r="K778" i="40"/>
  <c r="K779" i="40"/>
  <c r="K780" i="40"/>
  <c r="K781" i="40"/>
  <c r="K782" i="40"/>
  <c r="K783" i="40"/>
  <c r="K784" i="40"/>
  <c r="K785" i="40"/>
  <c r="K786" i="40"/>
  <c r="K787" i="40"/>
  <c r="K788" i="40"/>
  <c r="K826" i="40"/>
  <c r="R22" i="170"/>
  <c r="R24" i="170"/>
  <c r="R28" i="170"/>
  <c r="K429" i="112"/>
  <c r="K430" i="112"/>
  <c r="K431" i="112"/>
  <c r="K433" i="112"/>
  <c r="K434" i="112" a="1"/>
  <c r="K434" i="112"/>
  <c r="K539" i="112"/>
  <c r="R35" i="170"/>
  <c r="R36" i="170"/>
  <c r="R52" i="170"/>
  <c r="R56" i="170"/>
  <c r="R58" i="170"/>
  <c r="R60" i="170"/>
  <c r="R62" i="170"/>
  <c r="K10" i="156"/>
  <c r="R72" i="170"/>
  <c r="K9" i="30"/>
  <c r="K65" i="30"/>
  <c r="K67" i="30"/>
  <c r="K115" i="30"/>
  <c r="S73" i="170"/>
  <c r="S74" i="170"/>
  <c r="S52" i="170"/>
  <c r="S56" i="170"/>
  <c r="S58" i="170"/>
  <c r="S60" i="170"/>
  <c r="S62" i="170"/>
  <c r="K11" i="156"/>
  <c r="K80" i="156"/>
  <c r="K85" i="156"/>
  <c r="K102" i="156"/>
  <c r="K104" i="156"/>
  <c r="K105" i="156"/>
  <c r="K106" i="156"/>
  <c r="K108" i="156"/>
  <c r="K87" i="156"/>
  <c r="K88" i="156"/>
  <c r="K90" i="156"/>
  <c r="K120" i="156"/>
  <c r="K154" i="156"/>
  <c r="BH63" i="170"/>
  <c r="BH64" i="170"/>
  <c r="K121" i="156"/>
  <c r="K155" i="156"/>
  <c r="BI63" i="170"/>
  <c r="BI64" i="170"/>
  <c r="K122" i="156"/>
  <c r="K156" i="156"/>
  <c r="BJ63" i="170"/>
  <c r="BJ64" i="170"/>
  <c r="CW64" i="170"/>
  <c r="BC146" i="59"/>
  <c r="J777" i="40" a="1"/>
  <c r="J777" i="40"/>
  <c r="J778" i="40"/>
  <c r="J779" i="40"/>
  <c r="J780" i="40"/>
  <c r="J781" i="40"/>
  <c r="J782" i="40"/>
  <c r="J783" i="40"/>
  <c r="J784" i="40"/>
  <c r="J785" i="40"/>
  <c r="J786" i="40"/>
  <c r="J787" i="40"/>
  <c r="J788" i="40"/>
  <c r="J826" i="40"/>
  <c r="R22" i="169"/>
  <c r="R24" i="169"/>
  <c r="R28" i="169"/>
  <c r="J429" i="112"/>
  <c r="J430" i="112"/>
  <c r="J431" i="112"/>
  <c r="J433" i="112"/>
  <c r="J434" i="112" a="1"/>
  <c r="J434" i="112"/>
  <c r="J539" i="112"/>
  <c r="R35" i="169"/>
  <c r="R36" i="169"/>
  <c r="R52" i="169"/>
  <c r="R56" i="169"/>
  <c r="R58" i="169"/>
  <c r="R60" i="169"/>
  <c r="R62" i="169"/>
  <c r="J10" i="156"/>
  <c r="R72" i="169"/>
  <c r="J9" i="30"/>
  <c r="J65" i="30"/>
  <c r="J67" i="30"/>
  <c r="J115" i="30"/>
  <c r="S73" i="169"/>
  <c r="S74" i="169"/>
  <c r="S52" i="169"/>
  <c r="S56" i="169"/>
  <c r="S58" i="169"/>
  <c r="S60" i="169"/>
  <c r="S62" i="169"/>
  <c r="J11" i="156"/>
  <c r="J80" i="156"/>
  <c r="J85" i="156"/>
  <c r="J102" i="156"/>
  <c r="J104" i="156"/>
  <c r="J105" i="156"/>
  <c r="J106" i="156"/>
  <c r="J108" i="156"/>
  <c r="J87" i="156"/>
  <c r="J88" i="156"/>
  <c r="J90" i="156"/>
  <c r="J120" i="156"/>
  <c r="J154" i="156"/>
  <c r="BH63" i="169"/>
  <c r="BH64" i="169"/>
  <c r="J121" i="156"/>
  <c r="J155" i="156"/>
  <c r="BI63" i="169"/>
  <c r="BI64" i="169"/>
  <c r="J122" i="156"/>
  <c r="J156" i="156"/>
  <c r="BJ63" i="169"/>
  <c r="BJ64" i="169"/>
  <c r="CW64" i="169"/>
  <c r="BB146" i="59"/>
  <c r="I777" i="40" a="1"/>
  <c r="I777" i="40"/>
  <c r="I778" i="40"/>
  <c r="I779" i="40"/>
  <c r="I780" i="40"/>
  <c r="I781" i="40"/>
  <c r="I782" i="40"/>
  <c r="I783" i="40"/>
  <c r="I784" i="40"/>
  <c r="I785" i="40"/>
  <c r="I786" i="40"/>
  <c r="I787" i="40"/>
  <c r="I788" i="40"/>
  <c r="I826" i="40"/>
  <c r="R22" i="168"/>
  <c r="R24" i="168"/>
  <c r="R28" i="168"/>
  <c r="I429" i="112"/>
  <c r="I430" i="112"/>
  <c r="I431" i="112"/>
  <c r="I433" i="112"/>
  <c r="I434" i="112" a="1"/>
  <c r="I434" i="112"/>
  <c r="I539" i="112"/>
  <c r="R35" i="168"/>
  <c r="R36" i="168"/>
  <c r="R52" i="168"/>
  <c r="R56" i="168"/>
  <c r="R58" i="168"/>
  <c r="R60" i="168"/>
  <c r="R62" i="168"/>
  <c r="I10" i="156"/>
  <c r="R72" i="168"/>
  <c r="I9" i="30"/>
  <c r="I65" i="30"/>
  <c r="I67" i="30"/>
  <c r="I115" i="30"/>
  <c r="S73" i="168"/>
  <c r="S74" i="168"/>
  <c r="S52" i="168"/>
  <c r="S56" i="168"/>
  <c r="S58" i="168"/>
  <c r="S60" i="168"/>
  <c r="S62" i="168"/>
  <c r="I11" i="156"/>
  <c r="I80" i="156"/>
  <c r="I85" i="156"/>
  <c r="I102" i="156"/>
  <c r="I104" i="156"/>
  <c r="I105" i="156"/>
  <c r="I106" i="156"/>
  <c r="I108" i="156"/>
  <c r="I87" i="156"/>
  <c r="I88" i="156"/>
  <c r="I90" i="156"/>
  <c r="I120" i="156"/>
  <c r="I154" i="156"/>
  <c r="BH63" i="168"/>
  <c r="BH64" i="168"/>
  <c r="I121" i="156"/>
  <c r="I155" i="156"/>
  <c r="BI63" i="168"/>
  <c r="BI64" i="168"/>
  <c r="I122" i="156"/>
  <c r="I156" i="156"/>
  <c r="BJ63" i="168"/>
  <c r="BJ64" i="168"/>
  <c r="CW64" i="168"/>
  <c r="BA146" i="59"/>
  <c r="H777" i="40" a="1"/>
  <c r="H777" i="40"/>
  <c r="H778" i="40"/>
  <c r="H779" i="40"/>
  <c r="H780" i="40"/>
  <c r="H781" i="40"/>
  <c r="H782" i="40"/>
  <c r="H783" i="40"/>
  <c r="H784" i="40"/>
  <c r="H785" i="40"/>
  <c r="H786" i="40"/>
  <c r="H787" i="40"/>
  <c r="H788" i="40"/>
  <c r="H826" i="40"/>
  <c r="R22" i="167"/>
  <c r="R24" i="167"/>
  <c r="R28" i="167"/>
  <c r="H429" i="112"/>
  <c r="H430" i="112"/>
  <c r="H431" i="112"/>
  <c r="H433" i="112"/>
  <c r="H434" i="112" a="1"/>
  <c r="H434" i="112"/>
  <c r="H539" i="112"/>
  <c r="R35" i="167"/>
  <c r="R36" i="167"/>
  <c r="R52" i="167"/>
  <c r="R56" i="167"/>
  <c r="R58" i="167"/>
  <c r="R60" i="167"/>
  <c r="R62" i="167"/>
  <c r="H10" i="156"/>
  <c r="R72" i="167"/>
  <c r="H9" i="30"/>
  <c r="H65" i="30"/>
  <c r="H67" i="30"/>
  <c r="H115" i="30"/>
  <c r="S73" i="167"/>
  <c r="S74" i="167"/>
  <c r="S52" i="167"/>
  <c r="S56" i="167"/>
  <c r="S58" i="167"/>
  <c r="S60" i="167"/>
  <c r="S62" i="167"/>
  <c r="H11" i="156"/>
  <c r="H80" i="156"/>
  <c r="H85" i="156"/>
  <c r="H102" i="156"/>
  <c r="H104" i="156"/>
  <c r="H105" i="156"/>
  <c r="H106" i="156"/>
  <c r="H108" i="156"/>
  <c r="H87" i="156"/>
  <c r="H88" i="156"/>
  <c r="H90" i="156"/>
  <c r="H120" i="156"/>
  <c r="H154" i="156"/>
  <c r="BH63" i="167"/>
  <c r="BH64" i="167"/>
  <c r="H121" i="156"/>
  <c r="H155" i="156"/>
  <c r="BI63" i="167"/>
  <c r="BI64" i="167"/>
  <c r="H122" i="156"/>
  <c r="H156" i="156"/>
  <c r="BJ63" i="167"/>
  <c r="BJ64" i="167"/>
  <c r="CW64" i="167"/>
  <c r="AZ146" i="59"/>
  <c r="G777" i="40" a="1"/>
  <c r="G777" i="40"/>
  <c r="G778" i="40"/>
  <c r="G779" i="40"/>
  <c r="G780" i="40"/>
  <c r="G781" i="40"/>
  <c r="G782" i="40"/>
  <c r="G783" i="40"/>
  <c r="G784" i="40"/>
  <c r="G785" i="40"/>
  <c r="G786" i="40"/>
  <c r="G787" i="40"/>
  <c r="G788" i="40"/>
  <c r="G826" i="40"/>
  <c r="R22" i="166"/>
  <c r="R24" i="166"/>
  <c r="R28" i="166"/>
  <c r="G429" i="112"/>
  <c r="G430" i="112"/>
  <c r="G431" i="112"/>
  <c r="G433" i="112"/>
  <c r="G434" i="112" a="1"/>
  <c r="G434" i="112"/>
  <c r="G539" i="112"/>
  <c r="R35" i="166"/>
  <c r="R36" i="166"/>
  <c r="R52" i="166"/>
  <c r="R56" i="166"/>
  <c r="R58" i="166"/>
  <c r="R60" i="166"/>
  <c r="R62" i="166"/>
  <c r="G10" i="156"/>
  <c r="R72" i="166"/>
  <c r="G9" i="30"/>
  <c r="G65" i="30"/>
  <c r="G67" i="30"/>
  <c r="G115" i="30"/>
  <c r="S73" i="166"/>
  <c r="S74" i="166"/>
  <c r="S52" i="166"/>
  <c r="S56" i="166"/>
  <c r="S58" i="166"/>
  <c r="S60" i="166"/>
  <c r="S62" i="166"/>
  <c r="G11" i="156"/>
  <c r="G80" i="156"/>
  <c r="G85" i="156"/>
  <c r="G102" i="156"/>
  <c r="G104" i="156"/>
  <c r="G105" i="156"/>
  <c r="G106" i="156"/>
  <c r="G108" i="156"/>
  <c r="G87" i="156"/>
  <c r="G88" i="156"/>
  <c r="G90" i="156"/>
  <c r="G120" i="156"/>
  <c r="G154" i="156"/>
  <c r="BH63" i="166"/>
  <c r="BH64" i="166"/>
  <c r="G121" i="156"/>
  <c r="G155" i="156"/>
  <c r="BI63" i="166"/>
  <c r="BI64" i="166"/>
  <c r="G122" i="156"/>
  <c r="G156" i="156"/>
  <c r="BJ63" i="166"/>
  <c r="BJ64" i="166"/>
  <c r="CW64" i="166"/>
  <c r="AY146" i="59"/>
  <c r="AX146" i="59"/>
  <c r="M167" i="49" a="1"/>
  <c r="M167" i="49"/>
  <c r="M207" i="49"/>
  <c r="BH15" i="172"/>
  <c r="M122" i="62" a="1"/>
  <c r="M122" i="62"/>
  <c r="M169" i="62"/>
  <c r="BH16" i="172"/>
  <c r="BH17" i="172"/>
  <c r="M343" i="39" a="1"/>
  <c r="M343" i="39"/>
  <c r="M455" i="39"/>
  <c r="BH19" i="172"/>
  <c r="BH20" i="172"/>
  <c r="M760" i="40" a="1"/>
  <c r="M760" i="40"/>
  <c r="M761" i="40"/>
  <c r="M762" i="40"/>
  <c r="M763" i="40"/>
  <c r="M764" i="40"/>
  <c r="M765" i="40"/>
  <c r="M766" i="40"/>
  <c r="M767" i="40"/>
  <c r="M768" i="40"/>
  <c r="M769" i="40"/>
  <c r="M770" i="40"/>
  <c r="M773" i="40"/>
  <c r="M813" i="40"/>
  <c r="M863" i="40"/>
  <c r="BH22" i="172"/>
  <c r="BH24" i="172"/>
  <c r="BH28" i="172"/>
  <c r="M435" i="112"/>
  <c r="M436" i="112"/>
  <c r="M437" i="112"/>
  <c r="M443" i="112" a="1"/>
  <c r="M443" i="112"/>
  <c r="M559" i="112"/>
  <c r="BH35" i="172"/>
  <c r="BH36" i="172"/>
  <c r="BH66" i="172"/>
  <c r="BH90" i="172"/>
  <c r="M814" i="40"/>
  <c r="M864" i="40"/>
  <c r="BI22" i="172"/>
  <c r="BI24" i="172"/>
  <c r="BI28" i="172"/>
  <c r="M444" i="112" a="1"/>
  <c r="M444" i="112"/>
  <c r="M560" i="112"/>
  <c r="BI35" i="172"/>
  <c r="BI36" i="172"/>
  <c r="BI66" i="172"/>
  <c r="BI90" i="172"/>
  <c r="M815" i="40"/>
  <c r="M865" i="40"/>
  <c r="BJ22" i="172"/>
  <c r="BJ24" i="172"/>
  <c r="BJ28" i="172"/>
  <c r="M445" i="112" a="1"/>
  <c r="M445" i="112"/>
  <c r="M561" i="112"/>
  <c r="BJ35" i="172"/>
  <c r="BJ36" i="172"/>
  <c r="BJ66" i="172"/>
  <c r="BJ90" i="172"/>
  <c r="L7" i="175"/>
  <c r="F792" i="40" a="1"/>
  <c r="M792" i="40"/>
  <c r="M793" i="40"/>
  <c r="M794" i="40"/>
  <c r="M795" i="40"/>
  <c r="M796" i="40"/>
  <c r="M797" i="40"/>
  <c r="M798" i="40"/>
  <c r="M799" i="40"/>
  <c r="M800" i="40"/>
  <c r="M801" i="40"/>
  <c r="M802" i="40"/>
  <c r="M827" i="40"/>
  <c r="V22" i="172"/>
  <c r="V24" i="172"/>
  <c r="V28" i="172"/>
  <c r="M542" i="112"/>
  <c r="V35" i="172"/>
  <c r="V36" i="172"/>
  <c r="V66" i="172"/>
  <c r="V76" i="172"/>
  <c r="V78" i="172"/>
  <c r="M17" i="111"/>
  <c r="M81" i="111"/>
  <c r="M112" i="111"/>
  <c r="V79" i="172"/>
  <c r="V80" i="172"/>
  <c r="V82" i="172"/>
  <c r="M11" i="116"/>
  <c r="M65" i="116"/>
  <c r="F792" i="40"/>
  <c r="F793" i="40"/>
  <c r="F794" i="40"/>
  <c r="F795" i="40"/>
  <c r="F796" i="40"/>
  <c r="F797" i="40"/>
  <c r="F798" i="40"/>
  <c r="F799" i="40"/>
  <c r="F800" i="40"/>
  <c r="F801" i="40"/>
  <c r="F802" i="40"/>
  <c r="F827" i="40"/>
  <c r="V22" i="70"/>
  <c r="V24" i="70"/>
  <c r="V28" i="70"/>
  <c r="F437" i="112"/>
  <c r="F542" i="112"/>
  <c r="V35" i="70"/>
  <c r="V36" i="70"/>
  <c r="V66" i="70"/>
  <c r="V76" i="70"/>
  <c r="V78" i="70"/>
  <c r="F17" i="111"/>
  <c r="F81" i="111"/>
  <c r="F112" i="111"/>
  <c r="V79" i="70"/>
  <c r="V80" i="70"/>
  <c r="V82" i="70"/>
  <c r="F11" i="116"/>
  <c r="F65" i="116"/>
  <c r="M77" i="116"/>
  <c r="M129" i="116"/>
  <c r="BM83" i="172"/>
  <c r="BM85" i="172"/>
  <c r="BM87" i="172"/>
  <c r="BM90" i="172"/>
  <c r="L8" i="175"/>
  <c r="L9" i="175"/>
  <c r="L49" i="175"/>
  <c r="L167" i="49" a="1"/>
  <c r="L167" i="49"/>
  <c r="L207" i="49"/>
  <c r="BH15" i="171"/>
  <c r="L122" i="62" a="1"/>
  <c r="L122" i="62"/>
  <c r="L169" i="62"/>
  <c r="BH16" i="171"/>
  <c r="BH17" i="171"/>
  <c r="L343" i="39" a="1"/>
  <c r="L343" i="39"/>
  <c r="L455" i="39"/>
  <c r="BH19" i="171"/>
  <c r="BH20" i="171"/>
  <c r="L760" i="40" a="1"/>
  <c r="L760" i="40"/>
  <c r="L761" i="40"/>
  <c r="L762" i="40"/>
  <c r="L763" i="40"/>
  <c r="L764" i="40"/>
  <c r="L765" i="40"/>
  <c r="L766" i="40"/>
  <c r="L767" i="40"/>
  <c r="L768" i="40"/>
  <c r="L769" i="40"/>
  <c r="L770" i="40"/>
  <c r="L773" i="40"/>
  <c r="L813" i="40"/>
  <c r="L863" i="40"/>
  <c r="BH22" i="171"/>
  <c r="BH24" i="171"/>
  <c r="BH28" i="171"/>
  <c r="L435" i="112"/>
  <c r="L436" i="112"/>
  <c r="L437" i="112"/>
  <c r="L443" i="112" a="1"/>
  <c r="L443" i="112"/>
  <c r="L559" i="112"/>
  <c r="BH35" i="171"/>
  <c r="BH36" i="171"/>
  <c r="BH66" i="171"/>
  <c r="BH90" i="171"/>
  <c r="L814" i="40"/>
  <c r="L864" i="40"/>
  <c r="BI22" i="171"/>
  <c r="BI24" i="171"/>
  <c r="BI28" i="171"/>
  <c r="L444" i="112" a="1"/>
  <c r="L444" i="112"/>
  <c r="L560" i="112"/>
  <c r="BI35" i="171"/>
  <c r="BI36" i="171"/>
  <c r="BI66" i="171"/>
  <c r="BI90" i="171"/>
  <c r="L815" i="40"/>
  <c r="L865" i="40"/>
  <c r="BJ22" i="171"/>
  <c r="BJ24" i="171"/>
  <c r="BJ28" i="171"/>
  <c r="L445" i="112" a="1"/>
  <c r="L445" i="112"/>
  <c r="L561" i="112"/>
  <c r="BJ35" i="171"/>
  <c r="BJ36" i="171"/>
  <c r="BJ66" i="171"/>
  <c r="BJ90" i="171"/>
  <c r="K7" i="175"/>
  <c r="L792" i="40"/>
  <c r="L793" i="40"/>
  <c r="L794" i="40"/>
  <c r="L795" i="40"/>
  <c r="L796" i="40"/>
  <c r="L797" i="40"/>
  <c r="L798" i="40"/>
  <c r="L799" i="40"/>
  <c r="L800" i="40"/>
  <c r="L801" i="40"/>
  <c r="L802" i="40"/>
  <c r="L827" i="40"/>
  <c r="V22" i="171"/>
  <c r="V24" i="171"/>
  <c r="V28" i="171"/>
  <c r="L542" i="112"/>
  <c r="V35" i="171"/>
  <c r="V36" i="171"/>
  <c r="V66" i="171"/>
  <c r="V76" i="171"/>
  <c r="V78" i="171"/>
  <c r="L17" i="111"/>
  <c r="L81" i="111"/>
  <c r="L112" i="111"/>
  <c r="V79" i="171"/>
  <c r="V80" i="171"/>
  <c r="V82" i="171"/>
  <c r="L11" i="116"/>
  <c r="L65" i="116"/>
  <c r="L77" i="116"/>
  <c r="L129" i="116"/>
  <c r="BM83" i="171"/>
  <c r="BM85" i="171"/>
  <c r="BM87" i="171"/>
  <c r="BM90" i="171"/>
  <c r="K8" i="175"/>
  <c r="K9" i="175"/>
  <c r="K49" i="175"/>
  <c r="K167" i="49" a="1"/>
  <c r="K167" i="49"/>
  <c r="K207" i="49"/>
  <c r="BH15" i="170"/>
  <c r="K122" i="62" a="1"/>
  <c r="K122" i="62"/>
  <c r="K169" i="62"/>
  <c r="BH16" i="170"/>
  <c r="BH17" i="170"/>
  <c r="K343" i="39" a="1"/>
  <c r="K343" i="39"/>
  <c r="K455" i="39"/>
  <c r="BH19" i="170"/>
  <c r="BH20" i="170"/>
  <c r="K760" i="40" a="1"/>
  <c r="K760" i="40"/>
  <c r="K761" i="40"/>
  <c r="K762" i="40"/>
  <c r="K763" i="40"/>
  <c r="K764" i="40"/>
  <c r="K765" i="40"/>
  <c r="K766" i="40"/>
  <c r="K767" i="40"/>
  <c r="K768" i="40"/>
  <c r="K769" i="40"/>
  <c r="K770" i="40"/>
  <c r="K773" i="40"/>
  <c r="K813" i="40"/>
  <c r="K863" i="40"/>
  <c r="BH22" i="170"/>
  <c r="BH24" i="170"/>
  <c r="BH28" i="170"/>
  <c r="K435" i="112"/>
  <c r="K436" i="112"/>
  <c r="K437" i="112"/>
  <c r="K443" i="112" a="1"/>
  <c r="K443" i="112"/>
  <c r="K559" i="112"/>
  <c r="BH35" i="170"/>
  <c r="BH36" i="170"/>
  <c r="BH66" i="170"/>
  <c r="BH90" i="170"/>
  <c r="K814" i="40"/>
  <c r="K864" i="40"/>
  <c r="BI22" i="170"/>
  <c r="BI24" i="170"/>
  <c r="BI28" i="170"/>
  <c r="K444" i="112" a="1"/>
  <c r="K444" i="112"/>
  <c r="K560" i="112"/>
  <c r="BI35" i="170"/>
  <c r="BI36" i="170"/>
  <c r="BI66" i="170"/>
  <c r="BI90" i="170"/>
  <c r="K815" i="40"/>
  <c r="K865" i="40"/>
  <c r="BJ22" i="170"/>
  <c r="BJ24" i="170"/>
  <c r="BJ28" i="170"/>
  <c r="K445" i="112" a="1"/>
  <c r="K445" i="112"/>
  <c r="K561" i="112"/>
  <c r="BJ35" i="170"/>
  <c r="BJ36" i="170"/>
  <c r="BJ66" i="170"/>
  <c r="BJ90" i="170"/>
  <c r="J7" i="175"/>
  <c r="K792" i="40"/>
  <c r="K793" i="40"/>
  <c r="K794" i="40"/>
  <c r="K795" i="40"/>
  <c r="K796" i="40"/>
  <c r="K797" i="40"/>
  <c r="K798" i="40"/>
  <c r="K799" i="40"/>
  <c r="K800" i="40"/>
  <c r="K801" i="40"/>
  <c r="K802" i="40"/>
  <c r="K827" i="40"/>
  <c r="V22" i="170"/>
  <c r="V24" i="170"/>
  <c r="V28" i="170"/>
  <c r="K542" i="112"/>
  <c r="V35" i="170"/>
  <c r="V36" i="170"/>
  <c r="V66" i="170"/>
  <c r="V76" i="170"/>
  <c r="V78" i="170"/>
  <c r="K17" i="111"/>
  <c r="K81" i="111"/>
  <c r="K112" i="111"/>
  <c r="V79" i="170"/>
  <c r="V80" i="170"/>
  <c r="V82" i="170"/>
  <c r="K11" i="116"/>
  <c r="K65" i="116"/>
  <c r="K77" i="116"/>
  <c r="K129" i="116"/>
  <c r="BM83" i="170"/>
  <c r="BM85" i="170"/>
  <c r="BM87" i="170"/>
  <c r="BM90" i="170"/>
  <c r="J8" i="175"/>
  <c r="J9" i="175"/>
  <c r="J49" i="175"/>
  <c r="I167" i="49" a="1"/>
  <c r="I167" i="49"/>
  <c r="I207" i="49"/>
  <c r="BH15" i="168"/>
  <c r="I122" i="62" a="1"/>
  <c r="I122" i="62"/>
  <c r="I169" i="62"/>
  <c r="BH16" i="168"/>
  <c r="BH17" i="168"/>
  <c r="I343" i="39" a="1"/>
  <c r="I343" i="39"/>
  <c r="I455" i="39"/>
  <c r="BH19" i="168"/>
  <c r="BH20" i="168"/>
  <c r="I760" i="40" a="1"/>
  <c r="I760" i="40"/>
  <c r="I761" i="40"/>
  <c r="I762" i="40"/>
  <c r="I763" i="40"/>
  <c r="I764" i="40"/>
  <c r="I765" i="40"/>
  <c r="I766" i="40"/>
  <c r="I767" i="40"/>
  <c r="I768" i="40"/>
  <c r="I769" i="40"/>
  <c r="I770" i="40"/>
  <c r="I773" i="40"/>
  <c r="I813" i="40"/>
  <c r="I863" i="40"/>
  <c r="BH22" i="168"/>
  <c r="BH24" i="168"/>
  <c r="BH28" i="168"/>
  <c r="I435" i="112"/>
  <c r="I436" i="112"/>
  <c r="I437" i="112"/>
  <c r="I443" i="112" a="1"/>
  <c r="I443" i="112"/>
  <c r="I559" i="112"/>
  <c r="BH35" i="168"/>
  <c r="BH36" i="168"/>
  <c r="BH66" i="168"/>
  <c r="BH90" i="168"/>
  <c r="I814" i="40"/>
  <c r="I864" i="40"/>
  <c r="BI22" i="168"/>
  <c r="BI24" i="168"/>
  <c r="BI28" i="168"/>
  <c r="I444" i="112" a="1"/>
  <c r="I444" i="112"/>
  <c r="I560" i="112"/>
  <c r="BI35" i="168"/>
  <c r="BI36" i="168"/>
  <c r="BI66" i="168"/>
  <c r="BI90" i="168"/>
  <c r="I815" i="40"/>
  <c r="I865" i="40"/>
  <c r="BJ22" i="168"/>
  <c r="BJ24" i="168"/>
  <c r="BJ28" i="168"/>
  <c r="I445" i="112" a="1"/>
  <c r="I445" i="112"/>
  <c r="I561" i="112"/>
  <c r="BJ35" i="168"/>
  <c r="BJ36" i="168"/>
  <c r="BJ66" i="168"/>
  <c r="BJ90" i="168"/>
  <c r="H7" i="175"/>
  <c r="I792" i="40"/>
  <c r="I793" i="40"/>
  <c r="I794" i="40"/>
  <c r="I795" i="40"/>
  <c r="I796" i="40"/>
  <c r="I797" i="40"/>
  <c r="I798" i="40"/>
  <c r="I799" i="40"/>
  <c r="I800" i="40"/>
  <c r="I801" i="40"/>
  <c r="I802" i="40"/>
  <c r="I827" i="40"/>
  <c r="V22" i="168"/>
  <c r="V24" i="168"/>
  <c r="V28" i="168"/>
  <c r="I542" i="112"/>
  <c r="V35" i="168"/>
  <c r="V36" i="168"/>
  <c r="V66" i="168"/>
  <c r="V76" i="168"/>
  <c r="V78" i="168"/>
  <c r="I17" i="111"/>
  <c r="I81" i="111"/>
  <c r="I112" i="111"/>
  <c r="V79" i="168"/>
  <c r="V80" i="168"/>
  <c r="V82" i="168"/>
  <c r="I11" i="116"/>
  <c r="I65" i="116"/>
  <c r="I77" i="116"/>
  <c r="I129" i="116"/>
  <c r="BM83" i="168"/>
  <c r="BM85" i="168"/>
  <c r="BM87" i="168"/>
  <c r="BM90" i="168"/>
  <c r="H8" i="175"/>
  <c r="H9" i="175"/>
  <c r="H49" i="175"/>
  <c r="G167" i="49" a="1"/>
  <c r="G167" i="49"/>
  <c r="G207" i="49"/>
  <c r="BH15" i="166"/>
  <c r="G122" i="62" a="1"/>
  <c r="G122" i="62"/>
  <c r="G169" i="62"/>
  <c r="BH16" i="166"/>
  <c r="BH17" i="166"/>
  <c r="G343" i="39" a="1"/>
  <c r="G343" i="39"/>
  <c r="G455" i="39"/>
  <c r="BH19" i="166"/>
  <c r="BH20" i="166"/>
  <c r="G760" i="40" a="1"/>
  <c r="G760" i="40"/>
  <c r="G761" i="40"/>
  <c r="G762" i="40"/>
  <c r="G763" i="40"/>
  <c r="G764" i="40"/>
  <c r="G765" i="40"/>
  <c r="G766" i="40"/>
  <c r="G767" i="40"/>
  <c r="G768" i="40"/>
  <c r="G769" i="40"/>
  <c r="G770" i="40"/>
  <c r="G773" i="40"/>
  <c r="G813" i="40"/>
  <c r="G863" i="40"/>
  <c r="BH22" i="166"/>
  <c r="BH24" i="166"/>
  <c r="BH28" i="166"/>
  <c r="G435" i="112"/>
  <c r="G436" i="112"/>
  <c r="G437" i="112"/>
  <c r="G443" i="112" a="1"/>
  <c r="G443" i="112"/>
  <c r="G559" i="112"/>
  <c r="BH35" i="166"/>
  <c r="BH36" i="166"/>
  <c r="BH66" i="166"/>
  <c r="BH90" i="166"/>
  <c r="G814" i="40"/>
  <c r="G864" i="40"/>
  <c r="BI22" i="166"/>
  <c r="BI24" i="166"/>
  <c r="BI28" i="166"/>
  <c r="G444" i="112" a="1"/>
  <c r="G444" i="112"/>
  <c r="G560" i="112"/>
  <c r="BI35" i="166"/>
  <c r="BI36" i="166"/>
  <c r="BI66" i="166"/>
  <c r="BI90" i="166"/>
  <c r="G815" i="40"/>
  <c r="G865" i="40"/>
  <c r="BJ22" i="166"/>
  <c r="BJ24" i="166"/>
  <c r="BJ28" i="166"/>
  <c r="G445" i="112" a="1"/>
  <c r="G445" i="112"/>
  <c r="G561" i="112"/>
  <c r="BJ35" i="166"/>
  <c r="BJ36" i="166"/>
  <c r="BJ66" i="166"/>
  <c r="BJ90" i="166"/>
  <c r="F7" i="175"/>
  <c r="G792" i="40"/>
  <c r="G793" i="40"/>
  <c r="G794" i="40"/>
  <c r="G795" i="40"/>
  <c r="G796" i="40"/>
  <c r="G797" i="40"/>
  <c r="G798" i="40"/>
  <c r="G799" i="40"/>
  <c r="G800" i="40"/>
  <c r="G801" i="40"/>
  <c r="G802" i="40"/>
  <c r="G827" i="40"/>
  <c r="V22" i="166"/>
  <c r="V24" i="166"/>
  <c r="V28" i="166"/>
  <c r="G542" i="112"/>
  <c r="V35" i="166"/>
  <c r="V36" i="166"/>
  <c r="V66" i="166"/>
  <c r="V76" i="166"/>
  <c r="V78" i="166"/>
  <c r="G17" i="111"/>
  <c r="G81" i="111"/>
  <c r="G112" i="111"/>
  <c r="V79" i="166"/>
  <c r="V80" i="166"/>
  <c r="V82" i="166"/>
  <c r="G11" i="116"/>
  <c r="G65" i="116"/>
  <c r="G77" i="116"/>
  <c r="G129" i="116"/>
  <c r="BM83" i="166"/>
  <c r="BM85" i="166"/>
  <c r="BM87" i="166"/>
  <c r="BM90" i="166"/>
  <c r="F8" i="175"/>
  <c r="F9" i="175"/>
  <c r="F49" i="175"/>
  <c r="N777" i="40" a="1"/>
  <c r="N777" i="40"/>
  <c r="N778" i="40"/>
  <c r="N779" i="40"/>
  <c r="N780" i="40"/>
  <c r="N781" i="40"/>
  <c r="N782" i="40"/>
  <c r="N783" i="40"/>
  <c r="N784" i="40"/>
  <c r="N785" i="40"/>
  <c r="N786" i="40"/>
  <c r="N787" i="40"/>
  <c r="N788" i="40"/>
  <c r="N826" i="40"/>
  <c r="R22" i="173"/>
  <c r="R24" i="173"/>
  <c r="R28" i="173"/>
  <c r="N429" i="112"/>
  <c r="N430" i="112"/>
  <c r="N431" i="112"/>
  <c r="N433" i="112"/>
  <c r="N434" i="112" a="1"/>
  <c r="N434" i="112"/>
  <c r="N539" i="112"/>
  <c r="R35" i="173"/>
  <c r="R36" i="173"/>
  <c r="R52" i="173"/>
  <c r="R56" i="173"/>
  <c r="R58" i="173"/>
  <c r="R60" i="173"/>
  <c r="R62" i="173"/>
  <c r="N10" i="156"/>
  <c r="R72" i="173"/>
  <c r="N9" i="30"/>
  <c r="N65" i="30"/>
  <c r="N67" i="30"/>
  <c r="N115" i="30"/>
  <c r="S73" i="173"/>
  <c r="S74" i="173"/>
  <c r="S52" i="173"/>
  <c r="S56" i="173"/>
  <c r="S58" i="173"/>
  <c r="S60" i="173"/>
  <c r="S62" i="173"/>
  <c r="N11" i="156"/>
  <c r="N80" i="156"/>
  <c r="N85" i="156"/>
  <c r="N102" i="156"/>
  <c r="N104" i="156"/>
  <c r="N105" i="156"/>
  <c r="N106" i="156"/>
  <c r="N108" i="156"/>
  <c r="N87" i="156"/>
  <c r="N88" i="156"/>
  <c r="N90" i="156"/>
  <c r="N120" i="156"/>
  <c r="N154" i="156"/>
  <c r="BH63" i="173"/>
  <c r="BH64" i="173"/>
  <c r="N121" i="156"/>
  <c r="N155" i="156"/>
  <c r="BI63" i="173"/>
  <c r="BI64" i="173"/>
  <c r="N122" i="156"/>
  <c r="N156" i="156"/>
  <c r="BJ63" i="173"/>
  <c r="BJ64" i="173"/>
  <c r="CW64" i="173"/>
  <c r="BF146" i="59"/>
  <c r="BE165" i="59"/>
  <c r="BE166" i="59"/>
  <c r="BE167" i="59"/>
  <c r="BD165" i="59"/>
  <c r="BD166" i="59"/>
  <c r="BD167" i="59"/>
  <c r="AY165" i="59"/>
  <c r="AY166" i="59"/>
  <c r="AY167" i="59"/>
  <c r="J792" i="40"/>
  <c r="J793" i="40"/>
  <c r="J794" i="40"/>
  <c r="J795" i="40"/>
  <c r="J796" i="40"/>
  <c r="J797" i="40"/>
  <c r="J798" i="40"/>
  <c r="J799" i="40"/>
  <c r="J800" i="40"/>
  <c r="J801" i="40"/>
  <c r="J802" i="40"/>
  <c r="J827" i="40"/>
  <c r="V22" i="169"/>
  <c r="V24" i="169"/>
  <c r="V28" i="169"/>
  <c r="J437" i="112"/>
  <c r="J542" i="112"/>
  <c r="V35" i="169"/>
  <c r="V36" i="169"/>
  <c r="V66" i="169"/>
  <c r="V76" i="169"/>
  <c r="V78" i="169"/>
  <c r="J17" i="111"/>
  <c r="J81" i="111"/>
  <c r="J112" i="111"/>
  <c r="V79" i="169"/>
  <c r="V80" i="169"/>
  <c r="V82" i="169"/>
  <c r="J11" i="116"/>
  <c r="J65" i="116"/>
  <c r="J77" i="116"/>
  <c r="J129" i="116"/>
  <c r="BM83" i="169"/>
  <c r="BM85" i="169"/>
  <c r="BM87" i="169"/>
  <c r="H792" i="40"/>
  <c r="H793" i="40"/>
  <c r="H794" i="40"/>
  <c r="H795" i="40"/>
  <c r="H796" i="40"/>
  <c r="H797" i="40"/>
  <c r="H798" i="40"/>
  <c r="H799" i="40"/>
  <c r="H800" i="40"/>
  <c r="H801" i="40"/>
  <c r="H802" i="40"/>
  <c r="H827" i="40"/>
  <c r="V22" i="167"/>
  <c r="V24" i="167"/>
  <c r="V28" i="167"/>
  <c r="H437" i="112"/>
  <c r="H542" i="112"/>
  <c r="V35" i="167"/>
  <c r="V36" i="167"/>
  <c r="V66" i="167"/>
  <c r="V76" i="167"/>
  <c r="V78" i="167"/>
  <c r="H17" i="111"/>
  <c r="H81" i="111"/>
  <c r="H112" i="111"/>
  <c r="V79" i="167"/>
  <c r="V80" i="167"/>
  <c r="V82" i="167"/>
  <c r="H11" i="116"/>
  <c r="H65" i="116"/>
  <c r="H77" i="116"/>
  <c r="H129" i="116"/>
  <c r="BM83" i="167"/>
  <c r="BM85" i="167"/>
  <c r="BM87" i="167"/>
  <c r="N792" i="40"/>
  <c r="N793" i="40"/>
  <c r="N794" i="40"/>
  <c r="N795" i="40"/>
  <c r="N796" i="40"/>
  <c r="N797" i="40"/>
  <c r="N798" i="40"/>
  <c r="N799" i="40"/>
  <c r="N800" i="40"/>
  <c r="N801" i="40"/>
  <c r="N802" i="40"/>
  <c r="N827" i="40"/>
  <c r="V22" i="173"/>
  <c r="V24" i="173"/>
  <c r="V28" i="173"/>
  <c r="N437" i="112"/>
  <c r="N542" i="112"/>
  <c r="V35" i="173"/>
  <c r="V36" i="173"/>
  <c r="V66" i="173"/>
  <c r="V76" i="173"/>
  <c r="V78" i="173"/>
  <c r="N17" i="111"/>
  <c r="N81" i="111"/>
  <c r="N112" i="111"/>
  <c r="V79" i="173"/>
  <c r="V80" i="173"/>
  <c r="V82" i="173"/>
  <c r="N11" i="116"/>
  <c r="N65" i="116"/>
  <c r="N77" i="116"/>
  <c r="N129" i="116"/>
  <c r="BM83" i="173"/>
  <c r="BM85" i="173"/>
  <c r="BM87" i="173"/>
  <c r="BC165" i="59"/>
  <c r="BC166" i="59"/>
  <c r="BC167" i="59"/>
  <c r="AX39" i="60"/>
  <c r="BA165" i="59"/>
  <c r="BA166" i="59"/>
  <c r="BA167" i="59"/>
  <c r="L14" i="175"/>
  <c r="K14" i="175"/>
  <c r="J14" i="175"/>
  <c r="H14" i="175"/>
  <c r="F14" i="175"/>
  <c r="F371" i="39"/>
  <c r="F373" i="39"/>
  <c r="F378" i="39"/>
  <c r="F384" i="39"/>
  <c r="F496" i="39"/>
  <c r="E115" i="105"/>
  <c r="F387" i="39"/>
  <c r="F497" i="39"/>
  <c r="O115" i="105"/>
  <c r="AI115" i="105"/>
  <c r="AI116" i="123"/>
  <c r="G371" i="39"/>
  <c r="G373" i="39"/>
  <c r="G378" i="39"/>
  <c r="G384" i="39"/>
  <c r="G496" i="39"/>
  <c r="F115" i="105"/>
  <c r="G387" i="39"/>
  <c r="G497" i="39"/>
  <c r="P115" i="105"/>
  <c r="AJ115" i="105"/>
  <c r="AJ116" i="123"/>
  <c r="H371" i="39"/>
  <c r="H373" i="39"/>
  <c r="H378" i="39"/>
  <c r="H384" i="39"/>
  <c r="H496" i="39"/>
  <c r="G115" i="105"/>
  <c r="H387" i="39"/>
  <c r="H497" i="39"/>
  <c r="Q115" i="105"/>
  <c r="AK115" i="105"/>
  <c r="AK116" i="123"/>
  <c r="I371" i="39"/>
  <c r="I373" i="39"/>
  <c r="I378" i="39"/>
  <c r="I384" i="39"/>
  <c r="I496" i="39"/>
  <c r="H115" i="105"/>
  <c r="I387" i="39"/>
  <c r="I497" i="39"/>
  <c r="R115" i="105"/>
  <c r="AL115" i="105"/>
  <c r="AL116" i="123"/>
  <c r="J371" i="39"/>
  <c r="J373" i="39"/>
  <c r="J378" i="39"/>
  <c r="J384" i="39"/>
  <c r="J496" i="39"/>
  <c r="I115" i="105"/>
  <c r="J387" i="39"/>
  <c r="J497" i="39"/>
  <c r="S115" i="105"/>
  <c r="AM115" i="105"/>
  <c r="AM116" i="123"/>
  <c r="K371" i="39"/>
  <c r="K373" i="39"/>
  <c r="K378" i="39"/>
  <c r="K384" i="39"/>
  <c r="K496" i="39"/>
  <c r="J115" i="105"/>
  <c r="K387" i="39"/>
  <c r="K497" i="39"/>
  <c r="T115" i="105"/>
  <c r="AN115" i="105"/>
  <c r="AN116" i="123"/>
  <c r="L371" i="39"/>
  <c r="L373" i="39"/>
  <c r="L378" i="39"/>
  <c r="L384" i="39"/>
  <c r="L496" i="39"/>
  <c r="K115" i="105"/>
  <c r="L387" i="39"/>
  <c r="L497" i="39"/>
  <c r="U115" i="105"/>
  <c r="AO115" i="105"/>
  <c r="AO116" i="123"/>
  <c r="M371" i="39"/>
  <c r="M373" i="39"/>
  <c r="M378" i="39"/>
  <c r="M384" i="39"/>
  <c r="M496" i="39"/>
  <c r="L115" i="105"/>
  <c r="M387" i="39"/>
  <c r="M497" i="39"/>
  <c r="V115" i="105"/>
  <c r="AP115" i="105"/>
  <c r="AP116" i="123"/>
  <c r="N371" i="39"/>
  <c r="N373" i="39"/>
  <c r="N378" i="39"/>
  <c r="N384" i="39"/>
  <c r="N496" i="39"/>
  <c r="M115" i="105"/>
  <c r="N387" i="39"/>
  <c r="N497" i="39"/>
  <c r="W115" i="105"/>
  <c r="AQ115" i="105"/>
  <c r="AQ116" i="123"/>
  <c r="AS116" i="123"/>
  <c r="H196" i="123"/>
  <c r="I196" i="123"/>
  <c r="AY115" i="105"/>
  <c r="BI115" i="105"/>
  <c r="CF115" i="105"/>
  <c r="CF116" i="123"/>
  <c r="AZ115" i="105"/>
  <c r="BJ115" i="105"/>
  <c r="CG115" i="105"/>
  <c r="CG116" i="123"/>
  <c r="BA115" i="105"/>
  <c r="BK115" i="105"/>
  <c r="CH115" i="105"/>
  <c r="CH116" i="123"/>
  <c r="BB115" i="105"/>
  <c r="BL115" i="105"/>
  <c r="CI115" i="105"/>
  <c r="CI116" i="123"/>
  <c r="BC115" i="105"/>
  <c r="BM115" i="105"/>
  <c r="CJ115" i="105"/>
  <c r="CJ116" i="123"/>
  <c r="BD115" i="105"/>
  <c r="BN115" i="105"/>
  <c r="CK115" i="105"/>
  <c r="CK116" i="123"/>
  <c r="BE115" i="105"/>
  <c r="BO115" i="105"/>
  <c r="CL115" i="105"/>
  <c r="CL116" i="123"/>
  <c r="BF115" i="105"/>
  <c r="BP115" i="105"/>
  <c r="CM115" i="105"/>
  <c r="CM116" i="123"/>
  <c r="BG115" i="105"/>
  <c r="BQ115" i="105"/>
  <c r="CN115" i="105"/>
  <c r="CN116" i="123"/>
  <c r="CP116" i="123"/>
  <c r="L196" i="123"/>
  <c r="M196" i="123"/>
  <c r="AT116" i="123"/>
  <c r="AT164" i="123"/>
  <c r="F82" i="116"/>
  <c r="F98" i="116"/>
  <c r="F150" i="116"/>
  <c r="O83" i="105"/>
  <c r="BS83" i="105"/>
  <c r="F435" i="112"/>
  <c r="F540" i="112"/>
  <c r="T35" i="70"/>
  <c r="T36" i="70"/>
  <c r="T66" i="70"/>
  <c r="T76" i="70"/>
  <c r="T78" i="70"/>
  <c r="F15" i="111"/>
  <c r="F79" i="111"/>
  <c r="F110" i="111"/>
  <c r="T79" i="70"/>
  <c r="T80" i="70"/>
  <c r="T82" i="70"/>
  <c r="F9" i="116"/>
  <c r="F62" i="116"/>
  <c r="F116" i="116"/>
  <c r="X83" i="70"/>
  <c r="X84" i="70"/>
  <c r="AP84" i="70"/>
  <c r="AP85" i="70"/>
  <c r="AP87" i="70"/>
  <c r="AP90" i="70"/>
  <c r="F9" i="107"/>
  <c r="F63" i="107"/>
  <c r="F107" i="107"/>
  <c r="Y84" i="105"/>
  <c r="BS84" i="105"/>
  <c r="F825" i="40"/>
  <c r="U22" i="70"/>
  <c r="U24" i="70"/>
  <c r="U28" i="70"/>
  <c r="F436" i="112"/>
  <c r="F541" i="112"/>
  <c r="U35" i="70"/>
  <c r="U36" i="70"/>
  <c r="F115" i="156"/>
  <c r="F143" i="156"/>
  <c r="U63" i="70"/>
  <c r="U64" i="70"/>
  <c r="U66" i="70"/>
  <c r="U76" i="70"/>
  <c r="U78" i="70"/>
  <c r="F16" i="111"/>
  <c r="F80" i="111"/>
  <c r="F111" i="111"/>
  <c r="U79" i="70"/>
  <c r="U80" i="70"/>
  <c r="U82" i="70"/>
  <c r="F10" i="116"/>
  <c r="F63" i="116"/>
  <c r="F117" i="116"/>
  <c r="Y83" i="70"/>
  <c r="Y84" i="70"/>
  <c r="AQ84" i="70"/>
  <c r="AQ85" i="70"/>
  <c r="AQ87" i="70"/>
  <c r="AQ90" i="70"/>
  <c r="F10" i="107"/>
  <c r="F64" i="107"/>
  <c r="F114" i="107"/>
  <c r="Y85" i="105"/>
  <c r="BS85" i="105"/>
  <c r="F66" i="116"/>
  <c r="F67" i="116"/>
  <c r="F118" i="116"/>
  <c r="Z83" i="70"/>
  <c r="Z84" i="70"/>
  <c r="AR84" i="70"/>
  <c r="AR85" i="70"/>
  <c r="AR87" i="70"/>
  <c r="AR90" i="70"/>
  <c r="F11" i="107"/>
  <c r="F65" i="107"/>
  <c r="F121" i="107"/>
  <c r="Y86" i="105"/>
  <c r="BS86" i="105"/>
  <c r="BS148" i="105"/>
  <c r="F85" i="111"/>
  <c r="F86" i="111"/>
  <c r="F100" i="111"/>
  <c r="F141" i="111"/>
  <c r="Y58" i="105"/>
  <c r="BS58" i="105"/>
  <c r="F516" i="112"/>
  <c r="F595" i="112"/>
  <c r="O60" i="105"/>
  <c r="BS60" i="105"/>
  <c r="BS149" i="105"/>
  <c r="AT115" i="105"/>
  <c r="AT165" i="105"/>
  <c r="F103" i="111"/>
  <c r="F142" i="111"/>
  <c r="Y14" i="105"/>
  <c r="BS14" i="105"/>
  <c r="M540" i="112"/>
  <c r="T35" i="172"/>
  <c r="T36" i="172"/>
  <c r="T66" i="172"/>
  <c r="T76" i="172"/>
  <c r="T78" i="172"/>
  <c r="M15" i="111"/>
  <c r="M79" i="111"/>
  <c r="M85" i="111"/>
  <c r="M825" i="40"/>
  <c r="U22" i="172"/>
  <c r="U24" i="172"/>
  <c r="U28" i="172"/>
  <c r="M541" i="112"/>
  <c r="U35" i="172"/>
  <c r="U36" i="172"/>
  <c r="M115" i="156"/>
  <c r="M143" i="156"/>
  <c r="U63" i="172"/>
  <c r="U64" i="172"/>
  <c r="U66" i="172"/>
  <c r="U76" i="172"/>
  <c r="U78" i="172"/>
  <c r="M16" i="111"/>
  <c r="M80" i="111"/>
  <c r="M86" i="111"/>
  <c r="M103" i="111"/>
  <c r="M142" i="111"/>
  <c r="AF14" i="105"/>
  <c r="BZ14" i="105"/>
  <c r="L540" i="112"/>
  <c r="T35" i="171"/>
  <c r="T36" i="171"/>
  <c r="T66" i="171"/>
  <c r="T76" i="171"/>
  <c r="T78" i="171"/>
  <c r="L15" i="111"/>
  <c r="L79" i="111"/>
  <c r="L85" i="111"/>
  <c r="L825" i="40"/>
  <c r="U22" i="171"/>
  <c r="U24" i="171"/>
  <c r="U28" i="171"/>
  <c r="L541" i="112"/>
  <c r="U35" i="171"/>
  <c r="U36" i="171"/>
  <c r="L115" i="156"/>
  <c r="L143" i="156"/>
  <c r="U63" i="171"/>
  <c r="U64" i="171"/>
  <c r="U66" i="171"/>
  <c r="U76" i="171"/>
  <c r="U78" i="171"/>
  <c r="L16" i="111"/>
  <c r="L80" i="111"/>
  <c r="L86" i="111"/>
  <c r="L103" i="111"/>
  <c r="L142" i="111"/>
  <c r="AE14" i="105"/>
  <c r="BY14" i="105"/>
  <c r="J435" i="112"/>
  <c r="J540" i="112"/>
  <c r="T35" i="169"/>
  <c r="T36" i="169"/>
  <c r="T66" i="169"/>
  <c r="T76" i="169"/>
  <c r="T78" i="169"/>
  <c r="J15" i="111"/>
  <c r="J79" i="111"/>
  <c r="J85" i="111"/>
  <c r="J825" i="40"/>
  <c r="U22" i="169"/>
  <c r="U24" i="169"/>
  <c r="U28" i="169"/>
  <c r="J436" i="112"/>
  <c r="J541" i="112"/>
  <c r="U35" i="169"/>
  <c r="U36" i="169"/>
  <c r="J115" i="156"/>
  <c r="J143" i="156"/>
  <c r="U63" i="169"/>
  <c r="U64" i="169"/>
  <c r="U66" i="169"/>
  <c r="U76" i="169"/>
  <c r="U78" i="169"/>
  <c r="J16" i="111"/>
  <c r="J80" i="111"/>
  <c r="J86" i="111"/>
  <c r="J103" i="111"/>
  <c r="J142" i="111"/>
  <c r="AC14" i="105"/>
  <c r="BW14" i="105"/>
  <c r="H435" i="112"/>
  <c r="H540" i="112"/>
  <c r="T35" i="167"/>
  <c r="T36" i="167"/>
  <c r="T66" i="167"/>
  <c r="T76" i="167"/>
  <c r="T78" i="167"/>
  <c r="H15" i="111"/>
  <c r="H79" i="111"/>
  <c r="H85" i="111"/>
  <c r="H825" i="40"/>
  <c r="U22" i="167"/>
  <c r="U24" i="167"/>
  <c r="U28" i="167"/>
  <c r="H436" i="112"/>
  <c r="H541" i="112"/>
  <c r="U35" i="167"/>
  <c r="U36" i="167"/>
  <c r="H115" i="156"/>
  <c r="H143" i="156"/>
  <c r="U63" i="167"/>
  <c r="U64" i="167"/>
  <c r="U66" i="167"/>
  <c r="U76" i="167"/>
  <c r="U78" i="167"/>
  <c r="H16" i="111"/>
  <c r="H80" i="111"/>
  <c r="H86" i="111"/>
  <c r="H103" i="111"/>
  <c r="H142" i="111"/>
  <c r="AA14" i="105"/>
  <c r="BU14" i="105"/>
  <c r="G540" i="112"/>
  <c r="T35" i="166"/>
  <c r="T36" i="166"/>
  <c r="T66" i="166"/>
  <c r="T76" i="166"/>
  <c r="T78" i="166"/>
  <c r="G15" i="111"/>
  <c r="G79" i="111"/>
  <c r="G85" i="111"/>
  <c r="G825" i="40"/>
  <c r="U22" i="166"/>
  <c r="U24" i="166"/>
  <c r="U28" i="166"/>
  <c r="G541" i="112"/>
  <c r="U35" i="166"/>
  <c r="U36" i="166"/>
  <c r="G115" i="156"/>
  <c r="G143" i="156"/>
  <c r="U63" i="166"/>
  <c r="U64" i="166"/>
  <c r="U66" i="166"/>
  <c r="U76" i="166"/>
  <c r="U78" i="166"/>
  <c r="G16" i="111"/>
  <c r="G80" i="111"/>
  <c r="G86" i="111"/>
  <c r="G103" i="111"/>
  <c r="G142" i="111"/>
  <c r="Z14" i="105"/>
  <c r="BT14" i="105"/>
  <c r="G82" i="116"/>
  <c r="G104" i="116"/>
  <c r="G151" i="116"/>
  <c r="P39" i="105"/>
  <c r="P39" i="123"/>
  <c r="P136" i="123"/>
  <c r="G389" i="39"/>
  <c r="G501" i="39"/>
  <c r="P26" i="105"/>
  <c r="P26" i="123"/>
  <c r="P141" i="123"/>
  <c r="M82" i="116"/>
  <c r="M92" i="116"/>
  <c r="M149" i="116"/>
  <c r="V128" i="105"/>
  <c r="V129" i="123"/>
  <c r="V160" i="123"/>
  <c r="V116" i="123"/>
  <c r="V164" i="123"/>
  <c r="H82" i="116"/>
  <c r="H104" i="116"/>
  <c r="H151" i="116"/>
  <c r="Q39" i="105"/>
  <c r="Q39" i="123"/>
  <c r="Q136" i="123"/>
  <c r="H389" i="39"/>
  <c r="H501" i="39"/>
  <c r="Q26" i="105"/>
  <c r="Q26" i="123"/>
  <c r="Q141" i="123"/>
  <c r="Q136" i="105"/>
  <c r="Q141" i="105"/>
  <c r="P136" i="105"/>
  <c r="P141" i="105"/>
  <c r="V160" i="105"/>
  <c r="V165" i="105"/>
  <c r="H92" i="116"/>
  <c r="H149" i="116"/>
  <c r="Q128" i="105"/>
  <c r="Q160" i="105"/>
  <c r="Q165" i="105"/>
  <c r="J82" i="116"/>
  <c r="J104" i="116"/>
  <c r="J151" i="116"/>
  <c r="S39" i="105"/>
  <c r="S136" i="105"/>
  <c r="J389" i="39"/>
  <c r="J501" i="39"/>
  <c r="S26" i="105"/>
  <c r="S141" i="105"/>
  <c r="G92" i="116"/>
  <c r="G149" i="116"/>
  <c r="P128" i="105"/>
  <c r="P160" i="105"/>
  <c r="P165" i="105"/>
  <c r="P129" i="123"/>
  <c r="P160" i="123"/>
  <c r="P116" i="123"/>
  <c r="P164" i="123"/>
  <c r="Q129" i="123"/>
  <c r="Q160" i="123"/>
  <c r="Q116" i="123"/>
  <c r="Q164" i="123"/>
  <c r="J92" i="116"/>
  <c r="J149" i="116"/>
  <c r="S128" i="105"/>
  <c r="S129" i="123"/>
  <c r="S160" i="123"/>
  <c r="S116" i="123"/>
  <c r="S164" i="123"/>
  <c r="S160" i="105"/>
  <c r="S165" i="105"/>
  <c r="S39" i="123"/>
  <c r="S136" i="123"/>
  <c r="S26" i="123"/>
  <c r="S141" i="123"/>
  <c r="I82" i="116"/>
  <c r="J83" i="116"/>
  <c r="J84" i="116"/>
  <c r="J85" i="116"/>
  <c r="J103" i="116"/>
  <c r="J148" i="116"/>
  <c r="I39" i="105"/>
  <c r="I39" i="123"/>
  <c r="I136" i="123"/>
  <c r="J386" i="39"/>
  <c r="J500" i="39"/>
  <c r="I26" i="105"/>
  <c r="I26" i="123"/>
  <c r="I141" i="123"/>
  <c r="L82" i="116"/>
  <c r="L104" i="116"/>
  <c r="L151" i="116"/>
  <c r="U39" i="105"/>
  <c r="U136" i="105"/>
  <c r="L389" i="39"/>
  <c r="L501" i="39"/>
  <c r="U26" i="105"/>
  <c r="U141" i="105"/>
  <c r="U39" i="123"/>
  <c r="U136" i="123"/>
  <c r="U26" i="123"/>
  <c r="U141" i="123"/>
  <c r="L92" i="116"/>
  <c r="L149" i="116"/>
  <c r="U128" i="105"/>
  <c r="U160" i="105"/>
  <c r="U165" i="105"/>
  <c r="U129" i="123"/>
  <c r="U160" i="123"/>
  <c r="U116" i="123"/>
  <c r="U164" i="123"/>
  <c r="M83" i="116"/>
  <c r="M84" i="116"/>
  <c r="M85" i="116"/>
  <c r="M103" i="116"/>
  <c r="M148" i="116"/>
  <c r="L39" i="105"/>
  <c r="L136" i="105"/>
  <c r="M386" i="39"/>
  <c r="M500" i="39"/>
  <c r="L26" i="105"/>
  <c r="L141" i="105"/>
  <c r="L39" i="123"/>
  <c r="L136" i="123"/>
  <c r="L26" i="123"/>
  <c r="L141" i="123"/>
  <c r="M104" i="116"/>
  <c r="M151" i="116"/>
  <c r="V39" i="105"/>
  <c r="V136" i="105"/>
  <c r="M389" i="39"/>
  <c r="M501" i="39"/>
  <c r="V26" i="105"/>
  <c r="V141" i="105"/>
  <c r="V39" i="123"/>
  <c r="V136" i="123"/>
  <c r="V26" i="123"/>
  <c r="V141" i="123"/>
  <c r="G83" i="116"/>
  <c r="G84" i="116"/>
  <c r="G85" i="116"/>
  <c r="G103" i="116"/>
  <c r="G148" i="116"/>
  <c r="F39" i="105"/>
  <c r="F39" i="123"/>
  <c r="F136" i="123"/>
  <c r="G386" i="39"/>
  <c r="G500" i="39"/>
  <c r="F26" i="105"/>
  <c r="F26" i="123"/>
  <c r="F141" i="123"/>
  <c r="F136" i="105"/>
  <c r="F141" i="105"/>
  <c r="BC39" i="105"/>
  <c r="BC39" i="123"/>
  <c r="BC136" i="123"/>
  <c r="BC26" i="105"/>
  <c r="BC26" i="123"/>
  <c r="BC141" i="123"/>
  <c r="K82" i="116"/>
  <c r="L83" i="116"/>
  <c r="L84" i="116"/>
  <c r="L85" i="116"/>
  <c r="L103" i="116"/>
  <c r="L148" i="116"/>
  <c r="K39" i="105"/>
  <c r="BE39" i="105"/>
  <c r="BE39" i="123"/>
  <c r="BE136" i="123"/>
  <c r="L386" i="39"/>
  <c r="L500" i="39"/>
  <c r="K26" i="105"/>
  <c r="BE26" i="105"/>
  <c r="BE26" i="123"/>
  <c r="BE141" i="123"/>
  <c r="I136" i="105"/>
  <c r="I141" i="105"/>
  <c r="K39" i="123"/>
  <c r="K136" i="123"/>
  <c r="K26" i="123"/>
  <c r="K141" i="123"/>
  <c r="K136" i="105"/>
  <c r="K141" i="105"/>
  <c r="BE136" i="105"/>
  <c r="BE141" i="105"/>
  <c r="H83" i="116"/>
  <c r="H84" i="116"/>
  <c r="H85" i="116"/>
  <c r="H103" i="116"/>
  <c r="H148" i="116"/>
  <c r="G39" i="105"/>
  <c r="G136" i="105"/>
  <c r="H386" i="39"/>
  <c r="H500" i="39"/>
  <c r="G26" i="105"/>
  <c r="G141" i="105"/>
  <c r="G39" i="123"/>
  <c r="G136" i="123"/>
  <c r="G26" i="123"/>
  <c r="G141" i="123"/>
  <c r="BF39" i="105"/>
  <c r="BF136" i="105"/>
  <c r="BF26" i="105"/>
  <c r="BF141" i="105"/>
  <c r="BF39" i="123"/>
  <c r="BF136" i="123"/>
  <c r="BF26" i="123"/>
  <c r="BF141" i="123"/>
  <c r="AZ39" i="105"/>
  <c r="AZ39" i="123"/>
  <c r="AZ136" i="123"/>
  <c r="AZ26" i="105"/>
  <c r="AZ26" i="123"/>
  <c r="AZ141" i="123"/>
  <c r="AZ136" i="105"/>
  <c r="AZ141" i="105"/>
  <c r="BC136" i="105"/>
  <c r="BC141" i="105"/>
  <c r="K83" i="116"/>
  <c r="K84" i="116"/>
  <c r="K85" i="116"/>
  <c r="K103" i="116"/>
  <c r="K148" i="116"/>
  <c r="J39" i="105"/>
  <c r="BD39" i="105"/>
  <c r="BO39" i="105"/>
  <c r="BO136" i="105"/>
  <c r="BO26" i="105"/>
  <c r="BO141" i="105"/>
  <c r="BP39" i="105"/>
  <c r="BP39" i="123"/>
  <c r="BP136" i="123"/>
  <c r="BP26" i="105"/>
  <c r="BP26" i="123"/>
  <c r="BP141" i="123"/>
  <c r="BA39" i="105"/>
  <c r="I83" i="116"/>
  <c r="I84" i="116"/>
  <c r="I85" i="116"/>
  <c r="I103" i="116"/>
  <c r="I148" i="116"/>
  <c r="H39" i="105"/>
  <c r="BB39" i="105"/>
  <c r="BM39" i="105"/>
  <c r="CJ39" i="105"/>
  <c r="CJ136" i="105"/>
  <c r="BM26" i="105"/>
  <c r="CJ26" i="105"/>
  <c r="CJ141" i="105"/>
  <c r="BA136" i="105"/>
  <c r="BA26" i="105"/>
  <c r="BA141" i="105"/>
  <c r="BA39" i="123"/>
  <c r="BA136" i="123"/>
  <c r="BA26" i="123"/>
  <c r="BA141" i="123"/>
  <c r="CJ39" i="123"/>
  <c r="CJ136" i="123"/>
  <c r="CJ26" i="123"/>
  <c r="CJ141" i="123"/>
  <c r="BJ39" i="105"/>
  <c r="BJ136" i="105"/>
  <c r="BJ26" i="105"/>
  <c r="BJ141" i="105"/>
  <c r="BJ39" i="123"/>
  <c r="BJ136" i="123"/>
  <c r="BJ26" i="123"/>
  <c r="BJ141" i="123"/>
  <c r="BK39" i="105"/>
  <c r="BK136" i="105"/>
  <c r="BK26" i="105"/>
  <c r="BK141" i="105"/>
  <c r="BK39" i="123"/>
  <c r="BK136" i="123"/>
  <c r="BK26" i="123"/>
  <c r="BK141" i="123"/>
  <c r="BO39" i="123"/>
  <c r="BO136" i="123"/>
  <c r="BO26" i="123"/>
  <c r="BO141" i="123"/>
  <c r="BM39" i="123"/>
  <c r="BM136" i="123"/>
  <c r="BM26" i="123"/>
  <c r="BM141" i="123"/>
  <c r="BP136" i="105"/>
  <c r="BP141" i="105"/>
  <c r="BM136" i="105"/>
  <c r="BM141" i="105"/>
  <c r="CH39" i="105"/>
  <c r="CH136" i="105"/>
  <c r="CH26" i="105"/>
  <c r="CH141" i="105"/>
  <c r="CG39" i="105"/>
  <c r="CG39" i="123"/>
  <c r="CG136" i="123"/>
  <c r="CG26" i="105"/>
  <c r="CG26" i="123"/>
  <c r="CG141" i="123"/>
  <c r="CH39" i="123"/>
  <c r="CH136" i="123"/>
  <c r="CH26" i="123"/>
  <c r="CH141" i="123"/>
  <c r="CG136" i="105"/>
  <c r="CG141" i="105"/>
  <c r="BL39" i="105"/>
  <c r="CI39" i="105"/>
  <c r="BN39" i="105"/>
  <c r="CK39" i="105"/>
  <c r="CL39" i="105"/>
  <c r="CM39" i="105"/>
  <c r="N83" i="116"/>
  <c r="N82" i="116"/>
  <c r="N84" i="116"/>
  <c r="N85" i="116"/>
  <c r="N103" i="116"/>
  <c r="N148" i="116"/>
  <c r="M39" i="105"/>
  <c r="BG39" i="105"/>
  <c r="BQ39" i="105"/>
  <c r="CN39" i="105"/>
  <c r="CP39" i="105"/>
  <c r="CP136" i="105"/>
  <c r="F386" i="39"/>
  <c r="F500" i="39"/>
  <c r="E26" i="105"/>
  <c r="AY26" i="105"/>
  <c r="BI26" i="105"/>
  <c r="CF26" i="105"/>
  <c r="I386" i="39"/>
  <c r="I500" i="39"/>
  <c r="H26" i="105"/>
  <c r="BB26" i="105"/>
  <c r="BL26" i="105"/>
  <c r="CI26" i="105"/>
  <c r="K386" i="39"/>
  <c r="K500" i="39"/>
  <c r="J26" i="105"/>
  <c r="BD26" i="105"/>
  <c r="BN26" i="105"/>
  <c r="CK26" i="105"/>
  <c r="CL26" i="105"/>
  <c r="CM26" i="105"/>
  <c r="N386" i="39"/>
  <c r="N500" i="39"/>
  <c r="M26" i="105"/>
  <c r="BG26" i="105"/>
  <c r="BQ26" i="105"/>
  <c r="CN26" i="105"/>
  <c r="CP26" i="105"/>
  <c r="CP141" i="105"/>
  <c r="CM39" i="123"/>
  <c r="CM136" i="123"/>
  <c r="CM26" i="123"/>
  <c r="CM141" i="123"/>
  <c r="CL39" i="123"/>
  <c r="CL136" i="123"/>
  <c r="CL26" i="123"/>
  <c r="CL141" i="123"/>
  <c r="CL136" i="105"/>
  <c r="CL141" i="105"/>
  <c r="CM136" i="105"/>
  <c r="CM141" i="105"/>
  <c r="CI39" i="123"/>
  <c r="CK39" i="123"/>
  <c r="CN39" i="123"/>
  <c r="CP39" i="123"/>
  <c r="CP136" i="123"/>
  <c r="CF26" i="123"/>
  <c r="CI26" i="123"/>
  <c r="CK26" i="123"/>
  <c r="CN26" i="123"/>
  <c r="CP26" i="123"/>
  <c r="CP141" i="123"/>
  <c r="M91" i="116"/>
  <c r="M146" i="116"/>
  <c r="L128" i="105"/>
  <c r="L129" i="123"/>
  <c r="L160" i="123"/>
  <c r="L116" i="123"/>
  <c r="L164" i="123"/>
  <c r="L160" i="105"/>
  <c r="L165" i="105"/>
  <c r="G91" i="116"/>
  <c r="G146" i="116"/>
  <c r="F128" i="105"/>
  <c r="F129" i="123"/>
  <c r="F160" i="123"/>
  <c r="F116" i="123"/>
  <c r="F164" i="123"/>
  <c r="F160" i="105"/>
  <c r="F165" i="105"/>
  <c r="H91" i="116"/>
  <c r="H146" i="116"/>
  <c r="G128" i="105"/>
  <c r="G129" i="123"/>
  <c r="G160" i="123"/>
  <c r="G116" i="123"/>
  <c r="G164" i="123"/>
  <c r="G160" i="105"/>
  <c r="G165" i="105"/>
  <c r="L91" i="116"/>
  <c r="L146" i="116"/>
  <c r="K128" i="105"/>
  <c r="K129" i="123"/>
  <c r="K160" i="123"/>
  <c r="K116" i="123"/>
  <c r="K164" i="123"/>
  <c r="J91" i="116"/>
  <c r="J146" i="116"/>
  <c r="I128" i="105"/>
  <c r="I160" i="105"/>
  <c r="I165" i="105"/>
  <c r="BC128" i="105"/>
  <c r="BC129" i="123"/>
  <c r="BC160" i="123"/>
  <c r="BC116" i="123"/>
  <c r="BC164" i="123"/>
  <c r="I129" i="123"/>
  <c r="I160" i="123"/>
  <c r="I116" i="123"/>
  <c r="I164" i="123"/>
  <c r="K160" i="105"/>
  <c r="K165" i="105"/>
  <c r="AZ128" i="105"/>
  <c r="AZ129" i="123"/>
  <c r="AZ160" i="123"/>
  <c r="AZ116" i="123"/>
  <c r="AZ164" i="123"/>
  <c r="BA128" i="105"/>
  <c r="BA129" i="123"/>
  <c r="BA160" i="123"/>
  <c r="BA116" i="123"/>
  <c r="BA164" i="123"/>
  <c r="BA160" i="105"/>
  <c r="BA165" i="105"/>
  <c r="AZ160" i="105"/>
  <c r="AZ165" i="105"/>
  <c r="BF128" i="105"/>
  <c r="BF129" i="123"/>
  <c r="BF160" i="123"/>
  <c r="BF116" i="123"/>
  <c r="BF164" i="123"/>
  <c r="BF160" i="105"/>
  <c r="BF165" i="105"/>
  <c r="K91" i="116"/>
  <c r="K146" i="116"/>
  <c r="J128" i="105"/>
  <c r="BD128" i="105"/>
  <c r="BE128" i="105"/>
  <c r="BP128" i="105"/>
  <c r="BP160" i="105"/>
  <c r="BP165" i="105"/>
  <c r="BC160" i="105"/>
  <c r="BC165" i="105"/>
  <c r="BE129" i="123"/>
  <c r="BE160" i="123"/>
  <c r="BE116" i="123"/>
  <c r="BE164" i="123"/>
  <c r="I91" i="116"/>
  <c r="I146" i="116"/>
  <c r="H128" i="105"/>
  <c r="BB128" i="105"/>
  <c r="BL128" i="105"/>
  <c r="BL129" i="123"/>
  <c r="BL160" i="123"/>
  <c r="BL116" i="123"/>
  <c r="BL164" i="123"/>
  <c r="BE160" i="105"/>
  <c r="BE165" i="105"/>
  <c r="BM128" i="105"/>
  <c r="BM160" i="105"/>
  <c r="BM165" i="105"/>
  <c r="BK128" i="105"/>
  <c r="BK160" i="105"/>
  <c r="BK165" i="105"/>
  <c r="BL160" i="105"/>
  <c r="BL165" i="105"/>
  <c r="BN128" i="105"/>
  <c r="BN129" i="123"/>
  <c r="BN160" i="123"/>
  <c r="BN116" i="123"/>
  <c r="BN164" i="123"/>
  <c r="N91" i="116"/>
  <c r="N146" i="116"/>
  <c r="M128" i="105"/>
  <c r="BG128" i="105"/>
  <c r="BQ128" i="105"/>
  <c r="BQ129" i="123"/>
  <c r="BQ160" i="123"/>
  <c r="BQ116" i="123"/>
  <c r="BQ164" i="123"/>
  <c r="BQ160" i="105"/>
  <c r="BQ165" i="105"/>
  <c r="CI128" i="105"/>
  <c r="CI129" i="123"/>
  <c r="CI160" i="123"/>
  <c r="CI164" i="123"/>
  <c r="BJ128" i="105"/>
  <c r="BJ160" i="105"/>
  <c r="BJ165" i="105"/>
  <c r="CN128" i="105"/>
  <c r="CN160" i="105"/>
  <c r="CN165" i="105"/>
  <c r="CI160" i="105"/>
  <c r="CI165" i="105"/>
  <c r="CN129" i="123"/>
  <c r="CN160" i="123"/>
  <c r="CN164" i="123"/>
  <c r="BP129" i="123"/>
  <c r="BP160" i="123"/>
  <c r="BP116" i="123"/>
  <c r="BP164" i="123"/>
  <c r="BJ129" i="123"/>
  <c r="BJ160" i="123"/>
  <c r="BJ116" i="123"/>
  <c r="BJ164" i="123"/>
  <c r="BK129" i="123"/>
  <c r="BK160" i="123"/>
  <c r="BK116" i="123"/>
  <c r="BK164" i="123"/>
  <c r="BM129" i="123"/>
  <c r="BM160" i="123"/>
  <c r="BM116" i="123"/>
  <c r="BM164" i="123"/>
  <c r="BO128" i="105"/>
  <c r="BO160" i="105"/>
  <c r="BO165" i="105"/>
  <c r="BN160" i="105"/>
  <c r="BN165" i="105"/>
  <c r="BO129" i="123"/>
  <c r="BO160" i="123"/>
  <c r="BO116" i="123"/>
  <c r="BO164" i="123"/>
  <c r="CM128" i="105"/>
  <c r="CM160" i="105"/>
  <c r="CM165" i="105"/>
  <c r="CK128" i="105"/>
  <c r="CK129" i="123"/>
  <c r="CK160" i="123"/>
  <c r="CK164" i="123"/>
  <c r="CH128" i="105"/>
  <c r="CH129" i="123"/>
  <c r="CH160" i="123"/>
  <c r="CH164" i="123"/>
  <c r="CJ128" i="105"/>
  <c r="CJ129" i="123"/>
  <c r="CJ160" i="123"/>
  <c r="CJ164" i="123"/>
  <c r="CM129" i="123"/>
  <c r="CM160" i="123"/>
  <c r="CM164" i="123"/>
  <c r="CG128" i="105"/>
  <c r="CG160" i="105"/>
  <c r="CG165" i="105"/>
  <c r="CH160" i="105"/>
  <c r="CH165" i="105"/>
  <c r="CJ160" i="105"/>
  <c r="CJ165" i="105"/>
  <c r="CK160" i="105"/>
  <c r="CK165" i="105"/>
  <c r="CL128" i="105"/>
  <c r="CP128" i="105"/>
  <c r="CP160" i="105"/>
  <c r="CP115" i="105"/>
  <c r="CP165" i="105"/>
  <c r="CL129" i="123"/>
  <c r="CL160" i="123"/>
  <c r="CL164" i="123"/>
  <c r="CL160" i="105"/>
  <c r="CL165" i="105"/>
  <c r="CG129" i="123"/>
  <c r="CG160" i="123"/>
  <c r="CG164" i="123"/>
  <c r="CP129" i="123"/>
  <c r="CP160" i="123"/>
  <c r="CP164" i="123"/>
  <c r="N92" i="116"/>
  <c r="N149" i="116"/>
  <c r="W128" i="105"/>
  <c r="CA128" i="105"/>
  <c r="N435" i="112"/>
  <c r="N540" i="112"/>
  <c r="T35" i="173"/>
  <c r="T36" i="173"/>
  <c r="T66" i="173"/>
  <c r="T76" i="173"/>
  <c r="T78" i="173"/>
  <c r="N15" i="111"/>
  <c r="N79" i="111"/>
  <c r="N110" i="111"/>
  <c r="T79" i="173"/>
  <c r="T80" i="173"/>
  <c r="T82" i="173"/>
  <c r="N9" i="116"/>
  <c r="N62" i="116"/>
  <c r="N116" i="116"/>
  <c r="X83" i="173"/>
  <c r="X84" i="173"/>
  <c r="AP84" i="173"/>
  <c r="AP85" i="173"/>
  <c r="AP87" i="173"/>
  <c r="AP90" i="173"/>
  <c r="N9" i="107"/>
  <c r="N57" i="107"/>
  <c r="N106" i="107"/>
  <c r="AG129" i="105"/>
  <c r="CA129" i="105"/>
  <c r="N825" i="40"/>
  <c r="U22" i="173"/>
  <c r="U24" i="173"/>
  <c r="U28" i="173"/>
  <c r="N436" i="112"/>
  <c r="N541" i="112"/>
  <c r="U35" i="173"/>
  <c r="U36" i="173"/>
  <c r="N115" i="156"/>
  <c r="N143" i="156"/>
  <c r="U63" i="173"/>
  <c r="U64" i="173"/>
  <c r="U66" i="173"/>
  <c r="U76" i="173"/>
  <c r="U78" i="173"/>
  <c r="N16" i="111"/>
  <c r="N80" i="111"/>
  <c r="N111" i="111"/>
  <c r="U79" i="173"/>
  <c r="U80" i="173"/>
  <c r="U82" i="173"/>
  <c r="N10" i="116"/>
  <c r="N63" i="116"/>
  <c r="N117" i="116"/>
  <c r="Y83" i="173"/>
  <c r="Y84" i="173"/>
  <c r="AQ84" i="173"/>
  <c r="AQ85" i="173"/>
  <c r="AQ87" i="173"/>
  <c r="AQ90" i="173"/>
  <c r="N10" i="107"/>
  <c r="N58" i="107"/>
  <c r="N113" i="107"/>
  <c r="AG130" i="105"/>
  <c r="CA130" i="105"/>
  <c r="N66" i="116"/>
  <c r="N67" i="116"/>
  <c r="N118" i="116"/>
  <c r="Z83" i="173"/>
  <c r="Z84" i="173"/>
  <c r="AR84" i="173"/>
  <c r="AR85" i="173"/>
  <c r="AR87" i="173"/>
  <c r="AR90" i="173"/>
  <c r="N11" i="107"/>
  <c r="N59" i="107"/>
  <c r="N120" i="107"/>
  <c r="AG131" i="105"/>
  <c r="CA131" i="105"/>
  <c r="CA160" i="105"/>
  <c r="N85" i="111"/>
  <c r="N86" i="111"/>
  <c r="N97" i="111"/>
  <c r="N140" i="111"/>
  <c r="AG103" i="105"/>
  <c r="CA103" i="105"/>
  <c r="CA161" i="105"/>
  <c r="CA115" i="105"/>
  <c r="CA165" i="105"/>
  <c r="CA129" i="123"/>
  <c r="CA130" i="123"/>
  <c r="CA131" i="123"/>
  <c r="CA160" i="123"/>
  <c r="CA104" i="123"/>
  <c r="CA161" i="123"/>
  <c r="CA116" i="123"/>
  <c r="CA164" i="123"/>
  <c r="BT39" i="105"/>
  <c r="G110" i="111"/>
  <c r="T79" i="166"/>
  <c r="T80" i="166"/>
  <c r="T82" i="166"/>
  <c r="G9" i="116"/>
  <c r="G62" i="116"/>
  <c r="G116" i="116"/>
  <c r="X83" i="166"/>
  <c r="X84" i="166"/>
  <c r="AP84" i="166"/>
  <c r="AP85" i="166"/>
  <c r="AP87" i="166"/>
  <c r="AP90" i="166"/>
  <c r="G9" i="107"/>
  <c r="G69" i="107"/>
  <c r="G108" i="107"/>
  <c r="Z40" i="105"/>
  <c r="BT40" i="105"/>
  <c r="G111" i="111"/>
  <c r="U79" i="166"/>
  <c r="U80" i="166"/>
  <c r="U82" i="166"/>
  <c r="G10" i="116"/>
  <c r="G63" i="116"/>
  <c r="G117" i="116"/>
  <c r="Y83" i="166"/>
  <c r="Y84" i="166"/>
  <c r="AQ84" i="166"/>
  <c r="AQ85" i="166"/>
  <c r="AQ87" i="166"/>
  <c r="AQ90" i="166"/>
  <c r="G10" i="107"/>
  <c r="G70" i="107"/>
  <c r="G115" i="107"/>
  <c r="Z41" i="105"/>
  <c r="BT41" i="105"/>
  <c r="G66" i="116"/>
  <c r="G67" i="116"/>
  <c r="G118" i="116"/>
  <c r="Z83" i="166"/>
  <c r="Z84" i="166"/>
  <c r="AR84" i="166"/>
  <c r="AR85" i="166"/>
  <c r="AR87" i="166"/>
  <c r="AR90" i="166"/>
  <c r="G11" i="107"/>
  <c r="G71" i="107"/>
  <c r="G122" i="107"/>
  <c r="Z42" i="105"/>
  <c r="BT42" i="105"/>
  <c r="BT136" i="105"/>
  <c r="BT137" i="105"/>
  <c r="BT26" i="105"/>
  <c r="BT141" i="105"/>
  <c r="AJ39" i="105"/>
  <c r="AJ40" i="105"/>
  <c r="AJ41" i="105"/>
  <c r="AJ42" i="105"/>
  <c r="AJ136" i="105"/>
  <c r="AJ14" i="105"/>
  <c r="AJ137" i="105"/>
  <c r="AJ26" i="105"/>
  <c r="AJ141" i="105"/>
  <c r="BT39" i="123"/>
  <c r="BT40" i="123"/>
  <c r="BT41" i="123"/>
  <c r="BT42" i="123"/>
  <c r="BT136" i="123"/>
  <c r="BT14" i="123"/>
  <c r="BT137" i="123"/>
  <c r="BT26" i="123"/>
  <c r="BT141" i="123"/>
  <c r="AJ39" i="123"/>
  <c r="AJ40" i="123"/>
  <c r="AJ41" i="123"/>
  <c r="AJ42" i="123"/>
  <c r="AJ136" i="123"/>
  <c r="AJ14" i="123"/>
  <c r="AJ137" i="123"/>
  <c r="AJ26" i="123"/>
  <c r="AJ141" i="123"/>
  <c r="F92" i="116"/>
  <c r="F149" i="116"/>
  <c r="O128" i="105"/>
  <c r="AI128" i="105"/>
  <c r="AI129" i="123"/>
  <c r="AJ128" i="105"/>
  <c r="AJ129" i="123"/>
  <c r="AK128" i="105"/>
  <c r="AK129" i="123"/>
  <c r="I92" i="116"/>
  <c r="I149" i="116"/>
  <c r="R128" i="105"/>
  <c r="AL128" i="105"/>
  <c r="AL129" i="123"/>
  <c r="AM128" i="105"/>
  <c r="AM129" i="123"/>
  <c r="K92" i="116"/>
  <c r="K149" i="116"/>
  <c r="T128" i="105"/>
  <c r="AN128" i="105"/>
  <c r="AN129" i="123"/>
  <c r="AO128" i="105"/>
  <c r="AO129" i="123"/>
  <c r="AP128" i="105"/>
  <c r="AP129" i="123"/>
  <c r="AQ128" i="105"/>
  <c r="AQ129" i="123"/>
  <c r="AS129" i="123"/>
  <c r="F57" i="107"/>
  <c r="F106" i="107"/>
  <c r="Y129" i="105"/>
  <c r="AI129" i="105"/>
  <c r="AI130" i="123"/>
  <c r="G57" i="107"/>
  <c r="G106" i="107"/>
  <c r="Z129" i="105"/>
  <c r="AJ129" i="105"/>
  <c r="AJ130" i="123"/>
  <c r="H110" i="111"/>
  <c r="T79" i="167"/>
  <c r="T80" i="167"/>
  <c r="T82" i="167"/>
  <c r="H9" i="116"/>
  <c r="H62" i="116"/>
  <c r="H116" i="116"/>
  <c r="X83" i="167"/>
  <c r="X84" i="167"/>
  <c r="AP84" i="167"/>
  <c r="AP85" i="167"/>
  <c r="AP87" i="167"/>
  <c r="AP90" i="167"/>
  <c r="H9" i="107"/>
  <c r="H57" i="107"/>
  <c r="H106" i="107"/>
  <c r="AA129" i="105"/>
  <c r="AK129" i="105"/>
  <c r="AK130" i="123"/>
  <c r="I540" i="112"/>
  <c r="T35" i="168"/>
  <c r="T36" i="168"/>
  <c r="T66" i="168"/>
  <c r="T76" i="168"/>
  <c r="T78" i="168"/>
  <c r="I15" i="111"/>
  <c r="I79" i="111"/>
  <c r="I110" i="111"/>
  <c r="T79" i="168"/>
  <c r="T80" i="168"/>
  <c r="T82" i="168"/>
  <c r="I9" i="116"/>
  <c r="I62" i="116"/>
  <c r="I116" i="116"/>
  <c r="X83" i="168"/>
  <c r="X84" i="168"/>
  <c r="AP84" i="168"/>
  <c r="AP85" i="168"/>
  <c r="AP87" i="168"/>
  <c r="AP90" i="168"/>
  <c r="I9" i="107"/>
  <c r="I57" i="107"/>
  <c r="I106" i="107"/>
  <c r="AB129" i="105"/>
  <c r="AL129" i="105"/>
  <c r="AL130" i="123"/>
  <c r="J110" i="111"/>
  <c r="T79" i="169"/>
  <c r="T80" i="169"/>
  <c r="T82" i="169"/>
  <c r="J9" i="116"/>
  <c r="J62" i="116"/>
  <c r="J116" i="116"/>
  <c r="X83" i="169"/>
  <c r="X84" i="169"/>
  <c r="AP84" i="169"/>
  <c r="AP85" i="169"/>
  <c r="AP87" i="169"/>
  <c r="AP90" i="169"/>
  <c r="J9" i="107"/>
  <c r="J57" i="107"/>
  <c r="J106" i="107"/>
  <c r="AC129" i="105"/>
  <c r="AM129" i="105"/>
  <c r="AM130" i="123"/>
  <c r="K540" i="112"/>
  <c r="T35" i="170"/>
  <c r="T36" i="170"/>
  <c r="T66" i="170"/>
  <c r="T76" i="170"/>
  <c r="T78" i="170"/>
  <c r="K15" i="111"/>
  <c r="K79" i="111"/>
  <c r="K110" i="111"/>
  <c r="T79" i="170"/>
  <c r="T80" i="170"/>
  <c r="T82" i="170"/>
  <c r="K9" i="116"/>
  <c r="K62" i="116"/>
  <c r="K116" i="116"/>
  <c r="X83" i="170"/>
  <c r="X84" i="170"/>
  <c r="AP84" i="170"/>
  <c r="AP85" i="170"/>
  <c r="AP87" i="170"/>
  <c r="AP90" i="170"/>
  <c r="K9" i="107"/>
  <c r="K57" i="107"/>
  <c r="K106" i="107"/>
  <c r="AD129" i="105"/>
  <c r="AN129" i="105"/>
  <c r="AN130" i="123"/>
  <c r="L110" i="111"/>
  <c r="T79" i="171"/>
  <c r="T80" i="171"/>
  <c r="T82" i="171"/>
  <c r="L9" i="116"/>
  <c r="L62" i="116"/>
  <c r="L116" i="116"/>
  <c r="X83" i="171"/>
  <c r="X84" i="171"/>
  <c r="AP84" i="171"/>
  <c r="AP85" i="171"/>
  <c r="AP87" i="171"/>
  <c r="AP90" i="171"/>
  <c r="L9" i="107"/>
  <c r="L57" i="107"/>
  <c r="L106" i="107"/>
  <c r="AE129" i="105"/>
  <c r="AO129" i="105"/>
  <c r="AO130" i="123"/>
  <c r="M110" i="111"/>
  <c r="T79" i="172"/>
  <c r="T80" i="172"/>
  <c r="T82" i="172"/>
  <c r="M9" i="116"/>
  <c r="M62" i="116"/>
  <c r="M116" i="116"/>
  <c r="X83" i="172"/>
  <c r="X84" i="172"/>
  <c r="AP84" i="172"/>
  <c r="AP85" i="172"/>
  <c r="AP87" i="172"/>
  <c r="AP90" i="172"/>
  <c r="M9" i="107"/>
  <c r="M57" i="107"/>
  <c r="M106" i="107"/>
  <c r="AF129" i="105"/>
  <c r="AP129" i="105"/>
  <c r="AP130" i="123"/>
  <c r="AQ129" i="105"/>
  <c r="AQ130" i="123"/>
  <c r="AS130" i="123"/>
  <c r="F58" i="107"/>
  <c r="F113" i="107"/>
  <c r="Y130" i="105"/>
  <c r="AI130" i="105"/>
  <c r="AI131" i="123"/>
  <c r="G58" i="107"/>
  <c r="G113" i="107"/>
  <c r="Z130" i="105"/>
  <c r="AJ130" i="105"/>
  <c r="AJ131" i="123"/>
  <c r="H111" i="111"/>
  <c r="U79" i="167"/>
  <c r="U80" i="167"/>
  <c r="U82" i="167"/>
  <c r="H10" i="116"/>
  <c r="H63" i="116"/>
  <c r="H117" i="116"/>
  <c r="Y83" i="167"/>
  <c r="Y84" i="167"/>
  <c r="AQ84" i="167"/>
  <c r="AQ85" i="167"/>
  <c r="AQ87" i="167"/>
  <c r="AQ90" i="167"/>
  <c r="H10" i="107"/>
  <c r="H58" i="107"/>
  <c r="H113" i="107"/>
  <c r="AA130" i="105"/>
  <c r="AK130" i="105"/>
  <c r="AK131" i="123"/>
  <c r="I825" i="40"/>
  <c r="U22" i="168"/>
  <c r="U24" i="168"/>
  <c r="U28" i="168"/>
  <c r="I541" i="112"/>
  <c r="U35" i="168"/>
  <c r="U36" i="168"/>
  <c r="I115" i="156"/>
  <c r="I143" i="156"/>
  <c r="U63" i="168"/>
  <c r="U64" i="168"/>
  <c r="U66" i="168"/>
  <c r="U76" i="168"/>
  <c r="U78" i="168"/>
  <c r="I16" i="111"/>
  <c r="I80" i="111"/>
  <c r="I111" i="111"/>
  <c r="U79" i="168"/>
  <c r="U80" i="168"/>
  <c r="U82" i="168"/>
  <c r="I10" i="116"/>
  <c r="I63" i="116"/>
  <c r="I117" i="116"/>
  <c r="Y83" i="168"/>
  <c r="Y84" i="168"/>
  <c r="AQ84" i="168"/>
  <c r="AQ85" i="168"/>
  <c r="AQ87" i="168"/>
  <c r="AQ90" i="168"/>
  <c r="I10" i="107"/>
  <c r="I58" i="107"/>
  <c r="I113" i="107"/>
  <c r="AB130" i="105"/>
  <c r="AL130" i="105"/>
  <c r="AL131" i="123"/>
  <c r="J111" i="111"/>
  <c r="U79" i="169"/>
  <c r="U80" i="169"/>
  <c r="U82" i="169"/>
  <c r="J10" i="116"/>
  <c r="J63" i="116"/>
  <c r="J117" i="116"/>
  <c r="Y83" i="169"/>
  <c r="Y84" i="169"/>
  <c r="AQ84" i="169"/>
  <c r="AQ85" i="169"/>
  <c r="AQ87" i="169"/>
  <c r="AQ90" i="169"/>
  <c r="J10" i="107"/>
  <c r="J58" i="107"/>
  <c r="J113" i="107"/>
  <c r="AC130" i="105"/>
  <c r="AM130" i="105"/>
  <c r="AM131" i="123"/>
  <c r="K825" i="40"/>
  <c r="U22" i="170"/>
  <c r="U24" i="170"/>
  <c r="U28" i="170"/>
  <c r="K541" i="112"/>
  <c r="U35" i="170"/>
  <c r="U36" i="170"/>
  <c r="K115" i="156"/>
  <c r="K143" i="156"/>
  <c r="U63" i="170"/>
  <c r="U64" i="170"/>
  <c r="U66" i="170"/>
  <c r="U76" i="170"/>
  <c r="U78" i="170"/>
  <c r="K16" i="111"/>
  <c r="K80" i="111"/>
  <c r="K111" i="111"/>
  <c r="U79" i="170"/>
  <c r="U80" i="170"/>
  <c r="U82" i="170"/>
  <c r="K10" i="116"/>
  <c r="K63" i="116"/>
  <c r="K117" i="116"/>
  <c r="Y83" i="170"/>
  <c r="Y84" i="170"/>
  <c r="AQ84" i="170"/>
  <c r="AQ85" i="170"/>
  <c r="AQ87" i="170"/>
  <c r="AQ90" i="170"/>
  <c r="K10" i="107"/>
  <c r="K58" i="107"/>
  <c r="K113" i="107"/>
  <c r="AD130" i="105"/>
  <c r="AN130" i="105"/>
  <c r="AN131" i="123"/>
  <c r="L111" i="111"/>
  <c r="U79" i="171"/>
  <c r="U80" i="171"/>
  <c r="U82" i="171"/>
  <c r="L10" i="116"/>
  <c r="L63" i="116"/>
  <c r="L117" i="116"/>
  <c r="Y83" i="171"/>
  <c r="Y84" i="171"/>
  <c r="AQ84" i="171"/>
  <c r="AQ85" i="171"/>
  <c r="AQ87" i="171"/>
  <c r="AQ90" i="171"/>
  <c r="L10" i="107"/>
  <c r="L58" i="107"/>
  <c r="L113" i="107"/>
  <c r="AE130" i="105"/>
  <c r="AO130" i="105"/>
  <c r="AO131" i="123"/>
  <c r="M111" i="111"/>
  <c r="U79" i="172"/>
  <c r="U80" i="172"/>
  <c r="U82" i="172"/>
  <c r="M10" i="116"/>
  <c r="M63" i="116"/>
  <c r="M117" i="116"/>
  <c r="Y83" i="172"/>
  <c r="Y84" i="172"/>
  <c r="AQ84" i="172"/>
  <c r="AQ85" i="172"/>
  <c r="AQ87" i="172"/>
  <c r="AQ90" i="172"/>
  <c r="M10" i="107"/>
  <c r="M58" i="107"/>
  <c r="M113" i="107"/>
  <c r="AF130" i="105"/>
  <c r="AP130" i="105"/>
  <c r="AP131" i="123"/>
  <c r="AQ130" i="105"/>
  <c r="AQ131" i="123"/>
  <c r="AS131" i="123"/>
  <c r="AS160" i="123"/>
  <c r="F97" i="111"/>
  <c r="F140" i="111"/>
  <c r="Y103" i="105"/>
  <c r="AI103" i="105"/>
  <c r="AI104" i="123"/>
  <c r="G97" i="111"/>
  <c r="G140" i="111"/>
  <c r="Z103" i="105"/>
  <c r="AJ103" i="105"/>
  <c r="AJ104" i="123"/>
  <c r="H97" i="111"/>
  <c r="H140" i="111"/>
  <c r="AA103" i="105"/>
  <c r="AK103" i="105"/>
  <c r="AK104" i="123"/>
  <c r="I85" i="111"/>
  <c r="I86" i="111"/>
  <c r="I97" i="111"/>
  <c r="I140" i="111"/>
  <c r="AB103" i="105"/>
  <c r="AL103" i="105"/>
  <c r="AL104" i="123"/>
  <c r="J97" i="111"/>
  <c r="J140" i="111"/>
  <c r="AC103" i="105"/>
  <c r="AM103" i="105"/>
  <c r="AM104" i="123"/>
  <c r="K85" i="111"/>
  <c r="K86" i="111"/>
  <c r="K97" i="111"/>
  <c r="K140" i="111"/>
  <c r="AD103" i="105"/>
  <c r="AN103" i="105"/>
  <c r="AN104" i="123"/>
  <c r="L97" i="111"/>
  <c r="L140" i="111"/>
  <c r="AE103" i="105"/>
  <c r="AO103" i="105"/>
  <c r="AO104" i="123"/>
  <c r="M97" i="111"/>
  <c r="M140" i="111"/>
  <c r="AF103" i="105"/>
  <c r="AP103" i="105"/>
  <c r="AP104" i="123"/>
  <c r="AQ103" i="105"/>
  <c r="AQ104" i="123"/>
  <c r="AS104" i="123"/>
  <c r="AS161" i="123"/>
  <c r="AS164" i="123"/>
  <c r="BS128" i="105"/>
  <c r="BS129" i="123"/>
  <c r="BT128" i="105"/>
  <c r="BT129" i="123"/>
  <c r="BU128" i="105"/>
  <c r="BU129" i="123"/>
  <c r="BV128" i="105"/>
  <c r="BV129" i="123"/>
  <c r="BW128" i="105"/>
  <c r="BW129" i="123"/>
  <c r="BX128" i="105"/>
  <c r="BX129" i="123"/>
  <c r="BY128" i="105"/>
  <c r="BY129" i="123"/>
  <c r="BZ128" i="105"/>
  <c r="BZ129" i="123"/>
  <c r="CC129" i="123"/>
  <c r="BS129" i="105"/>
  <c r="BS130" i="123"/>
  <c r="BT129" i="105"/>
  <c r="BT130" i="123"/>
  <c r="BU129" i="105"/>
  <c r="BU130" i="123"/>
  <c r="BV129" i="105"/>
  <c r="BV130" i="123"/>
  <c r="BW129" i="105"/>
  <c r="BW130" i="123"/>
  <c r="BX129" i="105"/>
  <c r="BX130" i="123"/>
  <c r="BY129" i="105"/>
  <c r="BY130" i="123"/>
  <c r="BZ129" i="105"/>
  <c r="BZ130" i="123"/>
  <c r="CC130" i="123"/>
  <c r="BS130" i="105"/>
  <c r="BS131" i="123"/>
  <c r="BT130" i="105"/>
  <c r="BT131" i="123"/>
  <c r="BU130" i="105"/>
  <c r="BU131" i="123"/>
  <c r="BV130" i="105"/>
  <c r="BV131" i="123"/>
  <c r="BW130" i="105"/>
  <c r="BW131" i="123"/>
  <c r="BX130" i="105"/>
  <c r="BX131" i="123"/>
  <c r="BY130" i="105"/>
  <c r="BY131" i="123"/>
  <c r="BZ130" i="105"/>
  <c r="BZ131" i="123"/>
  <c r="CC131" i="123"/>
  <c r="CC160" i="123"/>
  <c r="BS103" i="105"/>
  <c r="BS104" i="123"/>
  <c r="BT103" i="105"/>
  <c r="BT104" i="123"/>
  <c r="BU103" i="105"/>
  <c r="BU104" i="123"/>
  <c r="BV103" i="105"/>
  <c r="BV104" i="123"/>
  <c r="BW103" i="105"/>
  <c r="BW104" i="123"/>
  <c r="BX103" i="105"/>
  <c r="BX104" i="123"/>
  <c r="BY103" i="105"/>
  <c r="BY104" i="123"/>
  <c r="BZ103" i="105"/>
  <c r="BZ104" i="123"/>
  <c r="CC104" i="123"/>
  <c r="CC161" i="123"/>
  <c r="BS115" i="105"/>
  <c r="BS116" i="123"/>
  <c r="BT115" i="105"/>
  <c r="BT116" i="123"/>
  <c r="BU115" i="105"/>
  <c r="BU116" i="123"/>
  <c r="BV115" i="105"/>
  <c r="BV116" i="123"/>
  <c r="BW115" i="105"/>
  <c r="BW116" i="123"/>
  <c r="BX115" i="105"/>
  <c r="BX116" i="123"/>
  <c r="BY115" i="105"/>
  <c r="BY116" i="123"/>
  <c r="BZ115" i="105"/>
  <c r="BZ116" i="123"/>
  <c r="CC116" i="123"/>
  <c r="CC164" i="123"/>
  <c r="BT160" i="123"/>
  <c r="BT161" i="123"/>
  <c r="BT164" i="123"/>
  <c r="AJ160" i="123"/>
  <c r="AJ161" i="123"/>
  <c r="AJ164" i="123"/>
  <c r="AK160" i="123"/>
  <c r="AK161" i="123"/>
  <c r="AK164" i="123"/>
  <c r="AS128" i="105"/>
  <c r="AS129" i="105"/>
  <c r="AS130" i="105"/>
  <c r="F59" i="107"/>
  <c r="F120" i="107"/>
  <c r="Y131" i="105"/>
  <c r="AI131" i="105"/>
  <c r="G59" i="107"/>
  <c r="G120" i="107"/>
  <c r="Z131" i="105"/>
  <c r="AJ131" i="105"/>
  <c r="H66" i="116"/>
  <c r="H67" i="116"/>
  <c r="H118" i="116"/>
  <c r="Z83" i="167"/>
  <c r="Z84" i="167"/>
  <c r="AR84" i="167"/>
  <c r="AR85" i="167"/>
  <c r="AR87" i="167"/>
  <c r="AR90" i="167"/>
  <c r="H11" i="107"/>
  <c r="H59" i="107"/>
  <c r="H120" i="107"/>
  <c r="AA131" i="105"/>
  <c r="AK131" i="105"/>
  <c r="I66" i="116"/>
  <c r="I67" i="116"/>
  <c r="I118" i="116"/>
  <c r="Z83" i="168"/>
  <c r="Z84" i="168"/>
  <c r="AR84" i="168"/>
  <c r="AR85" i="168"/>
  <c r="AR87" i="168"/>
  <c r="AR90" i="168"/>
  <c r="I11" i="107"/>
  <c r="I59" i="107"/>
  <c r="I120" i="107"/>
  <c r="AB131" i="105"/>
  <c r="AL131" i="105"/>
  <c r="J66" i="116"/>
  <c r="J67" i="116"/>
  <c r="J118" i="116"/>
  <c r="Z83" i="169"/>
  <c r="Z84" i="169"/>
  <c r="AR84" i="169"/>
  <c r="AR85" i="169"/>
  <c r="AR87" i="169"/>
  <c r="AR90" i="169"/>
  <c r="J11" i="107"/>
  <c r="J59" i="107"/>
  <c r="J120" i="107"/>
  <c r="AC131" i="105"/>
  <c r="AM131" i="105"/>
  <c r="K66" i="116"/>
  <c r="K67" i="116"/>
  <c r="K118" i="116"/>
  <c r="Z83" i="170"/>
  <c r="Z84" i="170"/>
  <c r="AR84" i="170"/>
  <c r="AR85" i="170"/>
  <c r="AR87" i="170"/>
  <c r="AR90" i="170"/>
  <c r="K11" i="107"/>
  <c r="K59" i="107"/>
  <c r="K120" i="107"/>
  <c r="AD131" i="105"/>
  <c r="AN131" i="105"/>
  <c r="L66" i="116"/>
  <c r="L67" i="116"/>
  <c r="L118" i="116"/>
  <c r="Z83" i="171"/>
  <c r="Z84" i="171"/>
  <c r="AR84" i="171"/>
  <c r="AR85" i="171"/>
  <c r="AR87" i="171"/>
  <c r="AR90" i="171"/>
  <c r="L11" i="107"/>
  <c r="L59" i="107"/>
  <c r="L120" i="107"/>
  <c r="AE131" i="105"/>
  <c r="AO131" i="105"/>
  <c r="M66" i="116"/>
  <c r="M67" i="116"/>
  <c r="M118" i="116"/>
  <c r="Z83" i="172"/>
  <c r="Z84" i="172"/>
  <c r="AR84" i="172"/>
  <c r="AR85" i="172"/>
  <c r="AR87" i="172"/>
  <c r="AR90" i="172"/>
  <c r="M11" i="107"/>
  <c r="M59" i="107"/>
  <c r="M120" i="107"/>
  <c r="AF131" i="105"/>
  <c r="AP131" i="105"/>
  <c r="AQ131" i="105"/>
  <c r="AS131" i="105"/>
  <c r="AS160" i="105"/>
  <c r="AS103" i="105"/>
  <c r="AS161" i="105"/>
  <c r="AS115" i="105"/>
  <c r="AS165" i="105"/>
  <c r="CC128" i="105"/>
  <c r="CC129" i="105"/>
  <c r="CC130" i="105"/>
  <c r="BS131" i="105"/>
  <c r="BT131" i="105"/>
  <c r="BU131" i="105"/>
  <c r="BV131" i="105"/>
  <c r="BW131" i="105"/>
  <c r="BX131" i="105"/>
  <c r="BY131" i="105"/>
  <c r="BZ131" i="105"/>
  <c r="CC131" i="105"/>
  <c r="CC160" i="105"/>
  <c r="CC103" i="105"/>
  <c r="CC161" i="105"/>
  <c r="CC115" i="105"/>
  <c r="CC165" i="105"/>
  <c r="AK160" i="105"/>
  <c r="AK161" i="105"/>
  <c r="AK165" i="105"/>
  <c r="BU160" i="123"/>
  <c r="BU161" i="123"/>
  <c r="BU164" i="123"/>
  <c r="AJ160" i="105"/>
  <c r="AJ161" i="105"/>
  <c r="AJ165" i="105"/>
  <c r="BT160" i="105"/>
  <c r="BT161" i="105"/>
  <c r="BT165" i="105"/>
  <c r="BU160" i="105"/>
  <c r="BU161" i="105"/>
  <c r="BU165" i="105"/>
  <c r="BZ160" i="123"/>
  <c r="BZ161" i="123"/>
  <c r="BZ164" i="123"/>
  <c r="BZ160" i="105"/>
  <c r="BZ161" i="105"/>
  <c r="BZ165" i="105"/>
  <c r="AP160" i="123"/>
  <c r="AP161" i="123"/>
  <c r="AP164" i="123"/>
  <c r="AP160" i="105"/>
  <c r="AP161" i="105"/>
  <c r="AP165" i="105"/>
  <c r="AM160" i="123"/>
  <c r="AM161" i="123"/>
  <c r="AM164" i="123"/>
  <c r="BY160" i="123"/>
  <c r="BY161" i="123"/>
  <c r="BY164" i="123"/>
  <c r="AO160" i="123"/>
  <c r="AO161" i="123"/>
  <c r="AO164" i="123"/>
  <c r="BW160" i="123"/>
  <c r="BW161" i="123"/>
  <c r="BW164" i="123"/>
  <c r="AM160" i="105"/>
  <c r="AM161" i="105"/>
  <c r="AM165" i="105"/>
  <c r="BY160" i="105"/>
  <c r="BY161" i="105"/>
  <c r="BY165" i="105"/>
  <c r="AO160" i="105"/>
  <c r="AO161" i="105"/>
  <c r="AO165" i="105"/>
  <c r="BX160" i="123"/>
  <c r="BX161" i="123"/>
  <c r="BX164" i="123"/>
  <c r="BX160" i="105"/>
  <c r="BX161" i="105"/>
  <c r="BX165" i="105"/>
  <c r="BW160" i="105"/>
  <c r="BW161" i="105"/>
  <c r="BW165" i="105"/>
  <c r="BV160" i="105"/>
  <c r="BV161" i="105"/>
  <c r="BV165" i="105"/>
  <c r="BV160" i="123"/>
  <c r="BV161" i="123"/>
  <c r="BV164" i="123"/>
  <c r="F104" i="116"/>
  <c r="F151" i="116"/>
  <c r="O39" i="105"/>
  <c r="BS39" i="105"/>
  <c r="BS39" i="123"/>
  <c r="BU39" i="105"/>
  <c r="BU39" i="123"/>
  <c r="I104" i="116"/>
  <c r="I151" i="116"/>
  <c r="R39" i="105"/>
  <c r="BV39" i="105"/>
  <c r="BV39" i="123"/>
  <c r="BW39" i="105"/>
  <c r="BW39" i="123"/>
  <c r="K104" i="116"/>
  <c r="K151" i="116"/>
  <c r="T39" i="105"/>
  <c r="BX39" i="105"/>
  <c r="BX39" i="123"/>
  <c r="BY39" i="105"/>
  <c r="BY39" i="123"/>
  <c r="BZ39" i="105"/>
  <c r="BZ39" i="123"/>
  <c r="N104" i="116"/>
  <c r="N151" i="116"/>
  <c r="W39" i="105"/>
  <c r="CA39" i="105"/>
  <c r="CA39" i="123"/>
  <c r="CC39" i="123"/>
  <c r="F69" i="107"/>
  <c r="F108" i="107"/>
  <c r="Y40" i="105"/>
  <c r="BS40" i="105"/>
  <c r="BS40" i="123"/>
  <c r="H69" i="107"/>
  <c r="H108" i="107"/>
  <c r="AA40" i="105"/>
  <c r="BU40" i="105"/>
  <c r="BU40" i="123"/>
  <c r="I69" i="107"/>
  <c r="I108" i="107"/>
  <c r="AB40" i="105"/>
  <c r="BV40" i="105"/>
  <c r="BV40" i="123"/>
  <c r="J69" i="107"/>
  <c r="J108" i="107"/>
  <c r="AC40" i="105"/>
  <c r="BW40" i="105"/>
  <c r="BW40" i="123"/>
  <c r="K69" i="107"/>
  <c r="K108" i="107"/>
  <c r="AD40" i="105"/>
  <c r="BX40" i="105"/>
  <c r="BX40" i="123"/>
  <c r="L69" i="107"/>
  <c r="L108" i="107"/>
  <c r="AE40" i="105"/>
  <c r="BY40" i="105"/>
  <c r="BY40" i="123"/>
  <c r="M69" i="107"/>
  <c r="M108" i="107"/>
  <c r="AF40" i="105"/>
  <c r="BZ40" i="105"/>
  <c r="BZ40" i="123"/>
  <c r="N69" i="107"/>
  <c r="N108" i="107"/>
  <c r="AG40" i="105"/>
  <c r="CA40" i="105"/>
  <c r="CA40" i="123"/>
  <c r="CC40" i="123"/>
  <c r="F70" i="107"/>
  <c r="F115" i="107"/>
  <c r="Y41" i="105"/>
  <c r="BS41" i="105"/>
  <c r="BS41" i="123"/>
  <c r="H70" i="107"/>
  <c r="H115" i="107"/>
  <c r="AA41" i="105"/>
  <c r="BU41" i="105"/>
  <c r="BU41" i="123"/>
  <c r="I70" i="107"/>
  <c r="I115" i="107"/>
  <c r="AB41" i="105"/>
  <c r="BV41" i="105"/>
  <c r="BV41" i="123"/>
  <c r="J70" i="107"/>
  <c r="J115" i="107"/>
  <c r="AC41" i="105"/>
  <c r="BW41" i="105"/>
  <c r="BW41" i="123"/>
  <c r="K70" i="107"/>
  <c r="K115" i="107"/>
  <c r="AD41" i="105"/>
  <c r="BX41" i="105"/>
  <c r="BX41" i="123"/>
  <c r="L70" i="107"/>
  <c r="L115" i="107"/>
  <c r="AE41" i="105"/>
  <c r="BY41" i="105"/>
  <c r="BY41" i="123"/>
  <c r="M70" i="107"/>
  <c r="M115" i="107"/>
  <c r="AF41" i="105"/>
  <c r="BZ41" i="105"/>
  <c r="BZ41" i="123"/>
  <c r="N70" i="107"/>
  <c r="N115" i="107"/>
  <c r="AG41" i="105"/>
  <c r="CA41" i="105"/>
  <c r="CA41" i="123"/>
  <c r="CC41" i="123"/>
  <c r="F71" i="107"/>
  <c r="F122" i="107"/>
  <c r="Y42" i="105"/>
  <c r="BS42" i="105"/>
  <c r="BS42" i="123"/>
  <c r="H71" i="107"/>
  <c r="H122" i="107"/>
  <c r="AA42" i="105"/>
  <c r="BU42" i="105"/>
  <c r="BU42" i="123"/>
  <c r="I71" i="107"/>
  <c r="I122" i="107"/>
  <c r="AB42" i="105"/>
  <c r="BV42" i="105"/>
  <c r="BV42" i="123"/>
  <c r="J71" i="107"/>
  <c r="J122" i="107"/>
  <c r="AC42" i="105"/>
  <c r="BW42" i="105"/>
  <c r="BW42" i="123"/>
  <c r="K71" i="107"/>
  <c r="K122" i="107"/>
  <c r="AD42" i="105"/>
  <c r="BX42" i="105"/>
  <c r="BX42" i="123"/>
  <c r="L71" i="107"/>
  <c r="L122" i="107"/>
  <c r="AE42" i="105"/>
  <c r="BY42" i="105"/>
  <c r="BY42" i="123"/>
  <c r="M71" i="107"/>
  <c r="M122" i="107"/>
  <c r="AF42" i="105"/>
  <c r="BZ42" i="105"/>
  <c r="BZ42" i="123"/>
  <c r="N71" i="107"/>
  <c r="N122" i="107"/>
  <c r="AG42" i="105"/>
  <c r="CA42" i="105"/>
  <c r="CA42" i="123"/>
  <c r="CC42" i="123"/>
  <c r="CC136" i="123"/>
  <c r="BS14" i="123"/>
  <c r="BU14" i="123"/>
  <c r="I103" i="111"/>
  <c r="I142" i="111"/>
  <c r="AB14" i="105"/>
  <c r="BV14" i="105"/>
  <c r="BV14" i="123"/>
  <c r="BW14" i="123"/>
  <c r="K103" i="111"/>
  <c r="K142" i="111"/>
  <c r="AD14" i="105"/>
  <c r="BX14" i="105"/>
  <c r="BX14" i="123"/>
  <c r="BY14" i="123"/>
  <c r="BZ14" i="123"/>
  <c r="N103" i="111"/>
  <c r="N142" i="111"/>
  <c r="AG14" i="105"/>
  <c r="CA14" i="105"/>
  <c r="CA14" i="123"/>
  <c r="CC14" i="123"/>
  <c r="CC137" i="123"/>
  <c r="F389" i="39"/>
  <c r="F501" i="39"/>
  <c r="O26" i="105"/>
  <c r="BS26" i="105"/>
  <c r="BS26" i="123"/>
  <c r="BU26" i="105"/>
  <c r="BU26" i="123"/>
  <c r="I389" i="39"/>
  <c r="I501" i="39"/>
  <c r="R26" i="105"/>
  <c r="BV26" i="105"/>
  <c r="BV26" i="123"/>
  <c r="BW26" i="105"/>
  <c r="BW26" i="123"/>
  <c r="K389" i="39"/>
  <c r="K501" i="39"/>
  <c r="T26" i="105"/>
  <c r="BX26" i="105"/>
  <c r="BX26" i="123"/>
  <c r="BY26" i="105"/>
  <c r="BY26" i="123"/>
  <c r="BZ26" i="105"/>
  <c r="BZ26" i="123"/>
  <c r="N389" i="39"/>
  <c r="N501" i="39"/>
  <c r="W26" i="105"/>
  <c r="CA26" i="105"/>
  <c r="CA26" i="123"/>
  <c r="CC26" i="123"/>
  <c r="CC141" i="123"/>
  <c r="AI39" i="105"/>
  <c r="AI39" i="123"/>
  <c r="AK39" i="105"/>
  <c r="AK39" i="123"/>
  <c r="AL39" i="105"/>
  <c r="AL39" i="123"/>
  <c r="AM39" i="105"/>
  <c r="AM39" i="123"/>
  <c r="AN39" i="105"/>
  <c r="AN39" i="123"/>
  <c r="AO39" i="105"/>
  <c r="AO39" i="123"/>
  <c r="AP39" i="105"/>
  <c r="AP39" i="123"/>
  <c r="AQ39" i="105"/>
  <c r="AQ39" i="123"/>
  <c r="AS39" i="123"/>
  <c r="AI40" i="105"/>
  <c r="AI40" i="123"/>
  <c r="AK40" i="105"/>
  <c r="AK40" i="123"/>
  <c r="AL40" i="105"/>
  <c r="AL40" i="123"/>
  <c r="AM40" i="105"/>
  <c r="AM40" i="123"/>
  <c r="AN40" i="105"/>
  <c r="AN40" i="123"/>
  <c r="AO40" i="105"/>
  <c r="AO40" i="123"/>
  <c r="AP40" i="105"/>
  <c r="AP40" i="123"/>
  <c r="AQ40" i="105"/>
  <c r="AQ40" i="123"/>
  <c r="AS40" i="123"/>
  <c r="AI41" i="105"/>
  <c r="AI41" i="123"/>
  <c r="AK41" i="105"/>
  <c r="AK41" i="123"/>
  <c r="AL41" i="105"/>
  <c r="AL41" i="123"/>
  <c r="AM41" i="105"/>
  <c r="AM41" i="123"/>
  <c r="AN41" i="105"/>
  <c r="AN41" i="123"/>
  <c r="AO41" i="105"/>
  <c r="AO41" i="123"/>
  <c r="AP41" i="105"/>
  <c r="AP41" i="123"/>
  <c r="AQ41" i="105"/>
  <c r="AQ41" i="123"/>
  <c r="AS41" i="123"/>
  <c r="AI42" i="105"/>
  <c r="AI42" i="123"/>
  <c r="AK42" i="105"/>
  <c r="AK42" i="123"/>
  <c r="AL42" i="105"/>
  <c r="AL42" i="123"/>
  <c r="AM42" i="105"/>
  <c r="AM42" i="123"/>
  <c r="AN42" i="105"/>
  <c r="AN42" i="123"/>
  <c r="AO42" i="105"/>
  <c r="AO42" i="123"/>
  <c r="AP42" i="105"/>
  <c r="AP42" i="123"/>
  <c r="AQ42" i="105"/>
  <c r="AQ42" i="123"/>
  <c r="AS42" i="123"/>
  <c r="AS136" i="123"/>
  <c r="AI14" i="105"/>
  <c r="AI14" i="123"/>
  <c r="AK14" i="105"/>
  <c r="AK14" i="123"/>
  <c r="AL14" i="105"/>
  <c r="AL14" i="123"/>
  <c r="AM14" i="105"/>
  <c r="AM14" i="123"/>
  <c r="AN14" i="105"/>
  <c r="AN14" i="123"/>
  <c r="AO14" i="105"/>
  <c r="AO14" i="123"/>
  <c r="AP14" i="105"/>
  <c r="AP14" i="123"/>
  <c r="AQ14" i="105"/>
  <c r="AQ14" i="123"/>
  <c r="AS14" i="123"/>
  <c r="AS137" i="123"/>
  <c r="AI26" i="105"/>
  <c r="AI26" i="123"/>
  <c r="AK26" i="105"/>
  <c r="AK26" i="123"/>
  <c r="AL26" i="105"/>
  <c r="AL26" i="123"/>
  <c r="AM26" i="105"/>
  <c r="AM26" i="123"/>
  <c r="AN26" i="105"/>
  <c r="AN26" i="123"/>
  <c r="AO26" i="105"/>
  <c r="AO26" i="123"/>
  <c r="AP26" i="105"/>
  <c r="AP26" i="123"/>
  <c r="AQ26" i="105"/>
  <c r="AQ26" i="123"/>
  <c r="AS26" i="123"/>
  <c r="AS141" i="123"/>
  <c r="BU136" i="123"/>
  <c r="BU137" i="123"/>
  <c r="BU141" i="123"/>
  <c r="AT39" i="123"/>
  <c r="AT40" i="123"/>
  <c r="AT41" i="123"/>
  <c r="AT42" i="123"/>
  <c r="AT136" i="123"/>
  <c r="AT14" i="123"/>
  <c r="AT137" i="123"/>
  <c r="CC39" i="105"/>
  <c r="CC40" i="105"/>
  <c r="CC41" i="105"/>
  <c r="CC42" i="105"/>
  <c r="CC136" i="105"/>
  <c r="CC14" i="105"/>
  <c r="CC137" i="105"/>
  <c r="CC26" i="105"/>
  <c r="CC141" i="105"/>
  <c r="BU136" i="105"/>
  <c r="BU137" i="105"/>
  <c r="BU141" i="105"/>
  <c r="AS39" i="105"/>
  <c r="AS40" i="105"/>
  <c r="AS41" i="105"/>
  <c r="AS42" i="105"/>
  <c r="AS136" i="105"/>
  <c r="AS14" i="105"/>
  <c r="AS137" i="105"/>
  <c r="AS26" i="105"/>
  <c r="AS141" i="105"/>
  <c r="AK136" i="123"/>
  <c r="AK137" i="123"/>
  <c r="AK141" i="123"/>
  <c r="AK136" i="105"/>
  <c r="AK137" i="105"/>
  <c r="AK141" i="105"/>
  <c r="BZ136" i="123"/>
  <c r="BZ137" i="123"/>
  <c r="BZ141" i="123"/>
  <c r="BY136" i="123"/>
  <c r="BY137" i="123"/>
  <c r="BY141" i="123"/>
  <c r="AP136" i="123"/>
  <c r="AP137" i="123"/>
  <c r="AP141" i="123"/>
  <c r="BW136" i="123"/>
  <c r="BW137" i="123"/>
  <c r="BW141" i="123"/>
  <c r="AP136" i="105"/>
  <c r="AP137" i="105"/>
  <c r="AP141" i="105"/>
  <c r="BZ136" i="105"/>
  <c r="BZ137" i="105"/>
  <c r="BZ141" i="105"/>
  <c r="AM136" i="105"/>
  <c r="AM137" i="105"/>
  <c r="AM141" i="105"/>
  <c r="AO136" i="105"/>
  <c r="AO137" i="105"/>
  <c r="AO141" i="105"/>
  <c r="AM136" i="123"/>
  <c r="AM137" i="123"/>
  <c r="AM141" i="123"/>
  <c r="AO136" i="123"/>
  <c r="AO137" i="123"/>
  <c r="AO141" i="123"/>
  <c r="BY136" i="105"/>
  <c r="BY137" i="105"/>
  <c r="BY141" i="105"/>
  <c r="BW136" i="105"/>
  <c r="BW137" i="105"/>
  <c r="BW141" i="105"/>
  <c r="CQ39" i="123"/>
  <c r="CQ136" i="123"/>
  <c r="AI83" i="105"/>
  <c r="AI83" i="123"/>
  <c r="G97" i="116"/>
  <c r="G147" i="116"/>
  <c r="F83" i="105"/>
  <c r="G98" i="116"/>
  <c r="G150" i="116"/>
  <c r="P83" i="105"/>
  <c r="AJ83" i="105"/>
  <c r="AJ83" i="123"/>
  <c r="H97" i="116"/>
  <c r="H147" i="116"/>
  <c r="G83" i="105"/>
  <c r="H98" i="116"/>
  <c r="H150" i="116"/>
  <c r="Q83" i="105"/>
  <c r="AK83" i="105"/>
  <c r="AK83" i="123"/>
  <c r="I97" i="116"/>
  <c r="I147" i="116"/>
  <c r="H83" i="105"/>
  <c r="I98" i="116"/>
  <c r="I150" i="116"/>
  <c r="R83" i="105"/>
  <c r="AL83" i="105"/>
  <c r="AL83" i="123"/>
  <c r="J97" i="116"/>
  <c r="J147" i="116"/>
  <c r="I83" i="105"/>
  <c r="J98" i="116"/>
  <c r="J150" i="116"/>
  <c r="S83" i="105"/>
  <c r="AM83" i="105"/>
  <c r="AM83" i="123"/>
  <c r="K97" i="116"/>
  <c r="K147" i="116"/>
  <c r="J83" i="105"/>
  <c r="K98" i="116"/>
  <c r="K150" i="116"/>
  <c r="T83" i="105"/>
  <c r="AN83" i="105"/>
  <c r="AN83" i="123"/>
  <c r="L97" i="116"/>
  <c r="L147" i="116"/>
  <c r="K83" i="105"/>
  <c r="L98" i="116"/>
  <c r="L150" i="116"/>
  <c r="U83" i="105"/>
  <c r="AO83" i="105"/>
  <c r="AO83" i="123"/>
  <c r="M97" i="116"/>
  <c r="M147" i="116"/>
  <c r="L83" i="105"/>
  <c r="M98" i="116"/>
  <c r="M150" i="116"/>
  <c r="V83" i="105"/>
  <c r="AP83" i="105"/>
  <c r="AP83" i="123"/>
  <c r="N97" i="116"/>
  <c r="N147" i="116"/>
  <c r="M83" i="105"/>
  <c r="N98" i="116"/>
  <c r="N150" i="116"/>
  <c r="W83" i="105"/>
  <c r="AQ83" i="105"/>
  <c r="AQ83" i="123"/>
  <c r="AS83" i="123"/>
  <c r="AI84" i="105"/>
  <c r="AI84" i="123"/>
  <c r="G63" i="107"/>
  <c r="G107" i="107"/>
  <c r="Z84" i="105"/>
  <c r="AJ84" i="105"/>
  <c r="AJ84" i="123"/>
  <c r="H63" i="107"/>
  <c r="H107" i="107"/>
  <c r="AA84" i="105"/>
  <c r="AK84" i="105"/>
  <c r="AK84" i="123"/>
  <c r="I63" i="107"/>
  <c r="I107" i="107"/>
  <c r="AB84" i="105"/>
  <c r="AL84" i="105"/>
  <c r="AL84" i="123"/>
  <c r="J63" i="107"/>
  <c r="J107" i="107"/>
  <c r="AC84" i="105"/>
  <c r="AM84" i="105"/>
  <c r="AM84" i="123"/>
  <c r="K63" i="107"/>
  <c r="K107" i="107"/>
  <c r="AD84" i="105"/>
  <c r="AN84" i="105"/>
  <c r="AN84" i="123"/>
  <c r="L63" i="107"/>
  <c r="L107" i="107"/>
  <c r="AE84" i="105"/>
  <c r="AO84" i="105"/>
  <c r="AO84" i="123"/>
  <c r="M63" i="107"/>
  <c r="M107" i="107"/>
  <c r="AF84" i="105"/>
  <c r="AP84" i="105"/>
  <c r="AP84" i="123"/>
  <c r="N63" i="107"/>
  <c r="N107" i="107"/>
  <c r="AG84" i="105"/>
  <c r="AQ84" i="105"/>
  <c r="AQ84" i="123"/>
  <c r="AS84" i="123"/>
  <c r="AI85" i="105"/>
  <c r="AI85" i="123"/>
  <c r="G64" i="107"/>
  <c r="G114" i="107"/>
  <c r="Z85" i="105"/>
  <c r="AJ85" i="105"/>
  <c r="AJ85" i="123"/>
  <c r="H64" i="107"/>
  <c r="H114" i="107"/>
  <c r="AA85" i="105"/>
  <c r="AK85" i="105"/>
  <c r="AK85" i="123"/>
  <c r="I64" i="107"/>
  <c r="I114" i="107"/>
  <c r="AB85" i="105"/>
  <c r="AL85" i="105"/>
  <c r="AL85" i="123"/>
  <c r="J64" i="107"/>
  <c r="J114" i="107"/>
  <c r="AC85" i="105"/>
  <c r="AM85" i="105"/>
  <c r="AM85" i="123"/>
  <c r="K64" i="107"/>
  <c r="K114" i="107"/>
  <c r="AD85" i="105"/>
  <c r="AN85" i="105"/>
  <c r="AN85" i="123"/>
  <c r="L64" i="107"/>
  <c r="L114" i="107"/>
  <c r="AE85" i="105"/>
  <c r="AO85" i="105"/>
  <c r="AO85" i="123"/>
  <c r="M64" i="107"/>
  <c r="M114" i="107"/>
  <c r="AF85" i="105"/>
  <c r="AP85" i="105"/>
  <c r="AP85" i="123"/>
  <c r="N64" i="107"/>
  <c r="N114" i="107"/>
  <c r="AG85" i="105"/>
  <c r="AQ85" i="105"/>
  <c r="AQ85" i="123"/>
  <c r="AS85" i="123"/>
  <c r="AI86" i="105"/>
  <c r="AI86" i="123"/>
  <c r="G65" i="107"/>
  <c r="G121" i="107"/>
  <c r="Z86" i="105"/>
  <c r="AJ86" i="105"/>
  <c r="AJ86" i="123"/>
  <c r="H65" i="107"/>
  <c r="H121" i="107"/>
  <c r="AA86" i="105"/>
  <c r="AK86" i="105"/>
  <c r="AK86" i="123"/>
  <c r="I65" i="107"/>
  <c r="I121" i="107"/>
  <c r="AB86" i="105"/>
  <c r="AL86" i="105"/>
  <c r="AL86" i="123"/>
  <c r="J65" i="107"/>
  <c r="J121" i="107"/>
  <c r="AC86" i="105"/>
  <c r="AM86" i="105"/>
  <c r="AM86" i="123"/>
  <c r="K65" i="107"/>
  <c r="K121" i="107"/>
  <c r="AD86" i="105"/>
  <c r="AN86" i="105"/>
  <c r="AN86" i="123"/>
  <c r="L65" i="107"/>
  <c r="L121" i="107"/>
  <c r="AE86" i="105"/>
  <c r="AO86" i="105"/>
  <c r="AO86" i="123"/>
  <c r="M65" i="107"/>
  <c r="M121" i="107"/>
  <c r="AF86" i="105"/>
  <c r="AP86" i="105"/>
  <c r="AP86" i="123"/>
  <c r="N65" i="107"/>
  <c r="N121" i="107"/>
  <c r="AG86" i="105"/>
  <c r="AQ86" i="105"/>
  <c r="AQ86" i="123"/>
  <c r="AS86" i="123"/>
  <c r="AS148" i="123"/>
  <c r="AI58" i="105"/>
  <c r="AI58" i="123"/>
  <c r="G100" i="111"/>
  <c r="G141" i="111"/>
  <c r="Z58" i="105"/>
  <c r="AJ58" i="105"/>
  <c r="AJ58" i="123"/>
  <c r="H100" i="111"/>
  <c r="H141" i="111"/>
  <c r="AA58" i="105"/>
  <c r="AK58" i="105"/>
  <c r="AK58" i="123"/>
  <c r="I100" i="111"/>
  <c r="I141" i="111"/>
  <c r="AB58" i="105"/>
  <c r="AL58" i="105"/>
  <c r="AL58" i="123"/>
  <c r="J100" i="111"/>
  <c r="J141" i="111"/>
  <c r="AC58" i="105"/>
  <c r="AM58" i="105"/>
  <c r="AM58" i="123"/>
  <c r="K100" i="111"/>
  <c r="K141" i="111"/>
  <c r="AD58" i="105"/>
  <c r="AN58" i="105"/>
  <c r="AN58" i="123"/>
  <c r="L100" i="111"/>
  <c r="L141" i="111"/>
  <c r="AE58" i="105"/>
  <c r="AO58" i="105"/>
  <c r="AO58" i="123"/>
  <c r="M100" i="111"/>
  <c r="M141" i="111"/>
  <c r="AF58" i="105"/>
  <c r="AP58" i="105"/>
  <c r="AP58" i="123"/>
  <c r="N100" i="111"/>
  <c r="N141" i="111"/>
  <c r="AG58" i="105"/>
  <c r="AQ58" i="105"/>
  <c r="AQ58" i="123"/>
  <c r="AS58" i="123"/>
  <c r="AI60" i="105"/>
  <c r="AI60" i="123"/>
  <c r="AS60" i="123"/>
  <c r="AS149" i="123"/>
  <c r="F385" i="39"/>
  <c r="F498" i="39"/>
  <c r="E70" i="105"/>
  <c r="F388" i="39"/>
  <c r="F499" i="39"/>
  <c r="O70" i="105"/>
  <c r="AI70" i="105"/>
  <c r="AI70" i="123"/>
  <c r="G385" i="39"/>
  <c r="G498" i="39"/>
  <c r="F70" i="105"/>
  <c r="G388" i="39"/>
  <c r="G499" i="39"/>
  <c r="P70" i="105"/>
  <c r="AJ70" i="105"/>
  <c r="AJ70" i="123"/>
  <c r="H385" i="39"/>
  <c r="H498" i="39"/>
  <c r="G70" i="105"/>
  <c r="H388" i="39"/>
  <c r="H499" i="39"/>
  <c r="Q70" i="105"/>
  <c r="AK70" i="105"/>
  <c r="AK70" i="123"/>
  <c r="I385" i="39"/>
  <c r="I498" i="39"/>
  <c r="H70" i="105"/>
  <c r="I388" i="39"/>
  <c r="I499" i="39"/>
  <c r="R70" i="105"/>
  <c r="AL70" i="105"/>
  <c r="AL70" i="123"/>
  <c r="J385" i="39"/>
  <c r="J498" i="39"/>
  <c r="I70" i="105"/>
  <c r="J388" i="39"/>
  <c r="J499" i="39"/>
  <c r="S70" i="105"/>
  <c r="AM70" i="105"/>
  <c r="AM70" i="123"/>
  <c r="K385" i="39"/>
  <c r="K498" i="39"/>
  <c r="J70" i="105"/>
  <c r="K388" i="39"/>
  <c r="K499" i="39"/>
  <c r="T70" i="105"/>
  <c r="AN70" i="105"/>
  <c r="AN70" i="123"/>
  <c r="L385" i="39"/>
  <c r="L498" i="39"/>
  <c r="K70" i="105"/>
  <c r="L388" i="39"/>
  <c r="L499" i="39"/>
  <c r="U70" i="105"/>
  <c r="AO70" i="105"/>
  <c r="AO70" i="123"/>
  <c r="M385" i="39"/>
  <c r="M498" i="39"/>
  <c r="L70" i="105"/>
  <c r="M388" i="39"/>
  <c r="M499" i="39"/>
  <c r="V70" i="105"/>
  <c r="AP70" i="105"/>
  <c r="AP70" i="123"/>
  <c r="N385" i="39"/>
  <c r="N498" i="39"/>
  <c r="M70" i="105"/>
  <c r="N388" i="39"/>
  <c r="N499" i="39"/>
  <c r="W70" i="105"/>
  <c r="AQ70" i="105"/>
  <c r="AQ70" i="123"/>
  <c r="AS70" i="123"/>
  <c r="AS153" i="123"/>
  <c r="AZ83" i="105"/>
  <c r="BJ83" i="105"/>
  <c r="BT83" i="105"/>
  <c r="BT83" i="123"/>
  <c r="BT84" i="105"/>
  <c r="BT84" i="123"/>
  <c r="BT85" i="105"/>
  <c r="BT85" i="123"/>
  <c r="BT86" i="105"/>
  <c r="BT86" i="123"/>
  <c r="BT148" i="123"/>
  <c r="BT58" i="105"/>
  <c r="BT58" i="123"/>
  <c r="BT149" i="123"/>
  <c r="AZ70" i="105"/>
  <c r="AY70" i="105"/>
  <c r="BJ70" i="105"/>
  <c r="BT70" i="105"/>
  <c r="BT70" i="123"/>
  <c r="BT153" i="123"/>
  <c r="BS83" i="123"/>
  <c r="BA83" i="105"/>
  <c r="BK83" i="105"/>
  <c r="BU83" i="105"/>
  <c r="BU83" i="123"/>
  <c r="BB83" i="105"/>
  <c r="BL83" i="105"/>
  <c r="BV83" i="105"/>
  <c r="BV83" i="123"/>
  <c r="BC83" i="105"/>
  <c r="BM83" i="105"/>
  <c r="BW83" i="105"/>
  <c r="BW83" i="123"/>
  <c r="BD83" i="105"/>
  <c r="BN83" i="105"/>
  <c r="BX83" i="105"/>
  <c r="BX83" i="123"/>
  <c r="BE83" i="105"/>
  <c r="BO83" i="105"/>
  <c r="BY83" i="105"/>
  <c r="BY83" i="123"/>
  <c r="BF83" i="105"/>
  <c r="BP83" i="105"/>
  <c r="BZ83" i="105"/>
  <c r="BZ83" i="123"/>
  <c r="BG83" i="105"/>
  <c r="BQ83" i="105"/>
  <c r="CA83" i="105"/>
  <c r="CA83" i="123"/>
  <c r="CC83" i="123"/>
  <c r="BS84" i="123"/>
  <c r="BU84" i="105"/>
  <c r="BU84" i="123"/>
  <c r="BV84" i="105"/>
  <c r="BV84" i="123"/>
  <c r="BW84" i="105"/>
  <c r="BW84" i="123"/>
  <c r="BX84" i="105"/>
  <c r="BX84" i="123"/>
  <c r="BY84" i="105"/>
  <c r="BY84" i="123"/>
  <c r="BZ84" i="105"/>
  <c r="BZ84" i="123"/>
  <c r="CA84" i="105"/>
  <c r="CA84" i="123"/>
  <c r="CC84" i="123"/>
  <c r="BS85" i="123"/>
  <c r="BU85" i="105"/>
  <c r="BU85" i="123"/>
  <c r="BV85" i="105"/>
  <c r="BV85" i="123"/>
  <c r="BW85" i="105"/>
  <c r="BW85" i="123"/>
  <c r="BX85" i="105"/>
  <c r="BX85" i="123"/>
  <c r="BY85" i="105"/>
  <c r="BY85" i="123"/>
  <c r="BZ85" i="105"/>
  <c r="BZ85" i="123"/>
  <c r="CA85" i="105"/>
  <c r="CA85" i="123"/>
  <c r="CC85" i="123"/>
  <c r="BS86" i="123"/>
  <c r="BU86" i="105"/>
  <c r="BU86" i="123"/>
  <c r="BV86" i="105"/>
  <c r="BV86" i="123"/>
  <c r="BW86" i="105"/>
  <c r="BW86" i="123"/>
  <c r="BX86" i="105"/>
  <c r="BX86" i="123"/>
  <c r="BY86" i="105"/>
  <c r="BY86" i="123"/>
  <c r="BZ86" i="105"/>
  <c r="BZ86" i="123"/>
  <c r="CA86" i="105"/>
  <c r="CA86" i="123"/>
  <c r="CC86" i="123"/>
  <c r="CC148" i="123"/>
  <c r="BS58" i="123"/>
  <c r="BU58" i="105"/>
  <c r="BU58" i="123"/>
  <c r="BV58" i="105"/>
  <c r="BV58" i="123"/>
  <c r="BW58" i="105"/>
  <c r="BW58" i="123"/>
  <c r="BX58" i="105"/>
  <c r="BX58" i="123"/>
  <c r="BY58" i="105"/>
  <c r="BY58" i="123"/>
  <c r="BZ58" i="105"/>
  <c r="BZ58" i="123"/>
  <c r="CA58" i="105"/>
  <c r="CA58" i="123"/>
  <c r="CC58" i="123"/>
  <c r="BS60" i="123"/>
  <c r="CC60" i="123"/>
  <c r="CC149" i="123"/>
  <c r="BI70" i="105"/>
  <c r="BS70" i="105"/>
  <c r="BS70" i="123"/>
  <c r="BA70" i="105"/>
  <c r="BK70" i="105"/>
  <c r="BU70" i="105"/>
  <c r="BU70" i="123"/>
  <c r="BB70" i="105"/>
  <c r="BL70" i="105"/>
  <c r="BV70" i="105"/>
  <c r="BV70" i="123"/>
  <c r="BC70" i="105"/>
  <c r="BM70" i="105"/>
  <c r="BW70" i="105"/>
  <c r="BW70" i="123"/>
  <c r="BD70" i="105"/>
  <c r="BN70" i="105"/>
  <c r="BX70" i="105"/>
  <c r="BX70" i="123"/>
  <c r="BE70" i="105"/>
  <c r="BO70" i="105"/>
  <c r="BY70" i="105"/>
  <c r="BY70" i="123"/>
  <c r="BF70" i="105"/>
  <c r="BP70" i="105"/>
  <c r="BZ70" i="105"/>
  <c r="BZ70" i="123"/>
  <c r="BG70" i="105"/>
  <c r="BQ70" i="105"/>
  <c r="CA70" i="105"/>
  <c r="CA70" i="123"/>
  <c r="CC70" i="123"/>
  <c r="CC153" i="123"/>
  <c r="AJ148" i="123"/>
  <c r="AJ149" i="123"/>
  <c r="AJ153" i="123"/>
  <c r="BT148" i="105"/>
  <c r="BT149" i="105"/>
  <c r="BT153" i="105"/>
  <c r="AK148" i="123"/>
  <c r="AK149" i="123"/>
  <c r="AK153" i="123"/>
  <c r="AS83" i="105"/>
  <c r="AS84" i="105"/>
  <c r="AS85" i="105"/>
  <c r="AS86" i="105"/>
  <c r="AS148" i="105"/>
  <c r="AS58" i="105"/>
  <c r="AS60" i="105"/>
  <c r="AS149" i="105"/>
  <c r="AS70" i="105"/>
  <c r="AS153" i="105"/>
  <c r="CC83" i="105"/>
  <c r="CC84" i="105"/>
  <c r="CC85" i="105"/>
  <c r="CC86" i="105"/>
  <c r="CC148" i="105"/>
  <c r="CC58" i="105"/>
  <c r="CC60" i="105"/>
  <c r="CC149" i="105"/>
  <c r="CC70" i="105"/>
  <c r="CC153" i="105"/>
  <c r="AK148" i="105"/>
  <c r="AK149" i="105"/>
  <c r="AK153" i="105"/>
  <c r="AJ148" i="105"/>
  <c r="AJ149" i="105"/>
  <c r="AJ153" i="105"/>
  <c r="BU148" i="123"/>
  <c r="BU149" i="123"/>
  <c r="BU153" i="123"/>
  <c r="BU148" i="105"/>
  <c r="BU149" i="105"/>
  <c r="BU153" i="105"/>
  <c r="BZ148" i="123"/>
  <c r="BZ149" i="123"/>
  <c r="BZ153" i="123"/>
  <c r="AP148" i="123"/>
  <c r="AP149" i="123"/>
  <c r="AP153" i="123"/>
  <c r="BZ148" i="105"/>
  <c r="BZ149" i="105"/>
  <c r="BZ153" i="105"/>
  <c r="AP148" i="105"/>
  <c r="AP149" i="105"/>
  <c r="AP153" i="105"/>
  <c r="AM148" i="105"/>
  <c r="AM149" i="105"/>
  <c r="AM153" i="105"/>
  <c r="BW148" i="123"/>
  <c r="BW149" i="123"/>
  <c r="BW153" i="123"/>
  <c r="AO148" i="105"/>
  <c r="AO149" i="105"/>
  <c r="AO153" i="105"/>
  <c r="AM148" i="123"/>
  <c r="AM149" i="123"/>
  <c r="AM153" i="123"/>
  <c r="BW148" i="105"/>
  <c r="BW149" i="105"/>
  <c r="BW153" i="105"/>
  <c r="AO148" i="123"/>
  <c r="AO149" i="123"/>
  <c r="AO153" i="123"/>
  <c r="BX148" i="105"/>
  <c r="BX149" i="105"/>
  <c r="BX153" i="105"/>
  <c r="BX148" i="123"/>
  <c r="BX149" i="123"/>
  <c r="BX153" i="123"/>
  <c r="BV148" i="123"/>
  <c r="BV149" i="123"/>
  <c r="BV153" i="123"/>
  <c r="BV148" i="105"/>
  <c r="BV149" i="105"/>
  <c r="BV153" i="105"/>
  <c r="BY148" i="105"/>
  <c r="BY149" i="105"/>
  <c r="BY153" i="105"/>
  <c r="BY148" i="123"/>
  <c r="BY149" i="123"/>
  <c r="BY153" i="123"/>
  <c r="Q83" i="123"/>
  <c r="Q148" i="123"/>
  <c r="Q70" i="123"/>
  <c r="Q153" i="123"/>
  <c r="P148" i="105"/>
  <c r="P153" i="105"/>
  <c r="Q148" i="105"/>
  <c r="Q153" i="105"/>
  <c r="S83" i="123"/>
  <c r="S148" i="123"/>
  <c r="S70" i="123"/>
  <c r="S153" i="123"/>
  <c r="P83" i="123"/>
  <c r="P148" i="123"/>
  <c r="P70" i="123"/>
  <c r="P153" i="123"/>
  <c r="U148" i="105"/>
  <c r="U153" i="105"/>
  <c r="U83" i="123"/>
  <c r="U148" i="123"/>
  <c r="U70" i="123"/>
  <c r="U153" i="123"/>
  <c r="S148" i="105"/>
  <c r="S153" i="105"/>
  <c r="V83" i="123"/>
  <c r="V148" i="123"/>
  <c r="V70" i="123"/>
  <c r="V153" i="123"/>
  <c r="V148" i="105"/>
  <c r="V153" i="105"/>
  <c r="CA148" i="105"/>
  <c r="CA149" i="105"/>
  <c r="CA153" i="105"/>
  <c r="CA148" i="123"/>
  <c r="CA149" i="123"/>
  <c r="CA153" i="123"/>
  <c r="CG83" i="105"/>
  <c r="CG83" i="123"/>
  <c r="CH83" i="105"/>
  <c r="CH83" i="123"/>
  <c r="CI83" i="105"/>
  <c r="CI83" i="123"/>
  <c r="CJ83" i="105"/>
  <c r="CJ83" i="123"/>
  <c r="CK83" i="105"/>
  <c r="CK83" i="123"/>
  <c r="CL83" i="105"/>
  <c r="CL83" i="123"/>
  <c r="CM83" i="105"/>
  <c r="CM83" i="123"/>
  <c r="CN83" i="105"/>
  <c r="CN83" i="123"/>
  <c r="CP83" i="123"/>
  <c r="CP148" i="123"/>
  <c r="CF70" i="105"/>
  <c r="CF70" i="123"/>
  <c r="CG70" i="105"/>
  <c r="CG70" i="123"/>
  <c r="CH70" i="105"/>
  <c r="CH70" i="123"/>
  <c r="CI70" i="105"/>
  <c r="CI70" i="123"/>
  <c r="CJ70" i="105"/>
  <c r="CJ70" i="123"/>
  <c r="CK70" i="105"/>
  <c r="CK70" i="123"/>
  <c r="CL70" i="105"/>
  <c r="CL70" i="123"/>
  <c r="CM70" i="105"/>
  <c r="CM70" i="123"/>
  <c r="CN70" i="105"/>
  <c r="CN70" i="123"/>
  <c r="CP70" i="123"/>
  <c r="CP153" i="123"/>
  <c r="CG148" i="123"/>
  <c r="CG153" i="123"/>
  <c r="CN148" i="123"/>
  <c r="CN153" i="123"/>
  <c r="CP83" i="105"/>
  <c r="CP148" i="105"/>
  <c r="CP70" i="105"/>
  <c r="CP153" i="105"/>
  <c r="CJ148" i="105"/>
  <c r="CJ153" i="105"/>
  <c r="CI148" i="105"/>
  <c r="CI153" i="105"/>
  <c r="CL148" i="105"/>
  <c r="CL153" i="105"/>
  <c r="CG148" i="105"/>
  <c r="CG153" i="105"/>
  <c r="CL148" i="123"/>
  <c r="CL153" i="123"/>
  <c r="CI148" i="123"/>
  <c r="CI153" i="123"/>
  <c r="CN148" i="105"/>
  <c r="CN153" i="105"/>
  <c r="BQ83" i="123"/>
  <c r="BQ148" i="123"/>
  <c r="BQ70" i="123"/>
  <c r="BQ153" i="123"/>
  <c r="BQ148" i="105"/>
  <c r="BQ153" i="105"/>
  <c r="CK148" i="123"/>
  <c r="CK153" i="123"/>
  <c r="CK148" i="105"/>
  <c r="CK153" i="105"/>
  <c r="BN83" i="123"/>
  <c r="BN148" i="123"/>
  <c r="BN70" i="123"/>
  <c r="BN153" i="123"/>
  <c r="BM148" i="105"/>
  <c r="BM153" i="105"/>
  <c r="CM148" i="105"/>
  <c r="CM153" i="105"/>
  <c r="BM83" i="123"/>
  <c r="BM148" i="123"/>
  <c r="BM70" i="123"/>
  <c r="BM153" i="123"/>
  <c r="CJ148" i="123"/>
  <c r="CJ153" i="123"/>
  <c r="BP148" i="105"/>
  <c r="BP153" i="105"/>
  <c r="CH148" i="123"/>
  <c r="CH153" i="123"/>
  <c r="CH148" i="105"/>
  <c r="CH153" i="105"/>
  <c r="BL83" i="123"/>
  <c r="BL148" i="123"/>
  <c r="BL70" i="123"/>
  <c r="BL153" i="123"/>
  <c r="BO83" i="123"/>
  <c r="BO148" i="123"/>
  <c r="BO70" i="123"/>
  <c r="BO153" i="123"/>
  <c r="BJ83" i="123"/>
  <c r="BJ148" i="123"/>
  <c r="BJ70" i="123"/>
  <c r="BJ153" i="123"/>
  <c r="BL148" i="105"/>
  <c r="BL153" i="105"/>
  <c r="BJ148" i="105"/>
  <c r="BJ153" i="105"/>
  <c r="CM148" i="123"/>
  <c r="CM153" i="123"/>
  <c r="BN148" i="105"/>
  <c r="BN153" i="105"/>
  <c r="BP83" i="123"/>
  <c r="BP148" i="123"/>
  <c r="BP70" i="123"/>
  <c r="BP153" i="123"/>
  <c r="BO148" i="105"/>
  <c r="BO153" i="105"/>
  <c r="BK83" i="123"/>
  <c r="BK148" i="123"/>
  <c r="BK70" i="123"/>
  <c r="BK153" i="123"/>
  <c r="AZ83" i="123"/>
  <c r="AZ148" i="123"/>
  <c r="AZ70" i="123"/>
  <c r="AZ153" i="123"/>
  <c r="BF83" i="123"/>
  <c r="BF148" i="123"/>
  <c r="BF70" i="123"/>
  <c r="BF153" i="123"/>
  <c r="BF148" i="105"/>
  <c r="BF153" i="105"/>
  <c r="AZ148" i="105"/>
  <c r="AZ153" i="105"/>
  <c r="BK148" i="105"/>
  <c r="BK153" i="105"/>
  <c r="BA148" i="105"/>
  <c r="BA153" i="105"/>
  <c r="I83" i="123"/>
  <c r="I148" i="123"/>
  <c r="I70" i="123"/>
  <c r="I153" i="123"/>
  <c r="K148" i="105"/>
  <c r="K153" i="105"/>
  <c r="BE148" i="105"/>
  <c r="BE153" i="105"/>
  <c r="I148" i="105"/>
  <c r="I153" i="105"/>
  <c r="BC148" i="105"/>
  <c r="BC153" i="105"/>
  <c r="BE83" i="123"/>
  <c r="BE148" i="123"/>
  <c r="BE70" i="123"/>
  <c r="BE153" i="123"/>
  <c r="BC83" i="123"/>
  <c r="BC148" i="123"/>
  <c r="BC70" i="123"/>
  <c r="BC153" i="123"/>
  <c r="K83" i="123"/>
  <c r="K148" i="123"/>
  <c r="K70" i="123"/>
  <c r="K153" i="123"/>
  <c r="BA83" i="123"/>
  <c r="BA148" i="123"/>
  <c r="BA70" i="123"/>
  <c r="BA153" i="123"/>
  <c r="L83" i="123"/>
  <c r="L148" i="123"/>
  <c r="L70" i="123"/>
  <c r="L153" i="123"/>
  <c r="F148" i="105"/>
  <c r="F153" i="105"/>
  <c r="F83" i="123"/>
  <c r="F148" i="123"/>
  <c r="F70" i="123"/>
  <c r="F153" i="123"/>
  <c r="G148" i="105"/>
  <c r="G153" i="105"/>
  <c r="G83" i="123"/>
  <c r="G148" i="123"/>
  <c r="G70" i="123"/>
  <c r="G153" i="123"/>
  <c r="L148" i="105"/>
  <c r="L153" i="105"/>
  <c r="G462" i="39"/>
  <c r="CR19" i="166"/>
  <c r="CR20" i="166"/>
  <c r="CW20" i="166"/>
  <c r="AY155" i="59"/>
  <c r="H462" i="39"/>
  <c r="CR19" i="167"/>
  <c r="CR20" i="167"/>
  <c r="CW20" i="167"/>
  <c r="AZ155" i="59"/>
  <c r="J462" i="39"/>
  <c r="CR19" i="169"/>
  <c r="CR20" i="169"/>
  <c r="CW20" i="169"/>
  <c r="BB155" i="59"/>
  <c r="L462" i="39"/>
  <c r="CR19" i="171"/>
  <c r="CR20" i="171"/>
  <c r="CW20" i="171"/>
  <c r="BD155" i="59"/>
  <c r="M462" i="39"/>
  <c r="CR19" i="172"/>
  <c r="CR20" i="172"/>
  <c r="CW20" i="172"/>
  <c r="BE155" i="59"/>
  <c r="CR28" i="166"/>
  <c r="CR90" i="166"/>
  <c r="AY175" i="59"/>
  <c r="AY139" i="59"/>
  <c r="CD26" i="105"/>
  <c r="CD141" i="105"/>
  <c r="CQ26" i="105"/>
  <c r="CQ141" i="105"/>
  <c r="AT26" i="105"/>
  <c r="AT141" i="105"/>
  <c r="CR141" i="105"/>
  <c r="CR26" i="105"/>
  <c r="CD26" i="123"/>
  <c r="CD141" i="123"/>
  <c r="CQ26" i="123"/>
  <c r="CQ141" i="123"/>
  <c r="AT26" i="123"/>
  <c r="AT141" i="123"/>
  <c r="CR141" i="123"/>
  <c r="CR26" i="123"/>
  <c r="J463" i="39"/>
  <c r="L463" i="39"/>
  <c r="H463" i="39"/>
  <c r="G463" i="39"/>
  <c r="M463" i="39"/>
  <c r="CR28" i="172"/>
  <c r="CR90" i="172"/>
  <c r="BE175" i="59"/>
  <c r="BE139" i="59"/>
  <c r="CR28" i="169"/>
  <c r="CR90" i="169"/>
  <c r="BB175" i="59"/>
  <c r="BB139" i="59"/>
  <c r="CR28" i="171"/>
  <c r="CR90" i="171"/>
  <c r="BD175" i="59"/>
  <c r="BD139" i="59"/>
  <c r="CR28" i="167"/>
  <c r="CR90" i="167"/>
  <c r="AZ175" i="59"/>
  <c r="AZ139" i="59"/>
  <c r="CW19" i="166"/>
  <c r="CW19" i="167"/>
  <c r="CW19" i="169"/>
  <c r="CW19" i="171"/>
  <c r="CW19" i="172"/>
  <c r="CW28" i="172"/>
  <c r="CW28" i="171"/>
  <c r="J814" i="40"/>
  <c r="J864" i="40"/>
  <c r="BI22" i="169"/>
  <c r="BI24" i="169"/>
  <c r="BI28" i="169"/>
  <c r="J815" i="40"/>
  <c r="J865" i="40"/>
  <c r="BJ22" i="169"/>
  <c r="BJ24" i="169"/>
  <c r="BJ28" i="169"/>
  <c r="CW28" i="169"/>
  <c r="H814" i="40"/>
  <c r="H864" i="40"/>
  <c r="BI22" i="167"/>
  <c r="BI24" i="167"/>
  <c r="BI28" i="167"/>
  <c r="H815" i="40"/>
  <c r="H865" i="40"/>
  <c r="BJ22" i="167"/>
  <c r="BJ24" i="167"/>
  <c r="BJ28" i="167"/>
  <c r="CW28" i="167"/>
  <c r="CW28" i="166"/>
  <c r="K195" i="123"/>
  <c r="G195" i="123"/>
  <c r="F195" i="123"/>
  <c r="I195" i="123"/>
  <c r="CD14" i="105"/>
  <c r="CD137" i="105"/>
  <c r="AT14" i="105"/>
  <c r="AT137" i="105"/>
  <c r="CR137" i="105"/>
  <c r="CD58" i="123"/>
  <c r="CD60" i="123"/>
  <c r="CD149" i="123"/>
  <c r="AT58" i="123"/>
  <c r="AT60" i="123"/>
  <c r="AT149" i="123"/>
  <c r="CR149" i="123"/>
  <c r="CD58" i="105"/>
  <c r="CD60" i="105"/>
  <c r="CD149" i="105"/>
  <c r="AT58" i="105"/>
  <c r="AT60" i="105"/>
  <c r="AT149" i="105"/>
  <c r="CR149" i="105"/>
  <c r="CD14" i="123"/>
  <c r="CD137" i="123"/>
  <c r="CR137" i="123"/>
  <c r="AL136" i="123"/>
  <c r="AL137" i="123"/>
  <c r="AL136" i="105"/>
  <c r="AL137" i="105"/>
  <c r="AN136" i="123"/>
  <c r="AN137" i="123"/>
  <c r="AN136" i="105"/>
  <c r="AN137" i="105"/>
  <c r="BV136" i="105"/>
  <c r="BV137" i="105"/>
  <c r="BX136" i="105"/>
  <c r="BX137" i="105"/>
  <c r="BV136" i="123"/>
  <c r="BV137" i="123"/>
  <c r="BX136" i="123"/>
  <c r="BX137" i="123"/>
  <c r="AN160" i="123"/>
  <c r="AN161" i="123"/>
  <c r="AN160" i="105"/>
  <c r="AN161" i="105"/>
  <c r="AL160" i="105"/>
  <c r="AL161" i="105"/>
  <c r="AL160" i="123"/>
  <c r="AL161" i="123"/>
  <c r="BS136" i="123"/>
  <c r="BS137" i="123"/>
  <c r="BS160" i="123"/>
  <c r="BS161" i="123"/>
  <c r="BS136" i="105"/>
  <c r="BS137" i="105"/>
  <c r="BS160" i="105"/>
  <c r="BS161" i="105"/>
  <c r="AI160" i="123"/>
  <c r="AI161" i="123"/>
  <c r="AI136" i="123"/>
  <c r="AI137" i="123"/>
  <c r="AI160" i="105"/>
  <c r="AI161" i="105"/>
  <c r="AI136" i="105"/>
  <c r="AI137" i="105"/>
  <c r="AQ136" i="123"/>
  <c r="AQ137" i="123"/>
  <c r="AQ136" i="105"/>
  <c r="AQ137" i="105"/>
  <c r="CA136" i="105"/>
  <c r="CA137" i="105"/>
  <c r="CA136" i="123"/>
  <c r="CA137" i="123"/>
  <c r="AQ160" i="105"/>
  <c r="AQ161" i="105"/>
  <c r="AQ160" i="123"/>
  <c r="AQ161" i="123"/>
  <c r="BB160" i="105"/>
  <c r="BB129" i="123"/>
  <c r="BB160" i="123"/>
  <c r="BD129" i="123"/>
  <c r="BD160" i="123"/>
  <c r="BD160" i="105"/>
  <c r="H129" i="123"/>
  <c r="H160" i="123"/>
  <c r="H160" i="105"/>
  <c r="J129" i="123"/>
  <c r="J160" i="123"/>
  <c r="J160" i="105"/>
  <c r="BG129" i="123"/>
  <c r="BG160" i="123"/>
  <c r="BG160" i="105"/>
  <c r="M160" i="105"/>
  <c r="M129" i="123"/>
  <c r="M160" i="123"/>
  <c r="CK136" i="105"/>
  <c r="CK136" i="123"/>
  <c r="CI136" i="123"/>
  <c r="CI136" i="105"/>
  <c r="BN136" i="105"/>
  <c r="BN39" i="123"/>
  <c r="BN136" i="123"/>
  <c r="BQ39" i="123"/>
  <c r="BQ136" i="123"/>
  <c r="BQ136" i="105"/>
  <c r="CN136" i="105"/>
  <c r="BD39" i="123"/>
  <c r="BD136" i="123"/>
  <c r="BD136" i="105"/>
  <c r="BL39" i="123"/>
  <c r="BL136" i="123"/>
  <c r="BL136" i="105"/>
  <c r="CN136" i="123"/>
  <c r="J39" i="123"/>
  <c r="J136" i="123"/>
  <c r="J136" i="105"/>
  <c r="BB136" i="105"/>
  <c r="H39" i="123"/>
  <c r="H136" i="123"/>
  <c r="BB39" i="123"/>
  <c r="BB136" i="123"/>
  <c r="H136" i="105"/>
  <c r="BG39" i="123"/>
  <c r="BG136" i="123"/>
  <c r="BG136" i="105"/>
  <c r="T39" i="123"/>
  <c r="T136" i="123"/>
  <c r="T160" i="105"/>
  <c r="T129" i="123"/>
  <c r="T160" i="123"/>
  <c r="T136" i="105"/>
  <c r="R160" i="105"/>
  <c r="R129" i="123"/>
  <c r="R160" i="123"/>
  <c r="M136" i="105"/>
  <c r="R39" i="123"/>
  <c r="R136" i="123"/>
  <c r="R136" i="105"/>
  <c r="M39" i="123"/>
  <c r="M136" i="123"/>
  <c r="O136" i="105"/>
  <c r="O39" i="123"/>
  <c r="O136" i="123"/>
  <c r="O129" i="123"/>
  <c r="O160" i="123"/>
  <c r="O160" i="105"/>
  <c r="O148" i="105"/>
  <c r="O149" i="105"/>
  <c r="O83" i="123"/>
  <c r="O148" i="123"/>
  <c r="O60" i="123"/>
  <c r="O149" i="123"/>
  <c r="M83" i="123"/>
  <c r="M148" i="123"/>
  <c r="BG83" i="123"/>
  <c r="BG148" i="123"/>
  <c r="M148" i="105"/>
  <c r="BG148" i="105"/>
  <c r="H148" i="105"/>
  <c r="J83" i="123"/>
  <c r="J148" i="123"/>
  <c r="J148" i="105"/>
  <c r="H83" i="123"/>
  <c r="H148" i="123"/>
  <c r="BB83" i="123"/>
  <c r="BB148" i="123"/>
  <c r="BD83" i="123"/>
  <c r="BD148" i="123"/>
  <c r="BB148" i="105"/>
  <c r="BD148" i="105"/>
  <c r="AQ148" i="123"/>
  <c r="AQ149" i="123"/>
  <c r="AQ148" i="105"/>
  <c r="AQ149" i="105"/>
  <c r="AI148" i="105"/>
  <c r="AI149" i="105"/>
  <c r="AI148" i="123"/>
  <c r="AI149" i="123"/>
  <c r="BS148" i="123"/>
  <c r="BS149" i="123"/>
  <c r="T148" i="105"/>
  <c r="T83" i="123"/>
  <c r="T148" i="123"/>
  <c r="R83" i="123"/>
  <c r="R148" i="123"/>
  <c r="R148" i="105"/>
  <c r="AN148" i="123"/>
  <c r="AN149" i="123"/>
  <c r="AL148" i="105"/>
  <c r="AL149" i="105"/>
  <c r="AL148" i="123"/>
  <c r="AL149" i="123"/>
  <c r="AN148" i="105"/>
  <c r="AN149" i="105"/>
  <c r="CD103" i="105"/>
  <c r="CD161" i="105"/>
  <c r="AT103" i="105"/>
  <c r="AT161" i="105"/>
  <c r="CR161" i="105"/>
  <c r="CD104" i="123"/>
  <c r="CD161" i="123"/>
  <c r="AT104" i="123"/>
  <c r="AT161" i="123"/>
  <c r="CR161" i="123"/>
  <c r="CR103" i="105"/>
  <c r="N1000" i="40"/>
  <c r="N59" i="127"/>
  <c r="N1009" i="40"/>
  <c r="N60" i="127"/>
  <c r="N1018" i="40"/>
  <c r="N61" i="127"/>
  <c r="N78" i="127"/>
  <c r="N97" i="127"/>
  <c r="F1000" i="40"/>
  <c r="F59" i="127"/>
  <c r="F1009" i="40"/>
  <c r="F60" i="127"/>
  <c r="F1018" i="40"/>
  <c r="F61" i="127"/>
  <c r="F78" i="127"/>
  <c r="F97" i="127"/>
  <c r="F1003" i="40"/>
  <c r="AM59" i="127"/>
  <c r="F1012" i="40"/>
  <c r="AM60" i="127"/>
  <c r="F1021" i="40"/>
  <c r="AM61" i="127"/>
  <c r="AM78" i="127"/>
  <c r="AM97" i="127"/>
  <c r="F1002" i="40"/>
  <c r="AB59" i="127"/>
  <c r="F1011" i="40"/>
  <c r="AB60" i="127"/>
  <c r="F1020" i="40"/>
  <c r="AB61" i="127"/>
  <c r="AB78" i="127"/>
  <c r="AB97" i="127"/>
  <c r="F1001" i="40"/>
  <c r="Q59" i="127"/>
  <c r="F1010" i="40"/>
  <c r="Q60" i="127"/>
  <c r="F1019" i="40"/>
  <c r="Q61" i="127"/>
  <c r="Q78" i="127"/>
  <c r="Q97" i="127"/>
  <c r="N1003" i="40"/>
  <c r="AU59" i="127"/>
  <c r="N1012" i="40"/>
  <c r="AU60" i="127"/>
  <c r="N1021" i="40"/>
  <c r="AU61" i="127"/>
  <c r="AU78" i="127"/>
  <c r="AU97" i="127"/>
  <c r="N1002" i="40"/>
  <c r="AJ59" i="127"/>
  <c r="N1011" i="40"/>
  <c r="AJ60" i="127"/>
  <c r="N1020" i="40"/>
  <c r="AJ61" i="127"/>
  <c r="AJ78" i="127"/>
  <c r="AJ97" i="127"/>
  <c r="N1001" i="40"/>
  <c r="Y59" i="127"/>
  <c r="N1010" i="40"/>
  <c r="Y60" i="127"/>
  <c r="N1019" i="40"/>
  <c r="Y61" i="127"/>
  <c r="Y78" i="127"/>
  <c r="Y97" i="127"/>
  <c r="K1000" i="40"/>
  <c r="K59" i="127"/>
  <c r="K1009" i="40"/>
  <c r="K60" i="127"/>
  <c r="K1018" i="40"/>
  <c r="K61" i="127"/>
  <c r="K78" i="127"/>
  <c r="I1000" i="40"/>
  <c r="I59" i="127"/>
  <c r="I1009" i="40"/>
  <c r="I60" i="127"/>
  <c r="I1018" i="40"/>
  <c r="I61" i="127"/>
  <c r="I78" i="127"/>
  <c r="I97" i="127"/>
  <c r="I1003" i="40"/>
  <c r="AP59" i="127"/>
  <c r="I1012" i="40"/>
  <c r="AP60" i="127"/>
  <c r="I1021" i="40"/>
  <c r="AP61" i="127"/>
  <c r="AP78" i="127"/>
  <c r="AP97" i="127"/>
  <c r="I1002" i="40"/>
  <c r="AE59" i="127"/>
  <c r="I1011" i="40"/>
  <c r="AE60" i="127"/>
  <c r="I1020" i="40"/>
  <c r="AE61" i="127"/>
  <c r="AE78" i="127"/>
  <c r="AE97" i="127"/>
  <c r="I1001" i="40"/>
  <c r="T59" i="127"/>
  <c r="I1010" i="40"/>
  <c r="T60" i="127"/>
  <c r="I1019" i="40"/>
  <c r="T61" i="127"/>
  <c r="T78" i="127"/>
  <c r="T97" i="127"/>
  <c r="K97" i="127"/>
  <c r="K1003" i="40"/>
  <c r="AR59" i="127"/>
  <c r="K1012" i="40"/>
  <c r="AR60" i="127"/>
  <c r="K1021" i="40"/>
  <c r="AR61" i="127"/>
  <c r="AR78" i="127"/>
  <c r="AR97" i="127"/>
  <c r="K1002" i="40"/>
  <c r="AG59" i="127"/>
  <c r="K1011" i="40"/>
  <c r="AG60" i="127"/>
  <c r="K1020" i="40"/>
  <c r="AG61" i="127"/>
  <c r="AG78" i="127"/>
  <c r="AG97" i="127"/>
  <c r="K1001" i="40"/>
  <c r="V59" i="127"/>
  <c r="K1010" i="40"/>
  <c r="V60" i="127"/>
  <c r="K1019" i="40"/>
  <c r="V61" i="127"/>
  <c r="V78" i="127"/>
  <c r="V97" i="127"/>
  <c r="L1000" i="40"/>
  <c r="L59" i="127"/>
  <c r="L1009" i="40"/>
  <c r="L60" i="127"/>
  <c r="L1018" i="40"/>
  <c r="L61" i="127"/>
  <c r="L78" i="127"/>
  <c r="J1000" i="40"/>
  <c r="J59" i="127"/>
  <c r="J1009" i="40"/>
  <c r="J60" i="127"/>
  <c r="J1018" i="40"/>
  <c r="J61" i="127"/>
  <c r="J78" i="127"/>
  <c r="L97" i="127"/>
  <c r="L1003" i="40"/>
  <c r="AS59" i="127"/>
  <c r="L1012" i="40"/>
  <c r="AS60" i="127"/>
  <c r="L1021" i="40"/>
  <c r="AS61" i="127"/>
  <c r="AS78" i="127"/>
  <c r="AS97" i="127"/>
  <c r="L1002" i="40"/>
  <c r="AH59" i="127"/>
  <c r="L1011" i="40"/>
  <c r="AH60" i="127"/>
  <c r="L1020" i="40"/>
  <c r="AH61" i="127"/>
  <c r="AH78" i="127"/>
  <c r="AH97" i="127"/>
  <c r="L1001" i="40"/>
  <c r="W59" i="127"/>
  <c r="L1010" i="40"/>
  <c r="W60" i="127"/>
  <c r="L1019" i="40"/>
  <c r="W61" i="127"/>
  <c r="W78" i="127"/>
  <c r="W97" i="127"/>
  <c r="J97" i="127"/>
  <c r="J1003" i="40"/>
  <c r="AQ59" i="127"/>
  <c r="J1012" i="40"/>
  <c r="AQ60" i="127"/>
  <c r="J1021" i="40"/>
  <c r="AQ61" i="127"/>
  <c r="AQ78" i="127"/>
  <c r="AQ97" i="127"/>
  <c r="J1002" i="40"/>
  <c r="AF59" i="127"/>
  <c r="J1011" i="40"/>
  <c r="AF60" i="127"/>
  <c r="J1020" i="40"/>
  <c r="AF61" i="127"/>
  <c r="AF78" i="127"/>
  <c r="AF97" i="127"/>
  <c r="J1001" i="40"/>
  <c r="U59" i="127"/>
  <c r="J1010" i="40"/>
  <c r="U60" i="127"/>
  <c r="J1019" i="40"/>
  <c r="U61" i="127"/>
  <c r="U78" i="127"/>
  <c r="U97" i="127"/>
  <c r="M1000" i="40"/>
  <c r="M59" i="127"/>
  <c r="M1009" i="40"/>
  <c r="M60" i="127"/>
  <c r="M1018" i="40"/>
  <c r="M61" i="127"/>
  <c r="M78" i="127"/>
  <c r="M97" i="127"/>
  <c r="M1003" i="40"/>
  <c r="AT59" i="127"/>
  <c r="M1012" i="40"/>
  <c r="AT60" i="127"/>
  <c r="M1021" i="40"/>
  <c r="AT61" i="127"/>
  <c r="AT78" i="127"/>
  <c r="AT97" i="127"/>
  <c r="M1002" i="40"/>
  <c r="AI59" i="127"/>
  <c r="M1011" i="40"/>
  <c r="AI60" i="127"/>
  <c r="M1020" i="40"/>
  <c r="AI61" i="127"/>
  <c r="AI78" i="127"/>
  <c r="AI97" i="127"/>
  <c r="M1001" i="40"/>
  <c r="X59" i="127"/>
  <c r="M1010" i="40"/>
  <c r="X60" i="127"/>
  <c r="M1019" i="40"/>
  <c r="X61" i="127"/>
  <c r="X78" i="127"/>
  <c r="X97" i="127"/>
  <c r="H1000" i="40"/>
  <c r="H59" i="127"/>
  <c r="H1009" i="40"/>
  <c r="H60" i="127"/>
  <c r="H1018" i="40"/>
  <c r="H61" i="127"/>
  <c r="H78" i="127"/>
  <c r="G1000" i="40"/>
  <c r="G59" i="127"/>
  <c r="G1009" i="40"/>
  <c r="G60" i="127"/>
  <c r="G1018" i="40"/>
  <c r="G61" i="127"/>
  <c r="G78" i="127"/>
  <c r="G97" i="127"/>
  <c r="G1003" i="40"/>
  <c r="AN59" i="127"/>
  <c r="G1012" i="40"/>
  <c r="AN60" i="127"/>
  <c r="G1021" i="40"/>
  <c r="AN61" i="127"/>
  <c r="AN78" i="127"/>
  <c r="AN97" i="127"/>
  <c r="G1002" i="40"/>
  <c r="AC59" i="127"/>
  <c r="G1011" i="40"/>
  <c r="AC60" i="127"/>
  <c r="G1020" i="40"/>
  <c r="AC61" i="127"/>
  <c r="AC78" i="127"/>
  <c r="AC97" i="127"/>
  <c r="G1001" i="40"/>
  <c r="R59" i="127"/>
  <c r="G1010" i="40"/>
  <c r="R60" i="127"/>
  <c r="G1019" i="40"/>
  <c r="R61" i="127"/>
  <c r="R78" i="127"/>
  <c r="R97" i="127"/>
  <c r="H97" i="127"/>
  <c r="H1003" i="40"/>
  <c r="AO59" i="127"/>
  <c r="H1012" i="40"/>
  <c r="AO60" i="127"/>
  <c r="H1021" i="40"/>
  <c r="AO61" i="127"/>
  <c r="AO78" i="127"/>
  <c r="AO97" i="127"/>
  <c r="H1002" i="40"/>
  <c r="AD59" i="127"/>
  <c r="H1011" i="40"/>
  <c r="AD60" i="127"/>
  <c r="H1020" i="40"/>
  <c r="AD61" i="127"/>
  <c r="AD78" i="127"/>
  <c r="AD97" i="127"/>
  <c r="H1001" i="40"/>
  <c r="S59" i="127"/>
  <c r="H1010" i="40"/>
  <c r="S60" i="127"/>
  <c r="H1019" i="40"/>
  <c r="S61" i="127"/>
  <c r="S78" i="127"/>
  <c r="S97" i="127"/>
  <c r="CR104" i="123"/>
  <c r="CW16" i="172"/>
  <c r="CW16" i="171"/>
  <c r="CW16" i="170"/>
  <c r="CW16" i="169"/>
  <c r="CW16" i="168"/>
  <c r="CW16" i="167"/>
  <c r="CW16" i="166"/>
  <c r="I172" i="62"/>
  <c r="J172" i="62"/>
  <c r="L172" i="62"/>
  <c r="K172" i="62"/>
  <c r="M172" i="62"/>
  <c r="H172" i="62"/>
  <c r="G172" i="62"/>
  <c r="CW24" i="172"/>
  <c r="BE156" i="59"/>
  <c r="CW24" i="171"/>
  <c r="BD156" i="59"/>
  <c r="CW24" i="170"/>
  <c r="BC156" i="59"/>
  <c r="CW24" i="169"/>
  <c r="BB156" i="59"/>
  <c r="CW24" i="168"/>
  <c r="BA156" i="59"/>
  <c r="CW24" i="167"/>
  <c r="AZ156" i="59"/>
  <c r="CW24" i="166"/>
  <c r="AY156" i="59"/>
  <c r="F814" i="40"/>
  <c r="F864" i="40"/>
  <c r="BI22" i="70"/>
  <c r="BI24" i="70"/>
  <c r="F815" i="40"/>
  <c r="F865" i="40"/>
  <c r="BJ22" i="70"/>
  <c r="BJ24" i="70"/>
  <c r="CW24" i="70"/>
  <c r="AX156" i="59"/>
  <c r="AW49" i="60"/>
  <c r="CW22" i="172"/>
  <c r="CW22" i="171"/>
  <c r="CW22" i="170"/>
  <c r="CW22" i="169"/>
  <c r="CW22" i="168"/>
  <c r="CW22" i="167"/>
  <c r="CW22" i="166"/>
  <c r="G852" i="40"/>
  <c r="F65" i="177"/>
  <c r="AC13" i="177"/>
  <c r="H852" i="40"/>
  <c r="G65" i="177"/>
  <c r="AD13" i="177"/>
  <c r="I852" i="40"/>
  <c r="H65" i="177"/>
  <c r="AE13" i="177"/>
  <c r="J852" i="40"/>
  <c r="I65" i="177"/>
  <c r="AF13" i="177"/>
  <c r="K852" i="40"/>
  <c r="J65" i="177"/>
  <c r="AG13" i="177"/>
  <c r="L852" i="40"/>
  <c r="K65" i="177"/>
  <c r="AH13" i="177"/>
  <c r="M852" i="40"/>
  <c r="L65" i="177"/>
  <c r="AI13" i="177"/>
  <c r="BB228" i="59"/>
  <c r="AY228" i="59"/>
  <c r="BC228" i="59"/>
  <c r="BD228" i="59"/>
  <c r="BA228" i="59"/>
  <c r="BE228" i="59"/>
  <c r="AZ228" i="59"/>
  <c r="M834" i="40"/>
  <c r="M871" i="40"/>
  <c r="M872" i="40"/>
  <c r="M873" i="40"/>
  <c r="M874" i="40"/>
  <c r="M887" i="40"/>
  <c r="M888" i="40"/>
  <c r="M889" i="40"/>
  <c r="M890" i="40"/>
  <c r="M843" i="40"/>
  <c r="M879" i="40"/>
  <c r="M880" i="40"/>
  <c r="M881" i="40"/>
  <c r="M882" i="40"/>
  <c r="L843" i="40"/>
  <c r="L879" i="40"/>
  <c r="L880" i="40"/>
  <c r="L881" i="40"/>
  <c r="L882" i="40"/>
  <c r="M866" i="40"/>
  <c r="L834" i="40"/>
  <c r="L871" i="40"/>
  <c r="L872" i="40"/>
  <c r="L873" i="40"/>
  <c r="L874" i="40"/>
  <c r="L887" i="40"/>
  <c r="L888" i="40"/>
  <c r="L889" i="40"/>
  <c r="L890" i="40"/>
  <c r="L866" i="40"/>
  <c r="K834" i="40"/>
  <c r="K871" i="40"/>
  <c r="K872" i="40"/>
  <c r="K873" i="40"/>
  <c r="K874" i="40"/>
  <c r="K843" i="40"/>
  <c r="K879" i="40"/>
  <c r="K880" i="40"/>
  <c r="K881" i="40"/>
  <c r="K882" i="40"/>
  <c r="K887" i="40"/>
  <c r="K888" i="40"/>
  <c r="K889" i="40"/>
  <c r="K890" i="40"/>
  <c r="J887" i="40"/>
  <c r="J888" i="40"/>
  <c r="J889" i="40"/>
  <c r="J890" i="40"/>
  <c r="J834" i="40"/>
  <c r="J871" i="40"/>
  <c r="J872" i="40"/>
  <c r="J873" i="40"/>
  <c r="J874" i="40"/>
  <c r="M994" i="40"/>
  <c r="M991" i="40"/>
  <c r="M993" i="40"/>
  <c r="M992" i="40"/>
  <c r="K866" i="40"/>
  <c r="J843" i="40"/>
  <c r="J879" i="40"/>
  <c r="J880" i="40"/>
  <c r="J881" i="40"/>
  <c r="J882" i="40"/>
  <c r="L994" i="40"/>
  <c r="L993" i="40"/>
  <c r="L992" i="40"/>
  <c r="L991" i="40"/>
  <c r="I887" i="40"/>
  <c r="I888" i="40"/>
  <c r="I889" i="40"/>
  <c r="I890" i="40"/>
  <c r="I834" i="40"/>
  <c r="I871" i="40"/>
  <c r="I872" i="40"/>
  <c r="I873" i="40"/>
  <c r="I874" i="40"/>
  <c r="J866" i="40"/>
  <c r="I843" i="40"/>
  <c r="I879" i="40"/>
  <c r="I880" i="40"/>
  <c r="I881" i="40"/>
  <c r="I882" i="40"/>
  <c r="I866" i="40"/>
  <c r="K993" i="40"/>
  <c r="K991" i="40"/>
  <c r="K994" i="40"/>
  <c r="K992" i="40"/>
  <c r="H843" i="40"/>
  <c r="H879" i="40"/>
  <c r="H880" i="40"/>
  <c r="H881" i="40"/>
  <c r="H882" i="40"/>
  <c r="H887" i="40"/>
  <c r="H888" i="40"/>
  <c r="H889" i="40"/>
  <c r="H890" i="40"/>
  <c r="H834" i="40"/>
  <c r="H871" i="40"/>
  <c r="H872" i="40"/>
  <c r="H873" i="40"/>
  <c r="H874" i="40"/>
  <c r="J992" i="40"/>
  <c r="J993" i="40"/>
  <c r="J994" i="40"/>
  <c r="J991" i="40"/>
  <c r="G843" i="40"/>
  <c r="G879" i="40"/>
  <c r="G880" i="40"/>
  <c r="G881" i="40"/>
  <c r="G882" i="40"/>
  <c r="G834" i="40"/>
  <c r="G871" i="40"/>
  <c r="G872" i="40"/>
  <c r="G873" i="40"/>
  <c r="G874" i="40"/>
  <c r="G887" i="40"/>
  <c r="G888" i="40"/>
  <c r="G889" i="40"/>
  <c r="G890" i="40"/>
  <c r="H866" i="40"/>
  <c r="I993" i="40"/>
  <c r="I994" i="40"/>
  <c r="I991" i="40"/>
  <c r="I992" i="40"/>
  <c r="G866" i="40"/>
  <c r="G992" i="40"/>
  <c r="H991" i="40"/>
  <c r="H994" i="40"/>
  <c r="H993" i="40"/>
  <c r="H992" i="40"/>
  <c r="G991" i="40"/>
  <c r="G993" i="40"/>
  <c r="G994" i="40"/>
  <c r="F991" i="40"/>
  <c r="F994" i="40"/>
  <c r="F992" i="40"/>
  <c r="F993" i="40"/>
  <c r="F866" i="40"/>
  <c r="F843" i="40"/>
  <c r="F879" i="40"/>
  <c r="F880" i="40"/>
  <c r="F881" i="40"/>
  <c r="F882" i="40"/>
  <c r="F834" i="40"/>
  <c r="F871" i="40"/>
  <c r="F872" i="40"/>
  <c r="F873" i="40"/>
  <c r="F874" i="40"/>
  <c r="F852" i="40"/>
  <c r="F887" i="40"/>
  <c r="F888" i="40"/>
  <c r="F889" i="40"/>
  <c r="F890" i="40"/>
  <c r="CW22" i="70"/>
  <c r="AX228" i="59"/>
  <c r="E65" i="177"/>
  <c r="AB13" i="177"/>
  <c r="N814" i="40"/>
  <c r="N864" i="40"/>
  <c r="BI22" i="173"/>
  <c r="BI24" i="173"/>
  <c r="N815" i="40"/>
  <c r="N865" i="40"/>
  <c r="BJ22" i="173"/>
  <c r="BJ24" i="173"/>
  <c r="CW24" i="173"/>
  <c r="AX49" i="60"/>
  <c r="AY49" i="60"/>
  <c r="BF228" i="59"/>
  <c r="N843" i="40"/>
  <c r="N879" i="40"/>
  <c r="N880" i="40"/>
  <c r="N881" i="40"/>
  <c r="N882" i="40"/>
  <c r="N834" i="40"/>
  <c r="N871" i="40"/>
  <c r="N872" i="40"/>
  <c r="N873" i="40"/>
  <c r="N874" i="40"/>
  <c r="N852" i="40"/>
  <c r="N887" i="40"/>
  <c r="N888" i="40"/>
  <c r="N889" i="40"/>
  <c r="N890" i="40"/>
  <c r="N866" i="40"/>
  <c r="N992" i="40"/>
  <c r="N991" i="40"/>
  <c r="N993" i="40"/>
  <c r="N994" i="40"/>
  <c r="M65" i="177"/>
  <c r="AJ13" i="177"/>
  <c r="CW22" i="173"/>
  <c r="BF156" i="59"/>
  <c r="N172" i="62"/>
  <c r="CW16" i="173"/>
  <c r="N898" i="40"/>
  <c r="N903" i="40"/>
  <c r="N844" i="40"/>
  <c r="M63" i="177"/>
  <c r="M64" i="177"/>
  <c r="AJ36" i="177"/>
  <c r="F844" i="40"/>
  <c r="E63" i="177"/>
  <c r="E64" i="177"/>
  <c r="AB36" i="177"/>
  <c r="G844" i="40"/>
  <c r="F63" i="177"/>
  <c r="F64" i="177"/>
  <c r="AC36" i="177"/>
  <c r="H844" i="40"/>
  <c r="G63" i="177"/>
  <c r="G64" i="177"/>
  <c r="AD36" i="177"/>
  <c r="I844" i="40"/>
  <c r="H63" i="177"/>
  <c r="H64" i="177"/>
  <c r="AE36" i="177"/>
  <c r="J844" i="40"/>
  <c r="I63" i="177"/>
  <c r="I64" i="177"/>
  <c r="AF36" i="177"/>
  <c r="K844" i="40"/>
  <c r="J63" i="177"/>
  <c r="J64" i="177"/>
  <c r="AG36" i="177"/>
  <c r="L844" i="40"/>
  <c r="K63" i="177"/>
  <c r="K64" i="177"/>
  <c r="AH36" i="177"/>
  <c r="M844" i="40"/>
  <c r="L63" i="177"/>
  <c r="L64" i="177"/>
  <c r="AI36" i="177"/>
  <c r="F903" i="40"/>
  <c r="G898" i="40"/>
  <c r="G903" i="40"/>
  <c r="F898" i="40"/>
  <c r="H903" i="40"/>
  <c r="H898" i="40"/>
  <c r="I903" i="40"/>
  <c r="I898" i="40"/>
  <c r="J898" i="40"/>
  <c r="J903" i="40"/>
  <c r="K898" i="40"/>
  <c r="K903" i="40"/>
  <c r="L903" i="40"/>
  <c r="L898" i="40"/>
  <c r="M898" i="40"/>
  <c r="M903" i="40"/>
  <c r="N807" i="40"/>
  <c r="N822" i="40"/>
  <c r="K22" i="173"/>
  <c r="K24" i="173"/>
  <c r="K28" i="173"/>
  <c r="N808" i="40"/>
  <c r="N823" i="40"/>
  <c r="L22" i="173"/>
  <c r="L24" i="173"/>
  <c r="L28" i="173"/>
  <c r="N809" i="40"/>
  <c r="N824" i="40"/>
  <c r="M22" i="173"/>
  <c r="M24" i="173"/>
  <c r="M28" i="173"/>
  <c r="P28" i="173"/>
  <c r="AH28" i="173"/>
  <c r="BE28" i="173"/>
  <c r="P22" i="173"/>
  <c r="P24" i="173"/>
  <c r="AH24" i="173"/>
  <c r="BE24" i="173"/>
  <c r="AH22" i="173"/>
  <c r="BE22" i="173"/>
  <c r="M807" i="40"/>
  <c r="M822" i="40"/>
  <c r="K22" i="172"/>
  <c r="K24" i="172"/>
  <c r="K28" i="172"/>
  <c r="M808" i="40"/>
  <c r="M823" i="40"/>
  <c r="L22" i="172"/>
  <c r="L24" i="172"/>
  <c r="L28" i="172"/>
  <c r="M809" i="40"/>
  <c r="M824" i="40"/>
  <c r="M22" i="172"/>
  <c r="M24" i="172"/>
  <c r="M28" i="172"/>
  <c r="P28" i="172"/>
  <c r="AH28" i="172"/>
  <c r="BE28" i="172"/>
  <c r="P22" i="172"/>
  <c r="P24" i="172"/>
  <c r="AH24" i="172"/>
  <c r="BE24" i="172"/>
  <c r="AH22" i="172"/>
  <c r="BE22" i="172"/>
  <c r="L807" i="40"/>
  <c r="L822" i="40"/>
  <c r="K22" i="171"/>
  <c r="K24" i="171"/>
  <c r="K28" i="171"/>
  <c r="L808" i="40"/>
  <c r="L823" i="40"/>
  <c r="L22" i="171"/>
  <c r="L24" i="171"/>
  <c r="L28" i="171"/>
  <c r="L809" i="40"/>
  <c r="L824" i="40"/>
  <c r="M22" i="171"/>
  <c r="M24" i="171"/>
  <c r="M28" i="171"/>
  <c r="P28" i="171"/>
  <c r="AH28" i="171"/>
  <c r="BE28" i="171"/>
  <c r="P22" i="171"/>
  <c r="P24" i="171"/>
  <c r="AH24" i="171"/>
  <c r="BE24" i="171"/>
  <c r="AH22" i="171"/>
  <c r="BE22" i="171"/>
  <c r="K807" i="40"/>
  <c r="K822" i="40"/>
  <c r="K22" i="170"/>
  <c r="K24" i="170"/>
  <c r="K28" i="170"/>
  <c r="K808" i="40"/>
  <c r="K823" i="40"/>
  <c r="L22" i="170"/>
  <c r="L24" i="170"/>
  <c r="L28" i="170"/>
  <c r="K809" i="40"/>
  <c r="K824" i="40"/>
  <c r="M22" i="170"/>
  <c r="M24" i="170"/>
  <c r="M28" i="170"/>
  <c r="P28" i="170"/>
  <c r="AH28" i="170"/>
  <c r="BE28" i="170"/>
  <c r="P22" i="170"/>
  <c r="P24" i="170"/>
  <c r="AH24" i="170"/>
  <c r="BE24" i="170"/>
  <c r="AH22" i="170"/>
  <c r="BE22" i="170"/>
  <c r="J807" i="40"/>
  <c r="J822" i="40"/>
  <c r="K22" i="169"/>
  <c r="K24" i="169"/>
  <c r="K28" i="169"/>
  <c r="J808" i="40"/>
  <c r="J823" i="40"/>
  <c r="L22" i="169"/>
  <c r="L24" i="169"/>
  <c r="L28" i="169"/>
  <c r="J809" i="40"/>
  <c r="J824" i="40"/>
  <c r="M22" i="169"/>
  <c r="M24" i="169"/>
  <c r="M28" i="169"/>
  <c r="P28" i="169"/>
  <c r="AH28" i="169"/>
  <c r="BE28" i="169"/>
  <c r="P22" i="169"/>
  <c r="P24" i="169"/>
  <c r="AH24" i="169"/>
  <c r="BE24" i="169"/>
  <c r="AH22" i="169"/>
  <c r="BE22" i="169"/>
  <c r="I807" i="40"/>
  <c r="I822" i="40"/>
  <c r="K22" i="168"/>
  <c r="K24" i="168"/>
  <c r="K28" i="168"/>
  <c r="I808" i="40"/>
  <c r="I823" i="40"/>
  <c r="L22" i="168"/>
  <c r="L24" i="168"/>
  <c r="L28" i="168"/>
  <c r="I809" i="40"/>
  <c r="I824" i="40"/>
  <c r="M22" i="168"/>
  <c r="M24" i="168"/>
  <c r="M28" i="168"/>
  <c r="P28" i="168"/>
  <c r="AH28" i="168"/>
  <c r="BE28" i="168"/>
  <c r="P22" i="168"/>
  <c r="P24" i="168"/>
  <c r="AH24" i="168"/>
  <c r="BE24" i="168"/>
  <c r="AH22" i="168"/>
  <c r="BE22" i="168"/>
  <c r="H807" i="40"/>
  <c r="H822" i="40"/>
  <c r="K22" i="167"/>
  <c r="K24" i="167"/>
  <c r="K28" i="167"/>
  <c r="H808" i="40"/>
  <c r="H823" i="40"/>
  <c r="L22" i="167"/>
  <c r="L24" i="167"/>
  <c r="L28" i="167"/>
  <c r="H809" i="40"/>
  <c r="H824" i="40"/>
  <c r="M22" i="167"/>
  <c r="M24" i="167"/>
  <c r="M28" i="167"/>
  <c r="P28" i="167"/>
  <c r="AH28" i="167"/>
  <c r="BE28" i="167"/>
  <c r="P22" i="167"/>
  <c r="P24" i="167"/>
  <c r="AH24" i="167"/>
  <c r="BE24" i="167"/>
  <c r="AH22" i="167"/>
  <c r="BE22" i="167"/>
  <c r="G807" i="40"/>
  <c r="G822" i="40"/>
  <c r="K22" i="166"/>
  <c r="K24" i="166"/>
  <c r="K28" i="166"/>
  <c r="G808" i="40"/>
  <c r="G823" i="40"/>
  <c r="L22" i="166"/>
  <c r="L24" i="166"/>
  <c r="L28" i="166"/>
  <c r="G809" i="40"/>
  <c r="G824" i="40"/>
  <c r="M22" i="166"/>
  <c r="M24" i="166"/>
  <c r="M28" i="166"/>
  <c r="P28" i="166"/>
  <c r="AH28" i="166"/>
  <c r="BE28" i="166"/>
  <c r="P22" i="166"/>
  <c r="P24" i="166"/>
  <c r="AH24" i="166"/>
  <c r="BE24" i="166"/>
  <c r="AH22" i="166"/>
  <c r="BE22" i="166"/>
  <c r="F835" i="40"/>
  <c r="E60" i="177"/>
  <c r="E61" i="177"/>
  <c r="F836" i="40"/>
  <c r="E62" i="177"/>
  <c r="AB37" i="177"/>
  <c r="G835" i="40"/>
  <c r="F60" i="177"/>
  <c r="F61" i="177"/>
  <c r="G836" i="40"/>
  <c r="F62" i="177"/>
  <c r="AC37" i="177"/>
  <c r="H835" i="40"/>
  <c r="G60" i="177"/>
  <c r="G61" i="177"/>
  <c r="H836" i="40"/>
  <c r="G62" i="177"/>
  <c r="AD37" i="177"/>
  <c r="I835" i="40"/>
  <c r="H60" i="177"/>
  <c r="H61" i="177"/>
  <c r="I836" i="40"/>
  <c r="H62" i="177"/>
  <c r="AE37" i="177"/>
  <c r="J835" i="40"/>
  <c r="I60" i="177"/>
  <c r="I61" i="177"/>
  <c r="J836" i="40"/>
  <c r="I62" i="177"/>
  <c r="AF37" i="177"/>
  <c r="K835" i="40"/>
  <c r="J60" i="177"/>
  <c r="J61" i="177"/>
  <c r="K836" i="40"/>
  <c r="J62" i="177"/>
  <c r="AG37" i="177"/>
  <c r="L835" i="40"/>
  <c r="K60" i="177"/>
  <c r="K61" i="177"/>
  <c r="L836" i="40"/>
  <c r="K62" i="177"/>
  <c r="AH37" i="177"/>
  <c r="M835" i="40"/>
  <c r="L60" i="177"/>
  <c r="L61" i="177"/>
  <c r="M836" i="40"/>
  <c r="L62" i="177"/>
  <c r="AI37" i="177"/>
  <c r="N835" i="40"/>
  <c r="M60" i="177"/>
  <c r="M61" i="177"/>
  <c r="N836" i="40"/>
  <c r="M62" i="177"/>
  <c r="AJ37" i="177"/>
  <c r="F807" i="40"/>
  <c r="F822" i="40"/>
  <c r="K22" i="70"/>
  <c r="K24" i="70"/>
  <c r="K28" i="70"/>
  <c r="F808" i="40"/>
  <c r="F823" i="40"/>
  <c r="L22" i="70"/>
  <c r="L24" i="70"/>
  <c r="L28" i="70"/>
  <c r="F809" i="40"/>
  <c r="F824" i="40"/>
  <c r="M22" i="70"/>
  <c r="M24" i="70"/>
  <c r="M28" i="70"/>
  <c r="P28" i="70"/>
  <c r="AH28" i="70"/>
  <c r="BE28" i="70"/>
  <c r="P22" i="70"/>
  <c r="P24" i="70"/>
  <c r="AH24" i="70"/>
  <c r="BE24" i="70"/>
  <c r="AH22" i="70"/>
  <c r="BE22" i="70"/>
  <c r="L828" i="40"/>
  <c r="G828" i="40"/>
  <c r="J828" i="40"/>
  <c r="F828" i="40"/>
  <c r="I828" i="40"/>
  <c r="K828" i="40"/>
  <c r="N828" i="40"/>
  <c r="H828" i="40"/>
  <c r="M828" i="40"/>
  <c r="K833" i="40"/>
  <c r="K837" i="40"/>
  <c r="K810" i="40"/>
  <c r="I810" i="40"/>
  <c r="I833" i="40"/>
  <c r="I837" i="40"/>
  <c r="H810" i="40"/>
  <c r="H833" i="40"/>
  <c r="H837" i="40"/>
  <c r="N810" i="40"/>
  <c r="N833" i="40"/>
  <c r="N837" i="40"/>
  <c r="F810" i="40"/>
  <c r="F833" i="40"/>
  <c r="F837" i="40"/>
  <c r="J810" i="40"/>
  <c r="J833" i="40"/>
  <c r="J837" i="40"/>
  <c r="G810" i="40"/>
  <c r="G833" i="40"/>
  <c r="G837" i="40"/>
  <c r="N851" i="40"/>
  <c r="N855" i="40"/>
  <c r="F842" i="40"/>
  <c r="F846" i="40"/>
  <c r="L842" i="40"/>
  <c r="L846" i="40"/>
  <c r="G842" i="40"/>
  <c r="G846" i="40"/>
  <c r="N842" i="40"/>
  <c r="N846" i="40"/>
  <c r="L833" i="40"/>
  <c r="L837" i="40"/>
  <c r="L810" i="40"/>
  <c r="H842" i="40"/>
  <c r="H846" i="40"/>
  <c r="M833" i="40"/>
  <c r="M837" i="40"/>
  <c r="M842" i="40"/>
  <c r="M846" i="40"/>
  <c r="H851" i="40"/>
  <c r="H855" i="40"/>
  <c r="J851" i="40"/>
  <c r="J855" i="40"/>
  <c r="K842" i="40"/>
  <c r="K846" i="40"/>
  <c r="K851" i="40"/>
  <c r="K855" i="40"/>
  <c r="M851" i="40"/>
  <c r="M855" i="40"/>
  <c r="G851" i="40"/>
  <c r="G855" i="40"/>
  <c r="I851" i="40"/>
  <c r="I855" i="40"/>
  <c r="L851" i="40"/>
  <c r="L855" i="40"/>
  <c r="F851" i="40"/>
  <c r="F855" i="40"/>
  <c r="I842" i="40"/>
  <c r="I846" i="40"/>
  <c r="M810" i="40"/>
  <c r="J842" i="40"/>
  <c r="J846" i="40"/>
  <c r="H185" i="123"/>
  <c r="I185" i="123"/>
  <c r="W39" i="123"/>
  <c r="W136" i="123"/>
  <c r="W26" i="123"/>
  <c r="W141" i="123"/>
  <c r="W143" i="123"/>
  <c r="W43" i="105"/>
  <c r="W43" i="123"/>
  <c r="W144" i="123"/>
  <c r="W136" i="105"/>
  <c r="W141" i="105"/>
  <c r="W143" i="105"/>
  <c r="W144" i="105"/>
  <c r="CR58" i="123"/>
  <c r="W148" i="105"/>
  <c r="W153" i="105"/>
  <c r="W155" i="105"/>
  <c r="W87" i="105"/>
  <c r="W156" i="105"/>
  <c r="W83" i="123"/>
  <c r="W148" i="123"/>
  <c r="W70" i="123"/>
  <c r="W153" i="123"/>
  <c r="W155" i="123"/>
  <c r="W87" i="123"/>
  <c r="W156" i="123"/>
  <c r="R116" i="123"/>
  <c r="R164" i="123"/>
  <c r="T116" i="123"/>
  <c r="T164" i="123"/>
  <c r="L223" i="123"/>
  <c r="M223" i="123"/>
  <c r="M212" i="123"/>
  <c r="L212" i="123"/>
  <c r="O116" i="123"/>
  <c r="O164" i="123"/>
  <c r="E116" i="123"/>
  <c r="E164" i="123"/>
  <c r="AY116" i="123"/>
  <c r="AY164" i="123"/>
  <c r="BI116" i="123"/>
  <c r="BI164" i="123"/>
  <c r="AI164" i="123"/>
  <c r="BS164" i="123"/>
  <c r="CF164" i="123"/>
  <c r="M116" i="123"/>
  <c r="M164" i="123"/>
  <c r="AQ164" i="123"/>
  <c r="BG116" i="123"/>
  <c r="BG164" i="123"/>
  <c r="J116" i="123"/>
  <c r="J164" i="123"/>
  <c r="H116" i="123"/>
  <c r="H164" i="123"/>
  <c r="BD116" i="123"/>
  <c r="BD164" i="123"/>
  <c r="AN164" i="123"/>
  <c r="AL164" i="123"/>
  <c r="BB116" i="123"/>
  <c r="BB164" i="123"/>
  <c r="BI28" i="70"/>
  <c r="BJ28" i="70"/>
  <c r="F462" i="39"/>
  <c r="CR19" i="70"/>
  <c r="CR20" i="70"/>
  <c r="CR28" i="70"/>
  <c r="CW28" i="70"/>
  <c r="I462" i="39"/>
  <c r="CR19" i="168"/>
  <c r="CR20" i="168"/>
  <c r="CR28" i="168"/>
  <c r="CW28" i="168"/>
  <c r="K462" i="39"/>
  <c r="CR19" i="170"/>
  <c r="CR20" i="170"/>
  <c r="CR28" i="170"/>
  <c r="CW28" i="170"/>
  <c r="BI28" i="173"/>
  <c r="BJ28" i="173"/>
  <c r="N462" i="39"/>
  <c r="CR19" i="173"/>
  <c r="CR20" i="173"/>
  <c r="CR28" i="173"/>
  <c r="CW28" i="173"/>
  <c r="CW20" i="173"/>
  <c r="BF155" i="59"/>
  <c r="M26" i="123"/>
  <c r="M141" i="123"/>
  <c r="M165" i="105"/>
  <c r="M70" i="123"/>
  <c r="M153" i="123"/>
  <c r="BG70" i="123"/>
  <c r="BG153" i="123"/>
  <c r="M141" i="105"/>
  <c r="M153" i="105"/>
  <c r="AQ153" i="105"/>
  <c r="AQ165" i="105"/>
  <c r="BG165" i="105"/>
  <c r="BG141" i="105"/>
  <c r="AQ141" i="123"/>
  <c r="BG153" i="105"/>
  <c r="BG26" i="123"/>
  <c r="BG141" i="123"/>
  <c r="AQ141" i="105"/>
  <c r="AQ153" i="123"/>
  <c r="CN141" i="123"/>
  <c r="CN141" i="105"/>
  <c r="CA141" i="105"/>
  <c r="CA141" i="123"/>
  <c r="BQ141" i="105"/>
  <c r="BQ26" i="123"/>
  <c r="BQ141" i="123"/>
  <c r="N463" i="39"/>
  <c r="AX45" i="60"/>
  <c r="AY45" i="60"/>
  <c r="CR90" i="173"/>
  <c r="BF175" i="59"/>
  <c r="BF139" i="59"/>
  <c r="CW19" i="173"/>
  <c r="CW93" i="173"/>
  <c r="N142" i="156"/>
  <c r="S63" i="173"/>
  <c r="S64" i="173"/>
  <c r="S66" i="173"/>
  <c r="S82" i="173"/>
  <c r="R66" i="173"/>
  <c r="R82" i="173"/>
  <c r="S84" i="173"/>
  <c r="S85" i="173"/>
  <c r="S87" i="173"/>
  <c r="S90" i="173"/>
  <c r="CW94" i="173"/>
  <c r="CW95" i="173"/>
  <c r="CW83" i="173"/>
  <c r="AH73" i="173"/>
  <c r="N69" i="30"/>
  <c r="N116" i="30"/>
  <c r="BB73" i="173"/>
  <c r="BC73" i="173"/>
  <c r="BE73" i="173"/>
  <c r="BE74" i="173"/>
  <c r="BB74" i="173"/>
  <c r="BC74" i="173"/>
  <c r="AH74" i="173"/>
  <c r="AH72" i="173"/>
  <c r="N544" i="112"/>
  <c r="J35" i="173"/>
  <c r="J36" i="173"/>
  <c r="J66" i="173"/>
  <c r="P66" i="173"/>
  <c r="N438" i="112"/>
  <c r="N543" i="112"/>
  <c r="W35" i="173"/>
  <c r="W36" i="173"/>
  <c r="W66" i="173"/>
  <c r="AH66" i="173"/>
  <c r="N144" i="156"/>
  <c r="BA63" i="173"/>
  <c r="BA64" i="173"/>
  <c r="BA66" i="173"/>
  <c r="N145" i="156"/>
  <c r="BB63" i="173"/>
  <c r="BB64" i="173"/>
  <c r="BB66" i="173"/>
  <c r="BC66" i="173"/>
  <c r="BE66" i="173"/>
  <c r="AH63" i="173"/>
  <c r="BC63" i="173"/>
  <c r="BE63" i="173"/>
  <c r="BE64" i="173"/>
  <c r="BC64" i="173"/>
  <c r="AH64" i="173"/>
  <c r="CW63" i="173"/>
  <c r="AH62" i="173"/>
  <c r="AH60" i="173"/>
  <c r="AH58" i="173"/>
  <c r="AH56" i="173"/>
  <c r="AH52" i="173"/>
  <c r="P36" i="173"/>
  <c r="AH36" i="173"/>
  <c r="BE36" i="173"/>
  <c r="P35" i="173"/>
  <c r="AH35" i="173"/>
  <c r="BE35" i="173"/>
  <c r="CW93" i="172"/>
  <c r="M142" i="156"/>
  <c r="S63" i="172"/>
  <c r="S64" i="172"/>
  <c r="S66" i="172"/>
  <c r="S82" i="172"/>
  <c r="R66" i="172"/>
  <c r="R82" i="172"/>
  <c r="S84" i="172"/>
  <c r="S85" i="172"/>
  <c r="S87" i="172"/>
  <c r="S90" i="172"/>
  <c r="CW94" i="172"/>
  <c r="CW95" i="172"/>
  <c r="CW83" i="172"/>
  <c r="AH73" i="172"/>
  <c r="M69" i="30"/>
  <c r="M116" i="30"/>
  <c r="BB73" i="172"/>
  <c r="BC73" i="172"/>
  <c r="BE73" i="172"/>
  <c r="BE74" i="172"/>
  <c r="BB74" i="172"/>
  <c r="BC74" i="172"/>
  <c r="AH74" i="172"/>
  <c r="AH72" i="172"/>
  <c r="M544" i="112"/>
  <c r="J35" i="172"/>
  <c r="J36" i="172"/>
  <c r="J66" i="172"/>
  <c r="P66" i="172"/>
  <c r="M438" i="112"/>
  <c r="M543" i="112"/>
  <c r="W35" i="172"/>
  <c r="W36" i="172"/>
  <c r="W66" i="172"/>
  <c r="AH66" i="172"/>
  <c r="M144" i="156"/>
  <c r="BA63" i="172"/>
  <c r="BA64" i="172"/>
  <c r="BA66" i="172"/>
  <c r="M145" i="156"/>
  <c r="BB63" i="172"/>
  <c r="BB64" i="172"/>
  <c r="BB66" i="172"/>
  <c r="BC66" i="172"/>
  <c r="BE66" i="172"/>
  <c r="AH63" i="172"/>
  <c r="BC63" i="172"/>
  <c r="BE63" i="172"/>
  <c r="BE64" i="172"/>
  <c r="BC64" i="172"/>
  <c r="AH64" i="172"/>
  <c r="CW63" i="172"/>
  <c r="AH62" i="172"/>
  <c r="AH60" i="172"/>
  <c r="AH58" i="172"/>
  <c r="AH56" i="172"/>
  <c r="AH52" i="172"/>
  <c r="P36" i="172"/>
  <c r="AH36" i="172"/>
  <c r="BE36" i="172"/>
  <c r="P35" i="172"/>
  <c r="AH35" i="172"/>
  <c r="BE35" i="172"/>
  <c r="CW93" i="171"/>
  <c r="L142" i="156"/>
  <c r="S63" i="171"/>
  <c r="S64" i="171"/>
  <c r="S66" i="171"/>
  <c r="S82" i="171"/>
  <c r="R66" i="171"/>
  <c r="R82" i="171"/>
  <c r="S84" i="171"/>
  <c r="S85" i="171"/>
  <c r="S87" i="171"/>
  <c r="S90" i="171"/>
  <c r="CW94" i="171"/>
  <c r="CW95" i="171"/>
  <c r="CW83" i="171"/>
  <c r="AH73" i="171"/>
  <c r="L69" i="30"/>
  <c r="L116" i="30"/>
  <c r="BB73" i="171"/>
  <c r="BC73" i="171"/>
  <c r="BE73" i="171"/>
  <c r="BE74" i="171"/>
  <c r="BB74" i="171"/>
  <c r="BC74" i="171"/>
  <c r="AH74" i="171"/>
  <c r="AH72" i="171"/>
  <c r="L544" i="112"/>
  <c r="J35" i="171"/>
  <c r="J36" i="171"/>
  <c r="J66" i="171"/>
  <c r="P66" i="171"/>
  <c r="L438" i="112"/>
  <c r="L543" i="112"/>
  <c r="W35" i="171"/>
  <c r="W36" i="171"/>
  <c r="W66" i="171"/>
  <c r="AH66" i="171"/>
  <c r="L144" i="156"/>
  <c r="BA63" i="171"/>
  <c r="BA64" i="171"/>
  <c r="BA66" i="171"/>
  <c r="L145" i="156"/>
  <c r="BB63" i="171"/>
  <c r="BB64" i="171"/>
  <c r="BB66" i="171"/>
  <c r="BC66" i="171"/>
  <c r="BE66" i="171"/>
  <c r="AH63" i="171"/>
  <c r="BC63" i="171"/>
  <c r="BE63" i="171"/>
  <c r="BE64" i="171"/>
  <c r="BC64" i="171"/>
  <c r="AH64" i="171"/>
  <c r="CW63" i="171"/>
  <c r="AH62" i="171"/>
  <c r="AH60" i="171"/>
  <c r="AH58" i="171"/>
  <c r="AH56" i="171"/>
  <c r="AH52" i="171"/>
  <c r="P36" i="171"/>
  <c r="AH36" i="171"/>
  <c r="BE36" i="171"/>
  <c r="P35" i="171"/>
  <c r="AH35" i="171"/>
  <c r="BE35" i="171"/>
  <c r="CW93" i="170"/>
  <c r="K142" i="156"/>
  <c r="S63" i="170"/>
  <c r="S64" i="170"/>
  <c r="S66" i="170"/>
  <c r="S82" i="170"/>
  <c r="R66" i="170"/>
  <c r="R82" i="170"/>
  <c r="S84" i="170"/>
  <c r="S85" i="170"/>
  <c r="S87" i="170"/>
  <c r="S90" i="170"/>
  <c r="CW94" i="170"/>
  <c r="CW95" i="170"/>
  <c r="CW83" i="170"/>
  <c r="AH73" i="170"/>
  <c r="K69" i="30"/>
  <c r="K116" i="30"/>
  <c r="BB73" i="170"/>
  <c r="BC73" i="170"/>
  <c r="BE73" i="170"/>
  <c r="BE74" i="170"/>
  <c r="BB74" i="170"/>
  <c r="BC74" i="170"/>
  <c r="AH74" i="170"/>
  <c r="AH72" i="170"/>
  <c r="K544" i="112"/>
  <c r="J35" i="170"/>
  <c r="J36" i="170"/>
  <c r="J66" i="170"/>
  <c r="P66" i="170"/>
  <c r="K438" i="112"/>
  <c r="K543" i="112"/>
  <c r="W35" i="170"/>
  <c r="W36" i="170"/>
  <c r="W66" i="170"/>
  <c r="AH66" i="170"/>
  <c r="K144" i="156"/>
  <c r="BA63" i="170"/>
  <c r="BA64" i="170"/>
  <c r="BA66" i="170"/>
  <c r="K145" i="156"/>
  <c r="BB63" i="170"/>
  <c r="BB64" i="170"/>
  <c r="BB66" i="170"/>
  <c r="BC66" i="170"/>
  <c r="BE66" i="170"/>
  <c r="AH63" i="170"/>
  <c r="BC63" i="170"/>
  <c r="BE63" i="170"/>
  <c r="BE64" i="170"/>
  <c r="BC64" i="170"/>
  <c r="AH64" i="170"/>
  <c r="CW63" i="170"/>
  <c r="AH62" i="170"/>
  <c r="AH60" i="170"/>
  <c r="AH58" i="170"/>
  <c r="AH56" i="170"/>
  <c r="AH52" i="170"/>
  <c r="P36" i="170"/>
  <c r="AH36" i="170"/>
  <c r="BE36" i="170"/>
  <c r="P35" i="170"/>
  <c r="AH35" i="170"/>
  <c r="BE35" i="170"/>
  <c r="CW93" i="169"/>
  <c r="J142" i="156"/>
  <c r="S63" i="169"/>
  <c r="S64" i="169"/>
  <c r="S66" i="169"/>
  <c r="S82" i="169"/>
  <c r="R66" i="169"/>
  <c r="R82" i="169"/>
  <c r="S84" i="169"/>
  <c r="S85" i="169"/>
  <c r="S87" i="169"/>
  <c r="S90" i="169"/>
  <c r="CW94" i="169"/>
  <c r="CW95" i="169"/>
  <c r="CW83" i="169"/>
  <c r="AH73" i="169"/>
  <c r="J69" i="30"/>
  <c r="J116" i="30"/>
  <c r="BB73" i="169"/>
  <c r="BC73" i="169"/>
  <c r="BE73" i="169"/>
  <c r="BE74" i="169"/>
  <c r="BB74" i="169"/>
  <c r="BC74" i="169"/>
  <c r="AH74" i="169"/>
  <c r="AH72" i="169"/>
  <c r="J544" i="112"/>
  <c r="J35" i="169"/>
  <c r="J36" i="169"/>
  <c r="J66" i="169"/>
  <c r="P66" i="169"/>
  <c r="J438" i="112"/>
  <c r="J543" i="112"/>
  <c r="W35" i="169"/>
  <c r="W36" i="169"/>
  <c r="W66" i="169"/>
  <c r="AH66" i="169"/>
  <c r="J144" i="156"/>
  <c r="BA63" i="169"/>
  <c r="BA64" i="169"/>
  <c r="BA66" i="169"/>
  <c r="J145" i="156"/>
  <c r="BB63" i="169"/>
  <c r="BB64" i="169"/>
  <c r="BB66" i="169"/>
  <c r="BC66" i="169"/>
  <c r="BE66" i="169"/>
  <c r="AH63" i="169"/>
  <c r="BC63" i="169"/>
  <c r="BE63" i="169"/>
  <c r="BE64" i="169"/>
  <c r="BC64" i="169"/>
  <c r="AH64" i="169"/>
  <c r="CW63" i="169"/>
  <c r="AH62" i="169"/>
  <c r="AH60" i="169"/>
  <c r="AH58" i="169"/>
  <c r="AH56" i="169"/>
  <c r="AH52" i="169"/>
  <c r="P36" i="169"/>
  <c r="AH36" i="169"/>
  <c r="BE36" i="169"/>
  <c r="P35" i="169"/>
  <c r="AH35" i="169"/>
  <c r="BE35" i="169"/>
  <c r="CW93" i="168"/>
  <c r="I142" i="156"/>
  <c r="S63" i="168"/>
  <c r="S64" i="168"/>
  <c r="S66" i="168"/>
  <c r="S82" i="168"/>
  <c r="R66" i="168"/>
  <c r="R82" i="168"/>
  <c r="S84" i="168"/>
  <c r="S85" i="168"/>
  <c r="S87" i="168"/>
  <c r="S90" i="168"/>
  <c r="CW94" i="168"/>
  <c r="CW95" i="168"/>
  <c r="CW83" i="168"/>
  <c r="AH73" i="168"/>
  <c r="I69" i="30"/>
  <c r="I116" i="30"/>
  <c r="BB73" i="168"/>
  <c r="BC73" i="168"/>
  <c r="BE73" i="168"/>
  <c r="BE74" i="168"/>
  <c r="BB74" i="168"/>
  <c r="BC74" i="168"/>
  <c r="AH74" i="168"/>
  <c r="AH72" i="168"/>
  <c r="I544" i="112"/>
  <c r="J35" i="168"/>
  <c r="J36" i="168"/>
  <c r="J66" i="168"/>
  <c r="P66" i="168"/>
  <c r="I438" i="112"/>
  <c r="I543" i="112"/>
  <c r="W35" i="168"/>
  <c r="W36" i="168"/>
  <c r="W66" i="168"/>
  <c r="AH66" i="168"/>
  <c r="I144" i="156"/>
  <c r="BA63" i="168"/>
  <c r="BA64" i="168"/>
  <c r="BA66" i="168"/>
  <c r="I145" i="156"/>
  <c r="BB63" i="168"/>
  <c r="BB64" i="168"/>
  <c r="BB66" i="168"/>
  <c r="BC66" i="168"/>
  <c r="BE66" i="168"/>
  <c r="AH63" i="168"/>
  <c r="BC63" i="168"/>
  <c r="BE63" i="168"/>
  <c r="BE64" i="168"/>
  <c r="BC64" i="168"/>
  <c r="AH64" i="168"/>
  <c r="CW63" i="168"/>
  <c r="AH62" i="168"/>
  <c r="AH60" i="168"/>
  <c r="AH58" i="168"/>
  <c r="AH56" i="168"/>
  <c r="AH52" i="168"/>
  <c r="P36" i="168"/>
  <c r="AH36" i="168"/>
  <c r="BE36" i="168"/>
  <c r="P35" i="168"/>
  <c r="AH35" i="168"/>
  <c r="BE35" i="168"/>
  <c r="CW93" i="167"/>
  <c r="H142" i="156"/>
  <c r="S63" i="167"/>
  <c r="S64" i="167"/>
  <c r="S66" i="167"/>
  <c r="S82" i="167"/>
  <c r="R66" i="167"/>
  <c r="R82" i="167"/>
  <c r="S84" i="167"/>
  <c r="S85" i="167"/>
  <c r="S87" i="167"/>
  <c r="S90" i="167"/>
  <c r="CW94" i="167"/>
  <c r="CW95" i="167"/>
  <c r="CW83" i="167"/>
  <c r="AH73" i="167"/>
  <c r="H69" i="30"/>
  <c r="H116" i="30"/>
  <c r="BB73" i="167"/>
  <c r="BC73" i="167"/>
  <c r="BE73" i="167"/>
  <c r="BE74" i="167"/>
  <c r="BB74" i="167"/>
  <c r="BC74" i="167"/>
  <c r="AH74" i="167"/>
  <c r="AH72" i="167"/>
  <c r="H544" i="112"/>
  <c r="J35" i="167"/>
  <c r="J36" i="167"/>
  <c r="J66" i="167"/>
  <c r="P66" i="167"/>
  <c r="H438" i="112"/>
  <c r="H543" i="112"/>
  <c r="W35" i="167"/>
  <c r="W36" i="167"/>
  <c r="W66" i="167"/>
  <c r="AH66" i="167"/>
  <c r="H144" i="156"/>
  <c r="BA63" i="167"/>
  <c r="BA64" i="167"/>
  <c r="BA66" i="167"/>
  <c r="H145" i="156"/>
  <c r="BB63" i="167"/>
  <c r="BB64" i="167"/>
  <c r="BB66" i="167"/>
  <c r="BC66" i="167"/>
  <c r="BE66" i="167"/>
  <c r="AH63" i="167"/>
  <c r="BC63" i="167"/>
  <c r="BE63" i="167"/>
  <c r="BE64" i="167"/>
  <c r="BC64" i="167"/>
  <c r="AH64" i="167"/>
  <c r="CW63" i="167"/>
  <c r="AH62" i="167"/>
  <c r="AH60" i="167"/>
  <c r="AH58" i="167"/>
  <c r="AH56" i="167"/>
  <c r="AH52" i="167"/>
  <c r="P36" i="167"/>
  <c r="AH36" i="167"/>
  <c r="BE36" i="167"/>
  <c r="P35" i="167"/>
  <c r="AH35" i="167"/>
  <c r="BE35" i="167"/>
  <c r="CW93" i="166"/>
  <c r="G142" i="156"/>
  <c r="S63" i="166"/>
  <c r="S64" i="166"/>
  <c r="S66" i="166"/>
  <c r="S82" i="166"/>
  <c r="R66" i="166"/>
  <c r="R82" i="166"/>
  <c r="S84" i="166"/>
  <c r="S85" i="166"/>
  <c r="S87" i="166"/>
  <c r="S90" i="166"/>
  <c r="CW94" i="166"/>
  <c r="CW95" i="166"/>
  <c r="CW83" i="166"/>
  <c r="AH73" i="166"/>
  <c r="G69" i="30"/>
  <c r="G116" i="30"/>
  <c r="BB73" i="166"/>
  <c r="BC73" i="166"/>
  <c r="BE73" i="166"/>
  <c r="BE74" i="166"/>
  <c r="BB74" i="166"/>
  <c r="BC74" i="166"/>
  <c r="AH74" i="166"/>
  <c r="AH72" i="166"/>
  <c r="G544" i="112"/>
  <c r="J35" i="166"/>
  <c r="J36" i="166"/>
  <c r="J66" i="166"/>
  <c r="P66" i="166"/>
  <c r="G438" i="112"/>
  <c r="G543" i="112"/>
  <c r="W35" i="166"/>
  <c r="W36" i="166"/>
  <c r="W66" i="166"/>
  <c r="AH66" i="166"/>
  <c r="G144" i="156"/>
  <c r="BA63" i="166"/>
  <c r="BA64" i="166"/>
  <c r="BA66" i="166"/>
  <c r="G145" i="156"/>
  <c r="BB63" i="166"/>
  <c r="BB64" i="166"/>
  <c r="BB66" i="166"/>
  <c r="BC66" i="166"/>
  <c r="BE66" i="166"/>
  <c r="AH63" i="166"/>
  <c r="BC63" i="166"/>
  <c r="BE63" i="166"/>
  <c r="BE64" i="166"/>
  <c r="BC64" i="166"/>
  <c r="AH64" i="166"/>
  <c r="CW63" i="166"/>
  <c r="AH62" i="166"/>
  <c r="AH60" i="166"/>
  <c r="AH58" i="166"/>
  <c r="AH56" i="166"/>
  <c r="AH52" i="166"/>
  <c r="P36" i="166"/>
  <c r="AH36" i="166"/>
  <c r="BE36" i="166"/>
  <c r="P35" i="166"/>
  <c r="AH35" i="166"/>
  <c r="BE35" i="166"/>
  <c r="L11" i="177"/>
  <c r="L20" i="177"/>
  <c r="Y29" i="177"/>
  <c r="AI29" i="177"/>
  <c r="AS29" i="177"/>
  <c r="K11" i="177"/>
  <c r="K20" i="177"/>
  <c r="X29" i="177"/>
  <c r="AH29" i="177"/>
  <c r="AR29" i="177"/>
  <c r="J11" i="177"/>
  <c r="J20" i="177"/>
  <c r="W29" i="177"/>
  <c r="AG29" i="177"/>
  <c r="AQ29" i="177"/>
  <c r="I11" i="177"/>
  <c r="I20" i="177"/>
  <c r="V29" i="177"/>
  <c r="AF29" i="177"/>
  <c r="AP29" i="177"/>
  <c r="H11" i="177"/>
  <c r="H20" i="177"/>
  <c r="U29" i="177"/>
  <c r="AE29" i="177"/>
  <c r="AO29" i="177"/>
  <c r="G11" i="177"/>
  <c r="G20" i="177"/>
  <c r="T29" i="177"/>
  <c r="AD29" i="177"/>
  <c r="AN29" i="177"/>
  <c r="F11" i="177"/>
  <c r="F20" i="177"/>
  <c r="S29" i="177"/>
  <c r="AC29" i="177"/>
  <c r="AM29" i="177"/>
  <c r="E11" i="177"/>
  <c r="E20" i="177"/>
  <c r="R29" i="177"/>
  <c r="AB29" i="177"/>
  <c r="AL29" i="177"/>
  <c r="L29" i="177"/>
  <c r="L59" i="177"/>
  <c r="M120" i="116"/>
  <c r="L68" i="177"/>
  <c r="Y16" i="177"/>
  <c r="AI16" i="177"/>
  <c r="AS16" i="177"/>
  <c r="K29" i="177"/>
  <c r="K59" i="177"/>
  <c r="L120" i="116"/>
  <c r="K68" i="177"/>
  <c r="X16" i="177"/>
  <c r="AH16" i="177"/>
  <c r="AR16" i="177"/>
  <c r="J29" i="177"/>
  <c r="J59" i="177"/>
  <c r="K120" i="116"/>
  <c r="J68" i="177"/>
  <c r="W16" i="177"/>
  <c r="AG16" i="177"/>
  <c r="AQ16" i="177"/>
  <c r="I29" i="177"/>
  <c r="I59" i="177"/>
  <c r="J120" i="116"/>
  <c r="I68" i="177"/>
  <c r="V16" i="177"/>
  <c r="AF16" i="177"/>
  <c r="AP16" i="177"/>
  <c r="H29" i="177"/>
  <c r="H59" i="177"/>
  <c r="I120" i="116"/>
  <c r="H68" i="177"/>
  <c r="U16" i="177"/>
  <c r="AE16" i="177"/>
  <c r="AO16" i="177"/>
  <c r="G29" i="177"/>
  <c r="G59" i="177"/>
  <c r="H120" i="116"/>
  <c r="G68" i="177"/>
  <c r="T16" i="177"/>
  <c r="AD16" i="177"/>
  <c r="AN16" i="177"/>
  <c r="F29" i="177"/>
  <c r="F59" i="177"/>
  <c r="G120" i="116"/>
  <c r="F68" i="177"/>
  <c r="S16" i="177"/>
  <c r="AC16" i="177"/>
  <c r="AM16" i="177"/>
  <c r="E29" i="177"/>
  <c r="E59" i="177"/>
  <c r="F120" i="116"/>
  <c r="E68" i="177"/>
  <c r="R16" i="177"/>
  <c r="AB16" i="177"/>
  <c r="AL16" i="177"/>
  <c r="K87" i="111"/>
  <c r="I87" i="111"/>
  <c r="N87" i="111"/>
  <c r="BL36" i="60"/>
  <c r="BL41" i="60"/>
  <c r="BL42" i="60"/>
  <c r="BL39" i="60"/>
  <c r="BL40" i="60"/>
  <c r="BL38" i="60"/>
  <c r="BI36" i="60"/>
  <c r="BI38" i="60"/>
  <c r="BI39" i="60"/>
  <c r="BI42" i="60"/>
  <c r="BI40" i="60"/>
  <c r="BI41" i="60"/>
  <c r="BL37" i="60"/>
  <c r="BI37" i="60"/>
  <c r="BA233" i="59"/>
  <c r="BA234" i="59"/>
  <c r="BA260" i="59"/>
  <c r="BA218" i="59"/>
  <c r="BA219" i="59"/>
  <c r="BA261" i="59"/>
  <c r="BA262" i="59"/>
  <c r="BA267" i="59"/>
  <c r="BF233" i="59"/>
  <c r="BF234" i="59"/>
  <c r="BF260" i="59"/>
  <c r="BF218" i="59"/>
  <c r="BF219" i="59"/>
  <c r="BF261" i="59"/>
  <c r="BF262" i="59"/>
  <c r="BF267" i="59"/>
  <c r="BC233" i="59"/>
  <c r="BC234" i="59"/>
  <c r="BC260" i="59"/>
  <c r="BC218" i="59"/>
  <c r="BC219" i="59"/>
  <c r="BC261" i="59"/>
  <c r="BC262" i="59"/>
  <c r="BC267" i="59"/>
  <c r="BF259" i="59"/>
  <c r="BF263" i="59"/>
  <c r="BF95" i="59"/>
  <c r="BF105" i="59"/>
  <c r="BF270" i="59"/>
  <c r="BF271" i="59"/>
  <c r="BA259" i="59"/>
  <c r="BA263" i="59"/>
  <c r="BA268" i="59"/>
  <c r="BC259" i="59"/>
  <c r="BC263" i="59"/>
  <c r="BC268" i="59"/>
  <c r="AX233" i="59"/>
  <c r="AX234" i="59"/>
  <c r="AX260" i="59"/>
  <c r="AX218" i="59"/>
  <c r="AX219" i="59"/>
  <c r="AX261" i="59"/>
  <c r="AX262" i="59"/>
  <c r="AX267" i="59"/>
  <c r="BF268" i="59"/>
  <c r="BC95" i="59"/>
  <c r="BC105" i="59"/>
  <c r="BC270" i="59"/>
  <c r="BC271" i="59"/>
  <c r="BA95" i="59"/>
  <c r="BA105" i="59"/>
  <c r="BA270" i="59"/>
  <c r="BA271" i="59"/>
  <c r="AX259" i="59"/>
  <c r="AX263" i="59"/>
  <c r="AX268" i="59"/>
  <c r="N26" i="110"/>
  <c r="N342" i="110"/>
  <c r="N348" i="110"/>
  <c r="F142" i="156"/>
  <c r="S63" i="70"/>
  <c r="AX95" i="59"/>
  <c r="AX105" i="59"/>
  <c r="AX270" i="59"/>
  <c r="AX271" i="59"/>
  <c r="W76" i="173"/>
  <c r="W78" i="173"/>
  <c r="N18" i="111"/>
  <c r="N82" i="111"/>
  <c r="N113" i="111"/>
  <c r="W79" i="173"/>
  <c r="W80" i="173"/>
  <c r="BF243" i="59"/>
  <c r="BF253" i="59"/>
  <c r="N353" i="39"/>
  <c r="N357" i="39"/>
  <c r="BF206" i="59"/>
  <c r="BF212" i="59"/>
  <c r="N96" i="116"/>
  <c r="N90" i="116"/>
  <c r="N102" i="116"/>
  <c r="BL27" i="60"/>
  <c r="M86" i="133"/>
  <c r="M97" i="133"/>
  <c r="M108" i="133"/>
  <c r="M119" i="133"/>
  <c r="BF39" i="59"/>
  <c r="BF41" i="59"/>
  <c r="BF286" i="59"/>
  <c r="F87" i="111"/>
  <c r="F26" i="110"/>
  <c r="F342" i="110"/>
  <c r="F348" i="110"/>
  <c r="F438" i="112"/>
  <c r="F543" i="112"/>
  <c r="W35" i="70"/>
  <c r="W36" i="70"/>
  <c r="W66" i="70"/>
  <c r="W76" i="70"/>
  <c r="W78" i="70"/>
  <c r="F18" i="111"/>
  <c r="F82" i="111"/>
  <c r="F113" i="111"/>
  <c r="W79" i="70"/>
  <c r="W80" i="70"/>
  <c r="AX243" i="59"/>
  <c r="AX253" i="59"/>
  <c r="F357" i="39"/>
  <c r="F353" i="39"/>
  <c r="AX206" i="59"/>
  <c r="AX212" i="59"/>
  <c r="F96" i="116"/>
  <c r="F102" i="116"/>
  <c r="F90" i="116"/>
  <c r="M130" i="116"/>
  <c r="N130" i="116"/>
  <c r="K26" i="110"/>
  <c r="K342" i="110"/>
  <c r="K348" i="110"/>
  <c r="I26" i="110"/>
  <c r="I342" i="110"/>
  <c r="I348" i="110"/>
  <c r="F93" i="116"/>
  <c r="F99" i="116"/>
  <c r="F105" i="116"/>
  <c r="W76" i="170"/>
  <c r="W78" i="170"/>
  <c r="K18" i="111"/>
  <c r="K82" i="111"/>
  <c r="K113" i="111"/>
  <c r="W79" i="170"/>
  <c r="W80" i="170"/>
  <c r="BC243" i="59"/>
  <c r="BC253" i="59"/>
  <c r="K357" i="39"/>
  <c r="K353" i="39"/>
  <c r="W76" i="168"/>
  <c r="W78" i="168"/>
  <c r="I18" i="111"/>
  <c r="I82" i="111"/>
  <c r="I113" i="111"/>
  <c r="W79" i="168"/>
  <c r="W80" i="168"/>
  <c r="BA243" i="59"/>
  <c r="BA253" i="59"/>
  <c r="I353" i="39"/>
  <c r="I357" i="39"/>
  <c r="CW85" i="173"/>
  <c r="AX51" i="60"/>
  <c r="AY51" i="60"/>
  <c r="BA206" i="59"/>
  <c r="BA212" i="59"/>
  <c r="BC206" i="59"/>
  <c r="BC212" i="59"/>
  <c r="K90" i="116"/>
  <c r="K102" i="116"/>
  <c r="K96" i="116"/>
  <c r="I102" i="116"/>
  <c r="I90" i="116"/>
  <c r="I96" i="116"/>
  <c r="H130" i="116"/>
  <c r="J130" i="116"/>
  <c r="BI27" i="60"/>
  <c r="AX39" i="59"/>
  <c r="AX41" i="59"/>
  <c r="AX286" i="59"/>
  <c r="E86" i="133"/>
  <c r="E97" i="133"/>
  <c r="E108" i="133"/>
  <c r="E119" i="133"/>
  <c r="BA39" i="59"/>
  <c r="BA41" i="59"/>
  <c r="BA286" i="59"/>
  <c r="H86" i="133"/>
  <c r="H97" i="133"/>
  <c r="H108" i="133"/>
  <c r="H119" i="133"/>
  <c r="J86" i="133"/>
  <c r="J97" i="133"/>
  <c r="J108" i="133"/>
  <c r="J119" i="133"/>
  <c r="BC39" i="59"/>
  <c r="BC41" i="59"/>
  <c r="BC286" i="59"/>
  <c r="G87" i="111"/>
  <c r="BK36" i="60"/>
  <c r="BK37" i="60"/>
  <c r="BJ36" i="60"/>
  <c r="BJ41" i="60"/>
  <c r="BJ38" i="60"/>
  <c r="BJ39" i="60"/>
  <c r="BK39" i="60"/>
  <c r="BK38" i="60"/>
  <c r="BJ42" i="60"/>
  <c r="BK40" i="60"/>
  <c r="BJ40" i="60"/>
  <c r="BK42" i="60"/>
  <c r="BJ37" i="60"/>
  <c r="BK41" i="60"/>
  <c r="H87" i="111"/>
  <c r="L87" i="111"/>
  <c r="M87" i="111"/>
  <c r="J87" i="111"/>
  <c r="AY233" i="59"/>
  <c r="AY234" i="59"/>
  <c r="AY260" i="59"/>
  <c r="AY218" i="59"/>
  <c r="AY219" i="59"/>
  <c r="AY261" i="59"/>
  <c r="AY262" i="59"/>
  <c r="AY267" i="59"/>
  <c r="M26" i="110"/>
  <c r="M342" i="110"/>
  <c r="M348" i="110"/>
  <c r="J26" i="110"/>
  <c r="J342" i="110"/>
  <c r="J348" i="110"/>
  <c r="G26" i="110"/>
  <c r="G342" i="110"/>
  <c r="G348" i="110"/>
  <c r="H26" i="110"/>
  <c r="H342" i="110"/>
  <c r="H348" i="110"/>
  <c r="L26" i="110"/>
  <c r="L342" i="110"/>
  <c r="L348" i="110"/>
  <c r="BD233" i="59"/>
  <c r="BD234" i="59"/>
  <c r="BD260" i="59"/>
  <c r="BD218" i="59"/>
  <c r="BD219" i="59"/>
  <c r="BD261" i="59"/>
  <c r="BD262" i="59"/>
  <c r="BD267" i="59"/>
  <c r="AZ233" i="59"/>
  <c r="AZ234" i="59"/>
  <c r="AZ260" i="59"/>
  <c r="AZ218" i="59"/>
  <c r="AZ219" i="59"/>
  <c r="AZ261" i="59"/>
  <c r="AZ262" i="59"/>
  <c r="AZ267" i="59"/>
  <c r="BE233" i="59"/>
  <c r="BE234" i="59"/>
  <c r="BE260" i="59"/>
  <c r="BE218" i="59"/>
  <c r="BE219" i="59"/>
  <c r="BE261" i="59"/>
  <c r="BE262" i="59"/>
  <c r="BE267" i="59"/>
  <c r="BB233" i="59"/>
  <c r="BB234" i="59"/>
  <c r="BB260" i="59"/>
  <c r="BB218" i="59"/>
  <c r="BB219" i="59"/>
  <c r="BB261" i="59"/>
  <c r="BB262" i="59"/>
  <c r="BB267" i="59"/>
  <c r="W76" i="166"/>
  <c r="W78" i="166"/>
  <c r="G18" i="111"/>
  <c r="G82" i="111"/>
  <c r="G113" i="111"/>
  <c r="W79" i="166"/>
  <c r="W80" i="166"/>
  <c r="AY243" i="59"/>
  <c r="AY253" i="59"/>
  <c r="G357" i="39"/>
  <c r="G353" i="39"/>
  <c r="W76" i="167"/>
  <c r="W78" i="167"/>
  <c r="H18" i="111"/>
  <c r="H82" i="111"/>
  <c r="H113" i="111"/>
  <c r="W79" i="167"/>
  <c r="W80" i="167"/>
  <c r="AZ243" i="59"/>
  <c r="AZ253" i="59"/>
  <c r="H357" i="39"/>
  <c r="H353" i="39"/>
  <c r="W76" i="169"/>
  <c r="W78" i="169"/>
  <c r="J18" i="111"/>
  <c r="J82" i="111"/>
  <c r="J113" i="111"/>
  <c r="W79" i="169"/>
  <c r="W80" i="169"/>
  <c r="BB243" i="59"/>
  <c r="BB253" i="59"/>
  <c r="J357" i="39"/>
  <c r="J353" i="39"/>
  <c r="W76" i="171"/>
  <c r="W78" i="171"/>
  <c r="L18" i="111"/>
  <c r="L82" i="111"/>
  <c r="L113" i="111"/>
  <c r="W79" i="171"/>
  <c r="W80" i="171"/>
  <c r="BD243" i="59"/>
  <c r="BD253" i="59"/>
  <c r="L357" i="39"/>
  <c r="L353" i="39"/>
  <c r="W76" i="172"/>
  <c r="W78" i="172"/>
  <c r="M18" i="111"/>
  <c r="M82" i="111"/>
  <c r="M113" i="111"/>
  <c r="W79" i="172"/>
  <c r="W80" i="172"/>
  <c r="BE243" i="59"/>
  <c r="BE253" i="59"/>
  <c r="M357" i="39"/>
  <c r="M353" i="39"/>
  <c r="BE206" i="59"/>
  <c r="BE212" i="59"/>
  <c r="AY206" i="59"/>
  <c r="AY212" i="59"/>
  <c r="AZ206" i="59"/>
  <c r="AZ212" i="59"/>
  <c r="BB206" i="59"/>
  <c r="BB212" i="59"/>
  <c r="BD206" i="59"/>
  <c r="BD212" i="59"/>
  <c r="H102" i="116"/>
  <c r="H96" i="116"/>
  <c r="H90" i="116"/>
  <c r="I130" i="116"/>
  <c r="J90" i="116"/>
  <c r="J102" i="116"/>
  <c r="J96" i="116"/>
  <c r="G90" i="116"/>
  <c r="G102" i="116"/>
  <c r="G96" i="116"/>
  <c r="L96" i="116"/>
  <c r="L102" i="116"/>
  <c r="L90" i="116"/>
  <c r="L130" i="116"/>
  <c r="G130" i="116"/>
  <c r="K130" i="116"/>
  <c r="M102" i="116"/>
  <c r="M96" i="116"/>
  <c r="M90" i="116"/>
  <c r="BK27" i="60"/>
  <c r="BE39" i="59"/>
  <c r="BE41" i="59"/>
  <c r="BE286" i="59"/>
  <c r="BB39" i="59"/>
  <c r="BB41" i="59"/>
  <c r="BB286" i="59"/>
  <c r="N99" i="116"/>
  <c r="N105" i="116"/>
  <c r="N93" i="116"/>
  <c r="BJ27" i="60"/>
  <c r="K105" i="116"/>
  <c r="BD39" i="59"/>
  <c r="BD41" i="59"/>
  <c r="BD286" i="59"/>
  <c r="L86" i="133"/>
  <c r="L97" i="133"/>
  <c r="L108" i="133"/>
  <c r="L119" i="133"/>
  <c r="I86" i="133"/>
  <c r="I97" i="133"/>
  <c r="I108" i="133"/>
  <c r="I119" i="133"/>
  <c r="AZ39" i="59"/>
  <c r="AZ41" i="59"/>
  <c r="AZ286" i="59"/>
  <c r="AY39" i="59"/>
  <c r="AY41" i="59"/>
  <c r="AY286" i="59"/>
  <c r="J105" i="116"/>
  <c r="J99" i="116"/>
  <c r="K99" i="116"/>
  <c r="L99" i="116"/>
  <c r="G99" i="116"/>
  <c r="J93" i="116"/>
  <c r="K93" i="116"/>
  <c r="L93" i="116"/>
  <c r="G93" i="116"/>
  <c r="G105" i="116"/>
  <c r="L105" i="116"/>
  <c r="K86" i="133"/>
  <c r="K97" i="133"/>
  <c r="K108" i="133"/>
  <c r="K119" i="133"/>
  <c r="F86" i="133"/>
  <c r="F97" i="133"/>
  <c r="F108" i="133"/>
  <c r="F119" i="133"/>
  <c r="I105" i="116"/>
  <c r="I93" i="116"/>
  <c r="M105" i="116"/>
  <c r="M93" i="116"/>
  <c r="H99" i="116"/>
  <c r="H93" i="116"/>
  <c r="G86" i="133"/>
  <c r="G97" i="133"/>
  <c r="G108" i="133"/>
  <c r="G119" i="133"/>
  <c r="I99" i="116"/>
  <c r="M99" i="116"/>
  <c r="H105" i="116"/>
  <c r="BE259" i="59"/>
  <c r="BE263" i="59"/>
  <c r="BE268" i="59"/>
  <c r="BE95" i="59"/>
  <c r="BE105" i="59"/>
  <c r="BE270" i="59"/>
  <c r="BE271" i="59"/>
  <c r="BB259" i="59"/>
  <c r="BB263" i="59"/>
  <c r="BB95" i="59"/>
  <c r="BB105" i="59"/>
  <c r="BB270" i="59"/>
  <c r="BB271" i="59"/>
  <c r="BB268" i="59"/>
  <c r="BD259" i="59"/>
  <c r="BD263" i="59"/>
  <c r="BD268" i="59"/>
  <c r="BD95" i="59"/>
  <c r="BD105" i="59"/>
  <c r="BD270" i="59"/>
  <c r="BD271" i="59"/>
  <c r="AY259" i="59"/>
  <c r="AY263" i="59"/>
  <c r="AY268" i="59"/>
  <c r="AY95" i="59"/>
  <c r="AY105" i="59"/>
  <c r="AY270" i="59"/>
  <c r="AY271" i="59"/>
  <c r="AZ259" i="59"/>
  <c r="AZ263" i="59"/>
  <c r="AZ95" i="59"/>
  <c r="AZ105" i="59"/>
  <c r="AZ270" i="59"/>
  <c r="AZ271" i="59"/>
  <c r="AZ268" i="59"/>
  <c r="M29" i="177"/>
  <c r="M59" i="177"/>
  <c r="N120" i="116"/>
  <c r="M68" i="177"/>
  <c r="Z16" i="177"/>
  <c r="M11" i="177"/>
  <c r="M20" i="177"/>
  <c r="AJ16" i="177"/>
  <c r="AT16" i="177"/>
  <c r="Z29" i="177"/>
  <c r="AJ29" i="177"/>
  <c r="AT29" i="177"/>
  <c r="Z17" i="177"/>
  <c r="Y17" i="177"/>
  <c r="X17" i="177"/>
  <c r="W17" i="177"/>
  <c r="V17" i="177"/>
  <c r="U17" i="177"/>
  <c r="T17" i="177"/>
  <c r="S17" i="177"/>
  <c r="R17" i="177"/>
  <c r="M35" i="177"/>
  <c r="M40" i="177"/>
  <c r="AJ26" i="177"/>
  <c r="L35" i="177"/>
  <c r="L40" i="177"/>
  <c r="AI26" i="177"/>
  <c r="K35" i="177"/>
  <c r="K40" i="177"/>
  <c r="AH26" i="177"/>
  <c r="J35" i="177"/>
  <c r="J40" i="177"/>
  <c r="AG26" i="177"/>
  <c r="I35" i="177"/>
  <c r="I40" i="177"/>
  <c r="AF26" i="177"/>
  <c r="H35" i="177"/>
  <c r="H40" i="177"/>
  <c r="AE26" i="177"/>
  <c r="G35" i="177"/>
  <c r="G40" i="177"/>
  <c r="AD26" i="177"/>
  <c r="F35" i="177"/>
  <c r="F40" i="177"/>
  <c r="AC26" i="177"/>
  <c r="F144" i="156"/>
  <c r="F145" i="156"/>
  <c r="E35" i="177"/>
  <c r="F69" i="30"/>
  <c r="F116" i="30"/>
  <c r="E40" i="177"/>
  <c r="AB26" i="177"/>
  <c r="O77" i="116"/>
  <c r="CW85" i="172"/>
  <c r="BE159" i="59"/>
  <c r="BF159" i="59"/>
  <c r="H218" i="49"/>
  <c r="AO55" i="127"/>
  <c r="H180" i="62"/>
  <c r="AO56" i="127"/>
  <c r="AO82" i="127"/>
  <c r="AO101" i="127"/>
  <c r="H217" i="49"/>
  <c r="AD55" i="127"/>
  <c r="H179" i="62"/>
  <c r="AD56" i="127"/>
  <c r="AD82" i="127"/>
  <c r="AD101" i="127"/>
  <c r="H216" i="49"/>
  <c r="S55" i="127"/>
  <c r="H178" i="62"/>
  <c r="S56" i="127"/>
  <c r="S82" i="127"/>
  <c r="S101" i="127"/>
  <c r="H215" i="49"/>
  <c r="H55" i="127"/>
  <c r="H177" i="62"/>
  <c r="H56" i="127"/>
  <c r="H82" i="127"/>
  <c r="H101" i="127"/>
  <c r="G218" i="49"/>
  <c r="AN55" i="127"/>
  <c r="G180" i="62"/>
  <c r="AN56" i="127"/>
  <c r="AN82" i="127"/>
  <c r="AN101" i="127"/>
  <c r="G217" i="49"/>
  <c r="AC55" i="127"/>
  <c r="G179" i="62"/>
  <c r="AC56" i="127"/>
  <c r="AC82" i="127"/>
  <c r="AC101" i="127"/>
  <c r="G216" i="49"/>
  <c r="R55" i="127"/>
  <c r="G178" i="62"/>
  <c r="R56" i="127"/>
  <c r="R82" i="127"/>
  <c r="R101" i="127"/>
  <c r="G215" i="49"/>
  <c r="G55" i="127"/>
  <c r="G177" i="62"/>
  <c r="G56" i="127"/>
  <c r="G82" i="127"/>
  <c r="G101" i="127"/>
  <c r="AZ252" i="59"/>
  <c r="H356" i="39"/>
  <c r="H352" i="39"/>
  <c r="H466" i="112"/>
  <c r="H475" i="112"/>
  <c r="H472" i="112"/>
  <c r="AY252" i="59"/>
  <c r="G356" i="39"/>
  <c r="G352" i="39"/>
  <c r="G466" i="112"/>
  <c r="G475" i="112"/>
  <c r="G472" i="112"/>
  <c r="M218" i="49"/>
  <c r="AT55" i="127"/>
  <c r="M180" i="62"/>
  <c r="AT56" i="127"/>
  <c r="AT82" i="127"/>
  <c r="AT101" i="127"/>
  <c r="M157" i="116"/>
  <c r="AT67" i="127"/>
  <c r="M217" i="49"/>
  <c r="AI55" i="127"/>
  <c r="M179" i="62"/>
  <c r="AI56" i="127"/>
  <c r="AI82" i="127"/>
  <c r="AI101" i="127"/>
  <c r="M216" i="49"/>
  <c r="X55" i="127"/>
  <c r="M178" i="62"/>
  <c r="X56" i="127"/>
  <c r="X82" i="127"/>
  <c r="X101" i="127"/>
  <c r="M215" i="49"/>
  <c r="M55" i="127"/>
  <c r="M177" i="62"/>
  <c r="M56" i="127"/>
  <c r="M82" i="127"/>
  <c r="M101" i="127"/>
  <c r="J218" i="49"/>
  <c r="AQ55" i="127"/>
  <c r="J180" i="62"/>
  <c r="AQ56" i="127"/>
  <c r="AQ82" i="127"/>
  <c r="AQ101" i="127"/>
  <c r="J217" i="49"/>
  <c r="AF55" i="127"/>
  <c r="J179" i="62"/>
  <c r="AF56" i="127"/>
  <c r="AF82" i="127"/>
  <c r="AF101" i="127"/>
  <c r="J216" i="49"/>
  <c r="U55" i="127"/>
  <c r="J178" i="62"/>
  <c r="U56" i="127"/>
  <c r="U82" i="127"/>
  <c r="U101" i="127"/>
  <c r="J215" i="49"/>
  <c r="J55" i="127"/>
  <c r="J177" i="62"/>
  <c r="J56" i="127"/>
  <c r="J82" i="127"/>
  <c r="J101" i="127"/>
  <c r="BE252" i="59"/>
  <c r="M356" i="39"/>
  <c r="M352" i="39"/>
  <c r="M466" i="112"/>
  <c r="M475" i="112"/>
  <c r="M472" i="112"/>
  <c r="L218" i="49"/>
  <c r="AS55" i="127"/>
  <c r="L180" i="62"/>
  <c r="AS56" i="127"/>
  <c r="AS82" i="127"/>
  <c r="AS101" i="127"/>
  <c r="L157" i="116"/>
  <c r="AS67" i="127"/>
  <c r="L217" i="49"/>
  <c r="AH55" i="127"/>
  <c r="L179" i="62"/>
  <c r="AH56" i="127"/>
  <c r="AH82" i="127"/>
  <c r="AH101" i="127"/>
  <c r="L216" i="49"/>
  <c r="W55" i="127"/>
  <c r="L178" i="62"/>
  <c r="W56" i="127"/>
  <c r="W82" i="127"/>
  <c r="W101" i="127"/>
  <c r="L215" i="49"/>
  <c r="L55" i="127"/>
  <c r="L177" i="62"/>
  <c r="L56" i="127"/>
  <c r="L82" i="127"/>
  <c r="L101" i="127"/>
  <c r="L466" i="112"/>
  <c r="L475" i="112"/>
  <c r="L472" i="112"/>
  <c r="BD252" i="59"/>
  <c r="L356" i="39"/>
  <c r="L352" i="39"/>
  <c r="BB252" i="59"/>
  <c r="J356" i="39"/>
  <c r="J352" i="39"/>
  <c r="J466" i="112"/>
  <c r="J475" i="112"/>
  <c r="J472" i="112"/>
  <c r="K218" i="49"/>
  <c r="AR55" i="127"/>
  <c r="K180" i="62"/>
  <c r="AR56" i="127"/>
  <c r="AR82" i="127"/>
  <c r="AR101" i="127"/>
  <c r="K157" i="116"/>
  <c r="AR67" i="127"/>
  <c r="K217" i="49"/>
  <c r="AG55" i="127"/>
  <c r="K179" i="62"/>
  <c r="AG56" i="127"/>
  <c r="AG82" i="127"/>
  <c r="AG101" i="127"/>
  <c r="K216" i="49"/>
  <c r="V55" i="127"/>
  <c r="K178" i="62"/>
  <c r="V56" i="127"/>
  <c r="V82" i="127"/>
  <c r="V101" i="127"/>
  <c r="K215" i="49"/>
  <c r="K55" i="127"/>
  <c r="K177" i="62"/>
  <c r="K56" i="127"/>
  <c r="K82" i="127"/>
  <c r="K101" i="127"/>
  <c r="I218" i="49"/>
  <c r="AP55" i="127"/>
  <c r="I180" i="62"/>
  <c r="AP56" i="127"/>
  <c r="AP82" i="127"/>
  <c r="AP101" i="127"/>
  <c r="I217" i="49"/>
  <c r="AE55" i="127"/>
  <c r="I179" i="62"/>
  <c r="AE56" i="127"/>
  <c r="AE82" i="127"/>
  <c r="AE101" i="127"/>
  <c r="I216" i="49"/>
  <c r="T55" i="127"/>
  <c r="I178" i="62"/>
  <c r="T56" i="127"/>
  <c r="T82" i="127"/>
  <c r="T101" i="127"/>
  <c r="I215" i="49"/>
  <c r="I55" i="127"/>
  <c r="I177" i="62"/>
  <c r="I56" i="127"/>
  <c r="I82" i="127"/>
  <c r="I101" i="127"/>
  <c r="BA252" i="59"/>
  <c r="I356" i="39"/>
  <c r="I352" i="39"/>
  <c r="I466" i="112"/>
  <c r="I475" i="112"/>
  <c r="I472" i="112"/>
  <c r="BC252" i="59"/>
  <c r="K356" i="39"/>
  <c r="K352" i="39"/>
  <c r="K466" i="112"/>
  <c r="K475" i="112"/>
  <c r="K472" i="112"/>
  <c r="F218" i="49"/>
  <c r="AM55" i="127"/>
  <c r="F180" i="62"/>
  <c r="AM56" i="127"/>
  <c r="AM82" i="127"/>
  <c r="AM101" i="127"/>
  <c r="F217" i="49"/>
  <c r="AB55" i="127"/>
  <c r="F179" i="62"/>
  <c r="AB56" i="127"/>
  <c r="AB82" i="127"/>
  <c r="AB101" i="127"/>
  <c r="F216" i="49"/>
  <c r="Q55" i="127"/>
  <c r="F178" i="62"/>
  <c r="Q56" i="127"/>
  <c r="Q82" i="127"/>
  <c r="Q101" i="127"/>
  <c r="F215" i="49"/>
  <c r="F55" i="127"/>
  <c r="F177" i="62"/>
  <c r="F56" i="127"/>
  <c r="F82" i="127"/>
  <c r="F101" i="127"/>
  <c r="N218" i="49"/>
  <c r="AU55" i="127"/>
  <c r="N180" i="62"/>
  <c r="AU56" i="127"/>
  <c r="AU82" i="127"/>
  <c r="AU101" i="127"/>
  <c r="N157" i="116"/>
  <c r="AU67" i="127"/>
  <c r="N217" i="49"/>
  <c r="AJ55" i="127"/>
  <c r="N179" i="62"/>
  <c r="AJ56" i="127"/>
  <c r="AJ82" i="127"/>
  <c r="AJ101" i="127"/>
  <c r="N216" i="49"/>
  <c r="Y55" i="127"/>
  <c r="N178" i="62"/>
  <c r="Y56" i="127"/>
  <c r="Y82" i="127"/>
  <c r="Y101" i="127"/>
  <c r="N466" i="112"/>
  <c r="N475" i="112"/>
  <c r="N472" i="112"/>
  <c r="N215" i="49"/>
  <c r="N55" i="127"/>
  <c r="N177" i="62"/>
  <c r="N56" i="127"/>
  <c r="N82" i="127"/>
  <c r="N101" i="127"/>
  <c r="BF252" i="59"/>
  <c r="N356" i="39"/>
  <c r="N352" i="39"/>
  <c r="AX252" i="59"/>
  <c r="F356" i="39"/>
  <c r="F352" i="39"/>
  <c r="F466" i="112"/>
  <c r="F475" i="112"/>
  <c r="F472" i="112"/>
  <c r="E56" i="177"/>
  <c r="E57" i="177"/>
  <c r="E58" i="177"/>
  <c r="AB7" i="177"/>
  <c r="F56" i="177"/>
  <c r="F57" i="177"/>
  <c r="F58" i="177"/>
  <c r="AC7" i="177"/>
  <c r="G56" i="177"/>
  <c r="G57" i="177"/>
  <c r="G58" i="177"/>
  <c r="AD7" i="177"/>
  <c r="H56" i="177"/>
  <c r="H57" i="177"/>
  <c r="H58" i="177"/>
  <c r="AE7" i="177"/>
  <c r="I56" i="177"/>
  <c r="I57" i="177"/>
  <c r="I58" i="177"/>
  <c r="AF7" i="177"/>
  <c r="J56" i="177"/>
  <c r="J57" i="177"/>
  <c r="J58" i="177"/>
  <c r="AG7" i="177"/>
  <c r="K56" i="177"/>
  <c r="K57" i="177"/>
  <c r="K58" i="177"/>
  <c r="AH7" i="177"/>
  <c r="L56" i="177"/>
  <c r="L57" i="177"/>
  <c r="L58" i="177"/>
  <c r="AI7" i="177"/>
  <c r="M56" i="177"/>
  <c r="M57" i="177"/>
  <c r="M58" i="177"/>
  <c r="AJ7" i="177"/>
  <c r="E16" i="177"/>
  <c r="R10" i="177"/>
  <c r="F16" i="177"/>
  <c r="S10" i="177"/>
  <c r="G16" i="177"/>
  <c r="T10" i="177"/>
  <c r="H16" i="177"/>
  <c r="U10" i="177"/>
  <c r="I16" i="177"/>
  <c r="V10" i="177"/>
  <c r="J16" i="177"/>
  <c r="W10" i="177"/>
  <c r="K16" i="177"/>
  <c r="X10" i="177"/>
  <c r="L16" i="177"/>
  <c r="Y10" i="177"/>
  <c r="M16" i="177"/>
  <c r="Z10" i="177"/>
  <c r="M34" i="177"/>
  <c r="Z41" i="177"/>
  <c r="M31" i="177"/>
  <c r="AJ41" i="177"/>
  <c r="AT41" i="177"/>
  <c r="M27" i="177"/>
  <c r="Z40" i="177"/>
  <c r="M7" i="177"/>
  <c r="M18" i="177"/>
  <c r="AJ40" i="177"/>
  <c r="AT40" i="177"/>
  <c r="AN84" i="173"/>
  <c r="AN85" i="173"/>
  <c r="AN87" i="173"/>
  <c r="AN90" i="173"/>
  <c r="M39" i="177"/>
  <c r="Z14" i="177"/>
  <c r="AJ14" i="177"/>
  <c r="AT14" i="177"/>
  <c r="Z11" i="177"/>
  <c r="AJ11" i="177"/>
  <c r="AT11" i="177"/>
  <c r="BI25" i="60"/>
  <c r="E82" i="133"/>
  <c r="E95" i="133"/>
  <c r="E106" i="133"/>
  <c r="E117" i="133"/>
  <c r="AX32" i="59"/>
  <c r="AX34" i="59"/>
  <c r="AX284" i="59"/>
  <c r="AN84" i="167"/>
  <c r="AN85" i="167"/>
  <c r="AN87" i="167"/>
  <c r="AN90" i="167"/>
  <c r="G77" i="133"/>
  <c r="G93" i="133"/>
  <c r="G104" i="133"/>
  <c r="G115" i="133"/>
  <c r="AN84" i="166"/>
  <c r="AN85" i="166"/>
  <c r="AN87" i="166"/>
  <c r="AN90" i="166"/>
  <c r="F77" i="133"/>
  <c r="F93" i="133"/>
  <c r="F104" i="133"/>
  <c r="F115" i="133"/>
  <c r="AY26" i="59"/>
  <c r="AY107" i="59"/>
  <c r="AY108" i="59"/>
  <c r="AY282" i="59"/>
  <c r="AZ26" i="59"/>
  <c r="AZ107" i="59"/>
  <c r="AZ108" i="59"/>
  <c r="AZ282" i="59"/>
  <c r="BJ29" i="60"/>
  <c r="AY266" i="59"/>
  <c r="AZ266" i="59"/>
  <c r="H223" i="123"/>
  <c r="F223" i="123"/>
  <c r="I223" i="123"/>
  <c r="I212" i="123"/>
  <c r="H212" i="123"/>
  <c r="AY231" i="59"/>
  <c r="AZ231" i="59"/>
  <c r="F212" i="123"/>
  <c r="CD40" i="123"/>
  <c r="CR40" i="123"/>
  <c r="G223" i="123"/>
  <c r="G212" i="123"/>
  <c r="CD84" i="123"/>
  <c r="AT84" i="123"/>
  <c r="CR84" i="123"/>
  <c r="AN84" i="169"/>
  <c r="AN85" i="169"/>
  <c r="AN87" i="169"/>
  <c r="AN90" i="169"/>
  <c r="I77" i="133"/>
  <c r="I93" i="133"/>
  <c r="I104" i="133"/>
  <c r="I115" i="133"/>
  <c r="AN84" i="172"/>
  <c r="AN85" i="172"/>
  <c r="AN87" i="172"/>
  <c r="AN90" i="172"/>
  <c r="L77" i="133"/>
  <c r="L93" i="133"/>
  <c r="L104" i="133"/>
  <c r="L115" i="133"/>
  <c r="H126" i="156"/>
  <c r="H125" i="156"/>
  <c r="H127" i="156"/>
  <c r="G146" i="156"/>
  <c r="H146" i="156"/>
  <c r="G126" i="156"/>
  <c r="G125" i="156"/>
  <c r="G127" i="156"/>
  <c r="CD129" i="105"/>
  <c r="AT129" i="105"/>
  <c r="CR129" i="105"/>
  <c r="CD40" i="105"/>
  <c r="AT40" i="105"/>
  <c r="CR40" i="105"/>
  <c r="CD84" i="105"/>
  <c r="AT84" i="105"/>
  <c r="CR84" i="105"/>
  <c r="AN84" i="171"/>
  <c r="AN85" i="171"/>
  <c r="AN87" i="171"/>
  <c r="AN90" i="171"/>
  <c r="K77" i="133"/>
  <c r="K93" i="133"/>
  <c r="K104" i="133"/>
  <c r="K115" i="133"/>
  <c r="H157" i="156"/>
  <c r="G157" i="156"/>
  <c r="BE26" i="59"/>
  <c r="BE282" i="59"/>
  <c r="BE107" i="59"/>
  <c r="BE108" i="59"/>
  <c r="BB26" i="59"/>
  <c r="BB282" i="59"/>
  <c r="BB107" i="59"/>
  <c r="BB108" i="59"/>
  <c r="BK29" i="60"/>
  <c r="BD26" i="59"/>
  <c r="BD107" i="59"/>
  <c r="BD108" i="59"/>
  <c r="BD282" i="59"/>
  <c r="H93" i="156"/>
  <c r="H95" i="156"/>
  <c r="H110" i="156"/>
  <c r="H112" i="156"/>
  <c r="H117" i="156"/>
  <c r="H174" i="156"/>
  <c r="G128" i="133"/>
  <c r="G93" i="156"/>
  <c r="G95" i="156"/>
  <c r="G110" i="156"/>
  <c r="G112" i="156"/>
  <c r="G117" i="156"/>
  <c r="G174" i="156"/>
  <c r="F128" i="133"/>
  <c r="L82" i="133"/>
  <c r="L95" i="133"/>
  <c r="L106" i="133"/>
  <c r="L117" i="133"/>
  <c r="BE32" i="59"/>
  <c r="BE34" i="59"/>
  <c r="BE284" i="59"/>
  <c r="K82" i="133"/>
  <c r="K95" i="133"/>
  <c r="K106" i="133"/>
  <c r="K117" i="133"/>
  <c r="BB32" i="59"/>
  <c r="BB34" i="59"/>
  <c r="BB284" i="59"/>
  <c r="I82" i="133"/>
  <c r="I95" i="133"/>
  <c r="I106" i="133"/>
  <c r="I117" i="133"/>
  <c r="BD32" i="59"/>
  <c r="BD34" i="59"/>
  <c r="BD284" i="59"/>
  <c r="BE266" i="59"/>
  <c r="BB266" i="59"/>
  <c r="BD266" i="59"/>
  <c r="BE231" i="59"/>
  <c r="BK25" i="60"/>
  <c r="M126" i="156"/>
  <c r="M125" i="156"/>
  <c r="M127" i="156"/>
  <c r="M146" i="156"/>
  <c r="BB231" i="59"/>
  <c r="BD231" i="59"/>
  <c r="L146" i="156"/>
  <c r="M157" i="156"/>
  <c r="L126" i="156"/>
  <c r="L125" i="156"/>
  <c r="L127" i="156"/>
  <c r="J146" i="156"/>
  <c r="J126" i="156"/>
  <c r="J125" i="156"/>
  <c r="J127" i="156"/>
  <c r="F82" i="133"/>
  <c r="F95" i="133"/>
  <c r="F106" i="133"/>
  <c r="F117" i="133"/>
  <c r="G82" i="133"/>
  <c r="G95" i="133"/>
  <c r="G106" i="133"/>
  <c r="G117" i="133"/>
  <c r="L157" i="156"/>
  <c r="J157" i="156"/>
  <c r="J93" i="156"/>
  <c r="J95" i="156"/>
  <c r="J110" i="156"/>
  <c r="J112" i="156"/>
  <c r="J117" i="156"/>
  <c r="J174" i="156"/>
  <c r="I128" i="133"/>
  <c r="AZ32" i="59"/>
  <c r="AZ34" i="59"/>
  <c r="AZ284" i="59"/>
  <c r="AY32" i="59"/>
  <c r="AY34" i="59"/>
  <c r="AY284" i="59"/>
  <c r="BB204" i="59"/>
  <c r="BB210" i="59"/>
  <c r="AY204" i="59"/>
  <c r="AY210" i="59"/>
  <c r="BD204" i="59"/>
  <c r="BD210" i="59"/>
  <c r="AZ204" i="59"/>
  <c r="AZ210" i="59"/>
  <c r="BE204" i="59"/>
  <c r="BE210" i="59"/>
  <c r="M93" i="156"/>
  <c r="M95" i="156"/>
  <c r="M110" i="156"/>
  <c r="M112" i="156"/>
  <c r="M117" i="156"/>
  <c r="M174" i="156"/>
  <c r="L128" i="133"/>
  <c r="BJ25" i="60"/>
  <c r="R90" i="166"/>
  <c r="AY73" i="59"/>
  <c r="AY77" i="59"/>
  <c r="AY78" i="59"/>
  <c r="R90" i="167"/>
  <c r="AZ73" i="59"/>
  <c r="AZ77" i="59"/>
  <c r="AZ78" i="59"/>
  <c r="G88" i="111"/>
  <c r="M88" i="111"/>
  <c r="J88" i="111"/>
  <c r="L88" i="111"/>
  <c r="H88" i="111"/>
  <c r="L93" i="156"/>
  <c r="L95" i="156"/>
  <c r="L110" i="156"/>
  <c r="L112" i="156"/>
  <c r="L117" i="156"/>
  <c r="L174" i="156"/>
  <c r="K128" i="133"/>
  <c r="H117" i="30"/>
  <c r="G117" i="30"/>
  <c r="H24" i="110"/>
  <c r="H340" i="110"/>
  <c r="H346" i="110"/>
  <c r="G24" i="110"/>
  <c r="G340" i="110"/>
  <c r="G346" i="110"/>
  <c r="J24" i="110"/>
  <c r="J340" i="110"/>
  <c r="J346" i="110"/>
  <c r="L24" i="110"/>
  <c r="L340" i="110"/>
  <c r="L346" i="110"/>
  <c r="M24" i="110"/>
  <c r="M340" i="110"/>
  <c r="M346" i="110"/>
  <c r="M464" i="112"/>
  <c r="BE250" i="59"/>
  <c r="M470" i="112"/>
  <c r="L464" i="112"/>
  <c r="BD250" i="59"/>
  <c r="L470" i="112"/>
  <c r="J464" i="112"/>
  <c r="BB250" i="59"/>
  <c r="J473" i="112"/>
  <c r="H464" i="112"/>
  <c r="AZ250" i="59"/>
  <c r="H473" i="112"/>
  <c r="G464" i="112"/>
  <c r="AY250" i="59"/>
  <c r="G470" i="112"/>
  <c r="G473" i="112"/>
  <c r="H470" i="112"/>
  <c r="M473" i="112"/>
  <c r="J470" i="112"/>
  <c r="L473" i="112"/>
  <c r="H350" i="39"/>
  <c r="H354" i="39"/>
  <c r="G350" i="39"/>
  <c r="G354" i="39"/>
  <c r="L354" i="39"/>
  <c r="L350" i="39"/>
  <c r="M350" i="39"/>
  <c r="M354" i="39"/>
  <c r="J354" i="39"/>
  <c r="J350" i="39"/>
  <c r="L27" i="110"/>
  <c r="L343" i="110"/>
  <c r="L349" i="110"/>
  <c r="J27" i="110"/>
  <c r="J343" i="110"/>
  <c r="J349" i="110"/>
  <c r="H27" i="110"/>
  <c r="H343" i="110"/>
  <c r="H349" i="110"/>
  <c r="G27" i="110"/>
  <c r="G343" i="110"/>
  <c r="G349" i="110"/>
  <c r="M27" i="110"/>
  <c r="M343" i="110"/>
  <c r="M349" i="110"/>
  <c r="BK52" i="60"/>
  <c r="BK56" i="60"/>
  <c r="BK55" i="60"/>
  <c r="BJ52" i="60"/>
  <c r="BJ56" i="60"/>
  <c r="BJ53" i="60"/>
  <c r="BK54" i="60"/>
  <c r="BJ55" i="60"/>
  <c r="BJ57" i="60"/>
  <c r="BJ54" i="60"/>
  <c r="BK57" i="60"/>
  <c r="BK53" i="60"/>
  <c r="AY303" i="59"/>
  <c r="AY309" i="59"/>
  <c r="AY297" i="59"/>
  <c r="AY310" i="59"/>
  <c r="AY313" i="59"/>
  <c r="AY307" i="59"/>
  <c r="AZ303" i="59"/>
  <c r="AZ309" i="59"/>
  <c r="AZ297" i="59"/>
  <c r="AZ310" i="59"/>
  <c r="AZ313" i="59"/>
  <c r="AZ307" i="59"/>
  <c r="R90" i="171"/>
  <c r="BD73" i="59"/>
  <c r="BD77" i="59"/>
  <c r="BD78" i="59"/>
  <c r="R90" i="169"/>
  <c r="BB73" i="59"/>
  <c r="BB77" i="59"/>
  <c r="BB78" i="59"/>
  <c r="R90" i="172"/>
  <c r="BE73" i="59"/>
  <c r="BE77" i="59"/>
  <c r="BE78" i="59"/>
  <c r="M117" i="30"/>
  <c r="L117" i="30"/>
  <c r="J117" i="30"/>
  <c r="AZ242" i="59"/>
  <c r="AY242" i="59"/>
  <c r="BB242" i="59"/>
  <c r="BB297" i="59"/>
  <c r="BB303" i="59"/>
  <c r="BB307" i="59"/>
  <c r="BB309" i="59"/>
  <c r="BB310" i="59"/>
  <c r="BB313" i="59"/>
  <c r="BD303" i="59"/>
  <c r="BD309" i="59"/>
  <c r="BD297" i="59"/>
  <c r="BD310" i="59"/>
  <c r="BD313" i="59"/>
  <c r="BD307" i="59"/>
  <c r="BE297" i="59"/>
  <c r="BE303" i="59"/>
  <c r="BE307" i="59"/>
  <c r="BE309" i="59"/>
  <c r="BE310" i="59"/>
  <c r="BE313" i="59"/>
  <c r="BE242" i="59"/>
  <c r="BD242" i="59"/>
  <c r="I88" i="111"/>
  <c r="K88" i="111"/>
  <c r="K27" i="110"/>
  <c r="K343" i="110"/>
  <c r="K349" i="110"/>
  <c r="I27" i="110"/>
  <c r="I343" i="110"/>
  <c r="I349" i="110"/>
  <c r="F88" i="111"/>
  <c r="F27" i="110"/>
  <c r="F343" i="110"/>
  <c r="F349" i="110"/>
  <c r="E25" i="107"/>
  <c r="S64" i="70"/>
  <c r="S66" i="70"/>
  <c r="S82" i="70"/>
  <c r="R66" i="70"/>
  <c r="R82" i="70"/>
  <c r="S84" i="70"/>
  <c r="AN84" i="70"/>
  <c r="AN85" i="70"/>
  <c r="AN87" i="70"/>
  <c r="AN90" i="70"/>
  <c r="E77" i="133"/>
  <c r="E93" i="133"/>
  <c r="E104" i="133"/>
  <c r="E115" i="133"/>
  <c r="AX26" i="59"/>
  <c r="AX282" i="59"/>
  <c r="AX107" i="59"/>
  <c r="AX108" i="59"/>
  <c r="BI29" i="60"/>
  <c r="J82" i="133"/>
  <c r="J95" i="133"/>
  <c r="J106" i="133"/>
  <c r="J117" i="133"/>
  <c r="BC32" i="59"/>
  <c r="BC34" i="59"/>
  <c r="BC284" i="59"/>
  <c r="CW93" i="70"/>
  <c r="S85" i="70"/>
  <c r="S87" i="70"/>
  <c r="S90" i="70"/>
  <c r="CW94" i="70"/>
  <c r="CW95" i="70"/>
  <c r="N88" i="111"/>
  <c r="CR60" i="123"/>
  <c r="AN84" i="168"/>
  <c r="AN85" i="168"/>
  <c r="AN87" i="168"/>
  <c r="AN90" i="168"/>
  <c r="H77" i="133"/>
  <c r="H93" i="133"/>
  <c r="H104" i="133"/>
  <c r="H115" i="133"/>
  <c r="CR60" i="105"/>
  <c r="AN84" i="170"/>
  <c r="AN85" i="170"/>
  <c r="AN87" i="170"/>
  <c r="AN90" i="170"/>
  <c r="J77" i="133"/>
  <c r="J93" i="133"/>
  <c r="J104" i="133"/>
  <c r="J115" i="133"/>
  <c r="M77" i="133"/>
  <c r="M93" i="133"/>
  <c r="M104" i="133"/>
  <c r="M115" i="133"/>
  <c r="BA26" i="59"/>
  <c r="BA282" i="59"/>
  <c r="BA107" i="59"/>
  <c r="BA108" i="59"/>
  <c r="BA32" i="59"/>
  <c r="BA34" i="59"/>
  <c r="BA284" i="59"/>
  <c r="H82" i="133"/>
  <c r="H95" i="133"/>
  <c r="H106" i="133"/>
  <c r="H117" i="133"/>
  <c r="F544" i="112"/>
  <c r="J35" i="70"/>
  <c r="J36" i="70"/>
  <c r="J66" i="70"/>
  <c r="P66" i="70"/>
  <c r="AH66" i="70"/>
  <c r="BA63" i="70"/>
  <c r="BA64" i="70"/>
  <c r="BA66" i="70"/>
  <c r="BB63" i="70"/>
  <c r="BB64" i="70"/>
  <c r="BB66" i="70"/>
  <c r="BC66" i="70"/>
  <c r="BE66" i="70"/>
  <c r="BF26" i="59"/>
  <c r="BF282" i="59"/>
  <c r="BF107" i="59"/>
  <c r="BF108" i="59"/>
  <c r="BC26" i="59"/>
  <c r="BC282" i="59"/>
  <c r="BC107" i="59"/>
  <c r="BC108" i="59"/>
  <c r="AX266" i="59"/>
  <c r="N27" i="110"/>
  <c r="N343" i="110"/>
  <c r="N349" i="110"/>
  <c r="BL29" i="60"/>
  <c r="M82" i="133"/>
  <c r="M95" i="133"/>
  <c r="M106" i="133"/>
  <c r="M117" i="133"/>
  <c r="AH64" i="70"/>
  <c r="AH63" i="70"/>
  <c r="BC63" i="70"/>
  <c r="BE63" i="70"/>
  <c r="BE64" i="70"/>
  <c r="AX231" i="59"/>
  <c r="BF32" i="59"/>
  <c r="BF34" i="59"/>
  <c r="BF284" i="59"/>
  <c r="F146" i="156"/>
  <c r="F126" i="156"/>
  <c r="F125" i="156"/>
  <c r="F127" i="156"/>
  <c r="CW63" i="70"/>
  <c r="F157" i="156"/>
  <c r="BC64" i="70"/>
  <c r="BL25" i="60"/>
  <c r="F93" i="156"/>
  <c r="F95" i="156"/>
  <c r="F110" i="156"/>
  <c r="F112" i="156"/>
  <c r="F117" i="156"/>
  <c r="F174" i="156"/>
  <c r="E128" i="133"/>
  <c r="BC266" i="59"/>
  <c r="BA266" i="59"/>
  <c r="BF266" i="59"/>
  <c r="AY39" i="60"/>
  <c r="BA231" i="59"/>
  <c r="BC231" i="59"/>
  <c r="I146" i="156"/>
  <c r="K146" i="156"/>
  <c r="I126" i="156"/>
  <c r="I125" i="156"/>
  <c r="I127" i="156"/>
  <c r="K126" i="156"/>
  <c r="K125" i="156"/>
  <c r="K127" i="156"/>
  <c r="BF231" i="59"/>
  <c r="K157" i="156"/>
  <c r="N146" i="156"/>
  <c r="I157" i="156"/>
  <c r="N126" i="156"/>
  <c r="N125" i="156"/>
  <c r="N127" i="156"/>
  <c r="N157" i="156"/>
  <c r="F464" i="112"/>
  <c r="AX250" i="59"/>
  <c r="F470" i="112"/>
  <c r="F350" i="39"/>
  <c r="F473" i="112"/>
  <c r="K464" i="112"/>
  <c r="BC250" i="59"/>
  <c r="K470" i="112"/>
  <c r="K473" i="112"/>
  <c r="AH62" i="70"/>
  <c r="K354" i="39"/>
  <c r="K350" i="39"/>
  <c r="N93" i="156"/>
  <c r="N95" i="156"/>
  <c r="N110" i="156"/>
  <c r="N112" i="156"/>
  <c r="N117" i="156"/>
  <c r="N174" i="156"/>
  <c r="M128" i="133"/>
  <c r="K93" i="156"/>
  <c r="K95" i="156"/>
  <c r="K110" i="156"/>
  <c r="K112" i="156"/>
  <c r="K117" i="156"/>
  <c r="K174" i="156"/>
  <c r="J128" i="133"/>
  <c r="I93" i="156"/>
  <c r="I95" i="156"/>
  <c r="I110" i="156"/>
  <c r="I112" i="156"/>
  <c r="I117" i="156"/>
  <c r="I174" i="156"/>
  <c r="H128" i="133"/>
  <c r="F354" i="39"/>
  <c r="N464" i="112"/>
  <c r="BF250" i="59"/>
  <c r="N473" i="112"/>
  <c r="N470" i="112"/>
  <c r="I464" i="112"/>
  <c r="BA250" i="59"/>
  <c r="I473" i="112"/>
  <c r="I470" i="112"/>
  <c r="AH60" i="70"/>
  <c r="N354" i="39"/>
  <c r="N350" i="39"/>
  <c r="I350" i="39"/>
  <c r="I354" i="39"/>
  <c r="BI52" i="60"/>
  <c r="BI53" i="60"/>
  <c r="AH56" i="70"/>
  <c r="AH58" i="70"/>
  <c r="BC204" i="59"/>
  <c r="BC210" i="59"/>
  <c r="AX204" i="59"/>
  <c r="AX210" i="59"/>
  <c r="AH52" i="70"/>
  <c r="AH73" i="70"/>
  <c r="BB73" i="70"/>
  <c r="BC73" i="70"/>
  <c r="BE73" i="70"/>
  <c r="BE74" i="70"/>
  <c r="F24" i="110"/>
  <c r="F340" i="110"/>
  <c r="F346" i="110"/>
  <c r="K24" i="110"/>
  <c r="K340" i="110"/>
  <c r="K346" i="110"/>
  <c r="BA204" i="59"/>
  <c r="BA210" i="59"/>
  <c r="AH72" i="70"/>
  <c r="AH74" i="70"/>
  <c r="BL52" i="60"/>
  <c r="BL53" i="60"/>
  <c r="BF204" i="59"/>
  <c r="BF210" i="59"/>
  <c r="BI54" i="60"/>
  <c r="BI56" i="60"/>
  <c r="BI55" i="60"/>
  <c r="BI57" i="60"/>
  <c r="I24" i="110"/>
  <c r="I340" i="110"/>
  <c r="I346" i="110"/>
  <c r="N24" i="110"/>
  <c r="N340" i="110"/>
  <c r="N346" i="110"/>
  <c r="BL54" i="60"/>
  <c r="BL55" i="60"/>
  <c r="BL57" i="60"/>
  <c r="BL56" i="60"/>
  <c r="R90" i="70"/>
  <c r="AX73" i="59"/>
  <c r="AX77" i="59"/>
  <c r="AX78" i="59"/>
  <c r="F117" i="30"/>
  <c r="BB74" i="70"/>
  <c r="BC74" i="70"/>
  <c r="F70" i="30"/>
  <c r="R90" i="173"/>
  <c r="BF73" i="59"/>
  <c r="BF77" i="59"/>
  <c r="BF78" i="59"/>
  <c r="R90" i="168"/>
  <c r="BA73" i="59"/>
  <c r="BA77" i="59"/>
  <c r="BA78" i="59"/>
  <c r="N117" i="30"/>
  <c r="I117" i="30"/>
  <c r="BC303" i="59"/>
  <c r="BC309" i="59"/>
  <c r="BC297" i="59"/>
  <c r="BC310" i="59"/>
  <c r="BC313" i="59"/>
  <c r="K117" i="30"/>
  <c r="R90" i="170"/>
  <c r="BC73" i="59"/>
  <c r="BC77" i="59"/>
  <c r="BC78" i="59"/>
  <c r="AX297" i="59"/>
  <c r="AX303" i="59"/>
  <c r="AX307" i="59"/>
  <c r="AX309" i="59"/>
  <c r="AX310" i="59"/>
  <c r="AX313" i="59"/>
  <c r="BA303" i="59"/>
  <c r="BA309" i="59"/>
  <c r="BA297" i="59"/>
  <c r="BA310" i="59"/>
  <c r="BA313" i="59"/>
  <c r="BF297" i="59"/>
  <c r="BF303" i="59"/>
  <c r="BF307" i="59"/>
  <c r="BF309" i="59"/>
  <c r="BF310" i="59"/>
  <c r="BF313" i="59"/>
  <c r="BA307" i="59"/>
  <c r="BC307" i="59"/>
  <c r="P36" i="70"/>
  <c r="AH36" i="70"/>
  <c r="BE36" i="70"/>
  <c r="P35" i="70"/>
  <c r="AH35" i="70"/>
  <c r="BE35" i="70"/>
  <c r="AX242" i="59"/>
  <c r="N551" i="112"/>
  <c r="M551" i="112"/>
  <c r="L551" i="112"/>
  <c r="K551" i="112"/>
  <c r="J551" i="112"/>
  <c r="I551" i="112"/>
  <c r="BF242" i="59"/>
  <c r="H551" i="112"/>
  <c r="G551" i="112"/>
  <c r="BC242" i="59"/>
  <c r="BA242" i="59"/>
  <c r="F551" i="112"/>
  <c r="E7" i="176"/>
  <c r="E13" i="176"/>
  <c r="E17" i="176"/>
  <c r="F7" i="176"/>
  <c r="F13" i="176"/>
  <c r="F17" i="176"/>
  <c r="G7" i="176"/>
  <c r="G13" i="176"/>
  <c r="G17" i="176"/>
  <c r="H7" i="176"/>
  <c r="H13" i="176"/>
  <c r="H17" i="176"/>
  <c r="I7" i="176"/>
  <c r="I13" i="176"/>
  <c r="I17" i="176"/>
  <c r="J7" i="176"/>
  <c r="J13" i="176"/>
  <c r="J17" i="176"/>
  <c r="K7" i="176"/>
  <c r="K13" i="176"/>
  <c r="K17" i="176"/>
  <c r="L7" i="176"/>
  <c r="L13" i="176"/>
  <c r="L17" i="176"/>
  <c r="M7" i="176"/>
  <c r="M13" i="176"/>
  <c r="M17" i="176"/>
  <c r="E22" i="176"/>
  <c r="E23" i="176"/>
  <c r="E26" i="176"/>
  <c r="F22" i="176"/>
  <c r="F23" i="176"/>
  <c r="F26" i="176"/>
  <c r="G22" i="176"/>
  <c r="G23" i="176"/>
  <c r="G26" i="176"/>
  <c r="H22" i="176"/>
  <c r="H23" i="176"/>
  <c r="H26" i="176"/>
  <c r="I22" i="176"/>
  <c r="I23" i="176"/>
  <c r="I26" i="176"/>
  <c r="J22" i="176"/>
  <c r="J23" i="176"/>
  <c r="J26" i="176"/>
  <c r="K22" i="176"/>
  <c r="K23" i="176"/>
  <c r="K26" i="176"/>
  <c r="L22" i="176"/>
  <c r="L23" i="176"/>
  <c r="L26" i="176"/>
  <c r="M22" i="176"/>
  <c r="M23" i="176"/>
  <c r="M26" i="176"/>
  <c r="E36" i="176"/>
  <c r="E37" i="176"/>
  <c r="E42" i="176"/>
  <c r="E56" i="176"/>
  <c r="F36" i="176"/>
  <c r="F37" i="176"/>
  <c r="F42" i="176"/>
  <c r="F56" i="176"/>
  <c r="G36" i="176"/>
  <c r="G37" i="176"/>
  <c r="G42" i="176"/>
  <c r="G56" i="176"/>
  <c r="H36" i="176"/>
  <c r="H37" i="176"/>
  <c r="H42" i="176"/>
  <c r="H56" i="176"/>
  <c r="I36" i="176"/>
  <c r="I37" i="176"/>
  <c r="I42" i="176"/>
  <c r="I56" i="176"/>
  <c r="J36" i="176"/>
  <c r="J37" i="176"/>
  <c r="J42" i="176"/>
  <c r="J56" i="176"/>
  <c r="K36" i="176"/>
  <c r="K37" i="176"/>
  <c r="K42" i="176"/>
  <c r="K56" i="176"/>
  <c r="L36" i="176"/>
  <c r="L37" i="176"/>
  <c r="L42" i="176"/>
  <c r="L56" i="176"/>
  <c r="M36" i="176"/>
  <c r="M37" i="176"/>
  <c r="M42" i="176"/>
  <c r="M56" i="176"/>
  <c r="E67" i="176"/>
  <c r="E80" i="176"/>
  <c r="F67" i="176"/>
  <c r="F80" i="176"/>
  <c r="G67" i="176"/>
  <c r="G80" i="176"/>
  <c r="H67" i="176"/>
  <c r="H80" i="176"/>
  <c r="I67" i="176"/>
  <c r="I80" i="176"/>
  <c r="J67" i="176"/>
  <c r="J80" i="176"/>
  <c r="K67" i="176"/>
  <c r="K80" i="176"/>
  <c r="L67" i="176"/>
  <c r="L80" i="176"/>
  <c r="M67" i="176"/>
  <c r="M80" i="176"/>
  <c r="E31" i="177"/>
  <c r="E94" i="176"/>
  <c r="E96" i="176"/>
  <c r="H31" i="177"/>
  <c r="H94" i="176"/>
  <c r="H96" i="176"/>
  <c r="I31" i="177"/>
  <c r="I94" i="176"/>
  <c r="I96" i="176"/>
  <c r="J31" i="177"/>
  <c r="J94" i="176"/>
  <c r="J96" i="176"/>
  <c r="K31" i="177"/>
  <c r="K94" i="176"/>
  <c r="K96" i="176"/>
  <c r="L31" i="177"/>
  <c r="L94" i="176"/>
  <c r="L96" i="176"/>
  <c r="M94" i="176"/>
  <c r="M96" i="176"/>
  <c r="E7" i="177"/>
  <c r="E18" i="177"/>
  <c r="R11" i="177"/>
  <c r="AB11" i="177"/>
  <c r="AL11" i="177"/>
  <c r="F7" i="177"/>
  <c r="F18" i="177"/>
  <c r="S11" i="177"/>
  <c r="AC11" i="177"/>
  <c r="AM11" i="177"/>
  <c r="G7" i="177"/>
  <c r="G18" i="177"/>
  <c r="T11" i="177"/>
  <c r="AD11" i="177"/>
  <c r="AN11" i="177"/>
  <c r="H7" i="177"/>
  <c r="H18" i="177"/>
  <c r="U11" i="177"/>
  <c r="AE11" i="177"/>
  <c r="AO11" i="177"/>
  <c r="I7" i="177"/>
  <c r="I18" i="177"/>
  <c r="V11" i="177"/>
  <c r="AF11" i="177"/>
  <c r="AP11" i="177"/>
  <c r="J7" i="177"/>
  <c r="J18" i="177"/>
  <c r="W11" i="177"/>
  <c r="AG11" i="177"/>
  <c r="AQ11" i="177"/>
  <c r="K7" i="177"/>
  <c r="K18" i="177"/>
  <c r="X11" i="177"/>
  <c r="AH11" i="177"/>
  <c r="AR11" i="177"/>
  <c r="L7" i="177"/>
  <c r="L18" i="177"/>
  <c r="Y11" i="177"/>
  <c r="AI11" i="177"/>
  <c r="AS11" i="177"/>
  <c r="E39" i="177"/>
  <c r="R14" i="177"/>
  <c r="E34" i="177"/>
  <c r="AB14" i="177"/>
  <c r="AL14" i="177"/>
  <c r="F39" i="177"/>
  <c r="S14" i="177"/>
  <c r="F34" i="177"/>
  <c r="AC14" i="177"/>
  <c r="AM14" i="177"/>
  <c r="G39" i="177"/>
  <c r="T14" i="177"/>
  <c r="G34" i="177"/>
  <c r="AD14" i="177"/>
  <c r="AN14" i="177"/>
  <c r="H39" i="177"/>
  <c r="U14" i="177"/>
  <c r="H34" i="177"/>
  <c r="AE14" i="177"/>
  <c r="AO14" i="177"/>
  <c r="I39" i="177"/>
  <c r="V14" i="177"/>
  <c r="I34" i="177"/>
  <c r="AF14" i="177"/>
  <c r="AP14" i="177"/>
  <c r="J39" i="177"/>
  <c r="W14" i="177"/>
  <c r="J34" i="177"/>
  <c r="AG14" i="177"/>
  <c r="AQ14" i="177"/>
  <c r="K39" i="177"/>
  <c r="X14" i="177"/>
  <c r="K34" i="177"/>
  <c r="AH14" i="177"/>
  <c r="AR14" i="177"/>
  <c r="L39" i="177"/>
  <c r="Y14" i="177"/>
  <c r="L34" i="177"/>
  <c r="AI14" i="177"/>
  <c r="AS14" i="177"/>
  <c r="E27" i="177"/>
  <c r="R40" i="177"/>
  <c r="AB40" i="177"/>
  <c r="AL40" i="177"/>
  <c r="F27" i="177"/>
  <c r="S40" i="177"/>
  <c r="AC40" i="177"/>
  <c r="AM40" i="177"/>
  <c r="G27" i="177"/>
  <c r="T40" i="177"/>
  <c r="AD40" i="177"/>
  <c r="AN40" i="177"/>
  <c r="H27" i="177"/>
  <c r="U40" i="177"/>
  <c r="AE40" i="177"/>
  <c r="AO40" i="177"/>
  <c r="I27" i="177"/>
  <c r="V40" i="177"/>
  <c r="AF40" i="177"/>
  <c r="AP40" i="177"/>
  <c r="J27" i="177"/>
  <c r="W40" i="177"/>
  <c r="AG40" i="177"/>
  <c r="AQ40" i="177"/>
  <c r="K27" i="177"/>
  <c r="X40" i="177"/>
  <c r="AH40" i="177"/>
  <c r="AR40" i="177"/>
  <c r="L27" i="177"/>
  <c r="Y40" i="177"/>
  <c r="AI40" i="177"/>
  <c r="AS40" i="177"/>
  <c r="R41" i="177"/>
  <c r="AB41" i="177"/>
  <c r="AL41" i="177"/>
  <c r="S41" i="177"/>
  <c r="F31" i="177"/>
  <c r="AC41" i="177"/>
  <c r="AM41" i="177"/>
  <c r="T41" i="177"/>
  <c r="G31" i="177"/>
  <c r="AD41" i="177"/>
  <c r="AN41" i="177"/>
  <c r="U41" i="177"/>
  <c r="AE41" i="177"/>
  <c r="AO41" i="177"/>
  <c r="V41" i="177"/>
  <c r="AF41" i="177"/>
  <c r="AP41" i="177"/>
  <c r="W41" i="177"/>
  <c r="AG41" i="177"/>
  <c r="AQ41" i="177"/>
  <c r="X41" i="177"/>
  <c r="AH41" i="177"/>
  <c r="AR41" i="177"/>
  <c r="Y41" i="177"/>
  <c r="AI41" i="177"/>
  <c r="AS41" i="177"/>
  <c r="F94" i="176"/>
  <c r="F96" i="176"/>
  <c r="G94" i="176"/>
  <c r="G96" i="176"/>
  <c r="BB79" i="59"/>
  <c r="AX79" i="59"/>
  <c r="BD79" i="59"/>
  <c r="AZ79" i="59"/>
  <c r="AY79" i="59"/>
  <c r="BC79" i="59"/>
  <c r="BE79" i="59"/>
  <c r="BA79" i="59"/>
  <c r="BF79" i="59"/>
  <c r="AX207" i="59"/>
  <c r="AX213" i="59"/>
  <c r="AY207" i="59"/>
  <c r="AY213" i="59"/>
  <c r="BA207" i="59"/>
  <c r="BA213" i="59"/>
  <c r="BC207" i="59"/>
  <c r="BC213" i="59"/>
  <c r="BE207" i="59"/>
  <c r="BE213" i="59"/>
  <c r="AZ207" i="59"/>
  <c r="AZ213" i="59"/>
  <c r="BB207" i="59"/>
  <c r="BB213" i="59"/>
  <c r="BD207" i="59"/>
  <c r="BD213" i="59"/>
  <c r="BF207" i="59"/>
  <c r="BF213" i="59"/>
  <c r="AX114" i="59"/>
  <c r="AX122" i="59"/>
  <c r="BF114" i="59"/>
  <c r="BF122" i="59"/>
  <c r="BE114" i="59"/>
  <c r="BE122" i="59"/>
  <c r="BD114" i="59"/>
  <c r="BD122" i="59"/>
  <c r="BC114" i="59"/>
  <c r="BC122" i="59"/>
  <c r="BB114" i="59"/>
  <c r="BB122" i="59"/>
  <c r="BA114" i="59"/>
  <c r="BA122" i="59"/>
  <c r="AZ114" i="59"/>
  <c r="AZ122" i="59"/>
  <c r="AY114" i="59"/>
  <c r="AY122" i="59"/>
  <c r="CW85" i="166"/>
  <c r="AY159" i="59"/>
  <c r="CW85" i="167"/>
  <c r="AZ159" i="59"/>
  <c r="CW85" i="168"/>
  <c r="BA159" i="59"/>
  <c r="CW85" i="169"/>
  <c r="BB159" i="59"/>
  <c r="CW85" i="170"/>
  <c r="BC159" i="59"/>
  <c r="CW85" i="171"/>
  <c r="BD159" i="59"/>
  <c r="N465" i="112"/>
  <c r="BF226" i="59"/>
  <c r="BF227" i="59"/>
  <c r="BF251" i="59"/>
  <c r="N471" i="112"/>
  <c r="N474" i="112"/>
  <c r="N351" i="39"/>
  <c r="N355" i="39"/>
  <c r="K465" i="112"/>
  <c r="BC226" i="59"/>
  <c r="BC227" i="59"/>
  <c r="BC251" i="59"/>
  <c r="K471" i="112"/>
  <c r="K474" i="112"/>
  <c r="K351" i="39"/>
  <c r="K355" i="39"/>
  <c r="I465" i="112"/>
  <c r="BA226" i="59"/>
  <c r="BA227" i="59"/>
  <c r="BA251" i="59"/>
  <c r="I471" i="112"/>
  <c r="I474" i="112"/>
  <c r="I351" i="39"/>
  <c r="I355" i="39"/>
  <c r="J465" i="112"/>
  <c r="BB226" i="59"/>
  <c r="BB227" i="59"/>
  <c r="BB251" i="59"/>
  <c r="J471" i="112"/>
  <c r="J474" i="112"/>
  <c r="J351" i="39"/>
  <c r="J355" i="39"/>
  <c r="L465" i="112"/>
  <c r="BD226" i="59"/>
  <c r="BD227" i="59"/>
  <c r="BD251" i="59"/>
  <c r="L471" i="112"/>
  <c r="L474" i="112"/>
  <c r="L351" i="39"/>
  <c r="L355" i="39"/>
  <c r="M465" i="112"/>
  <c r="BE226" i="59"/>
  <c r="BE227" i="59"/>
  <c r="BE251" i="59"/>
  <c r="M471" i="112"/>
  <c r="M474" i="112"/>
  <c r="M351" i="39"/>
  <c r="M355" i="39"/>
  <c r="G465" i="112"/>
  <c r="AY226" i="59"/>
  <c r="AY227" i="59"/>
  <c r="AY251" i="59"/>
  <c r="G471" i="112"/>
  <c r="G474" i="112"/>
  <c r="G351" i="39"/>
  <c r="G355" i="39"/>
  <c r="H465" i="112"/>
  <c r="AZ226" i="59"/>
  <c r="AZ227" i="59"/>
  <c r="AZ251" i="59"/>
  <c r="H471" i="112"/>
  <c r="H474" i="112"/>
  <c r="H351" i="39"/>
  <c r="H355" i="39"/>
  <c r="F465" i="112"/>
  <c r="AX226" i="59"/>
  <c r="AX227" i="59"/>
  <c r="AX251" i="59"/>
  <c r="F471" i="112"/>
  <c r="F474" i="112"/>
  <c r="F351" i="39"/>
  <c r="F355" i="39"/>
  <c r="N90" i="111" a="1"/>
  <c r="N90" i="111"/>
  <c r="N123" i="111"/>
  <c r="CN79" i="173"/>
  <c r="CW79" i="173"/>
  <c r="M90" i="111" a="1"/>
  <c r="M90" i="111"/>
  <c r="M123" i="111"/>
  <c r="CN79" i="172"/>
  <c r="CW79" i="172"/>
  <c r="L90" i="111" a="1"/>
  <c r="L90" i="111"/>
  <c r="L123" i="111"/>
  <c r="CN79" i="171"/>
  <c r="CW79" i="171"/>
  <c r="K90" i="111" a="1"/>
  <c r="K90" i="111"/>
  <c r="K123" i="111"/>
  <c r="CN79" i="170"/>
  <c r="CW79" i="170"/>
  <c r="J90" i="111" a="1"/>
  <c r="J90" i="111"/>
  <c r="J123" i="111"/>
  <c r="CN79" i="169"/>
  <c r="CW79" i="169"/>
  <c r="I90" i="111" a="1"/>
  <c r="I90" i="111"/>
  <c r="I123" i="111"/>
  <c r="CN79" i="168"/>
  <c r="CW79" i="168"/>
  <c r="H90" i="111" a="1"/>
  <c r="H90" i="111"/>
  <c r="H123" i="111"/>
  <c r="CN79" i="167"/>
  <c r="CW79" i="167"/>
  <c r="G90" i="111" a="1"/>
  <c r="G90" i="111"/>
  <c r="G123" i="111"/>
  <c r="CN79" i="166"/>
  <c r="CW79" i="166"/>
  <c r="N124" i="111"/>
  <c r="I124" i="111"/>
  <c r="K124" i="111"/>
  <c r="J124" i="111"/>
  <c r="L124" i="111"/>
  <c r="M124" i="111"/>
  <c r="G124" i="111"/>
  <c r="H124" i="111"/>
  <c r="AH80" i="70"/>
  <c r="F114" i="111"/>
  <c r="AM79" i="70"/>
  <c r="AM80" i="70"/>
  <c r="AY80" i="70"/>
  <c r="BE80" i="70"/>
  <c r="L9" i="177"/>
  <c r="L19" i="177"/>
  <c r="Y31" i="177"/>
  <c r="AI31" i="177"/>
  <c r="AS31" i="177"/>
  <c r="K9" i="177"/>
  <c r="K19" i="177"/>
  <c r="X31" i="177"/>
  <c r="AH31" i="177"/>
  <c r="AR31" i="177"/>
  <c r="J9" i="177"/>
  <c r="J19" i="177"/>
  <c r="W31" i="177"/>
  <c r="AG31" i="177"/>
  <c r="AQ31" i="177"/>
  <c r="I9" i="177"/>
  <c r="I19" i="177"/>
  <c r="V31" i="177"/>
  <c r="AF31" i="177"/>
  <c r="AP31" i="177"/>
  <c r="H9" i="177"/>
  <c r="H19" i="177"/>
  <c r="U31" i="177"/>
  <c r="AE31" i="177"/>
  <c r="AO31" i="177"/>
  <c r="G9" i="177"/>
  <c r="G19" i="177"/>
  <c r="T31" i="177"/>
  <c r="AD31" i="177"/>
  <c r="AN31" i="177"/>
  <c r="F9" i="177"/>
  <c r="F19" i="177"/>
  <c r="S31" i="177"/>
  <c r="AC31" i="177"/>
  <c r="AM31" i="177"/>
  <c r="E9" i="177"/>
  <c r="E19" i="177"/>
  <c r="R31" i="177"/>
  <c r="AB31" i="177"/>
  <c r="AL31" i="177"/>
  <c r="L28" i="177"/>
  <c r="Y25" i="177"/>
  <c r="L17" i="177"/>
  <c r="AI25" i="177"/>
  <c r="AS25" i="177"/>
  <c r="K28" i="177"/>
  <c r="X25" i="177"/>
  <c r="K17" i="177"/>
  <c r="AH25" i="177"/>
  <c r="AR25" i="177"/>
  <c r="J28" i="177"/>
  <c r="W25" i="177"/>
  <c r="J17" i="177"/>
  <c r="AG25" i="177"/>
  <c r="AQ25" i="177"/>
  <c r="I28" i="177"/>
  <c r="V25" i="177"/>
  <c r="I17" i="177"/>
  <c r="AF25" i="177"/>
  <c r="AP25" i="177"/>
  <c r="H28" i="177"/>
  <c r="U25" i="177"/>
  <c r="H17" i="177"/>
  <c r="AE25" i="177"/>
  <c r="AO25" i="177"/>
  <c r="G28" i="177"/>
  <c r="T25" i="177"/>
  <c r="G17" i="177"/>
  <c r="AD25" i="177"/>
  <c r="AN25" i="177"/>
  <c r="F28" i="177"/>
  <c r="S25" i="177"/>
  <c r="F17" i="177"/>
  <c r="AC25" i="177"/>
  <c r="AM25" i="177"/>
  <c r="E28" i="177"/>
  <c r="R25" i="177"/>
  <c r="E17" i="177"/>
  <c r="AB25" i="177"/>
  <c r="AL25" i="177"/>
  <c r="BL44" i="60"/>
  <c r="BL46" i="60"/>
  <c r="BL49" i="60"/>
  <c r="BL45" i="60"/>
  <c r="BL50" i="60"/>
  <c r="BF205" i="59"/>
  <c r="BF211" i="59"/>
  <c r="BC205" i="59"/>
  <c r="BC211" i="59"/>
  <c r="BA205" i="59"/>
  <c r="BA211" i="59"/>
  <c r="BI44" i="60"/>
  <c r="BI46" i="60"/>
  <c r="BI50" i="60"/>
  <c r="BI45" i="60"/>
  <c r="BI49" i="60"/>
  <c r="N25" i="110"/>
  <c r="N341" i="110"/>
  <c r="N347" i="110"/>
  <c r="AX205" i="59"/>
  <c r="AX211" i="59"/>
  <c r="BL26" i="60"/>
  <c r="BF36" i="59"/>
  <c r="BF38" i="59"/>
  <c r="BF285" i="59"/>
  <c r="M84" i="133"/>
  <c r="M96" i="133"/>
  <c r="M107" i="133"/>
  <c r="M118" i="133"/>
  <c r="BA36" i="59"/>
  <c r="BA38" i="59"/>
  <c r="BA285" i="59"/>
  <c r="BC36" i="59"/>
  <c r="BC38" i="59"/>
  <c r="BC285" i="59"/>
  <c r="J84" i="133"/>
  <c r="J96" i="133"/>
  <c r="J107" i="133"/>
  <c r="J118" i="133"/>
  <c r="H84" i="133"/>
  <c r="H96" i="133"/>
  <c r="H107" i="133"/>
  <c r="H118" i="133"/>
  <c r="BI26" i="60"/>
  <c r="AX36" i="59"/>
  <c r="AX38" i="59"/>
  <c r="AX285" i="59"/>
  <c r="E84" i="133"/>
  <c r="E96" i="133"/>
  <c r="E107" i="133"/>
  <c r="E118" i="133"/>
  <c r="F25" i="110"/>
  <c r="F341" i="110"/>
  <c r="F347" i="110"/>
  <c r="K25" i="110"/>
  <c r="K341" i="110"/>
  <c r="K347" i="110"/>
  <c r="I25" i="110"/>
  <c r="I341" i="110"/>
  <c r="I347" i="110"/>
  <c r="BK44" i="60"/>
  <c r="BK45" i="60"/>
  <c r="BK49" i="60"/>
  <c r="BK50" i="60"/>
  <c r="BK46" i="60"/>
  <c r="J25" i="110"/>
  <c r="J341" i="110"/>
  <c r="J347" i="110"/>
  <c r="L25" i="110"/>
  <c r="L341" i="110"/>
  <c r="L347" i="110"/>
  <c r="M25" i="110"/>
  <c r="M341" i="110"/>
  <c r="M347" i="110"/>
  <c r="BB205" i="59"/>
  <c r="BB211" i="59"/>
  <c r="BD205" i="59"/>
  <c r="BD211" i="59"/>
  <c r="BE205" i="59"/>
  <c r="BE211" i="59"/>
  <c r="BJ44" i="60"/>
  <c r="BJ45" i="60"/>
  <c r="BK26" i="60"/>
  <c r="BJ49" i="60"/>
  <c r="BJ46" i="60"/>
  <c r="BJ50" i="60"/>
  <c r="H25" i="110"/>
  <c r="H341" i="110"/>
  <c r="H347" i="110"/>
  <c r="G25" i="110"/>
  <c r="G341" i="110"/>
  <c r="G347" i="110"/>
  <c r="BB36" i="59"/>
  <c r="BB38" i="59"/>
  <c r="BB285" i="59"/>
  <c r="BD36" i="59"/>
  <c r="BD38" i="59"/>
  <c r="BD285" i="59"/>
  <c r="K84" i="133"/>
  <c r="K96" i="133"/>
  <c r="K107" i="133"/>
  <c r="K118" i="133"/>
  <c r="I84" i="133"/>
  <c r="I96" i="133"/>
  <c r="I107" i="133"/>
  <c r="I118" i="133"/>
  <c r="BE36" i="59"/>
  <c r="BE38" i="59"/>
  <c r="BE285" i="59"/>
  <c r="L84" i="133"/>
  <c r="L96" i="133"/>
  <c r="L107" i="133"/>
  <c r="L118" i="133"/>
  <c r="AZ205" i="59"/>
  <c r="AZ211" i="59"/>
  <c r="AY205" i="59"/>
  <c r="AY211" i="59"/>
  <c r="G185" i="123"/>
  <c r="BJ26" i="60"/>
  <c r="AZ36" i="59"/>
  <c r="AZ38" i="59"/>
  <c r="AZ285" i="59"/>
  <c r="G84" i="133"/>
  <c r="G96" i="133"/>
  <c r="G107" i="133"/>
  <c r="G118" i="133"/>
  <c r="F84" i="133"/>
  <c r="F96" i="133"/>
  <c r="F107" i="133"/>
  <c r="F118" i="133"/>
  <c r="AY36" i="59"/>
  <c r="AY38" i="59"/>
  <c r="AY285" i="59"/>
  <c r="G224" i="123"/>
  <c r="G213" i="123"/>
  <c r="F224" i="123"/>
  <c r="F213" i="123"/>
  <c r="H224" i="123"/>
  <c r="I224" i="123"/>
  <c r="I213" i="123"/>
  <c r="H213" i="123"/>
  <c r="F90" i="111" a="1"/>
  <c r="F90" i="111"/>
  <c r="F123" i="111"/>
  <c r="F124" i="111"/>
  <c r="CN79" i="70"/>
  <c r="CW79" i="70"/>
  <c r="M28" i="177"/>
  <c r="Z25" i="177"/>
  <c r="M17" i="177"/>
  <c r="M9" i="177"/>
  <c r="M19" i="177"/>
  <c r="AJ25" i="177"/>
  <c r="AT25" i="177"/>
  <c r="Z31" i="177"/>
  <c r="AJ31" i="177"/>
  <c r="AT31" i="177"/>
  <c r="Z32" i="177"/>
  <c r="Y32" i="177"/>
  <c r="X32" i="177"/>
  <c r="W32" i="177"/>
  <c r="V32" i="177"/>
  <c r="U32" i="177"/>
  <c r="T32" i="177"/>
  <c r="S32" i="177"/>
  <c r="R32" i="177"/>
  <c r="Z9" i="177"/>
  <c r="Y9" i="177"/>
  <c r="X9" i="177"/>
  <c r="W9" i="177"/>
  <c r="V9" i="177"/>
  <c r="U9" i="177"/>
  <c r="T9" i="177"/>
  <c r="S9" i="177"/>
  <c r="R9" i="177"/>
  <c r="M112" i="176"/>
  <c r="M77" i="177"/>
  <c r="M83" i="177"/>
  <c r="M89" i="177"/>
  <c r="M95" i="177"/>
  <c r="M101" i="177"/>
  <c r="M107" i="177"/>
  <c r="M104" i="176"/>
  <c r="M78" i="177"/>
  <c r="M84" i="177"/>
  <c r="M90" i="177"/>
  <c r="M96" i="177"/>
  <c r="M102" i="177"/>
  <c r="M108" i="177"/>
  <c r="M105" i="176"/>
  <c r="M85" i="177"/>
  <c r="M91" i="177"/>
  <c r="M97" i="177"/>
  <c r="M103" i="177"/>
  <c r="M109" i="177"/>
  <c r="M106" i="176"/>
  <c r="M107" i="176"/>
  <c r="M113" i="176"/>
  <c r="M114" i="176"/>
  <c r="L112" i="176"/>
  <c r="L77" i="177"/>
  <c r="L83" i="177"/>
  <c r="L89" i="177"/>
  <c r="L95" i="177"/>
  <c r="L101" i="177"/>
  <c r="L107" i="177"/>
  <c r="L104" i="176"/>
  <c r="L78" i="177"/>
  <c r="L84" i="177"/>
  <c r="L90" i="177"/>
  <c r="L96" i="177"/>
  <c r="L102" i="177"/>
  <c r="L108" i="177"/>
  <c r="L105" i="176"/>
  <c r="L85" i="177"/>
  <c r="L91" i="177"/>
  <c r="L97" i="177"/>
  <c r="L103" i="177"/>
  <c r="L109" i="177"/>
  <c r="L106" i="176"/>
  <c r="L107" i="176"/>
  <c r="L113" i="176"/>
  <c r="L114" i="176"/>
  <c r="K112" i="176"/>
  <c r="K77" i="177"/>
  <c r="K83" i="177"/>
  <c r="K89" i="177"/>
  <c r="K95" i="177"/>
  <c r="K101" i="177"/>
  <c r="K107" i="177"/>
  <c r="K104" i="176"/>
  <c r="K78" i="177"/>
  <c r="K84" i="177"/>
  <c r="K90" i="177"/>
  <c r="K96" i="177"/>
  <c r="K102" i="177"/>
  <c r="K108" i="177"/>
  <c r="K105" i="176"/>
  <c r="K85" i="177"/>
  <c r="K91" i="177"/>
  <c r="K97" i="177"/>
  <c r="K103" i="177"/>
  <c r="K109" i="177"/>
  <c r="K106" i="176"/>
  <c r="K107" i="176"/>
  <c r="K113" i="176"/>
  <c r="K114" i="176"/>
  <c r="J112" i="176"/>
  <c r="J77" i="177"/>
  <c r="J83" i="177"/>
  <c r="J89" i="177"/>
  <c r="J95" i="177"/>
  <c r="J101" i="177"/>
  <c r="J107" i="177"/>
  <c r="J104" i="176"/>
  <c r="J78" i="177"/>
  <c r="J84" i="177"/>
  <c r="J90" i="177"/>
  <c r="J96" i="177"/>
  <c r="J102" i="177"/>
  <c r="J108" i="177"/>
  <c r="J105" i="176"/>
  <c r="J85" i="177"/>
  <c r="J91" i="177"/>
  <c r="J97" i="177"/>
  <c r="J103" i="177"/>
  <c r="J109" i="177"/>
  <c r="J106" i="176"/>
  <c r="J107" i="176"/>
  <c r="J113" i="176"/>
  <c r="J114" i="176"/>
  <c r="I112" i="176"/>
  <c r="I77" i="177"/>
  <c r="I83" i="177"/>
  <c r="I89" i="177"/>
  <c r="I95" i="177"/>
  <c r="I101" i="177"/>
  <c r="I107" i="177"/>
  <c r="I104" i="176"/>
  <c r="I78" i="177"/>
  <c r="I84" i="177"/>
  <c r="I90" i="177"/>
  <c r="I96" i="177"/>
  <c r="I102" i="177"/>
  <c r="I108" i="177"/>
  <c r="I105" i="176"/>
  <c r="I85" i="177"/>
  <c r="I91" i="177"/>
  <c r="I97" i="177"/>
  <c r="I103" i="177"/>
  <c r="I109" i="177"/>
  <c r="I106" i="176"/>
  <c r="I107" i="176"/>
  <c r="I113" i="176"/>
  <c r="I114" i="176"/>
  <c r="H112" i="176"/>
  <c r="H77" i="177"/>
  <c r="H83" i="177"/>
  <c r="H89" i="177"/>
  <c r="H95" i="177"/>
  <c r="H101" i="177"/>
  <c r="H107" i="177"/>
  <c r="H104" i="176"/>
  <c r="H78" i="177"/>
  <c r="H84" i="177"/>
  <c r="H90" i="177"/>
  <c r="H96" i="177"/>
  <c r="H102" i="177"/>
  <c r="H108" i="177"/>
  <c r="H105" i="176"/>
  <c r="H85" i="177"/>
  <c r="H91" i="177"/>
  <c r="H97" i="177"/>
  <c r="H103" i="177"/>
  <c r="H109" i="177"/>
  <c r="H106" i="176"/>
  <c r="H107" i="176"/>
  <c r="H113" i="176"/>
  <c r="H114" i="176"/>
  <c r="G112" i="176"/>
  <c r="G77" i="177"/>
  <c r="G83" i="177"/>
  <c r="G89" i="177"/>
  <c r="G95" i="177"/>
  <c r="G101" i="177"/>
  <c r="G107" i="177"/>
  <c r="G104" i="176"/>
  <c r="G78" i="177"/>
  <c r="G84" i="177"/>
  <c r="G90" i="177"/>
  <c r="G96" i="177"/>
  <c r="G102" i="177"/>
  <c r="G108" i="177"/>
  <c r="G105" i="176"/>
  <c r="G85" i="177"/>
  <c r="G91" i="177"/>
  <c r="G97" i="177"/>
  <c r="G103" i="177"/>
  <c r="G109" i="177"/>
  <c r="G106" i="176"/>
  <c r="G107" i="176"/>
  <c r="G113" i="176"/>
  <c r="G114" i="176"/>
  <c r="F112" i="176"/>
  <c r="F77" i="177"/>
  <c r="F83" i="177"/>
  <c r="F89" i="177"/>
  <c r="F95" i="177"/>
  <c r="F101" i="177"/>
  <c r="F107" i="177"/>
  <c r="F104" i="176"/>
  <c r="F78" i="177"/>
  <c r="F84" i="177"/>
  <c r="F90" i="177"/>
  <c r="F96" i="177"/>
  <c r="F102" i="177"/>
  <c r="F108" i="177"/>
  <c r="F105" i="176"/>
  <c r="F85" i="177"/>
  <c r="F91" i="177"/>
  <c r="F97" i="177"/>
  <c r="F103" i="177"/>
  <c r="F109" i="177"/>
  <c r="F106" i="176"/>
  <c r="F107" i="176"/>
  <c r="F113" i="176"/>
  <c r="F114" i="176"/>
  <c r="E112" i="176"/>
  <c r="E77" i="177"/>
  <c r="E83" i="177"/>
  <c r="E89" i="177"/>
  <c r="E95" i="177"/>
  <c r="E101" i="177"/>
  <c r="E107" i="177"/>
  <c r="E104" i="176"/>
  <c r="E78" i="177"/>
  <c r="E84" i="177"/>
  <c r="E90" i="177"/>
  <c r="E96" i="177"/>
  <c r="E102" i="177"/>
  <c r="E108" i="177"/>
  <c r="E105" i="176"/>
  <c r="E85" i="177"/>
  <c r="E91" i="177"/>
  <c r="E97" i="177"/>
  <c r="E103" i="177"/>
  <c r="E109" i="177"/>
  <c r="E106" i="176"/>
  <c r="E107" i="176"/>
  <c r="E113" i="176"/>
  <c r="E114" i="176"/>
  <c r="AB35" i="177"/>
  <c r="AC35" i="177"/>
  <c r="AD35" i="177"/>
  <c r="AE35" i="177"/>
  <c r="AF35" i="177"/>
  <c r="AG35" i="177"/>
  <c r="AH35" i="177"/>
  <c r="AI35" i="177"/>
  <c r="AJ35" i="177"/>
  <c r="G17" i="133"/>
  <c r="H114" i="111"/>
  <c r="AM79" i="167"/>
  <c r="AM80" i="167"/>
  <c r="AM87" i="167"/>
  <c r="AM90" i="167"/>
  <c r="G20" i="133"/>
  <c r="G22" i="133"/>
  <c r="G24" i="133"/>
  <c r="G26" i="133"/>
  <c r="G27" i="133"/>
  <c r="G34" i="133"/>
  <c r="G52" i="133"/>
  <c r="G35" i="133"/>
  <c r="G53" i="133"/>
  <c r="G36" i="133"/>
  <c r="G54" i="133"/>
  <c r="G37" i="133"/>
  <c r="G55" i="133"/>
  <c r="G38" i="133"/>
  <c r="G56" i="133"/>
  <c r="G39" i="133"/>
  <c r="G57" i="133"/>
  <c r="G40" i="133"/>
  <c r="G58" i="133"/>
  <c r="G41" i="133"/>
  <c r="G59" i="133"/>
  <c r="G42" i="133"/>
  <c r="G60" i="133"/>
  <c r="G43" i="133"/>
  <c r="G61" i="133"/>
  <c r="G44" i="133"/>
  <c r="G62" i="133"/>
  <c r="G45" i="133"/>
  <c r="G63" i="133"/>
  <c r="G32" i="133"/>
  <c r="G33" i="133"/>
  <c r="G46" i="133"/>
  <c r="G64" i="133"/>
  <c r="G65" i="133"/>
  <c r="G47" i="133"/>
  <c r="F17" i="133"/>
  <c r="G114" i="111"/>
  <c r="AM79" i="166"/>
  <c r="AM80" i="166"/>
  <c r="AM87" i="166"/>
  <c r="AM90" i="166"/>
  <c r="F20" i="133"/>
  <c r="F22" i="133"/>
  <c r="F24" i="133"/>
  <c r="F26" i="133"/>
  <c r="F27" i="133"/>
  <c r="F34" i="133"/>
  <c r="F52" i="133"/>
  <c r="F35" i="133"/>
  <c r="F53" i="133"/>
  <c r="F36" i="133"/>
  <c r="F54" i="133"/>
  <c r="F37" i="133"/>
  <c r="F55" i="133"/>
  <c r="F38" i="133"/>
  <c r="F56" i="133"/>
  <c r="F39" i="133"/>
  <c r="F57" i="133"/>
  <c r="F40" i="133"/>
  <c r="F58" i="133"/>
  <c r="F41" i="133"/>
  <c r="F59" i="133"/>
  <c r="F42" i="133"/>
  <c r="F60" i="133"/>
  <c r="F43" i="133"/>
  <c r="F61" i="133"/>
  <c r="F44" i="133"/>
  <c r="F62" i="133"/>
  <c r="F45" i="133"/>
  <c r="F63" i="133"/>
  <c r="F32" i="133"/>
  <c r="F33" i="133"/>
  <c r="F46" i="133"/>
  <c r="F64" i="133"/>
  <c r="F65" i="133"/>
  <c r="F47" i="133"/>
  <c r="AZ27" i="59"/>
  <c r="AZ30" i="59"/>
  <c r="AZ31" i="59"/>
  <c r="AZ42" i="59"/>
  <c r="K90" i="167"/>
  <c r="AZ7" i="59"/>
  <c r="L90" i="167"/>
  <c r="AZ8" i="59"/>
  <c r="M90" i="167"/>
  <c r="AZ9" i="59"/>
  <c r="AZ12" i="59"/>
  <c r="J90" i="167"/>
  <c r="AZ13" i="59"/>
  <c r="AZ17" i="59"/>
  <c r="AZ19" i="59"/>
  <c r="AZ287" i="59"/>
  <c r="BA90" i="167"/>
  <c r="AZ47" i="59"/>
  <c r="BB83" i="167"/>
  <c r="BB85" i="167"/>
  <c r="BB87" i="167"/>
  <c r="BB90" i="167"/>
  <c r="AZ48" i="59"/>
  <c r="AZ49" i="59"/>
  <c r="X85" i="167"/>
  <c r="X87" i="167"/>
  <c r="X90" i="167"/>
  <c r="AZ53" i="59"/>
  <c r="Y85" i="167"/>
  <c r="Y87" i="167"/>
  <c r="Y90" i="167"/>
  <c r="AZ54" i="59"/>
  <c r="Z85" i="167"/>
  <c r="Z87" i="167"/>
  <c r="Z90" i="167"/>
  <c r="AZ55" i="59"/>
  <c r="H112" i="116"/>
  <c r="T83" i="167"/>
  <c r="T85" i="167"/>
  <c r="T87" i="167"/>
  <c r="T90" i="167"/>
  <c r="AZ56" i="59"/>
  <c r="H113" i="116"/>
  <c r="U83" i="167"/>
  <c r="U85" i="167"/>
  <c r="U87" i="167"/>
  <c r="U90" i="167"/>
  <c r="AZ57" i="59"/>
  <c r="H114" i="116"/>
  <c r="V83" i="167"/>
  <c r="V85" i="167"/>
  <c r="V87" i="167"/>
  <c r="V90" i="167"/>
  <c r="AZ58" i="59"/>
  <c r="W82" i="167"/>
  <c r="H12" i="116"/>
  <c r="H69" i="116"/>
  <c r="H115" i="116"/>
  <c r="W83" i="167"/>
  <c r="W85" i="167"/>
  <c r="W87" i="167"/>
  <c r="W90" i="167"/>
  <c r="AZ59" i="59"/>
  <c r="AZ65" i="59"/>
  <c r="AZ67" i="59"/>
  <c r="AZ74" i="59"/>
  <c r="AZ75" i="59"/>
  <c r="P90" i="167"/>
  <c r="AH90" i="167"/>
  <c r="AY90" i="167"/>
  <c r="BC90" i="167"/>
  <c r="BE90" i="167"/>
  <c r="AZ82" i="59"/>
  <c r="AZ84" i="59"/>
  <c r="AZ44" i="59"/>
  <c r="AY27" i="59"/>
  <c r="AY30" i="59"/>
  <c r="AY31" i="59"/>
  <c r="AY42" i="59"/>
  <c r="K90" i="166"/>
  <c r="AY7" i="59"/>
  <c r="L90" i="166"/>
  <c r="AY8" i="59"/>
  <c r="M90" i="166"/>
  <c r="AY9" i="59"/>
  <c r="AY12" i="59"/>
  <c r="J90" i="166"/>
  <c r="AY13" i="59"/>
  <c r="AY17" i="59"/>
  <c r="AY44" i="59"/>
  <c r="BA90" i="166"/>
  <c r="AY47" i="59"/>
  <c r="BB83" i="166"/>
  <c r="BB85" i="166"/>
  <c r="BB87" i="166"/>
  <c r="BB90" i="166"/>
  <c r="AY48" i="59"/>
  <c r="AY49" i="59"/>
  <c r="X85" i="166"/>
  <c r="X87" i="166"/>
  <c r="X90" i="166"/>
  <c r="AY53" i="59"/>
  <c r="Y85" i="166"/>
  <c r="Y87" i="166"/>
  <c r="Y90" i="166"/>
  <c r="AY54" i="59"/>
  <c r="Z85" i="166"/>
  <c r="Z87" i="166"/>
  <c r="Z90" i="166"/>
  <c r="AY55" i="59"/>
  <c r="G112" i="116"/>
  <c r="T83" i="166"/>
  <c r="T85" i="166"/>
  <c r="T87" i="166"/>
  <c r="T90" i="166"/>
  <c r="AY56" i="59"/>
  <c r="G113" i="116"/>
  <c r="U83" i="166"/>
  <c r="U85" i="166"/>
  <c r="U87" i="166"/>
  <c r="U90" i="166"/>
  <c r="AY57" i="59"/>
  <c r="G114" i="116"/>
  <c r="V83" i="166"/>
  <c r="V85" i="166"/>
  <c r="V87" i="166"/>
  <c r="V90" i="166"/>
  <c r="AY58" i="59"/>
  <c r="W82" i="166"/>
  <c r="G12" i="116"/>
  <c r="G69" i="116"/>
  <c r="G115" i="116"/>
  <c r="W83" i="166"/>
  <c r="W85" i="166"/>
  <c r="W87" i="166"/>
  <c r="W90" i="166"/>
  <c r="AY59" i="59"/>
  <c r="AY65" i="59"/>
  <c r="AY67" i="59"/>
  <c r="AY74" i="59"/>
  <c r="AY75" i="59"/>
  <c r="P90" i="166"/>
  <c r="AH90" i="166"/>
  <c r="AY90" i="166"/>
  <c r="BC90" i="166"/>
  <c r="BE90" i="166"/>
  <c r="AY82" i="59"/>
  <c r="AY84" i="59"/>
  <c r="AY287" i="59"/>
  <c r="AY19" i="59"/>
  <c r="F80" i="133"/>
  <c r="F94" i="133"/>
  <c r="F98" i="133"/>
  <c r="F87" i="133"/>
  <c r="F109" i="133"/>
  <c r="F120" i="133"/>
  <c r="G80" i="133"/>
  <c r="G94" i="133"/>
  <c r="G98" i="133"/>
  <c r="G87" i="133"/>
  <c r="G109" i="133"/>
  <c r="G120" i="133"/>
  <c r="AZ288" i="59"/>
  <c r="G33" i="135"/>
  <c r="G36" i="135"/>
  <c r="G38" i="135"/>
  <c r="G40" i="135"/>
  <c r="G42" i="135"/>
  <c r="G43" i="135"/>
  <c r="G52" i="135"/>
  <c r="G53" i="135"/>
  <c r="G54" i="135"/>
  <c r="G55" i="135"/>
  <c r="G56" i="135"/>
  <c r="G57" i="135"/>
  <c r="F33" i="135"/>
  <c r="F36" i="135"/>
  <c r="F38" i="135"/>
  <c r="F40" i="135"/>
  <c r="F42" i="135"/>
  <c r="F43" i="135"/>
  <c r="F52" i="135"/>
  <c r="F53" i="135"/>
  <c r="F54" i="135"/>
  <c r="F55" i="135"/>
  <c r="F56" i="135"/>
  <c r="F57" i="135"/>
  <c r="AY288" i="59"/>
  <c r="L17" i="133"/>
  <c r="M114" i="111"/>
  <c r="AM79" i="172"/>
  <c r="AM80" i="172"/>
  <c r="AM87" i="172"/>
  <c r="AM90" i="172"/>
  <c r="L20" i="133"/>
  <c r="L22" i="133"/>
  <c r="L24" i="133"/>
  <c r="L26" i="133"/>
  <c r="L27" i="133"/>
  <c r="L34" i="133"/>
  <c r="L52" i="133"/>
  <c r="L35" i="133"/>
  <c r="L53" i="133"/>
  <c r="L36" i="133"/>
  <c r="L54" i="133"/>
  <c r="L37" i="133"/>
  <c r="L55" i="133"/>
  <c r="L38" i="133"/>
  <c r="L56" i="133"/>
  <c r="L39" i="133"/>
  <c r="L57" i="133"/>
  <c r="L40" i="133"/>
  <c r="L58" i="133"/>
  <c r="L41" i="133"/>
  <c r="L59" i="133"/>
  <c r="L42" i="133"/>
  <c r="L60" i="133"/>
  <c r="L43" i="133"/>
  <c r="L61" i="133"/>
  <c r="L44" i="133"/>
  <c r="L62" i="133"/>
  <c r="L45" i="133"/>
  <c r="L63" i="133"/>
  <c r="L32" i="133"/>
  <c r="L33" i="133"/>
  <c r="L46" i="133"/>
  <c r="L64" i="133"/>
  <c r="L65" i="133"/>
  <c r="L47" i="133"/>
  <c r="G115" i="111"/>
  <c r="K90" i="172"/>
  <c r="BE7" i="59"/>
  <c r="L90" i="172"/>
  <c r="BE8" i="59"/>
  <c r="M90" i="172"/>
  <c r="BE9" i="59"/>
  <c r="BE12" i="59"/>
  <c r="J90" i="172"/>
  <c r="BE13" i="59"/>
  <c r="BE17" i="59"/>
  <c r="BE27" i="59"/>
  <c r="BE30" i="59"/>
  <c r="BE31" i="59"/>
  <c r="BE42" i="59"/>
  <c r="BA90" i="172"/>
  <c r="BE47" i="59"/>
  <c r="BB83" i="172"/>
  <c r="BB85" i="172"/>
  <c r="BB87" i="172"/>
  <c r="BB90" i="172"/>
  <c r="BE48" i="59"/>
  <c r="BE49" i="59"/>
  <c r="X85" i="172"/>
  <c r="X87" i="172"/>
  <c r="X90" i="172"/>
  <c r="BE53" i="59"/>
  <c r="Y85" i="172"/>
  <c r="Y87" i="172"/>
  <c r="Y90" i="172"/>
  <c r="BE54" i="59"/>
  <c r="Z85" i="172"/>
  <c r="Z87" i="172"/>
  <c r="Z90" i="172"/>
  <c r="BE55" i="59"/>
  <c r="M112" i="116"/>
  <c r="T83" i="172"/>
  <c r="T85" i="172"/>
  <c r="T87" i="172"/>
  <c r="T90" i="172"/>
  <c r="BE56" i="59"/>
  <c r="M113" i="116"/>
  <c r="U83" i="172"/>
  <c r="U85" i="172"/>
  <c r="U87" i="172"/>
  <c r="U90" i="172"/>
  <c r="BE57" i="59"/>
  <c r="M114" i="116"/>
  <c r="V83" i="172"/>
  <c r="V85" i="172"/>
  <c r="V87" i="172"/>
  <c r="V90" i="172"/>
  <c r="BE58" i="59"/>
  <c r="W82" i="172"/>
  <c r="M12" i="116"/>
  <c r="M69" i="116"/>
  <c r="M115" i="116"/>
  <c r="W83" i="172"/>
  <c r="W85" i="172"/>
  <c r="W87" i="172"/>
  <c r="W90" i="172"/>
  <c r="BE59" i="59"/>
  <c r="BE65" i="59"/>
  <c r="BE67" i="59"/>
  <c r="BE74" i="59"/>
  <c r="BE75" i="59"/>
  <c r="P90" i="172"/>
  <c r="AH90" i="172"/>
  <c r="AY90" i="172"/>
  <c r="BC90" i="172"/>
  <c r="BE90" i="172"/>
  <c r="BE82" i="59"/>
  <c r="BE84" i="59"/>
  <c r="BE44" i="59"/>
  <c r="BE287" i="59"/>
  <c r="BE19" i="59"/>
  <c r="H115" i="111"/>
  <c r="K17" i="133"/>
  <c r="L114" i="111"/>
  <c r="AM79" i="171"/>
  <c r="AM80" i="171"/>
  <c r="AM87" i="171"/>
  <c r="AM90" i="171"/>
  <c r="K20" i="133"/>
  <c r="K22" i="133"/>
  <c r="K24" i="133"/>
  <c r="K26" i="133"/>
  <c r="K27" i="133"/>
  <c r="K34" i="133"/>
  <c r="K52" i="133"/>
  <c r="K35" i="133"/>
  <c r="K53" i="133"/>
  <c r="K36" i="133"/>
  <c r="K54" i="133"/>
  <c r="K37" i="133"/>
  <c r="K55" i="133"/>
  <c r="K38" i="133"/>
  <c r="K56" i="133"/>
  <c r="K39" i="133"/>
  <c r="K57" i="133"/>
  <c r="K40" i="133"/>
  <c r="K58" i="133"/>
  <c r="K41" i="133"/>
  <c r="K59" i="133"/>
  <c r="K42" i="133"/>
  <c r="K60" i="133"/>
  <c r="K43" i="133"/>
  <c r="K61" i="133"/>
  <c r="K44" i="133"/>
  <c r="K62" i="133"/>
  <c r="K45" i="133"/>
  <c r="K63" i="133"/>
  <c r="K32" i="133"/>
  <c r="K33" i="133"/>
  <c r="K46" i="133"/>
  <c r="K64" i="133"/>
  <c r="K65" i="133"/>
  <c r="K47" i="133"/>
  <c r="I17" i="133"/>
  <c r="J114" i="111"/>
  <c r="AM79" i="169"/>
  <c r="AM80" i="169"/>
  <c r="AM87" i="169"/>
  <c r="AM90" i="169"/>
  <c r="I20" i="133"/>
  <c r="I22" i="133"/>
  <c r="I24" i="133"/>
  <c r="I26" i="133"/>
  <c r="I27" i="133"/>
  <c r="I34" i="133"/>
  <c r="I52" i="133"/>
  <c r="I35" i="133"/>
  <c r="I53" i="133"/>
  <c r="I36" i="133"/>
  <c r="I54" i="133"/>
  <c r="I37" i="133"/>
  <c r="I55" i="133"/>
  <c r="I38" i="133"/>
  <c r="I56" i="133"/>
  <c r="I39" i="133"/>
  <c r="I57" i="133"/>
  <c r="I40" i="133"/>
  <c r="I58" i="133"/>
  <c r="I41" i="133"/>
  <c r="I59" i="133"/>
  <c r="I42" i="133"/>
  <c r="I60" i="133"/>
  <c r="I43" i="133"/>
  <c r="I61" i="133"/>
  <c r="I44" i="133"/>
  <c r="I62" i="133"/>
  <c r="I45" i="133"/>
  <c r="I63" i="133"/>
  <c r="I32" i="133"/>
  <c r="I33" i="133"/>
  <c r="I46" i="133"/>
  <c r="I64" i="133"/>
  <c r="I65" i="133"/>
  <c r="I47" i="133"/>
  <c r="G92" i="111"/>
  <c r="G132" i="111"/>
  <c r="E11" i="131"/>
  <c r="H92" i="111"/>
  <c r="H132" i="111"/>
  <c r="F11" i="131"/>
  <c r="L80" i="133"/>
  <c r="L94" i="133"/>
  <c r="L98" i="133"/>
  <c r="L87" i="133"/>
  <c r="L109" i="133"/>
  <c r="L120" i="133"/>
  <c r="H119" i="116"/>
  <c r="H121" i="116"/>
  <c r="BB27" i="59"/>
  <c r="BB30" i="59"/>
  <c r="BB31" i="59"/>
  <c r="BB42" i="59"/>
  <c r="BB287" i="59"/>
  <c r="K90" i="169"/>
  <c r="BB7" i="59"/>
  <c r="L90" i="169"/>
  <c r="BB8" i="59"/>
  <c r="M90" i="169"/>
  <c r="BB9" i="59"/>
  <c r="BB12" i="59"/>
  <c r="J90" i="169"/>
  <c r="BB13" i="59"/>
  <c r="BB17" i="59"/>
  <c r="BB19" i="59"/>
  <c r="BA90" i="169"/>
  <c r="BB47" i="59"/>
  <c r="BB83" i="169"/>
  <c r="BB85" i="169"/>
  <c r="BB87" i="169"/>
  <c r="BB90" i="169"/>
  <c r="BB48" i="59"/>
  <c r="BB49" i="59"/>
  <c r="X85" i="169"/>
  <c r="X87" i="169"/>
  <c r="X90" i="169"/>
  <c r="BB53" i="59"/>
  <c r="Y85" i="169"/>
  <c r="Y87" i="169"/>
  <c r="Y90" i="169"/>
  <c r="BB54" i="59"/>
  <c r="Z85" i="169"/>
  <c r="Z87" i="169"/>
  <c r="Z90" i="169"/>
  <c r="BB55" i="59"/>
  <c r="J112" i="116"/>
  <c r="T83" i="169"/>
  <c r="T85" i="169"/>
  <c r="T87" i="169"/>
  <c r="T90" i="169"/>
  <c r="BB56" i="59"/>
  <c r="J113" i="116"/>
  <c r="U83" i="169"/>
  <c r="U85" i="169"/>
  <c r="U87" i="169"/>
  <c r="U90" i="169"/>
  <c r="BB57" i="59"/>
  <c r="J114" i="116"/>
  <c r="V83" i="169"/>
  <c r="V85" i="169"/>
  <c r="V87" i="169"/>
  <c r="V90" i="169"/>
  <c r="BB58" i="59"/>
  <c r="W82" i="169"/>
  <c r="J12" i="116"/>
  <c r="J69" i="116"/>
  <c r="J115" i="116"/>
  <c r="W83" i="169"/>
  <c r="W85" i="169"/>
  <c r="W87" i="169"/>
  <c r="W90" i="169"/>
  <c r="BB59" i="59"/>
  <c r="BB65" i="59"/>
  <c r="BB67" i="59"/>
  <c r="BB74" i="59"/>
  <c r="BB75" i="59"/>
  <c r="P90" i="169"/>
  <c r="AH90" i="169"/>
  <c r="AY90" i="169"/>
  <c r="BC90" i="169"/>
  <c r="BE90" i="169"/>
  <c r="BB82" i="59"/>
  <c r="BB84" i="59"/>
  <c r="BB44" i="59"/>
  <c r="K90" i="171"/>
  <c r="BD7" i="59"/>
  <c r="L90" i="171"/>
  <c r="BD8" i="59"/>
  <c r="M90" i="171"/>
  <c r="BD9" i="59"/>
  <c r="BD12" i="59"/>
  <c r="J90" i="171"/>
  <c r="BD13" i="59"/>
  <c r="BD17" i="59"/>
  <c r="BD27" i="59"/>
  <c r="BD30" i="59"/>
  <c r="BD31" i="59"/>
  <c r="BD42" i="59"/>
  <c r="BA90" i="171"/>
  <c r="BD47" i="59"/>
  <c r="BB83" i="171"/>
  <c r="BB85" i="171"/>
  <c r="BB87" i="171"/>
  <c r="BB90" i="171"/>
  <c r="BD48" i="59"/>
  <c r="BD49" i="59"/>
  <c r="X85" i="171"/>
  <c r="X87" i="171"/>
  <c r="X90" i="171"/>
  <c r="BD53" i="59"/>
  <c r="Y85" i="171"/>
  <c r="Y87" i="171"/>
  <c r="Y90" i="171"/>
  <c r="BD54" i="59"/>
  <c r="Z85" i="171"/>
  <c r="Z87" i="171"/>
  <c r="Z90" i="171"/>
  <c r="BD55" i="59"/>
  <c r="L112" i="116"/>
  <c r="T83" i="171"/>
  <c r="T85" i="171"/>
  <c r="T87" i="171"/>
  <c r="T90" i="171"/>
  <c r="BD56" i="59"/>
  <c r="L113" i="116"/>
  <c r="U83" i="171"/>
  <c r="U85" i="171"/>
  <c r="U87" i="171"/>
  <c r="U90" i="171"/>
  <c r="BD57" i="59"/>
  <c r="L114" i="116"/>
  <c r="V83" i="171"/>
  <c r="V85" i="171"/>
  <c r="V87" i="171"/>
  <c r="V90" i="171"/>
  <c r="BD58" i="59"/>
  <c r="W82" i="171"/>
  <c r="L12" i="116"/>
  <c r="L69" i="116"/>
  <c r="L115" i="116"/>
  <c r="W83" i="171"/>
  <c r="W85" i="171"/>
  <c r="W87" i="171"/>
  <c r="W90" i="171"/>
  <c r="BD59" i="59"/>
  <c r="BD65" i="59"/>
  <c r="BD67" i="59"/>
  <c r="BD74" i="59"/>
  <c r="BD75" i="59"/>
  <c r="P90" i="171"/>
  <c r="AH90" i="171"/>
  <c r="AY90" i="171"/>
  <c r="BC90" i="171"/>
  <c r="BE90" i="171"/>
  <c r="BD82" i="59"/>
  <c r="BD84" i="59"/>
  <c r="BD287" i="59"/>
  <c r="BD44" i="59"/>
  <c r="BD19" i="59"/>
  <c r="G119" i="116"/>
  <c r="G121" i="116"/>
  <c r="I80" i="133"/>
  <c r="I94" i="133"/>
  <c r="I98" i="133"/>
  <c r="I87" i="133"/>
  <c r="I109" i="133"/>
  <c r="I120" i="133"/>
  <c r="K80" i="133"/>
  <c r="K94" i="133"/>
  <c r="K98" i="133"/>
  <c r="K87" i="133"/>
  <c r="K109" i="133"/>
  <c r="K120" i="133"/>
  <c r="BE288" i="59"/>
  <c r="L33" i="135"/>
  <c r="L36" i="135"/>
  <c r="L38" i="135"/>
  <c r="L40" i="135"/>
  <c r="L42" i="135"/>
  <c r="L43" i="135"/>
  <c r="L52" i="135"/>
  <c r="L53" i="135"/>
  <c r="L54" i="135"/>
  <c r="L55" i="135"/>
  <c r="L56" i="135"/>
  <c r="L57" i="135"/>
  <c r="I33" i="135"/>
  <c r="I36" i="135"/>
  <c r="I38" i="135"/>
  <c r="I40" i="135"/>
  <c r="I42" i="135"/>
  <c r="I43" i="135"/>
  <c r="I52" i="135"/>
  <c r="I53" i="135"/>
  <c r="I54" i="135"/>
  <c r="I55" i="135"/>
  <c r="I56" i="135"/>
  <c r="I57" i="135"/>
  <c r="BB288" i="59"/>
  <c r="BD288" i="59"/>
  <c r="K33" i="135"/>
  <c r="K36" i="135"/>
  <c r="K38" i="135"/>
  <c r="K40" i="135"/>
  <c r="K42" i="135"/>
  <c r="K43" i="135"/>
  <c r="K52" i="135"/>
  <c r="K53" i="135"/>
  <c r="K54" i="135"/>
  <c r="K55" i="135"/>
  <c r="K56" i="135"/>
  <c r="K57" i="135"/>
  <c r="AY290" i="59"/>
  <c r="AZ290" i="59"/>
  <c r="M115" i="111"/>
  <c r="J92" i="111"/>
  <c r="J132" i="111"/>
  <c r="H11" i="131"/>
  <c r="M92" i="111"/>
  <c r="M132" i="111"/>
  <c r="K11" i="131"/>
  <c r="L92" i="111"/>
  <c r="L132" i="111"/>
  <c r="J11" i="131"/>
  <c r="L115" i="111"/>
  <c r="M119" i="116"/>
  <c r="M121" i="116"/>
  <c r="J115" i="111"/>
  <c r="L119" i="116"/>
  <c r="L121" i="116"/>
  <c r="J119" i="116"/>
  <c r="J121" i="116"/>
  <c r="BE290" i="59"/>
  <c r="BD290" i="59"/>
  <c r="BB290" i="59"/>
  <c r="J17" i="133"/>
  <c r="K114" i="111"/>
  <c r="AM79" i="170"/>
  <c r="AM80" i="170"/>
  <c r="AM87" i="170"/>
  <c r="AM90" i="170"/>
  <c r="J20" i="133"/>
  <c r="J22" i="133"/>
  <c r="J24" i="133"/>
  <c r="J26" i="133"/>
  <c r="J27" i="133"/>
  <c r="J34" i="133"/>
  <c r="J52" i="133"/>
  <c r="J35" i="133"/>
  <c r="J53" i="133"/>
  <c r="J36" i="133"/>
  <c r="J54" i="133"/>
  <c r="J37" i="133"/>
  <c r="J55" i="133"/>
  <c r="J38" i="133"/>
  <c r="J56" i="133"/>
  <c r="J39" i="133"/>
  <c r="J57" i="133"/>
  <c r="J40" i="133"/>
  <c r="J58" i="133"/>
  <c r="J41" i="133"/>
  <c r="J59" i="133"/>
  <c r="J42" i="133"/>
  <c r="J60" i="133"/>
  <c r="J43" i="133"/>
  <c r="J61" i="133"/>
  <c r="J44" i="133"/>
  <c r="J62" i="133"/>
  <c r="J45" i="133"/>
  <c r="J63" i="133"/>
  <c r="J32" i="133"/>
  <c r="J33" i="133"/>
  <c r="J46" i="133"/>
  <c r="J64" i="133"/>
  <c r="J65" i="133"/>
  <c r="J47" i="133"/>
  <c r="H17" i="133"/>
  <c r="I114" i="111"/>
  <c r="AM79" i="168"/>
  <c r="AM80" i="168"/>
  <c r="AM87" i="168"/>
  <c r="AM90" i="168"/>
  <c r="H20" i="133"/>
  <c r="H22" i="133"/>
  <c r="H24" i="133"/>
  <c r="H26" i="133"/>
  <c r="H27" i="133"/>
  <c r="H32" i="133"/>
  <c r="H33" i="133"/>
  <c r="H34" i="133"/>
  <c r="H35" i="133"/>
  <c r="H36" i="133"/>
  <c r="H37" i="133"/>
  <c r="H38" i="133"/>
  <c r="H39" i="133"/>
  <c r="H40" i="133"/>
  <c r="H41" i="133"/>
  <c r="H42" i="133"/>
  <c r="H43" i="133"/>
  <c r="H44" i="133"/>
  <c r="H45" i="133"/>
  <c r="H46" i="133"/>
  <c r="H47" i="133"/>
  <c r="BC27" i="59"/>
  <c r="BC30" i="59"/>
  <c r="BC31" i="59"/>
  <c r="BC42" i="59"/>
  <c r="K90" i="170"/>
  <c r="BC7" i="59"/>
  <c r="L90" i="170"/>
  <c r="BC8" i="59"/>
  <c r="M90" i="170"/>
  <c r="BC9" i="59"/>
  <c r="BC12" i="59"/>
  <c r="J90" i="170"/>
  <c r="BC13" i="59"/>
  <c r="BC17" i="59"/>
  <c r="BC44" i="59"/>
  <c r="BC287" i="59"/>
  <c r="BA90" i="170"/>
  <c r="BC47" i="59"/>
  <c r="BB83" i="170"/>
  <c r="BB85" i="170"/>
  <c r="BB87" i="170"/>
  <c r="BB90" i="170"/>
  <c r="BC48" i="59"/>
  <c r="BC49" i="59"/>
  <c r="X85" i="170"/>
  <c r="X87" i="170"/>
  <c r="X90" i="170"/>
  <c r="BC53" i="59"/>
  <c r="Y85" i="170"/>
  <c r="Y87" i="170"/>
  <c r="Y90" i="170"/>
  <c r="BC54" i="59"/>
  <c r="Z85" i="170"/>
  <c r="Z87" i="170"/>
  <c r="Z90" i="170"/>
  <c r="BC55" i="59"/>
  <c r="K112" i="116"/>
  <c r="T83" i="170"/>
  <c r="T85" i="170"/>
  <c r="T87" i="170"/>
  <c r="T90" i="170"/>
  <c r="BC56" i="59"/>
  <c r="K113" i="116"/>
  <c r="U83" i="170"/>
  <c r="U85" i="170"/>
  <c r="U87" i="170"/>
  <c r="U90" i="170"/>
  <c r="BC57" i="59"/>
  <c r="K114" i="116"/>
  <c r="V83" i="170"/>
  <c r="V85" i="170"/>
  <c r="V87" i="170"/>
  <c r="V90" i="170"/>
  <c r="BC58" i="59"/>
  <c r="W82" i="170"/>
  <c r="K12" i="116"/>
  <c r="K69" i="116"/>
  <c r="K115" i="116"/>
  <c r="W83" i="170"/>
  <c r="W85" i="170"/>
  <c r="W87" i="170"/>
  <c r="W90" i="170"/>
  <c r="BC59" i="59"/>
  <c r="BC65" i="59"/>
  <c r="BC67" i="59"/>
  <c r="BC74" i="59"/>
  <c r="BC75" i="59"/>
  <c r="P90" i="170"/>
  <c r="AH90" i="170"/>
  <c r="AY90" i="170"/>
  <c r="BC90" i="170"/>
  <c r="BE90" i="170"/>
  <c r="BC82" i="59"/>
  <c r="BC84" i="59"/>
  <c r="BC19" i="59"/>
  <c r="H52" i="133"/>
  <c r="H53" i="133"/>
  <c r="H54" i="133"/>
  <c r="H55" i="133"/>
  <c r="H56" i="133"/>
  <c r="H57" i="133"/>
  <c r="H58" i="133"/>
  <c r="H59" i="133"/>
  <c r="H60" i="133"/>
  <c r="H61" i="133"/>
  <c r="H62" i="133"/>
  <c r="H63" i="133"/>
  <c r="H64" i="133"/>
  <c r="H65" i="133"/>
  <c r="J80" i="133"/>
  <c r="J94" i="133"/>
  <c r="J98" i="133"/>
  <c r="J87" i="133"/>
  <c r="J109" i="133"/>
  <c r="J120" i="133"/>
  <c r="BA27" i="59"/>
  <c r="BA30" i="59"/>
  <c r="BA31" i="59"/>
  <c r="BA42" i="59"/>
  <c r="K90" i="168"/>
  <c r="BA7" i="59"/>
  <c r="L90" i="168"/>
  <c r="BA8" i="59"/>
  <c r="M90" i="168"/>
  <c r="BA9" i="59"/>
  <c r="BA12" i="59"/>
  <c r="J90" i="168"/>
  <c r="BA13" i="59"/>
  <c r="BA17" i="59"/>
  <c r="BA19" i="59"/>
  <c r="BA90" i="168"/>
  <c r="BA47" i="59"/>
  <c r="BB83" i="168"/>
  <c r="BB85" i="168"/>
  <c r="BB87" i="168"/>
  <c r="BB90" i="168"/>
  <c r="BA48" i="59"/>
  <c r="BA49" i="59"/>
  <c r="X85" i="168"/>
  <c r="X87" i="168"/>
  <c r="X90" i="168"/>
  <c r="BA53" i="59"/>
  <c r="Y85" i="168"/>
  <c r="Y87" i="168"/>
  <c r="Y90" i="168"/>
  <c r="BA54" i="59"/>
  <c r="Z85" i="168"/>
  <c r="Z87" i="168"/>
  <c r="Z90" i="168"/>
  <c r="BA55" i="59"/>
  <c r="I112" i="116"/>
  <c r="T83" i="168"/>
  <c r="T85" i="168"/>
  <c r="T87" i="168"/>
  <c r="T90" i="168"/>
  <c r="BA56" i="59"/>
  <c r="I113" i="116"/>
  <c r="U83" i="168"/>
  <c r="U85" i="168"/>
  <c r="U87" i="168"/>
  <c r="U90" i="168"/>
  <c r="BA57" i="59"/>
  <c r="I114" i="116"/>
  <c r="V83" i="168"/>
  <c r="V85" i="168"/>
  <c r="V87" i="168"/>
  <c r="V90" i="168"/>
  <c r="BA58" i="59"/>
  <c r="W82" i="168"/>
  <c r="I12" i="116"/>
  <c r="I69" i="116"/>
  <c r="I115" i="116"/>
  <c r="W83" i="168"/>
  <c r="W85" i="168"/>
  <c r="W87" i="168"/>
  <c r="W90" i="168"/>
  <c r="BA59" i="59"/>
  <c r="BA65" i="59"/>
  <c r="BA67" i="59"/>
  <c r="BA74" i="59"/>
  <c r="BA75" i="59"/>
  <c r="P90" i="168"/>
  <c r="AH90" i="168"/>
  <c r="AY90" i="168"/>
  <c r="BC90" i="168"/>
  <c r="BE90" i="168"/>
  <c r="BA82" i="59"/>
  <c r="BA84" i="59"/>
  <c r="BA44" i="59"/>
  <c r="BA287" i="59"/>
  <c r="H80" i="133"/>
  <c r="H94" i="133"/>
  <c r="H98" i="133"/>
  <c r="H87" i="133"/>
  <c r="H109" i="133"/>
  <c r="H120" i="133"/>
  <c r="BC288" i="59"/>
  <c r="J33" i="135"/>
  <c r="J36" i="135"/>
  <c r="J38" i="135"/>
  <c r="J40" i="135"/>
  <c r="J42" i="135"/>
  <c r="J43" i="135"/>
  <c r="J52" i="135"/>
  <c r="J53" i="135"/>
  <c r="J54" i="135"/>
  <c r="J55" i="135"/>
  <c r="J56" i="135"/>
  <c r="J57" i="135"/>
  <c r="H33" i="135"/>
  <c r="H52" i="135"/>
  <c r="H36" i="135"/>
  <c r="H53" i="135"/>
  <c r="H38" i="135"/>
  <c r="H54" i="135"/>
  <c r="H40" i="135"/>
  <c r="H55" i="135"/>
  <c r="H42" i="135"/>
  <c r="H56" i="135"/>
  <c r="H57" i="135"/>
  <c r="H43" i="135"/>
  <c r="BA288" i="59"/>
  <c r="Y130" i="123"/>
  <c r="Y131" i="123"/>
  <c r="Y160" i="123"/>
  <c r="Y104" i="123"/>
  <c r="Y161" i="123"/>
  <c r="Y167" i="123"/>
  <c r="Y132" i="105"/>
  <c r="Y132" i="123"/>
  <c r="Y168" i="123"/>
  <c r="Y40" i="123"/>
  <c r="Y41" i="123"/>
  <c r="Y42" i="123"/>
  <c r="Y136" i="123"/>
  <c r="Y14" i="123"/>
  <c r="Y137" i="123"/>
  <c r="Y143" i="123"/>
  <c r="Y43" i="105"/>
  <c r="Y43" i="123"/>
  <c r="Y144" i="123"/>
  <c r="Y160" i="105"/>
  <c r="Y161" i="105"/>
  <c r="Y167" i="105"/>
  <c r="Y168" i="105"/>
  <c r="Y84" i="123"/>
  <c r="Y85" i="123"/>
  <c r="Y86" i="123"/>
  <c r="Y148" i="123"/>
  <c r="Y58" i="123"/>
  <c r="Y149" i="123"/>
  <c r="Y155" i="123"/>
  <c r="Y87" i="105"/>
  <c r="Y87" i="123"/>
  <c r="Y156" i="123"/>
  <c r="Y148" i="105"/>
  <c r="Y149" i="105"/>
  <c r="Y155" i="105"/>
  <c r="Y156" i="105"/>
  <c r="Y136" i="105"/>
  <c r="Y137" i="105"/>
  <c r="Y143" i="105"/>
  <c r="Y144" i="105"/>
  <c r="E17" i="133"/>
  <c r="AM87" i="70"/>
  <c r="AM90" i="70"/>
  <c r="E20" i="133"/>
  <c r="E22" i="133"/>
  <c r="E24" i="133"/>
  <c r="E26" i="133"/>
  <c r="E27" i="133"/>
  <c r="E32" i="133"/>
  <c r="E33" i="133"/>
  <c r="E34" i="133"/>
  <c r="E35" i="133"/>
  <c r="E36" i="133"/>
  <c r="E37" i="133"/>
  <c r="E38" i="133"/>
  <c r="E39" i="133"/>
  <c r="E40" i="133"/>
  <c r="E41" i="133"/>
  <c r="E42" i="133"/>
  <c r="E43" i="133"/>
  <c r="E44" i="133"/>
  <c r="E45" i="133"/>
  <c r="E46" i="133"/>
  <c r="E47" i="133"/>
  <c r="BA290" i="59"/>
  <c r="BC290" i="59"/>
  <c r="AX27" i="59"/>
  <c r="AX30" i="59"/>
  <c r="AX31" i="59"/>
  <c r="AX42" i="59"/>
  <c r="AX287" i="59"/>
  <c r="E52" i="133"/>
  <c r="E53" i="133"/>
  <c r="E54" i="133"/>
  <c r="E55" i="133"/>
  <c r="E56" i="133"/>
  <c r="E57" i="133"/>
  <c r="E58" i="133"/>
  <c r="E59" i="133"/>
  <c r="E60" i="133"/>
  <c r="E61" i="133"/>
  <c r="E62" i="133"/>
  <c r="E63" i="133"/>
  <c r="E64" i="133"/>
  <c r="E65" i="133"/>
  <c r="F66" i="107"/>
  <c r="F60" i="107"/>
  <c r="E80" i="133"/>
  <c r="E94" i="133"/>
  <c r="E98" i="133"/>
  <c r="E87" i="133"/>
  <c r="E109" i="133"/>
  <c r="E120" i="133"/>
  <c r="F72" i="107"/>
  <c r="K90" i="70"/>
  <c r="AX7" i="59"/>
  <c r="L90" i="70"/>
  <c r="AX8" i="59"/>
  <c r="M90" i="70"/>
  <c r="AX9" i="59"/>
  <c r="AX12" i="59"/>
  <c r="J90" i="70"/>
  <c r="AX13" i="59"/>
  <c r="AX17" i="59"/>
  <c r="BA90" i="70"/>
  <c r="AX47" i="59"/>
  <c r="BB83" i="70"/>
  <c r="BB85" i="70"/>
  <c r="BB87" i="70"/>
  <c r="BB90" i="70"/>
  <c r="AX48" i="59"/>
  <c r="AX49" i="59"/>
  <c r="X85" i="70"/>
  <c r="X87" i="70"/>
  <c r="X90" i="70"/>
  <c r="AX53" i="59"/>
  <c r="Y85" i="70"/>
  <c r="Y87" i="70"/>
  <c r="Y90" i="70"/>
  <c r="AX54" i="59"/>
  <c r="Z85" i="70"/>
  <c r="Z87" i="70"/>
  <c r="Z90" i="70"/>
  <c r="AX55" i="59"/>
  <c r="F112" i="116"/>
  <c r="T83" i="70"/>
  <c r="T85" i="70"/>
  <c r="T87" i="70"/>
  <c r="T90" i="70"/>
  <c r="AX56" i="59"/>
  <c r="F113" i="116"/>
  <c r="U83" i="70"/>
  <c r="U85" i="70"/>
  <c r="U87" i="70"/>
  <c r="U90" i="70"/>
  <c r="AX57" i="59"/>
  <c r="F114" i="116"/>
  <c r="V83" i="70"/>
  <c r="V85" i="70"/>
  <c r="V87" i="70"/>
  <c r="V90" i="70"/>
  <c r="AX58" i="59"/>
  <c r="W82" i="70"/>
  <c r="F12" i="116"/>
  <c r="F69" i="116"/>
  <c r="F115" i="116"/>
  <c r="W83" i="70"/>
  <c r="W85" i="70"/>
  <c r="W87" i="70"/>
  <c r="W90" i="70"/>
  <c r="AX59" i="59"/>
  <c r="AX65" i="59"/>
  <c r="AX67" i="59"/>
  <c r="AX74" i="59"/>
  <c r="AX75" i="59"/>
  <c r="P90" i="70"/>
  <c r="AH90" i="70"/>
  <c r="AY90" i="70"/>
  <c r="BC90" i="70"/>
  <c r="BE90" i="70"/>
  <c r="AX82" i="59"/>
  <c r="AX84" i="59"/>
  <c r="AX19" i="59"/>
  <c r="E33" i="135"/>
  <c r="E36" i="135"/>
  <c r="E38" i="135"/>
  <c r="E40" i="135"/>
  <c r="E42" i="135"/>
  <c r="E43" i="135"/>
  <c r="E52" i="135"/>
  <c r="E53" i="135"/>
  <c r="E54" i="135"/>
  <c r="E55" i="135"/>
  <c r="E56" i="135"/>
  <c r="E57" i="135"/>
  <c r="AX288" i="59"/>
  <c r="I119" i="116"/>
  <c r="I121" i="116"/>
  <c r="K119" i="116"/>
  <c r="K121" i="116"/>
  <c r="AX44" i="59"/>
  <c r="K115" i="111"/>
  <c r="I115" i="111"/>
  <c r="AX290" i="59"/>
  <c r="AH87" i="70"/>
  <c r="AY87" i="70"/>
  <c r="BC87" i="70"/>
  <c r="BE87" i="70"/>
  <c r="AH84" i="70"/>
  <c r="AY84" i="70"/>
  <c r="BE84" i="70"/>
  <c r="K92" i="111"/>
  <c r="K132" i="111"/>
  <c r="I11" i="131"/>
  <c r="I92" i="111"/>
  <c r="I132" i="111"/>
  <c r="G11" i="131"/>
  <c r="AH85" i="70"/>
  <c r="AY85" i="70"/>
  <c r="BC85" i="70"/>
  <c r="BE85" i="70"/>
  <c r="AH83" i="70"/>
  <c r="BC83" i="70"/>
  <c r="BE83" i="70"/>
  <c r="F119" i="116"/>
  <c r="F121" i="116"/>
  <c r="F92" i="111"/>
  <c r="F132" i="111"/>
  <c r="D11" i="131"/>
  <c r="AH82" i="70"/>
  <c r="F115" i="111"/>
  <c r="AH78" i="70"/>
  <c r="AH76" i="70"/>
  <c r="M17" i="133"/>
  <c r="N114" i="111"/>
  <c r="AM79" i="173"/>
  <c r="AM80" i="173"/>
  <c r="AM87" i="173"/>
  <c r="AM90" i="173"/>
  <c r="M20" i="133"/>
  <c r="M22" i="133"/>
  <c r="M24" i="133"/>
  <c r="M26" i="133"/>
  <c r="M27" i="133"/>
  <c r="M34" i="133"/>
  <c r="M52" i="133"/>
  <c r="M35" i="133"/>
  <c r="M53" i="133"/>
  <c r="M36" i="133"/>
  <c r="M54" i="133"/>
  <c r="M37" i="133"/>
  <c r="M55" i="133"/>
  <c r="M38" i="133"/>
  <c r="M56" i="133"/>
  <c r="M39" i="133"/>
  <c r="M57" i="133"/>
  <c r="M40" i="133"/>
  <c r="M58" i="133"/>
  <c r="M41" i="133"/>
  <c r="M59" i="133"/>
  <c r="M42" i="133"/>
  <c r="M60" i="133"/>
  <c r="M43" i="133"/>
  <c r="M61" i="133"/>
  <c r="M44" i="133"/>
  <c r="M62" i="133"/>
  <c r="M45" i="133"/>
  <c r="M63" i="133"/>
  <c r="M32" i="133"/>
  <c r="M33" i="133"/>
  <c r="M46" i="133"/>
  <c r="M64" i="133"/>
  <c r="M65" i="133"/>
  <c r="O65" i="133"/>
  <c r="AG148" i="105"/>
  <c r="AG149" i="105"/>
  <c r="AG155" i="105"/>
  <c r="AG87" i="105"/>
  <c r="AG156" i="105"/>
  <c r="AG136" i="105"/>
  <c r="AG137" i="105"/>
  <c r="AG143" i="105"/>
  <c r="AG43" i="105"/>
  <c r="AG144" i="105"/>
  <c r="AG130" i="123"/>
  <c r="AG131" i="123"/>
  <c r="AG160" i="123"/>
  <c r="AG104" i="123"/>
  <c r="AG161" i="123"/>
  <c r="AG167" i="123"/>
  <c r="AG132" i="105"/>
  <c r="AG132" i="123"/>
  <c r="AG168" i="123"/>
  <c r="M47" i="133"/>
  <c r="AG160" i="105"/>
  <c r="AG161" i="105"/>
  <c r="AG167" i="105"/>
  <c r="AG168" i="105"/>
  <c r="AG84" i="123"/>
  <c r="AG85" i="123"/>
  <c r="AG86" i="123"/>
  <c r="AG148" i="123"/>
  <c r="AG58" i="123"/>
  <c r="AG149" i="123"/>
  <c r="AG155" i="123"/>
  <c r="AG87" i="123"/>
  <c r="AG156" i="123"/>
  <c r="AG40" i="123"/>
  <c r="AG41" i="123"/>
  <c r="AG42" i="123"/>
  <c r="AG136" i="123"/>
  <c r="AG14" i="123"/>
  <c r="AG137" i="123"/>
  <c r="AG143" i="123"/>
  <c r="AG43" i="123"/>
  <c r="AG144" i="123"/>
  <c r="BF30" i="59"/>
  <c r="BF288" i="59"/>
  <c r="BF27" i="59"/>
  <c r="BF31" i="59"/>
  <c r="BF42" i="59"/>
  <c r="BF287" i="59"/>
  <c r="BF289" i="59"/>
  <c r="K90" i="173"/>
  <c r="BF7" i="59"/>
  <c r="L90" i="173"/>
  <c r="BF8" i="59"/>
  <c r="M90" i="173"/>
  <c r="BF9" i="59"/>
  <c r="BF12" i="59"/>
  <c r="J90" i="173"/>
  <c r="BF13" i="59"/>
  <c r="BF17" i="59"/>
  <c r="BA90" i="173"/>
  <c r="BF47" i="59"/>
  <c r="BB83" i="173"/>
  <c r="BB85" i="173"/>
  <c r="BB87" i="173"/>
  <c r="BB90" i="173"/>
  <c r="BF48" i="59"/>
  <c r="BF49" i="59"/>
  <c r="X85" i="173"/>
  <c r="X87" i="173"/>
  <c r="X90" i="173"/>
  <c r="BF53" i="59"/>
  <c r="Y85" i="173"/>
  <c r="Y87" i="173"/>
  <c r="Y90" i="173"/>
  <c r="BF54" i="59"/>
  <c r="Z85" i="173"/>
  <c r="Z87" i="173"/>
  <c r="Z90" i="173"/>
  <c r="BF55" i="59"/>
  <c r="N112" i="116"/>
  <c r="T83" i="173"/>
  <c r="T85" i="173"/>
  <c r="T87" i="173"/>
  <c r="T90" i="173"/>
  <c r="BF56" i="59"/>
  <c r="N113" i="116"/>
  <c r="U83" i="173"/>
  <c r="U85" i="173"/>
  <c r="U87" i="173"/>
  <c r="U90" i="173"/>
  <c r="BF57" i="59"/>
  <c r="N114" i="116"/>
  <c r="V83" i="173"/>
  <c r="V85" i="173"/>
  <c r="V87" i="173"/>
  <c r="V90" i="173"/>
  <c r="BF58" i="59"/>
  <c r="W82" i="173"/>
  <c r="N12" i="116"/>
  <c r="N69" i="116"/>
  <c r="N115" i="116"/>
  <c r="W83" i="173"/>
  <c r="W85" i="173"/>
  <c r="W87" i="173"/>
  <c r="W90" i="173"/>
  <c r="BF59" i="59"/>
  <c r="BF65" i="59"/>
  <c r="BF67" i="59"/>
  <c r="BF74" i="59"/>
  <c r="BF75" i="59"/>
  <c r="P90" i="173"/>
  <c r="AH90" i="173"/>
  <c r="AY90" i="173"/>
  <c r="BC90" i="173"/>
  <c r="BE90" i="173"/>
  <c r="BF82" i="59"/>
  <c r="BF84" i="59"/>
  <c r="BF44" i="59"/>
  <c r="BF19" i="59"/>
  <c r="N72" i="107"/>
  <c r="N66" i="107"/>
  <c r="N60" i="107"/>
  <c r="M80" i="133"/>
  <c r="M94" i="133"/>
  <c r="M98" i="133"/>
  <c r="M87" i="133"/>
  <c r="M109" i="133"/>
  <c r="M120" i="133"/>
  <c r="M33" i="135"/>
  <c r="M36" i="135"/>
  <c r="M38" i="135"/>
  <c r="M40" i="135"/>
  <c r="M42" i="135"/>
  <c r="M43" i="135"/>
  <c r="M52" i="135"/>
  <c r="M53" i="135"/>
  <c r="M54" i="135"/>
  <c r="M55" i="135"/>
  <c r="M56" i="135"/>
  <c r="M57" i="135"/>
  <c r="BF290" i="59"/>
  <c r="N119" i="116"/>
  <c r="N121" i="116"/>
  <c r="N115" i="111"/>
  <c r="N92" i="111"/>
  <c r="N132" i="111"/>
  <c r="L11" i="131"/>
  <c r="E7" i="135"/>
  <c r="E8" i="135"/>
  <c r="E9" i="135"/>
  <c r="E12" i="135"/>
  <c r="E17" i="135"/>
  <c r="E18" i="135"/>
  <c r="E22" i="135"/>
  <c r="L7" i="135"/>
  <c r="L8" i="135"/>
  <c r="L9" i="135"/>
  <c r="L12" i="135"/>
  <c r="L17" i="135"/>
  <c r="L18" i="135"/>
  <c r="L22" i="135"/>
  <c r="G7" i="135"/>
  <c r="G8" i="135"/>
  <c r="G9" i="135"/>
  <c r="G12" i="135"/>
  <c r="G17" i="135"/>
  <c r="G18" i="135"/>
  <c r="G22" i="135"/>
  <c r="K7" i="135"/>
  <c r="K8" i="135"/>
  <c r="K9" i="135"/>
  <c r="K12" i="135"/>
  <c r="K17" i="135"/>
  <c r="K18" i="135"/>
  <c r="K22" i="135"/>
  <c r="I7" i="135"/>
  <c r="I8" i="135"/>
  <c r="I9" i="135"/>
  <c r="I12" i="135"/>
  <c r="I17" i="135"/>
  <c r="I18" i="135"/>
  <c r="I22" i="135"/>
  <c r="F7" i="135"/>
  <c r="F8" i="135"/>
  <c r="F9" i="135"/>
  <c r="F12" i="135"/>
  <c r="F17" i="135"/>
  <c r="F18" i="135"/>
  <c r="F22" i="135"/>
  <c r="H7" i="135"/>
  <c r="H8" i="135"/>
  <c r="H9" i="135"/>
  <c r="H12" i="135"/>
  <c r="H17" i="135"/>
  <c r="H18" i="135"/>
  <c r="H22" i="135"/>
  <c r="J7" i="135"/>
  <c r="J8" i="135"/>
  <c r="J9" i="135"/>
  <c r="J12" i="135"/>
  <c r="J17" i="135"/>
  <c r="J18" i="135"/>
  <c r="J22" i="135"/>
  <c r="M7" i="135"/>
  <c r="M8" i="135"/>
  <c r="M9" i="135"/>
  <c r="M12" i="135"/>
  <c r="M17" i="135"/>
  <c r="M18" i="135"/>
  <c r="M22" i="135"/>
  <c r="AH79" i="70"/>
  <c r="AY79" i="70"/>
  <c r="BE79" i="70"/>
  <c r="AX283" i="59"/>
  <c r="E105" i="133"/>
  <c r="E116" i="133"/>
  <c r="I105" i="133"/>
  <c r="I116" i="133"/>
  <c r="BB283" i="59"/>
  <c r="BI28" i="60"/>
  <c r="BK28" i="60"/>
  <c r="BF283" i="59"/>
  <c r="M105" i="133"/>
  <c r="M116" i="133"/>
  <c r="BC283" i="59"/>
  <c r="J105" i="133"/>
  <c r="J116" i="133"/>
  <c r="BL28" i="60"/>
  <c r="AZ283" i="59"/>
  <c r="G105" i="133"/>
  <c r="G116" i="133"/>
  <c r="BE283" i="59"/>
  <c r="L105" i="133"/>
  <c r="L116" i="133"/>
  <c r="AY283" i="59"/>
  <c r="F105" i="133"/>
  <c r="F116" i="133"/>
  <c r="K105" i="133"/>
  <c r="K116" i="133"/>
  <c r="BA283" i="59"/>
  <c r="BD283" i="59"/>
  <c r="H105" i="133"/>
  <c r="H116" i="133"/>
  <c r="BJ28" i="60"/>
  <c r="AH76" i="166"/>
  <c r="AH78" i="166"/>
  <c r="AH79" i="166"/>
  <c r="AY79" i="166"/>
  <c r="BE79" i="166"/>
  <c r="AH80" i="166"/>
  <c r="AY80" i="166"/>
  <c r="BE80" i="166"/>
  <c r="AH82" i="166"/>
  <c r="AH83" i="166"/>
  <c r="BC83" i="166"/>
  <c r="BE83" i="166"/>
  <c r="AH84" i="166"/>
  <c r="AY84" i="166"/>
  <c r="BE84" i="166"/>
  <c r="AH85" i="166"/>
  <c r="AY85" i="166"/>
  <c r="BC85" i="166"/>
  <c r="BE85" i="166"/>
  <c r="AH87" i="166"/>
  <c r="AY87" i="166"/>
  <c r="BC87" i="166"/>
  <c r="BE87" i="166"/>
  <c r="AH76" i="167"/>
  <c r="AH78" i="167"/>
  <c r="AH79" i="167"/>
  <c r="AY79" i="167"/>
  <c r="BE79" i="167"/>
  <c r="AH80" i="167"/>
  <c r="AY80" i="167"/>
  <c r="BE80" i="167"/>
  <c r="AH82" i="167"/>
  <c r="AH83" i="167"/>
  <c r="BC83" i="167"/>
  <c r="BE83" i="167"/>
  <c r="AH84" i="167"/>
  <c r="AY84" i="167"/>
  <c r="BE84" i="167"/>
  <c r="AH85" i="167"/>
  <c r="AY85" i="167"/>
  <c r="BC85" i="167"/>
  <c r="BE85" i="167"/>
  <c r="AH87" i="167"/>
  <c r="AY87" i="167"/>
  <c r="BC87" i="167"/>
  <c r="BE87" i="167"/>
  <c r="AH76" i="168"/>
  <c r="AH78" i="168"/>
  <c r="AH79" i="168"/>
  <c r="AY79" i="168"/>
  <c r="BE79" i="168"/>
  <c r="AH80" i="168"/>
  <c r="AY80" i="168"/>
  <c r="BE80" i="168"/>
  <c r="AH82" i="168"/>
  <c r="AH83" i="168"/>
  <c r="BC83" i="168"/>
  <c r="BE83" i="168"/>
  <c r="AH84" i="168"/>
  <c r="AY84" i="168"/>
  <c r="BE84" i="168"/>
  <c r="AH85" i="168"/>
  <c r="AY85" i="168"/>
  <c r="BC85" i="168"/>
  <c r="BE85" i="168"/>
  <c r="AH87" i="168"/>
  <c r="AY87" i="168"/>
  <c r="BC87" i="168"/>
  <c r="BE87" i="168"/>
  <c r="AH76" i="169"/>
  <c r="AH78" i="169"/>
  <c r="AH79" i="169"/>
  <c r="AY79" i="169"/>
  <c r="BE79" i="169"/>
  <c r="AH80" i="169"/>
  <c r="AY80" i="169"/>
  <c r="BE80" i="169"/>
  <c r="AH82" i="169"/>
  <c r="AH83" i="169"/>
  <c r="BC83" i="169"/>
  <c r="BE83" i="169"/>
  <c r="AH84" i="169"/>
  <c r="AY84" i="169"/>
  <c r="BE84" i="169"/>
  <c r="AH85" i="169"/>
  <c r="AY85" i="169"/>
  <c r="BC85" i="169"/>
  <c r="BE85" i="169"/>
  <c r="AH87" i="169"/>
  <c r="AY87" i="169"/>
  <c r="BC87" i="169"/>
  <c r="BE87" i="169"/>
  <c r="AH76" i="170"/>
  <c r="AH78" i="170"/>
  <c r="AH79" i="170"/>
  <c r="AY79" i="170"/>
  <c r="BE79" i="170"/>
  <c r="AH80" i="170"/>
  <c r="AY80" i="170"/>
  <c r="BE80" i="170"/>
  <c r="AH82" i="170"/>
  <c r="AH83" i="170"/>
  <c r="BC83" i="170"/>
  <c r="BE83" i="170"/>
  <c r="AH84" i="170"/>
  <c r="AY84" i="170"/>
  <c r="BE84" i="170"/>
  <c r="AH85" i="170"/>
  <c r="AY85" i="170"/>
  <c r="BC85" i="170"/>
  <c r="BE85" i="170"/>
  <c r="AH87" i="170"/>
  <c r="AY87" i="170"/>
  <c r="BC87" i="170"/>
  <c r="BE87" i="170"/>
  <c r="AH76" i="171"/>
  <c r="AH78" i="171"/>
  <c r="AH79" i="171"/>
  <c r="AY79" i="171"/>
  <c r="BE79" i="171"/>
  <c r="AH80" i="171"/>
  <c r="AY80" i="171"/>
  <c r="BE80" i="171"/>
  <c r="AH82" i="171"/>
  <c r="AH83" i="171"/>
  <c r="BC83" i="171"/>
  <c r="BE83" i="171"/>
  <c r="AH84" i="171"/>
  <c r="AY84" i="171"/>
  <c r="BE84" i="171"/>
  <c r="AH85" i="171"/>
  <c r="AY85" i="171"/>
  <c r="BC85" i="171"/>
  <c r="BE85" i="171"/>
  <c r="AH87" i="171"/>
  <c r="AY87" i="171"/>
  <c r="BC87" i="171"/>
  <c r="BE87" i="171"/>
  <c r="AH76" i="172"/>
  <c r="AH78" i="172"/>
  <c r="AH79" i="172"/>
  <c r="AY79" i="172"/>
  <c r="BE79" i="172"/>
  <c r="AH80" i="172"/>
  <c r="AY80" i="172"/>
  <c r="BE80" i="172"/>
  <c r="AH82" i="172"/>
  <c r="AH83" i="172"/>
  <c r="BC83" i="172"/>
  <c r="BE83" i="172"/>
  <c r="AH84" i="172"/>
  <c r="AY84" i="172"/>
  <c r="BE84" i="172"/>
  <c r="AH85" i="172"/>
  <c r="AY85" i="172"/>
  <c r="BC85" i="172"/>
  <c r="BE85" i="172"/>
  <c r="AH87" i="172"/>
  <c r="AY87" i="172"/>
  <c r="BC87" i="172"/>
  <c r="BE87" i="172"/>
  <c r="AH76" i="173"/>
  <c r="AH78" i="173"/>
  <c r="AH79" i="173"/>
  <c r="AY79" i="173"/>
  <c r="BE79" i="173"/>
  <c r="AH80" i="173"/>
  <c r="AY80" i="173"/>
  <c r="BE80" i="173"/>
  <c r="AH82" i="173"/>
  <c r="AH83" i="173"/>
  <c r="BC83" i="173"/>
  <c r="BE83" i="173"/>
  <c r="AH84" i="173"/>
  <c r="AY84" i="173"/>
  <c r="BE84" i="173"/>
  <c r="AH85" i="173"/>
  <c r="AY85" i="173"/>
  <c r="BC85" i="173"/>
  <c r="BE85" i="173"/>
  <c r="AH87" i="173"/>
  <c r="AY87" i="173"/>
  <c r="BC87" i="173"/>
  <c r="BE87" i="173"/>
  <c r="CW19" i="170"/>
  <c r="CW19" i="168"/>
  <c r="CR90" i="168"/>
  <c r="BA175" i="59"/>
  <c r="BA139" i="59"/>
  <c r="CR90" i="170"/>
  <c r="BC175" i="59"/>
  <c r="BC139" i="59"/>
  <c r="K463" i="39"/>
  <c r="I463" i="39"/>
  <c r="BX141" i="123"/>
  <c r="BV141" i="123"/>
  <c r="CK141" i="105"/>
  <c r="BX141" i="105"/>
  <c r="CK141" i="123"/>
  <c r="BV141" i="105"/>
  <c r="CI141" i="123"/>
  <c r="CI141" i="105"/>
  <c r="BN141" i="105"/>
  <c r="BN26" i="123"/>
  <c r="BN141" i="123"/>
  <c r="BB165" i="105"/>
  <c r="AL165" i="105"/>
  <c r="AN141" i="105"/>
  <c r="AN141" i="123"/>
  <c r="BD26" i="123"/>
  <c r="BD141" i="123"/>
  <c r="BD153" i="105"/>
  <c r="BD141" i="105"/>
  <c r="AN153" i="105"/>
  <c r="BL26" i="123"/>
  <c r="BL141" i="123"/>
  <c r="BB153" i="105"/>
  <c r="BL141" i="105"/>
  <c r="BD70" i="123"/>
  <c r="BD153" i="123"/>
  <c r="BB70" i="123"/>
  <c r="BB153" i="123"/>
  <c r="AN165" i="105"/>
  <c r="AL153" i="123"/>
  <c r="AL153" i="105"/>
  <c r="BD165" i="105"/>
  <c r="H165" i="105"/>
  <c r="J26" i="123"/>
  <c r="J141" i="123"/>
  <c r="J141" i="105"/>
  <c r="AN153" i="123"/>
  <c r="H70" i="123"/>
  <c r="H153" i="123"/>
  <c r="AL141" i="105"/>
  <c r="BB141" i="105"/>
  <c r="J153" i="105"/>
  <c r="J70" i="123"/>
  <c r="J153" i="123"/>
  <c r="H26" i="123"/>
  <c r="H141" i="123"/>
  <c r="H153" i="105"/>
  <c r="AL141" i="123"/>
  <c r="BB26" i="123"/>
  <c r="BB141" i="123"/>
  <c r="J165" i="105"/>
  <c r="H141" i="105"/>
  <c r="T26" i="123"/>
  <c r="T141" i="123"/>
  <c r="T153" i="105"/>
  <c r="T165" i="105"/>
  <c r="T70" i="123"/>
  <c r="T153" i="123"/>
  <c r="T141" i="105"/>
  <c r="R165" i="105"/>
  <c r="R70" i="123"/>
  <c r="R153" i="123"/>
  <c r="R153" i="105"/>
  <c r="R26" i="123"/>
  <c r="R141" i="123"/>
  <c r="R141" i="105"/>
  <c r="CW20" i="168"/>
  <c r="BA155" i="59"/>
  <c r="CW20" i="170"/>
  <c r="BC155" i="59"/>
  <c r="BS141" i="123"/>
  <c r="CF153" i="123"/>
  <c r="CF141" i="123"/>
  <c r="BS153" i="123"/>
  <c r="CF165" i="105"/>
  <c r="BS141" i="105"/>
  <c r="CF153" i="105"/>
  <c r="BS165" i="105"/>
  <c r="CF141" i="105"/>
  <c r="BS153" i="105"/>
  <c r="BI141" i="105"/>
  <c r="BI26" i="123"/>
  <c r="BI141" i="123"/>
  <c r="BI153" i="105"/>
  <c r="BI70" i="123"/>
  <c r="BI153" i="123"/>
  <c r="AI153" i="123"/>
  <c r="AI141" i="123"/>
  <c r="BI165" i="105"/>
  <c r="AI153" i="105"/>
  <c r="AI165" i="105"/>
  <c r="AI141" i="105"/>
  <c r="AY153" i="105"/>
  <c r="AY165" i="105"/>
  <c r="AY26" i="123"/>
  <c r="AY141" i="123"/>
  <c r="AY70" i="123"/>
  <c r="AY153" i="123"/>
  <c r="AY141" i="105"/>
  <c r="O153" i="105"/>
  <c r="O165" i="105"/>
  <c r="O70" i="123"/>
  <c r="O153" i="123"/>
  <c r="O26" i="123"/>
  <c r="O141" i="123"/>
  <c r="O141" i="105"/>
  <c r="E153" i="105"/>
  <c r="E70" i="123"/>
  <c r="E153" i="123"/>
  <c r="E141" i="105"/>
  <c r="E165" i="105"/>
  <c r="E26" i="123"/>
  <c r="E141" i="123"/>
  <c r="CW19" i="70"/>
  <c r="F463" i="39"/>
  <c r="CW20" i="70"/>
  <c r="AX155" i="59"/>
  <c r="CR90" i="70"/>
  <c r="AX175" i="59"/>
  <c r="AX139" i="59"/>
  <c r="AW45" i="60"/>
  <c r="CR58" i="105"/>
  <c r="CR14" i="105"/>
  <c r="CR14" i="123"/>
  <c r="CD85" i="123"/>
  <c r="AT85" i="123"/>
  <c r="CR85" i="123"/>
  <c r="CD130" i="123"/>
  <c r="AT130" i="123"/>
  <c r="CR130" i="123"/>
  <c r="CD41" i="123"/>
  <c r="CR41" i="123"/>
  <c r="CD41" i="105"/>
  <c r="AT41" i="105"/>
  <c r="CR41" i="105"/>
  <c r="CD85" i="105"/>
  <c r="AT85" i="105"/>
  <c r="CR85" i="105"/>
  <c r="CD130" i="105"/>
  <c r="AT130" i="105"/>
  <c r="CR130" i="105"/>
  <c r="G72" i="107"/>
  <c r="Z136" i="105"/>
  <c r="Z137" i="105"/>
  <c r="Z143" i="105"/>
  <c r="Z43" i="105"/>
  <c r="Z144" i="105"/>
  <c r="Z40" i="123"/>
  <c r="Z41" i="123"/>
  <c r="Z42" i="123"/>
  <c r="Z136" i="123"/>
  <c r="Z14" i="123"/>
  <c r="Z137" i="123"/>
  <c r="Z143" i="123"/>
  <c r="Z43" i="123"/>
  <c r="Z144" i="123"/>
  <c r="F225" i="123"/>
  <c r="F214" i="123"/>
  <c r="G225" i="123"/>
  <c r="G214" i="123"/>
  <c r="H225" i="123"/>
  <c r="H214" i="123"/>
  <c r="I225" i="123"/>
  <c r="I214" i="123"/>
  <c r="CD42" i="123"/>
  <c r="CR42" i="123"/>
  <c r="CD86" i="123"/>
  <c r="AT86" i="123"/>
  <c r="CR86" i="123"/>
  <c r="CD131" i="123"/>
  <c r="AT131" i="123"/>
  <c r="CR131" i="123"/>
  <c r="CD86" i="105"/>
  <c r="AT86" i="105"/>
  <c r="CR86" i="105"/>
  <c r="CD131" i="105"/>
  <c r="AT131" i="105"/>
  <c r="CR131" i="105"/>
  <c r="CD42" i="105"/>
  <c r="AT42" i="105"/>
  <c r="CR42" i="105"/>
  <c r="AA84" i="123"/>
  <c r="AA85" i="123"/>
  <c r="AA86" i="123"/>
  <c r="AA148" i="123"/>
  <c r="AA58" i="123"/>
  <c r="AA149" i="123"/>
  <c r="AA155" i="123"/>
  <c r="AA87" i="105"/>
  <c r="AA87" i="123"/>
  <c r="AA156" i="123"/>
  <c r="AA130" i="123"/>
  <c r="AA131" i="123"/>
  <c r="AA160" i="123"/>
  <c r="AA104" i="123"/>
  <c r="AA161" i="123"/>
  <c r="AA167" i="123"/>
  <c r="AA132" i="105"/>
  <c r="AA132" i="123"/>
  <c r="AA168" i="123"/>
  <c r="AA160" i="105"/>
  <c r="AA161" i="105"/>
  <c r="AA167" i="105"/>
  <c r="AA168" i="105"/>
  <c r="Z84" i="123"/>
  <c r="Z85" i="123"/>
  <c r="Z86" i="123"/>
  <c r="Z148" i="123"/>
  <c r="Z58" i="123"/>
  <c r="Z149" i="123"/>
  <c r="Z155" i="123"/>
  <c r="Z87" i="105"/>
  <c r="Z87" i="123"/>
  <c r="Z156" i="123"/>
  <c r="AA136" i="105"/>
  <c r="AA137" i="105"/>
  <c r="AA143" i="105"/>
  <c r="AA43" i="105"/>
  <c r="AA144" i="105"/>
  <c r="Z160" i="105"/>
  <c r="Z161" i="105"/>
  <c r="Z167" i="105"/>
  <c r="Z132" i="105"/>
  <c r="Z168" i="105"/>
  <c r="Z130" i="123"/>
  <c r="Z131" i="123"/>
  <c r="Z160" i="123"/>
  <c r="Z104" i="123"/>
  <c r="Z161" i="123"/>
  <c r="Z167" i="123"/>
  <c r="Z132" i="123"/>
  <c r="Z168" i="123"/>
  <c r="AA40" i="123"/>
  <c r="AA41" i="123"/>
  <c r="AA42" i="123"/>
  <c r="AA136" i="123"/>
  <c r="AA14" i="123"/>
  <c r="AA137" i="123"/>
  <c r="AA143" i="123"/>
  <c r="AA43" i="123"/>
  <c r="AA144" i="123"/>
  <c r="AA148" i="105"/>
  <c r="AA149" i="105"/>
  <c r="AA155" i="105"/>
  <c r="AA156" i="105"/>
  <c r="Z148" i="105"/>
  <c r="Z149" i="105"/>
  <c r="Z155" i="105"/>
  <c r="Z156" i="105"/>
  <c r="G66" i="107"/>
  <c r="H72" i="107"/>
  <c r="G60" i="107"/>
  <c r="H66" i="107"/>
  <c r="H60" i="107"/>
  <c r="AF130" i="123"/>
  <c r="AF131" i="123"/>
  <c r="AF160" i="123"/>
  <c r="AF104" i="123"/>
  <c r="AF161" i="123"/>
  <c r="AF167" i="123"/>
  <c r="AF132" i="105"/>
  <c r="AF132" i="123"/>
  <c r="AF168" i="123"/>
  <c r="AF160" i="105"/>
  <c r="AF161" i="105"/>
  <c r="AF167" i="105"/>
  <c r="AF168" i="105"/>
  <c r="AF84" i="123"/>
  <c r="AF85" i="123"/>
  <c r="AF86" i="123"/>
  <c r="AF148" i="123"/>
  <c r="AF58" i="123"/>
  <c r="AF149" i="123"/>
  <c r="AF155" i="123"/>
  <c r="AF87" i="105"/>
  <c r="AF87" i="123"/>
  <c r="AF156" i="123"/>
  <c r="AF148" i="105"/>
  <c r="AF149" i="105"/>
  <c r="AF155" i="105"/>
  <c r="AF156" i="105"/>
  <c r="AF40" i="123"/>
  <c r="AF41" i="123"/>
  <c r="AF42" i="123"/>
  <c r="AF136" i="123"/>
  <c r="AF14" i="123"/>
  <c r="AF137" i="123"/>
  <c r="AF143" i="123"/>
  <c r="AF43" i="105"/>
  <c r="AF43" i="123"/>
  <c r="AF144" i="123"/>
  <c r="AF136" i="105"/>
  <c r="AF137" i="105"/>
  <c r="AF143" i="105"/>
  <c r="AF144" i="105"/>
  <c r="AE40" i="123"/>
  <c r="AE41" i="123"/>
  <c r="AE42" i="123"/>
  <c r="AE136" i="123"/>
  <c r="AE14" i="123"/>
  <c r="AE137" i="123"/>
  <c r="AE143" i="123"/>
  <c r="AE43" i="105"/>
  <c r="AE43" i="123"/>
  <c r="AE144" i="123"/>
  <c r="AE136" i="105"/>
  <c r="AE137" i="105"/>
  <c r="AE143" i="105"/>
  <c r="AE144" i="105"/>
  <c r="AC40" i="123"/>
  <c r="AC41" i="123"/>
  <c r="AC42" i="123"/>
  <c r="AC136" i="123"/>
  <c r="AC14" i="123"/>
  <c r="AC137" i="123"/>
  <c r="AC143" i="123"/>
  <c r="AC43" i="105"/>
  <c r="AC43" i="123"/>
  <c r="AC144" i="123"/>
  <c r="AE130" i="123"/>
  <c r="AE131" i="123"/>
  <c r="AE160" i="123"/>
  <c r="AE104" i="123"/>
  <c r="AE161" i="123"/>
  <c r="AE167" i="123"/>
  <c r="AE132" i="105"/>
  <c r="AE132" i="123"/>
  <c r="AE168" i="123"/>
  <c r="AE84" i="123"/>
  <c r="AE85" i="123"/>
  <c r="AE86" i="123"/>
  <c r="AE148" i="123"/>
  <c r="AE58" i="123"/>
  <c r="AE149" i="123"/>
  <c r="AE155" i="123"/>
  <c r="AE87" i="105"/>
  <c r="AE87" i="123"/>
  <c r="AE156" i="123"/>
  <c r="AE148" i="105"/>
  <c r="AE149" i="105"/>
  <c r="AE155" i="105"/>
  <c r="AE156" i="105"/>
  <c r="AC130" i="123"/>
  <c r="AC131" i="123"/>
  <c r="AC160" i="123"/>
  <c r="AC104" i="123"/>
  <c r="AC161" i="123"/>
  <c r="AC167" i="123"/>
  <c r="AC132" i="105"/>
  <c r="AC132" i="123"/>
  <c r="AC168" i="123"/>
  <c r="AC84" i="123"/>
  <c r="AC85" i="123"/>
  <c r="AC86" i="123"/>
  <c r="AC148" i="123"/>
  <c r="AC58" i="123"/>
  <c r="AC149" i="123"/>
  <c r="AC155" i="123"/>
  <c r="AC87" i="105"/>
  <c r="AC87" i="123"/>
  <c r="AC156" i="123"/>
  <c r="AC148" i="105"/>
  <c r="AC149" i="105"/>
  <c r="AC155" i="105"/>
  <c r="AC156" i="105"/>
  <c r="AC136" i="105"/>
  <c r="AC137" i="105"/>
  <c r="AC143" i="105"/>
  <c r="AC144" i="105"/>
  <c r="AE160" i="105"/>
  <c r="AE161" i="105"/>
  <c r="AE167" i="105"/>
  <c r="AE168" i="105"/>
  <c r="AC160" i="105"/>
  <c r="AC161" i="105"/>
  <c r="AC167" i="105"/>
  <c r="AC168" i="105"/>
  <c r="M66" i="107"/>
  <c r="M60" i="107"/>
  <c r="M72" i="107"/>
  <c r="L72" i="107"/>
  <c r="J72" i="107"/>
  <c r="L60" i="107"/>
  <c r="L66" i="107"/>
  <c r="J60" i="107"/>
  <c r="J66" i="107"/>
  <c r="AD40" i="123"/>
  <c r="AD41" i="123"/>
  <c r="AD42" i="123"/>
  <c r="AD136" i="123"/>
  <c r="AD14" i="123"/>
  <c r="AD137" i="123"/>
  <c r="AD143" i="123"/>
  <c r="AD43" i="105"/>
  <c r="AD43" i="123"/>
  <c r="AD144" i="123"/>
  <c r="AD136" i="105"/>
  <c r="AD137" i="105"/>
  <c r="AD143" i="105"/>
  <c r="AD144" i="105"/>
  <c r="AD160" i="105"/>
  <c r="AD161" i="105"/>
  <c r="AD167" i="105"/>
  <c r="AD132" i="105"/>
  <c r="AD168" i="105"/>
  <c r="AD130" i="123"/>
  <c r="AD131" i="123"/>
  <c r="AD160" i="123"/>
  <c r="AD104" i="123"/>
  <c r="AD161" i="123"/>
  <c r="AD167" i="123"/>
  <c r="AD132" i="123"/>
  <c r="AD168" i="123"/>
  <c r="AD84" i="123"/>
  <c r="AD85" i="123"/>
  <c r="AD86" i="123"/>
  <c r="AD148" i="123"/>
  <c r="AD58" i="123"/>
  <c r="AD149" i="123"/>
  <c r="AD155" i="123"/>
  <c r="AD87" i="105"/>
  <c r="AD87" i="123"/>
  <c r="AD156" i="123"/>
  <c r="AD148" i="105"/>
  <c r="AD149" i="105"/>
  <c r="AD155" i="105"/>
  <c r="AD156" i="105"/>
  <c r="AB130" i="123"/>
  <c r="AB131" i="123"/>
  <c r="AB160" i="123"/>
  <c r="AB104" i="123"/>
  <c r="AB161" i="123"/>
  <c r="AB167" i="123"/>
  <c r="AB132" i="105"/>
  <c r="AB132" i="123"/>
  <c r="AB168" i="123"/>
  <c r="AB160" i="105"/>
  <c r="AB161" i="105"/>
  <c r="AB167" i="105"/>
  <c r="AB168" i="105"/>
  <c r="AB84" i="123"/>
  <c r="AB85" i="123"/>
  <c r="AB86" i="123"/>
  <c r="AB148" i="123"/>
  <c r="AB58" i="123"/>
  <c r="AB149" i="123"/>
  <c r="AB155" i="123"/>
  <c r="AB87" i="105"/>
  <c r="AB87" i="123"/>
  <c r="AB156" i="123"/>
  <c r="AB40" i="123"/>
  <c r="AB41" i="123"/>
  <c r="AB42" i="123"/>
  <c r="AB136" i="123"/>
  <c r="AB14" i="123"/>
  <c r="AB137" i="123"/>
  <c r="AB143" i="123"/>
  <c r="AB43" i="105"/>
  <c r="AB43" i="123"/>
  <c r="AB144" i="123"/>
  <c r="AB136" i="105"/>
  <c r="AB137" i="105"/>
  <c r="AB143" i="105"/>
  <c r="AB144" i="105"/>
  <c r="AB148" i="105"/>
  <c r="AB149" i="105"/>
  <c r="AB155" i="105"/>
  <c r="AB156" i="105"/>
  <c r="K72" i="107"/>
  <c r="K66" i="107"/>
  <c r="K60" i="107"/>
  <c r="I72" i="107"/>
  <c r="I66" i="107"/>
  <c r="I60" i="107"/>
  <c r="W129" i="123"/>
  <c r="W160" i="123"/>
  <c r="W116" i="123"/>
  <c r="W164" i="123"/>
  <c r="W167" i="123"/>
  <c r="W132" i="105"/>
  <c r="W132" i="123"/>
  <c r="W168" i="123"/>
  <c r="W160" i="105"/>
  <c r="W165" i="105"/>
  <c r="W167" i="105"/>
  <c r="W168" i="105"/>
  <c r="CW15" i="172"/>
  <c r="CW15" i="171"/>
  <c r="CW15" i="170"/>
  <c r="CW15" i="169"/>
  <c r="CW15" i="168"/>
  <c r="CW15" i="167"/>
  <c r="CW15" i="166"/>
  <c r="M210" i="49"/>
  <c r="L210" i="49"/>
  <c r="K210" i="49"/>
  <c r="J210" i="49"/>
  <c r="I210" i="49"/>
  <c r="G210" i="49"/>
  <c r="H210" i="49"/>
  <c r="CW15" i="173"/>
  <c r="CW17" i="173"/>
  <c r="AX44" i="60"/>
  <c r="AY44" i="60"/>
  <c r="N210" i="49"/>
  <c r="CW17" i="166"/>
  <c r="AY154" i="59"/>
  <c r="CW17" i="167"/>
  <c r="AZ154" i="59"/>
  <c r="CW17" i="168"/>
  <c r="BA154" i="59"/>
  <c r="CW17" i="169"/>
  <c r="BB154" i="59"/>
  <c r="CW17" i="170"/>
  <c r="BC154" i="59"/>
  <c r="CW17" i="171"/>
  <c r="BD154" i="59"/>
  <c r="BF154" i="59"/>
  <c r="CW17" i="172"/>
  <c r="BE154" i="59"/>
  <c r="CW36" i="172"/>
  <c r="BE151" i="59"/>
  <c r="CW36" i="171"/>
  <c r="BD151" i="59"/>
  <c r="CW36" i="170"/>
  <c r="BC151" i="59"/>
  <c r="CW36" i="168"/>
  <c r="BA151" i="59"/>
  <c r="CW36" i="166"/>
  <c r="AY151" i="59"/>
  <c r="G565" i="112"/>
  <c r="I565" i="112"/>
  <c r="K565" i="112"/>
  <c r="L565" i="112"/>
  <c r="M565" i="112"/>
  <c r="CW35" i="166"/>
  <c r="CW66" i="166"/>
  <c r="CW35" i="168"/>
  <c r="CW66" i="168"/>
  <c r="CW35" i="170"/>
  <c r="CW66" i="170"/>
  <c r="CW35" i="171"/>
  <c r="CW66" i="171"/>
  <c r="CW35" i="172"/>
  <c r="CW66" i="172"/>
  <c r="BA131" i="59"/>
  <c r="BC131" i="59"/>
  <c r="BE131" i="59"/>
  <c r="BD131" i="59"/>
  <c r="AY131" i="59"/>
  <c r="BM90" i="167"/>
  <c r="AZ166" i="59"/>
  <c r="BM90" i="169"/>
  <c r="BB166" i="59"/>
  <c r="BM90" i="173"/>
  <c r="BF166" i="59"/>
  <c r="CW17" i="70"/>
  <c r="AX154" i="59"/>
  <c r="AW44" i="60"/>
  <c r="CW15" i="70"/>
  <c r="F210" i="49"/>
  <c r="F184" i="123"/>
  <c r="I184" i="123"/>
  <c r="G184" i="123"/>
  <c r="F172" i="62"/>
  <c r="CW16" i="70"/>
  <c r="H211" i="123"/>
  <c r="F211" i="123"/>
  <c r="I211" i="123"/>
  <c r="G211" i="123"/>
  <c r="K208" i="123"/>
  <c r="L209" i="123"/>
  <c r="M209" i="123"/>
  <c r="F208" i="123"/>
  <c r="I208" i="123"/>
  <c r="H209" i="123"/>
  <c r="F209" i="123"/>
  <c r="I209" i="123"/>
  <c r="G210" i="123"/>
  <c r="G209" i="123"/>
  <c r="H210" i="123"/>
  <c r="F210" i="123"/>
  <c r="I210" i="123"/>
  <c r="G208" i="123"/>
  <c r="E22" i="175"/>
  <c r="M22" i="175"/>
  <c r="L22" i="175"/>
  <c r="K22" i="175"/>
  <c r="J22" i="175"/>
  <c r="I22" i="175"/>
  <c r="H22" i="175"/>
  <c r="G22" i="175"/>
  <c r="F22" i="175"/>
  <c r="F57" i="175"/>
  <c r="G57" i="175"/>
  <c r="H57" i="175"/>
  <c r="I57" i="175"/>
  <c r="J57" i="175"/>
  <c r="K57" i="175"/>
  <c r="L57" i="175"/>
  <c r="M57" i="175"/>
  <c r="M8" i="175"/>
  <c r="N445" i="112" a="1"/>
  <c r="N445" i="112"/>
  <c r="N561" i="112"/>
  <c r="BJ35" i="173"/>
  <c r="BJ36" i="173"/>
  <c r="BJ66" i="173"/>
  <c r="BJ90" i="173"/>
  <c r="N444" i="112" a="1"/>
  <c r="N444" i="112"/>
  <c r="N560" i="112"/>
  <c r="BI35" i="173"/>
  <c r="BI36" i="173"/>
  <c r="BI66" i="173"/>
  <c r="BI90" i="173"/>
  <c r="I8" i="175"/>
  <c r="J445" i="112" a="1"/>
  <c r="J445" i="112"/>
  <c r="J561" i="112"/>
  <c r="BJ35" i="169"/>
  <c r="BJ36" i="169"/>
  <c r="BJ66" i="169"/>
  <c r="BJ90" i="169"/>
  <c r="J444" i="112" a="1"/>
  <c r="J444" i="112"/>
  <c r="J560" i="112"/>
  <c r="BI35" i="169"/>
  <c r="BI36" i="169"/>
  <c r="BI66" i="169"/>
  <c r="BI90" i="169"/>
  <c r="G8" i="175"/>
  <c r="H445" i="112" a="1"/>
  <c r="H445" i="112"/>
  <c r="H561" i="112"/>
  <c r="BJ35" i="167"/>
  <c r="BJ36" i="167"/>
  <c r="BJ66" i="167"/>
  <c r="BJ90" i="167"/>
  <c r="H444" i="112" a="1"/>
  <c r="H444" i="112"/>
  <c r="H560" i="112"/>
  <c r="BI35" i="167"/>
  <c r="BI36" i="167"/>
  <c r="BI66" i="167"/>
  <c r="BI90" i="167"/>
  <c r="F445" i="112" a="1"/>
  <c r="F445" i="112"/>
  <c r="F561" i="112"/>
  <c r="BJ35" i="70"/>
  <c r="BJ36" i="70"/>
  <c r="BJ66" i="70"/>
  <c r="BJ90" i="70"/>
  <c r="F444" i="112" a="1"/>
  <c r="F444" i="112"/>
  <c r="F560" i="112"/>
  <c r="BI35" i="70"/>
  <c r="BI36" i="70"/>
  <c r="BI66" i="70"/>
  <c r="BI90" i="70"/>
  <c r="E57" i="175"/>
  <c r="H443" i="112" a="1"/>
  <c r="H443" i="112"/>
  <c r="H559" i="112"/>
  <c r="BH35" i="167"/>
  <c r="BH36" i="167"/>
  <c r="BH66" i="167"/>
  <c r="BH90" i="167"/>
  <c r="AZ165" i="59"/>
  <c r="AZ167" i="59"/>
  <c r="AZ131" i="59"/>
  <c r="J443" i="112" a="1"/>
  <c r="J443" i="112"/>
  <c r="J559" i="112"/>
  <c r="BH35" i="169"/>
  <c r="BH36" i="169"/>
  <c r="BH66" i="169"/>
  <c r="BH90" i="169"/>
  <c r="BB165" i="59"/>
  <c r="BB167" i="59"/>
  <c r="BB131" i="59"/>
  <c r="N443" i="112" a="1"/>
  <c r="N443" i="112"/>
  <c r="N559" i="112"/>
  <c r="BH35" i="173"/>
  <c r="BH36" i="173"/>
  <c r="BH66" i="173"/>
  <c r="BH90" i="173"/>
  <c r="BF165" i="59"/>
  <c r="BF167" i="59"/>
  <c r="BF131" i="59"/>
  <c r="N565" i="112"/>
  <c r="CW36" i="173"/>
  <c r="AX42" i="60"/>
  <c r="AY42" i="60"/>
  <c r="CW35" i="173"/>
  <c r="CW66" i="173"/>
  <c r="CW66" i="169"/>
  <c r="CW35" i="169"/>
  <c r="CW66" i="167"/>
  <c r="CW35" i="167"/>
  <c r="J565" i="112"/>
  <c r="H565" i="112"/>
  <c r="CW36" i="167"/>
  <c r="AZ151" i="59"/>
  <c r="CW36" i="169"/>
  <c r="BB151" i="59"/>
  <c r="BF151" i="59"/>
  <c r="F443" i="112" a="1"/>
  <c r="F443" i="112"/>
  <c r="F559" i="112"/>
  <c r="BH35" i="70"/>
  <c r="BH36" i="70"/>
  <c r="CW36" i="70"/>
  <c r="AW42" i="60"/>
  <c r="AX151" i="59"/>
  <c r="F565" i="112"/>
  <c r="CW35" i="70"/>
  <c r="BH66" i="70"/>
  <c r="CW66" i="70"/>
  <c r="BH90" i="70"/>
  <c r="AX165" i="59"/>
  <c r="AX167" i="59"/>
  <c r="AX131" i="59"/>
  <c r="CD129" i="123"/>
  <c r="CQ129" i="123"/>
  <c r="AT129" i="123"/>
  <c r="CR129" i="123"/>
  <c r="J133" i="156"/>
  <c r="K165" i="156"/>
  <c r="N133" i="156"/>
  <c r="K133" i="156"/>
  <c r="L165" i="156"/>
  <c r="I133" i="156"/>
  <c r="J165" i="156"/>
  <c r="F133" i="156"/>
  <c r="G165" i="156"/>
  <c r="F165" i="156"/>
  <c r="L133" i="156"/>
  <c r="M165" i="156"/>
  <c r="M133" i="156"/>
  <c r="N165" i="156"/>
  <c r="G133" i="156"/>
  <c r="H165" i="156"/>
  <c r="H133" i="156"/>
  <c r="I165" i="156"/>
  <c r="CD128" i="105"/>
  <c r="CQ128" i="105"/>
  <c r="AT128" i="105"/>
  <c r="CR128" i="105"/>
  <c r="CD39" i="105"/>
  <c r="CQ39" i="105"/>
  <c r="AT39" i="105"/>
  <c r="CR39" i="105"/>
  <c r="CD83" i="105"/>
  <c r="CQ83" i="105"/>
  <c r="AT83" i="105"/>
  <c r="CR83" i="105"/>
  <c r="CD39" i="123"/>
  <c r="CR39" i="123"/>
  <c r="CD83" i="123"/>
  <c r="CQ83" i="123"/>
  <c r="AT83" i="123"/>
  <c r="CR83" i="123"/>
  <c r="N131" i="156"/>
  <c r="N163" i="156"/>
  <c r="Y37" i="127"/>
  <c r="N479" i="112"/>
  <c r="N571" i="112"/>
  <c r="Y47" i="127"/>
  <c r="N360" i="39"/>
  <c r="N469" i="39"/>
  <c r="Y57" i="127"/>
  <c r="Y71" i="127"/>
  <c r="Y155" i="127"/>
  <c r="Y84" i="127"/>
  <c r="Y74" i="127"/>
  <c r="Y162" i="127" a="1"/>
  <c r="Y162" i="127"/>
  <c r="Y163" i="127" a="1"/>
  <c r="Y163" i="127"/>
  <c r="Y164" i="127" a="1"/>
  <c r="Y165" i="127" a="1"/>
  <c r="Y166" i="127" a="1"/>
  <c r="Y167" i="127" a="1"/>
  <c r="Y164" i="127"/>
  <c r="Y165" i="127"/>
  <c r="Y166" i="127"/>
  <c r="Y167" i="127"/>
  <c r="Y168" i="127"/>
  <c r="N132" i="156"/>
  <c r="N164" i="156"/>
  <c r="AJ37" i="127"/>
  <c r="N480" i="112"/>
  <c r="N572" i="112"/>
  <c r="AJ47" i="127"/>
  <c r="N361" i="39"/>
  <c r="N470" i="39"/>
  <c r="AJ57" i="127"/>
  <c r="AJ71" i="127"/>
  <c r="AJ84" i="127"/>
  <c r="AJ74" i="127"/>
  <c r="AJ155" i="127"/>
  <c r="AJ162" i="127" a="1"/>
  <c r="AJ162" i="127"/>
  <c r="AJ163" i="127" a="1"/>
  <c r="AJ163" i="127"/>
  <c r="AJ164" i="127" a="1"/>
  <c r="AJ165" i="127" a="1"/>
  <c r="AJ166" i="127" a="1"/>
  <c r="AJ167" i="127" a="1"/>
  <c r="AJ164" i="127"/>
  <c r="AJ165" i="127"/>
  <c r="AJ166" i="127"/>
  <c r="AJ167" i="127"/>
  <c r="AJ168" i="127"/>
  <c r="K132" i="156"/>
  <c r="K164" i="156"/>
  <c r="AG37" i="127"/>
  <c r="K480" i="112"/>
  <c r="K572" i="112"/>
  <c r="AG47" i="127"/>
  <c r="K361" i="39"/>
  <c r="K470" i="39"/>
  <c r="AG57" i="127"/>
  <c r="AG71" i="127"/>
  <c r="AG155" i="127"/>
  <c r="AG162" i="127" a="1"/>
  <c r="AG162" i="127"/>
  <c r="AG163" i="127" a="1"/>
  <c r="AG163" i="127"/>
  <c r="AG164" i="127" a="1"/>
  <c r="AG165" i="127" a="1"/>
  <c r="AG166" i="127" a="1"/>
  <c r="AG167" i="127" a="1"/>
  <c r="AG164" i="127"/>
  <c r="AG165" i="127"/>
  <c r="AG166" i="127"/>
  <c r="AG167" i="127"/>
  <c r="AG168" i="127"/>
  <c r="K131" i="156"/>
  <c r="K163" i="156"/>
  <c r="V37" i="127"/>
  <c r="K479" i="112"/>
  <c r="K571" i="112"/>
  <c r="V47" i="127"/>
  <c r="K360" i="39"/>
  <c r="K469" i="39"/>
  <c r="V57" i="127"/>
  <c r="V71" i="127"/>
  <c r="V155" i="127"/>
  <c r="V74" i="127"/>
  <c r="V84" i="127"/>
  <c r="I132" i="156"/>
  <c r="I164" i="156"/>
  <c r="AE37" i="127"/>
  <c r="I480" i="112"/>
  <c r="I572" i="112"/>
  <c r="AE47" i="127"/>
  <c r="I361" i="39"/>
  <c r="I470" i="39"/>
  <c r="AE57" i="127"/>
  <c r="AE71" i="127"/>
  <c r="AE155" i="127"/>
  <c r="AE84" i="127"/>
  <c r="AE74" i="127"/>
  <c r="I481" i="112"/>
  <c r="I573" i="112"/>
  <c r="AP47" i="127"/>
  <c r="I362" i="39"/>
  <c r="I471" i="39"/>
  <c r="AP57" i="127"/>
  <c r="AP162" i="127" a="1"/>
  <c r="AP162" i="127"/>
  <c r="AP163" i="127" a="1"/>
  <c r="AP163" i="127"/>
  <c r="AP164" i="127" a="1"/>
  <c r="AP165" i="127" a="1"/>
  <c r="AP166" i="127" a="1"/>
  <c r="AP167" i="127" a="1"/>
  <c r="AP164" i="127"/>
  <c r="AP165" i="127"/>
  <c r="AP166" i="127"/>
  <c r="AP167" i="127"/>
  <c r="AP168" i="127"/>
  <c r="AG84" i="127"/>
  <c r="AG74" i="127"/>
  <c r="V162" i="127" a="1"/>
  <c r="V162" i="127"/>
  <c r="V163" i="127" a="1"/>
  <c r="V163" i="127"/>
  <c r="V164" i="127" a="1"/>
  <c r="V165" i="127" a="1"/>
  <c r="V166" i="127" a="1"/>
  <c r="V167" i="127" a="1"/>
  <c r="V164" i="127"/>
  <c r="V165" i="127"/>
  <c r="V166" i="127"/>
  <c r="V167" i="127"/>
  <c r="V168" i="127"/>
  <c r="AE162" i="127" a="1"/>
  <c r="AE162" i="127"/>
  <c r="AE163" i="127" a="1"/>
  <c r="AE163" i="127"/>
  <c r="AE164" i="127" a="1"/>
  <c r="AE165" i="127" a="1"/>
  <c r="AE166" i="127" a="1"/>
  <c r="AE167" i="127" a="1"/>
  <c r="AE164" i="127"/>
  <c r="AE165" i="127"/>
  <c r="AE166" i="127"/>
  <c r="AE167" i="127"/>
  <c r="AE168" i="127"/>
  <c r="AP71" i="127"/>
  <c r="AP155" i="127"/>
  <c r="AP74" i="127"/>
  <c r="AP84" i="127"/>
  <c r="I131" i="156"/>
  <c r="I163" i="156"/>
  <c r="T37" i="127"/>
  <c r="I479" i="112"/>
  <c r="I571" i="112"/>
  <c r="T47" i="127"/>
  <c r="I360" i="39"/>
  <c r="I469" i="39"/>
  <c r="T57" i="127"/>
  <c r="T162" i="127" a="1"/>
  <c r="T162" i="127"/>
  <c r="T163" i="127" a="1"/>
  <c r="T163" i="127"/>
  <c r="T164" i="127" a="1"/>
  <c r="T165" i="127" a="1"/>
  <c r="T166" i="127" a="1"/>
  <c r="T167" i="127" a="1"/>
  <c r="T164" i="127"/>
  <c r="T165" i="127"/>
  <c r="T166" i="127"/>
  <c r="T167" i="127"/>
  <c r="T168" i="127"/>
  <c r="T71" i="127"/>
  <c r="T155" i="127"/>
  <c r="T74" i="127"/>
  <c r="T84" i="127"/>
  <c r="N481" i="112"/>
  <c r="N573" i="112"/>
  <c r="AU47" i="127"/>
  <c r="N362" i="39"/>
  <c r="N471" i="39"/>
  <c r="AU57" i="127"/>
  <c r="AU71" i="127"/>
  <c r="AU155" i="127"/>
  <c r="K481" i="112"/>
  <c r="K573" i="112"/>
  <c r="AR47" i="127"/>
  <c r="K362" i="39"/>
  <c r="K471" i="39"/>
  <c r="AR57" i="127"/>
  <c r="AR71" i="127"/>
  <c r="AR155" i="127"/>
  <c r="AR84" i="127"/>
  <c r="AR74" i="127"/>
  <c r="AR162" i="127" a="1"/>
  <c r="AR162" i="127"/>
  <c r="AR163" i="127" a="1"/>
  <c r="AR163" i="127"/>
  <c r="AR164" i="127" a="1"/>
  <c r="AR165" i="127" a="1"/>
  <c r="AR166" i="127" a="1"/>
  <c r="AR167" i="127" a="1"/>
  <c r="AR164" i="127"/>
  <c r="AR165" i="127"/>
  <c r="AR166" i="127"/>
  <c r="AR167" i="127"/>
  <c r="AR168" i="127"/>
  <c r="AU162" i="127" a="1"/>
  <c r="AU162" i="127"/>
  <c r="AU163" i="127" a="1"/>
  <c r="AU163" i="127"/>
  <c r="AU164" i="127" a="1"/>
  <c r="AU165" i="127" a="1"/>
  <c r="AU166" i="127" a="1"/>
  <c r="AU167" i="127" a="1"/>
  <c r="AU164" i="127"/>
  <c r="AU165" i="127"/>
  <c r="AU166" i="127"/>
  <c r="AU167" i="127"/>
  <c r="AU168" i="127"/>
  <c r="AU84" i="127"/>
  <c r="AU74" i="127"/>
  <c r="J131" i="156"/>
  <c r="J163" i="156"/>
  <c r="U37" i="127"/>
  <c r="J479" i="112"/>
  <c r="J571" i="112"/>
  <c r="U47" i="127"/>
  <c r="J360" i="39"/>
  <c r="J469" i="39"/>
  <c r="U57" i="127"/>
  <c r="U71" i="127"/>
  <c r="U74" i="127"/>
  <c r="J481" i="112"/>
  <c r="J573" i="112"/>
  <c r="AQ47" i="127"/>
  <c r="J362" i="39"/>
  <c r="J471" i="39"/>
  <c r="AQ57" i="127"/>
  <c r="AQ71" i="127"/>
  <c r="AQ84" i="127"/>
  <c r="L481" i="112"/>
  <c r="L573" i="112"/>
  <c r="AS47" i="127"/>
  <c r="L362" i="39"/>
  <c r="L471" i="39"/>
  <c r="AS57" i="127"/>
  <c r="AS71" i="127"/>
  <c r="AS155" i="127"/>
  <c r="L131" i="156"/>
  <c r="L163" i="156"/>
  <c r="W37" i="127"/>
  <c r="L479" i="112"/>
  <c r="L571" i="112"/>
  <c r="W47" i="127"/>
  <c r="L360" i="39"/>
  <c r="L469" i="39"/>
  <c r="W57" i="127"/>
  <c r="W71" i="127"/>
  <c r="W74" i="127"/>
  <c r="L132" i="156"/>
  <c r="L164" i="156"/>
  <c r="AH37" i="127"/>
  <c r="L480" i="112"/>
  <c r="L572" i="112"/>
  <c r="AH47" i="127"/>
  <c r="L361" i="39"/>
  <c r="L470" i="39"/>
  <c r="AH57" i="127"/>
  <c r="AH71" i="127"/>
  <c r="AH155" i="127"/>
  <c r="J132" i="156"/>
  <c r="J164" i="156"/>
  <c r="AF37" i="127"/>
  <c r="J480" i="112"/>
  <c r="J572" i="112"/>
  <c r="AF47" i="127"/>
  <c r="J361" i="39"/>
  <c r="J470" i="39"/>
  <c r="AF57" i="127"/>
  <c r="AF71" i="127"/>
  <c r="AF74" i="127"/>
  <c r="U84" i="127"/>
  <c r="AQ155" i="127"/>
  <c r="U155" i="127"/>
  <c r="AQ74" i="127"/>
  <c r="U162" i="127" a="1"/>
  <c r="U162" i="127"/>
  <c r="U163" i="127" a="1"/>
  <c r="U163" i="127"/>
  <c r="U164" i="127" a="1"/>
  <c r="U165" i="127" a="1"/>
  <c r="U166" i="127" a="1"/>
  <c r="U167" i="127" a="1"/>
  <c r="U164" i="127"/>
  <c r="U165" i="127"/>
  <c r="U166" i="127"/>
  <c r="U167" i="127"/>
  <c r="U168" i="127"/>
  <c r="AQ162" i="127" a="1"/>
  <c r="AQ162" i="127"/>
  <c r="AQ163" i="127" a="1"/>
  <c r="AQ163" i="127"/>
  <c r="AQ164" i="127" a="1"/>
  <c r="AQ165" i="127" a="1"/>
  <c r="AQ166" i="127" a="1"/>
  <c r="AQ167" i="127" a="1"/>
  <c r="AQ164" i="127"/>
  <c r="AQ165" i="127"/>
  <c r="AQ166" i="127"/>
  <c r="AQ167" i="127"/>
  <c r="AQ168" i="127"/>
  <c r="AS84" i="127"/>
  <c r="AF84" i="127"/>
  <c r="M132" i="156"/>
  <c r="M164" i="156"/>
  <c r="AI37" i="127"/>
  <c r="M480" i="112"/>
  <c r="M572" i="112"/>
  <c r="AI47" i="127"/>
  <c r="M361" i="39"/>
  <c r="M470" i="39"/>
  <c r="AI57" i="127"/>
  <c r="AI71" i="127"/>
  <c r="AI155" i="127"/>
  <c r="AS74" i="127"/>
  <c r="AS162" i="127" a="1"/>
  <c r="AS162" i="127"/>
  <c r="AS163" i="127" a="1"/>
  <c r="AS163" i="127"/>
  <c r="AS164" i="127" a="1"/>
  <c r="AS165" i="127" a="1"/>
  <c r="AS166" i="127" a="1"/>
  <c r="AS167" i="127" a="1"/>
  <c r="AS164" i="127"/>
  <c r="AS165" i="127"/>
  <c r="AS166" i="127"/>
  <c r="AS167" i="127"/>
  <c r="AS168" i="127"/>
  <c r="AF155" i="127"/>
  <c r="AH74" i="127"/>
  <c r="W162" i="127" a="1"/>
  <c r="W162" i="127"/>
  <c r="W163" i="127" a="1"/>
  <c r="W163" i="127"/>
  <c r="W164" i="127" a="1"/>
  <c r="W165" i="127" a="1"/>
  <c r="W166" i="127" a="1"/>
  <c r="W167" i="127" a="1"/>
  <c r="W164" i="127"/>
  <c r="W165" i="127"/>
  <c r="W166" i="127"/>
  <c r="W167" i="127"/>
  <c r="W168" i="127"/>
  <c r="W84" i="127"/>
  <c r="W155" i="127"/>
  <c r="AH84" i="127"/>
  <c r="M481" i="112"/>
  <c r="M573" i="112"/>
  <c r="AT47" i="127"/>
  <c r="M362" i="39"/>
  <c r="M471" i="39"/>
  <c r="AT57" i="127"/>
  <c r="AT71" i="127"/>
  <c r="AT74" i="127"/>
  <c r="AH162" i="127" a="1"/>
  <c r="AH162" i="127"/>
  <c r="AH163" i="127" a="1"/>
  <c r="AH163" i="127"/>
  <c r="AH164" i="127" a="1"/>
  <c r="AH165" i="127" a="1"/>
  <c r="AH166" i="127" a="1"/>
  <c r="AH167" i="127" a="1"/>
  <c r="AH164" i="127"/>
  <c r="AH165" i="127"/>
  <c r="AH166" i="127"/>
  <c r="AH167" i="127"/>
  <c r="AH168" i="127"/>
  <c r="M131" i="156"/>
  <c r="M163" i="156"/>
  <c r="X37" i="127"/>
  <c r="M479" i="112"/>
  <c r="M571" i="112"/>
  <c r="X47" i="127"/>
  <c r="M360" i="39"/>
  <c r="M469" i="39"/>
  <c r="X57" i="127"/>
  <c r="X71" i="127"/>
  <c r="X155" i="127"/>
  <c r="AF162" i="127" a="1"/>
  <c r="AF162" i="127"/>
  <c r="AF163" i="127" a="1"/>
  <c r="AF163" i="127"/>
  <c r="AF164" i="127" a="1"/>
  <c r="AF165" i="127" a="1"/>
  <c r="AF166" i="127" a="1"/>
  <c r="AF167" i="127" a="1"/>
  <c r="AF164" i="127"/>
  <c r="AF165" i="127"/>
  <c r="AF166" i="127"/>
  <c r="AF167" i="127"/>
  <c r="AF168" i="127"/>
  <c r="AI74" i="127"/>
  <c r="AI162" i="127" a="1"/>
  <c r="AI162" i="127"/>
  <c r="AI163" i="127" a="1"/>
  <c r="AI163" i="127"/>
  <c r="AI164" i="127" a="1"/>
  <c r="AI165" i="127" a="1"/>
  <c r="AI166" i="127" a="1"/>
  <c r="AI167" i="127" a="1"/>
  <c r="AI164" i="127"/>
  <c r="AI165" i="127"/>
  <c r="AI166" i="127"/>
  <c r="AI167" i="127"/>
  <c r="AI168" i="127"/>
  <c r="AI84" i="127"/>
  <c r="AT155" i="127"/>
  <c r="AT84" i="127"/>
  <c r="AT162" i="127" a="1"/>
  <c r="AT162" i="127"/>
  <c r="AT163" i="127" a="1"/>
  <c r="AT163" i="127"/>
  <c r="AT164" i="127" a="1"/>
  <c r="AT165" i="127" a="1"/>
  <c r="AT166" i="127" a="1"/>
  <c r="AT167" i="127" a="1"/>
  <c r="AT164" i="127"/>
  <c r="AT165" i="127"/>
  <c r="AT166" i="127"/>
  <c r="AT167" i="127"/>
  <c r="AT168" i="127"/>
  <c r="X74" i="127"/>
  <c r="X162" i="127" a="1"/>
  <c r="X162" i="127"/>
  <c r="X163" i="127" a="1"/>
  <c r="X163" i="127"/>
  <c r="X164" i="127" a="1"/>
  <c r="X165" i="127" a="1"/>
  <c r="X166" i="127" a="1"/>
  <c r="X167" i="127" a="1"/>
  <c r="X164" i="127"/>
  <c r="X165" i="127"/>
  <c r="X166" i="127"/>
  <c r="X167" i="127"/>
  <c r="X168" i="127"/>
  <c r="X84" i="127"/>
  <c r="G131" i="156"/>
  <c r="G163" i="156"/>
  <c r="R37" i="127"/>
  <c r="G479" i="112"/>
  <c r="G571" i="112"/>
  <c r="R47" i="127"/>
  <c r="G360" i="39"/>
  <c r="G469" i="39"/>
  <c r="R57" i="127"/>
  <c r="R71" i="127"/>
  <c r="R155" i="127"/>
  <c r="G481" i="112"/>
  <c r="G573" i="112"/>
  <c r="AN47" i="127"/>
  <c r="G362" i="39"/>
  <c r="G471" i="39"/>
  <c r="AN57" i="127"/>
  <c r="AN71" i="127"/>
  <c r="AN155" i="127"/>
  <c r="G132" i="156"/>
  <c r="G164" i="156"/>
  <c r="AC37" i="127"/>
  <c r="G480" i="112"/>
  <c r="G572" i="112"/>
  <c r="AC47" i="127"/>
  <c r="G361" i="39"/>
  <c r="G470" i="39"/>
  <c r="AC57" i="127"/>
  <c r="AC71" i="127"/>
  <c r="AC155" i="127"/>
  <c r="H131" i="156"/>
  <c r="H163" i="156"/>
  <c r="S37" i="127"/>
  <c r="H479" i="112"/>
  <c r="H571" i="112"/>
  <c r="S47" i="127"/>
  <c r="H360" i="39"/>
  <c r="H469" i="39"/>
  <c r="S57" i="127"/>
  <c r="S162" i="127" a="1"/>
  <c r="S162" i="127"/>
  <c r="S163" i="127" a="1"/>
  <c r="S163" i="127"/>
  <c r="S164" i="127" a="1"/>
  <c r="S165" i="127" a="1"/>
  <c r="S166" i="127" a="1"/>
  <c r="S167" i="127" a="1"/>
  <c r="S164" i="127"/>
  <c r="S165" i="127"/>
  <c r="S166" i="127"/>
  <c r="S167" i="127"/>
  <c r="S168" i="127"/>
  <c r="S71" i="127"/>
  <c r="S84" i="127"/>
  <c r="S74" i="127"/>
  <c r="S155" i="127"/>
  <c r="AN162" i="127" a="1"/>
  <c r="AN162" i="127"/>
  <c r="AN163" i="127" a="1"/>
  <c r="AN163" i="127"/>
  <c r="AN164" i="127" a="1"/>
  <c r="AN165" i="127" a="1"/>
  <c r="AN166" i="127" a="1"/>
  <c r="AN167" i="127" a="1"/>
  <c r="AN164" i="127"/>
  <c r="AN165" i="127"/>
  <c r="AN166" i="127"/>
  <c r="AN167" i="127"/>
  <c r="AN168" i="127"/>
  <c r="AN74" i="127"/>
  <c r="AN84" i="127"/>
  <c r="AC74" i="127"/>
  <c r="AC84" i="127"/>
  <c r="AC162" i="127" a="1"/>
  <c r="AC162" i="127"/>
  <c r="AC163" i="127" a="1"/>
  <c r="AC163" i="127"/>
  <c r="AC164" i="127" a="1"/>
  <c r="AC165" i="127" a="1"/>
  <c r="AC166" i="127" a="1"/>
  <c r="AC167" i="127" a="1"/>
  <c r="AC164" i="127"/>
  <c r="AC165" i="127"/>
  <c r="AC166" i="127"/>
  <c r="AC167" i="127"/>
  <c r="AC168" i="127"/>
  <c r="H481" i="112"/>
  <c r="H573" i="112"/>
  <c r="AO47" i="127"/>
  <c r="H362" i="39"/>
  <c r="H471" i="39"/>
  <c r="AO57" i="127"/>
  <c r="AO71" i="127"/>
  <c r="AO155" i="127"/>
  <c r="AO84" i="127"/>
  <c r="AO74" i="127"/>
  <c r="AO162" i="127" a="1"/>
  <c r="AO162" i="127"/>
  <c r="AO163" i="127" a="1"/>
  <c r="AO163" i="127"/>
  <c r="AO164" i="127" a="1"/>
  <c r="AO165" i="127" a="1"/>
  <c r="AO166" i="127" a="1"/>
  <c r="AO167" i="127" a="1"/>
  <c r="AO164" i="127"/>
  <c r="AO165" i="127"/>
  <c r="AO166" i="127"/>
  <c r="AO167" i="127"/>
  <c r="AO168" i="127"/>
  <c r="H132" i="156"/>
  <c r="H164" i="156"/>
  <c r="AD37" i="127"/>
  <c r="H480" i="112"/>
  <c r="H572" i="112"/>
  <c r="AD47" i="127"/>
  <c r="H361" i="39"/>
  <c r="H470" i="39"/>
  <c r="AD57" i="127"/>
  <c r="AD71" i="127"/>
  <c r="AD155" i="127"/>
  <c r="AD74" i="127"/>
  <c r="AD84" i="127"/>
  <c r="AD162" i="127" a="1"/>
  <c r="AD162" i="127"/>
  <c r="AD163" i="127" a="1"/>
  <c r="AD163" i="127"/>
  <c r="AD164" i="127" a="1"/>
  <c r="AD165" i="127" a="1"/>
  <c r="AD166" i="127" a="1"/>
  <c r="AD167" i="127" a="1"/>
  <c r="AD164" i="127"/>
  <c r="AD165" i="127"/>
  <c r="AD166" i="127"/>
  <c r="AD167" i="127"/>
  <c r="AD168" i="127"/>
  <c r="R84" i="127"/>
  <c r="R74" i="127"/>
  <c r="R162" i="127" a="1"/>
  <c r="R162" i="127"/>
  <c r="R163" i="127" a="1"/>
  <c r="R163" i="127"/>
  <c r="R164" i="127" a="1"/>
  <c r="R165" i="127" a="1"/>
  <c r="R166" i="127" a="1"/>
  <c r="R167" i="127" a="1"/>
  <c r="R164" i="127"/>
  <c r="R165" i="127"/>
  <c r="R166" i="127"/>
  <c r="R167" i="127"/>
  <c r="R168" i="127"/>
  <c r="F131" i="156"/>
  <c r="F163" i="156"/>
  <c r="Q37" i="127"/>
  <c r="F479" i="112"/>
  <c r="F571" i="112"/>
  <c r="Q47" i="127"/>
  <c r="F360" i="39"/>
  <c r="F469" i="39"/>
  <c r="Q57" i="127"/>
  <c r="Q71" i="127"/>
  <c r="Q155" i="127"/>
  <c r="Q74" i="127"/>
  <c r="Q84" i="127"/>
  <c r="Q162" i="127" a="1"/>
  <c r="Q162" i="127"/>
  <c r="Q163" i="127" a="1"/>
  <c r="Q163" i="127"/>
  <c r="Q164" i="127" a="1"/>
  <c r="Q165" i="127" a="1"/>
  <c r="Q166" i="127" a="1"/>
  <c r="Q167" i="127" a="1"/>
  <c r="Q164" i="127"/>
  <c r="Q165" i="127"/>
  <c r="Q166" i="127"/>
  <c r="Q167" i="127"/>
  <c r="Q168" i="127"/>
  <c r="F130" i="156"/>
  <c r="F162" i="156"/>
  <c r="F37" i="127"/>
  <c r="F477" i="112"/>
  <c r="F478" i="112"/>
  <c r="F570" i="112"/>
  <c r="F47" i="127"/>
  <c r="F359" i="39"/>
  <c r="F468" i="39"/>
  <c r="F57" i="127"/>
  <c r="F71" i="127"/>
  <c r="F74" i="127"/>
  <c r="F155" i="127"/>
  <c r="F80" i="127"/>
  <c r="F81" i="127"/>
  <c r="F83" i="127"/>
  <c r="F84" i="127"/>
  <c r="F162" i="127" a="1"/>
  <c r="F162" i="127"/>
  <c r="F163" i="127" a="1"/>
  <c r="F163" i="127"/>
  <c r="F164" i="127" a="1"/>
  <c r="F165" i="127" a="1"/>
  <c r="F166" i="127" a="1"/>
  <c r="F167" i="127" a="1"/>
  <c r="F164" i="127"/>
  <c r="F165" i="127"/>
  <c r="F166" i="127"/>
  <c r="F167" i="127"/>
  <c r="F168" i="127"/>
  <c r="G478" i="112"/>
  <c r="G130" i="156"/>
  <c r="G162" i="156"/>
  <c r="G37" i="127"/>
  <c r="G477" i="112"/>
  <c r="G570" i="112"/>
  <c r="G47" i="127"/>
  <c r="G359" i="39"/>
  <c r="G468" i="39"/>
  <c r="G57" i="127"/>
  <c r="G163" i="127" a="1"/>
  <c r="G163" i="127"/>
  <c r="G182" i="127"/>
  <c r="G164" i="127" a="1"/>
  <c r="G164" i="127"/>
  <c r="G183" i="127"/>
  <c r="G165" i="127" a="1"/>
  <c r="G165" i="127"/>
  <c r="G184" i="127"/>
  <c r="G166" i="127" a="1"/>
  <c r="G166" i="127"/>
  <c r="G185" i="127"/>
  <c r="G167" i="127" a="1"/>
  <c r="G167" i="127"/>
  <c r="G186" i="127"/>
  <c r="R182" i="127"/>
  <c r="R183" i="127"/>
  <c r="R184" i="127"/>
  <c r="R185" i="127"/>
  <c r="R186" i="127"/>
  <c r="R181" i="127"/>
  <c r="R187" i="127"/>
  <c r="G192" i="127"/>
  <c r="AC182" i="127"/>
  <c r="AC183" i="127"/>
  <c r="AC184" i="127"/>
  <c r="AC185" i="127"/>
  <c r="AC186" i="127"/>
  <c r="AC181" i="127"/>
  <c r="AC187" i="127"/>
  <c r="G193" i="127"/>
  <c r="AN182" i="127"/>
  <c r="AN183" i="127"/>
  <c r="AN184" i="127"/>
  <c r="AN185" i="127"/>
  <c r="AN186" i="127"/>
  <c r="AN181" i="127"/>
  <c r="AN187" i="127"/>
  <c r="G194" i="127"/>
  <c r="G162" i="127" a="1"/>
  <c r="G162" i="127"/>
  <c r="G181" i="127"/>
  <c r="G187" i="127"/>
  <c r="G191" i="127"/>
  <c r="G195" i="127"/>
  <c r="H359" i="39"/>
  <c r="H468" i="39"/>
  <c r="H57" i="127"/>
  <c r="H81" i="127"/>
  <c r="H100" i="127"/>
  <c r="H478" i="112"/>
  <c r="H477" i="112"/>
  <c r="H570" i="112"/>
  <c r="H47" i="127"/>
  <c r="H83" i="127"/>
  <c r="H102" i="127"/>
  <c r="S81" i="127"/>
  <c r="S100" i="127"/>
  <c r="S83" i="127"/>
  <c r="S102" i="127"/>
  <c r="S80" i="127"/>
  <c r="S99" i="127"/>
  <c r="S103" i="127"/>
  <c r="H108" i="127"/>
  <c r="AD81" i="127"/>
  <c r="AD100" i="127"/>
  <c r="AD83" i="127"/>
  <c r="AD102" i="127"/>
  <c r="AD80" i="127"/>
  <c r="AD99" i="127"/>
  <c r="AD103" i="127"/>
  <c r="H109" i="127"/>
  <c r="AO83" i="127"/>
  <c r="AO102" i="127"/>
  <c r="AO81" i="127"/>
  <c r="AO100" i="127"/>
  <c r="AO103" i="127"/>
  <c r="H110" i="127"/>
  <c r="H130" i="156"/>
  <c r="H162" i="156"/>
  <c r="H37" i="127"/>
  <c r="H80" i="127"/>
  <c r="H99" i="127"/>
  <c r="H103" i="127"/>
  <c r="H107" i="127"/>
  <c r="H111" i="127"/>
  <c r="H163" i="127" a="1"/>
  <c r="H163" i="127"/>
  <c r="H182" i="127"/>
  <c r="H164" i="127" a="1"/>
  <c r="H164" i="127"/>
  <c r="H183" i="127"/>
  <c r="H165" i="127" a="1"/>
  <c r="H165" i="127"/>
  <c r="H184" i="127"/>
  <c r="H166" i="127" a="1"/>
  <c r="H166" i="127"/>
  <c r="H185" i="127"/>
  <c r="H167" i="127" a="1"/>
  <c r="H167" i="127"/>
  <c r="H186" i="127"/>
  <c r="S182" i="127"/>
  <c r="S183" i="127"/>
  <c r="S184" i="127"/>
  <c r="S185" i="127"/>
  <c r="S186" i="127"/>
  <c r="S181" i="127"/>
  <c r="S187" i="127"/>
  <c r="H192" i="127"/>
  <c r="AD182" i="127"/>
  <c r="AD183" i="127"/>
  <c r="AD184" i="127"/>
  <c r="AD185" i="127"/>
  <c r="AD186" i="127"/>
  <c r="AD181" i="127"/>
  <c r="AD187" i="127"/>
  <c r="H193" i="127"/>
  <c r="AO182" i="127"/>
  <c r="AO183" i="127"/>
  <c r="AO184" i="127"/>
  <c r="AO185" i="127"/>
  <c r="AO186" i="127"/>
  <c r="AO181" i="127"/>
  <c r="AO187" i="127"/>
  <c r="H194" i="127"/>
  <c r="H162" i="127" a="1"/>
  <c r="H162" i="127"/>
  <c r="H181" i="127"/>
  <c r="H187" i="127"/>
  <c r="H191" i="127"/>
  <c r="H195" i="127"/>
  <c r="G81" i="127"/>
  <c r="G100" i="127"/>
  <c r="G83" i="127"/>
  <c r="G102" i="127"/>
  <c r="R81" i="127"/>
  <c r="R100" i="127"/>
  <c r="R83" i="127"/>
  <c r="R102" i="127"/>
  <c r="R80" i="127"/>
  <c r="R99" i="127"/>
  <c r="R103" i="127"/>
  <c r="G108" i="127"/>
  <c r="AC81" i="127"/>
  <c r="AC100" i="127"/>
  <c r="AC83" i="127"/>
  <c r="AC102" i="127"/>
  <c r="AC80" i="127"/>
  <c r="AC99" i="127"/>
  <c r="AC103" i="127"/>
  <c r="G109" i="127"/>
  <c r="AN83" i="127"/>
  <c r="AN102" i="127"/>
  <c r="AN81" i="127"/>
  <c r="AN100" i="127"/>
  <c r="AN103" i="127"/>
  <c r="G110" i="127"/>
  <c r="G80" i="127"/>
  <c r="G99" i="127"/>
  <c r="G103" i="127"/>
  <c r="G107" i="127"/>
  <c r="G111" i="127"/>
  <c r="G168" i="127"/>
  <c r="G84" i="127"/>
  <c r="G71" i="127"/>
  <c r="G155" i="127"/>
  <c r="H168" i="127"/>
  <c r="H84" i="127"/>
  <c r="H71" i="127"/>
  <c r="H155" i="127"/>
  <c r="H74" i="127"/>
  <c r="G74" i="127"/>
  <c r="M478" i="112"/>
  <c r="M130" i="156"/>
  <c r="M162" i="156"/>
  <c r="M37" i="127"/>
  <c r="M477" i="112"/>
  <c r="M570" i="112"/>
  <c r="M47" i="127"/>
  <c r="M359" i="39"/>
  <c r="M468" i="39"/>
  <c r="M57" i="127"/>
  <c r="M163" i="127" a="1"/>
  <c r="M163" i="127"/>
  <c r="M182" i="127"/>
  <c r="M164" i="127" a="1"/>
  <c r="M164" i="127"/>
  <c r="M183" i="127"/>
  <c r="M165" i="127" a="1"/>
  <c r="M165" i="127"/>
  <c r="M184" i="127"/>
  <c r="M166" i="127" a="1"/>
  <c r="M166" i="127"/>
  <c r="M185" i="127"/>
  <c r="M167" i="127" a="1"/>
  <c r="M167" i="127"/>
  <c r="M186" i="127"/>
  <c r="X182" i="127"/>
  <c r="X183" i="127"/>
  <c r="X184" i="127"/>
  <c r="X185" i="127"/>
  <c r="X186" i="127"/>
  <c r="X181" i="127"/>
  <c r="X187" i="127"/>
  <c r="M192" i="127"/>
  <c r="AI182" i="127"/>
  <c r="AI183" i="127"/>
  <c r="AI184" i="127"/>
  <c r="AI185" i="127"/>
  <c r="AI186" i="127"/>
  <c r="AI181" i="127"/>
  <c r="AI187" i="127"/>
  <c r="M193" i="127"/>
  <c r="AT182" i="127"/>
  <c r="AT183" i="127"/>
  <c r="AT184" i="127"/>
  <c r="AT185" i="127"/>
  <c r="AT186" i="127"/>
  <c r="AT181" i="127"/>
  <c r="AT187" i="127"/>
  <c r="M194" i="127"/>
  <c r="M162" i="127" a="1"/>
  <c r="M162" i="127"/>
  <c r="M181" i="127"/>
  <c r="M187" i="127"/>
  <c r="M191" i="127"/>
  <c r="M195" i="127"/>
  <c r="M81" i="127"/>
  <c r="M100" i="127"/>
  <c r="M83" i="127"/>
  <c r="M102" i="127"/>
  <c r="X81" i="127"/>
  <c r="X100" i="127"/>
  <c r="X83" i="127"/>
  <c r="X102" i="127"/>
  <c r="X80" i="127"/>
  <c r="X99" i="127"/>
  <c r="X103" i="127"/>
  <c r="M108" i="127"/>
  <c r="AI81" i="127"/>
  <c r="AI100" i="127"/>
  <c r="AI83" i="127"/>
  <c r="AI102" i="127"/>
  <c r="AI80" i="127"/>
  <c r="AI99" i="127"/>
  <c r="AI103" i="127"/>
  <c r="M109" i="127"/>
  <c r="AT83" i="127"/>
  <c r="AT102" i="127"/>
  <c r="AT81" i="127"/>
  <c r="AT100" i="127"/>
  <c r="AT103" i="127"/>
  <c r="M110" i="127"/>
  <c r="M80" i="127"/>
  <c r="M99" i="127"/>
  <c r="M103" i="127"/>
  <c r="M107" i="127"/>
  <c r="M111" i="127"/>
  <c r="M71" i="127"/>
  <c r="M155" i="127"/>
  <c r="M168" i="127"/>
  <c r="L478" i="112"/>
  <c r="L130" i="156"/>
  <c r="L162" i="156"/>
  <c r="L37" i="127"/>
  <c r="L477" i="112"/>
  <c r="L570" i="112"/>
  <c r="L47" i="127"/>
  <c r="L359" i="39"/>
  <c r="L468" i="39"/>
  <c r="L57" i="127"/>
  <c r="L163" i="127" a="1"/>
  <c r="L163" i="127"/>
  <c r="L182" i="127"/>
  <c r="L164" i="127" a="1"/>
  <c r="L164" i="127"/>
  <c r="L183" i="127"/>
  <c r="L165" i="127" a="1"/>
  <c r="L165" i="127"/>
  <c r="L184" i="127"/>
  <c r="L166" i="127" a="1"/>
  <c r="L166" i="127"/>
  <c r="L185" i="127"/>
  <c r="L167" i="127" a="1"/>
  <c r="L167" i="127"/>
  <c r="L186" i="127"/>
  <c r="W182" i="127"/>
  <c r="W183" i="127"/>
  <c r="W184" i="127"/>
  <c r="W185" i="127"/>
  <c r="W186" i="127"/>
  <c r="W181" i="127"/>
  <c r="W187" i="127"/>
  <c r="L192" i="127"/>
  <c r="AH182" i="127"/>
  <c r="AH183" i="127"/>
  <c r="AH184" i="127"/>
  <c r="AH185" i="127"/>
  <c r="AH186" i="127"/>
  <c r="AH181" i="127"/>
  <c r="AH187" i="127"/>
  <c r="L193" i="127"/>
  <c r="AS182" i="127"/>
  <c r="AS183" i="127"/>
  <c r="AS184" i="127"/>
  <c r="AS185" i="127"/>
  <c r="AS186" i="127"/>
  <c r="AS181" i="127"/>
  <c r="AS187" i="127"/>
  <c r="L194" i="127"/>
  <c r="L162" i="127" a="1"/>
  <c r="L162" i="127"/>
  <c r="L181" i="127"/>
  <c r="L187" i="127"/>
  <c r="L191" i="127"/>
  <c r="L195" i="127"/>
  <c r="M84" i="127"/>
  <c r="J478" i="112"/>
  <c r="J130" i="156"/>
  <c r="J162" i="156"/>
  <c r="J37" i="127"/>
  <c r="J477" i="112"/>
  <c r="J570" i="112"/>
  <c r="J47" i="127"/>
  <c r="J359" i="39"/>
  <c r="J468" i="39"/>
  <c r="J57" i="127"/>
  <c r="J163" i="127" a="1"/>
  <c r="J163" i="127"/>
  <c r="J182" i="127"/>
  <c r="J164" i="127" a="1"/>
  <c r="J164" i="127"/>
  <c r="J183" i="127"/>
  <c r="J165" i="127" a="1"/>
  <c r="J165" i="127"/>
  <c r="J184" i="127"/>
  <c r="J166" i="127" a="1"/>
  <c r="J166" i="127"/>
  <c r="J185" i="127"/>
  <c r="J167" i="127" a="1"/>
  <c r="J167" i="127"/>
  <c r="J186" i="127"/>
  <c r="U182" i="127"/>
  <c r="U183" i="127"/>
  <c r="U184" i="127"/>
  <c r="U185" i="127"/>
  <c r="U186" i="127"/>
  <c r="U181" i="127"/>
  <c r="U187" i="127"/>
  <c r="J192" i="127"/>
  <c r="AF182" i="127"/>
  <c r="AF183" i="127"/>
  <c r="AF184" i="127"/>
  <c r="AF185" i="127"/>
  <c r="AF186" i="127"/>
  <c r="AF181" i="127"/>
  <c r="AF187" i="127"/>
  <c r="J193" i="127"/>
  <c r="AQ182" i="127"/>
  <c r="AQ183" i="127"/>
  <c r="AQ184" i="127"/>
  <c r="AQ185" i="127"/>
  <c r="AQ186" i="127"/>
  <c r="AQ181" i="127"/>
  <c r="AQ187" i="127"/>
  <c r="J194" i="127"/>
  <c r="J162" i="127" a="1"/>
  <c r="J162" i="127"/>
  <c r="J181" i="127"/>
  <c r="J187" i="127"/>
  <c r="J191" i="127"/>
  <c r="J195" i="127"/>
  <c r="J81" i="127"/>
  <c r="J100" i="127"/>
  <c r="J83" i="127"/>
  <c r="J102" i="127"/>
  <c r="U81" i="127"/>
  <c r="U100" i="127"/>
  <c r="U83" i="127"/>
  <c r="U102" i="127"/>
  <c r="U80" i="127"/>
  <c r="U99" i="127"/>
  <c r="U103" i="127"/>
  <c r="J108" i="127"/>
  <c r="AF81" i="127"/>
  <c r="AF100" i="127"/>
  <c r="AF83" i="127"/>
  <c r="AF102" i="127"/>
  <c r="AF80" i="127"/>
  <c r="AF99" i="127"/>
  <c r="AF103" i="127"/>
  <c r="J109" i="127"/>
  <c r="AQ83" i="127"/>
  <c r="AQ102" i="127"/>
  <c r="AQ81" i="127"/>
  <c r="AQ100" i="127"/>
  <c r="AQ103" i="127"/>
  <c r="J110" i="127"/>
  <c r="J80" i="127"/>
  <c r="J99" i="127"/>
  <c r="J103" i="127"/>
  <c r="J107" i="127"/>
  <c r="J111" i="127"/>
  <c r="M74" i="127"/>
  <c r="L168" i="127"/>
  <c r="L71" i="127"/>
  <c r="L155" i="127"/>
  <c r="L81" i="127"/>
  <c r="L100" i="127"/>
  <c r="L83" i="127"/>
  <c r="L102" i="127"/>
  <c r="W81" i="127"/>
  <c r="W100" i="127"/>
  <c r="W83" i="127"/>
  <c r="W102" i="127"/>
  <c r="W80" i="127"/>
  <c r="W99" i="127"/>
  <c r="W103" i="127"/>
  <c r="L108" i="127"/>
  <c r="AH81" i="127"/>
  <c r="AH100" i="127"/>
  <c r="AH83" i="127"/>
  <c r="AH102" i="127"/>
  <c r="AH80" i="127"/>
  <c r="AH99" i="127"/>
  <c r="AH103" i="127"/>
  <c r="L109" i="127"/>
  <c r="AS83" i="127"/>
  <c r="AS102" i="127"/>
  <c r="AS81" i="127"/>
  <c r="AS100" i="127"/>
  <c r="AS103" i="127"/>
  <c r="L110" i="127"/>
  <c r="L80" i="127"/>
  <c r="L99" i="127"/>
  <c r="L103" i="127"/>
  <c r="L107" i="127"/>
  <c r="L111" i="127"/>
  <c r="J168" i="127"/>
  <c r="J71" i="127"/>
  <c r="J155" i="127"/>
  <c r="J84" i="127"/>
  <c r="L74" i="127"/>
  <c r="L84" i="127"/>
  <c r="J74" i="127"/>
  <c r="K478" i="112"/>
  <c r="K130" i="156"/>
  <c r="K162" i="156"/>
  <c r="K37" i="127"/>
  <c r="K477" i="112"/>
  <c r="K570" i="112"/>
  <c r="K47" i="127"/>
  <c r="K359" i="39"/>
  <c r="K468" i="39"/>
  <c r="K57" i="127"/>
  <c r="K163" i="127" a="1"/>
  <c r="K163" i="127"/>
  <c r="K182" i="127"/>
  <c r="K164" i="127" a="1"/>
  <c r="K164" i="127"/>
  <c r="K183" i="127"/>
  <c r="K165" i="127" a="1"/>
  <c r="K165" i="127"/>
  <c r="K184" i="127"/>
  <c r="K166" i="127" a="1"/>
  <c r="K166" i="127"/>
  <c r="K185" i="127"/>
  <c r="K167" i="127" a="1"/>
  <c r="K167" i="127"/>
  <c r="K186" i="127"/>
  <c r="V182" i="127"/>
  <c r="V183" i="127"/>
  <c r="V184" i="127"/>
  <c r="V185" i="127"/>
  <c r="V186" i="127"/>
  <c r="V181" i="127"/>
  <c r="V187" i="127"/>
  <c r="K192" i="127"/>
  <c r="AG182" i="127"/>
  <c r="AG183" i="127"/>
  <c r="AG184" i="127"/>
  <c r="AG185" i="127"/>
  <c r="AG186" i="127"/>
  <c r="AG181" i="127"/>
  <c r="AG187" i="127"/>
  <c r="K193" i="127"/>
  <c r="AR182" i="127"/>
  <c r="AR183" i="127"/>
  <c r="AR184" i="127"/>
  <c r="AR185" i="127"/>
  <c r="AR186" i="127"/>
  <c r="AR181" i="127"/>
  <c r="AR187" i="127"/>
  <c r="K194" i="127"/>
  <c r="K162" i="127" a="1"/>
  <c r="K162" i="127"/>
  <c r="K181" i="127"/>
  <c r="K187" i="127"/>
  <c r="K191" i="127"/>
  <c r="K195" i="127"/>
  <c r="K81" i="127"/>
  <c r="K100" i="127"/>
  <c r="K83" i="127"/>
  <c r="K102" i="127"/>
  <c r="V81" i="127"/>
  <c r="V100" i="127"/>
  <c r="V83" i="127"/>
  <c r="V102" i="127"/>
  <c r="V80" i="127"/>
  <c r="V99" i="127"/>
  <c r="V103" i="127"/>
  <c r="K108" i="127"/>
  <c r="AG81" i="127"/>
  <c r="AG100" i="127"/>
  <c r="AG83" i="127"/>
  <c r="AG102" i="127"/>
  <c r="AG80" i="127"/>
  <c r="AG99" i="127"/>
  <c r="AG103" i="127"/>
  <c r="K109" i="127"/>
  <c r="AR83" i="127"/>
  <c r="AR102" i="127"/>
  <c r="AR81" i="127"/>
  <c r="AR100" i="127"/>
  <c r="AR103" i="127"/>
  <c r="K110" i="127"/>
  <c r="K80" i="127"/>
  <c r="K99" i="127"/>
  <c r="K103" i="127"/>
  <c r="K107" i="127"/>
  <c r="K111" i="127"/>
  <c r="I478" i="112"/>
  <c r="I130" i="156"/>
  <c r="I162" i="156"/>
  <c r="I37" i="127"/>
  <c r="I477" i="112"/>
  <c r="I570" i="112"/>
  <c r="I47" i="127"/>
  <c r="I359" i="39"/>
  <c r="I468" i="39"/>
  <c r="I57" i="127"/>
  <c r="I163" i="127" a="1"/>
  <c r="I163" i="127"/>
  <c r="I182" i="127"/>
  <c r="I164" i="127" a="1"/>
  <c r="I164" i="127"/>
  <c r="I183" i="127"/>
  <c r="I165" i="127" a="1"/>
  <c r="I165" i="127"/>
  <c r="I184" i="127"/>
  <c r="I166" i="127" a="1"/>
  <c r="I166" i="127"/>
  <c r="I185" i="127"/>
  <c r="I167" i="127" a="1"/>
  <c r="I167" i="127"/>
  <c r="I186" i="127"/>
  <c r="T182" i="127"/>
  <c r="T183" i="127"/>
  <c r="T184" i="127"/>
  <c r="T185" i="127"/>
  <c r="T186" i="127"/>
  <c r="T181" i="127"/>
  <c r="T187" i="127"/>
  <c r="I192" i="127"/>
  <c r="AE182" i="127"/>
  <c r="AE183" i="127"/>
  <c r="AE184" i="127"/>
  <c r="AE185" i="127"/>
  <c r="AE186" i="127"/>
  <c r="AE181" i="127"/>
  <c r="AE187" i="127"/>
  <c r="I193" i="127"/>
  <c r="AP182" i="127"/>
  <c r="AP183" i="127"/>
  <c r="AP184" i="127"/>
  <c r="AP185" i="127"/>
  <c r="AP186" i="127"/>
  <c r="AP181" i="127"/>
  <c r="AP187" i="127"/>
  <c r="I194" i="127"/>
  <c r="I162" i="127" a="1"/>
  <c r="I162" i="127"/>
  <c r="I181" i="127"/>
  <c r="I187" i="127"/>
  <c r="I191" i="127"/>
  <c r="I195" i="127"/>
  <c r="I81" i="127"/>
  <c r="I100" i="127"/>
  <c r="I83" i="127"/>
  <c r="I102" i="127"/>
  <c r="T81" i="127"/>
  <c r="T100" i="127"/>
  <c r="T83" i="127"/>
  <c r="T102" i="127"/>
  <c r="T80" i="127"/>
  <c r="T99" i="127"/>
  <c r="T103" i="127"/>
  <c r="I108" i="127"/>
  <c r="AE81" i="127"/>
  <c r="AE100" i="127"/>
  <c r="AE83" i="127"/>
  <c r="AE102" i="127"/>
  <c r="AE80" i="127"/>
  <c r="AE99" i="127"/>
  <c r="AE103" i="127"/>
  <c r="I109" i="127"/>
  <c r="AP83" i="127"/>
  <c r="AP102" i="127"/>
  <c r="AP81" i="127"/>
  <c r="AP100" i="127"/>
  <c r="AP103" i="127"/>
  <c r="I110" i="127"/>
  <c r="I80" i="127"/>
  <c r="I99" i="127"/>
  <c r="I103" i="127"/>
  <c r="I107" i="127"/>
  <c r="I111" i="127"/>
  <c r="I84" i="127"/>
  <c r="K168" i="127"/>
  <c r="K84" i="127"/>
  <c r="I168" i="127"/>
  <c r="K71" i="127"/>
  <c r="K155" i="127"/>
  <c r="I71" i="127"/>
  <c r="I155" i="127"/>
  <c r="I74" i="127"/>
  <c r="K74" i="127"/>
  <c r="N478" i="112"/>
  <c r="N130" i="156"/>
  <c r="N162" i="156"/>
  <c r="N37" i="127"/>
  <c r="N477" i="112"/>
  <c r="N570" i="112"/>
  <c r="N47" i="127"/>
  <c r="N359" i="39"/>
  <c r="N468" i="39"/>
  <c r="N57" i="127"/>
  <c r="N162" i="127" a="1"/>
  <c r="N162" i="127"/>
  <c r="N163" i="127" a="1"/>
  <c r="N163" i="127"/>
  <c r="N164" i="127" a="1"/>
  <c r="N165" i="127" a="1"/>
  <c r="N166" i="127" a="1"/>
  <c r="N167" i="127" a="1"/>
  <c r="N164" i="127"/>
  <c r="N165" i="127"/>
  <c r="N166" i="127"/>
  <c r="N167" i="127"/>
  <c r="N168" i="127"/>
  <c r="N71" i="127"/>
  <c r="N155" i="127"/>
  <c r="N80" i="127"/>
  <c r="N81" i="127"/>
  <c r="N83" i="127"/>
  <c r="N84" i="127"/>
  <c r="N74" i="127"/>
  <c r="F182" i="127"/>
  <c r="F183" i="127"/>
  <c r="F184" i="127"/>
  <c r="F185" i="127"/>
  <c r="F186" i="127"/>
  <c r="Q182" i="127"/>
  <c r="Q183" i="127"/>
  <c r="Q184" i="127"/>
  <c r="Q185" i="127"/>
  <c r="Q186" i="127"/>
  <c r="Q181" i="127"/>
  <c r="Q187" i="127"/>
  <c r="F192" i="127"/>
  <c r="F132" i="156"/>
  <c r="F164" i="156"/>
  <c r="AB37" i="127"/>
  <c r="F480" i="112"/>
  <c r="F572" i="112"/>
  <c r="AB47" i="127"/>
  <c r="F361" i="39"/>
  <c r="F470" i="39"/>
  <c r="AB57" i="127"/>
  <c r="AB163" i="127" a="1"/>
  <c r="AB163" i="127"/>
  <c r="AB182" i="127"/>
  <c r="AB164" i="127" a="1"/>
  <c r="AB164" i="127"/>
  <c r="AB183" i="127"/>
  <c r="AB165" i="127" a="1"/>
  <c r="AB165" i="127"/>
  <c r="AB184" i="127"/>
  <c r="AB166" i="127" a="1"/>
  <c r="AB166" i="127"/>
  <c r="AB185" i="127"/>
  <c r="AB167" i="127" a="1"/>
  <c r="AB167" i="127"/>
  <c r="AB186" i="127"/>
  <c r="AB162" i="127" a="1"/>
  <c r="AB162" i="127"/>
  <c r="AB181" i="127"/>
  <c r="AB187" i="127"/>
  <c r="F193" i="127"/>
  <c r="F481" i="112"/>
  <c r="F573" i="112"/>
  <c r="AM47" i="127"/>
  <c r="F362" i="39"/>
  <c r="F471" i="39"/>
  <c r="AM57" i="127"/>
  <c r="AM163" i="127" a="1"/>
  <c r="AM163" i="127"/>
  <c r="AM182" i="127"/>
  <c r="AM164" i="127" a="1"/>
  <c r="AM164" i="127"/>
  <c r="AM183" i="127"/>
  <c r="AM165" i="127" a="1"/>
  <c r="AM165" i="127"/>
  <c r="AM184" i="127"/>
  <c r="AM166" i="127" a="1"/>
  <c r="AM166" i="127"/>
  <c r="AM185" i="127"/>
  <c r="AM167" i="127" a="1"/>
  <c r="AM167" i="127"/>
  <c r="AM186" i="127"/>
  <c r="AM162" i="127" a="1"/>
  <c r="AM162" i="127"/>
  <c r="AM181" i="127"/>
  <c r="AM187" i="127"/>
  <c r="F194" i="127"/>
  <c r="F181" i="127"/>
  <c r="F187" i="127"/>
  <c r="F191" i="127"/>
  <c r="F195" i="127"/>
  <c r="N100" i="127"/>
  <c r="N102" i="127"/>
  <c r="Y81" i="127"/>
  <c r="Y100" i="127"/>
  <c r="Y83" i="127"/>
  <c r="Y102" i="127"/>
  <c r="Y80" i="127"/>
  <c r="Y99" i="127"/>
  <c r="Y103" i="127"/>
  <c r="N108" i="127"/>
  <c r="AJ81" i="127"/>
  <c r="AJ100" i="127"/>
  <c r="AJ83" i="127"/>
  <c r="AJ102" i="127"/>
  <c r="AJ80" i="127"/>
  <c r="AJ99" i="127"/>
  <c r="AJ103" i="127"/>
  <c r="N109" i="127"/>
  <c r="AU83" i="127"/>
  <c r="AU102" i="127"/>
  <c r="AU81" i="127"/>
  <c r="AU100" i="127"/>
  <c r="AU103" i="127"/>
  <c r="N110" i="127"/>
  <c r="F100" i="127"/>
  <c r="F102" i="127"/>
  <c r="Q81" i="127"/>
  <c r="Q100" i="127"/>
  <c r="Q83" i="127"/>
  <c r="Q102" i="127"/>
  <c r="Q80" i="127"/>
  <c r="Q99" i="127"/>
  <c r="Q103" i="127"/>
  <c r="F108" i="127"/>
  <c r="AB81" i="127"/>
  <c r="AB100" i="127"/>
  <c r="AB83" i="127"/>
  <c r="AB102" i="127"/>
  <c r="AB80" i="127"/>
  <c r="AB99" i="127"/>
  <c r="AB103" i="127"/>
  <c r="F109" i="127"/>
  <c r="AM83" i="127"/>
  <c r="AM102" i="127"/>
  <c r="AM81" i="127"/>
  <c r="AM100" i="127"/>
  <c r="AM103" i="127"/>
  <c r="F110" i="127"/>
  <c r="F99" i="127"/>
  <c r="F103" i="127"/>
  <c r="F107" i="127"/>
  <c r="F111" i="127"/>
  <c r="N182" i="127"/>
  <c r="N183" i="127"/>
  <c r="N184" i="127"/>
  <c r="N185" i="127"/>
  <c r="N186" i="127"/>
  <c r="Y182" i="127"/>
  <c r="Y183" i="127"/>
  <c r="Y184" i="127"/>
  <c r="Y185" i="127"/>
  <c r="Y186" i="127"/>
  <c r="Y181" i="127"/>
  <c r="Y187" i="127"/>
  <c r="N192" i="127"/>
  <c r="AJ182" i="127"/>
  <c r="AJ183" i="127"/>
  <c r="AJ184" i="127"/>
  <c r="AJ185" i="127"/>
  <c r="AJ186" i="127"/>
  <c r="AJ181" i="127"/>
  <c r="AJ187" i="127"/>
  <c r="N193" i="127"/>
  <c r="AU182" i="127"/>
  <c r="AU183" i="127"/>
  <c r="AU184" i="127"/>
  <c r="AU185" i="127"/>
  <c r="AU186" i="127"/>
  <c r="AU181" i="127"/>
  <c r="AU187" i="127"/>
  <c r="N194" i="127"/>
  <c r="N181" i="127"/>
  <c r="N187" i="127"/>
  <c r="N191" i="127"/>
  <c r="N195" i="127"/>
  <c r="D4" i="127"/>
  <c r="D8" i="127"/>
  <c r="N99" i="127"/>
  <c r="N103" i="127"/>
  <c r="N107" i="127"/>
  <c r="N111" i="127"/>
  <c r="D3" i="127"/>
  <c r="E8" i="127"/>
  <c r="AM71" i="127"/>
  <c r="AM155" i="127"/>
  <c r="AB168" i="127"/>
  <c r="AM84" i="127"/>
  <c r="AM74" i="127"/>
  <c r="AM168" i="127"/>
  <c r="AB71" i="127"/>
  <c r="AB74" i="127"/>
  <c r="AB84" i="127"/>
  <c r="AB155" i="127"/>
  <c r="CD136" i="105"/>
  <c r="CQ136" i="105"/>
  <c r="AT136" i="105"/>
  <c r="CR136" i="105"/>
  <c r="CD160" i="105"/>
  <c r="CQ160" i="105"/>
  <c r="AT160" i="105"/>
  <c r="CR160" i="105"/>
  <c r="CD148" i="105"/>
  <c r="CQ148" i="105"/>
  <c r="AT148" i="105"/>
  <c r="CR148" i="105"/>
  <c r="CD148" i="123"/>
  <c r="CQ148" i="123"/>
  <c r="AT148" i="123"/>
  <c r="CR148" i="123"/>
  <c r="CD160" i="123"/>
  <c r="CQ160" i="123"/>
  <c r="AT160" i="123"/>
  <c r="CR160" i="123"/>
  <c r="CD136" i="123"/>
  <c r="CR136" i="123"/>
  <c r="F10" i="30" a="1"/>
  <c r="F10" i="30"/>
  <c r="F101" i="30"/>
  <c r="G10" i="30"/>
  <c r="H10" i="30"/>
  <c r="G101" i="30"/>
  <c r="I10" i="30"/>
  <c r="H101" i="30"/>
  <c r="J10" i="30"/>
  <c r="I101" i="30"/>
  <c r="K10" i="30"/>
  <c r="J101" i="30"/>
  <c r="L10" i="30"/>
  <c r="K101" i="30"/>
  <c r="M10" i="30"/>
  <c r="L101" i="30"/>
  <c r="N10" i="30"/>
  <c r="M101" i="30"/>
  <c r="G87" i="30"/>
  <c r="H87" i="30"/>
  <c r="I87" i="30"/>
  <c r="I107" i="30"/>
  <c r="I139" i="30"/>
  <c r="R21" i="105"/>
  <c r="H85" i="30"/>
  <c r="I85" i="30"/>
  <c r="I86" i="30"/>
  <c r="H105" i="30"/>
  <c r="I105" i="30"/>
  <c r="I106" i="30"/>
  <c r="I138" i="30"/>
  <c r="H21" i="105"/>
  <c r="BB21" i="105"/>
  <c r="F85" i="30"/>
  <c r="F86" i="30"/>
  <c r="F105" i="30"/>
  <c r="F106" i="30"/>
  <c r="F138" i="30"/>
  <c r="E21" i="105"/>
  <c r="AY21" i="105"/>
  <c r="G85" i="30"/>
  <c r="G86" i="30"/>
  <c r="G105" i="30"/>
  <c r="G106" i="30"/>
  <c r="G138" i="30"/>
  <c r="F21" i="105"/>
  <c r="AZ21" i="105"/>
  <c r="H86" i="30"/>
  <c r="H106" i="30"/>
  <c r="H138" i="30"/>
  <c r="G21" i="105"/>
  <c r="BA21" i="105"/>
  <c r="BL21" i="105"/>
  <c r="BV21" i="105"/>
  <c r="BV43" i="105"/>
  <c r="CI21" i="105"/>
  <c r="CI43" i="105"/>
  <c r="AL21" i="105"/>
  <c r="AL43" i="105"/>
  <c r="CI88" i="105"/>
  <c r="J87" i="30"/>
  <c r="K87" i="30"/>
  <c r="K107" i="30"/>
  <c r="K139" i="30"/>
  <c r="T21" i="105"/>
  <c r="J85" i="30"/>
  <c r="K85" i="30"/>
  <c r="K86" i="30"/>
  <c r="J105" i="30"/>
  <c r="K105" i="30"/>
  <c r="K106" i="30"/>
  <c r="K138" i="30"/>
  <c r="J21" i="105"/>
  <c r="BD21" i="105"/>
  <c r="J86" i="30"/>
  <c r="J106" i="30"/>
  <c r="J138" i="30"/>
  <c r="I21" i="105"/>
  <c r="BC21" i="105"/>
  <c r="BN21" i="105"/>
  <c r="BX21" i="105"/>
  <c r="BX43" i="105"/>
  <c r="CK21" i="105"/>
  <c r="CK43" i="105"/>
  <c r="AN21" i="105"/>
  <c r="AN43" i="105"/>
  <c r="CK88" i="105"/>
  <c r="L87" i="30"/>
  <c r="M87" i="30"/>
  <c r="M85" i="30"/>
  <c r="N86" i="30"/>
  <c r="M105" i="30"/>
  <c r="N106" i="30"/>
  <c r="N138" i="30"/>
  <c r="M21" i="105"/>
  <c r="BG21" i="105"/>
  <c r="L85" i="30"/>
  <c r="L86" i="30"/>
  <c r="L105" i="30"/>
  <c r="L106" i="30"/>
  <c r="L138" i="30"/>
  <c r="K21" i="105"/>
  <c r="BE21" i="105"/>
  <c r="M86" i="30"/>
  <c r="M106" i="30"/>
  <c r="M138" i="30"/>
  <c r="L21" i="105"/>
  <c r="BF21" i="105"/>
  <c r="BQ21" i="105"/>
  <c r="CA21" i="105"/>
  <c r="CA43" i="105"/>
  <c r="CN21" i="105"/>
  <c r="CN43" i="105"/>
  <c r="AQ21" i="105"/>
  <c r="AQ43" i="105"/>
  <c r="CN88" i="105"/>
  <c r="F87" i="30"/>
  <c r="H79" i="30"/>
  <c r="I79" i="30"/>
  <c r="I80" i="30"/>
  <c r="H99" i="30"/>
  <c r="I99" i="30"/>
  <c r="I100" i="30"/>
  <c r="I136" i="30"/>
  <c r="H65" i="105"/>
  <c r="I81" i="30"/>
  <c r="I137" i="30"/>
  <c r="R65" i="105"/>
  <c r="AL65" i="105"/>
  <c r="AL87" i="105"/>
  <c r="AL87" i="123"/>
  <c r="J79" i="30"/>
  <c r="K79" i="30"/>
  <c r="K80" i="30"/>
  <c r="J99" i="30"/>
  <c r="K99" i="30"/>
  <c r="K100" i="30"/>
  <c r="K136" i="30"/>
  <c r="J65" i="105"/>
  <c r="K81" i="30"/>
  <c r="K137" i="30"/>
  <c r="T65" i="105"/>
  <c r="AN65" i="105"/>
  <c r="AN87" i="105"/>
  <c r="AN87" i="123"/>
  <c r="M79" i="30"/>
  <c r="N80" i="30"/>
  <c r="M99" i="30"/>
  <c r="N100" i="30"/>
  <c r="N136" i="30"/>
  <c r="M65" i="105"/>
  <c r="AQ65" i="105"/>
  <c r="AQ87" i="105"/>
  <c r="AQ87" i="123"/>
  <c r="AN150" i="105"/>
  <c r="AN155" i="105"/>
  <c r="AN156" i="105"/>
  <c r="AL65" i="123"/>
  <c r="AL150" i="123"/>
  <c r="AL155" i="123"/>
  <c r="AL156" i="123"/>
  <c r="AL150" i="105"/>
  <c r="AL155" i="105"/>
  <c r="AL156" i="105"/>
  <c r="AN65" i="123"/>
  <c r="AN150" i="123"/>
  <c r="AN155" i="123"/>
  <c r="AN156" i="123"/>
  <c r="R150" i="105"/>
  <c r="R155" i="105"/>
  <c r="R87" i="105"/>
  <c r="R156" i="105"/>
  <c r="R87" i="123"/>
  <c r="R65" i="123"/>
  <c r="R150" i="123"/>
  <c r="R155" i="123"/>
  <c r="R156" i="123"/>
  <c r="T87" i="105"/>
  <c r="T87" i="123"/>
  <c r="T65" i="123"/>
  <c r="T150" i="123"/>
  <c r="T155" i="123"/>
  <c r="T156" i="123"/>
  <c r="T150" i="105"/>
  <c r="T155" i="105"/>
  <c r="T156" i="105"/>
  <c r="F81" i="30"/>
  <c r="F137" i="30"/>
  <c r="O65" i="105"/>
  <c r="F79" i="30"/>
  <c r="F80" i="30"/>
  <c r="F99" i="30"/>
  <c r="F100" i="30"/>
  <c r="F136" i="30"/>
  <c r="E65" i="105"/>
  <c r="AY65" i="105"/>
  <c r="BI65" i="105"/>
  <c r="BS65" i="105"/>
  <c r="BS65" i="123"/>
  <c r="BS150" i="123"/>
  <c r="BS155" i="123"/>
  <c r="BS87" i="105"/>
  <c r="BS87" i="123"/>
  <c r="BS156" i="123"/>
  <c r="BS150" i="105"/>
  <c r="BS155" i="105"/>
  <c r="BS156" i="105"/>
  <c r="AI65" i="105"/>
  <c r="AI65" i="123"/>
  <c r="AI150" i="123"/>
  <c r="AI155" i="123"/>
  <c r="AI87" i="105"/>
  <c r="AI87" i="123"/>
  <c r="AI156" i="123"/>
  <c r="AI150" i="105"/>
  <c r="AI155" i="105"/>
  <c r="AI156" i="105"/>
  <c r="AQ150" i="105"/>
  <c r="AQ155" i="105"/>
  <c r="AQ156" i="105"/>
  <c r="AQ65" i="123"/>
  <c r="AQ150" i="123"/>
  <c r="AQ155" i="123"/>
  <c r="AQ156" i="123"/>
  <c r="BD65" i="105"/>
  <c r="BD150" i="105"/>
  <c r="BD155" i="105"/>
  <c r="BD87" i="105"/>
  <c r="BD156" i="105"/>
  <c r="BB65" i="105"/>
  <c r="BB150" i="105"/>
  <c r="BB155" i="105"/>
  <c r="BB87" i="105"/>
  <c r="BB156" i="105"/>
  <c r="BD87" i="123"/>
  <c r="BD65" i="123"/>
  <c r="BD150" i="123"/>
  <c r="BD155" i="123"/>
  <c r="BD156" i="123"/>
  <c r="BB87" i="123"/>
  <c r="BB65" i="123"/>
  <c r="BB150" i="123"/>
  <c r="BB155" i="123"/>
  <c r="BB156" i="123"/>
  <c r="H87" i="105"/>
  <c r="H87" i="123"/>
  <c r="H65" i="123"/>
  <c r="H150" i="123"/>
  <c r="H155" i="123"/>
  <c r="H156" i="123"/>
  <c r="J150" i="105"/>
  <c r="J155" i="105"/>
  <c r="J87" i="105"/>
  <c r="J156" i="105"/>
  <c r="J87" i="123"/>
  <c r="J65" i="123"/>
  <c r="J150" i="123"/>
  <c r="J155" i="123"/>
  <c r="J156" i="123"/>
  <c r="H150" i="105"/>
  <c r="H155" i="105"/>
  <c r="H156" i="105"/>
  <c r="BG65" i="105"/>
  <c r="BG150" i="105"/>
  <c r="BG155" i="105"/>
  <c r="BG87" i="105"/>
  <c r="BG156" i="105"/>
  <c r="M150" i="105"/>
  <c r="M155" i="105"/>
  <c r="M87" i="105"/>
  <c r="M156" i="105"/>
  <c r="BG87" i="123"/>
  <c r="BG65" i="123"/>
  <c r="BG150" i="123"/>
  <c r="BG155" i="123"/>
  <c r="BG156" i="123"/>
  <c r="M87" i="123"/>
  <c r="M65" i="123"/>
  <c r="M150" i="123"/>
  <c r="M155" i="123"/>
  <c r="M156" i="123"/>
  <c r="O87" i="105"/>
  <c r="O87" i="123"/>
  <c r="O65" i="123"/>
  <c r="O150" i="123"/>
  <c r="O155" i="123"/>
  <c r="O156" i="123"/>
  <c r="O150" i="105"/>
  <c r="O155" i="105"/>
  <c r="O156" i="105"/>
  <c r="CF65" i="105"/>
  <c r="CF65" i="123"/>
  <c r="CF150" i="123"/>
  <c r="CF155" i="123"/>
  <c r="BI87" i="105"/>
  <c r="E87" i="105"/>
  <c r="CF87" i="105"/>
  <c r="CF87" i="123"/>
  <c r="CF156" i="123"/>
  <c r="CF150" i="105"/>
  <c r="CF155" i="105"/>
  <c r="CF156" i="105"/>
  <c r="BI150" i="105"/>
  <c r="BI155" i="105"/>
  <c r="BI156" i="105"/>
  <c r="BI87" i="123"/>
  <c r="BI65" i="123"/>
  <c r="BI150" i="123"/>
  <c r="BI155" i="123"/>
  <c r="BI156" i="123"/>
  <c r="AY150" i="105"/>
  <c r="AY155" i="105"/>
  <c r="AY87" i="105"/>
  <c r="AY156" i="105"/>
  <c r="AY87" i="123"/>
  <c r="AY65" i="123"/>
  <c r="AY150" i="123"/>
  <c r="AY155" i="123"/>
  <c r="AY156" i="123"/>
  <c r="E150" i="105"/>
  <c r="E155" i="105"/>
  <c r="E156" i="105"/>
  <c r="E87" i="123"/>
  <c r="E65" i="123"/>
  <c r="E150" i="123"/>
  <c r="E155" i="123"/>
  <c r="E156" i="123"/>
  <c r="M73" i="30"/>
  <c r="N74" i="30"/>
  <c r="N76" i="30"/>
  <c r="N108" i="30"/>
  <c r="N102" i="30"/>
  <c r="N82" i="30"/>
  <c r="F73" i="30"/>
  <c r="G73" i="30"/>
  <c r="G74" i="30"/>
  <c r="G75" i="30"/>
  <c r="G76" i="30"/>
  <c r="G107" i="30"/>
  <c r="G108" i="30"/>
  <c r="F102" i="30"/>
  <c r="F88" i="30"/>
  <c r="M93" i="30"/>
  <c r="N94" i="30"/>
  <c r="N96" i="30"/>
  <c r="N88" i="30"/>
  <c r="M95" i="30"/>
  <c r="L93" i="30"/>
  <c r="M94" i="30"/>
  <c r="M96" i="30"/>
  <c r="L73" i="30"/>
  <c r="M74" i="30"/>
  <c r="M75" i="30"/>
  <c r="M76" i="30"/>
  <c r="I95" i="30"/>
  <c r="H93" i="30"/>
  <c r="I93" i="30"/>
  <c r="I94" i="30"/>
  <c r="I96" i="30"/>
  <c r="M88" i="30"/>
  <c r="M107" i="30"/>
  <c r="M108" i="30"/>
  <c r="H73" i="30"/>
  <c r="H74" i="30"/>
  <c r="H75" i="30"/>
  <c r="H76" i="30"/>
  <c r="G79" i="30"/>
  <c r="G80" i="30"/>
  <c r="G81" i="30"/>
  <c r="G82" i="30"/>
  <c r="G99" i="30"/>
  <c r="G100" i="30"/>
  <c r="G102" i="30"/>
  <c r="J107" i="30"/>
  <c r="J108" i="30"/>
  <c r="L99" i="30"/>
  <c r="M100" i="30"/>
  <c r="M102" i="30"/>
  <c r="H95" i="30"/>
  <c r="G93" i="30"/>
  <c r="H94" i="30"/>
  <c r="H96" i="30"/>
  <c r="I73" i="30"/>
  <c r="J73" i="30"/>
  <c r="J74" i="30"/>
  <c r="J75" i="30"/>
  <c r="J76" i="30"/>
  <c r="I74" i="30"/>
  <c r="I75" i="30"/>
  <c r="I76" i="30"/>
  <c r="G95" i="30"/>
  <c r="F93" i="30"/>
  <c r="G94" i="30"/>
  <c r="G96" i="30"/>
  <c r="I88" i="30"/>
  <c r="K108" i="30"/>
  <c r="L79" i="30"/>
  <c r="L80" i="30"/>
  <c r="L81" i="30"/>
  <c r="L82" i="30"/>
  <c r="G88" i="30"/>
  <c r="J88" i="30"/>
  <c r="J100" i="30"/>
  <c r="J102" i="30"/>
  <c r="I82" i="30"/>
  <c r="J80" i="30"/>
  <c r="J81" i="30"/>
  <c r="J82" i="30"/>
  <c r="H100" i="30"/>
  <c r="H102" i="30"/>
  <c r="L88" i="30"/>
  <c r="K82" i="30"/>
  <c r="L107" i="30"/>
  <c r="L108" i="30"/>
  <c r="K102" i="30"/>
  <c r="K95" i="30"/>
  <c r="J93" i="30"/>
  <c r="K93" i="30"/>
  <c r="K94" i="30"/>
  <c r="K96" i="30"/>
  <c r="J95" i="30"/>
  <c r="J94" i="30"/>
  <c r="J96" i="30"/>
  <c r="H107" i="30"/>
  <c r="H108" i="30"/>
  <c r="L100" i="30"/>
  <c r="L102" i="30"/>
  <c r="F107" i="30"/>
  <c r="F108" i="30"/>
  <c r="F82" i="30"/>
  <c r="F94" i="30"/>
  <c r="F95" i="30"/>
  <c r="F96" i="30"/>
  <c r="L95" i="30"/>
  <c r="L94" i="30"/>
  <c r="L96" i="30"/>
  <c r="M80" i="30"/>
  <c r="M81" i="30"/>
  <c r="M82" i="30"/>
  <c r="H80" i="30"/>
  <c r="H81" i="30"/>
  <c r="H82" i="30"/>
  <c r="I102" i="30"/>
  <c r="K73" i="30"/>
  <c r="K74" i="30"/>
  <c r="K75" i="30"/>
  <c r="K76" i="30"/>
  <c r="H88" i="30"/>
  <c r="L74" i="30"/>
  <c r="L75" i="30"/>
  <c r="L76" i="30"/>
  <c r="K88" i="30"/>
  <c r="I108" i="30"/>
  <c r="F134" i="30"/>
  <c r="E110" i="105"/>
  <c r="F135" i="30"/>
  <c r="O110" i="105"/>
  <c r="AI110" i="105"/>
  <c r="AI111" i="123"/>
  <c r="G134" i="30"/>
  <c r="F110" i="105"/>
  <c r="G135" i="30"/>
  <c r="P110" i="105"/>
  <c r="AJ110" i="105"/>
  <c r="AJ111" i="123"/>
  <c r="H134" i="30"/>
  <c r="G110" i="105"/>
  <c r="H135" i="30"/>
  <c r="Q110" i="105"/>
  <c r="AK110" i="105"/>
  <c r="AK111" i="123"/>
  <c r="I134" i="30"/>
  <c r="H110" i="105"/>
  <c r="I135" i="30"/>
  <c r="R110" i="105"/>
  <c r="AL110" i="105"/>
  <c r="AL111" i="123"/>
  <c r="J134" i="30"/>
  <c r="I110" i="105"/>
  <c r="J135" i="30"/>
  <c r="S110" i="105"/>
  <c r="AM110" i="105"/>
  <c r="AM111" i="123"/>
  <c r="K134" i="30"/>
  <c r="J110" i="105"/>
  <c r="K135" i="30"/>
  <c r="T110" i="105"/>
  <c r="AN110" i="105"/>
  <c r="AN111" i="123"/>
  <c r="L134" i="30"/>
  <c r="K110" i="105"/>
  <c r="L135" i="30"/>
  <c r="U110" i="105"/>
  <c r="AO110" i="105"/>
  <c r="AO111" i="123"/>
  <c r="M134" i="30"/>
  <c r="L110" i="105"/>
  <c r="M135" i="30"/>
  <c r="V110" i="105"/>
  <c r="AP110" i="105"/>
  <c r="AP111" i="123"/>
  <c r="N134" i="30"/>
  <c r="M110" i="105"/>
  <c r="AQ110" i="105"/>
  <c r="AQ111" i="123"/>
  <c r="AS111" i="123"/>
  <c r="H191" i="123"/>
  <c r="I191" i="123"/>
  <c r="E43" i="105"/>
  <c r="E43" i="123"/>
  <c r="E21" i="123"/>
  <c r="E138" i="123"/>
  <c r="E143" i="123"/>
  <c r="E144" i="123"/>
  <c r="E162" i="105"/>
  <c r="E167" i="105"/>
  <c r="E132" i="105"/>
  <c r="E168" i="105"/>
  <c r="E138" i="105"/>
  <c r="E143" i="105"/>
  <c r="E144" i="105"/>
  <c r="E132" i="123"/>
  <c r="E111" i="123"/>
  <c r="E163" i="123"/>
  <c r="E167" i="123"/>
  <c r="E168" i="123"/>
  <c r="AY110" i="105"/>
  <c r="AY132" i="105"/>
  <c r="AY132" i="123"/>
  <c r="AY111" i="123"/>
  <c r="AY163" i="123"/>
  <c r="AY167" i="123"/>
  <c r="AY168" i="123"/>
  <c r="AY138" i="105"/>
  <c r="AY143" i="105"/>
  <c r="AY43" i="105"/>
  <c r="AY144" i="105"/>
  <c r="AY43" i="123"/>
  <c r="AY21" i="123"/>
  <c r="AY138" i="123"/>
  <c r="AY143" i="123"/>
  <c r="AY144" i="123"/>
  <c r="AY162" i="105"/>
  <c r="AY167" i="105"/>
  <c r="AY168" i="105"/>
  <c r="BI110" i="105"/>
  <c r="BI162" i="105"/>
  <c r="BI167" i="105"/>
  <c r="BI132" i="105"/>
  <c r="BI168" i="105"/>
  <c r="BI21" i="105"/>
  <c r="BI43" i="105"/>
  <c r="BI43" i="123"/>
  <c r="BI21" i="123"/>
  <c r="BI138" i="123"/>
  <c r="BI143" i="123"/>
  <c r="BI144" i="123"/>
  <c r="BI138" i="105"/>
  <c r="BI143" i="105"/>
  <c r="BI144" i="105"/>
  <c r="BI132" i="123"/>
  <c r="BI111" i="123"/>
  <c r="BI163" i="123"/>
  <c r="BI167" i="123"/>
  <c r="BI168" i="123"/>
  <c r="CF21" i="105"/>
  <c r="CF138" i="105"/>
  <c r="CF143" i="105"/>
  <c r="CF43" i="105"/>
  <c r="CF144" i="105"/>
  <c r="CF110" i="105"/>
  <c r="CF162" i="105"/>
  <c r="CF167" i="105"/>
  <c r="CF132" i="105"/>
  <c r="CF168" i="105"/>
  <c r="CF111" i="123"/>
  <c r="CF163" i="123"/>
  <c r="CF167" i="123"/>
  <c r="CF132" i="123"/>
  <c r="CF168" i="123"/>
  <c r="CF21" i="123"/>
  <c r="CF138" i="123"/>
  <c r="CF143" i="123"/>
  <c r="CF43" i="123"/>
  <c r="CF144" i="123"/>
  <c r="O162" i="105"/>
  <c r="O167" i="105"/>
  <c r="O132" i="105"/>
  <c r="O168" i="105"/>
  <c r="O132" i="123"/>
  <c r="O111" i="123"/>
  <c r="O163" i="123"/>
  <c r="O167" i="123"/>
  <c r="O168" i="123"/>
  <c r="F139" i="30"/>
  <c r="O21" i="105"/>
  <c r="O43" i="105"/>
  <c r="O43" i="123"/>
  <c r="O21" i="123"/>
  <c r="O138" i="123"/>
  <c r="O143" i="123"/>
  <c r="O144" i="123"/>
  <c r="O138" i="105"/>
  <c r="O143" i="105"/>
  <c r="O144" i="105"/>
  <c r="M43" i="105"/>
  <c r="M43" i="123"/>
  <c r="M21" i="123"/>
  <c r="M138" i="123"/>
  <c r="M143" i="123"/>
  <c r="M144" i="123"/>
  <c r="R138" i="105"/>
  <c r="R143" i="105"/>
  <c r="R43" i="105"/>
  <c r="R144" i="105"/>
  <c r="R43" i="123"/>
  <c r="R21" i="123"/>
  <c r="R138" i="123"/>
  <c r="R143" i="123"/>
  <c r="R144" i="123"/>
  <c r="M138" i="105"/>
  <c r="M143" i="105"/>
  <c r="M144" i="105"/>
  <c r="R132" i="105"/>
  <c r="R132" i="123"/>
  <c r="R111" i="123"/>
  <c r="R163" i="123"/>
  <c r="R167" i="123"/>
  <c r="R168" i="123"/>
  <c r="R162" i="105"/>
  <c r="R167" i="105"/>
  <c r="R168" i="105"/>
  <c r="T138" i="105"/>
  <c r="T143" i="105"/>
  <c r="T43" i="105"/>
  <c r="T144" i="105"/>
  <c r="T132" i="105"/>
  <c r="T132" i="123"/>
  <c r="T111" i="123"/>
  <c r="T163" i="123"/>
  <c r="T167" i="123"/>
  <c r="T168" i="123"/>
  <c r="T162" i="105"/>
  <c r="T167" i="105"/>
  <c r="T168" i="105"/>
  <c r="T43" i="123"/>
  <c r="T21" i="123"/>
  <c r="T138" i="123"/>
  <c r="T143" i="123"/>
  <c r="T144" i="123"/>
  <c r="BG138" i="105"/>
  <c r="BG143" i="105"/>
  <c r="BG43" i="105"/>
  <c r="BG144" i="105"/>
  <c r="BG43" i="123"/>
  <c r="BG21" i="123"/>
  <c r="BG138" i="123"/>
  <c r="BG143" i="123"/>
  <c r="BG144" i="123"/>
  <c r="H138" i="105"/>
  <c r="H143" i="105"/>
  <c r="H43" i="105"/>
  <c r="H144" i="105"/>
  <c r="BB43" i="105"/>
  <c r="BB43" i="123"/>
  <c r="BB21" i="123"/>
  <c r="BB138" i="123"/>
  <c r="BB143" i="123"/>
  <c r="BB144" i="123"/>
  <c r="H43" i="123"/>
  <c r="H21" i="123"/>
  <c r="H138" i="123"/>
  <c r="H143" i="123"/>
  <c r="H144" i="123"/>
  <c r="BB138" i="105"/>
  <c r="BB143" i="105"/>
  <c r="BB144" i="105"/>
  <c r="J138" i="105"/>
  <c r="J143" i="105"/>
  <c r="J43" i="105"/>
  <c r="J144" i="105"/>
  <c r="J43" i="123"/>
  <c r="J21" i="123"/>
  <c r="J138" i="123"/>
  <c r="J143" i="123"/>
  <c r="J144" i="123"/>
  <c r="CN43" i="123"/>
  <c r="CN21" i="123"/>
  <c r="CN138" i="123"/>
  <c r="CN143" i="123"/>
  <c r="CN144" i="123"/>
  <c r="BL138" i="105"/>
  <c r="BL143" i="105"/>
  <c r="BL43" i="105"/>
  <c r="BL144" i="105"/>
  <c r="BL43" i="123"/>
  <c r="BL21" i="123"/>
  <c r="BL138" i="123"/>
  <c r="BL143" i="123"/>
  <c r="BL144" i="123"/>
  <c r="BD138" i="105"/>
  <c r="BD143" i="105"/>
  <c r="BD43" i="105"/>
  <c r="BD144" i="105"/>
  <c r="BD43" i="123"/>
  <c r="BD21" i="123"/>
  <c r="BD138" i="123"/>
  <c r="BD143" i="123"/>
  <c r="BD144" i="123"/>
  <c r="CN138" i="105"/>
  <c r="CN143" i="105"/>
  <c r="CN144" i="105"/>
  <c r="BQ138" i="105"/>
  <c r="BQ143" i="105"/>
  <c r="BQ43" i="105"/>
  <c r="BQ144" i="105"/>
  <c r="BQ43" i="123"/>
  <c r="BQ21" i="123"/>
  <c r="BQ138" i="123"/>
  <c r="BQ143" i="123"/>
  <c r="BQ144" i="123"/>
  <c r="BN43" i="105"/>
  <c r="BN43" i="123"/>
  <c r="BN21" i="123"/>
  <c r="BN138" i="123"/>
  <c r="BN143" i="123"/>
  <c r="BN144" i="123"/>
  <c r="BN138" i="105"/>
  <c r="BN143" i="105"/>
  <c r="BN144" i="105"/>
  <c r="CI138" i="105"/>
  <c r="CI143" i="105"/>
  <c r="CI144" i="105"/>
  <c r="CI43" i="123"/>
  <c r="CI21" i="123"/>
  <c r="CI138" i="123"/>
  <c r="CI143" i="123"/>
  <c r="CI144" i="123"/>
  <c r="CK43" i="123"/>
  <c r="CK21" i="123"/>
  <c r="CK138" i="123"/>
  <c r="CK143" i="123"/>
  <c r="CK144" i="123"/>
  <c r="CK138" i="105"/>
  <c r="CK143" i="105"/>
  <c r="CK144" i="105"/>
  <c r="M132" i="105"/>
  <c r="M132" i="123"/>
  <c r="M111" i="123"/>
  <c r="M163" i="123"/>
  <c r="M167" i="123"/>
  <c r="M168" i="123"/>
  <c r="M162" i="105"/>
  <c r="M167" i="105"/>
  <c r="M168" i="105"/>
  <c r="BG110" i="105"/>
  <c r="BG162" i="105"/>
  <c r="BG167" i="105"/>
  <c r="BG132" i="105"/>
  <c r="BG168" i="105"/>
  <c r="BG132" i="123"/>
  <c r="BG111" i="123"/>
  <c r="BG163" i="123"/>
  <c r="BG167" i="123"/>
  <c r="BG168" i="123"/>
  <c r="J162" i="105"/>
  <c r="J167" i="105"/>
  <c r="J132" i="105"/>
  <c r="J168" i="105"/>
  <c r="J132" i="123"/>
  <c r="J111" i="123"/>
  <c r="J163" i="123"/>
  <c r="J167" i="123"/>
  <c r="J168" i="123"/>
  <c r="H162" i="105"/>
  <c r="H167" i="105"/>
  <c r="H132" i="105"/>
  <c r="H168" i="105"/>
  <c r="H132" i="123"/>
  <c r="H111" i="123"/>
  <c r="H163" i="123"/>
  <c r="H167" i="123"/>
  <c r="H168" i="123"/>
  <c r="BD110" i="105"/>
  <c r="BD162" i="105"/>
  <c r="BD167" i="105"/>
  <c r="BD132" i="105"/>
  <c r="BD168" i="105"/>
  <c r="BD132" i="123"/>
  <c r="BD111" i="123"/>
  <c r="BD163" i="123"/>
  <c r="BD167" i="123"/>
  <c r="BD168" i="123"/>
  <c r="BB110" i="105"/>
  <c r="BB132" i="105"/>
  <c r="BB132" i="123"/>
  <c r="BB111" i="123"/>
  <c r="BB163" i="123"/>
  <c r="BB167" i="123"/>
  <c r="BB168" i="123"/>
  <c r="BB162" i="105"/>
  <c r="BB167" i="105"/>
  <c r="BB168" i="105"/>
  <c r="AQ132" i="105"/>
  <c r="AQ132" i="123"/>
  <c r="AQ163" i="123"/>
  <c r="AQ167" i="123"/>
  <c r="AQ168" i="123"/>
  <c r="AQ162" i="105"/>
  <c r="AQ167" i="105"/>
  <c r="AQ168" i="105"/>
  <c r="CA21" i="123"/>
  <c r="CA138" i="123"/>
  <c r="CA143" i="123"/>
  <c r="CA43" i="123"/>
  <c r="CA144" i="123"/>
  <c r="CA138" i="105"/>
  <c r="CA143" i="105"/>
  <c r="CA144" i="105"/>
  <c r="AQ43" i="123"/>
  <c r="CN88" i="123"/>
  <c r="AQ138" i="105"/>
  <c r="AQ143" i="105"/>
  <c r="AQ144" i="105"/>
  <c r="AQ21" i="123"/>
  <c r="AQ138" i="123"/>
  <c r="AQ143" i="123"/>
  <c r="AQ144" i="123"/>
  <c r="AI21" i="105"/>
  <c r="AI138" i="105"/>
  <c r="AI143" i="105"/>
  <c r="AI43" i="105"/>
  <c r="AI144" i="105"/>
  <c r="AI162" i="105"/>
  <c r="AI167" i="105"/>
  <c r="AI132" i="105"/>
  <c r="AI168" i="105"/>
  <c r="AI21" i="123"/>
  <c r="AI138" i="123"/>
  <c r="AI143" i="123"/>
  <c r="AI43" i="123"/>
  <c r="AI144" i="123"/>
  <c r="AI163" i="123"/>
  <c r="AI167" i="123"/>
  <c r="AI132" i="123"/>
  <c r="AI168" i="123"/>
  <c r="BS110" i="105"/>
  <c r="BS162" i="105"/>
  <c r="BS167" i="105"/>
  <c r="BS132" i="105"/>
  <c r="BS168" i="105"/>
  <c r="BS21" i="105"/>
  <c r="BS138" i="105"/>
  <c r="BS143" i="105"/>
  <c r="BS43" i="105"/>
  <c r="BS144" i="105"/>
  <c r="CF133" i="105"/>
  <c r="CF88" i="105"/>
  <c r="BS111" i="123"/>
  <c r="BS163" i="123"/>
  <c r="BS167" i="123"/>
  <c r="BS132" i="123"/>
  <c r="BS168" i="123"/>
  <c r="BS43" i="123"/>
  <c r="CF88" i="123"/>
  <c r="BS21" i="123"/>
  <c r="BS138" i="123"/>
  <c r="BS143" i="123"/>
  <c r="BS144" i="123"/>
  <c r="AL132" i="105"/>
  <c r="AL132" i="123"/>
  <c r="AL163" i="123"/>
  <c r="AL167" i="123"/>
  <c r="AL168" i="123"/>
  <c r="AL162" i="105"/>
  <c r="AL167" i="105"/>
  <c r="AL168" i="105"/>
  <c r="AN162" i="105"/>
  <c r="AN167" i="105"/>
  <c r="AN132" i="105"/>
  <c r="AN168" i="105"/>
  <c r="AN132" i="123"/>
  <c r="AN163" i="123"/>
  <c r="AN167" i="123"/>
  <c r="AN168" i="123"/>
  <c r="BX21" i="123"/>
  <c r="BX138" i="123"/>
  <c r="BX143" i="123"/>
  <c r="BX43" i="123"/>
  <c r="BX144" i="123"/>
  <c r="AN43" i="123"/>
  <c r="CK88" i="123"/>
  <c r="BV21" i="123"/>
  <c r="BV138" i="123"/>
  <c r="BV143" i="123"/>
  <c r="BV43" i="123"/>
  <c r="BV144" i="123"/>
  <c r="BX138" i="105"/>
  <c r="BX143" i="105"/>
  <c r="BX144" i="105"/>
  <c r="BV138" i="105"/>
  <c r="BV143" i="105"/>
  <c r="BV144" i="105"/>
  <c r="AL43" i="123"/>
  <c r="CI88" i="123"/>
  <c r="AN138" i="105"/>
  <c r="AN143" i="105"/>
  <c r="AN144" i="105"/>
  <c r="AN21" i="123"/>
  <c r="AN138" i="123"/>
  <c r="AN143" i="123"/>
  <c r="AN144" i="123"/>
  <c r="AL138" i="105"/>
  <c r="AL143" i="105"/>
  <c r="AL144" i="105"/>
  <c r="AL21" i="123"/>
  <c r="AL138" i="123"/>
  <c r="AL143" i="123"/>
  <c r="AL144" i="123"/>
  <c r="CF44" i="105"/>
  <c r="CI44" i="105"/>
  <c r="CK44" i="105"/>
  <c r="CN44" i="105"/>
  <c r="AZ110" i="105"/>
  <c r="BJ110" i="105"/>
  <c r="CG110" i="105"/>
  <c r="CG111" i="123"/>
  <c r="BA110" i="105"/>
  <c r="BK110" i="105"/>
  <c r="CH110" i="105"/>
  <c r="CH111" i="123"/>
  <c r="BL110" i="105"/>
  <c r="CI110" i="105"/>
  <c r="CI111" i="123"/>
  <c r="BC110" i="105"/>
  <c r="BM110" i="105"/>
  <c r="CJ110" i="105"/>
  <c r="CJ111" i="123"/>
  <c r="BN110" i="105"/>
  <c r="CK110" i="105"/>
  <c r="CK111" i="123"/>
  <c r="BE110" i="105"/>
  <c r="BO110" i="105"/>
  <c r="CL110" i="105"/>
  <c r="CL111" i="123"/>
  <c r="BF110" i="105"/>
  <c r="BP110" i="105"/>
  <c r="CM110" i="105"/>
  <c r="CM111" i="123"/>
  <c r="BQ110" i="105"/>
  <c r="CN110" i="105"/>
  <c r="CN111" i="123"/>
  <c r="CP111" i="123"/>
  <c r="L191" i="123"/>
  <c r="M191" i="123"/>
  <c r="BJ21" i="105"/>
  <c r="CG21" i="105"/>
  <c r="CG21" i="123"/>
  <c r="BK21" i="105"/>
  <c r="CH21" i="105"/>
  <c r="CH21" i="123"/>
  <c r="BM21" i="105"/>
  <c r="CJ21" i="105"/>
  <c r="CJ21" i="123"/>
  <c r="BO21" i="105"/>
  <c r="CL21" i="105"/>
  <c r="CL21" i="123"/>
  <c r="BP21" i="105"/>
  <c r="CM21" i="105"/>
  <c r="CM21" i="123"/>
  <c r="CP21" i="123"/>
  <c r="K190" i="123"/>
  <c r="G139" i="30"/>
  <c r="P21" i="105"/>
  <c r="AJ21" i="105"/>
  <c r="AJ21" i="123"/>
  <c r="H139" i="30"/>
  <c r="Q21" i="105"/>
  <c r="AK21" i="105"/>
  <c r="AK21" i="123"/>
  <c r="J139" i="30"/>
  <c r="S21" i="105"/>
  <c r="AM21" i="105"/>
  <c r="AM21" i="123"/>
  <c r="L139" i="30"/>
  <c r="U21" i="105"/>
  <c r="AO21" i="105"/>
  <c r="AO21" i="123"/>
  <c r="M139" i="30"/>
  <c r="V21" i="105"/>
  <c r="AP21" i="105"/>
  <c r="AP21" i="123"/>
  <c r="AS21" i="123"/>
  <c r="F190" i="123"/>
  <c r="I190" i="123"/>
  <c r="G136" i="30"/>
  <c r="F65" i="105"/>
  <c r="G137" i="30"/>
  <c r="P65" i="105"/>
  <c r="AJ65" i="105"/>
  <c r="AJ65" i="123"/>
  <c r="H136" i="30"/>
  <c r="G65" i="105"/>
  <c r="H137" i="30"/>
  <c r="Q65" i="105"/>
  <c r="AK65" i="105"/>
  <c r="AK65" i="123"/>
  <c r="J136" i="30"/>
  <c r="I65" i="105"/>
  <c r="J137" i="30"/>
  <c r="S65" i="105"/>
  <c r="AM65" i="105"/>
  <c r="AM65" i="123"/>
  <c r="L136" i="30"/>
  <c r="K65" i="105"/>
  <c r="L137" i="30"/>
  <c r="U65" i="105"/>
  <c r="AO65" i="105"/>
  <c r="AO65" i="123"/>
  <c r="M136" i="30"/>
  <c r="L65" i="105"/>
  <c r="M137" i="30"/>
  <c r="V65" i="105"/>
  <c r="AP65" i="105"/>
  <c r="AP65" i="123"/>
  <c r="AS65" i="123"/>
  <c r="G190" i="123"/>
  <c r="BT21" i="105"/>
  <c r="BU21" i="105"/>
  <c r="BW21" i="105"/>
  <c r="BY21" i="105"/>
  <c r="BZ21" i="105"/>
  <c r="CD21" i="105"/>
  <c r="CQ21" i="105"/>
  <c r="AT21" i="105"/>
  <c r="CR21" i="105"/>
  <c r="BT21" i="123"/>
  <c r="BU21" i="123"/>
  <c r="BW21" i="123"/>
  <c r="BY21" i="123"/>
  <c r="BZ21" i="123"/>
  <c r="CD21" i="123"/>
  <c r="CQ21" i="123"/>
  <c r="AT21" i="123"/>
  <c r="CR21" i="123"/>
  <c r="CD138" i="123"/>
  <c r="CQ138" i="123"/>
  <c r="AT138" i="123"/>
  <c r="CR138" i="123"/>
  <c r="CQ111" i="123"/>
  <c r="CQ163" i="123"/>
  <c r="AT111" i="123"/>
  <c r="AT163" i="123"/>
  <c r="CQ138" i="105"/>
  <c r="AT138" i="105"/>
  <c r="CD138" i="105"/>
  <c r="CR138" i="105"/>
  <c r="AT65" i="105"/>
  <c r="AT150" i="105"/>
  <c r="CQ110" i="105"/>
  <c r="CQ162" i="105"/>
  <c r="AT110" i="105"/>
  <c r="AT162" i="105"/>
  <c r="AT65" i="123"/>
  <c r="AT150" i="123"/>
  <c r="BT43" i="105"/>
  <c r="CG43" i="105"/>
  <c r="AJ43" i="105"/>
  <c r="CG88" i="105"/>
  <c r="BU43" i="105"/>
  <c r="CH43" i="105"/>
  <c r="AK43" i="105"/>
  <c r="CH88" i="105"/>
  <c r="BW43" i="105"/>
  <c r="CJ43" i="105"/>
  <c r="AM43" i="105"/>
  <c r="CJ88" i="105"/>
  <c r="BY43" i="105"/>
  <c r="CL43" i="105"/>
  <c r="AO43" i="105"/>
  <c r="CL88" i="105"/>
  <c r="BZ43" i="105"/>
  <c r="CM43" i="105"/>
  <c r="AP43" i="105"/>
  <c r="CM88" i="105"/>
  <c r="CP43" i="105"/>
  <c r="AS43" i="105"/>
  <c r="CC43" i="105"/>
  <c r="CP88" i="105"/>
  <c r="L150" i="105"/>
  <c r="L155" i="105"/>
  <c r="L87" i="105"/>
  <c r="L156" i="105"/>
  <c r="G87" i="105"/>
  <c r="G87" i="123"/>
  <c r="G65" i="123"/>
  <c r="G150" i="123"/>
  <c r="G155" i="123"/>
  <c r="G156" i="123"/>
  <c r="G150" i="105"/>
  <c r="G155" i="105"/>
  <c r="G156" i="105"/>
  <c r="F87" i="105"/>
  <c r="F87" i="123"/>
  <c r="F65" i="123"/>
  <c r="F150" i="123"/>
  <c r="F155" i="123"/>
  <c r="F156" i="123"/>
  <c r="F150" i="105"/>
  <c r="F155" i="105"/>
  <c r="F156" i="105"/>
  <c r="L87" i="123"/>
  <c r="L65" i="123"/>
  <c r="L150" i="123"/>
  <c r="L155" i="123"/>
  <c r="L156" i="123"/>
  <c r="BA65" i="105"/>
  <c r="BA87" i="105"/>
  <c r="BA87" i="123"/>
  <c r="BA65" i="123"/>
  <c r="BA150" i="123"/>
  <c r="BA155" i="123"/>
  <c r="BA156" i="123"/>
  <c r="K87" i="105"/>
  <c r="K87" i="123"/>
  <c r="K65" i="123"/>
  <c r="K150" i="123"/>
  <c r="K155" i="123"/>
  <c r="K156" i="123"/>
  <c r="BC65" i="105"/>
  <c r="BC87" i="105"/>
  <c r="BC87" i="123"/>
  <c r="BC65" i="123"/>
  <c r="BC150" i="123"/>
  <c r="BC155" i="123"/>
  <c r="BC156" i="123"/>
  <c r="BE65" i="105"/>
  <c r="BE87" i="105"/>
  <c r="BE87" i="123"/>
  <c r="BE65" i="123"/>
  <c r="BE150" i="123"/>
  <c r="BE155" i="123"/>
  <c r="BE156" i="123"/>
  <c r="BC150" i="105"/>
  <c r="BC155" i="105"/>
  <c r="BC156" i="105"/>
  <c r="I150" i="105"/>
  <c r="I155" i="105"/>
  <c r="I87" i="105"/>
  <c r="I156" i="105"/>
  <c r="BE150" i="105"/>
  <c r="BE155" i="105"/>
  <c r="BE156" i="105"/>
  <c r="K150" i="105"/>
  <c r="K155" i="105"/>
  <c r="K156" i="105"/>
  <c r="I87" i="123"/>
  <c r="I65" i="123"/>
  <c r="I150" i="123"/>
  <c r="I155" i="123"/>
  <c r="I156" i="123"/>
  <c r="BA150" i="105"/>
  <c r="BA155" i="105"/>
  <c r="BA156" i="105"/>
  <c r="AZ65" i="105"/>
  <c r="BK65" i="105"/>
  <c r="BK150" i="105"/>
  <c r="BK155" i="105"/>
  <c r="BK87" i="105"/>
  <c r="BK156" i="105"/>
  <c r="AZ150" i="105"/>
  <c r="AZ155" i="105"/>
  <c r="AZ87" i="105"/>
  <c r="AZ156" i="105"/>
  <c r="BF65" i="105"/>
  <c r="BF150" i="105"/>
  <c r="BF155" i="105"/>
  <c r="BF87" i="105"/>
  <c r="BF156" i="105"/>
  <c r="BF87" i="123"/>
  <c r="BF65" i="123"/>
  <c r="BF150" i="123"/>
  <c r="BF155" i="123"/>
  <c r="BF156" i="123"/>
  <c r="AZ87" i="123"/>
  <c r="AZ65" i="123"/>
  <c r="AZ150" i="123"/>
  <c r="AZ155" i="123"/>
  <c r="AZ156" i="123"/>
  <c r="BK87" i="123"/>
  <c r="BK65" i="123"/>
  <c r="BK150" i="123"/>
  <c r="BK155" i="123"/>
  <c r="BK156" i="123"/>
  <c r="BO65" i="105"/>
  <c r="BO150" i="105"/>
  <c r="BO155" i="105"/>
  <c r="BO87" i="105"/>
  <c r="BO156" i="105"/>
  <c r="BP65" i="105"/>
  <c r="BP87" i="105"/>
  <c r="BP87" i="123"/>
  <c r="BP65" i="123"/>
  <c r="BP150" i="123"/>
  <c r="BP155" i="123"/>
  <c r="BP156" i="123"/>
  <c r="BN65" i="105"/>
  <c r="BN150" i="105"/>
  <c r="BN155" i="105"/>
  <c r="BN87" i="105"/>
  <c r="BN156" i="105"/>
  <c r="CM87" i="105"/>
  <c r="CM87" i="123"/>
  <c r="CM65" i="105"/>
  <c r="CM65" i="123"/>
  <c r="CM150" i="123"/>
  <c r="CM155" i="123"/>
  <c r="CM156" i="123"/>
  <c r="BJ65" i="105"/>
  <c r="BJ150" i="105"/>
  <c r="BJ155" i="105"/>
  <c r="BJ87" i="105"/>
  <c r="BJ156" i="105"/>
  <c r="BL65" i="105"/>
  <c r="BL150" i="105"/>
  <c r="BL155" i="105"/>
  <c r="BL87" i="105"/>
  <c r="BL156" i="105"/>
  <c r="BJ87" i="123"/>
  <c r="BJ65" i="123"/>
  <c r="BJ150" i="123"/>
  <c r="BJ155" i="123"/>
  <c r="BJ156" i="123"/>
  <c r="BO87" i="123"/>
  <c r="BO65" i="123"/>
  <c r="BO150" i="123"/>
  <c r="BO155" i="123"/>
  <c r="BO156" i="123"/>
  <c r="BL87" i="123"/>
  <c r="BL65" i="123"/>
  <c r="BL150" i="123"/>
  <c r="BL155" i="123"/>
  <c r="BL156" i="123"/>
  <c r="CH65" i="105"/>
  <c r="CH150" i="105"/>
  <c r="CH155" i="105"/>
  <c r="CH87" i="105"/>
  <c r="CH156" i="105"/>
  <c r="CH87" i="123"/>
  <c r="CH65" i="123"/>
  <c r="CH150" i="123"/>
  <c r="CH155" i="123"/>
  <c r="CH156" i="123"/>
  <c r="BP150" i="105"/>
  <c r="BP155" i="105"/>
  <c r="BP156" i="105"/>
  <c r="BM65" i="105"/>
  <c r="BM87" i="105"/>
  <c r="CJ87" i="105"/>
  <c r="CJ87" i="123"/>
  <c r="CJ65" i="105"/>
  <c r="CJ65" i="123"/>
  <c r="CJ150" i="123"/>
  <c r="CJ155" i="123"/>
  <c r="CJ156" i="123"/>
  <c r="BM87" i="123"/>
  <c r="BM65" i="123"/>
  <c r="BM150" i="123"/>
  <c r="BM155" i="123"/>
  <c r="BM156" i="123"/>
  <c r="CM150" i="105"/>
  <c r="CM155" i="105"/>
  <c r="CM156" i="105"/>
  <c r="BM150" i="105"/>
  <c r="BM155" i="105"/>
  <c r="BM156" i="105"/>
  <c r="BN87" i="123"/>
  <c r="BN65" i="123"/>
  <c r="BN150" i="123"/>
  <c r="BN155" i="123"/>
  <c r="BN156" i="123"/>
  <c r="CK65" i="105"/>
  <c r="CK150" i="105"/>
  <c r="CK155" i="105"/>
  <c r="CK87" i="105"/>
  <c r="CK156" i="105"/>
  <c r="CK87" i="123"/>
  <c r="CK65" i="123"/>
  <c r="CK150" i="123"/>
  <c r="CK155" i="123"/>
  <c r="CK156" i="123"/>
  <c r="BQ65" i="105"/>
  <c r="BQ150" i="105"/>
  <c r="BQ155" i="105"/>
  <c r="BQ87" i="105"/>
  <c r="BQ156" i="105"/>
  <c r="BQ87" i="123"/>
  <c r="BQ65" i="123"/>
  <c r="BQ150" i="123"/>
  <c r="BQ155" i="123"/>
  <c r="BQ156" i="123"/>
  <c r="CN65" i="105"/>
  <c r="CN150" i="105"/>
  <c r="CN155" i="105"/>
  <c r="CN87" i="105"/>
  <c r="CN156" i="105"/>
  <c r="CI87" i="105"/>
  <c r="CI87" i="123"/>
  <c r="CI65" i="105"/>
  <c r="CI65" i="123"/>
  <c r="CI150" i="123"/>
  <c r="CI155" i="123"/>
  <c r="CI156" i="123"/>
  <c r="CL87" i="105"/>
  <c r="CL87" i="123"/>
  <c r="CL65" i="105"/>
  <c r="CL65" i="123"/>
  <c r="CL150" i="123"/>
  <c r="CL155" i="123"/>
  <c r="CL156" i="123"/>
  <c r="CG65" i="105"/>
  <c r="CG150" i="105"/>
  <c r="CG155" i="105"/>
  <c r="CG87" i="105"/>
  <c r="CG156" i="105"/>
  <c r="CL150" i="105"/>
  <c r="CL155" i="105"/>
  <c r="CL156" i="105"/>
  <c r="CI150" i="105"/>
  <c r="CI155" i="105"/>
  <c r="CI156" i="105"/>
  <c r="CJ150" i="105"/>
  <c r="CJ155" i="105"/>
  <c r="CJ156" i="105"/>
  <c r="CP87" i="105"/>
  <c r="CP65" i="105"/>
  <c r="CP150" i="105"/>
  <c r="CP155" i="105"/>
  <c r="CP156" i="105"/>
  <c r="CG87" i="123"/>
  <c r="CN87" i="123"/>
  <c r="CP87" i="123"/>
  <c r="G215" i="123"/>
  <c r="CN65" i="123"/>
  <c r="CN150" i="123"/>
  <c r="CN155" i="123"/>
  <c r="CN156" i="123"/>
  <c r="CG65" i="123"/>
  <c r="CG150" i="123"/>
  <c r="CG155" i="123"/>
  <c r="CG156" i="123"/>
  <c r="CP65" i="123"/>
  <c r="CP150" i="123"/>
  <c r="CP155" i="123"/>
  <c r="CP156" i="123"/>
  <c r="CA65" i="105"/>
  <c r="CA87" i="105"/>
  <c r="CA87" i="123"/>
  <c r="CA65" i="123"/>
  <c r="CA150" i="123"/>
  <c r="CA155" i="123"/>
  <c r="CA156" i="123"/>
  <c r="CA150" i="105"/>
  <c r="CA155" i="105"/>
  <c r="CA156" i="105"/>
  <c r="V150" i="105"/>
  <c r="V155" i="105"/>
  <c r="V87" i="105"/>
  <c r="V156" i="105"/>
  <c r="V87" i="123"/>
  <c r="V65" i="123"/>
  <c r="V150" i="123"/>
  <c r="V155" i="123"/>
  <c r="V156" i="123"/>
  <c r="S150" i="105"/>
  <c r="S155" i="105"/>
  <c r="S87" i="105"/>
  <c r="S156" i="105"/>
  <c r="U87" i="105"/>
  <c r="U87" i="123"/>
  <c r="U65" i="123"/>
  <c r="U150" i="123"/>
  <c r="U155" i="123"/>
  <c r="U156" i="123"/>
  <c r="U150" i="105"/>
  <c r="U155" i="105"/>
  <c r="U156" i="105"/>
  <c r="P87" i="105"/>
  <c r="P87" i="123"/>
  <c r="P65" i="123"/>
  <c r="P150" i="123"/>
  <c r="P155" i="123"/>
  <c r="P156" i="123"/>
  <c r="S87" i="123"/>
  <c r="S65" i="123"/>
  <c r="S150" i="123"/>
  <c r="S155" i="123"/>
  <c r="S156" i="123"/>
  <c r="Q150" i="105"/>
  <c r="Q155" i="105"/>
  <c r="Q87" i="105"/>
  <c r="Q156" i="105"/>
  <c r="P150" i="105"/>
  <c r="P155" i="105"/>
  <c r="P156" i="105"/>
  <c r="Q87" i="123"/>
  <c r="Q65" i="123"/>
  <c r="Q150" i="123"/>
  <c r="Q155" i="123"/>
  <c r="Q156" i="123"/>
  <c r="BY65" i="105"/>
  <c r="BY87" i="105"/>
  <c r="BY87" i="123"/>
  <c r="BY65" i="123"/>
  <c r="BY150" i="123"/>
  <c r="BY155" i="123"/>
  <c r="BY156" i="123"/>
  <c r="BY150" i="105"/>
  <c r="BY155" i="105"/>
  <c r="BY156" i="105"/>
  <c r="BV65" i="105"/>
  <c r="BV150" i="105"/>
  <c r="BV155" i="105"/>
  <c r="BV87" i="105"/>
  <c r="BV156" i="105"/>
  <c r="BV87" i="123"/>
  <c r="BV65" i="123"/>
  <c r="BV150" i="123"/>
  <c r="BV155" i="123"/>
  <c r="BV156" i="123"/>
  <c r="BX65" i="105"/>
  <c r="BX87" i="105"/>
  <c r="BX87" i="123"/>
  <c r="BX65" i="123"/>
  <c r="BX150" i="123"/>
  <c r="BX155" i="123"/>
  <c r="BX156" i="123"/>
  <c r="BX150" i="105"/>
  <c r="BX155" i="105"/>
  <c r="BX156" i="105"/>
  <c r="AO87" i="105"/>
  <c r="AO87" i="123"/>
  <c r="AO150" i="123"/>
  <c r="AO155" i="123"/>
  <c r="AO156" i="123"/>
  <c r="BW65" i="105"/>
  <c r="BW150" i="105"/>
  <c r="BW155" i="105"/>
  <c r="BW87" i="105"/>
  <c r="BW156" i="105"/>
  <c r="AM87" i="105"/>
  <c r="AM87" i="123"/>
  <c r="AM150" i="123"/>
  <c r="AM155" i="123"/>
  <c r="AM156" i="123"/>
  <c r="AO150" i="105"/>
  <c r="AO155" i="105"/>
  <c r="AO156" i="105"/>
  <c r="BW87" i="123"/>
  <c r="BW65" i="123"/>
  <c r="BW150" i="123"/>
  <c r="BW155" i="123"/>
  <c r="BW156" i="123"/>
  <c r="AM150" i="105"/>
  <c r="AM155" i="105"/>
  <c r="AM156" i="105"/>
  <c r="AP150" i="105"/>
  <c r="AP155" i="105"/>
  <c r="AP87" i="105"/>
  <c r="AP156" i="105"/>
  <c r="BZ65" i="105"/>
  <c r="BZ150" i="105"/>
  <c r="BZ155" i="105"/>
  <c r="BZ87" i="105"/>
  <c r="BZ156" i="105"/>
  <c r="AP87" i="123"/>
  <c r="AP150" i="123"/>
  <c r="AP155" i="123"/>
  <c r="AP156" i="123"/>
  <c r="BZ87" i="123"/>
  <c r="BZ65" i="123"/>
  <c r="BZ150" i="123"/>
  <c r="BZ155" i="123"/>
  <c r="BZ156" i="123"/>
  <c r="BU65" i="105"/>
  <c r="BU150" i="105"/>
  <c r="BU155" i="105"/>
  <c r="BU87" i="105"/>
  <c r="BU156" i="105"/>
  <c r="BU87" i="123"/>
  <c r="BU65" i="123"/>
  <c r="BU150" i="123"/>
  <c r="BU155" i="123"/>
  <c r="BU156" i="123"/>
  <c r="AJ150" i="105"/>
  <c r="AJ155" i="105"/>
  <c r="AJ87" i="105"/>
  <c r="AJ156" i="105"/>
  <c r="AK150" i="105"/>
  <c r="AK155" i="105"/>
  <c r="AK87" i="105"/>
  <c r="AK156" i="105"/>
  <c r="BT65" i="105"/>
  <c r="BT87" i="105"/>
  <c r="CC87" i="105"/>
  <c r="CC65" i="105"/>
  <c r="CC150" i="105"/>
  <c r="CC155" i="105"/>
  <c r="CC156" i="105"/>
  <c r="CA90" i="105"/>
  <c r="CA88" i="105"/>
  <c r="AS87" i="105"/>
  <c r="AS65" i="105"/>
  <c r="AS150" i="105"/>
  <c r="AS155" i="105"/>
  <c r="AS156" i="105"/>
  <c r="AK87" i="123"/>
  <c r="AK150" i="123"/>
  <c r="AK155" i="123"/>
  <c r="AK156" i="123"/>
  <c r="BT150" i="105"/>
  <c r="BT155" i="105"/>
  <c r="BT156" i="105"/>
  <c r="AJ87" i="123"/>
  <c r="AJ150" i="123"/>
  <c r="AJ155" i="123"/>
  <c r="AJ156" i="123"/>
  <c r="BT87" i="123"/>
  <c r="CC87" i="123"/>
  <c r="BT65" i="123"/>
  <c r="CC65" i="123"/>
  <c r="CC150" i="123"/>
  <c r="CC155" i="123"/>
  <c r="CC156" i="123"/>
  <c r="BT150" i="123"/>
  <c r="BT155" i="123"/>
  <c r="BT156" i="123"/>
  <c r="AS87" i="123"/>
  <c r="AS150" i="123"/>
  <c r="AS155" i="123"/>
  <c r="AS156" i="123"/>
  <c r="CQ43" i="123"/>
  <c r="AJ43" i="123"/>
  <c r="AK43" i="123"/>
  <c r="AM43" i="123"/>
  <c r="AO43" i="123"/>
  <c r="AP43" i="123"/>
  <c r="AT43" i="123"/>
  <c r="BT43" i="123"/>
  <c r="BU43" i="123"/>
  <c r="BW43" i="123"/>
  <c r="BY43" i="123"/>
  <c r="BZ43" i="123"/>
  <c r="CD43" i="123"/>
  <c r="CR43" i="123"/>
  <c r="CQ88" i="123"/>
  <c r="CQ143" i="123"/>
  <c r="CQ144" i="123"/>
  <c r="BW138" i="105"/>
  <c r="BW143" i="105"/>
  <c r="BW144" i="105"/>
  <c r="BY138" i="105"/>
  <c r="BY143" i="105"/>
  <c r="BY144" i="105"/>
  <c r="AO138" i="123"/>
  <c r="AO143" i="123"/>
  <c r="AO144" i="123"/>
  <c r="AM138" i="123"/>
  <c r="AM143" i="123"/>
  <c r="AM144" i="123"/>
  <c r="AO138" i="105"/>
  <c r="AO143" i="105"/>
  <c r="AO144" i="105"/>
  <c r="AM138" i="105"/>
  <c r="AM143" i="105"/>
  <c r="AM144" i="105"/>
  <c r="BZ138" i="105"/>
  <c r="BZ143" i="105"/>
  <c r="BZ144" i="105"/>
  <c r="AP138" i="105"/>
  <c r="AP143" i="105"/>
  <c r="AP144" i="105"/>
  <c r="CM43" i="123"/>
  <c r="CM88" i="123"/>
  <c r="CJ43" i="123"/>
  <c r="CJ88" i="123"/>
  <c r="BW138" i="123"/>
  <c r="BW143" i="123"/>
  <c r="BW144" i="123"/>
  <c r="AP138" i="123"/>
  <c r="AP143" i="123"/>
  <c r="AP144" i="123"/>
  <c r="CL43" i="123"/>
  <c r="CL88" i="123"/>
  <c r="BY138" i="123"/>
  <c r="BY143" i="123"/>
  <c r="BY144" i="123"/>
  <c r="BZ138" i="123"/>
  <c r="BZ143" i="123"/>
  <c r="BZ144" i="123"/>
  <c r="AK138" i="105"/>
  <c r="AK143" i="105"/>
  <c r="AK144" i="105"/>
  <c r="CH43" i="123"/>
  <c r="CH88" i="123"/>
  <c r="AK138" i="123"/>
  <c r="AK143" i="123"/>
  <c r="AK144" i="123"/>
  <c r="AS21" i="105"/>
  <c r="AS138" i="105"/>
  <c r="AS143" i="105"/>
  <c r="AS144" i="105"/>
  <c r="BU138" i="105"/>
  <c r="BU143" i="105"/>
  <c r="BU144" i="105"/>
  <c r="CC21" i="105"/>
  <c r="CC138" i="105"/>
  <c r="CC143" i="105"/>
  <c r="CC144" i="105"/>
  <c r="AT143" i="123"/>
  <c r="AT144" i="123"/>
  <c r="BU138" i="123"/>
  <c r="BU143" i="123"/>
  <c r="BU144" i="123"/>
  <c r="AS43" i="123"/>
  <c r="AS138" i="123"/>
  <c r="AS143" i="123"/>
  <c r="AS144" i="123"/>
  <c r="CG43" i="123"/>
  <c r="CP43" i="123"/>
  <c r="CC43" i="123"/>
  <c r="CP88" i="123"/>
  <c r="CC21" i="123"/>
  <c r="CC138" i="123"/>
  <c r="CC143" i="123"/>
  <c r="CC144" i="123"/>
  <c r="BV110" i="105"/>
  <c r="BV132" i="105"/>
  <c r="BV132" i="123"/>
  <c r="BV111" i="123"/>
  <c r="BV163" i="123"/>
  <c r="BV167" i="123"/>
  <c r="BV168" i="123"/>
  <c r="BV162" i="105"/>
  <c r="BV167" i="105"/>
  <c r="BV168" i="105"/>
  <c r="BL132" i="105"/>
  <c r="CI132" i="105"/>
  <c r="CI133" i="105"/>
  <c r="BW110" i="105"/>
  <c r="BW162" i="105"/>
  <c r="BW167" i="105"/>
  <c r="BW132" i="105"/>
  <c r="BW168" i="105"/>
  <c r="BX110" i="105"/>
  <c r="BX162" i="105"/>
  <c r="BX167" i="105"/>
  <c r="BX132" i="105"/>
  <c r="BX168" i="105"/>
  <c r="BX132" i="123"/>
  <c r="BX111" i="123"/>
  <c r="BX163" i="123"/>
  <c r="BX167" i="123"/>
  <c r="BX168" i="123"/>
  <c r="BN132" i="105"/>
  <c r="CK132" i="105"/>
  <c r="CK133" i="105"/>
  <c r="BM132" i="105"/>
  <c r="I132" i="105"/>
  <c r="CJ132" i="105"/>
  <c r="AM132" i="105"/>
  <c r="CJ133" i="105"/>
  <c r="AO162" i="105"/>
  <c r="AO167" i="105"/>
  <c r="AO132" i="105"/>
  <c r="AO168" i="105"/>
  <c r="BY110" i="105"/>
  <c r="BY162" i="105"/>
  <c r="BY167" i="105"/>
  <c r="BY132" i="105"/>
  <c r="BY168" i="105"/>
  <c r="AM162" i="105"/>
  <c r="AM167" i="105"/>
  <c r="AM168" i="105"/>
  <c r="BW132" i="123"/>
  <c r="BW111" i="123"/>
  <c r="BW163" i="123"/>
  <c r="BW167" i="123"/>
  <c r="BW168" i="123"/>
  <c r="AO132" i="123"/>
  <c r="AO163" i="123"/>
  <c r="AO167" i="123"/>
  <c r="AO168" i="123"/>
  <c r="BY132" i="123"/>
  <c r="BY111" i="123"/>
  <c r="BY163" i="123"/>
  <c r="BY167" i="123"/>
  <c r="BY168" i="123"/>
  <c r="BO132" i="105"/>
  <c r="K132" i="105"/>
  <c r="CL132" i="105"/>
  <c r="CL133" i="105"/>
  <c r="AM132" i="123"/>
  <c r="AM163" i="123"/>
  <c r="AM167" i="123"/>
  <c r="AM168" i="123"/>
  <c r="AP162" i="105"/>
  <c r="AP167" i="105"/>
  <c r="AP132" i="105"/>
  <c r="AP168" i="105"/>
  <c r="AP132" i="123"/>
  <c r="AP163" i="123"/>
  <c r="AP167" i="123"/>
  <c r="AP168" i="123"/>
  <c r="BZ110" i="105"/>
  <c r="BZ162" i="105"/>
  <c r="BZ167" i="105"/>
  <c r="BZ132" i="105"/>
  <c r="BZ168" i="105"/>
  <c r="BZ132" i="123"/>
  <c r="BZ111" i="123"/>
  <c r="BZ163" i="123"/>
  <c r="BZ167" i="123"/>
  <c r="BZ168" i="123"/>
  <c r="BP132" i="105"/>
  <c r="L132" i="105"/>
  <c r="CM132" i="105"/>
  <c r="CM133" i="105"/>
  <c r="BU110" i="105"/>
  <c r="BU162" i="105"/>
  <c r="BU167" i="105"/>
  <c r="BU132" i="105"/>
  <c r="BU168" i="105"/>
  <c r="BT110" i="105"/>
  <c r="BT162" i="105"/>
  <c r="BT167" i="105"/>
  <c r="BT132" i="105"/>
  <c r="BT168" i="105"/>
  <c r="AJ162" i="105"/>
  <c r="AJ167" i="105"/>
  <c r="AJ132" i="105"/>
  <c r="AJ168" i="105"/>
  <c r="BK132" i="105"/>
  <c r="G132" i="105"/>
  <c r="CH132" i="105"/>
  <c r="AK132" i="105"/>
  <c r="CH133" i="105"/>
  <c r="BU132" i="123"/>
  <c r="BU111" i="123"/>
  <c r="BU163" i="123"/>
  <c r="BU167" i="123"/>
  <c r="BU168" i="123"/>
  <c r="AK162" i="105"/>
  <c r="AK167" i="105"/>
  <c r="AK168" i="105"/>
  <c r="BJ132" i="105"/>
  <c r="F132" i="105"/>
  <c r="CG132" i="105"/>
  <c r="CG133" i="105"/>
  <c r="CA110" i="105"/>
  <c r="CC110" i="105"/>
  <c r="CC162" i="105"/>
  <c r="CC167" i="105"/>
  <c r="CA132" i="105"/>
  <c r="CC132" i="105"/>
  <c r="CC168" i="105"/>
  <c r="AS132" i="105"/>
  <c r="AS110" i="105"/>
  <c r="AS162" i="105"/>
  <c r="AS167" i="105"/>
  <c r="AS168" i="105"/>
  <c r="AK132" i="123"/>
  <c r="AK163" i="123"/>
  <c r="AK167" i="123"/>
  <c r="AK168" i="123"/>
  <c r="AJ132" i="123"/>
  <c r="AJ163" i="123"/>
  <c r="AJ167" i="123"/>
  <c r="AJ168" i="123"/>
  <c r="BT132" i="123"/>
  <c r="BT111" i="123"/>
  <c r="BT163" i="123"/>
  <c r="BT167" i="123"/>
  <c r="BT168" i="123"/>
  <c r="BQ132" i="105"/>
  <c r="CN132" i="105"/>
  <c r="CP132" i="105"/>
  <c r="CP133" i="105"/>
  <c r="CA132" i="123"/>
  <c r="CC132" i="123"/>
  <c r="CA111" i="123"/>
  <c r="CC111" i="123"/>
  <c r="CC163" i="123"/>
  <c r="CC167" i="123"/>
  <c r="CC168" i="123"/>
  <c r="AS132" i="123"/>
  <c r="AS163" i="123"/>
  <c r="AS167" i="123"/>
  <c r="AS168" i="123"/>
  <c r="CG88" i="123"/>
  <c r="AJ138" i="123"/>
  <c r="AJ143" i="123"/>
  <c r="AJ144" i="123"/>
  <c r="BT138" i="123"/>
  <c r="BT143" i="123"/>
  <c r="BT144" i="123"/>
  <c r="AJ138" i="105"/>
  <c r="AJ143" i="105"/>
  <c r="AJ144" i="105"/>
  <c r="BT138" i="105"/>
  <c r="BT143" i="105"/>
  <c r="BT144" i="105"/>
  <c r="CA163" i="123"/>
  <c r="CA167" i="123"/>
  <c r="CA168" i="123"/>
  <c r="CN133" i="105"/>
  <c r="CA162" i="105"/>
  <c r="CA167" i="105"/>
  <c r="CA168" i="105"/>
  <c r="CQ132" i="105"/>
  <c r="CG132" i="123"/>
  <c r="CH132" i="123"/>
  <c r="CI132" i="123"/>
  <c r="CJ132" i="123"/>
  <c r="CK132" i="123"/>
  <c r="CL132" i="123"/>
  <c r="CM132" i="123"/>
  <c r="CN132" i="123"/>
  <c r="CP163" i="123"/>
  <c r="CP167" i="123"/>
  <c r="CP132" i="123"/>
  <c r="CP168" i="123"/>
  <c r="H215" i="123"/>
  <c r="I215" i="123"/>
  <c r="CG163" i="123"/>
  <c r="CG167" i="123"/>
  <c r="CG168" i="123"/>
  <c r="CL162" i="105"/>
  <c r="CL167" i="105"/>
  <c r="CL168" i="105"/>
  <c r="CL163" i="123"/>
  <c r="CL167" i="123"/>
  <c r="CL168" i="123"/>
  <c r="CP110" i="105"/>
  <c r="CP162" i="105"/>
  <c r="CP167" i="105"/>
  <c r="CP168" i="105"/>
  <c r="CK162" i="105"/>
  <c r="CK167" i="105"/>
  <c r="CK168" i="105"/>
  <c r="CJ162" i="105"/>
  <c r="CJ167" i="105"/>
  <c r="CJ168" i="105"/>
  <c r="CH162" i="105"/>
  <c r="CH167" i="105"/>
  <c r="CH168" i="105"/>
  <c r="CG162" i="105"/>
  <c r="CG167" i="105"/>
  <c r="CG168" i="105"/>
  <c r="CM163" i="123"/>
  <c r="CM167" i="123"/>
  <c r="CM168" i="123"/>
  <c r="CJ163" i="123"/>
  <c r="CJ167" i="123"/>
  <c r="CJ168" i="123"/>
  <c r="CH163" i="123"/>
  <c r="CH167" i="123"/>
  <c r="CH168" i="123"/>
  <c r="CK163" i="123"/>
  <c r="CK167" i="123"/>
  <c r="CK168" i="123"/>
  <c r="CM162" i="105"/>
  <c r="CM167" i="105"/>
  <c r="CM168" i="105"/>
  <c r="BO132" i="123"/>
  <c r="BO111" i="123"/>
  <c r="BO163" i="123"/>
  <c r="BO167" i="123"/>
  <c r="BO168" i="123"/>
  <c r="BN162" i="105"/>
  <c r="BN167" i="105"/>
  <c r="BN168" i="105"/>
  <c r="BO162" i="105"/>
  <c r="BO167" i="105"/>
  <c r="BO168" i="105"/>
  <c r="BM132" i="123"/>
  <c r="BM111" i="123"/>
  <c r="BM163" i="123"/>
  <c r="BM167" i="123"/>
  <c r="BM168" i="123"/>
  <c r="BK132" i="123"/>
  <c r="BK111" i="123"/>
  <c r="BK163" i="123"/>
  <c r="BK167" i="123"/>
  <c r="BK168" i="123"/>
  <c r="BJ132" i="123"/>
  <c r="BJ111" i="123"/>
  <c r="BJ163" i="123"/>
  <c r="BJ167" i="123"/>
  <c r="BJ168" i="123"/>
  <c r="BP132" i="123"/>
  <c r="BP111" i="123"/>
  <c r="BP163" i="123"/>
  <c r="BP167" i="123"/>
  <c r="BP168" i="123"/>
  <c r="CN163" i="123"/>
  <c r="CN167" i="123"/>
  <c r="CN168" i="123"/>
  <c r="CI162" i="105"/>
  <c r="CI167" i="105"/>
  <c r="CI168" i="105"/>
  <c r="CN162" i="105"/>
  <c r="CN167" i="105"/>
  <c r="CN168" i="105"/>
  <c r="BJ162" i="105"/>
  <c r="BJ167" i="105"/>
  <c r="BJ168" i="105"/>
  <c r="CI163" i="123"/>
  <c r="CI167" i="123"/>
  <c r="CI168" i="123"/>
  <c r="BQ162" i="105"/>
  <c r="BQ167" i="105"/>
  <c r="BQ168" i="105"/>
  <c r="BQ132" i="123"/>
  <c r="BQ111" i="123"/>
  <c r="BQ163" i="123"/>
  <c r="BQ167" i="123"/>
  <c r="BQ168" i="123"/>
  <c r="BN132" i="123"/>
  <c r="BN111" i="123"/>
  <c r="BN163" i="123"/>
  <c r="BN167" i="123"/>
  <c r="BN168" i="123"/>
  <c r="BL162" i="105"/>
  <c r="BL167" i="105"/>
  <c r="BL168" i="105"/>
  <c r="BK162" i="105"/>
  <c r="BK167" i="105"/>
  <c r="BK168" i="105"/>
  <c r="BM162" i="105"/>
  <c r="BM167" i="105"/>
  <c r="BM168" i="105"/>
  <c r="BE162" i="105"/>
  <c r="BE167" i="105"/>
  <c r="BE132" i="105"/>
  <c r="BE168" i="105"/>
  <c r="BL132" i="123"/>
  <c r="BL111" i="123"/>
  <c r="BL163" i="123"/>
  <c r="BL167" i="123"/>
  <c r="BL168" i="123"/>
  <c r="BE132" i="123"/>
  <c r="BE111" i="123"/>
  <c r="BE163" i="123"/>
  <c r="BE167" i="123"/>
  <c r="BE168" i="123"/>
  <c r="BC162" i="105"/>
  <c r="BC167" i="105"/>
  <c r="BC132" i="105"/>
  <c r="BC168" i="105"/>
  <c r="BP162" i="105"/>
  <c r="BP167" i="105"/>
  <c r="BP168" i="105"/>
  <c r="BF162" i="105"/>
  <c r="BF167" i="105"/>
  <c r="BF132" i="105"/>
  <c r="BF168" i="105"/>
  <c r="BF132" i="123"/>
  <c r="BF111" i="123"/>
  <c r="BF163" i="123"/>
  <c r="BF167" i="123"/>
  <c r="BF168" i="123"/>
  <c r="AZ162" i="105"/>
  <c r="AZ167" i="105"/>
  <c r="AZ132" i="105"/>
  <c r="AZ168" i="105"/>
  <c r="BA162" i="105"/>
  <c r="BA167" i="105"/>
  <c r="BA132" i="105"/>
  <c r="BA168" i="105"/>
  <c r="BA132" i="123"/>
  <c r="BA111" i="123"/>
  <c r="BA163" i="123"/>
  <c r="BA167" i="123"/>
  <c r="BA168" i="123"/>
  <c r="AZ132" i="123"/>
  <c r="AZ111" i="123"/>
  <c r="AZ163" i="123"/>
  <c r="AZ167" i="123"/>
  <c r="AZ168" i="123"/>
  <c r="K162" i="105"/>
  <c r="K167" i="105"/>
  <c r="K168" i="105"/>
  <c r="I132" i="123"/>
  <c r="I111" i="123"/>
  <c r="I163" i="123"/>
  <c r="I167" i="123"/>
  <c r="I168" i="123"/>
  <c r="BC132" i="123"/>
  <c r="BC111" i="123"/>
  <c r="BC163" i="123"/>
  <c r="BC167" i="123"/>
  <c r="BC168" i="123"/>
  <c r="I162" i="105"/>
  <c r="I167" i="105"/>
  <c r="I168" i="105"/>
  <c r="K132" i="123"/>
  <c r="K111" i="123"/>
  <c r="K163" i="123"/>
  <c r="K167" i="123"/>
  <c r="K168" i="123"/>
  <c r="G162" i="105"/>
  <c r="G167" i="105"/>
  <c r="G168" i="105"/>
  <c r="G132" i="123"/>
  <c r="G111" i="123"/>
  <c r="G163" i="123"/>
  <c r="G167" i="123"/>
  <c r="G168" i="123"/>
  <c r="F162" i="105"/>
  <c r="F167" i="105"/>
  <c r="F168" i="105"/>
  <c r="F132" i="123"/>
  <c r="F111" i="123"/>
  <c r="F163" i="123"/>
  <c r="F167" i="123"/>
  <c r="F168" i="123"/>
  <c r="L162" i="105"/>
  <c r="L167" i="105"/>
  <c r="L168" i="105"/>
  <c r="L132" i="123"/>
  <c r="L111" i="123"/>
  <c r="L163" i="123"/>
  <c r="L167" i="123"/>
  <c r="L168" i="123"/>
  <c r="CP138" i="123"/>
  <c r="CP143" i="123"/>
  <c r="CP144" i="123"/>
  <c r="CM138" i="105"/>
  <c r="CM143" i="105"/>
  <c r="CM144" i="105"/>
  <c r="CL138" i="105"/>
  <c r="CL143" i="105"/>
  <c r="CL144" i="105"/>
  <c r="CL138" i="123"/>
  <c r="CL143" i="123"/>
  <c r="CL144" i="123"/>
  <c r="CM138" i="123"/>
  <c r="CM143" i="123"/>
  <c r="CM144" i="123"/>
  <c r="CP21" i="105"/>
  <c r="CP138" i="105"/>
  <c r="CP143" i="105"/>
  <c r="CP144" i="105"/>
  <c r="CG138" i="105"/>
  <c r="CG143" i="105"/>
  <c r="CG144" i="105"/>
  <c r="CH138" i="123"/>
  <c r="CH143" i="123"/>
  <c r="CH144" i="123"/>
  <c r="CG138" i="123"/>
  <c r="CG143" i="123"/>
  <c r="CG144" i="123"/>
  <c r="CH138" i="105"/>
  <c r="CH143" i="105"/>
  <c r="CH144" i="105"/>
  <c r="BM138" i="105"/>
  <c r="BM143" i="105"/>
  <c r="BM43" i="105"/>
  <c r="BM144" i="105"/>
  <c r="BP138" i="105"/>
  <c r="BP143" i="105"/>
  <c r="BP43" i="105"/>
  <c r="BP144" i="105"/>
  <c r="BM43" i="123"/>
  <c r="BM21" i="123"/>
  <c r="BM138" i="123"/>
  <c r="BM143" i="123"/>
  <c r="BM144" i="123"/>
  <c r="BO43" i="105"/>
  <c r="BO43" i="123"/>
  <c r="BO21" i="123"/>
  <c r="BO138" i="123"/>
  <c r="BO143" i="123"/>
  <c r="BO144" i="123"/>
  <c r="BK43" i="105"/>
  <c r="BK43" i="123"/>
  <c r="BK21" i="123"/>
  <c r="BK138" i="123"/>
  <c r="BK143" i="123"/>
  <c r="BK144" i="123"/>
  <c r="BK138" i="105"/>
  <c r="BK143" i="105"/>
  <c r="BK144" i="105"/>
  <c r="BJ43" i="105"/>
  <c r="BJ43" i="123"/>
  <c r="BJ21" i="123"/>
  <c r="BJ138" i="123"/>
  <c r="BJ143" i="123"/>
  <c r="BJ144" i="123"/>
  <c r="BJ138" i="105"/>
  <c r="BJ143" i="105"/>
  <c r="BJ144" i="105"/>
  <c r="CJ138" i="123"/>
  <c r="CJ143" i="123"/>
  <c r="CJ144" i="123"/>
  <c r="BA43" i="105"/>
  <c r="BA43" i="123"/>
  <c r="BA21" i="123"/>
  <c r="BA138" i="123"/>
  <c r="BA143" i="123"/>
  <c r="BA144" i="123"/>
  <c r="BA138" i="105"/>
  <c r="BA143" i="105"/>
  <c r="BA144" i="105"/>
  <c r="CJ138" i="105"/>
  <c r="CJ143" i="105"/>
  <c r="CJ144" i="105"/>
  <c r="BP43" i="123"/>
  <c r="BP21" i="123"/>
  <c r="BP138" i="123"/>
  <c r="BP143" i="123"/>
  <c r="BP144" i="123"/>
  <c r="BO138" i="105"/>
  <c r="BO143" i="105"/>
  <c r="BO144" i="105"/>
  <c r="BC138" i="105"/>
  <c r="BC143" i="105"/>
  <c r="BC43" i="105"/>
  <c r="BC144" i="105"/>
  <c r="AZ138" i="105"/>
  <c r="AZ143" i="105"/>
  <c r="AZ43" i="105"/>
  <c r="AZ144" i="105"/>
  <c r="AZ43" i="123"/>
  <c r="AZ21" i="123"/>
  <c r="AZ138" i="123"/>
  <c r="AZ143" i="123"/>
  <c r="AZ144" i="123"/>
  <c r="BF43" i="105"/>
  <c r="BF43" i="123"/>
  <c r="BF21" i="123"/>
  <c r="BF138" i="123"/>
  <c r="BF143" i="123"/>
  <c r="BF144" i="123"/>
  <c r="BF138" i="105"/>
  <c r="BF143" i="105"/>
  <c r="BF144" i="105"/>
  <c r="G43" i="105"/>
  <c r="G43" i="123"/>
  <c r="G21" i="123"/>
  <c r="G138" i="123"/>
  <c r="G143" i="123"/>
  <c r="G144" i="123"/>
  <c r="G138" i="105"/>
  <c r="G143" i="105"/>
  <c r="G144" i="105"/>
  <c r="BE138" i="105"/>
  <c r="BE143" i="105"/>
  <c r="BE43" i="105"/>
  <c r="BE144" i="105"/>
  <c r="K138" i="105"/>
  <c r="K143" i="105"/>
  <c r="K43" i="105"/>
  <c r="K144" i="105"/>
  <c r="K43" i="123"/>
  <c r="K21" i="123"/>
  <c r="K138" i="123"/>
  <c r="K143" i="123"/>
  <c r="K144" i="123"/>
  <c r="I138" i="105"/>
  <c r="I143" i="105"/>
  <c r="I43" i="105"/>
  <c r="I144" i="105"/>
  <c r="BE43" i="123"/>
  <c r="BE21" i="123"/>
  <c r="BE138" i="123"/>
  <c r="BE143" i="123"/>
  <c r="BE144" i="123"/>
  <c r="BC43" i="123"/>
  <c r="BC21" i="123"/>
  <c r="BC138" i="123"/>
  <c r="BC143" i="123"/>
  <c r="BC144" i="123"/>
  <c r="F138" i="105"/>
  <c r="F143" i="105"/>
  <c r="F43" i="105"/>
  <c r="F144" i="105"/>
  <c r="F43" i="123"/>
  <c r="F21" i="123"/>
  <c r="F138" i="123"/>
  <c r="F143" i="123"/>
  <c r="F144" i="123"/>
  <c r="V43" i="105"/>
  <c r="V43" i="123"/>
  <c r="V21" i="123"/>
  <c r="V138" i="123"/>
  <c r="V143" i="123"/>
  <c r="V144" i="123"/>
  <c r="V138" i="105"/>
  <c r="V143" i="105"/>
  <c r="V144" i="105"/>
  <c r="L43" i="105"/>
  <c r="L43" i="123"/>
  <c r="L21" i="123"/>
  <c r="L138" i="123"/>
  <c r="L143" i="123"/>
  <c r="L144" i="123"/>
  <c r="L138" i="105"/>
  <c r="L143" i="105"/>
  <c r="L144" i="105"/>
  <c r="U132" i="105"/>
  <c r="U132" i="123"/>
  <c r="U111" i="123"/>
  <c r="U163" i="123"/>
  <c r="U167" i="123"/>
  <c r="U168" i="123"/>
  <c r="U162" i="105"/>
  <c r="U167" i="105"/>
  <c r="U168" i="105"/>
  <c r="U43" i="105"/>
  <c r="U43" i="123"/>
  <c r="U21" i="123"/>
  <c r="U138" i="123"/>
  <c r="U143" i="123"/>
  <c r="U144" i="123"/>
  <c r="U138" i="105"/>
  <c r="U143" i="105"/>
  <c r="U144" i="105"/>
  <c r="I43" i="123"/>
  <c r="I21" i="123"/>
  <c r="I138" i="123"/>
  <c r="I143" i="123"/>
  <c r="I144" i="123"/>
  <c r="S43" i="105"/>
  <c r="S43" i="123"/>
  <c r="S21" i="123"/>
  <c r="S138" i="123"/>
  <c r="S143" i="123"/>
  <c r="S144" i="123"/>
  <c r="S162" i="105"/>
  <c r="S167" i="105"/>
  <c r="S132" i="105"/>
  <c r="S168" i="105"/>
  <c r="S132" i="123"/>
  <c r="S111" i="123"/>
  <c r="S163" i="123"/>
  <c r="S167" i="123"/>
  <c r="S168" i="123"/>
  <c r="Q132" i="105"/>
  <c r="Q132" i="123"/>
  <c r="Q111" i="123"/>
  <c r="Q163" i="123"/>
  <c r="Q167" i="123"/>
  <c r="Q168" i="123"/>
  <c r="P132" i="105"/>
  <c r="P132" i="123"/>
  <c r="P111" i="123"/>
  <c r="P163" i="123"/>
  <c r="P167" i="123"/>
  <c r="P168" i="123"/>
  <c r="P162" i="105"/>
  <c r="P167" i="105"/>
  <c r="P168" i="105"/>
  <c r="S138" i="105"/>
  <c r="S143" i="105"/>
  <c r="S144" i="105"/>
  <c r="Q162" i="105"/>
  <c r="Q167" i="105"/>
  <c r="Q168" i="105"/>
  <c r="V162" i="105"/>
  <c r="V167" i="105"/>
  <c r="V132" i="105"/>
  <c r="V168" i="105"/>
  <c r="P138" i="105"/>
  <c r="P143" i="105"/>
  <c r="P43" i="105"/>
  <c r="P144" i="105"/>
  <c r="Q138" i="105"/>
  <c r="Q143" i="105"/>
  <c r="Q43" i="105"/>
  <c r="Q144" i="105"/>
  <c r="Q43" i="123"/>
  <c r="Q21" i="123"/>
  <c r="Q138" i="123"/>
  <c r="Q143" i="123"/>
  <c r="Q144" i="123"/>
  <c r="V132" i="123"/>
  <c r="V111" i="123"/>
  <c r="V163" i="123"/>
  <c r="V167" i="123"/>
  <c r="V168" i="123"/>
  <c r="P43" i="123"/>
  <c r="P21" i="123"/>
  <c r="P138" i="123"/>
  <c r="P143" i="123"/>
  <c r="P144" i="123"/>
  <c r="CG44" i="105"/>
  <c r="CH44" i="105"/>
  <c r="CJ44" i="105"/>
  <c r="CL44" i="105"/>
  <c r="CM44" i="105"/>
  <c r="CP44" i="105"/>
  <c r="CQ43" i="105"/>
  <c r="AT43" i="105"/>
  <c r="CD43" i="105"/>
  <c r="CQ44" i="105"/>
  <c r="CQ88" i="105"/>
  <c r="CD143" i="123"/>
  <c r="CD144" i="123"/>
  <c r="CR143" i="123"/>
  <c r="CD143" i="105"/>
  <c r="CQ143" i="105"/>
  <c r="AT143" i="105"/>
  <c r="CR143" i="105"/>
  <c r="CD144" i="105"/>
  <c r="CR43" i="105"/>
  <c r="AT144" i="105"/>
  <c r="CQ144" i="105"/>
  <c r="AT132" i="105"/>
  <c r="AT167" i="105"/>
  <c r="AT168" i="105"/>
  <c r="AT70" i="123"/>
  <c r="AT153" i="123"/>
  <c r="AT87" i="123"/>
  <c r="AT155" i="123"/>
  <c r="AT156" i="123"/>
  <c r="AT70" i="105"/>
  <c r="AT153" i="105"/>
  <c r="AT87" i="105"/>
  <c r="AT155" i="105"/>
  <c r="AT156" i="105"/>
  <c r="AT132" i="123"/>
  <c r="AT167" i="123"/>
  <c r="AT168" i="123"/>
  <c r="CD116" i="123"/>
  <c r="CQ116" i="123"/>
  <c r="CR116" i="123"/>
  <c r="CQ164" i="123"/>
  <c r="CD164" i="123"/>
  <c r="CR164" i="123"/>
  <c r="CD115" i="105"/>
  <c r="CQ115" i="105"/>
  <c r="CR115" i="105"/>
  <c r="CQ165" i="105"/>
  <c r="CD165" i="105"/>
  <c r="CR165" i="105"/>
  <c r="CD70" i="105"/>
  <c r="CQ70" i="105"/>
  <c r="CR70" i="105"/>
  <c r="CQ153" i="105"/>
  <c r="CD153" i="105"/>
  <c r="CR153" i="105"/>
  <c r="CD70" i="123"/>
  <c r="CQ70" i="123"/>
  <c r="CR70" i="123"/>
  <c r="CQ153" i="123"/>
  <c r="CD153" i="123"/>
  <c r="CR153" i="123"/>
  <c r="CD132" i="105"/>
  <c r="CR132" i="105"/>
  <c r="CQ133" i="105"/>
  <c r="CQ167" i="105"/>
  <c r="CQ168" i="105"/>
  <c r="CD87" i="123"/>
  <c r="CQ87" i="105"/>
  <c r="CD87" i="105"/>
  <c r="CR87" i="105"/>
  <c r="CQ132" i="123"/>
  <c r="CQ167" i="123"/>
  <c r="CQ168" i="123"/>
  <c r="CD132" i="123"/>
  <c r="CR132" i="123"/>
  <c r="G353" i="110" a="1"/>
  <c r="G353" i="110"/>
  <c r="G432" i="110"/>
  <c r="CN77" i="166"/>
  <c r="CN80" i="166"/>
  <c r="CN87" i="166"/>
  <c r="CN90" i="166"/>
  <c r="F21" i="175"/>
  <c r="F23" i="175"/>
  <c r="H353" i="110" a="1"/>
  <c r="H353" i="110"/>
  <c r="H432" i="110"/>
  <c r="CN77" i="167"/>
  <c r="CN80" i="167"/>
  <c r="CN87" i="167"/>
  <c r="CN90" i="167"/>
  <c r="G21" i="175"/>
  <c r="G7" i="175"/>
  <c r="G9" i="175"/>
  <c r="G14" i="175"/>
  <c r="G23" i="175"/>
  <c r="I353" i="110" a="1"/>
  <c r="I353" i="110"/>
  <c r="I432" i="110"/>
  <c r="CN77" i="168"/>
  <c r="CN80" i="168"/>
  <c r="CN87" i="168"/>
  <c r="CN90" i="168"/>
  <c r="H21" i="175"/>
  <c r="H23" i="175"/>
  <c r="J353" i="110" a="1"/>
  <c r="J353" i="110"/>
  <c r="J432" i="110"/>
  <c r="CN77" i="169"/>
  <c r="CN80" i="169"/>
  <c r="CN87" i="169"/>
  <c r="CN90" i="169"/>
  <c r="I21" i="175"/>
  <c r="I7" i="175"/>
  <c r="I9" i="175"/>
  <c r="I14" i="175"/>
  <c r="I23" i="175"/>
  <c r="K353" i="110" a="1"/>
  <c r="K353" i="110"/>
  <c r="K432" i="110"/>
  <c r="CN77" i="170"/>
  <c r="CN80" i="170"/>
  <c r="CN87" i="170"/>
  <c r="CN90" i="170"/>
  <c r="J21" i="175"/>
  <c r="J23" i="175"/>
  <c r="L353" i="110" a="1"/>
  <c r="L353" i="110"/>
  <c r="L432" i="110"/>
  <c r="CN77" i="171"/>
  <c r="CN80" i="171"/>
  <c r="CN87" i="171"/>
  <c r="CN90" i="171"/>
  <c r="K21" i="175"/>
  <c r="K23" i="175"/>
  <c r="M353" i="110" a="1"/>
  <c r="M353" i="110"/>
  <c r="M432" i="110"/>
  <c r="CN77" i="172"/>
  <c r="CN80" i="172"/>
  <c r="CN87" i="172"/>
  <c r="CN90" i="172"/>
  <c r="L21" i="175"/>
  <c r="L23" i="175"/>
  <c r="CW90" i="168"/>
  <c r="BA174" i="59"/>
  <c r="BA176" i="59"/>
  <c r="BA140" i="59"/>
  <c r="N353" i="110" a="1"/>
  <c r="N353" i="110"/>
  <c r="N432" i="110"/>
  <c r="CN77" i="173"/>
  <c r="CN80" i="173"/>
  <c r="CN87" i="173"/>
  <c r="CN90" i="173"/>
  <c r="CW90" i="173"/>
  <c r="BF174" i="59"/>
  <c r="BF176" i="59"/>
  <c r="BF140" i="59"/>
  <c r="BF143" i="59"/>
  <c r="CW80" i="173"/>
  <c r="AX40" i="60"/>
  <c r="AX52" i="60"/>
  <c r="AY52" i="60"/>
  <c r="BC174" i="59"/>
  <c r="BC176" i="59"/>
  <c r="BC140" i="59"/>
  <c r="CW90" i="170"/>
  <c r="M21" i="175"/>
  <c r="N433" i="110"/>
  <c r="AY40" i="60"/>
  <c r="BF138" i="59"/>
  <c r="CW77" i="173"/>
  <c r="CW87" i="173"/>
  <c r="M433" i="110"/>
  <c r="BE174" i="59"/>
  <c r="BE138" i="59"/>
  <c r="CW77" i="172"/>
  <c r="CW87" i="172"/>
  <c r="CW87" i="171"/>
  <c r="CW77" i="171"/>
  <c r="CW87" i="170"/>
  <c r="CW77" i="170"/>
  <c r="BD174" i="59"/>
  <c r="BD138" i="59"/>
  <c r="BC138" i="59"/>
  <c r="K433" i="110"/>
  <c r="L433" i="110"/>
  <c r="G433" i="110"/>
  <c r="H433" i="110"/>
  <c r="J433" i="110"/>
  <c r="I433" i="110"/>
  <c r="BA138" i="59"/>
  <c r="BB174" i="59"/>
  <c r="BB138" i="59"/>
  <c r="AZ174" i="59"/>
  <c r="AZ138" i="59"/>
  <c r="AY174" i="59"/>
  <c r="AY138" i="59"/>
  <c r="CW77" i="166"/>
  <c r="CW87" i="166"/>
  <c r="CW77" i="167"/>
  <c r="CW87" i="167"/>
  <c r="CW77" i="168"/>
  <c r="CW87" i="168"/>
  <c r="CW77" i="169"/>
  <c r="CW87" i="169"/>
  <c r="AY176" i="59"/>
  <c r="AY140" i="59"/>
  <c r="CW90" i="166"/>
  <c r="CW90" i="167"/>
  <c r="CW90" i="169"/>
  <c r="CW90" i="171"/>
  <c r="BD176" i="59"/>
  <c r="BD140" i="59"/>
  <c r="BE176" i="59"/>
  <c r="BE140" i="59"/>
  <c r="CW90" i="172"/>
  <c r="BF150" i="59"/>
  <c r="BF160" i="59"/>
  <c r="F56" i="175"/>
  <c r="F58" i="175"/>
  <c r="G56" i="175"/>
  <c r="G49" i="175"/>
  <c r="G58" i="175"/>
  <c r="H56" i="175"/>
  <c r="H58" i="175"/>
  <c r="I56" i="175"/>
  <c r="I49" i="175"/>
  <c r="I58" i="175"/>
  <c r="J56" i="175"/>
  <c r="J58" i="175"/>
  <c r="K56" i="175"/>
  <c r="K58" i="175"/>
  <c r="L56" i="175"/>
  <c r="L58" i="175"/>
  <c r="M56" i="175"/>
  <c r="M7" i="175"/>
  <c r="M9" i="175"/>
  <c r="M49" i="175"/>
  <c r="M58" i="175"/>
  <c r="F353" i="110" a="1"/>
  <c r="F353" i="110"/>
  <c r="F432" i="110"/>
  <c r="CN77" i="70"/>
  <c r="CN80" i="70"/>
  <c r="CN87" i="70"/>
  <c r="CN90" i="70"/>
  <c r="E56" i="175"/>
  <c r="E7" i="175"/>
  <c r="E9" i="175"/>
  <c r="E49" i="175"/>
  <c r="E58" i="175"/>
  <c r="CW80" i="70"/>
  <c r="AX150" i="59"/>
  <c r="AX160" i="59"/>
  <c r="CW80" i="166"/>
  <c r="AY150" i="59"/>
  <c r="AY160" i="59"/>
  <c r="AY161" i="59"/>
  <c r="AY162" i="59"/>
  <c r="CW80" i="167"/>
  <c r="AZ150" i="59"/>
  <c r="AZ160" i="59"/>
  <c r="AZ161" i="59"/>
  <c r="AZ162" i="59"/>
  <c r="CW80" i="168"/>
  <c r="BA150" i="59"/>
  <c r="BA160" i="59"/>
  <c r="BA161" i="59"/>
  <c r="BA162" i="59"/>
  <c r="CW80" i="169"/>
  <c r="BB150" i="59"/>
  <c r="BB160" i="59"/>
  <c r="BB161" i="59"/>
  <c r="BB162" i="59"/>
  <c r="CW80" i="170"/>
  <c r="BC150" i="59"/>
  <c r="BC160" i="59"/>
  <c r="BC161" i="59"/>
  <c r="BC162" i="59"/>
  <c r="CW80" i="171"/>
  <c r="BD150" i="59"/>
  <c r="BD160" i="59"/>
  <c r="BD161" i="59"/>
  <c r="BD162" i="59"/>
  <c r="CW80" i="172"/>
  <c r="BE150" i="59"/>
  <c r="BE160" i="59"/>
  <c r="BE161" i="59"/>
  <c r="BE162" i="59"/>
  <c r="BF161" i="59"/>
  <c r="BF162" i="59"/>
  <c r="BB176" i="59"/>
  <c r="BB140" i="59"/>
  <c r="AX174" i="59"/>
  <c r="AX176" i="59"/>
  <c r="AX140" i="59"/>
  <c r="BE188" i="59"/>
  <c r="AZ176" i="59"/>
  <c r="AZ140" i="59"/>
  <c r="BD188" i="59"/>
  <c r="BA188" i="59"/>
  <c r="BA187" i="59"/>
  <c r="CW90" i="70"/>
  <c r="E37" i="175"/>
  <c r="E39" i="175"/>
  <c r="E41" i="175"/>
  <c r="M14" i="175"/>
  <c r="M23" i="175"/>
  <c r="E42" i="175"/>
  <c r="BF188" i="59"/>
  <c r="AZ188" i="59"/>
  <c r="AZ187" i="59"/>
  <c r="AW40" i="60"/>
  <c r="AW52" i="60"/>
  <c r="AW53" i="60"/>
  <c r="CW77" i="70"/>
  <c r="F433" i="110"/>
  <c r="AX138" i="59"/>
  <c r="CW87" i="70"/>
  <c r="E21" i="175"/>
  <c r="E14" i="175"/>
  <c r="E23" i="175"/>
  <c r="CD111" i="123"/>
  <c r="CD163" i="123"/>
  <c r="CD167" i="123"/>
  <c r="CD168" i="123"/>
  <c r="CR167" i="123"/>
  <c r="CD65" i="105"/>
  <c r="CD150" i="105"/>
  <c r="CD155" i="105"/>
  <c r="CD156" i="105"/>
  <c r="CQ65" i="105"/>
  <c r="CQ150" i="105"/>
  <c r="CQ155" i="105"/>
  <c r="CQ156" i="105"/>
  <c r="CR155" i="105"/>
  <c r="CQ65" i="123"/>
  <c r="CQ87" i="123"/>
  <c r="CR87" i="123"/>
  <c r="CD65" i="123"/>
  <c r="CD150" i="123"/>
  <c r="CD155" i="123"/>
  <c r="CQ150" i="123"/>
  <c r="CQ155" i="123"/>
  <c r="CR155" i="123"/>
  <c r="CQ156" i="123"/>
  <c r="CD156" i="123"/>
  <c r="CD110" i="105"/>
  <c r="CD162" i="105"/>
  <c r="CD167" i="105"/>
  <c r="CR167" i="105"/>
  <c r="CD168" i="105"/>
  <c r="CA158" i="105"/>
  <c r="CR150" i="123"/>
  <c r="CR162" i="105"/>
  <c r="CR150" i="105"/>
  <c r="CR65" i="123"/>
  <c r="CR65" i="105"/>
  <c r="CR110" i="105"/>
  <c r="CR111" i="123"/>
  <c r="CR163" i="123"/>
</calcChain>
</file>

<file path=xl/comments1.xml><?xml version="1.0" encoding="utf-8"?>
<comments xmlns="http://schemas.openxmlformats.org/spreadsheetml/2006/main">
  <authors>
    <author>ELECTRICITY</author>
  </authors>
  <commentList>
    <comment ref="C78" authorId="0">
      <text>
        <r>
          <rPr>
            <b/>
            <sz val="9"/>
            <color indexed="81"/>
            <rFont val="Tahoma"/>
            <family val="2"/>
          </rPr>
          <t>ELECTRICITY:</t>
        </r>
        <r>
          <rPr>
            <sz val="9"/>
            <color indexed="81"/>
            <rFont val="Tahoma"/>
            <family val="2"/>
          </rPr>
          <t xml:space="preserve">
This should not be applicable to Nigeria since our plan is mainly gor grid connection while in the case of UK is based on household installation.</t>
        </r>
      </text>
    </comment>
  </commentList>
</comments>
</file>

<file path=xl/comments2.xml><?xml version="1.0" encoding="utf-8"?>
<comments xmlns="http://schemas.openxmlformats.org/spreadsheetml/2006/main">
  <authors>
    <author>2050Calculator</author>
  </authors>
  <commentList>
    <comment ref="F34" authorId="0">
      <text>
        <r>
          <rPr>
            <b/>
            <sz val="9"/>
            <color indexed="81"/>
            <rFont val="Tahoma"/>
            <family val="2"/>
          </rPr>
          <t>2050Calculator:</t>
        </r>
        <r>
          <rPr>
            <sz val="9"/>
            <color indexed="81"/>
            <rFont val="Tahoma"/>
            <family val="2"/>
          </rPr>
          <t xml:space="preserve">
Values to be updated when % Contribution data are available
 </t>
        </r>
      </text>
    </comment>
  </commentList>
</comments>
</file>

<file path=xl/comments3.xml><?xml version="1.0" encoding="utf-8"?>
<comments xmlns="http://schemas.openxmlformats.org/spreadsheetml/2006/main">
  <authors>
    <author>2050Calculator</author>
  </authors>
  <commentList>
    <comment ref="E201" authorId="0">
      <text>
        <r>
          <rPr>
            <b/>
            <sz val="9"/>
            <color indexed="81"/>
            <rFont val="Tahoma"/>
            <family val="2"/>
          </rPr>
          <t xml:space="preserve">2050Calculator:
</t>
        </r>
        <r>
          <rPr>
            <sz val="9"/>
            <color indexed="81"/>
            <rFont val="Tahoma"/>
            <family val="2"/>
          </rPr>
          <t>Emission factor for GH</t>
        </r>
      </text>
    </comment>
  </commentList>
</comments>
</file>

<file path=xl/sharedStrings.xml><?xml version="1.0" encoding="utf-8"?>
<sst xmlns="http://schemas.openxmlformats.org/spreadsheetml/2006/main" count="16822" uniqueCount="2600">
  <si>
    <t>Nuclear</t>
  </si>
  <si>
    <t>Wind</t>
  </si>
  <si>
    <t>Geothermal</t>
  </si>
  <si>
    <t>Imports</t>
  </si>
  <si>
    <t>Electricity</t>
  </si>
  <si>
    <t>H.01</t>
  </si>
  <si>
    <t>N.01</t>
  </si>
  <si>
    <t>R.02</t>
  </si>
  <si>
    <t>R.06</t>
  </si>
  <si>
    <t>I.01</t>
  </si>
  <si>
    <t>Gas</t>
  </si>
  <si>
    <t>Solar</t>
  </si>
  <si>
    <t>Heat</t>
  </si>
  <si>
    <t>Energy vectors</t>
  </si>
  <si>
    <t>Hydro</t>
  </si>
  <si>
    <t>Conversion losses</t>
  </si>
  <si>
    <t>Distribution losses and own use</t>
  </si>
  <si>
    <t xml:space="preserve">Transport </t>
  </si>
  <si>
    <t>Road</t>
  </si>
  <si>
    <t>Rail</t>
  </si>
  <si>
    <t>Balancing</t>
  </si>
  <si>
    <t>Heating</t>
  </si>
  <si>
    <t>Lighting &amp; appliances</t>
  </si>
  <si>
    <t>Unallocated</t>
  </si>
  <si>
    <t>Food</t>
  </si>
  <si>
    <t>R.01</t>
  </si>
  <si>
    <t>X.01</t>
  </si>
  <si>
    <t>X.02</t>
  </si>
  <si>
    <t>T.01</t>
  </si>
  <si>
    <t>T.02</t>
  </si>
  <si>
    <t>T.03</t>
  </si>
  <si>
    <t>T.04</t>
  </si>
  <si>
    <t>Domestic</t>
  </si>
  <si>
    <t>Industry</t>
  </si>
  <si>
    <t>V.01</t>
  </si>
  <si>
    <t>V.02</t>
  </si>
  <si>
    <t>V.03</t>
  </si>
  <si>
    <t>Net imports</t>
  </si>
  <si>
    <t>V.04</t>
  </si>
  <si>
    <t>V.05</t>
  </si>
  <si>
    <t>Renewables</t>
  </si>
  <si>
    <t>Waste</t>
  </si>
  <si>
    <t>W.01</t>
  </si>
  <si>
    <t>Electricity imports</t>
  </si>
  <si>
    <t>L.01</t>
  </si>
  <si>
    <t>Losses</t>
  </si>
  <si>
    <t>Y.01</t>
  </si>
  <si>
    <t>Y.02</t>
  </si>
  <si>
    <t>Z.01</t>
  </si>
  <si>
    <t>Solid hydrocarbons</t>
  </si>
  <si>
    <t>Liquid hydrocarbons</t>
  </si>
  <si>
    <t>C.01</t>
  </si>
  <si>
    <t>C.02</t>
  </si>
  <si>
    <t>C.03</t>
  </si>
  <si>
    <t>Electricity (delivered to end user)</t>
  </si>
  <si>
    <t>Solar PV</t>
  </si>
  <si>
    <t>Hydroelectric</t>
  </si>
  <si>
    <t>Lighting and appliances</t>
  </si>
  <si>
    <t>Supply</t>
  </si>
  <si>
    <t>Demand</t>
  </si>
  <si>
    <t>I</t>
  </si>
  <si>
    <t>II</t>
  </si>
  <si>
    <t>III</t>
  </si>
  <si>
    <t>IV</t>
  </si>
  <si>
    <t>Vector</t>
  </si>
  <si>
    <t>Description</t>
  </si>
  <si>
    <t>Comment</t>
  </si>
  <si>
    <t>Category</t>
  </si>
  <si>
    <t>Subcategory</t>
  </si>
  <si>
    <t>Code</t>
  </si>
  <si>
    <t>Joules</t>
  </si>
  <si>
    <t>Unit</t>
  </si>
  <si>
    <t>PJ</t>
  </si>
  <si>
    <t>TWh</t>
  </si>
  <si>
    <t>kWh</t>
  </si>
  <si>
    <t>Mtoe</t>
  </si>
  <si>
    <t>toe</t>
  </si>
  <si>
    <t>therm</t>
  </si>
  <si>
    <t>Btu</t>
  </si>
  <si>
    <t>calorie</t>
  </si>
  <si>
    <t>GW y</t>
  </si>
  <si>
    <t>Unit.PJ</t>
  </si>
  <si>
    <t>Unit.kWh</t>
  </si>
  <si>
    <t>Unit.TWh</t>
  </si>
  <si>
    <t>Unit.toe</t>
  </si>
  <si>
    <t>Unit.Mtoe</t>
  </si>
  <si>
    <t>Unit.therm</t>
  </si>
  <si>
    <t>Unit.Btu</t>
  </si>
  <si>
    <t>Unit.calorie</t>
  </si>
  <si>
    <t>Unit.GWyear</t>
  </si>
  <si>
    <t>Biomatter</t>
  </si>
  <si>
    <t>Hydrogen</t>
  </si>
  <si>
    <t>V.06</t>
  </si>
  <si>
    <t>[1]</t>
  </si>
  <si>
    <t>TJ</t>
  </si>
  <si>
    <t>Unit.TJ</t>
  </si>
  <si>
    <t>Conversion Calculator</t>
  </si>
  <si>
    <t>is equivalent to</t>
  </si>
  <si>
    <t>Water</t>
  </si>
  <si>
    <t>Cooking</t>
  </si>
  <si>
    <t>[2]</t>
  </si>
  <si>
    <t>[3]</t>
  </si>
  <si>
    <t>Other</t>
  </si>
  <si>
    <t>Gaseous waste</t>
  </si>
  <si>
    <t>Coal</t>
  </si>
  <si>
    <t>Total</t>
  </si>
  <si>
    <t>Indigenous production</t>
  </si>
  <si>
    <t>Exports</t>
  </si>
  <si>
    <t>Primary demand</t>
  </si>
  <si>
    <t>Transfers</t>
  </si>
  <si>
    <t>Transformation</t>
  </si>
  <si>
    <t>Petroleum refineries</t>
  </si>
  <si>
    <t>Construction</t>
  </si>
  <si>
    <t>Air</t>
  </si>
  <si>
    <t>Agriculture</t>
  </si>
  <si>
    <t>ktoe</t>
  </si>
  <si>
    <t>Unit.ktoe</t>
  </si>
  <si>
    <t>Sector</t>
  </si>
  <si>
    <t>Oil</t>
  </si>
  <si>
    <t>Wood</t>
  </si>
  <si>
    <t>Sewage</t>
  </si>
  <si>
    <t>Landfill gas</t>
  </si>
  <si>
    <t>Liquid</t>
  </si>
  <si>
    <t>Production</t>
  </si>
  <si>
    <t>Total supply</t>
  </si>
  <si>
    <t>Transport</t>
  </si>
  <si>
    <t>Includes syngas (coke oven gas)</t>
  </si>
  <si>
    <t>Carbon-based fuels</t>
  </si>
  <si>
    <t>Blast furnace gas</t>
  </si>
  <si>
    <t>Coke oven gas</t>
  </si>
  <si>
    <t>Natural gas</t>
  </si>
  <si>
    <t>kWh/p/d (UK)</t>
  </si>
  <si>
    <t>Unit.kWh.p.d</t>
  </si>
  <si>
    <t xml:space="preserve"> </t>
  </si>
  <si>
    <t>Coke breeze</t>
  </si>
  <si>
    <t>Other manufactured solid fuel</t>
  </si>
  <si>
    <t>Coal (weighted average of all consumers)</t>
  </si>
  <si>
    <t>GJ</t>
  </si>
  <si>
    <t>Unit.GJ</t>
  </si>
  <si>
    <t>Coke</t>
  </si>
  <si>
    <t>Solid fuels</t>
  </si>
  <si>
    <t>Gasses</t>
  </si>
  <si>
    <t>Natural gas consumed</t>
  </si>
  <si>
    <t>Sewage gas</t>
  </si>
  <si>
    <t>Gross calorific values of selected fuels</t>
  </si>
  <si>
    <t>MJ</t>
  </si>
  <si>
    <t>Unit.MJ</t>
  </si>
  <si>
    <t>GWh</t>
  </si>
  <si>
    <t xml:space="preserve">Total </t>
  </si>
  <si>
    <t>Unit.GWh</t>
  </si>
  <si>
    <t>Name</t>
  </si>
  <si>
    <t>Name in formulae</t>
  </si>
  <si>
    <t>Petajoules</t>
  </si>
  <si>
    <t>Terajoules</t>
  </si>
  <si>
    <t>Gigajoules</t>
  </si>
  <si>
    <t>Megajoules</t>
  </si>
  <si>
    <t>Kilowatt-hours</t>
  </si>
  <si>
    <t>Kilowatt-hours per person per day</t>
  </si>
  <si>
    <t>Terawatt-hours</t>
  </si>
  <si>
    <t>Gigawatt-hours</t>
  </si>
  <si>
    <t>Tonnes of oil equivalent</t>
  </si>
  <si>
    <t>Kilotonnes of oil equivalent</t>
  </si>
  <si>
    <t>Megatonnes of oil equivalent</t>
  </si>
  <si>
    <t>Therms</t>
  </si>
  <si>
    <t>British Thermal Unit</t>
  </si>
  <si>
    <t>Calorie (NOT food calorie)</t>
  </si>
  <si>
    <t>Gigawatt-years</t>
  </si>
  <si>
    <t>Electricity (supplied to grid)</t>
  </si>
  <si>
    <t>Includes solid manufactured fuels (eg, coke)</t>
  </si>
  <si>
    <t>Includes refined liquid biofuels</t>
  </si>
  <si>
    <t>[1a]</t>
  </si>
  <si>
    <t>[4]</t>
  </si>
  <si>
    <t>Notes</t>
  </si>
  <si>
    <t>The energy content of the steam generated in the reactor</t>
  </si>
  <si>
    <t>Geosequestration</t>
  </si>
  <si>
    <t>[5]</t>
  </si>
  <si>
    <t>Industrial processes</t>
  </si>
  <si>
    <t>[6]</t>
  </si>
  <si>
    <t>[7]</t>
  </si>
  <si>
    <t>Hydrocarbon fuel power generation</t>
  </si>
  <si>
    <t>Nuclear power generation</t>
  </si>
  <si>
    <t>National renewable power generation</t>
  </si>
  <si>
    <t>[8]</t>
  </si>
  <si>
    <t>Energy consumption</t>
  </si>
  <si>
    <t xml:space="preserve">Wind </t>
  </si>
  <si>
    <t>Generation</t>
  </si>
  <si>
    <t>CCGT</t>
  </si>
  <si>
    <t>Nuclear power stations</t>
  </si>
  <si>
    <t>Consumption</t>
  </si>
  <si>
    <t>Net balance</t>
  </si>
  <si>
    <t>Total consumption</t>
  </si>
  <si>
    <t>Combustion emissions factors</t>
  </si>
  <si>
    <t>Industrial coal</t>
  </si>
  <si>
    <t>Diesel</t>
  </si>
  <si>
    <t>Commodity selected</t>
  </si>
  <si>
    <t>Heat energy as an energy transport vector (Includes Heat Sold in DUKES terminology)</t>
  </si>
  <si>
    <t>Includes both food and biofuels. The sign convention is that imports are negative (think of it as the change in stock held abroad)</t>
  </si>
  <si>
    <t>Gaseous hydrocarbons</t>
  </si>
  <si>
    <t>Global warming potentials</t>
  </si>
  <si>
    <t>GWP</t>
  </si>
  <si>
    <t>Carbon dioxide</t>
  </si>
  <si>
    <t>Methane</t>
  </si>
  <si>
    <t>Nitrous oxide</t>
  </si>
  <si>
    <t>HFCs</t>
  </si>
  <si>
    <t>PFCs</t>
  </si>
  <si>
    <r>
      <t>SF</t>
    </r>
    <r>
      <rPr>
        <vertAlign val="subscript"/>
        <sz val="10"/>
        <color theme="1"/>
        <rFont val="Cambria"/>
        <family val="1"/>
        <scheme val="minor"/>
      </rPr>
      <t>6</t>
    </r>
  </si>
  <si>
    <t>140 to 11,700</t>
  </si>
  <si>
    <t>6,500 to 9,200</t>
  </si>
  <si>
    <t>Review of Carbon Emissions Factors 2002 (Blast furnace gas)</t>
  </si>
  <si>
    <t>DUKES 2009 Annex A</t>
  </si>
  <si>
    <t xml:space="preserve">Sources: </t>
  </si>
  <si>
    <t>Source:</t>
  </si>
  <si>
    <t>UK GHG Inventory 2009, Table 1.1</t>
  </si>
  <si>
    <t>Note:</t>
  </si>
  <si>
    <t>GHG Inventory 2009, Table 1.A(a)</t>
  </si>
  <si>
    <t>CH4 and N2O emissions have been estimated using the ratios of emissions of each</t>
  </si>
  <si>
    <t>to the emissions of CO2 implied by Table 1.A(a) in the GHG inventory. This has</t>
  </si>
  <si>
    <t>been done separately for each form of fuel listed above</t>
  </si>
  <si>
    <r>
      <t>CO</t>
    </r>
    <r>
      <rPr>
        <b/>
        <vertAlign val="subscript"/>
        <sz val="10"/>
        <color theme="1"/>
        <rFont val="Cambria"/>
        <family val="1"/>
        <scheme val="minor"/>
      </rPr>
      <t>2</t>
    </r>
    <r>
      <rPr>
        <b/>
        <sz val="10"/>
        <color theme="1"/>
        <rFont val="Cambria"/>
        <family val="1"/>
        <scheme val="minor"/>
      </rPr>
      <t xml:space="preserve"> (Mt)</t>
    </r>
  </si>
  <si>
    <r>
      <t>CH</t>
    </r>
    <r>
      <rPr>
        <b/>
        <vertAlign val="subscript"/>
        <sz val="10"/>
        <color theme="1"/>
        <rFont val="Cambria"/>
        <family val="1"/>
        <scheme val="minor"/>
      </rPr>
      <t>4</t>
    </r>
    <r>
      <rPr>
        <b/>
        <sz val="10"/>
        <color theme="1"/>
        <rFont val="Cambria"/>
        <family val="1"/>
        <scheme val="minor"/>
      </rPr>
      <t xml:space="preserve"> (Mt CO</t>
    </r>
    <r>
      <rPr>
        <b/>
        <vertAlign val="subscript"/>
        <sz val="10"/>
        <color theme="1"/>
        <rFont val="Cambria"/>
        <family val="1"/>
        <scheme val="minor"/>
      </rPr>
      <t>2</t>
    </r>
    <r>
      <rPr>
        <b/>
        <sz val="10"/>
        <color theme="1"/>
        <rFont val="Cambria"/>
        <family val="1"/>
        <scheme val="minor"/>
      </rPr>
      <t>e)</t>
    </r>
  </si>
  <si>
    <r>
      <t>N</t>
    </r>
    <r>
      <rPr>
        <b/>
        <vertAlign val="subscript"/>
        <sz val="10"/>
        <color theme="1"/>
        <rFont val="Cambria"/>
        <family val="1"/>
        <scheme val="minor"/>
      </rPr>
      <t>2</t>
    </r>
    <r>
      <rPr>
        <b/>
        <sz val="10"/>
        <color theme="1"/>
        <rFont val="Cambria"/>
        <family val="1"/>
        <scheme val="minor"/>
      </rPr>
      <t>O (Mt CO</t>
    </r>
    <r>
      <rPr>
        <b/>
        <vertAlign val="subscript"/>
        <sz val="10"/>
        <color theme="1"/>
        <rFont val="Cambria"/>
        <family val="1"/>
        <scheme val="minor"/>
      </rPr>
      <t>2</t>
    </r>
    <r>
      <rPr>
        <b/>
        <sz val="10"/>
        <color theme="1"/>
        <rFont val="Cambria"/>
        <family val="1"/>
        <scheme val="minor"/>
      </rPr>
      <t>e)</t>
    </r>
  </si>
  <si>
    <t>Workstreams</t>
  </si>
  <si>
    <t>Workstream</t>
  </si>
  <si>
    <t>Comments</t>
  </si>
  <si>
    <t>V</t>
  </si>
  <si>
    <t>VI</t>
  </si>
  <si>
    <t>VII</t>
  </si>
  <si>
    <t>VIII</t>
  </si>
  <si>
    <t>XIV</t>
  </si>
  <si>
    <t>IX</t>
  </si>
  <si>
    <t>X</t>
  </si>
  <si>
    <t>XI</t>
  </si>
  <si>
    <t>XII</t>
  </si>
  <si>
    <t>XIII</t>
  </si>
  <si>
    <t>H2 Production</t>
  </si>
  <si>
    <t>Inputs</t>
  </si>
  <si>
    <t>Outputs</t>
  </si>
  <si>
    <t>Total secondary sources</t>
  </si>
  <si>
    <t>Total primary sources</t>
  </si>
  <si>
    <t>Secondary sources</t>
  </si>
  <si>
    <t>2007</t>
  </si>
  <si>
    <t>2010</t>
  </si>
  <si>
    <t>Energy is measured in:</t>
  </si>
  <si>
    <t>Power is measured in:</t>
  </si>
  <si>
    <t>Energy conversions</t>
  </si>
  <si>
    <t>Power conversions</t>
  </si>
  <si>
    <t>Watts</t>
  </si>
  <si>
    <t>GW</t>
  </si>
  <si>
    <t>kW</t>
  </si>
  <si>
    <t>Gigawatts</t>
  </si>
  <si>
    <t>Kilowatts</t>
  </si>
  <si>
    <t>Unit.GW</t>
  </si>
  <si>
    <t>Unit.kW</t>
  </si>
  <si>
    <t>MW</t>
  </si>
  <si>
    <t>Megawatts</t>
  </si>
  <si>
    <t>Unit.MW</t>
  </si>
  <si>
    <t>Mtoe/y</t>
  </si>
  <si>
    <t>Mtoe per year</t>
  </si>
  <si>
    <t>Unit.Mtoe.y</t>
  </si>
  <si>
    <t>Time conversions</t>
  </si>
  <si>
    <t>Seconds</t>
  </si>
  <si>
    <t>y</t>
  </si>
  <si>
    <t>Year</t>
  </si>
  <si>
    <t>Unit.year</t>
  </si>
  <si>
    <t>Fuel</t>
  </si>
  <si>
    <t>Transmission entry capacity</t>
  </si>
  <si>
    <t>Notes:</t>
  </si>
  <si>
    <t>CCGT and turbines</t>
  </si>
  <si>
    <t>2015</t>
  </si>
  <si>
    <t>2020</t>
  </si>
  <si>
    <t>2025</t>
  </si>
  <si>
    <t>2030</t>
  </si>
  <si>
    <t>2035</t>
  </si>
  <si>
    <t>2040</t>
  </si>
  <si>
    <t>2045</t>
  </si>
  <si>
    <t>2050</t>
  </si>
  <si>
    <t>Thermal efficiency (based on gross calorific values)</t>
  </si>
  <si>
    <t>Energy produced and required</t>
  </si>
  <si>
    <t>Plant type</t>
  </si>
  <si>
    <t>Methodology</t>
  </si>
  <si>
    <t>Equivalent to</t>
  </si>
  <si>
    <t>J</t>
  </si>
  <si>
    <t>Unit.J</t>
  </si>
  <si>
    <t>W</t>
  </si>
  <si>
    <t>Unit.W</t>
  </si>
  <si>
    <t>Gas-fired</t>
  </si>
  <si>
    <t>Own-use requirements (as percentage of generated electricity)</t>
  </si>
  <si>
    <t>Modules</t>
  </si>
  <si>
    <t>I.a</t>
  </si>
  <si>
    <t>Module</t>
  </si>
  <si>
    <t>WS Code</t>
  </si>
  <si>
    <t>Primary source</t>
  </si>
  <si>
    <t>Fossil fuels</t>
  </si>
  <si>
    <t>Uses</t>
  </si>
  <si>
    <t>V.07</t>
  </si>
  <si>
    <t>V.08</t>
  </si>
  <si>
    <t>V.09</t>
  </si>
  <si>
    <t>II.a</t>
  </si>
  <si>
    <t>Capacity</t>
  </si>
  <si>
    <t>= Available supply</t>
  </si>
  <si>
    <t>= Total generation</t>
  </si>
  <si>
    <t>+ Own-use requirements</t>
  </si>
  <si>
    <r>
      <rPr>
        <sz val="10"/>
        <color theme="1"/>
        <rFont val="Cambria"/>
        <family val="1"/>
      </rPr>
      <t>÷</t>
    </r>
    <r>
      <rPr>
        <sz val="10"/>
        <color theme="1"/>
        <rFont val="Cambria"/>
        <family val="1"/>
        <scheme val="minor"/>
      </rPr>
      <t xml:space="preserve"> Thermal efficiency</t>
    </r>
  </si>
  <si>
    <t>= Total input energy required</t>
  </si>
  <si>
    <t>Load factor</t>
  </si>
  <si>
    <t>VII.a</t>
  </si>
  <si>
    <t>Electricity grid distribution</t>
  </si>
  <si>
    <t>Electricity output from grid</t>
  </si>
  <si>
    <r>
      <rPr>
        <sz val="10"/>
        <color theme="1"/>
        <rFont val="Cambria"/>
        <family val="1"/>
      </rPr>
      <t>÷</t>
    </r>
    <r>
      <rPr>
        <sz val="10"/>
        <color theme="1"/>
        <rFont val="Cambria"/>
        <family val="1"/>
        <scheme val="minor"/>
      </rPr>
      <t xml:space="preserve"> (1</t>
    </r>
    <r>
      <rPr>
        <sz val="10"/>
        <color theme="1"/>
        <rFont val="Cambria"/>
        <family val="1"/>
      </rPr>
      <t>−</t>
    </r>
    <r>
      <rPr>
        <sz val="8"/>
        <color theme="1"/>
        <rFont val="Cambria"/>
        <family val="1"/>
      </rPr>
      <t>Losses)</t>
    </r>
  </si>
  <si>
    <r>
      <rPr>
        <sz val="10"/>
        <color theme="1"/>
        <rFont val="Arial"/>
        <family val="2"/>
      </rPr>
      <t>×</t>
    </r>
    <r>
      <rPr>
        <sz val="8"/>
        <color theme="1"/>
        <rFont val="Cambria"/>
        <family val="1"/>
      </rPr>
      <t xml:space="preserve"> Losses</t>
    </r>
  </si>
  <si>
    <t>Grid output</t>
  </si>
  <si>
    <t>= Total electricity input to grid</t>
  </si>
  <si>
    <t>= Distribution losses</t>
  </si>
  <si>
    <t>VII.b</t>
  </si>
  <si>
    <t>Based on ratio of 2007 losses to input primary oils from DUKES 2009</t>
  </si>
  <si>
    <t>Fixed assumptions</t>
  </si>
  <si>
    <t>DUKES 2009 imply negative conversion losses, so we have assumed conversion losses are actually zero post 2007</t>
  </si>
  <si>
    <t>Electricity required</t>
  </si>
  <si>
    <t>Liquid hydrocarbons own use</t>
  </si>
  <si>
    <t>Gasesous hydrocarbons required</t>
  </si>
  <si>
    <t>Available generation</t>
  </si>
  <si>
    <t>VII.c</t>
  </si>
  <si>
    <t>*</t>
  </si>
  <si>
    <t>Y.03</t>
  </si>
  <si>
    <t>Eg, pumped storage</t>
  </si>
  <si>
    <t>III.b</t>
  </si>
  <si>
    <t>Natural flow hydro (ie, excludes pumped storage)</t>
  </si>
  <si>
    <t>Capacity factor</t>
  </si>
  <si>
    <t>Installed capacity</t>
  </si>
  <si>
    <t>× Capacity factor</t>
  </si>
  <si>
    <t>III.c</t>
  </si>
  <si>
    <t>III.d</t>
  </si>
  <si>
    <t>Derived assumptions</t>
  </si>
  <si>
    <t>Population</t>
  </si>
  <si>
    <t>Households</t>
  </si>
  <si>
    <t>Global assumptions for all sectors</t>
  </si>
  <si>
    <t>GDP:</t>
  </si>
  <si>
    <t>GDP (2005 £m)</t>
  </si>
  <si>
    <t>Households:</t>
  </si>
  <si>
    <t>Populations:</t>
  </si>
  <si>
    <t>Sources</t>
  </si>
  <si>
    <t>IX.a</t>
  </si>
  <si>
    <t>Component</t>
  </si>
  <si>
    <t>Technology</t>
  </si>
  <si>
    <t>Years prior to 2031 linearly interpolated from figures given; Post 2031, growth is assumed to be 1.00% pa, consistent with average trend 2006-2031</t>
  </si>
  <si>
    <t>×</t>
  </si>
  <si>
    <t>=</t>
  </si>
  <si>
    <t>%</t>
  </si>
  <si>
    <t>District heating</t>
  </si>
  <si>
    <t>Heat transport</t>
  </si>
  <si>
    <t>Number of households</t>
  </si>
  <si>
    <t>−</t>
  </si>
  <si>
    <t>I.b</t>
  </si>
  <si>
    <t>Capacity factor assumes no energy spilled</t>
  </si>
  <si>
    <t>Onshore wind</t>
  </si>
  <si>
    <t>Offshore wind</t>
  </si>
  <si>
    <t>Includes all power producers (not just major power producers)</t>
  </si>
  <si>
    <t>Total wind capacity</t>
  </si>
  <si>
    <t>Total generation</t>
  </si>
  <si>
    <t>See module writeup for assumptions and derivation</t>
  </si>
  <si>
    <t>XI.a</t>
  </si>
  <si>
    <t>Emissions</t>
  </si>
  <si>
    <t>XII.a</t>
  </si>
  <si>
    <t>Liquids</t>
  </si>
  <si>
    <t>Petroleum products (weighted average)</t>
  </si>
  <si>
    <t>DUKES 2009 (figures are for fuels in 2008)</t>
  </si>
  <si>
    <t>kg / litre</t>
  </si>
  <si>
    <t>Motor spirit</t>
  </si>
  <si>
    <t>Diesel (DERV)</t>
  </si>
  <si>
    <t>Densities of selected fuels</t>
  </si>
  <si>
    <t>Liquid fuels</t>
  </si>
  <si>
    <t>DUKES 2009, Annex A</t>
  </si>
  <si>
    <t>Motor spirit (all grades)</t>
  </si>
  <si>
    <t>DERV</t>
  </si>
  <si>
    <t>Energy content</t>
  </si>
  <si>
    <t>XII.b</t>
  </si>
  <si>
    <t>litres</t>
  </si>
  <si>
    <t>Electric</t>
  </si>
  <si>
    <t>XII.c</t>
  </si>
  <si>
    <t>Aviation turbine fuel (ATF)</t>
  </si>
  <si>
    <t>VI.a</t>
  </si>
  <si>
    <t>Includes plant and animal biomass</t>
  </si>
  <si>
    <t>Includes manure, sewage sludge, domestic food waste</t>
  </si>
  <si>
    <t>V.10</t>
  </si>
  <si>
    <t>% of demand</t>
  </si>
  <si>
    <t>None in 2007</t>
  </si>
  <si>
    <t>Total adjust.</t>
  </si>
  <si>
    <t>Adjustments</t>
  </si>
  <si>
    <t>IX.c</t>
  </si>
  <si>
    <t>Total Domestic</t>
  </si>
  <si>
    <t>Total Commercial</t>
  </si>
  <si>
    <t>Total uses</t>
  </si>
  <si>
    <t>X.a</t>
  </si>
  <si>
    <t>X.b</t>
  </si>
  <si>
    <t>Domestic lighting, appliances, and cooking</t>
  </si>
  <si>
    <t>Commercial lighting, appliances, and catering</t>
  </si>
  <si>
    <t>International aviation</t>
  </si>
  <si>
    <t>Domestic aviation</t>
  </si>
  <si>
    <t>XII.e</t>
  </si>
  <si>
    <t>International shipping (maritime bunkers)</t>
  </si>
  <si>
    <t>V.a</t>
  </si>
  <si>
    <t>Agriculture and waste</t>
  </si>
  <si>
    <t>VI.b</t>
  </si>
  <si>
    <t>XV</t>
  </si>
  <si>
    <t>Fossil fuel production</t>
  </si>
  <si>
    <t>XV.a</t>
  </si>
  <si>
    <t>Primary oil</t>
  </si>
  <si>
    <t>Final liquid hydrocarbons produced</t>
  </si>
  <si>
    <t>Own use</t>
  </si>
  <si>
    <t>IV.a</t>
  </si>
  <si>
    <t>VIII.a</t>
  </si>
  <si>
    <t>Electricity distribution, storage, and balancing</t>
  </si>
  <si>
    <t>Grid distribution losses</t>
  </si>
  <si>
    <t>Transfer electricity from V.02 to V.01 to match total V.01 required, accounting for conversion losses</t>
  </si>
  <si>
    <t>Distribution, storage, and balancing</t>
  </si>
  <si>
    <t>XV.b</t>
  </si>
  <si>
    <t>Indigenous fossil-fuel production</t>
  </si>
  <si>
    <t>Y.04</t>
  </si>
  <si>
    <t>Y.05</t>
  </si>
  <si>
    <t>Y.06</t>
  </si>
  <si>
    <t>Oil and gas extraction requirements (% of production)</t>
  </si>
  <si>
    <t>Based on ratio of 2007 energy requirements to oil production from DUKES 2009</t>
  </si>
  <si>
    <t>Coal extraction requirements (% of production)</t>
  </si>
  <si>
    <t>Based on ratio of 2007 energy requirements to coal production from DUKES 2009</t>
  </si>
  <si>
    <t>Reserves</t>
  </si>
  <si>
    <t>Q.01</t>
  </si>
  <si>
    <t>Q.02</t>
  </si>
  <si>
    <t>Q.03</t>
  </si>
  <si>
    <t>Coal reserves</t>
  </si>
  <si>
    <t>Oil reserves</t>
  </si>
  <si>
    <t>Compute coal production</t>
  </si>
  <si>
    <t>Compute oil and gas production</t>
  </si>
  <si>
    <t>Coal production</t>
  </si>
  <si>
    <t>Electricity use</t>
  </si>
  <si>
    <t>Gasesous hydrocarbon use</t>
  </si>
  <si>
    <t>Oil production</t>
  </si>
  <si>
    <t>Gas production</t>
  </si>
  <si>
    <t>Solid hydrocarbon use</t>
  </si>
  <si>
    <t>XVI</t>
  </si>
  <si>
    <t>XVI.a</t>
  </si>
  <si>
    <t>XVI.b</t>
  </si>
  <si>
    <t>Fossil fuel transfers</t>
  </si>
  <si>
    <t>Total Dist'n, storage, and balancing</t>
  </si>
  <si>
    <t>Computed within this worksheet</t>
  </si>
  <si>
    <t>Road transport</t>
  </si>
  <si>
    <t>Rail transport</t>
  </si>
  <si>
    <t>Total Primary Supply</t>
  </si>
  <si>
    <t>Conversion losses, distribution, and own use</t>
  </si>
  <si>
    <t>Supply net of losses</t>
  </si>
  <si>
    <t>Gas reserves</t>
  </si>
  <si>
    <t>Supply, Demand, and Unaccounted supply</t>
  </si>
  <si>
    <t>A.01</t>
  </si>
  <si>
    <t>Food and biomatter production</t>
  </si>
  <si>
    <t>Agriculture, waste, and biomatter imports</t>
  </si>
  <si>
    <t>Net balance (should be zero!)</t>
  </si>
  <si>
    <t>GCV of diesel</t>
  </si>
  <si>
    <t>Crude oil (weighted average)</t>
  </si>
  <si>
    <t>Natural gas produced</t>
  </si>
  <si>
    <t>Oil and gas production up to 2015 taken from DECC projections as af October 2009. See: https://www.og.decc.gov.uk/information/bb_updates/chapters/production_projections.pdf</t>
  </si>
  <si>
    <t>Thereafter decline assumed to be 4.5% pa (which is DECC projections out to 2025)</t>
  </si>
  <si>
    <t>Coal production assumed to be constant at 2007 levels. (Approximately the trend show in the Analytical Annex to the Low Carbon Transition Plan)</t>
  </si>
  <si>
    <t>IPCC Sector</t>
  </si>
  <si>
    <t>Fuel Combustion</t>
  </si>
  <si>
    <t>Industrial Processes</t>
  </si>
  <si>
    <t>Solvent and Other Product Use</t>
  </si>
  <si>
    <t>Sector_code</t>
  </si>
  <si>
    <t>Sector_description</t>
  </si>
  <si>
    <t>IPCC Emissions Sectors</t>
  </si>
  <si>
    <t>X1</t>
  </si>
  <si>
    <t>X2</t>
  </si>
  <si>
    <t>Greenhouse gasses</t>
  </si>
  <si>
    <t>GHG_code</t>
  </si>
  <si>
    <t>GHG_description</t>
  </si>
  <si>
    <t>CO2</t>
  </si>
  <si>
    <t>CH4</t>
  </si>
  <si>
    <t>N2O</t>
  </si>
  <si>
    <t>F</t>
  </si>
  <si>
    <t>CO_2</t>
  </si>
  <si>
    <t>CH_4</t>
  </si>
  <si>
    <t>N_2O</t>
  </si>
  <si>
    <t>HFCs, PFCs, and SF_6</t>
  </si>
  <si>
    <t>Primary Sources</t>
  </si>
  <si>
    <t>1B</t>
  </si>
  <si>
    <t>1A</t>
  </si>
  <si>
    <t>Fugitive Emissions from Fuels</t>
  </si>
  <si>
    <r>
      <t>Emissions (Mt CO</t>
    </r>
    <r>
      <rPr>
        <b/>
        <vertAlign val="subscript"/>
        <sz val="18"/>
        <color theme="1"/>
        <rFont val="Calibri"/>
        <family val="2"/>
        <scheme val="major"/>
      </rPr>
      <t>2</t>
    </r>
    <r>
      <rPr>
        <b/>
        <sz val="18"/>
        <color theme="1"/>
        <rFont val="Calibri"/>
        <family val="2"/>
        <scheme val="major"/>
      </rPr>
      <t>e)</t>
    </r>
  </si>
  <si>
    <t>Assumed combustion emissions factors</t>
  </si>
  <si>
    <t>Industrial coal EF</t>
  </si>
  <si>
    <t>Diesel EF</t>
  </si>
  <si>
    <t>Natural gas EF</t>
  </si>
  <si>
    <t>GHG</t>
  </si>
  <si>
    <t>Emissions produced</t>
  </si>
  <si>
    <t>Mt CO2e</t>
  </si>
  <si>
    <r>
      <t>Mt CO</t>
    </r>
    <r>
      <rPr>
        <vertAlign val="subscript"/>
        <sz val="10"/>
        <color theme="1"/>
        <rFont val="Cambria"/>
        <family val="1"/>
        <scheme val="minor"/>
      </rPr>
      <t>2</t>
    </r>
    <r>
      <rPr>
        <sz val="10"/>
        <color theme="1"/>
        <rFont val="Cambria"/>
        <family val="1"/>
        <scheme val="minor"/>
      </rPr>
      <t>e</t>
    </r>
  </si>
  <si>
    <t>Combustion emissions</t>
  </si>
  <si>
    <t>X3</t>
  </si>
  <si>
    <t>% pa</t>
  </si>
  <si>
    <t>See sheet {Mappings} for mapping of industry classification used here to DUKES classifications</t>
  </si>
  <si>
    <t>Electricity is net of that produced by autogeneration for own use (see DUKES Table 1.9)</t>
  </si>
  <si>
    <t>Source: GHG Inventory 2009</t>
  </si>
  <si>
    <t>Source: DUKES 2009</t>
  </si>
  <si>
    <t>See module writeup for explanation and assumptions</t>
  </si>
  <si>
    <t>Compute process emissions</t>
  </si>
  <si>
    <t>Energy demand multiplier</t>
  </si>
  <si>
    <t>(i)</t>
  </si>
  <si>
    <t>(ii)</t>
  </si>
  <si>
    <t>(iii)</t>
  </si>
  <si>
    <t>(iv)</t>
  </si>
  <si>
    <t>Compute combustion emissions</t>
  </si>
  <si>
    <t>3. COMBUSTION EMISSIONS</t>
  </si>
  <si>
    <t>Not applicable to the UK</t>
  </si>
  <si>
    <t>COAL PRODUCTION</t>
  </si>
  <si>
    <t>OIL AND GAS PRODUCTION</t>
  </si>
  <si>
    <t>Compute emissions</t>
  </si>
  <si>
    <t>EMISSIONS</t>
  </si>
  <si>
    <t>Emissions notes</t>
  </si>
  <si>
    <t>Fugitive emissions from fuels</t>
  </si>
  <si>
    <t>1B2a</t>
  </si>
  <si>
    <t>1B2b</t>
  </si>
  <si>
    <t>Natural Gas</t>
  </si>
  <si>
    <t>1B1a</t>
  </si>
  <si>
    <t>Coal Mining and Handling</t>
  </si>
  <si>
    <t>1B1b</t>
  </si>
  <si>
    <t>Solid Fuel Transformation</t>
  </si>
  <si>
    <t>1B1c</t>
  </si>
  <si>
    <t>1B2c</t>
  </si>
  <si>
    <t>1B2d</t>
  </si>
  <si>
    <t>Venting and Flaring</t>
  </si>
  <si>
    <t>Majority are methane emissions from coal mining</t>
  </si>
  <si>
    <t>Small compared to 1B1a</t>
  </si>
  <si>
    <t>Small compared to 1B2b and 1B2c</t>
  </si>
  <si>
    <t>Majority are CO2 emissions from flaring</t>
  </si>
  <si>
    <t>Modelled driver is coal production</t>
  </si>
  <si>
    <t>Modelled driver is oil production</t>
  </si>
  <si>
    <t>Majority are methane emissions from distributed gas</t>
  </si>
  <si>
    <t>Modelled driver is gas consumption</t>
  </si>
  <si>
    <t>Compute conversions and losses</t>
  </si>
  <si>
    <t>CONVERSIONS AND LOSSES</t>
  </si>
  <si>
    <t>Emissions from own-use requirements</t>
  </si>
  <si>
    <t>Compute fugitive emissions from production</t>
  </si>
  <si>
    <t>Fugitive emissions from production</t>
  </si>
  <si>
    <t>Methane from coal mining</t>
  </si>
  <si>
    <t>M tonnes</t>
  </si>
  <si>
    <t>Source: GHG Inventory 2009, Table 1.</t>
  </si>
  <si>
    <t>1B2</t>
  </si>
  <si>
    <t>Methane emissions from 1B1a (Coal Mining) and CO2 emissions from 1B2 (Oil and Gas) respectively</t>
  </si>
  <si>
    <t>Includes distribution losses for gas</t>
  </si>
  <si>
    <t>Hydrocarbon requirements</t>
  </si>
  <si>
    <t>Gas distribution losses</t>
  </si>
  <si>
    <t>Requested hydrocarbons</t>
  </si>
  <si>
    <t>Fugitive emissions from gas</t>
  </si>
  <si>
    <t>Source: Greenhouse Gas Inventory 2009, Table 1</t>
  </si>
  <si>
    <t>Coal required</t>
  </si>
  <si>
    <t>Gasesous hydrocarbon required</t>
  </si>
  <si>
    <t>+</t>
  </si>
  <si>
    <t>distribution losses</t>
  </si>
  <si>
    <t>Natural gas required</t>
  </si>
  <si>
    <t>Losses in gas distribution are made up of metering differences, leakage, own use, and theft (see DUKES 2009 paragraph 4.50)</t>
  </si>
  <si>
    <t>We assume leakage is what is computed by the IPCC emissions sector 1B2b (fugitive emissions). These are assumed to be proportional to consumption</t>
  </si>
  <si>
    <t>% of total consumption</t>
  </si>
  <si>
    <t>Dummy for charting uses</t>
  </si>
  <si>
    <t>Dummy for charting supply</t>
  </si>
  <si>
    <t>Fugitive methane from coal mining</t>
  </si>
  <si>
    <t>Fugitive CO2 from Oil and Gas production</t>
  </si>
  <si>
    <t>Combustion emissions from own use</t>
  </si>
  <si>
    <t>Supply / demand not accounted for</t>
  </si>
  <si>
    <t>Total unnaccounted supply / demand</t>
  </si>
  <si>
    <t>Total electricity grid</t>
  </si>
  <si>
    <t>Electricity Generation</t>
  </si>
  <si>
    <t>Total households</t>
  </si>
  <si>
    <t>Nuclear fission</t>
  </si>
  <si>
    <t>See module writeup for assumptions</t>
  </si>
  <si>
    <r>
      <t>m</t>
    </r>
    <r>
      <rPr>
        <vertAlign val="superscript"/>
        <sz val="10"/>
        <color theme="1"/>
        <rFont val="Cambria"/>
        <family val="1"/>
        <scheme val="minor"/>
      </rPr>
      <t>2</t>
    </r>
  </si>
  <si>
    <t>Assumption</t>
  </si>
  <si>
    <t>Units</t>
  </si>
  <si>
    <t>Value</t>
  </si>
  <si>
    <r>
      <t>W / m</t>
    </r>
    <r>
      <rPr>
        <vertAlign val="superscript"/>
        <sz val="10"/>
        <color theme="1"/>
        <rFont val="Cambria"/>
        <family val="1"/>
        <scheme val="minor"/>
      </rPr>
      <t>2</t>
    </r>
  </si>
  <si>
    <t>Solar energy:</t>
  </si>
  <si>
    <r>
      <t xml:space="preserve">MacKay, </t>
    </r>
    <r>
      <rPr>
        <i/>
        <sz val="10"/>
        <color theme="1"/>
        <rFont val="Cambria"/>
        <family val="1"/>
        <scheme val="minor"/>
      </rPr>
      <t>Sustainable Energy -- without the hot air</t>
    </r>
    <r>
      <rPr>
        <sz val="10"/>
        <color theme="1"/>
        <rFont val="Cambria"/>
        <family val="1"/>
        <scheme val="minor"/>
      </rPr>
      <t xml:space="preserve">; originally from NASA, </t>
    </r>
    <r>
      <rPr>
        <i/>
        <sz val="10"/>
        <color theme="1"/>
        <rFont val="Cambria"/>
        <family val="1"/>
        <scheme val="minor"/>
      </rPr>
      <t>Surface meteorology and Solar Energy</t>
    </r>
  </si>
  <si>
    <t>Efficiency</t>
  </si>
  <si>
    <t>Available supply</t>
  </si>
  <si>
    <r>
      <t>m</t>
    </r>
    <r>
      <rPr>
        <i/>
        <vertAlign val="superscript"/>
        <sz val="10"/>
        <color theme="1"/>
        <rFont val="Cambria"/>
        <family val="1"/>
        <scheme val="minor"/>
      </rPr>
      <t>2</t>
    </r>
  </si>
  <si>
    <t>Chosen</t>
  </si>
  <si>
    <t>Commercial heating and cooling</t>
  </si>
  <si>
    <t>Growth pa</t>
  </si>
  <si>
    <t>Energy form</t>
  </si>
  <si>
    <t>IV.b</t>
  </si>
  <si>
    <t>Total electricity supply (demand) to this point</t>
  </si>
  <si>
    <t>Total electricity supply (demand) prior to generation</t>
  </si>
  <si>
    <t>XVII</t>
  </si>
  <si>
    <t>District heating effective demand</t>
  </si>
  <si>
    <t>XVII.a</t>
  </si>
  <si>
    <t>Mode</t>
  </si>
  <si>
    <t>Passenger-km (bn)</t>
  </si>
  <si>
    <t>(i) Demand</t>
  </si>
  <si>
    <t>Trajectory</t>
  </si>
  <si>
    <t>Trajectory choice</t>
  </si>
  <si>
    <t>Trajectory assumptions</t>
  </si>
  <si>
    <t>Overall Trajectory</t>
  </si>
  <si>
    <t>Trajectory selection</t>
  </si>
  <si>
    <t>Choice of Trajectory</t>
  </si>
  <si>
    <t>Trajectories 1-4 assume effect of smart meters of 0, 5, 10, 15% respectively</t>
  </si>
  <si>
    <t>Pedal cycles</t>
  </si>
  <si>
    <t>Total Passenger-km</t>
  </si>
  <si>
    <t>Breakdown, passenger-km</t>
  </si>
  <si>
    <t>Domestic passenger transport</t>
  </si>
  <si>
    <t>Domestic freight</t>
  </si>
  <si>
    <t>CAR</t>
  </si>
  <si>
    <t>BUS</t>
  </si>
  <si>
    <t>BIKE</t>
  </si>
  <si>
    <t>RAIL</t>
  </si>
  <si>
    <t>AIR</t>
  </si>
  <si>
    <t>EV</t>
  </si>
  <si>
    <t>Breakdown by mode</t>
  </si>
  <si>
    <r>
      <t xml:space="preserve">In our model, </t>
    </r>
    <r>
      <rPr>
        <i/>
        <sz val="10"/>
        <color theme="1"/>
        <rFont val="Cambria"/>
        <family val="1"/>
        <scheme val="minor"/>
      </rPr>
      <t>includes</t>
    </r>
    <r>
      <rPr>
        <sz val="10"/>
        <color theme="1"/>
        <rFont val="Cambria"/>
        <family val="1"/>
        <scheme val="minor"/>
      </rPr>
      <t xml:space="preserve"> biofuel combustion emissions. See sector X2</t>
    </r>
  </si>
  <si>
    <t>Sequestration due to bioenergy crops should be included under X2</t>
  </si>
  <si>
    <t>X1 is not an IPCC sectoral code. Includes domestic aviation</t>
  </si>
  <si>
    <t>Passenger-km per person</t>
  </si>
  <si>
    <t>(i) Total travel demand / person</t>
  </si>
  <si>
    <t>km</t>
  </si>
  <si>
    <t>bn passenger-km</t>
  </si>
  <si>
    <t>bn vehicle-km</t>
  </si>
  <si>
    <t>Road freight</t>
  </si>
  <si>
    <t>Compute energy content of diesel rail</t>
  </si>
  <si>
    <t>Select electric rail scenario</t>
  </si>
  <si>
    <t>Compute energy content of diesel road</t>
  </si>
  <si>
    <t>Rail freight</t>
  </si>
  <si>
    <t>HGV Internal Combustion Engine Efficiency</t>
  </si>
  <si>
    <t>Select marine energy scenario</t>
  </si>
  <si>
    <t>Average of Rigid and Articulated efficiency, at 50/50 split, adjusted to gross-calorific values</t>
  </si>
  <si>
    <t>Rail freight, diesel fuel use</t>
  </si>
  <si>
    <t>Rail freight, electricity use</t>
  </si>
  <si>
    <t>Diesel-fuelled</t>
  </si>
  <si>
    <t>International bunkers (CO2 only)</t>
  </si>
  <si>
    <t>Passenger-km per person per year</t>
  </si>
  <si>
    <t>Buses</t>
  </si>
  <si>
    <t>Domestic air travel</t>
  </si>
  <si>
    <t>% of passenger-km</t>
  </si>
  <si>
    <t>DIESEL</t>
  </si>
  <si>
    <t>ELECTRIC</t>
  </si>
  <si>
    <t>Mode shares</t>
  </si>
  <si>
    <t>Technology penetrations by mode</t>
  </si>
  <si>
    <t>Compute passenger-km by mode</t>
  </si>
  <si>
    <t>Compute passenger-km by mode / technology</t>
  </si>
  <si>
    <t>Compute energy use by mode and vector</t>
  </si>
  <si>
    <t>Breakdown, by mode and technology</t>
  </si>
  <si>
    <t>% passenger-km</t>
  </si>
  <si>
    <t>Petrol / Diesel</t>
  </si>
  <si>
    <t>Compute transport demand and emissions</t>
  </si>
  <si>
    <t>Non-traction electricity use</t>
  </si>
  <si>
    <t>Oil and petroleum products</t>
  </si>
  <si>
    <t>LULUCF</t>
  </si>
  <si>
    <t>A</t>
  </si>
  <si>
    <t>B</t>
  </si>
  <si>
    <t>C</t>
  </si>
  <si>
    <t>D</t>
  </si>
  <si>
    <t>Waste arising</t>
  </si>
  <si>
    <t>Type</t>
  </si>
  <si>
    <t>Municiple Solid Waste</t>
  </si>
  <si>
    <t>Commerical and Industrial</t>
  </si>
  <si>
    <t>[1b]</t>
  </si>
  <si>
    <t>Sewage sludge</t>
  </si>
  <si>
    <t>C&amp;I</t>
  </si>
  <si>
    <t>% of residual, by source</t>
  </si>
  <si>
    <t>Biogenic, dry</t>
  </si>
  <si>
    <t>Biogenic, wet</t>
  </si>
  <si>
    <t>Non-biogenic, combustible</t>
  </si>
  <si>
    <t>odt, millions</t>
  </si>
  <si>
    <t>Energy</t>
  </si>
  <si>
    <t>Solid</t>
  </si>
  <si>
    <t>Sewage. dry</t>
  </si>
  <si>
    <t>Scenario</t>
  </si>
  <si>
    <t>Total waste arising</t>
  </si>
  <si>
    <t>Source</t>
  </si>
  <si>
    <t>EF</t>
  </si>
  <si>
    <t>Available for energy</t>
  </si>
  <si>
    <r>
      <t>Mt CO</t>
    </r>
    <r>
      <rPr>
        <b/>
        <vertAlign val="subscript"/>
        <sz val="10"/>
        <color theme="1"/>
        <rFont val="Cambria"/>
        <family val="1"/>
        <scheme val="minor"/>
      </rPr>
      <t>2</t>
    </r>
    <r>
      <rPr>
        <b/>
        <sz val="10"/>
        <color theme="1"/>
        <rFont val="Cambria"/>
        <family val="1"/>
        <scheme val="minor"/>
      </rPr>
      <t>e</t>
    </r>
  </si>
  <si>
    <t>GCV of methane</t>
  </si>
  <si>
    <t>GCV</t>
  </si>
  <si>
    <r>
      <t>From DUKES GCV of natural gas (produced), assuming density of 0.717 kg/m</t>
    </r>
    <r>
      <rPr>
        <vertAlign val="superscript"/>
        <sz val="10"/>
        <rFont val="Cambria"/>
        <family val="1"/>
        <scheme val="minor"/>
      </rPr>
      <t>3</t>
    </r>
  </si>
  <si>
    <r>
      <t>Mt CH</t>
    </r>
    <r>
      <rPr>
        <b/>
        <vertAlign val="subscript"/>
        <sz val="10"/>
        <color theme="1"/>
        <rFont val="Cambria"/>
        <family val="1"/>
        <scheme val="minor"/>
      </rPr>
      <t>4</t>
    </r>
  </si>
  <si>
    <t>Methane from landfills</t>
  </si>
  <si>
    <t>Sewage sludge arising</t>
  </si>
  <si>
    <t>Methane emissions from sewage</t>
  </si>
  <si>
    <t>Nitrous oxide emissions from sewage</t>
  </si>
  <si>
    <t>Primary supply, format for web-based interface</t>
  </si>
  <si>
    <t>Dry biomatter and waste</t>
  </si>
  <si>
    <t>Wet biomatter and waste</t>
  </si>
  <si>
    <t>All forms of waste</t>
  </si>
  <si>
    <t>Emissions credit for injection of biogas into system</t>
  </si>
  <si>
    <t>Land use</t>
  </si>
  <si>
    <t>Settlements</t>
  </si>
  <si>
    <t>Forests</t>
  </si>
  <si>
    <t>"Carrying on"</t>
  </si>
  <si>
    <t>"Breakthrough"</t>
  </si>
  <si>
    <t>"Biomass"</t>
  </si>
  <si>
    <t>Crop</t>
  </si>
  <si>
    <t>Livestock numbers</t>
  </si>
  <si>
    <t>Dairy cows</t>
  </si>
  <si>
    <t>Poultry</t>
  </si>
  <si>
    <t>E</t>
  </si>
  <si>
    <t>G</t>
  </si>
  <si>
    <t>Livestock numbers, base year</t>
  </si>
  <si>
    <t>Thousand head</t>
  </si>
  <si>
    <t>All other</t>
  </si>
  <si>
    <t>Yields, base year</t>
  </si>
  <si>
    <t>Straw from food / biocrops</t>
  </si>
  <si>
    <t>Wood from managed forests</t>
  </si>
  <si>
    <t>Manure, (non-poultry livestock)</t>
  </si>
  <si>
    <t>odt / head</t>
  </si>
  <si>
    <t>Animal</t>
  </si>
  <si>
    <t>Meat (non-poultry livestock)</t>
  </si>
  <si>
    <t>kg / head</t>
  </si>
  <si>
    <t>Meat (poultry)</t>
  </si>
  <si>
    <t>kg / bird</t>
  </si>
  <si>
    <t>Milk</t>
  </si>
  <si>
    <t>litres / cow</t>
  </si>
  <si>
    <t>Eggs</t>
  </si>
  <si>
    <t>eggs / chicken</t>
  </si>
  <si>
    <t>Yield intensities</t>
  </si>
  <si>
    <t>Various units (output per unit of productive capacity)</t>
  </si>
  <si>
    <t>Enteric fermentation</t>
  </si>
  <si>
    <t>Manure management</t>
  </si>
  <si>
    <t>Soil management</t>
  </si>
  <si>
    <t>Compute production of waste</t>
  </si>
  <si>
    <t>Manure</t>
  </si>
  <si>
    <t>Straw</t>
  </si>
  <si>
    <t>Grain / beet crops</t>
  </si>
  <si>
    <t>million  odt</t>
  </si>
  <si>
    <t>million odt</t>
  </si>
  <si>
    <t>Effective efficiency</t>
  </si>
  <si>
    <t>Manure arising</t>
  </si>
  <si>
    <t>Fraction collected</t>
  </si>
  <si>
    <t>Straw collection</t>
  </si>
  <si>
    <t>% collected</t>
  </si>
  <si>
    <t>Manure collection</t>
  </si>
  <si>
    <t>Manure, fraction deposited as slurry</t>
  </si>
  <si>
    <t>Fraction deposited as slurry</t>
  </si>
  <si>
    <t>Energy (grain / beet biocrops)</t>
  </si>
  <si>
    <t>Energy (SRC biocrops)</t>
  </si>
  <si>
    <t>Energy (straw)</t>
  </si>
  <si>
    <t>Energy (wood waste)</t>
  </si>
  <si>
    <t>Energy (manure)</t>
  </si>
  <si>
    <t>Soil use</t>
  </si>
  <si>
    <t>Total emissions</t>
  </si>
  <si>
    <t>Kyoto agreed sectors</t>
  </si>
  <si>
    <t>Actuals, GHG Inv.</t>
  </si>
  <si>
    <t>Available biomatter</t>
  </si>
  <si>
    <t>Waste conversion scenarios</t>
  </si>
  <si>
    <t>From:</t>
  </si>
  <si>
    <t>% efficiency</t>
  </si>
  <si>
    <t>Source: Project 2050 estimates</t>
  </si>
  <si>
    <t>Dry to solids by pelletisation</t>
  </si>
  <si>
    <t>Dry to gas by gasification and methanation; Wet to gas by anaerobic digestion</t>
  </si>
  <si>
    <t>Convert dry biomatter</t>
  </si>
  <si>
    <t>Convert wet biomatter</t>
  </si>
  <si>
    <t>conversion efficiency</t>
  </si>
  <si>
    <t>Compute emissions credit</t>
  </si>
  <si>
    <t>Growth in energy demand multiplier</t>
  </si>
  <si>
    <t>Growth in output index [1]</t>
  </si>
  <si>
    <t>Output index</t>
  </si>
  <si>
    <t>DIESEL RAIL</t>
  </si>
  <si>
    <t>ELECTRIC RAIL</t>
  </si>
  <si>
    <t>COMBUSTION EMISSIONS</t>
  </si>
  <si>
    <t>Growth, pa</t>
  </si>
  <si>
    <t>Energy split by vector</t>
  </si>
  <si>
    <t>Compute energy demand by vector</t>
  </si>
  <si>
    <t>1. ENERGY DEMAND BY VECTOR</t>
  </si>
  <si>
    <t>Total energy use = output index × demand multiplier</t>
  </si>
  <si>
    <r>
      <t xml:space="preserve">Demand by vector = Total </t>
    </r>
    <r>
      <rPr>
        <i/>
        <sz val="10"/>
        <color theme="1"/>
        <rFont val="Arial"/>
        <family val="2"/>
      </rPr>
      <t>×</t>
    </r>
    <r>
      <rPr>
        <i/>
        <sz val="10"/>
        <color theme="1"/>
        <rFont val="Cambria"/>
        <family val="1"/>
      </rPr>
      <t xml:space="preserve"> split by vector</t>
    </r>
  </si>
  <si>
    <t>2. PROCESS EMISSIONS</t>
  </si>
  <si>
    <t>Growth in process emissions intensity</t>
  </si>
  <si>
    <t>Process emissions intensity</t>
  </si>
  <si>
    <t>Total F-gases</t>
  </si>
  <si>
    <r>
      <t>Total N</t>
    </r>
    <r>
      <rPr>
        <b/>
        <vertAlign val="subscript"/>
        <sz val="10"/>
        <color theme="1"/>
        <rFont val="Cambria"/>
        <family val="1"/>
        <scheme val="minor"/>
      </rPr>
      <t>2</t>
    </r>
    <r>
      <rPr>
        <b/>
        <sz val="10"/>
        <color theme="1"/>
        <rFont val="Cambria"/>
        <family val="1"/>
        <scheme val="minor"/>
      </rPr>
      <t>O</t>
    </r>
  </si>
  <si>
    <r>
      <t>Total CH</t>
    </r>
    <r>
      <rPr>
        <b/>
        <vertAlign val="subscript"/>
        <sz val="10"/>
        <color theme="1"/>
        <rFont val="Cambria"/>
        <family val="1"/>
        <scheme val="minor"/>
      </rPr>
      <t>4</t>
    </r>
  </si>
  <si>
    <r>
      <t>Total CO</t>
    </r>
    <r>
      <rPr>
        <b/>
        <vertAlign val="subscript"/>
        <sz val="10"/>
        <color theme="1"/>
        <rFont val="Cambria"/>
        <family val="1"/>
        <scheme val="minor"/>
      </rPr>
      <t>2</t>
    </r>
  </si>
  <si>
    <t>Compute CCS impact</t>
  </si>
  <si>
    <r>
      <t>Mt CO</t>
    </r>
    <r>
      <rPr>
        <vertAlign val="subscript"/>
        <sz val="10"/>
        <color theme="1"/>
        <rFont val="Cambria"/>
        <family val="1"/>
        <scheme val="minor"/>
      </rPr>
      <t>2</t>
    </r>
    <r>
      <rPr>
        <sz val="10"/>
        <color theme="1"/>
        <rFont val="Cambria"/>
        <family val="1"/>
        <scheme val="minor"/>
      </rPr>
      <t>e</t>
    </r>
  </si>
  <si>
    <t>4.CCS</t>
  </si>
  <si>
    <r>
      <t>% of emitted CO</t>
    </r>
    <r>
      <rPr>
        <vertAlign val="subscript"/>
        <sz val="10"/>
        <color theme="1"/>
        <rFont val="Cambria"/>
        <family val="1"/>
        <scheme val="minor"/>
      </rPr>
      <t>2</t>
    </r>
    <r>
      <rPr>
        <sz val="10"/>
        <color theme="1"/>
        <rFont val="Cambria"/>
        <family val="1"/>
        <scheme val="minor"/>
      </rPr>
      <t xml:space="preserve"> (process and combustion, excluding industry group "Other")</t>
    </r>
  </si>
  <si>
    <t>fraction captured</t>
  </si>
  <si>
    <t>Of which, demand by vector from "Other"</t>
  </si>
  <si>
    <r>
      <t>Of which, CO</t>
    </r>
    <r>
      <rPr>
        <vertAlign val="subscript"/>
        <sz val="10"/>
        <color theme="1"/>
        <rFont val="Cambria"/>
        <family val="1"/>
        <scheme val="minor"/>
      </rPr>
      <t>2</t>
    </r>
    <r>
      <rPr>
        <sz val="10"/>
        <color theme="1"/>
        <rFont val="Cambria"/>
        <family val="1"/>
        <scheme val="minor"/>
      </rPr>
      <t xml:space="preserve"> from "Other"</t>
    </r>
  </si>
  <si>
    <t>Total CO2 emitted, combustion, excl. "Other"</t>
  </si>
  <si>
    <t>CO2 captured, combustion</t>
  </si>
  <si>
    <t>CO2 captured, process</t>
  </si>
  <si>
    <t>Total CO2 emitted, process emissions</t>
  </si>
  <si>
    <t>% of production</t>
  </si>
  <si>
    <t>X2 is not an IPCC sectoral code. CO2 "credit" from bioenergy</t>
  </si>
  <si>
    <t>Onshore wind, retirement</t>
  </si>
  <si>
    <t>IV.c</t>
  </si>
  <si>
    <t>Distributed renewable power generation</t>
  </si>
  <si>
    <t>Distributed solar PV</t>
  </si>
  <si>
    <t>Distributed solar thermal</t>
  </si>
  <si>
    <t>Micro wind</t>
  </si>
  <si>
    <t>Nuclear power</t>
  </si>
  <si>
    <t>Straw arising</t>
  </si>
  <si>
    <t>Cooling</t>
  </si>
  <si>
    <t>Heating and cooling</t>
  </si>
  <si>
    <t>(ii) Technology pathway</t>
  </si>
  <si>
    <t>Lighting and appliances, demand per household [1]</t>
  </si>
  <si>
    <t>Cooking, demand per household</t>
  </si>
  <si>
    <t>Cooking, electrification pathway</t>
  </si>
  <si>
    <t>2050 split:</t>
  </si>
  <si>
    <t>Cooking, energy vector split</t>
  </si>
  <si>
    <t>Compute cooking demand by energy vector</t>
  </si>
  <si>
    <t>Select other lighting and appliances demand</t>
  </si>
  <si>
    <t>COOKING DEMAND</t>
  </si>
  <si>
    <r>
      <t xml:space="preserve">Total cooking demand, </t>
    </r>
    <r>
      <rPr>
        <b/>
        <i/>
        <sz val="10"/>
        <color theme="1"/>
        <rFont val="Cambria"/>
        <family val="1"/>
        <scheme val="minor"/>
      </rPr>
      <t>of which</t>
    </r>
  </si>
  <si>
    <t>Cooking demand per household</t>
  </si>
  <si>
    <t>Total lighting and appliance demand</t>
  </si>
  <si>
    <t>Lighting and appliance demand per household</t>
  </si>
  <si>
    <t>Compute total demand by vector</t>
  </si>
  <si>
    <t>TOTAL DEMAND BY VECTOR</t>
  </si>
  <si>
    <t>Small liquid hydrocarbons demand has been neglected</t>
  </si>
  <si>
    <t>LIGHTING AND APPLIANCES</t>
  </si>
  <si>
    <t>Total supply / (demand) to this point</t>
  </si>
  <si>
    <t>Non-thermal renewable generation</t>
  </si>
  <si>
    <t>Compute total supplied</t>
  </si>
  <si>
    <t>DRY BIOMATTER</t>
  </si>
  <si>
    <t>WET BIOMATTER</t>
  </si>
  <si>
    <t>TOTAL SUPPLIED</t>
  </si>
  <si>
    <t>Available bioenergy</t>
  </si>
  <si>
    <t>METHANE FROM LANDFILLS</t>
  </si>
  <si>
    <t>Total bioenergy actually supplied</t>
  </si>
  <si>
    <r>
      <t>EMISSIONS CREDIT (CO</t>
    </r>
    <r>
      <rPr>
        <b/>
        <vertAlign val="subscript"/>
        <sz val="10"/>
        <color theme="1"/>
        <rFont val="Cambria"/>
        <family val="1"/>
        <scheme val="minor"/>
      </rPr>
      <t>2</t>
    </r>
    <r>
      <rPr>
        <b/>
        <sz val="10"/>
        <color theme="1"/>
        <rFont val="Cambria"/>
        <family val="1"/>
        <scheme val="minor"/>
      </rPr>
      <t xml:space="preserve"> ONLY)</t>
    </r>
  </si>
  <si>
    <t>Emissions credit</t>
  </si>
  <si>
    <t>Combustion + CCS</t>
  </si>
  <si>
    <t>Used as a holding vector for converting demand net production into imports</t>
  </si>
  <si>
    <t>Includes refined petroleums</t>
  </si>
  <si>
    <t>COAL AND GAS TRANSFERS</t>
  </si>
  <si>
    <t>Transfer coal, petroleum, and gas to V.03, V.04 and V.05 from C.01, C.02 and C.03 respectively</t>
  </si>
  <si>
    <t>Petroleum products required</t>
  </si>
  <si>
    <t>Target, for chart</t>
  </si>
  <si>
    <t>Energy source / use charts</t>
  </si>
  <si>
    <t>Use</t>
  </si>
  <si>
    <t>Electricity grid (net of distribution losses)</t>
  </si>
  <si>
    <t>V.b</t>
  </si>
  <si>
    <t>Bioenergy imports</t>
  </si>
  <si>
    <r>
      <t xml:space="preserve">Source: IEA. </t>
    </r>
    <r>
      <rPr>
        <i/>
        <sz val="10"/>
        <rFont val="Cambria"/>
        <family val="1"/>
        <scheme val="minor"/>
      </rPr>
      <t xml:space="preserve">Energy Technology Perspectives, </t>
    </r>
    <r>
      <rPr>
        <sz val="10"/>
        <rFont val="Cambria"/>
        <family val="1"/>
        <scheme val="minor"/>
      </rPr>
      <t>2008</t>
    </r>
  </si>
  <si>
    <t>UK "fair share" estimated at per capita share. Assumes 20% of 150 EJ for transport, 20% for power generation</t>
  </si>
  <si>
    <t>Bioenergy imports, solid [1]</t>
  </si>
  <si>
    <t>Bioenergy imports, liquid [1]</t>
  </si>
  <si>
    <t>Targets</t>
  </si>
  <si>
    <t>Base year (1990)</t>
  </si>
  <si>
    <t>(20% of base)</t>
  </si>
  <si>
    <t>(66% of base)</t>
  </si>
  <si>
    <t>2050 target</t>
  </si>
  <si>
    <t xml:space="preserve">2020 target </t>
  </si>
  <si>
    <t>2020 target</t>
  </si>
  <si>
    <t>Modelled emissions</t>
  </si>
  <si>
    <t>% of actual</t>
  </si>
  <si>
    <t>Adjustment factor:</t>
  </si>
  <si>
    <t>Landfill gas and gas from manure are included in the model as gas, not converted to another energy form</t>
  </si>
  <si>
    <t>Subtotal.II.a</t>
  </si>
  <si>
    <t>Subtotal.I.b</t>
  </si>
  <si>
    <t>Subtotal.I.a</t>
  </si>
  <si>
    <t>Subtotal.VII.b</t>
  </si>
  <si>
    <t>Subtotal.V.a</t>
  </si>
  <si>
    <t>Subtotal.V.b</t>
  </si>
  <si>
    <t>Subtotal.XVI.a</t>
  </si>
  <si>
    <t>Provide all available supply, up to requested amount</t>
  </si>
  <si>
    <t>We assume no emissions from metering differences. Own use and theft is a small proportion of the total losses (~15%) and has been ignored</t>
  </si>
  <si>
    <t>III.a.1</t>
  </si>
  <si>
    <t>III.a.2</t>
  </si>
  <si>
    <t>Demand (for charting)</t>
  </si>
  <si>
    <t>Dummy for charting</t>
  </si>
  <si>
    <t>Own-use requirements</t>
  </si>
  <si>
    <r>
      <rPr>
        <sz val="8"/>
        <color theme="1"/>
        <rFont val="Cambria"/>
        <family val="1"/>
        <scheme val="minor"/>
      </rPr>
      <t>T</t>
    </r>
    <r>
      <rPr>
        <sz val="10"/>
        <color theme="1"/>
        <rFont val="Cambria"/>
        <family val="1"/>
        <scheme val="minor"/>
      </rPr>
      <t>hermal efficiency</t>
    </r>
  </si>
  <si>
    <r>
      <t>Actual supplied</t>
    </r>
    <r>
      <rPr>
        <sz val="10"/>
        <color theme="1"/>
        <rFont val="Cambria"/>
        <family val="1"/>
        <scheme val="minor"/>
      </rPr>
      <t xml:space="preserve"> (available generation)</t>
    </r>
  </si>
  <si>
    <t>V.13</t>
  </si>
  <si>
    <t>Includes wood, straw, and other plant-based biomass, wood chips, garden waste, and MSW. Does not include energy crops, including SRC</t>
  </si>
  <si>
    <t>From …</t>
  </si>
  <si>
    <t>To …</t>
  </si>
  <si>
    <t>Convert energy crops</t>
  </si>
  <si>
    <t>% to…</t>
  </si>
  <si>
    <t>ENERGY CROPS</t>
  </si>
  <si>
    <t>Primary electricity, solar, marine, and net imports</t>
  </si>
  <si>
    <t>Own-use requirements (as percentage of supplied electricity)</t>
  </si>
  <si>
    <t>Consumption of solid hydrocarbons</t>
  </si>
  <si>
    <t>Consumption of liquid hydrocarbons</t>
  </si>
  <si>
    <t>Bioenergy contextual data</t>
  </si>
  <si>
    <t>Subtotal.Consumption</t>
  </si>
  <si>
    <t>Subtotal.Supply</t>
  </si>
  <si>
    <t>Subtotal.Balancing</t>
  </si>
  <si>
    <t>Used in transport</t>
  </si>
  <si>
    <t>Used in CCS power plants</t>
  </si>
  <si>
    <t>Supplied from liquid biofuels</t>
  </si>
  <si>
    <t>Supplied from solid bioenergy</t>
  </si>
  <si>
    <t>Used in industry</t>
  </si>
  <si>
    <t>Source / Use</t>
  </si>
  <si>
    <t>Energy supply and demand</t>
  </si>
  <si>
    <t>Low</t>
  </si>
  <si>
    <t>High</t>
  </si>
  <si>
    <t>2035 (by Trajectory)</t>
  </si>
  <si>
    <t>2050 (by Trajectory)</t>
  </si>
  <si>
    <t>2025 (by Trajectory)</t>
  </si>
  <si>
    <t>CSS emissions capture [2]</t>
  </si>
  <si>
    <t>X3 is not an IPPC sectoral code. All CCS, including industry</t>
  </si>
  <si>
    <t>Dummy, for chart</t>
  </si>
  <si>
    <t>Carbon capture</t>
  </si>
  <si>
    <t>Bioenergy credit</t>
  </si>
  <si>
    <t>Consumption of gaseous hydrocarbons</t>
  </si>
  <si>
    <t>Used in commercial heating</t>
  </si>
  <si>
    <t>Used in domestic heating</t>
  </si>
  <si>
    <r>
      <t>Modelled emissions, net of capture, by sector (Mt CO</t>
    </r>
    <r>
      <rPr>
        <b/>
        <vertAlign val="subscript"/>
        <sz val="18"/>
        <color theme="1"/>
        <rFont val="Calibri"/>
        <family val="2"/>
        <scheme val="major"/>
      </rPr>
      <t>2</t>
    </r>
    <r>
      <rPr>
        <b/>
        <sz val="18"/>
        <color theme="1"/>
        <rFont val="Calibri"/>
        <family val="2"/>
        <scheme val="major"/>
      </rPr>
      <t>e)</t>
    </r>
  </si>
  <si>
    <t>Area conversions</t>
  </si>
  <si>
    <t>ha</t>
  </si>
  <si>
    <t>Hectares</t>
  </si>
  <si>
    <t>Unit.ha</t>
  </si>
  <si>
    <t>Acres</t>
  </si>
  <si>
    <t>acres</t>
  </si>
  <si>
    <t>Unit.acre</t>
  </si>
  <si>
    <t>km^2</t>
  </si>
  <si>
    <t>m^2</t>
  </si>
  <si>
    <t>Square kilometres</t>
  </si>
  <si>
    <t>Square metres</t>
  </si>
  <si>
    <t>Unit.km2</t>
  </si>
  <si>
    <t>Unit.m2</t>
  </si>
  <si>
    <t>Wales</t>
  </si>
  <si>
    <t>Unit.Wales</t>
  </si>
  <si>
    <t>Area is measured in:</t>
  </si>
  <si>
    <t>HEV</t>
  </si>
  <si>
    <t>Occupancies</t>
  </si>
  <si>
    <t>Technology efficiences -- Electricity [1]</t>
  </si>
  <si>
    <t>Technology efficiences -- Liquid hydrocarbons [1]</t>
  </si>
  <si>
    <t>[3a]</t>
  </si>
  <si>
    <t>pax / vehicle-km</t>
  </si>
  <si>
    <t>Train and aircraft efficiencies are given per seat-km, not per vehicle-km</t>
  </si>
  <si>
    <t>(i) 2050 mode shares</t>
  </si>
  <si>
    <t>(i) 2050 occupancies [3]</t>
  </si>
  <si>
    <t>(i) Behaviour</t>
  </si>
  <si>
    <t>(ii) Technology penetrations</t>
  </si>
  <si>
    <t>Trajectory 1</t>
  </si>
  <si>
    <t>Trajectory 2</t>
  </si>
  <si>
    <t>Trajectory 3</t>
  </si>
  <si>
    <t>Trajectory 4</t>
  </si>
  <si>
    <t>million</t>
  </si>
  <si>
    <t>Railway and aircraft occupancies are pax / seat-km (not pax / vehicle-km)</t>
  </si>
  <si>
    <t>Road freight, distance (HGVs), diesel</t>
  </si>
  <si>
    <t>Road freight, distance (HGVs), electric</t>
  </si>
  <si>
    <t>Source for 2007 data: DUKES</t>
  </si>
  <si>
    <t>DIESEL ROAD FREIGHT</t>
  </si>
  <si>
    <t>ELECTRIC ROAD FREIGHT</t>
  </si>
  <si>
    <t>Subtotal.VIII.a</t>
  </si>
  <si>
    <t>Total supply (demand) to this point</t>
  </si>
  <si>
    <t>Storage, demand shifting, backup</t>
  </si>
  <si>
    <t>Car EV</t>
  </si>
  <si>
    <t>Interconnection -- Peak power</t>
  </si>
  <si>
    <t>% of peak</t>
  </si>
  <si>
    <t>Days</t>
  </si>
  <si>
    <t>Unit.day</t>
  </si>
  <si>
    <t>d</t>
  </si>
  <si>
    <t>h</t>
  </si>
  <si>
    <t>Hours</t>
  </si>
  <si>
    <t>Unit.hour</t>
  </si>
  <si>
    <t>m</t>
  </si>
  <si>
    <t>Minutes</t>
  </si>
  <si>
    <t>Unit.minute</t>
  </si>
  <si>
    <t>Power to energy conversion</t>
  </si>
  <si>
    <t>Average power for given energy</t>
  </si>
  <si>
    <t>Conversion.to.average.power</t>
  </si>
  <si>
    <t>From unit</t>
  </si>
  <si>
    <t>To unit</t>
  </si>
  <si>
    <t>Factor</t>
  </si>
  <si>
    <t>Annual energy for given power</t>
  </si>
  <si>
    <t>Conversion.to.annual.energy</t>
  </si>
  <si>
    <t>Energy per second for given power</t>
  </si>
  <si>
    <t>Conversion.to.energy.per.second</t>
  </si>
  <si>
    <t>PASSENGER-KM BY MODE</t>
  </si>
  <si>
    <t>PASSENGER-KM BY MODE / TECHNOLOGY</t>
  </si>
  <si>
    <t>ENERGY DEMAND BY MODE AND VECTOR</t>
  </si>
  <si>
    <t>SUMMARY BY TRANSPORT TYPE AND EMISSIONS</t>
  </si>
  <si>
    <t>Conversion efficiency, incident sunlight to electricity</t>
  </si>
  <si>
    <t>For reference</t>
  </si>
  <si>
    <t>÷</t>
  </si>
  <si>
    <t>Input solar power</t>
  </si>
  <si>
    <t>Incident solar intensity</t>
  </si>
  <si>
    <t>Area / household</t>
  </si>
  <si>
    <t>Area / person</t>
  </si>
  <si>
    <t>Total area</t>
  </si>
  <si>
    <t>Load factor [1]</t>
  </si>
  <si>
    <t>Hydroelectric capacity (natural flow) [1]</t>
  </si>
  <si>
    <t>Source for 2007 data: DUKES 2009, Tables 5.7, 5.10, and 7.4</t>
  </si>
  <si>
    <t>2007 capacity actually DNC (from Table 5.7)</t>
  </si>
  <si>
    <t>However, a difference between DNC and installed capacity only arises for small-scale hydro, which is ~10% of total</t>
  </si>
  <si>
    <t>"Food production"</t>
  </si>
  <si>
    <t>M ha</t>
  </si>
  <si>
    <t>Million hectares</t>
  </si>
  <si>
    <t>Unit.Mha</t>
  </si>
  <si>
    <r>
      <t>Arable, for food crops (grades 1</t>
    </r>
    <r>
      <rPr>
        <sz val="10"/>
        <color theme="1"/>
        <rFont val="Arial"/>
        <family val="2"/>
      </rPr>
      <t>–</t>
    </r>
    <r>
      <rPr>
        <sz val="10"/>
        <color theme="1"/>
        <rFont val="Cambria"/>
        <family val="1"/>
        <scheme val="minor"/>
      </rPr>
      <t>3)</t>
    </r>
  </si>
  <si>
    <r>
      <t>Arable, for 1st gen energy crops  (grades 1</t>
    </r>
    <r>
      <rPr>
        <sz val="10"/>
        <color theme="1"/>
        <rFont val="Arial"/>
        <family val="2"/>
      </rPr>
      <t>–</t>
    </r>
    <r>
      <rPr>
        <sz val="8"/>
        <color theme="1"/>
        <rFont val="Cambria"/>
        <family val="1"/>
      </rPr>
      <t>3)</t>
    </r>
  </si>
  <si>
    <t>Grassland, for 2nd gen energy crops (grades 3–4)</t>
  </si>
  <si>
    <r>
      <t>Grassland, for livestock and fallow (grades 3</t>
    </r>
    <r>
      <rPr>
        <sz val="10"/>
        <color theme="1"/>
        <rFont val="Arial"/>
        <family val="2"/>
      </rPr>
      <t>–</t>
    </r>
    <r>
      <rPr>
        <sz val="8"/>
        <color theme="1"/>
        <rFont val="Cambria"/>
        <family val="1"/>
      </rPr>
      <t>5)</t>
    </r>
  </si>
  <si>
    <r>
      <t>Arable, for 2nd gen energy crops  (grades 1</t>
    </r>
    <r>
      <rPr>
        <sz val="10"/>
        <color theme="1"/>
        <rFont val="Arial"/>
        <family val="2"/>
      </rPr>
      <t>–</t>
    </r>
    <r>
      <rPr>
        <sz val="8"/>
        <color theme="1"/>
        <rFont val="Cambria"/>
        <family val="1"/>
      </rPr>
      <t>3)</t>
    </r>
  </si>
  <si>
    <t>odt / ha</t>
  </si>
  <si>
    <t>First-generation biocrops</t>
  </si>
  <si>
    <t>Manure (non-poultry livestock)</t>
  </si>
  <si>
    <r>
      <t>% pa (2007</t>
    </r>
    <r>
      <rPr>
        <sz val="10"/>
        <color theme="1"/>
        <rFont val="Cambria"/>
        <family val="1"/>
        <scheme val="minor"/>
      </rPr>
      <t>–2020)</t>
    </r>
  </si>
  <si>
    <r>
      <t>% pa (2020</t>
    </r>
    <r>
      <rPr>
        <sz val="10"/>
        <color theme="1"/>
        <rFont val="Cambria"/>
        <family val="1"/>
        <scheme val="minor"/>
      </rPr>
      <t>–2050)</t>
    </r>
  </si>
  <si>
    <t>Livestock number growth rates</t>
  </si>
  <si>
    <t>Yield growth</t>
  </si>
  <si>
    <t>Emissions intensity growth, enteric and manure</t>
  </si>
  <si>
    <t>SOIL</t>
  </si>
  <si>
    <t>ENTERIC</t>
  </si>
  <si>
    <t>MANURE</t>
  </si>
  <si>
    <t>Total emissions growth, soil management</t>
  </si>
  <si>
    <t>Forestry arisings collection, old forests</t>
  </si>
  <si>
    <t>Emissions intensities, enteric and manure, base year</t>
  </si>
  <si>
    <t>Total emissions soil, base year</t>
  </si>
  <si>
    <r>
      <t>kg CO</t>
    </r>
    <r>
      <rPr>
        <vertAlign val="subscript"/>
        <sz val="10"/>
        <color theme="1"/>
        <rFont val="Cambria"/>
        <family val="1"/>
        <scheme val="minor"/>
      </rPr>
      <t>2</t>
    </r>
    <r>
      <rPr>
        <sz val="10"/>
        <color theme="1"/>
        <rFont val="Cambria"/>
        <family val="1"/>
        <scheme val="minor"/>
      </rPr>
      <t>e / head</t>
    </r>
  </si>
  <si>
    <r>
      <t>kg CO</t>
    </r>
    <r>
      <rPr>
        <vertAlign val="subscript"/>
        <sz val="10"/>
        <color theme="1"/>
        <rFont val="Cambria"/>
        <family val="1"/>
        <scheme val="minor"/>
      </rPr>
      <t>2</t>
    </r>
    <r>
      <rPr>
        <sz val="10"/>
        <color theme="1"/>
        <rFont val="Cambria"/>
        <family val="1"/>
        <scheme val="minor"/>
      </rPr>
      <t>e / otd slurry</t>
    </r>
  </si>
  <si>
    <t>Calorific values, base year</t>
  </si>
  <si>
    <t>Second-generation biocrops</t>
  </si>
  <si>
    <t>Total emissions, soil management</t>
  </si>
  <si>
    <t>Emissions intensities, enteric and manure</t>
  </si>
  <si>
    <r>
      <t>kg CO</t>
    </r>
    <r>
      <rPr>
        <vertAlign val="subscript"/>
        <sz val="10"/>
        <color theme="1"/>
        <rFont val="Cambria"/>
        <family val="1"/>
        <scheme val="minor"/>
      </rPr>
      <t>2</t>
    </r>
    <r>
      <rPr>
        <sz val="10"/>
        <color theme="1"/>
        <rFont val="Cambria"/>
        <family val="1"/>
        <scheme val="minor"/>
      </rPr>
      <t>e / unit</t>
    </r>
  </si>
  <si>
    <t>Emissions intensities growth, enteric and manure</t>
  </si>
  <si>
    <t>C1</t>
  </si>
  <si>
    <t>C2</t>
  </si>
  <si>
    <t>Arable, for food crops (grades 1–3)</t>
  </si>
  <si>
    <t>Arable, for 1st gen energy crops  (grades 1–3)</t>
  </si>
  <si>
    <t>Arable, for 2nd gen energy crops  (grades 1–3)</t>
  </si>
  <si>
    <t>Grassland, for livestock and fallow (grades 3–5)</t>
  </si>
  <si>
    <t>Forests, exisiting, change per year</t>
  </si>
  <si>
    <t>Change in existing forests</t>
  </si>
  <si>
    <t>LAND USE AND LIVESTOCK NUMBERS</t>
  </si>
  <si>
    <t>YIELDS</t>
  </si>
  <si>
    <t>FORESTS</t>
  </si>
  <si>
    <t>Forest area</t>
  </si>
  <si>
    <t>Old</t>
  </si>
  <si>
    <t>New</t>
  </si>
  <si>
    <t>Exisiting forest</t>
  </si>
  <si>
    <t>New forest</t>
  </si>
  <si>
    <t>PRODUCTION OF WASTE</t>
  </si>
  <si>
    <t>Wood arising, old forest</t>
  </si>
  <si>
    <t>Total forestry arisings, new forests</t>
  </si>
  <si>
    <t>M odt</t>
  </si>
  <si>
    <t>Wood arisings collected, new forest</t>
  </si>
  <si>
    <t>Compute production of first-generation biocrops</t>
  </si>
  <si>
    <t>Compute production of second-generation biocrops</t>
  </si>
  <si>
    <t>PRODUCTION OF FIRST-GENERATION BIOCROPS</t>
  </si>
  <si>
    <t>PRODUCTION OF SECOND-GENERATION BIOCROPS</t>
  </si>
  <si>
    <t>Conversion efficiency, first-generation biocrop to biofuel</t>
  </si>
  <si>
    <t>Total biocrops, for reference</t>
  </si>
  <si>
    <t>Compute emissions credit from first-generation biocrops</t>
  </si>
  <si>
    <t>Livestock</t>
  </si>
  <si>
    <t>Horticulture</t>
  </si>
  <si>
    <t>Arable</t>
  </si>
  <si>
    <t>Energy use, total by area</t>
  </si>
  <si>
    <t>Energy use, breakdown by fuel</t>
  </si>
  <si>
    <t>Compute energy use</t>
  </si>
  <si>
    <t>Livestock (scale with dairy cows)</t>
  </si>
  <si>
    <t>Horticulture (constant)</t>
  </si>
  <si>
    <t>Agriculture (scale with farmed land area)</t>
  </si>
  <si>
    <r>
      <t xml:space="preserve">Total, </t>
    </r>
    <r>
      <rPr>
        <i/>
        <sz val="10"/>
        <color theme="1"/>
        <rFont val="Cambria"/>
        <family val="1"/>
        <scheme val="minor"/>
      </rPr>
      <t>of which, by fuel</t>
    </r>
  </si>
  <si>
    <t>Includes use of energy in agriculture</t>
  </si>
  <si>
    <t>Stream</t>
  </si>
  <si>
    <t>Landfill</t>
  </si>
  <si>
    <t>% total waste arising</t>
  </si>
  <si>
    <t>Non-biogenic, other</t>
  </si>
  <si>
    <t>CDW</t>
  </si>
  <si>
    <t>Type of waste arising</t>
  </si>
  <si>
    <t>Energy content of waste</t>
  </si>
  <si>
    <r>
      <t>M tonnes CH</t>
    </r>
    <r>
      <rPr>
        <vertAlign val="subscript"/>
        <sz val="10"/>
        <color theme="1"/>
        <rFont val="Cambria"/>
        <family val="1"/>
        <scheme val="minor"/>
      </rPr>
      <t>4</t>
    </r>
  </si>
  <si>
    <t>Landfill gas arising</t>
  </si>
  <si>
    <t>Total sewage sludge arising</t>
  </si>
  <si>
    <t>% of waste for energy</t>
  </si>
  <si>
    <r>
      <t>Mt CH</t>
    </r>
    <r>
      <rPr>
        <vertAlign val="subscript"/>
        <sz val="10"/>
        <color theme="1"/>
        <rFont val="Calibri"/>
        <family val="2"/>
        <scheme val="major"/>
      </rPr>
      <t>4</t>
    </r>
  </si>
  <si>
    <t>Construction and Demolition Waste</t>
  </si>
  <si>
    <t>Wood only</t>
  </si>
  <si>
    <t>DRY</t>
  </si>
  <si>
    <t>WET</t>
  </si>
  <si>
    <t>SOLID</t>
  </si>
  <si>
    <t>INORG</t>
  </si>
  <si>
    <t>SEWAGE</t>
  </si>
  <si>
    <t>OTHER</t>
  </si>
  <si>
    <t>Energy from unsegregated MDW, C&amp;I, and CDW</t>
  </si>
  <si>
    <t>Energy from segregated wet waste for recycling</t>
  </si>
  <si>
    <t>Waste capture for energy, CDW</t>
  </si>
  <si>
    <t>CDW for energy</t>
  </si>
  <si>
    <t>Construction and Demolition</t>
  </si>
  <si>
    <t>SEGREGATED WET WASTE</t>
  </si>
  <si>
    <t>% of recycled wet waste</t>
  </si>
  <si>
    <t>Wet waste segregated from recycling for energy</t>
  </si>
  <si>
    <t>% of waste to recycling</t>
  </si>
  <si>
    <t>WET to AD</t>
  </si>
  <si>
    <t>Hence, total energy available by waste type</t>
  </si>
  <si>
    <t>Energy available by energy vector</t>
  </si>
  <si>
    <t>% of gas</t>
  </si>
  <si>
    <r>
      <t xml:space="preserve">Landfill gas captured </t>
    </r>
    <r>
      <rPr>
        <sz val="10"/>
        <color theme="1"/>
        <rFont val="Cambria"/>
        <family val="1"/>
        <scheme val="minor"/>
      </rPr>
      <t>(Note: remainder is lost as methane emissions)</t>
    </r>
  </si>
  <si>
    <t>Fraction captured</t>
  </si>
  <si>
    <t>Total landfill gas arising</t>
  </si>
  <si>
    <t>Fraction captured that is used for energy</t>
  </si>
  <si>
    <t>Fraction lost</t>
  </si>
  <si>
    <t>Landfill gas emitted</t>
  </si>
  <si>
    <t>Landfill gas for energy</t>
  </si>
  <si>
    <r>
      <t xml:space="preserve">Captured landfill gas used for energy </t>
    </r>
    <r>
      <rPr>
        <sz val="10"/>
        <color theme="1"/>
        <rFont val="Cambria"/>
        <family val="1"/>
        <scheme val="minor"/>
      </rPr>
      <t>(Note: remainder is flared)</t>
    </r>
  </si>
  <si>
    <t>Chosen to give correct 2007 recovered gas used for energy</t>
  </si>
  <si>
    <t>Emissions factors [1]</t>
  </si>
  <si>
    <t>GCV of methane [2]</t>
  </si>
  <si>
    <t>Source: UK Greenhouse Gas Inventory, 2009, Table 6.A</t>
  </si>
  <si>
    <t>Figures inferred to produce 2007 emissions as reported by GHG Inventory. (Sewage sludge does not include industrial waste water,</t>
  </si>
  <si>
    <t>which is included in the GHG Inventory figures.)</t>
  </si>
  <si>
    <t>Energy and emissions from sewage</t>
  </si>
  <si>
    <t>ENERGY AND EMISSIONS FROM SEWAGE</t>
  </si>
  <si>
    <r>
      <t>tonnes CO</t>
    </r>
    <r>
      <rPr>
        <vertAlign val="subscript"/>
        <sz val="10"/>
        <color theme="1"/>
        <rFont val="Cambria"/>
        <family val="1"/>
        <scheme val="minor"/>
      </rPr>
      <t>2</t>
    </r>
    <r>
      <rPr>
        <sz val="10"/>
        <color theme="1"/>
        <rFont val="Cambria"/>
        <family val="1"/>
        <scheme val="minor"/>
      </rPr>
      <t>e / odt waste</t>
    </r>
  </si>
  <si>
    <t>Fraction recovered for energy</t>
  </si>
  <si>
    <t>Sewage used for energy</t>
  </si>
  <si>
    <t>% of sewage arising</t>
  </si>
  <si>
    <t>% of total wood waste arising</t>
  </si>
  <si>
    <r>
      <t>Emissions factor N</t>
    </r>
    <r>
      <rPr>
        <i/>
        <vertAlign val="subscript"/>
        <sz val="10"/>
        <color theme="1"/>
        <rFont val="Cambria"/>
        <family val="1"/>
        <scheme val="minor"/>
      </rPr>
      <t>2</t>
    </r>
    <r>
      <rPr>
        <i/>
        <sz val="10"/>
        <color theme="1"/>
        <rFont val="Cambria"/>
        <family val="1"/>
        <scheme val="minor"/>
      </rPr>
      <t>O</t>
    </r>
  </si>
  <si>
    <r>
      <t>CO</t>
    </r>
    <r>
      <rPr>
        <i/>
        <vertAlign val="subscript"/>
        <sz val="10"/>
        <color theme="1"/>
        <rFont val="Cambria"/>
        <family val="1"/>
        <scheme val="minor"/>
      </rPr>
      <t>2</t>
    </r>
    <r>
      <rPr>
        <i/>
        <sz val="10"/>
        <color theme="1"/>
        <rFont val="Cambria"/>
        <family val="1"/>
        <scheme val="minor"/>
      </rPr>
      <t>e / odt</t>
    </r>
  </si>
  <si>
    <r>
      <t>Emissions (N</t>
    </r>
    <r>
      <rPr>
        <vertAlign val="subscript"/>
        <sz val="10"/>
        <color theme="1"/>
        <rFont val="Cambria"/>
        <family val="1"/>
        <scheme val="minor"/>
      </rPr>
      <t>2</t>
    </r>
    <r>
      <rPr>
        <sz val="10"/>
        <color theme="1"/>
        <rFont val="Cambria"/>
        <family val="1"/>
        <scheme val="minor"/>
      </rPr>
      <t>O)</t>
    </r>
  </si>
  <si>
    <t>Residual</t>
  </si>
  <si>
    <r>
      <t>Emissions factor CH</t>
    </r>
    <r>
      <rPr>
        <i/>
        <vertAlign val="subscript"/>
        <sz val="10"/>
        <color theme="1"/>
        <rFont val="Cambria"/>
        <family val="1"/>
        <scheme val="minor"/>
      </rPr>
      <t>4</t>
    </r>
  </si>
  <si>
    <r>
      <t>Emissions (CH</t>
    </r>
    <r>
      <rPr>
        <vertAlign val="subscript"/>
        <sz val="10"/>
        <color theme="1"/>
        <rFont val="Cambria"/>
        <family val="1"/>
        <scheme val="minor"/>
      </rPr>
      <t>4</t>
    </r>
    <r>
      <rPr>
        <sz val="10"/>
        <color theme="1"/>
        <rFont val="Cambria"/>
        <family val="1"/>
        <scheme val="minor"/>
      </rPr>
      <t>)</t>
    </r>
  </si>
  <si>
    <t>of which</t>
  </si>
  <si>
    <r>
      <rPr>
        <b/>
        <sz val="10"/>
        <color theme="1"/>
        <rFont val="Cambria"/>
        <family val="1"/>
        <scheme val="minor"/>
      </rPr>
      <t>C&amp;I for recyling</t>
    </r>
    <r>
      <rPr>
        <sz val="10"/>
        <color theme="1"/>
        <rFont val="Cambria"/>
        <family val="1"/>
        <scheme val="minor"/>
      </rPr>
      <t/>
    </r>
  </si>
  <si>
    <t>C&amp;I for energy</t>
  </si>
  <si>
    <t>Forestry emissions</t>
  </si>
  <si>
    <t>Agricultural emissions</t>
  </si>
  <si>
    <t>Forestry</t>
  </si>
  <si>
    <t>5A2</t>
  </si>
  <si>
    <t>5B</t>
  </si>
  <si>
    <t>Cropland</t>
  </si>
  <si>
    <t>5C</t>
  </si>
  <si>
    <t>Grassland</t>
  </si>
  <si>
    <t>5E</t>
  </si>
  <si>
    <t>LULUCF effective emissions factors</t>
  </si>
  <si>
    <t>LULUCF emissions</t>
  </si>
  <si>
    <t>Total LULUCF</t>
  </si>
  <si>
    <t>5G</t>
  </si>
  <si>
    <t>Assume imports of crude oil remain constant</t>
  </si>
  <si>
    <t>Refine imports+production-exports</t>
  </si>
  <si>
    <t>Import / Export as needed to make up demand in petroleum products</t>
  </si>
  <si>
    <t>Balancing imports</t>
  </si>
  <si>
    <t>(Not used)</t>
  </si>
  <si>
    <t>Crude oil imports</t>
  </si>
  <si>
    <t>Assume exports of crude old decline in proportion to domestic production</t>
  </si>
  <si>
    <t>Domestic production of crude oil</t>
  </si>
  <si>
    <t>Crude oil exports</t>
  </si>
  <si>
    <t>Assumed to decline in proportion to production</t>
  </si>
  <si>
    <t>Crude oil exports [1]</t>
  </si>
  <si>
    <t>% of refined hydrocarbons</t>
  </si>
  <si>
    <t>% of primary oil input</t>
  </si>
  <si>
    <t>Refinery own-use energy requirements [3]</t>
  </si>
  <si>
    <t>Refinery losses [2]</t>
  </si>
  <si>
    <t>Compute primary oil input to refinery</t>
  </si>
  <si>
    <t>PRIMARY OIL INPUT</t>
  </si>
  <si>
    <t>Domestic production</t>
  </si>
  <si>
    <t>Total refinery primary oil input</t>
  </si>
  <si>
    <r>
      <rPr>
        <b/>
        <sz val="10"/>
        <color theme="1"/>
        <rFont val="Cambria"/>
        <family val="1"/>
        <scheme val="minor"/>
      </rPr>
      <t>2025</t>
    </r>
    <r>
      <rPr>
        <b/>
        <sz val="10"/>
        <color theme="1"/>
        <rFont val="Arial"/>
        <family val="2"/>
      </rPr>
      <t>–</t>
    </r>
    <r>
      <rPr>
        <b/>
        <sz val="10"/>
        <color theme="1"/>
        <rFont val="Cambria"/>
        <family val="1"/>
      </rPr>
      <t>2050</t>
    </r>
    <r>
      <rPr>
        <sz val="10"/>
        <color theme="1"/>
        <rFont val="Cambria"/>
        <family val="1"/>
      </rPr>
      <t xml:space="preserve"> (by </t>
    </r>
    <r>
      <rPr>
        <sz val="10"/>
        <color theme="1"/>
        <rFont val="Cambria"/>
        <family val="1"/>
        <scheme val="minor"/>
      </rPr>
      <t>Trajectory)</t>
    </r>
  </si>
  <si>
    <t>Coal and fossil waste</t>
  </si>
  <si>
    <t>Road freight, HGV efficiencies, diesel</t>
  </si>
  <si>
    <t>Road freight, HGV efficiencies, electric</t>
  </si>
  <si>
    <t>Soil emissions</t>
  </si>
  <si>
    <t>Marine algae</t>
  </si>
  <si>
    <t>VI.c</t>
  </si>
  <si>
    <t>Energy crops (second generation)</t>
  </si>
  <si>
    <t>V.14</t>
  </si>
  <si>
    <t>Second-generation crops grown for energy use</t>
  </si>
  <si>
    <t>First-generation crops grown for energy use</t>
  </si>
  <si>
    <t>V.15</t>
  </si>
  <si>
    <t>Methane from waste</t>
  </si>
  <si>
    <t>Energy crops (first generation)</t>
  </si>
  <si>
    <t>First-generation energy crops are always converted to liquids</t>
  </si>
  <si>
    <t>Convert gasesous waste</t>
  </si>
  <si>
    <t>GASESOUS WASTE</t>
  </si>
  <si>
    <t>Used in heating</t>
  </si>
  <si>
    <t>Used in refineries</t>
  </si>
  <si>
    <t>Supplied from biogas</t>
  </si>
  <si>
    <t>In the event of a 5 day peak in heating and drop in wind</t>
  </si>
  <si>
    <t>Used in unabated power plants</t>
  </si>
  <si>
    <r>
      <rPr>
        <sz val="8"/>
        <color theme="1"/>
        <rFont val="Cambria"/>
        <family val="1"/>
      </rPr>
      <t>T</t>
    </r>
    <r>
      <rPr>
        <sz val="10"/>
        <color theme="1"/>
        <rFont val="Cambria"/>
        <family val="1"/>
        <scheme val="minor"/>
      </rPr>
      <t>hermal efficiency (weighted av. of gas and dual-fired)</t>
    </r>
  </si>
  <si>
    <t>Gas input required</t>
  </si>
  <si>
    <t>% collected of manure deposited as slurry</t>
  </si>
  <si>
    <t>ENERGY USE</t>
  </si>
  <si>
    <t>Wave and Tidal</t>
  </si>
  <si>
    <t>Level</t>
  </si>
  <si>
    <t>% of base yr</t>
  </si>
  <si>
    <t>No development of macro-algae cultivation</t>
  </si>
  <si>
    <t>Used in electricity</t>
  </si>
  <si>
    <t>Matching electricity</t>
  </si>
  <si>
    <t>emissions factor</t>
  </si>
  <si>
    <t>Trajectories are numbered in this worksheet. A=1, B=2, C=3, D=4</t>
  </si>
  <si>
    <t>Note also that the ordering of trajectories in the "Trajectory assumptions" data is A, C, B, D.</t>
  </si>
  <si>
    <t>Energy available by energy vector (note that both DRY and WET waste end up in the dry biomatter stream)</t>
  </si>
  <si>
    <t>Bioenergy</t>
  </si>
  <si>
    <t>Agriculture and land use</t>
  </si>
  <si>
    <t>Fuel proportions by type</t>
  </si>
  <si>
    <t>Concentrated solar power</t>
  </si>
  <si>
    <t>Imported energy</t>
  </si>
  <si>
    <t>Example pathways</t>
  </si>
  <si>
    <t>Road haulage makes up 73% of distance, using conventional engines. Rail all diesel</t>
  </si>
  <si>
    <t>(Derived from data in "Constants")</t>
  </si>
  <si>
    <t>NB: Emissions (in blue) are modelled from energy consumption and may not agree precisely</t>
  </si>
  <si>
    <t>constant factor so that 2007 modelled emissions match 2007 actual emissions.</t>
  </si>
  <si>
    <t>NB: Modelled emissions adjusted to match 2007 actuals. See note below emission table.</t>
  </si>
  <si>
    <t>with 2007 actuals.  However, % of base year figures (in black) have been adjusted  by a</t>
  </si>
  <si>
    <t>Food consumption [UNUSED]</t>
  </si>
  <si>
    <t>Some shift from road to rail and water, and more efficient engines</t>
  </si>
  <si>
    <t>Scenarios are roughly: (1) Mixed; (2) Mostly solids and gas; (3) Mostly liquids and gas; (4) Gas</t>
  </si>
  <si>
    <t>NCV / GCV</t>
  </si>
  <si>
    <t>NCV / GCV:</t>
  </si>
  <si>
    <t>Conversion from Net Calorific Value to Gross Calorific Value</t>
  </si>
  <si>
    <t>1 (or A)</t>
  </si>
  <si>
    <t>2 (or B)</t>
  </si>
  <si>
    <t>3 (or C)</t>
  </si>
  <si>
    <t>Greater modal shift to rail and water; more efficient HGVs; more efficient logistics</t>
  </si>
  <si>
    <t>Conversion efficiencies 2020 - 2050</t>
  </si>
  <si>
    <t>Conversion efficiencies 2009 - 2020 [1]</t>
  </si>
  <si>
    <t>(ii) Energy intensity</t>
  </si>
  <si>
    <t>Biomass</t>
  </si>
  <si>
    <t>Solid Hydrocarbon</t>
  </si>
  <si>
    <t>Gaseous Hydrocarbon</t>
  </si>
  <si>
    <t>Coal, biomass, gas, and oil-fired; non-CCS</t>
  </si>
  <si>
    <t>Conventional thermal plant</t>
  </si>
  <si>
    <t>Exports of biomass (supply - available)</t>
  </si>
  <si>
    <t>Note</t>
  </si>
  <si>
    <t>Land Management</t>
  </si>
  <si>
    <t>Livestock Management</t>
  </si>
  <si>
    <t>Load Factors (constant)</t>
  </si>
  <si>
    <t>Transmission entry capacity (GW)</t>
  </si>
  <si>
    <t>Information</t>
  </si>
  <si>
    <t>Information type</t>
  </si>
  <si>
    <t>B.01</t>
  </si>
  <si>
    <t>Installed Capacity</t>
  </si>
  <si>
    <t>Number of units</t>
  </si>
  <si>
    <t>Information summary</t>
  </si>
  <si>
    <t xml:space="preserve">Installed Capacity </t>
  </si>
  <si>
    <t>B.02</t>
  </si>
  <si>
    <t>B.03</t>
  </si>
  <si>
    <t>Energy produced and required - Total Domestic passenger transport</t>
  </si>
  <si>
    <t>Energy produced and required - Road</t>
  </si>
  <si>
    <t>Energy produced and required - Rail</t>
  </si>
  <si>
    <t>Energy produced and required - Aviation</t>
  </si>
  <si>
    <t>Emissions produced - Total Domestic Passenger Transport</t>
  </si>
  <si>
    <t>Emissions produced - Rail</t>
  </si>
  <si>
    <t>Emissions produced - Road</t>
  </si>
  <si>
    <t>Emissions produced - Aviation</t>
  </si>
  <si>
    <t>Energy produced and required - Total Domestic Freight</t>
  </si>
  <si>
    <t>Energy produced and required - Road freight</t>
  </si>
  <si>
    <t>Energy produced and required - Rail freight</t>
  </si>
  <si>
    <t>Emissions produced - Domestic Freight Total</t>
  </si>
  <si>
    <t>Liquid Hydrocarbon emissions</t>
  </si>
  <si>
    <t>B.04</t>
  </si>
  <si>
    <t>mcm/d</t>
  </si>
  <si>
    <t>mcm/d natural gas</t>
  </si>
  <si>
    <t>Unit.mcm.d</t>
  </si>
  <si>
    <t>Bioenergy Supply</t>
  </si>
  <si>
    <t>Used in Industry</t>
  </si>
  <si>
    <t>Used in unabated power generation</t>
  </si>
  <si>
    <t>Used in CCS power generation</t>
  </si>
  <si>
    <t>Oversupply and Imports needed</t>
  </si>
  <si>
    <t>Edible biomass</t>
  </si>
  <si>
    <t>Dry biomass and waste</t>
  </si>
  <si>
    <t>Wet biomass and waste</t>
  </si>
  <si>
    <t>Gas oversupply (imports)</t>
  </si>
  <si>
    <t>Biomass oversupply (imports)</t>
  </si>
  <si>
    <t>Electricity oversupply (imports)</t>
  </si>
  <si>
    <t>Petroleum products oversupply</t>
  </si>
  <si>
    <t>Coal oversupply (imports)</t>
  </si>
  <si>
    <t>Oil and petroleum products oversupply (imports)</t>
  </si>
  <si>
    <t>4 (or D)</t>
  </si>
  <si>
    <t>Biomass mainly converted to biogas fuel</t>
  </si>
  <si>
    <t>Biomass converted to a mixture of solid, liquid and gas biofuels</t>
  </si>
  <si>
    <t>Biomass mainly converted to solid biofuel</t>
  </si>
  <si>
    <t>Biomass mainly converted to liquid biofuel</t>
  </si>
  <si>
    <t xml:space="preserve">Road modal share falls to half; greater hybridisation. Rail freight is all electric </t>
  </si>
  <si>
    <t>Approximate land area covered</t>
  </si>
  <si>
    <t>Installed peak capacity</t>
  </si>
  <si>
    <t>Implications</t>
  </si>
  <si>
    <t>For information:</t>
  </si>
  <si>
    <t>#</t>
  </si>
  <si>
    <t>#/yr</t>
  </si>
  <si>
    <t>Assumed typical turbine size</t>
  </si>
  <si>
    <t>Source: SEWTHA p 56</t>
  </si>
  <si>
    <t>PeakCapacity/unit of catchment area</t>
  </si>
  <si>
    <t>PeakCapacity/unit of resevoir area</t>
  </si>
  <si>
    <t>Approximate land area covered by resevoir</t>
  </si>
  <si>
    <t>Approximate cachment area required</t>
  </si>
  <si>
    <t>Source: SEWTHA p 56, based on Loch Sloy, with the 36% load factor above used to convert from average to peak output</t>
  </si>
  <si>
    <t>Assumed fuel/unit area</t>
  </si>
  <si>
    <t>Area covered</t>
  </si>
  <si>
    <t>Energy/unit of area</t>
  </si>
  <si>
    <t>Cable average load / peak load</t>
  </si>
  <si>
    <t>Approximate capacity of cable required</t>
  </si>
  <si>
    <t>Proportion of energy lost on the way</t>
  </si>
  <si>
    <t>Volume of waste and recycling</t>
  </si>
  <si>
    <t>Domestic transport behaviour</t>
  </si>
  <si>
    <t>Area</t>
  </si>
  <si>
    <t>B.05</t>
  </si>
  <si>
    <t>Land area overseas</t>
  </si>
  <si>
    <t>B.06</t>
  </si>
  <si>
    <t>Length</t>
  </si>
  <si>
    <t>Length of wave front</t>
  </si>
  <si>
    <t>Illustrative station size</t>
  </si>
  <si>
    <t>hydroelectric resevoir assuming similar to Loch Sloy</t>
  </si>
  <si>
    <t>solar PV if 20% efficient</t>
  </si>
  <si>
    <t>biocrops overseas if 0.6W/m2 productivity</t>
  </si>
  <si>
    <t>Electricity, format for web-based interface</t>
  </si>
  <si>
    <t>Coal imports</t>
  </si>
  <si>
    <t>Oil imports</t>
  </si>
  <si>
    <t>Gas imports</t>
  </si>
  <si>
    <t>Bio-conversion</t>
  </si>
  <si>
    <t>Agricultural 'waste'</t>
  </si>
  <si>
    <t>Other waste</t>
  </si>
  <si>
    <t>Biomass imports</t>
  </si>
  <si>
    <t>Electricity grid</t>
  </si>
  <si>
    <t>Thermal generation</t>
  </si>
  <si>
    <t>Over generation / exports</t>
  </si>
  <si>
    <t>Biofuel imports</t>
  </si>
  <si>
    <t>% reduction 1990-2050</t>
  </si>
  <si>
    <t>% imported</t>
  </si>
  <si>
    <t>Area same as half of natural reserve used, delivering ~4 TWh/yr</t>
  </si>
  <si>
    <t>Area same as all of natural reserve used, delivering ~9 TWh/yr</t>
  </si>
  <si>
    <t>Imported biofuel declines from ~ 4 TWh/yr currently to zero</t>
  </si>
  <si>
    <t>From</t>
  </si>
  <si>
    <t>To</t>
  </si>
  <si>
    <t>Delta</t>
  </si>
  <si>
    <t>Emissions by sector</t>
  </si>
  <si>
    <t>Share of Biogas to total gaseous hydrocarbon consumption</t>
  </si>
  <si>
    <t>Share of Bioliquids to total liquid hydrocarbon consumption</t>
  </si>
  <si>
    <t>Share of solid biomass to total solid hydrocarbon consumption</t>
  </si>
  <si>
    <t>Electricity Generation Emissions</t>
  </si>
  <si>
    <t>Power Generation</t>
  </si>
  <si>
    <t>Bioenergy in Gas Power</t>
  </si>
  <si>
    <t>Bioenergy in Solid BM Power</t>
  </si>
  <si>
    <t>Bioenergy in Solid HC CCS Power</t>
  </si>
  <si>
    <t>Total Emissions from Power</t>
  </si>
  <si>
    <t>CO2e</t>
  </si>
  <si>
    <t>Imported Bioenergy</t>
  </si>
  <si>
    <t>Imported Electricity</t>
  </si>
  <si>
    <t>Energy Security Contextual Data</t>
  </si>
  <si>
    <t>Area same as four times natural reserve used, delivering ~46 TWh/yr</t>
  </si>
  <si>
    <t>Trajectory Descriptions (slightly longer for story tab)</t>
  </si>
  <si>
    <t>Maximum supply, no demand</t>
  </si>
  <si>
    <t>Emissions from Electricity Generation, exlcuding CHP</t>
  </si>
  <si>
    <t>Emissions reclassified</t>
  </si>
  <si>
    <t>Emissions intensity</t>
  </si>
  <si>
    <t>Note: Emissions from CHP are excluded, while emissions from district heating are included.</t>
  </si>
  <si>
    <t>Biocrop information</t>
  </si>
  <si>
    <t>Area of biocrops</t>
  </si>
  <si>
    <t>Forestry information</t>
  </si>
  <si>
    <t>Area of forest</t>
  </si>
  <si>
    <t>VI.a.Biocrop</t>
  </si>
  <si>
    <t>VI.a.Forestry</t>
  </si>
  <si>
    <t>Land dedicated to bioenergy</t>
  </si>
  <si>
    <t>Type of fuels from biomass</t>
  </si>
  <si>
    <t>Livestock and their management</t>
  </si>
  <si>
    <t>Hydroelectric power stations</t>
  </si>
  <si>
    <t>Gaseous Hydrocarbon consumption</t>
  </si>
  <si>
    <t>Liquid Hydrocarbon consumption</t>
  </si>
  <si>
    <t>Solid Hydrocarbon consumption</t>
  </si>
  <si>
    <t>bcm</t>
  </si>
  <si>
    <t>unit.bcm</t>
  </si>
  <si>
    <t>Up to 70 TWh/yr of imported bioenergy in 2050</t>
  </si>
  <si>
    <t>Up to 140 TWh/yr of imported bioenergy in 2050</t>
  </si>
  <si>
    <t>Up to 280 TWh/yr of imported bioenergy in 2050</t>
  </si>
  <si>
    <t>Equivalent to a 2.5W/m2 actual energy output</t>
  </si>
  <si>
    <t>Volume of Waste &amp; Recycling</t>
  </si>
  <si>
    <t>Types of fuel from Biomass</t>
  </si>
  <si>
    <t>Storage, demand shifting, interconnection</t>
  </si>
  <si>
    <t>Energy intensity of industry</t>
  </si>
  <si>
    <t>Bio-energy balancing</t>
  </si>
  <si>
    <t>Energy balancing and bio-energy</t>
  </si>
  <si>
    <t>ONCE YOU'VE MADE YOUR CHOICES PRESS F9</t>
  </si>
  <si>
    <t xml:space="preserve">Please use the Storage, demand shifting and interconnection lever to choose balancing and </t>
  </si>
  <si>
    <t>storage options</t>
  </si>
  <si>
    <t xml:space="preserve">Please note: emissions by sector need to account for bio-energy, which is accounted for seperately (in V). </t>
  </si>
  <si>
    <t>Cumulative emissions are estimates based on a linear trajectory between the 5 year time periods</t>
  </si>
  <si>
    <t>MtCO2e/TWh</t>
  </si>
  <si>
    <t>Bio-energy - Production and Use</t>
  </si>
  <si>
    <t>Hydro-carbon use by sector and Bio-energy share</t>
  </si>
  <si>
    <t>Please note: Bio-energy is not assigned to sectors but is assumed to replace fossil fuels up to maximum demand</t>
  </si>
  <si>
    <t>gCO2e/KWh</t>
  </si>
  <si>
    <t>Billion Cubic Metres (Gas)</t>
  </si>
  <si>
    <t>Assumed typical waste to energy facility size</t>
  </si>
  <si>
    <t>Mt waste/y</t>
  </si>
  <si>
    <t>NUMBER OF FACILITIES</t>
  </si>
  <si>
    <t>C1.Low</t>
  </si>
  <si>
    <t>Low estimate of capital costs</t>
  </si>
  <si>
    <t>C2.Low</t>
  </si>
  <si>
    <t>Low estimate of operating costs</t>
  </si>
  <si>
    <t>C3.Low</t>
  </si>
  <si>
    <t>Low estimate of fuel costs</t>
  </si>
  <si>
    <t>Low estimate of total cost</t>
  </si>
  <si>
    <t>NPV</t>
  </si>
  <si>
    <t>Biomatter to fuel conversion</t>
  </si>
  <si>
    <t>C1.High</t>
  </si>
  <si>
    <t>High estimate of capital costs</t>
  </si>
  <si>
    <t>C2.High</t>
  </si>
  <si>
    <t>High estimate of operating costs</t>
  </si>
  <si>
    <t>C3.High</t>
  </si>
  <si>
    <t>High estimate of fuel costs</t>
  </si>
  <si>
    <t>High estimate of total cost</t>
  </si>
  <si>
    <t>Cost vectors</t>
  </si>
  <si>
    <t>Discounting</t>
  </si>
  <si>
    <t>Discount factor</t>
  </si>
  <si>
    <t>Cost conversions</t>
  </si>
  <si>
    <t>£</t>
  </si>
  <si>
    <t>£trn</t>
  </si>
  <si>
    <t>2010 trillion british pounds</t>
  </si>
  <si>
    <t>TGBP</t>
  </si>
  <si>
    <t>£bn</t>
  </si>
  <si>
    <t>2010 billion british pounds</t>
  </si>
  <si>
    <t>GGBP</t>
  </si>
  <si>
    <t>£m</t>
  </si>
  <si>
    <t>2010 million british pounds</t>
  </si>
  <si>
    <t>MGBP</t>
  </si>
  <si>
    <t>£k</t>
  </si>
  <si>
    <t>2010 thousand british pounds</t>
  </si>
  <si>
    <t>kGBP</t>
  </si>
  <si>
    <t>2010 british pounds</t>
  </si>
  <si>
    <t>GBP</t>
  </si>
  <si>
    <t>Cost assumptions</t>
  </si>
  <si>
    <t>Capital costs</t>
  </si>
  <si>
    <t>Operating costs</t>
  </si>
  <si>
    <t>Low estimate of costs</t>
  </si>
  <si>
    <t>Total costs</t>
  </si>
  <si>
    <t>High estimate of costs</t>
  </si>
  <si>
    <t>Money is measured in:</t>
  </si>
  <si>
    <t>Costs</t>
  </si>
  <si>
    <t>Costs of this physical change</t>
  </si>
  <si>
    <t>Mboe</t>
  </si>
  <si>
    <t>Million barrels of oil equivalent</t>
  </si>
  <si>
    <t>Unit.Mboe</t>
  </si>
  <si>
    <t>Hydrocarbon imports</t>
  </si>
  <si>
    <t>Positive numbers are exports. Negative numbers are imports</t>
  </si>
  <si>
    <t>$/bbl</t>
  </si>
  <si>
    <t>p/therm</t>
  </si>
  <si>
    <t>Multiply those units by a range of market prices</t>
  </si>
  <si>
    <t>Sources:</t>
  </si>
  <si>
    <t>2009 US dollars</t>
  </si>
  <si>
    <t>USD2009_</t>
  </si>
  <si>
    <t>Positives numbers are costs to the country to pay for imports. Negative numbers are revenue to the country from selling exports</t>
  </si>
  <si>
    <t>Turn the imports into costs</t>
  </si>
  <si>
    <t>Calculate the cost of imports</t>
  </si>
  <si>
    <t>boe</t>
  </si>
  <si>
    <t>Barrel of oil equivalent</t>
  </si>
  <si>
    <t>Unit.boe</t>
  </si>
  <si>
    <t>Compute the cost of the fossil fuels</t>
  </si>
  <si>
    <t>Capital</t>
  </si>
  <si>
    <t>Build rate</t>
  </si>
  <si>
    <t>Build Rate</t>
  </si>
  <si>
    <t>Solar Plant size</t>
  </si>
  <si>
    <t>Diesel fuel use</t>
  </si>
  <si>
    <t>Distance (HGVs), diesel</t>
  </si>
  <si>
    <t>Distance (HGVs), electric</t>
  </si>
  <si>
    <t>2a</t>
  </si>
  <si>
    <t>2b</t>
  </si>
  <si>
    <t>2c</t>
  </si>
  <si>
    <t>VEHICLE-KM BY MODE / TECHNOLOGY</t>
  </si>
  <si>
    <t>Vehicle-km (bn)</t>
  </si>
  <si>
    <t>VEHICLE UNITS BY MODE / TECHNOLOGY</t>
  </si>
  <si>
    <t>Vehicle Units (000s)</t>
  </si>
  <si>
    <t>2d</t>
  </si>
  <si>
    <t>2e</t>
  </si>
  <si>
    <t>HIGH OPERATING COST BY MODE / TECHNOLOGY</t>
  </si>
  <si>
    <t>LOW OPERATING COST BY MODE / TECHNOLOGY</t>
  </si>
  <si>
    <t>Peak electriciy supply</t>
  </si>
  <si>
    <t>Operating</t>
  </si>
  <si>
    <t>Calculate the cost of the transmission grid</t>
  </si>
  <si>
    <t>Approximate Regulated Asset Value</t>
  </si>
  <si>
    <t>Lifespan</t>
  </si>
  <si>
    <t>years</t>
  </si>
  <si>
    <t>Capital cost per year in procceeding 5 years</t>
  </si>
  <si>
    <t>Operating cost</t>
  </si>
  <si>
    <t>Total cost</t>
  </si>
  <si>
    <t>Calculate the cost of the distribution grid</t>
  </si>
  <si>
    <t>Years</t>
  </si>
  <si>
    <t>COSTS</t>
  </si>
  <si>
    <t>Uranium</t>
  </si>
  <si>
    <t>Nuclear Fission</t>
  </si>
  <si>
    <t>Lifespan from MARKAL</t>
  </si>
  <si>
    <t>Concentrated solar power imports</t>
  </si>
  <si>
    <t>Domestic heating</t>
  </si>
  <si>
    <t>Rail freight, distance, diesel (DECC Estimate)</t>
  </si>
  <si>
    <t xml:space="preserve">Rail freight, distance, electric (DECC Estimate) </t>
  </si>
  <si>
    <t>New Build per year, previous 5 years</t>
  </si>
  <si>
    <t>For information</t>
  </si>
  <si>
    <t>Plant size</t>
  </si>
  <si>
    <t>NUMBER OF FACILITIES (ILLUSTRATIVE)</t>
  </si>
  <si>
    <t>6a.</t>
  </si>
  <si>
    <t># facilities</t>
  </si>
  <si>
    <t>6b</t>
  </si>
  <si>
    <t>Build rate, following period</t>
  </si>
  <si>
    <t>Limit (MtCO2e/yr)</t>
  </si>
  <si>
    <t>Improved soil management level 1</t>
  </si>
  <si>
    <t>Improved soil management level 2</t>
  </si>
  <si>
    <t>Improved animal breeding and husbandry</t>
  </si>
  <si>
    <t>Improved manure management (excluding Anaerobic Digestion)</t>
  </si>
  <si>
    <t>Total fuel cost</t>
  </si>
  <si>
    <t>Abatement of:</t>
  </si>
  <si>
    <t>MtCO2e saved/yr</t>
  </si>
  <si>
    <t>Enteric emissions</t>
  </si>
  <si>
    <t>tCO2e saved/head</t>
  </si>
  <si>
    <t>This is adjusted for the shift in animal numbers</t>
  </si>
  <si>
    <t>Manure emissions</t>
  </si>
  <si>
    <t>tCO2e saved/tManure</t>
  </si>
  <si>
    <t>This is adjusted for the shift in volume of manure that is not used for AD</t>
  </si>
  <si>
    <t>Preparing for use for energy</t>
  </si>
  <si>
    <t>Illustrative size</t>
  </si>
  <si>
    <t>Mt/yr</t>
  </si>
  <si>
    <t>Life</t>
  </si>
  <si>
    <t>Landfill site</t>
  </si>
  <si>
    <t>Cost of energy from landfill</t>
  </si>
  <si>
    <t>Mt CH4</t>
  </si>
  <si>
    <t>Capturing the landfill gas</t>
  </si>
  <si>
    <t>Recovering the landfill gas for energy</t>
  </si>
  <si>
    <t>Cost of using sewage sludge for energy</t>
  </si>
  <si>
    <t>Recovering sewage sludge for energy</t>
  </si>
  <si>
    <t>% by weight</t>
  </si>
  <si>
    <t>% of waste for landfill</t>
  </si>
  <si>
    <t>Total volume of waste collected</t>
  </si>
  <si>
    <t>Total volume of waste converted into energy</t>
  </si>
  <si>
    <t>Total volume of waste landfilled</t>
  </si>
  <si>
    <t>Total volume of waste recycled</t>
  </si>
  <si>
    <t>Total volume of wet waste separated</t>
  </si>
  <si>
    <t>Number of operating landfill sites</t>
  </si>
  <si>
    <t>...of which 0-5 years old</t>
  </si>
  <si>
    <t>...of which 5-10 years old</t>
  </si>
  <si>
    <t>...of which 10-15 years old</t>
  </si>
  <si>
    <t>landfill sites with gas capture</t>
  </si>
  <si>
    <t>landfill sites with gas recovery for energy</t>
  </si>
  <si>
    <t>Sewage works that recover for energy</t>
  </si>
  <si>
    <t>Capital - Low</t>
  </si>
  <si>
    <t>Collection</t>
  </si>
  <si>
    <t>Landfill gas capture</t>
  </si>
  <si>
    <t>Landfill gas recovery</t>
  </si>
  <si>
    <t>Recycling</t>
  </si>
  <si>
    <t>Separating wet waste for AD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</si>
  <si>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</si>
  <si>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Capital - high</t>
  </si>
  <si>
    <t>Euro2002</t>
  </si>
  <si>
    <t>2002 Euros</t>
  </si>
  <si>
    <t>Euro2002_</t>
  </si>
  <si>
    <t>Volume conversions</t>
  </si>
  <si>
    <t>UK Gallon</t>
  </si>
  <si>
    <t>Litres per UK gallon</t>
  </si>
  <si>
    <t>Conversion.UKgallons.to.litres</t>
  </si>
  <si>
    <t>Litres</t>
  </si>
  <si>
    <t>US Gallon</t>
  </si>
  <si>
    <t>Litres per US gallon</t>
  </si>
  <si>
    <t>Conversion.USgallons.to.litres</t>
  </si>
  <si>
    <t>Operating - High</t>
  </si>
  <si>
    <t>Pipeline</t>
  </si>
  <si>
    <t>Percentage of scrappage every 5 years</t>
  </si>
  <si>
    <t>Total Cookers</t>
  </si>
  <si>
    <t xml:space="preserve">Cookers scrapped </t>
  </si>
  <si>
    <t>New Cookers</t>
  </si>
  <si>
    <t>Assumed retirement rate of lighting stock</t>
  </si>
  <si>
    <t>% in 5yr per</t>
  </si>
  <si>
    <t>New lighting stock needed in period</t>
  </si>
  <si>
    <t>Cost of industrial CCS capture</t>
  </si>
  <si>
    <t>Fixed costs of industrial CCS capture</t>
  </si>
  <si>
    <t>Infrastructure Costs</t>
  </si>
  <si>
    <t>Variable plant O&amp;M</t>
  </si>
  <si>
    <t>Distribution and capture</t>
  </si>
  <si>
    <t>Energy equiv. of total emissions captured</t>
  </si>
  <si>
    <t>L</t>
  </si>
  <si>
    <t>Capital cost of industrial CCS capture</t>
  </si>
  <si>
    <t>H</t>
  </si>
  <si>
    <t>Operating cost of industrial CCS capture</t>
  </si>
  <si>
    <t>Cost of industrial processes by fuel type</t>
  </si>
  <si>
    <t>Source: DfT estimates - not for Rail which are draft DECC figures using base Network Rail figures split by future trajectories</t>
  </si>
  <si>
    <t>yrs</t>
  </si>
  <si>
    <t>CAPACITIES</t>
  </si>
  <si>
    <t>Gas grid</t>
  </si>
  <si>
    <t>Stock</t>
  </si>
  <si>
    <t>Replacement</t>
  </si>
  <si>
    <t>per year</t>
  </si>
  <si>
    <t>Expansion</t>
  </si>
  <si>
    <t>Total new build</t>
  </si>
  <si>
    <t>4. COSTS</t>
  </si>
  <si>
    <t>Illustrative refinery size size</t>
  </si>
  <si>
    <t>Stock of refineries</t>
  </si>
  <si>
    <t>IMPLICATIONS</t>
  </si>
  <si>
    <t>Solid fueled unabated generation</t>
  </si>
  <si>
    <t>Gaseous fueled unabated generation</t>
  </si>
  <si>
    <t>B.07</t>
  </si>
  <si>
    <t>B.08</t>
  </si>
  <si>
    <t>Shiftable electricity demand</t>
  </si>
  <si>
    <t>B.09</t>
  </si>
  <si>
    <t>Additional electricity at peak</t>
  </si>
  <si>
    <t>Power</t>
  </si>
  <si>
    <t>B.10</t>
  </si>
  <si>
    <t>Temperature related additional electricity demand</t>
  </si>
  <si>
    <t>&lt;- FRAGILE LINK</t>
  </si>
  <si>
    <t>Ethanol</t>
  </si>
  <si>
    <t>Jet Fuel</t>
  </si>
  <si>
    <t>Exported electricity</t>
  </si>
  <si>
    <t>B.11</t>
  </si>
  <si>
    <t>Interconnector capacity</t>
  </si>
  <si>
    <t xml:space="preserve">Balancing </t>
  </si>
  <si>
    <t>Export capacity required</t>
  </si>
  <si>
    <t>Less existing cable for balancing</t>
  </si>
  <si>
    <t>Less existing cable for imports</t>
  </si>
  <si>
    <t>Net new cable required</t>
  </si>
  <si>
    <t>MWh</t>
  </si>
  <si>
    <t>Megawatt-hours</t>
  </si>
  <si>
    <t>Unit.MWh</t>
  </si>
  <si>
    <t>IMPORTED ELECTRICITY</t>
  </si>
  <si>
    <t>EXPORTED ELECTRICITY</t>
  </si>
  <si>
    <t>Extra cable required</t>
  </si>
  <si>
    <t>Cable that needs to be replaced</t>
  </si>
  <si>
    <t>Total cable build rate</t>
  </si>
  <si>
    <t>New cable that needs to be installed</t>
  </si>
  <si>
    <t>Electricity Exports</t>
  </si>
  <si>
    <t>VII.a.Imports</t>
  </si>
  <si>
    <t>VII.a.Exports</t>
  </si>
  <si>
    <t>Loan</t>
  </si>
  <si>
    <t>Rate</t>
  </si>
  <si>
    <t>Finance cost for capital spent in that period</t>
  </si>
  <si>
    <t>Finance cost for outstanding capital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</si>
  <si>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</si>
  <si>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</si>
  <si>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</si>
  <si>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</si>
  <si>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</si>
  <si>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</si>
  <si>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</si>
  <si>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</si>
  <si>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</si>
  <si>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</si>
  <si>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</si>
  <si>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</si>
  <si>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</si>
  <si>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</si>
  <si>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</si>
  <si>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</si>
  <si>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</si>
  <si>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2008</t>
  </si>
  <si>
    <t>2009</t>
  </si>
  <si>
    <t>GDP Deflator</t>
  </si>
  <si>
    <t>Financing costs for different sectors</t>
  </si>
  <si>
    <t>Discount rate (User Defined)</t>
  </si>
  <si>
    <t>XVIII</t>
  </si>
  <si>
    <t>Retirement (GW)</t>
  </si>
  <si>
    <t>Retirement rate</t>
  </si>
  <si>
    <t>Non-annualised</t>
  </si>
  <si>
    <t>Central Case</t>
  </si>
  <si>
    <t>Natural Gas Gross</t>
  </si>
  <si>
    <t>Low Production case</t>
  </si>
  <si>
    <t>Very low production case</t>
  </si>
  <si>
    <t>LOW CAPITAL COST BY MODE / TECHNOLOGY  - TOTAL COST/CASH FLOW CALCULATION</t>
  </si>
  <si>
    <t>HIGH CAPITAL COST BY MODE / TECHNOLOGY  - TOTAL COST/CASH FLOW CALCULATION</t>
  </si>
  <si>
    <t>GDP (£2010)</t>
  </si>
  <si>
    <t>TOTAL VEHICLE UNITS BY MODE / TECHNOLOGY BY YEAR</t>
  </si>
  <si>
    <t>SCRAPPED VEHICLE UNITS BY MODE / TECHNOLOGY</t>
  </si>
  <si>
    <t>NEW VEHICLE UNITS BY MODE / TECHNOLOGY</t>
  </si>
  <si>
    <t>Compute costs by mode and technology</t>
  </si>
  <si>
    <t>3a</t>
  </si>
  <si>
    <t>3b</t>
  </si>
  <si>
    <t>km/vehicle</t>
  </si>
  <si>
    <t>Typical distance travelled by mode</t>
  </si>
  <si>
    <t>000s Vehicle Units/yr, period up to date</t>
  </si>
  <si>
    <t>CAPITAL COST OF NEW VEHICLE UNITS (LOW)</t>
  </si>
  <si>
    <t>000s Vehicle Units/yr, preceeding 5 years</t>
  </si>
  <si>
    <t>CAPITAL COST OF NEW VEHICLE UNITS (HIGH)</t>
  </si>
  <si>
    <t>TOTAL</t>
  </si>
  <si>
    <t>OPERATING COSTS OF ALL VEHICLES (LOW)</t>
  </si>
  <si>
    <t>3c</t>
  </si>
  <si>
    <t>3d</t>
  </si>
  <si>
    <t>OPERATING COSTS OF ALL VEHICLES (HIGH)</t>
  </si>
  <si>
    <t>Net Capex</t>
  </si>
  <si>
    <t>Opex (ex fuel)</t>
  </si>
  <si>
    <t>Impact of choice of energy efficiency trajectory</t>
  </si>
  <si>
    <t>Cost of production by sector</t>
  </si>
  <si>
    <t>2050 % cost increase per unit production (low)</t>
  </si>
  <si>
    <t>2050 % cost increase per unit production (high)</t>
  </si>
  <si>
    <t>High costs from MARKAL/Low costs from ESME (exceptions -  BUS EV which uses MARKAL for High and Low figures and Air where Markal opex&lt;ESME so Markal used)</t>
  </si>
  <si>
    <t>HGV</t>
  </si>
  <si>
    <t>Rail Freight</t>
  </si>
  <si>
    <t xml:space="preserve">Vehicle Units </t>
  </si>
  <si>
    <t>TOTAL VEHICLE UNITS BY MODE / TECHNOLOGY</t>
  </si>
  <si>
    <t>Vehicle Units/yr, period up to date</t>
  </si>
  <si>
    <t>Vehicle Units/yr, preceeding 5 years</t>
  </si>
  <si>
    <t>High cost for CAR FCV is from DfT assumption</t>
  </si>
  <si>
    <t>EV and PHEV capital costs for car include an uplift for infrastructure required using DfT assumptions of £1750 and £625 for high and low capictal, respectively.</t>
  </si>
  <si>
    <t>GDP per Capita (£2010)</t>
  </si>
  <si>
    <t>[3b]</t>
  </si>
  <si>
    <t>The above occupancy for rail is for whole trainsets.  The model now operates at a rail vehicle (carriage) unit.  The average occupancy per vehicle is 20.</t>
  </si>
  <si>
    <t>Bike cost assumptions are DECC estimates and include advice from DfT</t>
  </si>
  <si>
    <t>Demand Reduction</t>
  </si>
  <si>
    <t>Demand Reduction from level 1, previous 5 years</t>
  </si>
  <si>
    <t>Low estimate of costs (per annum)</t>
  </si>
  <si>
    <t>High estimate of costs (per annum)</t>
  </si>
  <si>
    <t>Low (future 2050) rail costs based on advice from DfT of 30% reduction by 2030 followed by a further 15% by 2050.  Applied to capex and opex.</t>
  </si>
  <si>
    <t>Passenger rail modelled in vehicle units using DfT veh/mile cost multiplied by average unit mileage</t>
  </si>
  <si>
    <t>High costs from ESME/Low costs from MARKAL for rail and road electric.</t>
  </si>
  <si>
    <t>High costs from MARKAL/Low costs from ESME for road ICE and opex for rail electric.  OPEX diesel high is insurance and o/head from RHA.</t>
  </si>
  <si>
    <t>Incremental cost of abatement</t>
  </si>
  <si>
    <t>B.12</t>
  </si>
  <si>
    <t>Balancing capacity used</t>
  </si>
  <si>
    <t>% of available</t>
  </si>
  <si>
    <t>XVI.b.Coal</t>
  </si>
  <si>
    <t>XVI.b.Oil</t>
  </si>
  <si>
    <t>XVI.b.Gas</t>
  </si>
  <si>
    <t>Balancing imports - Coal</t>
  </si>
  <si>
    <t>Balancing imports - Oil</t>
  </si>
  <si>
    <t>Balancing imports - Gas</t>
  </si>
  <si>
    <t>Cost of Coal</t>
  </si>
  <si>
    <t>Cost of Oil</t>
  </si>
  <si>
    <t>Cost of Gas</t>
  </si>
  <si>
    <t>XV.b.Coal</t>
  </si>
  <si>
    <t>XV.b.Oil</t>
  </si>
  <si>
    <t>XV.b.Gas</t>
  </si>
  <si>
    <t>Indigenous fossil-fuel production - Coal</t>
  </si>
  <si>
    <t>Indigenous fossil-fuel production - Oil</t>
  </si>
  <si>
    <t>Indigenous fossil-fuel production - Gas</t>
  </si>
  <si>
    <t>IX.a.Heating</t>
  </si>
  <si>
    <t>IX.a.Insulation</t>
  </si>
  <si>
    <t>Domestic insulation</t>
  </si>
  <si>
    <t>Costs of EV cars and buses</t>
  </si>
  <si>
    <t>Costs of rail</t>
  </si>
  <si>
    <t>Costs of bikes</t>
  </si>
  <si>
    <t>Costs of domestic aviation</t>
  </si>
  <si>
    <t>XII.a.ICE</t>
  </si>
  <si>
    <t>XII.a.HEV</t>
  </si>
  <si>
    <t>XII.a.EV</t>
  </si>
  <si>
    <t>XII.a.FCV</t>
  </si>
  <si>
    <t>XII.a.Rail</t>
  </si>
  <si>
    <t>XII.a.Air</t>
  </si>
  <si>
    <t>Conventional cars and buses</t>
  </si>
  <si>
    <t>Hybrid cars and buses</t>
  </si>
  <si>
    <t>Electric cars and buses</t>
  </si>
  <si>
    <t>Fuel cell cars and buses</t>
  </si>
  <si>
    <t>Bikes</t>
  </si>
  <si>
    <t>Note: Capacity in Desertec scenarios are roughly equal to TWh of electricity provided divided by 6 (in 2020) and 7 in (2050), therefore assume 6.5 when converting from TWh to GW</t>
  </si>
  <si>
    <t>Fossil Fuels</t>
  </si>
  <si>
    <t>Extra cost due to financing capital, compared with doing it out of cash</t>
  </si>
  <si>
    <t>Mean</t>
  </si>
  <si>
    <t>Default, unless specified below</t>
  </si>
  <si>
    <t>NB: Interest rates are REAL</t>
  </si>
  <si>
    <t>Total Household waste arising</t>
  </si>
  <si>
    <t>WASTE DESTINATIONS, Household and C&amp;I</t>
  </si>
  <si>
    <t>Household</t>
  </si>
  <si>
    <t>Collection of Household, C&amp;I</t>
  </si>
  <si>
    <t>Recycling Household, C&amp;I</t>
  </si>
  <si>
    <t>Separating wet waste from Household, C&amp;I</t>
  </si>
  <si>
    <t xml:space="preserve">UNSEGREGATED Household, C&amp;I, AND CDW </t>
  </si>
  <si>
    <t>Household for energy</t>
  </si>
  <si>
    <t>Household for recyling</t>
  </si>
  <si>
    <t>Number of Household, C&amp;I and CDW to energy facilities</t>
  </si>
  <si>
    <t>HH</t>
  </si>
  <si>
    <t>Recycled or composted</t>
  </si>
  <si>
    <t>Incineration or EFW</t>
  </si>
  <si>
    <t>Wet waste from recycling for energy</t>
  </si>
  <si>
    <t>Sewage sludge for energy</t>
  </si>
  <si>
    <t>Landfill gas captured</t>
  </si>
  <si>
    <t>Landfill gas recovered</t>
  </si>
  <si>
    <t>Electricity exports</t>
  </si>
  <si>
    <t>REFERENCED</t>
  </si>
  <si>
    <t>A Technology penetration (original)</t>
  </si>
  <si>
    <t>Technology penetration (addition)</t>
  </si>
  <si>
    <t>XVIII.Power</t>
  </si>
  <si>
    <t>XVIII.Industry</t>
  </si>
  <si>
    <t>&lt;- Is this cell redundant?</t>
  </si>
  <si>
    <t>Costs of bioenergy</t>
  </si>
  <si>
    <t>Costs of recycling &amp; waste management</t>
  </si>
  <si>
    <t>Waste management Total</t>
  </si>
  <si>
    <t>Bioenergy Total</t>
  </si>
  <si>
    <t>VI.b.Bioenergy</t>
  </si>
  <si>
    <t>VI.b.Waste</t>
  </si>
  <si>
    <t>Energy from waste</t>
  </si>
  <si>
    <t>VI.a.Bioenergy</t>
  </si>
  <si>
    <t>VI.a.Emissions</t>
  </si>
  <si>
    <t>Assumed technical life</t>
  </si>
  <si>
    <t>years, which is modelled as a replacement rate of</t>
  </si>
  <si>
    <t>of opening capital each year</t>
  </si>
  <si>
    <t>Power Carbon Capture</t>
  </si>
  <si>
    <t>Industry Carbon Capture</t>
  </si>
  <si>
    <t>XII.a.Bike</t>
  </si>
  <si>
    <t>LIMIT</t>
  </si>
  <si>
    <t>YOUR CHOICE</t>
  </si>
  <si>
    <t>Trajectory Descriptions</t>
  </si>
  <si>
    <t>Emissions in the time period (up to and including year above)</t>
  </si>
  <si>
    <t>Cumulative emissions</t>
  </si>
  <si>
    <t>REFERENCED - All costs</t>
  </si>
  <si>
    <t xml:space="preserve">This page contains the translations of the different codes used in the model (e.g., N.01 is energy from  uranium). </t>
  </si>
  <si>
    <t>To the right of this page are the emissions codes and the cost codes</t>
  </si>
  <si>
    <t>This sheet contains assumptions that are common to many sheets. In particular, lower down the page are assumptions about discount rates and costs of finance.</t>
  </si>
  <si>
    <t>This page contains standard assuptions. In particular, lower down the page are the emissions per unit of energy from coal, natural gas and oil.</t>
  </si>
  <si>
    <t>Air Quality</t>
  </si>
  <si>
    <t>AQ.01</t>
  </si>
  <si>
    <t>AQ.02</t>
  </si>
  <si>
    <t>AQ.03</t>
  </si>
  <si>
    <t>AQ.04</t>
  </si>
  <si>
    <t>PM10</t>
  </si>
  <si>
    <t>NMVOC</t>
  </si>
  <si>
    <t xml:space="preserve">  Air Quality</t>
  </si>
  <si>
    <t>NOX</t>
  </si>
  <si>
    <t>SO2</t>
  </si>
  <si>
    <t>PM10 emission factors</t>
  </si>
  <si>
    <t>NOX emission factors</t>
  </si>
  <si>
    <t>SO2 emission factors</t>
  </si>
  <si>
    <t>kt</t>
  </si>
  <si>
    <t>NMVOC emission factors</t>
  </si>
  <si>
    <t>Baseline AQ Process emissions (2010)</t>
  </si>
  <si>
    <t>Baseline AQ Process emissions (2015)</t>
  </si>
  <si>
    <t>Baseline AQ Process emissions (2020)</t>
  </si>
  <si>
    <t>IPCC</t>
  </si>
  <si>
    <t>Column1</t>
  </si>
  <si>
    <t>Column2</t>
  </si>
  <si>
    <t>Solid hydrocarbons (coal)</t>
  </si>
  <si>
    <t>Bio type</t>
  </si>
  <si>
    <t>ROAD</t>
  </si>
  <si>
    <t>Base Years</t>
  </si>
  <si>
    <t>Process emissions from gas</t>
  </si>
  <si>
    <t>ESI</t>
  </si>
  <si>
    <t>XI.a.Combustion</t>
  </si>
  <si>
    <t>XI.a.Process</t>
  </si>
  <si>
    <t>Industrial combustion</t>
  </si>
  <si>
    <t>XII.b.Road</t>
  </si>
  <si>
    <t>XII.a.Road</t>
  </si>
  <si>
    <t>XII.a.Aviation</t>
  </si>
  <si>
    <t>XII.b.Rail</t>
  </si>
  <si>
    <t>XII.b.NationalNavigation</t>
  </si>
  <si>
    <t>Passenger Rail</t>
  </si>
  <si>
    <t>Passenger Aviation</t>
  </si>
  <si>
    <t>Industrial</t>
  </si>
  <si>
    <t>Rural</t>
  </si>
  <si>
    <t>Amortised Capital</t>
  </si>
  <si>
    <t>Cashflow capital basis</t>
  </si>
  <si>
    <t>$2009</t>
  </si>
  <si>
    <t>$2010</t>
  </si>
  <si>
    <t>2010 US dollars</t>
  </si>
  <si>
    <t>USD2010_</t>
  </si>
  <si>
    <t>$/tCoal</t>
  </si>
  <si>
    <t>Energy Balance</t>
  </si>
  <si>
    <t>Energy balance</t>
  </si>
  <si>
    <t>XVIII.a</t>
  </si>
  <si>
    <t>Storage of captured CO2</t>
  </si>
  <si>
    <t>GREENHOUSE GAS EMISSIONS</t>
  </si>
  <si>
    <t>OTHER EMISSIONS</t>
  </si>
  <si>
    <t>Kte/yr</t>
  </si>
  <si>
    <t>Individual sectors</t>
  </si>
  <si>
    <t>Aggregate of sectors</t>
  </si>
  <si>
    <t>Years of life lost/tonne</t>
  </si>
  <si>
    <t>Years of life lost per tonne of pollutant</t>
  </si>
  <si>
    <t>Total years of lost life</t>
  </si>
  <si>
    <t>Total years of lost life by pollutant</t>
  </si>
  <si>
    <t>Grand Total</t>
  </si>
  <si>
    <t>Years of lost life/year</t>
  </si>
  <si>
    <t>For comparison, all at level 1</t>
  </si>
  <si>
    <t>kte/yr</t>
  </si>
  <si>
    <t>Other emissions to the atmosphere</t>
  </si>
  <si>
    <t>Greenhouse gases</t>
  </si>
  <si>
    <t>Other emissions to air</t>
  </si>
  <si>
    <r>
      <t>Mt CO</t>
    </r>
    <r>
      <rPr>
        <b/>
        <vertAlign val="subscript"/>
        <sz val="10"/>
        <color theme="1"/>
        <rFont val="Cambria"/>
        <family val="1"/>
        <scheme val="minor"/>
      </rPr>
      <t>2</t>
    </r>
    <r>
      <rPr>
        <b/>
        <sz val="10"/>
        <color theme="1"/>
        <rFont val="Cambria"/>
        <family val="1"/>
        <scheme val="minor"/>
      </rPr>
      <t>e/yr</t>
    </r>
  </si>
  <si>
    <t>Hyrdroelectricity</t>
  </si>
  <si>
    <t>Domestic road freight</t>
  </si>
  <si>
    <t>Domestic rail freight</t>
  </si>
  <si>
    <t>Domestic water freight</t>
  </si>
  <si>
    <t>Greenhouse gas emissions</t>
  </si>
  <si>
    <t>Air quality</t>
  </si>
  <si>
    <t>Other emissions to the atmosphere from combustion</t>
  </si>
  <si>
    <t>Other emissions to the atmosphere from process gases</t>
  </si>
  <si>
    <t>4a</t>
  </si>
  <si>
    <t>4b</t>
  </si>
  <si>
    <t>Process emissions growth</t>
  </si>
  <si>
    <t>Multiple of 2007 emissions</t>
  </si>
  <si>
    <t>Air Quality vectors</t>
  </si>
  <si>
    <t>C1.Point</t>
  </si>
  <si>
    <t>Point estimate of capital costs</t>
  </si>
  <si>
    <t>C2.Point</t>
  </si>
  <si>
    <t>C3.Point</t>
  </si>
  <si>
    <t>Point estimate of fuel costs</t>
  </si>
  <si>
    <t>High estimate</t>
  </si>
  <si>
    <t>Point estimate</t>
  </si>
  <si>
    <t>Low estimate</t>
  </si>
  <si>
    <t>Point estimate of costs</t>
  </si>
  <si>
    <t>Point estimate of operating costs</t>
  </si>
  <si>
    <t>Total cost of agricultural emissions abatement</t>
  </si>
  <si>
    <t>Total cost of bioenergy resources</t>
  </si>
  <si>
    <t>Capital - point</t>
  </si>
  <si>
    <t>Operating - point</t>
  </si>
  <si>
    <t>Operating - low</t>
  </si>
  <si>
    <t>Illustrative plant size</t>
  </si>
  <si>
    <t>Export earnings</t>
  </si>
  <si>
    <t>Interconnector Life</t>
  </si>
  <si>
    <t>Transmission</t>
  </si>
  <si>
    <t>Distribution</t>
  </si>
  <si>
    <t>Point</t>
  </si>
  <si>
    <t>UNITS</t>
  </si>
  <si>
    <t>Point estimate of capital cost per vehicle</t>
  </si>
  <si>
    <t xml:space="preserve">High estimate of capital cost per vehicle </t>
  </si>
  <si>
    <t xml:space="preserve">Low estimate of capital cost per vehicle </t>
  </si>
  <si>
    <t xml:space="preserve">Point operating cost per vehicle </t>
  </si>
  <si>
    <t xml:space="preserve">High operating cost per vehicle </t>
  </si>
  <si>
    <t>Low operating cost per vehicle</t>
  </si>
  <si>
    <t>CAPITAL COST OF NEW VEHICLE UNITS (POINT)</t>
  </si>
  <si>
    <t>3e</t>
  </si>
  <si>
    <t>OPERATING COSTS OF ALL VEHICLES (POINT)</t>
  </si>
  <si>
    <t>3f</t>
  </si>
  <si>
    <t xml:space="preserve">High estimate of operating cost per vehicle </t>
  </si>
  <si>
    <t>Point estimate of operating cost per vehicle</t>
  </si>
  <si>
    <t>Low estimate of operating cost per vehicle</t>
  </si>
  <si>
    <t>Low estimate capital cost per vehicle</t>
  </si>
  <si>
    <t>High estimate of capital cost per vehicle</t>
  </si>
  <si>
    <t>POINT ESTIMATE CAPITAL COST BY MODE / TECHNOLOGY - TOTAL COST/  CASH FLOW CALCULATION</t>
  </si>
  <si>
    <t>Ratios of biomass combustion emissions to fossil fuel combustion emissions</t>
  </si>
  <si>
    <t>Fueltype</t>
  </si>
  <si>
    <t>Fuel consumption</t>
  </si>
  <si>
    <t>Livestock process emissions</t>
  </si>
  <si>
    <t>Commercial lighting, appliances, and cooking</t>
  </si>
  <si>
    <t>Proportion of fuel used in Take off and landing stages</t>
  </si>
  <si>
    <t>percentage</t>
  </si>
  <si>
    <t>Process emissions</t>
  </si>
  <si>
    <t>International Shipping</t>
  </si>
  <si>
    <t>Other Sources</t>
  </si>
  <si>
    <t>* 2007 totals from UNECE reporting 2011</t>
  </si>
  <si>
    <t>Task 2. Identifying missing sources not covered by the 2050 model that have a significant impact on AQ emissions (NOx, SO2, PM10 and NMVOCs)</t>
  </si>
  <si>
    <t>For 2025-2050, assume emissions to be the same as year 2020</t>
  </si>
  <si>
    <t>ktonne</t>
  </si>
  <si>
    <t>NOx</t>
  </si>
  <si>
    <t>NMVOCs</t>
  </si>
  <si>
    <t>Missing sources in 2050 calculator</t>
  </si>
  <si>
    <t>Off-road mobile machinery*</t>
  </si>
  <si>
    <t>Lubricants use in road, aircraft and marine engines</t>
  </si>
  <si>
    <t>Other Mobile (Including military)**</t>
  </si>
  <si>
    <t>Solid fuel transformation</t>
  </si>
  <si>
    <t>Agriculture - stationary combustion (from straw and operations)</t>
  </si>
  <si>
    <t>Clinical and industrial waste incineration</t>
  </si>
  <si>
    <t>Cremation</t>
  </si>
  <si>
    <t>Small-scale waste burning</t>
  </si>
  <si>
    <t>Other (accidental fires, bonfire night and fireworks)</t>
  </si>
  <si>
    <t>Fugitive Emissions from Fuels***</t>
  </si>
  <si>
    <t>Paint Application</t>
  </si>
  <si>
    <t>Other product use</t>
  </si>
  <si>
    <t>Total emissions to be added into the 2050 calculator</t>
  </si>
  <si>
    <t>* This includes Industrial off-road mobile machinery, agriculture mobile machinery, house and garden machinery and aircraft support vehicles</t>
  </si>
  <si>
    <t>** This includes aircraft military and shipping naval</t>
  </si>
  <si>
    <t>*** This includes exploration production (transport), refining/storage, distribution of oil products and venting and flaring</t>
  </si>
  <si>
    <t>Data Sources: NAEI projections based on UEP38 and 2008 NAEI; also consistent with 2010 NECD submission</t>
  </si>
  <si>
    <t>AEA</t>
  </si>
  <si>
    <t>Sept 2011</t>
  </si>
  <si>
    <t>NMVOC process emissions from Landfill</t>
  </si>
  <si>
    <t>Volume of waste &amp; recycling</t>
  </si>
  <si>
    <t>POINT OPERATING COST BY MODE / TECHNOLOGY</t>
  </si>
  <si>
    <t>Cost of coal</t>
  </si>
  <si>
    <t>Cost of oil</t>
  </si>
  <si>
    <t>Cost of gas</t>
  </si>
  <si>
    <t>Capital cost of gas distribution</t>
  </si>
  <si>
    <t>Operating cost of gas distribution</t>
  </si>
  <si>
    <t xml:space="preserve">Gas </t>
  </si>
  <si>
    <t xml:space="preserve">Coal </t>
  </si>
  <si>
    <t xml:space="preserve">Used </t>
  </si>
  <si>
    <t>Point estimate of costs (per annum)</t>
  </si>
  <si>
    <t>Point estimate of  operating</t>
  </si>
  <si>
    <t>M</t>
  </si>
  <si>
    <t>Point estimate of total cost</t>
  </si>
  <si>
    <t>Point Estimate</t>
  </si>
  <si>
    <t>Repayments for capital spent in that period</t>
  </si>
  <si>
    <t>Repayments for outstanding capital</t>
  </si>
  <si>
    <t>To work properly, years should be a multiple of 5</t>
  </si>
  <si>
    <t>Emission reduction potential scaling factors</t>
  </si>
  <si>
    <t>Land use implications</t>
  </si>
  <si>
    <t>Flows through the energy system (for producing an energy flow diagram)</t>
  </si>
  <si>
    <t>Cross check of flows through the energy system (based on the idea that energy is transformed, but not destroyed)</t>
  </si>
  <si>
    <t>Check that flows in equal flows out</t>
  </si>
  <si>
    <t>Values flowing from the transformation</t>
  </si>
  <si>
    <t>Values flowing to the transformation</t>
  </si>
  <si>
    <t>Biogass</t>
  </si>
  <si>
    <t>of which:</t>
  </si>
  <si>
    <t>Illustrative station lifetime</t>
  </si>
  <si>
    <t>Cost of uranium</t>
  </si>
  <si>
    <t>Cost of uranium enrichment and disposal</t>
  </si>
  <si>
    <t>Gas new build</t>
  </si>
  <si>
    <t>Gas retirement</t>
  </si>
  <si>
    <t>Number of new builds required per 5 year period</t>
  </si>
  <si>
    <t>Buildings</t>
  </si>
  <si>
    <t>Biofuel</t>
  </si>
  <si>
    <t>Fuels used in combustion</t>
  </si>
  <si>
    <t>Point values - not wired here, done further down spreadsheet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</si>
  <si>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</si>
  <si>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</si>
  <si>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</si>
  <si>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</si>
  <si>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</si>
  <si>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</si>
  <si>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</si>
  <si>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</si>
  <si>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</si>
  <si>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</si>
  <si>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</si>
  <si>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</si>
  <si>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</si>
  <si>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</si>
  <si>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</si>
  <si>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</si>
  <si>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</si>
  <si>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</si>
  <si>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</si>
  <si>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</si>
  <si>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</si>
  <si>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</si>
  <si>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</si>
  <si>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</si>
  <si>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</si>
  <si>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</si>
  <si>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</si>
  <si>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</si>
  <si>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</si>
  <si>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</si>
  <si>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</si>
  <si>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</si>
  <si>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</si>
  <si>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</si>
  <si>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</si>
  <si>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</si>
  <si>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</si>
  <si>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</si>
  <si>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</si>
  <si>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</si>
  <si>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</si>
  <si>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</si>
  <si>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Column612</t>
  </si>
  <si>
    <t xml:space="preserve">DUKES - Commodity balances, production of wood waste, wood, poultry litter, meal and bone, and farm waste, and straw, SRC, and other plant-based biomass </t>
  </si>
  <si>
    <t>DUKES - Commodity balances, production of liquid biofuels</t>
  </si>
  <si>
    <t>DUKES - Commodity balances, production of sewage gas and landfill gas</t>
  </si>
  <si>
    <t xml:space="preserve">DUKES - Commodity balances, imports of wood waste, wood, poultry litter, meal and bone, and farm waste, and straw, SRC, and other plant-based biomass </t>
  </si>
  <si>
    <t>DUKES - Commodity balances, imports of liquid biofuels</t>
  </si>
  <si>
    <t>DUKES - Commodity balances, imports of sewage gas and landfill gas</t>
  </si>
  <si>
    <t>Calculation</t>
  </si>
  <si>
    <t xml:space="preserve">n/a </t>
  </si>
  <si>
    <t>DUKES -  Electricity fuel use, generation and supply</t>
  </si>
  <si>
    <t>DUKES - Aggregate energy balances, industry, coal</t>
  </si>
  <si>
    <t>DUKES - Aggregate energy balances, domestic coal</t>
  </si>
  <si>
    <t>Energy consumption in the UK, Transport, Table 2.1, total petroleum use</t>
  </si>
  <si>
    <t>DUKES - aggregate energy balances, industry liquid hydrocarbons</t>
  </si>
  <si>
    <t>DUKES aggregate energy balances, petroleum refinaries petroleum products use</t>
  </si>
  <si>
    <t>Energy consumption in UK, domestic gas space heating</t>
  </si>
  <si>
    <t>Energy consumption in UK, commercial gas space heating</t>
  </si>
  <si>
    <t>DUKES - 1.2 and 2.5</t>
  </si>
  <si>
    <t>Higher renewables, more energy efficiency</t>
  </si>
  <si>
    <t>2050 Calculator calculations</t>
  </si>
  <si>
    <t>INSTRUCTIONS ARE AVAILABLE AT:</t>
  </si>
  <si>
    <t>Positive numbers are costs to the country to pay for imports. Negative numbers are revenue to the country from selling exports</t>
  </si>
  <si>
    <t>http://2050-calculator-tool-wiki.decc.gov.uk/pages/19</t>
  </si>
  <si>
    <t>http://2050-calculator-tool-wiki.decc.gov.uk/pages/11</t>
  </si>
  <si>
    <t>http://2050-calculator-tool-wiki.decc.gov.uk/pages/23</t>
  </si>
  <si>
    <t>http://2050-calculator-tool-wiki.decc.gov.uk/pages/63</t>
  </si>
  <si>
    <t>http://2050-calculator-tool-wiki.decc.gov.uk/pages/64</t>
  </si>
  <si>
    <t>http://2050-calculator-tool-wiki.decc.gov.uk/pages/25</t>
  </si>
  <si>
    <t>Doesn't tackle climate change (All at level 1)</t>
  </si>
  <si>
    <t>Example pathway wiki page</t>
  </si>
  <si>
    <t>Example pathway position in cost comparator</t>
  </si>
  <si>
    <t>No</t>
  </si>
  <si>
    <t>One sentence description of pathway</t>
  </si>
  <si>
    <t>Cost-optimising model based. Mix of supply sources. Ambitious demand reduction.</t>
  </si>
  <si>
    <t>Renewables largest supply component. Very ambitious demand reduction. Lots of storage.</t>
  </si>
  <si>
    <t>Lots of nuclear. Moderate energy demand reduction. Minimal renewables.</t>
  </si>
  <si>
    <t xml:space="preserve">Lots of CCS and biomass co-firing. Ambitious demand reduction. </t>
  </si>
  <si>
    <t>TBD</t>
  </si>
  <si>
    <t xml:space="preserve">Generation from wind, marine renewables and hydro. Ambitious demand reduction. </t>
  </si>
  <si>
    <t>Offshore renewables, solar, geothermal and electricity imports. Ambitious demand reduction.</t>
  </si>
  <si>
    <t>Marine renewables, geothermal and algae supply. Some nuclear and CCS.</t>
  </si>
  <si>
    <t>Wide range of generation sources. Moderate demand reduction. Considerable bioenergy.</t>
  </si>
  <si>
    <t>Energy from a range of sources. Emphasis on UK self-reliance.</t>
  </si>
  <si>
    <t>Imported natural gas for electricity and heat. Imported oil for vehicles.</t>
  </si>
  <si>
    <t>Total cost (amortised capital)</t>
  </si>
  <si>
    <t>Conventional</t>
  </si>
  <si>
    <t>Agriculture &amp; waste</t>
  </si>
  <si>
    <t>Electricity distribution, storage &amp; balancing</t>
  </si>
  <si>
    <t>Int'l Aviation &amp; Shipping</t>
  </si>
  <si>
    <t>(i) 2050 ownership rates</t>
  </si>
  <si>
    <t>% of population who own</t>
  </si>
  <si>
    <t>We do this for bicycles, because the number of bicycles does not linearly folllow the number of passenger-km travelled by bike. At some point should do the same for other modes.</t>
  </si>
  <si>
    <t>population</t>
  </si>
  <si>
    <t>One page note</t>
  </si>
  <si>
    <t>0.pdf</t>
  </si>
  <si>
    <t>2.pdf</t>
  </si>
  <si>
    <t>5.pdf</t>
  </si>
  <si>
    <t>7.pdf</t>
  </si>
  <si>
    <t>8.pdf</t>
  </si>
  <si>
    <t>11.pdf</t>
  </si>
  <si>
    <t>13.pdf</t>
  </si>
  <si>
    <t>15.pdf</t>
  </si>
  <si>
    <t>16.pdf</t>
  </si>
  <si>
    <t>19.pdf</t>
  </si>
  <si>
    <t>20.pdf</t>
  </si>
  <si>
    <t>23.pdf</t>
  </si>
  <si>
    <t>24.pdf</t>
  </si>
  <si>
    <t>25.pdf</t>
  </si>
  <si>
    <t>30.pdf</t>
  </si>
  <si>
    <t>2050 - Your pathway</t>
  </si>
  <si>
    <t>Chart</t>
  </si>
  <si>
    <t>Air quality (100 = 2010)</t>
  </si>
  <si>
    <t>For methodology see:</t>
  </si>
  <si>
    <t>http://2050-calculator-tool-wiki.decc.gov.uk/pages/80</t>
  </si>
  <si>
    <t>Energy diversity implications</t>
  </si>
  <si>
    <t>2. Dependence on imports</t>
  </si>
  <si>
    <t>Three components of energy security are modelled</t>
  </si>
  <si>
    <t>1. Start with the energy table</t>
  </si>
  <si>
    <t>2. Then work out the proportion by fuel</t>
  </si>
  <si>
    <t>x-check</t>
  </si>
  <si>
    <t>3. We can also work out the Shannon-Weiner measure, as used in our National Statistics</t>
  </si>
  <si>
    <t>p.ln(p)</t>
  </si>
  <si>
    <t>Shannon-Weiner Index</t>
  </si>
  <si>
    <t>Energy imports implications</t>
  </si>
  <si>
    <t>2. Calculate the categories being imported against</t>
  </si>
  <si>
    <t>2. Extract out the quantities that are imported</t>
  </si>
  <si>
    <t>1. Diversity of energy sources used</t>
  </si>
  <si>
    <t>3. Ability of electricity supply to meet demand, particularly a peak in electricity demand at a time when renewable resources are not available</t>
  </si>
  <si>
    <t>Ability of electricity supply to meet demand</t>
  </si>
  <si>
    <t>1. Automatically built capacity</t>
  </si>
  <si>
    <t>Automatically built peaking gas</t>
  </si>
  <si>
    <t>Name of land use</t>
  </si>
  <si>
    <t>Name of type</t>
  </si>
  <si>
    <t>Type code</t>
  </si>
  <si>
    <t>This table is for the web interface. It combines some of the cost sectors and adds a total finance cost line</t>
  </si>
  <si>
    <t>name</t>
  </si>
  <si>
    <t>low</t>
  </si>
  <si>
    <t>point</t>
  </si>
  <si>
    <t>high</t>
  </si>
  <si>
    <t>range</t>
  </si>
  <si>
    <t>finance_low</t>
  </si>
  <si>
    <t>finance_point</t>
  </si>
  <si>
    <t>finance_range</t>
  </si>
  <si>
    <t>finance_high</t>
  </si>
  <si>
    <t>Finance cost</t>
  </si>
  <si>
    <t>These are summed from domestic and imports below -&gt;</t>
  </si>
  <si>
    <t>This has a different calculation -&gt;</t>
  </si>
  <si>
    <t>Final energy demand</t>
  </si>
  <si>
    <t>Transport total</t>
  </si>
  <si>
    <t>1. First we need to add up all the different types of transport</t>
  </si>
  <si>
    <t>2. Then we combine transport with the other final energy demands</t>
  </si>
  <si>
    <t>Primary energy supply</t>
  </si>
  <si>
    <t>1. Start with the full energy table</t>
  </si>
  <si>
    <t>2. Calcualte totals for Bioenergy, Oil, Gas and Coal</t>
  </si>
  <si>
    <t>Calendar year 2010 = 4377.6</t>
  </si>
  <si>
    <t>Source: National Bureau of Statistics (NBS)</t>
  </si>
  <si>
    <t>ONS 2006-based Population Projections. Populations beyond 2015 are interpolated based on given average annual changes</t>
  </si>
  <si>
    <t>Population Growth Rate: at 2.75% . Source Computed from National Bureau of Statistics(NBS) 2010 Annual Abstract of Statistics Report</t>
  </si>
  <si>
    <t xml:space="preserve">CLG Household estimates and projections 1991-2033 (2010-based). </t>
  </si>
  <si>
    <t>Source: National Bureau of Statistics (NBS) Annual Report 2010</t>
  </si>
  <si>
    <t>NBS- ABS for 2007. Projections assume constant was 2.0% growth (figures are 1990 constant prices)</t>
  </si>
  <si>
    <t>Source: National Bureau of Statistics - National Accounts of Nigeria</t>
  </si>
  <si>
    <t>Nigeria incident solar energy, annual average</t>
  </si>
  <si>
    <t>Nigeria incident solar energy, south-facing roof</t>
  </si>
  <si>
    <t>Discount Rate from CBN as at 31st December 2010</t>
  </si>
  <si>
    <t>Central Bank of Nigeria</t>
  </si>
  <si>
    <t>I.c</t>
  </si>
  <si>
    <t>Coal power stations</t>
  </si>
  <si>
    <t>Natural gas power stations</t>
  </si>
  <si>
    <t>Nigeria Electricity Generation</t>
  </si>
  <si>
    <t>Nigeria Fossil fuel production</t>
  </si>
  <si>
    <t xml:space="preserve">No nuclear power station will be available in the electricity generation mix by 2050. </t>
  </si>
  <si>
    <t>~5 1GW power stations starting from 2020 up to 2030 will be built, delivering ~35,040 GWh</t>
  </si>
  <si>
    <t>7.2 GW should become available by 2030 and remains constant up to 2050, delivering 50,457GWh of electricity</t>
  </si>
  <si>
    <t>~40 1 GW Capacity addition grows at the rate of 14% per annum from 2022 through to 2050 delivering 280,320GWh of electricity~40 1 GW Capacity addition grows at the rate of 14% per annum from 2022 through to 2050 delivering 280,320GWh of electricity</t>
  </si>
  <si>
    <t>No installation of wind power systems up to 2050.</t>
  </si>
  <si>
    <t xml:space="preserve">0.01GW wind power plant by 2020 and no more installation up to 2050 delivering 17.52GWh of electricity </t>
  </si>
  <si>
    <t>1GW capacity of wind power plant should be available by 2030 delivering 1,752GWh of electricity</t>
  </si>
  <si>
    <t>14.7GW of wind power plant by 2050 delivering 25,735GWh of electricity</t>
  </si>
  <si>
    <t xml:space="preserve">6.5GW with 2.9GW available and produced 17,604GWh </t>
  </si>
  <si>
    <t xml:space="preserve">11.3GW and remain the same up to 2050. This should produce 74,556GWh </t>
  </si>
  <si>
    <t>20.17GW through independent Power Producer (IPPs) should be achieved which should produce 132,517GWh.</t>
  </si>
  <si>
    <t>80.56GW by 2050 which should produce 529,279GWh. This target is based on “energy requirement for vision 20:2020 and beyond” for Nigeria.</t>
  </si>
  <si>
    <t>1.4 GW by 2020 which is maintained up to 2050. This will generate approximately 9,198GWh</t>
  </si>
  <si>
    <t xml:space="preserve">4.5 GW by 2030 which should remain constant up to 2050. This will generate approximately 29,565GWh. </t>
  </si>
  <si>
    <t xml:space="preserve">reach 55GW by 2050 and produce 361,350GWh/y </t>
  </si>
  <si>
    <t xml:space="preserve">Coal power plants will not be available in the electricity generation mix up to 2050. </t>
  </si>
  <si>
    <t>1.94 GW total hydropower capacity is maintained to 2050 delivering 11,883GWh of electricity</t>
  </si>
  <si>
    <t>5.24 GW by 2030 through rehabilitating the existing hydropower to operate at full capacity and adding 3.3 GW large hydro power stations delivering 32,119GWh of electricity</t>
  </si>
  <si>
    <t>hydropower capacity reaches 6.99 GW by 2035 delivering 42,850GWh of electricity</t>
  </si>
  <si>
    <t>hydropower capacity reaches 15 GW by 2050 delivering 91,980 GWh of electricity</t>
  </si>
  <si>
    <t>Nm</t>
  </si>
  <si>
    <t>Residential Cooling</t>
  </si>
  <si>
    <t xml:space="preserve">Residential Cooking, Lighting &amp; Appliances </t>
  </si>
  <si>
    <t>Concentrated Solar Power</t>
  </si>
  <si>
    <t>Growth in industry with GDP</t>
  </si>
  <si>
    <t>Nigeria industry energy demand will fall by 75% compared to 2050 level</t>
  </si>
  <si>
    <t>Nigeria industry energy demand will fall by 50% compared to 2050 level</t>
  </si>
  <si>
    <t>Nigeria industry energy demand will fall by 30% compared to 2050 level</t>
  </si>
  <si>
    <t>Nigeria industry energy demand will increase by 2104% by 2050</t>
  </si>
  <si>
    <r>
      <rPr>
        <b/>
        <sz val="10"/>
        <color theme="1"/>
        <rFont val="Cambria"/>
        <family val="1"/>
        <scheme val="minor"/>
      </rPr>
      <t>2010</t>
    </r>
    <r>
      <rPr>
        <b/>
        <sz val="10"/>
        <color theme="1"/>
        <rFont val="Arial"/>
        <family val="2"/>
      </rPr>
      <t>–</t>
    </r>
    <r>
      <rPr>
        <b/>
        <sz val="10"/>
        <color theme="1"/>
        <rFont val="Cambria"/>
        <family val="1"/>
      </rPr>
      <t xml:space="preserve">2025 </t>
    </r>
    <r>
      <rPr>
        <sz val="10"/>
        <color theme="1"/>
        <rFont val="Cambria"/>
        <family val="1"/>
      </rPr>
      <t xml:space="preserve">(by </t>
    </r>
    <r>
      <rPr>
        <sz val="10"/>
        <color theme="1"/>
        <rFont val="Cambria"/>
        <family val="1"/>
        <scheme val="minor"/>
      </rPr>
      <t>Trajectory)</t>
    </r>
  </si>
  <si>
    <t>Manufacturing</t>
  </si>
  <si>
    <t>(i) Growth in Industry with GDP</t>
  </si>
  <si>
    <t>Mining</t>
  </si>
  <si>
    <t>V.16</t>
  </si>
  <si>
    <t>Traditional Fuel</t>
  </si>
  <si>
    <t>Includes Fuelwood</t>
  </si>
  <si>
    <t>Energy demand is based on MAED 2010 result</t>
  </si>
  <si>
    <t>Output index is based on MAED 2010 report</t>
  </si>
  <si>
    <t>Baseline energy consumption (2010) [1]</t>
  </si>
  <si>
    <t>It is assumed that Efficiency in Emissions Intensity is increasing with time</t>
  </si>
  <si>
    <t>Basline GHG emissions (2010) [2]</t>
  </si>
  <si>
    <t>No effort to reduce energy intensity</t>
  </si>
  <si>
    <t>20% reduction in energy intensity</t>
  </si>
  <si>
    <t>30% reduction in energy intensity</t>
  </si>
  <si>
    <t>50% reduction in energy intensity</t>
  </si>
  <si>
    <t>Same as 2010</t>
  </si>
  <si>
    <t>30% reduction in firewood</t>
  </si>
  <si>
    <t>50% reduction in firewood</t>
  </si>
  <si>
    <t>80% reduction in firewood</t>
  </si>
  <si>
    <t>Technology Pathway (Cooking)</t>
  </si>
  <si>
    <t>Same as 2010, 80% Fuelwood, 12% Liquid hydrocarbon, 5% Gaseous hydrocarbon &amp; 3% Electricity</t>
  </si>
  <si>
    <t>30% Reduction in Fuelwood:- 16% Liquid hydrocarbon,18% Gaseous hydrocarbon &amp; 10% Electricity</t>
  </si>
  <si>
    <t>50% Reduction in Fuelwood:- 20% Liquid hydrocarbon, 25% Gaseous hydrocarbon &amp; 15% Electricity</t>
  </si>
  <si>
    <t>80% Reduction in Fuelwood:- 24% Liquid hydrocarbon, 40% Gaseous hydrocarbon &amp; 20% Electricity</t>
  </si>
  <si>
    <t>L.02</t>
  </si>
  <si>
    <t>Cooking Demand</t>
  </si>
  <si>
    <t xml:space="preserve">All built environment non-heating electricity demand </t>
  </si>
  <si>
    <t>Energy demand for Household lights and appliances increases by 1200%, and 150% for Cooking  (relative to 2010)</t>
  </si>
  <si>
    <t>Energy demand reduces by 50% for both  Household lights,  appliances and  Cooking  (relative to 2050 level 1)</t>
  </si>
  <si>
    <t>Energy demand reduces by 25% for both  Household lights,  appliances and  Cooking  (relative to 2050 level 1)</t>
  </si>
  <si>
    <t>Energy demand reduces by 75% for both  Household lights,  appliances and  Cooking  (relative to 2050 level 1)</t>
  </si>
  <si>
    <t>Energy demand for Service Sector lights and appliances increases by 1200%, and 150% for Cooking  (relative to 2010)</t>
  </si>
  <si>
    <t>Energy demand reduces by 25% for both  Service Sector lights,  appliances and  Cooking  (relative to 2050 level 1)</t>
  </si>
  <si>
    <t>Energy demand reduces by 50% for both  Service Sector lights,  appliances and  Cooking  (relative to 2050 level 1)</t>
  </si>
  <si>
    <t>Energy demand reduces by 75% for both  Service Sector lights,  appliances and  Cooking  (relative to 2050 level 1)</t>
  </si>
  <si>
    <t>Residential Lighting, Appliances &amp; Cooking</t>
  </si>
  <si>
    <t>Residential Lighting, Appliances, and Cooking</t>
  </si>
  <si>
    <t>Service Sector Cooling</t>
  </si>
  <si>
    <t>Service Sector Demand for Cooling</t>
  </si>
  <si>
    <t>Lighting, Appliances &amp; Cooking</t>
  </si>
  <si>
    <t>Service Sector Lighting, Appliances, and Cooking</t>
  </si>
  <si>
    <t>Service Sector lighting, appliances &amp; Cooking</t>
  </si>
  <si>
    <t>Service Sector Lighting, Appliances &amp; Cooking</t>
  </si>
  <si>
    <t>Lighting and appliances (exlcuding cooking), total demand</t>
  </si>
  <si>
    <t>cooking, total demand</t>
  </si>
  <si>
    <t>cooking, split by energy vector</t>
  </si>
  <si>
    <t>cooking</t>
  </si>
  <si>
    <t>Assumed retirement rate of cooking stock</t>
  </si>
  <si>
    <t>New cooking stock needed in period</t>
  </si>
  <si>
    <t>Cooling Demand</t>
  </si>
  <si>
    <t>Efficiency of Cooling System</t>
  </si>
  <si>
    <t>(i)  Cooling Demand</t>
  </si>
  <si>
    <t>(ii)  Efficiency of Cooling System</t>
  </si>
  <si>
    <t>Cooling Demand per Household [1]</t>
  </si>
  <si>
    <t>Efficiency of Cooling System by energy vector</t>
  </si>
  <si>
    <t>Cooling, energy vector split</t>
  </si>
  <si>
    <t>Compute cooling demand by energy vector</t>
  </si>
  <si>
    <t>COOLING Demand</t>
  </si>
  <si>
    <t>Cooling demand demand per household</t>
  </si>
  <si>
    <t>Total Cooling demand</t>
  </si>
  <si>
    <t>New Air Conditioners</t>
  </si>
  <si>
    <t>Total Air Conditioners</t>
  </si>
  <si>
    <t>Energy demand for Cooling</t>
  </si>
  <si>
    <t>Trajectories 1-4 assume effect of efficient cooling system of 0, 10, 20 and 30% respectively</t>
  </si>
  <si>
    <t>(ii)  Efficiency of Cooling system</t>
  </si>
  <si>
    <t>Cooling, total demand</t>
  </si>
  <si>
    <t>Cooling, split by energy vector</t>
  </si>
  <si>
    <t>COOLING</t>
  </si>
  <si>
    <t>Assumed retirement rate of Cooling System</t>
  </si>
  <si>
    <t>New Cooling System stock needed in period</t>
  </si>
  <si>
    <t>Cooling demand increases 3.5 folds from 2010</t>
  </si>
  <si>
    <t>Cooling demand reduces by 20%</t>
  </si>
  <si>
    <t>Cooling demand reduces by 40%</t>
  </si>
  <si>
    <t>Cooling demand reduces by 60%</t>
  </si>
  <si>
    <t>10% more efficient</t>
  </si>
  <si>
    <t>20% more efficient</t>
  </si>
  <si>
    <t>30% more efficient</t>
  </si>
  <si>
    <t>Fuel switch for Internal Combustion Engine</t>
  </si>
  <si>
    <t>Shift to low carbon emission transport technology</t>
  </si>
  <si>
    <t>(ii)  Shift to low carbon emmission transport technology</t>
  </si>
  <si>
    <t xml:space="preserve">(iii)  Fuel Switch for Internal Combustion Engines </t>
  </si>
  <si>
    <t>Cars</t>
  </si>
  <si>
    <t>Train</t>
  </si>
  <si>
    <t>Motorcyle/Tricyle</t>
  </si>
  <si>
    <t>Bike/Walking</t>
  </si>
  <si>
    <t>Ferry</t>
  </si>
  <si>
    <t>MOTORBIKE</t>
  </si>
  <si>
    <t>BOAT</t>
  </si>
  <si>
    <t>Total Distance travelled data obtained from MAED 2010 Results and Analysis</t>
  </si>
  <si>
    <t>2010 modal shares from MAED 2010 Results and Analysis</t>
  </si>
  <si>
    <t>Domestic Air Travel</t>
  </si>
  <si>
    <t>ICE-LH</t>
  </si>
  <si>
    <t>ICE-GH</t>
  </si>
  <si>
    <t>Note: Analysis for the Trajectory can be obtianed from the CalculationOn2050.xls Workbook</t>
  </si>
  <si>
    <t xml:space="preserve">2010 estimate from total passenger-km and vehicle-km </t>
  </si>
  <si>
    <t>Source: MAED 2010 Results and Analysis obtained from the CalculationOn2050.xls Worksheet.</t>
  </si>
  <si>
    <t>In 2010, occupancies were 120 pax/vehicle for trains, and 80 pax/vehicle for aeroplanes</t>
  </si>
  <si>
    <t>Technology efficiences -- Gaseous Hydrocarbon [1]</t>
  </si>
  <si>
    <t>Motorcycle/Tricycle</t>
  </si>
  <si>
    <t>Ownership: % of Population</t>
  </si>
  <si>
    <t>Bike</t>
  </si>
  <si>
    <t>Number of Cars</t>
  </si>
  <si>
    <t>Number of Buses</t>
  </si>
  <si>
    <t>Number of Motorcycle/Tricycle</t>
  </si>
  <si>
    <t>Number of Bike</t>
  </si>
  <si>
    <t>Gaseou Hydrocarbon</t>
  </si>
  <si>
    <t>iii) Liqued Hydrocarbonc/Gaseous Hydrocarbon split</t>
  </si>
  <si>
    <t>2010 estimates (shown in blue) from total passenger-km, vehicle-km and total sectoral energy usage</t>
  </si>
  <si>
    <t>Source: MAED 2010 Reports and Analysis</t>
  </si>
  <si>
    <t>Railways -- non-traction electricity use</t>
  </si>
  <si>
    <t>To be explained later..?</t>
  </si>
  <si>
    <t>100% liquid hydrocarbon by 2050</t>
  </si>
  <si>
    <t>90% liquid hydrocarbon and 10% Gaseous hydrocarbon by 2050</t>
  </si>
  <si>
    <t>75% liquid hydrocarbon and 25% Gaseous hydrocarbon by 2050</t>
  </si>
  <si>
    <t>60% liquid hydrocarbon and 40% Gaseous hydrocarbon by 2051</t>
  </si>
  <si>
    <t>100% Internal Combustion Engine (ICE) By 2050</t>
  </si>
  <si>
    <t>90% Internal Combustion Engine (ICE), 7% Hybrid Electric Vehicle (HEV) and 3% Electric Vehicle (EV) by 2050</t>
  </si>
  <si>
    <t>60% Internal Combustion Engine (ICE), 25% Hybrid Electric Vehicle (HEV) and 10% Electric Vehicle (EV) by 2051</t>
  </si>
  <si>
    <t>75% Internal Combustion Engine (ICE), 17% Hybrid Electric Vehicle (HEV) and 8% Electric Vehicle (EV) by 2051</t>
  </si>
  <si>
    <t>Individuals travel will increase from 6,000km in 2010 to 12,000km by 2050.</t>
  </si>
  <si>
    <t>Individuals travel will increase from 6,000km in 2010 to 10,800km by 2050.</t>
  </si>
  <si>
    <t>Individuals travel will increase from 6,000km in 2010 to 9,600km by 2050.</t>
  </si>
  <si>
    <t>Individuals travel will increase from 6,000km in 2010 to 8,400km by 2050.</t>
  </si>
  <si>
    <t>Road freight, distance (HGVs), Gaseous Hydrocarbon</t>
  </si>
  <si>
    <t>Road freight, HGV efficiencies, Gaseous Hydrocarbon</t>
  </si>
  <si>
    <t>Berge Distance Travel</t>
  </si>
  <si>
    <t>Pipeline, Energy Use</t>
  </si>
  <si>
    <t>Pipeline, Distance</t>
  </si>
  <si>
    <t>bn km</t>
  </si>
  <si>
    <t>30% less efficient than UK</t>
  </si>
  <si>
    <t>30% more efficient than diesel</t>
  </si>
  <si>
    <t>Berge, diesel used</t>
  </si>
  <si>
    <t>Berge</t>
  </si>
  <si>
    <t>Values are assumed</t>
  </si>
  <si>
    <t>Assumes 24% of diesel</t>
  </si>
  <si>
    <t>Assume 24% of diesel efficiency</t>
  </si>
  <si>
    <t>GASEOUS HYDROCARBON</t>
  </si>
  <si>
    <t>BERGE</t>
  </si>
  <si>
    <t>PIPELINE</t>
  </si>
  <si>
    <t>rail</t>
  </si>
  <si>
    <t>HGVs</t>
  </si>
  <si>
    <t>pipeline (pumps)</t>
  </si>
  <si>
    <t>berge with good maintenance</t>
  </si>
  <si>
    <t>GASEOUS HYDROCARBON ROAD FREIGHT</t>
  </si>
  <si>
    <t>DIESEL BERGE FREIGHT</t>
  </si>
  <si>
    <t>Water freight</t>
  </si>
  <si>
    <t>bn berge-km</t>
  </si>
  <si>
    <t>PIPELINE ELECTRIC</t>
  </si>
  <si>
    <t>Gaseous Hydrocarbon emissions</t>
  </si>
  <si>
    <t>10a</t>
  </si>
  <si>
    <t>10b</t>
  </si>
  <si>
    <t>10c</t>
  </si>
  <si>
    <t>Distance (HGVs), gaseuos hydrocarbon</t>
  </si>
  <si>
    <t>Distance (Berge), diesel</t>
  </si>
  <si>
    <t>Water transport</t>
  </si>
  <si>
    <t>T.07</t>
  </si>
  <si>
    <t>punp powered pipeline</t>
  </si>
  <si>
    <t>Energy produced and required - Berge</t>
  </si>
  <si>
    <t>Energy produced and required - Pipeline</t>
  </si>
  <si>
    <t>Emissions produced - Berge</t>
  </si>
  <si>
    <t>Nigeria Land area</t>
  </si>
  <si>
    <t>Nigeria Sea area</t>
  </si>
  <si>
    <t>Coal-fired</t>
  </si>
  <si>
    <t>Coal capacity</t>
  </si>
  <si>
    <t>Solid hydrocarbon (Coal) input required</t>
  </si>
  <si>
    <t xml:space="preserve"> Other air pollutants</t>
  </si>
  <si>
    <t>Coal new build</t>
  </si>
  <si>
    <t>Coal retirement</t>
  </si>
  <si>
    <t>Gas-fired capacity</t>
  </si>
  <si>
    <t xml:space="preserve">Other air pollutants, </t>
  </si>
  <si>
    <t>Nuclear  installed capacity, cumulative (GW)</t>
  </si>
  <si>
    <t>Nuclear, retirement of  installed capacity, (GW)</t>
  </si>
  <si>
    <t>New Nuclear Build</t>
  </si>
  <si>
    <t>New Nuclear retired</t>
  </si>
  <si>
    <t>Onshore wind installed capacity, cumulative (GW)</t>
  </si>
  <si>
    <t>Size of Shiroro hydro project</t>
  </si>
  <si>
    <t>Solar PV installed capacity [1]</t>
  </si>
  <si>
    <t>SOLAR PV</t>
  </si>
  <si>
    <t>CSP cumulative installed Capacity (GW)</t>
  </si>
  <si>
    <t>Coal power station installed capacity, cumulative (GW)</t>
  </si>
  <si>
    <t>Solid Hydrocarbon (Coal)</t>
  </si>
  <si>
    <t>Natural gas installed capacity, cumulative (GW)</t>
  </si>
  <si>
    <t>Small Hydroelectric power stations</t>
  </si>
  <si>
    <t>III.f</t>
  </si>
  <si>
    <t>III.b.2</t>
  </si>
  <si>
    <t>III.b.1</t>
  </si>
  <si>
    <t>Size of NESCO hydro project</t>
  </si>
  <si>
    <t>Approximate number of 1 kW Solar Panels</t>
  </si>
  <si>
    <t>Retirement of 1 kW Solar Panels</t>
  </si>
  <si>
    <t>New 1 kW Solar Panels over 5yrs</t>
  </si>
  <si>
    <t>Stand-Alone Solar PV</t>
  </si>
  <si>
    <t>Grid Connected Solar PV</t>
  </si>
  <si>
    <t>Approximate number of 5 MW Solar Panels</t>
  </si>
  <si>
    <t>Retirement of 5 MW Solar Panels</t>
  </si>
  <si>
    <t>New 5 MW Solar Panels over 5yrs</t>
  </si>
  <si>
    <t>III.g</t>
  </si>
  <si>
    <t>New 50MW Concentrated Solar Power over 5yrs</t>
  </si>
  <si>
    <t>Retirement of 50 MW Concentrated Solar Power</t>
  </si>
  <si>
    <t>Approximate number of 50MW Concentrated Solar Power</t>
  </si>
  <si>
    <t>CSP if 35% efficient</t>
  </si>
  <si>
    <t>Subtotal.I.c</t>
  </si>
  <si>
    <t>I.d</t>
  </si>
  <si>
    <t>Electricity  required</t>
  </si>
  <si>
    <t>Gasoline/ Diesel</t>
  </si>
  <si>
    <t>Gasoline</t>
  </si>
  <si>
    <t xml:space="preserve">Gasoline/ Diesel supplied energy ratio </t>
  </si>
  <si>
    <t>Gasoline: Diesel</t>
  </si>
  <si>
    <t>Average implied load factor for Gasoline/ Diesel</t>
  </si>
  <si>
    <t>Liquid hydrocarbons (Gasoline)</t>
  </si>
  <si>
    <t>Copied from Car ICE</t>
  </si>
  <si>
    <t>Liquid hydrocarbons (Diesel)</t>
  </si>
  <si>
    <t>Remaining Electricity demand (Demand - Supply from non-hydrocarbons)</t>
  </si>
  <si>
    <r>
      <t>Actual supplied</t>
    </r>
    <r>
      <rPr>
        <b/>
        <sz val="10"/>
        <color rgb="FFFF0000"/>
        <rFont val="Cambria"/>
        <family val="1"/>
        <scheme val="minor"/>
      </rPr>
      <t xml:space="preserve"> ( meet 40% of the supressed demand)</t>
    </r>
  </si>
  <si>
    <t>Gasoline input required</t>
  </si>
  <si>
    <t>Diesel Hydrocarbon</t>
  </si>
  <si>
    <t>Remaining Electricity demand</t>
  </si>
  <si>
    <r>
      <t>Actual supplied</t>
    </r>
    <r>
      <rPr>
        <b/>
        <sz val="10"/>
        <color rgb="FFFF0000"/>
        <rFont val="Cambria"/>
        <family val="1"/>
        <scheme val="minor"/>
      </rPr>
      <t xml:space="preserve"> (meet the remaining supressed demand)</t>
    </r>
  </si>
  <si>
    <t>Diesel input required</t>
  </si>
  <si>
    <t>Total Liquid hydrocarbon input required</t>
  </si>
  <si>
    <t>For other air pollutants, split Liquid fuel into Gasoline and Diesel</t>
  </si>
  <si>
    <t xml:space="preserve">Self Generation </t>
  </si>
  <si>
    <t>Subtotal.I.d</t>
  </si>
  <si>
    <t>Natural gas power plant</t>
  </si>
  <si>
    <t>Grid connected solar PV</t>
  </si>
  <si>
    <t>Biomass installed capacity, cumulative (GW) [1]</t>
  </si>
  <si>
    <t>Solid hydrocarbons (biomass)</t>
  </si>
  <si>
    <t>Biomass capacity</t>
  </si>
  <si>
    <t>Solid hydrocarbon (Biomass) input required</t>
  </si>
  <si>
    <t>For other air pollutants, split solid fuel into coal and biomass</t>
  </si>
  <si>
    <t>Solid fueled generation</t>
  </si>
  <si>
    <t>Biomass power station</t>
  </si>
  <si>
    <t xml:space="preserve">Biomass power </t>
  </si>
  <si>
    <t>Car HEV</t>
  </si>
  <si>
    <t>Electricity export to Niger Republic</t>
  </si>
  <si>
    <t>Imports, Inga Hydroelectric Power</t>
  </si>
  <si>
    <t>Inga Hydroelectric power</t>
  </si>
  <si>
    <t>Hydroelectric power imports</t>
  </si>
  <si>
    <t>Total Import</t>
  </si>
  <si>
    <t>Electricity exports (positive are exports from Nigeria to WAPP)</t>
  </si>
  <si>
    <t>Electricity used in Nigeria, before losses.</t>
  </si>
  <si>
    <t>Total used in Nigeria</t>
  </si>
  <si>
    <t>Total produced or used in Nigeria</t>
  </si>
  <si>
    <t>Automatically built Self Generation</t>
  </si>
  <si>
    <t>Nigeria land based bioenergy</t>
  </si>
  <si>
    <t>III.b1</t>
  </si>
  <si>
    <t>III.b2</t>
  </si>
  <si>
    <t>IX.a.Cooling</t>
  </si>
  <si>
    <t>[a] Cost is not computed for Cooling</t>
  </si>
  <si>
    <t>Fuelwood</t>
  </si>
  <si>
    <t>Scrapped Air Conditioners</t>
  </si>
  <si>
    <t>CO2 from Oil and Natural Gas</t>
  </si>
  <si>
    <t>Indigenous fossil-fuel production: Gas</t>
  </si>
  <si>
    <t>Indigenous fossil-fuel: Oil</t>
  </si>
  <si>
    <t>Indigenous fossil-fuel: Coal</t>
  </si>
  <si>
    <t>Coal Trajectory</t>
  </si>
  <si>
    <t>Oil Trajectory</t>
  </si>
  <si>
    <t>Gas Trajectory</t>
  </si>
  <si>
    <t>2010 levels obtained from ABS 2010 Report</t>
  </si>
  <si>
    <t xml:space="preserve">Assumed value </t>
  </si>
  <si>
    <t>Total Land Mass (ha) =</t>
  </si>
  <si>
    <t>sq km</t>
  </si>
  <si>
    <t>% pa (2010–2020)</t>
  </si>
  <si>
    <t>Total Commercial &amp; Industrial waste arising (C&amp;I)</t>
  </si>
  <si>
    <t>Total Construction and Demolition Waste,  wood waste arising (CDW)</t>
  </si>
  <si>
    <t>Emissions as % of base year</t>
  </si>
  <si>
    <t>% of 2010</t>
  </si>
  <si>
    <t>Actuals, as % of 2010, modelled</t>
  </si>
  <si>
    <t>Multiple of 2010 emissions per unit output index</t>
  </si>
  <si>
    <t>2010=100</t>
  </si>
  <si>
    <t>Bike/ Walking</t>
  </si>
  <si>
    <t>Traditional Fuel required</t>
  </si>
  <si>
    <t>N</t>
  </si>
  <si>
    <t>2010 Naira</t>
  </si>
  <si>
    <t>NAIRA2010_</t>
  </si>
  <si>
    <t>Version 1.0</t>
  </si>
  <si>
    <t>0.005GW of biomass power plant will be available up to year 2050. This will produce about 0.04TWh.</t>
  </si>
  <si>
    <t>1GW of biomass power plant should be available by 2050 and producing 7.88TWh</t>
  </si>
  <si>
    <t>4GW of biomass power plant by 2050 which will produce 31.54TWh</t>
  </si>
  <si>
    <t>10GW  of biomass power plants by 2050. This can produce 78.84TWh.</t>
  </si>
  <si>
    <t xml:space="preserve">0.064 GW of Small Hydropower capacity will be maintained up to 2050, which will generate approximately 0.28TWh of electricity </t>
  </si>
  <si>
    <t xml:space="preserve">Small hydropower capacity reaches 0.53 GW by 2050 and will generate approximately 2.32TWh of electricity </t>
  </si>
  <si>
    <t>small hydropower capacity reaches 1.75 GW by 2050. This capacity represents 47% of the country’s small hydropower potentials and will generate about 7.67TWh of electricity.</t>
  </si>
  <si>
    <t xml:space="preserve">Small hydropower capacity reaches 3.5 GW by 2050, through utilising about 95% of the country’s hydropower potentials. This capacity can generate 15.33TWh of electricity. </t>
  </si>
  <si>
    <t>The grid connected solar PV’s contribution remains 0.7GW which produces 1.29TWh .</t>
  </si>
  <si>
    <t xml:space="preserve">The grid connected solar PV capacity reaches 2GW in 2020 producing and 9GW by 2050. This should produce 16.56TWh </t>
  </si>
  <si>
    <t xml:space="preserve">The grid connected solar PV capacity reaches 25GW in 2050 thereby producing 43.97TWh. </t>
  </si>
  <si>
    <t>The grid connected solar PV capacity reaches 110GW in 2050 by utilising 0.05% of Nigeria’s land mass which should produce 202.36TWh</t>
  </si>
  <si>
    <t>No deployment of solar CSP installations up to 2050.</t>
  </si>
  <si>
    <t>1GW CSP power plant by 2050 which should generate 1.84TWh of electricity</t>
  </si>
  <si>
    <t>10GW CSP power plant by 2050 contributing 18.4TWh of electricity</t>
  </si>
  <si>
    <t>40GW CSP power plant by 2050 contributing 73.58TWh of electricity</t>
  </si>
  <si>
    <t xml:space="preserve">Stand Alone Solar Photo Voltaic </t>
  </si>
  <si>
    <t>Stand-alone solar PV’s contribution remains 4GW which produces 7.36TWh by 2050.</t>
  </si>
  <si>
    <t>Stand-alone solar PV’s capacity reaches 2GW in 2020 and 16GW by 2050. This should produce 29.4TWh</t>
  </si>
  <si>
    <t>Stand-alone solar PV’s capacity reaches 30GW in 2050 thereby producing 55.19TWh</t>
  </si>
  <si>
    <t>Stand-alone solar PV’s capacity reaches 60GW in 2050 by utilising 0.05% of Nigeria’s land mass which should produce 110.38TWh.</t>
  </si>
  <si>
    <t>No electricity imports</t>
  </si>
  <si>
    <t>1.3GW capacity shall be wheeled from Grand Inga hydro electric project by 2030 and remain the same up to 2050. With 5% transmission losses, 11TWh of electricity shall be imported.</t>
  </si>
  <si>
    <t>4 GW capacities shall be wheeled to Nigeria Grand Inga hydro electric project by 2030 and remain the same up to 2050. Considering 5% transmission losses, 35TWh shall be imported into the country.</t>
  </si>
  <si>
    <t>8 GW capacities shall be wheeled to Nigeria from grand Inga hydro electric project by 2050. Considering 5% transmission losses, 70TWh shall be imported.</t>
  </si>
  <si>
    <t>11% of land used for energy crops</t>
  </si>
  <si>
    <t>Energy crops and food production similar to today at 5% of land used</t>
  </si>
  <si>
    <t>19% of land used for energy crops</t>
  </si>
  <si>
    <t>Livestock numbers increase by 400%</t>
  </si>
  <si>
    <t>Livestock numbers increase by 900%</t>
  </si>
  <si>
    <t>Livestock numbers increase by 1,800%</t>
  </si>
  <si>
    <t>Livestock numbers increase by 3,800%</t>
  </si>
  <si>
    <t xml:space="preserve">Total waste generated is about 47% increase from 2010 level of 91 million tonnes of waste. </t>
  </si>
  <si>
    <t xml:space="preserve">Total waste generated is about 33% increase from 2010 level of 91 million tonnes of waste. </t>
  </si>
  <si>
    <t xml:space="preserve">Total waste generated is about 19% increase from 2010 level of 91 million tonnes of waste. </t>
  </si>
  <si>
    <t xml:space="preserve">Total waste generated is about 21% reduction from 2010 level of 91 million tonnes of waste. </t>
  </si>
  <si>
    <t xml:space="preserve">Crude oil production increase to 1,011.47 million boe </t>
  </si>
  <si>
    <t xml:space="preserve">Crude oil production will remain same as 2010, at 919.52 million boe. </t>
  </si>
  <si>
    <t>Crude oil production decreases to 873.54 million boe.</t>
  </si>
  <si>
    <t>Gas production will increase to 3.62Tcf,  and domestic consumption is expected to increases</t>
  </si>
  <si>
    <t>Gas production will increase to 5.43Tcf while gas flaring reduces to 2%.</t>
  </si>
  <si>
    <t>Gas production increases minimally to 3.26Tcf.</t>
  </si>
  <si>
    <t>Coal production will increase from minimal value of 0.046 million TCE to a high value of 135.12 million TCE by 2050</t>
  </si>
  <si>
    <t>Coal production will increase from minimal value of 0.046 million TCE to 49.13  million TCE by 2050</t>
  </si>
  <si>
    <t>Coal production will increase from minimal value of 0.046 million TCE to 12.28  million TCE by 2050.</t>
  </si>
  <si>
    <t>current cooling efficiency by vector</t>
  </si>
  <si>
    <t>10% efficiency</t>
  </si>
  <si>
    <t>20% efficiency</t>
  </si>
  <si>
    <t>30% efficiency</t>
  </si>
  <si>
    <t>Bio-energy used in Nigeria</t>
  </si>
  <si>
    <t>Traditional Fuel Consumption</t>
  </si>
  <si>
    <t>Share of Traditional Fuel consumption</t>
  </si>
  <si>
    <t>C.04</t>
  </si>
  <si>
    <t>1. First we need to add up all the different parts of fuel combustion</t>
  </si>
  <si>
    <t>Total Fuel Combustion</t>
  </si>
  <si>
    <t>2. Then we combine it with the other emissions types for the graphs</t>
  </si>
  <si>
    <t>Note: the targets are not expressed in their legal form: up to 2025 they are 5 year budgets, whereas here they have been given for one year. For 2050 it is a percentage reduction on the base year</t>
  </si>
  <si>
    <t>Note; the targets up to 2027 currently exclude international aviation and shipping</t>
  </si>
  <si>
    <t>Emissions against target</t>
  </si>
  <si>
    <t>Actual emissions in 1990</t>
  </si>
  <si>
    <t>Total in base year</t>
  </si>
  <si>
    <t>Ratio of modelled to actual</t>
  </si>
  <si>
    <t>Adjusted base year</t>
  </si>
  <si>
    <t>Percentage reduction 1990-2050</t>
  </si>
  <si>
    <t>Electricity demand</t>
  </si>
  <si>
    <t xml:space="preserve">1. First, the electricity demand by detailed sector </t>
  </si>
  <si>
    <t>2. Summarise by overall sector</t>
  </si>
  <si>
    <t>Electricity supply</t>
  </si>
  <si>
    <t>Total conventional</t>
  </si>
  <si>
    <t>2. Then display the whole table</t>
  </si>
  <si>
    <t>Electricity capacity</t>
  </si>
  <si>
    <t>Fuels used in electricity generation</t>
  </si>
  <si>
    <t>These are taken from the Flows table</t>
  </si>
  <si>
    <t>Work out the emissions sequestered in growing the bioenergy used in electricity generation</t>
  </si>
  <si>
    <t>MtCO2e</t>
  </si>
  <si>
    <t>Fuel combustion</t>
  </si>
  <si>
    <t>Modelled emissions in 2010</t>
  </si>
  <si>
    <t>Actual emissions in 2010</t>
  </si>
  <si>
    <t>Lighting, appliances &amp; cooking</t>
  </si>
  <si>
    <t>1. Conventional generation</t>
  </si>
  <si>
    <t>Bioenergy flows</t>
  </si>
  <si>
    <t>All forms of bioenergy</t>
  </si>
  <si>
    <t>Total energy supplied</t>
  </si>
  <si>
    <t>Less exports</t>
  </si>
  <si>
    <t>Total energy consumed</t>
  </si>
  <si>
    <t>Fraction from bioenergy</t>
  </si>
  <si>
    <t>NB: We assume that we don't export bioenergy if we could export fossil fuels</t>
  </si>
  <si>
    <t>Credit from growing bioenergy</t>
  </si>
  <si>
    <t>Solar Technologies</t>
  </si>
  <si>
    <t>100% liquid hydrocarbon by 2049</t>
  </si>
  <si>
    <t>90% liquid hydrocarbon and 10% Gaseous hydrocarbon by 2049</t>
  </si>
  <si>
    <t>75% liquid hydrocarbon and 25% Gaseous hydrocarbon by 2049</t>
  </si>
  <si>
    <t>60% liquid hydrocarbon and 40% Gaseous hydrocarbon by 2050</t>
  </si>
  <si>
    <t>1.pdf</t>
  </si>
  <si>
    <t>3.pdf</t>
  </si>
  <si>
    <t>4.pdf</t>
  </si>
  <si>
    <t>6.pdf</t>
  </si>
  <si>
    <t>9.pdf</t>
  </si>
  <si>
    <t>10.pdf</t>
  </si>
  <si>
    <t>12.pdf</t>
  </si>
  <si>
    <t>14.pdf</t>
  </si>
  <si>
    <t>18.pdf</t>
  </si>
  <si>
    <t>21.pdf</t>
  </si>
  <si>
    <t>22.pdf</t>
  </si>
  <si>
    <t>26.pdf</t>
  </si>
  <si>
    <t>27.pdf</t>
  </si>
  <si>
    <t>28.pdf</t>
  </si>
  <si>
    <t>29.pdf</t>
  </si>
  <si>
    <t>Analogous to MAED &amp; MESSAGE</t>
  </si>
  <si>
    <t>Campaign to Protect Rural Nigeria</t>
  </si>
  <si>
    <t>Maximum demand, no supply</t>
  </si>
  <si>
    <t>Introducing nuclear energy into the power mix</t>
  </si>
  <si>
    <t>1. Start with the energy table, but ignore all exports of energy, to give primary energy produced or used in Nigeria, which will be higher than primary energy used in Nigeria</t>
  </si>
  <si>
    <t>Total primary energy used in Nigeira</t>
  </si>
  <si>
    <t>3. Calculate the proportion of the vector that is imported</t>
  </si>
  <si>
    <t>Ministry of Power</t>
  </si>
  <si>
    <t>Transmission Company of Nigeria (TCN)-National Grid</t>
  </si>
  <si>
    <t>National Planning Commission</t>
  </si>
  <si>
    <t xml:space="preserve">Friends of the Environment </t>
  </si>
  <si>
    <t>Introducing Coal energy, more bioenergy</t>
  </si>
  <si>
    <t>Low cost pathway to be discussed?</t>
  </si>
  <si>
    <t>Federal Ministry of Environment</t>
  </si>
  <si>
    <t>http://www.nigeria-energy-calculator.org</t>
  </si>
  <si>
    <t>Residential Cooking, Lighting &amp; Appliances</t>
  </si>
  <si>
    <t>FERRY</t>
  </si>
  <si>
    <t>MOTORCYCLE-TRICYCLE</t>
  </si>
  <si>
    <t>t CO2e</t>
  </si>
  <si>
    <t>Note: odt-&gt; Oven Dry Tonne</t>
  </si>
  <si>
    <t>Large Hydroelectric power stations</t>
  </si>
  <si>
    <t>Coal power station</t>
  </si>
  <si>
    <t>Costs of HEV cars and buses</t>
  </si>
  <si>
    <t>Costs of ICE-LH cars and buses</t>
  </si>
  <si>
    <t>Costs of ICE-GH cars and buses</t>
  </si>
  <si>
    <t>N/Capita/yr</t>
  </si>
  <si>
    <t>Conventional cars and buses ICE-GH</t>
  </si>
  <si>
    <t>Conventional cars and buses ICE-LH</t>
  </si>
  <si>
    <t>XII.a.ICE_LH</t>
  </si>
  <si>
    <t>XII.a.ICE_GH</t>
  </si>
  <si>
    <t>/('Global assumptions'!$C$7/1000000)</t>
  </si>
  <si>
    <t>3. Derive the Per Capita Emission based on ite (2.) above</t>
  </si>
  <si>
    <t>Services</t>
  </si>
  <si>
    <t>17.pdf</t>
  </si>
  <si>
    <t>31.pdf</t>
  </si>
  <si>
    <t>32.pdf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</si>
</sst>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3" formatCode="_(* #,##0.00_);_(* \(#,##0.00\);_(* &quot;-&quot;??_);_(@_)"/>
    <numFmt numFmtId="164" formatCode="&quot;£&quot;#,##0.00;[Red]\-&quot;£&quot;#,##0.00"/>
    <numFmt numFmtId="165" formatCode="_-* #,##0.00_-;\-* #,##0.00_-;_-* &quot;-&quot;??_-;_-@_-"/>
    <numFmt numFmtId="166" formatCode="0.000E+00"/>
    <numFmt numFmtId="167" formatCode="#,##0.0"/>
    <numFmt numFmtId="168" formatCode="0.000"/>
    <numFmt numFmtId="169" formatCode="#,##0.0_);\(#,##0.0\);&quot;-&quot;;@"/>
    <numFmt numFmtId="170" formatCode="0.0"/>
    <numFmt numFmtId="171" formatCode="#,##0.00_);\(#,##0.00\);&quot;-&quot;;@"/>
    <numFmt numFmtId="172" formatCode="#,##0.000_);\(#,##0.000\);&quot;-&quot;;@"/>
    <numFmt numFmtId="173" formatCode="0.0%"/>
    <numFmt numFmtId="174" formatCode="#,##0.0_);\(#,##0.0\);&quot;-&quot;_);@"/>
    <numFmt numFmtId="175" formatCode="#,##0_);\(#,##0\);&quot;-&quot;_);@"/>
    <numFmt numFmtId="176" formatCode="0.0E+00"/>
    <numFmt numFmtId="177" formatCode="#,##0.00_);\(#,##0.00\);&quot;-&quot;_);@"/>
    <numFmt numFmtId="178" formatCode="#,##0.000_);\(#,##0.000\);&quot;-&quot;_);@"/>
    <numFmt numFmtId="179" formatCode="0%;\ \(0%\);\ \-"/>
    <numFmt numFmtId="180" formatCode="0.0%;\ \(0.0%\);\ \-"/>
    <numFmt numFmtId="181" formatCode="#,##0.0000_);\(#,##0.0000\);&quot;-&quot;_);@"/>
    <numFmt numFmtId="182" formatCode="#,##0.000"/>
    <numFmt numFmtId="183" formatCode="0.000000"/>
    <numFmt numFmtId="184" formatCode="&quot;£&quot;#,##0.00"/>
    <numFmt numFmtId="185" formatCode="&quot;£&quot;#,##0"/>
    <numFmt numFmtId="186" formatCode="0.00%;\ \(0.00%\);\ \-"/>
    <numFmt numFmtId="187" formatCode="_-* #,##0.0_-;\-* #,##0.0_-;_-* &quot;-&quot;??_-;_-@_-"/>
    <numFmt numFmtId="188" formatCode="#,##0.000000"/>
    <numFmt numFmtId="189" formatCode="#,##0.000000_);\(#,##0.000000\);&quot;-&quot;_);@"/>
    <numFmt numFmtId="190" formatCode="_(* #,##0.0_);_(* \(#,##0.0\);_(* &quot;-&quot;??_);_(@_)"/>
    <numFmt numFmtId="191" formatCode="_(* #,##0.0_);_(* \(#,##0.0\);_(* &quot;-&quot;?_);_(@_)"/>
    <numFmt numFmtId="192" formatCode="#,##0.00&quot; : 1&quot;"/>
    <numFmt numFmtId="193" formatCode="#,##0.000000000000000000000000_);\(#,##0.000000000000000000000000\)"/>
    <numFmt numFmtId="194" formatCode="#,##0.000000000000"/>
  </numFmts>
  <fonts count="167" x14ac:knownFonts="1">
    <font>
      <sz val="10"/>
      <color theme="1"/>
      <name val="Cambria"/>
      <family val="1"/>
      <scheme val="minor"/>
    </font>
    <font>
      <sz val="11"/>
      <color theme="1"/>
      <name val="Cambria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2"/>
      <color theme="1"/>
      <name val="Cambria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ajor"/>
    </font>
    <font>
      <sz val="10"/>
      <color theme="1"/>
      <name val="Cambria"/>
      <family val="1"/>
      <scheme val="minor"/>
    </font>
    <font>
      <vertAlign val="subscript"/>
      <sz val="10"/>
      <color theme="1"/>
      <name val="Cambria"/>
      <family val="1"/>
      <scheme val="minor"/>
    </font>
    <font>
      <sz val="12"/>
      <color theme="1"/>
      <name val="Cambria"/>
      <family val="1"/>
      <scheme val="minor"/>
    </font>
    <font>
      <b/>
      <sz val="12"/>
      <color theme="1"/>
      <name val="Calibri"/>
      <family val="2"/>
      <scheme val="major"/>
    </font>
    <font>
      <sz val="12"/>
      <color theme="1"/>
      <name val="Calibri"/>
      <family val="2"/>
      <scheme val="major"/>
    </font>
    <font>
      <sz val="11"/>
      <color theme="1"/>
      <name val="Cambria"/>
      <family val="1"/>
      <scheme val="minor"/>
    </font>
    <font>
      <sz val="8"/>
      <color theme="1"/>
      <name val="Cambria"/>
      <family val="1"/>
      <scheme val="minor"/>
    </font>
    <font>
      <b/>
      <sz val="10"/>
      <color theme="1"/>
      <name val="Calibri"/>
      <family val="2"/>
      <scheme val="major"/>
    </font>
    <font>
      <sz val="8"/>
      <color theme="1"/>
      <name val="Calibri"/>
      <family val="2"/>
      <scheme val="major"/>
    </font>
    <font>
      <sz val="11"/>
      <color theme="1"/>
      <name val="Calibri"/>
      <family val="2"/>
      <scheme val="major"/>
    </font>
    <font>
      <b/>
      <sz val="10"/>
      <color theme="1"/>
      <name val="Cambria"/>
      <family val="1"/>
      <scheme val="minor"/>
    </font>
    <font>
      <b/>
      <vertAlign val="subscript"/>
      <sz val="10"/>
      <color theme="1"/>
      <name val="Cambria"/>
      <family val="1"/>
      <scheme val="minor"/>
    </font>
    <font>
      <sz val="10"/>
      <color theme="3" tint="0.79998168889431442"/>
      <name val="Cambria"/>
      <family val="1"/>
      <scheme val="minor"/>
    </font>
    <font>
      <sz val="10"/>
      <color theme="3" tint="0.79998168889431442"/>
      <name val="Calibri"/>
      <family val="2"/>
      <scheme val="major"/>
    </font>
    <font>
      <sz val="14"/>
      <color theme="1"/>
      <name val="Calibri"/>
      <family val="2"/>
      <scheme val="major"/>
    </font>
    <font>
      <i/>
      <sz val="10"/>
      <color theme="1"/>
      <name val="Cambria"/>
      <family val="1"/>
      <scheme val="minor"/>
    </font>
    <font>
      <sz val="12"/>
      <color theme="1"/>
      <name val="Arial"/>
      <family val="2"/>
    </font>
    <font>
      <sz val="8"/>
      <color theme="1"/>
      <name val="Consolas"/>
      <family val="3"/>
    </font>
    <font>
      <sz val="10"/>
      <name val="Cambria"/>
      <family val="1"/>
      <scheme val="minor"/>
    </font>
    <font>
      <sz val="10"/>
      <name val="Calibri"/>
      <family val="2"/>
      <scheme val="major"/>
    </font>
    <font>
      <sz val="10"/>
      <color rgb="FF3F3F76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8"/>
      <name val="Cambria"/>
      <family val="1"/>
      <scheme val="minor"/>
    </font>
    <font>
      <b/>
      <sz val="10"/>
      <name val="Cambria"/>
      <family val="1"/>
      <scheme val="minor"/>
    </font>
    <font>
      <sz val="12"/>
      <name val="Calibri"/>
      <family val="2"/>
      <scheme val="major"/>
    </font>
    <font>
      <b/>
      <sz val="8"/>
      <color theme="1"/>
      <name val="Calibri"/>
      <family val="2"/>
      <scheme val="major"/>
    </font>
    <font>
      <b/>
      <sz val="12"/>
      <name val="Calibri"/>
      <family val="2"/>
      <scheme val="major"/>
    </font>
    <font>
      <sz val="16"/>
      <color theme="1"/>
      <name val="Cambria"/>
      <family val="1"/>
      <scheme val="minor"/>
    </font>
    <font>
      <b/>
      <sz val="10"/>
      <color rgb="FF3F3F76"/>
      <name val="Cambria"/>
      <family val="1"/>
      <scheme val="minor"/>
    </font>
    <font>
      <sz val="10"/>
      <color theme="1"/>
      <name val="Calibri"/>
      <family val="2"/>
      <scheme val="major"/>
    </font>
    <font>
      <sz val="14"/>
      <color theme="1"/>
      <name val="Cambria"/>
      <family val="1"/>
      <scheme val="minor"/>
    </font>
    <font>
      <b/>
      <sz val="16"/>
      <color theme="1"/>
      <name val="Calibri"/>
      <family val="2"/>
      <scheme val="major"/>
    </font>
    <font>
      <b/>
      <sz val="16"/>
      <color indexed="8"/>
      <name val="Calibri"/>
      <family val="2"/>
      <scheme val="major"/>
    </font>
    <font>
      <i/>
      <sz val="8"/>
      <name val="Cambria"/>
      <family val="1"/>
      <scheme val="minor"/>
    </font>
    <font>
      <sz val="10"/>
      <color theme="1"/>
      <name val="Cambria"/>
      <family val="1"/>
    </font>
    <font>
      <sz val="8"/>
      <color theme="1"/>
      <name val="Cambria"/>
      <family val="1"/>
    </font>
    <font>
      <i/>
      <sz val="10"/>
      <name val="Cambria"/>
      <family val="1"/>
      <scheme val="minor"/>
    </font>
    <font>
      <b/>
      <i/>
      <sz val="10"/>
      <color theme="1"/>
      <name val="Cambria"/>
      <family val="1"/>
      <scheme val="minor"/>
    </font>
    <font>
      <b/>
      <sz val="18"/>
      <color theme="1"/>
      <name val="Calibri"/>
      <family val="2"/>
      <scheme val="major"/>
    </font>
    <font>
      <b/>
      <sz val="18"/>
      <name val="Calibri"/>
      <family val="2"/>
      <scheme val="major"/>
    </font>
    <font>
      <sz val="8"/>
      <color theme="4" tint="-0.249977111117893"/>
      <name val="Cambria"/>
      <family val="1"/>
      <scheme val="minor"/>
    </font>
    <font>
      <i/>
      <sz val="12"/>
      <name val="Cambria"/>
      <family val="1"/>
      <scheme val="minor"/>
    </font>
    <font>
      <sz val="10"/>
      <color theme="1"/>
      <name val="Cambria"/>
      <family val="1"/>
      <scheme val="minor"/>
    </font>
    <font>
      <sz val="10"/>
      <color rgb="FFFF0000"/>
      <name val="Cambria"/>
      <family val="1"/>
      <scheme val="minor"/>
    </font>
    <font>
      <b/>
      <sz val="8"/>
      <color theme="4" tint="-0.249977111117893"/>
      <name val="Calibri"/>
      <family val="2"/>
      <scheme val="major"/>
    </font>
    <font>
      <i/>
      <sz val="12"/>
      <color theme="1"/>
      <name val="Cambria"/>
      <family val="1"/>
      <scheme val="minor"/>
    </font>
    <font>
      <b/>
      <vertAlign val="subscript"/>
      <sz val="18"/>
      <color theme="1"/>
      <name val="Calibri"/>
      <family val="2"/>
      <scheme val="major"/>
    </font>
    <font>
      <sz val="18"/>
      <color theme="1"/>
      <name val="Cambria"/>
      <family val="1"/>
      <scheme val="minor"/>
    </font>
    <font>
      <b/>
      <sz val="10"/>
      <color theme="1"/>
      <name val="Cambria"/>
      <family val="1"/>
    </font>
    <font>
      <b/>
      <sz val="18"/>
      <color indexed="8"/>
      <name val="Calibri"/>
      <family val="2"/>
      <scheme val="major"/>
    </font>
    <font>
      <i/>
      <sz val="8"/>
      <color theme="1"/>
      <name val="Cambria"/>
      <family val="1"/>
      <scheme val="minor"/>
    </font>
    <font>
      <b/>
      <sz val="14"/>
      <color theme="1"/>
      <name val="Cambria"/>
      <family val="1"/>
      <scheme val="minor"/>
    </font>
    <font>
      <vertAlign val="superscript"/>
      <sz val="10"/>
      <color theme="1"/>
      <name val="Cambria"/>
      <family val="1"/>
      <scheme val="minor"/>
    </font>
    <font>
      <i/>
      <vertAlign val="superscript"/>
      <sz val="10"/>
      <color theme="1"/>
      <name val="Cambria"/>
      <family val="1"/>
      <scheme val="minor"/>
    </font>
    <font>
      <sz val="12"/>
      <name val="Cambria"/>
      <family val="1"/>
      <scheme val="minor"/>
    </font>
    <font>
      <sz val="10"/>
      <color theme="4"/>
      <name val="Cambria"/>
      <family val="1"/>
      <scheme val="minor"/>
    </font>
    <font>
      <sz val="10"/>
      <color theme="4" tint="-0.249977111117893"/>
      <name val="Cambria"/>
      <family val="1"/>
      <scheme val="minor"/>
    </font>
    <font>
      <sz val="18"/>
      <name val="Cambria"/>
      <family val="1"/>
      <scheme val="minor"/>
    </font>
    <font>
      <b/>
      <sz val="12"/>
      <color theme="1"/>
      <name val="Cambria"/>
      <family val="1"/>
      <scheme val="minor"/>
    </font>
    <font>
      <vertAlign val="superscript"/>
      <sz val="10"/>
      <name val="Cambria"/>
      <family val="1"/>
      <scheme val="minor"/>
    </font>
    <font>
      <i/>
      <sz val="10"/>
      <color theme="1"/>
      <name val="Calibri"/>
      <family val="2"/>
      <scheme val="major"/>
    </font>
    <font>
      <sz val="10"/>
      <color theme="0" tint="-0.499984740745262"/>
      <name val="Cambria"/>
      <family val="1"/>
      <scheme val="minor"/>
    </font>
    <font>
      <i/>
      <sz val="10"/>
      <color theme="1"/>
      <name val="Arial"/>
      <family val="2"/>
    </font>
    <font>
      <i/>
      <sz val="10"/>
      <color theme="1"/>
      <name val="Cambria"/>
      <family val="1"/>
    </font>
    <font>
      <b/>
      <sz val="8"/>
      <color theme="1"/>
      <name val="Cambria"/>
      <family val="1"/>
      <scheme val="minor"/>
    </font>
    <font>
      <sz val="10"/>
      <color theme="0" tint="-0.34998626667073579"/>
      <name val="Cambria"/>
      <family val="1"/>
      <scheme val="minor"/>
    </font>
    <font>
      <i/>
      <sz val="10"/>
      <color indexed="8"/>
      <name val="Cambria"/>
      <family val="1"/>
      <scheme val="minor"/>
    </font>
    <font>
      <sz val="18"/>
      <color theme="0"/>
      <name val="Calibri"/>
      <family val="2"/>
      <scheme val="major"/>
    </font>
    <font>
      <b/>
      <sz val="18"/>
      <color theme="0"/>
      <name val="Calibri"/>
      <family val="2"/>
      <scheme val="major"/>
    </font>
    <font>
      <b/>
      <sz val="12"/>
      <color theme="4" tint="-0.249977111117893"/>
      <name val="Cambria"/>
      <family val="1"/>
      <scheme val="minor"/>
    </font>
    <font>
      <sz val="12"/>
      <color theme="4" tint="-0.249977111117893"/>
      <name val="Cambria"/>
      <family val="1"/>
      <scheme val="minor"/>
    </font>
    <font>
      <b/>
      <sz val="10"/>
      <color theme="0" tint="-0.34998626667073579"/>
      <name val="Calibri"/>
      <family val="2"/>
      <scheme val="major"/>
    </font>
    <font>
      <b/>
      <sz val="10"/>
      <color theme="0" tint="-0.499984740745262"/>
      <name val="Calibri"/>
      <family val="2"/>
      <scheme val="major"/>
    </font>
    <font>
      <b/>
      <sz val="10"/>
      <color theme="1"/>
      <name val="Arial"/>
      <family val="2"/>
    </font>
    <font>
      <vertAlign val="subscript"/>
      <sz val="10"/>
      <color theme="1"/>
      <name val="Calibri"/>
      <family val="2"/>
      <scheme val="major"/>
    </font>
    <font>
      <sz val="10"/>
      <color theme="0" tint="-0.499984740745262"/>
      <name val="Calibri"/>
      <family val="2"/>
      <scheme val="major"/>
    </font>
    <font>
      <i/>
      <vertAlign val="subscript"/>
      <sz val="10"/>
      <color theme="1"/>
      <name val="Cambria"/>
      <family val="1"/>
      <scheme val="minor"/>
    </font>
    <font>
      <sz val="10"/>
      <color theme="1"/>
      <name val="Cambria"/>
      <family val="1"/>
      <scheme val="minor"/>
    </font>
    <font>
      <b/>
      <sz val="12"/>
      <name val="Cambria"/>
      <family val="1"/>
      <scheme val="minor"/>
    </font>
    <font>
      <b/>
      <sz val="11"/>
      <color theme="0"/>
      <name val="Calibri"/>
      <family val="2"/>
      <scheme val="major"/>
    </font>
    <font>
      <b/>
      <i/>
      <sz val="12"/>
      <color theme="1"/>
      <name val="Calibri"/>
      <family val="2"/>
      <scheme val="major"/>
    </font>
    <font>
      <b/>
      <sz val="18"/>
      <color theme="9" tint="-0.249977111117893"/>
      <name val="Cambria"/>
      <family val="1"/>
      <scheme val="minor"/>
    </font>
    <font>
      <sz val="14"/>
      <color theme="9" tint="-0.249977111117893"/>
      <name val="Cambria"/>
      <family val="1"/>
      <scheme val="minor"/>
    </font>
    <font>
      <sz val="10"/>
      <color theme="1"/>
      <name val="Cambria"/>
      <family val="1"/>
      <scheme val="minor"/>
    </font>
    <font>
      <u/>
      <sz val="10"/>
      <color theme="10"/>
      <name val="Cambria"/>
      <family val="1"/>
      <scheme val="minor"/>
    </font>
    <font>
      <u/>
      <sz val="10"/>
      <color theme="11"/>
      <name val="Cambria"/>
      <family val="1"/>
      <scheme val="minor"/>
    </font>
    <font>
      <sz val="10"/>
      <color theme="1"/>
      <name val="Cambria"/>
      <family val="1"/>
      <scheme val="minor"/>
    </font>
    <font>
      <sz val="10"/>
      <color indexed="8"/>
      <name val="Calibri"/>
      <family val="1"/>
    </font>
    <font>
      <u/>
      <sz val="8.5"/>
      <color theme="10"/>
      <name val="Cambria"/>
      <family val="1"/>
    </font>
    <font>
      <sz val="10"/>
      <color theme="1"/>
      <name val="Cambria"/>
      <family val="1"/>
      <scheme val="minor"/>
    </font>
    <font>
      <sz val="10"/>
      <color rgb="FF006100"/>
      <name val="Arial"/>
      <family val="2"/>
    </font>
    <font>
      <sz val="10"/>
      <color theme="1"/>
      <name val="Cambria"/>
      <family val="1"/>
      <scheme val="minor"/>
    </font>
    <font>
      <b/>
      <u/>
      <sz val="10"/>
      <color theme="1"/>
      <name val="Cambria"/>
      <family val="1"/>
      <scheme val="minor"/>
    </font>
    <font>
      <u/>
      <sz val="10"/>
      <color theme="1"/>
      <name val="Cambria"/>
      <family val="1"/>
      <scheme val="minor"/>
    </font>
    <font>
      <b/>
      <sz val="9"/>
      <color rgb="FF333333"/>
      <name val="Verdana"/>
      <family val="2"/>
    </font>
    <font>
      <sz val="10"/>
      <color theme="1"/>
      <name val="Cambria"/>
      <family val="1"/>
      <scheme val="minor"/>
    </font>
    <font>
      <i/>
      <sz val="8"/>
      <color rgb="FFFF0000"/>
      <name val="Cambria"/>
      <family val="1"/>
      <scheme val="minor"/>
    </font>
    <font>
      <sz val="10"/>
      <color theme="0"/>
      <name val="Arial"/>
      <family val="2"/>
    </font>
    <font>
      <b/>
      <sz val="10"/>
      <name val="Calibri"/>
      <family val="2"/>
      <scheme val="major"/>
    </font>
    <font>
      <b/>
      <sz val="10"/>
      <color rgb="FFFF0000"/>
      <name val="Calibri"/>
      <family val="2"/>
      <scheme val="major"/>
    </font>
    <font>
      <b/>
      <sz val="10"/>
      <color theme="0"/>
      <name val="Cambria"/>
      <family val="1"/>
      <scheme val="minor"/>
    </font>
    <font>
      <sz val="8"/>
      <color rgb="FFFF0000"/>
      <name val="Cambria"/>
      <family val="1"/>
      <scheme val="minor"/>
    </font>
    <font>
      <b/>
      <u/>
      <sz val="14"/>
      <color theme="1"/>
      <name val="Cambria"/>
      <family val="1"/>
      <scheme val="minor"/>
    </font>
    <font>
      <sz val="10"/>
      <color theme="1"/>
      <name val="Cambria"/>
      <family val="1"/>
      <scheme val="minor"/>
    </font>
    <font>
      <sz val="10"/>
      <color theme="1"/>
      <name val="Cambria"/>
      <family val="1"/>
      <scheme val="minor"/>
    </font>
    <font>
      <b/>
      <sz val="11"/>
      <color theme="1"/>
      <name val="Cambria"/>
      <family val="2"/>
      <scheme val="minor"/>
    </font>
    <font>
      <sz val="11"/>
      <color rgb="FF0070C0"/>
      <name val="Cambria"/>
      <family val="2"/>
      <scheme val="minor"/>
    </font>
    <font>
      <b/>
      <sz val="11"/>
      <color rgb="FFFF0000"/>
      <name val="Cambria"/>
      <family val="2"/>
      <scheme val="minor"/>
    </font>
    <font>
      <sz val="11"/>
      <color theme="1"/>
      <name val="Cambria"/>
      <family val="2"/>
      <scheme val="minor"/>
    </font>
    <font>
      <sz val="12"/>
      <color theme="1"/>
      <name val="Times New Roman"/>
      <family val="1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color theme="1"/>
      <name val="Cambria"/>
      <family val="1"/>
      <scheme val="minor"/>
    </font>
    <font>
      <sz val="10"/>
      <color rgb="FF000000"/>
      <name val="Cambria"/>
      <family val="1"/>
      <scheme val="minor"/>
    </font>
    <font>
      <sz val="10"/>
      <color theme="1"/>
      <name val="Cambria"/>
      <family val="1"/>
      <scheme val="minor"/>
    </font>
    <font>
      <b/>
      <sz val="18"/>
      <color theme="3"/>
      <name val="Calibri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Cambria"/>
      <family val="1"/>
      <scheme val="minor"/>
    </font>
    <font>
      <b/>
      <sz val="12"/>
      <color rgb="FF000000"/>
      <name val="Calibri"/>
      <family val="2"/>
    </font>
    <font>
      <sz val="10"/>
      <color theme="4" tint="-0.249977111117893"/>
      <name val="Calibri"/>
      <family val="2"/>
      <scheme val="major"/>
    </font>
    <font>
      <sz val="8"/>
      <color theme="4" tint="-0.249977111117893"/>
      <name val="Calibri"/>
      <family val="2"/>
      <scheme val="major"/>
    </font>
    <font>
      <b/>
      <sz val="10"/>
      <color theme="4" tint="-0.249977111117893"/>
      <name val="Calibri"/>
      <family val="2"/>
      <scheme val="major"/>
    </font>
    <font>
      <i/>
      <sz val="10"/>
      <color theme="4" tint="-0.249977111117893"/>
      <name val="Calibri"/>
      <family val="2"/>
      <scheme val="major"/>
    </font>
    <font>
      <sz val="8"/>
      <color theme="2" tint="-0.499984740745262"/>
      <name val="Calibri"/>
      <family val="2"/>
      <scheme val="major"/>
    </font>
    <font>
      <sz val="11"/>
      <color theme="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mbria"/>
      <family val="1"/>
      <scheme val="minor"/>
    </font>
    <font>
      <sz val="12"/>
      <color rgb="FFC00000"/>
      <name val="Cambria"/>
      <family val="1"/>
      <scheme val="minor"/>
    </font>
    <font>
      <sz val="10"/>
      <color rgb="FFC00000"/>
      <name val="Cambria"/>
      <family val="1"/>
      <scheme val="minor"/>
    </font>
    <font>
      <i/>
      <sz val="10"/>
      <color rgb="FFC00000"/>
      <name val="Cambria"/>
      <family val="1"/>
      <scheme val="minor"/>
    </font>
    <font>
      <sz val="10"/>
      <color rgb="FFC00000"/>
      <name val="Arial"/>
      <family val="2"/>
    </font>
    <font>
      <b/>
      <sz val="10"/>
      <color rgb="FFFF0000"/>
      <name val="Cambria"/>
      <family val="1"/>
      <scheme val="minor"/>
    </font>
    <font>
      <u/>
      <sz val="8.5"/>
      <color rgb="FFC00000"/>
      <name val="Cambria"/>
      <family val="1"/>
    </font>
    <font>
      <sz val="10"/>
      <color theme="1"/>
      <name val="Cambria"/>
      <family val="1"/>
      <scheme val="minor"/>
    </font>
    <font>
      <sz val="10"/>
      <color rgb="FFFF0000"/>
      <name val="Calibri"/>
      <family val="2"/>
      <scheme val="major"/>
    </font>
    <font>
      <sz val="18"/>
      <name val="Calibri"/>
      <family val="2"/>
      <scheme val="major"/>
    </font>
    <font>
      <strike/>
      <sz val="10"/>
      <color theme="1"/>
      <name val="Cambria"/>
      <family val="1"/>
      <scheme val="minor"/>
    </font>
    <font>
      <sz val="10"/>
      <color theme="1"/>
      <name val="Cambria"/>
      <scheme val="minor"/>
    </font>
    <font>
      <sz val="10"/>
      <name val="Cambria"/>
      <scheme val="minor"/>
    </font>
    <font>
      <sz val="10"/>
      <name val="Arial"/>
    </font>
  </fonts>
  <fills count="7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C99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E9EFF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3" tint="0.39997558519241921"/>
        <bgColor theme="5"/>
      </patternFill>
    </fill>
    <fill>
      <patternFill patternType="solid">
        <fgColor theme="3" tint="0.79998168889431442"/>
        <bgColor theme="5" tint="0.59999389629810485"/>
      </patternFill>
    </fill>
    <fill>
      <patternFill patternType="solid">
        <fgColor rgb="FFC6EFCE"/>
      </patternFill>
    </fill>
    <fill>
      <patternFill patternType="solid">
        <fgColor theme="9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/>
        <bgColor theme="4"/>
      </patternFill>
    </fill>
    <fill>
      <patternFill patternType="solid">
        <fgColor theme="9" tint="-0.499984740745262"/>
        <bgColor theme="4"/>
      </patternFill>
    </fill>
    <fill>
      <patternFill patternType="solid">
        <fgColor theme="9" tint="-0.249977111117893"/>
        <bgColor theme="4" tint="0.59999389629810485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125">
        <fgColor auto="1"/>
        <bgColor theme="4" tint="0.59999389629810485"/>
      </patternFill>
    </fill>
    <fill>
      <patternFill patternType="gray125">
        <fgColor auto="1"/>
      </patternFill>
    </fill>
    <fill>
      <patternFill patternType="gray125">
        <fgColor auto="1"/>
        <bgColor theme="4" tint="0.79998168889431442"/>
      </patternFill>
    </fill>
    <fill>
      <patternFill patternType="solid">
        <fgColor theme="5" tint="0.39997558519241921"/>
        <bgColor theme="4" tint="0.59999389629810485"/>
      </patternFill>
    </fill>
    <fill>
      <patternFill patternType="solid">
        <fgColor rgb="FFFFFF00"/>
        <bgColor theme="4" tint="0.59999389629810485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EBF1DE"/>
        <bgColor rgb="FF000000"/>
      </patternFill>
    </fill>
    <fill>
      <patternFill patternType="solid">
        <fgColor rgb="FF95B3D7"/>
        <bgColor rgb="FF000000"/>
      </patternFill>
    </fill>
    <fill>
      <patternFill patternType="solid">
        <fgColor rgb="FFF2DCDB"/>
        <bgColor rgb="FF000000"/>
      </patternFill>
    </fill>
  </fills>
  <borders count="16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theme="0" tint="-0.249946592608417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1" tint="4.9989318521683403E-2"/>
      </top>
      <bottom style="thin">
        <color theme="0" tint="-0.34998626667073579"/>
      </bottom>
      <diagonal/>
    </border>
    <border>
      <left/>
      <right/>
      <top/>
      <bottom style="thin">
        <color theme="1" tint="4.9989318521683403E-2"/>
      </bottom>
      <diagonal/>
    </border>
    <border>
      <left style="thin">
        <color theme="0" tint="-0.34998626667073579"/>
      </left>
      <right/>
      <top style="thin">
        <color theme="1" tint="4.9989318521683403E-2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theme="1" tint="4.9989318521683403E-2"/>
      </bottom>
      <diagonal/>
    </border>
    <border>
      <left/>
      <right/>
      <top style="thin">
        <color theme="0" tint="-0.34998626667073579"/>
      </top>
      <bottom style="thin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auto="1"/>
      </bottom>
      <diagonal/>
    </border>
    <border>
      <left/>
      <right/>
      <top style="thin">
        <color theme="1" tint="4.9989318521683403E-2"/>
      </top>
      <bottom/>
      <diagonal/>
    </border>
    <border>
      <left style="thin">
        <color theme="0" tint="-0.34998626667073579"/>
      </left>
      <right/>
      <top style="thin">
        <color theme="1" tint="4.9989318521683403E-2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auto="1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1"/>
      </top>
      <bottom style="medium">
        <color theme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1" tint="4.9989318521683403E-2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1" tint="4.9989318521683403E-2"/>
      </bottom>
      <diagonal/>
    </border>
    <border>
      <left/>
      <right style="thick">
        <color theme="9" tint="0.79998168889431442"/>
      </right>
      <top/>
      <bottom/>
      <diagonal/>
    </border>
    <border>
      <left style="thick">
        <color theme="9" tint="0.79998168889431442"/>
      </left>
      <right/>
      <top/>
      <bottom/>
      <diagonal/>
    </border>
    <border>
      <left/>
      <right style="thick">
        <color theme="9" tint="0.79998168889431442"/>
      </right>
      <top style="thin">
        <color theme="1" tint="4.9989318521683403E-2"/>
      </top>
      <bottom style="thin">
        <color theme="0" tint="-0.34998626667073579"/>
      </bottom>
      <diagonal/>
    </border>
    <border>
      <left style="thick">
        <color theme="9" tint="0.79998168889431442"/>
      </left>
      <right/>
      <top style="thin">
        <color theme="1" tint="4.9989318521683403E-2"/>
      </top>
      <bottom style="thin">
        <color theme="0" tint="-0.34998626667073579"/>
      </bottom>
      <diagonal/>
    </border>
    <border>
      <left/>
      <right style="thick">
        <color theme="9" tint="0.79998168889431442"/>
      </right>
      <top/>
      <bottom style="thin">
        <color theme="1" tint="4.9989318521683403E-2"/>
      </bottom>
      <diagonal/>
    </border>
    <border>
      <left style="thick">
        <color theme="9" tint="0.79998168889431442"/>
      </left>
      <right/>
      <top/>
      <bottom style="thin">
        <color theme="1" tint="4.9989318521683403E-2"/>
      </bottom>
      <diagonal/>
    </border>
    <border>
      <left/>
      <right style="thick">
        <color theme="9" tint="0.79998168889431442"/>
      </right>
      <top/>
      <bottom style="thin">
        <color auto="1"/>
      </bottom>
      <diagonal/>
    </border>
    <border>
      <left style="thick">
        <color theme="9" tint="0.79998168889431442"/>
      </left>
      <right/>
      <top/>
      <bottom style="thin">
        <color auto="1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auto="1"/>
      </top>
      <bottom style="thin">
        <color auto="1"/>
      </bottom>
      <diagonal/>
    </border>
    <border>
      <left/>
      <right style="thin">
        <color theme="0" tint="-0.34998626667073579"/>
      </right>
      <top style="thin">
        <color auto="1"/>
      </top>
      <bottom/>
      <diagonal/>
    </border>
    <border>
      <left style="thin">
        <color theme="0" tint="-0.34998626667073579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/>
      </top>
      <bottom style="thin">
        <color theme="0" tint="-0.34998626667073579"/>
      </bottom>
      <diagonal/>
    </border>
    <border>
      <left style="thin">
        <color auto="1"/>
      </left>
      <right/>
      <top/>
      <bottom style="thin">
        <color theme="1" tint="4.9989318521683403E-2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/>
      <top style="thin">
        <color theme="1" tint="4.9989318521683403E-2"/>
      </top>
      <bottom style="thin">
        <color auto="1"/>
      </bottom>
      <diagonal/>
    </border>
    <border>
      <left style="thin">
        <color theme="0" tint="-0.34998626667073579"/>
      </left>
      <right/>
      <top style="thin">
        <color theme="1" tint="4.9989318521683403E-2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 style="thin">
        <color theme="5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5" tint="0.59996337778862885"/>
      </bottom>
      <diagonal/>
    </border>
    <border>
      <left style="thin">
        <color theme="5" tint="0.59996337778862885"/>
      </left>
      <right/>
      <top/>
      <bottom style="thin">
        <color theme="5" tint="0.59996337778862885"/>
      </bottom>
      <diagonal/>
    </border>
    <border>
      <left/>
      <right style="thin">
        <color theme="5" tint="0.59996337778862885"/>
      </right>
      <top style="thin">
        <color theme="5" tint="0.59996337778862885"/>
      </top>
      <bottom style="thin">
        <color theme="5" tint="0.59996337778862885"/>
      </bottom>
      <diagonal/>
    </border>
    <border>
      <left/>
      <right style="thin">
        <color theme="5" tint="0.59996337778862885"/>
      </right>
      <top style="thin">
        <color theme="5" tint="0.59996337778862885"/>
      </top>
      <bottom/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/>
      <diagonal/>
    </border>
    <border>
      <left/>
      <right style="thin">
        <color theme="5" tint="0.59996337778862885"/>
      </right>
      <top style="thin">
        <color theme="1"/>
      </top>
      <bottom style="thin">
        <color theme="5" tint="0.59996337778862885"/>
      </bottom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1"/>
      </top>
      <bottom style="thin">
        <color theme="5" tint="0.59996337778862885"/>
      </bottom>
      <diagonal/>
    </border>
    <border>
      <left style="thin">
        <color theme="5" tint="0.59996337778862885"/>
      </left>
      <right/>
      <top style="thin">
        <color theme="1"/>
      </top>
      <bottom style="thin">
        <color theme="5" tint="0.59996337778862885"/>
      </bottom>
      <diagonal/>
    </border>
    <border>
      <left/>
      <right style="thick">
        <color theme="9" tint="0.79998168889431442"/>
      </right>
      <top/>
      <bottom style="thin">
        <color theme="0" tint="-0.34998626667073579"/>
      </bottom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1"/>
      </top>
      <bottom/>
      <diagonal/>
    </border>
    <border>
      <left/>
      <right style="thin">
        <color theme="5" tint="0.59996337778862885"/>
      </right>
      <top/>
      <bottom style="thin">
        <color theme="5" tint="0.59996337778862885"/>
      </bottom>
      <diagonal/>
    </border>
    <border>
      <left/>
      <right style="thick">
        <color theme="9" tint="0.79998168889431442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theme="5" tint="0.59996337778862885"/>
      </right>
      <top style="thin">
        <color theme="5" tint="0.59996337778862885"/>
      </top>
      <bottom style="thin">
        <color auto="1"/>
      </bottom>
      <diagonal/>
    </border>
    <border>
      <left style="thin">
        <color theme="5" tint="0.59996337778862885"/>
      </left>
      <right style="thin">
        <color theme="5" tint="0.59996337778862885"/>
      </right>
      <top style="thin">
        <color theme="5" tint="0.59996337778862885"/>
      </top>
      <bottom style="thin">
        <color auto="1"/>
      </bottom>
      <diagonal/>
    </border>
    <border>
      <left/>
      <right style="thin">
        <color theme="5" tint="0.59996337778862885"/>
      </right>
      <top/>
      <bottom style="thin">
        <color theme="0" tint="-0.34998626667073579"/>
      </bottom>
      <diagonal/>
    </border>
    <border>
      <left style="thin">
        <color theme="5" tint="0.59996337778862885"/>
      </left>
      <right style="thin">
        <color theme="5" tint="0.59996337778862885"/>
      </right>
      <top/>
      <bottom style="thin">
        <color theme="0" tint="-0.34998626667073579"/>
      </bottom>
      <diagonal/>
    </border>
    <border>
      <left style="thin">
        <color theme="5" tint="0.59996337778862885"/>
      </left>
      <right/>
      <top/>
      <bottom style="thin">
        <color theme="0" tint="-0.34998626667073579"/>
      </bottom>
      <diagonal/>
    </border>
    <border>
      <left/>
      <right style="thin">
        <color theme="7" tint="0.79998168889431442"/>
      </right>
      <top style="thin">
        <color theme="0" tint="-0.34998626667073579"/>
      </top>
      <bottom style="thin">
        <color theme="7" tint="0.79998168889431442"/>
      </bottom>
      <diagonal/>
    </border>
    <border>
      <left style="thin">
        <color theme="7" tint="0.79998168889431442"/>
      </left>
      <right style="thin">
        <color theme="7" tint="0.79998168889431442"/>
      </right>
      <top style="thin">
        <color theme="0" tint="-0.34998626667073579"/>
      </top>
      <bottom style="thin">
        <color theme="7" tint="0.79998168889431442"/>
      </bottom>
      <diagonal/>
    </border>
    <border>
      <left style="thin">
        <color theme="7" tint="0.79998168889431442"/>
      </left>
      <right style="thin">
        <color theme="5" tint="0.59996337778862885"/>
      </right>
      <top style="thin">
        <color theme="0" tint="-0.34998626667073579"/>
      </top>
      <bottom style="thin">
        <color theme="7" tint="0.79998168889431442"/>
      </bottom>
      <diagonal/>
    </border>
    <border>
      <left style="thin">
        <color theme="7" tint="0.79998168889431442"/>
      </left>
      <right style="thin">
        <color theme="7" tint="0.79998168889431442"/>
      </right>
      <top style="thin">
        <color theme="7" tint="0.79998168889431442"/>
      </top>
      <bottom style="thin">
        <color theme="7" tint="0.79998168889431442"/>
      </bottom>
      <diagonal/>
    </border>
    <border>
      <left/>
      <right style="thin">
        <color theme="7" tint="0.79998168889431442"/>
      </right>
      <top style="thin">
        <color theme="7" tint="0.79998168889431442"/>
      </top>
      <bottom style="thin">
        <color auto="1"/>
      </bottom>
      <diagonal/>
    </border>
    <border>
      <left style="thin">
        <color theme="7" tint="0.79998168889431442"/>
      </left>
      <right style="thin">
        <color theme="7" tint="0.79998168889431442"/>
      </right>
      <top style="thin">
        <color theme="7" tint="0.79998168889431442"/>
      </top>
      <bottom style="thin">
        <color auto="1"/>
      </bottom>
      <diagonal/>
    </border>
    <border>
      <left style="thin">
        <color theme="7" tint="0.79998168889431442"/>
      </left>
      <right style="thin">
        <color theme="5" tint="0.59996337778862885"/>
      </right>
      <top style="thin">
        <color theme="7" tint="0.79998168889431442"/>
      </top>
      <bottom style="thin">
        <color auto="1"/>
      </bottom>
      <diagonal/>
    </border>
    <border>
      <left/>
      <right style="thin">
        <color theme="7" tint="0.79998168889431442"/>
      </right>
      <top style="thin">
        <color theme="7" tint="0.79998168889431442"/>
      </top>
      <bottom style="thin">
        <color theme="7" tint="0.79998168889431442"/>
      </bottom>
      <diagonal/>
    </border>
    <border>
      <left style="thin">
        <color theme="7" tint="0.79998168889431442"/>
      </left>
      <right style="thin">
        <color theme="5" tint="0.59996337778862885"/>
      </right>
      <top style="thin">
        <color theme="7" tint="0.79998168889431442"/>
      </top>
      <bottom style="thin">
        <color theme="7" tint="0.79998168889431442"/>
      </bottom>
      <diagonal/>
    </border>
    <border>
      <left style="thin">
        <color theme="7" tint="0.79998168889431442"/>
      </left>
      <right style="thin">
        <color theme="7" tint="0.79998168889431442"/>
      </right>
      <top/>
      <bottom style="thin">
        <color theme="7" tint="0.79998168889431442"/>
      </bottom>
      <diagonal/>
    </border>
    <border>
      <left style="thin">
        <color theme="7" tint="0.79998168889431442"/>
      </left>
      <right style="thin">
        <color theme="7" tint="0.79998168889431442"/>
      </right>
      <top style="thin">
        <color theme="7" tint="0.79998168889431442"/>
      </top>
      <bottom/>
      <diagonal/>
    </border>
    <border>
      <left style="thin">
        <color theme="5" tint="0.79998168889431442"/>
      </left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  <border>
      <left style="thin">
        <color theme="5" tint="0.79998168889431442"/>
      </left>
      <right style="thin">
        <color theme="5" tint="0.79998168889431442"/>
      </right>
      <top/>
      <bottom style="thin">
        <color theme="5" tint="0.79998168889431442"/>
      </bottom>
      <diagonal/>
    </border>
    <border>
      <left style="thin">
        <color theme="5" tint="0.79998168889431442"/>
      </left>
      <right style="thin">
        <color theme="5" tint="0.79998168889431442"/>
      </right>
      <top style="thin">
        <color theme="5" tint="0.79998168889431442"/>
      </top>
      <bottom style="thin">
        <color auto="1"/>
      </bottom>
      <diagonal/>
    </border>
    <border>
      <left/>
      <right style="thin">
        <color theme="0"/>
      </right>
      <top style="thin">
        <color theme="1" tint="4.9989318521683403E-2"/>
      </top>
      <bottom style="thin">
        <color theme="0" tint="-0.34998626667073579"/>
      </bottom>
      <diagonal/>
    </border>
    <border>
      <left/>
      <right style="thin">
        <color theme="0"/>
      </right>
      <top style="thin">
        <color theme="0" tint="-0.34998626667073579"/>
      </top>
      <bottom style="thin">
        <color auto="1"/>
      </bottom>
      <diagonal/>
    </border>
    <border>
      <left/>
      <right style="thick">
        <color theme="9" tint="0.79998168889431442"/>
      </right>
      <top style="thin">
        <color theme="0" tint="-0.34998626667073579"/>
      </top>
      <bottom style="thin">
        <color auto="1"/>
      </bottom>
      <diagonal/>
    </border>
    <border>
      <left/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  <border>
      <left/>
      <right style="thin">
        <color theme="5" tint="0.79998168889431442"/>
      </right>
      <top/>
      <bottom style="thin">
        <color theme="5" tint="0.79998168889431442"/>
      </bottom>
      <diagonal/>
    </border>
    <border>
      <left/>
      <right style="thin">
        <color theme="5" tint="0.79998168889431442"/>
      </right>
      <top style="thin">
        <color theme="5" tint="0.79998168889431442"/>
      </top>
      <bottom/>
      <diagonal/>
    </border>
    <border>
      <left style="thin">
        <color theme="5" tint="0.79998168889431442"/>
      </left>
      <right style="thin">
        <color theme="5" tint="0.79998168889431442"/>
      </right>
      <top style="thin">
        <color theme="5" tint="0.79998168889431442"/>
      </top>
      <bottom/>
      <diagonal/>
    </border>
    <border>
      <left style="thin">
        <color theme="5" tint="0.79998168889431442"/>
      </left>
      <right style="thin">
        <color theme="5" tint="0.79998168889431442"/>
      </right>
      <top style="thin">
        <color theme="5" tint="0.79998168889431442"/>
      </top>
      <bottom style="thin">
        <color theme="0" tint="-0.34998626667073579"/>
      </bottom>
      <diagonal/>
    </border>
    <border>
      <left/>
      <right/>
      <top style="thin">
        <color theme="1"/>
      </top>
      <bottom style="thin">
        <color auto="1"/>
      </bottom>
      <diagonal/>
    </border>
    <border>
      <left/>
      <right style="thin">
        <color theme="5" tint="0.79998168889431442"/>
      </right>
      <top/>
      <bottom style="thin">
        <color theme="0" tint="-0.34998626667073579"/>
      </bottom>
      <diagonal/>
    </border>
    <border>
      <left style="thin">
        <color theme="5" tint="0.79998168889431442"/>
      </left>
      <right style="thin">
        <color theme="5" tint="0.79998168889431442"/>
      </right>
      <top/>
      <bottom style="thin">
        <color theme="0" tint="-0.34998626667073579"/>
      </bottom>
      <diagonal/>
    </border>
    <border>
      <left style="thin">
        <color theme="5" tint="0.79998168889431442"/>
      </left>
      <right/>
      <top/>
      <bottom style="thin">
        <color theme="0" tint="-0.34998626667073579"/>
      </bottom>
      <diagonal/>
    </border>
    <border>
      <left style="thin">
        <color theme="5" tint="0.79998168889431442"/>
      </left>
      <right style="thin">
        <color theme="5" tint="0.79998168889431442"/>
      </right>
      <top style="thin">
        <color auto="1"/>
      </top>
      <bottom style="thin">
        <color theme="0" tint="-0.34998626667073579"/>
      </bottom>
      <diagonal/>
    </border>
    <border>
      <left style="thin">
        <color theme="5" tint="0.79998168889431442"/>
      </left>
      <right style="thin">
        <color theme="5" tint="0.79998168889431442"/>
      </right>
      <top/>
      <bottom/>
      <diagonal/>
    </border>
    <border>
      <left style="thin">
        <color theme="5" tint="0.79998168889431442"/>
      </left>
      <right style="thin">
        <color theme="5" tint="0.79998168889431442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auto="1"/>
      </top>
      <bottom style="thin">
        <color theme="1" tint="4.9989318521683403E-2"/>
      </bottom>
      <diagonal/>
    </border>
    <border>
      <left style="thin">
        <color theme="0" tint="-0.34998626667073579"/>
      </left>
      <right/>
      <top style="thin">
        <color auto="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1" tint="4.9989318521683403E-2"/>
      </top>
      <bottom/>
      <diagonal/>
    </border>
    <border>
      <left/>
      <right style="thin">
        <color theme="0" tint="-0.34998626667073579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 style="thin">
        <color auto="1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</borders>
  <cellStyleXfs count="7536">
    <xf numFmtId="0" fontId="0" fillId="0" borderId="0"/>
    <xf numFmtId="179" fontId="30" fillId="0" borderId="0" applyFont="0" applyFill="0" applyBorder="0" applyAlignment="0" applyProtection="0"/>
    <xf numFmtId="174" fontId="14" fillId="0" borderId="0" applyFont="0" applyFill="0" applyBorder="0" applyAlignment="0" applyProtection="0"/>
    <xf numFmtId="0" fontId="34" fillId="3" borderId="3" applyNumberFormat="0" applyAlignment="0" applyProtection="0"/>
    <xf numFmtId="169" fontId="38" fillId="0" borderId="0" applyNumberFormat="0" applyFill="0" applyBorder="0" applyAlignment="0" applyProtection="0"/>
    <xf numFmtId="0" fontId="24" fillId="0" borderId="2" applyNumberFormat="0">
      <alignment horizontal="left" vertical="center"/>
    </xf>
    <xf numFmtId="0" fontId="35" fillId="0" borderId="0"/>
    <xf numFmtId="179" fontId="30" fillId="0" borderId="0" applyFont="0" applyFill="0" applyBorder="0" applyAlignment="0" applyProtection="0"/>
    <xf numFmtId="0" fontId="12" fillId="24" borderId="0" applyNumberFormat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3" fillId="0" borderId="0"/>
    <xf numFmtId="0" fontId="10" fillId="27" borderId="0" applyNumberFormat="0" applyBorder="0" applyAlignment="0" applyProtection="0"/>
    <xf numFmtId="0" fontId="104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" fillId="24" borderId="0" applyNumberFormat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" fillId="27" borderId="0" applyNumberFormat="0" applyBorder="0" applyAlignment="0" applyProtection="0"/>
    <xf numFmtId="0" fontId="100" fillId="0" borderId="0" applyNumberFormat="0" applyFill="0" applyBorder="0" applyAlignment="0" applyProtection="0"/>
    <xf numFmtId="0" fontId="9" fillId="0" borderId="0"/>
    <xf numFmtId="165" fontId="9" fillId="0" borderId="0" applyFont="0" applyFill="0" applyBorder="0" applyAlignment="0" applyProtection="0"/>
    <xf numFmtId="0" fontId="9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6" fillId="30" borderId="0" applyNumberFormat="0" applyBorder="0" applyAlignment="0" applyProtection="0"/>
    <xf numFmtId="0" fontId="8" fillId="24" borderId="0" applyNumberFormat="0" applyBorder="0" applyAlignment="0" applyProtection="0"/>
    <xf numFmtId="0" fontId="8" fillId="0" borderId="0"/>
    <xf numFmtId="0" fontId="8" fillId="0" borderId="0"/>
    <xf numFmtId="0" fontId="7" fillId="24" borderId="0" applyNumberFormat="0" applyBorder="0" applyAlignment="0" applyProtection="0"/>
    <xf numFmtId="0" fontId="113" fillId="31" borderId="0" applyNumberFormat="0" applyBorder="0" applyAlignment="0" applyProtection="0"/>
    <xf numFmtId="0" fontId="131" fillId="0" borderId="0" applyNumberFormat="0" applyFill="0" applyBorder="0" applyAlignment="0" applyProtection="0"/>
    <xf numFmtId="0" fontId="132" fillId="0" borderId="146" applyNumberFormat="0" applyFill="0" applyAlignment="0" applyProtection="0"/>
    <xf numFmtId="0" fontId="133" fillId="0" borderId="147" applyNumberFormat="0" applyFill="0" applyAlignment="0" applyProtection="0"/>
    <xf numFmtId="0" fontId="134" fillId="0" borderId="148" applyNumberFormat="0" applyFill="0" applyAlignment="0" applyProtection="0"/>
    <xf numFmtId="0" fontId="134" fillId="0" borderId="0" applyNumberFormat="0" applyFill="0" applyBorder="0" applyAlignment="0" applyProtection="0"/>
    <xf numFmtId="0" fontId="135" fillId="41" borderId="0" applyNumberFormat="0" applyBorder="0" applyAlignment="0" applyProtection="0"/>
    <xf numFmtId="0" fontId="136" fillId="42" borderId="0" applyNumberFormat="0" applyBorder="0" applyAlignment="0" applyProtection="0"/>
    <xf numFmtId="0" fontId="137" fillId="43" borderId="149" applyNumberFormat="0" applyAlignment="0" applyProtection="0"/>
    <xf numFmtId="0" fontId="138" fillId="43" borderId="3" applyNumberFormat="0" applyAlignment="0" applyProtection="0"/>
    <xf numFmtId="0" fontId="139" fillId="0" borderId="150" applyNumberFormat="0" applyFill="0" applyAlignment="0" applyProtection="0"/>
    <xf numFmtId="0" fontId="140" fillId="44" borderId="151" applyNumberFormat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89" fillId="0" borderId="153" applyNumberFormat="0" applyFill="0" applyAlignment="0" applyProtection="0"/>
    <xf numFmtId="0" fontId="113" fillId="46" borderId="0" applyNumberFormat="0" applyBorder="0" applyAlignment="0" applyProtection="0"/>
    <xf numFmtId="0" fontId="5" fillId="47" borderId="0" applyNumberFormat="0" applyBorder="0" applyAlignment="0" applyProtection="0"/>
    <xf numFmtId="0" fontId="113" fillId="48" borderId="0" applyNumberFormat="0" applyBorder="0" applyAlignment="0" applyProtection="0"/>
    <xf numFmtId="0" fontId="113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113" fillId="52" borderId="0" applyNumberFormat="0" applyBorder="0" applyAlignment="0" applyProtection="0"/>
    <xf numFmtId="0" fontId="113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113" fillId="56" borderId="0" applyNumberFormat="0" applyBorder="0" applyAlignment="0" applyProtection="0"/>
    <xf numFmtId="0" fontId="113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113" fillId="60" borderId="0" applyNumberFormat="0" applyBorder="0" applyAlignment="0" applyProtection="0"/>
    <xf numFmtId="0" fontId="113" fillId="61" borderId="0" applyNumberFormat="0" applyBorder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113" fillId="64" borderId="0" applyNumberFormat="0" applyBorder="0" applyAlignment="0" applyProtection="0"/>
    <xf numFmtId="0" fontId="5" fillId="65" borderId="0" applyNumberFormat="0" applyBorder="0" applyAlignment="0" applyProtection="0"/>
    <xf numFmtId="0" fontId="113" fillId="66" borderId="0" applyNumberFormat="0" applyBorder="0" applyAlignment="0" applyProtection="0"/>
    <xf numFmtId="0" fontId="5" fillId="0" borderId="0"/>
    <xf numFmtId="0" fontId="5" fillId="45" borderId="152" applyNumberFormat="0" applyFont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4" fillId="0" borderId="0"/>
    <xf numFmtId="0" fontId="4" fillId="45" borderId="152" applyNumberFormat="0" applyFont="0" applyAlignment="0" applyProtection="0"/>
    <xf numFmtId="0" fontId="4" fillId="27" borderId="0" applyNumberFormat="0" applyBorder="0" applyAlignment="0" applyProtection="0"/>
    <xf numFmtId="0" fontId="4" fillId="47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62" borderId="0" applyNumberFormat="0" applyBorder="0" applyAlignment="0" applyProtection="0"/>
    <xf numFmtId="0" fontId="4" fillId="63" borderId="0" applyNumberFormat="0" applyBorder="0" applyAlignment="0" applyProtection="0"/>
    <xf numFmtId="0" fontId="4" fillId="24" borderId="0" applyNumberFormat="0" applyBorder="0" applyAlignment="0" applyProtection="0"/>
    <xf numFmtId="0" fontId="4" fillId="65" borderId="0" applyNumberFormat="0" applyBorder="0" applyAlignment="0" applyProtection="0"/>
    <xf numFmtId="0" fontId="3" fillId="0" borderId="0"/>
    <xf numFmtId="0" fontId="3" fillId="45" borderId="152" applyNumberFormat="0" applyFont="0" applyAlignment="0" applyProtection="0"/>
    <xf numFmtId="0" fontId="3" fillId="27" borderId="0" applyNumberFormat="0" applyBorder="0" applyAlignment="0" applyProtection="0"/>
    <xf numFmtId="0" fontId="3" fillId="47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24" borderId="0" applyNumberFormat="0" applyBorder="0" applyAlignment="0" applyProtection="0"/>
    <xf numFmtId="0" fontId="3" fillId="65" borderId="0" applyNumberFormat="0" applyBorder="0" applyAlignment="0" applyProtection="0"/>
    <xf numFmtId="0" fontId="124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74" fontId="14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" fillId="2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" fillId="24" borderId="0" applyNumberFormat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" fillId="27" borderId="0" applyNumberFormat="0" applyBorder="0" applyAlignment="0" applyProtection="0"/>
    <xf numFmtId="0" fontId="100" fillId="0" borderId="0" applyNumberForma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0" borderId="0"/>
    <xf numFmtId="0" fontId="2" fillId="2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" fillId="47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101" fillId="0" borderId="0" applyNumberFormat="0" applyFill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101" fillId="0" borderId="0" applyNumberFormat="0" applyFill="0" applyBorder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101" fillId="0" borderId="0" applyNumberFormat="0" applyFill="0" applyBorder="0" applyAlignment="0" applyProtection="0"/>
    <xf numFmtId="0" fontId="2" fillId="65" borderId="0" applyNumberFormat="0" applyBorder="0" applyAlignment="0" applyProtection="0"/>
    <xf numFmtId="0" fontId="101" fillId="0" borderId="0" applyNumberFormat="0" applyFill="0" applyBorder="0" applyAlignment="0" applyProtection="0"/>
    <xf numFmtId="0" fontId="2" fillId="0" borderId="0"/>
    <xf numFmtId="0" fontId="2" fillId="45" borderId="152" applyNumberFormat="0" applyFont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0" borderId="0"/>
    <xf numFmtId="0" fontId="2" fillId="45" borderId="152" applyNumberFormat="0" applyFont="0" applyAlignment="0" applyProtection="0"/>
    <xf numFmtId="0" fontId="2" fillId="27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24" borderId="0" applyNumberFormat="0" applyBorder="0" applyAlignment="0" applyProtection="0"/>
    <xf numFmtId="0" fontId="2" fillId="65" borderId="0" applyNumberFormat="0" applyBorder="0" applyAlignment="0" applyProtection="0"/>
    <xf numFmtId="0" fontId="2" fillId="0" borderId="0"/>
    <xf numFmtId="0" fontId="2" fillId="45" borderId="152" applyNumberFormat="0" applyFont="0" applyAlignment="0" applyProtection="0"/>
    <xf numFmtId="0" fontId="2" fillId="27" borderId="0" applyNumberFormat="0" applyBorder="0" applyAlignment="0" applyProtection="0"/>
    <xf numFmtId="0" fontId="2" fillId="47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24" borderId="0" applyNumberFormat="0" applyBorder="0" applyAlignment="0" applyProtection="0"/>
    <xf numFmtId="0" fontId="2" fillId="65" borderId="0" applyNumberFormat="0" applyBorder="0" applyAlignment="0" applyProtection="0"/>
    <xf numFmtId="0" fontId="1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</cellStyleXfs>
  <cellXfs count="2754">
    <xf numFmtId="0" fontId="0" fillId="0" borderId="0" xfId="0"/>
    <xf numFmtId="0" fontId="0" fillId="0" borderId="0" xfId="0"/>
    <xf numFmtId="0" fontId="14" fillId="0" borderId="0" xfId="0" applyFont="1"/>
    <xf numFmtId="0" fontId="16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/>
    <xf numFmtId="0" fontId="20" fillId="0" borderId="0" xfId="0" applyFont="1"/>
    <xf numFmtId="0" fontId="20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4" fillId="0" borderId="0" xfId="0" applyFont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0" fillId="0" borderId="0" xfId="0" applyAlignment="1">
      <alignment vertical="center"/>
    </xf>
    <xf numFmtId="179" fontId="0" fillId="0" borderId="0" xfId="1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Font="1" applyAlignment="1">
      <alignment vertical="center"/>
    </xf>
    <xf numFmtId="0" fontId="0" fillId="0" borderId="0" xfId="0" applyFont="1" applyAlignment="1">
      <alignment horizontal="left" vertical="center" wrapText="1"/>
    </xf>
    <xf numFmtId="0" fontId="0" fillId="0" borderId="0" xfId="0" applyFont="1"/>
    <xf numFmtId="0" fontId="23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174" fontId="0" fillId="0" borderId="0" xfId="2" applyFont="1"/>
    <xf numFmtId="11" fontId="0" fillId="0" borderId="0" xfId="0" applyNumberFormat="1"/>
    <xf numFmtId="0" fontId="28" fillId="0" borderId="0" xfId="0" applyFont="1"/>
    <xf numFmtId="0" fontId="0" fillId="0" borderId="0" xfId="0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" xfId="0" applyBorder="1" applyAlignment="1">
      <alignment vertical="center"/>
    </xf>
    <xf numFmtId="166" fontId="0" fillId="0" borderId="1" xfId="0" applyNumberFormat="1" applyBorder="1" applyAlignment="1">
      <alignment vertical="center"/>
    </xf>
    <xf numFmtId="0" fontId="24" fillId="0" borderId="2" xfId="0" applyFont="1" applyBorder="1" applyAlignment="1">
      <alignment horizontal="left" vertical="center"/>
    </xf>
    <xf numFmtId="0" fontId="24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left" vertical="center"/>
    </xf>
    <xf numFmtId="0" fontId="31" fillId="0" borderId="1" xfId="0" applyFont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34" fillId="3" borderId="3" xfId="3" applyAlignment="1">
      <alignment horizontal="center" vertical="center"/>
    </xf>
    <xf numFmtId="0" fontId="0" fillId="0" borderId="0" xfId="0" applyBorder="1"/>
    <xf numFmtId="0" fontId="0" fillId="0" borderId="0" xfId="0" applyFill="1" applyBorder="1"/>
    <xf numFmtId="0" fontId="0" fillId="0" borderId="0" xfId="0"/>
    <xf numFmtId="0" fontId="29" fillId="0" borderId="0" xfId="0" applyFont="1"/>
    <xf numFmtId="11" fontId="0" fillId="0" borderId="0" xfId="0" applyNumberFormat="1" applyBorder="1" applyAlignment="1">
      <alignment vertical="center"/>
    </xf>
    <xf numFmtId="11" fontId="0" fillId="0" borderId="1" xfId="0" applyNumberFormat="1" applyBorder="1" applyAlignment="1">
      <alignment vertical="center"/>
    </xf>
    <xf numFmtId="166" fontId="0" fillId="0" borderId="0" xfId="2" applyNumberFormat="1" applyFont="1" applyAlignment="1">
      <alignment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74" fontId="26" fillId="0" borderId="0" xfId="2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174" fontId="40" fillId="0" borderId="0" xfId="2" applyFont="1" applyFill="1" applyBorder="1" applyAlignment="1">
      <alignment vertical="center"/>
    </xf>
    <xf numFmtId="174" fontId="32" fillId="0" borderId="0" xfId="2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174" fontId="39" fillId="0" borderId="0" xfId="2" applyFont="1" applyFill="1" applyBorder="1" applyAlignment="1">
      <alignment vertical="center"/>
    </xf>
    <xf numFmtId="174" fontId="32" fillId="0" borderId="0" xfId="2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38" fillId="0" borderId="0" xfId="4" applyNumberFormat="1" applyFill="1" applyBorder="1" applyAlignment="1">
      <alignment vertical="center"/>
    </xf>
    <xf numFmtId="0" fontId="38" fillId="0" borderId="0" xfId="4" applyNumberFormat="1" applyFill="1" applyBorder="1" applyAlignment="1">
      <alignment horizontal="center" vertical="center"/>
    </xf>
    <xf numFmtId="0" fontId="38" fillId="0" borderId="0" xfId="4" applyNumberFormat="1" applyFill="1" applyBorder="1" applyAlignment="1">
      <alignment horizontal="left" vertical="center"/>
    </xf>
    <xf numFmtId="169" fontId="38" fillId="0" borderId="0" xfId="4" applyFill="1" applyBorder="1" applyAlignment="1">
      <alignment vertical="center"/>
    </xf>
    <xf numFmtId="0" fontId="14" fillId="0" borderId="0" xfId="0" applyFont="1" applyFill="1" applyBorder="1" applyAlignment="1">
      <alignment horizontal="center" vertical="center" wrapText="1"/>
    </xf>
    <xf numFmtId="174" fontId="32" fillId="5" borderId="0" xfId="2" applyFont="1" applyFill="1" applyBorder="1" applyAlignment="1">
      <alignment vertical="center"/>
    </xf>
    <xf numFmtId="0" fontId="18" fillId="0" borderId="6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24" fillId="0" borderId="8" xfId="0" applyFont="1" applyFill="1" applyBorder="1" applyAlignment="1">
      <alignment vertical="center"/>
    </xf>
    <xf numFmtId="0" fontId="14" fillId="0" borderId="8" xfId="0" applyFont="1" applyFill="1" applyBorder="1" applyAlignment="1">
      <alignment vertical="center"/>
    </xf>
    <xf numFmtId="0" fontId="0" fillId="0" borderId="9" xfId="0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right" vertical="center"/>
    </xf>
    <xf numFmtId="3" fontId="0" fillId="0" borderId="1" xfId="0" applyNumberFormat="1" applyBorder="1" applyAlignment="1">
      <alignment vertical="center"/>
    </xf>
    <xf numFmtId="0" fontId="24" fillId="0" borderId="10" xfId="0" applyFont="1" applyBorder="1" applyAlignment="1">
      <alignment horizontal="left" vertical="center"/>
    </xf>
    <xf numFmtId="174" fontId="24" fillId="0" borderId="0" xfId="2" applyFont="1" applyBorder="1" applyAlignment="1">
      <alignment vertical="center"/>
    </xf>
    <xf numFmtId="171" fontId="0" fillId="0" borderId="0" xfId="2" applyNumberFormat="1" applyFont="1"/>
    <xf numFmtId="172" fontId="0" fillId="0" borderId="0" xfId="2" applyNumberFormat="1" applyFont="1"/>
    <xf numFmtId="0" fontId="24" fillId="0" borderId="2" xfId="0" applyFont="1" applyBorder="1" applyAlignment="1">
      <alignment horizontal="center" vertical="center"/>
    </xf>
    <xf numFmtId="0" fontId="0" fillId="14" borderId="0" xfId="0" applyFill="1"/>
    <xf numFmtId="0" fontId="38" fillId="0" borderId="0" xfId="4" applyNumberFormat="1"/>
    <xf numFmtId="0" fontId="24" fillId="0" borderId="0" xfId="0" applyFont="1"/>
    <xf numFmtId="0" fontId="38" fillId="0" borderId="0" xfId="4" applyNumberFormat="1" applyFont="1"/>
    <xf numFmtId="0" fontId="0" fillId="0" borderId="0" xfId="0" applyAlignment="1">
      <alignment vertical="center"/>
    </xf>
    <xf numFmtId="0" fontId="24" fillId="0" borderId="0" xfId="0" applyFont="1" applyFill="1" applyBorder="1" applyAlignment="1">
      <alignment horizontal="right" vertical="center"/>
    </xf>
    <xf numFmtId="0" fontId="38" fillId="0" borderId="0" xfId="4" applyNumberFormat="1" applyFill="1" applyBorder="1" applyAlignment="1">
      <alignment horizontal="right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0" fontId="16" fillId="0" borderId="0" xfId="0" applyFont="1" applyAlignment="1">
      <alignment vertical="center"/>
    </xf>
    <xf numFmtId="0" fontId="0" fillId="0" borderId="0" xfId="0" applyAlignment="1">
      <alignment wrapText="1"/>
    </xf>
    <xf numFmtId="0" fontId="43" fillId="0" borderId="0" xfId="0" applyFont="1"/>
    <xf numFmtId="0" fontId="43" fillId="0" borderId="0" xfId="0" applyFont="1" applyAlignment="1">
      <alignment vertical="center"/>
    </xf>
    <xf numFmtId="0" fontId="44" fillId="3" borderId="3" xfId="3" applyFont="1" applyAlignment="1">
      <alignment horizontal="left" vertical="center" indent="1"/>
    </xf>
    <xf numFmtId="0" fontId="0" fillId="0" borderId="7" xfId="0" applyBorder="1"/>
    <xf numFmtId="0" fontId="31" fillId="0" borderId="7" xfId="0" applyFont="1" applyFill="1" applyBorder="1" applyAlignment="1">
      <alignment horizontal="left" vertical="center"/>
    </xf>
    <xf numFmtId="166" fontId="0" fillId="0" borderId="7" xfId="0" applyNumberFormat="1" applyBorder="1"/>
    <xf numFmtId="0" fontId="0" fillId="7" borderId="0" xfId="0" applyFill="1" applyBorder="1" applyAlignment="1">
      <alignment vertical="center"/>
    </xf>
    <xf numFmtId="0" fontId="21" fillId="5" borderId="11" xfId="0" applyFont="1" applyFill="1" applyBorder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0" fillId="5" borderId="12" xfId="0" applyNumberFormat="1" applyFill="1" applyBorder="1" applyAlignment="1">
      <alignment vertical="center"/>
    </xf>
    <xf numFmtId="0" fontId="0" fillId="5" borderId="12" xfId="0" applyFill="1" applyBorder="1" applyAlignment="1">
      <alignment vertical="center"/>
    </xf>
    <xf numFmtId="0" fontId="21" fillId="5" borderId="11" xfId="0" applyFont="1" applyFill="1" applyBorder="1" applyAlignment="1">
      <alignment horizontal="right" vertical="center"/>
    </xf>
    <xf numFmtId="0" fontId="21" fillId="5" borderId="13" xfId="0" applyFont="1" applyFill="1" applyBorder="1" applyAlignment="1">
      <alignment horizontal="right" vertical="center"/>
    </xf>
    <xf numFmtId="166" fontId="0" fillId="0" borderId="0" xfId="0" applyNumberFormat="1" applyAlignment="1">
      <alignment vertical="center"/>
    </xf>
    <xf numFmtId="0" fontId="21" fillId="5" borderId="0" xfId="0" applyFont="1" applyFill="1" applyBorder="1" applyAlignment="1">
      <alignment vertical="center"/>
    </xf>
    <xf numFmtId="0" fontId="13" fillId="5" borderId="0" xfId="0" applyFont="1" applyFill="1" applyBorder="1" applyAlignment="1">
      <alignment vertical="center"/>
    </xf>
    <xf numFmtId="173" fontId="13" fillId="5" borderId="0" xfId="1" applyNumberFormat="1" applyFont="1" applyFill="1" applyBorder="1" applyAlignment="1">
      <alignment horizontal="right" vertical="center"/>
    </xf>
    <xf numFmtId="179" fontId="0" fillId="5" borderId="12" xfId="1" applyFont="1" applyFill="1" applyBorder="1" applyAlignment="1">
      <alignment vertical="center"/>
    </xf>
    <xf numFmtId="173" fontId="0" fillId="5" borderId="12" xfId="1" applyNumberFormat="1" applyFont="1" applyFill="1" applyBorder="1" applyAlignment="1">
      <alignment vertical="center"/>
    </xf>
    <xf numFmtId="179" fontId="0" fillId="5" borderId="15" xfId="1" applyFont="1" applyFill="1" applyBorder="1" applyAlignment="1">
      <alignment vertical="center"/>
    </xf>
    <xf numFmtId="179" fontId="0" fillId="5" borderId="14" xfId="1" applyFont="1" applyFill="1" applyBorder="1" applyAlignment="1">
      <alignment vertical="center"/>
    </xf>
    <xf numFmtId="174" fontId="0" fillId="5" borderId="12" xfId="2" applyFont="1" applyFill="1" applyBorder="1" applyAlignment="1">
      <alignment vertical="center"/>
    </xf>
    <xf numFmtId="174" fontId="24" fillId="0" borderId="0" xfId="2" applyFont="1"/>
    <xf numFmtId="0" fontId="0" fillId="0" borderId="0" xfId="0" applyNumberFormat="1" applyAlignment="1">
      <alignment vertical="center"/>
    </xf>
    <xf numFmtId="173" fontId="13" fillId="5" borderId="14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horizontal="left" vertical="center"/>
    </xf>
    <xf numFmtId="0" fontId="0" fillId="0" borderId="0" xfId="0" applyNumberFormat="1" applyBorder="1" applyAlignment="1">
      <alignment vertical="center"/>
    </xf>
    <xf numFmtId="0" fontId="47" fillId="0" borderId="0" xfId="0" applyFont="1"/>
    <xf numFmtId="0" fontId="48" fillId="0" borderId="0" xfId="0" applyFont="1"/>
    <xf numFmtId="0" fontId="0" fillId="5" borderId="16" xfId="0" applyNumberFormat="1" applyFill="1" applyBorder="1" applyAlignment="1">
      <alignment vertical="center"/>
    </xf>
    <xf numFmtId="0" fontId="0" fillId="5" borderId="16" xfId="0" applyFill="1" applyBorder="1" applyAlignment="1">
      <alignment vertical="center"/>
    </xf>
    <xf numFmtId="174" fontId="0" fillId="5" borderId="16" xfId="2" applyFont="1" applyFill="1" applyBorder="1" applyAlignment="1">
      <alignment vertical="center"/>
    </xf>
    <xf numFmtId="0" fontId="13" fillId="5" borderId="16" xfId="0" applyFont="1" applyFill="1" applyBorder="1" applyAlignment="1">
      <alignment vertical="center"/>
    </xf>
    <xf numFmtId="0" fontId="21" fillId="5" borderId="16" xfId="0" applyFont="1" applyFill="1" applyBorder="1" applyAlignment="1">
      <alignment vertical="center"/>
    </xf>
    <xf numFmtId="173" fontId="13" fillId="5" borderId="16" xfId="1" applyNumberFormat="1" applyFont="1" applyFill="1" applyBorder="1" applyAlignment="1">
      <alignment horizontal="right" vertical="center"/>
    </xf>
    <xf numFmtId="173" fontId="13" fillId="5" borderId="17" xfId="0" applyNumberFormat="1" applyFont="1" applyFill="1" applyBorder="1" applyAlignment="1">
      <alignment horizontal="right" vertical="center"/>
    </xf>
    <xf numFmtId="179" fontId="0" fillId="5" borderId="16" xfId="1" applyFont="1" applyFill="1" applyBorder="1" applyAlignment="1">
      <alignment vertical="center"/>
    </xf>
    <xf numFmtId="179" fontId="0" fillId="5" borderId="17" xfId="1" applyFont="1" applyFill="1" applyBorder="1" applyAlignment="1">
      <alignment vertical="center"/>
    </xf>
    <xf numFmtId="9" fontId="0" fillId="5" borderId="12" xfId="0" applyNumberFormat="1" applyFill="1" applyBorder="1" applyAlignment="1">
      <alignment vertical="center"/>
    </xf>
    <xf numFmtId="0" fontId="0" fillId="0" borderId="0" xfId="0" quotePrefix="1"/>
    <xf numFmtId="0" fontId="24" fillId="0" borderId="0" xfId="0" quotePrefix="1" applyFont="1"/>
    <xf numFmtId="0" fontId="18" fillId="0" borderId="0" xfId="0" applyFont="1" applyFill="1" applyBorder="1" applyAlignment="1">
      <alignment horizontal="left" vertical="center"/>
    </xf>
    <xf numFmtId="0" fontId="17" fillId="0" borderId="0" xfId="0" applyFont="1"/>
    <xf numFmtId="174" fontId="38" fillId="0" borderId="0" xfId="4" applyNumberFormat="1" applyFill="1" applyBorder="1" applyAlignment="1">
      <alignment vertical="center"/>
    </xf>
    <xf numFmtId="174" fontId="14" fillId="0" borderId="0" xfId="2" applyFont="1"/>
    <xf numFmtId="173" fontId="0" fillId="5" borderId="16" xfId="1" applyNumberFormat="1" applyFont="1" applyFill="1" applyBorder="1" applyAlignment="1">
      <alignment vertical="center"/>
    </xf>
    <xf numFmtId="0" fontId="50" fillId="0" borderId="0" xfId="0" applyFont="1"/>
    <xf numFmtId="173" fontId="14" fillId="0" borderId="0" xfId="1" applyNumberFormat="1" applyFont="1"/>
    <xf numFmtId="173" fontId="0" fillId="0" borderId="0" xfId="1" applyNumberFormat="1" applyFont="1"/>
    <xf numFmtId="173" fontId="0" fillId="5" borderId="17" xfId="0" applyNumberFormat="1" applyFill="1" applyBorder="1" applyAlignment="1">
      <alignment vertical="center"/>
    </xf>
    <xf numFmtId="0" fontId="0" fillId="0" borderId="0" xfId="0" applyBorder="1" applyAlignment="1">
      <alignment horizontal="right"/>
    </xf>
    <xf numFmtId="0" fontId="29" fillId="0" borderId="0" xfId="0" applyFont="1" applyFill="1" applyBorder="1" applyAlignment="1">
      <alignment vertical="center"/>
    </xf>
    <xf numFmtId="0" fontId="0" fillId="5" borderId="0" xfId="0" applyNumberFormat="1" applyFill="1" applyBorder="1" applyAlignment="1">
      <alignment vertical="center"/>
    </xf>
    <xf numFmtId="0" fontId="0" fillId="5" borderId="0" xfId="0" applyFill="1" applyBorder="1" applyAlignment="1">
      <alignment vertical="center"/>
    </xf>
    <xf numFmtId="0" fontId="0" fillId="5" borderId="9" xfId="0" applyFill="1" applyBorder="1" applyAlignment="1">
      <alignment vertical="center"/>
    </xf>
    <xf numFmtId="0" fontId="24" fillId="0" borderId="0" xfId="0" applyFont="1" applyAlignment="1">
      <alignment vertical="center"/>
    </xf>
    <xf numFmtId="174" fontId="24" fillId="0" borderId="0" xfId="0" applyNumberFormat="1" applyFont="1" applyAlignment="1">
      <alignment vertical="center"/>
    </xf>
    <xf numFmtId="179" fontId="0" fillId="0" borderId="0" xfId="1" applyFont="1" applyAlignment="1">
      <alignment vertical="center"/>
    </xf>
    <xf numFmtId="0" fontId="0" fillId="0" borderId="0" xfId="0" quotePrefix="1" applyAlignment="1">
      <alignment vertical="center"/>
    </xf>
    <xf numFmtId="174" fontId="0" fillId="0" borderId="0" xfId="0" applyNumberFormat="1" applyAlignment="1">
      <alignment vertical="center"/>
    </xf>
    <xf numFmtId="174" fontId="24" fillId="0" borderId="0" xfId="2" applyFont="1" applyAlignment="1">
      <alignment vertical="center"/>
    </xf>
    <xf numFmtId="174" fontId="0" fillId="0" borderId="0" xfId="2" applyFont="1" applyAlignment="1">
      <alignment vertical="center"/>
    </xf>
    <xf numFmtId="0" fontId="24" fillId="0" borderId="0" xfId="0" quotePrefix="1" applyFont="1" applyAlignment="1">
      <alignment vertical="center"/>
    </xf>
    <xf numFmtId="179" fontId="14" fillId="0" borderId="0" xfId="1" applyFont="1" applyAlignment="1">
      <alignment vertical="center"/>
    </xf>
    <xf numFmtId="174" fontId="24" fillId="0" borderId="5" xfId="2" applyFont="1" applyBorder="1" applyAlignment="1">
      <alignment vertical="center"/>
    </xf>
    <xf numFmtId="169" fontId="0" fillId="0" borderId="0" xfId="0" applyNumberFormat="1" applyAlignment="1">
      <alignment vertical="center"/>
    </xf>
    <xf numFmtId="169" fontId="24" fillId="0" borderId="0" xfId="0" applyNumberFormat="1" applyFont="1" applyAlignment="1">
      <alignment vertical="center"/>
    </xf>
    <xf numFmtId="9" fontId="0" fillId="5" borderId="12" xfId="1" applyNumberFormat="1" applyFont="1" applyFill="1" applyBorder="1" applyAlignment="1">
      <alignment vertical="center"/>
    </xf>
    <xf numFmtId="174" fontId="0" fillId="5" borderId="0" xfId="2" applyFont="1" applyFill="1" applyBorder="1" applyAlignment="1">
      <alignment vertical="center"/>
    </xf>
    <xf numFmtId="0" fontId="0" fillId="5" borderId="0" xfId="0" applyFill="1" applyBorder="1" applyAlignment="1">
      <alignment horizontal="right" vertical="center"/>
    </xf>
    <xf numFmtId="0" fontId="49" fillId="0" borderId="0" xfId="4" applyNumberFormat="1" applyFont="1" applyFill="1" applyBorder="1" applyAlignment="1">
      <alignment horizontal="center" vertical="center"/>
    </xf>
    <xf numFmtId="0" fontId="49" fillId="0" borderId="0" xfId="4" applyNumberFormat="1" applyFont="1" applyFill="1" applyBorder="1" applyAlignment="1">
      <alignment vertical="center"/>
    </xf>
    <xf numFmtId="174" fontId="49" fillId="0" borderId="0" xfId="4" applyNumberFormat="1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175" fontId="0" fillId="0" borderId="0" xfId="2" applyNumberFormat="1" applyFont="1" applyAlignment="1">
      <alignment vertical="center"/>
    </xf>
    <xf numFmtId="174" fontId="0" fillId="5" borderId="14" xfId="2" applyFont="1" applyFill="1" applyBorder="1" applyAlignment="1">
      <alignment vertical="center"/>
    </xf>
    <xf numFmtId="174" fontId="0" fillId="5" borderId="14" xfId="2" applyFont="1" applyFill="1" applyBorder="1" applyAlignment="1">
      <alignment horizontal="right" vertical="center"/>
    </xf>
    <xf numFmtId="174" fontId="0" fillId="5" borderId="15" xfId="2" applyFont="1" applyFill="1" applyBorder="1" applyAlignment="1">
      <alignment horizontal="right" vertical="center"/>
    </xf>
    <xf numFmtId="174" fontId="0" fillId="5" borderId="12" xfId="2" applyFont="1" applyFill="1" applyBorder="1" applyAlignment="1">
      <alignment horizontal="right" vertical="center"/>
    </xf>
    <xf numFmtId="0" fontId="21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0" fontId="0" fillId="5" borderId="0" xfId="0" applyFill="1" applyBorder="1"/>
    <xf numFmtId="179" fontId="0" fillId="5" borderId="0" xfId="1" applyFont="1" applyFill="1" applyBorder="1" applyAlignment="1">
      <alignment vertical="center"/>
    </xf>
    <xf numFmtId="0" fontId="24" fillId="5" borderId="0" xfId="0" applyFont="1" applyFill="1" applyBorder="1"/>
    <xf numFmtId="0" fontId="0" fillId="5" borderId="0" xfId="0" applyFill="1" applyBorder="1" applyAlignment="1">
      <alignment horizontal="right"/>
    </xf>
    <xf numFmtId="0" fontId="0" fillId="5" borderId="0" xfId="0" applyNumberFormat="1" applyFill="1" applyBorder="1"/>
    <xf numFmtId="0" fontId="24" fillId="5" borderId="0" xfId="0" applyNumberFormat="1" applyFont="1" applyFill="1" applyBorder="1" applyAlignment="1">
      <alignment vertical="center"/>
    </xf>
    <xf numFmtId="0" fontId="0" fillId="5" borderId="0" xfId="0" quotePrefix="1" applyFill="1" applyBorder="1" applyAlignment="1">
      <alignment horizontal="right" vertical="center"/>
    </xf>
    <xf numFmtId="0" fontId="21" fillId="5" borderId="18" xfId="0" applyFont="1" applyFill="1" applyBorder="1" applyAlignment="1">
      <alignment vertical="center"/>
    </xf>
    <xf numFmtId="0" fontId="21" fillId="5" borderId="10" xfId="0" applyFont="1" applyFill="1" applyBorder="1" applyAlignment="1">
      <alignment vertical="center"/>
    </xf>
    <xf numFmtId="0" fontId="22" fillId="5" borderId="18" xfId="0" applyFont="1" applyFill="1" applyBorder="1" applyAlignment="1">
      <alignment horizontal="center" vertical="center" wrapText="1"/>
    </xf>
    <xf numFmtId="179" fontId="0" fillId="5" borderId="0" xfId="1" applyFont="1" applyFill="1" applyBorder="1" applyAlignment="1">
      <alignment horizontal="right" vertical="center"/>
    </xf>
    <xf numFmtId="179" fontId="0" fillId="5" borderId="12" xfId="1" applyFont="1" applyFill="1" applyBorder="1" applyAlignment="1">
      <alignment horizontal="right" vertical="center"/>
    </xf>
    <xf numFmtId="179" fontId="0" fillId="5" borderId="14" xfId="1" applyFont="1" applyFill="1" applyBorder="1" applyAlignment="1">
      <alignment horizontal="right" vertical="center"/>
    </xf>
    <xf numFmtId="179" fontId="0" fillId="5" borderId="15" xfId="1" applyFont="1" applyFill="1" applyBorder="1" applyAlignment="1">
      <alignment horizontal="right" vertical="center"/>
    </xf>
    <xf numFmtId="9" fontId="0" fillId="5" borderId="12" xfId="1" applyNumberFormat="1" applyFont="1" applyFill="1" applyBorder="1" applyAlignment="1">
      <alignment horizontal="right" vertical="center"/>
    </xf>
    <xf numFmtId="174" fontId="13" fillId="5" borderId="0" xfId="2" applyFont="1" applyFill="1" applyBorder="1" applyAlignment="1">
      <alignment horizontal="right" vertical="center"/>
    </xf>
    <xf numFmtId="0" fontId="13" fillId="5" borderId="1" xfId="0" applyFont="1" applyFill="1" applyBorder="1" applyAlignment="1">
      <alignment vertical="center"/>
    </xf>
    <xf numFmtId="0" fontId="21" fillId="5" borderId="1" xfId="0" applyFont="1" applyFill="1" applyBorder="1" applyAlignment="1">
      <alignment vertical="center"/>
    </xf>
    <xf numFmtId="174" fontId="13" fillId="5" borderId="1" xfId="2" applyFont="1" applyFill="1" applyBorder="1" applyAlignment="1">
      <alignment horizontal="right" vertical="center"/>
    </xf>
    <xf numFmtId="0" fontId="13" fillId="5" borderId="9" xfId="0" applyFont="1" applyFill="1" applyBorder="1" applyAlignment="1">
      <alignment vertical="center"/>
    </xf>
    <xf numFmtId="174" fontId="13" fillId="5" borderId="9" xfId="2" applyFont="1" applyFill="1" applyBorder="1" applyAlignment="1">
      <alignment horizontal="right" vertical="center"/>
    </xf>
    <xf numFmtId="174" fontId="13" fillId="5" borderId="22" xfId="2" applyFont="1" applyFill="1" applyBorder="1" applyAlignment="1">
      <alignment horizontal="right" vertical="center"/>
    </xf>
    <xf numFmtId="174" fontId="13" fillId="5" borderId="23" xfId="2" applyFont="1" applyFill="1" applyBorder="1" applyAlignment="1">
      <alignment horizontal="right" vertical="center"/>
    </xf>
    <xf numFmtId="0" fontId="0" fillId="0" borderId="0" xfId="0" quotePrefix="1" applyFont="1"/>
    <xf numFmtId="175" fontId="0" fillId="5" borderId="14" xfId="2" applyNumberFormat="1" applyFont="1" applyFill="1" applyBorder="1" applyAlignment="1">
      <alignment vertical="center"/>
    </xf>
    <xf numFmtId="175" fontId="0" fillId="5" borderId="12" xfId="2" applyNumberFormat="1" applyFont="1" applyFill="1" applyBorder="1" applyAlignment="1">
      <alignment horizontal="right" vertical="center"/>
    </xf>
    <xf numFmtId="0" fontId="0" fillId="5" borderId="1" xfId="0" applyNumberFormat="1" applyFill="1" applyBorder="1" applyAlignment="1">
      <alignment vertical="center"/>
    </xf>
    <xf numFmtId="0" fontId="0" fillId="5" borderId="1" xfId="0" applyFill="1" applyBorder="1" applyAlignment="1">
      <alignment vertical="center"/>
    </xf>
    <xf numFmtId="174" fontId="0" fillId="5" borderId="1" xfId="2" applyFont="1" applyFill="1" applyBorder="1" applyAlignment="1">
      <alignment vertical="center"/>
    </xf>
    <xf numFmtId="0" fontId="29" fillId="0" borderId="0" xfId="0" applyFont="1" applyAlignment="1">
      <alignment vertical="center"/>
    </xf>
    <xf numFmtId="174" fontId="0" fillId="0" borderId="5" xfId="0" applyNumberFormat="1" applyBorder="1" applyAlignment="1">
      <alignment vertical="center"/>
    </xf>
    <xf numFmtId="177" fontId="0" fillId="5" borderId="14" xfId="2" applyNumberFormat="1" applyFont="1" applyFill="1" applyBorder="1" applyAlignment="1">
      <alignment vertical="center"/>
    </xf>
    <xf numFmtId="174" fontId="0" fillId="5" borderId="17" xfId="2" applyFont="1" applyFill="1" applyBorder="1" applyAlignment="1">
      <alignment vertical="center"/>
    </xf>
    <xf numFmtId="175" fontId="0" fillId="5" borderId="0" xfId="2" applyNumberFormat="1" applyFont="1" applyFill="1" applyBorder="1" applyAlignment="1">
      <alignment vertical="center"/>
    </xf>
    <xf numFmtId="175" fontId="0" fillId="5" borderId="0" xfId="2" applyNumberFormat="1" applyFont="1" applyFill="1" applyBorder="1" applyAlignment="1">
      <alignment horizontal="right" vertical="center"/>
    </xf>
    <xf numFmtId="174" fontId="0" fillId="5" borderId="0" xfId="2" applyNumberFormat="1" applyFont="1" applyFill="1" applyBorder="1" applyAlignment="1">
      <alignment vertical="center"/>
    </xf>
    <xf numFmtId="174" fontId="0" fillId="5" borderId="26" xfId="2" applyNumberFormat="1" applyFont="1" applyFill="1" applyBorder="1" applyAlignment="1">
      <alignment vertical="center"/>
    </xf>
    <xf numFmtId="179" fontId="0" fillId="5" borderId="1" xfId="1" applyFont="1" applyFill="1" applyBorder="1" applyAlignment="1">
      <alignment vertical="center"/>
    </xf>
    <xf numFmtId="179" fontId="0" fillId="5" borderId="25" xfId="1" applyFont="1" applyFill="1" applyBorder="1" applyAlignment="1">
      <alignment vertical="center"/>
    </xf>
    <xf numFmtId="174" fontId="0" fillId="5" borderId="25" xfId="2" applyFont="1" applyFill="1" applyBorder="1" applyAlignment="1">
      <alignment vertical="center"/>
    </xf>
    <xf numFmtId="173" fontId="0" fillId="5" borderId="0" xfId="1" applyNumberFormat="1" applyFont="1" applyFill="1" applyBorder="1" applyAlignment="1">
      <alignment vertical="center"/>
    </xf>
    <xf numFmtId="173" fontId="0" fillId="5" borderId="1" xfId="1" applyNumberFormat="1" applyFont="1" applyFill="1" applyBorder="1" applyAlignment="1">
      <alignment vertical="center"/>
    </xf>
    <xf numFmtId="0" fontId="0" fillId="0" borderId="0" xfId="0" applyAlignment="1">
      <alignment horizontal="center" vertical="center" wrapText="1"/>
    </xf>
    <xf numFmtId="0" fontId="24" fillId="7" borderId="11" xfId="0" applyFont="1" applyFill="1" applyBorder="1" applyAlignment="1">
      <alignment vertical="center"/>
    </xf>
    <xf numFmtId="0" fontId="21" fillId="5" borderId="11" xfId="0" applyNumberFormat="1" applyFont="1" applyFill="1" applyBorder="1" applyAlignment="1">
      <alignment horizontal="right" vertical="center"/>
    </xf>
    <xf numFmtId="0" fontId="21" fillId="5" borderId="13" xfId="0" applyNumberFormat="1" applyFont="1" applyFill="1" applyBorder="1" applyAlignment="1">
      <alignment horizontal="right" vertical="center"/>
    </xf>
    <xf numFmtId="174" fontId="13" fillId="0" borderId="0" xfId="2" applyFont="1" applyAlignment="1">
      <alignment horizontal="right"/>
    </xf>
    <xf numFmtId="176" fontId="0" fillId="5" borderId="14" xfId="2" applyNumberFormat="1" applyFont="1" applyFill="1" applyBorder="1" applyAlignment="1">
      <alignment vertical="center"/>
    </xf>
    <xf numFmtId="176" fontId="0" fillId="5" borderId="14" xfId="2" applyNumberFormat="1" applyFont="1" applyFill="1" applyBorder="1" applyAlignment="1">
      <alignment horizontal="right" vertical="center"/>
    </xf>
    <xf numFmtId="176" fontId="0" fillId="5" borderId="15" xfId="2" applyNumberFormat="1" applyFont="1" applyFill="1" applyBorder="1" applyAlignment="1">
      <alignment horizontal="right" vertical="center"/>
    </xf>
    <xf numFmtId="176" fontId="0" fillId="5" borderId="12" xfId="2" applyNumberFormat="1" applyFont="1" applyFill="1" applyBorder="1" applyAlignment="1">
      <alignment horizontal="right" vertical="center"/>
    </xf>
    <xf numFmtId="0" fontId="21" fillId="5" borderId="18" xfId="0" applyNumberFormat="1" applyFont="1" applyFill="1" applyBorder="1" applyAlignment="1">
      <alignment horizontal="right" vertical="center"/>
    </xf>
    <xf numFmtId="0" fontId="21" fillId="5" borderId="19" xfId="0" applyNumberFormat="1" applyFont="1" applyFill="1" applyBorder="1" applyAlignment="1">
      <alignment horizontal="right" vertical="center"/>
    </xf>
    <xf numFmtId="176" fontId="0" fillId="5" borderId="0" xfId="2" applyNumberFormat="1" applyFont="1" applyFill="1" applyBorder="1" applyAlignment="1">
      <alignment vertical="center"/>
    </xf>
    <xf numFmtId="176" fontId="0" fillId="5" borderId="0" xfId="2" applyNumberFormat="1" applyFont="1" applyFill="1" applyBorder="1" applyAlignment="1">
      <alignment horizontal="right" vertical="center"/>
    </xf>
    <xf numFmtId="0" fontId="24" fillId="0" borderId="2" xfId="0" applyFont="1" applyBorder="1" applyAlignment="1">
      <alignment horizontal="right" vertical="center"/>
    </xf>
    <xf numFmtId="0" fontId="24" fillId="0" borderId="10" xfId="0" applyFont="1" applyBorder="1" applyAlignment="1">
      <alignment horizontal="right" vertical="center"/>
    </xf>
    <xf numFmtId="9" fontId="0" fillId="5" borderId="16" xfId="0" applyNumberFormat="1" applyFill="1" applyBorder="1" applyAlignment="1">
      <alignment vertical="center"/>
    </xf>
    <xf numFmtId="175" fontId="13" fillId="0" borderId="0" xfId="2" applyNumberFormat="1" applyFont="1" applyAlignment="1">
      <alignment horizontal="right"/>
    </xf>
    <xf numFmtId="176" fontId="13" fillId="0" borderId="0" xfId="2" applyNumberFormat="1" applyFont="1" applyAlignment="1">
      <alignment horizontal="right"/>
    </xf>
    <xf numFmtId="11" fontId="13" fillId="0" borderId="0" xfId="2" applyNumberFormat="1" applyFont="1" applyAlignment="1">
      <alignment horizontal="right"/>
    </xf>
    <xf numFmtId="174" fontId="21" fillId="0" borderId="0" xfId="2" applyFont="1" applyAlignment="1">
      <alignment horizontal="right"/>
    </xf>
    <xf numFmtId="177" fontId="21" fillId="0" borderId="0" xfId="2" applyNumberFormat="1" applyFont="1" applyAlignment="1">
      <alignment horizontal="right"/>
    </xf>
    <xf numFmtId="177" fontId="13" fillId="0" borderId="0" xfId="2" applyNumberFormat="1" applyFont="1" applyAlignment="1">
      <alignment horizontal="right"/>
    </xf>
    <xf numFmtId="0" fontId="0" fillId="5" borderId="0" xfId="0" applyNumberFormat="1" applyFill="1" applyBorder="1" applyAlignment="1">
      <alignment horizontal="right" vertical="center"/>
    </xf>
    <xf numFmtId="0" fontId="0" fillId="7" borderId="16" xfId="0" applyFill="1" applyBorder="1" applyAlignment="1">
      <alignment vertical="center"/>
    </xf>
    <xf numFmtId="0" fontId="13" fillId="0" borderId="0" xfId="0" applyFont="1" applyFill="1" applyBorder="1" applyAlignment="1">
      <alignment horizontal="left" vertical="center"/>
    </xf>
    <xf numFmtId="0" fontId="0" fillId="7" borderId="0" xfId="0" applyFont="1" applyFill="1" applyBorder="1" applyAlignment="1">
      <alignment vertical="center"/>
    </xf>
    <xf numFmtId="174" fontId="0" fillId="7" borderId="0" xfId="2" applyFont="1" applyFill="1" applyBorder="1" applyAlignment="1">
      <alignment vertical="center"/>
    </xf>
    <xf numFmtId="174" fontId="26" fillId="5" borderId="27" xfId="2" applyFont="1" applyFill="1" applyBorder="1" applyAlignment="1">
      <alignment vertical="center"/>
    </xf>
    <xf numFmtId="174" fontId="27" fillId="5" borderId="27" xfId="2" applyFont="1" applyFill="1" applyBorder="1" applyAlignment="1">
      <alignment horizontal="center" vertical="center" wrapText="1"/>
    </xf>
    <xf numFmtId="174" fontId="40" fillId="5" borderId="27" xfId="2" applyFont="1" applyFill="1" applyBorder="1" applyAlignment="1">
      <alignment vertical="center"/>
    </xf>
    <xf numFmtId="174" fontId="32" fillId="5" borderId="27" xfId="2" applyFont="1" applyFill="1" applyBorder="1" applyAlignment="1">
      <alignment vertical="center"/>
    </xf>
    <xf numFmtId="174" fontId="33" fillId="5" borderId="27" xfId="2" applyFont="1" applyFill="1" applyBorder="1" applyAlignment="1">
      <alignment horizontal="center" vertical="center" wrapText="1"/>
    </xf>
    <xf numFmtId="174" fontId="32" fillId="5" borderId="27" xfId="2" applyFont="1" applyFill="1" applyBorder="1" applyAlignment="1">
      <alignment horizontal="center" vertical="center" wrapText="1"/>
    </xf>
    <xf numFmtId="174" fontId="49" fillId="5" borderId="27" xfId="4" applyNumberFormat="1" applyFont="1" applyFill="1" applyBorder="1" applyAlignment="1">
      <alignment vertical="center"/>
    </xf>
    <xf numFmtId="174" fontId="49" fillId="5" borderId="27" xfId="4" applyNumberFormat="1" applyFont="1" applyFill="1" applyBorder="1" applyAlignment="1">
      <alignment horizontal="center" vertical="center" wrapText="1"/>
    </xf>
    <xf numFmtId="174" fontId="38" fillId="5" borderId="27" xfId="4" applyNumberFormat="1" applyFill="1" applyBorder="1" applyAlignment="1">
      <alignment vertical="center"/>
    </xf>
    <xf numFmtId="174" fontId="38" fillId="5" borderId="27" xfId="4" applyNumberFormat="1" applyFill="1" applyBorder="1" applyAlignment="1">
      <alignment horizontal="center" vertical="center" wrapText="1"/>
    </xf>
    <xf numFmtId="0" fontId="54" fillId="0" borderId="0" xfId="0" applyFont="1" applyFill="1" applyBorder="1" applyAlignment="1">
      <alignment horizontal="left" vertical="center"/>
    </xf>
    <xf numFmtId="0" fontId="22" fillId="4" borderId="27" xfId="0" applyFont="1" applyFill="1" applyBorder="1" applyAlignment="1">
      <alignment horizontal="center" vertical="center" wrapText="1"/>
    </xf>
    <xf numFmtId="0" fontId="22" fillId="9" borderId="27" xfId="0" applyFont="1" applyFill="1" applyBorder="1" applyAlignment="1">
      <alignment horizontal="center" vertical="center" wrapText="1"/>
    </xf>
    <xf numFmtId="174" fontId="26" fillId="2" borderId="27" xfId="2" applyFont="1" applyFill="1" applyBorder="1" applyAlignment="1">
      <alignment vertical="center"/>
    </xf>
    <xf numFmtId="174" fontId="40" fillId="2" borderId="27" xfId="2" applyFont="1" applyFill="1" applyBorder="1" applyAlignment="1">
      <alignment vertical="center"/>
    </xf>
    <xf numFmtId="174" fontId="32" fillId="2" borderId="27" xfId="2" applyFont="1" applyFill="1" applyBorder="1" applyAlignment="1">
      <alignment vertical="center"/>
    </xf>
    <xf numFmtId="174" fontId="49" fillId="2" borderId="27" xfId="4" applyNumberFormat="1" applyFont="1" applyFill="1" applyBorder="1" applyAlignment="1">
      <alignment vertical="center"/>
    </xf>
    <xf numFmtId="174" fontId="38" fillId="2" borderId="27" xfId="4" applyNumberFormat="1" applyFill="1" applyBorder="1" applyAlignment="1">
      <alignment vertical="center"/>
    </xf>
    <xf numFmtId="174" fontId="42" fillId="2" borderId="27" xfId="2" applyFont="1" applyFill="1" applyBorder="1" applyAlignment="1">
      <alignment vertical="center"/>
    </xf>
    <xf numFmtId="174" fontId="26" fillId="7" borderId="27" xfId="2" applyFont="1" applyFill="1" applyBorder="1" applyAlignment="1">
      <alignment vertical="center"/>
    </xf>
    <xf numFmtId="174" fontId="40" fillId="7" borderId="27" xfId="2" applyFont="1" applyFill="1" applyBorder="1" applyAlignment="1">
      <alignment vertical="center"/>
    </xf>
    <xf numFmtId="174" fontId="32" fillId="7" borderId="27" xfId="2" applyFont="1" applyFill="1" applyBorder="1" applyAlignment="1">
      <alignment vertical="center"/>
    </xf>
    <xf numFmtId="169" fontId="38" fillId="7" borderId="27" xfId="4" applyFill="1" applyBorder="1" applyAlignment="1">
      <alignment vertical="center"/>
    </xf>
    <xf numFmtId="174" fontId="49" fillId="7" borderId="27" xfId="4" applyNumberFormat="1" applyFont="1" applyFill="1" applyBorder="1" applyAlignment="1">
      <alignment vertical="center"/>
    </xf>
    <xf numFmtId="174" fontId="38" fillId="7" borderId="27" xfId="4" applyNumberFormat="1" applyFill="1" applyBorder="1" applyAlignment="1">
      <alignment vertical="center"/>
    </xf>
    <xf numFmtId="174" fontId="42" fillId="7" borderId="27" xfId="2" applyFont="1" applyFill="1" applyBorder="1" applyAlignment="1">
      <alignment vertical="center"/>
    </xf>
    <xf numFmtId="0" fontId="22" fillId="10" borderId="27" xfId="0" applyFont="1" applyFill="1" applyBorder="1" applyAlignment="1">
      <alignment horizontal="center" vertical="center" wrapText="1"/>
    </xf>
    <xf numFmtId="0" fontId="22" fillId="10" borderId="29" xfId="0" applyFont="1" applyFill="1" applyBorder="1" applyAlignment="1">
      <alignment horizontal="center" vertical="center" wrapText="1"/>
    </xf>
    <xf numFmtId="0" fontId="41" fillId="4" borderId="27" xfId="0" applyFont="1" applyFill="1" applyBorder="1" applyAlignment="1">
      <alignment horizontal="center" vertical="center" wrapText="1"/>
    </xf>
    <xf numFmtId="0" fontId="22" fillId="4" borderId="29" xfId="0" applyFont="1" applyFill="1" applyBorder="1" applyAlignment="1">
      <alignment horizontal="center" vertical="center" wrapText="1"/>
    </xf>
    <xf numFmtId="0" fontId="22" fillId="9" borderId="29" xfId="0" applyFont="1" applyFill="1" applyBorder="1" applyAlignment="1">
      <alignment horizontal="center" vertical="center" wrapText="1"/>
    </xf>
    <xf numFmtId="0" fontId="22" fillId="12" borderId="27" xfId="0" applyFont="1" applyFill="1" applyBorder="1" applyAlignment="1">
      <alignment horizontal="center" vertical="center" wrapText="1"/>
    </xf>
    <xf numFmtId="0" fontId="22" fillId="12" borderId="29" xfId="0" applyFont="1" applyFill="1" applyBorder="1" applyAlignment="1">
      <alignment horizontal="center" vertical="center" wrapText="1"/>
    </xf>
    <xf numFmtId="174" fontId="26" fillId="6" borderId="27" xfId="2" applyFont="1" applyFill="1" applyBorder="1" applyAlignment="1">
      <alignment vertical="center"/>
    </xf>
    <xf numFmtId="174" fontId="40" fillId="6" borderId="27" xfId="2" applyFont="1" applyFill="1" applyBorder="1" applyAlignment="1">
      <alignment vertical="center"/>
    </xf>
    <xf numFmtId="174" fontId="32" fillId="6" borderId="27" xfId="2" applyFont="1" applyFill="1" applyBorder="1" applyAlignment="1">
      <alignment vertical="center"/>
    </xf>
    <xf numFmtId="174" fontId="49" fillId="6" borderId="27" xfId="4" applyNumberFormat="1" applyFont="1" applyFill="1" applyBorder="1" applyAlignment="1">
      <alignment vertical="center"/>
    </xf>
    <xf numFmtId="174" fontId="38" fillId="6" borderId="27" xfId="4" applyNumberFormat="1" applyFill="1" applyBorder="1" applyAlignment="1">
      <alignment vertical="center"/>
    </xf>
    <xf numFmtId="174" fontId="42" fillId="6" borderId="27" xfId="2" applyFont="1" applyFill="1" applyBorder="1" applyAlignment="1">
      <alignment vertical="center"/>
    </xf>
    <xf numFmtId="0" fontId="55" fillId="8" borderId="30" xfId="0" applyFont="1" applyFill="1" applyBorder="1" applyAlignment="1">
      <alignment horizontal="centerContinuous" vertical="center" wrapText="1"/>
    </xf>
    <xf numFmtId="174" fontId="32" fillId="5" borderId="29" xfId="2" applyFont="1" applyFill="1" applyBorder="1" applyAlignment="1">
      <alignment vertical="center"/>
    </xf>
    <xf numFmtId="174" fontId="32" fillId="5" borderId="29" xfId="2" applyFont="1" applyFill="1" applyBorder="1" applyAlignment="1">
      <alignment horizontal="center" vertical="center" wrapText="1"/>
    </xf>
    <xf numFmtId="0" fontId="41" fillId="9" borderId="27" xfId="0" applyFont="1" applyFill="1" applyBorder="1" applyAlignment="1">
      <alignment horizontal="center" vertical="center" wrapText="1"/>
    </xf>
    <xf numFmtId="174" fontId="32" fillId="2" borderId="29" xfId="2" applyFont="1" applyFill="1" applyBorder="1" applyAlignment="1">
      <alignment vertical="center"/>
    </xf>
    <xf numFmtId="0" fontId="41" fillId="10" borderId="27" xfId="0" applyFont="1" applyFill="1" applyBorder="1" applyAlignment="1">
      <alignment horizontal="center" vertical="center" wrapText="1"/>
    </xf>
    <xf numFmtId="174" fontId="32" fillId="7" borderId="29" xfId="2" applyFont="1" applyFill="1" applyBorder="1" applyAlignment="1">
      <alignment vertical="center"/>
    </xf>
    <xf numFmtId="0" fontId="41" fillId="12" borderId="27" xfId="0" applyFont="1" applyFill="1" applyBorder="1" applyAlignment="1">
      <alignment horizontal="center" vertical="center" wrapText="1"/>
    </xf>
    <xf numFmtId="174" fontId="32" fillId="6" borderId="29" xfId="2" applyFont="1" applyFill="1" applyBorder="1" applyAlignment="1">
      <alignment vertical="center"/>
    </xf>
    <xf numFmtId="0" fontId="17" fillId="13" borderId="30" xfId="0" applyFont="1" applyFill="1" applyBorder="1" applyAlignment="1">
      <alignment horizontal="centerContinuous" vertical="center" wrapText="1"/>
    </xf>
    <xf numFmtId="0" fontId="38" fillId="0" borderId="28" xfId="4" applyNumberFormat="1" applyFill="1" applyBorder="1" applyAlignment="1">
      <alignment vertical="center"/>
    </xf>
    <xf numFmtId="0" fontId="38" fillId="0" borderId="10" xfId="4" applyNumberFormat="1" applyFill="1" applyBorder="1" applyAlignment="1">
      <alignment vertical="center"/>
    </xf>
    <xf numFmtId="174" fontId="38" fillId="7" borderId="31" xfId="4" applyNumberFormat="1" applyFill="1" applyBorder="1" applyAlignment="1">
      <alignment vertical="center"/>
    </xf>
    <xf numFmtId="174" fontId="39" fillId="2" borderId="32" xfId="2" applyFont="1" applyFill="1" applyBorder="1" applyAlignment="1">
      <alignment vertical="center"/>
    </xf>
    <xf numFmtId="174" fontId="39" fillId="7" borderId="32" xfId="2" applyFont="1" applyFill="1" applyBorder="1" applyAlignment="1">
      <alignment vertical="center"/>
    </xf>
    <xf numFmtId="174" fontId="39" fillId="6" borderId="32" xfId="2" applyFont="1" applyFill="1" applyBorder="1" applyAlignment="1">
      <alignment vertical="center"/>
    </xf>
    <xf numFmtId="174" fontId="56" fillId="5" borderId="27" xfId="2" applyFont="1" applyFill="1" applyBorder="1" applyAlignment="1">
      <alignment horizontal="right" vertical="center"/>
    </xf>
    <xf numFmtId="174" fontId="38" fillId="5" borderId="27" xfId="2" applyFont="1" applyFill="1" applyBorder="1" applyAlignment="1">
      <alignment horizontal="right" vertical="center"/>
    </xf>
    <xf numFmtId="174" fontId="38" fillId="5" borderId="31" xfId="2" applyFont="1" applyFill="1" applyBorder="1" applyAlignment="1">
      <alignment horizontal="right" vertical="center"/>
    </xf>
    <xf numFmtId="174" fontId="32" fillId="5" borderId="27" xfId="2" applyFont="1" applyFill="1" applyBorder="1" applyAlignment="1">
      <alignment horizontal="right" vertical="center"/>
    </xf>
    <xf numFmtId="174" fontId="56" fillId="5" borderId="31" xfId="2" applyFont="1" applyFill="1" applyBorder="1" applyAlignment="1">
      <alignment horizontal="right" vertical="center"/>
    </xf>
    <xf numFmtId="174" fontId="39" fillId="5" borderId="32" xfId="2" applyFont="1" applyFill="1" applyBorder="1" applyAlignment="1">
      <alignment horizontal="right" vertical="center"/>
    </xf>
    <xf numFmtId="0" fontId="54" fillId="13" borderId="30" xfId="0" applyFont="1" applyFill="1" applyBorder="1" applyAlignment="1">
      <alignment horizontal="centerContinuous" vertical="center" wrapText="1"/>
    </xf>
    <xf numFmtId="174" fontId="56" fillId="2" borderId="27" xfId="2" applyFont="1" applyFill="1" applyBorder="1" applyAlignment="1">
      <alignment vertical="center"/>
    </xf>
    <xf numFmtId="174" fontId="38" fillId="2" borderId="27" xfId="2" applyFont="1" applyFill="1" applyBorder="1" applyAlignment="1">
      <alignment vertical="center"/>
    </xf>
    <xf numFmtId="174" fontId="38" fillId="2" borderId="31" xfId="2" applyFont="1" applyFill="1" applyBorder="1" applyAlignment="1">
      <alignment vertical="center"/>
    </xf>
    <xf numFmtId="174" fontId="56" fillId="2" borderId="31" xfId="2" applyFont="1" applyFill="1" applyBorder="1" applyAlignment="1">
      <alignment vertical="center"/>
    </xf>
    <xf numFmtId="174" fontId="56" fillId="6" borderId="27" xfId="2" applyFont="1" applyFill="1" applyBorder="1" applyAlignment="1">
      <alignment vertical="center"/>
    </xf>
    <xf numFmtId="174" fontId="38" fillId="6" borderId="27" xfId="2" applyFont="1" applyFill="1" applyBorder="1" applyAlignment="1">
      <alignment vertical="center"/>
    </xf>
    <xf numFmtId="174" fontId="38" fillId="6" borderId="31" xfId="2" applyFont="1" applyFill="1" applyBorder="1" applyAlignment="1">
      <alignment vertical="center"/>
    </xf>
    <xf numFmtId="174" fontId="56" fillId="6" borderId="31" xfId="2" applyFont="1" applyFill="1" applyBorder="1" applyAlignment="1">
      <alignment vertical="center"/>
    </xf>
    <xf numFmtId="174" fontId="56" fillId="7" borderId="27" xfId="2" applyFont="1" applyFill="1" applyBorder="1" applyAlignment="1">
      <alignment vertical="center"/>
    </xf>
    <xf numFmtId="174" fontId="38" fillId="7" borderId="27" xfId="2" applyFont="1" applyFill="1" applyBorder="1" applyAlignment="1">
      <alignment vertical="center"/>
    </xf>
    <xf numFmtId="174" fontId="38" fillId="7" borderId="31" xfId="2" applyFont="1" applyFill="1" applyBorder="1" applyAlignment="1">
      <alignment vertical="center"/>
    </xf>
    <xf numFmtId="174" fontId="56" fillId="7" borderId="31" xfId="2" applyFont="1" applyFill="1" applyBorder="1" applyAlignment="1">
      <alignment vertical="center"/>
    </xf>
    <xf numFmtId="0" fontId="16" fillId="0" borderId="0" xfId="0" applyFont="1" applyAlignment="1">
      <alignment horizontal="left" vertical="center"/>
    </xf>
    <xf numFmtId="174" fontId="13" fillId="5" borderId="16" xfId="2" applyFont="1" applyFill="1" applyBorder="1" applyAlignment="1">
      <alignment horizontal="right" vertical="center"/>
    </xf>
    <xf numFmtId="174" fontId="13" fillId="5" borderId="17" xfId="2" applyFont="1" applyFill="1" applyBorder="1" applyAlignment="1">
      <alignment horizontal="right" vertical="center"/>
    </xf>
    <xf numFmtId="0" fontId="49" fillId="0" borderId="0" xfId="4" applyNumberFormat="1" applyFont="1" applyFill="1" applyBorder="1" applyAlignment="1">
      <alignment horizontal="right" vertical="center"/>
    </xf>
    <xf numFmtId="0" fontId="49" fillId="0" borderId="33" xfId="4" applyNumberFormat="1" applyFont="1" applyFill="1" applyBorder="1" applyAlignment="1">
      <alignment vertical="center"/>
    </xf>
    <xf numFmtId="174" fontId="49" fillId="5" borderId="34" xfId="4" applyNumberFormat="1" applyFont="1" applyFill="1" applyBorder="1" applyAlignment="1">
      <alignment vertical="center"/>
    </xf>
    <xf numFmtId="174" fontId="49" fillId="5" borderId="34" xfId="4" applyNumberFormat="1" applyFont="1" applyFill="1" applyBorder="1" applyAlignment="1">
      <alignment horizontal="center" vertical="center" wrapText="1"/>
    </xf>
    <xf numFmtId="174" fontId="49" fillId="2" borderId="34" xfId="4" applyNumberFormat="1" applyFont="1" applyFill="1" applyBorder="1" applyAlignment="1">
      <alignment vertical="center"/>
    </xf>
    <xf numFmtId="174" fontId="49" fillId="7" borderId="34" xfId="4" applyNumberFormat="1" applyFont="1" applyFill="1" applyBorder="1" applyAlignment="1">
      <alignment vertical="center"/>
    </xf>
    <xf numFmtId="174" fontId="49" fillId="6" borderId="34" xfId="4" applyNumberFormat="1" applyFont="1" applyFill="1" applyBorder="1" applyAlignment="1">
      <alignment vertical="center"/>
    </xf>
    <xf numFmtId="174" fontId="56" fillId="5" borderId="30" xfId="2" applyFont="1" applyFill="1" applyBorder="1" applyAlignment="1">
      <alignment horizontal="right" vertical="center"/>
    </xf>
    <xf numFmtId="174" fontId="56" fillId="2" borderId="30" xfId="2" applyFont="1" applyFill="1" applyBorder="1" applyAlignment="1">
      <alignment vertical="center"/>
    </xf>
    <xf numFmtId="174" fontId="38" fillId="2" borderId="30" xfId="2" applyFont="1" applyFill="1" applyBorder="1" applyAlignment="1">
      <alignment vertical="center"/>
    </xf>
    <xf numFmtId="174" fontId="56" fillId="7" borderId="30" xfId="2" applyFont="1" applyFill="1" applyBorder="1" applyAlignment="1">
      <alignment vertical="center"/>
    </xf>
    <xf numFmtId="174" fontId="38" fillId="7" borderId="30" xfId="4" applyNumberFormat="1" applyFill="1" applyBorder="1" applyAlignment="1">
      <alignment vertical="center"/>
    </xf>
    <xf numFmtId="174" fontId="56" fillId="6" borderId="30" xfId="2" applyFont="1" applyFill="1" applyBorder="1" applyAlignment="1">
      <alignment vertical="center"/>
    </xf>
    <xf numFmtId="174" fontId="38" fillId="6" borderId="30" xfId="2" applyFont="1" applyFill="1" applyBorder="1" applyAlignment="1">
      <alignment vertical="center"/>
    </xf>
    <xf numFmtId="174" fontId="49" fillId="5" borderId="30" xfId="4" applyNumberFormat="1" applyFont="1" applyFill="1" applyBorder="1" applyAlignment="1">
      <alignment vertical="center"/>
    </xf>
    <xf numFmtId="174" fontId="49" fillId="5" borderId="30" xfId="4" applyNumberFormat="1" applyFont="1" applyFill="1" applyBorder="1" applyAlignment="1">
      <alignment horizontal="center" vertical="center" wrapText="1"/>
    </xf>
    <xf numFmtId="174" fontId="49" fillId="2" borderId="30" xfId="4" applyNumberFormat="1" applyFont="1" applyFill="1" applyBorder="1" applyAlignment="1">
      <alignment vertical="center"/>
    </xf>
    <xf numFmtId="174" fontId="49" fillId="7" borderId="30" xfId="4" applyNumberFormat="1" applyFont="1" applyFill="1" applyBorder="1" applyAlignment="1">
      <alignment vertical="center"/>
    </xf>
    <xf numFmtId="174" fontId="49" fillId="6" borderId="30" xfId="4" applyNumberFormat="1" applyFont="1" applyFill="1" applyBorder="1" applyAlignment="1">
      <alignment vertical="center"/>
    </xf>
    <xf numFmtId="174" fontId="39" fillId="5" borderId="32" xfId="2" applyFont="1" applyFill="1" applyBorder="1" applyAlignment="1">
      <alignment vertical="center"/>
    </xf>
    <xf numFmtId="174" fontId="39" fillId="5" borderId="32" xfId="2" applyFont="1" applyFill="1" applyBorder="1" applyAlignment="1">
      <alignment horizontal="center" vertical="center" wrapText="1"/>
    </xf>
    <xf numFmtId="173" fontId="0" fillId="5" borderId="0" xfId="0" applyNumberFormat="1" applyFill="1" applyBorder="1" applyAlignment="1">
      <alignment vertical="center"/>
    </xf>
    <xf numFmtId="0" fontId="0" fillId="5" borderId="12" xfId="0" applyNumberFormat="1" applyFont="1" applyFill="1" applyBorder="1" applyAlignment="1">
      <alignment vertical="center"/>
    </xf>
    <xf numFmtId="0" fontId="0" fillId="5" borderId="12" xfId="0" applyFont="1" applyFill="1" applyBorder="1" applyAlignment="1">
      <alignment vertical="center"/>
    </xf>
    <xf numFmtId="9" fontId="0" fillId="5" borderId="15" xfId="0" applyNumberFormat="1" applyFont="1" applyFill="1" applyBorder="1" applyAlignment="1">
      <alignment vertical="center"/>
    </xf>
    <xf numFmtId="0" fontId="0" fillId="5" borderId="0" xfId="0" applyFont="1" applyFill="1" applyBorder="1" applyAlignment="1">
      <alignment vertical="center"/>
    </xf>
    <xf numFmtId="0" fontId="24" fillId="5" borderId="0" xfId="0" applyFont="1" applyFill="1" applyBorder="1" applyAlignment="1">
      <alignment vertical="center"/>
    </xf>
    <xf numFmtId="173" fontId="0" fillId="5" borderId="0" xfId="1" applyNumberFormat="1" applyFont="1" applyFill="1" applyBorder="1" applyAlignment="1">
      <alignment horizontal="right" vertical="center"/>
    </xf>
    <xf numFmtId="9" fontId="0" fillId="5" borderId="14" xfId="0" applyNumberFormat="1" applyFont="1" applyFill="1" applyBorder="1" applyAlignment="1">
      <alignment horizontal="right" vertical="center"/>
    </xf>
    <xf numFmtId="9" fontId="0" fillId="5" borderId="0" xfId="1" applyNumberFormat="1" applyFont="1" applyFill="1" applyBorder="1" applyAlignment="1">
      <alignment horizontal="right" vertical="center"/>
    </xf>
    <xf numFmtId="0" fontId="0" fillId="5" borderId="1" xfId="0" applyNumberFormat="1" applyFont="1" applyFill="1" applyBorder="1" applyAlignment="1">
      <alignment vertical="center"/>
    </xf>
    <xf numFmtId="0" fontId="0" fillId="5" borderId="1" xfId="0" applyFont="1" applyFill="1" applyBorder="1" applyAlignment="1">
      <alignment vertical="center"/>
    </xf>
    <xf numFmtId="174" fontId="0" fillId="5" borderId="0" xfId="2" applyFont="1" applyFill="1" applyBorder="1" applyAlignment="1">
      <alignment horizontal="right" vertical="center"/>
    </xf>
    <xf numFmtId="173" fontId="0" fillId="5" borderId="14" xfId="0" applyNumberFormat="1" applyFont="1" applyFill="1" applyBorder="1" applyAlignment="1">
      <alignment horizontal="right" vertical="center"/>
    </xf>
    <xf numFmtId="173" fontId="0" fillId="5" borderId="15" xfId="0" applyNumberFormat="1" applyFont="1" applyFill="1" applyBorder="1" applyAlignment="1">
      <alignment vertical="center"/>
    </xf>
    <xf numFmtId="0" fontId="21" fillId="0" borderId="0" xfId="0" applyFont="1"/>
    <xf numFmtId="0" fontId="0" fillId="0" borderId="0" xfId="0" applyFill="1" applyBorder="1" applyAlignment="1">
      <alignment horizontal="left" vertical="center"/>
    </xf>
    <xf numFmtId="0" fontId="32" fillId="0" borderId="0" xfId="4" applyNumberFormat="1" applyFont="1"/>
    <xf numFmtId="174" fontId="40" fillId="5" borderId="35" xfId="2" applyFont="1" applyFill="1" applyBorder="1" applyAlignment="1">
      <alignment vertical="center"/>
    </xf>
    <xf numFmtId="174" fontId="40" fillId="2" borderId="35" xfId="2" applyFont="1" applyFill="1" applyBorder="1" applyAlignment="1">
      <alignment vertical="center"/>
    </xf>
    <xf numFmtId="174" fontId="40" fillId="7" borderId="35" xfId="2" applyFont="1" applyFill="1" applyBorder="1" applyAlignment="1">
      <alignment vertical="center"/>
    </xf>
    <xf numFmtId="174" fontId="40" fillId="6" borderId="35" xfId="2" applyFont="1" applyFill="1" applyBorder="1" applyAlignment="1">
      <alignment vertical="center"/>
    </xf>
    <xf numFmtId="174" fontId="38" fillId="5" borderId="31" xfId="4" applyNumberFormat="1" applyFill="1" applyBorder="1" applyAlignment="1">
      <alignment vertical="center"/>
    </xf>
    <xf numFmtId="174" fontId="38" fillId="5" borderId="31" xfId="4" applyNumberFormat="1" applyFill="1" applyBorder="1" applyAlignment="1">
      <alignment horizontal="center" vertical="center" wrapText="1"/>
    </xf>
    <xf numFmtId="174" fontId="38" fillId="2" borderId="31" xfId="4" applyNumberFormat="1" applyFill="1" applyBorder="1" applyAlignment="1">
      <alignment vertical="center"/>
    </xf>
    <xf numFmtId="174" fontId="38" fillId="6" borderId="31" xfId="4" applyNumberFormat="1" applyFill="1" applyBorder="1" applyAlignment="1">
      <alignment vertical="center"/>
    </xf>
    <xf numFmtId="0" fontId="59" fillId="0" borderId="0" xfId="0" applyFont="1"/>
    <xf numFmtId="174" fontId="29" fillId="0" borderId="0" xfId="2" applyFont="1"/>
    <xf numFmtId="174" fontId="38" fillId="0" borderId="0" xfId="4" applyNumberFormat="1"/>
    <xf numFmtId="0" fontId="0" fillId="0" borderId="0" xfId="0" applyAlignment="1">
      <alignment horizontal="center"/>
    </xf>
    <xf numFmtId="0" fontId="16" fillId="2" borderId="36" xfId="0" applyFont="1" applyFill="1" applyBorder="1" applyAlignment="1">
      <alignment vertical="center"/>
    </xf>
    <xf numFmtId="0" fontId="60" fillId="0" borderId="0" xfId="0" applyFont="1" applyAlignment="1">
      <alignment horizontal="center" vertical="center"/>
    </xf>
    <xf numFmtId="0" fontId="53" fillId="0" borderId="0" xfId="0" applyFont="1"/>
    <xf numFmtId="3" fontId="0" fillId="0" borderId="0" xfId="0" applyNumberForma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0" fontId="0" fillId="0" borderId="9" xfId="0" applyFont="1" applyBorder="1" applyAlignment="1">
      <alignment horizontal="left" vertical="center"/>
    </xf>
    <xf numFmtId="0" fontId="54" fillId="17" borderId="37" xfId="0" applyFont="1" applyFill="1" applyBorder="1" applyAlignment="1">
      <alignment horizontal="centerContinuous" vertical="center" wrapText="1"/>
    </xf>
    <xf numFmtId="0" fontId="17" fillId="17" borderId="36" xfId="0" applyFont="1" applyFill="1" applyBorder="1" applyAlignment="1">
      <alignment horizontal="centerContinuous" vertical="center" wrapText="1"/>
    </xf>
    <xf numFmtId="0" fontId="54" fillId="11" borderId="36" xfId="0" applyFont="1" applyFill="1" applyBorder="1" applyAlignment="1">
      <alignment horizontal="centerContinuous" vertical="center" wrapText="1"/>
    </xf>
    <xf numFmtId="0" fontId="17" fillId="11" borderId="36" xfId="0" applyFont="1" applyFill="1" applyBorder="1" applyAlignment="1">
      <alignment horizontal="centerContinuous" vertical="center" wrapText="1"/>
    </xf>
    <xf numFmtId="0" fontId="17" fillId="17" borderId="38" xfId="0" applyFont="1" applyFill="1" applyBorder="1" applyAlignment="1">
      <alignment horizontal="centerContinuous" vertical="center" wrapText="1"/>
    </xf>
    <xf numFmtId="0" fontId="54" fillId="17" borderId="36" xfId="0" applyFont="1" applyFill="1" applyBorder="1" applyAlignment="1">
      <alignment horizontal="centerContinuous" vertical="center" wrapText="1"/>
    </xf>
    <xf numFmtId="0" fontId="17" fillId="11" borderId="37" xfId="0" applyFont="1" applyFill="1" applyBorder="1" applyAlignment="1">
      <alignment horizontal="centerContinuous" vertical="center" wrapText="1"/>
    </xf>
    <xf numFmtId="0" fontId="17" fillId="11" borderId="38" xfId="0" applyFont="1" applyFill="1" applyBorder="1" applyAlignment="1">
      <alignment horizontal="centerContinuous" vertical="center" wrapText="1"/>
    </xf>
    <xf numFmtId="0" fontId="0" fillId="0" borderId="0" xfId="0" applyAlignment="1">
      <alignment horizontal="right" vertical="center"/>
    </xf>
    <xf numFmtId="0" fontId="54" fillId="15" borderId="37" xfId="0" applyFont="1" applyFill="1" applyBorder="1" applyAlignment="1">
      <alignment horizontal="centerContinuous" vertical="center" wrapText="1"/>
    </xf>
    <xf numFmtId="0" fontId="54" fillId="15" borderId="36" xfId="0" applyFont="1" applyFill="1" applyBorder="1" applyAlignment="1">
      <alignment horizontal="centerContinuous" vertical="center"/>
    </xf>
    <xf numFmtId="0" fontId="0" fillId="16" borderId="30" xfId="0" applyFill="1" applyBorder="1" applyAlignment="1">
      <alignment horizontal="center" vertical="center"/>
    </xf>
    <xf numFmtId="0" fontId="0" fillId="14" borderId="34" xfId="0" applyFill="1" applyBorder="1"/>
    <xf numFmtId="0" fontId="0" fillId="14" borderId="27" xfId="0" applyFill="1" applyBorder="1"/>
    <xf numFmtId="0" fontId="0" fillId="16" borderId="39" xfId="0" applyFont="1" applyFill="1" applyBorder="1" applyAlignment="1">
      <alignment horizontal="centerContinuous" vertical="center" wrapText="1"/>
    </xf>
    <xf numFmtId="0" fontId="0" fillId="16" borderId="33" xfId="0" applyFont="1" applyFill="1" applyBorder="1" applyAlignment="1">
      <alignment horizontal="centerContinuous" vertical="center" wrapText="1"/>
    </xf>
    <xf numFmtId="0" fontId="0" fillId="16" borderId="40" xfId="0" applyFont="1" applyFill="1" applyBorder="1" applyAlignment="1">
      <alignment horizontal="centerContinuous" vertical="center" wrapText="1"/>
    </xf>
    <xf numFmtId="0" fontId="20" fillId="16" borderId="41" xfId="0" applyFont="1" applyFill="1" applyBorder="1" applyAlignment="1">
      <alignment horizontal="centerContinuous" vertical="center"/>
    </xf>
    <xf numFmtId="0" fontId="20" fillId="16" borderId="28" xfId="0" applyFont="1" applyFill="1" applyBorder="1" applyAlignment="1">
      <alignment horizontal="centerContinuous" vertical="center"/>
    </xf>
    <xf numFmtId="0" fontId="20" fillId="16" borderId="42" xfId="0" applyFont="1" applyFill="1" applyBorder="1" applyAlignment="1">
      <alignment horizontal="centerContinuous" vertical="center"/>
    </xf>
    <xf numFmtId="0" fontId="0" fillId="5" borderId="43" xfId="0" applyFill="1" applyBorder="1"/>
    <xf numFmtId="0" fontId="0" fillId="5" borderId="44" xfId="0" applyFill="1" applyBorder="1"/>
    <xf numFmtId="0" fontId="16" fillId="5" borderId="43" xfId="0" applyFont="1" applyFill="1" applyBorder="1"/>
    <xf numFmtId="0" fontId="24" fillId="5" borderId="43" xfId="0" applyFont="1" applyFill="1" applyBorder="1"/>
    <xf numFmtId="0" fontId="16" fillId="5" borderId="43" xfId="0" applyFont="1" applyFill="1" applyBorder="1" applyAlignment="1">
      <alignment vertical="center"/>
    </xf>
    <xf numFmtId="0" fontId="0" fillId="5" borderId="44" xfId="0" applyFill="1" applyBorder="1" applyAlignment="1">
      <alignment vertical="center"/>
    </xf>
    <xf numFmtId="0" fontId="0" fillId="5" borderId="43" xfId="0" applyFont="1" applyFill="1" applyBorder="1"/>
    <xf numFmtId="0" fontId="0" fillId="5" borderId="41" xfId="0" applyFill="1" applyBorder="1"/>
    <xf numFmtId="0" fontId="0" fillId="5" borderId="28" xfId="0" applyFill="1" applyBorder="1"/>
    <xf numFmtId="0" fontId="0" fillId="5" borderId="42" xfId="0" applyFill="1" applyBorder="1"/>
    <xf numFmtId="0" fontId="0" fillId="8" borderId="36" xfId="0" applyFill="1" applyBorder="1" applyAlignment="1">
      <alignment vertical="center"/>
    </xf>
    <xf numFmtId="0" fontId="0" fillId="8" borderId="38" xfId="0" applyFill="1" applyBorder="1" applyAlignment="1">
      <alignment vertical="center"/>
    </xf>
    <xf numFmtId="0" fontId="17" fillId="8" borderId="36" xfId="0" applyFont="1" applyFill="1" applyBorder="1" applyAlignment="1">
      <alignment vertical="center"/>
    </xf>
    <xf numFmtId="0" fontId="63" fillId="0" borderId="0" xfId="0" applyFont="1" applyAlignment="1">
      <alignment vertical="center"/>
    </xf>
    <xf numFmtId="0" fontId="63" fillId="0" borderId="0" xfId="0" applyFont="1"/>
    <xf numFmtId="0" fontId="0" fillId="7" borderId="43" xfId="0" applyFill="1" applyBorder="1"/>
    <xf numFmtId="0" fontId="0" fillId="7" borderId="0" xfId="0" applyFont="1" applyFill="1" applyBorder="1"/>
    <xf numFmtId="0" fontId="0" fillId="7" borderId="0" xfId="0" applyFill="1" applyBorder="1"/>
    <xf numFmtId="0" fontId="0" fillId="7" borderId="0" xfId="0" applyFill="1" applyBorder="1" applyAlignment="1">
      <alignment horizontal="right"/>
    </xf>
    <xf numFmtId="0" fontId="0" fillId="7" borderId="44" xfId="0" applyFill="1" applyBorder="1"/>
    <xf numFmtId="0" fontId="16" fillId="7" borderId="43" xfId="0" applyFont="1" applyFill="1" applyBorder="1"/>
    <xf numFmtId="0" fontId="16" fillId="7" borderId="41" xfId="0" applyFont="1" applyFill="1" applyBorder="1"/>
    <xf numFmtId="0" fontId="0" fillId="7" borderId="28" xfId="0" applyFill="1" applyBorder="1" applyAlignment="1">
      <alignment vertical="center"/>
    </xf>
    <xf numFmtId="0" fontId="0" fillId="7" borderId="28" xfId="0" applyFill="1" applyBorder="1"/>
    <xf numFmtId="0" fontId="0" fillId="7" borderId="42" xfId="0" applyFill="1" applyBorder="1"/>
    <xf numFmtId="0" fontId="17" fillId="11" borderId="36" xfId="0" applyFont="1" applyFill="1" applyBorder="1" applyAlignment="1">
      <alignment vertical="center"/>
    </xf>
    <xf numFmtId="0" fontId="0" fillId="11" borderId="36" xfId="0" applyFill="1" applyBorder="1"/>
    <xf numFmtId="0" fontId="0" fillId="11" borderId="36" xfId="0" applyFill="1" applyBorder="1" applyAlignment="1">
      <alignment horizontal="right"/>
    </xf>
    <xf numFmtId="0" fontId="0" fillId="11" borderId="38" xfId="0" applyFill="1" applyBorder="1"/>
    <xf numFmtId="0" fontId="24" fillId="7" borderId="0" xfId="0" applyFont="1" applyFill="1" applyBorder="1"/>
    <xf numFmtId="0" fontId="16" fillId="7" borderId="43" xfId="0" applyFont="1" applyFill="1" applyBorder="1" applyAlignment="1">
      <alignment vertical="center"/>
    </xf>
    <xf numFmtId="0" fontId="13" fillId="7" borderId="0" xfId="0" applyFont="1" applyFill="1" applyBorder="1" applyAlignment="1">
      <alignment vertical="center"/>
    </xf>
    <xf numFmtId="0" fontId="45" fillId="7" borderId="0" xfId="0" applyFont="1" applyFill="1" applyBorder="1" applyAlignment="1">
      <alignment vertical="center"/>
    </xf>
    <xf numFmtId="0" fontId="45" fillId="7" borderId="44" xfId="0" applyFont="1" applyFill="1" applyBorder="1" applyAlignment="1">
      <alignment vertical="center"/>
    </xf>
    <xf numFmtId="0" fontId="0" fillId="7" borderId="44" xfId="0" applyFill="1" applyBorder="1" applyAlignment="1">
      <alignment vertical="center"/>
    </xf>
    <xf numFmtId="0" fontId="0" fillId="7" borderId="41" xfId="0" applyFill="1" applyBorder="1"/>
    <xf numFmtId="0" fontId="16" fillId="5" borderId="41" xfId="0" applyFont="1" applyFill="1" applyBorder="1"/>
    <xf numFmtId="0" fontId="0" fillId="5" borderId="28" xfId="0" applyNumberFormat="1" applyFill="1" applyBorder="1" applyAlignment="1">
      <alignment vertical="center"/>
    </xf>
    <xf numFmtId="0" fontId="0" fillId="5" borderId="28" xfId="0" applyFill="1" applyBorder="1" applyAlignment="1">
      <alignment vertical="center"/>
    </xf>
    <xf numFmtId="174" fontId="0" fillId="5" borderId="28" xfId="2" applyFont="1" applyFill="1" applyBorder="1" applyAlignment="1">
      <alignment vertical="center"/>
    </xf>
    <xf numFmtId="0" fontId="0" fillId="5" borderId="28" xfId="0" applyFill="1" applyBorder="1" applyAlignment="1">
      <alignment horizontal="right" vertical="center"/>
    </xf>
    <xf numFmtId="0" fontId="17" fillId="12" borderId="36" xfId="0" applyFont="1" applyFill="1" applyBorder="1" applyAlignment="1">
      <alignment vertical="center"/>
    </xf>
    <xf numFmtId="0" fontId="0" fillId="12" borderId="36" xfId="0" applyFill="1" applyBorder="1"/>
    <xf numFmtId="0" fontId="0" fillId="12" borderId="38" xfId="0" applyFill="1" applyBorder="1"/>
    <xf numFmtId="0" fontId="24" fillId="6" borderId="0" xfId="0" applyFont="1" applyFill="1" applyBorder="1"/>
    <xf numFmtId="0" fontId="0" fillId="6" borderId="0" xfId="0" applyFill="1" applyBorder="1"/>
    <xf numFmtId="0" fontId="0" fillId="6" borderId="0" xfId="0" applyFill="1" applyBorder="1" applyAlignment="1">
      <alignment horizontal="right"/>
    </xf>
    <xf numFmtId="0" fontId="13" fillId="6" borderId="0" xfId="0" applyFont="1" applyFill="1" applyBorder="1" applyAlignment="1">
      <alignment vertical="center"/>
    </xf>
    <xf numFmtId="0" fontId="0" fillId="6" borderId="0" xfId="0" applyFill="1" applyBorder="1" applyAlignment="1">
      <alignment vertical="center"/>
    </xf>
    <xf numFmtId="0" fontId="0" fillId="6" borderId="39" xfId="0" applyFill="1" applyBorder="1"/>
    <xf numFmtId="0" fontId="0" fillId="6" borderId="33" xfId="0" applyFill="1" applyBorder="1"/>
    <xf numFmtId="0" fontId="0" fillId="6" borderId="40" xfId="0" applyFill="1" applyBorder="1"/>
    <xf numFmtId="0" fontId="0" fillId="6" borderId="43" xfId="0" applyFill="1" applyBorder="1"/>
    <xf numFmtId="0" fontId="0" fillId="6" borderId="44" xfId="0" applyFill="1" applyBorder="1"/>
    <xf numFmtId="0" fontId="16" fillId="6" borderId="43" xfId="0" applyFont="1" applyFill="1" applyBorder="1"/>
    <xf numFmtId="0" fontId="0" fillId="6" borderId="41" xfId="0" applyFill="1" applyBorder="1"/>
    <xf numFmtId="0" fontId="0" fillId="6" borderId="28" xfId="0" applyFill="1" applyBorder="1"/>
    <xf numFmtId="0" fontId="0" fillId="6" borderId="42" xfId="0" applyFill="1" applyBorder="1"/>
    <xf numFmtId="0" fontId="0" fillId="6" borderId="0" xfId="0" applyNumberFormat="1" applyFill="1" applyBorder="1" applyAlignment="1">
      <alignment vertical="center"/>
    </xf>
    <xf numFmtId="174" fontId="14" fillId="0" borderId="0" xfId="2" applyFont="1" applyBorder="1" applyAlignment="1">
      <alignment vertical="center"/>
    </xf>
    <xf numFmtId="174" fontId="0" fillId="6" borderId="0" xfId="2" applyFont="1" applyFill="1" applyBorder="1" applyAlignment="1">
      <alignment vertical="center"/>
    </xf>
    <xf numFmtId="0" fontId="24" fillId="11" borderId="36" xfId="0" applyFont="1" applyFill="1" applyBorder="1"/>
    <xf numFmtId="0" fontId="0" fillId="5" borderId="39" xfId="0" applyFill="1" applyBorder="1"/>
    <xf numFmtId="0" fontId="0" fillId="5" borderId="33" xfId="0" applyFill="1" applyBorder="1"/>
    <xf numFmtId="0" fontId="0" fillId="5" borderId="40" xfId="0" applyFill="1" applyBorder="1"/>
    <xf numFmtId="0" fontId="0" fillId="5" borderId="41" xfId="0" applyFont="1" applyFill="1" applyBorder="1"/>
    <xf numFmtId="0" fontId="0" fillId="5" borderId="28" xfId="0" applyNumberFormat="1" applyFill="1" applyBorder="1"/>
    <xf numFmtId="0" fontId="38" fillId="5" borderId="43" xfId="4" applyNumberFormat="1" applyFill="1" applyBorder="1"/>
    <xf numFmtId="0" fontId="32" fillId="5" borderId="0" xfId="4" applyNumberFormat="1" applyFont="1" applyFill="1" applyBorder="1" applyAlignment="1">
      <alignment horizontal="right"/>
    </xf>
    <xf numFmtId="0" fontId="32" fillId="5" borderId="0" xfId="4" applyNumberFormat="1" applyFont="1" applyFill="1" applyBorder="1" applyAlignment="1">
      <alignment horizontal="left"/>
    </xf>
    <xf numFmtId="0" fontId="38" fillId="5" borderId="0" xfId="4" applyNumberFormat="1" applyFill="1" applyBorder="1"/>
    <xf numFmtId="0" fontId="38" fillId="5" borderId="44" xfId="4" applyNumberFormat="1" applyFill="1" applyBorder="1"/>
    <xf numFmtId="0" fontId="32" fillId="5" borderId="0" xfId="4" applyNumberFormat="1" applyFont="1" applyFill="1" applyBorder="1"/>
    <xf numFmtId="0" fontId="17" fillId="11" borderId="37" xfId="0" applyFont="1" applyFill="1" applyBorder="1" applyAlignment="1">
      <alignment horizontal="left" vertical="center" indent="1"/>
    </xf>
    <xf numFmtId="0" fontId="0" fillId="7" borderId="43" xfId="0" applyFill="1" applyBorder="1" applyAlignment="1">
      <alignment horizontal="left" indent="1"/>
    </xf>
    <xf numFmtId="0" fontId="16" fillId="7" borderId="43" xfId="0" applyFont="1" applyFill="1" applyBorder="1" applyAlignment="1">
      <alignment horizontal="left" vertical="center" indent="1"/>
    </xf>
    <xf numFmtId="0" fontId="0" fillId="0" borderId="0" xfId="0" applyAlignment="1">
      <alignment horizontal="left" indent="1"/>
    </xf>
    <xf numFmtId="0" fontId="17" fillId="8" borderId="37" xfId="0" applyFont="1" applyFill="1" applyBorder="1" applyAlignment="1">
      <alignment horizontal="left" vertical="center" indent="1"/>
    </xf>
    <xf numFmtId="0" fontId="0" fillId="5" borderId="39" xfId="0" applyFill="1" applyBorder="1" applyAlignment="1">
      <alignment horizontal="left" indent="1"/>
    </xf>
    <xf numFmtId="0" fontId="0" fillId="5" borderId="43" xfId="0" applyFill="1" applyBorder="1" applyAlignment="1">
      <alignment horizontal="left" indent="1"/>
    </xf>
    <xf numFmtId="0" fontId="16" fillId="5" borderId="43" xfId="0" applyFont="1" applyFill="1" applyBorder="1" applyAlignment="1">
      <alignment horizontal="left" indent="1"/>
    </xf>
    <xf numFmtId="0" fontId="16" fillId="5" borderId="43" xfId="0" applyFont="1" applyFill="1" applyBorder="1" applyAlignment="1">
      <alignment horizontal="left" vertical="center" indent="1"/>
    </xf>
    <xf numFmtId="0" fontId="0" fillId="5" borderId="43" xfId="0" applyFont="1" applyFill="1" applyBorder="1" applyAlignment="1">
      <alignment horizontal="left" indent="1"/>
    </xf>
    <xf numFmtId="0" fontId="0" fillId="5" borderId="41" xfId="0" applyFont="1" applyFill="1" applyBorder="1" applyAlignment="1">
      <alignment horizontal="left" indent="1"/>
    </xf>
    <xf numFmtId="0" fontId="24" fillId="5" borderId="43" xfId="0" applyFont="1" applyFill="1" applyBorder="1" applyAlignment="1">
      <alignment horizontal="left" indent="1"/>
    </xf>
    <xf numFmtId="0" fontId="38" fillId="5" borderId="43" xfId="4" applyNumberFormat="1" applyFill="1" applyBorder="1" applyAlignment="1">
      <alignment horizontal="left" indent="1"/>
    </xf>
    <xf numFmtId="0" fontId="17" fillId="0" borderId="0" xfId="0" applyFont="1" applyAlignment="1">
      <alignment horizontal="left" indent="1"/>
    </xf>
    <xf numFmtId="0" fontId="16" fillId="7" borderId="43" xfId="0" applyFont="1" applyFill="1" applyBorder="1" applyAlignment="1">
      <alignment horizontal="left" indent="1"/>
    </xf>
    <xf numFmtId="0" fontId="16" fillId="7" borderId="41" xfId="0" applyFont="1" applyFill="1" applyBorder="1" applyAlignment="1">
      <alignment horizontal="left" indent="1"/>
    </xf>
    <xf numFmtId="0" fontId="17" fillId="12" borderId="37" xfId="0" applyFont="1" applyFill="1" applyBorder="1" applyAlignment="1">
      <alignment horizontal="left" vertical="center" indent="1"/>
    </xf>
    <xf numFmtId="0" fontId="0" fillId="5" borderId="0" xfId="0" applyFont="1" applyFill="1" applyBorder="1" applyAlignment="1">
      <alignment horizontal="right"/>
    </xf>
    <xf numFmtId="0" fontId="38" fillId="5" borderId="0" xfId="4" applyNumberFormat="1" applyFill="1" applyBorder="1" applyAlignment="1">
      <alignment horizontal="right"/>
    </xf>
    <xf numFmtId="175" fontId="0" fillId="5" borderId="28" xfId="2" applyNumberFormat="1" applyFont="1" applyFill="1" applyBorder="1" applyAlignment="1">
      <alignment horizontal="right" vertical="center"/>
    </xf>
    <xf numFmtId="9" fontId="0" fillId="5" borderId="0" xfId="0" applyNumberFormat="1" applyFill="1" applyBorder="1" applyAlignment="1">
      <alignment vertical="center"/>
    </xf>
    <xf numFmtId="0" fontId="38" fillId="5" borderId="0" xfId="4" applyNumberFormat="1" applyFill="1" applyBorder="1" applyAlignment="1">
      <alignment horizontal="left"/>
    </xf>
    <xf numFmtId="0" fontId="0" fillId="5" borderId="0" xfId="0" quotePrefix="1" applyFont="1" applyFill="1" applyBorder="1" applyAlignment="1">
      <alignment horizontal="right"/>
    </xf>
    <xf numFmtId="9" fontId="0" fillId="5" borderId="0" xfId="1" applyNumberFormat="1" applyFont="1" applyFill="1" applyBorder="1" applyAlignment="1">
      <alignment vertical="center"/>
    </xf>
    <xf numFmtId="10" fontId="0" fillId="5" borderId="0" xfId="0" applyNumberFormat="1" applyFill="1" applyBorder="1" applyAlignment="1">
      <alignment vertical="center"/>
    </xf>
    <xf numFmtId="0" fontId="0" fillId="5" borderId="0" xfId="0" applyNumberFormat="1" applyFont="1" applyFill="1" applyBorder="1"/>
    <xf numFmtId="0" fontId="38" fillId="5" borderId="41" xfId="4" applyNumberFormat="1" applyFill="1" applyBorder="1"/>
    <xf numFmtId="0" fontId="0" fillId="5" borderId="28" xfId="0" applyFill="1" applyBorder="1" applyAlignment="1">
      <alignment horizontal="right"/>
    </xf>
    <xf numFmtId="0" fontId="38" fillId="5" borderId="28" xfId="4" applyNumberFormat="1" applyFill="1" applyBorder="1"/>
    <xf numFmtId="0" fontId="38" fillId="5" borderId="42" xfId="4" applyNumberFormat="1" applyFill="1" applyBorder="1"/>
    <xf numFmtId="0" fontId="0" fillId="8" borderId="36" xfId="0" applyFill="1" applyBorder="1"/>
    <xf numFmtId="0" fontId="0" fillId="8" borderId="38" xfId="0" applyFill="1" applyBorder="1"/>
    <xf numFmtId="174" fontId="13" fillId="7" borderId="0" xfId="2" applyFont="1" applyFill="1" applyBorder="1" applyAlignment="1">
      <alignment vertical="center"/>
    </xf>
    <xf numFmtId="0" fontId="0" fillId="6" borderId="0" xfId="0" applyNumberFormat="1" applyFill="1" applyBorder="1" applyAlignment="1">
      <alignment horizontal="left" vertical="center"/>
    </xf>
    <xf numFmtId="174" fontId="0" fillId="6" borderId="0" xfId="2" applyNumberFormat="1" applyFont="1" applyFill="1" applyBorder="1" applyAlignment="1">
      <alignment vertical="center"/>
    </xf>
    <xf numFmtId="0" fontId="21" fillId="6" borderId="10" xfId="0" applyFont="1" applyFill="1" applyBorder="1" applyAlignment="1">
      <alignment vertical="center"/>
    </xf>
    <xf numFmtId="0" fontId="16" fillId="6" borderId="41" xfId="0" applyFont="1" applyFill="1" applyBorder="1"/>
    <xf numFmtId="0" fontId="0" fillId="5" borderId="0" xfId="0" applyNumberFormat="1" applyFont="1" applyFill="1" applyBorder="1" applyAlignment="1">
      <alignment vertical="center"/>
    </xf>
    <xf numFmtId="177" fontId="0" fillId="5" borderId="0" xfId="2" applyNumberFormat="1" applyFont="1" applyFill="1" applyBorder="1" applyAlignment="1">
      <alignment vertical="center"/>
    </xf>
    <xf numFmtId="0" fontId="13" fillId="7" borderId="44" xfId="0" applyFont="1" applyFill="1" applyBorder="1" applyAlignment="1">
      <alignment vertical="center"/>
    </xf>
    <xf numFmtId="0" fontId="19" fillId="7" borderId="43" xfId="0" applyFont="1" applyFill="1" applyBorder="1"/>
    <xf numFmtId="167" fontId="0" fillId="7" borderId="44" xfId="0" applyNumberFormat="1" applyFill="1" applyBorder="1" applyAlignment="1">
      <alignment vertical="center"/>
    </xf>
    <xf numFmtId="0" fontId="19" fillId="7" borderId="41" xfId="0" applyFont="1" applyFill="1" applyBorder="1"/>
    <xf numFmtId="167" fontId="0" fillId="7" borderId="42" xfId="0" applyNumberFormat="1" applyFill="1" applyBorder="1" applyAlignment="1">
      <alignment vertical="center"/>
    </xf>
    <xf numFmtId="174" fontId="0" fillId="6" borderId="0" xfId="0" applyNumberFormat="1" applyFont="1" applyFill="1" applyBorder="1" applyAlignment="1">
      <alignment vertical="center"/>
    </xf>
    <xf numFmtId="0" fontId="0" fillId="6" borderId="0" xfId="0" applyFill="1" applyBorder="1" applyAlignment="1">
      <alignment horizontal="left" vertical="center"/>
    </xf>
    <xf numFmtId="0" fontId="0" fillId="15" borderId="28" xfId="0" applyFill="1" applyBorder="1"/>
    <xf numFmtId="0" fontId="38" fillId="7" borderId="28" xfId="4" applyNumberFormat="1" applyFill="1" applyBorder="1" applyAlignment="1">
      <alignment horizontal="right" vertical="center"/>
    </xf>
    <xf numFmtId="0" fontId="38" fillId="7" borderId="28" xfId="4" applyNumberFormat="1" applyFill="1" applyBorder="1" applyAlignment="1">
      <alignment vertical="center"/>
    </xf>
    <xf numFmtId="174" fontId="58" fillId="7" borderId="0" xfId="0" applyNumberFormat="1" applyFont="1" applyFill="1" applyBorder="1" applyAlignment="1">
      <alignment vertical="center"/>
    </xf>
    <xf numFmtId="0" fontId="24" fillId="0" borderId="0" xfId="0" applyFont="1" applyAlignment="1">
      <alignment horizontal="left"/>
    </xf>
    <xf numFmtId="167" fontId="0" fillId="7" borderId="28" xfId="0" applyNumberFormat="1" applyFill="1" applyBorder="1" applyAlignment="1">
      <alignment vertical="center"/>
    </xf>
    <xf numFmtId="0" fontId="13" fillId="6" borderId="0" xfId="0" applyFont="1" applyFill="1" applyBorder="1" applyAlignment="1">
      <alignment horizontal="left" vertical="center"/>
    </xf>
    <xf numFmtId="0" fontId="0" fillId="7" borderId="9" xfId="0" applyFill="1" applyBorder="1" applyAlignment="1">
      <alignment vertical="center"/>
    </xf>
    <xf numFmtId="0" fontId="0" fillId="7" borderId="1" xfId="0" applyFill="1" applyBorder="1" applyAlignment="1">
      <alignment vertical="center"/>
    </xf>
    <xf numFmtId="0" fontId="21" fillId="5" borderId="0" xfId="0" applyNumberFormat="1" applyFont="1" applyFill="1" applyBorder="1" applyAlignment="1">
      <alignment horizontal="right" vertical="center"/>
    </xf>
    <xf numFmtId="0" fontId="0" fillId="5" borderId="1" xfId="0" applyFill="1" applyBorder="1"/>
    <xf numFmtId="0" fontId="35" fillId="0" borderId="0" xfId="6"/>
    <xf numFmtId="10" fontId="0" fillId="0" borderId="0" xfId="1" applyNumberFormat="1" applyFont="1"/>
    <xf numFmtId="174" fontId="0" fillId="0" borderId="0" xfId="2" applyFont="1" applyAlignment="1">
      <alignment horizontal="right"/>
    </xf>
    <xf numFmtId="0" fontId="21" fillId="5" borderId="11" xfId="0" applyNumberFormat="1" applyFont="1" applyFill="1" applyBorder="1" applyAlignment="1">
      <alignment horizontal="center" vertical="center"/>
    </xf>
    <xf numFmtId="174" fontId="0" fillId="7" borderId="0" xfId="0" applyNumberFormat="1" applyFont="1" applyFill="1" applyBorder="1" applyAlignment="1">
      <alignment vertical="center"/>
    </xf>
    <xf numFmtId="174" fontId="13" fillId="6" borderId="0" xfId="0" applyNumberFormat="1" applyFont="1" applyFill="1" applyBorder="1" applyAlignment="1">
      <alignment vertical="center"/>
    </xf>
    <xf numFmtId="9" fontId="0" fillId="5" borderId="1" xfId="0" applyNumberFormat="1" applyFill="1" applyBorder="1" applyAlignment="1">
      <alignment vertical="center"/>
    </xf>
    <xf numFmtId="173" fontId="0" fillId="5" borderId="12" xfId="1" applyNumberFormat="1" applyFont="1" applyFill="1" applyBorder="1" applyAlignment="1">
      <alignment horizontal="right" vertical="center"/>
    </xf>
    <xf numFmtId="10" fontId="0" fillId="5" borderId="0" xfId="1" applyNumberFormat="1" applyFont="1" applyFill="1" applyBorder="1" applyAlignment="1">
      <alignment vertical="center"/>
    </xf>
    <xf numFmtId="10" fontId="0" fillId="5" borderId="0" xfId="1" applyNumberFormat="1" applyFont="1" applyFill="1" applyBorder="1" applyAlignment="1">
      <alignment horizontal="right" vertical="center"/>
    </xf>
    <xf numFmtId="10" fontId="0" fillId="5" borderId="12" xfId="1" applyNumberFormat="1" applyFont="1" applyFill="1" applyBorder="1" applyAlignment="1">
      <alignment horizontal="right" vertical="center"/>
    </xf>
    <xf numFmtId="0" fontId="65" fillId="0" borderId="0" xfId="0" applyFont="1"/>
    <xf numFmtId="174" fontId="14" fillId="0" borderId="0" xfId="2" applyFont="1" applyAlignment="1">
      <alignment horizontal="right"/>
    </xf>
    <xf numFmtId="0" fontId="32" fillId="0" borderId="0" xfId="0" applyFont="1"/>
    <xf numFmtId="0" fontId="24" fillId="0" borderId="0" xfId="0" applyFont="1" applyAlignment="1">
      <alignment horizontal="center" vertical="center"/>
    </xf>
    <xf numFmtId="0" fontId="38" fillId="0" borderId="0" xfId="4" applyNumberFormat="1" applyBorder="1" applyAlignment="1">
      <alignment vertical="center"/>
    </xf>
    <xf numFmtId="174" fontId="38" fillId="14" borderId="27" xfId="2" applyFont="1" applyFill="1" applyBorder="1" applyAlignment="1">
      <alignment vertical="center"/>
    </xf>
    <xf numFmtId="174" fontId="0" fillId="14" borderId="27" xfId="2" applyFont="1" applyFill="1" applyBorder="1" applyAlignment="1">
      <alignment vertical="center"/>
    </xf>
    <xf numFmtId="0" fontId="38" fillId="0" borderId="0" xfId="4" applyNumberFormat="1" applyAlignment="1">
      <alignment vertical="center"/>
    </xf>
    <xf numFmtId="174" fontId="38" fillId="14" borderId="31" xfId="2" applyFont="1" applyFill="1" applyBorder="1" applyAlignment="1">
      <alignment vertical="center"/>
    </xf>
    <xf numFmtId="174" fontId="0" fillId="14" borderId="31" xfId="2" applyFont="1" applyFill="1" applyBorder="1" applyAlignment="1">
      <alignment vertical="center"/>
    </xf>
    <xf numFmtId="174" fontId="24" fillId="14" borderId="45" xfId="2" applyFont="1" applyFill="1" applyBorder="1" applyAlignment="1">
      <alignment vertical="center"/>
    </xf>
    <xf numFmtId="0" fontId="49" fillId="0" borderId="0" xfId="4" applyNumberFormat="1" applyFont="1" applyAlignment="1">
      <alignment vertical="center"/>
    </xf>
    <xf numFmtId="0" fontId="57" fillId="0" borderId="0" xfId="4" applyNumberFormat="1" applyFont="1" applyAlignment="1">
      <alignment vertical="center"/>
    </xf>
    <xf numFmtId="174" fontId="49" fillId="14" borderId="27" xfId="2" applyFont="1" applyFill="1" applyBorder="1" applyAlignment="1">
      <alignment vertical="center"/>
    </xf>
    <xf numFmtId="0" fontId="49" fillId="0" borderId="36" xfId="4" applyNumberFormat="1" applyFont="1" applyBorder="1" applyAlignment="1">
      <alignment vertical="center"/>
    </xf>
    <xf numFmtId="0" fontId="32" fillId="0" borderId="0" xfId="4" applyNumberFormat="1" applyFont="1" applyAlignment="1">
      <alignment vertical="center"/>
    </xf>
    <xf numFmtId="174" fontId="18" fillId="14" borderId="46" xfId="2" applyFont="1" applyFill="1" applyBorder="1" applyAlignment="1">
      <alignment vertical="center"/>
    </xf>
    <xf numFmtId="0" fontId="0" fillId="14" borderId="29" xfId="0" applyFill="1" applyBorder="1" applyAlignment="1">
      <alignment vertical="center"/>
    </xf>
    <xf numFmtId="0" fontId="67" fillId="0" borderId="0" xfId="0" applyFont="1" applyAlignment="1">
      <alignment vertical="center"/>
    </xf>
    <xf numFmtId="11" fontId="0" fillId="5" borderId="22" xfId="2" applyNumberFormat="1" applyFont="1" applyFill="1" applyBorder="1" applyAlignment="1">
      <alignment vertical="center"/>
    </xf>
    <xf numFmtId="11" fontId="0" fillId="5" borderId="0" xfId="2" applyNumberFormat="1" applyFont="1" applyFill="1" applyBorder="1" applyAlignment="1">
      <alignment vertical="center"/>
    </xf>
    <xf numFmtId="11" fontId="0" fillId="5" borderId="0" xfId="2" applyNumberFormat="1" applyFont="1" applyFill="1" applyBorder="1" applyAlignment="1">
      <alignment horizontal="right" vertical="center"/>
    </xf>
    <xf numFmtId="1" fontId="21" fillId="5" borderId="19" xfId="2" applyNumberFormat="1" applyFont="1" applyFill="1" applyBorder="1" applyAlignment="1">
      <alignment horizontal="right" vertical="center"/>
    </xf>
    <xf numFmtId="1" fontId="21" fillId="5" borderId="18" xfId="2" applyNumberFormat="1" applyFont="1" applyFill="1" applyBorder="1" applyAlignment="1">
      <alignment horizontal="right" vertical="center"/>
    </xf>
    <xf numFmtId="0" fontId="0" fillId="5" borderId="9" xfId="0" applyNumberFormat="1" applyFill="1" applyBorder="1" applyAlignment="1">
      <alignment vertical="center"/>
    </xf>
    <xf numFmtId="179" fontId="13" fillId="5" borderId="9" xfId="1" applyFont="1" applyFill="1" applyBorder="1" applyAlignment="1">
      <alignment horizontal="right" vertical="center"/>
    </xf>
    <xf numFmtId="179" fontId="0" fillId="5" borderId="0" xfId="1" applyFont="1" applyFill="1" applyBorder="1"/>
    <xf numFmtId="179" fontId="0" fillId="5" borderId="25" xfId="1" applyFont="1" applyFill="1" applyBorder="1" applyAlignment="1">
      <alignment horizontal="right" vertical="center"/>
    </xf>
    <xf numFmtId="179" fontId="0" fillId="5" borderId="1" xfId="1" applyFont="1" applyFill="1" applyBorder="1" applyAlignment="1">
      <alignment horizontal="right" vertical="center"/>
    </xf>
    <xf numFmtId="179" fontId="0" fillId="5" borderId="1" xfId="1" applyFont="1" applyFill="1" applyBorder="1"/>
    <xf numFmtId="0" fontId="49" fillId="0" borderId="36" xfId="4" applyNumberFormat="1" applyFont="1" applyFill="1" applyBorder="1" applyAlignment="1">
      <alignment horizontal="right" vertical="center"/>
    </xf>
    <xf numFmtId="0" fontId="49" fillId="0" borderId="36" xfId="4" applyNumberFormat="1" applyFont="1" applyFill="1" applyBorder="1" applyAlignment="1">
      <alignment vertical="center"/>
    </xf>
    <xf numFmtId="174" fontId="49" fillId="0" borderId="36" xfId="4" applyNumberFormat="1" applyFont="1" applyFill="1" applyBorder="1" applyAlignment="1">
      <alignment vertical="center"/>
    </xf>
    <xf numFmtId="174" fontId="49" fillId="0" borderId="36" xfId="4" applyNumberFormat="1" applyFont="1" applyBorder="1" applyAlignment="1">
      <alignment vertical="center"/>
    </xf>
    <xf numFmtId="174" fontId="49" fillId="14" borderId="30" xfId="4" applyNumberFormat="1" applyFont="1" applyFill="1" applyBorder="1" applyAlignment="1">
      <alignment vertical="center"/>
    </xf>
    <xf numFmtId="0" fontId="21" fillId="5" borderId="48" xfId="0" applyFont="1" applyFill="1" applyBorder="1" applyAlignment="1">
      <alignment horizontal="right" vertical="center"/>
    </xf>
    <xf numFmtId="179" fontId="0" fillId="5" borderId="21" xfId="1" applyFont="1" applyFill="1" applyBorder="1" applyAlignment="1">
      <alignment vertical="center"/>
    </xf>
    <xf numFmtId="0" fontId="21" fillId="5" borderId="48" xfId="0" applyNumberFormat="1" applyFont="1" applyFill="1" applyBorder="1" applyAlignment="1">
      <alignment horizontal="right" vertical="center"/>
    </xf>
    <xf numFmtId="0" fontId="21" fillId="0" borderId="4" xfId="0" applyFont="1" applyBorder="1" applyAlignment="1">
      <alignment vertical="center"/>
    </xf>
    <xf numFmtId="0" fontId="46" fillId="5" borderId="43" xfId="0" applyFont="1" applyFill="1" applyBorder="1"/>
    <xf numFmtId="174" fontId="0" fillId="5" borderId="23" xfId="2" applyFont="1" applyFill="1" applyBorder="1" applyAlignment="1">
      <alignment vertical="center"/>
    </xf>
    <xf numFmtId="174" fontId="0" fillId="5" borderId="49" xfId="2" applyFont="1" applyFill="1" applyBorder="1" applyAlignment="1">
      <alignment vertical="center"/>
    </xf>
    <xf numFmtId="0" fontId="0" fillId="5" borderId="0" xfId="0" applyFont="1" applyFill="1" applyBorder="1"/>
    <xf numFmtId="0" fontId="24" fillId="0" borderId="11" xfId="0" applyFont="1" applyFill="1" applyBorder="1" applyAlignment="1">
      <alignment horizontal="center" vertical="center"/>
    </xf>
    <xf numFmtId="0" fontId="0" fillId="0" borderId="1" xfId="0" applyBorder="1"/>
    <xf numFmtId="176" fontId="0" fillId="0" borderId="0" xfId="2" applyNumberFormat="1" applyFont="1"/>
    <xf numFmtId="0" fontId="29" fillId="0" borderId="0" xfId="0" applyFont="1" applyAlignment="1">
      <alignment horizontal="right"/>
    </xf>
    <xf numFmtId="0" fontId="0" fillId="0" borderId="0" xfId="0" applyFont="1" applyAlignment="1">
      <alignment horizontal="right"/>
    </xf>
    <xf numFmtId="0" fontId="24" fillId="0" borderId="0" xfId="0" quotePrefix="1" applyFont="1" applyAlignment="1">
      <alignment horizontal="right"/>
    </xf>
    <xf numFmtId="0" fontId="24" fillId="0" borderId="0" xfId="0" applyFont="1" applyAlignment="1">
      <alignment horizontal="right" vertical="center"/>
    </xf>
    <xf numFmtId="0" fontId="24" fillId="0" borderId="0" xfId="0" quotePrefix="1" applyFont="1" applyAlignment="1">
      <alignment horizontal="right" vertical="center"/>
    </xf>
    <xf numFmtId="0" fontId="0" fillId="0" borderId="42" xfId="0" applyFill="1" applyBorder="1"/>
    <xf numFmtId="0" fontId="0" fillId="0" borderId="0" xfId="0" applyFill="1"/>
    <xf numFmtId="0" fontId="21" fillId="7" borderId="11" xfId="0" applyFont="1" applyFill="1" applyBorder="1" applyAlignment="1">
      <alignment vertical="center"/>
    </xf>
    <xf numFmtId="0" fontId="53" fillId="0" borderId="0" xfId="0" applyFont="1" applyAlignment="1">
      <alignment horizontal="right"/>
    </xf>
    <xf numFmtId="0" fontId="0" fillId="0" borderId="0" xfId="0" applyFont="1" applyBorder="1"/>
    <xf numFmtId="0" fontId="0" fillId="0" borderId="0" xfId="0" applyBorder="1" applyAlignment="1">
      <alignment horizontal="left" vertical="center" wrapText="1"/>
    </xf>
    <xf numFmtId="174" fontId="38" fillId="14" borderId="27" xfId="4" applyNumberFormat="1" applyFill="1" applyBorder="1" applyAlignment="1">
      <alignment vertical="center"/>
    </xf>
    <xf numFmtId="174" fontId="38" fillId="0" borderId="0" xfId="4" applyNumberFormat="1" applyAlignment="1">
      <alignment vertical="center"/>
    </xf>
    <xf numFmtId="174" fontId="56" fillId="5" borderId="27" xfId="4" applyNumberFormat="1" applyFont="1" applyFill="1" applyBorder="1" applyAlignment="1">
      <alignment horizontal="right" vertical="center"/>
    </xf>
    <xf numFmtId="174" fontId="56" fillId="5" borderId="27" xfId="4" applyNumberFormat="1" applyFont="1" applyFill="1" applyBorder="1" applyAlignment="1">
      <alignment horizontal="right" vertical="center" wrapText="1"/>
    </xf>
    <xf numFmtId="174" fontId="56" fillId="2" borderId="27" xfId="4" applyNumberFormat="1" applyFont="1" applyFill="1" applyBorder="1" applyAlignment="1">
      <alignment vertical="center"/>
    </xf>
    <xf numFmtId="174" fontId="56" fillId="7" borderId="27" xfId="4" applyNumberFormat="1" applyFont="1" applyFill="1" applyBorder="1" applyAlignment="1">
      <alignment vertical="center"/>
    </xf>
    <xf numFmtId="174" fontId="56" fillId="6" borderId="27" xfId="4" applyNumberFormat="1" applyFont="1" applyFill="1" applyBorder="1" applyAlignment="1">
      <alignment vertical="center"/>
    </xf>
    <xf numFmtId="0" fontId="16" fillId="7" borderId="0" xfId="0" applyFont="1" applyFill="1" applyBorder="1"/>
    <xf numFmtId="179" fontId="24" fillId="5" borderId="0" xfId="1" applyFont="1" applyFill="1" applyBorder="1" applyAlignment="1">
      <alignment vertical="center"/>
    </xf>
    <xf numFmtId="179" fontId="24" fillId="5" borderId="0" xfId="1" applyFont="1" applyFill="1" applyBorder="1" applyAlignment="1">
      <alignment horizontal="right" vertical="center"/>
    </xf>
    <xf numFmtId="0" fontId="0" fillId="5" borderId="12" xfId="0" applyNumberFormat="1" applyFill="1" applyBorder="1" applyAlignment="1">
      <alignment horizontal="right" vertical="center"/>
    </xf>
    <xf numFmtId="0" fontId="70" fillId="5" borderId="43" xfId="4" applyNumberFormat="1" applyFont="1" applyFill="1" applyBorder="1"/>
    <xf numFmtId="179" fontId="13" fillId="0" borderId="0" xfId="1" applyFont="1" applyAlignment="1">
      <alignment horizontal="right"/>
    </xf>
    <xf numFmtId="0" fontId="0" fillId="5" borderId="0" xfId="0" applyNumberFormat="1" applyFill="1" applyBorder="1" applyAlignment="1">
      <alignment horizontal="left" vertical="center"/>
    </xf>
    <xf numFmtId="0" fontId="20" fillId="0" borderId="0" xfId="0" applyFont="1" applyAlignment="1">
      <alignment horizontal="right"/>
    </xf>
    <xf numFmtId="175" fontId="21" fillId="0" borderId="0" xfId="2" applyNumberFormat="1" applyFont="1" applyAlignment="1">
      <alignment horizontal="right"/>
    </xf>
    <xf numFmtId="173" fontId="0" fillId="5" borderId="14" xfId="1" applyNumberFormat="1" applyFont="1" applyFill="1" applyBorder="1" applyAlignment="1">
      <alignment vertical="center"/>
    </xf>
    <xf numFmtId="0" fontId="0" fillId="0" borderId="0" xfId="0" applyFont="1" applyAlignment="1">
      <alignment horizontal="left"/>
    </xf>
    <xf numFmtId="0" fontId="0" fillId="0" borderId="0" xfId="0" quotePrefix="1" applyFont="1" applyAlignment="1">
      <alignment horizontal="right"/>
    </xf>
    <xf numFmtId="173" fontId="71" fillId="5" borderId="0" xfId="1" applyNumberFormat="1" applyFont="1" applyFill="1" applyBorder="1" applyAlignment="1">
      <alignment vertical="center"/>
    </xf>
    <xf numFmtId="173" fontId="71" fillId="5" borderId="12" xfId="1" applyNumberFormat="1" applyFont="1" applyFill="1" applyBorder="1" applyAlignment="1">
      <alignment vertical="center"/>
    </xf>
    <xf numFmtId="174" fontId="72" fillId="5" borderId="0" xfId="2" applyFont="1" applyFill="1" applyBorder="1" applyAlignment="1">
      <alignment vertical="center"/>
    </xf>
    <xf numFmtId="177" fontId="0" fillId="0" borderId="0" xfId="2" applyNumberFormat="1" applyFont="1"/>
    <xf numFmtId="10" fontId="38" fillId="0" borderId="0" xfId="1" applyNumberFormat="1" applyFont="1"/>
    <xf numFmtId="173" fontId="20" fillId="0" borderId="0" xfId="1" applyNumberFormat="1" applyFont="1"/>
    <xf numFmtId="174" fontId="72" fillId="5" borderId="14" xfId="2" applyFont="1" applyFill="1" applyBorder="1" applyAlignment="1">
      <alignment vertical="center"/>
    </xf>
    <xf numFmtId="174" fontId="72" fillId="5" borderId="14" xfId="2" applyFont="1" applyFill="1" applyBorder="1" applyAlignment="1">
      <alignment horizontal="right" vertical="center"/>
    </xf>
    <xf numFmtId="174" fontId="72" fillId="5" borderId="0" xfId="2" applyFont="1" applyFill="1" applyBorder="1" applyAlignment="1">
      <alignment horizontal="right" vertical="center"/>
    </xf>
    <xf numFmtId="174" fontId="72" fillId="5" borderId="12" xfId="2" applyFont="1" applyFill="1" applyBorder="1" applyAlignment="1">
      <alignment horizontal="right" vertical="center"/>
    </xf>
    <xf numFmtId="174" fontId="72" fillId="5" borderId="15" xfId="2" applyFont="1" applyFill="1" applyBorder="1" applyAlignment="1">
      <alignment horizontal="right" vertical="center"/>
    </xf>
    <xf numFmtId="9" fontId="0" fillId="5" borderId="9" xfId="0" applyNumberFormat="1" applyFill="1" applyBorder="1" applyAlignment="1">
      <alignment vertical="center"/>
    </xf>
    <xf numFmtId="0" fontId="0" fillId="5" borderId="10" xfId="0" applyFill="1" applyBorder="1" applyAlignment="1">
      <alignment vertical="center"/>
    </xf>
    <xf numFmtId="9" fontId="0" fillId="5" borderId="10" xfId="0" applyNumberFormat="1" applyFill="1" applyBorder="1" applyAlignment="1">
      <alignment vertical="center"/>
    </xf>
    <xf numFmtId="0" fontId="24" fillId="5" borderId="0" xfId="0" applyFont="1" applyFill="1" applyBorder="1" applyAlignment="1">
      <alignment horizontal="left"/>
    </xf>
    <xf numFmtId="9" fontId="71" fillId="5" borderId="0" xfId="1" applyNumberFormat="1" applyFont="1" applyFill="1" applyBorder="1" applyAlignment="1">
      <alignment vertical="center"/>
    </xf>
    <xf numFmtId="179" fontId="71" fillId="5" borderId="0" xfId="1" applyFont="1" applyFill="1" applyBorder="1" applyAlignment="1">
      <alignment horizontal="right" vertical="center"/>
    </xf>
    <xf numFmtId="173" fontId="32" fillId="5" borderId="14" xfId="1" applyNumberFormat="1" applyFont="1" applyFill="1" applyBorder="1" applyAlignment="1">
      <alignment vertical="center"/>
    </xf>
    <xf numFmtId="173" fontId="32" fillId="5" borderId="0" xfId="1" applyNumberFormat="1" applyFont="1" applyFill="1" applyBorder="1" applyAlignment="1">
      <alignment vertical="center"/>
    </xf>
    <xf numFmtId="0" fontId="24" fillId="5" borderId="0" xfId="0" applyNumberFormat="1" applyFont="1" applyFill="1" applyBorder="1" applyAlignment="1">
      <alignment horizontal="left" vertical="center"/>
    </xf>
    <xf numFmtId="179" fontId="24" fillId="5" borderId="0" xfId="1" applyFont="1" applyFill="1" applyBorder="1" applyAlignment="1">
      <alignment horizontal="left" vertical="center"/>
    </xf>
    <xf numFmtId="175" fontId="32" fillId="5" borderId="14" xfId="2" applyNumberFormat="1" applyFont="1" applyFill="1" applyBorder="1" applyAlignment="1">
      <alignment vertical="center"/>
    </xf>
    <xf numFmtId="175" fontId="32" fillId="5" borderId="0" xfId="2" applyNumberFormat="1" applyFont="1" applyFill="1" applyBorder="1" applyAlignment="1">
      <alignment vertical="center"/>
    </xf>
    <xf numFmtId="179" fontId="32" fillId="5" borderId="9" xfId="1" applyFont="1" applyFill="1" applyBorder="1" applyAlignment="1">
      <alignment vertical="center"/>
    </xf>
    <xf numFmtId="179" fontId="32" fillId="5" borderId="0" xfId="1" applyFont="1" applyFill="1" applyBorder="1" applyAlignment="1">
      <alignment vertical="center"/>
    </xf>
    <xf numFmtId="179" fontId="32" fillId="5" borderId="10" xfId="1" applyFont="1" applyFill="1" applyBorder="1" applyAlignment="1">
      <alignment vertical="center"/>
    </xf>
    <xf numFmtId="179" fontId="32" fillId="5" borderId="16" xfId="1" applyFont="1" applyFill="1" applyBorder="1" applyAlignment="1">
      <alignment vertical="center"/>
    </xf>
    <xf numFmtId="179" fontId="32" fillId="5" borderId="26" xfId="1" applyFont="1" applyFill="1" applyBorder="1" applyAlignment="1">
      <alignment vertical="center"/>
    </xf>
    <xf numFmtId="179" fontId="32" fillId="5" borderId="14" xfId="1" applyFont="1" applyFill="1" applyBorder="1" applyAlignment="1">
      <alignment vertical="center"/>
    </xf>
    <xf numFmtId="179" fontId="32" fillId="5" borderId="20" xfId="1" applyFont="1" applyFill="1" applyBorder="1" applyAlignment="1">
      <alignment vertical="center"/>
    </xf>
    <xf numFmtId="179" fontId="32" fillId="5" borderId="17" xfId="1" applyFont="1" applyFill="1" applyBorder="1" applyAlignment="1">
      <alignment vertical="center"/>
    </xf>
    <xf numFmtId="0" fontId="73" fillId="0" borderId="0" xfId="4" applyNumberFormat="1" applyFont="1"/>
    <xf numFmtId="0" fontId="74" fillId="5" borderId="43" xfId="0" applyFont="1" applyFill="1" applyBorder="1"/>
    <xf numFmtId="173" fontId="32" fillId="5" borderId="0" xfId="1" applyNumberFormat="1" applyFont="1" applyFill="1" applyBorder="1"/>
    <xf numFmtId="173" fontId="32" fillId="5" borderId="14" xfId="1" applyNumberFormat="1" applyFont="1" applyFill="1" applyBorder="1" applyAlignment="1">
      <alignment horizontal="right" vertical="center"/>
    </xf>
    <xf numFmtId="173" fontId="32" fillId="5" borderId="0" xfId="1" applyNumberFormat="1" applyFont="1" applyFill="1" applyBorder="1" applyAlignment="1">
      <alignment horizontal="right" vertical="center"/>
    </xf>
    <xf numFmtId="173" fontId="32" fillId="5" borderId="15" xfId="1" applyNumberFormat="1" applyFont="1" applyFill="1" applyBorder="1" applyAlignment="1">
      <alignment horizontal="right" vertical="center"/>
    </xf>
    <xf numFmtId="173" fontId="32" fillId="5" borderId="12" xfId="1" applyNumberFormat="1" applyFont="1" applyFill="1" applyBorder="1" applyAlignment="1">
      <alignment horizontal="right" vertical="center"/>
    </xf>
    <xf numFmtId="177" fontId="32" fillId="5" borderId="9" xfId="2" applyNumberFormat="1" applyFont="1" applyFill="1" applyBorder="1" applyAlignment="1">
      <alignment vertical="center"/>
    </xf>
    <xf numFmtId="177" fontId="32" fillId="5" borderId="0" xfId="2" applyNumberFormat="1" applyFont="1" applyFill="1" applyBorder="1" applyAlignment="1">
      <alignment vertical="center"/>
    </xf>
    <xf numFmtId="177" fontId="32" fillId="5" borderId="16" xfId="2" applyNumberFormat="1" applyFont="1" applyFill="1" applyBorder="1" applyAlignment="1">
      <alignment vertical="center"/>
    </xf>
    <xf numFmtId="177" fontId="32" fillId="5" borderId="26" xfId="2" applyNumberFormat="1" applyFont="1" applyFill="1" applyBorder="1" applyAlignment="1">
      <alignment vertical="center"/>
    </xf>
    <xf numFmtId="177" fontId="32" fillId="5" borderId="14" xfId="2" applyNumberFormat="1" applyFont="1" applyFill="1" applyBorder="1" applyAlignment="1">
      <alignment vertical="center"/>
    </xf>
    <xf numFmtId="177" fontId="32" fillId="5" borderId="17" xfId="2" applyNumberFormat="1" applyFont="1" applyFill="1" applyBorder="1" applyAlignment="1">
      <alignment vertical="center"/>
    </xf>
    <xf numFmtId="174" fontId="21" fillId="0" borderId="0" xfId="2" applyFont="1" applyAlignment="1">
      <alignment horizontal="left"/>
    </xf>
    <xf numFmtId="174" fontId="32" fillId="5" borderId="16" xfId="2" applyNumberFormat="1" applyFont="1" applyFill="1" applyBorder="1" applyAlignment="1">
      <alignment vertical="center"/>
    </xf>
    <xf numFmtId="174" fontId="32" fillId="5" borderId="17" xfId="2" applyNumberFormat="1" applyFont="1" applyFill="1" applyBorder="1" applyAlignment="1">
      <alignment vertical="center"/>
    </xf>
    <xf numFmtId="0" fontId="0" fillId="5" borderId="43" xfId="0" applyFill="1" applyBorder="1" applyAlignment="1">
      <alignment horizontal="left" vertical="center"/>
    </xf>
    <xf numFmtId="173" fontId="13" fillId="5" borderId="0" xfId="0" applyNumberFormat="1" applyFont="1" applyFill="1" applyBorder="1" applyAlignment="1">
      <alignment horizontal="right" vertical="center"/>
    </xf>
    <xf numFmtId="0" fontId="16" fillId="5" borderId="43" xfId="0" applyFont="1" applyFill="1" applyBorder="1" applyAlignment="1">
      <alignment horizontal="left" vertical="center"/>
    </xf>
    <xf numFmtId="0" fontId="0" fillId="5" borderId="23" xfId="0" applyFill="1" applyBorder="1" applyAlignment="1">
      <alignment vertical="center"/>
    </xf>
    <xf numFmtId="0" fontId="0" fillId="5" borderId="24" xfId="0" applyFill="1" applyBorder="1" applyAlignment="1">
      <alignment vertical="center"/>
    </xf>
    <xf numFmtId="0" fontId="21" fillId="5" borderId="13" xfId="0" applyFont="1" applyFill="1" applyBorder="1" applyAlignment="1">
      <alignment horizontal="center" vertical="center"/>
    </xf>
    <xf numFmtId="0" fontId="21" fillId="5" borderId="11" xfId="0" applyFont="1" applyFill="1" applyBorder="1" applyAlignment="1">
      <alignment horizontal="center" vertical="center"/>
    </xf>
    <xf numFmtId="179" fontId="13" fillId="5" borderId="0" xfId="1" applyFont="1" applyFill="1" applyBorder="1" applyAlignment="1">
      <alignment horizontal="right" vertical="center"/>
    </xf>
    <xf numFmtId="179" fontId="13" fillId="5" borderId="22" xfId="1" applyFont="1" applyFill="1" applyBorder="1" applyAlignment="1">
      <alignment horizontal="right" vertical="center"/>
    </xf>
    <xf numFmtId="179" fontId="13" fillId="5" borderId="1" xfId="1" applyFont="1" applyFill="1" applyBorder="1" applyAlignment="1">
      <alignment horizontal="right" vertical="center"/>
    </xf>
    <xf numFmtId="0" fontId="21" fillId="5" borderId="0" xfId="0" applyFont="1" applyFill="1" applyBorder="1" applyAlignment="1">
      <alignment horizontal="right" vertical="center"/>
    </xf>
    <xf numFmtId="0" fontId="21" fillId="5" borderId="0" xfId="0" applyFont="1" applyFill="1" applyBorder="1" applyAlignment="1">
      <alignment horizontal="center" vertical="center"/>
    </xf>
    <xf numFmtId="178" fontId="13" fillId="5" borderId="0" xfId="2" applyNumberFormat="1" applyFont="1" applyFill="1" applyBorder="1" applyAlignment="1">
      <alignment horizontal="right" vertical="center"/>
    </xf>
    <xf numFmtId="178" fontId="13" fillId="5" borderId="1" xfId="2" applyNumberFormat="1" applyFont="1" applyFill="1" applyBorder="1" applyAlignment="1">
      <alignment horizontal="right" vertical="center"/>
    </xf>
    <xf numFmtId="177" fontId="24" fillId="0" borderId="0" xfId="2" applyNumberFormat="1" applyFont="1"/>
    <xf numFmtId="177" fontId="29" fillId="0" borderId="0" xfId="2" applyNumberFormat="1" applyFont="1"/>
    <xf numFmtId="175" fontId="0" fillId="0" borderId="0" xfId="2" applyNumberFormat="1" applyFont="1"/>
    <xf numFmtId="0" fontId="0" fillId="0" borderId="0" xfId="0" applyFont="1" applyBorder="1" applyAlignment="1">
      <alignment horizontal="left" vertical="center" wrapText="1"/>
    </xf>
    <xf numFmtId="174" fontId="21" fillId="6" borderId="0" xfId="0" applyNumberFormat="1" applyFont="1" applyFill="1" applyBorder="1" applyAlignment="1">
      <alignment vertical="center"/>
    </xf>
    <xf numFmtId="174" fontId="0" fillId="5" borderId="9" xfId="2" applyNumberFormat="1" applyFont="1" applyFill="1" applyBorder="1" applyAlignment="1">
      <alignment vertical="center"/>
    </xf>
    <xf numFmtId="174" fontId="0" fillId="5" borderId="14" xfId="2" applyNumberFormat="1" applyFont="1" applyFill="1" applyBorder="1" applyAlignment="1">
      <alignment vertical="center"/>
    </xf>
    <xf numFmtId="174" fontId="0" fillId="5" borderId="0" xfId="2" applyNumberFormat="1" applyFont="1" applyFill="1" applyBorder="1" applyAlignment="1">
      <alignment horizontal="right" vertical="center"/>
    </xf>
    <xf numFmtId="174" fontId="0" fillId="5" borderId="15" xfId="2" applyNumberFormat="1" applyFont="1" applyFill="1" applyBorder="1" applyAlignment="1">
      <alignment horizontal="right" vertical="center"/>
    </xf>
    <xf numFmtId="174" fontId="0" fillId="5" borderId="12" xfId="2" applyNumberFormat="1" applyFont="1" applyFill="1" applyBorder="1" applyAlignment="1">
      <alignment horizontal="right" vertical="center"/>
    </xf>
    <xf numFmtId="175" fontId="0" fillId="5" borderId="12" xfId="2" applyNumberFormat="1" applyFont="1" applyFill="1" applyBorder="1" applyAlignment="1">
      <alignment vertical="center"/>
    </xf>
    <xf numFmtId="174" fontId="0" fillId="5" borderId="1" xfId="2" applyNumberFormat="1" applyFont="1" applyFill="1" applyBorder="1" applyAlignment="1">
      <alignment vertical="center"/>
    </xf>
    <xf numFmtId="175" fontId="0" fillId="5" borderId="9" xfId="2" applyNumberFormat="1" applyFont="1" applyFill="1" applyBorder="1" applyAlignment="1">
      <alignment vertical="center"/>
    </xf>
    <xf numFmtId="175" fontId="0" fillId="5" borderId="1" xfId="2" applyNumberFormat="1" applyFont="1" applyFill="1" applyBorder="1" applyAlignment="1">
      <alignment vertical="center"/>
    </xf>
    <xf numFmtId="175" fontId="0" fillId="5" borderId="26" xfId="2" applyNumberFormat="1" applyFont="1" applyFill="1" applyBorder="1" applyAlignment="1">
      <alignment vertical="center"/>
    </xf>
    <xf numFmtId="175" fontId="0" fillId="5" borderId="0" xfId="0" applyNumberFormat="1" applyFill="1" applyBorder="1"/>
    <xf numFmtId="175" fontId="0" fillId="5" borderId="25" xfId="2" applyNumberFormat="1" applyFont="1" applyFill="1" applyBorder="1" applyAlignment="1">
      <alignment vertical="center"/>
    </xf>
    <xf numFmtId="175" fontId="0" fillId="5" borderId="1" xfId="0" applyNumberFormat="1" applyFill="1" applyBorder="1"/>
    <xf numFmtId="175" fontId="0" fillId="5" borderId="0" xfId="2" applyNumberFormat="1" applyFont="1" applyFill="1" applyBorder="1"/>
    <xf numFmtId="174" fontId="0" fillId="5" borderId="0" xfId="2" applyNumberFormat="1" applyFont="1" applyFill="1" applyBorder="1"/>
    <xf numFmtId="175" fontId="0" fillId="5" borderId="1" xfId="2" applyNumberFormat="1" applyFont="1" applyFill="1" applyBorder="1"/>
    <xf numFmtId="0" fontId="21" fillId="5" borderId="23" xfId="0" applyFont="1" applyFill="1" applyBorder="1" applyAlignment="1">
      <alignment horizontal="right" vertical="center"/>
    </xf>
    <xf numFmtId="0" fontId="0" fillId="5" borderId="12" xfId="0" applyFill="1" applyBorder="1"/>
    <xf numFmtId="0" fontId="0" fillId="5" borderId="23" xfId="0" applyFill="1" applyBorder="1"/>
    <xf numFmtId="173" fontId="0" fillId="5" borderId="0" xfId="1" applyNumberFormat="1" applyFont="1" applyFill="1" applyBorder="1"/>
    <xf numFmtId="0" fontId="0" fillId="5" borderId="0" xfId="0" quotePrefix="1" applyFont="1" applyFill="1" applyBorder="1" applyAlignment="1">
      <alignment horizontal="right" vertical="center"/>
    </xf>
    <xf numFmtId="173" fontId="0" fillId="5" borderId="25" xfId="1" applyNumberFormat="1" applyFont="1" applyFill="1" applyBorder="1" applyAlignment="1">
      <alignment horizontal="right" vertical="center"/>
    </xf>
    <xf numFmtId="173" fontId="0" fillId="5" borderId="1" xfId="1" applyNumberFormat="1" applyFont="1" applyFill="1" applyBorder="1" applyAlignment="1">
      <alignment horizontal="right" vertical="center"/>
    </xf>
    <xf numFmtId="0" fontId="0" fillId="0" borderId="0" xfId="0" quotePrefix="1" applyAlignment="1">
      <alignment horizontal="right"/>
    </xf>
    <xf numFmtId="174" fontId="76" fillId="0" borderId="0" xfId="2" applyFont="1" applyAlignment="1">
      <alignment horizontal="right"/>
    </xf>
    <xf numFmtId="179" fontId="76" fillId="0" borderId="0" xfId="1" applyFont="1" applyAlignment="1">
      <alignment horizontal="right"/>
    </xf>
    <xf numFmtId="10" fontId="76" fillId="0" borderId="0" xfId="1" applyNumberFormat="1" applyFont="1" applyAlignment="1">
      <alignment horizontal="right"/>
    </xf>
    <xf numFmtId="174" fontId="14" fillId="7" borderId="0" xfId="0" applyNumberFormat="1" applyFont="1" applyFill="1" applyBorder="1" applyAlignment="1">
      <alignment vertical="center"/>
    </xf>
    <xf numFmtId="0" fontId="21" fillId="5" borderId="9" xfId="0" applyFont="1" applyFill="1" applyBorder="1" applyAlignment="1">
      <alignment vertical="center"/>
    </xf>
    <xf numFmtId="173" fontId="13" fillId="5" borderId="22" xfId="1" applyNumberFormat="1" applyFont="1" applyFill="1" applyBorder="1" applyAlignment="1">
      <alignment horizontal="right" vertical="center"/>
    </xf>
    <xf numFmtId="173" fontId="13" fillId="5" borderId="23" xfId="1" applyNumberFormat="1" applyFont="1" applyFill="1" applyBorder="1" applyAlignment="1">
      <alignment horizontal="right" vertical="center"/>
    </xf>
    <xf numFmtId="173" fontId="13" fillId="5" borderId="24" xfId="1" applyNumberFormat="1" applyFont="1" applyFill="1" applyBorder="1" applyAlignment="1">
      <alignment horizontal="right" vertical="center"/>
    </xf>
    <xf numFmtId="179" fontId="29" fillId="0" borderId="0" xfId="1" applyFont="1"/>
    <xf numFmtId="0" fontId="0" fillId="5" borderId="50" xfId="0" quotePrefix="1" applyFont="1" applyFill="1" applyBorder="1" applyAlignment="1">
      <alignment horizontal="right"/>
    </xf>
    <xf numFmtId="0" fontId="0" fillId="5" borderId="51" xfId="0" applyFill="1" applyBorder="1"/>
    <xf numFmtId="0" fontId="0" fillId="5" borderId="50" xfId="0" applyFill="1" applyBorder="1"/>
    <xf numFmtId="0" fontId="21" fillId="5" borderId="52" xfId="0" applyFont="1" applyFill="1" applyBorder="1" applyAlignment="1">
      <alignment vertical="center"/>
    </xf>
    <xf numFmtId="0" fontId="21" fillId="5" borderId="53" xfId="0" applyNumberFormat="1" applyFont="1" applyFill="1" applyBorder="1" applyAlignment="1">
      <alignment horizontal="center" vertical="center"/>
    </xf>
    <xf numFmtId="9" fontId="0" fillId="5" borderId="50" xfId="0" applyNumberFormat="1" applyFill="1" applyBorder="1" applyAlignment="1">
      <alignment vertical="center"/>
    </xf>
    <xf numFmtId="10" fontId="0" fillId="5" borderId="51" xfId="1" applyNumberFormat="1" applyFont="1" applyFill="1" applyBorder="1" applyAlignment="1">
      <alignment vertical="center"/>
    </xf>
    <xf numFmtId="0" fontId="0" fillId="5" borderId="54" xfId="0" applyFill="1" applyBorder="1" applyAlignment="1">
      <alignment vertical="center"/>
    </xf>
    <xf numFmtId="0" fontId="21" fillId="5" borderId="0" xfId="0" applyNumberFormat="1" applyFont="1" applyFill="1" applyBorder="1" applyAlignment="1">
      <alignment horizontal="center" vertical="center"/>
    </xf>
    <xf numFmtId="180" fontId="0" fillId="5" borderId="0" xfId="1" applyNumberFormat="1" applyFont="1" applyFill="1" applyBorder="1" applyAlignment="1">
      <alignment vertical="center"/>
    </xf>
    <xf numFmtId="180" fontId="0" fillId="5" borderId="12" xfId="1" applyNumberFormat="1" applyFont="1" applyFill="1" applyBorder="1" applyAlignment="1">
      <alignment vertical="center"/>
    </xf>
    <xf numFmtId="174" fontId="24" fillId="5" borderId="0" xfId="2" applyFont="1" applyFill="1" applyBorder="1" applyAlignment="1">
      <alignment vertical="center"/>
    </xf>
    <xf numFmtId="174" fontId="24" fillId="5" borderId="0" xfId="0" applyNumberFormat="1" applyFont="1" applyFill="1" applyBorder="1"/>
    <xf numFmtId="177" fontId="0" fillId="5" borderId="0" xfId="2" applyNumberFormat="1" applyFont="1" applyFill="1" applyBorder="1" applyAlignment="1">
      <alignment horizontal="right" vertical="center"/>
    </xf>
    <xf numFmtId="177" fontId="0" fillId="5" borderId="14" xfId="2" applyNumberFormat="1" applyFont="1" applyFill="1" applyBorder="1" applyAlignment="1">
      <alignment horizontal="right" vertical="center"/>
    </xf>
    <xf numFmtId="177" fontId="0" fillId="5" borderId="12" xfId="2" applyNumberFormat="1" applyFont="1" applyFill="1" applyBorder="1" applyAlignment="1">
      <alignment horizontal="right" vertical="center"/>
    </xf>
    <xf numFmtId="177" fontId="0" fillId="5" borderId="15" xfId="2" applyNumberFormat="1" applyFont="1" applyFill="1" applyBorder="1" applyAlignment="1">
      <alignment horizontal="right" vertical="center"/>
    </xf>
    <xf numFmtId="174" fontId="0" fillId="5" borderId="51" xfId="2" applyFont="1" applyFill="1" applyBorder="1" applyAlignment="1">
      <alignment vertical="center"/>
    </xf>
    <xf numFmtId="174" fontId="0" fillId="5" borderId="50" xfId="2" applyFont="1" applyFill="1" applyBorder="1" applyAlignment="1">
      <alignment horizontal="right" vertical="center"/>
    </xf>
    <xf numFmtId="174" fontId="0" fillId="5" borderId="51" xfId="2" applyFont="1" applyFill="1" applyBorder="1" applyAlignment="1">
      <alignment horizontal="right" vertical="center"/>
    </xf>
    <xf numFmtId="174" fontId="0" fillId="5" borderId="55" xfId="2" applyFont="1" applyFill="1" applyBorder="1" applyAlignment="1">
      <alignment horizontal="right" vertical="center"/>
    </xf>
    <xf numFmtId="174" fontId="24" fillId="5" borderId="50" xfId="2" applyFont="1" applyFill="1" applyBorder="1" applyAlignment="1">
      <alignment vertical="center"/>
    </xf>
    <xf numFmtId="174" fontId="24" fillId="5" borderId="51" xfId="2" applyFont="1" applyFill="1" applyBorder="1" applyAlignment="1">
      <alignment vertical="center"/>
    </xf>
    <xf numFmtId="0" fontId="21" fillId="5" borderId="53" xfId="0" applyNumberFormat="1" applyFont="1" applyFill="1" applyBorder="1" applyAlignment="1">
      <alignment horizontal="right" vertical="center"/>
    </xf>
    <xf numFmtId="0" fontId="21" fillId="5" borderId="52" xfId="0" applyNumberFormat="1" applyFont="1" applyFill="1" applyBorder="1" applyAlignment="1">
      <alignment horizontal="right" vertical="center"/>
    </xf>
    <xf numFmtId="174" fontId="0" fillId="5" borderId="55" xfId="2" applyFont="1" applyFill="1" applyBorder="1" applyAlignment="1">
      <alignment vertical="center"/>
    </xf>
    <xf numFmtId="0" fontId="24" fillId="5" borderId="50" xfId="0" applyFont="1" applyFill="1" applyBorder="1" applyAlignment="1">
      <alignment vertical="center"/>
    </xf>
    <xf numFmtId="179" fontId="0" fillId="5" borderId="23" xfId="1" applyFont="1" applyFill="1" applyBorder="1" applyAlignment="1">
      <alignment vertical="center"/>
    </xf>
    <xf numFmtId="179" fontId="0" fillId="5" borderId="49" xfId="1" applyFont="1" applyFill="1" applyBorder="1" applyAlignment="1">
      <alignment vertical="center"/>
    </xf>
    <xf numFmtId="179" fontId="77" fillId="5" borderId="0" xfId="1" applyFont="1" applyFill="1" applyBorder="1" applyAlignment="1">
      <alignment vertical="center"/>
    </xf>
    <xf numFmtId="179" fontId="77" fillId="5" borderId="0" xfId="1" applyFont="1" applyFill="1" applyBorder="1" applyAlignment="1">
      <alignment horizontal="right" vertical="center"/>
    </xf>
    <xf numFmtId="179" fontId="77" fillId="5" borderId="12" xfId="1" applyFont="1" applyFill="1" applyBorder="1" applyAlignment="1">
      <alignment horizontal="right" vertical="center"/>
    </xf>
    <xf numFmtId="173" fontId="0" fillId="5" borderId="51" xfId="1" applyNumberFormat="1" applyFont="1" applyFill="1" applyBorder="1" applyAlignment="1">
      <alignment vertical="center"/>
    </xf>
    <xf numFmtId="9" fontId="0" fillId="5" borderId="56" xfId="0" applyNumberFormat="1" applyFill="1" applyBorder="1" applyAlignment="1">
      <alignment vertical="center"/>
    </xf>
    <xf numFmtId="173" fontId="0" fillId="5" borderId="57" xfId="1" applyNumberFormat="1" applyFont="1" applyFill="1" applyBorder="1" applyAlignment="1">
      <alignment vertical="center"/>
    </xf>
    <xf numFmtId="0" fontId="0" fillId="5" borderId="50" xfId="0" applyFill="1" applyBorder="1" applyAlignment="1">
      <alignment vertical="center"/>
    </xf>
    <xf numFmtId="177" fontId="0" fillId="5" borderId="51" xfId="2" applyNumberFormat="1" applyFont="1" applyFill="1" applyBorder="1" applyAlignment="1">
      <alignment vertical="center"/>
    </xf>
    <xf numFmtId="0" fontId="0" fillId="5" borderId="56" xfId="0" applyFill="1" applyBorder="1" applyAlignment="1">
      <alignment vertical="center"/>
    </xf>
    <xf numFmtId="177" fontId="0" fillId="5" borderId="57" xfId="2" applyNumberFormat="1" applyFont="1" applyFill="1" applyBorder="1" applyAlignment="1">
      <alignment vertical="center"/>
    </xf>
    <xf numFmtId="177" fontId="0" fillId="5" borderId="1" xfId="2" applyNumberFormat="1" applyFont="1" applyFill="1" applyBorder="1" applyAlignment="1">
      <alignment vertical="center"/>
    </xf>
    <xf numFmtId="10" fontId="24" fillId="0" borderId="0" xfId="1" applyNumberFormat="1" applyFont="1"/>
    <xf numFmtId="174" fontId="24" fillId="0" borderId="58" xfId="2" applyFont="1" applyBorder="1"/>
    <xf numFmtId="174" fontId="24" fillId="0" borderId="58" xfId="2" applyFont="1" applyBorder="1" applyAlignment="1">
      <alignment vertical="center"/>
    </xf>
    <xf numFmtId="10" fontId="14" fillId="0" borderId="0" xfId="1" applyNumberFormat="1" applyFont="1"/>
    <xf numFmtId="10" fontId="29" fillId="0" borderId="0" xfId="1" applyNumberFormat="1" applyFont="1"/>
    <xf numFmtId="174" fontId="77" fillId="5" borderId="0" xfId="2" applyFont="1" applyFill="1" applyBorder="1" applyAlignment="1">
      <alignment vertical="center"/>
    </xf>
    <xf numFmtId="174" fontId="77" fillId="5" borderId="14" xfId="2" applyFont="1" applyFill="1" applyBorder="1" applyAlignment="1">
      <alignment horizontal="right" vertical="center"/>
    </xf>
    <xf numFmtId="174" fontId="77" fillId="5" borderId="0" xfId="2" applyFont="1" applyFill="1" applyBorder="1" applyAlignment="1">
      <alignment horizontal="right" vertical="center"/>
    </xf>
    <xf numFmtId="174" fontId="77" fillId="5" borderId="15" xfId="2" applyFont="1" applyFill="1" applyBorder="1" applyAlignment="1">
      <alignment horizontal="right" vertical="center"/>
    </xf>
    <xf numFmtId="0" fontId="0" fillId="5" borderId="0" xfId="0" applyFill="1" applyBorder="1" applyAlignment="1">
      <alignment horizontal="left"/>
    </xf>
    <xf numFmtId="179" fontId="32" fillId="5" borderId="1" xfId="1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176" fontId="0" fillId="5" borderId="23" xfId="2" applyNumberFormat="1" applyFont="1" applyFill="1" applyBorder="1" applyAlignment="1">
      <alignment vertical="center"/>
    </xf>
    <xf numFmtId="176" fontId="0" fillId="5" borderId="24" xfId="2" applyNumberFormat="1" applyFont="1" applyFill="1" applyBorder="1" applyAlignment="1">
      <alignment vertical="center"/>
    </xf>
    <xf numFmtId="179" fontId="77" fillId="5" borderId="14" xfId="1" applyFont="1" applyFill="1" applyBorder="1" applyAlignment="1">
      <alignment vertical="center"/>
    </xf>
    <xf numFmtId="179" fontId="77" fillId="5" borderId="25" xfId="1" applyFont="1" applyFill="1" applyBorder="1" applyAlignment="1">
      <alignment horizontal="right" vertical="center"/>
    </xf>
    <xf numFmtId="179" fontId="77" fillId="5" borderId="1" xfId="1" applyFont="1" applyFill="1" applyBorder="1" applyAlignment="1">
      <alignment horizontal="right" vertical="center"/>
    </xf>
    <xf numFmtId="11" fontId="29" fillId="0" borderId="0" xfId="0" applyNumberFormat="1" applyFont="1"/>
    <xf numFmtId="180" fontId="24" fillId="0" borderId="0" xfId="1" applyNumberFormat="1" applyFont="1"/>
    <xf numFmtId="0" fontId="16" fillId="7" borderId="0" xfId="0" applyFont="1" applyFill="1" applyBorder="1" applyAlignment="1">
      <alignment horizontal="left" vertical="center" indent="1"/>
    </xf>
    <xf numFmtId="174" fontId="32" fillId="5" borderId="0" xfId="2" applyFont="1" applyFill="1" applyBorder="1" applyAlignment="1">
      <alignment horizontal="right" vertical="center"/>
    </xf>
    <xf numFmtId="174" fontId="32" fillId="5" borderId="12" xfId="2" applyFont="1" applyFill="1" applyBorder="1" applyAlignment="1">
      <alignment horizontal="right" vertical="center"/>
    </xf>
    <xf numFmtId="0" fontId="24" fillId="0" borderId="0" xfId="0" applyFont="1" applyBorder="1" applyAlignment="1">
      <alignment vertical="center"/>
    </xf>
    <xf numFmtId="0" fontId="0" fillId="7" borderId="47" xfId="0" applyFill="1" applyBorder="1" applyAlignment="1">
      <alignment horizontal="left" vertical="center"/>
    </xf>
    <xf numFmtId="0" fontId="21" fillId="7" borderId="47" xfId="0" applyFont="1" applyFill="1" applyBorder="1" applyAlignment="1">
      <alignment vertical="center"/>
    </xf>
    <xf numFmtId="0" fontId="24" fillId="7" borderId="9" xfId="0" applyFont="1" applyFill="1" applyBorder="1" applyAlignment="1">
      <alignment vertical="center"/>
    </xf>
    <xf numFmtId="174" fontId="24" fillId="7" borderId="9" xfId="2" applyFont="1" applyFill="1" applyBorder="1" applyAlignment="1">
      <alignment vertical="center"/>
    </xf>
    <xf numFmtId="0" fontId="24" fillId="7" borderId="0" xfId="0" applyFont="1" applyFill="1" applyBorder="1" applyAlignment="1">
      <alignment vertical="center"/>
    </xf>
    <xf numFmtId="174" fontId="24" fillId="7" borderId="0" xfId="2" applyFont="1" applyFill="1" applyBorder="1" applyAlignment="1">
      <alignment vertical="center"/>
    </xf>
    <xf numFmtId="0" fontId="0" fillId="7" borderId="59" xfId="0" applyFill="1" applyBorder="1"/>
    <xf numFmtId="0" fontId="0" fillId="7" borderId="59" xfId="0" applyFill="1" applyBorder="1" applyAlignment="1">
      <alignment vertical="center"/>
    </xf>
    <xf numFmtId="0" fontId="38" fillId="7" borderId="43" xfId="4" applyNumberFormat="1" applyFill="1" applyBorder="1"/>
    <xf numFmtId="0" fontId="38" fillId="7" borderId="0" xfId="4" applyNumberFormat="1" applyFill="1" applyBorder="1"/>
    <xf numFmtId="174" fontId="38" fillId="7" borderId="0" xfId="4" applyNumberFormat="1" applyFill="1" applyBorder="1"/>
    <xf numFmtId="174" fontId="38" fillId="7" borderId="44" xfId="4" applyNumberFormat="1" applyFill="1" applyBorder="1"/>
    <xf numFmtId="174" fontId="0" fillId="7" borderId="0" xfId="2" applyFont="1" applyFill="1" applyBorder="1"/>
    <xf numFmtId="174" fontId="0" fillId="7" borderId="44" xfId="2" applyFont="1" applyFill="1" applyBorder="1"/>
    <xf numFmtId="0" fontId="67" fillId="7" borderId="43" xfId="0" applyFont="1" applyFill="1" applyBorder="1" applyAlignment="1">
      <alignment vertical="center"/>
    </xf>
    <xf numFmtId="174" fontId="24" fillId="7" borderId="44" xfId="2" applyFont="1" applyFill="1" applyBorder="1" applyAlignment="1">
      <alignment vertical="center"/>
    </xf>
    <xf numFmtId="0" fontId="24" fillId="7" borderId="43" xfId="0" applyFont="1" applyFill="1" applyBorder="1"/>
    <xf numFmtId="174" fontId="24" fillId="7" borderId="0" xfId="2" applyFont="1" applyFill="1" applyBorder="1"/>
    <xf numFmtId="174" fontId="24" fillId="7" borderId="44" xfId="2" applyFont="1" applyFill="1" applyBorder="1"/>
    <xf numFmtId="0" fontId="29" fillId="7" borderId="43" xfId="0" applyFont="1" applyFill="1" applyBorder="1"/>
    <xf numFmtId="0" fontId="29" fillId="7" borderId="0" xfId="0" applyFont="1" applyFill="1" applyBorder="1"/>
    <xf numFmtId="174" fontId="29" fillId="7" borderId="0" xfId="2" applyFont="1" applyFill="1" applyBorder="1"/>
    <xf numFmtId="174" fontId="29" fillId="7" borderId="44" xfId="2" applyFont="1" applyFill="1" applyBorder="1"/>
    <xf numFmtId="0" fontId="46" fillId="7" borderId="43" xfId="0" applyFont="1" applyFill="1" applyBorder="1" applyAlignment="1">
      <alignment vertical="center"/>
    </xf>
    <xf numFmtId="174" fontId="0" fillId="7" borderId="44" xfId="2" applyFont="1" applyFill="1" applyBorder="1" applyAlignment="1">
      <alignment vertical="center"/>
    </xf>
    <xf numFmtId="0" fontId="67" fillId="7" borderId="41" xfId="0" applyFont="1" applyFill="1" applyBorder="1" applyAlignment="1">
      <alignment vertical="center"/>
    </xf>
    <xf numFmtId="0" fontId="24" fillId="7" borderId="28" xfId="0" applyFont="1" applyFill="1" applyBorder="1" applyAlignment="1">
      <alignment vertical="center"/>
    </xf>
    <xf numFmtId="174" fontId="24" fillId="7" borderId="28" xfId="2" applyFont="1" applyFill="1" applyBorder="1" applyAlignment="1">
      <alignment vertical="center"/>
    </xf>
    <xf numFmtId="174" fontId="24" fillId="7" borderId="42" xfId="2" applyFont="1" applyFill="1" applyBorder="1" applyAlignment="1">
      <alignment vertical="center"/>
    </xf>
    <xf numFmtId="0" fontId="39" fillId="7" borderId="0" xfId="4" applyNumberFormat="1" applyFont="1" applyFill="1" applyBorder="1"/>
    <xf numFmtId="0" fontId="20" fillId="7" borderId="0" xfId="0" applyFont="1" applyFill="1" applyBorder="1"/>
    <xf numFmtId="0" fontId="80" fillId="7" borderId="0" xfId="0" applyFont="1" applyFill="1" applyBorder="1" applyAlignment="1">
      <alignment vertical="center"/>
    </xf>
    <xf numFmtId="0" fontId="80" fillId="7" borderId="0" xfId="0" applyFont="1" applyFill="1" applyBorder="1"/>
    <xf numFmtId="0" fontId="66" fillId="7" borderId="0" xfId="0" applyFont="1" applyFill="1" applyBorder="1"/>
    <xf numFmtId="0" fontId="38" fillId="7" borderId="0" xfId="4" applyNumberFormat="1" applyFont="1" applyFill="1" applyBorder="1"/>
    <xf numFmtId="0" fontId="17" fillId="17" borderId="37" xfId="0" applyFont="1" applyFill="1" applyBorder="1" applyAlignment="1">
      <alignment horizontal="left" vertical="center" indent="1"/>
    </xf>
    <xf numFmtId="0" fontId="0" fillId="17" borderId="36" xfId="0" applyFill="1" applyBorder="1"/>
    <xf numFmtId="174" fontId="0" fillId="17" borderId="36" xfId="2" applyFont="1" applyFill="1" applyBorder="1"/>
    <xf numFmtId="174" fontId="0" fillId="17" borderId="38" xfId="2" applyFont="1" applyFill="1" applyBorder="1"/>
    <xf numFmtId="0" fontId="0" fillId="2" borderId="39" xfId="0" applyFill="1" applyBorder="1"/>
    <xf numFmtId="0" fontId="0" fillId="2" borderId="33" xfId="0" applyFill="1" applyBorder="1"/>
    <xf numFmtId="174" fontId="0" fillId="2" borderId="33" xfId="2" applyFont="1" applyFill="1" applyBorder="1"/>
    <xf numFmtId="174" fontId="0" fillId="2" borderId="40" xfId="2" applyFont="1" applyFill="1" applyBorder="1"/>
    <xf numFmtId="0" fontId="0" fillId="2" borderId="43" xfId="0" applyFill="1" applyBorder="1"/>
    <xf numFmtId="0" fontId="0" fillId="2" borderId="0" xfId="0" applyFill="1" applyBorder="1"/>
    <xf numFmtId="174" fontId="38" fillId="2" borderId="0" xfId="4" applyNumberFormat="1" applyFill="1" applyBorder="1"/>
    <xf numFmtId="174" fontId="0" fillId="2" borderId="0" xfId="2" applyFont="1" applyFill="1" applyBorder="1"/>
    <xf numFmtId="174" fontId="0" fillId="2" borderId="44" xfId="2" applyFont="1" applyFill="1" applyBorder="1"/>
    <xf numFmtId="0" fontId="46" fillId="2" borderId="43" xfId="0" applyFont="1" applyFill="1" applyBorder="1" applyAlignment="1">
      <alignment vertical="center"/>
    </xf>
    <xf numFmtId="0" fontId="24" fillId="2" borderId="9" xfId="0" applyFont="1" applyFill="1" applyBorder="1" applyAlignment="1">
      <alignment vertical="center"/>
    </xf>
    <xf numFmtId="174" fontId="24" fillId="2" borderId="9" xfId="2" applyFont="1" applyFill="1" applyBorder="1" applyAlignment="1">
      <alignment vertical="center"/>
    </xf>
    <xf numFmtId="174" fontId="0" fillId="2" borderId="44" xfId="2" applyFont="1" applyFill="1" applyBorder="1" applyAlignment="1">
      <alignment vertical="center"/>
    </xf>
    <xf numFmtId="0" fontId="0" fillId="2" borderId="44" xfId="0" applyFill="1" applyBorder="1"/>
    <xf numFmtId="0" fontId="38" fillId="2" borderId="43" xfId="4" applyNumberFormat="1" applyFill="1" applyBorder="1"/>
    <xf numFmtId="0" fontId="38" fillId="2" borderId="44" xfId="4" applyNumberFormat="1" applyFill="1" applyBorder="1"/>
    <xf numFmtId="0" fontId="24" fillId="2" borderId="9" xfId="0" applyFont="1" applyFill="1" applyBorder="1"/>
    <xf numFmtId="174" fontId="24" fillId="2" borderId="9" xfId="2" applyFont="1" applyFill="1" applyBorder="1"/>
    <xf numFmtId="0" fontId="0" fillId="0" borderId="43" xfId="0" applyFill="1" applyBorder="1"/>
    <xf numFmtId="0" fontId="0" fillId="0" borderId="44" xfId="0" applyFill="1" applyBorder="1"/>
    <xf numFmtId="0" fontId="17" fillId="2" borderId="43" xfId="0" applyFont="1" applyFill="1" applyBorder="1" applyAlignment="1">
      <alignment horizontal="left" vertical="center" indent="1"/>
    </xf>
    <xf numFmtId="0" fontId="0" fillId="0" borderId="0" xfId="0" applyFont="1" applyFill="1"/>
    <xf numFmtId="0" fontId="17" fillId="15" borderId="37" xfId="0" applyFont="1" applyFill="1" applyBorder="1" applyAlignment="1">
      <alignment horizontal="left" vertical="center" indent="1"/>
    </xf>
    <xf numFmtId="0" fontId="16" fillId="14" borderId="43" xfId="0" applyFont="1" applyFill="1" applyBorder="1"/>
    <xf numFmtId="0" fontId="0" fillId="14" borderId="0" xfId="0" applyFill="1" applyBorder="1"/>
    <xf numFmtId="0" fontId="0" fillId="14" borderId="0" xfId="0" applyFill="1" applyBorder="1" applyAlignment="1">
      <alignment horizontal="right"/>
    </xf>
    <xf numFmtId="0" fontId="0" fillId="14" borderId="44" xfId="0" applyFill="1" applyBorder="1"/>
    <xf numFmtId="0" fontId="0" fillId="14" borderId="43" xfId="0" applyFill="1" applyBorder="1"/>
    <xf numFmtId="0" fontId="24" fillId="14" borderId="0" xfId="0" applyFont="1" applyFill="1" applyBorder="1"/>
    <xf numFmtId="0" fontId="38" fillId="14" borderId="43" xfId="4" applyNumberFormat="1" applyFill="1" applyBorder="1"/>
    <xf numFmtId="0" fontId="38" fillId="14" borderId="0" xfId="4" applyNumberFormat="1" applyFill="1" applyBorder="1" applyAlignment="1">
      <alignment horizontal="right"/>
    </xf>
    <xf numFmtId="0" fontId="38" fillId="14" borderId="0" xfId="4" applyNumberFormat="1" applyFill="1" applyBorder="1"/>
    <xf numFmtId="175" fontId="38" fillId="14" borderId="0" xfId="4" applyNumberFormat="1" applyFill="1" applyBorder="1"/>
    <xf numFmtId="175" fontId="0" fillId="14" borderId="0" xfId="0" applyNumberFormat="1" applyFill="1" applyBorder="1"/>
    <xf numFmtId="0" fontId="38" fillId="14" borderId="44" xfId="4" applyNumberFormat="1" applyFill="1" applyBorder="1"/>
    <xf numFmtId="175" fontId="0" fillId="14" borderId="0" xfId="2" applyNumberFormat="1" applyFont="1" applyFill="1" applyBorder="1"/>
    <xf numFmtId="175" fontId="24" fillId="14" borderId="0" xfId="0" applyNumberFormat="1" applyFont="1" applyFill="1" applyBorder="1"/>
    <xf numFmtId="0" fontId="24" fillId="14" borderId="43" xfId="0" applyFont="1" applyFill="1" applyBorder="1"/>
    <xf numFmtId="175" fontId="24" fillId="14" borderId="0" xfId="2" applyNumberFormat="1" applyFont="1" applyFill="1" applyBorder="1"/>
    <xf numFmtId="179" fontId="24" fillId="14" borderId="0" xfId="1" applyFont="1" applyFill="1" applyBorder="1"/>
    <xf numFmtId="0" fontId="24" fillId="14" borderId="44" xfId="0" applyFont="1" applyFill="1" applyBorder="1"/>
    <xf numFmtId="0" fontId="29" fillId="14" borderId="43" xfId="0" applyFont="1" applyFill="1" applyBorder="1"/>
    <xf numFmtId="0" fontId="29" fillId="14" borderId="0" xfId="0" applyFont="1" applyFill="1" applyBorder="1"/>
    <xf numFmtId="0" fontId="29" fillId="14" borderId="44" xfId="0" applyFont="1" applyFill="1" applyBorder="1"/>
    <xf numFmtId="0" fontId="0" fillId="14" borderId="41" xfId="0" applyFill="1" applyBorder="1"/>
    <xf numFmtId="0" fontId="0" fillId="14" borderId="28" xfId="0" applyFill="1" applyBorder="1"/>
    <xf numFmtId="0" fontId="0" fillId="14" borderId="42" xfId="0" applyFill="1" applyBorder="1"/>
    <xf numFmtId="0" fontId="0" fillId="15" borderId="36" xfId="0" applyFill="1" applyBorder="1"/>
    <xf numFmtId="0" fontId="0" fillId="15" borderId="36" xfId="0" applyFill="1" applyBorder="1" applyAlignment="1">
      <alignment horizontal="right"/>
    </xf>
    <xf numFmtId="0" fontId="0" fillId="15" borderId="38" xfId="0" applyFill="1" applyBorder="1"/>
    <xf numFmtId="175" fontId="29" fillId="14" borderId="0" xfId="2" applyNumberFormat="1" applyFont="1" applyFill="1" applyBorder="1"/>
    <xf numFmtId="0" fontId="16" fillId="14" borderId="0" xfId="0" applyFont="1" applyFill="1" applyBorder="1"/>
    <xf numFmtId="175" fontId="16" fillId="0" borderId="0" xfId="2" applyNumberFormat="1" applyFont="1" applyAlignment="1">
      <alignment vertical="center"/>
    </xf>
    <xf numFmtId="0" fontId="39" fillId="5" borderId="0" xfId="4" applyNumberFormat="1" applyFont="1" applyFill="1" applyBorder="1" applyAlignment="1">
      <alignment horizontal="right"/>
    </xf>
    <xf numFmtId="0" fontId="32" fillId="5" borderId="43" xfId="4" applyNumberFormat="1" applyFont="1" applyFill="1" applyBorder="1"/>
    <xf numFmtId="0" fontId="0" fillId="5" borderId="28" xfId="0" applyFont="1" applyFill="1" applyBorder="1"/>
    <xf numFmtId="0" fontId="0" fillId="14" borderId="0" xfId="0" applyFill="1" applyBorder="1" applyAlignment="1">
      <alignment horizontal="center"/>
    </xf>
    <xf numFmtId="9" fontId="0" fillId="14" borderId="0" xfId="0" quotePrefix="1" applyNumberFormat="1" applyFill="1" applyBorder="1"/>
    <xf numFmtId="0" fontId="0" fillId="14" borderId="0" xfId="0" quotePrefix="1" applyFill="1" applyBorder="1"/>
    <xf numFmtId="179" fontId="29" fillId="14" borderId="0" xfId="1" applyFont="1" applyFill="1" applyBorder="1"/>
    <xf numFmtId="0" fontId="0" fillId="14" borderId="43" xfId="0" applyFill="1" applyBorder="1" applyAlignment="1">
      <alignment vertical="center"/>
    </xf>
    <xf numFmtId="0" fontId="0" fillId="14" borderId="0" xfId="0" applyFill="1" applyBorder="1" applyAlignment="1">
      <alignment vertical="center"/>
    </xf>
    <xf numFmtId="0" fontId="0" fillId="14" borderId="44" xfId="0" applyFill="1" applyBorder="1" applyAlignment="1">
      <alignment vertical="center"/>
    </xf>
    <xf numFmtId="179" fontId="0" fillId="14" borderId="0" xfId="1" applyNumberFormat="1" applyFont="1" applyFill="1" applyBorder="1"/>
    <xf numFmtId="179" fontId="0" fillId="14" borderId="0" xfId="0" applyNumberFormat="1" applyFill="1" applyBorder="1"/>
    <xf numFmtId="179" fontId="24" fillId="14" borderId="0" xfId="1" applyNumberFormat="1" applyFont="1" applyFill="1" applyBorder="1"/>
    <xf numFmtId="0" fontId="38" fillId="0" borderId="36" xfId="4" applyNumberFormat="1" applyBorder="1" applyAlignment="1">
      <alignment vertical="center"/>
    </xf>
    <xf numFmtId="0" fontId="38" fillId="0" borderId="36" xfId="4" applyNumberFormat="1" applyFill="1" applyBorder="1" applyAlignment="1">
      <alignment horizontal="right" vertical="center"/>
    </xf>
    <xf numFmtId="0" fontId="38" fillId="0" borderId="36" xfId="4" applyNumberFormat="1" applyFill="1" applyBorder="1" applyAlignment="1">
      <alignment vertical="center"/>
    </xf>
    <xf numFmtId="0" fontId="0" fillId="0" borderId="36" xfId="0" applyBorder="1" applyAlignment="1">
      <alignment vertical="center"/>
    </xf>
    <xf numFmtId="174" fontId="38" fillId="0" borderId="36" xfId="4" applyNumberFormat="1" applyFill="1" applyBorder="1" applyAlignment="1">
      <alignment vertical="center"/>
    </xf>
    <xf numFmtId="174" fontId="0" fillId="0" borderId="36" xfId="2" applyFont="1" applyBorder="1" applyAlignment="1">
      <alignment vertical="center"/>
    </xf>
    <xf numFmtId="174" fontId="38" fillId="14" borderId="30" xfId="2" applyFont="1" applyFill="1" applyBorder="1" applyAlignment="1">
      <alignment vertical="center"/>
    </xf>
    <xf numFmtId="174" fontId="0" fillId="14" borderId="30" xfId="2" applyFont="1" applyFill="1" applyBorder="1" applyAlignment="1">
      <alignment vertical="center"/>
    </xf>
    <xf numFmtId="174" fontId="0" fillId="0" borderId="36" xfId="0" applyNumberFormat="1" applyBorder="1" applyAlignment="1">
      <alignment vertical="center"/>
    </xf>
    <xf numFmtId="174" fontId="49" fillId="14" borderId="30" xfId="2" applyFont="1" applyFill="1" applyBorder="1" applyAlignment="1">
      <alignment vertical="center"/>
    </xf>
    <xf numFmtId="174" fontId="0" fillId="5" borderId="17" xfId="2" applyNumberFormat="1" applyFont="1" applyFill="1" applyBorder="1" applyAlignment="1">
      <alignment vertical="center"/>
    </xf>
    <xf numFmtId="0" fontId="0" fillId="2" borderId="47" xfId="0" applyFill="1" applyBorder="1"/>
    <xf numFmtId="0" fontId="21" fillId="2" borderId="47" xfId="0" applyFont="1" applyFill="1" applyBorder="1" applyAlignment="1">
      <alignment horizontal="center" vertical="center"/>
    </xf>
    <xf numFmtId="174" fontId="56" fillId="5" borderId="34" xfId="2" applyFont="1" applyFill="1" applyBorder="1" applyAlignment="1">
      <alignment horizontal="right" vertical="center"/>
    </xf>
    <xf numFmtId="174" fontId="56" fillId="2" borderId="34" xfId="2" applyFont="1" applyFill="1" applyBorder="1" applyAlignment="1">
      <alignment vertical="center"/>
    </xf>
    <xf numFmtId="174" fontId="38" fillId="2" borderId="34" xfId="2" applyFont="1" applyFill="1" applyBorder="1" applyAlignment="1">
      <alignment vertical="center"/>
    </xf>
    <xf numFmtId="174" fontId="56" fillId="7" borderId="34" xfId="2" applyFont="1" applyFill="1" applyBorder="1" applyAlignment="1">
      <alignment vertical="center"/>
    </xf>
    <xf numFmtId="174" fontId="38" fillId="7" borderId="34" xfId="4" applyNumberFormat="1" applyFill="1" applyBorder="1" applyAlignment="1">
      <alignment vertical="center"/>
    </xf>
    <xf numFmtId="174" fontId="56" fillId="6" borderId="34" xfId="2" applyFont="1" applyFill="1" applyBorder="1" applyAlignment="1">
      <alignment vertical="center"/>
    </xf>
    <xf numFmtId="174" fontId="38" fillId="6" borderId="34" xfId="2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29" fillId="2" borderId="0" xfId="0" applyFont="1" applyFill="1" applyBorder="1"/>
    <xf numFmtId="174" fontId="29" fillId="2" borderId="0" xfId="2" applyFont="1" applyFill="1" applyBorder="1" applyAlignment="1">
      <alignment vertical="center"/>
    </xf>
    <xf numFmtId="0" fontId="29" fillId="2" borderId="44" xfId="0" applyFont="1" applyFill="1" applyBorder="1" applyAlignment="1">
      <alignment vertical="center"/>
    </xf>
    <xf numFmtId="174" fontId="0" fillId="0" borderId="0" xfId="2" applyFont="1" applyFill="1" applyBorder="1"/>
    <xf numFmtId="174" fontId="0" fillId="0" borderId="44" xfId="2" applyFont="1" applyFill="1" applyBorder="1"/>
    <xf numFmtId="174" fontId="38" fillId="0" borderId="0" xfId="4" applyNumberFormat="1" applyFill="1" applyBorder="1"/>
    <xf numFmtId="0" fontId="46" fillId="0" borderId="43" xfId="0" applyFont="1" applyFill="1" applyBorder="1" applyAlignment="1">
      <alignment vertical="center"/>
    </xf>
    <xf numFmtId="0" fontId="24" fillId="0" borderId="9" xfId="0" applyFont="1" applyFill="1" applyBorder="1" applyAlignment="1">
      <alignment vertical="center"/>
    </xf>
    <xf numFmtId="174" fontId="24" fillId="0" borderId="9" xfId="2" applyFont="1" applyFill="1" applyBorder="1" applyAlignment="1">
      <alignment vertical="center"/>
    </xf>
    <xf numFmtId="0" fontId="0" fillId="0" borderId="44" xfId="0" applyFill="1" applyBorder="1" applyAlignment="1">
      <alignment vertical="center"/>
    </xf>
    <xf numFmtId="0" fontId="29" fillId="2" borderId="43" xfId="0" applyFont="1" applyFill="1" applyBorder="1" applyAlignment="1">
      <alignment vertical="center"/>
    </xf>
    <xf numFmtId="0" fontId="0" fillId="2" borderId="43" xfId="0" applyFont="1" applyFill="1" applyBorder="1"/>
    <xf numFmtId="174" fontId="13" fillId="7" borderId="0" xfId="0" applyNumberFormat="1" applyFont="1" applyFill="1" applyBorder="1" applyAlignment="1">
      <alignment vertical="center"/>
    </xf>
    <xf numFmtId="0" fontId="0" fillId="5" borderId="9" xfId="0" applyNumberFormat="1" applyFill="1" applyBorder="1" applyAlignment="1">
      <alignment horizontal="right" vertical="center"/>
    </xf>
    <xf numFmtId="179" fontId="0" fillId="5" borderId="9" xfId="1" applyFont="1" applyFill="1" applyBorder="1"/>
    <xf numFmtId="0" fontId="0" fillId="5" borderId="10" xfId="0" applyNumberFormat="1" applyFill="1" applyBorder="1" applyAlignment="1">
      <alignment horizontal="right" vertical="center"/>
    </xf>
    <xf numFmtId="179" fontId="0" fillId="5" borderId="10" xfId="1" applyFont="1" applyFill="1" applyBorder="1"/>
    <xf numFmtId="174" fontId="14" fillId="0" borderId="5" xfId="2" applyFont="1" applyBorder="1"/>
    <xf numFmtId="174" fontId="14" fillId="0" borderId="0" xfId="2" applyFont="1" applyBorder="1"/>
    <xf numFmtId="0" fontId="29" fillId="2" borderId="43" xfId="0" applyFont="1" applyFill="1" applyBorder="1"/>
    <xf numFmtId="174" fontId="29" fillId="2" borderId="0" xfId="2" applyFont="1" applyFill="1" applyBorder="1"/>
    <xf numFmtId="174" fontId="29" fillId="2" borderId="44" xfId="2" applyFont="1" applyFill="1" applyBorder="1"/>
    <xf numFmtId="174" fontId="29" fillId="0" borderId="0" xfId="2" applyFont="1" applyBorder="1" applyAlignment="1">
      <alignment vertical="center"/>
    </xf>
    <xf numFmtId="0" fontId="82" fillId="0" borderId="0" xfId="0" applyFont="1" applyFill="1" applyBorder="1" applyAlignment="1">
      <alignment horizontal="right" vertical="center"/>
    </xf>
    <xf numFmtId="0" fontId="0" fillId="2" borderId="0" xfId="0" applyFill="1"/>
    <xf numFmtId="0" fontId="0" fillId="2" borderId="0" xfId="0" applyFill="1" applyAlignment="1">
      <alignment vertical="center"/>
    </xf>
    <xf numFmtId="0" fontId="29" fillId="2" borderId="0" xfId="0" applyFont="1" applyFill="1" applyAlignment="1">
      <alignment vertical="center"/>
    </xf>
    <xf numFmtId="175" fontId="16" fillId="2" borderId="0" xfId="2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74" fillId="2" borderId="47" xfId="0" applyFont="1" applyFill="1" applyBorder="1" applyAlignment="1">
      <alignment vertical="center"/>
    </xf>
    <xf numFmtId="0" fontId="16" fillId="2" borderId="0" xfId="0" applyFont="1" applyFill="1" applyAlignment="1">
      <alignment horizontal="right" vertical="center"/>
    </xf>
    <xf numFmtId="0" fontId="0" fillId="2" borderId="9" xfId="0" applyFill="1" applyBorder="1" applyAlignment="1">
      <alignment vertical="center"/>
    </xf>
    <xf numFmtId="0" fontId="74" fillId="2" borderId="9" xfId="0" applyFon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16" fillId="2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29" fillId="2" borderId="1" xfId="0" applyFont="1" applyFill="1" applyBorder="1" applyAlignment="1">
      <alignment vertical="center"/>
    </xf>
    <xf numFmtId="0" fontId="54" fillId="2" borderId="0" xfId="0" applyFont="1" applyFill="1" applyAlignment="1">
      <alignment vertical="center"/>
    </xf>
    <xf numFmtId="0" fontId="16" fillId="2" borderId="47" xfId="0" applyFont="1" applyFill="1" applyBorder="1" applyAlignment="1">
      <alignment vertical="center"/>
    </xf>
    <xf numFmtId="0" fontId="74" fillId="2" borderId="0" xfId="0" applyFont="1" applyFill="1" applyAlignment="1">
      <alignment horizontal="left" vertical="center"/>
    </xf>
    <xf numFmtId="0" fontId="16" fillId="2" borderId="1" xfId="0" applyFont="1" applyFill="1" applyBorder="1" applyAlignment="1">
      <alignment horizontal="right" vertical="center"/>
    </xf>
    <xf numFmtId="175" fontId="16" fillId="2" borderId="1" xfId="2" applyNumberFormat="1" applyFont="1" applyFill="1" applyBorder="1" applyAlignment="1">
      <alignment vertical="center"/>
    </xf>
    <xf numFmtId="0" fontId="83" fillId="18" borderId="0" xfId="0" applyFont="1" applyFill="1" applyAlignment="1">
      <alignment vertical="center"/>
    </xf>
    <xf numFmtId="0" fontId="84" fillId="18" borderId="0" xfId="0" applyFont="1" applyFill="1" applyAlignment="1">
      <alignment vertical="center"/>
    </xf>
    <xf numFmtId="0" fontId="83" fillId="18" borderId="0" xfId="0" applyFont="1" applyFill="1" applyAlignment="1">
      <alignment horizontal="centerContinuous" vertical="center"/>
    </xf>
    <xf numFmtId="0" fontId="84" fillId="18" borderId="0" xfId="0" applyFont="1" applyFill="1" applyAlignment="1">
      <alignment horizontal="centerContinuous" vertical="center"/>
    </xf>
    <xf numFmtId="0" fontId="0" fillId="0" borderId="0" xfId="0" applyFill="1" applyAlignment="1">
      <alignment vertical="center"/>
    </xf>
    <xf numFmtId="175" fontId="74" fillId="2" borderId="0" xfId="2" applyNumberFormat="1" applyFont="1" applyFill="1" applyAlignment="1">
      <alignment vertical="center"/>
    </xf>
    <xf numFmtId="0" fontId="24" fillId="2" borderId="47" xfId="0" applyFont="1" applyFill="1" applyBorder="1" applyAlignment="1">
      <alignment vertical="center"/>
    </xf>
    <xf numFmtId="0" fontId="0" fillId="2" borderId="47" xfId="0" applyFont="1" applyFill="1" applyBorder="1" applyAlignment="1">
      <alignment horizontal="right" vertical="center"/>
    </xf>
    <xf numFmtId="0" fontId="16" fillId="2" borderId="47" xfId="0" applyFont="1" applyFill="1" applyBorder="1"/>
    <xf numFmtId="0" fontId="85" fillId="2" borderId="47" xfId="0" applyFont="1" applyFill="1" applyBorder="1" applyAlignment="1">
      <alignment vertical="center"/>
    </xf>
    <xf numFmtId="0" fontId="0" fillId="0" borderId="0" xfId="0" applyFill="1" applyBorder="1" applyAlignment="1">
      <alignment horizontal="left"/>
    </xf>
    <xf numFmtId="0" fontId="21" fillId="5" borderId="0" xfId="0" applyNumberFormat="1" applyFont="1" applyFill="1" applyBorder="1" applyAlignment="1">
      <alignment horizontal="left" vertical="center"/>
    </xf>
    <xf numFmtId="174" fontId="0" fillId="5" borderId="0" xfId="2" applyFont="1" applyFill="1" applyBorder="1"/>
    <xf numFmtId="174" fontId="0" fillId="5" borderId="1" xfId="2" applyFont="1" applyFill="1" applyBorder="1"/>
    <xf numFmtId="0" fontId="16" fillId="5" borderId="39" xfId="0" applyFont="1" applyFill="1" applyBorder="1"/>
    <xf numFmtId="0" fontId="0" fillId="5" borderId="33" xfId="0" applyNumberFormat="1" applyFill="1" applyBorder="1" applyAlignment="1">
      <alignment vertical="center"/>
    </xf>
    <xf numFmtId="0" fontId="0" fillId="5" borderId="33" xfId="0" applyFill="1" applyBorder="1" applyAlignment="1">
      <alignment vertical="center"/>
    </xf>
    <xf numFmtId="0" fontId="0" fillId="0" borderId="33" xfId="0" applyBorder="1"/>
    <xf numFmtId="0" fontId="50" fillId="0" borderId="0" xfId="0" applyFont="1" applyAlignment="1">
      <alignment vertical="center"/>
    </xf>
    <xf numFmtId="180" fontId="0" fillId="5" borderId="0" xfId="1" applyNumberFormat="1" applyFont="1" applyFill="1" applyBorder="1" applyAlignment="1">
      <alignment horizontal="right" vertical="center"/>
    </xf>
    <xf numFmtId="180" fontId="0" fillId="5" borderId="0" xfId="1" applyNumberFormat="1" applyFont="1" applyFill="1" applyBorder="1"/>
    <xf numFmtId="0" fontId="87" fillId="5" borderId="11" xfId="0" applyFont="1" applyFill="1" applyBorder="1" applyAlignment="1">
      <alignment vertical="center"/>
    </xf>
    <xf numFmtId="0" fontId="0" fillId="5" borderId="51" xfId="0" applyFill="1" applyBorder="1" applyAlignment="1">
      <alignment horizontal="centerContinuous"/>
    </xf>
    <xf numFmtId="0" fontId="0" fillId="5" borderId="0" xfId="0" applyFill="1" applyBorder="1" applyAlignment="1">
      <alignment horizontal="centerContinuous"/>
    </xf>
    <xf numFmtId="179" fontId="81" fillId="5" borderId="0" xfId="1" applyFont="1" applyFill="1" applyBorder="1" applyAlignment="1">
      <alignment vertical="center"/>
    </xf>
    <xf numFmtId="179" fontId="81" fillId="5" borderId="12" xfId="1" applyFont="1" applyFill="1" applyBorder="1" applyAlignment="1">
      <alignment vertical="center"/>
    </xf>
    <xf numFmtId="0" fontId="81" fillId="14" borderId="0" xfId="0" applyFont="1" applyFill="1" applyAlignment="1">
      <alignment vertical="center"/>
    </xf>
    <xf numFmtId="0" fontId="24" fillId="14" borderId="0" xfId="0" applyFont="1" applyFill="1" applyBorder="1" applyAlignment="1">
      <alignment horizontal="right" vertical="center"/>
    </xf>
    <xf numFmtId="178" fontId="24" fillId="14" borderId="0" xfId="2" applyNumberFormat="1" applyFont="1" applyFill="1" applyBorder="1" applyAlignment="1">
      <alignment vertical="center"/>
    </xf>
    <xf numFmtId="0" fontId="16" fillId="2" borderId="0" xfId="0" applyFont="1" applyFill="1" applyBorder="1" applyAlignment="1">
      <alignment horizontal="right" vertical="center"/>
    </xf>
    <xf numFmtId="0" fontId="16" fillId="2" borderId="0" xfId="0" applyFont="1" applyFill="1" applyBorder="1" applyAlignment="1">
      <alignment vertical="center"/>
    </xf>
    <xf numFmtId="179" fontId="16" fillId="2" borderId="0" xfId="1" applyFont="1" applyFill="1" applyBorder="1" applyAlignment="1">
      <alignment vertical="center"/>
    </xf>
    <xf numFmtId="175" fontId="32" fillId="5" borderId="14" xfId="2" applyNumberFormat="1" applyFont="1" applyFill="1" applyBorder="1" applyAlignment="1">
      <alignment horizontal="right" vertical="center"/>
    </xf>
    <xf numFmtId="175" fontId="32" fillId="5" borderId="0" xfId="2" applyNumberFormat="1" applyFont="1" applyFill="1" applyBorder="1" applyAlignment="1">
      <alignment horizontal="right" vertical="center"/>
    </xf>
    <xf numFmtId="179" fontId="32" fillId="5" borderId="0" xfId="1" applyFont="1" applyFill="1" applyBorder="1" applyAlignment="1">
      <alignment horizontal="right" vertical="center"/>
    </xf>
    <xf numFmtId="0" fontId="54" fillId="2" borderId="0" xfId="0" applyFont="1" applyFill="1" applyAlignment="1"/>
    <xf numFmtId="0" fontId="31" fillId="0" borderId="0" xfId="0" applyFont="1" applyFill="1" applyBorder="1" applyAlignment="1">
      <alignment horizontal="left" vertical="center"/>
    </xf>
    <xf numFmtId="166" fontId="0" fillId="0" borderId="0" xfId="0" applyNumberFormat="1" applyBorder="1"/>
    <xf numFmtId="177" fontId="77" fillId="5" borderId="9" xfId="2" applyNumberFormat="1" applyFont="1" applyFill="1" applyBorder="1" applyAlignment="1">
      <alignment vertical="center"/>
    </xf>
    <xf numFmtId="177" fontId="77" fillId="5" borderId="0" xfId="2" applyNumberFormat="1" applyFont="1" applyFill="1" applyBorder="1" applyAlignment="1">
      <alignment vertical="center"/>
    </xf>
    <xf numFmtId="177" fontId="71" fillId="5" borderId="0" xfId="2" applyNumberFormat="1" applyFont="1" applyFill="1" applyBorder="1" applyAlignment="1">
      <alignment vertical="center"/>
    </xf>
    <xf numFmtId="178" fontId="32" fillId="5" borderId="0" xfId="2" applyNumberFormat="1" applyFont="1" applyFill="1" applyBorder="1" applyAlignment="1">
      <alignment vertical="center"/>
    </xf>
    <xf numFmtId="177" fontId="32" fillId="5" borderId="14" xfId="2" applyNumberFormat="1" applyFont="1" applyFill="1" applyBorder="1" applyAlignment="1">
      <alignment horizontal="right" vertical="center"/>
    </xf>
    <xf numFmtId="178" fontId="32" fillId="5" borderId="0" xfId="2" applyNumberFormat="1" applyFont="1" applyFill="1" applyBorder="1" applyAlignment="1">
      <alignment horizontal="right" vertical="center"/>
    </xf>
    <xf numFmtId="177" fontId="71" fillId="5" borderId="16" xfId="2" applyNumberFormat="1" applyFont="1" applyFill="1" applyBorder="1" applyAlignment="1">
      <alignment horizontal="right" vertical="center"/>
    </xf>
    <xf numFmtId="178" fontId="32" fillId="5" borderId="17" xfId="2" applyNumberFormat="1" applyFont="1" applyFill="1" applyBorder="1" applyAlignment="1">
      <alignment vertical="center"/>
    </xf>
    <xf numFmtId="178" fontId="32" fillId="5" borderId="16" xfId="2" applyNumberFormat="1" applyFont="1" applyFill="1" applyBorder="1" applyAlignment="1">
      <alignment vertical="center"/>
    </xf>
    <xf numFmtId="0" fontId="70" fillId="5" borderId="60" xfId="4" applyNumberFormat="1" applyFont="1" applyFill="1" applyBorder="1"/>
    <xf numFmtId="0" fontId="0" fillId="5" borderId="61" xfId="0" applyNumberFormat="1" applyFill="1" applyBorder="1" applyAlignment="1">
      <alignment vertical="center"/>
    </xf>
    <xf numFmtId="0" fontId="24" fillId="5" borderId="61" xfId="0" applyFont="1" applyFill="1" applyBorder="1" applyAlignment="1">
      <alignment vertical="center"/>
    </xf>
    <xf numFmtId="0" fontId="0" fillId="5" borderId="61" xfId="0" applyFill="1" applyBorder="1" applyAlignment="1">
      <alignment vertical="center"/>
    </xf>
    <xf numFmtId="179" fontId="24" fillId="5" borderId="61" xfId="1" applyFont="1" applyFill="1" applyBorder="1" applyAlignment="1">
      <alignment vertical="center"/>
    </xf>
    <xf numFmtId="179" fontId="24" fillId="5" borderId="61" xfId="1" applyFont="1" applyFill="1" applyBorder="1" applyAlignment="1">
      <alignment horizontal="right" vertical="center"/>
    </xf>
    <xf numFmtId="176" fontId="0" fillId="5" borderId="61" xfId="2" applyNumberFormat="1" applyFont="1" applyFill="1" applyBorder="1" applyAlignment="1">
      <alignment horizontal="right" vertical="center"/>
    </xf>
    <xf numFmtId="173" fontId="77" fillId="5" borderId="0" xfId="1" applyNumberFormat="1" applyFont="1" applyFill="1" applyBorder="1" applyAlignment="1">
      <alignment vertical="center"/>
    </xf>
    <xf numFmtId="174" fontId="21" fillId="0" borderId="0" xfId="2" applyFont="1" applyBorder="1" applyAlignment="1">
      <alignment horizontal="right"/>
    </xf>
    <xf numFmtId="177" fontId="77" fillId="5" borderId="0" xfId="2" applyNumberFormat="1" applyFont="1" applyFill="1" applyBorder="1" applyAlignment="1">
      <alignment horizontal="right" vertical="center"/>
    </xf>
    <xf numFmtId="174" fontId="32" fillId="5" borderId="1" xfId="2" applyFont="1" applyFill="1" applyBorder="1" applyAlignment="1">
      <alignment vertical="center"/>
    </xf>
    <xf numFmtId="0" fontId="24" fillId="0" borderId="0" xfId="0" applyFont="1" applyBorder="1"/>
    <xf numFmtId="175" fontId="88" fillId="0" borderId="9" xfId="2" applyNumberFormat="1" applyFont="1" applyBorder="1" applyAlignment="1">
      <alignment horizontal="right"/>
    </xf>
    <xf numFmtId="177" fontId="71" fillId="5" borderId="12" xfId="2" applyNumberFormat="1" applyFont="1" applyFill="1" applyBorder="1" applyAlignment="1">
      <alignment vertical="center"/>
    </xf>
    <xf numFmtId="177" fontId="32" fillId="5" borderId="15" xfId="2" applyNumberFormat="1" applyFont="1" applyFill="1" applyBorder="1" applyAlignment="1">
      <alignment horizontal="right" vertical="center"/>
    </xf>
    <xf numFmtId="177" fontId="32" fillId="5" borderId="12" xfId="2" applyNumberFormat="1" applyFont="1" applyFill="1" applyBorder="1" applyAlignment="1">
      <alignment horizontal="right" vertical="center"/>
    </xf>
    <xf numFmtId="174" fontId="0" fillId="5" borderId="26" xfId="2" applyFont="1" applyFill="1" applyBorder="1" applyAlignment="1">
      <alignment vertical="center"/>
    </xf>
    <xf numFmtId="174" fontId="0" fillId="5" borderId="9" xfId="2" applyFont="1" applyFill="1" applyBorder="1" applyAlignment="1">
      <alignment vertical="center"/>
    </xf>
    <xf numFmtId="0" fontId="61" fillId="19" borderId="36" xfId="0" applyFont="1" applyFill="1" applyBorder="1" applyAlignment="1">
      <alignment vertical="center"/>
    </xf>
    <xf numFmtId="0" fontId="16" fillId="19" borderId="36" xfId="0" applyFont="1" applyFill="1" applyBorder="1" applyAlignment="1">
      <alignment vertical="center"/>
    </xf>
    <xf numFmtId="0" fontId="13" fillId="7" borderId="0" xfId="0" applyNumberFormat="1" applyFont="1" applyFill="1" applyBorder="1" applyAlignment="1">
      <alignment vertical="center"/>
    </xf>
    <xf numFmtId="174" fontId="0" fillId="7" borderId="0" xfId="2" applyNumberFormat="1" applyFont="1" applyFill="1" applyBorder="1" applyAlignment="1">
      <alignment vertical="center"/>
    </xf>
    <xf numFmtId="0" fontId="21" fillId="7" borderId="0" xfId="0" applyFont="1" applyFill="1" applyBorder="1" applyAlignment="1">
      <alignment vertical="center"/>
    </xf>
    <xf numFmtId="174" fontId="13" fillId="7" borderId="0" xfId="2" applyFont="1" applyFill="1" applyBorder="1" applyAlignment="1">
      <alignment horizontal="right" vertical="center"/>
    </xf>
    <xf numFmtId="0" fontId="21" fillId="7" borderId="11" xfId="0" applyNumberFormat="1" applyFont="1" applyFill="1" applyBorder="1" applyAlignment="1">
      <alignment horizontal="right" vertical="center"/>
    </xf>
    <xf numFmtId="0" fontId="21" fillId="7" borderId="13" xfId="0" applyNumberFormat="1" applyFont="1" applyFill="1" applyBorder="1" applyAlignment="1">
      <alignment horizontal="right" vertical="center"/>
    </xf>
    <xf numFmtId="0" fontId="0" fillId="7" borderId="0" xfId="0" applyNumberFormat="1" applyFill="1" applyBorder="1" applyAlignment="1">
      <alignment vertical="center"/>
    </xf>
    <xf numFmtId="0" fontId="0" fillId="7" borderId="1" xfId="0" applyNumberFormat="1" applyFill="1" applyBorder="1" applyAlignment="1">
      <alignment vertical="center"/>
    </xf>
    <xf numFmtId="177" fontId="0" fillId="5" borderId="12" xfId="2" applyNumberFormat="1" applyFont="1" applyFill="1" applyBorder="1" applyAlignment="1">
      <alignment vertical="center"/>
    </xf>
    <xf numFmtId="0" fontId="29" fillId="5" borderId="0" xfId="0" applyFont="1" applyFill="1" applyBorder="1"/>
    <xf numFmtId="0" fontId="0" fillId="20" borderId="0" xfId="0" applyFill="1"/>
    <xf numFmtId="175" fontId="0" fillId="0" borderId="0" xfId="2" applyNumberFormat="1" applyFont="1" applyBorder="1" applyAlignment="1">
      <alignment vertical="center"/>
    </xf>
    <xf numFmtId="0" fontId="31" fillId="0" borderId="1" xfId="0" applyFont="1" applyFill="1" applyBorder="1" applyAlignment="1">
      <alignment horizontal="left" vertical="center"/>
    </xf>
    <xf numFmtId="175" fontId="0" fillId="0" borderId="1" xfId="2" applyNumberFormat="1" applyFont="1" applyBorder="1" applyAlignment="1">
      <alignment vertical="center"/>
    </xf>
    <xf numFmtId="11" fontId="0" fillId="0" borderId="0" xfId="2" applyNumberFormat="1" applyFont="1" applyBorder="1" applyAlignment="1">
      <alignment vertical="center"/>
    </xf>
    <xf numFmtId="175" fontId="0" fillId="0" borderId="0" xfId="2" applyNumberFormat="1" applyFont="1" applyBorder="1" applyAlignment="1">
      <alignment horizontal="left" vertical="center"/>
    </xf>
    <xf numFmtId="174" fontId="0" fillId="0" borderId="0" xfId="0" applyNumberFormat="1"/>
    <xf numFmtId="174" fontId="14" fillId="0" borderId="0" xfId="2" applyNumberFormat="1" applyFont="1"/>
    <xf numFmtId="0" fontId="0" fillId="0" borderId="0" xfId="0" applyBorder="1" applyAlignment="1">
      <alignment horizontal="left"/>
    </xf>
    <xf numFmtId="0" fontId="16" fillId="2" borderId="0" xfId="0" applyFont="1" applyFill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0" fillId="2" borderId="1" xfId="0" applyFill="1" applyBorder="1"/>
    <xf numFmtId="175" fontId="0" fillId="0" borderId="1" xfId="2" applyNumberFormat="1" applyFont="1" applyBorder="1" applyAlignment="1">
      <alignment horizontal="left" vertical="center"/>
    </xf>
    <xf numFmtId="174" fontId="0" fillId="0" borderId="0" xfId="0" applyNumberFormat="1" applyFill="1" applyBorder="1"/>
    <xf numFmtId="0" fontId="0" fillId="0" borderId="1" xfId="0" applyBorder="1" applyAlignment="1">
      <alignment horizontal="left" vertical="center"/>
    </xf>
    <xf numFmtId="170" fontId="0" fillId="0" borderId="0" xfId="0" applyNumberFormat="1"/>
    <xf numFmtId="0" fontId="16" fillId="5" borderId="0" xfId="0" applyFont="1" applyFill="1" applyBorder="1"/>
    <xf numFmtId="174" fontId="0" fillId="5" borderId="16" xfId="2" applyNumberFormat="1" applyFont="1" applyFill="1" applyBorder="1" applyAlignment="1">
      <alignment vertical="center"/>
    </xf>
    <xf numFmtId="0" fontId="50" fillId="0" borderId="0" xfId="0" quotePrefix="1" applyFont="1"/>
    <xf numFmtId="11" fontId="0" fillId="0" borderId="0" xfId="2" applyNumberFormat="1" applyFont="1"/>
    <xf numFmtId="0" fontId="0" fillId="5" borderId="0" xfId="0" applyFont="1" applyFill="1" applyBorder="1" applyAlignment="1">
      <alignment horizontal="right" vertical="center"/>
    </xf>
    <xf numFmtId="175" fontId="0" fillId="5" borderId="16" xfId="2" applyNumberFormat="1" applyFont="1" applyFill="1" applyBorder="1" applyAlignment="1">
      <alignment vertical="center"/>
    </xf>
    <xf numFmtId="173" fontId="0" fillId="5" borderId="17" xfId="1" applyNumberFormat="1" applyFont="1" applyFill="1" applyBorder="1" applyAlignment="1">
      <alignment vertical="center"/>
    </xf>
    <xf numFmtId="179" fontId="0" fillId="5" borderId="9" xfId="1" applyFont="1" applyFill="1" applyBorder="1" applyAlignment="1">
      <alignment vertical="center"/>
    </xf>
    <xf numFmtId="180" fontId="0" fillId="5" borderId="26" xfId="1" applyNumberFormat="1" applyFont="1" applyFill="1" applyBorder="1" applyAlignment="1">
      <alignment vertical="center"/>
    </xf>
    <xf numFmtId="180" fontId="0" fillId="5" borderId="23" xfId="1" applyNumberFormat="1" applyFont="1" applyFill="1" applyBorder="1"/>
    <xf numFmtId="180" fontId="0" fillId="5" borderId="25" xfId="1" applyNumberFormat="1" applyFont="1" applyFill="1" applyBorder="1" applyAlignment="1">
      <alignment vertical="center"/>
    </xf>
    <xf numFmtId="180" fontId="0" fillId="5" borderId="24" xfId="1" applyNumberFormat="1" applyFont="1" applyFill="1" applyBorder="1"/>
    <xf numFmtId="180" fontId="0" fillId="5" borderId="1" xfId="1" applyNumberFormat="1" applyFont="1" applyFill="1" applyBorder="1"/>
    <xf numFmtId="180" fontId="0" fillId="5" borderId="16" xfId="1" applyNumberFormat="1" applyFont="1" applyFill="1" applyBorder="1" applyAlignment="1">
      <alignment vertical="center"/>
    </xf>
    <xf numFmtId="180" fontId="0" fillId="5" borderId="17" xfId="1" applyNumberFormat="1" applyFont="1" applyFill="1" applyBorder="1" applyAlignment="1">
      <alignment vertical="center"/>
    </xf>
    <xf numFmtId="180" fontId="0" fillId="5" borderId="21" xfId="1" applyNumberFormat="1" applyFont="1" applyFill="1" applyBorder="1" applyAlignment="1">
      <alignment vertical="center"/>
    </xf>
    <xf numFmtId="174" fontId="0" fillId="5" borderId="16" xfId="0" applyNumberFormat="1" applyFill="1" applyBorder="1" applyAlignment="1">
      <alignment vertical="center"/>
    </xf>
    <xf numFmtId="178" fontId="0" fillId="5" borderId="16" xfId="2" applyNumberFormat="1" applyFont="1" applyFill="1" applyBorder="1" applyAlignment="1">
      <alignment vertical="center"/>
    </xf>
    <xf numFmtId="179" fontId="0" fillId="5" borderId="0" xfId="0" applyNumberFormat="1" applyFill="1" applyBorder="1"/>
    <xf numFmtId="0" fontId="46" fillId="5" borderId="43" xfId="0" applyFont="1" applyFill="1" applyBorder="1" applyAlignment="1">
      <alignment horizontal="left" indent="1"/>
    </xf>
    <xf numFmtId="175" fontId="13" fillId="5" borderId="0" xfId="2" applyNumberFormat="1" applyFont="1" applyFill="1" applyBorder="1" applyAlignment="1">
      <alignment horizontal="right" vertical="center"/>
    </xf>
    <xf numFmtId="175" fontId="13" fillId="5" borderId="1" xfId="2" applyNumberFormat="1" applyFont="1" applyFill="1" applyBorder="1" applyAlignment="1">
      <alignment horizontal="right" vertical="center"/>
    </xf>
    <xf numFmtId="174" fontId="13" fillId="5" borderId="0" xfId="2" applyNumberFormat="1" applyFont="1" applyFill="1" applyBorder="1" applyAlignment="1">
      <alignment horizontal="right" vertical="center"/>
    </xf>
    <xf numFmtId="174" fontId="13" fillId="5" borderId="1" xfId="2" applyNumberFormat="1" applyFont="1" applyFill="1" applyBorder="1" applyAlignment="1">
      <alignment horizontal="right" vertical="center"/>
    </xf>
    <xf numFmtId="179" fontId="13" fillId="5" borderId="23" xfId="1" applyFont="1" applyFill="1" applyBorder="1" applyAlignment="1">
      <alignment horizontal="right" vertical="center"/>
    </xf>
    <xf numFmtId="0" fontId="0" fillId="5" borderId="39" xfId="0" applyFont="1" applyFill="1" applyBorder="1" applyAlignment="1">
      <alignment horizontal="left" indent="1"/>
    </xf>
    <xf numFmtId="0" fontId="0" fillId="5" borderId="33" xfId="0" applyNumberFormat="1" applyFill="1" applyBorder="1"/>
    <xf numFmtId="174" fontId="24" fillId="0" borderId="0" xfId="0" applyNumberFormat="1" applyFont="1"/>
    <xf numFmtId="0" fontId="21" fillId="0" borderId="0" xfId="0" applyFont="1" applyAlignment="1">
      <alignment horizontal="left" indent="1"/>
    </xf>
    <xf numFmtId="0" fontId="24" fillId="7" borderId="11" xfId="0" applyFont="1" applyFill="1" applyBorder="1" applyAlignment="1">
      <alignment horizontal="right" vertical="center"/>
    </xf>
    <xf numFmtId="0" fontId="21" fillId="0" borderId="0" xfId="0" quotePrefix="1" applyFont="1" applyAlignment="1">
      <alignment horizontal="right"/>
    </xf>
    <xf numFmtId="0" fontId="24" fillId="0" borderId="5" xfId="0" applyFont="1" applyBorder="1"/>
    <xf numFmtId="0" fontId="0" fillId="0" borderId="5" xfId="0" applyBorder="1"/>
    <xf numFmtId="0" fontId="0" fillId="0" borderId="0" xfId="0" applyFont="1" applyBorder="1" applyAlignment="1">
      <alignment horizontal="right"/>
    </xf>
    <xf numFmtId="174" fontId="0" fillId="0" borderId="0" xfId="0" applyNumberFormat="1" applyFont="1" applyBorder="1"/>
    <xf numFmtId="0" fontId="0" fillId="0" borderId="1" xfId="0" applyFont="1" applyBorder="1" applyAlignment="1">
      <alignment horizontal="right"/>
    </xf>
    <xf numFmtId="0" fontId="0" fillId="0" borderId="1" xfId="0" applyFont="1" applyBorder="1"/>
    <xf numFmtId="174" fontId="0" fillId="0" borderId="1" xfId="0" applyNumberFormat="1" applyFont="1" applyBorder="1"/>
    <xf numFmtId="0" fontId="0" fillId="0" borderId="1" xfId="0" applyBorder="1" applyAlignment="1">
      <alignment horizontal="right"/>
    </xf>
    <xf numFmtId="174" fontId="0" fillId="0" borderId="1" xfId="2" applyFont="1" applyBorder="1"/>
    <xf numFmtId="177" fontId="0" fillId="5" borderId="9" xfId="2" applyNumberFormat="1" applyFont="1" applyFill="1" applyBorder="1" applyAlignment="1">
      <alignment vertical="center"/>
    </xf>
    <xf numFmtId="0" fontId="29" fillId="0" borderId="0" xfId="0" applyFont="1" applyAlignment="1">
      <alignment horizontal="right" vertical="center"/>
    </xf>
    <xf numFmtId="0" fontId="0" fillId="5" borderId="9" xfId="0" applyFill="1" applyBorder="1"/>
    <xf numFmtId="174" fontId="0" fillId="5" borderId="9" xfId="2" applyFont="1" applyFill="1" applyBorder="1"/>
    <xf numFmtId="0" fontId="0" fillId="0" borderId="41" xfId="0" applyFill="1" applyBorder="1"/>
    <xf numFmtId="0" fontId="0" fillId="0" borderId="28" xfId="0" applyFill="1" applyBorder="1"/>
    <xf numFmtId="0" fontId="13" fillId="5" borderId="0" xfId="0" applyFont="1" applyFill="1" applyBorder="1" applyAlignment="1">
      <alignment horizontal="right" vertical="center"/>
    </xf>
    <xf numFmtId="0" fontId="0" fillId="5" borderId="0" xfId="0" applyFill="1" applyBorder="1" applyAlignment="1">
      <alignment horizontal="centerContinuous" vertical="center"/>
    </xf>
    <xf numFmtId="0" fontId="0" fillId="5" borderId="33" xfId="0" applyFill="1" applyBorder="1" applyAlignment="1">
      <alignment horizontal="right" vertical="center"/>
    </xf>
    <xf numFmtId="177" fontId="77" fillId="5" borderId="12" xfId="2" applyNumberFormat="1" applyFont="1" applyFill="1" applyBorder="1" applyAlignment="1">
      <alignment horizontal="right" vertical="center"/>
    </xf>
    <xf numFmtId="177" fontId="32" fillId="5" borderId="25" xfId="2" applyNumberFormat="1" applyFont="1" applyFill="1" applyBorder="1" applyAlignment="1">
      <alignment vertical="center"/>
    </xf>
    <xf numFmtId="177" fontId="32" fillId="5" borderId="1" xfId="2" applyNumberFormat="1" applyFont="1" applyFill="1" applyBorder="1" applyAlignment="1">
      <alignment vertical="center"/>
    </xf>
    <xf numFmtId="177" fontId="0" fillId="5" borderId="26" xfId="2" applyNumberFormat="1" applyFont="1" applyFill="1" applyBorder="1" applyAlignment="1">
      <alignment vertical="center"/>
    </xf>
    <xf numFmtId="177" fontId="76" fillId="0" borderId="0" xfId="2" applyNumberFormat="1" applyFont="1" applyAlignment="1">
      <alignment horizontal="right"/>
    </xf>
    <xf numFmtId="176" fontId="76" fillId="0" borderId="0" xfId="2" applyNumberFormat="1" applyFont="1" applyAlignment="1">
      <alignment horizontal="right"/>
    </xf>
    <xf numFmtId="175" fontId="91" fillId="5" borderId="1" xfId="2" applyNumberFormat="1" applyFont="1" applyFill="1" applyBorder="1" applyAlignment="1">
      <alignment horizontal="right" vertical="center"/>
    </xf>
    <xf numFmtId="11" fontId="0" fillId="5" borderId="12" xfId="2" applyNumberFormat="1" applyFont="1" applyFill="1" applyBorder="1" applyAlignment="1">
      <alignment horizontal="right" vertical="center"/>
    </xf>
    <xf numFmtId="0" fontId="93" fillId="0" borderId="0" xfId="0" applyFont="1" applyBorder="1"/>
    <xf numFmtId="0" fontId="93" fillId="0" borderId="0" xfId="0" applyFont="1" applyBorder="1" applyAlignment="1">
      <alignment vertical="center"/>
    </xf>
    <xf numFmtId="0" fontId="93" fillId="0" borderId="0" xfId="0" applyFont="1" applyBorder="1" applyAlignment="1">
      <alignment horizontal="left" vertical="center" wrapText="1"/>
    </xf>
    <xf numFmtId="174" fontId="0" fillId="0" borderId="0" xfId="2" applyFont="1" applyBorder="1"/>
    <xf numFmtId="0" fontId="0" fillId="5" borderId="1" xfId="0" applyNumberFormat="1" applyFill="1" applyBorder="1" applyAlignment="1">
      <alignment horizontal="right" vertical="center"/>
    </xf>
    <xf numFmtId="0" fontId="21" fillId="5" borderId="62" xfId="0" applyFont="1" applyFill="1" applyBorder="1" applyAlignment="1">
      <alignment horizontal="right" vertical="center"/>
    </xf>
    <xf numFmtId="0" fontId="21" fillId="5" borderId="20" xfId="0" applyFont="1" applyFill="1" applyBorder="1" applyAlignment="1">
      <alignment horizontal="right" vertical="center"/>
    </xf>
    <xf numFmtId="0" fontId="21" fillId="5" borderId="10" xfId="0" applyFont="1" applyFill="1" applyBorder="1" applyAlignment="1">
      <alignment horizontal="right" vertical="center"/>
    </xf>
    <xf numFmtId="175" fontId="16" fillId="2" borderId="0" xfId="2" applyNumberFormat="1" applyFont="1" applyFill="1" applyBorder="1" applyAlignment="1">
      <alignment vertical="center"/>
    </xf>
    <xf numFmtId="0" fontId="0" fillId="5" borderId="5" xfId="0" applyNumberFormat="1" applyFill="1" applyBorder="1" applyAlignment="1">
      <alignment vertical="center"/>
    </xf>
    <xf numFmtId="0" fontId="0" fillId="5" borderId="5" xfId="0" applyFill="1" applyBorder="1" applyAlignment="1">
      <alignment vertical="center"/>
    </xf>
    <xf numFmtId="0" fontId="0" fillId="2" borderId="0" xfId="0" applyFont="1" applyFill="1" applyBorder="1" applyAlignment="1">
      <alignment horizontal="right" vertical="center"/>
    </xf>
    <xf numFmtId="0" fontId="24" fillId="2" borderId="0" xfId="0" applyFont="1" applyFill="1" applyBorder="1" applyAlignment="1">
      <alignment vertical="center"/>
    </xf>
    <xf numFmtId="0" fontId="0" fillId="2" borderId="0" xfId="0" applyFont="1" applyFill="1" applyBorder="1"/>
    <xf numFmtId="0" fontId="0" fillId="0" borderId="66" xfId="0" applyBorder="1"/>
    <xf numFmtId="0" fontId="0" fillId="0" borderId="67" xfId="0" applyBorder="1"/>
    <xf numFmtId="0" fontId="0" fillId="0" borderId="68" xfId="0" applyBorder="1"/>
    <xf numFmtId="0" fontId="0" fillId="0" borderId="69" xfId="0" applyBorder="1"/>
    <xf numFmtId="0" fontId="0" fillId="0" borderId="70" xfId="0" applyBorder="1"/>
    <xf numFmtId="175" fontId="86" fillId="2" borderId="0" xfId="2" applyNumberFormat="1" applyFont="1" applyFill="1" applyAlignment="1">
      <alignment vertical="center"/>
    </xf>
    <xf numFmtId="175" fontId="85" fillId="2" borderId="9" xfId="0" applyNumberFormat="1" applyFont="1" applyFill="1" applyBorder="1" applyAlignment="1">
      <alignment vertical="center"/>
    </xf>
    <xf numFmtId="0" fontId="94" fillId="2" borderId="47" xfId="0" applyFont="1" applyFill="1" applyBorder="1" applyAlignment="1">
      <alignment vertical="center"/>
    </xf>
    <xf numFmtId="179" fontId="70" fillId="2" borderId="0" xfId="1" applyFont="1" applyFill="1" applyAlignment="1">
      <alignment vertical="center"/>
    </xf>
    <xf numFmtId="179" fontId="94" fillId="2" borderId="9" xfId="1" applyNumberFormat="1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179" fontId="86" fillId="2" borderId="1" xfId="1" applyFont="1" applyFill="1" applyBorder="1" applyAlignment="1">
      <alignment vertical="center"/>
    </xf>
    <xf numFmtId="0" fontId="19" fillId="2" borderId="0" xfId="0" applyFont="1" applyFill="1" applyAlignment="1"/>
    <xf numFmtId="0" fontId="19" fillId="2" borderId="0" xfId="0" applyFont="1" applyFill="1" applyAlignment="1">
      <alignment vertical="center"/>
    </xf>
    <xf numFmtId="0" fontId="55" fillId="11" borderId="0" xfId="0" applyFont="1" applyFill="1" applyAlignment="1">
      <alignment vertical="center"/>
    </xf>
    <xf numFmtId="0" fontId="84" fillId="11" borderId="0" xfId="0" applyFont="1" applyFill="1" applyAlignment="1">
      <alignment vertical="center"/>
    </xf>
    <xf numFmtId="0" fontId="96" fillId="23" borderId="37" xfId="0" applyFont="1" applyFill="1" applyBorder="1" applyAlignment="1">
      <alignment horizontal="left" vertical="center" indent="1"/>
    </xf>
    <xf numFmtId="0" fontId="29" fillId="23" borderId="36" xfId="0" applyFont="1" applyFill="1" applyBorder="1"/>
    <xf numFmtId="174" fontId="29" fillId="23" borderId="36" xfId="2" applyFont="1" applyFill="1" applyBorder="1"/>
    <xf numFmtId="174" fontId="29" fillId="23" borderId="38" xfId="2" applyFont="1" applyFill="1" applyBorder="1"/>
    <xf numFmtId="0" fontId="29" fillId="22" borderId="0" xfId="0" applyFont="1" applyFill="1" applyBorder="1"/>
    <xf numFmtId="0" fontId="29" fillId="22" borderId="33" xfId="0" applyFont="1" applyFill="1" applyBorder="1"/>
    <xf numFmtId="174" fontId="29" fillId="22" borderId="33" xfId="2" applyFont="1" applyFill="1" applyBorder="1"/>
    <xf numFmtId="0" fontId="29" fillId="22" borderId="43" xfId="0" applyFont="1" applyFill="1" applyBorder="1"/>
    <xf numFmtId="0" fontId="29" fillId="22" borderId="44" xfId="0" applyFont="1" applyFill="1" applyBorder="1"/>
    <xf numFmtId="0" fontId="96" fillId="22" borderId="39" xfId="0" applyFont="1" applyFill="1" applyBorder="1" applyAlignment="1">
      <alignment horizontal="left" vertical="center" indent="1"/>
    </xf>
    <xf numFmtId="174" fontId="29" fillId="22" borderId="40" xfId="2" applyFont="1" applyFill="1" applyBorder="1"/>
    <xf numFmtId="175" fontId="29" fillId="22" borderId="0" xfId="2" applyNumberFormat="1" applyFont="1" applyFill="1" applyBorder="1"/>
    <xf numFmtId="0" fontId="53" fillId="22" borderId="0" xfId="0" applyFont="1" applyFill="1" applyBorder="1"/>
    <xf numFmtId="175" fontId="53" fillId="22" borderId="0" xfId="2" applyNumberFormat="1" applyFont="1" applyFill="1" applyBorder="1"/>
    <xf numFmtId="174" fontId="29" fillId="22" borderId="0" xfId="0" applyNumberFormat="1" applyFont="1" applyFill="1" applyBorder="1"/>
    <xf numFmtId="177" fontId="0" fillId="5" borderId="0" xfId="2" applyNumberFormat="1" applyFont="1" applyFill="1" applyAlignment="1">
      <alignment horizontal="left"/>
    </xf>
    <xf numFmtId="0" fontId="97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14" fillId="0" borderId="0" xfId="6" applyFont="1"/>
    <xf numFmtId="0" fontId="14" fillId="5" borderId="43" xfId="6" applyFont="1" applyFill="1" applyBorder="1" applyAlignment="1">
      <alignment horizontal="left" indent="1"/>
    </xf>
    <xf numFmtId="0" fontId="24" fillId="5" borderId="0" xfId="6" applyFont="1" applyFill="1" applyBorder="1"/>
    <xf numFmtId="0" fontId="14" fillId="5" borderId="0" xfId="6" applyFont="1" applyFill="1" applyBorder="1"/>
    <xf numFmtId="0" fontId="14" fillId="5" borderId="0" xfId="6" applyFont="1" applyFill="1" applyBorder="1" applyAlignment="1">
      <alignment horizontal="right"/>
    </xf>
    <xf numFmtId="0" fontId="14" fillId="5" borderId="0" xfId="6" applyFont="1" applyFill="1" applyBorder="1" applyAlignment="1">
      <alignment horizontal="right" vertical="center"/>
    </xf>
    <xf numFmtId="0" fontId="14" fillId="5" borderId="5" xfId="6" applyFont="1" applyFill="1" applyBorder="1"/>
    <xf numFmtId="0" fontId="14" fillId="5" borderId="64" xfId="6" applyFont="1" applyFill="1" applyBorder="1"/>
    <xf numFmtId="0" fontId="16" fillId="5" borderId="43" xfId="6" applyFont="1" applyFill="1" applyBorder="1" applyAlignment="1">
      <alignment horizontal="left" indent="1"/>
    </xf>
    <xf numFmtId="0" fontId="21" fillId="5" borderId="10" xfId="6" applyFont="1" applyFill="1" applyBorder="1" applyAlignment="1">
      <alignment vertical="center"/>
    </xf>
    <xf numFmtId="0" fontId="21" fillId="5" borderId="62" xfId="6" applyFont="1" applyFill="1" applyBorder="1" applyAlignment="1">
      <alignment horizontal="right" vertical="center"/>
    </xf>
    <xf numFmtId="0" fontId="21" fillId="5" borderId="20" xfId="6" applyFont="1" applyFill="1" applyBorder="1" applyAlignment="1">
      <alignment horizontal="right" vertical="center"/>
    </xf>
    <xf numFmtId="0" fontId="21" fillId="5" borderId="10" xfId="6" applyFont="1" applyFill="1" applyBorder="1" applyAlignment="1">
      <alignment horizontal="right" vertical="center"/>
    </xf>
    <xf numFmtId="0" fontId="21" fillId="5" borderId="0" xfId="6" applyFont="1" applyFill="1" applyBorder="1" applyAlignment="1">
      <alignment horizontal="right" vertical="center"/>
    </xf>
    <xf numFmtId="0" fontId="13" fillId="5" borderId="9" xfId="6" applyFont="1" applyFill="1" applyBorder="1" applyAlignment="1">
      <alignment vertical="center"/>
    </xf>
    <xf numFmtId="0" fontId="21" fillId="5" borderId="9" xfId="6" applyFont="1" applyFill="1" applyBorder="1" applyAlignment="1">
      <alignment vertical="center"/>
    </xf>
    <xf numFmtId="173" fontId="13" fillId="5" borderId="22" xfId="7" applyNumberFormat="1" applyFont="1" applyFill="1" applyBorder="1" applyAlignment="1">
      <alignment horizontal="right" vertical="center"/>
    </xf>
    <xf numFmtId="173" fontId="13" fillId="5" borderId="9" xfId="6" applyNumberFormat="1" applyFont="1" applyFill="1" applyBorder="1" applyAlignment="1">
      <alignment horizontal="right" vertical="center"/>
    </xf>
    <xf numFmtId="173" fontId="13" fillId="5" borderId="0" xfId="7" applyNumberFormat="1" applyFont="1" applyFill="1" applyBorder="1" applyAlignment="1">
      <alignment horizontal="right" vertical="center"/>
    </xf>
    <xf numFmtId="173" fontId="13" fillId="5" borderId="9" xfId="7" applyNumberFormat="1" applyFont="1" applyFill="1" applyBorder="1" applyAlignment="1">
      <alignment horizontal="right" vertical="center"/>
    </xf>
    <xf numFmtId="0" fontId="13" fillId="5" borderId="0" xfId="6" applyFont="1" applyFill="1" applyBorder="1" applyAlignment="1">
      <alignment vertical="center"/>
    </xf>
    <xf numFmtId="0" fontId="21" fillId="5" borderId="0" xfId="6" applyFont="1" applyFill="1" applyBorder="1" applyAlignment="1">
      <alignment vertical="center"/>
    </xf>
    <xf numFmtId="173" fontId="13" fillId="5" borderId="23" xfId="7" applyNumberFormat="1" applyFont="1" applyFill="1" applyBorder="1" applyAlignment="1">
      <alignment horizontal="right" vertical="center"/>
    </xf>
    <xf numFmtId="173" fontId="13" fillId="5" borderId="0" xfId="6" applyNumberFormat="1" applyFont="1" applyFill="1" applyBorder="1" applyAlignment="1">
      <alignment horizontal="right" vertical="center"/>
    </xf>
    <xf numFmtId="0" fontId="13" fillId="5" borderId="1" xfId="6" applyFont="1" applyFill="1" applyBorder="1" applyAlignment="1">
      <alignment vertical="center"/>
    </xf>
    <xf numFmtId="0" fontId="21" fillId="5" borderId="1" xfId="6" applyFont="1" applyFill="1" applyBorder="1" applyAlignment="1">
      <alignment vertical="center"/>
    </xf>
    <xf numFmtId="173" fontId="13" fillId="5" borderId="24" xfId="7" applyNumberFormat="1" applyFont="1" applyFill="1" applyBorder="1" applyAlignment="1">
      <alignment horizontal="right" vertical="center"/>
    </xf>
    <xf numFmtId="173" fontId="13" fillId="5" borderId="1" xfId="6" applyNumberFormat="1" applyFont="1" applyFill="1" applyBorder="1" applyAlignment="1">
      <alignment horizontal="right" vertical="center"/>
    </xf>
    <xf numFmtId="173" fontId="13" fillId="5" borderId="1" xfId="7" applyNumberFormat="1" applyFont="1" applyFill="1" applyBorder="1" applyAlignment="1">
      <alignment horizontal="right" vertical="center"/>
    </xf>
    <xf numFmtId="0" fontId="14" fillId="5" borderId="0" xfId="6" applyNumberFormat="1" applyFont="1" applyFill="1" applyBorder="1"/>
    <xf numFmtId="0" fontId="14" fillId="5" borderId="0" xfId="6" applyNumberFormat="1" applyFont="1" applyFill="1" applyBorder="1" applyAlignment="1">
      <alignment horizontal="right" vertical="center"/>
    </xf>
    <xf numFmtId="0" fontId="14" fillId="5" borderId="41" xfId="6" applyFont="1" applyFill="1" applyBorder="1" applyAlignment="1">
      <alignment horizontal="left" indent="1"/>
    </xf>
    <xf numFmtId="0" fontId="14" fillId="5" borderId="28" xfId="6" applyFont="1" applyFill="1" applyBorder="1"/>
    <xf numFmtId="0" fontId="0" fillId="7" borderId="1" xfId="0" applyFont="1" applyFill="1" applyBorder="1" applyAlignment="1">
      <alignment vertical="center"/>
    </xf>
    <xf numFmtId="0" fontId="0" fillId="0" borderId="0" xfId="0"/>
    <xf numFmtId="1" fontId="21" fillId="5" borderId="13" xfId="0" applyNumberFormat="1" applyFont="1" applyFill="1" applyBorder="1" applyAlignment="1">
      <alignment horizontal="right" vertical="center"/>
    </xf>
    <xf numFmtId="1" fontId="21" fillId="5" borderId="11" xfId="0" applyNumberFormat="1" applyFont="1" applyFill="1" applyBorder="1" applyAlignment="1">
      <alignment horizontal="right" vertical="center"/>
    </xf>
    <xf numFmtId="182" fontId="0" fillId="0" borderId="0" xfId="0" applyNumberFormat="1"/>
    <xf numFmtId="174" fontId="0" fillId="5" borderId="1" xfId="2" applyFont="1" applyFill="1" applyBorder="1" applyAlignment="1">
      <alignment horizontal="right" vertical="center"/>
    </xf>
    <xf numFmtId="0" fontId="13" fillId="5" borderId="0" xfId="0" applyFont="1" applyFill="1" applyBorder="1"/>
    <xf numFmtId="0" fontId="17" fillId="8" borderId="39" xfId="0" applyFont="1" applyFill="1" applyBorder="1" applyAlignment="1">
      <alignment horizontal="left" vertical="center" indent="1"/>
    </xf>
    <xf numFmtId="0" fontId="0" fillId="8" borderId="33" xfId="0" applyFill="1" applyBorder="1" applyAlignment="1">
      <alignment vertical="center"/>
    </xf>
    <xf numFmtId="0" fontId="0" fillId="8" borderId="40" xfId="0" applyFill="1" applyBorder="1" applyAlignment="1">
      <alignment vertical="center"/>
    </xf>
    <xf numFmtId="0" fontId="0" fillId="7" borderId="16" xfId="0" applyNumberFormat="1" applyFill="1" applyBorder="1" applyAlignment="1">
      <alignment vertical="center"/>
    </xf>
    <xf numFmtId="174" fontId="13" fillId="0" borderId="0" xfId="2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0" fontId="17" fillId="25" borderId="37" xfId="0" applyFont="1" applyFill="1" applyBorder="1" applyAlignment="1">
      <alignment horizontal="left" vertical="center" indent="1"/>
    </xf>
    <xf numFmtId="0" fontId="0" fillId="25" borderId="36" xfId="0" applyFill="1" applyBorder="1"/>
    <xf numFmtId="0" fontId="0" fillId="25" borderId="38" xfId="0" applyFill="1" applyBorder="1"/>
    <xf numFmtId="0" fontId="0" fillId="26" borderId="43" xfId="0" applyFill="1" applyBorder="1"/>
    <xf numFmtId="0" fontId="0" fillId="26" borderId="0" xfId="0" applyFill="1" applyBorder="1"/>
    <xf numFmtId="0" fontId="0" fillId="26" borderId="44" xfId="0" applyFill="1" applyBorder="1"/>
    <xf numFmtId="0" fontId="16" fillId="26" borderId="43" xfId="0" applyFont="1" applyFill="1" applyBorder="1"/>
    <xf numFmtId="0" fontId="21" fillId="26" borderId="10" xfId="0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0" fillId="26" borderId="0" xfId="0" applyFont="1" applyFill="1" applyBorder="1" applyAlignment="1">
      <alignment vertical="center"/>
    </xf>
    <xf numFmtId="175" fontId="0" fillId="26" borderId="0" xfId="2" applyNumberFormat="1" applyFont="1" applyFill="1" applyBorder="1" applyAlignment="1">
      <alignment vertical="center"/>
    </xf>
    <xf numFmtId="0" fontId="0" fillId="26" borderId="28" xfId="0" applyFill="1" applyBorder="1"/>
    <xf numFmtId="0" fontId="0" fillId="0" borderId="0" xfId="0"/>
    <xf numFmtId="0" fontId="13" fillId="7" borderId="1" xfId="0" applyFont="1" applyFill="1" applyBorder="1" applyAlignment="1">
      <alignment vertical="center"/>
    </xf>
    <xf numFmtId="0" fontId="0" fillId="0" borderId="0" xfId="0"/>
    <xf numFmtId="0" fontId="0" fillId="21" borderId="0" xfId="0" applyFill="1"/>
    <xf numFmtId="0" fontId="0" fillId="7" borderId="9" xfId="0" applyFont="1" applyFill="1" applyBorder="1" applyAlignment="1">
      <alignment vertical="center"/>
    </xf>
    <xf numFmtId="0" fontId="74" fillId="2" borderId="0" xfId="0" applyFont="1" applyFill="1" applyBorder="1" applyAlignment="1">
      <alignment vertical="center"/>
    </xf>
    <xf numFmtId="0" fontId="16" fillId="2" borderId="0" xfId="0" applyFont="1" applyFill="1" applyBorder="1"/>
    <xf numFmtId="173" fontId="0" fillId="5" borderId="9" xfId="1" applyNumberFormat="1" applyFont="1" applyFill="1" applyBorder="1" applyAlignment="1">
      <alignment vertical="center"/>
    </xf>
    <xf numFmtId="0" fontId="70" fillId="5" borderId="41" xfId="4" applyNumberFormat="1" applyFont="1" applyFill="1" applyBorder="1"/>
    <xf numFmtId="9" fontId="0" fillId="5" borderId="28" xfId="0" applyNumberFormat="1" applyFill="1" applyBorder="1" applyAlignment="1">
      <alignment vertical="center"/>
    </xf>
    <xf numFmtId="179" fontId="32" fillId="5" borderId="28" xfId="1" applyFont="1" applyFill="1" applyBorder="1" applyAlignment="1">
      <alignment vertical="center"/>
    </xf>
    <xf numFmtId="179" fontId="32" fillId="5" borderId="73" xfId="1" applyFont="1" applyFill="1" applyBorder="1" applyAlignment="1">
      <alignment vertical="center"/>
    </xf>
    <xf numFmtId="0" fontId="70" fillId="5" borderId="39" xfId="4" applyNumberFormat="1" applyFont="1" applyFill="1" applyBorder="1"/>
    <xf numFmtId="0" fontId="0" fillId="5" borderId="74" xfId="0" applyFill="1" applyBorder="1" applyAlignment="1">
      <alignment vertical="center"/>
    </xf>
    <xf numFmtId="9" fontId="0" fillId="5" borderId="74" xfId="0" applyNumberFormat="1" applyFill="1" applyBorder="1" applyAlignment="1">
      <alignment vertical="center"/>
    </xf>
    <xf numFmtId="179" fontId="32" fillId="5" borderId="74" xfId="1" applyFont="1" applyFill="1" applyBorder="1" applyAlignment="1">
      <alignment vertical="center"/>
    </xf>
    <xf numFmtId="179" fontId="32" fillId="5" borderId="75" xfId="1" applyFont="1" applyFill="1" applyBorder="1" applyAlignment="1">
      <alignment vertical="center"/>
    </xf>
    <xf numFmtId="179" fontId="32" fillId="5" borderId="33" xfId="1" applyFont="1" applyFill="1" applyBorder="1" applyAlignment="1">
      <alignment vertical="center"/>
    </xf>
    <xf numFmtId="0" fontId="0" fillId="0" borderId="0" xfId="0"/>
    <xf numFmtId="2" fontId="16" fillId="2" borderId="0" xfId="1" applyNumberFormat="1" applyFont="1" applyFill="1"/>
    <xf numFmtId="0" fontId="17" fillId="25" borderId="36" xfId="0" applyFont="1" applyFill="1" applyBorder="1" applyAlignment="1">
      <alignment vertical="center"/>
    </xf>
    <xf numFmtId="0" fontId="0" fillId="26" borderId="39" xfId="0" applyFill="1" applyBorder="1"/>
    <xf numFmtId="0" fontId="0" fillId="26" borderId="33" xfId="0" applyFill="1" applyBorder="1"/>
    <xf numFmtId="0" fontId="0" fillId="26" borderId="40" xfId="0" applyFill="1" applyBorder="1"/>
    <xf numFmtId="0" fontId="24" fillId="26" borderId="0" xfId="0" applyFont="1" applyFill="1" applyBorder="1"/>
    <xf numFmtId="0" fontId="0" fillId="26" borderId="0" xfId="0" applyFill="1" applyBorder="1" applyAlignment="1">
      <alignment horizontal="right"/>
    </xf>
    <xf numFmtId="0" fontId="0" fillId="26" borderId="42" xfId="0" applyFill="1" applyBorder="1"/>
    <xf numFmtId="0" fontId="0" fillId="0" borderId="0" xfId="0"/>
    <xf numFmtId="174" fontId="0" fillId="26" borderId="0" xfId="2" applyNumberFormat="1" applyFont="1" applyFill="1" applyBorder="1" applyAlignment="1">
      <alignment vertical="center"/>
    </xf>
    <xf numFmtId="0" fontId="16" fillId="26" borderId="41" xfId="0" applyFont="1" applyFill="1" applyBorder="1"/>
    <xf numFmtId="0" fontId="99" fillId="0" borderId="0" xfId="0" applyFont="1" applyBorder="1"/>
    <xf numFmtId="0" fontId="99" fillId="0" borderId="0" xfId="0" applyFont="1" applyBorder="1" applyAlignment="1">
      <alignment vertical="center"/>
    </xf>
    <xf numFmtId="0" fontId="99" fillId="0" borderId="0" xfId="0" applyFont="1" applyBorder="1" applyAlignment="1">
      <alignment horizontal="left" vertical="center" wrapText="1"/>
    </xf>
    <xf numFmtId="0" fontId="0" fillId="0" borderId="0" xfId="0"/>
    <xf numFmtId="0" fontId="0" fillId="0" borderId="0" xfId="0"/>
    <xf numFmtId="173" fontId="0" fillId="5" borderId="25" xfId="1" applyNumberFormat="1" applyFont="1" applyFill="1" applyBorder="1" applyAlignment="1">
      <alignment vertical="center"/>
    </xf>
    <xf numFmtId="173" fontId="0" fillId="5" borderId="26" xfId="1" applyNumberFormat="1" applyFont="1" applyFill="1" applyBorder="1" applyAlignment="1">
      <alignment vertical="center"/>
    </xf>
    <xf numFmtId="173" fontId="0" fillId="5" borderId="26" xfId="1" applyNumberFormat="1" applyFont="1" applyFill="1" applyBorder="1" applyAlignment="1">
      <alignment horizontal="right" vertical="center"/>
    </xf>
    <xf numFmtId="173" fontId="0" fillId="5" borderId="9" xfId="1" applyNumberFormat="1" applyFont="1" applyFill="1" applyBorder="1" applyAlignment="1">
      <alignment horizontal="right" vertical="center"/>
    </xf>
    <xf numFmtId="175" fontId="32" fillId="5" borderId="20" xfId="2" applyNumberFormat="1" applyFont="1" applyFill="1" applyBorder="1" applyAlignment="1">
      <alignment horizontal="right" vertical="center"/>
    </xf>
    <xf numFmtId="175" fontId="32" fillId="5" borderId="10" xfId="2" applyNumberFormat="1" applyFont="1" applyFill="1" applyBorder="1" applyAlignment="1">
      <alignment horizontal="right" vertical="center"/>
    </xf>
    <xf numFmtId="174" fontId="14" fillId="24" borderId="68" xfId="8" applyNumberFormat="1" applyFont="1" applyBorder="1" applyAlignment="1">
      <alignment vertical="center"/>
    </xf>
    <xf numFmtId="174" fontId="14" fillId="24" borderId="0" xfId="8" applyNumberFormat="1" applyFont="1" applyBorder="1" applyAlignment="1">
      <alignment vertical="center"/>
    </xf>
    <xf numFmtId="174" fontId="14" fillId="24" borderId="70" xfId="8" applyNumberFormat="1" applyFont="1" applyBorder="1" applyAlignment="1">
      <alignment vertical="center"/>
    </xf>
    <xf numFmtId="174" fontId="14" fillId="24" borderId="1" xfId="8" applyNumberFormat="1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7" borderId="43" xfId="0" applyFont="1" applyFill="1" applyBorder="1" applyAlignment="1">
      <alignment vertical="center"/>
    </xf>
    <xf numFmtId="175" fontId="0" fillId="0" borderId="0" xfId="0" applyNumberFormat="1"/>
    <xf numFmtId="2" fontId="16" fillId="2" borderId="1" xfId="1" applyNumberFormat="1" applyFont="1" applyFill="1" applyBorder="1"/>
    <xf numFmtId="175" fontId="16" fillId="2" borderId="0" xfId="2" applyNumberFormat="1" applyFont="1" applyFill="1" applyAlignment="1">
      <alignment horizontal="right" vertical="center"/>
    </xf>
    <xf numFmtId="175" fontId="16" fillId="2" borderId="0" xfId="2" applyNumberFormat="1" applyFont="1" applyFill="1" applyAlignment="1">
      <alignment horizontal="right"/>
    </xf>
    <xf numFmtId="175" fontId="16" fillId="2" borderId="1" xfId="2" applyNumberFormat="1" applyFont="1" applyFill="1" applyBorder="1" applyAlignment="1">
      <alignment horizontal="right" vertical="center"/>
    </xf>
    <xf numFmtId="175" fontId="16" fillId="2" borderId="1" xfId="2" applyNumberFormat="1" applyFont="1" applyFill="1" applyBorder="1" applyAlignment="1">
      <alignment horizontal="right"/>
    </xf>
    <xf numFmtId="0" fontId="0" fillId="0" borderId="0" xfId="0"/>
    <xf numFmtId="0" fontId="0" fillId="5" borderId="4" xfId="0" applyFill="1" applyBorder="1"/>
    <xf numFmtId="174" fontId="21" fillId="5" borderId="0" xfId="2" applyFont="1" applyFill="1" applyBorder="1" applyAlignment="1">
      <alignment horizontal="right" vertical="center"/>
    </xf>
    <xf numFmtId="0" fontId="24" fillId="5" borderId="0" xfId="0" applyFont="1" applyFill="1" applyBorder="1" applyAlignment="1"/>
    <xf numFmtId="0" fontId="24" fillId="5" borderId="0" xfId="0" applyFont="1" applyFill="1" applyBorder="1" applyAlignment="1">
      <alignment horizontal="right"/>
    </xf>
    <xf numFmtId="0" fontId="0" fillId="0" borderId="0" xfId="0"/>
    <xf numFmtId="0" fontId="17" fillId="17" borderId="0" xfId="0" applyFont="1" applyFill="1" applyAlignment="1">
      <alignment vertical="center" wrapText="1"/>
    </xf>
    <xf numFmtId="0" fontId="13" fillId="5" borderId="0" xfId="0" applyNumberFormat="1" applyFont="1" applyFill="1" applyBorder="1" applyAlignment="1">
      <alignment horizontal="left" vertical="center"/>
    </xf>
    <xf numFmtId="175" fontId="0" fillId="5" borderId="44" xfId="0" applyNumberFormat="1" applyFill="1" applyBorder="1"/>
    <xf numFmtId="174" fontId="24" fillId="0" borderId="0" xfId="2" applyFont="1" applyBorder="1"/>
    <xf numFmtId="0" fontId="21" fillId="5" borderId="11" xfId="0" applyNumberFormat="1" applyFont="1" applyFill="1" applyBorder="1" applyAlignment="1">
      <alignment horizontal="left" vertical="center"/>
    </xf>
    <xf numFmtId="175" fontId="14" fillId="0" borderId="0" xfId="2" applyNumberFormat="1" applyFont="1"/>
    <xf numFmtId="0" fontId="0" fillId="5" borderId="1" xfId="0" applyFill="1" applyBorder="1" applyAlignment="1">
      <alignment horizontal="left"/>
    </xf>
    <xf numFmtId="0" fontId="21" fillId="5" borderId="9" xfId="0" applyNumberFormat="1" applyFont="1" applyFill="1" applyBorder="1" applyAlignment="1">
      <alignment horizontal="left" vertical="center"/>
    </xf>
    <xf numFmtId="0" fontId="13" fillId="5" borderId="9" xfId="0" applyNumberFormat="1" applyFont="1" applyFill="1" applyBorder="1" applyAlignment="1">
      <alignment horizontal="left" vertical="center"/>
    </xf>
    <xf numFmtId="0" fontId="13" fillId="5" borderId="0" xfId="0" applyNumberFormat="1" applyFont="1" applyFill="1" applyBorder="1" applyAlignment="1">
      <alignment horizontal="right" vertical="center"/>
    </xf>
    <xf numFmtId="0" fontId="13" fillId="5" borderId="16" xfId="0" applyNumberFormat="1" applyFont="1" applyFill="1" applyBorder="1" applyAlignment="1">
      <alignment horizontal="left" vertical="center"/>
    </xf>
    <xf numFmtId="0" fontId="13" fillId="5" borderId="16" xfId="0" applyNumberFormat="1" applyFont="1" applyFill="1" applyBorder="1" applyAlignment="1">
      <alignment horizontal="right" vertical="center"/>
    </xf>
    <xf numFmtId="0" fontId="21" fillId="5" borderId="16" xfId="0" applyNumberFormat="1" applyFont="1" applyFill="1" applyBorder="1" applyAlignment="1">
      <alignment horizontal="left" vertical="center"/>
    </xf>
    <xf numFmtId="178" fontId="0" fillId="5" borderId="1" xfId="2" applyNumberFormat="1" applyFont="1" applyFill="1" applyBorder="1" applyAlignment="1">
      <alignment vertical="center"/>
    </xf>
    <xf numFmtId="175" fontId="32" fillId="5" borderId="9" xfId="2" applyNumberFormat="1" applyFont="1" applyFill="1" applyBorder="1" applyAlignment="1">
      <alignment vertical="center"/>
    </xf>
    <xf numFmtId="175" fontId="0" fillId="5" borderId="5" xfId="2" applyNumberFormat="1" applyFont="1" applyFill="1" applyBorder="1" applyAlignment="1">
      <alignment vertical="center"/>
    </xf>
    <xf numFmtId="175" fontId="0" fillId="5" borderId="1" xfId="2" applyNumberFormat="1" applyFont="1" applyFill="1" applyBorder="1" applyAlignment="1">
      <alignment horizontal="right" vertical="center"/>
    </xf>
    <xf numFmtId="9" fontId="13" fillId="5" borderId="0" xfId="0" applyNumberFormat="1" applyFont="1" applyFill="1" applyBorder="1" applyAlignment="1">
      <alignment horizontal="right" vertical="center"/>
    </xf>
    <xf numFmtId="0" fontId="0" fillId="0" borderId="0" xfId="0"/>
    <xf numFmtId="0" fontId="17" fillId="17" borderId="0" xfId="0" applyFont="1" applyFill="1" applyAlignment="1">
      <alignment horizontal="center" vertical="center" wrapText="1"/>
    </xf>
    <xf numFmtId="0" fontId="0" fillId="22" borderId="0" xfId="0" applyFill="1"/>
    <xf numFmtId="0" fontId="35" fillId="22" borderId="0" xfId="6" applyFont="1" applyFill="1"/>
    <xf numFmtId="0" fontId="35" fillId="22" borderId="0" xfId="6" applyNumberFormat="1" applyFont="1" applyFill="1"/>
    <xf numFmtId="175" fontId="35" fillId="22" borderId="0" xfId="2" applyNumberFormat="1" applyFont="1" applyFill="1"/>
    <xf numFmtId="0" fontId="0" fillId="0" borderId="0" xfId="0"/>
    <xf numFmtId="0" fontId="37" fillId="22" borderId="0" xfId="6" applyFont="1" applyFill="1"/>
    <xf numFmtId="0" fontId="0" fillId="22" borderId="0" xfId="0" applyFill="1" applyBorder="1"/>
    <xf numFmtId="0" fontId="37" fillId="22" borderId="0" xfId="6" applyNumberFormat="1" applyFont="1" applyFill="1"/>
    <xf numFmtId="0" fontId="24" fillId="22" borderId="0" xfId="0" applyFont="1" applyFill="1" applyBorder="1"/>
    <xf numFmtId="0" fontId="24" fillId="22" borderId="0" xfId="0" applyFont="1" applyFill="1" applyBorder="1" applyAlignment="1">
      <alignment horizontal="right"/>
    </xf>
    <xf numFmtId="0" fontId="0" fillId="0" borderId="0" xfId="0"/>
    <xf numFmtId="0" fontId="102" fillId="0" borderId="0" xfId="0" applyFont="1" applyBorder="1"/>
    <xf numFmtId="0" fontId="102" fillId="0" borderId="0" xfId="0" applyFont="1" applyBorder="1" applyAlignment="1">
      <alignment vertical="center"/>
    </xf>
    <xf numFmtId="0" fontId="102" fillId="0" borderId="0" xfId="0" applyFont="1" applyBorder="1" applyAlignment="1">
      <alignment horizontal="left" vertical="center" wrapText="1"/>
    </xf>
    <xf numFmtId="0" fontId="0" fillId="21" borderId="0" xfId="0" applyFill="1" applyBorder="1"/>
    <xf numFmtId="179" fontId="0" fillId="14" borderId="0" xfId="0" applyNumberFormat="1" applyFill="1" applyBorder="1" applyAlignment="1">
      <alignment vertical="center"/>
    </xf>
    <xf numFmtId="0" fontId="0" fillId="14" borderId="0" xfId="0" applyFill="1" applyBorder="1" applyAlignment="1">
      <alignment horizontal="right" vertical="center"/>
    </xf>
    <xf numFmtId="179" fontId="29" fillId="22" borderId="0" xfId="1" applyFont="1" applyFill="1" applyBorder="1"/>
    <xf numFmtId="0" fontId="24" fillId="0" borderId="0" xfId="0" applyFont="1" applyAlignment="1">
      <alignment horizontal="center"/>
    </xf>
    <xf numFmtId="0" fontId="0" fillId="0" borderId="0" xfId="0"/>
    <xf numFmtId="0" fontId="0" fillId="0" borderId="0" xfId="0"/>
    <xf numFmtId="0" fontId="24" fillId="2" borderId="0" xfId="0" applyFont="1" applyFill="1" applyBorder="1"/>
    <xf numFmtId="174" fontId="24" fillId="2" borderId="0" xfId="2" applyFont="1" applyFill="1" applyBorder="1"/>
    <xf numFmtId="1" fontId="35" fillId="14" borderId="0" xfId="230" applyNumberFormat="1" applyFont="1" applyFill="1" applyAlignment="1">
      <alignment vertical="center"/>
    </xf>
    <xf numFmtId="1" fontId="35" fillId="14" borderId="0" xfId="230" applyNumberFormat="1" applyFont="1" applyFill="1" applyBorder="1" applyAlignment="1">
      <alignment vertical="center"/>
    </xf>
    <xf numFmtId="0" fontId="32" fillId="14" borderId="0" xfId="0" applyFont="1" applyFill="1" applyBorder="1"/>
    <xf numFmtId="0" fontId="35" fillId="14" borderId="0" xfId="6" applyFont="1" applyFill="1"/>
    <xf numFmtId="175" fontId="35" fillId="14" borderId="0" xfId="2" applyNumberFormat="1" applyFont="1" applyFill="1"/>
    <xf numFmtId="0" fontId="32" fillId="14" borderId="0" xfId="0" applyFont="1" applyFill="1" applyAlignment="1">
      <alignment vertical="center"/>
    </xf>
    <xf numFmtId="0" fontId="52" fillId="14" borderId="0" xfId="0" applyFont="1" applyFill="1" applyBorder="1" applyAlignment="1">
      <alignment vertical="center"/>
    </xf>
    <xf numFmtId="0" fontId="32" fillId="14" borderId="0" xfId="0" applyFont="1" applyFill="1" applyBorder="1" applyAlignment="1">
      <alignment vertical="center"/>
    </xf>
    <xf numFmtId="0" fontId="39" fillId="14" borderId="0" xfId="0" applyFont="1" applyFill="1" applyAlignment="1">
      <alignment vertical="center"/>
    </xf>
    <xf numFmtId="0" fontId="24" fillId="14" borderId="0" xfId="0" applyFont="1" applyFill="1" applyBorder="1" applyAlignment="1">
      <alignment horizontal="left" vertical="center"/>
    </xf>
    <xf numFmtId="0" fontId="39" fillId="14" borderId="0" xfId="0" applyFont="1" applyFill="1" applyAlignment="1">
      <alignment horizontal="left" vertical="center"/>
    </xf>
    <xf numFmtId="1" fontId="0" fillId="14" borderId="0" xfId="0" applyNumberFormat="1" applyFill="1" applyBorder="1"/>
    <xf numFmtId="0" fontId="0" fillId="0" borderId="0" xfId="0"/>
    <xf numFmtId="0" fontId="0" fillId="0" borderId="0" xfId="0"/>
    <xf numFmtId="0" fontId="53" fillId="14" borderId="0" xfId="0" applyFont="1" applyFill="1" applyBorder="1"/>
    <xf numFmtId="175" fontId="0" fillId="14" borderId="44" xfId="0" applyNumberFormat="1" applyFill="1" applyBorder="1"/>
    <xf numFmtId="0" fontId="0" fillId="0" borderId="0" xfId="0"/>
    <xf numFmtId="0" fontId="0" fillId="0" borderId="68" xfId="0" applyBorder="1" applyAlignment="1">
      <alignment vertical="center"/>
    </xf>
    <xf numFmtId="0" fontId="0" fillId="0" borderId="0" xfId="0"/>
    <xf numFmtId="0" fontId="0" fillId="14" borderId="0" xfId="0" applyFont="1" applyFill="1" applyBorder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32" fillId="14" borderId="0" xfId="4" applyNumberFormat="1" applyFont="1" applyFill="1" applyBorder="1"/>
    <xf numFmtId="0" fontId="24" fillId="14" borderId="0" xfId="0" applyFont="1" applyFill="1" applyBorder="1" applyAlignment="1">
      <alignment vertical="center"/>
    </xf>
    <xf numFmtId="0" fontId="0" fillId="14" borderId="0" xfId="0" applyFont="1" applyFill="1" applyBorder="1" applyAlignment="1">
      <alignment horizontal="right" vertical="center"/>
    </xf>
    <xf numFmtId="0" fontId="39" fillId="14" borderId="0" xfId="0" applyFont="1" applyFill="1" applyBorder="1" applyAlignment="1">
      <alignment horizontal="left" vertical="center"/>
    </xf>
    <xf numFmtId="175" fontId="39" fillId="14" borderId="0" xfId="2" applyNumberFormat="1" applyFont="1" applyFill="1" applyBorder="1" applyAlignment="1">
      <alignment vertical="center"/>
    </xf>
    <xf numFmtId="179" fontId="52" fillId="14" borderId="0" xfId="1" applyFont="1" applyFill="1" applyBorder="1" applyAlignment="1">
      <alignment vertical="center"/>
    </xf>
    <xf numFmtId="0" fontId="32" fillId="14" borderId="0" xfId="0" applyFont="1" applyFill="1" applyBorder="1" applyAlignment="1">
      <alignment horizontal="right" vertical="center"/>
    </xf>
    <xf numFmtId="1" fontId="52" fillId="14" borderId="0" xfId="1" applyNumberFormat="1" applyFont="1" applyFill="1" applyBorder="1" applyAlignment="1">
      <alignment vertical="center"/>
    </xf>
    <xf numFmtId="0" fontId="52" fillId="14" borderId="0" xfId="0" applyFont="1" applyFill="1" applyBorder="1" applyAlignment="1">
      <alignment horizontal="right" vertical="center"/>
    </xf>
    <xf numFmtId="177" fontId="0" fillId="0" borderId="0" xfId="0" applyNumberFormat="1"/>
    <xf numFmtId="174" fontId="0" fillId="2" borderId="27" xfId="2" applyFont="1" applyFill="1" applyBorder="1" applyAlignment="1">
      <alignment vertical="center"/>
    </xf>
    <xf numFmtId="0" fontId="32" fillId="2" borderId="0" xfId="4" applyNumberFormat="1" applyFont="1" applyFill="1" applyBorder="1"/>
    <xf numFmtId="174" fontId="32" fillId="2" borderId="0" xfId="4" applyNumberFormat="1" applyFont="1" applyFill="1" applyBorder="1"/>
    <xf numFmtId="0" fontId="0" fillId="0" borderId="0" xfId="0"/>
    <xf numFmtId="1" fontId="29" fillId="14" borderId="0" xfId="0" applyNumberFormat="1" applyFont="1" applyFill="1" applyBorder="1"/>
    <xf numFmtId="0" fontId="0" fillId="0" borderId="0" xfId="0"/>
    <xf numFmtId="0" fontId="0" fillId="0" borderId="0" xfId="0"/>
    <xf numFmtId="0" fontId="84" fillId="18" borderId="0" xfId="0" applyFont="1" applyFill="1" applyAlignment="1">
      <alignment horizontal="left" vertical="top"/>
    </xf>
    <xf numFmtId="0" fontId="54" fillId="2" borderId="0" xfId="0" applyFont="1" applyFill="1" applyBorder="1" applyAlignment="1"/>
    <xf numFmtId="0" fontId="19" fillId="2" borderId="0" xfId="0" applyFont="1" applyFill="1" applyBorder="1" applyAlignment="1"/>
    <xf numFmtId="0" fontId="54" fillId="2" borderId="0" xfId="0" applyFont="1" applyFill="1" applyBorder="1" applyAlignment="1">
      <alignment vertical="center"/>
    </xf>
    <xf numFmtId="0" fontId="74" fillId="2" borderId="0" xfId="0" applyFont="1" applyFill="1" applyBorder="1" applyAlignment="1">
      <alignment horizontal="left" vertical="center"/>
    </xf>
    <xf numFmtId="0" fontId="61" fillId="2" borderId="0" xfId="0" applyFont="1" applyFill="1" applyBorder="1" applyAlignment="1">
      <alignment horizontal="right" vertical="center"/>
    </xf>
    <xf numFmtId="0" fontId="16" fillId="2" borderId="0" xfId="0" applyFont="1" applyFill="1" applyBorder="1" applyAlignment="1">
      <alignment horizontal="left" vertical="center"/>
    </xf>
    <xf numFmtId="0" fontId="39" fillId="14" borderId="0" xfId="0" applyFont="1" applyFill="1" applyBorder="1"/>
    <xf numFmtId="0" fontId="52" fillId="14" borderId="0" xfId="0" applyFont="1" applyFill="1" applyBorder="1"/>
    <xf numFmtId="0" fontId="0" fillId="0" borderId="0" xfId="0" applyFont="1" applyFill="1" applyBorder="1"/>
    <xf numFmtId="0" fontId="61" fillId="2" borderId="0" xfId="0" applyFont="1" applyFill="1" applyBorder="1" applyAlignment="1">
      <alignment vertical="center"/>
    </xf>
    <xf numFmtId="179" fontId="61" fillId="2" borderId="0" xfId="1" applyFont="1" applyFill="1" applyBorder="1" applyAlignment="1">
      <alignment vertical="center"/>
    </xf>
    <xf numFmtId="175" fontId="61" fillId="2" borderId="0" xfId="2" applyNumberFormat="1" applyFont="1" applyFill="1" applyBorder="1" applyAlignment="1">
      <alignment vertical="center"/>
    </xf>
    <xf numFmtId="0" fontId="46" fillId="2" borderId="0" xfId="0" applyFont="1" applyFill="1" applyAlignment="1">
      <alignment vertical="center"/>
    </xf>
    <xf numFmtId="0" fontId="0" fillId="0" borderId="0" xfId="0"/>
    <xf numFmtId="0" fontId="0" fillId="0" borderId="0" xfId="0"/>
    <xf numFmtId="0" fontId="95" fillId="28" borderId="77" xfId="0" applyFont="1" applyFill="1" applyBorder="1" applyAlignment="1">
      <alignment vertical="center"/>
    </xf>
    <xf numFmtId="0" fontId="95" fillId="28" borderId="78" xfId="0" applyFont="1" applyFill="1" applyBorder="1" applyAlignment="1">
      <alignment horizontal="left" vertical="center" wrapText="1"/>
    </xf>
    <xf numFmtId="0" fontId="0" fillId="29" borderId="44" xfId="0" applyFill="1" applyBorder="1"/>
    <xf numFmtId="0" fontId="0" fillId="29" borderId="44" xfId="0" applyFill="1" applyBorder="1" applyAlignment="1">
      <alignment vertical="center"/>
    </xf>
    <xf numFmtId="0" fontId="0" fillId="29" borderId="0" xfId="0" applyFont="1" applyFill="1" applyBorder="1" applyAlignment="1">
      <alignment horizontal="left" vertical="center" wrapText="1"/>
    </xf>
    <xf numFmtId="0" fontId="24" fillId="0" borderId="66" xfId="0" applyFont="1" applyBorder="1" applyAlignment="1">
      <alignment horizontal="left" vertical="center"/>
    </xf>
    <xf numFmtId="0" fontId="24" fillId="0" borderId="5" xfId="0" applyFont="1" applyBorder="1" applyAlignment="1">
      <alignment horizontal="left" vertical="center"/>
    </xf>
    <xf numFmtId="0" fontId="24" fillId="0" borderId="5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11" fontId="0" fillId="0" borderId="69" xfId="2" applyNumberFormat="1" applyFont="1" applyBorder="1" applyAlignment="1">
      <alignment vertical="center"/>
    </xf>
    <xf numFmtId="0" fontId="0" fillId="0" borderId="70" xfId="0" applyBorder="1" applyAlignment="1">
      <alignment vertical="center"/>
    </xf>
    <xf numFmtId="11" fontId="0" fillId="0" borderId="71" xfId="2" applyNumberFormat="1" applyFont="1" applyBorder="1" applyAlignment="1">
      <alignment vertical="center"/>
    </xf>
    <xf numFmtId="0" fontId="13" fillId="5" borderId="1" xfId="0" applyFont="1" applyFill="1" applyBorder="1" applyAlignment="1">
      <alignment horizontal="right" vertical="center"/>
    </xf>
    <xf numFmtId="0" fontId="24" fillId="26" borderId="0" xfId="0" applyFont="1" applyFill="1"/>
    <xf numFmtId="0" fontId="0" fillId="26" borderId="0" xfId="0" applyFill="1"/>
    <xf numFmtId="0" fontId="13" fillId="26" borderId="44" xfId="0" applyFont="1" applyFill="1" applyBorder="1" applyAlignment="1">
      <alignment vertical="center"/>
    </xf>
    <xf numFmtId="0" fontId="19" fillId="26" borderId="43" xfId="0" applyFont="1" applyFill="1" applyBorder="1"/>
    <xf numFmtId="167" fontId="0" fillId="26" borderId="44" xfId="0" applyNumberFormat="1" applyFill="1" applyBorder="1" applyAlignment="1">
      <alignment vertical="center"/>
    </xf>
    <xf numFmtId="0" fontId="19" fillId="26" borderId="41" xfId="0" applyFont="1" applyFill="1" applyBorder="1"/>
    <xf numFmtId="167" fontId="0" fillId="26" borderId="42" xfId="0" applyNumberFormat="1" applyFill="1" applyBorder="1" applyAlignment="1">
      <alignment vertical="center"/>
    </xf>
    <xf numFmtId="0" fontId="0" fillId="0" borderId="0" xfId="0"/>
    <xf numFmtId="0" fontId="0" fillId="0" borderId="0" xfId="0"/>
    <xf numFmtId="0" fontId="29" fillId="7" borderId="0" xfId="0" applyFont="1" applyFill="1" applyBorder="1" applyAlignment="1">
      <alignment vertical="center"/>
    </xf>
    <xf numFmtId="0" fontId="0" fillId="5" borderId="0" xfId="0" applyFill="1"/>
    <xf numFmtId="0" fontId="0" fillId="5" borderId="0" xfId="0" applyFill="1" applyAlignment="1">
      <alignment horizontal="left"/>
    </xf>
    <xf numFmtId="0" fontId="0" fillId="5" borderId="0" xfId="0" applyFill="1" applyAlignment="1">
      <alignment horizontal="right"/>
    </xf>
    <xf numFmtId="0" fontId="104" fillId="0" borderId="0" xfId="231" applyAlignment="1" applyProtection="1">
      <alignment vertical="center"/>
    </xf>
    <xf numFmtId="0" fontId="0" fillId="0" borderId="0" xfId="0"/>
    <xf numFmtId="0" fontId="104" fillId="5" borderId="0" xfId="231" applyFill="1" applyBorder="1" applyAlignment="1" applyProtection="1"/>
    <xf numFmtId="0" fontId="105" fillId="26" borderId="0" xfId="0" applyFont="1" applyFill="1" applyAlignment="1">
      <alignment vertical="center"/>
    </xf>
    <xf numFmtId="175" fontId="105" fillId="26" borderId="0" xfId="2" applyNumberFormat="1" applyFont="1" applyFill="1" applyBorder="1" applyAlignment="1">
      <alignment vertical="center"/>
    </xf>
    <xf numFmtId="175" fontId="0" fillId="5" borderId="0" xfId="2" applyNumberFormat="1" applyFont="1" applyFill="1" applyBorder="1" applyAlignment="1">
      <alignment horizontal="right"/>
    </xf>
    <xf numFmtId="0" fontId="0" fillId="5" borderId="79" xfId="0" applyNumberFormat="1" applyFill="1" applyBorder="1" applyAlignment="1">
      <alignment horizontal="center" vertical="center"/>
    </xf>
    <xf numFmtId="0" fontId="0" fillId="5" borderId="79" xfId="0" applyFill="1" applyBorder="1" applyAlignment="1">
      <alignment vertical="center"/>
    </xf>
    <xf numFmtId="177" fontId="0" fillId="5" borderId="79" xfId="2" applyNumberFormat="1" applyFont="1" applyFill="1" applyBorder="1" applyAlignment="1">
      <alignment vertical="center"/>
    </xf>
    <xf numFmtId="174" fontId="0" fillId="5" borderId="79" xfId="2" applyFont="1" applyFill="1" applyBorder="1" applyAlignment="1">
      <alignment horizontal="right" vertical="center"/>
    </xf>
    <xf numFmtId="0" fontId="0" fillId="0" borderId="0" xfId="0"/>
    <xf numFmtId="0" fontId="104" fillId="5" borderId="0" xfId="231" applyFill="1" applyAlignment="1" applyProtection="1">
      <alignment vertical="center"/>
    </xf>
    <xf numFmtId="0" fontId="21" fillId="0" borderId="0" xfId="0" applyNumberFormat="1" applyFont="1" applyFill="1" applyBorder="1" applyAlignment="1">
      <alignment horizontal="right" vertical="center"/>
    </xf>
    <xf numFmtId="0" fontId="14" fillId="26" borderId="0" xfId="0" applyFont="1" applyFill="1" applyAlignment="1">
      <alignment vertical="center"/>
    </xf>
    <xf numFmtId="175" fontId="14" fillId="26" borderId="0" xfId="2" applyNumberFormat="1" applyFont="1" applyFill="1" applyBorder="1" applyAlignment="1">
      <alignment vertical="center"/>
    </xf>
    <xf numFmtId="0" fontId="0" fillId="0" borderId="0" xfId="0"/>
    <xf numFmtId="174" fontId="13" fillId="7" borderId="1" xfId="2" applyFont="1" applyFill="1" applyBorder="1" applyAlignment="1">
      <alignment vertical="center"/>
    </xf>
    <xf numFmtId="175" fontId="0" fillId="26" borderId="0" xfId="2" applyNumberFormat="1" applyFont="1" applyFill="1" applyAlignment="1">
      <alignment vertical="center"/>
    </xf>
    <xf numFmtId="0" fontId="0" fillId="0" borderId="0" xfId="0"/>
    <xf numFmtId="0" fontId="0" fillId="0" borderId="0" xfId="0" applyNumberFormat="1" applyFill="1" applyBorder="1"/>
    <xf numFmtId="0" fontId="0" fillId="0" borderId="0" xfId="0"/>
    <xf numFmtId="0" fontId="0" fillId="0" borderId="0" xfId="0"/>
    <xf numFmtId="0" fontId="21" fillId="7" borderId="10" xfId="0" applyFont="1" applyFill="1" applyBorder="1" applyAlignment="1">
      <alignment vertical="center"/>
    </xf>
    <xf numFmtId="174" fontId="38" fillId="7" borderId="0" xfId="4" applyNumberFormat="1" applyFont="1" applyFill="1" applyBorder="1"/>
    <xf numFmtId="0" fontId="0" fillId="0" borderId="0" xfId="0"/>
    <xf numFmtId="179" fontId="0" fillId="5" borderId="5" xfId="1" applyFont="1" applyFill="1" applyBorder="1" applyAlignment="1">
      <alignment vertical="center"/>
    </xf>
    <xf numFmtId="0" fontId="0" fillId="5" borderId="4" xfId="0" applyNumberFormat="1" applyFill="1" applyBorder="1" applyAlignment="1">
      <alignment vertical="center"/>
    </xf>
    <xf numFmtId="174" fontId="14" fillId="6" borderId="0" xfId="0" applyNumberFormat="1" applyFont="1" applyFill="1" applyBorder="1" applyAlignment="1">
      <alignment vertical="center"/>
    </xf>
    <xf numFmtId="177" fontId="0" fillId="5" borderId="80" xfId="2" applyNumberFormat="1" applyFont="1" applyFill="1" applyBorder="1" applyAlignment="1">
      <alignment vertical="center"/>
    </xf>
    <xf numFmtId="179" fontId="0" fillId="5" borderId="79" xfId="1" applyFont="1" applyFill="1" applyBorder="1" applyAlignment="1">
      <alignment vertical="center"/>
    </xf>
    <xf numFmtId="179" fontId="0" fillId="5" borderId="80" xfId="1" applyFont="1" applyFill="1" applyBorder="1" applyAlignment="1">
      <alignment vertical="center"/>
    </xf>
    <xf numFmtId="0" fontId="38" fillId="0" borderId="0" xfId="4" applyNumberFormat="1"/>
    <xf numFmtId="0" fontId="0" fillId="5" borderId="12" xfId="0" applyNumberFormat="1" applyFill="1" applyBorder="1" applyAlignment="1">
      <alignment vertical="center"/>
    </xf>
    <xf numFmtId="0" fontId="21" fillId="5" borderId="0" xfId="0" applyFont="1" applyFill="1" applyBorder="1" applyAlignment="1">
      <alignment vertical="center"/>
    </xf>
    <xf numFmtId="0" fontId="0" fillId="5" borderId="0" xfId="0" applyNumberFormat="1" applyFill="1" applyBorder="1" applyAlignment="1">
      <alignment vertical="center"/>
    </xf>
    <xf numFmtId="0" fontId="0" fillId="5" borderId="0" xfId="0" applyFill="1" applyBorder="1" applyAlignment="1">
      <alignment vertical="center"/>
    </xf>
    <xf numFmtId="0" fontId="0" fillId="5" borderId="0" xfId="0" applyFill="1" applyBorder="1"/>
    <xf numFmtId="0" fontId="24" fillId="5" borderId="0" xfId="0" applyFont="1" applyFill="1" applyBorder="1"/>
    <xf numFmtId="0" fontId="24" fillId="5" borderId="0" xfId="0" applyFont="1" applyFill="1" applyBorder="1" applyAlignment="1">
      <alignment vertical="center"/>
    </xf>
    <xf numFmtId="0" fontId="0" fillId="5" borderId="43" xfId="0" applyFill="1" applyBorder="1"/>
    <xf numFmtId="0" fontId="0" fillId="5" borderId="44" xfId="0" applyFill="1" applyBorder="1"/>
    <xf numFmtId="0" fontId="24" fillId="5" borderId="43" xfId="0" applyFont="1" applyFill="1" applyBorder="1"/>
    <xf numFmtId="0" fontId="63" fillId="0" borderId="0" xfId="0" applyFont="1"/>
    <xf numFmtId="0" fontId="17" fillId="8" borderId="37" xfId="0" applyFont="1" applyFill="1" applyBorder="1" applyAlignment="1">
      <alignment horizontal="left" vertical="center" indent="1"/>
    </xf>
    <xf numFmtId="0" fontId="0" fillId="8" borderId="36" xfId="0" applyFill="1" applyBorder="1"/>
    <xf numFmtId="0" fontId="0" fillId="8" borderId="38" xfId="0" applyFill="1" applyBorder="1"/>
    <xf numFmtId="0" fontId="0" fillId="0" borderId="0" xfId="0" applyAlignment="1">
      <alignment horizontal="right"/>
    </xf>
    <xf numFmtId="0" fontId="24" fillId="0" borderId="0" xfId="0" applyFont="1"/>
    <xf numFmtId="174" fontId="0" fillId="0" borderId="0" xfId="2" applyFont="1" applyAlignment="1">
      <alignment vertical="center"/>
    </xf>
    <xf numFmtId="0" fontId="21" fillId="0" borderId="0" xfId="0" applyFont="1" applyAlignment="1">
      <alignment horizontal="right"/>
    </xf>
    <xf numFmtId="0" fontId="17" fillId="25" borderId="37" xfId="0" applyFont="1" applyFill="1" applyBorder="1" applyAlignment="1">
      <alignment horizontal="left" vertical="center" indent="1"/>
    </xf>
    <xf numFmtId="0" fontId="0" fillId="25" borderId="36" xfId="0" applyFill="1" applyBorder="1"/>
    <xf numFmtId="0" fontId="0" fillId="25" borderId="38" xfId="0" applyFill="1" applyBorder="1"/>
    <xf numFmtId="0" fontId="0" fillId="26" borderId="43" xfId="0" applyFill="1" applyBorder="1"/>
    <xf numFmtId="0" fontId="0" fillId="26" borderId="0" xfId="0" applyFill="1" applyBorder="1"/>
    <xf numFmtId="0" fontId="0" fillId="26" borderId="44" xfId="0" applyFill="1" applyBorder="1"/>
    <xf numFmtId="0" fontId="16" fillId="26" borderId="43" xfId="0" applyFont="1" applyFill="1" applyBorder="1"/>
    <xf numFmtId="0" fontId="21" fillId="26" borderId="10" xfId="0" applyFont="1" applyFill="1" applyBorder="1" applyAlignment="1">
      <alignment vertical="center"/>
    </xf>
    <xf numFmtId="0" fontId="0" fillId="26" borderId="0" xfId="0" applyFill="1" applyBorder="1" applyAlignment="1">
      <alignment vertical="center"/>
    </xf>
    <xf numFmtId="0" fontId="0" fillId="26" borderId="0" xfId="0" applyFont="1" applyFill="1" applyBorder="1" applyAlignment="1">
      <alignment vertical="center"/>
    </xf>
    <xf numFmtId="0" fontId="0" fillId="26" borderId="28" xfId="0" applyFill="1" applyBorder="1"/>
    <xf numFmtId="0" fontId="24" fillId="26" borderId="0" xfId="0" applyFont="1" applyFill="1"/>
    <xf numFmtId="0" fontId="0" fillId="26" borderId="0" xfId="0" applyFill="1"/>
    <xf numFmtId="0" fontId="13" fillId="26" borderId="44" xfId="0" applyFont="1" applyFill="1" applyBorder="1" applyAlignment="1">
      <alignment vertical="center"/>
    </xf>
    <xf numFmtId="0" fontId="19" fillId="26" borderId="43" xfId="0" applyFont="1" applyFill="1" applyBorder="1"/>
    <xf numFmtId="167" fontId="0" fillId="26" borderId="44" xfId="0" applyNumberFormat="1" applyFill="1" applyBorder="1" applyAlignment="1">
      <alignment vertical="center"/>
    </xf>
    <xf numFmtId="0" fontId="19" fillId="26" borderId="41" xfId="0" applyFont="1" applyFill="1" applyBorder="1"/>
    <xf numFmtId="167" fontId="0" fillId="26" borderId="42" xfId="0" applyNumberFormat="1" applyFill="1" applyBorder="1" applyAlignment="1">
      <alignment vertical="center"/>
    </xf>
    <xf numFmtId="174" fontId="0" fillId="26" borderId="0" xfId="2" applyFont="1" applyFill="1" applyBorder="1" applyAlignment="1">
      <alignment vertical="center"/>
    </xf>
    <xf numFmtId="0" fontId="0" fillId="0" borderId="0" xfId="0"/>
    <xf numFmtId="0" fontId="0" fillId="0" borderId="0" xfId="0"/>
    <xf numFmtId="0" fontId="0" fillId="0" borderId="0" xfId="0"/>
    <xf numFmtId="173" fontId="13" fillId="24" borderId="9" xfId="793" applyNumberFormat="1" applyFont="1" applyBorder="1" applyAlignment="1">
      <alignment horizontal="right" vertical="center"/>
    </xf>
    <xf numFmtId="173" fontId="13" fillId="24" borderId="0" xfId="793" applyNumberFormat="1" applyFont="1" applyBorder="1" applyAlignment="1">
      <alignment horizontal="right" vertical="center"/>
    </xf>
    <xf numFmtId="173" fontId="13" fillId="24" borderId="1" xfId="793" applyNumberFormat="1" applyFont="1" applyBorder="1" applyAlignment="1">
      <alignment horizontal="right" vertical="center"/>
    </xf>
    <xf numFmtId="0" fontId="24" fillId="5" borderId="0" xfId="0" applyFont="1" applyFill="1" applyBorder="1" applyAlignment="1">
      <alignment horizontal="center"/>
    </xf>
    <xf numFmtId="0" fontId="104" fillId="5" borderId="0" xfId="231" applyFill="1" applyBorder="1" applyAlignment="1" applyProtection="1">
      <alignment vertical="center"/>
    </xf>
    <xf numFmtId="175" fontId="13" fillId="6" borderId="0" xfId="2" applyNumberFormat="1" applyFont="1" applyFill="1" applyBorder="1" applyAlignment="1">
      <alignment vertical="center"/>
    </xf>
    <xf numFmtId="0" fontId="13" fillId="26" borderId="0" xfId="0" applyFont="1" applyFill="1" applyBorder="1" applyAlignment="1">
      <alignment vertical="center"/>
    </xf>
    <xf numFmtId="0" fontId="107" fillId="26" borderId="0" xfId="0" applyFont="1" applyFill="1" applyBorder="1" applyAlignment="1">
      <alignment vertical="center"/>
    </xf>
    <xf numFmtId="0" fontId="107" fillId="26" borderId="0" xfId="0" applyFont="1" applyFill="1" applyAlignment="1">
      <alignment vertical="center"/>
    </xf>
    <xf numFmtId="175" fontId="107" fillId="26" borderId="0" xfId="2" applyNumberFormat="1" applyFont="1" applyFill="1" applyBorder="1" applyAlignment="1">
      <alignment vertical="center"/>
    </xf>
    <xf numFmtId="175" fontId="0" fillId="5" borderId="1" xfId="2" applyNumberFormat="1" applyFont="1" applyFill="1" applyBorder="1" applyAlignment="1">
      <alignment horizontal="center" vertical="center"/>
    </xf>
    <xf numFmtId="175" fontId="14" fillId="0" borderId="0" xfId="2" applyNumberFormat="1" applyFont="1" applyBorder="1"/>
    <xf numFmtId="175" fontId="0" fillId="0" borderId="0" xfId="2" applyNumberFormat="1" applyFont="1" applyBorder="1"/>
    <xf numFmtId="175" fontId="107" fillId="6" borderId="0" xfId="0" applyNumberFormat="1" applyFont="1" applyFill="1" applyBorder="1" applyAlignment="1">
      <alignment vertical="center"/>
    </xf>
    <xf numFmtId="0" fontId="0" fillId="0" borderId="0" xfId="0"/>
    <xf numFmtId="0" fontId="0" fillId="0" borderId="0" xfId="0"/>
    <xf numFmtId="0" fontId="0" fillId="0" borderId="0" xfId="0"/>
    <xf numFmtId="0" fontId="38" fillId="0" borderId="0" xfId="4" applyNumberFormat="1" applyFill="1" applyBorder="1"/>
    <xf numFmtId="0" fontId="0" fillId="0" borderId="0" xfId="0" applyFill="1" applyBorder="1" applyAlignment="1">
      <alignment horizontal="right"/>
    </xf>
    <xf numFmtId="0" fontId="6" fillId="5" borderId="0" xfId="456" applyFont="1" applyFill="1" applyBorder="1"/>
    <xf numFmtId="0" fontId="6" fillId="5" borderId="0" xfId="456" applyFont="1" applyFill="1" applyBorder="1" applyAlignment="1">
      <alignment horizontal="right"/>
    </xf>
    <xf numFmtId="0" fontId="108" fillId="5" borderId="0" xfId="0" applyFont="1" applyFill="1" applyBorder="1"/>
    <xf numFmtId="0" fontId="109" fillId="5" borderId="0" xfId="0" applyFont="1" applyFill="1" applyBorder="1"/>
    <xf numFmtId="0" fontId="104" fillId="0" borderId="0" xfId="231" applyAlignment="1" applyProtection="1"/>
    <xf numFmtId="0" fontId="0" fillId="0" borderId="0" xfId="0"/>
    <xf numFmtId="0" fontId="0" fillId="0" borderId="0" xfId="0"/>
    <xf numFmtId="0" fontId="110" fillId="0" borderId="0" xfId="0" applyFont="1"/>
    <xf numFmtId="0" fontId="24" fillId="26" borderId="0" xfId="0" applyFont="1" applyFill="1" applyAlignment="1">
      <alignment horizontal="right"/>
    </xf>
    <xf numFmtId="0" fontId="0" fillId="0" borderId="0" xfId="0"/>
    <xf numFmtId="0" fontId="29" fillId="5" borderId="0" xfId="0" applyFont="1" applyFill="1"/>
    <xf numFmtId="1" fontId="0" fillId="5" borderId="1" xfId="0" applyNumberFormat="1" applyFill="1" applyBorder="1" applyAlignment="1">
      <alignment horizontal="right"/>
    </xf>
    <xf numFmtId="0" fontId="0" fillId="0" borderId="0" xfId="0"/>
    <xf numFmtId="179" fontId="0" fillId="26" borderId="0" xfId="1" applyFont="1" applyFill="1" applyBorder="1" applyAlignment="1">
      <alignment vertical="center"/>
    </xf>
    <xf numFmtId="174" fontId="0" fillId="7" borderId="0" xfId="2" applyNumberFormat="1" applyFont="1" applyFill="1" applyBorder="1" applyAlignment="1">
      <alignment horizontal="right" vertical="center"/>
    </xf>
    <xf numFmtId="174" fontId="0" fillId="5" borderId="79" xfId="2" applyNumberFormat="1" applyFont="1" applyFill="1" applyBorder="1" applyAlignment="1">
      <alignment vertical="center"/>
    </xf>
    <xf numFmtId="174" fontId="0" fillId="5" borderId="80" xfId="2" applyNumberFormat="1" applyFont="1" applyFill="1" applyBorder="1" applyAlignment="1">
      <alignment vertical="center"/>
    </xf>
    <xf numFmtId="177" fontId="13" fillId="24" borderId="0" xfId="2" applyNumberFormat="1" applyFont="1" applyFill="1" applyBorder="1"/>
    <xf numFmtId="0" fontId="0" fillId="0" borderId="0" xfId="0"/>
    <xf numFmtId="175" fontId="0" fillId="7" borderId="17" xfId="2" applyNumberFormat="1" applyFont="1" applyFill="1" applyBorder="1"/>
    <xf numFmtId="175" fontId="13" fillId="5" borderId="0" xfId="0" applyNumberFormat="1" applyFont="1" applyFill="1" applyBorder="1" applyAlignment="1">
      <alignment horizontal="right" vertical="center"/>
    </xf>
    <xf numFmtId="177" fontId="0" fillId="0" borderId="1" xfId="2" applyNumberFormat="1" applyFont="1" applyBorder="1"/>
    <xf numFmtId="0" fontId="24" fillId="0" borderId="66" xfId="0" applyFont="1" applyBorder="1"/>
    <xf numFmtId="0" fontId="0" fillId="0" borderId="0" xfId="0"/>
    <xf numFmtId="0" fontId="95" fillId="28" borderId="44" xfId="0" applyFont="1" applyFill="1" applyBorder="1" applyAlignment="1">
      <alignment vertical="center"/>
    </xf>
    <xf numFmtId="0" fontId="95" fillId="28" borderId="0" xfId="0" applyFont="1" applyFill="1" applyBorder="1" applyAlignment="1">
      <alignment horizontal="left" vertical="center" wrapText="1"/>
    </xf>
    <xf numFmtId="0" fontId="24" fillId="5" borderId="0" xfId="0" applyFont="1" applyFill="1"/>
    <xf numFmtId="177" fontId="14" fillId="0" borderId="0" xfId="2" applyNumberFormat="1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38" fillId="0" borderId="0" xfId="4" applyNumberFormat="1" applyFill="1"/>
    <xf numFmtId="0" fontId="32" fillId="5" borderId="0" xfId="0" applyFont="1" applyFill="1" applyBorder="1"/>
    <xf numFmtId="0" fontId="32" fillId="5" borderId="0" xfId="0" applyFont="1" applyFill="1" applyBorder="1" applyAlignment="1">
      <alignment vertical="center"/>
    </xf>
    <xf numFmtId="175" fontId="0" fillId="5" borderId="79" xfId="2" applyNumberFormat="1" applyFont="1" applyFill="1" applyBorder="1" applyAlignment="1">
      <alignment vertical="center"/>
    </xf>
    <xf numFmtId="175" fontId="0" fillId="5" borderId="80" xfId="2" applyNumberFormat="1" applyFont="1" applyFill="1" applyBorder="1" applyAlignment="1">
      <alignment vertical="center"/>
    </xf>
    <xf numFmtId="0" fontId="24" fillId="5" borderId="0" xfId="0" applyFont="1" applyFill="1" applyBorder="1" applyAlignment="1">
      <alignment horizontal="right" vertical="center"/>
    </xf>
    <xf numFmtId="0" fontId="0" fillId="5" borderId="1" xfId="0" applyFont="1" applyFill="1" applyBorder="1"/>
    <xf numFmtId="0" fontId="0" fillId="0" borderId="42" xfId="0" applyFont="1" applyFill="1" applyBorder="1"/>
    <xf numFmtId="0" fontId="0" fillId="0" borderId="0" xfId="0"/>
    <xf numFmtId="0" fontId="13" fillId="5" borderId="43" xfId="0" applyFont="1" applyFill="1" applyBorder="1"/>
    <xf numFmtId="184" fontId="0" fillId="0" borderId="0" xfId="0" applyNumberFormat="1"/>
    <xf numFmtId="0" fontId="24" fillId="24" borderId="0" xfId="8" applyFont="1" applyBorder="1" applyAlignment="1">
      <alignment vertical="center"/>
    </xf>
    <xf numFmtId="11" fontId="0" fillId="5" borderId="14" xfId="2" applyNumberFormat="1" applyFont="1" applyFill="1" applyBorder="1" applyAlignment="1">
      <alignment vertical="center"/>
    </xf>
    <xf numFmtId="11" fontId="0" fillId="5" borderId="15" xfId="2" applyNumberFormat="1" applyFont="1" applyFill="1" applyBorder="1" applyAlignment="1">
      <alignment horizontal="right" vertical="center"/>
    </xf>
    <xf numFmtId="0" fontId="0" fillId="0" borderId="0" xfId="0"/>
    <xf numFmtId="0" fontId="0" fillId="0" borderId="0" xfId="0"/>
    <xf numFmtId="0" fontId="13" fillId="5" borderId="5" xfId="0" applyFont="1" applyFill="1" applyBorder="1" applyAlignment="1">
      <alignment vertical="center"/>
    </xf>
    <xf numFmtId="0" fontId="0" fillId="0" borderId="0" xfId="0"/>
    <xf numFmtId="0" fontId="0" fillId="0" borderId="0" xfId="0"/>
    <xf numFmtId="175" fontId="0" fillId="5" borderId="0" xfId="2" applyNumberFormat="1" applyFont="1" applyFill="1" applyBorder="1" applyAlignment="1">
      <alignment horizontal="center"/>
    </xf>
    <xf numFmtId="175" fontId="0" fillId="5" borderId="0" xfId="2" applyNumberFormat="1" applyFont="1" applyFill="1" applyBorder="1" applyAlignment="1"/>
    <xf numFmtId="175" fontId="32" fillId="5" borderId="1" xfId="2" applyNumberFormat="1" applyFont="1" applyFill="1" applyBorder="1" applyAlignment="1">
      <alignment vertical="center"/>
    </xf>
    <xf numFmtId="175" fontId="24" fillId="5" borderId="47" xfId="2" applyNumberFormat="1" applyFont="1" applyFill="1" applyBorder="1"/>
    <xf numFmtId="175" fontId="0" fillId="5" borderId="47" xfId="2" applyNumberFormat="1" applyFont="1" applyFill="1" applyBorder="1"/>
    <xf numFmtId="0" fontId="21" fillId="5" borderId="47" xfId="0" applyFont="1" applyFill="1" applyBorder="1" applyAlignment="1">
      <alignment horizontal="right"/>
    </xf>
    <xf numFmtId="175" fontId="77" fillId="5" borderId="14" xfId="2" applyNumberFormat="1" applyFont="1" applyFill="1" applyBorder="1" applyAlignment="1">
      <alignment vertical="center"/>
    </xf>
    <xf numFmtId="175" fontId="77" fillId="5" borderId="0" xfId="2" applyNumberFormat="1" applyFont="1" applyFill="1" applyBorder="1" applyAlignment="1">
      <alignment vertical="center"/>
    </xf>
    <xf numFmtId="175" fontId="77" fillId="5" borderId="15" xfId="2" applyNumberFormat="1" applyFont="1" applyFill="1" applyBorder="1" applyAlignment="1">
      <alignment horizontal="right" vertical="center"/>
    </xf>
    <xf numFmtId="175" fontId="13" fillId="5" borderId="0" xfId="2" applyNumberFormat="1" applyFont="1" applyFill="1" applyBorder="1" applyAlignment="1">
      <alignment horizontal="right"/>
    </xf>
    <xf numFmtId="0" fontId="24" fillId="0" borderId="0" xfId="0" applyFont="1" applyFill="1"/>
    <xf numFmtId="174" fontId="21" fillId="0" borderId="0" xfId="2" applyFont="1" applyFill="1" applyAlignment="1">
      <alignment horizontal="right"/>
    </xf>
    <xf numFmtId="0" fontId="24" fillId="0" borderId="0" xfId="0" quotePrefix="1" applyFont="1" applyFill="1"/>
    <xf numFmtId="0" fontId="21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0" fillId="0" borderId="0" xfId="0" applyFill="1" applyAlignment="1">
      <alignment horizontal="left"/>
    </xf>
    <xf numFmtId="0" fontId="0" fillId="0" borderId="0" xfId="0" applyFont="1" applyFill="1" applyAlignment="1">
      <alignment horizontal="left"/>
    </xf>
    <xf numFmtId="175" fontId="13" fillId="0" borderId="0" xfId="2" applyNumberFormat="1" applyFont="1" applyFill="1" applyAlignment="1">
      <alignment horizontal="right"/>
    </xf>
    <xf numFmtId="0" fontId="14" fillId="5" borderId="0" xfId="0" applyFont="1" applyFill="1" applyBorder="1" applyAlignment="1">
      <alignment vertical="center"/>
    </xf>
    <xf numFmtId="0" fontId="24" fillId="5" borderId="4" xfId="0" applyFont="1" applyFill="1" applyBorder="1"/>
    <xf numFmtId="0" fontId="14" fillId="5" borderId="43" xfId="0" applyFont="1" applyFill="1" applyBorder="1"/>
    <xf numFmtId="0" fontId="13" fillId="5" borderId="4" xfId="0" applyFont="1" applyFill="1" applyBorder="1" applyAlignment="1">
      <alignment vertical="center"/>
    </xf>
    <xf numFmtId="0" fontId="13" fillId="5" borderId="4" xfId="0" applyFont="1" applyFill="1" applyBorder="1" applyAlignment="1">
      <alignment horizontal="right" vertical="center"/>
    </xf>
    <xf numFmtId="0" fontId="21" fillId="5" borderId="4" xfId="0" applyNumberFormat="1" applyFont="1" applyFill="1" applyBorder="1" applyAlignment="1">
      <alignment horizontal="right" vertical="center"/>
    </xf>
    <xf numFmtId="1" fontId="21" fillId="5" borderId="4" xfId="0" applyNumberFormat="1" applyFont="1" applyFill="1" applyBorder="1" applyAlignment="1">
      <alignment horizontal="right" vertical="center"/>
    </xf>
    <xf numFmtId="0" fontId="0" fillId="0" borderId="0" xfId="0"/>
    <xf numFmtId="0" fontId="0" fillId="0" borderId="0" xfId="0"/>
    <xf numFmtId="174" fontId="0" fillId="5" borderId="57" xfId="2" applyFont="1" applyFill="1" applyBorder="1" applyAlignment="1">
      <alignment vertical="center"/>
    </xf>
    <xf numFmtId="175" fontId="0" fillId="5" borderId="51" xfId="2" applyNumberFormat="1" applyFont="1" applyFill="1" applyBorder="1" applyAlignment="1">
      <alignment vertical="center"/>
    </xf>
    <xf numFmtId="175" fontId="0" fillId="5" borderId="57" xfId="2" applyNumberFormat="1" applyFont="1" applyFill="1" applyBorder="1" applyAlignment="1">
      <alignment vertical="center"/>
    </xf>
    <xf numFmtId="2" fontId="13" fillId="0" borderId="0" xfId="0" applyNumberFormat="1" applyFont="1" applyFill="1" applyAlignment="1">
      <alignment horizontal="center"/>
    </xf>
    <xf numFmtId="1" fontId="13" fillId="0" borderId="0" xfId="0" applyNumberFormat="1" applyFont="1" applyFill="1" applyAlignment="1">
      <alignment horizontal="center"/>
    </xf>
    <xf numFmtId="174" fontId="13" fillId="0" borderId="0" xfId="2" applyFont="1" applyFill="1" applyAlignment="1">
      <alignment horizontal="right"/>
    </xf>
    <xf numFmtId="3" fontId="13" fillId="0" borderId="0" xfId="2" applyNumberFormat="1" applyFont="1" applyFill="1" applyAlignment="1">
      <alignment horizontal="right"/>
    </xf>
    <xf numFmtId="0" fontId="0" fillId="0" borderId="0" xfId="0"/>
    <xf numFmtId="175" fontId="0" fillId="5" borderId="0" xfId="2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5" borderId="0" xfId="0" applyFill="1" applyBorder="1" applyAlignment="1">
      <alignment horizontal="center" vertical="center"/>
    </xf>
    <xf numFmtId="0" fontId="0" fillId="5" borderId="28" xfId="0" applyNumberFormat="1" applyFill="1" applyBorder="1" applyAlignment="1">
      <alignment horizontal="right" vertical="center"/>
    </xf>
    <xf numFmtId="0" fontId="24" fillId="5" borderId="4" xfId="0" applyFont="1" applyFill="1" applyBorder="1" applyAlignment="1">
      <alignment horizontal="center" vertical="center"/>
    </xf>
    <xf numFmtId="2" fontId="0" fillId="5" borderId="0" xfId="0" applyNumberFormat="1" applyFill="1" applyBorder="1"/>
    <xf numFmtId="0" fontId="0" fillId="0" borderId="0" xfId="0"/>
    <xf numFmtId="0" fontId="0" fillId="0" borderId="0" xfId="0"/>
    <xf numFmtId="175" fontId="13" fillId="5" borderId="5" xfId="2" applyNumberFormat="1" applyFont="1" applyFill="1" applyBorder="1" applyAlignment="1">
      <alignment horizontal="right" vertical="center"/>
    </xf>
    <xf numFmtId="0" fontId="13" fillId="5" borderId="5" xfId="0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0" fontId="0" fillId="0" borderId="0" xfId="0"/>
    <xf numFmtId="0" fontId="111" fillId="0" borderId="0" xfId="0" applyFont="1" applyBorder="1"/>
    <xf numFmtId="0" fontId="111" fillId="0" borderId="0" xfId="0" applyFont="1" applyBorder="1" applyAlignment="1">
      <alignment vertical="center"/>
    </xf>
    <xf numFmtId="0" fontId="111" fillId="0" borderId="0" xfId="0" applyFont="1" applyBorder="1" applyAlignment="1">
      <alignment horizontal="left" vertical="center" wrapText="1"/>
    </xf>
    <xf numFmtId="0" fontId="0" fillId="0" borderId="0" xfId="0"/>
    <xf numFmtId="2" fontId="0" fillId="5" borderId="16" xfId="1" applyNumberFormat="1" applyFont="1" applyFill="1" applyBorder="1" applyAlignment="1">
      <alignment vertical="center"/>
    </xf>
    <xf numFmtId="0" fontId="0" fillId="0" borderId="0" xfId="0"/>
    <xf numFmtId="174" fontId="14" fillId="2" borderId="0" xfId="2" applyFont="1" applyFill="1" applyBorder="1"/>
    <xf numFmtId="0" fontId="0" fillId="0" borderId="0" xfId="0"/>
    <xf numFmtId="0" fontId="0" fillId="5" borderId="4" xfId="0" applyFont="1" applyFill="1" applyBorder="1"/>
    <xf numFmtId="0" fontId="0" fillId="0" borderId="0" xfId="0"/>
    <xf numFmtId="0" fontId="0" fillId="0" borderId="0" xfId="0"/>
    <xf numFmtId="0" fontId="0" fillId="0" borderId="0" xfId="0"/>
    <xf numFmtId="179" fontId="113" fillId="32" borderId="24" xfId="794" applyNumberFormat="1" applyFill="1" applyBorder="1" applyAlignment="1">
      <alignment horizontal="right" vertical="center"/>
    </xf>
    <xf numFmtId="179" fontId="113" fillId="32" borderId="1" xfId="794" applyNumberFormat="1" applyFill="1" applyBorder="1" applyAlignment="1">
      <alignment horizontal="right" vertical="center"/>
    </xf>
    <xf numFmtId="0" fontId="0" fillId="5" borderId="72" xfId="0" applyFill="1" applyBorder="1" applyAlignment="1">
      <alignment vertical="center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Border="1"/>
    <xf numFmtId="0" fontId="0" fillId="0" borderId="0" xfId="0"/>
    <xf numFmtId="0" fontId="0" fillId="0" borderId="0" xfId="0"/>
    <xf numFmtId="178" fontId="0" fillId="5" borderId="25" xfId="2" applyNumberFormat="1" applyFont="1" applyFill="1" applyBorder="1" applyAlignment="1">
      <alignment vertical="center"/>
    </xf>
    <xf numFmtId="0" fontId="0" fillId="0" borderId="0" xfId="0"/>
    <xf numFmtId="0" fontId="0" fillId="0" borderId="0" xfId="0" applyAlignment="1">
      <alignment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24" fillId="10" borderId="92" xfId="0" applyFont="1" applyFill="1" applyBorder="1" applyAlignment="1">
      <alignment horizontal="center" textRotation="90"/>
    </xf>
    <xf numFmtId="0" fontId="97" fillId="0" borderId="0" xfId="0" applyFont="1" applyAlignment="1">
      <alignment horizontal="left" vertical="center"/>
    </xf>
    <xf numFmtId="0" fontId="35" fillId="0" borderId="0" xfId="6" applyAlignment="1">
      <alignment horizontal="left"/>
    </xf>
    <xf numFmtId="0" fontId="17" fillId="17" borderId="0" xfId="0" applyFont="1" applyFill="1" applyAlignment="1">
      <alignment horizontal="left" vertical="center"/>
    </xf>
    <xf numFmtId="0" fontId="17" fillId="17" borderId="0" xfId="0" applyFont="1" applyFill="1" applyAlignment="1">
      <alignment horizontal="left" vertical="center" wrapText="1"/>
    </xf>
    <xf numFmtId="0" fontId="74" fillId="0" borderId="0" xfId="0" applyFont="1" applyAlignment="1">
      <alignment vertical="center" wrapText="1"/>
    </xf>
    <xf numFmtId="0" fontId="74" fillId="0" borderId="44" xfId="0" applyFont="1" applyBorder="1" applyAlignment="1">
      <alignment vertical="center" wrapText="1"/>
    </xf>
    <xf numFmtId="0" fontId="74" fillId="0" borderId="0" xfId="0" applyFont="1" applyAlignment="1">
      <alignment vertical="center"/>
    </xf>
    <xf numFmtId="0" fontId="17" fillId="17" borderId="0" xfId="0" applyFont="1" applyFill="1" applyAlignment="1">
      <alignment horizontal="left"/>
    </xf>
    <xf numFmtId="0" fontId="21" fillId="17" borderId="0" xfId="0" applyFont="1" applyFill="1" applyAlignment="1"/>
    <xf numFmtId="0" fontId="0" fillId="0" borderId="0" xfId="0" applyAlignment="1"/>
    <xf numFmtId="0" fontId="21" fillId="17" borderId="0" xfId="0" applyFont="1" applyFill="1" applyAlignment="1">
      <alignment horizontal="center"/>
    </xf>
    <xf numFmtId="0" fontId="21" fillId="17" borderId="68" xfId="0" applyFont="1" applyFill="1" applyBorder="1" applyAlignment="1">
      <alignment horizontal="center"/>
    </xf>
    <xf numFmtId="0" fontId="0" fillId="2" borderId="0" xfId="0" applyFill="1" applyAlignment="1"/>
    <xf numFmtId="0" fontId="35" fillId="0" borderId="0" xfId="6" applyAlignment="1"/>
    <xf numFmtId="0" fontId="16" fillId="0" borderId="0" xfId="0" applyFont="1" applyAlignment="1">
      <alignment horizontal="left" vertical="center" wrapText="1"/>
    </xf>
    <xf numFmtId="0" fontId="0" fillId="0" borderId="0" xfId="0"/>
    <xf numFmtId="0" fontId="0" fillId="0" borderId="0" xfId="0"/>
    <xf numFmtId="0" fontId="0" fillId="0" borderId="0" xfId="0"/>
    <xf numFmtId="0" fontId="0" fillId="34" borderId="0" xfId="0" applyFill="1"/>
    <xf numFmtId="0" fontId="17" fillId="35" borderId="0" xfId="0" applyFont="1" applyFill="1"/>
    <xf numFmtId="0" fontId="0" fillId="35" borderId="0" xfId="0" applyFill="1"/>
    <xf numFmtId="0" fontId="0" fillId="34" borderId="96" xfId="0" applyFill="1" applyBorder="1"/>
    <xf numFmtId="0" fontId="0" fillId="34" borderId="93" xfId="0" applyNumberFormat="1" applyFill="1" applyBorder="1"/>
    <xf numFmtId="0" fontId="0" fillId="34" borderId="93" xfId="0" applyFill="1" applyBorder="1"/>
    <xf numFmtId="0" fontId="0" fillId="34" borderId="97" xfId="0" applyFill="1" applyBorder="1"/>
    <xf numFmtId="0" fontId="0" fillId="34" borderId="98" xfId="0" applyNumberFormat="1" applyFill="1" applyBorder="1"/>
    <xf numFmtId="0" fontId="32" fillId="34" borderId="99" xfId="0" applyFont="1" applyFill="1" applyBorder="1"/>
    <xf numFmtId="0" fontId="32" fillId="34" borderId="100" xfId="0" applyFont="1" applyFill="1" applyBorder="1"/>
    <xf numFmtId="0" fontId="32" fillId="34" borderId="101" xfId="0" applyFont="1" applyFill="1" applyBorder="1"/>
    <xf numFmtId="0" fontId="114" fillId="5" borderId="11" xfId="0" applyFont="1" applyFill="1" applyBorder="1" applyAlignment="1">
      <alignment vertical="center"/>
    </xf>
    <xf numFmtId="0" fontId="114" fillId="5" borderId="52" xfId="0" applyFont="1" applyFill="1" applyBorder="1" applyAlignment="1">
      <alignment vertical="center"/>
    </xf>
    <xf numFmtId="0" fontId="114" fillId="5" borderId="11" xfId="0" applyNumberFormat="1" applyFont="1" applyFill="1" applyBorder="1" applyAlignment="1">
      <alignment horizontal="right" vertical="center"/>
    </xf>
    <xf numFmtId="0" fontId="32" fillId="5" borderId="0" xfId="0" applyNumberFormat="1" applyFont="1" applyFill="1" applyBorder="1" applyAlignment="1">
      <alignment vertical="center"/>
    </xf>
    <xf numFmtId="9" fontId="32" fillId="5" borderId="50" xfId="0" applyNumberFormat="1" applyFont="1" applyFill="1" applyBorder="1" applyAlignment="1">
      <alignment vertical="center"/>
    </xf>
    <xf numFmtId="178" fontId="0" fillId="5" borderId="0" xfId="2" applyNumberFormat="1" applyFont="1" applyFill="1" applyBorder="1" applyAlignment="1">
      <alignment vertical="center"/>
    </xf>
    <xf numFmtId="0" fontId="114" fillId="5" borderId="10" xfId="0" applyFont="1" applyFill="1" applyBorder="1" applyAlignment="1">
      <alignment vertical="center"/>
    </xf>
    <xf numFmtId="0" fontId="114" fillId="5" borderId="102" xfId="0" applyFont="1" applyFill="1" applyBorder="1" applyAlignment="1">
      <alignment vertical="center"/>
    </xf>
    <xf numFmtId="0" fontId="114" fillId="5" borderId="10" xfId="0" applyNumberFormat="1" applyFont="1" applyFill="1" applyBorder="1" applyAlignment="1">
      <alignment horizontal="right" vertical="center"/>
    </xf>
    <xf numFmtId="0" fontId="0" fillId="34" borderId="0" xfId="0" applyFill="1" applyBorder="1"/>
    <xf numFmtId="174" fontId="0" fillId="34" borderId="93" xfId="0" applyNumberFormat="1" applyFill="1" applyBorder="1"/>
    <xf numFmtId="0" fontId="24" fillId="34" borderId="0" xfId="0" applyFont="1" applyFill="1"/>
    <xf numFmtId="0" fontId="32" fillId="34" borderId="0" xfId="0" applyFont="1" applyFill="1"/>
    <xf numFmtId="0" fontId="32" fillId="34" borderId="97" xfId="0" applyFont="1" applyFill="1" applyBorder="1"/>
    <xf numFmtId="174" fontId="32" fillId="34" borderId="98" xfId="0" applyNumberFormat="1" applyFont="1" applyFill="1" applyBorder="1"/>
    <xf numFmtId="0" fontId="39" fillId="34" borderId="0" xfId="0" applyFont="1" applyFill="1"/>
    <xf numFmtId="0" fontId="32" fillId="34" borderId="96" xfId="0" applyFont="1" applyFill="1" applyBorder="1"/>
    <xf numFmtId="0" fontId="32" fillId="34" borderId="93" xfId="0" applyNumberFormat="1" applyFont="1" applyFill="1" applyBorder="1"/>
    <xf numFmtId="0" fontId="32" fillId="34" borderId="93" xfId="0" applyFont="1" applyFill="1" applyBorder="1"/>
    <xf numFmtId="174" fontId="32" fillId="34" borderId="93" xfId="0" applyNumberFormat="1" applyFont="1" applyFill="1" applyBorder="1"/>
    <xf numFmtId="0" fontId="32" fillId="34" borderId="98" xfId="0" applyNumberFormat="1" applyFont="1" applyFill="1" applyBorder="1"/>
    <xf numFmtId="0" fontId="16" fillId="34" borderId="43" xfId="0" applyFont="1" applyFill="1" applyBorder="1"/>
    <xf numFmtId="0" fontId="0" fillId="34" borderId="0" xfId="0" applyFill="1" applyBorder="1" applyAlignment="1">
      <alignment vertical="center"/>
    </xf>
    <xf numFmtId="174" fontId="0" fillId="34" borderId="0" xfId="2" applyFont="1" applyFill="1" applyBorder="1" applyAlignment="1">
      <alignment vertical="center"/>
    </xf>
    <xf numFmtId="0" fontId="0" fillId="34" borderId="44" xfId="0" applyFill="1" applyBorder="1"/>
    <xf numFmtId="174" fontId="0" fillId="34" borderId="0" xfId="0" applyNumberFormat="1" applyFont="1" applyFill="1" applyBorder="1" applyAlignment="1">
      <alignment vertical="center"/>
    </xf>
    <xf numFmtId="0" fontId="24" fillId="34" borderId="0" xfId="0" applyFont="1" applyFill="1" applyBorder="1"/>
    <xf numFmtId="0" fontId="0" fillId="34" borderId="0" xfId="0" applyFill="1" applyBorder="1" applyAlignment="1">
      <alignment horizontal="right"/>
    </xf>
    <xf numFmtId="0" fontId="21" fillId="34" borderId="10" xfId="0" applyFont="1" applyFill="1" applyBorder="1" applyAlignment="1">
      <alignment vertical="center"/>
    </xf>
    <xf numFmtId="0" fontId="32" fillId="34" borderId="103" xfId="0" applyFont="1" applyFill="1" applyBorder="1"/>
    <xf numFmtId="0" fontId="19" fillId="0" borderId="0" xfId="0" applyFont="1" applyFill="1" applyBorder="1"/>
    <xf numFmtId="167" fontId="0" fillId="0" borderId="0" xfId="0" applyNumberFormat="1" applyFill="1" applyBorder="1" applyAlignment="1">
      <alignment vertical="center"/>
    </xf>
    <xf numFmtId="0" fontId="39" fillId="5" borderId="0" xfId="0" applyFont="1" applyFill="1" applyBorder="1" applyAlignment="1">
      <alignment vertical="center"/>
    </xf>
    <xf numFmtId="1" fontId="0" fillId="0" borderId="0" xfId="0" applyNumberFormat="1"/>
    <xf numFmtId="178" fontId="32" fillId="5" borderId="0" xfId="0" applyNumberFormat="1" applyFont="1" applyFill="1" applyBorder="1" applyAlignment="1">
      <alignment horizontal="right" vertical="center"/>
    </xf>
    <xf numFmtId="9" fontId="32" fillId="5" borderId="0" xfId="0" applyNumberFormat="1" applyFont="1" applyFill="1" applyBorder="1" applyAlignment="1">
      <alignment vertical="center"/>
    </xf>
    <xf numFmtId="168" fontId="0" fillId="0" borderId="0" xfId="0" applyNumberFormat="1"/>
    <xf numFmtId="0" fontId="24" fillId="0" borderId="0" xfId="2" applyNumberFormat="1" applyFont="1"/>
    <xf numFmtId="0" fontId="115" fillId="0" borderId="0" xfId="0" applyFont="1"/>
    <xf numFmtId="168" fontId="59" fillId="0" borderId="0" xfId="0" applyNumberFormat="1" applyFont="1"/>
    <xf numFmtId="0" fontId="39" fillId="34" borderId="104" xfId="0" applyFont="1" applyFill="1" applyBorder="1"/>
    <xf numFmtId="0" fontId="39" fillId="34" borderId="94" xfId="0" applyFont="1" applyFill="1" applyBorder="1"/>
    <xf numFmtId="0" fontId="39" fillId="34" borderId="95" xfId="0" applyFont="1" applyFill="1" applyBorder="1"/>
    <xf numFmtId="0" fontId="0" fillId="0" borderId="0" xfId="0"/>
    <xf numFmtId="0" fontId="112" fillId="0" borderId="0" xfId="0" applyFont="1"/>
    <xf numFmtId="0" fontId="0" fillId="0" borderId="0" xfId="0"/>
    <xf numFmtId="0" fontId="32" fillId="5" borderId="42" xfId="0" applyNumberFormat="1" applyFont="1" applyFill="1" applyBorder="1" applyAlignment="1">
      <alignment vertical="center"/>
    </xf>
    <xf numFmtId="0" fontId="32" fillId="5" borderId="42" xfId="0" applyFont="1" applyFill="1" applyBorder="1" applyAlignment="1">
      <alignment vertical="center"/>
    </xf>
    <xf numFmtId="9" fontId="32" fillId="5" borderId="105" xfId="0" applyNumberFormat="1" applyFont="1" applyFill="1" applyBorder="1" applyAlignment="1">
      <alignment vertical="center"/>
    </xf>
    <xf numFmtId="178" fontId="32" fillId="5" borderId="42" xfId="2" applyNumberFormat="1" applyFont="1" applyFill="1" applyBorder="1" applyAlignment="1">
      <alignment vertical="center"/>
    </xf>
    <xf numFmtId="178" fontId="32" fillId="5" borderId="28" xfId="2" applyNumberFormat="1" applyFont="1" applyFill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/>
    <xf numFmtId="0" fontId="116" fillId="37" borderId="77" xfId="0" applyFont="1" applyFill="1" applyBorder="1"/>
    <xf numFmtId="0" fontId="116" fillId="37" borderId="78" xfId="0" applyFont="1" applyFill="1" applyBorder="1"/>
    <xf numFmtId="0" fontId="0" fillId="36" borderId="42" xfId="0" applyFont="1" applyFill="1" applyBorder="1"/>
    <xf numFmtId="0" fontId="0" fillId="36" borderId="28" xfId="0" applyFont="1" applyFill="1" applyBorder="1"/>
    <xf numFmtId="0" fontId="0" fillId="33" borderId="42" xfId="0" applyFont="1" applyFill="1" applyBorder="1"/>
    <xf numFmtId="0" fontId="0" fillId="33" borderId="28" xfId="0" applyFont="1" applyFill="1" applyBorder="1"/>
    <xf numFmtId="0" fontId="24" fillId="33" borderId="44" xfId="0" applyFont="1" applyFill="1" applyBorder="1"/>
    <xf numFmtId="0" fontId="116" fillId="37" borderId="78" xfId="0" applyFont="1" applyFill="1" applyBorder="1" applyAlignment="1">
      <alignment horizontal="right"/>
    </xf>
    <xf numFmtId="175" fontId="0" fillId="36" borderId="42" xfId="2" applyNumberFormat="1" applyFont="1" applyFill="1" applyBorder="1"/>
    <xf numFmtId="175" fontId="0" fillId="36" borderId="28" xfId="2" applyNumberFormat="1" applyFont="1" applyFill="1" applyBorder="1"/>
    <xf numFmtId="175" fontId="0" fillId="33" borderId="42" xfId="2" applyNumberFormat="1" applyFont="1" applyFill="1" applyBorder="1"/>
    <xf numFmtId="175" fontId="0" fillId="33" borderId="28" xfId="2" applyNumberFormat="1" applyFont="1" applyFill="1" applyBorder="1"/>
    <xf numFmtId="175" fontId="24" fillId="33" borderId="44" xfId="2" applyNumberFormat="1" applyFont="1" applyFill="1" applyBorder="1"/>
    <xf numFmtId="175" fontId="24" fillId="33" borderId="0" xfId="2" applyNumberFormat="1" applyFont="1" applyFill="1"/>
    <xf numFmtId="0" fontId="24" fillId="33" borderId="0" xfId="0" applyFont="1" applyFill="1"/>
    <xf numFmtId="0" fontId="116" fillId="37" borderId="77" xfId="0" applyFont="1" applyFill="1" applyBorder="1" applyAlignment="1">
      <alignment horizontal="right"/>
    </xf>
    <xf numFmtId="0" fontId="0" fillId="36" borderId="106" xfId="0" applyFont="1" applyFill="1" applyBorder="1"/>
    <xf numFmtId="175" fontId="0" fillId="36" borderId="106" xfId="2" applyNumberFormat="1" applyFont="1" applyFill="1" applyBorder="1"/>
    <xf numFmtId="179" fontId="0" fillId="36" borderId="42" xfId="1" applyFont="1" applyFill="1" applyBorder="1"/>
    <xf numFmtId="179" fontId="0" fillId="33" borderId="42" xfId="1" applyFont="1" applyFill="1" applyBorder="1"/>
    <xf numFmtId="174" fontId="0" fillId="36" borderId="42" xfId="0" applyNumberFormat="1" applyFont="1" applyFill="1" applyBorder="1"/>
    <xf numFmtId="174" fontId="0" fillId="33" borderId="42" xfId="0" applyNumberFormat="1" applyFont="1" applyFill="1" applyBorder="1"/>
    <xf numFmtId="174" fontId="0" fillId="36" borderId="42" xfId="2" applyNumberFormat="1" applyFont="1" applyFill="1" applyBorder="1"/>
    <xf numFmtId="174" fontId="0" fillId="33" borderId="42" xfId="2" applyNumberFormat="1" applyFont="1" applyFill="1" applyBorder="1"/>
    <xf numFmtId="0" fontId="116" fillId="38" borderId="77" xfId="0" applyFont="1" applyFill="1" applyBorder="1" applyAlignment="1">
      <alignment horizontal="right"/>
    </xf>
    <xf numFmtId="175" fontId="0" fillId="39" borderId="42" xfId="2" applyNumberFormat="1" applyFont="1" applyFill="1" applyBorder="1"/>
    <xf numFmtId="175" fontId="0" fillId="40" borderId="42" xfId="2" applyNumberFormat="1" applyFont="1" applyFill="1" applyBorder="1"/>
    <xf numFmtId="175" fontId="0" fillId="39" borderId="106" xfId="2" applyNumberFormat="1" applyFont="1" applyFill="1" applyBorder="1"/>
    <xf numFmtId="175" fontId="24" fillId="40" borderId="42" xfId="2" applyNumberFormat="1" applyFont="1" applyFill="1" applyBorder="1"/>
    <xf numFmtId="179" fontId="24" fillId="33" borderId="44" xfId="1" applyFont="1" applyFill="1" applyBorder="1"/>
    <xf numFmtId="179" fontId="24" fillId="0" borderId="0" xfId="1" applyFont="1"/>
    <xf numFmtId="179" fontId="24" fillId="33" borderId="0" xfId="1" applyFont="1" applyFill="1"/>
    <xf numFmtId="0" fontId="0" fillId="0" borderId="0" xfId="0"/>
    <xf numFmtId="0" fontId="0" fillId="0" borderId="70" xfId="0" applyBorder="1" applyAlignment="1">
      <alignment horizontal="left"/>
    </xf>
    <xf numFmtId="0" fontId="0" fillId="0" borderId="1" xfId="0" applyFill="1" applyBorder="1"/>
    <xf numFmtId="0" fontId="0" fillId="0" borderId="71" xfId="0" applyFill="1" applyBorder="1"/>
    <xf numFmtId="0" fontId="0" fillId="34" borderId="109" xfId="0" applyFill="1" applyBorder="1"/>
    <xf numFmtId="0" fontId="0" fillId="34" borderId="110" xfId="0" applyNumberFormat="1" applyFill="1" applyBorder="1"/>
    <xf numFmtId="0" fontId="0" fillId="34" borderId="110" xfId="0" applyFill="1" applyBorder="1"/>
    <xf numFmtId="174" fontId="0" fillId="34" borderId="110" xfId="0" applyNumberFormat="1" applyFill="1" applyBorder="1"/>
    <xf numFmtId="0" fontId="0" fillId="0" borderId="1" xfId="0" applyBorder="1" applyAlignment="1">
      <alignment horizontal="center"/>
    </xf>
    <xf numFmtId="0" fontId="0" fillId="0" borderId="68" xfId="0" applyFont="1" applyFill="1" applyBorder="1"/>
    <xf numFmtId="10" fontId="0" fillId="0" borderId="0" xfId="0" applyNumberFormat="1" applyFont="1" applyFill="1" applyBorder="1"/>
    <xf numFmtId="180" fontId="14" fillId="0" borderId="0" xfId="1" applyNumberFormat="1" applyFont="1" applyFill="1" applyBorder="1"/>
    <xf numFmtId="180" fontId="0" fillId="0" borderId="0" xfId="0" applyNumberFormat="1" applyFont="1" applyFill="1" applyBorder="1"/>
    <xf numFmtId="0" fontId="0" fillId="0" borderId="0" xfId="0"/>
    <xf numFmtId="0" fontId="21" fillId="26" borderId="0" xfId="0" applyFont="1" applyFill="1" applyBorder="1" applyAlignment="1">
      <alignment vertical="center"/>
    </xf>
    <xf numFmtId="0" fontId="16" fillId="26" borderId="0" xfId="0" applyFont="1" applyFill="1" applyBorder="1"/>
    <xf numFmtId="0" fontId="0" fillId="34" borderId="0" xfId="0" applyNumberFormat="1" applyFill="1" applyBorder="1"/>
    <xf numFmtId="174" fontId="0" fillId="34" borderId="0" xfId="0" applyNumberFormat="1" applyFill="1" applyBorder="1"/>
    <xf numFmtId="0" fontId="0" fillId="5" borderId="1" xfId="0" applyNumberFormat="1" applyFill="1" applyBorder="1" applyAlignment="1">
      <alignment horizontal="left" vertical="center"/>
    </xf>
    <xf numFmtId="175" fontId="24" fillId="36" borderId="44" xfId="2" applyNumberFormat="1" applyFont="1" applyFill="1" applyBorder="1"/>
    <xf numFmtId="0" fontId="24" fillId="36" borderId="0" xfId="0" applyFont="1" applyFill="1"/>
    <xf numFmtId="0" fontId="24" fillId="33" borderId="28" xfId="0" applyFont="1" applyFill="1" applyBorder="1"/>
    <xf numFmtId="175" fontId="24" fillId="33" borderId="42" xfId="2" applyNumberFormat="1" applyFont="1" applyFill="1" applyBorder="1"/>
    <xf numFmtId="175" fontId="0" fillId="20" borderId="0" xfId="2" applyNumberFormat="1" applyFont="1" applyFill="1"/>
    <xf numFmtId="174" fontId="24" fillId="5" borderId="0" xfId="2" applyNumberFormat="1" applyFont="1" applyFill="1" applyBorder="1" applyAlignment="1">
      <alignment horizontal="right" vertical="center"/>
    </xf>
    <xf numFmtId="0" fontId="39" fillId="5" borderId="0" xfId="0" applyNumberFormat="1" applyFont="1" applyFill="1" applyBorder="1" applyAlignment="1">
      <alignment vertical="center"/>
    </xf>
    <xf numFmtId="178" fontId="39" fillId="5" borderId="0" xfId="0" applyNumberFormat="1" applyFont="1" applyFill="1" applyBorder="1" applyAlignment="1">
      <alignment horizontal="right" vertical="center"/>
    </xf>
    <xf numFmtId="0" fontId="32" fillId="5" borderId="1" xfId="0" applyNumberFormat="1" applyFont="1" applyFill="1" applyBorder="1" applyAlignment="1">
      <alignment vertical="center"/>
    </xf>
    <xf numFmtId="0" fontId="32" fillId="5" borderId="1" xfId="0" applyFont="1" applyFill="1" applyBorder="1" applyAlignment="1">
      <alignment vertical="center"/>
    </xf>
    <xf numFmtId="178" fontId="32" fillId="5" borderId="1" xfId="2" applyNumberFormat="1" applyFont="1" applyFill="1" applyBorder="1" applyAlignment="1">
      <alignment horizontal="right" vertical="center"/>
    </xf>
    <xf numFmtId="178" fontId="32" fillId="5" borderId="1" xfId="0" applyNumberFormat="1" applyFont="1" applyFill="1" applyBorder="1" applyAlignment="1">
      <alignment horizontal="right" vertical="center"/>
    </xf>
    <xf numFmtId="178" fontId="32" fillId="5" borderId="25" xfId="2" applyNumberFormat="1" applyFont="1" applyFill="1" applyBorder="1" applyAlignment="1">
      <alignment horizontal="right" vertical="center"/>
    </xf>
    <xf numFmtId="0" fontId="0" fillId="0" borderId="0" xfId="0"/>
    <xf numFmtId="1" fontId="52" fillId="14" borderId="0" xfId="1" applyNumberFormat="1" applyFont="1" applyFill="1" applyBorder="1" applyAlignment="1">
      <alignment horizontal="right" vertical="center"/>
    </xf>
    <xf numFmtId="175" fontId="117" fillId="0" borderId="0" xfId="2" applyNumberFormat="1" applyFont="1" applyAlignment="1">
      <alignment horizontal="right"/>
    </xf>
    <xf numFmtId="0" fontId="13" fillId="0" borderId="0" xfId="0" applyFont="1" applyBorder="1" applyAlignment="1">
      <alignment vertical="center"/>
    </xf>
    <xf numFmtId="0" fontId="24" fillId="7" borderId="0" xfId="0" applyFont="1" applyFill="1" applyBorder="1" applyAlignment="1">
      <alignment horizontal="right"/>
    </xf>
    <xf numFmtId="0" fontId="24" fillId="6" borderId="0" xfId="0" applyFont="1" applyFill="1" applyBorder="1" applyAlignment="1">
      <alignment horizontal="right"/>
    </xf>
    <xf numFmtId="0" fontId="0" fillId="6" borderId="114" xfId="0" applyFill="1" applyBorder="1"/>
    <xf numFmtId="0" fontId="0" fillId="6" borderId="115" xfId="0" applyNumberFormat="1" applyFill="1" applyBorder="1"/>
    <xf numFmtId="0" fontId="0" fillId="6" borderId="115" xfId="0" applyFill="1" applyBorder="1"/>
    <xf numFmtId="175" fontId="0" fillId="6" borderId="115" xfId="2" applyNumberFormat="1" applyFont="1" applyFill="1" applyBorder="1"/>
    <xf numFmtId="175" fontId="0" fillId="6" borderId="116" xfId="2" applyNumberFormat="1" applyFont="1" applyFill="1" applyBorder="1"/>
    <xf numFmtId="0" fontId="0" fillId="6" borderId="117" xfId="0" applyNumberFormat="1" applyFill="1" applyBorder="1"/>
    <xf numFmtId="0" fontId="0" fillId="6" borderId="117" xfId="0" applyFill="1" applyBorder="1"/>
    <xf numFmtId="175" fontId="0" fillId="6" borderId="117" xfId="2" applyNumberFormat="1" applyFont="1" applyFill="1" applyBorder="1"/>
    <xf numFmtId="0" fontId="0" fillId="6" borderId="118" xfId="0" applyFill="1" applyBorder="1"/>
    <xf numFmtId="0" fontId="0" fillId="6" borderId="119" xfId="0" applyNumberFormat="1" applyFill="1" applyBorder="1"/>
    <xf numFmtId="0" fontId="0" fillId="6" borderId="119" xfId="0" applyFill="1" applyBorder="1"/>
    <xf numFmtId="175" fontId="0" fillId="6" borderId="119" xfId="2" applyNumberFormat="1" applyFont="1" applyFill="1" applyBorder="1"/>
    <xf numFmtId="175" fontId="0" fillId="6" borderId="120" xfId="2" applyNumberFormat="1" applyFont="1" applyFill="1" applyBorder="1"/>
    <xf numFmtId="0" fontId="24" fillId="6" borderId="0" xfId="0" applyFont="1" applyFill="1" applyBorder="1" applyAlignment="1">
      <alignment vertical="center"/>
    </xf>
    <xf numFmtId="174" fontId="24" fillId="6" borderId="0" xfId="0" applyNumberFormat="1" applyFont="1" applyFill="1" applyBorder="1" applyAlignment="1">
      <alignment horizontal="right" vertical="center"/>
    </xf>
    <xf numFmtId="0" fontId="0" fillId="6" borderId="0" xfId="0" applyFill="1"/>
    <xf numFmtId="0" fontId="39" fillId="6" borderId="111" xfId="0" applyFont="1" applyFill="1" applyBorder="1"/>
    <xf numFmtId="0" fontId="39" fillId="6" borderId="112" xfId="0" applyFont="1" applyFill="1" applyBorder="1"/>
    <xf numFmtId="0" fontId="39" fillId="6" borderId="113" xfId="0" applyFont="1" applyFill="1" applyBorder="1"/>
    <xf numFmtId="0" fontId="0" fillId="6" borderId="121" xfId="0" applyFill="1" applyBorder="1"/>
    <xf numFmtId="175" fontId="0" fillId="6" borderId="122" xfId="2" applyNumberFormat="1" applyFont="1" applyFill="1" applyBorder="1"/>
    <xf numFmtId="0" fontId="0" fillId="0" borderId="0" xfId="0"/>
    <xf numFmtId="0" fontId="0" fillId="33" borderId="42" xfId="0" applyFill="1" applyBorder="1"/>
    <xf numFmtId="0" fontId="0" fillId="36" borderId="42" xfId="0" applyFill="1" applyBorder="1"/>
    <xf numFmtId="0" fontId="19" fillId="26" borderId="0" xfId="0" applyFont="1" applyFill="1" applyBorder="1"/>
    <xf numFmtId="174" fontId="0" fillId="6" borderId="117" xfId="0" applyNumberFormat="1" applyFill="1" applyBorder="1"/>
    <xf numFmtId="174" fontId="0" fillId="6" borderId="119" xfId="0" applyNumberFormat="1" applyFill="1" applyBorder="1"/>
    <xf numFmtId="0" fontId="0" fillId="6" borderId="123" xfId="0" applyFill="1" applyBorder="1"/>
    <xf numFmtId="0" fontId="0" fillId="6" borderId="123" xfId="0" applyNumberFormat="1" applyFill="1" applyBorder="1"/>
    <xf numFmtId="174" fontId="0" fillId="6" borderId="123" xfId="0" applyNumberFormat="1" applyFill="1" applyBorder="1"/>
    <xf numFmtId="0" fontId="39" fillId="6" borderId="10" xfId="0" applyFont="1" applyFill="1" applyBorder="1"/>
    <xf numFmtId="0" fontId="0" fillId="6" borderId="124" xfId="0" applyFill="1" applyBorder="1"/>
    <xf numFmtId="0" fontId="0" fillId="6" borderId="124" xfId="0" applyNumberFormat="1" applyFill="1" applyBorder="1"/>
    <xf numFmtId="0" fontId="39" fillId="6" borderId="47" xfId="0" applyFont="1" applyFill="1" applyBorder="1"/>
    <xf numFmtId="0" fontId="0" fillId="0" borderId="0" xfId="0"/>
    <xf numFmtId="174" fontId="21" fillId="7" borderId="0" xfId="2" applyFont="1" applyFill="1" applyBorder="1" applyAlignment="1">
      <alignment horizontal="right" vertical="center"/>
    </xf>
    <xf numFmtId="0" fontId="16" fillId="0" borderId="0" xfId="0" applyFont="1" applyFill="1" applyBorder="1"/>
    <xf numFmtId="0" fontId="39" fillId="0" borderId="0" xfId="0" applyFont="1" applyFill="1" applyBorder="1"/>
    <xf numFmtId="0" fontId="0" fillId="0" borderId="0" xfId="0" applyNumberFormat="1" applyFont="1" applyFill="1" applyBorder="1"/>
    <xf numFmtId="174" fontId="0" fillId="0" borderId="0" xfId="0" applyNumberFormat="1" applyFont="1" applyFill="1" applyBorder="1"/>
    <xf numFmtId="0" fontId="39" fillId="0" borderId="0" xfId="0" applyFont="1" applyFill="1" applyBorder="1" applyAlignment="1">
      <alignment horizontal="right"/>
    </xf>
    <xf numFmtId="0" fontId="0" fillId="0" borderId="0" xfId="0"/>
    <xf numFmtId="0" fontId="16" fillId="6" borderId="0" xfId="0" applyFont="1" applyFill="1" applyBorder="1"/>
    <xf numFmtId="0" fontId="0" fillId="6" borderId="125" xfId="0" applyFill="1" applyBorder="1"/>
    <xf numFmtId="0" fontId="0" fillId="6" borderId="125" xfId="0" applyNumberFormat="1" applyFill="1" applyBorder="1"/>
    <xf numFmtId="174" fontId="0" fillId="6" borderId="125" xfId="0" applyNumberFormat="1" applyFill="1" applyBorder="1"/>
    <xf numFmtId="0" fontId="0" fillId="6" borderId="126" xfId="0" applyFill="1" applyBorder="1"/>
    <xf numFmtId="0" fontId="0" fillId="6" borderId="126" xfId="0" applyNumberFormat="1" applyFill="1" applyBorder="1"/>
    <xf numFmtId="174" fontId="0" fillId="6" borderId="126" xfId="0" applyNumberFormat="1" applyFill="1" applyBorder="1"/>
    <xf numFmtId="0" fontId="0" fillId="6" borderId="127" xfId="0" applyFill="1" applyBorder="1"/>
    <xf numFmtId="0" fontId="0" fillId="6" borderId="127" xfId="0" applyNumberFormat="1" applyFill="1" applyBorder="1"/>
    <xf numFmtId="174" fontId="0" fillId="6" borderId="127" xfId="0" applyNumberFormat="1" applyFill="1" applyBorder="1"/>
    <xf numFmtId="0" fontId="114" fillId="5" borderId="128" xfId="0" applyFont="1" applyFill="1" applyBorder="1" applyAlignment="1">
      <alignment vertical="center"/>
    </xf>
    <xf numFmtId="0" fontId="114" fillId="5" borderId="128" xfId="0" applyNumberFormat="1" applyFont="1" applyFill="1" applyBorder="1" applyAlignment="1">
      <alignment horizontal="right" vertical="center"/>
    </xf>
    <xf numFmtId="0" fontId="32" fillId="5" borderId="129" xfId="0" applyNumberFormat="1" applyFont="1" applyFill="1" applyBorder="1" applyAlignment="1">
      <alignment vertical="center"/>
    </xf>
    <xf numFmtId="0" fontId="32" fillId="5" borderId="129" xfId="0" applyFont="1" applyFill="1" applyBorder="1" applyAlignment="1">
      <alignment vertical="center"/>
    </xf>
    <xf numFmtId="9" fontId="32" fillId="5" borderId="130" xfId="0" applyNumberFormat="1" applyFont="1" applyFill="1" applyBorder="1" applyAlignment="1">
      <alignment vertical="center"/>
    </xf>
    <xf numFmtId="178" fontId="32" fillId="5" borderId="129" xfId="2" applyNumberFormat="1" applyFont="1" applyFill="1" applyBorder="1" applyAlignment="1">
      <alignment vertical="center"/>
    </xf>
    <xf numFmtId="0" fontId="0" fillId="6" borderId="131" xfId="0" applyFill="1" applyBorder="1"/>
    <xf numFmtId="0" fontId="0" fillId="6" borderId="132" xfId="0" applyFill="1" applyBorder="1"/>
    <xf numFmtId="0" fontId="0" fillId="6" borderId="133" xfId="0" applyFill="1" applyBorder="1"/>
    <xf numFmtId="0" fontId="0" fillId="6" borderId="134" xfId="0" applyNumberFormat="1" applyFill="1" applyBorder="1"/>
    <xf numFmtId="0" fontId="0" fillId="6" borderId="134" xfId="0" applyFill="1" applyBorder="1"/>
    <xf numFmtId="174" fontId="0" fillId="6" borderId="134" xfId="0" applyNumberFormat="1" applyFill="1" applyBorder="1"/>
    <xf numFmtId="0" fontId="39" fillId="6" borderId="135" xfId="0" applyFont="1" applyFill="1" applyBorder="1"/>
    <xf numFmtId="0" fontId="0" fillId="6" borderId="136" xfId="0" applyFill="1" applyBorder="1"/>
    <xf numFmtId="0" fontId="39" fillId="6" borderId="137" xfId="0" applyFont="1" applyFill="1" applyBorder="1"/>
    <xf numFmtId="0" fontId="39" fillId="6" borderId="138" xfId="0" applyFont="1" applyFill="1" applyBorder="1"/>
    <xf numFmtId="0" fontId="39" fillId="6" borderId="139" xfId="0" applyFont="1" applyFill="1" applyBorder="1"/>
    <xf numFmtId="0" fontId="38" fillId="5" borderId="28" xfId="4" applyNumberFormat="1" applyFill="1" applyBorder="1" applyAlignment="1">
      <alignment horizontal="right"/>
    </xf>
    <xf numFmtId="0" fontId="32" fillId="6" borderId="140" xfId="0" applyFont="1" applyFill="1" applyBorder="1"/>
    <xf numFmtId="0" fontId="0" fillId="6" borderId="141" xfId="0" applyFill="1" applyBorder="1"/>
    <xf numFmtId="0" fontId="0" fillId="6" borderId="141" xfId="0" applyNumberFormat="1" applyFill="1" applyBorder="1"/>
    <xf numFmtId="174" fontId="0" fillId="6" borderId="141" xfId="0" applyNumberFormat="1" applyFill="1" applyBorder="1"/>
    <xf numFmtId="0" fontId="0" fillId="6" borderId="142" xfId="0" applyFill="1" applyBorder="1"/>
    <xf numFmtId="0" fontId="0" fillId="6" borderId="142" xfId="0" applyNumberFormat="1" applyFill="1" applyBorder="1"/>
    <xf numFmtId="174" fontId="0" fillId="6" borderId="142" xfId="0" applyNumberFormat="1" applyFill="1" applyBorder="1"/>
    <xf numFmtId="0" fontId="39" fillId="6" borderId="140" xfId="0" applyFont="1" applyFill="1" applyBorder="1"/>
    <xf numFmtId="0" fontId="24" fillId="5" borderId="43" xfId="0" applyFont="1" applyFill="1" applyBorder="1" applyAlignment="1">
      <alignment horizontal="right"/>
    </xf>
    <xf numFmtId="170" fontId="0" fillId="0" borderId="0" xfId="0" applyNumberFormat="1" applyFont="1"/>
    <xf numFmtId="170" fontId="0" fillId="0" borderId="0" xfId="2" applyNumberFormat="1" applyFont="1"/>
    <xf numFmtId="0" fontId="32" fillId="5" borderId="42" xfId="0" applyFont="1" applyFill="1" applyBorder="1"/>
    <xf numFmtId="178" fontId="0" fillId="5" borderId="42" xfId="2" applyNumberFormat="1" applyFont="1" applyFill="1" applyBorder="1" applyAlignment="1">
      <alignment vertical="center"/>
    </xf>
    <xf numFmtId="178" fontId="0" fillId="5" borderId="28" xfId="2" applyNumberFormat="1" applyFont="1" applyFill="1" applyBorder="1" applyAlignment="1">
      <alignment vertical="center"/>
    </xf>
    <xf numFmtId="0" fontId="32" fillId="5" borderId="106" xfId="0" applyFont="1" applyFill="1" applyBorder="1"/>
    <xf numFmtId="0" fontId="32" fillId="5" borderId="106" xfId="0" applyFont="1" applyFill="1" applyBorder="1" applyAlignment="1">
      <alignment vertical="center"/>
    </xf>
    <xf numFmtId="178" fontId="0" fillId="5" borderId="106" xfId="2" applyNumberFormat="1" applyFont="1" applyFill="1" applyBorder="1" applyAlignment="1">
      <alignment vertical="center"/>
    </xf>
    <xf numFmtId="178" fontId="0" fillId="5" borderId="59" xfId="2" applyNumberFormat="1" applyFont="1" applyFill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0" fillId="5" borderId="47" xfId="0" applyNumberFormat="1" applyFill="1" applyBorder="1" applyAlignment="1">
      <alignment vertical="center"/>
    </xf>
    <xf numFmtId="0" fontId="13" fillId="5" borderId="47" xfId="0" applyFont="1" applyFill="1" applyBorder="1" applyAlignment="1">
      <alignment vertical="center"/>
    </xf>
    <xf numFmtId="0" fontId="13" fillId="5" borderId="47" xfId="0" applyFont="1" applyFill="1" applyBorder="1" applyAlignment="1">
      <alignment horizontal="right" vertical="center"/>
    </xf>
    <xf numFmtId="1" fontId="21" fillId="5" borderId="47" xfId="0" applyNumberFormat="1" applyFont="1" applyFill="1" applyBorder="1" applyAlignment="1">
      <alignment horizontal="right" vertical="center"/>
    </xf>
    <xf numFmtId="0" fontId="21" fillId="5" borderId="5" xfId="0" applyNumberFormat="1" applyFont="1" applyFill="1" applyBorder="1" applyAlignment="1">
      <alignment horizontal="right" vertical="center"/>
    </xf>
    <xf numFmtId="1" fontId="21" fillId="5" borderId="5" xfId="0" applyNumberFormat="1" applyFont="1" applyFill="1" applyBorder="1" applyAlignment="1">
      <alignment horizontal="right" vertical="center"/>
    </xf>
    <xf numFmtId="0" fontId="0" fillId="5" borderId="5" xfId="0" applyNumberFormat="1" applyFill="1" applyBorder="1" applyAlignment="1">
      <alignment horizontal="left" vertical="center"/>
    </xf>
    <xf numFmtId="174" fontId="13" fillId="5" borderId="5" xfId="2" applyFont="1" applyFill="1" applyBorder="1" applyAlignment="1">
      <alignment horizontal="right" vertical="center"/>
    </xf>
    <xf numFmtId="0" fontId="0" fillId="5" borderId="0" xfId="0" applyNumberFormat="1" applyFill="1" applyBorder="1" applyAlignment="1">
      <alignment horizontal="center" vertical="center"/>
    </xf>
    <xf numFmtId="167" fontId="13" fillId="5" borderId="0" xfId="2" applyNumberFormat="1" applyFont="1" applyFill="1" applyBorder="1" applyAlignment="1">
      <alignment horizontal="right" vertical="center"/>
    </xf>
    <xf numFmtId="167" fontId="13" fillId="5" borderId="1" xfId="2" applyNumberFormat="1" applyFont="1" applyFill="1" applyBorder="1" applyAlignment="1">
      <alignment horizontal="right" vertical="center"/>
    </xf>
    <xf numFmtId="0" fontId="24" fillId="0" borderId="0" xfId="0" applyFont="1" applyFill="1" applyBorder="1"/>
    <xf numFmtId="167" fontId="13" fillId="5" borderId="5" xfId="2" applyNumberFormat="1" applyFont="1" applyFill="1" applyBorder="1" applyAlignment="1">
      <alignment horizontal="right" vertical="center"/>
    </xf>
    <xf numFmtId="0" fontId="0" fillId="0" borderId="0" xfId="0" applyNumberFormat="1" applyFill="1" applyBorder="1" applyAlignment="1">
      <alignment horizontal="center" vertical="center"/>
    </xf>
    <xf numFmtId="175" fontId="0" fillId="0" borderId="0" xfId="0" applyNumberFormat="1" applyFill="1" applyBorder="1"/>
    <xf numFmtId="175" fontId="14" fillId="0" borderId="0" xfId="2" applyNumberFormat="1" applyFont="1" applyFill="1" applyBorder="1"/>
    <xf numFmtId="0" fontId="29" fillId="0" borderId="0" xfId="0" applyFont="1" applyFill="1" applyBorder="1"/>
    <xf numFmtId="0" fontId="14" fillId="0" borderId="43" xfId="0" applyFont="1" applyFill="1" applyBorder="1"/>
    <xf numFmtId="167" fontId="13" fillId="0" borderId="0" xfId="2" applyNumberFormat="1" applyFont="1" applyFill="1" applyBorder="1" applyAlignment="1">
      <alignment horizontal="right" vertical="center"/>
    </xf>
    <xf numFmtId="0" fontId="17" fillId="0" borderId="0" xfId="0" applyFont="1" applyFill="1" applyBorder="1" applyAlignment="1">
      <alignment horizontal="left" vertical="center" indent="1"/>
    </xf>
    <xf numFmtId="0" fontId="0" fillId="0" borderId="0" xfId="8" applyFont="1" applyFill="1" applyBorder="1" applyAlignment="1">
      <alignment horizontal="left" vertical="center" indent="1"/>
    </xf>
    <xf numFmtId="0" fontId="0" fillId="0" borderId="0" xfId="0" applyNumberFormat="1" applyFont="1" applyFill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/>
    <xf numFmtId="0" fontId="24" fillId="5" borderId="0" xfId="0" applyFont="1" applyFill="1" applyBorder="1" applyAlignment="1">
      <alignment horizontal="center"/>
    </xf>
    <xf numFmtId="167" fontId="0" fillId="26" borderId="0" xfId="0" applyNumberFormat="1" applyFill="1" applyBorder="1" applyAlignment="1">
      <alignment vertical="center"/>
    </xf>
    <xf numFmtId="174" fontId="0" fillId="0" borderId="0" xfId="2" applyFont="1" applyFill="1" applyBorder="1" applyAlignment="1">
      <alignment vertical="center"/>
    </xf>
    <xf numFmtId="0" fontId="0" fillId="0" borderId="0" xfId="0"/>
    <xf numFmtId="0" fontId="118" fillId="5" borderId="0" xfId="0" applyNumberFormat="1" applyFont="1" applyFill="1" applyBorder="1" applyAlignment="1">
      <alignment vertical="center"/>
    </xf>
    <xf numFmtId="173" fontId="13" fillId="5" borderId="0" xfId="7" applyNumberFormat="1" applyFont="1" applyFill="1" applyBorder="1" applyAlignment="1">
      <alignment horizontal="center" vertical="center"/>
    </xf>
    <xf numFmtId="0" fontId="0" fillId="5" borderId="0" xfId="0" applyFill="1" applyAlignment="1">
      <alignment vertical="center"/>
    </xf>
    <xf numFmtId="0" fontId="38" fillId="5" borderId="0" xfId="4" applyNumberFormat="1" applyFill="1"/>
    <xf numFmtId="0" fontId="14" fillId="5" borderId="0" xfId="6" applyFont="1" applyFill="1"/>
    <xf numFmtId="0" fontId="14" fillId="0" borderId="0" xfId="6" applyFont="1" applyFill="1" applyBorder="1"/>
    <xf numFmtId="0" fontId="14" fillId="0" borderId="0" xfId="6" applyFont="1" applyFill="1"/>
    <xf numFmtId="0" fontId="0" fillId="5" borderId="143" xfId="0" applyFill="1" applyBorder="1" applyAlignment="1">
      <alignment horizontal="left"/>
    </xf>
    <xf numFmtId="0" fontId="0" fillId="5" borderId="4" xfId="0" applyFill="1" applyBorder="1" applyAlignment="1">
      <alignment horizontal="center"/>
    </xf>
    <xf numFmtId="179" fontId="0" fillId="5" borderId="4" xfId="1" applyFont="1" applyFill="1" applyBorder="1" applyAlignment="1">
      <alignment horizontal="center"/>
    </xf>
    <xf numFmtId="0" fontId="0" fillId="5" borderId="4" xfId="0" applyFill="1" applyBorder="1" applyAlignment="1">
      <alignment horizontal="left"/>
    </xf>
    <xf numFmtId="0" fontId="0" fillId="5" borderId="144" xfId="0" applyFill="1" applyBorder="1"/>
    <xf numFmtId="174" fontId="0" fillId="5" borderId="0" xfId="2" applyFont="1" applyFill="1" applyBorder="1" applyAlignment="1"/>
    <xf numFmtId="0" fontId="0" fillId="5" borderId="5" xfId="0" applyNumberFormat="1" applyFill="1" applyBorder="1" applyAlignment="1">
      <alignment horizontal="right" vertical="center"/>
    </xf>
    <xf numFmtId="0" fontId="0" fillId="0" borderId="0" xfId="0" applyBorder="1"/>
    <xf numFmtId="0" fontId="0" fillId="0" borderId="0" xfId="0"/>
    <xf numFmtId="0" fontId="0" fillId="0" borderId="0" xfId="0" applyBorder="1"/>
    <xf numFmtId="0" fontId="0" fillId="0" borderId="0" xfId="0"/>
    <xf numFmtId="0" fontId="24" fillId="5" borderId="0" xfId="0" applyFont="1" applyFill="1" applyBorder="1" applyAlignment="1">
      <alignment horizontal="center"/>
    </xf>
    <xf numFmtId="0" fontId="24" fillId="5" borderId="1" xfId="0" applyFont="1" applyFill="1" applyBorder="1" applyAlignment="1">
      <alignment horizontal="center"/>
    </xf>
    <xf numFmtId="0" fontId="0" fillId="26" borderId="0" xfId="0" applyNumberFormat="1" applyFont="1" applyFill="1" applyBorder="1" applyAlignment="1">
      <alignment vertical="center"/>
    </xf>
    <xf numFmtId="0" fontId="0" fillId="26" borderId="1" xfId="0" applyFill="1" applyBorder="1" applyAlignment="1">
      <alignment vertical="center"/>
    </xf>
    <xf numFmtId="0" fontId="0" fillId="26" borderId="1" xfId="0" applyNumberFormat="1" applyFont="1" applyFill="1" applyBorder="1" applyAlignment="1">
      <alignment vertical="center"/>
    </xf>
    <xf numFmtId="0" fontId="0" fillId="26" borderId="1" xfId="0" applyFont="1" applyFill="1" applyBorder="1" applyAlignment="1">
      <alignment vertical="center"/>
    </xf>
    <xf numFmtId="0" fontId="0" fillId="0" borderId="0" xfId="0" applyNumberFormat="1" applyFill="1" applyBorder="1" applyAlignment="1">
      <alignment horizontal="right" vertical="center"/>
    </xf>
    <xf numFmtId="0" fontId="14" fillId="5" borderId="0" xfId="0" applyNumberFormat="1" applyFont="1" applyFill="1" applyBorder="1" applyAlignment="1">
      <alignment horizontal="right" vertical="center"/>
    </xf>
    <xf numFmtId="174" fontId="14" fillId="5" borderId="0" xfId="2" applyFont="1" applyFill="1" applyBorder="1"/>
    <xf numFmtId="0" fontId="14" fillId="5" borderId="65" xfId="6" applyFont="1" applyFill="1" applyBorder="1" applyAlignment="1">
      <alignment horizontal="center" vertical="center" wrapText="1"/>
    </xf>
    <xf numFmtId="0" fontId="14" fillId="5" borderId="5" xfId="6" applyFont="1" applyFill="1" applyBorder="1" applyAlignment="1">
      <alignment horizontal="center" vertical="center" wrapText="1"/>
    </xf>
    <xf numFmtId="0" fontId="0" fillId="5" borderId="5" xfId="0" applyFont="1" applyFill="1" applyBorder="1"/>
    <xf numFmtId="0" fontId="0" fillId="5" borderId="64" xfId="0" applyFont="1" applyFill="1" applyBorder="1"/>
    <xf numFmtId="0" fontId="0" fillId="5" borderId="65" xfId="0" applyFont="1" applyFill="1" applyBorder="1" applyAlignment="1">
      <alignment horizontal="center" vertical="center" wrapText="1"/>
    </xf>
    <xf numFmtId="0" fontId="0" fillId="5" borderId="5" xfId="0" applyFont="1" applyFill="1" applyBorder="1" applyAlignment="1">
      <alignment horizontal="center" vertical="center" wrapText="1"/>
    </xf>
    <xf numFmtId="0" fontId="0" fillId="5" borderId="0" xfId="0" applyNumberFormat="1" applyFont="1" applyFill="1" applyBorder="1" applyAlignment="1">
      <alignment horizontal="right" vertical="center"/>
    </xf>
    <xf numFmtId="0" fontId="0" fillId="0" borderId="0" xfId="0" applyBorder="1"/>
    <xf numFmtId="0" fontId="0" fillId="0" borderId="0" xfId="0"/>
    <xf numFmtId="0" fontId="0" fillId="5" borderId="5" xfId="0" applyFill="1" applyBorder="1"/>
    <xf numFmtId="0" fontId="21" fillId="5" borderId="5" xfId="0" applyFont="1" applyFill="1" applyBorder="1" applyAlignment="1">
      <alignment vertical="center"/>
    </xf>
    <xf numFmtId="174" fontId="0" fillId="5" borderId="5" xfId="2" applyFont="1" applyFill="1" applyBorder="1" applyAlignment="1">
      <alignment vertical="center"/>
    </xf>
    <xf numFmtId="175" fontId="13" fillId="0" borderId="0" xfId="2" applyNumberFormat="1" applyFont="1" applyBorder="1" applyAlignment="1">
      <alignment horizontal="right"/>
    </xf>
    <xf numFmtId="0" fontId="21" fillId="0" borderId="0" xfId="0" applyFont="1" applyBorder="1" applyAlignment="1">
      <alignment horizontal="right"/>
    </xf>
    <xf numFmtId="167" fontId="0" fillId="0" borderId="0" xfId="0" applyNumberFormat="1" applyBorder="1"/>
    <xf numFmtId="182" fontId="0" fillId="0" borderId="0" xfId="0" applyNumberFormat="1" applyBorder="1"/>
    <xf numFmtId="0" fontId="0" fillId="0" borderId="0" xfId="0" applyBorder="1"/>
    <xf numFmtId="0" fontId="0" fillId="0" borderId="0" xfId="0"/>
    <xf numFmtId="0" fontId="24" fillId="5" borderId="0" xfId="0" applyFont="1" applyFill="1" applyBorder="1" applyAlignment="1">
      <alignment horizontal="center"/>
    </xf>
    <xf numFmtId="0" fontId="21" fillId="5" borderId="4" xfId="0" applyFont="1" applyFill="1" applyBorder="1" applyAlignment="1">
      <alignment vertical="center"/>
    </xf>
    <xf numFmtId="0" fontId="119" fillId="26" borderId="0" xfId="0" applyFont="1" applyFill="1" applyBorder="1" applyAlignment="1">
      <alignment vertical="center"/>
    </xf>
    <xf numFmtId="175" fontId="119" fillId="26" borderId="0" xfId="2" applyNumberFormat="1" applyFont="1" applyFill="1" applyBorder="1" applyAlignment="1">
      <alignment vertical="center"/>
    </xf>
    <xf numFmtId="0" fontId="119" fillId="26" borderId="0" xfId="0" applyFont="1" applyFill="1" applyAlignment="1">
      <alignment vertical="center"/>
    </xf>
    <xf numFmtId="0" fontId="0" fillId="0" borderId="0" xfId="0"/>
    <xf numFmtId="0" fontId="24" fillId="5" borderId="0" xfId="0" applyFont="1" applyFill="1" applyBorder="1" applyAlignment="1">
      <alignment horizontal="center"/>
    </xf>
    <xf numFmtId="0" fontId="16" fillId="5" borderId="0" xfId="0" applyFont="1" applyFill="1" applyBorder="1" applyAlignment="1">
      <alignment horizontal="left" indent="1"/>
    </xf>
    <xf numFmtId="170" fontId="13" fillId="5" borderId="0" xfId="2" applyNumberFormat="1" applyFont="1" applyFill="1" applyBorder="1" applyAlignment="1">
      <alignment horizontal="right" vertical="center"/>
    </xf>
    <xf numFmtId="170" fontId="0" fillId="5" borderId="0" xfId="2" applyNumberFormat="1" applyFont="1" applyFill="1" applyBorder="1"/>
    <xf numFmtId="170" fontId="13" fillId="5" borderId="5" xfId="2" applyNumberFormat="1" applyFont="1" applyFill="1" applyBorder="1" applyAlignment="1">
      <alignment horizontal="right" vertical="center"/>
    </xf>
    <xf numFmtId="170" fontId="0" fillId="5" borderId="5" xfId="2" applyNumberFormat="1" applyFont="1" applyFill="1" applyBorder="1"/>
    <xf numFmtId="170" fontId="13" fillId="5" borderId="1" xfId="2" applyNumberFormat="1" applyFont="1" applyFill="1" applyBorder="1" applyAlignment="1">
      <alignment horizontal="right" vertical="center"/>
    </xf>
    <xf numFmtId="0" fontId="0" fillId="5" borderId="4" xfId="0" applyFill="1" applyBorder="1" applyAlignment="1">
      <alignment vertical="center"/>
    </xf>
    <xf numFmtId="170" fontId="13" fillId="5" borderId="4" xfId="2" applyNumberFormat="1" applyFont="1" applyFill="1" applyBorder="1" applyAlignment="1">
      <alignment horizontal="right" vertical="center"/>
    </xf>
    <xf numFmtId="174" fontId="13" fillId="5" borderId="4" xfId="2" applyFont="1" applyFill="1" applyBorder="1" applyAlignment="1">
      <alignment horizontal="right" vertical="center"/>
    </xf>
    <xf numFmtId="167" fontId="13" fillId="5" borderId="4" xfId="2" applyNumberFormat="1" applyFont="1" applyFill="1" applyBorder="1" applyAlignment="1">
      <alignment horizontal="right" vertical="center"/>
    </xf>
    <xf numFmtId="0" fontId="0" fillId="26" borderId="0" xfId="0" applyFont="1" applyFill="1" applyAlignment="1">
      <alignment vertical="center"/>
    </xf>
    <xf numFmtId="0" fontId="14" fillId="26" borderId="0" xfId="0" applyFont="1" applyFill="1" applyBorder="1" applyAlignment="1">
      <alignment vertical="center"/>
    </xf>
    <xf numFmtId="0" fontId="0" fillId="0" borderId="0" xfId="0"/>
    <xf numFmtId="170" fontId="0" fillId="5" borderId="1" xfId="2" applyNumberFormat="1" applyFont="1" applyFill="1" applyBorder="1"/>
    <xf numFmtId="0" fontId="0" fillId="8" borderId="0" xfId="0" applyFill="1" applyBorder="1"/>
    <xf numFmtId="0" fontId="0" fillId="5" borderId="0" xfId="0" applyFont="1" applyFill="1" applyBorder="1" applyAlignment="1">
      <alignment horizontal="left" indent="1"/>
    </xf>
    <xf numFmtId="0" fontId="0" fillId="5" borderId="0" xfId="0" applyFill="1" applyBorder="1" applyAlignment="1">
      <alignment horizontal="left" indent="1"/>
    </xf>
    <xf numFmtId="177" fontId="0" fillId="5" borderId="25" xfId="2" applyNumberFormat="1" applyFont="1" applyFill="1" applyBorder="1" applyAlignment="1">
      <alignment vertical="center"/>
    </xf>
    <xf numFmtId="0" fontId="21" fillId="5" borderId="63" xfId="0" applyFont="1" applyFill="1" applyBorder="1" applyAlignment="1">
      <alignment horizontal="center" vertical="center"/>
    </xf>
    <xf numFmtId="0" fontId="21" fillId="5" borderId="4" xfId="0" applyFont="1" applyFill="1" applyBorder="1" applyAlignment="1">
      <alignment horizontal="center" vertical="center"/>
    </xf>
    <xf numFmtId="0" fontId="21" fillId="5" borderId="5" xfId="0" applyFont="1" applyFill="1" applyBorder="1" applyAlignment="1">
      <alignment horizontal="center" vertical="center"/>
    </xf>
    <xf numFmtId="0" fontId="21" fillId="5" borderId="65" xfId="0" applyFont="1" applyFill="1" applyBorder="1" applyAlignment="1">
      <alignment horizontal="center" vertical="center"/>
    </xf>
    <xf numFmtId="178" fontId="13" fillId="5" borderId="5" xfId="2" applyNumberFormat="1" applyFont="1" applyFill="1" applyBorder="1" applyAlignment="1">
      <alignment horizontal="right" vertical="center"/>
    </xf>
    <xf numFmtId="0" fontId="13" fillId="5" borderId="5" xfId="0" applyFont="1" applyFill="1" applyBorder="1" applyAlignment="1">
      <alignment horizontal="center" vertical="center"/>
    </xf>
    <xf numFmtId="178" fontId="0" fillId="5" borderId="1" xfId="2" applyNumberFormat="1" applyFont="1" applyFill="1" applyBorder="1" applyAlignment="1">
      <alignment horizontal="right" vertical="center"/>
    </xf>
    <xf numFmtId="1" fontId="0" fillId="0" borderId="0" xfId="0" applyNumberFormat="1" applyFill="1" applyBorder="1" applyAlignment="1">
      <alignment horizontal="right"/>
    </xf>
    <xf numFmtId="0" fontId="0" fillId="0" borderId="0" xfId="0"/>
    <xf numFmtId="175" fontId="13" fillId="5" borderId="0" xfId="2" applyNumberFormat="1" applyFont="1" applyFill="1" applyBorder="1" applyAlignment="1">
      <alignment vertical="center"/>
    </xf>
    <xf numFmtId="1" fontId="21" fillId="5" borderId="5" xfId="0" applyNumberFormat="1" applyFont="1" applyFill="1" applyBorder="1" applyAlignment="1">
      <alignment vertical="center"/>
    </xf>
    <xf numFmtId="175" fontId="0" fillId="5" borderId="5" xfId="2" applyNumberFormat="1" applyFont="1" applyFill="1" applyBorder="1" applyAlignment="1">
      <alignment horizontal="right" vertical="center"/>
    </xf>
    <xf numFmtId="177" fontId="13" fillId="24" borderId="0" xfId="2" applyNumberFormat="1" applyFont="1" applyFill="1" applyBorder="1" applyAlignment="1">
      <alignment horizontal="right"/>
    </xf>
    <xf numFmtId="175" fontId="24" fillId="5" borderId="0" xfId="2" applyNumberFormat="1" applyFont="1" applyFill="1" applyBorder="1" applyAlignment="1">
      <alignment horizontal="right" vertical="center"/>
    </xf>
    <xf numFmtId="175" fontId="13" fillId="5" borderId="5" xfId="2" applyNumberFormat="1" applyFont="1" applyFill="1" applyBorder="1" applyAlignment="1">
      <alignment vertical="center"/>
    </xf>
    <xf numFmtId="175" fontId="0" fillId="5" borderId="1" xfId="2" applyNumberFormat="1" applyFont="1" applyFill="1" applyBorder="1" applyAlignment="1"/>
    <xf numFmtId="175" fontId="13" fillId="5" borderId="1" xfId="2" applyNumberFormat="1" applyFont="1" applyFill="1" applyBorder="1" applyAlignment="1">
      <alignment vertical="center"/>
    </xf>
    <xf numFmtId="0" fontId="24" fillId="24" borderId="5" xfId="8" applyFont="1" applyBorder="1" applyAlignment="1">
      <alignment vertical="center"/>
    </xf>
    <xf numFmtId="0" fontId="0" fillId="5" borderId="4" xfId="0" applyFont="1" applyFill="1" applyBorder="1" applyAlignment="1">
      <alignment horizontal="right"/>
    </xf>
    <xf numFmtId="0" fontId="19" fillId="0" borderId="43" xfId="0" applyFont="1" applyFill="1" applyBorder="1"/>
    <xf numFmtId="0" fontId="0" fillId="0" borderId="0" xfId="0"/>
    <xf numFmtId="0" fontId="0" fillId="0" borderId="0" xfId="0" applyFont="1" applyFill="1" applyBorder="1" applyAlignment="1">
      <alignment horizontal="left" indent="1"/>
    </xf>
    <xf numFmtId="175" fontId="0" fillId="5" borderId="5" xfId="2" applyNumberFormat="1" applyFont="1" applyFill="1" applyBorder="1"/>
    <xf numFmtId="0" fontId="0" fillId="5" borderId="0" xfId="0" applyNumberFormat="1" applyFill="1" applyBorder="1" applyAlignment="1">
      <alignment horizontal="right"/>
    </xf>
    <xf numFmtId="0" fontId="0" fillId="5" borderId="5" xfId="0" applyFill="1" applyBorder="1" applyAlignment="1">
      <alignment horizontal="left"/>
    </xf>
    <xf numFmtId="0" fontId="0" fillId="5" borderId="5" xfId="0" applyNumberFormat="1" applyFill="1" applyBorder="1" applyAlignment="1">
      <alignment horizontal="right"/>
    </xf>
    <xf numFmtId="0" fontId="0" fillId="5" borderId="1" xfId="0" applyNumberFormat="1" applyFill="1" applyBorder="1" applyAlignment="1">
      <alignment horizontal="right"/>
    </xf>
    <xf numFmtId="0" fontId="0" fillId="8" borderId="0" xfId="0" applyFill="1"/>
    <xf numFmtId="0" fontId="17" fillId="5" borderId="0" xfId="0" applyFont="1" applyFill="1" applyBorder="1" applyAlignment="1">
      <alignment horizontal="left" vertical="center" indent="1"/>
    </xf>
    <xf numFmtId="0" fontId="108" fillId="5" borderId="0" xfId="0" applyFont="1" applyFill="1" applyBorder="1" applyAlignment="1">
      <alignment vertical="center"/>
    </xf>
    <xf numFmtId="0" fontId="0" fillId="0" borderId="0" xfId="0"/>
    <xf numFmtId="0" fontId="32" fillId="0" borderId="0" xfId="0" applyFont="1" applyFill="1" applyBorder="1"/>
    <xf numFmtId="174" fontId="120" fillId="26" borderId="0" xfId="2" applyFont="1" applyFill="1" applyBorder="1" applyAlignment="1">
      <alignment vertical="center"/>
    </xf>
    <xf numFmtId="0" fontId="13" fillId="0" borderId="0" xfId="8" applyFont="1" applyFill="1" applyBorder="1" applyAlignment="1">
      <alignment vertical="center"/>
    </xf>
    <xf numFmtId="170" fontId="13" fillId="0" borderId="0" xfId="8" applyNumberFormat="1" applyFont="1" applyFill="1" applyBorder="1" applyAlignment="1">
      <alignment vertical="center"/>
    </xf>
    <xf numFmtId="0" fontId="13" fillId="0" borderId="0" xfId="8" applyFont="1" applyFill="1" applyBorder="1"/>
    <xf numFmtId="0" fontId="13" fillId="0" borderId="0" xfId="8" applyNumberFormat="1" applyFont="1" applyFill="1" applyBorder="1" applyAlignment="1">
      <alignment vertical="center"/>
    </xf>
    <xf numFmtId="9" fontId="13" fillId="0" borderId="0" xfId="8" applyNumberFormat="1" applyFont="1" applyFill="1" applyBorder="1" applyAlignment="1">
      <alignment vertical="center"/>
    </xf>
    <xf numFmtId="175" fontId="13" fillId="0" borderId="0" xfId="8" applyNumberFormat="1" applyFont="1" applyFill="1" applyBorder="1" applyAlignment="1">
      <alignment vertical="center"/>
    </xf>
    <xf numFmtId="0" fontId="13" fillId="0" borderId="0" xfId="8" applyNumberFormat="1" applyFont="1" applyFill="1" applyBorder="1" applyAlignment="1">
      <alignment horizontal="right" vertical="center"/>
    </xf>
    <xf numFmtId="0" fontId="35" fillId="5" borderId="0" xfId="6" applyFill="1"/>
    <xf numFmtId="0" fontId="21" fillId="5" borderId="0" xfId="8" applyFont="1" applyFill="1" applyBorder="1" applyAlignment="1">
      <alignment vertical="center"/>
    </xf>
    <xf numFmtId="0" fontId="13" fillId="5" borderId="0" xfId="8" applyFont="1" applyFill="1" applyBorder="1" applyAlignment="1">
      <alignment vertical="center"/>
    </xf>
    <xf numFmtId="170" fontId="13" fillId="5" borderId="0" xfId="8" applyNumberFormat="1" applyFont="1" applyFill="1" applyBorder="1" applyAlignment="1">
      <alignment vertical="center"/>
    </xf>
    <xf numFmtId="0" fontId="13" fillId="5" borderId="0" xfId="8" applyFont="1" applyFill="1"/>
    <xf numFmtId="179" fontId="13" fillId="5" borderId="0" xfId="8" applyNumberFormat="1" applyFont="1" applyFill="1" applyBorder="1" applyAlignment="1">
      <alignment vertical="center"/>
    </xf>
    <xf numFmtId="167" fontId="0" fillId="0" borderId="44" xfId="0" applyNumberFormat="1" applyFill="1" applyBorder="1" applyAlignment="1">
      <alignment vertical="center"/>
    </xf>
    <xf numFmtId="0" fontId="0" fillId="0" borderId="0" xfId="0"/>
    <xf numFmtId="0" fontId="0" fillId="0" borderId="0" xfId="0" applyBorder="1"/>
    <xf numFmtId="0" fontId="0" fillId="0" borderId="0" xfId="0"/>
    <xf numFmtId="175" fontId="0" fillId="5" borderId="0" xfId="2" applyNumberFormat="1" applyFont="1" applyFill="1" applyBorder="1" applyAlignment="1">
      <alignment horizontal="left" vertical="center"/>
    </xf>
    <xf numFmtId="0" fontId="0" fillId="5" borderId="1" xfId="0" applyFill="1" applyBorder="1" applyAlignment="1">
      <alignment horizontal="center" vertical="center"/>
    </xf>
    <xf numFmtId="175" fontId="0" fillId="5" borderId="1" xfId="2" applyNumberFormat="1" applyFont="1" applyFill="1" applyBorder="1" applyAlignment="1">
      <alignment horizontal="left" vertical="center"/>
    </xf>
    <xf numFmtId="0" fontId="0" fillId="5" borderId="5" xfId="0" applyFill="1" applyBorder="1" applyAlignment="1">
      <alignment horizontal="center" vertical="center"/>
    </xf>
    <xf numFmtId="175" fontId="0" fillId="5" borderId="5" xfId="2" applyNumberFormat="1" applyFont="1" applyFill="1" applyBorder="1" applyAlignment="1">
      <alignment horizontal="left" vertical="center"/>
    </xf>
    <xf numFmtId="0" fontId="0" fillId="5" borderId="4" xfId="0" applyFill="1" applyBorder="1" applyAlignment="1">
      <alignment horizontal="center" vertical="center"/>
    </xf>
    <xf numFmtId="0" fontId="24" fillId="5" borderId="5" xfId="0" applyFont="1" applyFill="1" applyBorder="1" applyAlignment="1">
      <alignment horizontal="right"/>
    </xf>
    <xf numFmtId="175" fontId="24" fillId="5" borderId="5" xfId="2" applyNumberFormat="1" applyFont="1" applyFill="1" applyBorder="1"/>
    <xf numFmtId="0" fontId="21" fillId="5" borderId="5" xfId="0" applyFont="1" applyFill="1" applyBorder="1" applyAlignment="1">
      <alignment horizontal="right"/>
    </xf>
    <xf numFmtId="175" fontId="32" fillId="5" borderId="5" xfId="2" applyNumberFormat="1" applyFont="1" applyFill="1" applyBorder="1" applyAlignment="1">
      <alignment vertical="center"/>
    </xf>
    <xf numFmtId="175" fontId="13" fillId="5" borderId="4" xfId="2" applyNumberFormat="1" applyFont="1" applyFill="1" applyBorder="1" applyAlignment="1">
      <alignment horizontal="right"/>
    </xf>
    <xf numFmtId="175" fontId="24" fillId="5" borderId="4" xfId="2" applyNumberFormat="1" applyFont="1" applyFill="1" applyBorder="1"/>
    <xf numFmtId="175" fontId="0" fillId="5" borderId="4" xfId="2" applyNumberFormat="1" applyFont="1" applyFill="1" applyBorder="1"/>
    <xf numFmtId="0" fontId="24" fillId="5" borderId="4" xfId="0" applyFont="1" applyFill="1" applyBorder="1" applyAlignment="1">
      <alignment horizontal="right"/>
    </xf>
    <xf numFmtId="0" fontId="21" fillId="5" borderId="4" xfId="0" applyFont="1" applyFill="1" applyBorder="1" applyAlignment="1">
      <alignment horizontal="right"/>
    </xf>
    <xf numFmtId="175" fontId="13" fillId="5" borderId="1" xfId="2" applyNumberFormat="1" applyFont="1" applyFill="1" applyBorder="1" applyAlignment="1">
      <alignment horizontal="right"/>
    </xf>
    <xf numFmtId="175" fontId="13" fillId="5" borderId="5" xfId="2" applyNumberFormat="1" applyFont="1" applyFill="1" applyBorder="1" applyAlignment="1">
      <alignment horizontal="right"/>
    </xf>
    <xf numFmtId="175" fontId="24" fillId="5" borderId="0" xfId="2" applyNumberFormat="1" applyFont="1" applyFill="1" applyBorder="1"/>
    <xf numFmtId="175" fontId="32" fillId="5" borderId="4" xfId="2" applyNumberFormat="1" applyFont="1" applyFill="1" applyBorder="1" applyAlignment="1">
      <alignment vertical="center"/>
    </xf>
    <xf numFmtId="1" fontId="0" fillId="5" borderId="0" xfId="0" applyNumberFormat="1" applyFill="1" applyBorder="1"/>
    <xf numFmtId="1" fontId="0" fillId="5" borderId="5" xfId="0" applyNumberFormat="1" applyFill="1" applyBorder="1"/>
    <xf numFmtId="1" fontId="0" fillId="5" borderId="1" xfId="0" applyNumberFormat="1" applyFill="1" applyBorder="1"/>
    <xf numFmtId="0" fontId="0" fillId="0" borderId="0" xfId="0"/>
    <xf numFmtId="0" fontId="0" fillId="26" borderId="5" xfId="0" applyFill="1" applyBorder="1" applyAlignment="1">
      <alignment vertical="center"/>
    </xf>
    <xf numFmtId="0" fontId="0" fillId="26" borderId="5" xfId="0" applyFont="1" applyFill="1" applyBorder="1" applyAlignment="1">
      <alignment vertical="center"/>
    </xf>
    <xf numFmtId="175" fontId="0" fillId="26" borderId="5" xfId="2" applyNumberFormat="1" applyFont="1" applyFill="1" applyBorder="1" applyAlignment="1">
      <alignment vertical="center"/>
    </xf>
    <xf numFmtId="175" fontId="0" fillId="26" borderId="1" xfId="2" applyNumberFormat="1" applyFont="1" applyFill="1" applyBorder="1" applyAlignment="1">
      <alignment vertical="center"/>
    </xf>
    <xf numFmtId="0" fontId="0" fillId="0" borderId="0" xfId="0"/>
    <xf numFmtId="0" fontId="0" fillId="0" borderId="0" xfId="0" applyFill="1" applyAlignment="1">
      <alignment horizontal="left" indent="1"/>
    </xf>
    <xf numFmtId="0" fontId="0" fillId="8" borderId="0" xfId="0" applyFill="1" applyBorder="1" applyAlignment="1">
      <alignment vertical="center"/>
    </xf>
    <xf numFmtId="175" fontId="24" fillId="5" borderId="0" xfId="2" applyNumberFormat="1" applyFont="1" applyFill="1" applyBorder="1" applyAlignment="1">
      <alignment horizontal="right"/>
    </xf>
    <xf numFmtId="0" fontId="17" fillId="8" borderId="43" xfId="0" applyFont="1" applyFill="1" applyBorder="1" applyAlignment="1">
      <alignment horizontal="left" vertical="center" indent="1"/>
    </xf>
    <xf numFmtId="0" fontId="24" fillId="5" borderId="0" xfId="0" applyFont="1" applyFill="1" applyAlignment="1">
      <alignment horizontal="right"/>
    </xf>
    <xf numFmtId="0" fontId="13" fillId="5" borderId="4" xfId="0" applyNumberFormat="1" applyFont="1" applyFill="1" applyBorder="1" applyAlignment="1">
      <alignment horizontal="left" vertical="center"/>
    </xf>
    <xf numFmtId="0" fontId="0" fillId="0" borderId="0" xfId="0"/>
    <xf numFmtId="0" fontId="0" fillId="0" borderId="92" xfId="0" applyBorder="1"/>
    <xf numFmtId="0" fontId="0" fillId="0" borderId="107" xfId="0" applyBorder="1"/>
    <xf numFmtId="0" fontId="114" fillId="0" borderId="0" xfId="0" applyFont="1"/>
    <xf numFmtId="168" fontId="32" fillId="0" borderId="0" xfId="0" applyNumberFormat="1" applyFont="1"/>
    <xf numFmtId="0" fontId="0" fillId="36" borderId="28" xfId="0" applyFill="1" applyBorder="1"/>
    <xf numFmtId="177" fontId="0" fillId="36" borderId="42" xfId="2" applyNumberFormat="1" applyFont="1" applyFill="1" applyBorder="1"/>
    <xf numFmtId="177" fontId="0" fillId="33" borderId="42" xfId="2" applyNumberFormat="1" applyFont="1" applyFill="1" applyBorder="1"/>
    <xf numFmtId="0" fontId="0" fillId="0" borderId="0" xfId="0" applyNumberFormat="1"/>
    <xf numFmtId="0" fontId="121" fillId="0" borderId="0" xfId="0" applyFont="1"/>
    <xf numFmtId="0" fontId="122" fillId="0" borderId="0" xfId="0" applyFont="1"/>
    <xf numFmtId="0" fontId="123" fillId="0" borderId="92" xfId="0" applyFont="1" applyBorder="1"/>
    <xf numFmtId="0" fontId="121" fillId="0" borderId="81" xfId="0" applyFont="1" applyBorder="1" applyAlignment="1">
      <alignment horizontal="right"/>
    </xf>
    <xf numFmtId="0" fontId="121" fillId="0" borderId="82" xfId="0" applyFont="1" applyBorder="1" applyAlignment="1">
      <alignment horizontal="right"/>
    </xf>
    <xf numFmtId="0" fontId="121" fillId="0" borderId="83" xfId="0" applyFont="1" applyBorder="1" applyAlignment="1">
      <alignment horizontal="right"/>
    </xf>
    <xf numFmtId="0" fontId="121" fillId="0" borderId="108" xfId="0" applyFont="1" applyBorder="1"/>
    <xf numFmtId="0" fontId="121" fillId="0" borderId="86" xfId="0" applyFont="1" applyBorder="1" applyAlignment="1">
      <alignment horizontal="right"/>
    </xf>
    <xf numFmtId="0" fontId="121" fillId="0" borderId="87" xfId="0" applyFont="1" applyBorder="1" applyAlignment="1">
      <alignment horizontal="right"/>
    </xf>
    <xf numFmtId="0" fontId="121" fillId="0" borderId="88" xfId="0" applyFont="1" applyBorder="1" applyAlignment="1">
      <alignment horizontal="right"/>
    </xf>
    <xf numFmtId="187" fontId="124" fillId="0" borderId="81" xfId="2" applyNumberFormat="1" applyFont="1" applyBorder="1"/>
    <xf numFmtId="187" fontId="124" fillId="0" borderId="82" xfId="2" applyNumberFormat="1" applyFont="1" applyBorder="1"/>
    <xf numFmtId="187" fontId="124" fillId="0" borderId="83" xfId="2" applyNumberFormat="1" applyFont="1" applyBorder="1"/>
    <xf numFmtId="165" fontId="124" fillId="0" borderId="82" xfId="2" applyNumberFormat="1" applyFont="1" applyBorder="1"/>
    <xf numFmtId="165" fontId="124" fillId="0" borderId="83" xfId="2" applyNumberFormat="1" applyFont="1" applyBorder="1"/>
    <xf numFmtId="187" fontId="124" fillId="0" borderId="84" xfId="2" applyNumberFormat="1" applyFont="1" applyBorder="1"/>
    <xf numFmtId="187" fontId="124" fillId="0" borderId="0" xfId="2" applyNumberFormat="1" applyFont="1" applyBorder="1"/>
    <xf numFmtId="187" fontId="124" fillId="0" borderId="85" xfId="2" applyNumberFormat="1" applyFont="1" applyBorder="1"/>
    <xf numFmtId="165" fontId="124" fillId="0" borderId="0" xfId="2" applyNumberFormat="1" applyFont="1" applyBorder="1"/>
    <xf numFmtId="165" fontId="124" fillId="0" borderId="85" xfId="2" applyNumberFormat="1" applyFont="1" applyBorder="1"/>
    <xf numFmtId="187" fontId="124" fillId="14" borderId="84" xfId="2" applyNumberFormat="1" applyFont="1" applyFill="1" applyBorder="1"/>
    <xf numFmtId="187" fontId="124" fillId="14" borderId="0" xfId="2" applyNumberFormat="1" applyFont="1" applyFill="1" applyBorder="1"/>
    <xf numFmtId="187" fontId="124" fillId="14" borderId="85" xfId="2" applyNumberFormat="1" applyFont="1" applyFill="1" applyBorder="1"/>
    <xf numFmtId="0" fontId="121" fillId="0" borderId="145" xfId="0" applyFont="1" applyBorder="1"/>
    <xf numFmtId="187" fontId="0" fillId="0" borderId="90" xfId="0" applyNumberFormat="1" applyBorder="1"/>
    <xf numFmtId="187" fontId="0" fillId="0" borderId="89" xfId="0" applyNumberFormat="1" applyBorder="1"/>
    <xf numFmtId="187" fontId="0" fillId="0" borderId="91" xfId="0" applyNumberFormat="1" applyBorder="1"/>
    <xf numFmtId="0" fontId="0" fillId="33" borderId="28" xfId="0" applyFill="1" applyBorder="1"/>
    <xf numFmtId="178" fontId="0" fillId="5" borderId="0" xfId="2" applyNumberFormat="1" applyFont="1" applyFill="1" applyBorder="1"/>
    <xf numFmtId="178" fontId="0" fillId="5" borderId="1" xfId="2" applyNumberFormat="1" applyFont="1" applyFill="1" applyBorder="1"/>
    <xf numFmtId="0" fontId="0" fillId="0" borderId="0" xfId="0"/>
    <xf numFmtId="0" fontId="0" fillId="5" borderId="5" xfId="0" applyFill="1" applyBorder="1" applyAlignment="1">
      <alignment horizontal="right"/>
    </xf>
    <xf numFmtId="0" fontId="24" fillId="5" borderId="5" xfId="0" applyFont="1" applyFill="1" applyBorder="1"/>
    <xf numFmtId="0" fontId="21" fillId="5" borderId="65" xfId="0" applyNumberFormat="1" applyFont="1" applyFill="1" applyBorder="1" applyAlignment="1">
      <alignment horizontal="right" vertical="center"/>
    </xf>
    <xf numFmtId="175" fontId="0" fillId="26" borderId="0" xfId="0" applyNumberFormat="1" applyFont="1" applyFill="1" applyAlignment="1">
      <alignment vertical="center"/>
    </xf>
    <xf numFmtId="175" fontId="0" fillId="26" borderId="0" xfId="0" applyNumberFormat="1" applyFont="1" applyFill="1" applyBorder="1" applyAlignment="1">
      <alignment vertical="center"/>
    </xf>
    <xf numFmtId="175" fontId="105" fillId="26" borderId="1" xfId="0" applyNumberFormat="1" applyFont="1" applyFill="1" applyBorder="1" applyAlignment="1">
      <alignment vertical="center"/>
    </xf>
    <xf numFmtId="175" fontId="105" fillId="26" borderId="1" xfId="2" applyNumberFormat="1" applyFont="1" applyFill="1" applyBorder="1" applyAlignment="1">
      <alignment vertical="center"/>
    </xf>
    <xf numFmtId="179" fontId="0" fillId="5" borderId="4" xfId="1" applyFont="1" applyFill="1" applyBorder="1"/>
    <xf numFmtId="0" fontId="24" fillId="5" borderId="4" xfId="0" applyNumberFormat="1" applyFont="1" applyFill="1" applyBorder="1" applyAlignment="1">
      <alignment vertical="center"/>
    </xf>
    <xf numFmtId="0" fontId="21" fillId="5" borderId="4" xfId="0" applyFont="1" applyFill="1" applyBorder="1" applyAlignment="1">
      <alignment horizontal="right" vertical="center"/>
    </xf>
    <xf numFmtId="0" fontId="24" fillId="5" borderId="5" xfId="0" applyNumberFormat="1" applyFont="1" applyFill="1" applyBorder="1" applyAlignment="1">
      <alignment vertical="center"/>
    </xf>
    <xf numFmtId="0" fontId="21" fillId="5" borderId="5" xfId="0" applyFont="1" applyFill="1" applyBorder="1" applyAlignment="1">
      <alignment horizontal="right" vertical="center"/>
    </xf>
    <xf numFmtId="0" fontId="105" fillId="26" borderId="1" xfId="0" applyFont="1" applyFill="1" applyBorder="1" applyAlignment="1">
      <alignment vertical="center"/>
    </xf>
    <xf numFmtId="0" fontId="0" fillId="5" borderId="87" xfId="0" applyNumberFormat="1" applyFill="1" applyBorder="1" applyAlignment="1">
      <alignment horizontal="left" vertical="center"/>
    </xf>
    <xf numFmtId="0" fontId="0" fillId="5" borderId="87" xfId="0" applyFill="1" applyBorder="1"/>
    <xf numFmtId="174" fontId="13" fillId="5" borderId="87" xfId="2" applyFont="1" applyFill="1" applyBorder="1" applyAlignment="1">
      <alignment horizontal="right" vertical="center"/>
    </xf>
    <xf numFmtId="175" fontId="0" fillId="5" borderId="87" xfId="2" applyNumberFormat="1" applyFont="1" applyFill="1" applyBorder="1"/>
    <xf numFmtId="175" fontId="13" fillId="5" borderId="87" xfId="2" applyNumberFormat="1" applyFont="1" applyFill="1" applyBorder="1" applyAlignment="1">
      <alignment horizontal="right" vertical="center"/>
    </xf>
    <xf numFmtId="0" fontId="24" fillId="5" borderId="5" xfId="0" applyFont="1" applyFill="1" applyBorder="1" applyAlignment="1">
      <alignment vertical="center"/>
    </xf>
    <xf numFmtId="0" fontId="24" fillId="5" borderId="5" xfId="0" applyFont="1" applyFill="1" applyBorder="1" applyAlignment="1">
      <alignment horizontal="left"/>
    </xf>
    <xf numFmtId="0" fontId="0" fillId="0" borderId="0" xfId="0"/>
    <xf numFmtId="0" fontId="126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horizontal="left"/>
    </xf>
    <xf numFmtId="174" fontId="128" fillId="7" borderId="0" xfId="0" applyNumberFormat="1" applyFont="1" applyFill="1" applyBorder="1" applyAlignment="1">
      <alignment vertical="center"/>
    </xf>
    <xf numFmtId="183" fontId="0" fillId="5" borderId="0" xfId="0" applyNumberFormat="1" applyFill="1" applyBorder="1" applyAlignment="1">
      <alignment vertical="center"/>
    </xf>
    <xf numFmtId="179" fontId="24" fillId="5" borderId="0" xfId="1" applyFont="1" applyFill="1" applyBorder="1"/>
    <xf numFmtId="188" fontId="127" fillId="0" borderId="0" xfId="0" applyNumberFormat="1" applyFont="1" applyFill="1" applyBorder="1" applyAlignment="1">
      <alignment horizontal="right"/>
    </xf>
    <xf numFmtId="170" fontId="127" fillId="0" borderId="0" xfId="0" applyNumberFormat="1" applyFont="1" applyFill="1" applyBorder="1" applyAlignment="1">
      <alignment horizontal="right"/>
    </xf>
    <xf numFmtId="0" fontId="127" fillId="0" borderId="0" xfId="0" applyFont="1" applyFill="1" applyBorder="1" applyAlignment="1">
      <alignment horizontal="right"/>
    </xf>
    <xf numFmtId="0" fontId="0" fillId="20" borderId="0" xfId="0" applyFill="1" applyAlignment="1"/>
    <xf numFmtId="0" fontId="0" fillId="0" borderId="0" xfId="0" applyFill="1" applyBorder="1" applyAlignment="1"/>
    <xf numFmtId="0" fontId="129" fillId="0" borderId="0" xfId="0" applyFont="1" applyFill="1" applyBorder="1" applyAlignment="1">
      <alignment horizontal="left"/>
    </xf>
    <xf numFmtId="0" fontId="78" fillId="0" borderId="0" xfId="0" applyFont="1" applyFill="1" applyBorder="1" applyAlignment="1">
      <alignment horizontal="left"/>
    </xf>
    <xf numFmtId="170" fontId="0" fillId="5" borderId="1" xfId="0" applyNumberFormat="1" applyFill="1" applyBorder="1"/>
    <xf numFmtId="3" fontId="0" fillId="26" borderId="0" xfId="2" applyNumberFormat="1" applyFont="1" applyFill="1" applyBorder="1" applyAlignment="1">
      <alignment vertical="center"/>
    </xf>
    <xf numFmtId="174" fontId="130" fillId="6" borderId="0" xfId="0" applyNumberFormat="1" applyFont="1" applyFill="1" applyBorder="1" applyAlignment="1">
      <alignment vertical="center"/>
    </xf>
    <xf numFmtId="164" fontId="127" fillId="0" borderId="0" xfId="0" applyNumberFormat="1" applyFont="1" applyFill="1" applyBorder="1" applyAlignment="1">
      <alignment horizontal="left"/>
    </xf>
    <xf numFmtId="0" fontId="0" fillId="0" borderId="0" xfId="0" applyBorder="1"/>
    <xf numFmtId="170" fontId="0" fillId="5" borderId="1" xfId="2" applyNumberFormat="1" applyFont="1" applyFill="1" applyBorder="1" applyAlignment="1">
      <alignment horizontal="right"/>
    </xf>
    <xf numFmtId="170" fontId="0" fillId="5" borderId="5" xfId="2" applyNumberFormat="1" applyFont="1" applyFill="1" applyBorder="1" applyAlignment="1">
      <alignment horizontal="right"/>
    </xf>
    <xf numFmtId="170" fontId="0" fillId="5" borderId="0" xfId="2" applyNumberFormat="1" applyFont="1" applyFill="1" applyBorder="1" applyAlignment="1">
      <alignment horizontal="right"/>
    </xf>
    <xf numFmtId="168" fontId="0" fillId="5" borderId="5" xfId="2" applyNumberFormat="1" applyFont="1" applyFill="1" applyBorder="1"/>
    <xf numFmtId="168" fontId="0" fillId="5" borderId="0" xfId="2" applyNumberFormat="1" applyFont="1" applyFill="1" applyBorder="1"/>
    <xf numFmtId="168" fontId="0" fillId="5" borderId="1" xfId="2" applyNumberFormat="1" applyFont="1" applyFill="1" applyBorder="1"/>
    <xf numFmtId="170" fontId="0" fillId="5" borderId="0" xfId="0" applyNumberFormat="1" applyFill="1" applyBorder="1"/>
    <xf numFmtId="170" fontId="0" fillId="5" borderId="5" xfId="0" applyNumberFormat="1" applyFill="1" applyBorder="1"/>
    <xf numFmtId="170" fontId="0" fillId="5" borderId="4" xfId="0" applyNumberFormat="1" applyFill="1" applyBorder="1"/>
    <xf numFmtId="2" fontId="0" fillId="5" borderId="4" xfId="0" applyNumberFormat="1" applyFill="1" applyBorder="1"/>
    <xf numFmtId="2" fontId="0" fillId="5" borderId="5" xfId="0" applyNumberFormat="1" applyFill="1" applyBorder="1"/>
    <xf numFmtId="2" fontId="0" fillId="5" borderId="1" xfId="0" applyNumberFormat="1" applyFill="1" applyBorder="1"/>
    <xf numFmtId="0" fontId="0" fillId="0" borderId="0" xfId="0"/>
    <xf numFmtId="185" fontId="0" fillId="0" borderId="0" xfId="2" applyNumberFormat="1" applyFont="1" applyFill="1" applyBorder="1" applyAlignment="1">
      <alignment horizontal="center" vertical="center"/>
    </xf>
    <xf numFmtId="1" fontId="0" fillId="5" borderId="4" xfId="0" applyNumberFormat="1" applyFill="1" applyBorder="1"/>
    <xf numFmtId="2" fontId="0" fillId="5" borderId="0" xfId="2" applyNumberFormat="1" applyFont="1" applyFill="1" applyBorder="1"/>
    <xf numFmtId="2" fontId="0" fillId="5" borderId="0" xfId="2" applyNumberFormat="1" applyFont="1" applyFill="1" applyBorder="1" applyAlignment="1">
      <alignment horizontal="right"/>
    </xf>
    <xf numFmtId="2" fontId="21" fillId="5" borderId="5" xfId="0" applyNumberFormat="1" applyFont="1" applyFill="1" applyBorder="1" applyAlignment="1">
      <alignment horizontal="right"/>
    </xf>
    <xf numFmtId="1" fontId="0" fillId="5" borderId="5" xfId="2" applyNumberFormat="1" applyFont="1" applyFill="1" applyBorder="1" applyAlignment="1">
      <alignment horizontal="right"/>
    </xf>
    <xf numFmtId="1" fontId="0" fillId="5" borderId="5" xfId="0" applyNumberFormat="1" applyFill="1" applyBorder="1" applyAlignment="1">
      <alignment horizontal="right"/>
    </xf>
    <xf numFmtId="1" fontId="0" fillId="5" borderId="0" xfId="2" applyNumberFormat="1" applyFont="1" applyFill="1" applyBorder="1" applyAlignment="1">
      <alignment horizontal="right"/>
    </xf>
    <xf numFmtId="1" fontId="0" fillId="5" borderId="0" xfId="0" applyNumberFormat="1" applyFill="1" applyBorder="1" applyAlignment="1">
      <alignment horizontal="right"/>
    </xf>
    <xf numFmtId="1" fontId="0" fillId="5" borderId="0" xfId="2" applyNumberFormat="1" applyFont="1" applyFill="1" applyBorder="1"/>
    <xf numFmtId="1" fontId="0" fillId="5" borderId="1" xfId="2" applyNumberFormat="1" applyFont="1" applyFill="1" applyBorder="1"/>
    <xf numFmtId="0" fontId="0" fillId="0" borderId="0" xfId="0"/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170" fontId="0" fillId="5" borderId="0" xfId="0" applyNumberFormat="1" applyFill="1" applyBorder="1" applyAlignment="1">
      <alignment horizontal="left"/>
    </xf>
    <xf numFmtId="170" fontId="0" fillId="5" borderId="1" xfId="0" applyNumberFormat="1" applyFill="1" applyBorder="1" applyAlignment="1">
      <alignment horizontal="left"/>
    </xf>
    <xf numFmtId="170" fontId="0" fillId="5" borderId="5" xfId="0" applyNumberFormat="1" applyFill="1" applyBorder="1" applyAlignment="1">
      <alignment horizontal="left"/>
    </xf>
    <xf numFmtId="9" fontId="0" fillId="0" borderId="68" xfId="0" applyNumberFormat="1" applyBorder="1"/>
    <xf numFmtId="0" fontId="0" fillId="0" borderId="0" xfId="0" applyBorder="1"/>
    <xf numFmtId="0" fontId="0" fillId="0" borderId="0" xfId="0"/>
    <xf numFmtId="0" fontId="0" fillId="33" borderId="72" xfId="0" applyFont="1" applyFill="1" applyBorder="1"/>
    <xf numFmtId="175" fontId="0" fillId="33" borderId="72" xfId="2" applyNumberFormat="1" applyFont="1" applyFill="1" applyBorder="1"/>
    <xf numFmtId="0" fontId="0" fillId="0" borderId="0" xfId="0"/>
    <xf numFmtId="174" fontId="0" fillId="5" borderId="15" xfId="2" applyFont="1" applyFill="1" applyBorder="1" applyAlignment="1">
      <alignment vertical="center"/>
    </xf>
    <xf numFmtId="175" fontId="0" fillId="0" borderId="0" xfId="0" applyNumberFormat="1" applyFill="1"/>
    <xf numFmtId="0" fontId="21" fillId="5" borderId="47" xfId="0" applyFont="1" applyFill="1" applyBorder="1" applyAlignment="1">
      <alignment vertical="center"/>
    </xf>
    <xf numFmtId="174" fontId="24" fillId="0" borderId="0" xfId="2" applyFont="1" applyFill="1" applyBorder="1" applyAlignment="1">
      <alignment vertical="center"/>
    </xf>
    <xf numFmtId="1" fontId="13" fillId="5" borderId="5" xfId="2" applyNumberFormat="1" applyFont="1" applyFill="1" applyBorder="1" applyAlignment="1">
      <alignment horizontal="right" vertical="center"/>
    </xf>
    <xf numFmtId="1" fontId="13" fillId="5" borderId="1" xfId="2" applyNumberFormat="1" applyFont="1" applyFill="1" applyBorder="1" applyAlignment="1">
      <alignment horizontal="right" vertical="center"/>
    </xf>
    <xf numFmtId="0" fontId="0" fillId="0" borderId="0" xfId="0"/>
    <xf numFmtId="170" fontId="0" fillId="5" borderId="4" xfId="2" applyNumberFormat="1" applyFont="1" applyFill="1" applyBorder="1"/>
    <xf numFmtId="2" fontId="0" fillId="5" borderId="5" xfId="2" applyNumberFormat="1" applyFont="1" applyFill="1" applyBorder="1" applyAlignment="1">
      <alignment horizontal="right" vertical="center"/>
    </xf>
    <xf numFmtId="2" fontId="13" fillId="5" borderId="5" xfId="2" applyNumberFormat="1" applyFont="1" applyFill="1" applyBorder="1" applyAlignment="1">
      <alignment horizontal="right" vertical="center"/>
    </xf>
    <xf numFmtId="2" fontId="13" fillId="5" borderId="0" xfId="2" applyNumberFormat="1" applyFont="1" applyFill="1" applyBorder="1" applyAlignment="1">
      <alignment horizontal="right" vertical="center"/>
    </xf>
    <xf numFmtId="2" fontId="0" fillId="5" borderId="1" xfId="2" applyNumberFormat="1" applyFont="1" applyFill="1" applyBorder="1" applyAlignment="1">
      <alignment horizontal="right" vertical="center"/>
    </xf>
    <xf numFmtId="2" fontId="13" fillId="5" borderId="1" xfId="2" applyNumberFormat="1" applyFont="1" applyFill="1" applyBorder="1" applyAlignment="1">
      <alignment horizontal="right" vertical="center"/>
    </xf>
    <xf numFmtId="175" fontId="24" fillId="0" borderId="154" xfId="2" applyNumberFormat="1" applyFont="1" applyBorder="1" applyAlignment="1">
      <alignment vertical="center"/>
    </xf>
    <xf numFmtId="0" fontId="0" fillId="0" borderId="0" xfId="0"/>
    <xf numFmtId="0" fontId="32" fillId="5" borderId="16" xfId="0" applyNumberFormat="1" applyFont="1" applyFill="1" applyBorder="1" applyAlignment="1">
      <alignment vertical="center"/>
    </xf>
    <xf numFmtId="0" fontId="32" fillId="5" borderId="129" xfId="0" applyFont="1" applyFill="1" applyBorder="1"/>
    <xf numFmtId="186" fontId="32" fillId="5" borderId="129" xfId="1" applyNumberFormat="1" applyFont="1" applyFill="1" applyBorder="1" applyAlignment="1">
      <alignment vertical="center"/>
    </xf>
    <xf numFmtId="1" fontId="32" fillId="5" borderId="1" xfId="2" applyNumberFormat="1" applyFont="1" applyFill="1" applyBorder="1" applyAlignment="1">
      <alignment vertical="center"/>
    </xf>
    <xf numFmtId="1" fontId="21" fillId="5" borderId="5" xfId="0" applyNumberFormat="1" applyFont="1" applyFill="1" applyBorder="1" applyAlignment="1">
      <alignment horizontal="right"/>
    </xf>
    <xf numFmtId="1" fontId="21" fillId="5" borderId="4" xfId="0" applyNumberFormat="1" applyFont="1" applyFill="1" applyBorder="1" applyAlignment="1">
      <alignment horizontal="right"/>
    </xf>
    <xf numFmtId="1" fontId="14" fillId="0" borderId="0" xfId="2" applyNumberFormat="1" applyFont="1"/>
    <xf numFmtId="1" fontId="0" fillId="0" borderId="0" xfId="0" applyNumberFormat="1" applyAlignment="1">
      <alignment vertical="center"/>
    </xf>
    <xf numFmtId="175" fontId="14" fillId="14" borderId="0" xfId="2" applyNumberFormat="1" applyFont="1" applyFill="1" applyBorder="1" applyAlignment="1">
      <alignment vertical="center"/>
    </xf>
    <xf numFmtId="170" fontId="13" fillId="24" borderId="5" xfId="8" applyNumberFormat="1" applyFont="1" applyBorder="1"/>
    <xf numFmtId="170" fontId="13" fillId="24" borderId="0" xfId="8" applyNumberFormat="1" applyFont="1" applyBorder="1"/>
    <xf numFmtId="170" fontId="13" fillId="24" borderId="1" xfId="8" applyNumberFormat="1" applyFont="1" applyBorder="1"/>
    <xf numFmtId="1" fontId="13" fillId="5" borderId="0" xfId="2" applyNumberFormat="1" applyFont="1" applyFill="1" applyBorder="1" applyAlignment="1">
      <alignment horizontal="right" vertical="center"/>
    </xf>
    <xf numFmtId="1" fontId="0" fillId="5" borderId="0" xfId="0" applyNumberFormat="1" applyFill="1" applyBorder="1" applyAlignment="1">
      <alignment vertical="center"/>
    </xf>
    <xf numFmtId="175" fontId="33" fillId="5" borderId="5" xfId="2" applyNumberFormat="1" applyFont="1" applyFill="1" applyBorder="1" applyAlignment="1">
      <alignment horizontal="right"/>
    </xf>
    <xf numFmtId="175" fontId="33" fillId="5" borderId="4" xfId="2" applyNumberFormat="1" applyFont="1" applyFill="1" applyBorder="1" applyAlignment="1">
      <alignment horizontal="right"/>
    </xf>
    <xf numFmtId="0" fontId="0" fillId="0" borderId="0" xfId="0"/>
    <xf numFmtId="177" fontId="59" fillId="36" borderId="42" xfId="2" applyNumberFormat="1" applyFont="1" applyFill="1" applyBorder="1"/>
    <xf numFmtId="175" fontId="0" fillId="67" borderId="42" xfId="2" applyNumberFormat="1" applyFont="1" applyFill="1" applyBorder="1"/>
    <xf numFmtId="175" fontId="59" fillId="67" borderId="42" xfId="2" applyNumberFormat="1" applyFont="1" applyFill="1" applyBorder="1"/>
    <xf numFmtId="0" fontId="0" fillId="68" borderId="0" xfId="0" applyFill="1"/>
    <xf numFmtId="175" fontId="0" fillId="69" borderId="42" xfId="2" applyNumberFormat="1" applyFont="1" applyFill="1" applyBorder="1"/>
    <xf numFmtId="175" fontId="59" fillId="69" borderId="42" xfId="2" applyNumberFormat="1" applyFont="1" applyFill="1" applyBorder="1"/>
    <xf numFmtId="177" fontId="59" fillId="70" borderId="42" xfId="2" applyNumberFormat="1" applyFont="1" applyFill="1" applyBorder="1"/>
    <xf numFmtId="177" fontId="0" fillId="71" borderId="42" xfId="2" applyNumberFormat="1" applyFont="1" applyFill="1" applyBorder="1"/>
    <xf numFmtId="177" fontId="59" fillId="71" borderId="42" xfId="2" applyNumberFormat="1" applyFont="1" applyFill="1" applyBorder="1"/>
    <xf numFmtId="177" fontId="0" fillId="72" borderId="42" xfId="2" applyNumberFormat="1" applyFont="1" applyFill="1" applyBorder="1"/>
    <xf numFmtId="177" fontId="24" fillId="36" borderId="44" xfId="2" applyNumberFormat="1" applyFont="1" applyFill="1" applyBorder="1"/>
    <xf numFmtId="0" fontId="29" fillId="0" borderId="0" xfId="0" applyNumberFormat="1" applyFont="1"/>
    <xf numFmtId="178" fontId="0" fillId="5" borderId="0" xfId="2" applyNumberFormat="1" applyFont="1" applyFill="1" applyBorder="1" applyAlignment="1">
      <alignment horizontal="right" vertical="center"/>
    </xf>
    <xf numFmtId="178" fontId="0" fillId="5" borderId="26" xfId="2" applyNumberFormat="1" applyFont="1" applyFill="1" applyBorder="1" applyAlignment="1">
      <alignment horizontal="right" vertical="center"/>
    </xf>
    <xf numFmtId="177" fontId="0" fillId="6" borderId="123" xfId="0" applyNumberFormat="1" applyFill="1" applyBorder="1"/>
    <xf numFmtId="177" fontId="0" fillId="6" borderId="117" xfId="0" applyNumberFormat="1" applyFill="1" applyBorder="1"/>
    <xf numFmtId="177" fontId="0" fillId="6" borderId="124" xfId="0" applyNumberFormat="1" applyFill="1" applyBorder="1"/>
    <xf numFmtId="178" fontId="0" fillId="36" borderId="42" xfId="2" applyNumberFormat="1" applyFont="1" applyFill="1" applyBorder="1"/>
    <xf numFmtId="178" fontId="0" fillId="0" borderId="0" xfId="0" applyNumberFormat="1"/>
    <xf numFmtId="0" fontId="0" fillId="0" borderId="0" xfId="0"/>
    <xf numFmtId="0" fontId="96" fillId="22" borderId="43" xfId="0" applyFont="1" applyFill="1" applyBorder="1" applyAlignment="1">
      <alignment horizontal="left" vertical="center" indent="1"/>
    </xf>
    <xf numFmtId="174" fontId="29" fillId="22" borderId="0" xfId="2" applyFont="1" applyFill="1" applyBorder="1"/>
    <xf numFmtId="174" fontId="29" fillId="22" borderId="44" xfId="2" applyFont="1" applyFill="1" applyBorder="1"/>
    <xf numFmtId="174" fontId="24" fillId="22" borderId="0" xfId="2" applyFont="1" applyFill="1" applyBorder="1" applyAlignment="1">
      <alignment horizontal="right"/>
    </xf>
    <xf numFmtId="0" fontId="0" fillId="22" borderId="0" xfId="0" applyFont="1" applyFill="1" applyBorder="1"/>
    <xf numFmtId="0" fontId="0" fillId="23" borderId="36" xfId="0" applyFont="1" applyFill="1" applyBorder="1"/>
    <xf numFmtId="174" fontId="14" fillId="23" borderId="36" xfId="2" applyFont="1" applyFill="1" applyBorder="1"/>
    <xf numFmtId="0" fontId="0" fillId="22" borderId="33" xfId="0" applyFont="1" applyFill="1" applyBorder="1"/>
    <xf numFmtId="174" fontId="14" fillId="22" borderId="33" xfId="2" applyFont="1" applyFill="1" applyBorder="1"/>
    <xf numFmtId="174" fontId="14" fillId="22" borderId="0" xfId="2" applyFont="1" applyFill="1" applyBorder="1"/>
    <xf numFmtId="175" fontId="0" fillId="22" borderId="0" xfId="2" applyNumberFormat="1" applyFont="1" applyFill="1" applyBorder="1"/>
    <xf numFmtId="175" fontId="14" fillId="22" borderId="0" xfId="2" applyNumberFormat="1" applyFont="1" applyFill="1" applyBorder="1"/>
    <xf numFmtId="175" fontId="143" fillId="32" borderId="0" xfId="2" applyNumberFormat="1" applyFont="1" applyFill="1" applyBorder="1"/>
    <xf numFmtId="170" fontId="0" fillId="5" borderId="14" xfId="2" applyNumberFormat="1" applyFont="1" applyFill="1" applyBorder="1" applyAlignment="1">
      <alignment horizontal="right"/>
    </xf>
    <xf numFmtId="170" fontId="0" fillId="5" borderId="25" xfId="2" applyNumberFormat="1" applyFont="1" applyFill="1" applyBorder="1" applyAlignment="1">
      <alignment horizontal="right"/>
    </xf>
    <xf numFmtId="0" fontId="21" fillId="5" borderId="155" xfId="0" applyFont="1" applyFill="1" applyBorder="1" applyAlignment="1">
      <alignment vertical="center"/>
    </xf>
    <xf numFmtId="0" fontId="0" fillId="0" borderId="0" xfId="0"/>
    <xf numFmtId="179" fontId="32" fillId="14" borderId="0" xfId="1" applyNumberFormat="1" applyFont="1" applyFill="1" applyBorder="1" applyAlignment="1">
      <alignment vertical="center"/>
    </xf>
    <xf numFmtId="0" fontId="0" fillId="5" borderId="79" xfId="0" applyNumberFormat="1" applyFill="1" applyBorder="1" applyAlignment="1">
      <alignment horizontal="right" vertical="center"/>
    </xf>
    <xf numFmtId="1" fontId="21" fillId="5" borderId="155" xfId="0" applyNumberFormat="1" applyFont="1" applyFill="1" applyBorder="1" applyAlignment="1">
      <alignment horizontal="right" vertical="center"/>
    </xf>
    <xf numFmtId="167" fontId="13" fillId="5" borderId="14" xfId="2" applyNumberFormat="1" applyFont="1" applyFill="1" applyBorder="1" applyAlignment="1">
      <alignment horizontal="right" vertical="center"/>
    </xf>
    <xf numFmtId="167" fontId="13" fillId="5" borderId="25" xfId="2" applyNumberFormat="1" applyFont="1" applyFill="1" applyBorder="1" applyAlignment="1">
      <alignment horizontal="right" vertical="center"/>
    </xf>
    <xf numFmtId="1" fontId="0" fillId="5" borderId="5" xfId="0" applyNumberFormat="1" applyFill="1" applyBorder="1" applyAlignment="1">
      <alignment vertical="center"/>
    </xf>
    <xf numFmtId="0" fontId="24" fillId="0" borderId="0" xfId="0" applyFont="1" applyFill="1" applyBorder="1" applyAlignment="1"/>
    <xf numFmtId="173" fontId="13" fillId="5" borderId="0" xfId="793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/>
    <xf numFmtId="175" fontId="0" fillId="33" borderId="44" xfId="2" applyNumberFormat="1" applyFont="1" applyFill="1" applyBorder="1"/>
    <xf numFmtId="174" fontId="0" fillId="0" borderId="0" xfId="2" applyNumberFormat="1" applyFont="1" applyFill="1" applyBorder="1" applyAlignment="1">
      <alignment horizontal="right"/>
    </xf>
    <xf numFmtId="0" fontId="0" fillId="0" borderId="0" xfId="0"/>
    <xf numFmtId="0" fontId="17" fillId="11" borderId="41" xfId="0" applyFont="1" applyFill="1" applyBorder="1" applyAlignment="1">
      <alignment horizontal="left" vertical="center" indent="1"/>
    </xf>
    <xf numFmtId="0" fontId="0" fillId="11" borderId="28" xfId="0" applyFill="1" applyBorder="1"/>
    <xf numFmtId="174" fontId="13" fillId="0" borderId="0" xfId="2" applyFont="1" applyBorder="1" applyAlignment="1">
      <alignment horizontal="right"/>
    </xf>
    <xf numFmtId="174" fontId="32" fillId="0" borderId="0" xfId="0" applyNumberFormat="1" applyFont="1" applyFill="1" applyBorder="1" applyAlignment="1">
      <alignment horizontal="right"/>
    </xf>
    <xf numFmtId="170" fontId="32" fillId="0" borderId="0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0" fillId="0" borderId="0" xfId="0"/>
    <xf numFmtId="0" fontId="0" fillId="0" borderId="0" xfId="0"/>
    <xf numFmtId="1" fontId="0" fillId="0" borderId="0" xfId="2" applyNumberFormat="1" applyFont="1" applyAlignment="1">
      <alignment vertical="center"/>
    </xf>
    <xf numFmtId="0" fontId="17" fillId="8" borderId="41" xfId="0" applyFont="1" applyFill="1" applyBorder="1" applyAlignment="1">
      <alignment horizontal="left" vertical="center" indent="1"/>
    </xf>
    <xf numFmtId="0" fontId="0" fillId="8" borderId="28" xfId="0" applyFill="1" applyBorder="1" applyAlignment="1">
      <alignment vertical="center"/>
    </xf>
    <xf numFmtId="0" fontId="0" fillId="0" borderId="0" xfId="0" applyFill="1" applyBorder="1" applyAlignment="1">
      <alignment horizontal="justify" textRotation="180"/>
    </xf>
    <xf numFmtId="0" fontId="14" fillId="0" borderId="0" xfId="6" applyFont="1" applyBorder="1"/>
    <xf numFmtId="170" fontId="0" fillId="5" borderId="5" xfId="2" applyNumberFormat="1" applyFont="1" applyFill="1" applyBorder="1" applyAlignment="1"/>
    <xf numFmtId="0" fontId="14" fillId="26" borderId="1" xfId="0" applyFont="1" applyFill="1" applyBorder="1" applyAlignment="1">
      <alignment vertical="center"/>
    </xf>
    <xf numFmtId="175" fontId="14" fillId="26" borderId="1" xfId="2" applyNumberFormat="1" applyFont="1" applyFill="1" applyBorder="1" applyAlignment="1">
      <alignment vertical="center"/>
    </xf>
    <xf numFmtId="174" fontId="0" fillId="5" borderId="5" xfId="2" applyFont="1" applyFill="1" applyBorder="1"/>
    <xf numFmtId="0" fontId="14" fillId="5" borderId="1" xfId="6" applyFont="1" applyFill="1" applyBorder="1"/>
    <xf numFmtId="174" fontId="0" fillId="5" borderId="5" xfId="2" applyFont="1" applyFill="1" applyBorder="1" applyAlignment="1"/>
    <xf numFmtId="174" fontId="0" fillId="5" borderId="1" xfId="2" applyNumberFormat="1" applyFont="1" applyFill="1" applyBorder="1"/>
    <xf numFmtId="2" fontId="38" fillId="5" borderId="0" xfId="4" applyNumberFormat="1" applyFill="1" applyBorder="1"/>
    <xf numFmtId="2" fontId="38" fillId="5" borderId="1" xfId="4" applyNumberFormat="1" applyFill="1" applyBorder="1"/>
    <xf numFmtId="2" fontId="38" fillId="5" borderId="5" xfId="4" applyNumberFormat="1" applyFill="1" applyBorder="1"/>
    <xf numFmtId="2" fontId="14" fillId="5" borderId="1" xfId="6" applyNumberFormat="1" applyFont="1" applyFill="1" applyBorder="1"/>
    <xf numFmtId="2" fontId="14" fillId="5" borderId="5" xfId="6" applyNumberFormat="1" applyFont="1" applyFill="1" applyBorder="1"/>
    <xf numFmtId="2" fontId="14" fillId="5" borderId="0" xfId="6" applyNumberFormat="1" applyFont="1" applyFill="1" applyBorder="1"/>
    <xf numFmtId="0" fontId="0" fillId="0" borderId="0" xfId="0" applyFill="1" applyBorder="1" applyAlignment="1">
      <alignment horizontal="center" vertical="center" textRotation="90"/>
    </xf>
    <xf numFmtId="1" fontId="13" fillId="24" borderId="0" xfId="8" applyNumberFormat="1" applyFont="1" applyBorder="1"/>
    <xf numFmtId="0" fontId="0" fillId="5" borderId="5" xfId="0" applyFont="1" applyFill="1" applyBorder="1" applyAlignment="1">
      <alignment horizontal="center" vertical="center"/>
    </xf>
    <xf numFmtId="175" fontId="0" fillId="5" borderId="5" xfId="2" applyNumberFormat="1" applyFont="1" applyFill="1" applyBorder="1" applyAlignment="1">
      <alignment horizontal="center" vertical="center"/>
    </xf>
    <xf numFmtId="1" fontId="13" fillId="24" borderId="5" xfId="8" applyNumberFormat="1" applyFont="1" applyBorder="1"/>
    <xf numFmtId="0" fontId="0" fillId="5" borderId="1" xfId="0" quotePrefix="1" applyFill="1" applyBorder="1" applyAlignment="1">
      <alignment horizontal="center" vertical="center"/>
    </xf>
    <xf numFmtId="1" fontId="13" fillId="24" borderId="1" xfId="8" applyNumberFormat="1" applyFont="1" applyBorder="1"/>
    <xf numFmtId="0" fontId="13" fillId="5" borderId="18" xfId="0" applyNumberFormat="1" applyFont="1" applyFill="1" applyBorder="1" applyAlignment="1">
      <alignment horizontal="right" vertical="center"/>
    </xf>
    <xf numFmtId="175" fontId="0" fillId="5" borderId="4" xfId="2" applyNumberFormat="1" applyFont="1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0" fillId="0" borderId="0" xfId="0" applyFill="1" applyAlignment="1">
      <alignment textRotation="90"/>
    </xf>
    <xf numFmtId="0" fontId="0" fillId="0" borderId="0" xfId="0" applyFill="1" applyAlignment="1">
      <alignment horizontal="center" vertical="center" textRotation="90"/>
    </xf>
    <xf numFmtId="0" fontId="24" fillId="0" borderId="0" xfId="0" applyFont="1" applyFill="1" applyBorder="1" applyAlignment="1">
      <alignment horizontal="left"/>
    </xf>
    <xf numFmtId="170" fontId="0" fillId="0" borderId="0" xfId="1" applyNumberFormat="1" applyFont="1" applyFill="1" applyBorder="1" applyAlignment="1">
      <alignment vertical="center"/>
    </xf>
    <xf numFmtId="185" fontId="0" fillId="0" borderId="0" xfId="2" applyNumberFormat="1" applyFont="1" applyFill="1" applyBorder="1" applyAlignment="1">
      <alignment horizontal="center"/>
    </xf>
    <xf numFmtId="1" fontId="0" fillId="0" borderId="0" xfId="2" applyNumberFormat="1" applyFont="1" applyFill="1" applyBorder="1" applyAlignment="1">
      <alignment horizontal="right"/>
    </xf>
    <xf numFmtId="166" fontId="0" fillId="0" borderId="0" xfId="0" applyNumberFormat="1" applyFill="1" applyBorder="1" applyAlignment="1">
      <alignment vertical="center"/>
    </xf>
    <xf numFmtId="168" fontId="0" fillId="0" borderId="0" xfId="0" applyNumberFormat="1" applyFill="1" applyBorder="1" applyAlignment="1">
      <alignment vertical="center"/>
    </xf>
    <xf numFmtId="0" fontId="125" fillId="0" borderId="0" xfId="0" applyFont="1" applyFill="1" applyBorder="1"/>
    <xf numFmtId="0" fontId="125" fillId="0" borderId="0" xfId="0" quotePrefix="1" applyFont="1" applyFill="1" applyBorder="1"/>
    <xf numFmtId="183" fontId="0" fillId="0" borderId="0" xfId="0" applyNumberFormat="1" applyFill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2" fontId="0" fillId="0" borderId="0" xfId="0" applyNumberFormat="1" applyFill="1" applyBorder="1" applyAlignment="1">
      <alignment vertical="center"/>
    </xf>
    <xf numFmtId="168" fontId="0" fillId="0" borderId="0" xfId="0" applyNumberFormat="1" applyFill="1" applyBorder="1"/>
    <xf numFmtId="0" fontId="0" fillId="7" borderId="27" xfId="0" applyNumberFormat="1" applyFill="1" applyBorder="1" applyAlignment="1">
      <alignment horizontal="center" vertical="center"/>
    </xf>
    <xf numFmtId="0" fontId="0" fillId="7" borderId="44" xfId="0" applyNumberFormat="1" applyFill="1" applyBorder="1" applyAlignment="1">
      <alignment horizontal="center" vertical="center"/>
    </xf>
    <xf numFmtId="0" fontId="0" fillId="0" borderId="0" xfId="0"/>
    <xf numFmtId="0" fontId="24" fillId="0" borderId="143" xfId="0" applyFont="1" applyBorder="1" applyAlignment="1">
      <alignment horizontal="left"/>
    </xf>
    <xf numFmtId="0" fontId="24" fillId="0" borderId="4" xfId="0" applyFont="1" applyBorder="1" applyAlignment="1">
      <alignment horizontal="right"/>
    </xf>
    <xf numFmtId="0" fontId="24" fillId="0" borderId="143" xfId="0" applyFont="1" applyBorder="1" applyAlignment="1">
      <alignment horizontal="right"/>
    </xf>
    <xf numFmtId="0" fontId="24" fillId="0" borderId="144" xfId="0" applyFont="1" applyBorder="1" applyAlignment="1">
      <alignment horizontal="right"/>
    </xf>
    <xf numFmtId="0" fontId="0" fillId="0" borderId="70" xfId="0" applyFont="1" applyFill="1" applyBorder="1"/>
    <xf numFmtId="0" fontId="0" fillId="0" borderId="72" xfId="0" applyFont="1" applyFill="1" applyBorder="1"/>
    <xf numFmtId="9" fontId="0" fillId="0" borderId="68" xfId="0" applyNumberFormat="1" applyFill="1" applyBorder="1"/>
    <xf numFmtId="0" fontId="0" fillId="0" borderId="69" xfId="0" applyFill="1" applyBorder="1"/>
    <xf numFmtId="9" fontId="0" fillId="0" borderId="70" xfId="0" applyNumberFormat="1" applyFill="1" applyBorder="1"/>
    <xf numFmtId="0" fontId="0" fillId="0" borderId="0" xfId="0"/>
    <xf numFmtId="0" fontId="0" fillId="0" borderId="0" xfId="0"/>
    <xf numFmtId="0" fontId="0" fillId="7" borderId="0" xfId="0" applyFill="1" applyBorder="1" applyAlignment="1">
      <alignment horizontal="right" vertical="center"/>
    </xf>
    <xf numFmtId="174" fontId="24" fillId="2" borderId="0" xfId="2" applyFont="1" applyFill="1" applyBorder="1" applyAlignment="1">
      <alignment vertical="center"/>
    </xf>
    <xf numFmtId="0" fontId="145" fillId="7" borderId="0" xfId="0" applyFont="1" applyFill="1" applyBorder="1"/>
    <xf numFmtId="0" fontId="145" fillId="7" borderId="0" xfId="0" applyFont="1" applyFill="1" applyBorder="1" applyAlignment="1">
      <alignment horizontal="right" vertical="center"/>
    </xf>
    <xf numFmtId="174" fontId="146" fillId="7" borderId="0" xfId="4" applyNumberFormat="1" applyFont="1" applyFill="1" applyBorder="1"/>
    <xf numFmtId="174" fontId="145" fillId="7" borderId="0" xfId="2" applyFont="1" applyFill="1" applyBorder="1"/>
    <xf numFmtId="174" fontId="147" fillId="7" borderId="0" xfId="2" applyFont="1" applyFill="1" applyBorder="1" applyAlignment="1">
      <alignment vertical="center"/>
    </xf>
    <xf numFmtId="174" fontId="147" fillId="7" borderId="0" xfId="2" applyFont="1" applyFill="1" applyBorder="1"/>
    <xf numFmtId="174" fontId="148" fillId="7" borderId="0" xfId="2" applyFont="1" applyFill="1" applyBorder="1"/>
    <xf numFmtId="0" fontId="148" fillId="7" borderId="0" xfId="0" applyFont="1" applyFill="1" applyBorder="1"/>
    <xf numFmtId="174" fontId="147" fillId="7" borderId="28" xfId="2" applyFont="1" applyFill="1" applyBorder="1" applyAlignment="1">
      <alignment vertical="center"/>
    </xf>
    <xf numFmtId="174" fontId="147" fillId="0" borderId="0" xfId="2" applyFont="1" applyBorder="1" applyAlignment="1">
      <alignment vertical="center"/>
    </xf>
    <xf numFmtId="0" fontId="145" fillId="17" borderId="36" xfId="0" applyFont="1" applyFill="1" applyBorder="1"/>
    <xf numFmtId="0" fontId="145" fillId="2" borderId="33" xfId="0" applyFont="1" applyFill="1" applyBorder="1"/>
    <xf numFmtId="174" fontId="146" fillId="2" borderId="0" xfId="4" applyNumberFormat="1" applyFont="1" applyFill="1" applyBorder="1"/>
    <xf numFmtId="174" fontId="147" fillId="2" borderId="0" xfId="2" applyFont="1" applyFill="1" applyBorder="1" applyAlignment="1">
      <alignment vertical="center"/>
    </xf>
    <xf numFmtId="0" fontId="145" fillId="2" borderId="0" xfId="0" applyFont="1" applyFill="1" applyBorder="1"/>
    <xf numFmtId="0" fontId="148" fillId="2" borderId="0" xfId="0" applyFont="1" applyFill="1" applyBorder="1"/>
    <xf numFmtId="174" fontId="148" fillId="2" borderId="0" xfId="2" applyFont="1" applyFill="1" applyBorder="1" applyAlignment="1">
      <alignment vertical="center"/>
    </xf>
    <xf numFmtId="0" fontId="145" fillId="0" borderId="0" xfId="0" applyFont="1" applyFill="1" applyBorder="1"/>
    <xf numFmtId="174" fontId="145" fillId="0" borderId="0" xfId="2" applyFont="1" applyFill="1" applyBorder="1"/>
    <xf numFmtId="174" fontId="146" fillId="0" borderId="0" xfId="4" applyNumberFormat="1" applyFont="1" applyFill="1" applyBorder="1"/>
    <xf numFmtId="174" fontId="147" fillId="0" borderId="0" xfId="2" applyFont="1" applyFill="1" applyBorder="1" applyAlignment="1">
      <alignment vertical="center"/>
    </xf>
    <xf numFmtId="174" fontId="145" fillId="2" borderId="0" xfId="2" applyFont="1" applyFill="1" applyBorder="1"/>
    <xf numFmtId="174" fontId="145" fillId="2" borderId="0" xfId="4" applyNumberFormat="1" applyFont="1" applyFill="1" applyBorder="1"/>
    <xf numFmtId="174" fontId="147" fillId="2" borderId="0" xfId="2" applyFont="1" applyFill="1" applyBorder="1"/>
    <xf numFmtId="0" fontId="145" fillId="2" borderId="47" xfId="0" applyFont="1" applyFill="1" applyBorder="1"/>
    <xf numFmtId="0" fontId="145" fillId="2" borderId="0" xfId="4" applyNumberFormat="1" applyFont="1" applyFill="1" applyBorder="1"/>
    <xf numFmtId="0" fontId="147" fillId="2" borderId="9" xfId="0" applyFont="1" applyFill="1" applyBorder="1"/>
    <xf numFmtId="0" fontId="145" fillId="0" borderId="0" xfId="0" applyFont="1"/>
    <xf numFmtId="0" fontId="145" fillId="15" borderId="36" xfId="0" applyFont="1" applyFill="1" applyBorder="1"/>
    <xf numFmtId="0" fontId="145" fillId="14" borderId="0" xfId="0" applyFont="1" applyFill="1" applyBorder="1"/>
    <xf numFmtId="175" fontId="146" fillId="14" borderId="0" xfId="4" applyNumberFormat="1" applyFont="1" applyFill="1" applyBorder="1"/>
    <xf numFmtId="179" fontId="145" fillId="14" borderId="0" xfId="1" applyNumberFormat="1" applyFont="1" applyFill="1" applyBorder="1"/>
    <xf numFmtId="179" fontId="147" fillId="14" borderId="0" xfId="1" applyNumberFormat="1" applyFont="1" applyFill="1" applyBorder="1"/>
    <xf numFmtId="179" fontId="145" fillId="14" borderId="0" xfId="0" applyNumberFormat="1" applyFont="1" applyFill="1" applyBorder="1"/>
    <xf numFmtId="0" fontId="145" fillId="14" borderId="0" xfId="0" applyFont="1" applyFill="1" applyAlignment="1">
      <alignment vertical="center"/>
    </xf>
    <xf numFmtId="0" fontId="147" fillId="14" borderId="0" xfId="0" applyFont="1" applyFill="1" applyBorder="1" applyAlignment="1">
      <alignment horizontal="right" vertical="center"/>
    </xf>
    <xf numFmtId="0" fontId="145" fillId="14" borderId="0" xfId="0" applyFont="1" applyFill="1" applyBorder="1" applyAlignment="1">
      <alignment horizontal="right" vertical="center"/>
    </xf>
    <xf numFmtId="0" fontId="148" fillId="14" borderId="0" xfId="0" applyFont="1" applyFill="1" applyBorder="1"/>
    <xf numFmtId="175" fontId="145" fillId="14" borderId="0" xfId="2" applyNumberFormat="1" applyFont="1" applyFill="1" applyBorder="1"/>
    <xf numFmtId="175" fontId="145" fillId="14" borderId="0" xfId="0" applyNumberFormat="1" applyFont="1" applyFill="1" applyBorder="1"/>
    <xf numFmtId="175" fontId="147" fillId="14" borderId="0" xfId="0" applyNumberFormat="1" applyFont="1" applyFill="1" applyBorder="1"/>
    <xf numFmtId="175" fontId="148" fillId="14" borderId="0" xfId="2" applyNumberFormat="1" applyFont="1" applyFill="1" applyBorder="1"/>
    <xf numFmtId="0" fontId="145" fillId="14" borderId="0" xfId="0" applyFont="1" applyFill="1" applyBorder="1" applyAlignment="1">
      <alignment horizontal="center"/>
    </xf>
    <xf numFmtId="175" fontId="147" fillId="14" borderId="0" xfId="2" applyNumberFormat="1" applyFont="1" applyFill="1" applyBorder="1"/>
    <xf numFmtId="0" fontId="145" fillId="14" borderId="28" xfId="0" applyFont="1" applyFill="1" applyBorder="1"/>
    <xf numFmtId="0" fontId="145" fillId="14" borderId="0" xfId="0" applyFont="1" applyFill="1"/>
    <xf numFmtId="0" fontId="145" fillId="7" borderId="0" xfId="0" applyFont="1" applyFill="1" applyBorder="1" applyAlignment="1">
      <alignment horizontal="left" vertical="center"/>
    </xf>
    <xf numFmtId="174" fontId="149" fillId="7" borderId="0" xfId="4" applyNumberFormat="1" applyFont="1" applyFill="1" applyBorder="1"/>
    <xf numFmtId="0" fontId="146" fillId="7" borderId="0" xfId="4" applyNumberFormat="1" applyFont="1" applyFill="1" applyBorder="1"/>
    <xf numFmtId="0" fontId="0" fillId="0" borderId="0" xfId="0"/>
    <xf numFmtId="0" fontId="0" fillId="0" borderId="0" xfId="0"/>
    <xf numFmtId="173" fontId="0" fillId="5" borderId="16" xfId="0" applyNumberFormat="1" applyFill="1" applyBorder="1" applyAlignment="1">
      <alignment vertical="center"/>
    </xf>
    <xf numFmtId="0" fontId="21" fillId="5" borderId="156" xfId="0" applyNumberFormat="1" applyFont="1" applyFill="1" applyBorder="1" applyAlignment="1">
      <alignment horizontal="right" vertical="center"/>
    </xf>
    <xf numFmtId="0" fontId="24" fillId="5" borderId="157" xfId="0" applyFont="1" applyFill="1" applyBorder="1"/>
    <xf numFmtId="1" fontId="0" fillId="5" borderId="64" xfId="2" applyNumberFormat="1" applyFont="1" applyFill="1" applyBorder="1"/>
    <xf numFmtId="1" fontId="0" fillId="5" borderId="23" xfId="904" applyNumberFormat="1" applyFont="1" applyFill="1" applyBorder="1"/>
    <xf numFmtId="1" fontId="0" fillId="5" borderId="24" xfId="2" applyNumberFormat="1" applyFont="1" applyFill="1" applyBorder="1"/>
    <xf numFmtId="0" fontId="24" fillId="5" borderId="64" xfId="0" applyFont="1" applyFill="1" applyBorder="1"/>
    <xf numFmtId="170" fontId="147" fillId="2" borderId="9" xfId="0" applyNumberFormat="1" applyFont="1" applyFill="1" applyBorder="1"/>
    <xf numFmtId="0" fontId="24" fillId="10" borderId="27" xfId="0" applyFont="1" applyFill="1" applyBorder="1" applyAlignment="1">
      <alignment horizontal="left" textRotation="90"/>
    </xf>
    <xf numFmtId="0" fontId="50" fillId="73" borderId="27" xfId="0" applyFont="1" applyFill="1" applyBorder="1" applyAlignment="1">
      <alignment horizontal="center" vertical="center"/>
    </xf>
    <xf numFmtId="0" fontId="17" fillId="17" borderId="44" xfId="0" applyNumberFormat="1" applyFont="1" applyFill="1" applyBorder="1" applyAlignment="1">
      <alignment vertical="center" wrapText="1"/>
    </xf>
    <xf numFmtId="0" fontId="17" fillId="17" borderId="27" xfId="0" applyNumberFormat="1" applyFont="1" applyFill="1" applyBorder="1" applyAlignment="1">
      <alignment vertical="center" wrapText="1"/>
    </xf>
    <xf numFmtId="0" fontId="17" fillId="17" borderId="27" xfId="0" applyNumberFormat="1" applyFont="1" applyFill="1" applyBorder="1" applyAlignment="1">
      <alignment horizontal="center" vertical="center" wrapText="1"/>
    </xf>
    <xf numFmtId="0" fontId="144" fillId="74" borderId="27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center" vertical="center"/>
    </xf>
    <xf numFmtId="0" fontId="0" fillId="7" borderId="107" xfId="0" applyNumberFormat="1" applyFill="1" applyBorder="1" applyAlignment="1">
      <alignment horizontal="center" vertical="center"/>
    </xf>
    <xf numFmtId="0" fontId="17" fillId="17" borderId="107" xfId="0" applyNumberFormat="1" applyFont="1" applyFill="1" applyBorder="1" applyAlignment="1">
      <alignment vertical="center" wrapText="1"/>
    </xf>
    <xf numFmtId="0" fontId="0" fillId="7" borderId="107" xfId="0" applyNumberFormat="1" applyFont="1" applyFill="1" applyBorder="1" applyAlignment="1">
      <alignment horizontal="center" vertical="center"/>
    </xf>
    <xf numFmtId="0" fontId="16" fillId="2" borderId="33" xfId="0" applyFont="1" applyFill="1" applyBorder="1" applyAlignment="1">
      <alignment vertical="center"/>
    </xf>
    <xf numFmtId="0" fontId="60" fillId="0" borderId="0" xfId="0" applyFont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0" fillId="0" borderId="0" xfId="0"/>
    <xf numFmtId="1" fontId="0" fillId="5" borderId="9" xfId="0" applyNumberFormat="1" applyFill="1" applyBorder="1" applyAlignment="1">
      <alignment vertical="center"/>
    </xf>
    <xf numFmtId="1" fontId="0" fillId="5" borderId="1" xfId="0" applyNumberFormat="1" applyFill="1" applyBorder="1" applyAlignment="1">
      <alignment vertical="center"/>
    </xf>
    <xf numFmtId="0" fontId="0" fillId="0" borderId="0" xfId="0"/>
    <xf numFmtId="186" fontId="0" fillId="5" borderId="0" xfId="1" applyNumberFormat="1" applyFont="1" applyFill="1" applyBorder="1" applyAlignment="1">
      <alignment horizontal="right" vertical="center"/>
    </xf>
    <xf numFmtId="0" fontId="0" fillId="5" borderId="16" xfId="0" applyNumberFormat="1" applyFill="1" applyBorder="1" applyAlignment="1">
      <alignment horizontal="right" vertical="center"/>
    </xf>
    <xf numFmtId="9" fontId="32" fillId="5" borderId="0" xfId="1" applyNumberFormat="1" applyFont="1" applyFill="1" applyBorder="1" applyAlignment="1">
      <alignment horizontal="right" vertical="center"/>
    </xf>
    <xf numFmtId="9" fontId="32" fillId="5" borderId="0" xfId="1" applyNumberFormat="1" applyFont="1" applyFill="1" applyBorder="1" applyAlignment="1">
      <alignment vertical="center"/>
    </xf>
    <xf numFmtId="174" fontId="77" fillId="5" borderId="0" xfId="2" applyNumberFormat="1" applyFont="1" applyFill="1" applyBorder="1" applyAlignment="1">
      <alignment horizontal="right" vertical="center"/>
    </xf>
    <xf numFmtId="175" fontId="77" fillId="5" borderId="1" xfId="2" applyNumberFormat="1" applyFont="1" applyFill="1" applyBorder="1" applyAlignment="1">
      <alignment horizontal="right" vertical="center"/>
    </xf>
    <xf numFmtId="0" fontId="0" fillId="5" borderId="4" xfId="0" applyNumberFormat="1" applyFill="1" applyBorder="1" applyAlignment="1">
      <alignment horizontal="right" vertical="center"/>
    </xf>
    <xf numFmtId="2" fontId="13" fillId="5" borderId="5" xfId="2" applyNumberFormat="1" applyFont="1" applyFill="1" applyBorder="1" applyAlignment="1">
      <alignment horizontal="right"/>
    </xf>
    <xf numFmtId="0" fontId="0" fillId="0" borderId="0" xfId="0"/>
    <xf numFmtId="0" fontId="0" fillId="0" borderId="0" xfId="0"/>
    <xf numFmtId="0" fontId="0" fillId="19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vertical="center"/>
    </xf>
    <xf numFmtId="0" fontId="21" fillId="17" borderId="0" xfId="0" applyFont="1" applyFill="1" applyAlignment="1">
      <alignment vertical="center" wrapText="1"/>
    </xf>
    <xf numFmtId="0" fontId="24" fillId="17" borderId="0" xfId="0" applyFont="1" applyFill="1" applyAlignment="1">
      <alignment textRotation="90"/>
    </xf>
    <xf numFmtId="1" fontId="0" fillId="22" borderId="0" xfId="0" applyNumberFormat="1" applyFill="1"/>
    <xf numFmtId="0" fontId="36" fillId="22" borderId="0" xfId="6" applyFont="1" applyFill="1"/>
    <xf numFmtId="179" fontId="0" fillId="22" borderId="0" xfId="1" applyFont="1" applyFill="1"/>
    <xf numFmtId="175" fontId="37" fillId="22" borderId="0" xfId="2" applyNumberFormat="1" applyFont="1" applyFill="1"/>
    <xf numFmtId="175" fontId="37" fillId="22" borderId="0" xfId="2" applyNumberFormat="1" applyFont="1" applyFill="1" applyAlignment="1">
      <alignment horizontal="right"/>
    </xf>
    <xf numFmtId="0" fontId="0" fillId="22" borderId="0" xfId="0" applyFill="1" applyAlignment="1">
      <alignment horizontal="right"/>
    </xf>
    <xf numFmtId="175" fontId="35" fillId="22" borderId="0" xfId="2" applyNumberFormat="1" applyFont="1" applyFill="1" applyAlignment="1">
      <alignment horizontal="right"/>
    </xf>
    <xf numFmtId="174" fontId="0" fillId="22" borderId="0" xfId="2" applyFont="1" applyFill="1"/>
    <xf numFmtId="174" fontId="24" fillId="22" borderId="0" xfId="2" applyFont="1" applyFill="1"/>
    <xf numFmtId="178" fontId="35" fillId="22" borderId="0" xfId="2" applyNumberFormat="1" applyFont="1" applyFill="1"/>
    <xf numFmtId="0" fontId="53" fillId="22" borderId="44" xfId="0" applyFont="1" applyFill="1" applyBorder="1"/>
    <xf numFmtId="1" fontId="0" fillId="0" borderId="0" xfId="0" applyNumberFormat="1" applyAlignment="1">
      <alignment horizontal="right"/>
    </xf>
    <xf numFmtId="0" fontId="0" fillId="7" borderId="33" xfId="0" applyFill="1" applyBorder="1"/>
    <xf numFmtId="0" fontId="0" fillId="7" borderId="33" xfId="0" applyFill="1" applyBorder="1" applyAlignment="1">
      <alignment vertical="center"/>
    </xf>
    <xf numFmtId="175" fontId="38" fillId="7" borderId="0" xfId="4" applyNumberFormat="1" applyFill="1" applyBorder="1"/>
    <xf numFmtId="175" fontId="24" fillId="7" borderId="9" xfId="2" applyNumberFormat="1" applyFont="1" applyFill="1" applyBorder="1" applyAlignment="1">
      <alignment vertical="center"/>
    </xf>
    <xf numFmtId="0" fontId="32" fillId="7" borderId="0" xfId="4" applyNumberFormat="1" applyFont="1" applyFill="1" applyBorder="1"/>
    <xf numFmtId="175" fontId="32" fillId="7" borderId="0" xfId="4" applyNumberFormat="1" applyFont="1" applyFill="1" applyBorder="1"/>
    <xf numFmtId="0" fontId="14" fillId="7" borderId="0" xfId="0" applyFont="1" applyFill="1" applyBorder="1"/>
    <xf numFmtId="175" fontId="14" fillId="7" borderId="0" xfId="2" applyNumberFormat="1" applyFont="1" applyFill="1" applyBorder="1"/>
    <xf numFmtId="49" fontId="39" fillId="7" borderId="0" xfId="4" applyNumberFormat="1" applyFont="1" applyFill="1" applyBorder="1" applyAlignment="1">
      <alignment horizontal="right"/>
    </xf>
    <xf numFmtId="0" fontId="14" fillId="7" borderId="47" xfId="0" applyFont="1" applyFill="1" applyBorder="1" applyAlignment="1">
      <alignment horizontal="left" vertical="center"/>
    </xf>
    <xf numFmtId="0" fontId="52" fillId="7" borderId="0" xfId="4" applyNumberFormat="1" applyFont="1" applyFill="1" applyBorder="1"/>
    <xf numFmtId="0" fontId="96" fillId="7" borderId="43" xfId="0" applyFont="1" applyFill="1" applyBorder="1" applyAlignment="1">
      <alignment horizontal="left" vertical="center" indent="1"/>
    </xf>
    <xf numFmtId="174" fontId="24" fillId="7" borderId="0" xfId="2" applyFont="1" applyFill="1" applyBorder="1" applyAlignment="1">
      <alignment horizontal="right"/>
    </xf>
    <xf numFmtId="0" fontId="37" fillId="7" borderId="0" xfId="6" applyFont="1" applyFill="1"/>
    <xf numFmtId="0" fontId="37" fillId="7" borderId="0" xfId="6" applyNumberFormat="1" applyFont="1" applyFill="1"/>
    <xf numFmtId="0" fontId="35" fillId="7" borderId="0" xfId="6" applyFont="1" applyFill="1"/>
    <xf numFmtId="175" fontId="35" fillId="7" borderId="0" xfId="2" applyNumberFormat="1" applyFont="1" applyFill="1"/>
    <xf numFmtId="1" fontId="0" fillId="7" borderId="0" xfId="0" applyNumberFormat="1" applyFill="1"/>
    <xf numFmtId="0" fontId="0" fillId="7" borderId="0" xfId="0" applyFill="1"/>
    <xf numFmtId="0" fontId="150" fillId="0" borderId="0" xfId="0" applyFont="1"/>
    <xf numFmtId="179" fontId="59" fillId="5" borderId="0" xfId="1" applyFont="1" applyFill="1" applyBorder="1" applyAlignment="1">
      <alignment vertical="center"/>
    </xf>
    <xf numFmtId="179" fontId="59" fillId="5" borderId="0" xfId="1" applyFont="1" applyFill="1" applyBorder="1" applyAlignment="1">
      <alignment horizontal="right" vertical="center"/>
    </xf>
    <xf numFmtId="179" fontId="59" fillId="5" borderId="12" xfId="1" applyFont="1" applyFill="1" applyBorder="1" applyAlignment="1">
      <alignment horizontal="right" vertical="center"/>
    </xf>
    <xf numFmtId="179" fontId="59" fillId="5" borderId="12" xfId="1" applyFont="1" applyFill="1" applyBorder="1" applyAlignment="1">
      <alignment vertical="center"/>
    </xf>
    <xf numFmtId="0" fontId="21" fillId="5" borderId="23" xfId="0" applyNumberFormat="1" applyFont="1" applyFill="1" applyBorder="1" applyAlignment="1">
      <alignment horizontal="right" vertical="center"/>
    </xf>
    <xf numFmtId="174" fontId="153" fillId="7" borderId="0" xfId="0" applyNumberFormat="1" applyFont="1" applyFill="1" applyBorder="1" applyAlignment="1">
      <alignment vertical="center"/>
    </xf>
    <xf numFmtId="0" fontId="70" fillId="19" borderId="36" xfId="0" applyFont="1" applyFill="1" applyBorder="1" applyAlignment="1">
      <alignment vertical="center"/>
    </xf>
    <xf numFmtId="0" fontId="155" fillId="0" borderId="0" xfId="0" applyFont="1"/>
    <xf numFmtId="0" fontId="155" fillId="2" borderId="0" xfId="0" applyFont="1" applyFill="1"/>
    <xf numFmtId="0" fontId="155" fillId="2" borderId="0" xfId="0" applyFont="1" applyFill="1" applyAlignment="1">
      <alignment vertical="center"/>
    </xf>
    <xf numFmtId="0" fontId="154" fillId="2" borderId="0" xfId="0" applyFont="1" applyFill="1" applyBorder="1" applyAlignment="1">
      <alignment horizontal="right" vertical="center"/>
    </xf>
    <xf numFmtId="0" fontId="154" fillId="2" borderId="0" xfId="0" applyFont="1" applyFill="1" applyAlignment="1">
      <alignment vertical="center"/>
    </xf>
    <xf numFmtId="175" fontId="154" fillId="2" borderId="0" xfId="2" applyNumberFormat="1" applyFont="1" applyFill="1" applyAlignment="1">
      <alignment vertical="center"/>
    </xf>
    <xf numFmtId="0" fontId="157" fillId="0" borderId="0" xfId="6" applyFont="1"/>
    <xf numFmtId="0" fontId="156" fillId="2" borderId="0" xfId="0" applyFont="1" applyFill="1" applyBorder="1" applyAlignment="1">
      <alignment vertical="center"/>
    </xf>
    <xf numFmtId="0" fontId="156" fillId="2" borderId="0" xfId="0" applyFont="1" applyFill="1" applyAlignment="1">
      <alignment vertical="center"/>
    </xf>
    <xf numFmtId="0" fontId="156" fillId="0" borderId="0" xfId="0" applyFont="1" applyAlignment="1">
      <alignment vertical="center"/>
    </xf>
    <xf numFmtId="0" fontId="16" fillId="2" borderId="36" xfId="0" applyFont="1" applyFill="1" applyBorder="1" applyAlignment="1">
      <alignment vertical="center" wrapText="1"/>
    </xf>
    <xf numFmtId="0" fontId="70" fillId="2" borderId="0" xfId="0" applyFont="1" applyFill="1" applyAlignment="1">
      <alignment horizontal="right" vertical="center"/>
    </xf>
    <xf numFmtId="0" fontId="70" fillId="2" borderId="0" xfId="0" applyFont="1" applyFill="1" applyAlignment="1">
      <alignment vertical="center"/>
    </xf>
    <xf numFmtId="0" fontId="16" fillId="19" borderId="36" xfId="0" applyFont="1" applyFill="1" applyBorder="1" applyAlignment="1">
      <alignment vertical="center" wrapText="1"/>
    </xf>
    <xf numFmtId="0" fontId="0" fillId="7" borderId="0" xfId="0" applyFill="1" applyBorder="1" applyAlignment="1">
      <alignment vertical="center" wrapText="1"/>
    </xf>
    <xf numFmtId="0" fontId="0" fillId="7" borderId="1" xfId="0" applyFill="1" applyBorder="1" applyAlignment="1">
      <alignment vertical="center" wrapText="1"/>
    </xf>
    <xf numFmtId="10" fontId="32" fillId="5" borderId="16" xfId="1" applyNumberFormat="1" applyFont="1" applyFill="1" applyBorder="1" applyAlignment="1">
      <alignment horizontal="right" vertical="center"/>
    </xf>
    <xf numFmtId="179" fontId="158" fillId="5" borderId="0" xfId="1" applyFont="1" applyFill="1" applyBorder="1" applyAlignment="1">
      <alignment horizontal="right" vertical="center"/>
    </xf>
    <xf numFmtId="0" fontId="158" fillId="5" borderId="0" xfId="0" applyFont="1" applyFill="1" applyBorder="1"/>
    <xf numFmtId="0" fontId="59" fillId="5" borderId="0" xfId="0" applyFont="1" applyFill="1" applyBorder="1"/>
    <xf numFmtId="0" fontId="115" fillId="5" borderId="0" xfId="0" applyNumberFormat="1" applyFont="1" applyFill="1" applyBorder="1" applyAlignment="1">
      <alignment horizontal="right" vertical="center"/>
    </xf>
    <xf numFmtId="175" fontId="59" fillId="5" borderId="0" xfId="2" applyNumberFormat="1" applyFont="1" applyFill="1" applyBorder="1" applyAlignment="1">
      <alignment vertical="center"/>
    </xf>
    <xf numFmtId="175" fontId="59" fillId="5" borderId="0" xfId="2" applyNumberFormat="1" applyFont="1" applyFill="1" applyBorder="1" applyAlignment="1">
      <alignment horizontal="right" vertical="center"/>
    </xf>
    <xf numFmtId="10" fontId="32" fillId="5" borderId="0" xfId="1" applyNumberFormat="1" applyFont="1" applyFill="1" applyBorder="1" applyAlignment="1">
      <alignment vertical="center"/>
    </xf>
    <xf numFmtId="10" fontId="32" fillId="5" borderId="12" xfId="1" applyNumberFormat="1" applyFont="1" applyFill="1" applyBorder="1" applyAlignment="1">
      <alignment vertical="center"/>
    </xf>
    <xf numFmtId="186" fontId="21" fillId="5" borderId="14" xfId="1" applyNumberFormat="1" applyFont="1" applyFill="1" applyBorder="1" applyAlignment="1">
      <alignment horizontal="right" vertical="center"/>
    </xf>
    <xf numFmtId="186" fontId="21" fillId="5" borderId="0" xfId="1" applyNumberFormat="1" applyFont="1" applyFill="1" applyBorder="1" applyAlignment="1">
      <alignment horizontal="right" vertical="center"/>
    </xf>
    <xf numFmtId="10" fontId="71" fillId="5" borderId="0" xfId="1" applyNumberFormat="1" applyFont="1" applyFill="1" applyBorder="1" applyAlignment="1">
      <alignment vertical="center"/>
    </xf>
    <xf numFmtId="10" fontId="71" fillId="5" borderId="16" xfId="1" applyNumberFormat="1" applyFont="1" applyFill="1" applyBorder="1" applyAlignment="1">
      <alignment vertical="center"/>
    </xf>
    <xf numFmtId="10" fontId="32" fillId="5" borderId="17" xfId="1" applyNumberFormat="1" applyFont="1" applyFill="1" applyBorder="1" applyAlignment="1">
      <alignment horizontal="right" vertical="center"/>
    </xf>
    <xf numFmtId="186" fontId="32" fillId="5" borderId="16" xfId="1" applyNumberFormat="1" applyFont="1" applyFill="1" applyBorder="1" applyAlignment="1">
      <alignment horizontal="right" vertical="center"/>
    </xf>
    <xf numFmtId="175" fontId="32" fillId="5" borderId="1" xfId="2" applyNumberFormat="1" applyFont="1" applyFill="1" applyBorder="1" applyAlignment="1">
      <alignment horizontal="right" vertical="center"/>
    </xf>
    <xf numFmtId="179" fontId="39" fillId="5" borderId="0" xfId="1" applyFont="1" applyFill="1" applyBorder="1" applyAlignment="1">
      <alignment vertical="center"/>
    </xf>
    <xf numFmtId="179" fontId="39" fillId="5" borderId="0" xfId="1" applyFont="1" applyFill="1" applyBorder="1" applyAlignment="1">
      <alignment horizontal="right" vertical="center"/>
    </xf>
    <xf numFmtId="0" fontId="39" fillId="5" borderId="43" xfId="0" applyFont="1" applyFill="1" applyBorder="1"/>
    <xf numFmtId="0" fontId="39" fillId="5" borderId="0" xfId="0" applyFont="1" applyFill="1" applyBorder="1"/>
    <xf numFmtId="0" fontId="70" fillId="5" borderId="43" xfId="0" applyFont="1" applyFill="1" applyBorder="1"/>
    <xf numFmtId="0" fontId="114" fillId="5" borderId="13" xfId="0" applyNumberFormat="1" applyFont="1" applyFill="1" applyBorder="1" applyAlignment="1">
      <alignment horizontal="right" vertical="center"/>
    </xf>
    <xf numFmtId="0" fontId="32" fillId="5" borderId="12" xfId="0" applyNumberFormat="1" applyFont="1" applyFill="1" applyBorder="1" applyAlignment="1">
      <alignment vertical="center"/>
    </xf>
    <xf numFmtId="0" fontId="32" fillId="5" borderId="12" xfId="0" applyFont="1" applyFill="1" applyBorder="1" applyAlignment="1">
      <alignment vertical="center"/>
    </xf>
    <xf numFmtId="177" fontId="32" fillId="5" borderId="12" xfId="2" applyNumberFormat="1" applyFont="1" applyFill="1" applyBorder="1" applyAlignment="1">
      <alignment vertical="center"/>
    </xf>
    <xf numFmtId="177" fontId="32" fillId="5" borderId="20" xfId="2" applyNumberFormat="1" applyFont="1" applyFill="1" applyBorder="1" applyAlignment="1">
      <alignment horizontal="right" vertical="center"/>
    </xf>
    <xf numFmtId="0" fontId="155" fillId="5" borderId="0" xfId="0" applyFont="1" applyFill="1" applyBorder="1" applyAlignment="1">
      <alignment horizontal="right"/>
    </xf>
    <xf numFmtId="0" fontId="159" fillId="5" borderId="0" xfId="231" applyFont="1" applyFill="1" applyBorder="1" applyAlignment="1" applyProtection="1"/>
    <xf numFmtId="0" fontId="155" fillId="5" borderId="0" xfId="0" applyFont="1" applyFill="1" applyBorder="1"/>
    <xf numFmtId="189" fontId="72" fillId="5" borderId="14" xfId="2" applyNumberFormat="1" applyFont="1" applyFill="1" applyBorder="1" applyAlignment="1">
      <alignment vertical="center"/>
    </xf>
    <xf numFmtId="189" fontId="72" fillId="5" borderId="0" xfId="2" applyNumberFormat="1" applyFont="1" applyFill="1" applyBorder="1" applyAlignment="1">
      <alignment vertical="center"/>
    </xf>
    <xf numFmtId="189" fontId="72" fillId="5" borderId="14" xfId="2" applyNumberFormat="1" applyFont="1" applyFill="1" applyBorder="1" applyAlignment="1">
      <alignment horizontal="right" vertical="center"/>
    </xf>
    <xf numFmtId="189" fontId="72" fillId="5" borderId="0" xfId="2" applyNumberFormat="1" applyFont="1" applyFill="1" applyBorder="1" applyAlignment="1">
      <alignment horizontal="right" vertical="center"/>
    </xf>
    <xf numFmtId="189" fontId="72" fillId="5" borderId="15" xfId="2" applyNumberFormat="1" applyFont="1" applyFill="1" applyBorder="1" applyAlignment="1">
      <alignment horizontal="right" vertical="center"/>
    </xf>
    <xf numFmtId="189" fontId="72" fillId="5" borderId="12" xfId="2" applyNumberFormat="1" applyFont="1" applyFill="1" applyBorder="1" applyAlignment="1">
      <alignment horizontal="right" vertical="center"/>
    </xf>
    <xf numFmtId="176" fontId="21" fillId="0" borderId="0" xfId="2" applyNumberFormat="1" applyFont="1" applyAlignment="1">
      <alignment horizontal="right"/>
    </xf>
    <xf numFmtId="174" fontId="160" fillId="7" borderId="0" xfId="0" applyNumberFormat="1" applyFont="1" applyFill="1" applyBorder="1" applyAlignment="1">
      <alignment vertical="center"/>
    </xf>
    <xf numFmtId="0" fontId="160" fillId="0" borderId="0" xfId="0" applyFont="1" applyAlignment="1">
      <alignment vertical="center"/>
    </xf>
    <xf numFmtId="0" fontId="160" fillId="0" borderId="0" xfId="0" applyFont="1"/>
    <xf numFmtId="0" fontId="160" fillId="0" borderId="0" xfId="0" applyFont="1" applyAlignment="1">
      <alignment horizontal="left" vertical="center" wrapText="1"/>
    </xf>
    <xf numFmtId="174" fontId="160" fillId="7" borderId="0" xfId="2" applyFont="1" applyFill="1" applyBorder="1" applyAlignment="1">
      <alignment vertical="center"/>
    </xf>
    <xf numFmtId="0" fontId="0" fillId="6" borderId="0" xfId="0" applyFill="1" applyBorder="1" applyAlignment="1">
      <alignment vertical="center"/>
    </xf>
    <xf numFmtId="174" fontId="0" fillId="6" borderId="0" xfId="2" applyFont="1" applyFill="1" applyBorder="1" applyAlignment="1">
      <alignment vertical="center"/>
    </xf>
    <xf numFmtId="174" fontId="160" fillId="6" borderId="0" xfId="0" applyNumberFormat="1" applyFont="1" applyFill="1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6" borderId="0" xfId="0" applyFill="1" applyBorder="1" applyAlignment="1">
      <alignment vertical="center"/>
    </xf>
    <xf numFmtId="174" fontId="0" fillId="6" borderId="0" xfId="2" applyFont="1" applyFill="1" applyBorder="1" applyAlignment="1">
      <alignment vertical="center"/>
    </xf>
    <xf numFmtId="174" fontId="160" fillId="6" borderId="0" xfId="0" applyNumberFormat="1" applyFont="1" applyFill="1" applyBorder="1" applyAlignment="1">
      <alignment vertical="center"/>
    </xf>
    <xf numFmtId="174" fontId="160" fillId="34" borderId="0" xfId="0" applyNumberFormat="1" applyFont="1" applyFill="1" applyBorder="1" applyAlignment="1">
      <alignment vertical="center"/>
    </xf>
    <xf numFmtId="0" fontId="0" fillId="0" borderId="0" xfId="0"/>
    <xf numFmtId="174" fontId="0" fillId="0" borderId="0" xfId="0" applyNumberFormat="1"/>
    <xf numFmtId="175" fontId="0" fillId="26" borderId="0" xfId="2" applyNumberFormat="1" applyFont="1" applyFill="1" applyBorder="1" applyAlignment="1">
      <alignment vertical="center"/>
    </xf>
    <xf numFmtId="0" fontId="0" fillId="34" borderId="0" xfId="0" applyFill="1" applyBorder="1" applyAlignment="1">
      <alignment vertical="center"/>
    </xf>
    <xf numFmtId="174" fontId="0" fillId="34" borderId="0" xfId="2" applyFont="1" applyFill="1" applyBorder="1" applyAlignment="1">
      <alignment vertical="center"/>
    </xf>
    <xf numFmtId="0" fontId="21" fillId="5" borderId="19" xfId="0" applyFont="1" applyFill="1" applyBorder="1" applyAlignment="1">
      <alignment horizontal="right" vertical="center"/>
    </xf>
    <xf numFmtId="0" fontId="21" fillId="5" borderId="18" xfId="0" applyFont="1" applyFill="1" applyBorder="1" applyAlignment="1">
      <alignment horizontal="right" vertical="center"/>
    </xf>
    <xf numFmtId="179" fontId="0" fillId="5" borderId="65" xfId="1" applyFont="1" applyFill="1" applyBorder="1" applyAlignment="1">
      <alignment vertical="center"/>
    </xf>
    <xf numFmtId="0" fontId="2" fillId="24" borderId="0" xfId="1313" applyFont="1" applyBorder="1" applyAlignment="1">
      <alignment horizontal="left" vertical="center" indent="1"/>
    </xf>
    <xf numFmtId="0" fontId="14" fillId="24" borderId="0" xfId="1313" applyFont="1" applyBorder="1" applyAlignment="1">
      <alignment vertical="center"/>
    </xf>
    <xf numFmtId="0" fontId="2" fillId="24" borderId="0" xfId="1313" applyFont="1" applyBorder="1" applyAlignment="1">
      <alignment vertical="center"/>
    </xf>
    <xf numFmtId="0" fontId="13" fillId="24" borderId="0" xfId="1313" applyFont="1" applyBorder="1" applyAlignment="1">
      <alignment horizontal="left" vertical="center" indent="1"/>
    </xf>
    <xf numFmtId="0" fontId="2" fillId="24" borderId="0" xfId="1313" applyFont="1" applyBorder="1"/>
    <xf numFmtId="43" fontId="0" fillId="0" borderId="0" xfId="0" applyNumberFormat="1"/>
    <xf numFmtId="190" fontId="0" fillId="0" borderId="0" xfId="0" applyNumberFormat="1"/>
    <xf numFmtId="191" fontId="0" fillId="5" borderId="0" xfId="2" applyNumberFormat="1" applyFont="1" applyFill="1" applyBorder="1" applyAlignment="1">
      <alignment vertical="center"/>
    </xf>
    <xf numFmtId="191" fontId="0" fillId="5" borderId="0" xfId="2" applyNumberFormat="1" applyFont="1" applyFill="1" applyBorder="1" applyAlignment="1">
      <alignment horizontal="right" vertical="center"/>
    </xf>
    <xf numFmtId="191" fontId="0" fillId="5" borderId="12" xfId="2" applyNumberFormat="1" applyFont="1" applyFill="1" applyBorder="1" applyAlignment="1">
      <alignment horizontal="right" vertical="center"/>
    </xf>
    <xf numFmtId="191" fontId="0" fillId="5" borderId="79" xfId="2" applyNumberFormat="1" applyFont="1" applyFill="1" applyBorder="1" applyAlignment="1">
      <alignment vertical="center"/>
    </xf>
    <xf numFmtId="191" fontId="0" fillId="5" borderId="80" xfId="2" applyNumberFormat="1" applyFont="1" applyFill="1" applyBorder="1" applyAlignment="1">
      <alignment vertical="center"/>
    </xf>
    <xf numFmtId="191" fontId="0" fillId="5" borderId="79" xfId="2" applyNumberFormat="1" applyFont="1" applyFill="1" applyBorder="1" applyAlignment="1">
      <alignment horizontal="right" vertical="center"/>
    </xf>
    <xf numFmtId="0" fontId="14" fillId="24" borderId="0" xfId="1313" applyFont="1" applyBorder="1" applyAlignment="1">
      <alignment horizontal="left" vertical="center" indent="1"/>
    </xf>
    <xf numFmtId="0" fontId="24" fillId="24" borderId="0" xfId="1313" applyFont="1" applyBorder="1" applyAlignment="1">
      <alignment vertical="center"/>
    </xf>
    <xf numFmtId="0" fontId="14" fillId="5" borderId="0" xfId="1313" applyFont="1" applyFill="1" applyBorder="1" applyAlignment="1">
      <alignment vertical="center"/>
    </xf>
    <xf numFmtId="0" fontId="0" fillId="5" borderId="158" xfId="0" applyFill="1" applyBorder="1"/>
    <xf numFmtId="0" fontId="0" fillId="5" borderId="68" xfId="0" applyFill="1" applyBorder="1"/>
    <xf numFmtId="0" fontId="0" fillId="5" borderId="76" xfId="0" applyFill="1" applyBorder="1"/>
    <xf numFmtId="179" fontId="0" fillId="5" borderId="159" xfId="1" applyFont="1" applyFill="1" applyBorder="1" applyAlignment="1">
      <alignment vertical="center"/>
    </xf>
    <xf numFmtId="175" fontId="13" fillId="20" borderId="0" xfId="2" applyNumberFormat="1" applyFont="1" applyFill="1" applyBorder="1" applyAlignment="1">
      <alignment horizontal="right" vertical="center"/>
    </xf>
    <xf numFmtId="0" fontId="0" fillId="20" borderId="0" xfId="0" applyFill="1" applyBorder="1" applyAlignment="1">
      <alignment horizontal="left"/>
    </xf>
    <xf numFmtId="175" fontId="0" fillId="20" borderId="1" xfId="2" applyNumberFormat="1" applyFont="1" applyFill="1" applyBorder="1" applyAlignment="1">
      <alignment vertical="center"/>
    </xf>
    <xf numFmtId="0" fontId="0" fillId="20" borderId="1" xfId="0" applyFill="1" applyBorder="1" applyAlignment="1">
      <alignment horizontal="left"/>
    </xf>
    <xf numFmtId="0" fontId="24" fillId="0" borderId="0" xfId="1313" applyFont="1" applyFill="1" applyBorder="1" applyAlignment="1">
      <alignment vertical="center"/>
    </xf>
    <xf numFmtId="0" fontId="14" fillId="0" borderId="0" xfId="1313" applyFont="1" applyFill="1" applyBorder="1"/>
    <xf numFmtId="175" fontId="14" fillId="0" borderId="0" xfId="1313" applyNumberFormat="1" applyFont="1" applyFill="1" applyBorder="1"/>
    <xf numFmtId="0" fontId="14" fillId="0" borderId="0" xfId="1313" applyFont="1" applyFill="1"/>
    <xf numFmtId="0" fontId="2" fillId="0" borderId="0" xfId="1313" applyFont="1" applyFill="1"/>
    <xf numFmtId="179" fontId="0" fillId="5" borderId="4" xfId="1" applyFont="1" applyFill="1" applyBorder="1" applyAlignment="1">
      <alignment horizontal="right" vertical="center"/>
    </xf>
    <xf numFmtId="2" fontId="0" fillId="5" borderId="0" xfId="0" applyNumberFormat="1" applyFill="1" applyBorder="1" applyAlignment="1">
      <alignment vertical="center"/>
    </xf>
    <xf numFmtId="1" fontId="21" fillId="5" borderId="79" xfId="0" applyNumberFormat="1" applyFont="1" applyFill="1" applyBorder="1" applyAlignment="1">
      <alignment horizontal="right" vertical="center"/>
    </xf>
    <xf numFmtId="177" fontId="0" fillId="5" borderId="4" xfId="2" applyNumberFormat="1" applyFont="1" applyFill="1" applyBorder="1" applyAlignment="1">
      <alignment vertical="center"/>
    </xf>
    <xf numFmtId="0" fontId="21" fillId="5" borderId="79" xfId="0" applyFont="1" applyFill="1" applyBorder="1" applyAlignment="1">
      <alignment vertical="center"/>
    </xf>
    <xf numFmtId="174" fontId="0" fillId="5" borderId="4" xfId="2" applyNumberFormat="1" applyFont="1" applyFill="1" applyBorder="1" applyAlignment="1">
      <alignment vertical="center"/>
    </xf>
    <xf numFmtId="178" fontId="0" fillId="0" borderId="0" xfId="2" applyNumberFormat="1" applyFont="1" applyAlignment="1">
      <alignment vertical="center"/>
    </xf>
    <xf numFmtId="178" fontId="24" fillId="0" borderId="0" xfId="2" applyNumberFormat="1" applyFont="1" applyAlignment="1">
      <alignment vertical="center"/>
    </xf>
    <xf numFmtId="175" fontId="59" fillId="0" borderId="0" xfId="2" applyNumberFormat="1" applyFont="1"/>
    <xf numFmtId="175" fontId="14" fillId="0" borderId="0" xfId="2" applyNumberFormat="1" applyFont="1" applyFill="1"/>
    <xf numFmtId="174" fontId="14" fillId="0" borderId="0" xfId="2" applyNumberFormat="1" applyFont="1" applyFill="1"/>
    <xf numFmtId="0" fontId="158" fillId="0" borderId="0" xfId="0" applyFont="1"/>
    <xf numFmtId="0" fontId="161" fillId="0" borderId="0" xfId="0" applyFont="1" applyBorder="1" applyAlignment="1">
      <alignment vertical="center"/>
    </xf>
    <xf numFmtId="174" fontId="59" fillId="0" borderId="0" xfId="2" applyFont="1"/>
    <xf numFmtId="0" fontId="59" fillId="0" borderId="0" xfId="0" applyFont="1" applyFill="1"/>
    <xf numFmtId="175" fontId="59" fillId="0" borderId="0" xfId="2" applyNumberFormat="1" applyFont="1" applyFill="1"/>
    <xf numFmtId="174" fontId="59" fillId="0" borderId="0" xfId="2" applyNumberFormat="1" applyFont="1"/>
    <xf numFmtId="0" fontId="59" fillId="5" borderId="0" xfId="0" applyNumberFormat="1" applyFont="1" applyFill="1" applyBorder="1"/>
    <xf numFmtId="0" fontId="59" fillId="5" borderId="0" xfId="0" applyFont="1" applyFill="1" applyBorder="1" applyAlignment="1">
      <alignment horizontal="right"/>
    </xf>
    <xf numFmtId="0" fontId="0" fillId="20" borderId="0" xfId="0" applyFill="1" applyBorder="1"/>
    <xf numFmtId="0" fontId="0" fillId="20" borderId="0" xfId="0" applyNumberFormat="1" applyFill="1" applyBorder="1"/>
    <xf numFmtId="0" fontId="0" fillId="20" borderId="0" xfId="0" applyFill="1" applyBorder="1" applyAlignment="1">
      <alignment horizontal="right"/>
    </xf>
    <xf numFmtId="0" fontId="13" fillId="20" borderId="0" xfId="0" applyFont="1" applyFill="1" applyBorder="1" applyAlignment="1">
      <alignment vertical="center"/>
    </xf>
    <xf numFmtId="0" fontId="0" fillId="20" borderId="0" xfId="0" applyFill="1" applyBorder="1" applyAlignment="1">
      <alignment horizontal="right" vertical="center"/>
    </xf>
    <xf numFmtId="0" fontId="29" fillId="0" borderId="0" xfId="0" applyFont="1" applyFill="1"/>
    <xf numFmtId="0" fontId="29" fillId="0" borderId="0" xfId="0" applyFont="1" applyFill="1" applyAlignment="1">
      <alignment horizontal="right"/>
    </xf>
    <xf numFmtId="174" fontId="29" fillId="0" borderId="0" xfId="2" applyFont="1" applyFill="1"/>
    <xf numFmtId="39" fontId="0" fillId="0" borderId="0" xfId="0" applyNumberFormat="1"/>
    <xf numFmtId="0" fontId="24" fillId="5" borderId="16" xfId="0" applyFont="1" applyFill="1" applyBorder="1" applyAlignment="1">
      <alignment vertical="center"/>
    </xf>
    <xf numFmtId="9" fontId="0" fillId="5" borderId="16" xfId="0" applyNumberFormat="1" applyFill="1" applyBorder="1"/>
    <xf numFmtId="0" fontId="0" fillId="5" borderId="16" xfId="0" applyFont="1" applyFill="1" applyBorder="1" applyAlignment="1">
      <alignment vertical="center"/>
    </xf>
    <xf numFmtId="0" fontId="21" fillId="5" borderId="80" xfId="0" applyFont="1" applyFill="1" applyBorder="1" applyAlignment="1">
      <alignment horizontal="right" vertical="center"/>
    </xf>
    <xf numFmtId="0" fontId="21" fillId="5" borderId="79" xfId="0" applyFont="1" applyFill="1" applyBorder="1" applyAlignment="1">
      <alignment horizontal="right" vertical="center"/>
    </xf>
    <xf numFmtId="0" fontId="0" fillId="5" borderId="16" xfId="0" applyNumberFormat="1" applyFont="1" applyFill="1" applyBorder="1" applyAlignment="1">
      <alignment vertical="center"/>
    </xf>
    <xf numFmtId="192" fontId="0" fillId="5" borderId="1" xfId="2" applyNumberFormat="1" applyFont="1" applyFill="1" applyBorder="1" applyAlignment="1">
      <alignment vertical="center"/>
    </xf>
    <xf numFmtId="0" fontId="59" fillId="5" borderId="1" xfId="0" applyFont="1" applyFill="1" applyBorder="1" applyAlignment="1">
      <alignment vertical="center"/>
    </xf>
    <xf numFmtId="178" fontId="32" fillId="5" borderId="16" xfId="2" applyNumberFormat="1" applyFont="1" applyFill="1" applyBorder="1" applyAlignment="1">
      <alignment horizontal="right" vertical="center"/>
    </xf>
    <xf numFmtId="178" fontId="32" fillId="5" borderId="17" xfId="2" applyNumberFormat="1" applyFont="1" applyFill="1" applyBorder="1" applyAlignment="1">
      <alignment horizontal="right" vertical="center"/>
    </xf>
    <xf numFmtId="178" fontId="32" fillId="5" borderId="16" xfId="0" applyNumberFormat="1" applyFont="1" applyFill="1" applyBorder="1" applyAlignment="1">
      <alignment horizontal="right" vertical="center"/>
    </xf>
    <xf numFmtId="0" fontId="32" fillId="5" borderId="4" xfId="0" applyFont="1" applyFill="1" applyBorder="1" applyAlignment="1">
      <alignment vertical="center"/>
    </xf>
    <xf numFmtId="174" fontId="29" fillId="0" borderId="0" xfId="2" applyFont="1" applyAlignment="1">
      <alignment vertical="center"/>
    </xf>
    <xf numFmtId="179" fontId="24" fillId="0" borderId="0" xfId="1" applyFont="1" applyBorder="1" applyAlignment="1">
      <alignment vertical="center"/>
    </xf>
    <xf numFmtId="174" fontId="0" fillId="0" borderId="0" xfId="0" applyNumberFormat="1" applyBorder="1" applyAlignment="1">
      <alignment vertical="center"/>
    </xf>
    <xf numFmtId="175" fontId="29" fillId="0" borderId="0" xfId="2" applyNumberFormat="1" applyFont="1" applyAlignment="1">
      <alignment vertical="center"/>
    </xf>
    <xf numFmtId="175" fontId="24" fillId="0" borderId="0" xfId="2" applyNumberFormat="1" applyFont="1" applyAlignment="1">
      <alignment vertical="center"/>
    </xf>
    <xf numFmtId="175" fontId="24" fillId="0" borderId="5" xfId="2" applyNumberFormat="1" applyFont="1" applyBorder="1" applyAlignment="1">
      <alignment vertical="center"/>
    </xf>
    <xf numFmtId="175" fontId="24" fillId="0" borderId="0" xfId="2" applyNumberFormat="1" applyFont="1" applyBorder="1" applyAlignment="1">
      <alignment vertical="center"/>
    </xf>
    <xf numFmtId="1" fontId="0" fillId="0" borderId="4" xfId="0" applyNumberFormat="1" applyBorder="1"/>
    <xf numFmtId="193" fontId="0" fillId="7" borderId="28" xfId="0" applyNumberFormat="1" applyFill="1" applyBorder="1"/>
    <xf numFmtId="179" fontId="0" fillId="5" borderId="4" xfId="1" applyFont="1" applyFill="1" applyBorder="1" applyAlignment="1">
      <alignment vertical="center"/>
    </xf>
    <xf numFmtId="182" fontId="0" fillId="5" borderId="1" xfId="2" applyNumberFormat="1" applyFont="1" applyFill="1" applyBorder="1" applyAlignment="1">
      <alignment horizontal="right" vertical="center"/>
    </xf>
    <xf numFmtId="178" fontId="32" fillId="5" borderId="14" xfId="2" applyNumberFormat="1" applyFont="1" applyFill="1" applyBorder="1" applyAlignment="1">
      <alignment horizontal="right" vertical="center"/>
    </xf>
    <xf numFmtId="0" fontId="0" fillId="0" borderId="4" xfId="0" applyBorder="1" applyAlignment="1">
      <alignment vertical="center"/>
    </xf>
    <xf numFmtId="0" fontId="70" fillId="2" borderId="36" xfId="0" applyFont="1" applyFill="1" applyBorder="1" applyAlignment="1">
      <alignment vertical="center"/>
    </xf>
    <xf numFmtId="177" fontId="0" fillId="20" borderId="16" xfId="2" applyNumberFormat="1" applyFont="1" applyFill="1" applyBorder="1" applyAlignment="1">
      <alignment vertical="center"/>
    </xf>
    <xf numFmtId="0" fontId="0" fillId="5" borderId="16" xfId="0" applyFill="1" applyBorder="1"/>
    <xf numFmtId="0" fontId="24" fillId="5" borderId="1" xfId="0" applyNumberFormat="1" applyFont="1" applyFill="1" applyBorder="1" applyAlignment="1">
      <alignment vertical="center"/>
    </xf>
    <xf numFmtId="175" fontId="0" fillId="5" borderId="4" xfId="2" applyNumberFormat="1" applyFont="1" applyFill="1" applyBorder="1" applyAlignment="1">
      <alignment horizontal="right" vertical="center"/>
    </xf>
    <xf numFmtId="0" fontId="16" fillId="0" borderId="0" xfId="0" applyFont="1" applyAlignment="1">
      <alignment vertical="center" wrapText="1"/>
    </xf>
    <xf numFmtId="0" fontId="32" fillId="0" borderId="0" xfId="0" applyFont="1" applyFill="1" applyBorder="1" applyAlignment="1">
      <alignment horizontal="left" vertical="center"/>
    </xf>
    <xf numFmtId="0" fontId="39" fillId="32" borderId="0" xfId="0" applyFont="1" applyFill="1" applyAlignment="1">
      <alignment horizontal="center" textRotation="90"/>
    </xf>
    <xf numFmtId="0" fontId="32" fillId="32" borderId="0" xfId="0" applyFont="1" applyFill="1" applyBorder="1" applyAlignment="1">
      <alignment vertical="center"/>
    </xf>
    <xf numFmtId="0" fontId="70" fillId="32" borderId="36" xfId="0" applyFont="1" applyFill="1" applyBorder="1" applyAlignment="1">
      <alignment vertical="center"/>
    </xf>
    <xf numFmtId="0" fontId="114" fillId="32" borderId="0" xfId="0" applyFont="1" applyFill="1" applyAlignment="1">
      <alignment vertical="center" wrapText="1"/>
    </xf>
    <xf numFmtId="0" fontId="32" fillId="0" borderId="0" xfId="0" applyFont="1" applyFill="1" applyAlignment="1">
      <alignment horizontal="left"/>
    </xf>
    <xf numFmtId="0" fontId="162" fillId="0" borderId="0" xfId="0" applyFont="1" applyFill="1" applyAlignment="1">
      <alignment horizontal="left" vertical="center"/>
    </xf>
    <xf numFmtId="0" fontId="35" fillId="0" borderId="0" xfId="6" applyFont="1" applyFill="1" applyAlignment="1">
      <alignment horizontal="left"/>
    </xf>
    <xf numFmtId="0" fontId="32" fillId="0" borderId="0" xfId="0" applyFont="1" applyFill="1" applyAlignment="1">
      <alignment horizontal="left" vertical="center"/>
    </xf>
    <xf numFmtId="0" fontId="32" fillId="0" borderId="0" xfId="0" applyFont="1" applyFill="1" applyAlignment="1">
      <alignment vertical="center"/>
    </xf>
    <xf numFmtId="0" fontId="32" fillId="2" borderId="43" xfId="0" applyFont="1" applyFill="1" applyBorder="1"/>
    <xf numFmtId="0" fontId="32" fillId="2" borderId="0" xfId="0" applyFont="1" applyFill="1" applyBorder="1"/>
    <xf numFmtId="174" fontId="39" fillId="2" borderId="0" xfId="2" applyFont="1" applyFill="1" applyBorder="1"/>
    <xf numFmtId="174" fontId="114" fillId="2" borderId="0" xfId="2" applyFont="1" applyFill="1" applyBorder="1"/>
    <xf numFmtId="0" fontId="32" fillId="2" borderId="44" xfId="0" applyFont="1" applyFill="1" applyBorder="1"/>
    <xf numFmtId="0" fontId="37" fillId="14" borderId="0" xfId="6" applyNumberFormat="1" applyFont="1" applyFill="1" applyBorder="1" applyAlignment="1">
      <alignment horizontal="center" vertical="center"/>
    </xf>
    <xf numFmtId="0" fontId="37" fillId="14" borderId="0" xfId="6" applyNumberFormat="1" applyFont="1" applyFill="1" applyBorder="1" applyAlignment="1">
      <alignment horizontal="right" vertical="center"/>
    </xf>
    <xf numFmtId="0" fontId="59" fillId="0" borderId="0" xfId="0" applyFont="1" applyAlignment="1">
      <alignment vertical="center"/>
    </xf>
    <xf numFmtId="0" fontId="24" fillId="7" borderId="18" xfId="0" applyFont="1" applyFill="1" applyBorder="1" applyAlignment="1">
      <alignment vertical="center"/>
    </xf>
    <xf numFmtId="0" fontId="0" fillId="7" borderId="5" xfId="0" applyFill="1" applyBorder="1" applyAlignment="1">
      <alignment vertical="center"/>
    </xf>
    <xf numFmtId="0" fontId="0" fillId="7" borderId="87" xfId="0" applyFill="1" applyBorder="1" applyAlignment="1">
      <alignment vertical="center"/>
    </xf>
    <xf numFmtId="0" fontId="0" fillId="7" borderId="5" xfId="0" applyFont="1" applyFill="1" applyBorder="1" applyAlignment="1">
      <alignment vertical="center"/>
    </xf>
    <xf numFmtId="2" fontId="59" fillId="5" borderId="0" xfId="0" applyNumberFormat="1" applyFont="1" applyFill="1" applyBorder="1" applyAlignment="1">
      <alignment vertical="center"/>
    </xf>
    <xf numFmtId="181" fontId="0" fillId="5" borderId="0" xfId="2" applyNumberFormat="1" applyFont="1" applyFill="1" applyBorder="1" applyAlignment="1">
      <alignment horizontal="right" vertical="center"/>
    </xf>
    <xf numFmtId="173" fontId="13" fillId="5" borderId="25" xfId="0" applyNumberFormat="1" applyFont="1" applyFill="1" applyBorder="1" applyAlignment="1">
      <alignment horizontal="right" vertical="center"/>
    </xf>
    <xf numFmtId="173" fontId="13" fillId="5" borderId="1" xfId="1" applyNumberFormat="1" applyFont="1" applyFill="1" applyBorder="1" applyAlignment="1">
      <alignment horizontal="right" vertical="center"/>
    </xf>
    <xf numFmtId="178" fontId="0" fillId="6" borderId="0" xfId="2" applyNumberFormat="1" applyFont="1" applyFill="1" applyBorder="1" applyAlignment="1">
      <alignment vertical="center"/>
    </xf>
    <xf numFmtId="178" fontId="0" fillId="6" borderId="0" xfId="0" applyNumberFormat="1" applyFont="1" applyFill="1" applyBorder="1" applyAlignment="1">
      <alignment vertical="center"/>
    </xf>
    <xf numFmtId="178" fontId="0" fillId="34" borderId="93" xfId="0" applyNumberFormat="1" applyFill="1" applyBorder="1"/>
    <xf numFmtId="0" fontId="160" fillId="0" borderId="0" xfId="0" applyFont="1" applyAlignment="1">
      <alignment horizontal="right"/>
    </xf>
    <xf numFmtId="174" fontId="160" fillId="0" borderId="0" xfId="2" applyFont="1"/>
    <xf numFmtId="175" fontId="0" fillId="8" borderId="36" xfId="0" applyNumberFormat="1" applyFill="1" applyBorder="1" applyAlignment="1">
      <alignment vertical="center"/>
    </xf>
    <xf numFmtId="0" fontId="13" fillId="5" borderId="1" xfId="1" applyNumberFormat="1" applyFont="1" applyFill="1" applyBorder="1" applyAlignment="1">
      <alignment horizontal="right" vertical="center"/>
    </xf>
    <xf numFmtId="2" fontId="0" fillId="7" borderId="1" xfId="0" applyNumberFormat="1" applyFill="1" applyBorder="1" applyAlignment="1">
      <alignment vertical="center"/>
    </xf>
    <xf numFmtId="186" fontId="0" fillId="5" borderId="0" xfId="1" applyNumberFormat="1" applyFont="1" applyFill="1" applyBorder="1" applyAlignment="1">
      <alignment vertical="center"/>
    </xf>
    <xf numFmtId="175" fontId="24" fillId="14" borderId="0" xfId="2" applyNumberFormat="1" applyFont="1" applyFill="1" applyBorder="1" applyAlignment="1">
      <alignment vertical="center"/>
    </xf>
    <xf numFmtId="9" fontId="24" fillId="14" borderId="0" xfId="1" applyNumberFormat="1" applyFont="1" applyFill="1" applyBorder="1"/>
    <xf numFmtId="0" fontId="24" fillId="7" borderId="4" xfId="0" applyFont="1" applyFill="1" applyBorder="1"/>
    <xf numFmtId="0" fontId="0" fillId="7" borderId="4" xfId="0" applyFill="1" applyBorder="1"/>
    <xf numFmtId="0" fontId="0" fillId="7" borderId="4" xfId="0" applyFill="1" applyBorder="1" applyAlignment="1">
      <alignment horizontal="right"/>
    </xf>
    <xf numFmtId="0" fontId="158" fillId="10" borderId="44" xfId="0" applyFont="1" applyFill="1" applyBorder="1" applyAlignment="1">
      <alignment horizontal="center" textRotation="90"/>
    </xf>
    <xf numFmtId="0" fontId="158" fillId="10" borderId="27" xfId="0" applyFont="1" applyFill="1" applyBorder="1" applyAlignment="1">
      <alignment horizontal="center" textRotation="90"/>
    </xf>
    <xf numFmtId="0" fontId="163" fillId="0" borderId="68" xfId="0" applyFont="1" applyBorder="1" applyAlignment="1">
      <alignment vertical="center"/>
    </xf>
    <xf numFmtId="174" fontId="77" fillId="5" borderId="5" xfId="2" applyFont="1" applyFill="1" applyBorder="1" applyAlignment="1">
      <alignment vertical="center"/>
    </xf>
    <xf numFmtId="174" fontId="77" fillId="5" borderId="1" xfId="2" applyFont="1" applyFill="1" applyBorder="1" applyAlignment="1">
      <alignment vertical="center"/>
    </xf>
    <xf numFmtId="174" fontId="77" fillId="5" borderId="66" xfId="2" applyFont="1" applyFill="1" applyBorder="1" applyAlignment="1">
      <alignment vertical="center"/>
    </xf>
    <xf numFmtId="174" fontId="77" fillId="5" borderId="68" xfId="2" applyFont="1" applyFill="1" applyBorder="1" applyAlignment="1">
      <alignment vertical="center"/>
    </xf>
    <xf numFmtId="174" fontId="77" fillId="5" borderId="70" xfId="2" applyFont="1" applyFill="1" applyBorder="1" applyAlignment="1">
      <alignment vertical="center"/>
    </xf>
    <xf numFmtId="0" fontId="0" fillId="21" borderId="0" xfId="0" applyNumberFormat="1" applyFill="1" applyBorder="1"/>
    <xf numFmtId="0" fontId="0" fillId="21" borderId="0" xfId="0" applyFill="1" applyBorder="1" applyAlignment="1">
      <alignment horizontal="right"/>
    </xf>
    <xf numFmtId="0" fontId="38" fillId="21" borderId="0" xfId="4" applyNumberFormat="1" applyFill="1" applyBorder="1"/>
    <xf numFmtId="0" fontId="164" fillId="7" borderId="0" xfId="0" applyFont="1" applyFill="1" applyBorder="1" applyAlignment="1">
      <alignment vertical="center"/>
    </xf>
    <xf numFmtId="174" fontId="164" fillId="7" borderId="0" xfId="0" applyNumberFormat="1" applyFont="1" applyFill="1" applyBorder="1" applyAlignment="1">
      <alignment vertical="center"/>
    </xf>
    <xf numFmtId="174" fontId="164" fillId="7" borderId="0" xfId="2" applyFont="1" applyFill="1" applyBorder="1" applyAlignment="1">
      <alignment vertical="center"/>
    </xf>
    <xf numFmtId="2" fontId="0" fillId="0" borderId="0" xfId="2" applyNumberFormat="1" applyFont="1" applyAlignment="1">
      <alignment vertical="center"/>
    </xf>
    <xf numFmtId="0" fontId="165" fillId="14" borderId="0" xfId="0" applyFont="1" applyFill="1" applyBorder="1" applyAlignment="1">
      <alignment vertical="center"/>
    </xf>
    <xf numFmtId="0" fontId="165" fillId="14" borderId="0" xfId="0" applyFont="1" applyFill="1" applyBorder="1"/>
    <xf numFmtId="0" fontId="39" fillId="14" borderId="0" xfId="0" applyFont="1" applyFill="1" applyBorder="1" applyAlignment="1">
      <alignment horizontal="right" vertical="center"/>
    </xf>
    <xf numFmtId="0" fontId="32" fillId="14" borderId="0" xfId="0" applyFont="1" applyFill="1" applyBorder="1" applyAlignment="1">
      <alignment horizontal="left" vertical="center"/>
    </xf>
    <xf numFmtId="1" fontId="32" fillId="14" borderId="0" xfId="0" applyNumberFormat="1" applyFont="1" applyFill="1" applyBorder="1"/>
    <xf numFmtId="174" fontId="77" fillId="5" borderId="65" xfId="2" applyFont="1" applyFill="1" applyBorder="1" applyAlignment="1">
      <alignment vertical="center"/>
    </xf>
    <xf numFmtId="174" fontId="77" fillId="5" borderId="1" xfId="2" applyFont="1" applyFill="1" applyBorder="1" applyAlignment="1">
      <alignment horizontal="right" vertical="center"/>
    </xf>
    <xf numFmtId="3" fontId="0" fillId="5" borderId="0" xfId="0" applyNumberFormat="1" applyFill="1" applyBorder="1"/>
    <xf numFmtId="0" fontId="164" fillId="0" borderId="0" xfId="0" applyFont="1" applyAlignment="1">
      <alignment vertical="center"/>
    </xf>
    <xf numFmtId="0" fontId="164" fillId="0" borderId="0" xfId="0" applyFont="1" applyAlignment="1">
      <alignment horizontal="left" vertical="center" wrapText="1"/>
    </xf>
    <xf numFmtId="0" fontId="0" fillId="7" borderId="47" xfId="0" applyFont="1" applyFill="1" applyBorder="1" applyAlignment="1">
      <alignment horizontal="left" vertical="center"/>
    </xf>
    <xf numFmtId="174" fontId="38" fillId="0" borderId="0" xfId="4" applyNumberFormat="1" applyFill="1"/>
    <xf numFmtId="0" fontId="32" fillId="7" borderId="1" xfId="4" applyNumberFormat="1" applyFont="1" applyFill="1" applyBorder="1"/>
    <xf numFmtId="175" fontId="32" fillId="7" borderId="1" xfId="4" applyNumberFormat="1" applyFont="1" applyFill="1" applyBorder="1"/>
    <xf numFmtId="0" fontId="32" fillId="7" borderId="0" xfId="4" applyNumberFormat="1" applyFont="1" applyFill="1" applyBorder="1" applyAlignment="1">
      <alignment horizontal="left"/>
    </xf>
    <xf numFmtId="175" fontId="145" fillId="0" borderId="0" xfId="2" applyNumberFormat="1" applyFont="1" applyFill="1" applyBorder="1"/>
    <xf numFmtId="175" fontId="0" fillId="0" borderId="0" xfId="2" applyNumberFormat="1" applyFont="1" applyFill="1" applyBorder="1"/>
    <xf numFmtId="175" fontId="38" fillId="0" borderId="0" xfId="4" applyNumberFormat="1" applyFill="1" applyBorder="1"/>
    <xf numFmtId="175" fontId="145" fillId="0" borderId="0" xfId="0" applyNumberFormat="1" applyFont="1" applyFill="1" applyBorder="1"/>
    <xf numFmtId="0" fontId="38" fillId="0" borderId="44" xfId="4" applyNumberFormat="1" applyFill="1" applyBorder="1"/>
    <xf numFmtId="175" fontId="24" fillId="7" borderId="0" xfId="2" applyNumberFormat="1" applyFont="1" applyFill="1" applyBorder="1" applyAlignment="1">
      <alignment vertical="center"/>
    </xf>
    <xf numFmtId="174" fontId="24" fillId="0" borderId="0" xfId="2" applyFont="1" applyFill="1" applyAlignment="1">
      <alignment vertical="center"/>
    </xf>
    <xf numFmtId="0" fontId="24" fillId="0" borderId="0" xfId="0" applyFont="1" applyFill="1" applyAlignment="1">
      <alignment vertical="center"/>
    </xf>
    <xf numFmtId="1" fontId="0" fillId="7" borderId="0" xfId="0" applyNumberFormat="1" applyFill="1" applyBorder="1"/>
    <xf numFmtId="179" fontId="0" fillId="7" borderId="0" xfId="1" applyFont="1" applyFill="1" applyBorder="1"/>
    <xf numFmtId="179" fontId="32" fillId="7" borderId="0" xfId="1" applyFont="1" applyFill="1" applyBorder="1"/>
    <xf numFmtId="0" fontId="24" fillId="7" borderId="47" xfId="0" applyFont="1" applyFill="1" applyBorder="1" applyAlignment="1">
      <alignment horizontal="left" vertical="center"/>
    </xf>
    <xf numFmtId="0" fontId="38" fillId="0" borderId="0" xfId="4" applyNumberFormat="1" applyFont="1" applyBorder="1"/>
    <xf numFmtId="174" fontId="38" fillId="0" borderId="0" xfId="4" applyNumberFormat="1" applyFont="1" applyBorder="1"/>
    <xf numFmtId="0" fontId="46" fillId="7" borderId="0" xfId="0" applyFont="1" applyFill="1" applyBorder="1" applyAlignment="1">
      <alignment vertical="center"/>
    </xf>
    <xf numFmtId="0" fontId="20" fillId="7" borderId="0" xfId="0" applyFont="1" applyFill="1" applyBorder="1" applyAlignment="1">
      <alignment vertical="center"/>
    </xf>
    <xf numFmtId="175" fontId="14" fillId="7" borderId="0" xfId="2" applyNumberFormat="1" applyFont="1" applyFill="1" applyBorder="1" applyAlignment="1">
      <alignment vertical="center"/>
    </xf>
    <xf numFmtId="174" fontId="14" fillId="7" borderId="0" xfId="2" applyFont="1" applyFill="1" applyBorder="1" applyAlignment="1">
      <alignment vertical="center"/>
    </xf>
    <xf numFmtId="0" fontId="17" fillId="11" borderId="39" xfId="0" applyFont="1" applyFill="1" applyBorder="1" applyAlignment="1">
      <alignment horizontal="left" vertical="center" indent="1"/>
    </xf>
    <xf numFmtId="0" fontId="0" fillId="11" borderId="33" xfId="0" applyFill="1" applyBorder="1"/>
    <xf numFmtId="0" fontId="0" fillId="11" borderId="40" xfId="0" applyFill="1" applyBorder="1"/>
    <xf numFmtId="0" fontId="96" fillId="7" borderId="0" xfId="0" applyFont="1" applyFill="1" applyBorder="1" applyAlignment="1">
      <alignment horizontal="left" vertical="center" indent="1"/>
    </xf>
    <xf numFmtId="0" fontId="35" fillId="7" borderId="0" xfId="6" applyFont="1" applyFill="1" applyBorder="1"/>
    <xf numFmtId="175" fontId="35" fillId="7" borderId="0" xfId="2" applyNumberFormat="1" applyFont="1" applyFill="1" applyBorder="1"/>
    <xf numFmtId="175" fontId="35" fillId="7" borderId="1" xfId="2" applyNumberFormat="1" applyFont="1" applyFill="1" applyBorder="1"/>
    <xf numFmtId="1" fontId="0" fillId="7" borderId="1" xfId="0" applyNumberFormat="1" applyFill="1" applyBorder="1"/>
    <xf numFmtId="0" fontId="2" fillId="7" borderId="0" xfId="0" applyFont="1" applyFill="1" applyBorder="1"/>
    <xf numFmtId="0" fontId="89" fillId="7" borderId="47" xfId="0" applyFont="1" applyFill="1" applyBorder="1" applyAlignment="1">
      <alignment horizontal="left" vertical="center"/>
    </xf>
    <xf numFmtId="0" fontId="89" fillId="7" borderId="47" xfId="0" applyFont="1" applyFill="1" applyBorder="1" applyAlignment="1">
      <alignment vertical="center"/>
    </xf>
    <xf numFmtId="1" fontId="2" fillId="7" borderId="0" xfId="0" applyNumberFormat="1" applyFont="1" applyFill="1" applyBorder="1"/>
    <xf numFmtId="1" fontId="2" fillId="7" borderId="0" xfId="0" applyNumberFormat="1" applyFont="1" applyFill="1" applyBorder="1" applyAlignment="1">
      <alignment horizontal="right" vertical="center"/>
    </xf>
    <xf numFmtId="1" fontId="2" fillId="7" borderId="0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left" vertical="center"/>
    </xf>
    <xf numFmtId="1" fontId="2" fillId="7" borderId="1" xfId="0" applyNumberFormat="1" applyFont="1" applyFill="1" applyBorder="1"/>
    <xf numFmtId="0" fontId="35" fillId="7" borderId="1" xfId="6" applyFont="1" applyFill="1" applyBorder="1"/>
    <xf numFmtId="0" fontId="2" fillId="7" borderId="1" xfId="0" applyFont="1" applyFill="1" applyBorder="1"/>
    <xf numFmtId="0" fontId="32" fillId="7" borderId="4" xfId="4" applyNumberFormat="1" applyFont="1" applyFill="1" applyBorder="1"/>
    <xf numFmtId="175" fontId="32" fillId="7" borderId="4" xfId="4" applyNumberFormat="1" applyFont="1" applyFill="1" applyBorder="1"/>
    <xf numFmtId="175" fontId="35" fillId="7" borderId="9" xfId="2" applyNumberFormat="1" applyFont="1" applyFill="1" applyBorder="1"/>
    <xf numFmtId="1" fontId="0" fillId="7" borderId="9" xfId="0" applyNumberFormat="1" applyFill="1" applyBorder="1"/>
    <xf numFmtId="0" fontId="49" fillId="0" borderId="0" xfId="4" applyNumberFormat="1" applyFont="1" applyBorder="1" applyAlignment="1">
      <alignment vertical="center"/>
    </xf>
    <xf numFmtId="194" fontId="0" fillId="0" borderId="0" xfId="0" applyNumberFormat="1"/>
    <xf numFmtId="167" fontId="129" fillId="75" borderId="0" xfId="0" applyNumberFormat="1" applyFont="1" applyFill="1"/>
    <xf numFmtId="179" fontId="14" fillId="22" borderId="0" xfId="1" applyFont="1" applyFill="1" applyBorder="1"/>
    <xf numFmtId="179" fontId="14" fillId="22" borderId="0" xfId="1" applyFont="1" applyFill="1" applyBorder="1" applyAlignment="1">
      <alignment horizontal="right"/>
    </xf>
    <xf numFmtId="11" fontId="0" fillId="22" borderId="0" xfId="2" applyNumberFormat="1" applyFont="1" applyFill="1" applyBorder="1"/>
    <xf numFmtId="0" fontId="0" fillId="22" borderId="0" xfId="0" applyFont="1" applyFill="1" applyBorder="1" applyAlignment="1">
      <alignment horizontal="right"/>
    </xf>
    <xf numFmtId="0" fontId="166" fillId="22" borderId="0" xfId="6" applyFont="1" applyFill="1"/>
    <xf numFmtId="175" fontId="35" fillId="22" borderId="0" xfId="2" applyNumberFormat="1" applyFont="1" applyFill="1" applyBorder="1"/>
    <xf numFmtId="170" fontId="0" fillId="5" borderId="9" xfId="0" applyNumberFormat="1" applyFill="1" applyBorder="1" applyAlignment="1">
      <alignment vertical="center"/>
    </xf>
    <xf numFmtId="170" fontId="0" fillId="5" borderId="0" xfId="0" applyNumberFormat="1" applyFill="1" applyBorder="1" applyAlignment="1">
      <alignment vertical="center"/>
    </xf>
    <xf numFmtId="178" fontId="0" fillId="7" borderId="0" xfId="2" applyNumberFormat="1" applyFont="1" applyFill="1" applyBorder="1" applyAlignment="1">
      <alignment vertical="center"/>
    </xf>
    <xf numFmtId="1" fontId="0" fillId="7" borderId="0" xfId="0" applyNumberFormat="1" applyFill="1" applyBorder="1" applyAlignment="1">
      <alignment vertical="center"/>
    </xf>
    <xf numFmtId="174" fontId="164" fillId="6" borderId="0" xfId="0" applyNumberFormat="1" applyFont="1" applyFill="1" applyBorder="1" applyAlignment="1">
      <alignment vertical="center"/>
    </xf>
    <xf numFmtId="174" fontId="0" fillId="5" borderId="4" xfId="2" applyFont="1" applyFill="1" applyBorder="1" applyAlignment="1">
      <alignment vertical="center"/>
    </xf>
    <xf numFmtId="10" fontId="0" fillId="5" borderId="14" xfId="1" applyNumberFormat="1" applyFont="1" applyFill="1" applyBorder="1" applyAlignment="1">
      <alignment vertical="center"/>
    </xf>
    <xf numFmtId="10" fontId="0" fillId="5" borderId="0" xfId="1" applyNumberFormat="1" applyFont="1" applyFill="1" applyBorder="1"/>
    <xf numFmtId="10" fontId="0" fillId="5" borderId="25" xfId="1" applyNumberFormat="1" applyFont="1" applyFill="1" applyBorder="1" applyAlignment="1">
      <alignment vertical="center"/>
    </xf>
    <xf numFmtId="10" fontId="0" fillId="5" borderId="1" xfId="1" applyNumberFormat="1" applyFont="1" applyFill="1" applyBorder="1" applyAlignment="1">
      <alignment vertical="center"/>
    </xf>
    <xf numFmtId="10" fontId="0" fillId="5" borderId="12" xfId="1" applyNumberFormat="1" applyFont="1" applyFill="1" applyBorder="1" applyAlignment="1">
      <alignment vertical="center"/>
    </xf>
    <xf numFmtId="179" fontId="0" fillId="0" borderId="0" xfId="0" applyNumberFormat="1"/>
    <xf numFmtId="0" fontId="53" fillId="23" borderId="36" xfId="0" applyFont="1" applyFill="1" applyBorder="1"/>
    <xf numFmtId="175" fontId="164" fillId="0" borderId="0" xfId="0" applyNumberFormat="1" applyFont="1" applyBorder="1" applyAlignment="1">
      <alignment vertical="center"/>
    </xf>
    <xf numFmtId="179" fontId="0" fillId="5" borderId="10" xfId="1" applyFont="1" applyFill="1" applyBorder="1" applyAlignment="1">
      <alignment vertical="center"/>
    </xf>
    <xf numFmtId="9" fontId="0" fillId="5" borderId="160" xfId="0" applyNumberFormat="1" applyFill="1" applyBorder="1" applyAlignment="1">
      <alignment vertical="center"/>
    </xf>
    <xf numFmtId="177" fontId="32" fillId="7" borderId="0" xfId="4" applyNumberFormat="1" applyFont="1" applyFill="1" applyBorder="1"/>
    <xf numFmtId="177" fontId="32" fillId="7" borderId="1" xfId="4" applyNumberFormat="1" applyFont="1" applyFill="1" applyBorder="1"/>
    <xf numFmtId="174" fontId="0" fillId="5" borderId="0" xfId="2" applyFont="1" applyFill="1"/>
    <xf numFmtId="0" fontId="59" fillId="5" borderId="0" xfId="0" applyFont="1" applyFill="1" applyBorder="1" applyAlignment="1">
      <alignment vertical="center"/>
    </xf>
    <xf numFmtId="174" fontId="0" fillId="5" borderId="4" xfId="2" applyFont="1" applyFill="1" applyBorder="1"/>
    <xf numFmtId="174" fontId="13" fillId="24" borderId="5" xfId="2" applyFont="1" applyFill="1" applyBorder="1"/>
    <xf numFmtId="174" fontId="13" fillId="24" borderId="0" xfId="2" applyFont="1" applyFill="1" applyBorder="1"/>
    <xf numFmtId="174" fontId="13" fillId="24" borderId="1" xfId="2" applyFont="1" applyFill="1" applyBorder="1"/>
    <xf numFmtId="174" fontId="13" fillId="5" borderId="4" xfId="2" applyFont="1" applyFill="1" applyBorder="1" applyAlignment="1">
      <alignment horizontal="right"/>
    </xf>
    <xf numFmtId="174" fontId="32" fillId="5" borderId="5" xfId="2" applyFont="1" applyFill="1" applyBorder="1" applyAlignment="1">
      <alignment vertical="center"/>
    </xf>
    <xf numFmtId="174" fontId="32" fillId="5" borderId="4" xfId="2" applyFont="1" applyFill="1" applyBorder="1" applyAlignment="1">
      <alignment vertical="center"/>
    </xf>
    <xf numFmtId="174" fontId="13" fillId="5" borderId="5" xfId="2" applyFont="1" applyFill="1" applyBorder="1" applyAlignment="1">
      <alignment horizontal="right"/>
    </xf>
    <xf numFmtId="174" fontId="13" fillId="5" borderId="4" xfId="2" applyNumberFormat="1" applyFont="1" applyFill="1" applyBorder="1" applyAlignment="1">
      <alignment horizontal="right"/>
    </xf>
    <xf numFmtId="174" fontId="32" fillId="5" borderId="5" xfId="2" applyNumberFormat="1" applyFont="1" applyFill="1" applyBorder="1" applyAlignment="1">
      <alignment vertical="center"/>
    </xf>
    <xf numFmtId="174" fontId="32" fillId="5" borderId="0" xfId="2" applyNumberFormat="1" applyFont="1" applyFill="1" applyBorder="1" applyAlignment="1">
      <alignment vertical="center"/>
    </xf>
    <xf numFmtId="174" fontId="32" fillId="5" borderId="1" xfId="2" applyNumberFormat="1" applyFont="1" applyFill="1" applyBorder="1" applyAlignment="1">
      <alignment vertical="center"/>
    </xf>
    <xf numFmtId="174" fontId="32" fillId="5" borderId="4" xfId="2" applyNumberFormat="1" applyFont="1" applyFill="1" applyBorder="1" applyAlignment="1">
      <alignment vertical="center"/>
    </xf>
    <xf numFmtId="174" fontId="13" fillId="5" borderId="0" xfId="2" applyFont="1" applyFill="1" applyBorder="1" applyAlignment="1">
      <alignment horizontal="right"/>
    </xf>
    <xf numFmtId="174" fontId="0" fillId="5" borderId="5" xfId="2" applyFont="1" applyFill="1" applyBorder="1" applyAlignment="1">
      <alignment horizontal="right"/>
    </xf>
    <xf numFmtId="174" fontId="0" fillId="5" borderId="0" xfId="2" applyFont="1" applyFill="1" applyBorder="1" applyAlignment="1">
      <alignment horizontal="right"/>
    </xf>
    <xf numFmtId="174" fontId="0" fillId="5" borderId="1" xfId="2" applyFont="1" applyFill="1" applyBorder="1" applyAlignment="1">
      <alignment horizontal="right"/>
    </xf>
    <xf numFmtId="175" fontId="0" fillId="0" borderId="1" xfId="2" applyNumberFormat="1" applyFont="1" applyBorder="1"/>
    <xf numFmtId="175" fontId="0" fillId="40" borderId="72" xfId="2" applyNumberFormat="1" applyFont="1" applyFill="1" applyBorder="1"/>
    <xf numFmtId="174" fontId="0" fillId="33" borderId="72" xfId="0" applyNumberFormat="1" applyFont="1" applyFill="1" applyBorder="1"/>
    <xf numFmtId="174" fontId="0" fillId="33" borderId="72" xfId="2" applyNumberFormat="1" applyFont="1" applyFill="1" applyBorder="1"/>
    <xf numFmtId="179" fontId="0" fillId="33" borderId="72" xfId="1" applyFont="1" applyFill="1" applyBorder="1"/>
    <xf numFmtId="175" fontId="0" fillId="33" borderId="1" xfId="2" applyNumberFormat="1" applyFont="1" applyFill="1" applyBorder="1"/>
    <xf numFmtId="0" fontId="24" fillId="0" borderId="1" xfId="0" applyFont="1" applyBorder="1"/>
    <xf numFmtId="179" fontId="0" fillId="36" borderId="72" xfId="1" applyFont="1" applyFill="1" applyBorder="1"/>
    <xf numFmtId="175" fontId="0" fillId="36" borderId="1" xfId="2" applyNumberFormat="1" applyFont="1" applyFill="1" applyBorder="1"/>
    <xf numFmtId="0" fontId="84" fillId="18" borderId="0" xfId="0" applyFont="1" applyFill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74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70" fontId="24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" fontId="0" fillId="0" borderId="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4" fillId="5" borderId="0" xfId="0" applyFont="1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5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59" fillId="0" borderId="0" xfId="0" applyFont="1" applyAlignment="1">
      <alignment horizontal="center"/>
    </xf>
  </cellXfs>
  <cellStyles count="7536">
    <cellStyle name="20% - Accent1" xfId="230" builtinId="30"/>
    <cellStyle name="20% - Accent1 2" xfId="454"/>
    <cellStyle name="20% - Accent1 2 2" xfId="1533"/>
    <cellStyle name="20% - Accent1 3" xfId="832"/>
    <cellStyle name="20% - Accent1 3 2" xfId="1903"/>
    <cellStyle name="20% - Accent1 4" xfId="836"/>
    <cellStyle name="20% - Accent1 4 2" xfId="1907"/>
    <cellStyle name="20% - Accent1 5" xfId="850"/>
    <cellStyle name="20% - Accent1 5 2" xfId="1921"/>
    <cellStyle name="20% - Accent1 6" xfId="1310"/>
    <cellStyle name="20% - Accent2" xfId="813" builtinId="34" customBuiltin="1"/>
    <cellStyle name="20% - Accent2 2" xfId="838"/>
    <cellStyle name="20% - Accent2 2 2" xfId="1909"/>
    <cellStyle name="20% - Accent2 3" xfId="852"/>
    <cellStyle name="20% - Accent2 3 2" xfId="1923"/>
    <cellStyle name="20% - Accent2 4" xfId="1886"/>
    <cellStyle name="20% - Accent3" xfId="817" builtinId="38" customBuiltin="1"/>
    <cellStyle name="20% - Accent3 2" xfId="840"/>
    <cellStyle name="20% - Accent3 2 2" xfId="1911"/>
    <cellStyle name="20% - Accent3 3" xfId="854"/>
    <cellStyle name="20% - Accent3 3 2" xfId="1925"/>
    <cellStyle name="20% - Accent3 4" xfId="1890"/>
    <cellStyle name="20% - Accent4" xfId="821" builtinId="42" customBuiltin="1"/>
    <cellStyle name="20% - Accent4 2" xfId="842"/>
    <cellStyle name="20% - Accent4 2 2" xfId="1913"/>
    <cellStyle name="20% - Accent4 3" xfId="856"/>
    <cellStyle name="20% - Accent4 3 2" xfId="1927"/>
    <cellStyle name="20% - Accent4 4" xfId="1893"/>
    <cellStyle name="20% - Accent5" xfId="825" builtinId="46" customBuiltin="1"/>
    <cellStyle name="20% - Accent5 2" xfId="844"/>
    <cellStyle name="20% - Accent5 2 2" xfId="1915"/>
    <cellStyle name="20% - Accent5 3" xfId="858"/>
    <cellStyle name="20% - Accent5 3 2" xfId="1929"/>
    <cellStyle name="20% - Accent5 4" xfId="1896"/>
    <cellStyle name="20% - Accent6" xfId="8" builtinId="50"/>
    <cellStyle name="20% - Accent6 2" xfId="234"/>
    <cellStyle name="20% - Accent6 2 2" xfId="1313"/>
    <cellStyle name="20% - Accent6 3" xfId="790"/>
    <cellStyle name="20% - Accent6 3 2" xfId="1869"/>
    <cellStyle name="20% - Accent6 4" xfId="793"/>
    <cellStyle name="20% - Accent6 4 2" xfId="1872"/>
    <cellStyle name="20% - Accent6 5" xfId="833"/>
    <cellStyle name="20% - Accent6 5 2" xfId="1904"/>
    <cellStyle name="20% - Accent6 6" xfId="846"/>
    <cellStyle name="20% - Accent6 6 2" xfId="1917"/>
    <cellStyle name="20% - Accent6 7" xfId="860"/>
    <cellStyle name="20% - Accent6 7 2" xfId="1931"/>
    <cellStyle name="20% - Accent6 8" xfId="1115"/>
    <cellStyle name="40% - Accent1" xfId="810" builtinId="31" customBuiltin="1"/>
    <cellStyle name="40% - Accent1 2" xfId="837"/>
    <cellStyle name="40% - Accent1 2 2" xfId="1908"/>
    <cellStyle name="40% - Accent1 3" xfId="851"/>
    <cellStyle name="40% - Accent1 3 2" xfId="1922"/>
    <cellStyle name="40% - Accent1 4" xfId="1883"/>
    <cellStyle name="40% - Accent2" xfId="814" builtinId="35" customBuiltin="1"/>
    <cellStyle name="40% - Accent2 2" xfId="839"/>
    <cellStyle name="40% - Accent2 2 2" xfId="1910"/>
    <cellStyle name="40% - Accent2 3" xfId="853"/>
    <cellStyle name="40% - Accent2 3 2" xfId="1924"/>
    <cellStyle name="40% - Accent2 4" xfId="1887"/>
    <cellStyle name="40% - Accent3" xfId="818" builtinId="39" customBuiltin="1"/>
    <cellStyle name="40% - Accent3 2" xfId="841"/>
    <cellStyle name="40% - Accent3 2 2" xfId="1912"/>
    <cellStyle name="40% - Accent3 3" xfId="855"/>
    <cellStyle name="40% - Accent3 3 2" xfId="1926"/>
    <cellStyle name="40% - Accent3 4" xfId="1891"/>
    <cellStyle name="40% - Accent4" xfId="822" builtinId="43" customBuiltin="1"/>
    <cellStyle name="40% - Accent4 2" xfId="843"/>
    <cellStyle name="40% - Accent4 2 2" xfId="1914"/>
    <cellStyle name="40% - Accent4 3" xfId="857"/>
    <cellStyle name="40% - Accent4 3 2" xfId="1928"/>
    <cellStyle name="40% - Accent4 4" xfId="1894"/>
    <cellStyle name="40% - Accent5" xfId="826" builtinId="47" customBuiltin="1"/>
    <cellStyle name="40% - Accent5 2" xfId="845"/>
    <cellStyle name="40% - Accent5 2 2" xfId="1916"/>
    <cellStyle name="40% - Accent5 3" xfId="859"/>
    <cellStyle name="40% - Accent5 3 2" xfId="1930"/>
    <cellStyle name="40% - Accent5 4" xfId="1897"/>
    <cellStyle name="40% - Accent6" xfId="828" builtinId="51" customBuiltin="1"/>
    <cellStyle name="40% - Accent6 2" xfId="847"/>
    <cellStyle name="40% - Accent6 2 2" xfId="1918"/>
    <cellStyle name="40% - Accent6 3" xfId="861"/>
    <cellStyle name="40% - Accent6 3 2" xfId="1932"/>
    <cellStyle name="40% - Accent6 4" xfId="1899"/>
    <cellStyle name="60% - Accent1" xfId="811" builtinId="32" customBuiltin="1"/>
    <cellStyle name="60% - Accent2" xfId="815" builtinId="36" customBuiltin="1"/>
    <cellStyle name="60% - Accent3" xfId="819" builtinId="40" customBuiltin="1"/>
    <cellStyle name="60% - Accent4" xfId="823" builtinId="44" customBuiltin="1"/>
    <cellStyle name="60% - Accent5" xfId="827" builtinId="48" customBuiltin="1"/>
    <cellStyle name="60% - Accent6" xfId="829" builtinId="52" customBuiltin="1"/>
    <cellStyle name="Accent1" xfId="809" builtinId="29" customBuiltin="1"/>
    <cellStyle name="Accent2" xfId="812" builtinId="33" customBuiltin="1"/>
    <cellStyle name="Accent3" xfId="816" builtinId="37" customBuiltin="1"/>
    <cellStyle name="Accent4" xfId="820" builtinId="41" customBuiltin="1"/>
    <cellStyle name="Accent5" xfId="824" builtinId="45" customBuiltin="1"/>
    <cellStyle name="Accent6" xfId="794" builtinId="49" customBuiltin="1"/>
    <cellStyle name="Bad" xfId="800" builtinId="27" customBuiltin="1"/>
    <cellStyle name="Calculation" xfId="803" builtinId="22" customBuiltin="1"/>
    <cellStyle name="Check Cell" xfId="805" builtinId="23" customBuiltin="1"/>
    <cellStyle name="Comma" xfId="2" builtinId="3" customBuiltin="1"/>
    <cellStyle name="Comma 2" xfId="457"/>
    <cellStyle name="Comma 2 2" xfId="1536"/>
    <cellStyle name="Comma 3" xfId="904"/>
    <cellStyle name="Excel Built-in Normal" xfId="229"/>
    <cellStyle name="Explanatory Text" xfId="807" builtinId="53" customBuilti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Followed Hyperlink" xfId="343" builtinId="9" hidden="1"/>
    <cellStyle name="Followed Hyperlink" xfId="345" builtinId="9" hidden="1"/>
    <cellStyle name="Followed Hyperlink" xfId="347" builtinId="9" hidden="1"/>
    <cellStyle name="Followed Hyperlink" xfId="349" builtinId="9" hidden="1"/>
    <cellStyle name="Followed Hyperlink" xfId="351" builtinId="9" hidden="1"/>
    <cellStyle name="Followed Hyperlink" xfId="353" builtinId="9" hidden="1"/>
    <cellStyle name="Followed Hyperlink" xfId="355" builtinId="9" hidden="1"/>
    <cellStyle name="Followed Hyperlink" xfId="357" builtinId="9" hidden="1"/>
    <cellStyle name="Followed Hyperlink" xfId="359" builtinId="9" hidden="1"/>
    <cellStyle name="Followed Hyperlink" xfId="361" builtinId="9" hidden="1"/>
    <cellStyle name="Followed Hyperlink" xfId="363" builtinId="9" hidden="1"/>
    <cellStyle name="Followed Hyperlink" xfId="365" builtinId="9" hidden="1"/>
    <cellStyle name="Followed Hyperlink" xfId="367" builtinId="9" hidden="1"/>
    <cellStyle name="Followed Hyperlink" xfId="369" builtinId="9" hidden="1"/>
    <cellStyle name="Followed Hyperlink" xfId="371" builtinId="9" hidden="1"/>
    <cellStyle name="Followed Hyperlink" xfId="373" builtinId="9" hidden="1"/>
    <cellStyle name="Followed Hyperlink" xfId="375" builtinId="9" hidden="1"/>
    <cellStyle name="Followed Hyperlink" xfId="377" builtinId="9" hidden="1"/>
    <cellStyle name="Followed Hyperlink" xfId="379" builtinId="9" hidden="1"/>
    <cellStyle name="Followed Hyperlink" xfId="381" builtinId="9" hidden="1"/>
    <cellStyle name="Followed Hyperlink" xfId="383" builtinId="9" hidden="1"/>
    <cellStyle name="Followed Hyperlink" xfId="385" builtinId="9" hidden="1"/>
    <cellStyle name="Followed Hyperlink" xfId="387" builtinId="9" hidden="1"/>
    <cellStyle name="Followed Hyperlink" xfId="389" builtinId="9" hidden="1"/>
    <cellStyle name="Followed Hyperlink" xfId="391" builtinId="9" hidden="1"/>
    <cellStyle name="Followed Hyperlink" xfId="393" builtinId="9" hidden="1"/>
    <cellStyle name="Followed Hyperlink" xfId="395" builtinId="9" hidden="1"/>
    <cellStyle name="Followed Hyperlink" xfId="397" builtinId="9" hidden="1"/>
    <cellStyle name="Followed Hyperlink" xfId="399" builtinId="9" hidden="1"/>
    <cellStyle name="Followed Hyperlink" xfId="401" builtinId="9" hidden="1"/>
    <cellStyle name="Followed Hyperlink" xfId="403" builtinId="9" hidden="1"/>
    <cellStyle name="Followed Hyperlink" xfId="405" builtinId="9" hidden="1"/>
    <cellStyle name="Followed Hyperlink" xfId="407" builtinId="9" hidden="1"/>
    <cellStyle name="Followed Hyperlink" xfId="409" builtinId="9" hidden="1"/>
    <cellStyle name="Followed Hyperlink" xfId="411" builtinId="9" hidden="1"/>
    <cellStyle name="Followed Hyperlink" xfId="413" builtinId="9" hidden="1"/>
    <cellStyle name="Followed Hyperlink" xfId="415" builtinId="9" hidden="1"/>
    <cellStyle name="Followed Hyperlink" xfId="417" builtinId="9" hidden="1"/>
    <cellStyle name="Followed Hyperlink" xfId="419" builtinId="9" hidden="1"/>
    <cellStyle name="Followed Hyperlink" xfId="421" builtinId="9" hidden="1"/>
    <cellStyle name="Followed Hyperlink" xfId="423" builtinId="9" hidden="1"/>
    <cellStyle name="Followed Hyperlink" xfId="425" builtinId="9" hidden="1"/>
    <cellStyle name="Followed Hyperlink" xfId="427" builtinId="9" hidden="1"/>
    <cellStyle name="Followed Hyperlink" xfId="429" builtinId="9" hidden="1"/>
    <cellStyle name="Followed Hyperlink" xfId="431" builtinId="9" hidden="1"/>
    <cellStyle name="Followed Hyperlink" xfId="433" builtinId="9" hidden="1"/>
    <cellStyle name="Followed Hyperlink" xfId="435" builtinId="9" hidden="1"/>
    <cellStyle name="Followed Hyperlink" xfId="437" builtinId="9" hidden="1"/>
    <cellStyle name="Followed Hyperlink" xfId="439" builtinId="9" hidden="1"/>
    <cellStyle name="Followed Hyperlink" xfId="441" builtinId="9" hidden="1"/>
    <cellStyle name="Followed Hyperlink" xfId="443" builtinId="9" hidden="1"/>
    <cellStyle name="Followed Hyperlink" xfId="445" builtinId="9" hidden="1"/>
    <cellStyle name="Followed Hyperlink" xfId="447" builtinId="9" hidden="1"/>
    <cellStyle name="Followed Hyperlink" xfId="449" builtinId="9" hidden="1"/>
    <cellStyle name="Followed Hyperlink" xfId="451" builtinId="9" hidden="1"/>
    <cellStyle name="Followed Hyperlink" xfId="453" builtinId="9" hidden="1"/>
    <cellStyle name="Followed Hyperlink" xfId="461" builtinId="9" hidden="1"/>
    <cellStyle name="Followed Hyperlink" xfId="463" builtinId="9" hidden="1"/>
    <cellStyle name="Followed Hyperlink" xfId="465" builtinId="9" hidden="1"/>
    <cellStyle name="Followed Hyperlink" xfId="467" builtinId="9" hidden="1"/>
    <cellStyle name="Followed Hyperlink" xfId="469" builtinId="9" hidden="1"/>
    <cellStyle name="Followed Hyperlink" xfId="471" builtinId="9" hidden="1"/>
    <cellStyle name="Followed Hyperlink" xfId="473" builtinId="9" hidden="1"/>
    <cellStyle name="Followed Hyperlink" xfId="475" builtinId="9" hidden="1"/>
    <cellStyle name="Followed Hyperlink" xfId="477" builtinId="9" hidden="1"/>
    <cellStyle name="Followed Hyperlink" xfId="479" builtinId="9" hidden="1"/>
    <cellStyle name="Followed Hyperlink" xfId="481" builtinId="9" hidden="1"/>
    <cellStyle name="Followed Hyperlink" xfId="483" builtinId="9" hidden="1"/>
    <cellStyle name="Followed Hyperlink" xfId="485" builtinId="9" hidden="1"/>
    <cellStyle name="Followed Hyperlink" xfId="487" builtinId="9" hidden="1"/>
    <cellStyle name="Followed Hyperlink" xfId="489" builtinId="9" hidden="1"/>
    <cellStyle name="Followed Hyperlink" xfId="491" builtinId="9" hidden="1"/>
    <cellStyle name="Followed Hyperlink" xfId="493" builtinId="9" hidden="1"/>
    <cellStyle name="Followed Hyperlink" xfId="495" builtinId="9" hidden="1"/>
    <cellStyle name="Followed Hyperlink" xfId="497" builtinId="9" hidden="1"/>
    <cellStyle name="Followed Hyperlink" xfId="499" builtinId="9" hidden="1"/>
    <cellStyle name="Followed Hyperlink" xfId="501" builtinId="9" hidden="1"/>
    <cellStyle name="Followed Hyperlink" xfId="503" builtinId="9" hidden="1"/>
    <cellStyle name="Followed Hyperlink" xfId="505" builtinId="9" hidden="1"/>
    <cellStyle name="Followed Hyperlink" xfId="507" builtinId="9" hidden="1"/>
    <cellStyle name="Followed Hyperlink" xfId="509" builtinId="9" hidden="1"/>
    <cellStyle name="Followed Hyperlink" xfId="511" builtinId="9" hidden="1"/>
    <cellStyle name="Followed Hyperlink" xfId="513" builtinId="9" hidden="1"/>
    <cellStyle name="Followed Hyperlink" xfId="515" builtinId="9" hidden="1"/>
    <cellStyle name="Followed Hyperlink" xfId="517" builtinId="9" hidden="1"/>
    <cellStyle name="Followed Hyperlink" xfId="519" builtinId="9" hidden="1"/>
    <cellStyle name="Followed Hyperlink" xfId="521" builtinId="9" hidden="1"/>
    <cellStyle name="Followed Hyperlink" xfId="523" builtinId="9" hidden="1"/>
    <cellStyle name="Followed Hyperlink" xfId="525" builtinId="9" hidden="1"/>
    <cellStyle name="Followed Hyperlink" xfId="527" builtinId="9" hidden="1"/>
    <cellStyle name="Followed Hyperlink" xfId="529" builtinId="9" hidden="1"/>
    <cellStyle name="Followed Hyperlink" xfId="531" builtinId="9" hidden="1"/>
    <cellStyle name="Followed Hyperlink" xfId="533" builtinId="9" hidden="1"/>
    <cellStyle name="Followed Hyperlink" xfId="535" builtinId="9" hidden="1"/>
    <cellStyle name="Followed Hyperlink" xfId="537" builtinId="9" hidden="1"/>
    <cellStyle name="Followed Hyperlink" xfId="539" builtinId="9" hidden="1"/>
    <cellStyle name="Followed Hyperlink" xfId="541" builtinId="9" hidden="1"/>
    <cellStyle name="Followed Hyperlink" xfId="543" builtinId="9" hidden="1"/>
    <cellStyle name="Followed Hyperlink" xfId="545" builtinId="9" hidden="1"/>
    <cellStyle name="Followed Hyperlink" xfId="547" builtinId="9" hidden="1"/>
    <cellStyle name="Followed Hyperlink" xfId="549" builtinId="9" hidden="1"/>
    <cellStyle name="Followed Hyperlink" xfId="551" builtinId="9" hidden="1"/>
    <cellStyle name="Followed Hyperlink" xfId="553" builtinId="9" hidden="1"/>
    <cellStyle name="Followed Hyperlink" xfId="555" builtinId="9" hidden="1"/>
    <cellStyle name="Followed Hyperlink" xfId="557" builtinId="9" hidden="1"/>
    <cellStyle name="Followed Hyperlink" xfId="559" builtinId="9" hidden="1"/>
    <cellStyle name="Followed Hyperlink" xfId="561" builtinId="9" hidden="1"/>
    <cellStyle name="Followed Hyperlink" xfId="563" builtinId="9" hidden="1"/>
    <cellStyle name="Followed Hyperlink" xfId="565" builtinId="9" hidden="1"/>
    <cellStyle name="Followed Hyperlink" xfId="567" builtinId="9" hidden="1"/>
    <cellStyle name="Followed Hyperlink" xfId="569" builtinId="9" hidden="1"/>
    <cellStyle name="Followed Hyperlink" xfId="571" builtinId="9" hidden="1"/>
    <cellStyle name="Followed Hyperlink" xfId="573" builtinId="9" hidden="1"/>
    <cellStyle name="Followed Hyperlink" xfId="575" builtinId="9" hidden="1"/>
    <cellStyle name="Followed Hyperlink" xfId="577" builtinId="9" hidden="1"/>
    <cellStyle name="Followed Hyperlink" xfId="579" builtinId="9" hidden="1"/>
    <cellStyle name="Followed Hyperlink" xfId="581" builtinId="9" hidden="1"/>
    <cellStyle name="Followed Hyperlink" xfId="583" builtinId="9" hidden="1"/>
    <cellStyle name="Followed Hyperlink" xfId="585" builtinId="9" hidden="1"/>
    <cellStyle name="Followed Hyperlink" xfId="587" builtinId="9" hidden="1"/>
    <cellStyle name="Followed Hyperlink" xfId="589" builtinId="9" hidden="1"/>
    <cellStyle name="Followed Hyperlink" xfId="591" builtinId="9" hidden="1"/>
    <cellStyle name="Followed Hyperlink" xfId="593" builtinId="9" hidden="1"/>
    <cellStyle name="Followed Hyperlink" xfId="595" builtinId="9" hidden="1"/>
    <cellStyle name="Followed Hyperlink" xfId="597" builtinId="9" hidden="1"/>
    <cellStyle name="Followed Hyperlink" xfId="599" builtinId="9" hidden="1"/>
    <cellStyle name="Followed Hyperlink" xfId="601" builtinId="9" hidden="1"/>
    <cellStyle name="Followed Hyperlink" xfId="603" builtinId="9" hidden="1"/>
    <cellStyle name="Followed Hyperlink" xfId="605" builtinId="9" hidden="1"/>
    <cellStyle name="Followed Hyperlink" xfId="607" builtinId="9" hidden="1"/>
    <cellStyle name="Followed Hyperlink" xfId="609" builtinId="9" hidden="1"/>
    <cellStyle name="Followed Hyperlink" xfId="611" builtinId="9" hidden="1"/>
    <cellStyle name="Followed Hyperlink" xfId="613" builtinId="9" hidden="1"/>
    <cellStyle name="Followed Hyperlink" xfId="615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7" builtinId="9" hidden="1"/>
    <cellStyle name="Followed Hyperlink" xfId="629" builtinId="9" hidden="1"/>
    <cellStyle name="Followed Hyperlink" xfId="631" builtinId="9" hidden="1"/>
    <cellStyle name="Followed Hyperlink" xfId="633" builtinId="9" hidden="1"/>
    <cellStyle name="Followed Hyperlink" xfId="635" builtinId="9" hidden="1"/>
    <cellStyle name="Followed Hyperlink" xfId="637" builtinId="9" hidden="1"/>
    <cellStyle name="Followed Hyperlink" xfId="639" builtinId="9" hidden="1"/>
    <cellStyle name="Followed Hyperlink" xfId="641" builtinId="9" hidden="1"/>
    <cellStyle name="Followed Hyperlink" xfId="643" builtinId="9" hidden="1"/>
    <cellStyle name="Followed Hyperlink" xfId="645" builtinId="9" hidden="1"/>
    <cellStyle name="Followed Hyperlink" xfId="647" builtinId="9" hidden="1"/>
    <cellStyle name="Followed Hyperlink" xfId="649" builtinId="9" hidden="1"/>
    <cellStyle name="Followed Hyperlink" xfId="651" builtinId="9" hidden="1"/>
    <cellStyle name="Followed Hyperlink" xfId="653" builtinId="9" hidden="1"/>
    <cellStyle name="Followed Hyperlink" xfId="655" builtinId="9" hidden="1"/>
    <cellStyle name="Followed Hyperlink" xfId="657" builtinId="9" hidden="1"/>
    <cellStyle name="Followed Hyperlink" xfId="659" builtinId="9" hidden="1"/>
    <cellStyle name="Followed Hyperlink" xfId="661" builtinId="9" hidden="1"/>
    <cellStyle name="Followed Hyperlink" xfId="663" builtinId="9" hidden="1"/>
    <cellStyle name="Followed Hyperlink" xfId="665" builtinId="9" hidden="1"/>
    <cellStyle name="Followed Hyperlink" xfId="667" builtinId="9" hidden="1"/>
    <cellStyle name="Followed Hyperlink" xfId="669" builtinId="9" hidden="1"/>
    <cellStyle name="Followed Hyperlink" xfId="671" builtinId="9" hidden="1"/>
    <cellStyle name="Followed Hyperlink" xfId="673" builtinId="9" hidden="1"/>
    <cellStyle name="Followed Hyperlink" xfId="675" builtinId="9" hidden="1"/>
    <cellStyle name="Followed Hyperlink" xfId="677" builtinId="9" hidden="1"/>
    <cellStyle name="Followed Hyperlink" xfId="679" builtinId="9" hidden="1"/>
    <cellStyle name="Followed Hyperlink" xfId="678" builtinId="9" hidden="1"/>
    <cellStyle name="Followed Hyperlink" xfId="674" builtinId="9" hidden="1"/>
    <cellStyle name="Followed Hyperlink" xfId="670" builtinId="9" hidden="1"/>
    <cellStyle name="Followed Hyperlink" xfId="666" builtinId="9" hidden="1"/>
    <cellStyle name="Followed Hyperlink" xfId="662" builtinId="9" hidden="1"/>
    <cellStyle name="Followed Hyperlink" xfId="658" builtinId="9" hidden="1"/>
    <cellStyle name="Followed Hyperlink" xfId="654" builtinId="9" hidden="1"/>
    <cellStyle name="Followed Hyperlink" xfId="650" builtinId="9" hidden="1"/>
    <cellStyle name="Followed Hyperlink" xfId="646" builtinId="9" hidden="1"/>
    <cellStyle name="Followed Hyperlink" xfId="642" builtinId="9" hidden="1"/>
    <cellStyle name="Followed Hyperlink" xfId="638" builtinId="9" hidden="1"/>
    <cellStyle name="Followed Hyperlink" xfId="634" builtinId="9" hidden="1"/>
    <cellStyle name="Followed Hyperlink" xfId="630" builtinId="9" hidden="1"/>
    <cellStyle name="Followed Hyperlink" xfId="626" builtinId="9" hidden="1"/>
    <cellStyle name="Followed Hyperlink" xfId="622" builtinId="9" hidden="1"/>
    <cellStyle name="Followed Hyperlink" xfId="618" builtinId="9" hidden="1"/>
    <cellStyle name="Followed Hyperlink" xfId="614" builtinId="9" hidden="1"/>
    <cellStyle name="Followed Hyperlink" xfId="610" builtinId="9" hidden="1"/>
    <cellStyle name="Followed Hyperlink" xfId="606" builtinId="9" hidden="1"/>
    <cellStyle name="Followed Hyperlink" xfId="602" builtinId="9" hidden="1"/>
    <cellStyle name="Followed Hyperlink" xfId="598" builtinId="9" hidden="1"/>
    <cellStyle name="Followed Hyperlink" xfId="594" builtinId="9" hidden="1"/>
    <cellStyle name="Followed Hyperlink" xfId="590" builtinId="9" hidden="1"/>
    <cellStyle name="Followed Hyperlink" xfId="586" builtinId="9" hidden="1"/>
    <cellStyle name="Followed Hyperlink" xfId="582" builtinId="9" hidden="1"/>
    <cellStyle name="Followed Hyperlink" xfId="578" builtinId="9" hidden="1"/>
    <cellStyle name="Followed Hyperlink" xfId="574" builtinId="9" hidden="1"/>
    <cellStyle name="Followed Hyperlink" xfId="570" builtinId="9" hidden="1"/>
    <cellStyle name="Followed Hyperlink" xfId="566" builtinId="9" hidden="1"/>
    <cellStyle name="Followed Hyperlink" xfId="562" builtinId="9" hidden="1"/>
    <cellStyle name="Followed Hyperlink" xfId="558" builtinId="9" hidden="1"/>
    <cellStyle name="Followed Hyperlink" xfId="554" builtinId="9" hidden="1"/>
    <cellStyle name="Followed Hyperlink" xfId="550" builtinId="9" hidden="1"/>
    <cellStyle name="Followed Hyperlink" xfId="546" builtinId="9" hidden="1"/>
    <cellStyle name="Followed Hyperlink" xfId="542" builtinId="9" hidden="1"/>
    <cellStyle name="Followed Hyperlink" xfId="538" builtinId="9" hidden="1"/>
    <cellStyle name="Followed Hyperlink" xfId="534" builtinId="9" hidden="1"/>
    <cellStyle name="Followed Hyperlink" xfId="530" builtinId="9" hidden="1"/>
    <cellStyle name="Followed Hyperlink" xfId="526" builtinId="9" hidden="1"/>
    <cellStyle name="Followed Hyperlink" xfId="522" builtinId="9" hidden="1"/>
    <cellStyle name="Followed Hyperlink" xfId="518" builtinId="9" hidden="1"/>
    <cellStyle name="Followed Hyperlink" xfId="514" builtinId="9" hidden="1"/>
    <cellStyle name="Followed Hyperlink" xfId="510" builtinId="9" hidden="1"/>
    <cellStyle name="Followed Hyperlink" xfId="506" builtinId="9" hidden="1"/>
    <cellStyle name="Followed Hyperlink" xfId="502" builtinId="9" hidden="1"/>
    <cellStyle name="Followed Hyperlink" xfId="498" builtinId="9" hidden="1"/>
    <cellStyle name="Followed Hyperlink" xfId="494" builtinId="9" hidden="1"/>
    <cellStyle name="Followed Hyperlink" xfId="490" builtinId="9" hidden="1"/>
    <cellStyle name="Followed Hyperlink" xfId="486" builtinId="9" hidden="1"/>
    <cellStyle name="Followed Hyperlink" xfId="482" builtinId="9" hidden="1"/>
    <cellStyle name="Followed Hyperlink" xfId="478" builtinId="9" hidden="1"/>
    <cellStyle name="Followed Hyperlink" xfId="474" builtinId="9" hidden="1"/>
    <cellStyle name="Followed Hyperlink" xfId="470" builtinId="9" hidden="1"/>
    <cellStyle name="Followed Hyperlink" xfId="466" builtinId="9" hidden="1"/>
    <cellStyle name="Followed Hyperlink" xfId="462" builtinId="9" hidden="1"/>
    <cellStyle name="Followed Hyperlink" xfId="680" builtinId="9" hidden="1"/>
    <cellStyle name="Followed Hyperlink" xfId="233" builtinId="9" hidden="1"/>
    <cellStyle name="Followed Hyperlink" xfId="681" builtinId="9" hidden="1"/>
    <cellStyle name="Followed Hyperlink" xfId="685" builtinId="9" hidden="1"/>
    <cellStyle name="Followed Hyperlink" xfId="687" builtinId="9" hidden="1"/>
    <cellStyle name="Followed Hyperlink" xfId="689" builtinId="9" hidden="1"/>
    <cellStyle name="Followed Hyperlink" xfId="691" builtinId="9" hidden="1"/>
    <cellStyle name="Followed Hyperlink" xfId="693" builtinId="9" hidden="1"/>
    <cellStyle name="Followed Hyperlink" xfId="695" builtinId="9" hidden="1"/>
    <cellStyle name="Followed Hyperlink" xfId="697" builtinId="9" hidden="1"/>
    <cellStyle name="Followed Hyperlink" xfId="699" builtinId="9" hidden="1"/>
    <cellStyle name="Followed Hyperlink" xfId="701" builtinId="9" hidden="1"/>
    <cellStyle name="Followed Hyperlink" xfId="703" builtinId="9" hidden="1"/>
    <cellStyle name="Followed Hyperlink" xfId="705" builtinId="9" hidden="1"/>
    <cellStyle name="Followed Hyperlink" xfId="707" builtinId="9" hidden="1"/>
    <cellStyle name="Followed Hyperlink" xfId="709" builtinId="9" hidden="1"/>
    <cellStyle name="Followed Hyperlink" xfId="711" builtinId="9" hidden="1"/>
    <cellStyle name="Followed Hyperlink" xfId="713" builtinId="9" hidden="1"/>
    <cellStyle name="Followed Hyperlink" xfId="715" builtinId="9" hidden="1"/>
    <cellStyle name="Followed Hyperlink" xfId="717" builtinId="9" hidden="1"/>
    <cellStyle name="Followed Hyperlink" xfId="719" builtinId="9" hidden="1"/>
    <cellStyle name="Followed Hyperlink" xfId="721" builtinId="9" hidden="1"/>
    <cellStyle name="Followed Hyperlink" xfId="723" builtinId="9" hidden="1"/>
    <cellStyle name="Followed Hyperlink" xfId="725" builtinId="9" hidden="1"/>
    <cellStyle name="Followed Hyperlink" xfId="727" builtinId="9" hidden="1"/>
    <cellStyle name="Followed Hyperlink" xfId="729" builtinId="9" hidden="1"/>
    <cellStyle name="Followed Hyperlink" xfId="731" builtinId="9" hidden="1"/>
    <cellStyle name="Followed Hyperlink" xfId="733" builtinId="9" hidden="1"/>
    <cellStyle name="Followed Hyperlink" xfId="735" builtinId="9" hidden="1"/>
    <cellStyle name="Followed Hyperlink" xfId="737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863" builtinId="9" hidden="1"/>
    <cellStyle name="Followed Hyperlink" xfId="864" builtinId="9" hidden="1"/>
    <cellStyle name="Followed Hyperlink" xfId="865" builtinId="9" hidden="1"/>
    <cellStyle name="Followed Hyperlink" xfId="866" builtinId="9" hidden="1"/>
    <cellStyle name="Followed Hyperlink" xfId="867" builtinId="9" hidden="1"/>
    <cellStyle name="Followed Hyperlink" xfId="868" builtinId="9" hidden="1"/>
    <cellStyle name="Followed Hyperlink" xfId="869" builtinId="9" hidden="1"/>
    <cellStyle name="Followed Hyperlink" xfId="870" builtinId="9" hidden="1"/>
    <cellStyle name="Followed Hyperlink" xfId="871" builtinId="9" hidden="1"/>
    <cellStyle name="Followed Hyperlink" xfId="872" builtinId="9" hidden="1"/>
    <cellStyle name="Followed Hyperlink" xfId="873" builtinId="9" hidden="1"/>
    <cellStyle name="Followed Hyperlink" xfId="874" builtinId="9" hidden="1"/>
    <cellStyle name="Followed Hyperlink" xfId="875" builtinId="9" hidden="1"/>
    <cellStyle name="Followed Hyperlink" xfId="876" builtinId="9" hidden="1"/>
    <cellStyle name="Followed Hyperlink" xfId="877" builtinId="9" hidden="1"/>
    <cellStyle name="Followed Hyperlink" xfId="878" builtinId="9" hidden="1"/>
    <cellStyle name="Followed Hyperlink" xfId="879" builtinId="9" hidden="1"/>
    <cellStyle name="Followed Hyperlink" xfId="880" builtinId="9" hidden="1"/>
    <cellStyle name="Followed Hyperlink" xfId="881" builtinId="9" hidden="1"/>
    <cellStyle name="Followed Hyperlink" xfId="882" builtinId="9" hidden="1"/>
    <cellStyle name="Followed Hyperlink" xfId="883" builtinId="9" hidden="1"/>
    <cellStyle name="Followed Hyperlink" xfId="884" builtinId="9" hidden="1"/>
    <cellStyle name="Followed Hyperlink" xfId="885" builtinId="9" hidden="1"/>
    <cellStyle name="Followed Hyperlink" xfId="886" builtinId="9" hidden="1"/>
    <cellStyle name="Followed Hyperlink" xfId="887" builtinId="9" hidden="1"/>
    <cellStyle name="Followed Hyperlink" xfId="888" builtinId="9" hidden="1"/>
    <cellStyle name="Followed Hyperlink" xfId="889" builtinId="9" hidden="1"/>
    <cellStyle name="Followed Hyperlink" xfId="890" builtinId="9" hidden="1"/>
    <cellStyle name="Followed Hyperlink" xfId="891" builtinId="9" hidden="1"/>
    <cellStyle name="Followed Hyperlink" xfId="892" builtinId="9" hidden="1"/>
    <cellStyle name="Followed Hyperlink" xfId="893" builtinId="9" hidden="1"/>
    <cellStyle name="Followed Hyperlink" xfId="894" builtinId="9" hidden="1"/>
    <cellStyle name="Followed Hyperlink" xfId="895" builtinId="9" hidden="1"/>
    <cellStyle name="Followed Hyperlink" xfId="896" builtinId="9" hidden="1"/>
    <cellStyle name="Followed Hyperlink" xfId="897" builtinId="9" hidden="1"/>
    <cellStyle name="Followed Hyperlink" xfId="898" builtinId="9" hidden="1"/>
    <cellStyle name="Followed Hyperlink" xfId="899" builtinId="9" hidden="1"/>
    <cellStyle name="Followed Hyperlink" xfId="900" builtinId="9" hidden="1"/>
    <cellStyle name="Followed Hyperlink" xfId="901" builtinId="9" hidden="1"/>
    <cellStyle name="Followed Hyperlink" xfId="902" builtinId="9" hidden="1"/>
    <cellStyle name="Followed Hyperlink" xfId="903" builtinId="9" hidden="1"/>
    <cellStyle name="Followed Hyperlink" xfId="905" builtinId="9" hidden="1"/>
    <cellStyle name="Followed Hyperlink" xfId="906" builtinId="9" hidden="1"/>
    <cellStyle name="Followed Hyperlink" xfId="907" builtinId="9" hidden="1"/>
    <cellStyle name="Followed Hyperlink" xfId="908" builtinId="9" hidden="1"/>
    <cellStyle name="Followed Hyperlink" xfId="909" builtinId="9" hidden="1"/>
    <cellStyle name="Followed Hyperlink" xfId="910" builtinId="9" hidden="1"/>
    <cellStyle name="Followed Hyperlink" xfId="911" builtinId="9" hidden="1"/>
    <cellStyle name="Followed Hyperlink" xfId="912" builtinId="9" hidden="1"/>
    <cellStyle name="Followed Hyperlink" xfId="913" builtinId="9" hidden="1"/>
    <cellStyle name="Followed Hyperlink" xfId="914" builtinId="9" hidden="1"/>
    <cellStyle name="Followed Hyperlink" xfId="915" builtinId="9" hidden="1"/>
    <cellStyle name="Followed Hyperlink" xfId="916" builtinId="9" hidden="1"/>
    <cellStyle name="Followed Hyperlink" xfId="917" builtinId="9" hidden="1"/>
    <cellStyle name="Followed Hyperlink" xfId="918" builtinId="9" hidden="1"/>
    <cellStyle name="Followed Hyperlink" xfId="919" builtinId="9" hidden="1"/>
    <cellStyle name="Followed Hyperlink" xfId="920" builtinId="9" hidden="1"/>
    <cellStyle name="Followed Hyperlink" xfId="921" builtinId="9" hidden="1"/>
    <cellStyle name="Followed Hyperlink" xfId="922" builtinId="9" hidden="1"/>
    <cellStyle name="Followed Hyperlink" xfId="923" builtinId="9" hidden="1"/>
    <cellStyle name="Followed Hyperlink" xfId="924" builtinId="9" hidden="1"/>
    <cellStyle name="Followed Hyperlink" xfId="925" builtinId="9" hidden="1"/>
    <cellStyle name="Followed Hyperlink" xfId="926" builtinId="9" hidden="1"/>
    <cellStyle name="Followed Hyperlink" xfId="927" builtinId="9" hidden="1"/>
    <cellStyle name="Followed Hyperlink" xfId="928" builtinId="9" hidden="1"/>
    <cellStyle name="Followed Hyperlink" xfId="929" builtinId="9" hidden="1"/>
    <cellStyle name="Followed Hyperlink" xfId="930" builtinId="9" hidden="1"/>
    <cellStyle name="Followed Hyperlink" xfId="931" builtinId="9" hidden="1"/>
    <cellStyle name="Followed Hyperlink" xfId="932" builtinId="9" hidden="1"/>
    <cellStyle name="Followed Hyperlink" xfId="933" builtinId="9" hidden="1"/>
    <cellStyle name="Followed Hyperlink" xfId="934" builtinId="9" hidden="1"/>
    <cellStyle name="Followed Hyperlink" xfId="935" builtinId="9" hidden="1"/>
    <cellStyle name="Followed Hyperlink" xfId="936" builtinId="9" hidden="1"/>
    <cellStyle name="Followed Hyperlink" xfId="937" builtinId="9" hidden="1"/>
    <cellStyle name="Followed Hyperlink" xfId="938" builtinId="9" hidden="1"/>
    <cellStyle name="Followed Hyperlink" xfId="939" builtinId="9" hidden="1"/>
    <cellStyle name="Followed Hyperlink" xfId="940" builtinId="9" hidden="1"/>
    <cellStyle name="Followed Hyperlink" xfId="941" builtinId="9" hidden="1"/>
    <cellStyle name="Followed Hyperlink" xfId="942" builtinId="9" hidden="1"/>
    <cellStyle name="Followed Hyperlink" xfId="943" builtinId="9" hidden="1"/>
    <cellStyle name="Followed Hyperlink" xfId="944" builtinId="9" hidden="1"/>
    <cellStyle name="Followed Hyperlink" xfId="945" builtinId="9" hidden="1"/>
    <cellStyle name="Followed Hyperlink" xfId="946" builtinId="9" hidden="1"/>
    <cellStyle name="Followed Hyperlink" xfId="947" builtinId="9" hidden="1"/>
    <cellStyle name="Followed Hyperlink" xfId="948" builtinId="9" hidden="1"/>
    <cellStyle name="Followed Hyperlink" xfId="949" builtinId="9" hidden="1"/>
    <cellStyle name="Followed Hyperlink" xfId="950" builtinId="9" hidden="1"/>
    <cellStyle name="Followed Hyperlink" xfId="951" builtinId="9" hidden="1"/>
    <cellStyle name="Followed Hyperlink" xfId="952" builtinId="9" hidden="1"/>
    <cellStyle name="Followed Hyperlink" xfId="953" builtinId="9" hidden="1"/>
    <cellStyle name="Followed Hyperlink" xfId="954" builtinId="9" hidden="1"/>
    <cellStyle name="Followed Hyperlink" xfId="955" builtinId="9" hidden="1"/>
    <cellStyle name="Followed Hyperlink" xfId="956" builtinId="9" hidden="1"/>
    <cellStyle name="Followed Hyperlink" xfId="957" builtinId="9" hidden="1"/>
    <cellStyle name="Followed Hyperlink" xfId="958" builtinId="9" hidden="1"/>
    <cellStyle name="Followed Hyperlink" xfId="959" builtinId="9" hidden="1"/>
    <cellStyle name="Followed Hyperlink" xfId="960" builtinId="9" hidden="1"/>
    <cellStyle name="Followed Hyperlink" xfId="961" builtinId="9" hidden="1"/>
    <cellStyle name="Followed Hyperlink" xfId="962" builtinId="9" hidden="1"/>
    <cellStyle name="Followed Hyperlink" xfId="963" builtinId="9" hidden="1"/>
    <cellStyle name="Followed Hyperlink" xfId="964" builtinId="9" hidden="1"/>
    <cellStyle name="Followed Hyperlink" xfId="965" builtinId="9" hidden="1"/>
    <cellStyle name="Followed Hyperlink" xfId="966" builtinId="9" hidden="1"/>
    <cellStyle name="Followed Hyperlink" xfId="967" builtinId="9" hidden="1"/>
    <cellStyle name="Followed Hyperlink" xfId="968" builtinId="9" hidden="1"/>
    <cellStyle name="Followed Hyperlink" xfId="969" builtinId="9" hidden="1"/>
    <cellStyle name="Followed Hyperlink" xfId="970" builtinId="9" hidden="1"/>
    <cellStyle name="Followed Hyperlink" xfId="971" builtinId="9" hidden="1"/>
    <cellStyle name="Followed Hyperlink" xfId="972" builtinId="9" hidden="1"/>
    <cellStyle name="Followed Hyperlink" xfId="973" builtinId="9" hidden="1"/>
    <cellStyle name="Followed Hyperlink" xfId="974" builtinId="9" hidden="1"/>
    <cellStyle name="Followed Hyperlink" xfId="975" builtinId="9" hidden="1"/>
    <cellStyle name="Followed Hyperlink" xfId="976" builtinId="9" hidden="1"/>
    <cellStyle name="Followed Hyperlink" xfId="977" builtinId="9" hidden="1"/>
    <cellStyle name="Followed Hyperlink" xfId="978" builtinId="9" hidden="1"/>
    <cellStyle name="Followed Hyperlink" xfId="979" builtinId="9" hidden="1"/>
    <cellStyle name="Followed Hyperlink" xfId="980" builtinId="9" hidden="1"/>
    <cellStyle name="Followed Hyperlink" xfId="981" builtinId="9" hidden="1"/>
    <cellStyle name="Followed Hyperlink" xfId="982" builtinId="9" hidden="1"/>
    <cellStyle name="Followed Hyperlink" xfId="983" builtinId="9" hidden="1"/>
    <cellStyle name="Followed Hyperlink" xfId="984" builtinId="9" hidden="1"/>
    <cellStyle name="Followed Hyperlink" xfId="985" builtinId="9" hidden="1"/>
    <cellStyle name="Followed Hyperlink" xfId="986" builtinId="9" hidden="1"/>
    <cellStyle name="Followed Hyperlink" xfId="987" builtinId="9" hidden="1"/>
    <cellStyle name="Followed Hyperlink" xfId="988" builtinId="9" hidden="1"/>
    <cellStyle name="Followed Hyperlink" xfId="989" builtinId="9" hidden="1"/>
    <cellStyle name="Followed Hyperlink" xfId="990" builtinId="9" hidden="1"/>
    <cellStyle name="Followed Hyperlink" xfId="991" builtinId="9" hidden="1"/>
    <cellStyle name="Followed Hyperlink" xfId="992" builtinId="9" hidden="1"/>
    <cellStyle name="Followed Hyperlink" xfId="993" builtinId="9" hidden="1"/>
    <cellStyle name="Followed Hyperlink" xfId="994" builtinId="9" hidden="1"/>
    <cellStyle name="Followed Hyperlink" xfId="995" builtinId="9" hidden="1"/>
    <cellStyle name="Followed Hyperlink" xfId="996" builtinId="9" hidden="1"/>
    <cellStyle name="Followed Hyperlink" xfId="997" builtinId="9" hidden="1"/>
    <cellStyle name="Followed Hyperlink" xfId="998" builtinId="9" hidden="1"/>
    <cellStyle name="Followed Hyperlink" xfId="999" builtinId="9" hidden="1"/>
    <cellStyle name="Followed Hyperlink" xfId="1000" builtinId="9" hidden="1"/>
    <cellStyle name="Followed Hyperlink" xfId="1001" builtinId="9" hidden="1"/>
    <cellStyle name="Followed Hyperlink" xfId="1002" builtinId="9" hidden="1"/>
    <cellStyle name="Followed Hyperlink" xfId="1003" builtinId="9" hidden="1"/>
    <cellStyle name="Followed Hyperlink" xfId="1004" builtinId="9" hidden="1"/>
    <cellStyle name="Followed Hyperlink" xfId="1005" builtinId="9" hidden="1"/>
    <cellStyle name="Followed Hyperlink" xfId="1006" builtinId="9" hidden="1"/>
    <cellStyle name="Followed Hyperlink" xfId="1007" builtinId="9" hidden="1"/>
    <cellStyle name="Followed Hyperlink" xfId="1008" builtinId="9" hidden="1"/>
    <cellStyle name="Followed Hyperlink" xfId="1009" builtinId="9" hidden="1"/>
    <cellStyle name="Followed Hyperlink" xfId="1010" builtinId="9" hidden="1"/>
    <cellStyle name="Followed Hyperlink" xfId="1011" builtinId="9" hidden="1"/>
    <cellStyle name="Followed Hyperlink" xfId="1012" builtinId="9" hidden="1"/>
    <cellStyle name="Followed Hyperlink" xfId="1013" builtinId="9" hidden="1"/>
    <cellStyle name="Followed Hyperlink" xfId="1014" builtinId="9" hidden="1"/>
    <cellStyle name="Followed Hyperlink" xfId="1015" builtinId="9" hidden="1"/>
    <cellStyle name="Followed Hyperlink" xfId="1016" builtinId="9" hidden="1"/>
    <cellStyle name="Followed Hyperlink" xfId="1017" builtinId="9" hidden="1"/>
    <cellStyle name="Followed Hyperlink" xfId="1018" builtinId="9" hidden="1"/>
    <cellStyle name="Followed Hyperlink" xfId="1019" builtinId="9" hidden="1"/>
    <cellStyle name="Followed Hyperlink" xfId="1020" builtinId="9" hidden="1"/>
    <cellStyle name="Followed Hyperlink" xfId="1021" builtinId="9" hidden="1"/>
    <cellStyle name="Followed Hyperlink" xfId="1022" builtinId="9" hidden="1"/>
    <cellStyle name="Followed Hyperlink" xfId="1023" builtinId="9" hidden="1"/>
    <cellStyle name="Followed Hyperlink" xfId="1024" builtinId="9" hidden="1"/>
    <cellStyle name="Followed Hyperlink" xfId="1025" builtinId="9" hidden="1"/>
    <cellStyle name="Followed Hyperlink" xfId="1026" builtinId="9" hidden="1"/>
    <cellStyle name="Followed Hyperlink" xfId="1027" builtinId="9" hidden="1"/>
    <cellStyle name="Followed Hyperlink" xfId="1028" builtinId="9" hidden="1"/>
    <cellStyle name="Followed Hyperlink" xfId="1029" builtinId="9" hidden="1"/>
    <cellStyle name="Followed Hyperlink" xfId="1030" builtinId="9" hidden="1"/>
    <cellStyle name="Followed Hyperlink" xfId="1031" builtinId="9" hidden="1"/>
    <cellStyle name="Followed Hyperlink" xfId="1032" builtinId="9" hidden="1"/>
    <cellStyle name="Followed Hyperlink" xfId="1033" builtinId="9" hidden="1"/>
    <cellStyle name="Followed Hyperlink" xfId="1034" builtinId="9" hidden="1"/>
    <cellStyle name="Followed Hyperlink" xfId="1035" builtinId="9" hidden="1"/>
    <cellStyle name="Followed Hyperlink" xfId="1036" builtinId="9" hidden="1"/>
    <cellStyle name="Followed Hyperlink" xfId="1037" builtinId="9" hidden="1"/>
    <cellStyle name="Followed Hyperlink" xfId="1038" builtinId="9" hidden="1"/>
    <cellStyle name="Followed Hyperlink" xfId="1039" builtinId="9" hidden="1"/>
    <cellStyle name="Followed Hyperlink" xfId="1040" builtinId="9" hidden="1"/>
    <cellStyle name="Followed Hyperlink" xfId="1041" builtinId="9" hidden="1"/>
    <cellStyle name="Followed Hyperlink" xfId="1042" builtinId="9" hidden="1"/>
    <cellStyle name="Followed Hyperlink" xfId="1043" builtinId="9" hidden="1"/>
    <cellStyle name="Followed Hyperlink" xfId="1044" builtinId="9" hidden="1"/>
    <cellStyle name="Followed Hyperlink" xfId="1045" builtinId="9" hidden="1"/>
    <cellStyle name="Followed Hyperlink" xfId="1046" builtinId="9" hidden="1"/>
    <cellStyle name="Followed Hyperlink" xfId="1047" builtinId="9" hidden="1"/>
    <cellStyle name="Followed Hyperlink" xfId="1048" builtinId="9" hidden="1"/>
    <cellStyle name="Followed Hyperlink" xfId="1049" builtinId="9" hidden="1"/>
    <cellStyle name="Followed Hyperlink" xfId="1050" builtinId="9" hidden="1"/>
    <cellStyle name="Followed Hyperlink" xfId="1051" builtinId="9" hidden="1"/>
    <cellStyle name="Followed Hyperlink" xfId="1052" builtinId="9" hidden="1"/>
    <cellStyle name="Followed Hyperlink" xfId="1053" builtinId="9" hidden="1"/>
    <cellStyle name="Followed Hyperlink" xfId="1054" builtinId="9" hidden="1"/>
    <cellStyle name="Followed Hyperlink" xfId="1055" builtinId="9" hidden="1"/>
    <cellStyle name="Followed Hyperlink" xfId="1056" builtinId="9" hidden="1"/>
    <cellStyle name="Followed Hyperlink" xfId="1057" builtinId="9" hidden="1"/>
    <cellStyle name="Followed Hyperlink" xfId="1058" builtinId="9" hidden="1"/>
    <cellStyle name="Followed Hyperlink" xfId="1059" builtinId="9" hidden="1"/>
    <cellStyle name="Followed Hyperlink" xfId="1060" builtinId="9" hidden="1"/>
    <cellStyle name="Followed Hyperlink" xfId="1061" builtinId="9" hidden="1"/>
    <cellStyle name="Followed Hyperlink" xfId="1062" builtinId="9" hidden="1"/>
    <cellStyle name="Followed Hyperlink" xfId="1063" builtinId="9" hidden="1"/>
    <cellStyle name="Followed Hyperlink" xfId="1064" builtinId="9" hidden="1"/>
    <cellStyle name="Followed Hyperlink" xfId="1065" builtinId="9" hidden="1"/>
    <cellStyle name="Followed Hyperlink" xfId="1066" builtinId="9" hidden="1"/>
    <cellStyle name="Followed Hyperlink" xfId="1067" builtinId="9" hidden="1"/>
    <cellStyle name="Followed Hyperlink" xfId="1068" builtinId="9" hidden="1"/>
    <cellStyle name="Followed Hyperlink" xfId="1069" builtinId="9" hidden="1"/>
    <cellStyle name="Followed Hyperlink" xfId="1070" builtinId="9" hidden="1"/>
    <cellStyle name="Followed Hyperlink" xfId="1071" builtinId="9" hidden="1"/>
    <cellStyle name="Followed Hyperlink" xfId="1072" builtinId="9" hidden="1"/>
    <cellStyle name="Followed Hyperlink" xfId="1073" builtinId="9" hidden="1"/>
    <cellStyle name="Followed Hyperlink" xfId="1074" builtinId="9" hidden="1"/>
    <cellStyle name="Followed Hyperlink" xfId="1075" builtinId="9" hidden="1"/>
    <cellStyle name="Followed Hyperlink" xfId="1076" builtinId="9" hidden="1"/>
    <cellStyle name="Followed Hyperlink" xfId="1077" builtinId="9" hidden="1"/>
    <cellStyle name="Followed Hyperlink" xfId="1078" builtinId="9" hidden="1"/>
    <cellStyle name="Followed Hyperlink" xfId="1079" builtinId="9" hidden="1"/>
    <cellStyle name="Followed Hyperlink" xfId="1080" builtinId="9" hidden="1"/>
    <cellStyle name="Followed Hyperlink" xfId="1081" builtinId="9" hidden="1"/>
    <cellStyle name="Followed Hyperlink" xfId="1082" builtinId="9" hidden="1"/>
    <cellStyle name="Followed Hyperlink" xfId="1083" builtinId="9" hidden="1"/>
    <cellStyle name="Followed Hyperlink" xfId="1084" builtinId="9" hidden="1"/>
    <cellStyle name="Followed Hyperlink" xfId="1085" builtinId="9" hidden="1"/>
    <cellStyle name="Followed Hyperlink" xfId="1086" builtinId="9" hidden="1"/>
    <cellStyle name="Followed Hyperlink" xfId="1087" builtinId="9" hidden="1"/>
    <cellStyle name="Followed Hyperlink" xfId="1088" builtinId="9" hidden="1"/>
    <cellStyle name="Followed Hyperlink" xfId="1089" builtinId="9" hidden="1"/>
    <cellStyle name="Followed Hyperlink" xfId="1090" builtinId="9" hidden="1"/>
    <cellStyle name="Followed Hyperlink" xfId="1091" builtinId="9" hidden="1"/>
    <cellStyle name="Followed Hyperlink" xfId="1092" builtinId="9" hidden="1"/>
    <cellStyle name="Followed Hyperlink" xfId="1093" builtinId="9" hidden="1"/>
    <cellStyle name="Followed Hyperlink" xfId="1094" builtinId="9" hidden="1"/>
    <cellStyle name="Followed Hyperlink" xfId="1095" builtinId="9" hidden="1"/>
    <cellStyle name="Followed Hyperlink" xfId="1096" builtinId="9" hidden="1"/>
    <cellStyle name="Followed Hyperlink" xfId="1097" builtinId="9" hidden="1"/>
    <cellStyle name="Followed Hyperlink" xfId="1098" builtinId="9" hidden="1"/>
    <cellStyle name="Followed Hyperlink" xfId="1099" builtinId="9" hidden="1"/>
    <cellStyle name="Followed Hyperlink" xfId="1100" builtinId="9" hidden="1"/>
    <cellStyle name="Followed Hyperlink" xfId="1101" builtinId="9" hidden="1"/>
    <cellStyle name="Followed Hyperlink" xfId="1102" builtinId="9" hidden="1"/>
    <cellStyle name="Followed Hyperlink" xfId="1103" builtinId="9" hidden="1"/>
    <cellStyle name="Followed Hyperlink" xfId="1104" builtinId="9" hidden="1"/>
    <cellStyle name="Followed Hyperlink" xfId="1105" builtinId="9" hidden="1"/>
    <cellStyle name="Followed Hyperlink" xfId="1106" builtinId="9" hidden="1"/>
    <cellStyle name="Followed Hyperlink" xfId="1107" builtinId="9" hidden="1"/>
    <cellStyle name="Followed Hyperlink" xfId="1108" builtinId="9" hidden="1"/>
    <cellStyle name="Followed Hyperlink" xfId="1109" builtinId="9" hidden="1"/>
    <cellStyle name="Followed Hyperlink" xfId="1110" builtinId="9" hidden="1"/>
    <cellStyle name="Followed Hyperlink" xfId="1111" builtinId="9" hidden="1"/>
    <cellStyle name="Followed Hyperlink" xfId="1117" builtinId="9" hidden="1"/>
    <cellStyle name="Followed Hyperlink" xfId="1119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5" builtinId="9" hidden="1"/>
    <cellStyle name="Followed Hyperlink" xfId="1157" builtinId="9" hidden="1"/>
    <cellStyle name="Followed Hyperlink" xfId="1159" builtinId="9" hidden="1"/>
    <cellStyle name="Followed Hyperlink" xfId="1161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69" builtinId="9" hidden="1"/>
    <cellStyle name="Followed Hyperlink" xfId="1171" builtinId="9" hidden="1"/>
    <cellStyle name="Followed Hyperlink" xfId="1173" builtinId="9" hidden="1"/>
    <cellStyle name="Followed Hyperlink" xfId="1175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3" builtinId="9" hidden="1"/>
    <cellStyle name="Followed Hyperlink" xfId="1185" builtinId="9" hidden="1"/>
    <cellStyle name="Followed Hyperlink" xfId="1187" builtinId="9" hidden="1"/>
    <cellStyle name="Followed Hyperlink" xfId="1189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7" builtinId="9" hidden="1"/>
    <cellStyle name="Followed Hyperlink" xfId="1199" builtinId="9" hidden="1"/>
    <cellStyle name="Followed Hyperlink" xfId="1201" builtinId="9" hidden="1"/>
    <cellStyle name="Followed Hyperlink" xfId="1203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1" builtinId="9" hidden="1"/>
    <cellStyle name="Followed Hyperlink" xfId="1213" builtinId="9" hidden="1"/>
    <cellStyle name="Followed Hyperlink" xfId="1215" builtinId="9" hidden="1"/>
    <cellStyle name="Followed Hyperlink" xfId="1217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5" builtinId="9" hidden="1"/>
    <cellStyle name="Followed Hyperlink" xfId="1227" builtinId="9" hidden="1"/>
    <cellStyle name="Followed Hyperlink" xfId="1229" builtinId="9" hidden="1"/>
    <cellStyle name="Followed Hyperlink" xfId="1231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39" builtinId="9" hidden="1"/>
    <cellStyle name="Followed Hyperlink" xfId="1241" builtinId="9" hidden="1"/>
    <cellStyle name="Followed Hyperlink" xfId="1243" builtinId="9" hidden="1"/>
    <cellStyle name="Followed Hyperlink" xfId="1245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3" builtinId="9" hidden="1"/>
    <cellStyle name="Followed Hyperlink" xfId="1255" builtinId="9" hidden="1"/>
    <cellStyle name="Followed Hyperlink" xfId="1257" builtinId="9" hidden="1"/>
    <cellStyle name="Followed Hyperlink" xfId="1259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7" builtinId="9" hidden="1"/>
    <cellStyle name="Followed Hyperlink" xfId="1269" builtinId="9" hidden="1"/>
    <cellStyle name="Followed Hyperlink" xfId="1271" builtinId="9" hidden="1"/>
    <cellStyle name="Followed Hyperlink" xfId="1273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1" builtinId="9" hidden="1"/>
    <cellStyle name="Followed Hyperlink" xfId="1283" builtinId="9" hidden="1"/>
    <cellStyle name="Followed Hyperlink" xfId="1285" builtinId="9" hidden="1"/>
    <cellStyle name="Followed Hyperlink" xfId="1287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5" builtinId="9" hidden="1"/>
    <cellStyle name="Followed Hyperlink" xfId="1297" builtinId="9" hidden="1"/>
    <cellStyle name="Followed Hyperlink" xfId="1299" builtinId="9" hidden="1"/>
    <cellStyle name="Followed Hyperlink" xfId="1301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57" builtinId="9" hidden="1"/>
    <cellStyle name="Followed Hyperlink" xfId="1753" builtinId="9" hidden="1"/>
    <cellStyle name="Followed Hyperlink" xfId="1749" builtinId="9" hidden="1"/>
    <cellStyle name="Followed Hyperlink" xfId="1745" builtinId="9" hidden="1"/>
    <cellStyle name="Followed Hyperlink" xfId="1741" builtinId="9" hidden="1"/>
    <cellStyle name="Followed Hyperlink" xfId="1737" builtinId="9" hidden="1"/>
    <cellStyle name="Followed Hyperlink" xfId="1733" builtinId="9" hidden="1"/>
    <cellStyle name="Followed Hyperlink" xfId="1729" builtinId="9" hidden="1"/>
    <cellStyle name="Followed Hyperlink" xfId="1725" builtinId="9" hidden="1"/>
    <cellStyle name="Followed Hyperlink" xfId="1721" builtinId="9" hidden="1"/>
    <cellStyle name="Followed Hyperlink" xfId="1717" builtinId="9" hidden="1"/>
    <cellStyle name="Followed Hyperlink" xfId="1713" builtinId="9" hidden="1"/>
    <cellStyle name="Followed Hyperlink" xfId="1709" builtinId="9" hidden="1"/>
    <cellStyle name="Followed Hyperlink" xfId="1705" builtinId="9" hidden="1"/>
    <cellStyle name="Followed Hyperlink" xfId="1701" builtinId="9" hidden="1"/>
    <cellStyle name="Followed Hyperlink" xfId="1697" builtinId="9" hidden="1"/>
    <cellStyle name="Followed Hyperlink" xfId="1693" builtinId="9" hidden="1"/>
    <cellStyle name="Followed Hyperlink" xfId="1689" builtinId="9" hidden="1"/>
    <cellStyle name="Followed Hyperlink" xfId="1685" builtinId="9" hidden="1"/>
    <cellStyle name="Followed Hyperlink" xfId="1681" builtinId="9" hidden="1"/>
    <cellStyle name="Followed Hyperlink" xfId="1677" builtinId="9" hidden="1"/>
    <cellStyle name="Followed Hyperlink" xfId="1673" builtinId="9" hidden="1"/>
    <cellStyle name="Followed Hyperlink" xfId="1669" builtinId="9" hidden="1"/>
    <cellStyle name="Followed Hyperlink" xfId="1665" builtinId="9" hidden="1"/>
    <cellStyle name="Followed Hyperlink" xfId="1661" builtinId="9" hidden="1"/>
    <cellStyle name="Followed Hyperlink" xfId="1657" builtinId="9" hidden="1"/>
    <cellStyle name="Followed Hyperlink" xfId="1653" builtinId="9" hidden="1"/>
    <cellStyle name="Followed Hyperlink" xfId="1649" builtinId="9" hidden="1"/>
    <cellStyle name="Followed Hyperlink" xfId="1645" builtinId="9" hidden="1"/>
    <cellStyle name="Followed Hyperlink" xfId="1641" builtinId="9" hidden="1"/>
    <cellStyle name="Followed Hyperlink" xfId="1637" builtinId="9" hidden="1"/>
    <cellStyle name="Followed Hyperlink" xfId="1633" builtinId="9" hidden="1"/>
    <cellStyle name="Followed Hyperlink" xfId="1629" builtinId="9" hidden="1"/>
    <cellStyle name="Followed Hyperlink" xfId="1625" builtinId="9" hidden="1"/>
    <cellStyle name="Followed Hyperlink" xfId="1621" builtinId="9" hidden="1"/>
    <cellStyle name="Followed Hyperlink" xfId="1617" builtinId="9" hidden="1"/>
    <cellStyle name="Followed Hyperlink" xfId="1613" builtinId="9" hidden="1"/>
    <cellStyle name="Followed Hyperlink" xfId="1609" builtinId="9" hidden="1"/>
    <cellStyle name="Followed Hyperlink" xfId="1605" builtinId="9" hidden="1"/>
    <cellStyle name="Followed Hyperlink" xfId="1601" builtinId="9" hidden="1"/>
    <cellStyle name="Followed Hyperlink" xfId="1597" builtinId="9" hidden="1"/>
    <cellStyle name="Followed Hyperlink" xfId="1593" builtinId="9" hidden="1"/>
    <cellStyle name="Followed Hyperlink" xfId="1589" builtinId="9" hidden="1"/>
    <cellStyle name="Followed Hyperlink" xfId="1585" builtinId="9" hidden="1"/>
    <cellStyle name="Followed Hyperlink" xfId="1581" builtinId="9" hidden="1"/>
    <cellStyle name="Followed Hyperlink" xfId="1577" builtinId="9" hidden="1"/>
    <cellStyle name="Followed Hyperlink" xfId="1573" builtinId="9" hidden="1"/>
    <cellStyle name="Followed Hyperlink" xfId="1569" builtinId="9" hidden="1"/>
    <cellStyle name="Followed Hyperlink" xfId="1565" builtinId="9" hidden="1"/>
    <cellStyle name="Followed Hyperlink" xfId="1561" builtinId="9" hidden="1"/>
    <cellStyle name="Followed Hyperlink" xfId="1557" builtinId="9" hidden="1"/>
    <cellStyle name="Followed Hyperlink" xfId="1553" builtinId="9" hidden="1"/>
    <cellStyle name="Followed Hyperlink" xfId="1549" builtinId="9" hidden="1"/>
    <cellStyle name="Followed Hyperlink" xfId="1545" builtinId="9" hidden="1"/>
    <cellStyle name="Followed Hyperlink" xfId="1541" builtinId="9" hidden="1"/>
    <cellStyle name="Followed Hyperlink" xfId="1759" builtinId="9" hidden="1"/>
    <cellStyle name="Followed Hyperlink" xfId="1312" builtinId="9" hidden="1"/>
    <cellStyle name="Followed Hyperlink" xfId="1760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Followed Hyperlink" xfId="1782" builtinId="9" hidden="1"/>
    <cellStyle name="Followed Hyperlink" xfId="1784" builtinId="9" hidden="1"/>
    <cellStyle name="Followed Hyperlink" xfId="1786" builtinId="9" hidden="1"/>
    <cellStyle name="Followed Hyperlink" xfId="1788" builtinId="9" hidden="1"/>
    <cellStyle name="Followed Hyperlink" xfId="1790" builtinId="9" hidden="1"/>
    <cellStyle name="Followed Hyperlink" xfId="1792" builtinId="9" hidden="1"/>
    <cellStyle name="Followed Hyperlink" xfId="1794" builtinId="9" hidden="1"/>
    <cellStyle name="Followed Hyperlink" xfId="1796" builtinId="9" hidden="1"/>
    <cellStyle name="Followed Hyperlink" xfId="1798" builtinId="9" hidden="1"/>
    <cellStyle name="Followed Hyperlink" xfId="1800" builtinId="9" hidden="1"/>
    <cellStyle name="Followed Hyperlink" xfId="1802" builtinId="9" hidden="1"/>
    <cellStyle name="Followed Hyperlink" xfId="1804" builtinId="9" hidden="1"/>
    <cellStyle name="Followed Hyperlink" xfId="1806" builtinId="9" hidden="1"/>
    <cellStyle name="Followed Hyperlink" xfId="1808" builtinId="9" hidden="1"/>
    <cellStyle name="Followed Hyperlink" xfId="1810" builtinId="9" hidden="1"/>
    <cellStyle name="Followed Hyperlink" xfId="1812" builtinId="9" hidden="1"/>
    <cellStyle name="Followed Hyperlink" xfId="1814" builtinId="9" hidden="1"/>
    <cellStyle name="Followed Hyperlink" xfId="1816" builtinId="9" hidden="1"/>
    <cellStyle name="Followed Hyperlink" xfId="1818" builtinId="9" hidden="1"/>
    <cellStyle name="Followed Hyperlink" xfId="1820" builtinId="9" hidden="1"/>
    <cellStyle name="Followed Hyperlink" xfId="1822" builtinId="9" hidden="1"/>
    <cellStyle name="Followed Hyperlink" xfId="1824" builtinId="9" hidden="1"/>
    <cellStyle name="Followed Hyperlink" xfId="1826" builtinId="9" hidden="1"/>
    <cellStyle name="Followed Hyperlink" xfId="1828" builtinId="9" hidden="1"/>
    <cellStyle name="Followed Hyperlink" xfId="1830" builtinId="9" hidden="1"/>
    <cellStyle name="Followed Hyperlink" xfId="1832" builtinId="9" hidden="1"/>
    <cellStyle name="Followed Hyperlink" xfId="1834" builtinId="9" hidden="1"/>
    <cellStyle name="Followed Hyperlink" xfId="1836" builtinId="9" hidden="1"/>
    <cellStyle name="Followed Hyperlink" xfId="1838" builtinId="9" hidden="1"/>
    <cellStyle name="Followed Hyperlink" xfId="1840" builtinId="9" hidden="1"/>
    <cellStyle name="Followed Hyperlink" xfId="1842" builtinId="9" hidden="1"/>
    <cellStyle name="Followed Hyperlink" xfId="1844" builtinId="9" hidden="1"/>
    <cellStyle name="Followed Hyperlink" xfId="1846" builtinId="9" hidden="1"/>
    <cellStyle name="Followed Hyperlink" xfId="1848" builtinId="9" hidden="1"/>
    <cellStyle name="Followed Hyperlink" xfId="1850" builtinId="9" hidden="1"/>
    <cellStyle name="Followed Hyperlink" xfId="1852" builtinId="9" hidden="1"/>
    <cellStyle name="Followed Hyperlink" xfId="1854" builtinId="9" hidden="1"/>
    <cellStyle name="Followed Hyperlink" xfId="1856" builtinId="9" hidden="1"/>
    <cellStyle name="Followed Hyperlink" xfId="1858" builtinId="9" hidden="1"/>
    <cellStyle name="Followed Hyperlink" xfId="1860" builtinId="9" hidden="1"/>
    <cellStyle name="Followed Hyperlink" xfId="1862" builtinId="9" hidden="1"/>
    <cellStyle name="Followed Hyperlink" xfId="1864" builtinId="9" hidden="1"/>
    <cellStyle name="Followed Hyperlink" xfId="1866" builtinId="9" hidden="1"/>
    <cellStyle name="Followed Hyperlink" xfId="1934" builtinId="9" hidden="1"/>
    <cellStyle name="Followed Hyperlink" xfId="1935" builtinId="9" hidden="1"/>
    <cellStyle name="Followed Hyperlink" xfId="1936" builtinId="9" hidden="1"/>
    <cellStyle name="Followed Hyperlink" xfId="1937" builtinId="9" hidden="1"/>
    <cellStyle name="Followed Hyperlink" xfId="1938" builtinId="9" hidden="1"/>
    <cellStyle name="Followed Hyperlink" xfId="1939" builtinId="9" hidden="1"/>
    <cellStyle name="Followed Hyperlink" xfId="1940" builtinId="9" hidden="1"/>
    <cellStyle name="Followed Hyperlink" xfId="1941" builtinId="9" hidden="1"/>
    <cellStyle name="Followed Hyperlink" xfId="1942" builtinId="9" hidden="1"/>
    <cellStyle name="Followed Hyperlink" xfId="1943" builtinId="9" hidden="1"/>
    <cellStyle name="Followed Hyperlink" xfId="1944" builtinId="9" hidden="1"/>
    <cellStyle name="Followed Hyperlink" xfId="1945" builtinId="9" hidden="1"/>
    <cellStyle name="Followed Hyperlink" xfId="1946" builtinId="9" hidden="1"/>
    <cellStyle name="Followed Hyperlink" xfId="1947" builtinId="9" hidden="1"/>
    <cellStyle name="Followed Hyperlink" xfId="1948" builtinId="9" hidden="1"/>
    <cellStyle name="Followed Hyperlink" xfId="1949" builtinId="9" hidden="1"/>
    <cellStyle name="Followed Hyperlink" xfId="1950" builtinId="9" hidden="1"/>
    <cellStyle name="Followed Hyperlink" xfId="1951" builtinId="9" hidden="1"/>
    <cellStyle name="Followed Hyperlink" xfId="1952" builtinId="9" hidden="1"/>
    <cellStyle name="Followed Hyperlink" xfId="1953" builtinId="9" hidden="1"/>
    <cellStyle name="Followed Hyperlink" xfId="1954" builtinId="9" hidden="1"/>
    <cellStyle name="Followed Hyperlink" xfId="1955" builtinId="9" hidden="1"/>
    <cellStyle name="Followed Hyperlink" xfId="1956" builtinId="9" hidden="1"/>
    <cellStyle name="Followed Hyperlink" xfId="1957" builtinId="9" hidden="1"/>
    <cellStyle name="Followed Hyperlink" xfId="1958" builtinId="9" hidden="1"/>
    <cellStyle name="Followed Hyperlink" xfId="1959" builtinId="9" hidden="1"/>
    <cellStyle name="Followed Hyperlink" xfId="1960" builtinId="9" hidden="1"/>
    <cellStyle name="Followed Hyperlink" xfId="1961" builtinId="9" hidden="1"/>
    <cellStyle name="Followed Hyperlink" xfId="1962" builtinId="9" hidden="1"/>
    <cellStyle name="Followed Hyperlink" xfId="1963" builtinId="9" hidden="1"/>
    <cellStyle name="Followed Hyperlink" xfId="1964" builtinId="9" hidden="1"/>
    <cellStyle name="Followed Hyperlink" xfId="1965" builtinId="9" hidden="1"/>
    <cellStyle name="Followed Hyperlink" xfId="1966" builtinId="9" hidden="1"/>
    <cellStyle name="Followed Hyperlink" xfId="1967" builtinId="9" hidden="1"/>
    <cellStyle name="Followed Hyperlink" xfId="1968" builtinId="9" hidden="1"/>
    <cellStyle name="Followed Hyperlink" xfId="1969" builtinId="9" hidden="1"/>
    <cellStyle name="Followed Hyperlink" xfId="1970" builtinId="9" hidden="1"/>
    <cellStyle name="Followed Hyperlink" xfId="1971" builtinId="9" hidden="1"/>
    <cellStyle name="Followed Hyperlink" xfId="1972" builtinId="9" hidden="1"/>
    <cellStyle name="Followed Hyperlink" xfId="1973" builtinId="9" hidden="1"/>
    <cellStyle name="Followed Hyperlink" xfId="1974" builtinId="9" hidden="1"/>
    <cellStyle name="Followed Hyperlink" xfId="1976" builtinId="9" hidden="1"/>
    <cellStyle name="Followed Hyperlink" xfId="1977" builtinId="9" hidden="1"/>
    <cellStyle name="Followed Hyperlink" xfId="1978" builtinId="9" hidden="1"/>
    <cellStyle name="Followed Hyperlink" xfId="1979" builtinId="9" hidden="1"/>
    <cellStyle name="Followed Hyperlink" xfId="1980" builtinId="9" hidden="1"/>
    <cellStyle name="Followed Hyperlink" xfId="1981" builtinId="9" hidden="1"/>
    <cellStyle name="Followed Hyperlink" xfId="1982" builtinId="9" hidden="1"/>
    <cellStyle name="Followed Hyperlink" xfId="1983" builtinId="9" hidden="1"/>
    <cellStyle name="Followed Hyperlink" xfId="1984" builtinId="9" hidden="1"/>
    <cellStyle name="Followed Hyperlink" xfId="1985" builtinId="9" hidden="1"/>
    <cellStyle name="Followed Hyperlink" xfId="1986" builtinId="9" hidden="1"/>
    <cellStyle name="Followed Hyperlink" xfId="1987" builtinId="9" hidden="1"/>
    <cellStyle name="Followed Hyperlink" xfId="1988" builtinId="9" hidden="1"/>
    <cellStyle name="Followed Hyperlink" xfId="1989" builtinId="9" hidden="1"/>
    <cellStyle name="Followed Hyperlink" xfId="1990" builtinId="9" hidden="1"/>
    <cellStyle name="Followed Hyperlink" xfId="1991" builtinId="9" hidden="1"/>
    <cellStyle name="Followed Hyperlink" xfId="1992" builtinId="9" hidden="1"/>
    <cellStyle name="Followed Hyperlink" xfId="1993" builtinId="9" hidden="1"/>
    <cellStyle name="Followed Hyperlink" xfId="1994" builtinId="9" hidden="1"/>
    <cellStyle name="Followed Hyperlink" xfId="1995" builtinId="9" hidden="1"/>
    <cellStyle name="Followed Hyperlink" xfId="1996" builtinId="9" hidden="1"/>
    <cellStyle name="Followed Hyperlink" xfId="1997" builtinId="9" hidden="1"/>
    <cellStyle name="Followed Hyperlink" xfId="1998" builtinId="9" hidden="1"/>
    <cellStyle name="Followed Hyperlink" xfId="1999" builtinId="9" hidden="1"/>
    <cellStyle name="Followed Hyperlink" xfId="2000" builtinId="9" hidden="1"/>
    <cellStyle name="Followed Hyperlink" xfId="2001" builtinId="9" hidden="1"/>
    <cellStyle name="Followed Hyperlink" xfId="2002" builtinId="9" hidden="1"/>
    <cellStyle name="Followed Hyperlink" xfId="2003" builtinId="9" hidden="1"/>
    <cellStyle name="Followed Hyperlink" xfId="2004" builtinId="9" hidden="1"/>
    <cellStyle name="Followed Hyperlink" xfId="2005" builtinId="9" hidden="1"/>
    <cellStyle name="Followed Hyperlink" xfId="2006" builtinId="9" hidden="1"/>
    <cellStyle name="Followed Hyperlink" xfId="2007" builtinId="9" hidden="1"/>
    <cellStyle name="Followed Hyperlink" xfId="2008" builtinId="9" hidden="1"/>
    <cellStyle name="Followed Hyperlink" xfId="2009" builtinId="9" hidden="1"/>
    <cellStyle name="Followed Hyperlink" xfId="2010" builtinId="9" hidden="1"/>
    <cellStyle name="Followed Hyperlink" xfId="2011" builtinId="9" hidden="1"/>
    <cellStyle name="Followed Hyperlink" xfId="2012" builtinId="9" hidden="1"/>
    <cellStyle name="Followed Hyperlink" xfId="2013" builtinId="9" hidden="1"/>
    <cellStyle name="Followed Hyperlink" xfId="2014" builtinId="9" hidden="1"/>
    <cellStyle name="Followed Hyperlink" xfId="2015" builtinId="9" hidden="1"/>
    <cellStyle name="Followed Hyperlink" xfId="2016" builtinId="9" hidden="1"/>
    <cellStyle name="Followed Hyperlink" xfId="2017" builtinId="9" hidden="1"/>
    <cellStyle name="Followed Hyperlink" xfId="2018" builtinId="9" hidden="1"/>
    <cellStyle name="Followed Hyperlink" xfId="2019" builtinId="9" hidden="1"/>
    <cellStyle name="Followed Hyperlink" xfId="2020" builtinId="9" hidden="1"/>
    <cellStyle name="Followed Hyperlink" xfId="2021" builtinId="9" hidden="1"/>
    <cellStyle name="Followed Hyperlink" xfId="2022" builtinId="9" hidden="1"/>
    <cellStyle name="Followed Hyperlink" xfId="2023" builtinId="9" hidden="1"/>
    <cellStyle name="Followed Hyperlink" xfId="2024" builtinId="9" hidden="1"/>
    <cellStyle name="Followed Hyperlink" xfId="2025" builtinId="9" hidden="1"/>
    <cellStyle name="Followed Hyperlink" xfId="2026" builtinId="9" hidden="1"/>
    <cellStyle name="Followed Hyperlink" xfId="2027" builtinId="9" hidden="1"/>
    <cellStyle name="Followed Hyperlink" xfId="2028" builtinId="9" hidden="1"/>
    <cellStyle name="Followed Hyperlink" xfId="2029" builtinId="9" hidden="1"/>
    <cellStyle name="Followed Hyperlink" xfId="2030" builtinId="9" hidden="1"/>
    <cellStyle name="Followed Hyperlink" xfId="2031" builtinId="9" hidden="1"/>
    <cellStyle name="Followed Hyperlink" xfId="2032" builtinId="9" hidden="1"/>
    <cellStyle name="Followed Hyperlink" xfId="2033" builtinId="9" hidden="1"/>
    <cellStyle name="Followed Hyperlink" xfId="2034" builtinId="9" hidden="1"/>
    <cellStyle name="Followed Hyperlink" xfId="2035" builtinId="9" hidden="1"/>
    <cellStyle name="Followed Hyperlink" xfId="2036" builtinId="9" hidden="1"/>
    <cellStyle name="Followed Hyperlink" xfId="2037" builtinId="9" hidden="1"/>
    <cellStyle name="Followed Hyperlink" xfId="2038" builtinId="9" hidden="1"/>
    <cellStyle name="Followed Hyperlink" xfId="2039" builtinId="9" hidden="1"/>
    <cellStyle name="Followed Hyperlink" xfId="2040" builtinId="9" hidden="1"/>
    <cellStyle name="Followed Hyperlink" xfId="2041" builtinId="9" hidden="1"/>
    <cellStyle name="Followed Hyperlink" xfId="2042" builtinId="9" hidden="1"/>
    <cellStyle name="Followed Hyperlink" xfId="2043" builtinId="9" hidden="1"/>
    <cellStyle name="Followed Hyperlink" xfId="2044" builtinId="9" hidden="1"/>
    <cellStyle name="Followed Hyperlink" xfId="2045" builtinId="9" hidden="1"/>
    <cellStyle name="Followed Hyperlink" xfId="2046" builtinId="9" hidden="1"/>
    <cellStyle name="Followed Hyperlink" xfId="2047" builtinId="9" hidden="1"/>
    <cellStyle name="Followed Hyperlink" xfId="2048" builtinId="9" hidden="1"/>
    <cellStyle name="Followed Hyperlink" xfId="2049" builtinId="9" hidden="1"/>
    <cellStyle name="Followed Hyperlink" xfId="2050" builtinId="9" hidden="1"/>
    <cellStyle name="Followed Hyperlink" xfId="2051" builtinId="9" hidden="1"/>
    <cellStyle name="Followed Hyperlink" xfId="2052" builtinId="9" hidden="1"/>
    <cellStyle name="Followed Hyperlink" xfId="2053" builtinId="9" hidden="1"/>
    <cellStyle name="Followed Hyperlink" xfId="2054" builtinId="9" hidden="1"/>
    <cellStyle name="Followed Hyperlink" xfId="2055" builtinId="9" hidden="1"/>
    <cellStyle name="Followed Hyperlink" xfId="2056" builtinId="9" hidden="1"/>
    <cellStyle name="Followed Hyperlink" xfId="2057" builtinId="9" hidden="1"/>
    <cellStyle name="Followed Hyperlink" xfId="2058" builtinId="9" hidden="1"/>
    <cellStyle name="Followed Hyperlink" xfId="2059" builtinId="9" hidden="1"/>
    <cellStyle name="Followed Hyperlink" xfId="2060" builtinId="9" hidden="1"/>
    <cellStyle name="Followed Hyperlink" xfId="2061" builtinId="9" hidden="1"/>
    <cellStyle name="Followed Hyperlink" xfId="2062" builtinId="9" hidden="1"/>
    <cellStyle name="Followed Hyperlink" xfId="2063" builtinId="9" hidden="1"/>
    <cellStyle name="Followed Hyperlink" xfId="2064" builtinId="9" hidden="1"/>
    <cellStyle name="Followed Hyperlink" xfId="2065" builtinId="9" hidden="1"/>
    <cellStyle name="Followed Hyperlink" xfId="2066" builtinId="9" hidden="1"/>
    <cellStyle name="Followed Hyperlink" xfId="2067" builtinId="9" hidden="1"/>
    <cellStyle name="Followed Hyperlink" xfId="2068" builtinId="9" hidden="1"/>
    <cellStyle name="Followed Hyperlink" xfId="2069" builtinId="9" hidden="1"/>
    <cellStyle name="Followed Hyperlink" xfId="2070" builtinId="9" hidden="1"/>
    <cellStyle name="Followed Hyperlink" xfId="2071" builtinId="9" hidden="1"/>
    <cellStyle name="Followed Hyperlink" xfId="2072" builtinId="9" hidden="1"/>
    <cellStyle name="Followed Hyperlink" xfId="2073" builtinId="9" hidden="1"/>
    <cellStyle name="Followed Hyperlink" xfId="2074" builtinId="9" hidden="1"/>
    <cellStyle name="Followed Hyperlink" xfId="2075" builtinId="9" hidden="1"/>
    <cellStyle name="Followed Hyperlink" xfId="2076" builtinId="9" hidden="1"/>
    <cellStyle name="Followed Hyperlink" xfId="2077" builtinId="9" hidden="1"/>
    <cellStyle name="Followed Hyperlink" xfId="2078" builtinId="9" hidden="1"/>
    <cellStyle name="Followed Hyperlink" xfId="2079" builtinId="9" hidden="1"/>
    <cellStyle name="Followed Hyperlink" xfId="2080" builtinId="9" hidden="1"/>
    <cellStyle name="Followed Hyperlink" xfId="2081" builtinId="9" hidden="1"/>
    <cellStyle name="Followed Hyperlink" xfId="2082" builtinId="9" hidden="1"/>
    <cellStyle name="Followed Hyperlink" xfId="2083" builtinId="9" hidden="1"/>
    <cellStyle name="Followed Hyperlink" xfId="2084" builtinId="9" hidden="1"/>
    <cellStyle name="Followed Hyperlink" xfId="2085" builtinId="9" hidden="1"/>
    <cellStyle name="Followed Hyperlink" xfId="2086" builtinId="9" hidden="1"/>
    <cellStyle name="Followed Hyperlink" xfId="2087" builtinId="9" hidden="1"/>
    <cellStyle name="Followed Hyperlink" xfId="2088" builtinId="9" hidden="1"/>
    <cellStyle name="Followed Hyperlink" xfId="2089" builtinId="9" hidden="1"/>
    <cellStyle name="Followed Hyperlink" xfId="2090" builtinId="9" hidden="1"/>
    <cellStyle name="Followed Hyperlink" xfId="2091" builtinId="9" hidden="1"/>
    <cellStyle name="Followed Hyperlink" xfId="2092" builtinId="9" hidden="1"/>
    <cellStyle name="Followed Hyperlink" xfId="2093" builtinId="9" hidden="1"/>
    <cellStyle name="Followed Hyperlink" xfId="2094" builtinId="9" hidden="1"/>
    <cellStyle name="Followed Hyperlink" xfId="2095" builtinId="9" hidden="1"/>
    <cellStyle name="Followed Hyperlink" xfId="2096" builtinId="9" hidden="1"/>
    <cellStyle name="Followed Hyperlink" xfId="2097" builtinId="9" hidden="1"/>
    <cellStyle name="Followed Hyperlink" xfId="2098" builtinId="9" hidden="1"/>
    <cellStyle name="Followed Hyperlink" xfId="2099" builtinId="9" hidden="1"/>
    <cellStyle name="Followed Hyperlink" xfId="2100" builtinId="9" hidden="1"/>
    <cellStyle name="Followed Hyperlink" xfId="2101" builtinId="9" hidden="1"/>
    <cellStyle name="Followed Hyperlink" xfId="2102" builtinId="9" hidden="1"/>
    <cellStyle name="Followed Hyperlink" xfId="2103" builtinId="9" hidden="1"/>
    <cellStyle name="Followed Hyperlink" xfId="2104" builtinId="9" hidden="1"/>
    <cellStyle name="Followed Hyperlink" xfId="2105" builtinId="9" hidden="1"/>
    <cellStyle name="Followed Hyperlink" xfId="2106" builtinId="9" hidden="1"/>
    <cellStyle name="Followed Hyperlink" xfId="2107" builtinId="9" hidden="1"/>
    <cellStyle name="Followed Hyperlink" xfId="2108" builtinId="9" hidden="1"/>
    <cellStyle name="Followed Hyperlink" xfId="2109" builtinId="9" hidden="1"/>
    <cellStyle name="Followed Hyperlink" xfId="2110" builtinId="9" hidden="1"/>
    <cellStyle name="Followed Hyperlink" xfId="2111" builtinId="9" hidden="1"/>
    <cellStyle name="Followed Hyperlink" xfId="2112" builtinId="9" hidden="1"/>
    <cellStyle name="Followed Hyperlink" xfId="2113" builtinId="9" hidden="1"/>
    <cellStyle name="Followed Hyperlink" xfId="2114" builtinId="9" hidden="1"/>
    <cellStyle name="Followed Hyperlink" xfId="2115" builtinId="9" hidden="1"/>
    <cellStyle name="Followed Hyperlink" xfId="2116" builtinId="9" hidden="1"/>
    <cellStyle name="Followed Hyperlink" xfId="2117" builtinId="9" hidden="1"/>
    <cellStyle name="Followed Hyperlink" xfId="2118" builtinId="9" hidden="1"/>
    <cellStyle name="Followed Hyperlink" xfId="2119" builtinId="9" hidden="1"/>
    <cellStyle name="Followed Hyperlink" xfId="2120" builtinId="9" hidden="1"/>
    <cellStyle name="Followed Hyperlink" xfId="2121" builtinId="9" hidden="1"/>
    <cellStyle name="Followed Hyperlink" xfId="2122" builtinId="9" hidden="1"/>
    <cellStyle name="Followed Hyperlink" xfId="2123" builtinId="9" hidden="1"/>
    <cellStyle name="Followed Hyperlink" xfId="2124" builtinId="9" hidden="1"/>
    <cellStyle name="Followed Hyperlink" xfId="2125" builtinId="9" hidden="1"/>
    <cellStyle name="Followed Hyperlink" xfId="2126" builtinId="9" hidden="1"/>
    <cellStyle name="Followed Hyperlink" xfId="2127" builtinId="9" hidden="1"/>
    <cellStyle name="Followed Hyperlink" xfId="2128" builtinId="9" hidden="1"/>
    <cellStyle name="Followed Hyperlink" xfId="2129" builtinId="9" hidden="1"/>
    <cellStyle name="Followed Hyperlink" xfId="2130" builtinId="9" hidden="1"/>
    <cellStyle name="Followed Hyperlink" xfId="2131" builtinId="9" hidden="1"/>
    <cellStyle name="Followed Hyperlink" xfId="2132" builtinId="9" hidden="1"/>
    <cellStyle name="Followed Hyperlink" xfId="2133" builtinId="9" hidden="1"/>
    <cellStyle name="Followed Hyperlink" xfId="2134" builtinId="9" hidden="1"/>
    <cellStyle name="Followed Hyperlink" xfId="2135" builtinId="9" hidden="1"/>
    <cellStyle name="Followed Hyperlink" xfId="2136" builtinId="9" hidden="1"/>
    <cellStyle name="Followed Hyperlink" xfId="2137" builtinId="9" hidden="1"/>
    <cellStyle name="Followed Hyperlink" xfId="2138" builtinId="9" hidden="1"/>
    <cellStyle name="Followed Hyperlink" xfId="2139" builtinId="9" hidden="1"/>
    <cellStyle name="Followed Hyperlink" xfId="2140" builtinId="9" hidden="1"/>
    <cellStyle name="Followed Hyperlink" xfId="2141" builtinId="9" hidden="1"/>
    <cellStyle name="Followed Hyperlink" xfId="2142" builtinId="9" hidden="1"/>
    <cellStyle name="Followed Hyperlink" xfId="2143" builtinId="9" hidden="1"/>
    <cellStyle name="Followed Hyperlink" xfId="2144" builtinId="9" hidden="1"/>
    <cellStyle name="Followed Hyperlink" xfId="2145" builtinId="9" hidden="1"/>
    <cellStyle name="Followed Hyperlink" xfId="2146" builtinId="9" hidden="1"/>
    <cellStyle name="Followed Hyperlink" xfId="2147" builtinId="9" hidden="1"/>
    <cellStyle name="Followed Hyperlink" xfId="2148" builtinId="9" hidden="1"/>
    <cellStyle name="Followed Hyperlink" xfId="2149" builtinId="9" hidden="1"/>
    <cellStyle name="Followed Hyperlink" xfId="2150" builtinId="9" hidden="1"/>
    <cellStyle name="Followed Hyperlink" xfId="2151" builtinId="9" hidden="1"/>
    <cellStyle name="Followed Hyperlink" xfId="2152" builtinId="9" hidden="1"/>
    <cellStyle name="Followed Hyperlink" xfId="2153" builtinId="9" hidden="1"/>
    <cellStyle name="Followed Hyperlink" xfId="2154" builtinId="9" hidden="1"/>
    <cellStyle name="Followed Hyperlink" xfId="2155" builtinId="9" hidden="1"/>
    <cellStyle name="Followed Hyperlink" xfId="2156" builtinId="9" hidden="1"/>
    <cellStyle name="Followed Hyperlink" xfId="2157" builtinId="9" hidden="1"/>
    <cellStyle name="Followed Hyperlink" xfId="2158" builtinId="9" hidden="1"/>
    <cellStyle name="Followed Hyperlink" xfId="2159" builtinId="9" hidden="1"/>
    <cellStyle name="Followed Hyperlink" xfId="2160" builtinId="9" hidden="1"/>
    <cellStyle name="Followed Hyperlink" xfId="2161" builtinId="9" hidden="1"/>
    <cellStyle name="Followed Hyperlink" xfId="2162" builtinId="9" hidden="1"/>
    <cellStyle name="Followed Hyperlink" xfId="2163" builtinId="9" hidden="1"/>
    <cellStyle name="Followed Hyperlink" xfId="2164" builtinId="9" hidden="1"/>
    <cellStyle name="Followed Hyperlink" xfId="2165" builtinId="9" hidden="1"/>
    <cellStyle name="Followed Hyperlink" xfId="2166" builtinId="9" hidden="1"/>
    <cellStyle name="Followed Hyperlink" xfId="2167" builtinId="9" hidden="1"/>
    <cellStyle name="Followed Hyperlink" xfId="2168" builtinId="9" hidden="1"/>
    <cellStyle name="Followed Hyperlink" xfId="2169" builtinId="9" hidden="1"/>
    <cellStyle name="Followed Hyperlink" xfId="2170" builtinId="9" hidden="1"/>
    <cellStyle name="Followed Hyperlink" xfId="2171" builtinId="9" hidden="1"/>
    <cellStyle name="Followed Hyperlink" xfId="2172" builtinId="9" hidden="1"/>
    <cellStyle name="Followed Hyperlink" xfId="2173" builtinId="9" hidden="1"/>
    <cellStyle name="Followed Hyperlink" xfId="2174" builtinId="9" hidden="1"/>
    <cellStyle name="Followed Hyperlink" xfId="2175" builtinId="9" hidden="1"/>
    <cellStyle name="Followed Hyperlink" xfId="2176" builtinId="9" hidden="1"/>
    <cellStyle name="Followed Hyperlink" xfId="2177" builtinId="9" hidden="1"/>
    <cellStyle name="Followed Hyperlink" xfId="2178" builtinId="9" hidden="1"/>
    <cellStyle name="Followed Hyperlink" xfId="2179" builtinId="9" hidden="1"/>
    <cellStyle name="Followed Hyperlink" xfId="2180" builtinId="9" hidden="1"/>
    <cellStyle name="Followed Hyperlink" xfId="2181" builtinId="9" hidden="1"/>
    <cellStyle name="Followed Hyperlink" xfId="2182" builtinId="9" hidden="1"/>
    <cellStyle name="Followed Hyperlink" xfId="1879" builtinId="9" hidden="1"/>
    <cellStyle name="Followed Hyperlink" xfId="1113" builtinId="9" hidden="1"/>
    <cellStyle name="Followed Hyperlink" xfId="1307" builtinId="9" hidden="1"/>
    <cellStyle name="Followed Hyperlink" xfId="1303" builtinId="9" hidden="1"/>
    <cellStyle name="Followed Hyperlink" xfId="1300" builtinId="9" hidden="1"/>
    <cellStyle name="Followed Hyperlink" xfId="1296" builtinId="9" hidden="1"/>
    <cellStyle name="Followed Hyperlink" xfId="1293" builtinId="9" hidden="1"/>
    <cellStyle name="Followed Hyperlink" xfId="1289" builtinId="9" hidden="1"/>
    <cellStyle name="Followed Hyperlink" xfId="1286" builtinId="9" hidden="1"/>
    <cellStyle name="Followed Hyperlink" xfId="1282" builtinId="9" hidden="1"/>
    <cellStyle name="Followed Hyperlink" xfId="1279" builtinId="9" hidden="1"/>
    <cellStyle name="Followed Hyperlink" xfId="1275" builtinId="9" hidden="1"/>
    <cellStyle name="Followed Hyperlink" xfId="1272" builtinId="9" hidden="1"/>
    <cellStyle name="Followed Hyperlink" xfId="1268" builtinId="9" hidden="1"/>
    <cellStyle name="Followed Hyperlink" xfId="1265" builtinId="9" hidden="1"/>
    <cellStyle name="Followed Hyperlink" xfId="1261" builtinId="9" hidden="1"/>
    <cellStyle name="Followed Hyperlink" xfId="1258" builtinId="9" hidden="1"/>
    <cellStyle name="Followed Hyperlink" xfId="1254" builtinId="9" hidden="1"/>
    <cellStyle name="Followed Hyperlink" xfId="1251" builtinId="9" hidden="1"/>
    <cellStyle name="Followed Hyperlink" xfId="1247" builtinId="9" hidden="1"/>
    <cellStyle name="Followed Hyperlink" xfId="1244" builtinId="9" hidden="1"/>
    <cellStyle name="Followed Hyperlink" xfId="1240" builtinId="9" hidden="1"/>
    <cellStyle name="Followed Hyperlink" xfId="1237" builtinId="9" hidden="1"/>
    <cellStyle name="Followed Hyperlink" xfId="1233" builtinId="9" hidden="1"/>
    <cellStyle name="Followed Hyperlink" xfId="1230" builtinId="9" hidden="1"/>
    <cellStyle name="Followed Hyperlink" xfId="1226" builtinId="9" hidden="1"/>
    <cellStyle name="Followed Hyperlink" xfId="1223" builtinId="9" hidden="1"/>
    <cellStyle name="Followed Hyperlink" xfId="1219" builtinId="9" hidden="1"/>
    <cellStyle name="Followed Hyperlink" xfId="1216" builtinId="9" hidden="1"/>
    <cellStyle name="Followed Hyperlink" xfId="1212" builtinId="9" hidden="1"/>
    <cellStyle name="Followed Hyperlink" xfId="1209" builtinId="9" hidden="1"/>
    <cellStyle name="Followed Hyperlink" xfId="1205" builtinId="9" hidden="1"/>
    <cellStyle name="Followed Hyperlink" xfId="1202" builtinId="9" hidden="1"/>
    <cellStyle name="Followed Hyperlink" xfId="1198" builtinId="9" hidden="1"/>
    <cellStyle name="Followed Hyperlink" xfId="1195" builtinId="9" hidden="1"/>
    <cellStyle name="Followed Hyperlink" xfId="1191" builtinId="9" hidden="1"/>
    <cellStyle name="Followed Hyperlink" xfId="1188" builtinId="9" hidden="1"/>
    <cellStyle name="Followed Hyperlink" xfId="1184" builtinId="9" hidden="1"/>
    <cellStyle name="Followed Hyperlink" xfId="1181" builtinId="9" hidden="1"/>
    <cellStyle name="Followed Hyperlink" xfId="1177" builtinId="9" hidden="1"/>
    <cellStyle name="Followed Hyperlink" xfId="1174" builtinId="9" hidden="1"/>
    <cellStyle name="Followed Hyperlink" xfId="1170" builtinId="9" hidden="1"/>
    <cellStyle name="Followed Hyperlink" xfId="1167" builtinId="9" hidden="1"/>
    <cellStyle name="Followed Hyperlink" xfId="1163" builtinId="9" hidden="1"/>
    <cellStyle name="Followed Hyperlink" xfId="1160" builtinId="9" hidden="1"/>
    <cellStyle name="Followed Hyperlink" xfId="1156" builtinId="9" hidden="1"/>
    <cellStyle name="Followed Hyperlink" xfId="1153" builtinId="9" hidden="1"/>
    <cellStyle name="Followed Hyperlink" xfId="1149" builtinId="9" hidden="1"/>
    <cellStyle name="Followed Hyperlink" xfId="1146" builtinId="9" hidden="1"/>
    <cellStyle name="Followed Hyperlink" xfId="1142" builtinId="9" hidden="1"/>
    <cellStyle name="Followed Hyperlink" xfId="1139" builtinId="9" hidden="1"/>
    <cellStyle name="Followed Hyperlink" xfId="1135" builtinId="9" hidden="1"/>
    <cellStyle name="Followed Hyperlink" xfId="1132" builtinId="9" hidden="1"/>
    <cellStyle name="Followed Hyperlink" xfId="1128" builtinId="9" hidden="1"/>
    <cellStyle name="Followed Hyperlink" xfId="1125" builtinId="9" hidden="1"/>
    <cellStyle name="Followed Hyperlink" xfId="1121" builtinId="9" hidden="1"/>
    <cellStyle name="Followed Hyperlink" xfId="1118" builtinId="9" hidden="1"/>
    <cellStyle name="Followed Hyperlink" xfId="1877" builtinId="9" hidden="1"/>
    <cellStyle name="Followed Hyperlink" xfId="1876" builtinId="9" hidden="1"/>
    <cellStyle name="Followed Hyperlink" xfId="1868" builtinId="9" hidden="1"/>
    <cellStyle name="Followed Hyperlink" xfId="1309" builtinId="9" hidden="1"/>
    <cellStyle name="Followed Hyperlink" xfId="1112" builtinId="9" hidden="1"/>
    <cellStyle name="Followed Hyperlink" xfId="1881" builtinId="9" hidden="1"/>
    <cellStyle name="Followed Hyperlink" xfId="1873" builtinId="9" hidden="1"/>
    <cellStyle name="Followed Hyperlink" xfId="1892" builtinId="9" hidden="1"/>
    <cellStyle name="Followed Hyperlink" xfId="1885" builtinId="9" hidden="1"/>
    <cellStyle name="Followed Hyperlink" xfId="1900" builtinId="9" hidden="1"/>
    <cellStyle name="Followed Hyperlink" xfId="1895" builtinId="9" hidden="1"/>
    <cellStyle name="Followed Hyperlink" xfId="1888" builtinId="9" hidden="1"/>
    <cellStyle name="Followed Hyperlink" xfId="2183" builtinId="9" hidden="1"/>
    <cellStyle name="Followed Hyperlink" xfId="2184" builtinId="9" hidden="1"/>
    <cellStyle name="Followed Hyperlink" xfId="2186" builtinId="9" hidden="1"/>
    <cellStyle name="Followed Hyperlink" xfId="2187" builtinId="9" hidden="1"/>
    <cellStyle name="Followed Hyperlink" xfId="2189" builtinId="9" hidden="1"/>
    <cellStyle name="Followed Hyperlink" xfId="2190" builtinId="9" hidden="1"/>
    <cellStyle name="Followed Hyperlink" xfId="2192" builtinId="9" hidden="1"/>
    <cellStyle name="Followed Hyperlink" xfId="2193" builtinId="9" hidden="1"/>
    <cellStyle name="Followed Hyperlink" xfId="2195" builtinId="9" hidden="1"/>
    <cellStyle name="Followed Hyperlink" xfId="2196" builtinId="9" hidden="1"/>
    <cellStyle name="Followed Hyperlink" xfId="2198" builtinId="9" hidden="1"/>
    <cellStyle name="Followed Hyperlink" xfId="2199" builtinId="9" hidden="1"/>
    <cellStyle name="Followed Hyperlink" xfId="2201" builtinId="9" hidden="1"/>
    <cellStyle name="Followed Hyperlink" xfId="2202" builtinId="9" hidden="1"/>
    <cellStyle name="Followed Hyperlink" xfId="2204" builtinId="9" hidden="1"/>
    <cellStyle name="Followed Hyperlink" xfId="2205" builtinId="9" hidden="1"/>
    <cellStyle name="Followed Hyperlink" xfId="2207" builtinId="9" hidden="1"/>
    <cellStyle name="Followed Hyperlink" xfId="2208" builtinId="9" hidden="1"/>
    <cellStyle name="Followed Hyperlink" xfId="2210" builtinId="9" hidden="1"/>
    <cellStyle name="Followed Hyperlink" xfId="2211" builtinId="9" hidden="1"/>
    <cellStyle name="Followed Hyperlink" xfId="2213" builtinId="9" hidden="1"/>
    <cellStyle name="Followed Hyperlink" xfId="2214" builtinId="9" hidden="1"/>
    <cellStyle name="Followed Hyperlink" xfId="2216" builtinId="9" hidden="1"/>
    <cellStyle name="Followed Hyperlink" xfId="2217" builtinId="9" hidden="1"/>
    <cellStyle name="Followed Hyperlink" xfId="2219" builtinId="9" hidden="1"/>
    <cellStyle name="Followed Hyperlink" xfId="2220" builtinId="9" hidden="1"/>
    <cellStyle name="Followed Hyperlink" xfId="2222" builtinId="9" hidden="1"/>
    <cellStyle name="Followed Hyperlink" xfId="2223" builtinId="9" hidden="1"/>
    <cellStyle name="Followed Hyperlink" xfId="2225" builtinId="9" hidden="1"/>
    <cellStyle name="Followed Hyperlink" xfId="2226" builtinId="9" hidden="1"/>
    <cellStyle name="Followed Hyperlink" xfId="2228" builtinId="9" hidden="1"/>
    <cellStyle name="Followed Hyperlink" xfId="2229" builtinId="9" hidden="1"/>
    <cellStyle name="Followed Hyperlink" xfId="2231" builtinId="9" hidden="1"/>
    <cellStyle name="Followed Hyperlink" xfId="2232" builtinId="9" hidden="1"/>
    <cellStyle name="Followed Hyperlink" xfId="2234" builtinId="9" hidden="1"/>
    <cellStyle name="Followed Hyperlink" xfId="2235" builtinId="9" hidden="1"/>
    <cellStyle name="Followed Hyperlink" xfId="2237" builtinId="9" hidden="1"/>
    <cellStyle name="Followed Hyperlink" xfId="2238" builtinId="9" hidden="1"/>
    <cellStyle name="Followed Hyperlink" xfId="2240" builtinId="9" hidden="1"/>
    <cellStyle name="Followed Hyperlink" xfId="2241" builtinId="9" hidden="1"/>
    <cellStyle name="Followed Hyperlink" xfId="2243" builtinId="9" hidden="1"/>
    <cellStyle name="Followed Hyperlink" xfId="2249" builtinId="9" hidden="1"/>
    <cellStyle name="Followed Hyperlink" xfId="2251" builtinId="9" hidden="1"/>
    <cellStyle name="Followed Hyperlink" xfId="2253" builtinId="9" hidden="1"/>
    <cellStyle name="Followed Hyperlink" xfId="2255" builtinId="9" hidden="1"/>
    <cellStyle name="Followed Hyperlink" xfId="2257" builtinId="9" hidden="1"/>
    <cellStyle name="Followed Hyperlink" xfId="2259" builtinId="9" hidden="1"/>
    <cellStyle name="Followed Hyperlink" xfId="2261" builtinId="9" hidden="1"/>
    <cellStyle name="Followed Hyperlink" xfId="2263" builtinId="9" hidden="1"/>
    <cellStyle name="Followed Hyperlink" xfId="2265" builtinId="9" hidden="1"/>
    <cellStyle name="Followed Hyperlink" xfId="2267" builtinId="9" hidden="1"/>
    <cellStyle name="Followed Hyperlink" xfId="2269" builtinId="9" hidden="1"/>
    <cellStyle name="Followed Hyperlink" xfId="2271" builtinId="9" hidden="1"/>
    <cellStyle name="Followed Hyperlink" xfId="2273" builtinId="9" hidden="1"/>
    <cellStyle name="Followed Hyperlink" xfId="2275" builtinId="9" hidden="1"/>
    <cellStyle name="Followed Hyperlink" xfId="2277" builtinId="9" hidden="1"/>
    <cellStyle name="Followed Hyperlink" xfId="2279" builtinId="9" hidden="1"/>
    <cellStyle name="Followed Hyperlink" xfId="2281" builtinId="9" hidden="1"/>
    <cellStyle name="Followed Hyperlink" xfId="2283" builtinId="9" hidden="1"/>
    <cellStyle name="Followed Hyperlink" xfId="2285" builtinId="9" hidden="1"/>
    <cellStyle name="Followed Hyperlink" xfId="2287" builtinId="9" hidden="1"/>
    <cellStyle name="Followed Hyperlink" xfId="2289" builtinId="9" hidden="1"/>
    <cellStyle name="Followed Hyperlink" xfId="2291" builtinId="9" hidden="1"/>
    <cellStyle name="Followed Hyperlink" xfId="2293" builtinId="9" hidden="1"/>
    <cellStyle name="Followed Hyperlink" xfId="2295" builtinId="9" hidden="1"/>
    <cellStyle name="Followed Hyperlink" xfId="2297" builtinId="9" hidden="1"/>
    <cellStyle name="Followed Hyperlink" xfId="2299" builtinId="9" hidden="1"/>
    <cellStyle name="Followed Hyperlink" xfId="2301" builtinId="9" hidden="1"/>
    <cellStyle name="Followed Hyperlink" xfId="2303" builtinId="9" hidden="1"/>
    <cellStyle name="Followed Hyperlink" xfId="2305" builtinId="9" hidden="1"/>
    <cellStyle name="Followed Hyperlink" xfId="2307" builtinId="9" hidden="1"/>
    <cellStyle name="Followed Hyperlink" xfId="2309" builtinId="9" hidden="1"/>
    <cellStyle name="Followed Hyperlink" xfId="2311" builtinId="9" hidden="1"/>
    <cellStyle name="Followed Hyperlink" xfId="2313" builtinId="9" hidden="1"/>
    <cellStyle name="Followed Hyperlink" xfId="2315" builtinId="9" hidden="1"/>
    <cellStyle name="Followed Hyperlink" xfId="2317" builtinId="9" hidden="1"/>
    <cellStyle name="Followed Hyperlink" xfId="2319" builtinId="9" hidden="1"/>
    <cellStyle name="Followed Hyperlink" xfId="2321" builtinId="9" hidden="1"/>
    <cellStyle name="Followed Hyperlink" xfId="2323" builtinId="9" hidden="1"/>
    <cellStyle name="Followed Hyperlink" xfId="2325" builtinId="9" hidden="1"/>
    <cellStyle name="Followed Hyperlink" xfId="2327" builtinId="9" hidden="1"/>
    <cellStyle name="Followed Hyperlink" xfId="2329" builtinId="9" hidden="1"/>
    <cellStyle name="Followed Hyperlink" xfId="2331" builtinId="9" hidden="1"/>
    <cellStyle name="Followed Hyperlink" xfId="2333" builtinId="9" hidden="1"/>
    <cellStyle name="Followed Hyperlink" xfId="2335" builtinId="9" hidden="1"/>
    <cellStyle name="Followed Hyperlink" xfId="2337" builtinId="9" hidden="1"/>
    <cellStyle name="Followed Hyperlink" xfId="2339" builtinId="9" hidden="1"/>
    <cellStyle name="Followed Hyperlink" xfId="2341" builtinId="9" hidden="1"/>
    <cellStyle name="Followed Hyperlink" xfId="2343" builtinId="9" hidden="1"/>
    <cellStyle name="Followed Hyperlink" xfId="2345" builtinId="9" hidden="1"/>
    <cellStyle name="Followed Hyperlink" xfId="2347" builtinId="9" hidden="1"/>
    <cellStyle name="Followed Hyperlink" xfId="2349" builtinId="9" hidden="1"/>
    <cellStyle name="Followed Hyperlink" xfId="2351" builtinId="9" hidden="1"/>
    <cellStyle name="Followed Hyperlink" xfId="2353" builtinId="9" hidden="1"/>
    <cellStyle name="Followed Hyperlink" xfId="2355" builtinId="9" hidden="1"/>
    <cellStyle name="Followed Hyperlink" xfId="2357" builtinId="9" hidden="1"/>
    <cellStyle name="Followed Hyperlink" xfId="2359" builtinId="9" hidden="1"/>
    <cellStyle name="Followed Hyperlink" xfId="2361" builtinId="9" hidden="1"/>
    <cellStyle name="Followed Hyperlink" xfId="2363" builtinId="9" hidden="1"/>
    <cellStyle name="Followed Hyperlink" xfId="2365" builtinId="9" hidden="1"/>
    <cellStyle name="Followed Hyperlink" xfId="2367" builtinId="9" hidden="1"/>
    <cellStyle name="Followed Hyperlink" xfId="2369" builtinId="9" hidden="1"/>
    <cellStyle name="Followed Hyperlink" xfId="2371" builtinId="9" hidden="1"/>
    <cellStyle name="Followed Hyperlink" xfId="2373" builtinId="9" hidden="1"/>
    <cellStyle name="Followed Hyperlink" xfId="2375" builtinId="9" hidden="1"/>
    <cellStyle name="Followed Hyperlink" xfId="2377" builtinId="9" hidden="1"/>
    <cellStyle name="Followed Hyperlink" xfId="2379" builtinId="9" hidden="1"/>
    <cellStyle name="Followed Hyperlink" xfId="2381" builtinId="9" hidden="1"/>
    <cellStyle name="Followed Hyperlink" xfId="2383" builtinId="9" hidden="1"/>
    <cellStyle name="Followed Hyperlink" xfId="2385" builtinId="9" hidden="1"/>
    <cellStyle name="Followed Hyperlink" xfId="2387" builtinId="9" hidden="1"/>
    <cellStyle name="Followed Hyperlink" xfId="2389" builtinId="9" hidden="1"/>
    <cellStyle name="Followed Hyperlink" xfId="2391" builtinId="9" hidden="1"/>
    <cellStyle name="Followed Hyperlink" xfId="2393" builtinId="9" hidden="1"/>
    <cellStyle name="Followed Hyperlink" xfId="2395" builtinId="9" hidden="1"/>
    <cellStyle name="Followed Hyperlink" xfId="2397" builtinId="9" hidden="1"/>
    <cellStyle name="Followed Hyperlink" xfId="2399" builtinId="9" hidden="1"/>
    <cellStyle name="Followed Hyperlink" xfId="2401" builtinId="9" hidden="1"/>
    <cellStyle name="Followed Hyperlink" xfId="2403" builtinId="9" hidden="1"/>
    <cellStyle name="Followed Hyperlink" xfId="2405" builtinId="9" hidden="1"/>
    <cellStyle name="Followed Hyperlink" xfId="2407" builtinId="9" hidden="1"/>
    <cellStyle name="Followed Hyperlink" xfId="2409" builtinId="9" hidden="1"/>
    <cellStyle name="Followed Hyperlink" xfId="2411" builtinId="9" hidden="1"/>
    <cellStyle name="Followed Hyperlink" xfId="2413" builtinId="9" hidden="1"/>
    <cellStyle name="Followed Hyperlink" xfId="2415" builtinId="9" hidden="1"/>
    <cellStyle name="Followed Hyperlink" xfId="2417" builtinId="9" hidden="1"/>
    <cellStyle name="Followed Hyperlink" xfId="2419" builtinId="9" hidden="1"/>
    <cellStyle name="Followed Hyperlink" xfId="2421" builtinId="9" hidden="1"/>
    <cellStyle name="Followed Hyperlink" xfId="2423" builtinId="9" hidden="1"/>
    <cellStyle name="Followed Hyperlink" xfId="2425" builtinId="9" hidden="1"/>
    <cellStyle name="Followed Hyperlink" xfId="2427" builtinId="9" hidden="1"/>
    <cellStyle name="Followed Hyperlink" xfId="2429" builtinId="9" hidden="1"/>
    <cellStyle name="Followed Hyperlink" xfId="2431" builtinId="9" hidden="1"/>
    <cellStyle name="Followed Hyperlink" xfId="2433" builtinId="9" hidden="1"/>
    <cellStyle name="Followed Hyperlink" xfId="2435" builtinId="9" hidden="1"/>
    <cellStyle name="Followed Hyperlink" xfId="2437" builtinId="9" hidden="1"/>
    <cellStyle name="Followed Hyperlink" xfId="2439" builtinId="9" hidden="1"/>
    <cellStyle name="Followed Hyperlink" xfId="2441" builtinId="9" hidden="1"/>
    <cellStyle name="Followed Hyperlink" xfId="2443" builtinId="9" hidden="1"/>
    <cellStyle name="Followed Hyperlink" xfId="2445" builtinId="9" hidden="1"/>
    <cellStyle name="Followed Hyperlink" xfId="2447" builtinId="9" hidden="1"/>
    <cellStyle name="Followed Hyperlink" xfId="2449" builtinId="9" hidden="1"/>
    <cellStyle name="Followed Hyperlink" xfId="2451" builtinId="9" hidden="1"/>
    <cellStyle name="Followed Hyperlink" xfId="2453" builtinId="9" hidden="1"/>
    <cellStyle name="Followed Hyperlink" xfId="2455" builtinId="9" hidden="1"/>
    <cellStyle name="Followed Hyperlink" xfId="2457" builtinId="9" hidden="1"/>
    <cellStyle name="Followed Hyperlink" xfId="2459" builtinId="9" hidden="1"/>
    <cellStyle name="Followed Hyperlink" xfId="2461" builtinId="9" hidden="1"/>
    <cellStyle name="Followed Hyperlink" xfId="2463" builtinId="9" hidden="1"/>
    <cellStyle name="Followed Hyperlink" xfId="2465" builtinId="9" hidden="1"/>
    <cellStyle name="Followed Hyperlink" xfId="2467" builtinId="9" hidden="1"/>
    <cellStyle name="Followed Hyperlink" xfId="2472" builtinId="9" hidden="1"/>
    <cellStyle name="Followed Hyperlink" xfId="2474" builtinId="9" hidden="1"/>
    <cellStyle name="Followed Hyperlink" xfId="2476" builtinId="9" hidden="1"/>
    <cellStyle name="Followed Hyperlink" xfId="2478" builtinId="9" hidden="1"/>
    <cellStyle name="Followed Hyperlink" xfId="2480" builtinId="9" hidden="1"/>
    <cellStyle name="Followed Hyperlink" xfId="2482" builtinId="9" hidden="1"/>
    <cellStyle name="Followed Hyperlink" xfId="2484" builtinId="9" hidden="1"/>
    <cellStyle name="Followed Hyperlink" xfId="2486" builtinId="9" hidden="1"/>
    <cellStyle name="Followed Hyperlink" xfId="2488" builtinId="9" hidden="1"/>
    <cellStyle name="Followed Hyperlink" xfId="2490" builtinId="9" hidden="1"/>
    <cellStyle name="Followed Hyperlink" xfId="2492" builtinId="9" hidden="1"/>
    <cellStyle name="Followed Hyperlink" xfId="2494" builtinId="9" hidden="1"/>
    <cellStyle name="Followed Hyperlink" xfId="2496" builtinId="9" hidden="1"/>
    <cellStyle name="Followed Hyperlink" xfId="2498" builtinId="9" hidden="1"/>
    <cellStyle name="Followed Hyperlink" xfId="2500" builtinId="9" hidden="1"/>
    <cellStyle name="Followed Hyperlink" xfId="2502" builtinId="9" hidden="1"/>
    <cellStyle name="Followed Hyperlink" xfId="2504" builtinId="9" hidden="1"/>
    <cellStyle name="Followed Hyperlink" xfId="2506" builtinId="9" hidden="1"/>
    <cellStyle name="Followed Hyperlink" xfId="2508" builtinId="9" hidden="1"/>
    <cellStyle name="Followed Hyperlink" xfId="2510" builtinId="9" hidden="1"/>
    <cellStyle name="Followed Hyperlink" xfId="2512" builtinId="9" hidden="1"/>
    <cellStyle name="Followed Hyperlink" xfId="2514" builtinId="9" hidden="1"/>
    <cellStyle name="Followed Hyperlink" xfId="2516" builtinId="9" hidden="1"/>
    <cellStyle name="Followed Hyperlink" xfId="2518" builtinId="9" hidden="1"/>
    <cellStyle name="Followed Hyperlink" xfId="2520" builtinId="9" hidden="1"/>
    <cellStyle name="Followed Hyperlink" xfId="2522" builtinId="9" hidden="1"/>
    <cellStyle name="Followed Hyperlink" xfId="2524" builtinId="9" hidden="1"/>
    <cellStyle name="Followed Hyperlink" xfId="2526" builtinId="9" hidden="1"/>
    <cellStyle name="Followed Hyperlink" xfId="2528" builtinId="9" hidden="1"/>
    <cellStyle name="Followed Hyperlink" xfId="2530" builtinId="9" hidden="1"/>
    <cellStyle name="Followed Hyperlink" xfId="2532" builtinId="9" hidden="1"/>
    <cellStyle name="Followed Hyperlink" xfId="2534" builtinId="9" hidden="1"/>
    <cellStyle name="Followed Hyperlink" xfId="2536" builtinId="9" hidden="1"/>
    <cellStyle name="Followed Hyperlink" xfId="2538" builtinId="9" hidden="1"/>
    <cellStyle name="Followed Hyperlink" xfId="2540" builtinId="9" hidden="1"/>
    <cellStyle name="Followed Hyperlink" xfId="2542" builtinId="9" hidden="1"/>
    <cellStyle name="Followed Hyperlink" xfId="2544" builtinId="9" hidden="1"/>
    <cellStyle name="Followed Hyperlink" xfId="2546" builtinId="9" hidden="1"/>
    <cellStyle name="Followed Hyperlink" xfId="2548" builtinId="9" hidden="1"/>
    <cellStyle name="Followed Hyperlink" xfId="2550" builtinId="9" hidden="1"/>
    <cellStyle name="Followed Hyperlink" xfId="2552" builtinId="9" hidden="1"/>
    <cellStyle name="Followed Hyperlink" xfId="2554" builtinId="9" hidden="1"/>
    <cellStyle name="Followed Hyperlink" xfId="2556" builtinId="9" hidden="1"/>
    <cellStyle name="Followed Hyperlink" xfId="2558" builtinId="9" hidden="1"/>
    <cellStyle name="Followed Hyperlink" xfId="2560" builtinId="9" hidden="1"/>
    <cellStyle name="Followed Hyperlink" xfId="2562" builtinId="9" hidden="1"/>
    <cellStyle name="Followed Hyperlink" xfId="2564" builtinId="9" hidden="1"/>
    <cellStyle name="Followed Hyperlink" xfId="2566" builtinId="9" hidden="1"/>
    <cellStyle name="Followed Hyperlink" xfId="2568" builtinId="9" hidden="1"/>
    <cellStyle name="Followed Hyperlink" xfId="2570" builtinId="9" hidden="1"/>
    <cellStyle name="Followed Hyperlink" xfId="2572" builtinId="9" hidden="1"/>
    <cellStyle name="Followed Hyperlink" xfId="2574" builtinId="9" hidden="1"/>
    <cellStyle name="Followed Hyperlink" xfId="2576" builtinId="9" hidden="1"/>
    <cellStyle name="Followed Hyperlink" xfId="2578" builtinId="9" hidden="1"/>
    <cellStyle name="Followed Hyperlink" xfId="2580" builtinId="9" hidden="1"/>
    <cellStyle name="Followed Hyperlink" xfId="2582" builtinId="9" hidden="1"/>
    <cellStyle name="Followed Hyperlink" xfId="2584" builtinId="9" hidden="1"/>
    <cellStyle name="Followed Hyperlink" xfId="2586" builtinId="9" hidden="1"/>
    <cellStyle name="Followed Hyperlink" xfId="2588" builtinId="9" hidden="1"/>
    <cellStyle name="Followed Hyperlink" xfId="2590" builtinId="9" hidden="1"/>
    <cellStyle name="Followed Hyperlink" xfId="2592" builtinId="9" hidden="1"/>
    <cellStyle name="Followed Hyperlink" xfId="2594" builtinId="9" hidden="1"/>
    <cellStyle name="Followed Hyperlink" xfId="2596" builtinId="9" hidden="1"/>
    <cellStyle name="Followed Hyperlink" xfId="2598" builtinId="9" hidden="1"/>
    <cellStyle name="Followed Hyperlink" xfId="2600" builtinId="9" hidden="1"/>
    <cellStyle name="Followed Hyperlink" xfId="2602" builtinId="9" hidden="1"/>
    <cellStyle name="Followed Hyperlink" xfId="2604" builtinId="9" hidden="1"/>
    <cellStyle name="Followed Hyperlink" xfId="2606" builtinId="9" hidden="1"/>
    <cellStyle name="Followed Hyperlink" xfId="2608" builtinId="9" hidden="1"/>
    <cellStyle name="Followed Hyperlink" xfId="2610" builtinId="9" hidden="1"/>
    <cellStyle name="Followed Hyperlink" xfId="2612" builtinId="9" hidden="1"/>
    <cellStyle name="Followed Hyperlink" xfId="2614" builtinId="9" hidden="1"/>
    <cellStyle name="Followed Hyperlink" xfId="2616" builtinId="9" hidden="1"/>
    <cellStyle name="Followed Hyperlink" xfId="2618" builtinId="9" hidden="1"/>
    <cellStyle name="Followed Hyperlink" xfId="2620" builtinId="9" hidden="1"/>
    <cellStyle name="Followed Hyperlink" xfId="2622" builtinId="9" hidden="1"/>
    <cellStyle name="Followed Hyperlink" xfId="2624" builtinId="9" hidden="1"/>
    <cellStyle name="Followed Hyperlink" xfId="2626" builtinId="9" hidden="1"/>
    <cellStyle name="Followed Hyperlink" xfId="2628" builtinId="9" hidden="1"/>
    <cellStyle name="Followed Hyperlink" xfId="2630" builtinId="9" hidden="1"/>
    <cellStyle name="Followed Hyperlink" xfId="2632" builtinId="9" hidden="1"/>
    <cellStyle name="Followed Hyperlink" xfId="2634" builtinId="9" hidden="1"/>
    <cellStyle name="Followed Hyperlink" xfId="2636" builtinId="9" hidden="1"/>
    <cellStyle name="Followed Hyperlink" xfId="2638" builtinId="9" hidden="1"/>
    <cellStyle name="Followed Hyperlink" xfId="2640" builtinId="9" hidden="1"/>
    <cellStyle name="Followed Hyperlink" xfId="2642" builtinId="9" hidden="1"/>
    <cellStyle name="Followed Hyperlink" xfId="2644" builtinId="9" hidden="1"/>
    <cellStyle name="Followed Hyperlink" xfId="2646" builtinId="9" hidden="1"/>
    <cellStyle name="Followed Hyperlink" xfId="2648" builtinId="9" hidden="1"/>
    <cellStyle name="Followed Hyperlink" xfId="2650" builtinId="9" hidden="1"/>
    <cellStyle name="Followed Hyperlink" xfId="2652" builtinId="9" hidden="1"/>
    <cellStyle name="Followed Hyperlink" xfId="2654" builtinId="9" hidden="1"/>
    <cellStyle name="Followed Hyperlink" xfId="2656" builtinId="9" hidden="1"/>
    <cellStyle name="Followed Hyperlink" xfId="2658" builtinId="9" hidden="1"/>
    <cellStyle name="Followed Hyperlink" xfId="2660" builtinId="9" hidden="1"/>
    <cellStyle name="Followed Hyperlink" xfId="2662" builtinId="9" hidden="1"/>
    <cellStyle name="Followed Hyperlink" xfId="2664" builtinId="9" hidden="1"/>
    <cellStyle name="Followed Hyperlink" xfId="2666" builtinId="9" hidden="1"/>
    <cellStyle name="Followed Hyperlink" xfId="2668" builtinId="9" hidden="1"/>
    <cellStyle name="Followed Hyperlink" xfId="2670" builtinId="9" hidden="1"/>
    <cellStyle name="Followed Hyperlink" xfId="2672" builtinId="9" hidden="1"/>
    <cellStyle name="Followed Hyperlink" xfId="2674" builtinId="9" hidden="1"/>
    <cellStyle name="Followed Hyperlink" xfId="2676" builtinId="9" hidden="1"/>
    <cellStyle name="Followed Hyperlink" xfId="2678" builtinId="9" hidden="1"/>
    <cellStyle name="Followed Hyperlink" xfId="2680" builtinId="9" hidden="1"/>
    <cellStyle name="Followed Hyperlink" xfId="2682" builtinId="9" hidden="1"/>
    <cellStyle name="Followed Hyperlink" xfId="2684" builtinId="9" hidden="1"/>
    <cellStyle name="Followed Hyperlink" xfId="2686" builtinId="9" hidden="1"/>
    <cellStyle name="Followed Hyperlink" xfId="2688" builtinId="9" hidden="1"/>
    <cellStyle name="Followed Hyperlink" xfId="2690" builtinId="9" hidden="1"/>
    <cellStyle name="Followed Hyperlink" xfId="2689" builtinId="9" hidden="1"/>
    <cellStyle name="Followed Hyperlink" xfId="2685" builtinId="9" hidden="1"/>
    <cellStyle name="Followed Hyperlink" xfId="2681" builtinId="9" hidden="1"/>
    <cellStyle name="Followed Hyperlink" xfId="2677" builtinId="9" hidden="1"/>
    <cellStyle name="Followed Hyperlink" xfId="2673" builtinId="9" hidden="1"/>
    <cellStyle name="Followed Hyperlink" xfId="2669" builtinId="9" hidden="1"/>
    <cellStyle name="Followed Hyperlink" xfId="2665" builtinId="9" hidden="1"/>
    <cellStyle name="Followed Hyperlink" xfId="2661" builtinId="9" hidden="1"/>
    <cellStyle name="Followed Hyperlink" xfId="2657" builtinId="9" hidden="1"/>
    <cellStyle name="Followed Hyperlink" xfId="2653" builtinId="9" hidden="1"/>
    <cellStyle name="Followed Hyperlink" xfId="2649" builtinId="9" hidden="1"/>
    <cellStyle name="Followed Hyperlink" xfId="2645" builtinId="9" hidden="1"/>
    <cellStyle name="Followed Hyperlink" xfId="2641" builtinId="9" hidden="1"/>
    <cellStyle name="Followed Hyperlink" xfId="2637" builtinId="9" hidden="1"/>
    <cellStyle name="Followed Hyperlink" xfId="2633" builtinId="9" hidden="1"/>
    <cellStyle name="Followed Hyperlink" xfId="2629" builtinId="9" hidden="1"/>
    <cellStyle name="Followed Hyperlink" xfId="2625" builtinId="9" hidden="1"/>
    <cellStyle name="Followed Hyperlink" xfId="2621" builtinId="9" hidden="1"/>
    <cellStyle name="Followed Hyperlink" xfId="2617" builtinId="9" hidden="1"/>
    <cellStyle name="Followed Hyperlink" xfId="2613" builtinId="9" hidden="1"/>
    <cellStyle name="Followed Hyperlink" xfId="2609" builtinId="9" hidden="1"/>
    <cellStyle name="Followed Hyperlink" xfId="2605" builtinId="9" hidden="1"/>
    <cellStyle name="Followed Hyperlink" xfId="2601" builtinId="9" hidden="1"/>
    <cellStyle name="Followed Hyperlink" xfId="2597" builtinId="9" hidden="1"/>
    <cellStyle name="Followed Hyperlink" xfId="2593" builtinId="9" hidden="1"/>
    <cellStyle name="Followed Hyperlink" xfId="2589" builtinId="9" hidden="1"/>
    <cellStyle name="Followed Hyperlink" xfId="2585" builtinId="9" hidden="1"/>
    <cellStyle name="Followed Hyperlink" xfId="2581" builtinId="9" hidden="1"/>
    <cellStyle name="Followed Hyperlink" xfId="2577" builtinId="9" hidden="1"/>
    <cellStyle name="Followed Hyperlink" xfId="2573" builtinId="9" hidden="1"/>
    <cellStyle name="Followed Hyperlink" xfId="2569" builtinId="9" hidden="1"/>
    <cellStyle name="Followed Hyperlink" xfId="2565" builtinId="9" hidden="1"/>
    <cellStyle name="Followed Hyperlink" xfId="2561" builtinId="9" hidden="1"/>
    <cellStyle name="Followed Hyperlink" xfId="2557" builtinId="9" hidden="1"/>
    <cellStyle name="Followed Hyperlink" xfId="2553" builtinId="9" hidden="1"/>
    <cellStyle name="Followed Hyperlink" xfId="2549" builtinId="9" hidden="1"/>
    <cellStyle name="Followed Hyperlink" xfId="2545" builtinId="9" hidden="1"/>
    <cellStyle name="Followed Hyperlink" xfId="2541" builtinId="9" hidden="1"/>
    <cellStyle name="Followed Hyperlink" xfId="2537" builtinId="9" hidden="1"/>
    <cellStyle name="Followed Hyperlink" xfId="2533" builtinId="9" hidden="1"/>
    <cellStyle name="Followed Hyperlink" xfId="2529" builtinId="9" hidden="1"/>
    <cellStyle name="Followed Hyperlink" xfId="2525" builtinId="9" hidden="1"/>
    <cellStyle name="Followed Hyperlink" xfId="2521" builtinId="9" hidden="1"/>
    <cellStyle name="Followed Hyperlink" xfId="2517" builtinId="9" hidden="1"/>
    <cellStyle name="Followed Hyperlink" xfId="2513" builtinId="9" hidden="1"/>
    <cellStyle name="Followed Hyperlink" xfId="2509" builtinId="9" hidden="1"/>
    <cellStyle name="Followed Hyperlink" xfId="2505" builtinId="9" hidden="1"/>
    <cellStyle name="Followed Hyperlink" xfId="2501" builtinId="9" hidden="1"/>
    <cellStyle name="Followed Hyperlink" xfId="2497" builtinId="9" hidden="1"/>
    <cellStyle name="Followed Hyperlink" xfId="2493" builtinId="9" hidden="1"/>
    <cellStyle name="Followed Hyperlink" xfId="2489" builtinId="9" hidden="1"/>
    <cellStyle name="Followed Hyperlink" xfId="2485" builtinId="9" hidden="1"/>
    <cellStyle name="Followed Hyperlink" xfId="2481" builtinId="9" hidden="1"/>
    <cellStyle name="Followed Hyperlink" xfId="2477" builtinId="9" hidden="1"/>
    <cellStyle name="Followed Hyperlink" xfId="2473" builtinId="9" hidden="1"/>
    <cellStyle name="Followed Hyperlink" xfId="2691" builtinId="9" hidden="1"/>
    <cellStyle name="Followed Hyperlink" xfId="2247" builtinId="9" hidden="1"/>
    <cellStyle name="Followed Hyperlink" xfId="2692" builtinId="9" hidden="1"/>
    <cellStyle name="Followed Hyperlink" xfId="2696" builtinId="9" hidden="1"/>
    <cellStyle name="Followed Hyperlink" xfId="2698" builtinId="9" hidden="1"/>
    <cellStyle name="Followed Hyperlink" xfId="2700" builtinId="9" hidden="1"/>
    <cellStyle name="Followed Hyperlink" xfId="2702" builtinId="9" hidden="1"/>
    <cellStyle name="Followed Hyperlink" xfId="2704" builtinId="9" hidden="1"/>
    <cellStyle name="Followed Hyperlink" xfId="2706" builtinId="9" hidden="1"/>
    <cellStyle name="Followed Hyperlink" xfId="2708" builtinId="9" hidden="1"/>
    <cellStyle name="Followed Hyperlink" xfId="2710" builtinId="9" hidden="1"/>
    <cellStyle name="Followed Hyperlink" xfId="2712" builtinId="9" hidden="1"/>
    <cellStyle name="Followed Hyperlink" xfId="2714" builtinId="9" hidden="1"/>
    <cellStyle name="Followed Hyperlink" xfId="2716" builtinId="9" hidden="1"/>
    <cellStyle name="Followed Hyperlink" xfId="2718" builtinId="9" hidden="1"/>
    <cellStyle name="Followed Hyperlink" xfId="2720" builtinId="9" hidden="1"/>
    <cellStyle name="Followed Hyperlink" xfId="2722" builtinId="9" hidden="1"/>
    <cellStyle name="Followed Hyperlink" xfId="2724" builtinId="9" hidden="1"/>
    <cellStyle name="Followed Hyperlink" xfId="2726" builtinId="9" hidden="1"/>
    <cellStyle name="Followed Hyperlink" xfId="2728" builtinId="9" hidden="1"/>
    <cellStyle name="Followed Hyperlink" xfId="2730" builtinId="9" hidden="1"/>
    <cellStyle name="Followed Hyperlink" xfId="2732" builtinId="9" hidden="1"/>
    <cellStyle name="Followed Hyperlink" xfId="2734" builtinId="9" hidden="1"/>
    <cellStyle name="Followed Hyperlink" xfId="2736" builtinId="9" hidden="1"/>
    <cellStyle name="Followed Hyperlink" xfId="2738" builtinId="9" hidden="1"/>
    <cellStyle name="Followed Hyperlink" xfId="2740" builtinId="9" hidden="1"/>
    <cellStyle name="Followed Hyperlink" xfId="2742" builtinId="9" hidden="1"/>
    <cellStyle name="Followed Hyperlink" xfId="2744" builtinId="9" hidden="1"/>
    <cellStyle name="Followed Hyperlink" xfId="2746" builtinId="9" hidden="1"/>
    <cellStyle name="Followed Hyperlink" xfId="2748" builtinId="9" hidden="1"/>
    <cellStyle name="Followed Hyperlink" xfId="2750" builtinId="9" hidden="1"/>
    <cellStyle name="Followed Hyperlink" xfId="2752" builtinId="9" hidden="1"/>
    <cellStyle name="Followed Hyperlink" xfId="2754" builtinId="9" hidden="1"/>
    <cellStyle name="Followed Hyperlink" xfId="2756" builtinId="9" hidden="1"/>
    <cellStyle name="Followed Hyperlink" xfId="2758" builtinId="9" hidden="1"/>
    <cellStyle name="Followed Hyperlink" xfId="2760" builtinId="9" hidden="1"/>
    <cellStyle name="Followed Hyperlink" xfId="2762" builtinId="9" hidden="1"/>
    <cellStyle name="Followed Hyperlink" xfId="2764" builtinId="9" hidden="1"/>
    <cellStyle name="Followed Hyperlink" xfId="2766" builtinId="9" hidden="1"/>
    <cellStyle name="Followed Hyperlink" xfId="2768" builtinId="9" hidden="1"/>
    <cellStyle name="Followed Hyperlink" xfId="2770" builtinId="9" hidden="1"/>
    <cellStyle name="Followed Hyperlink" xfId="2772" builtinId="9" hidden="1"/>
    <cellStyle name="Followed Hyperlink" xfId="2774" builtinId="9" hidden="1"/>
    <cellStyle name="Followed Hyperlink" xfId="2776" builtinId="9" hidden="1"/>
    <cellStyle name="Followed Hyperlink" xfId="2778" builtinId="9" hidden="1"/>
    <cellStyle name="Followed Hyperlink" xfId="2780" builtinId="9" hidden="1"/>
    <cellStyle name="Followed Hyperlink" xfId="2782" builtinId="9" hidden="1"/>
    <cellStyle name="Followed Hyperlink" xfId="2784" builtinId="9" hidden="1"/>
    <cellStyle name="Followed Hyperlink" xfId="2786" builtinId="9" hidden="1"/>
    <cellStyle name="Followed Hyperlink" xfId="2788" builtinId="9" hidden="1"/>
    <cellStyle name="Followed Hyperlink" xfId="2790" builtinId="9" hidden="1"/>
    <cellStyle name="Followed Hyperlink" xfId="2792" builtinId="9" hidden="1"/>
    <cellStyle name="Followed Hyperlink" xfId="2794" builtinId="9" hidden="1"/>
    <cellStyle name="Followed Hyperlink" xfId="2796" builtinId="9" hidden="1"/>
    <cellStyle name="Followed Hyperlink" xfId="2798" builtinId="9" hidden="1"/>
    <cellStyle name="Followed Hyperlink" xfId="2843" builtinId="9" hidden="1"/>
    <cellStyle name="Followed Hyperlink" xfId="2844" builtinId="9" hidden="1"/>
    <cellStyle name="Followed Hyperlink" xfId="2845" builtinId="9" hidden="1"/>
    <cellStyle name="Followed Hyperlink" xfId="2846" builtinId="9" hidden="1"/>
    <cellStyle name="Followed Hyperlink" xfId="2847" builtinId="9" hidden="1"/>
    <cellStyle name="Followed Hyperlink" xfId="2848" builtinId="9" hidden="1"/>
    <cellStyle name="Followed Hyperlink" xfId="2849" builtinId="9" hidden="1"/>
    <cellStyle name="Followed Hyperlink" xfId="2850" builtinId="9" hidden="1"/>
    <cellStyle name="Followed Hyperlink" xfId="2851" builtinId="9" hidden="1"/>
    <cellStyle name="Followed Hyperlink" xfId="2852" builtinId="9" hidden="1"/>
    <cellStyle name="Followed Hyperlink" xfId="2853" builtinId="9" hidden="1"/>
    <cellStyle name="Followed Hyperlink" xfId="2854" builtinId="9" hidden="1"/>
    <cellStyle name="Followed Hyperlink" xfId="2855" builtinId="9" hidden="1"/>
    <cellStyle name="Followed Hyperlink" xfId="2856" builtinId="9" hidden="1"/>
    <cellStyle name="Followed Hyperlink" xfId="2857" builtinId="9" hidden="1"/>
    <cellStyle name="Followed Hyperlink" xfId="2858" builtinId="9" hidden="1"/>
    <cellStyle name="Followed Hyperlink" xfId="2859" builtinId="9" hidden="1"/>
    <cellStyle name="Followed Hyperlink" xfId="2860" builtinId="9" hidden="1"/>
    <cellStyle name="Followed Hyperlink" xfId="2861" builtinId="9" hidden="1"/>
    <cellStyle name="Followed Hyperlink" xfId="2862" builtinId="9" hidden="1"/>
    <cellStyle name="Followed Hyperlink" xfId="2863" builtinId="9" hidden="1"/>
    <cellStyle name="Followed Hyperlink" xfId="2864" builtinId="9" hidden="1"/>
    <cellStyle name="Followed Hyperlink" xfId="2865" builtinId="9" hidden="1"/>
    <cellStyle name="Followed Hyperlink" xfId="2866" builtinId="9" hidden="1"/>
    <cellStyle name="Followed Hyperlink" xfId="2867" builtinId="9" hidden="1"/>
    <cellStyle name="Followed Hyperlink" xfId="2868" builtinId="9" hidden="1"/>
    <cellStyle name="Followed Hyperlink" xfId="2869" builtinId="9" hidden="1"/>
    <cellStyle name="Followed Hyperlink" xfId="2870" builtinId="9" hidden="1"/>
    <cellStyle name="Followed Hyperlink" xfId="2871" builtinId="9" hidden="1"/>
    <cellStyle name="Followed Hyperlink" xfId="2872" builtinId="9" hidden="1"/>
    <cellStyle name="Followed Hyperlink" xfId="2873" builtinId="9" hidden="1"/>
    <cellStyle name="Followed Hyperlink" xfId="2874" builtinId="9" hidden="1"/>
    <cellStyle name="Followed Hyperlink" xfId="2875" builtinId="9" hidden="1"/>
    <cellStyle name="Followed Hyperlink" xfId="2876" builtinId="9" hidden="1"/>
    <cellStyle name="Followed Hyperlink" xfId="2877" builtinId="9" hidden="1"/>
    <cellStyle name="Followed Hyperlink" xfId="2878" builtinId="9" hidden="1"/>
    <cellStyle name="Followed Hyperlink" xfId="2879" builtinId="9" hidden="1"/>
    <cellStyle name="Followed Hyperlink" xfId="2880" builtinId="9" hidden="1"/>
    <cellStyle name="Followed Hyperlink" xfId="2881" builtinId="9" hidden="1"/>
    <cellStyle name="Followed Hyperlink" xfId="2882" builtinId="9" hidden="1"/>
    <cellStyle name="Followed Hyperlink" xfId="2883" builtinId="9" hidden="1"/>
    <cellStyle name="Followed Hyperlink" xfId="2884" builtinId="9" hidden="1"/>
    <cellStyle name="Followed Hyperlink" xfId="2885" builtinId="9" hidden="1"/>
    <cellStyle name="Followed Hyperlink" xfId="2886" builtinId="9" hidden="1"/>
    <cellStyle name="Followed Hyperlink" xfId="2887" builtinId="9" hidden="1"/>
    <cellStyle name="Followed Hyperlink" xfId="2888" builtinId="9" hidden="1"/>
    <cellStyle name="Followed Hyperlink" xfId="2889" builtinId="9" hidden="1"/>
    <cellStyle name="Followed Hyperlink" xfId="2890" builtinId="9" hidden="1"/>
    <cellStyle name="Followed Hyperlink" xfId="2891" builtinId="9" hidden="1"/>
    <cellStyle name="Followed Hyperlink" xfId="2892" builtinId="9" hidden="1"/>
    <cellStyle name="Followed Hyperlink" xfId="2893" builtinId="9" hidden="1"/>
    <cellStyle name="Followed Hyperlink" xfId="2894" builtinId="9" hidden="1"/>
    <cellStyle name="Followed Hyperlink" xfId="2895" builtinId="9" hidden="1"/>
    <cellStyle name="Followed Hyperlink" xfId="2896" builtinId="9" hidden="1"/>
    <cellStyle name="Followed Hyperlink" xfId="2897" builtinId="9" hidden="1"/>
    <cellStyle name="Followed Hyperlink" xfId="2898" builtinId="9" hidden="1"/>
    <cellStyle name="Followed Hyperlink" xfId="2899" builtinId="9" hidden="1"/>
    <cellStyle name="Followed Hyperlink" xfId="2900" builtinId="9" hidden="1"/>
    <cellStyle name="Followed Hyperlink" xfId="2901" builtinId="9" hidden="1"/>
    <cellStyle name="Followed Hyperlink" xfId="2902" builtinId="9" hidden="1"/>
    <cellStyle name="Followed Hyperlink" xfId="2903" builtinId="9" hidden="1"/>
    <cellStyle name="Followed Hyperlink" xfId="2904" builtinId="9" hidden="1"/>
    <cellStyle name="Followed Hyperlink" xfId="2905" builtinId="9" hidden="1"/>
    <cellStyle name="Followed Hyperlink" xfId="2906" builtinId="9" hidden="1"/>
    <cellStyle name="Followed Hyperlink" xfId="2907" builtinId="9" hidden="1"/>
    <cellStyle name="Followed Hyperlink" xfId="2908" builtinId="9" hidden="1"/>
    <cellStyle name="Followed Hyperlink" xfId="2909" builtinId="9" hidden="1"/>
    <cellStyle name="Followed Hyperlink" xfId="2910" builtinId="9" hidden="1"/>
    <cellStyle name="Followed Hyperlink" xfId="2911" builtinId="9" hidden="1"/>
    <cellStyle name="Followed Hyperlink" xfId="2912" builtinId="9" hidden="1"/>
    <cellStyle name="Followed Hyperlink" xfId="2913" builtinId="9" hidden="1"/>
    <cellStyle name="Followed Hyperlink" xfId="2914" builtinId="9" hidden="1"/>
    <cellStyle name="Followed Hyperlink" xfId="2915" builtinId="9" hidden="1"/>
    <cellStyle name="Followed Hyperlink" xfId="2916" builtinId="9" hidden="1"/>
    <cellStyle name="Followed Hyperlink" xfId="2917" builtinId="9" hidden="1"/>
    <cellStyle name="Followed Hyperlink" xfId="2918" builtinId="9" hidden="1"/>
    <cellStyle name="Followed Hyperlink" xfId="2919" builtinId="9" hidden="1"/>
    <cellStyle name="Followed Hyperlink" xfId="2920" builtinId="9" hidden="1"/>
    <cellStyle name="Followed Hyperlink" xfId="2921" builtinId="9" hidden="1"/>
    <cellStyle name="Followed Hyperlink" xfId="2922" builtinId="9" hidden="1"/>
    <cellStyle name="Followed Hyperlink" xfId="2923" builtinId="9" hidden="1"/>
    <cellStyle name="Followed Hyperlink" xfId="2924" builtinId="9" hidden="1"/>
    <cellStyle name="Followed Hyperlink" xfId="2925" builtinId="9" hidden="1"/>
    <cellStyle name="Followed Hyperlink" xfId="2926" builtinId="9" hidden="1"/>
    <cellStyle name="Followed Hyperlink" xfId="2927" builtinId="9" hidden="1"/>
    <cellStyle name="Followed Hyperlink" xfId="2928" builtinId="9" hidden="1"/>
    <cellStyle name="Followed Hyperlink" xfId="2929" builtinId="9" hidden="1"/>
    <cellStyle name="Followed Hyperlink" xfId="2930" builtinId="9" hidden="1"/>
    <cellStyle name="Followed Hyperlink" xfId="2931" builtinId="9" hidden="1"/>
    <cellStyle name="Followed Hyperlink" xfId="2932" builtinId="9" hidden="1"/>
    <cellStyle name="Followed Hyperlink" xfId="2933" builtinId="9" hidden="1"/>
    <cellStyle name="Followed Hyperlink" xfId="2934" builtinId="9" hidden="1"/>
    <cellStyle name="Followed Hyperlink" xfId="2935" builtinId="9" hidden="1"/>
    <cellStyle name="Followed Hyperlink" xfId="2936" builtinId="9" hidden="1"/>
    <cellStyle name="Followed Hyperlink" xfId="2937" builtinId="9" hidden="1"/>
    <cellStyle name="Followed Hyperlink" xfId="2938" builtinId="9" hidden="1"/>
    <cellStyle name="Followed Hyperlink" xfId="2939" builtinId="9" hidden="1"/>
    <cellStyle name="Followed Hyperlink" xfId="2940" builtinId="9" hidden="1"/>
    <cellStyle name="Followed Hyperlink" xfId="2941" builtinId="9" hidden="1"/>
    <cellStyle name="Followed Hyperlink" xfId="2942" builtinId="9" hidden="1"/>
    <cellStyle name="Followed Hyperlink" xfId="2943" builtinId="9" hidden="1"/>
    <cellStyle name="Followed Hyperlink" xfId="2944" builtinId="9" hidden="1"/>
    <cellStyle name="Followed Hyperlink" xfId="2945" builtinId="9" hidden="1"/>
    <cellStyle name="Followed Hyperlink" xfId="2946" builtinId="9" hidden="1"/>
    <cellStyle name="Followed Hyperlink" xfId="2947" builtinId="9" hidden="1"/>
    <cellStyle name="Followed Hyperlink" xfId="2948" builtinId="9" hidden="1"/>
    <cellStyle name="Followed Hyperlink" xfId="2949" builtinId="9" hidden="1"/>
    <cellStyle name="Followed Hyperlink" xfId="2950" builtinId="9" hidden="1"/>
    <cellStyle name="Followed Hyperlink" xfId="2951" builtinId="9" hidden="1"/>
    <cellStyle name="Followed Hyperlink" xfId="2952" builtinId="9" hidden="1"/>
    <cellStyle name="Followed Hyperlink" xfId="2953" builtinId="9" hidden="1"/>
    <cellStyle name="Followed Hyperlink" xfId="2954" builtinId="9" hidden="1"/>
    <cellStyle name="Followed Hyperlink" xfId="2955" builtinId="9" hidden="1"/>
    <cellStyle name="Followed Hyperlink" xfId="2956" builtinId="9" hidden="1"/>
    <cellStyle name="Followed Hyperlink" xfId="2957" builtinId="9" hidden="1"/>
    <cellStyle name="Followed Hyperlink" xfId="2958" builtinId="9" hidden="1"/>
    <cellStyle name="Followed Hyperlink" xfId="2959" builtinId="9" hidden="1"/>
    <cellStyle name="Followed Hyperlink" xfId="2960" builtinId="9" hidden="1"/>
    <cellStyle name="Followed Hyperlink" xfId="2961" builtinId="9" hidden="1"/>
    <cellStyle name="Followed Hyperlink" xfId="2962" builtinId="9" hidden="1"/>
    <cellStyle name="Followed Hyperlink" xfId="2963" builtinId="9" hidden="1"/>
    <cellStyle name="Followed Hyperlink" xfId="2964" builtinId="9" hidden="1"/>
    <cellStyle name="Followed Hyperlink" xfId="2965" builtinId="9" hidden="1"/>
    <cellStyle name="Followed Hyperlink" xfId="2966" builtinId="9" hidden="1"/>
    <cellStyle name="Followed Hyperlink" xfId="2967" builtinId="9" hidden="1"/>
    <cellStyle name="Followed Hyperlink" xfId="2968" builtinId="9" hidden="1"/>
    <cellStyle name="Followed Hyperlink" xfId="2969" builtinId="9" hidden="1"/>
    <cellStyle name="Followed Hyperlink" xfId="2970" builtinId="9" hidden="1"/>
    <cellStyle name="Followed Hyperlink" xfId="2971" builtinId="9" hidden="1"/>
    <cellStyle name="Followed Hyperlink" xfId="2972" builtinId="9" hidden="1"/>
    <cellStyle name="Followed Hyperlink" xfId="2973" builtinId="9" hidden="1"/>
    <cellStyle name="Followed Hyperlink" xfId="2974" builtinId="9" hidden="1"/>
    <cellStyle name="Followed Hyperlink" xfId="2975" builtinId="9" hidden="1"/>
    <cellStyle name="Followed Hyperlink" xfId="2976" builtinId="9" hidden="1"/>
    <cellStyle name="Followed Hyperlink" xfId="2977" builtinId="9" hidden="1"/>
    <cellStyle name="Followed Hyperlink" xfId="2978" builtinId="9" hidden="1"/>
    <cellStyle name="Followed Hyperlink" xfId="2979" builtinId="9" hidden="1"/>
    <cellStyle name="Followed Hyperlink" xfId="2980" builtinId="9" hidden="1"/>
    <cellStyle name="Followed Hyperlink" xfId="2981" builtinId="9" hidden="1"/>
    <cellStyle name="Followed Hyperlink" xfId="2982" builtinId="9" hidden="1"/>
    <cellStyle name="Followed Hyperlink" xfId="2983" builtinId="9" hidden="1"/>
    <cellStyle name="Followed Hyperlink" xfId="2984" builtinId="9" hidden="1"/>
    <cellStyle name="Followed Hyperlink" xfId="2985" builtinId="9" hidden="1"/>
    <cellStyle name="Followed Hyperlink" xfId="2986" builtinId="9" hidden="1"/>
    <cellStyle name="Followed Hyperlink" xfId="2987" builtinId="9" hidden="1"/>
    <cellStyle name="Followed Hyperlink" xfId="2988" builtinId="9" hidden="1"/>
    <cellStyle name="Followed Hyperlink" xfId="2989" builtinId="9" hidden="1"/>
    <cellStyle name="Followed Hyperlink" xfId="2990" builtinId="9" hidden="1"/>
    <cellStyle name="Followed Hyperlink" xfId="2991" builtinId="9" hidden="1"/>
    <cellStyle name="Followed Hyperlink" xfId="2992" builtinId="9" hidden="1"/>
    <cellStyle name="Followed Hyperlink" xfId="2993" builtinId="9" hidden="1"/>
    <cellStyle name="Followed Hyperlink" xfId="2994" builtinId="9" hidden="1"/>
    <cellStyle name="Followed Hyperlink" xfId="2995" builtinId="9" hidden="1"/>
    <cellStyle name="Followed Hyperlink" xfId="2996" builtinId="9" hidden="1"/>
    <cellStyle name="Followed Hyperlink" xfId="2997" builtinId="9" hidden="1"/>
    <cellStyle name="Followed Hyperlink" xfId="2998" builtinId="9" hidden="1"/>
    <cellStyle name="Followed Hyperlink" xfId="2999" builtinId="9" hidden="1"/>
    <cellStyle name="Followed Hyperlink" xfId="3000" builtinId="9" hidden="1"/>
    <cellStyle name="Followed Hyperlink" xfId="3001" builtinId="9" hidden="1"/>
    <cellStyle name="Followed Hyperlink" xfId="3002" builtinId="9" hidden="1"/>
    <cellStyle name="Followed Hyperlink" xfId="3003" builtinId="9" hidden="1"/>
    <cellStyle name="Followed Hyperlink" xfId="3004" builtinId="9" hidden="1"/>
    <cellStyle name="Followed Hyperlink" xfId="3005" builtinId="9" hidden="1"/>
    <cellStyle name="Followed Hyperlink" xfId="3006" builtinId="9" hidden="1"/>
    <cellStyle name="Followed Hyperlink" xfId="3007" builtinId="9" hidden="1"/>
    <cellStyle name="Followed Hyperlink" xfId="3008" builtinId="9" hidden="1"/>
    <cellStyle name="Followed Hyperlink" xfId="3009" builtinId="9" hidden="1"/>
    <cellStyle name="Followed Hyperlink" xfId="3010" builtinId="9" hidden="1"/>
    <cellStyle name="Followed Hyperlink" xfId="3011" builtinId="9" hidden="1"/>
    <cellStyle name="Followed Hyperlink" xfId="3012" builtinId="9" hidden="1"/>
    <cellStyle name="Followed Hyperlink" xfId="3013" builtinId="9" hidden="1"/>
    <cellStyle name="Followed Hyperlink" xfId="3014" builtinId="9" hidden="1"/>
    <cellStyle name="Followed Hyperlink" xfId="3015" builtinId="9" hidden="1"/>
    <cellStyle name="Followed Hyperlink" xfId="3016" builtinId="9" hidden="1"/>
    <cellStyle name="Followed Hyperlink" xfId="3017" builtinId="9" hidden="1"/>
    <cellStyle name="Followed Hyperlink" xfId="3018" builtinId="9" hidden="1"/>
    <cellStyle name="Followed Hyperlink" xfId="3019" builtinId="9" hidden="1"/>
    <cellStyle name="Followed Hyperlink" xfId="3020" builtinId="9" hidden="1"/>
    <cellStyle name="Followed Hyperlink" xfId="3021" builtinId="9" hidden="1"/>
    <cellStyle name="Followed Hyperlink" xfId="3022" builtinId="9" hidden="1"/>
    <cellStyle name="Followed Hyperlink" xfId="3023" builtinId="9" hidden="1"/>
    <cellStyle name="Followed Hyperlink" xfId="3024" builtinId="9" hidden="1"/>
    <cellStyle name="Followed Hyperlink" xfId="3025" builtinId="9" hidden="1"/>
    <cellStyle name="Followed Hyperlink" xfId="3026" builtinId="9" hidden="1"/>
    <cellStyle name="Followed Hyperlink" xfId="3027" builtinId="9" hidden="1"/>
    <cellStyle name="Followed Hyperlink" xfId="3028" builtinId="9" hidden="1"/>
    <cellStyle name="Followed Hyperlink" xfId="3029" builtinId="9" hidden="1"/>
    <cellStyle name="Followed Hyperlink" xfId="3030" builtinId="9" hidden="1"/>
    <cellStyle name="Followed Hyperlink" xfId="3031" builtinId="9" hidden="1"/>
    <cellStyle name="Followed Hyperlink" xfId="3032" builtinId="9" hidden="1"/>
    <cellStyle name="Followed Hyperlink" xfId="3033" builtinId="9" hidden="1"/>
    <cellStyle name="Followed Hyperlink" xfId="3034" builtinId="9" hidden="1"/>
    <cellStyle name="Followed Hyperlink" xfId="3035" builtinId="9" hidden="1"/>
    <cellStyle name="Followed Hyperlink" xfId="3036" builtinId="9" hidden="1"/>
    <cellStyle name="Followed Hyperlink" xfId="3037" builtinId="9" hidden="1"/>
    <cellStyle name="Followed Hyperlink" xfId="3038" builtinId="9" hidden="1"/>
    <cellStyle name="Followed Hyperlink" xfId="3039" builtinId="9" hidden="1"/>
    <cellStyle name="Followed Hyperlink" xfId="3040" builtinId="9" hidden="1"/>
    <cellStyle name="Followed Hyperlink" xfId="3041" builtinId="9" hidden="1"/>
    <cellStyle name="Followed Hyperlink" xfId="3042" builtinId="9" hidden="1"/>
    <cellStyle name="Followed Hyperlink" xfId="3043" builtinId="9" hidden="1"/>
    <cellStyle name="Followed Hyperlink" xfId="3044" builtinId="9" hidden="1"/>
    <cellStyle name="Followed Hyperlink" xfId="3045" builtinId="9" hidden="1"/>
    <cellStyle name="Followed Hyperlink" xfId="3046" builtinId="9" hidden="1"/>
    <cellStyle name="Followed Hyperlink" xfId="3047" builtinId="9" hidden="1"/>
    <cellStyle name="Followed Hyperlink" xfId="3048" builtinId="9" hidden="1"/>
    <cellStyle name="Followed Hyperlink" xfId="3049" builtinId="9" hidden="1"/>
    <cellStyle name="Followed Hyperlink" xfId="3050" builtinId="9" hidden="1"/>
    <cellStyle name="Followed Hyperlink" xfId="3051" builtinId="9" hidden="1"/>
    <cellStyle name="Followed Hyperlink" xfId="3052" builtinId="9" hidden="1"/>
    <cellStyle name="Followed Hyperlink" xfId="3053" builtinId="9" hidden="1"/>
    <cellStyle name="Followed Hyperlink" xfId="3054" builtinId="9" hidden="1"/>
    <cellStyle name="Followed Hyperlink" xfId="3055" builtinId="9" hidden="1"/>
    <cellStyle name="Followed Hyperlink" xfId="3056" builtinId="9" hidden="1"/>
    <cellStyle name="Followed Hyperlink" xfId="3057" builtinId="9" hidden="1"/>
    <cellStyle name="Followed Hyperlink" xfId="3058" builtinId="9" hidden="1"/>
    <cellStyle name="Followed Hyperlink" xfId="3059" builtinId="9" hidden="1"/>
    <cellStyle name="Followed Hyperlink" xfId="3060" builtinId="9" hidden="1"/>
    <cellStyle name="Followed Hyperlink" xfId="3061" builtinId="9" hidden="1"/>
    <cellStyle name="Followed Hyperlink" xfId="3062" builtinId="9" hidden="1"/>
    <cellStyle name="Followed Hyperlink" xfId="3063" builtinId="9" hidden="1"/>
    <cellStyle name="Followed Hyperlink" xfId="3064" builtinId="9" hidden="1"/>
    <cellStyle name="Followed Hyperlink" xfId="3065" builtinId="9" hidden="1"/>
    <cellStyle name="Followed Hyperlink" xfId="3066" builtinId="9" hidden="1"/>
    <cellStyle name="Followed Hyperlink" xfId="3067" builtinId="9" hidden="1"/>
    <cellStyle name="Followed Hyperlink" xfId="3068" builtinId="9" hidden="1"/>
    <cellStyle name="Followed Hyperlink" xfId="3069" builtinId="9" hidden="1"/>
    <cellStyle name="Followed Hyperlink" xfId="3070" builtinId="9" hidden="1"/>
    <cellStyle name="Followed Hyperlink" xfId="3071" builtinId="9" hidden="1"/>
    <cellStyle name="Followed Hyperlink" xfId="3072" builtinId="9" hidden="1"/>
    <cellStyle name="Followed Hyperlink" xfId="3073" builtinId="9" hidden="1"/>
    <cellStyle name="Followed Hyperlink" xfId="3074" builtinId="9" hidden="1"/>
    <cellStyle name="Followed Hyperlink" xfId="3075" builtinId="9" hidden="1"/>
    <cellStyle name="Followed Hyperlink" xfId="3076" builtinId="9" hidden="1"/>
    <cellStyle name="Followed Hyperlink" xfId="3077" builtinId="9" hidden="1"/>
    <cellStyle name="Followed Hyperlink" xfId="3078" builtinId="9" hidden="1"/>
    <cellStyle name="Followed Hyperlink" xfId="3079" builtinId="9" hidden="1"/>
    <cellStyle name="Followed Hyperlink" xfId="3080" builtinId="9" hidden="1"/>
    <cellStyle name="Followed Hyperlink" xfId="3081" builtinId="9" hidden="1"/>
    <cellStyle name="Followed Hyperlink" xfId="3082" builtinId="9" hidden="1"/>
    <cellStyle name="Followed Hyperlink" xfId="3083" builtinId="9" hidden="1"/>
    <cellStyle name="Followed Hyperlink" xfId="3084" builtinId="9" hidden="1"/>
    <cellStyle name="Followed Hyperlink" xfId="3085" builtinId="9" hidden="1"/>
    <cellStyle name="Followed Hyperlink" xfId="3086" builtinId="9" hidden="1"/>
    <cellStyle name="Followed Hyperlink" xfId="3087" builtinId="9" hidden="1"/>
    <cellStyle name="Followed Hyperlink" xfId="3088" builtinId="9" hidden="1"/>
    <cellStyle name="Followed Hyperlink" xfId="3089" builtinId="9" hidden="1"/>
    <cellStyle name="Followed Hyperlink" xfId="3090" builtinId="9" hidden="1"/>
    <cellStyle name="Followed Hyperlink" xfId="3092" builtinId="9" hidden="1"/>
    <cellStyle name="Followed Hyperlink" xfId="3093" builtinId="9" hidden="1"/>
    <cellStyle name="Followed Hyperlink" xfId="3094" builtinId="9" hidden="1"/>
    <cellStyle name="Followed Hyperlink" xfId="3095" builtinId="9" hidden="1"/>
    <cellStyle name="Followed Hyperlink" xfId="3096" builtinId="9" hidden="1"/>
    <cellStyle name="Followed Hyperlink" xfId="3097" builtinId="9" hidden="1"/>
    <cellStyle name="Followed Hyperlink" xfId="3098" builtinId="9" hidden="1"/>
    <cellStyle name="Followed Hyperlink" xfId="3099" builtinId="9" hidden="1"/>
    <cellStyle name="Followed Hyperlink" xfId="3100" builtinId="9" hidden="1"/>
    <cellStyle name="Followed Hyperlink" xfId="3101" builtinId="9" hidden="1"/>
    <cellStyle name="Followed Hyperlink" xfId="3102" builtinId="9" hidden="1"/>
    <cellStyle name="Followed Hyperlink" xfId="3103" builtinId="9" hidden="1"/>
    <cellStyle name="Followed Hyperlink" xfId="3104" builtinId="9" hidden="1"/>
    <cellStyle name="Followed Hyperlink" xfId="3105" builtinId="9" hidden="1"/>
    <cellStyle name="Followed Hyperlink" xfId="3106" builtinId="9" hidden="1"/>
    <cellStyle name="Followed Hyperlink" xfId="3107" builtinId="9" hidden="1"/>
    <cellStyle name="Followed Hyperlink" xfId="3108" builtinId="9" hidden="1"/>
    <cellStyle name="Followed Hyperlink" xfId="3109" builtinId="9" hidden="1"/>
    <cellStyle name="Followed Hyperlink" xfId="3110" builtinId="9" hidden="1"/>
    <cellStyle name="Followed Hyperlink" xfId="3111" builtinId="9" hidden="1"/>
    <cellStyle name="Followed Hyperlink" xfId="3112" builtinId="9" hidden="1"/>
    <cellStyle name="Followed Hyperlink" xfId="3113" builtinId="9" hidden="1"/>
    <cellStyle name="Followed Hyperlink" xfId="3114" builtinId="9" hidden="1"/>
    <cellStyle name="Followed Hyperlink" xfId="3115" builtinId="9" hidden="1"/>
    <cellStyle name="Followed Hyperlink" xfId="3116" builtinId="9" hidden="1"/>
    <cellStyle name="Followed Hyperlink" xfId="3117" builtinId="9" hidden="1"/>
    <cellStyle name="Followed Hyperlink" xfId="3118" builtinId="9" hidden="1"/>
    <cellStyle name="Followed Hyperlink" xfId="3119" builtinId="9" hidden="1"/>
    <cellStyle name="Followed Hyperlink" xfId="3120" builtinId="9" hidden="1"/>
    <cellStyle name="Followed Hyperlink" xfId="3121" builtinId="9" hidden="1"/>
    <cellStyle name="Followed Hyperlink" xfId="3122" builtinId="9" hidden="1"/>
    <cellStyle name="Followed Hyperlink" xfId="3123" builtinId="9" hidden="1"/>
    <cellStyle name="Followed Hyperlink" xfId="3124" builtinId="9" hidden="1"/>
    <cellStyle name="Followed Hyperlink" xfId="3125" builtinId="9" hidden="1"/>
    <cellStyle name="Followed Hyperlink" xfId="3126" builtinId="9" hidden="1"/>
    <cellStyle name="Followed Hyperlink" xfId="3127" builtinId="9" hidden="1"/>
    <cellStyle name="Followed Hyperlink" xfId="3128" builtinId="9" hidden="1"/>
    <cellStyle name="Followed Hyperlink" xfId="3129" builtinId="9" hidden="1"/>
    <cellStyle name="Followed Hyperlink" xfId="3130" builtinId="9" hidden="1"/>
    <cellStyle name="Followed Hyperlink" xfId="3131" builtinId="9" hidden="1"/>
    <cellStyle name="Followed Hyperlink" xfId="3132" builtinId="9" hidden="1"/>
    <cellStyle name="Followed Hyperlink" xfId="3133" builtinId="9" hidden="1"/>
    <cellStyle name="Followed Hyperlink" xfId="3134" builtinId="9" hidden="1"/>
    <cellStyle name="Followed Hyperlink" xfId="3135" builtinId="9" hidden="1"/>
    <cellStyle name="Followed Hyperlink" xfId="3136" builtinId="9" hidden="1"/>
    <cellStyle name="Followed Hyperlink" xfId="3137" builtinId="9" hidden="1"/>
    <cellStyle name="Followed Hyperlink" xfId="3138" builtinId="9" hidden="1"/>
    <cellStyle name="Followed Hyperlink" xfId="3139" builtinId="9" hidden="1"/>
    <cellStyle name="Followed Hyperlink" xfId="3140" builtinId="9" hidden="1"/>
    <cellStyle name="Followed Hyperlink" xfId="3141" builtinId="9" hidden="1"/>
    <cellStyle name="Followed Hyperlink" xfId="3142" builtinId="9" hidden="1"/>
    <cellStyle name="Followed Hyperlink" xfId="3143" builtinId="9" hidden="1"/>
    <cellStyle name="Followed Hyperlink" xfId="3144" builtinId="9" hidden="1"/>
    <cellStyle name="Followed Hyperlink" xfId="3145" builtinId="9" hidden="1"/>
    <cellStyle name="Followed Hyperlink" xfId="3146" builtinId="9" hidden="1"/>
    <cellStyle name="Followed Hyperlink" xfId="3147" builtinId="9" hidden="1"/>
    <cellStyle name="Followed Hyperlink" xfId="3148" builtinId="9" hidden="1"/>
    <cellStyle name="Followed Hyperlink" xfId="3149" builtinId="9" hidden="1"/>
    <cellStyle name="Followed Hyperlink" xfId="3150" builtinId="9" hidden="1"/>
    <cellStyle name="Followed Hyperlink" xfId="3151" builtinId="9" hidden="1"/>
    <cellStyle name="Followed Hyperlink" xfId="3152" builtinId="9" hidden="1"/>
    <cellStyle name="Followed Hyperlink" xfId="3153" builtinId="9" hidden="1"/>
    <cellStyle name="Followed Hyperlink" xfId="3154" builtinId="9" hidden="1"/>
    <cellStyle name="Followed Hyperlink" xfId="3155" builtinId="9" hidden="1"/>
    <cellStyle name="Followed Hyperlink" xfId="3156" builtinId="9" hidden="1"/>
    <cellStyle name="Followed Hyperlink" xfId="3157" builtinId="9" hidden="1"/>
    <cellStyle name="Followed Hyperlink" xfId="3158" builtinId="9" hidden="1"/>
    <cellStyle name="Followed Hyperlink" xfId="3159" builtinId="9" hidden="1"/>
    <cellStyle name="Followed Hyperlink" xfId="3160" builtinId="9" hidden="1"/>
    <cellStyle name="Followed Hyperlink" xfId="3161" builtinId="9" hidden="1"/>
    <cellStyle name="Followed Hyperlink" xfId="3162" builtinId="9" hidden="1"/>
    <cellStyle name="Followed Hyperlink" xfId="3163" builtinId="9" hidden="1"/>
    <cellStyle name="Followed Hyperlink" xfId="3164" builtinId="9" hidden="1"/>
    <cellStyle name="Followed Hyperlink" xfId="3165" builtinId="9" hidden="1"/>
    <cellStyle name="Followed Hyperlink" xfId="3166" builtinId="9" hidden="1"/>
    <cellStyle name="Followed Hyperlink" xfId="3167" builtinId="9" hidden="1"/>
    <cellStyle name="Followed Hyperlink" xfId="3168" builtinId="9" hidden="1"/>
    <cellStyle name="Followed Hyperlink" xfId="3169" builtinId="9" hidden="1"/>
    <cellStyle name="Followed Hyperlink" xfId="3170" builtinId="9" hidden="1"/>
    <cellStyle name="Followed Hyperlink" xfId="3171" builtinId="9" hidden="1"/>
    <cellStyle name="Followed Hyperlink" xfId="3172" builtinId="9" hidden="1"/>
    <cellStyle name="Followed Hyperlink" xfId="3173" builtinId="9" hidden="1"/>
    <cellStyle name="Followed Hyperlink" xfId="3174" builtinId="9" hidden="1"/>
    <cellStyle name="Followed Hyperlink" xfId="3175" builtinId="9" hidden="1"/>
    <cellStyle name="Followed Hyperlink" xfId="3176" builtinId="9" hidden="1"/>
    <cellStyle name="Followed Hyperlink" xfId="3177" builtinId="9" hidden="1"/>
    <cellStyle name="Followed Hyperlink" xfId="3178" builtinId="9" hidden="1"/>
    <cellStyle name="Followed Hyperlink" xfId="3179" builtinId="9" hidden="1"/>
    <cellStyle name="Followed Hyperlink" xfId="3180" builtinId="9" hidden="1"/>
    <cellStyle name="Followed Hyperlink" xfId="3181" builtinId="9" hidden="1"/>
    <cellStyle name="Followed Hyperlink" xfId="3182" builtinId="9" hidden="1"/>
    <cellStyle name="Followed Hyperlink" xfId="3183" builtinId="9" hidden="1"/>
    <cellStyle name="Followed Hyperlink" xfId="3184" builtinId="9" hidden="1"/>
    <cellStyle name="Followed Hyperlink" xfId="3185" builtinId="9" hidden="1"/>
    <cellStyle name="Followed Hyperlink" xfId="3186" builtinId="9" hidden="1"/>
    <cellStyle name="Followed Hyperlink" xfId="3187" builtinId="9" hidden="1"/>
    <cellStyle name="Followed Hyperlink" xfId="3188" builtinId="9" hidden="1"/>
    <cellStyle name="Followed Hyperlink" xfId="3189" builtinId="9" hidden="1"/>
    <cellStyle name="Followed Hyperlink" xfId="3190" builtinId="9" hidden="1"/>
    <cellStyle name="Followed Hyperlink" xfId="3191" builtinId="9" hidden="1"/>
    <cellStyle name="Followed Hyperlink" xfId="3192" builtinId="9" hidden="1"/>
    <cellStyle name="Followed Hyperlink" xfId="3193" builtinId="9" hidden="1"/>
    <cellStyle name="Followed Hyperlink" xfId="3194" builtinId="9" hidden="1"/>
    <cellStyle name="Followed Hyperlink" xfId="3195" builtinId="9" hidden="1"/>
    <cellStyle name="Followed Hyperlink" xfId="3196" builtinId="9" hidden="1"/>
    <cellStyle name="Followed Hyperlink" xfId="3197" builtinId="9" hidden="1"/>
    <cellStyle name="Followed Hyperlink" xfId="3198" builtinId="9" hidden="1"/>
    <cellStyle name="Followed Hyperlink" xfId="3199" builtinId="9" hidden="1"/>
    <cellStyle name="Followed Hyperlink" xfId="3200" builtinId="9" hidden="1"/>
    <cellStyle name="Followed Hyperlink" xfId="3201" builtinId="9" hidden="1"/>
    <cellStyle name="Followed Hyperlink" xfId="3205" builtinId="9" hidden="1"/>
    <cellStyle name="Followed Hyperlink" xfId="3207" builtinId="9" hidden="1"/>
    <cellStyle name="Followed Hyperlink" xfId="3209" builtinId="9" hidden="1"/>
    <cellStyle name="Followed Hyperlink" xfId="3211" builtinId="9" hidden="1"/>
    <cellStyle name="Followed Hyperlink" xfId="3213" builtinId="9" hidden="1"/>
    <cellStyle name="Followed Hyperlink" xfId="3215" builtinId="9" hidden="1"/>
    <cellStyle name="Followed Hyperlink" xfId="3217" builtinId="9" hidden="1"/>
    <cellStyle name="Followed Hyperlink" xfId="3219" builtinId="9" hidden="1"/>
    <cellStyle name="Followed Hyperlink" xfId="3221" builtinId="9" hidden="1"/>
    <cellStyle name="Followed Hyperlink" xfId="3223" builtinId="9" hidden="1"/>
    <cellStyle name="Followed Hyperlink" xfId="3225" builtinId="9" hidden="1"/>
    <cellStyle name="Followed Hyperlink" xfId="3227" builtinId="9" hidden="1"/>
    <cellStyle name="Followed Hyperlink" xfId="3229" builtinId="9" hidden="1"/>
    <cellStyle name="Followed Hyperlink" xfId="3231" builtinId="9" hidden="1"/>
    <cellStyle name="Followed Hyperlink" xfId="3233" builtinId="9" hidden="1"/>
    <cellStyle name="Followed Hyperlink" xfId="3235" builtinId="9" hidden="1"/>
    <cellStyle name="Followed Hyperlink" xfId="3237" builtinId="9" hidden="1"/>
    <cellStyle name="Followed Hyperlink" xfId="3239" builtinId="9" hidden="1"/>
    <cellStyle name="Followed Hyperlink" xfId="3241" builtinId="9" hidden="1"/>
    <cellStyle name="Followed Hyperlink" xfId="3243" builtinId="9" hidden="1"/>
    <cellStyle name="Followed Hyperlink" xfId="3245" builtinId="9" hidden="1"/>
    <cellStyle name="Followed Hyperlink" xfId="3247" builtinId="9" hidden="1"/>
    <cellStyle name="Followed Hyperlink" xfId="3249" builtinId="9" hidden="1"/>
    <cellStyle name="Followed Hyperlink" xfId="3251" builtinId="9" hidden="1"/>
    <cellStyle name="Followed Hyperlink" xfId="3253" builtinId="9" hidden="1"/>
    <cellStyle name="Followed Hyperlink" xfId="3255" builtinId="9" hidden="1"/>
    <cellStyle name="Followed Hyperlink" xfId="3257" builtinId="9" hidden="1"/>
    <cellStyle name="Followed Hyperlink" xfId="3259" builtinId="9" hidden="1"/>
    <cellStyle name="Followed Hyperlink" xfId="3261" builtinId="9" hidden="1"/>
    <cellStyle name="Followed Hyperlink" xfId="3263" builtinId="9" hidden="1"/>
    <cellStyle name="Followed Hyperlink" xfId="3265" builtinId="9" hidden="1"/>
    <cellStyle name="Followed Hyperlink" xfId="3267" builtinId="9" hidden="1"/>
    <cellStyle name="Followed Hyperlink" xfId="3269" builtinId="9" hidden="1"/>
    <cellStyle name="Followed Hyperlink" xfId="3271" builtinId="9" hidden="1"/>
    <cellStyle name="Followed Hyperlink" xfId="3273" builtinId="9" hidden="1"/>
    <cellStyle name="Followed Hyperlink" xfId="3275" builtinId="9" hidden="1"/>
    <cellStyle name="Followed Hyperlink" xfId="3277" builtinId="9" hidden="1"/>
    <cellStyle name="Followed Hyperlink" xfId="3279" builtinId="9" hidden="1"/>
    <cellStyle name="Followed Hyperlink" xfId="3281" builtinId="9" hidden="1"/>
    <cellStyle name="Followed Hyperlink" xfId="3283" builtinId="9" hidden="1"/>
    <cellStyle name="Followed Hyperlink" xfId="3285" builtinId="9" hidden="1"/>
    <cellStyle name="Followed Hyperlink" xfId="3287" builtinId="9" hidden="1"/>
    <cellStyle name="Followed Hyperlink" xfId="3289" builtinId="9" hidden="1"/>
    <cellStyle name="Followed Hyperlink" xfId="3291" builtinId="9" hidden="1"/>
    <cellStyle name="Followed Hyperlink" xfId="3293" builtinId="9" hidden="1"/>
    <cellStyle name="Followed Hyperlink" xfId="3295" builtinId="9" hidden="1"/>
    <cellStyle name="Followed Hyperlink" xfId="3297" builtinId="9" hidden="1"/>
    <cellStyle name="Followed Hyperlink" xfId="3299" builtinId="9" hidden="1"/>
    <cellStyle name="Followed Hyperlink" xfId="3301" builtinId="9" hidden="1"/>
    <cellStyle name="Followed Hyperlink" xfId="3303" builtinId="9" hidden="1"/>
    <cellStyle name="Followed Hyperlink" xfId="3305" builtinId="9" hidden="1"/>
    <cellStyle name="Followed Hyperlink" xfId="3307" builtinId="9" hidden="1"/>
    <cellStyle name="Followed Hyperlink" xfId="3309" builtinId="9" hidden="1"/>
    <cellStyle name="Followed Hyperlink" xfId="3311" builtinId="9" hidden="1"/>
    <cellStyle name="Followed Hyperlink" xfId="3313" builtinId="9" hidden="1"/>
    <cellStyle name="Followed Hyperlink" xfId="3315" builtinId="9" hidden="1"/>
    <cellStyle name="Followed Hyperlink" xfId="3317" builtinId="9" hidden="1"/>
    <cellStyle name="Followed Hyperlink" xfId="3319" builtinId="9" hidden="1"/>
    <cellStyle name="Followed Hyperlink" xfId="3321" builtinId="9" hidden="1"/>
    <cellStyle name="Followed Hyperlink" xfId="3323" builtinId="9" hidden="1"/>
    <cellStyle name="Followed Hyperlink" xfId="3325" builtinId="9" hidden="1"/>
    <cellStyle name="Followed Hyperlink" xfId="3327" builtinId="9" hidden="1"/>
    <cellStyle name="Followed Hyperlink" xfId="3329" builtinId="9" hidden="1"/>
    <cellStyle name="Followed Hyperlink" xfId="3331" builtinId="9" hidden="1"/>
    <cellStyle name="Followed Hyperlink" xfId="3333" builtinId="9" hidden="1"/>
    <cellStyle name="Followed Hyperlink" xfId="3335" builtinId="9" hidden="1"/>
    <cellStyle name="Followed Hyperlink" xfId="3337" builtinId="9" hidden="1"/>
    <cellStyle name="Followed Hyperlink" xfId="3339" builtinId="9" hidden="1"/>
    <cellStyle name="Followed Hyperlink" xfId="3341" builtinId="9" hidden="1"/>
    <cellStyle name="Followed Hyperlink" xfId="3343" builtinId="9" hidden="1"/>
    <cellStyle name="Followed Hyperlink" xfId="3345" builtinId="9" hidden="1"/>
    <cellStyle name="Followed Hyperlink" xfId="3347" builtinId="9" hidden="1"/>
    <cellStyle name="Followed Hyperlink" xfId="3349" builtinId="9" hidden="1"/>
    <cellStyle name="Followed Hyperlink" xfId="3351" builtinId="9" hidden="1"/>
    <cellStyle name="Followed Hyperlink" xfId="3353" builtinId="9" hidden="1"/>
    <cellStyle name="Followed Hyperlink" xfId="3355" builtinId="9" hidden="1"/>
    <cellStyle name="Followed Hyperlink" xfId="3357" builtinId="9" hidden="1"/>
    <cellStyle name="Followed Hyperlink" xfId="3359" builtinId="9" hidden="1"/>
    <cellStyle name="Followed Hyperlink" xfId="3361" builtinId="9" hidden="1"/>
    <cellStyle name="Followed Hyperlink" xfId="3363" builtinId="9" hidden="1"/>
    <cellStyle name="Followed Hyperlink" xfId="3365" builtinId="9" hidden="1"/>
    <cellStyle name="Followed Hyperlink" xfId="3367" builtinId="9" hidden="1"/>
    <cellStyle name="Followed Hyperlink" xfId="3369" builtinId="9" hidden="1"/>
    <cellStyle name="Followed Hyperlink" xfId="3371" builtinId="9" hidden="1"/>
    <cellStyle name="Followed Hyperlink" xfId="3373" builtinId="9" hidden="1"/>
    <cellStyle name="Followed Hyperlink" xfId="3375" builtinId="9" hidden="1"/>
    <cellStyle name="Followed Hyperlink" xfId="3377" builtinId="9" hidden="1"/>
    <cellStyle name="Followed Hyperlink" xfId="3379" builtinId="9" hidden="1"/>
    <cellStyle name="Followed Hyperlink" xfId="3381" builtinId="9" hidden="1"/>
    <cellStyle name="Followed Hyperlink" xfId="3383" builtinId="9" hidden="1"/>
    <cellStyle name="Followed Hyperlink" xfId="3385" builtinId="9" hidden="1"/>
    <cellStyle name="Followed Hyperlink" xfId="3387" builtinId="9" hidden="1"/>
    <cellStyle name="Followed Hyperlink" xfId="3389" builtinId="9" hidden="1"/>
    <cellStyle name="Followed Hyperlink" xfId="3391" builtinId="9" hidden="1"/>
    <cellStyle name="Followed Hyperlink" xfId="3393" builtinId="9" hidden="1"/>
    <cellStyle name="Followed Hyperlink" xfId="3395" builtinId="9" hidden="1"/>
    <cellStyle name="Followed Hyperlink" xfId="3397" builtinId="9" hidden="1"/>
    <cellStyle name="Followed Hyperlink" xfId="3399" builtinId="9" hidden="1"/>
    <cellStyle name="Followed Hyperlink" xfId="3401" builtinId="9" hidden="1"/>
    <cellStyle name="Followed Hyperlink" xfId="3403" builtinId="9" hidden="1"/>
    <cellStyle name="Followed Hyperlink" xfId="3405" builtinId="9" hidden="1"/>
    <cellStyle name="Followed Hyperlink" xfId="3407" builtinId="9" hidden="1"/>
    <cellStyle name="Followed Hyperlink" xfId="3409" builtinId="9" hidden="1"/>
    <cellStyle name="Followed Hyperlink" xfId="3411" builtinId="9" hidden="1"/>
    <cellStyle name="Followed Hyperlink" xfId="3413" builtinId="9" hidden="1"/>
    <cellStyle name="Followed Hyperlink" xfId="3415" builtinId="9" hidden="1"/>
    <cellStyle name="Followed Hyperlink" xfId="3417" builtinId="9" hidden="1"/>
    <cellStyle name="Followed Hyperlink" xfId="3419" builtinId="9" hidden="1"/>
    <cellStyle name="Followed Hyperlink" xfId="3421" builtinId="9" hidden="1"/>
    <cellStyle name="Followed Hyperlink" xfId="3423" builtinId="9" hidden="1"/>
    <cellStyle name="Followed Hyperlink" xfId="3431" builtinId="9" hidden="1"/>
    <cellStyle name="Followed Hyperlink" xfId="3433" builtinId="9" hidden="1"/>
    <cellStyle name="Followed Hyperlink" xfId="3435" builtinId="9" hidden="1"/>
    <cellStyle name="Followed Hyperlink" xfId="3437" builtinId="9" hidden="1"/>
    <cellStyle name="Followed Hyperlink" xfId="3439" builtinId="9" hidden="1"/>
    <cellStyle name="Followed Hyperlink" xfId="3441" builtinId="9" hidden="1"/>
    <cellStyle name="Followed Hyperlink" xfId="3443" builtinId="9" hidden="1"/>
    <cellStyle name="Followed Hyperlink" xfId="3445" builtinId="9" hidden="1"/>
    <cellStyle name="Followed Hyperlink" xfId="3447" builtinId="9" hidden="1"/>
    <cellStyle name="Followed Hyperlink" xfId="3449" builtinId="9" hidden="1"/>
    <cellStyle name="Followed Hyperlink" xfId="3451" builtinId="9" hidden="1"/>
    <cellStyle name="Followed Hyperlink" xfId="3453" builtinId="9" hidden="1"/>
    <cellStyle name="Followed Hyperlink" xfId="3455" builtinId="9" hidden="1"/>
    <cellStyle name="Followed Hyperlink" xfId="3457" builtinId="9" hidden="1"/>
    <cellStyle name="Followed Hyperlink" xfId="3459" builtinId="9" hidden="1"/>
    <cellStyle name="Followed Hyperlink" xfId="3461" builtinId="9" hidden="1"/>
    <cellStyle name="Followed Hyperlink" xfId="3463" builtinId="9" hidden="1"/>
    <cellStyle name="Followed Hyperlink" xfId="3465" builtinId="9" hidden="1"/>
    <cellStyle name="Followed Hyperlink" xfId="3467" builtinId="9" hidden="1"/>
    <cellStyle name="Followed Hyperlink" xfId="3469" builtinId="9" hidden="1"/>
    <cellStyle name="Followed Hyperlink" xfId="3471" builtinId="9" hidden="1"/>
    <cellStyle name="Followed Hyperlink" xfId="3473" builtinId="9" hidden="1"/>
    <cellStyle name="Followed Hyperlink" xfId="3475" builtinId="9" hidden="1"/>
    <cellStyle name="Followed Hyperlink" xfId="3477" builtinId="9" hidden="1"/>
    <cellStyle name="Followed Hyperlink" xfId="3479" builtinId="9" hidden="1"/>
    <cellStyle name="Followed Hyperlink" xfId="3481" builtinId="9" hidden="1"/>
    <cellStyle name="Followed Hyperlink" xfId="3483" builtinId="9" hidden="1"/>
    <cellStyle name="Followed Hyperlink" xfId="3485" builtinId="9" hidden="1"/>
    <cellStyle name="Followed Hyperlink" xfId="3487" builtinId="9" hidden="1"/>
    <cellStyle name="Followed Hyperlink" xfId="3489" builtinId="9" hidden="1"/>
    <cellStyle name="Followed Hyperlink" xfId="3491" builtinId="9" hidden="1"/>
    <cellStyle name="Followed Hyperlink" xfId="3493" builtinId="9" hidden="1"/>
    <cellStyle name="Followed Hyperlink" xfId="3495" builtinId="9" hidden="1"/>
    <cellStyle name="Followed Hyperlink" xfId="3497" builtinId="9" hidden="1"/>
    <cellStyle name="Followed Hyperlink" xfId="3499" builtinId="9" hidden="1"/>
    <cellStyle name="Followed Hyperlink" xfId="3501" builtinId="9" hidden="1"/>
    <cellStyle name="Followed Hyperlink" xfId="3503" builtinId="9" hidden="1"/>
    <cellStyle name="Followed Hyperlink" xfId="3505" builtinId="9" hidden="1"/>
    <cellStyle name="Followed Hyperlink" xfId="3507" builtinId="9" hidden="1"/>
    <cellStyle name="Followed Hyperlink" xfId="3509" builtinId="9" hidden="1"/>
    <cellStyle name="Followed Hyperlink" xfId="3511" builtinId="9" hidden="1"/>
    <cellStyle name="Followed Hyperlink" xfId="3513" builtinId="9" hidden="1"/>
    <cellStyle name="Followed Hyperlink" xfId="3515" builtinId="9" hidden="1"/>
    <cellStyle name="Followed Hyperlink" xfId="3517" builtinId="9" hidden="1"/>
    <cellStyle name="Followed Hyperlink" xfId="3519" builtinId="9" hidden="1"/>
    <cellStyle name="Followed Hyperlink" xfId="3521" builtinId="9" hidden="1"/>
    <cellStyle name="Followed Hyperlink" xfId="3523" builtinId="9" hidden="1"/>
    <cellStyle name="Followed Hyperlink" xfId="3525" builtinId="9" hidden="1"/>
    <cellStyle name="Followed Hyperlink" xfId="3527" builtinId="9" hidden="1"/>
    <cellStyle name="Followed Hyperlink" xfId="3529" builtinId="9" hidden="1"/>
    <cellStyle name="Followed Hyperlink" xfId="3531" builtinId="9" hidden="1"/>
    <cellStyle name="Followed Hyperlink" xfId="3533" builtinId="9" hidden="1"/>
    <cellStyle name="Followed Hyperlink" xfId="3535" builtinId="9" hidden="1"/>
    <cellStyle name="Followed Hyperlink" xfId="3537" builtinId="9" hidden="1"/>
    <cellStyle name="Followed Hyperlink" xfId="3539" builtinId="9" hidden="1"/>
    <cellStyle name="Followed Hyperlink" xfId="3541" builtinId="9" hidden="1"/>
    <cellStyle name="Followed Hyperlink" xfId="3543" builtinId="9" hidden="1"/>
    <cellStyle name="Followed Hyperlink" xfId="3545" builtinId="9" hidden="1"/>
    <cellStyle name="Followed Hyperlink" xfId="3547" builtinId="9" hidden="1"/>
    <cellStyle name="Followed Hyperlink" xfId="3549" builtinId="9" hidden="1"/>
    <cellStyle name="Followed Hyperlink" xfId="3551" builtinId="9" hidden="1"/>
    <cellStyle name="Followed Hyperlink" xfId="3553" builtinId="9" hidden="1"/>
    <cellStyle name="Followed Hyperlink" xfId="3555" builtinId="9" hidden="1"/>
    <cellStyle name="Followed Hyperlink" xfId="3557" builtinId="9" hidden="1"/>
    <cellStyle name="Followed Hyperlink" xfId="3559" builtinId="9" hidden="1"/>
    <cellStyle name="Followed Hyperlink" xfId="3561" builtinId="9" hidden="1"/>
    <cellStyle name="Followed Hyperlink" xfId="3563" builtinId="9" hidden="1"/>
    <cellStyle name="Followed Hyperlink" xfId="3565" builtinId="9" hidden="1"/>
    <cellStyle name="Followed Hyperlink" xfId="3567" builtinId="9" hidden="1"/>
    <cellStyle name="Followed Hyperlink" xfId="3569" builtinId="9" hidden="1"/>
    <cellStyle name="Followed Hyperlink" xfId="3571" builtinId="9" hidden="1"/>
    <cellStyle name="Followed Hyperlink" xfId="3573" builtinId="9" hidden="1"/>
    <cellStyle name="Followed Hyperlink" xfId="3575" builtinId="9" hidden="1"/>
    <cellStyle name="Followed Hyperlink" xfId="3577" builtinId="9" hidden="1"/>
    <cellStyle name="Followed Hyperlink" xfId="3579" builtinId="9" hidden="1"/>
    <cellStyle name="Followed Hyperlink" xfId="3581" builtinId="9" hidden="1"/>
    <cellStyle name="Followed Hyperlink" xfId="3583" builtinId="9" hidden="1"/>
    <cellStyle name="Followed Hyperlink" xfId="3585" builtinId="9" hidden="1"/>
    <cellStyle name="Followed Hyperlink" xfId="3587" builtinId="9" hidden="1"/>
    <cellStyle name="Followed Hyperlink" xfId="3589" builtinId="9" hidden="1"/>
    <cellStyle name="Followed Hyperlink" xfId="3591" builtinId="9" hidden="1"/>
    <cellStyle name="Followed Hyperlink" xfId="3593" builtinId="9" hidden="1"/>
    <cellStyle name="Followed Hyperlink" xfId="3595" builtinId="9" hidden="1"/>
    <cellStyle name="Followed Hyperlink" xfId="3597" builtinId="9" hidden="1"/>
    <cellStyle name="Followed Hyperlink" xfId="3599" builtinId="9" hidden="1"/>
    <cellStyle name="Followed Hyperlink" xfId="3601" builtinId="9" hidden="1"/>
    <cellStyle name="Followed Hyperlink" xfId="3603" builtinId="9" hidden="1"/>
    <cellStyle name="Followed Hyperlink" xfId="3605" builtinId="9" hidden="1"/>
    <cellStyle name="Followed Hyperlink" xfId="3607" builtinId="9" hidden="1"/>
    <cellStyle name="Followed Hyperlink" xfId="3609" builtinId="9" hidden="1"/>
    <cellStyle name="Followed Hyperlink" xfId="3611" builtinId="9" hidden="1"/>
    <cellStyle name="Followed Hyperlink" xfId="3613" builtinId="9" hidden="1"/>
    <cellStyle name="Followed Hyperlink" xfId="3615" builtinId="9" hidden="1"/>
    <cellStyle name="Followed Hyperlink" xfId="3617" builtinId="9" hidden="1"/>
    <cellStyle name="Followed Hyperlink" xfId="3619" builtinId="9" hidden="1"/>
    <cellStyle name="Followed Hyperlink" xfId="3621" builtinId="9" hidden="1"/>
    <cellStyle name="Followed Hyperlink" xfId="3623" builtinId="9" hidden="1"/>
    <cellStyle name="Followed Hyperlink" xfId="3625" builtinId="9" hidden="1"/>
    <cellStyle name="Followed Hyperlink" xfId="3627" builtinId="9" hidden="1"/>
    <cellStyle name="Followed Hyperlink" xfId="3629" builtinId="9" hidden="1"/>
    <cellStyle name="Followed Hyperlink" xfId="3631" builtinId="9" hidden="1"/>
    <cellStyle name="Followed Hyperlink" xfId="3633" builtinId="9" hidden="1"/>
    <cellStyle name="Followed Hyperlink" xfId="3635" builtinId="9" hidden="1"/>
    <cellStyle name="Followed Hyperlink" xfId="3637" builtinId="9" hidden="1"/>
    <cellStyle name="Followed Hyperlink" xfId="3639" builtinId="9" hidden="1"/>
    <cellStyle name="Followed Hyperlink" xfId="3641" builtinId="9" hidden="1"/>
    <cellStyle name="Followed Hyperlink" xfId="3643" builtinId="9" hidden="1"/>
    <cellStyle name="Followed Hyperlink" xfId="3645" builtinId="9" hidden="1"/>
    <cellStyle name="Followed Hyperlink" xfId="3647" builtinId="9" hidden="1"/>
    <cellStyle name="Followed Hyperlink" xfId="3649" builtinId="9" hidden="1"/>
    <cellStyle name="Followed Hyperlink" xfId="3648" builtinId="9" hidden="1"/>
    <cellStyle name="Followed Hyperlink" xfId="3644" builtinId="9" hidden="1"/>
    <cellStyle name="Followed Hyperlink" xfId="3640" builtinId="9" hidden="1"/>
    <cellStyle name="Followed Hyperlink" xfId="3636" builtinId="9" hidden="1"/>
    <cellStyle name="Followed Hyperlink" xfId="3632" builtinId="9" hidden="1"/>
    <cellStyle name="Followed Hyperlink" xfId="3628" builtinId="9" hidden="1"/>
    <cellStyle name="Followed Hyperlink" xfId="3624" builtinId="9" hidden="1"/>
    <cellStyle name="Followed Hyperlink" xfId="3620" builtinId="9" hidden="1"/>
    <cellStyle name="Followed Hyperlink" xfId="3616" builtinId="9" hidden="1"/>
    <cellStyle name="Followed Hyperlink" xfId="3612" builtinId="9" hidden="1"/>
    <cellStyle name="Followed Hyperlink" xfId="3608" builtinId="9" hidden="1"/>
    <cellStyle name="Followed Hyperlink" xfId="3604" builtinId="9" hidden="1"/>
    <cellStyle name="Followed Hyperlink" xfId="3600" builtinId="9" hidden="1"/>
    <cellStyle name="Followed Hyperlink" xfId="3596" builtinId="9" hidden="1"/>
    <cellStyle name="Followed Hyperlink" xfId="3592" builtinId="9" hidden="1"/>
    <cellStyle name="Followed Hyperlink" xfId="3588" builtinId="9" hidden="1"/>
    <cellStyle name="Followed Hyperlink" xfId="3584" builtinId="9" hidden="1"/>
    <cellStyle name="Followed Hyperlink" xfId="3580" builtinId="9" hidden="1"/>
    <cellStyle name="Followed Hyperlink" xfId="3576" builtinId="9" hidden="1"/>
    <cellStyle name="Followed Hyperlink" xfId="3572" builtinId="9" hidden="1"/>
    <cellStyle name="Followed Hyperlink" xfId="3568" builtinId="9" hidden="1"/>
    <cellStyle name="Followed Hyperlink" xfId="3564" builtinId="9" hidden="1"/>
    <cellStyle name="Followed Hyperlink" xfId="3560" builtinId="9" hidden="1"/>
    <cellStyle name="Followed Hyperlink" xfId="3556" builtinId="9" hidden="1"/>
    <cellStyle name="Followed Hyperlink" xfId="3552" builtinId="9" hidden="1"/>
    <cellStyle name="Followed Hyperlink" xfId="3548" builtinId="9" hidden="1"/>
    <cellStyle name="Followed Hyperlink" xfId="3544" builtinId="9" hidden="1"/>
    <cellStyle name="Followed Hyperlink" xfId="3540" builtinId="9" hidden="1"/>
    <cellStyle name="Followed Hyperlink" xfId="3536" builtinId="9" hidden="1"/>
    <cellStyle name="Followed Hyperlink" xfId="3532" builtinId="9" hidden="1"/>
    <cellStyle name="Followed Hyperlink" xfId="3528" builtinId="9" hidden="1"/>
    <cellStyle name="Followed Hyperlink" xfId="3524" builtinId="9" hidden="1"/>
    <cellStyle name="Followed Hyperlink" xfId="3520" builtinId="9" hidden="1"/>
    <cellStyle name="Followed Hyperlink" xfId="3516" builtinId="9" hidden="1"/>
    <cellStyle name="Followed Hyperlink" xfId="3512" builtinId="9" hidden="1"/>
    <cellStyle name="Followed Hyperlink" xfId="3508" builtinId="9" hidden="1"/>
    <cellStyle name="Followed Hyperlink" xfId="3504" builtinId="9" hidden="1"/>
    <cellStyle name="Followed Hyperlink" xfId="3500" builtinId="9" hidden="1"/>
    <cellStyle name="Followed Hyperlink" xfId="3496" builtinId="9" hidden="1"/>
    <cellStyle name="Followed Hyperlink" xfId="3492" builtinId="9" hidden="1"/>
    <cellStyle name="Followed Hyperlink" xfId="3488" builtinId="9" hidden="1"/>
    <cellStyle name="Followed Hyperlink" xfId="3484" builtinId="9" hidden="1"/>
    <cellStyle name="Followed Hyperlink" xfId="3480" builtinId="9" hidden="1"/>
    <cellStyle name="Followed Hyperlink" xfId="3476" builtinId="9" hidden="1"/>
    <cellStyle name="Followed Hyperlink" xfId="3472" builtinId="9" hidden="1"/>
    <cellStyle name="Followed Hyperlink" xfId="3468" builtinId="9" hidden="1"/>
    <cellStyle name="Followed Hyperlink" xfId="3464" builtinId="9" hidden="1"/>
    <cellStyle name="Followed Hyperlink" xfId="3460" builtinId="9" hidden="1"/>
    <cellStyle name="Followed Hyperlink" xfId="3456" builtinId="9" hidden="1"/>
    <cellStyle name="Followed Hyperlink" xfId="3452" builtinId="9" hidden="1"/>
    <cellStyle name="Followed Hyperlink" xfId="3448" builtinId="9" hidden="1"/>
    <cellStyle name="Followed Hyperlink" xfId="3444" builtinId="9" hidden="1"/>
    <cellStyle name="Followed Hyperlink" xfId="3440" builtinId="9" hidden="1"/>
    <cellStyle name="Followed Hyperlink" xfId="3436" builtinId="9" hidden="1"/>
    <cellStyle name="Followed Hyperlink" xfId="3432" builtinId="9" hidden="1"/>
    <cellStyle name="Followed Hyperlink" xfId="3650" builtinId="9" hidden="1"/>
    <cellStyle name="Followed Hyperlink" xfId="3204" builtinId="9" hidden="1"/>
    <cellStyle name="Followed Hyperlink" xfId="3651" builtinId="9" hidden="1"/>
    <cellStyle name="Followed Hyperlink" xfId="3655" builtinId="9" hidden="1"/>
    <cellStyle name="Followed Hyperlink" xfId="3657" builtinId="9" hidden="1"/>
    <cellStyle name="Followed Hyperlink" xfId="3659" builtinId="9" hidden="1"/>
    <cellStyle name="Followed Hyperlink" xfId="3661" builtinId="9" hidden="1"/>
    <cellStyle name="Followed Hyperlink" xfId="3663" builtinId="9" hidden="1"/>
    <cellStyle name="Followed Hyperlink" xfId="3665" builtinId="9" hidden="1"/>
    <cellStyle name="Followed Hyperlink" xfId="3667" builtinId="9" hidden="1"/>
    <cellStyle name="Followed Hyperlink" xfId="3669" builtinId="9" hidden="1"/>
    <cellStyle name="Followed Hyperlink" xfId="3671" builtinId="9" hidden="1"/>
    <cellStyle name="Followed Hyperlink" xfId="3673" builtinId="9" hidden="1"/>
    <cellStyle name="Followed Hyperlink" xfId="3675" builtinId="9" hidden="1"/>
    <cellStyle name="Followed Hyperlink" xfId="3677" builtinId="9" hidden="1"/>
    <cellStyle name="Followed Hyperlink" xfId="3679" builtinId="9" hidden="1"/>
    <cellStyle name="Followed Hyperlink" xfId="3681" builtinId="9" hidden="1"/>
    <cellStyle name="Followed Hyperlink" xfId="3683" builtinId="9" hidden="1"/>
    <cellStyle name="Followed Hyperlink" xfId="3685" builtinId="9" hidden="1"/>
    <cellStyle name="Followed Hyperlink" xfId="3687" builtinId="9" hidden="1"/>
    <cellStyle name="Followed Hyperlink" xfId="3689" builtinId="9" hidden="1"/>
    <cellStyle name="Followed Hyperlink" xfId="3691" builtinId="9" hidden="1"/>
    <cellStyle name="Followed Hyperlink" xfId="3693" builtinId="9" hidden="1"/>
    <cellStyle name="Followed Hyperlink" xfId="3695" builtinId="9" hidden="1"/>
    <cellStyle name="Followed Hyperlink" xfId="3697" builtinId="9" hidden="1"/>
    <cellStyle name="Followed Hyperlink" xfId="3699" builtinId="9" hidden="1"/>
    <cellStyle name="Followed Hyperlink" xfId="3701" builtinId="9" hidden="1"/>
    <cellStyle name="Followed Hyperlink" xfId="3703" builtinId="9" hidden="1"/>
    <cellStyle name="Followed Hyperlink" xfId="3705" builtinId="9" hidden="1"/>
    <cellStyle name="Followed Hyperlink" xfId="3707" builtinId="9" hidden="1"/>
    <cellStyle name="Followed Hyperlink" xfId="3709" builtinId="9" hidden="1"/>
    <cellStyle name="Followed Hyperlink" xfId="3711" builtinId="9" hidden="1"/>
    <cellStyle name="Followed Hyperlink" xfId="3713" builtinId="9" hidden="1"/>
    <cellStyle name="Followed Hyperlink" xfId="3715" builtinId="9" hidden="1"/>
    <cellStyle name="Followed Hyperlink" xfId="3717" builtinId="9" hidden="1"/>
    <cellStyle name="Followed Hyperlink" xfId="3719" builtinId="9" hidden="1"/>
    <cellStyle name="Followed Hyperlink" xfId="3721" builtinId="9" hidden="1"/>
    <cellStyle name="Followed Hyperlink" xfId="3723" builtinId="9" hidden="1"/>
    <cellStyle name="Followed Hyperlink" xfId="3725" builtinId="9" hidden="1"/>
    <cellStyle name="Followed Hyperlink" xfId="3727" builtinId="9" hidden="1"/>
    <cellStyle name="Followed Hyperlink" xfId="3729" builtinId="9" hidden="1"/>
    <cellStyle name="Followed Hyperlink" xfId="3731" builtinId="9" hidden="1"/>
    <cellStyle name="Followed Hyperlink" xfId="3733" builtinId="9" hidden="1"/>
    <cellStyle name="Followed Hyperlink" xfId="3735" builtinId="9" hidden="1"/>
    <cellStyle name="Followed Hyperlink" xfId="3737" builtinId="9" hidden="1"/>
    <cellStyle name="Followed Hyperlink" xfId="3739" builtinId="9" hidden="1"/>
    <cellStyle name="Followed Hyperlink" xfId="3741" builtinId="9" hidden="1"/>
    <cellStyle name="Followed Hyperlink" xfId="3743" builtinId="9" hidden="1"/>
    <cellStyle name="Followed Hyperlink" xfId="3745" builtinId="9" hidden="1"/>
    <cellStyle name="Followed Hyperlink" xfId="3747" builtinId="9" hidden="1"/>
    <cellStyle name="Followed Hyperlink" xfId="3749" builtinId="9" hidden="1"/>
    <cellStyle name="Followed Hyperlink" xfId="3751" builtinId="9" hidden="1"/>
    <cellStyle name="Followed Hyperlink" xfId="3753" builtinId="9" hidden="1"/>
    <cellStyle name="Followed Hyperlink" xfId="3755" builtinId="9" hidden="1"/>
    <cellStyle name="Followed Hyperlink" xfId="3757" builtinId="9" hidden="1"/>
    <cellStyle name="Followed Hyperlink" xfId="3781" builtinId="9" hidden="1"/>
    <cellStyle name="Followed Hyperlink" xfId="3782" builtinId="9" hidden="1"/>
    <cellStyle name="Followed Hyperlink" xfId="3783" builtinId="9" hidden="1"/>
    <cellStyle name="Followed Hyperlink" xfId="3784" builtinId="9" hidden="1"/>
    <cellStyle name="Followed Hyperlink" xfId="3785" builtinId="9" hidden="1"/>
    <cellStyle name="Followed Hyperlink" xfId="3786" builtinId="9" hidden="1"/>
    <cellStyle name="Followed Hyperlink" xfId="3787" builtinId="9" hidden="1"/>
    <cellStyle name="Followed Hyperlink" xfId="3788" builtinId="9" hidden="1"/>
    <cellStyle name="Followed Hyperlink" xfId="3789" builtinId="9" hidden="1"/>
    <cellStyle name="Followed Hyperlink" xfId="3790" builtinId="9" hidden="1"/>
    <cellStyle name="Followed Hyperlink" xfId="3791" builtinId="9" hidden="1"/>
    <cellStyle name="Followed Hyperlink" xfId="3792" builtinId="9" hidden="1"/>
    <cellStyle name="Followed Hyperlink" xfId="3793" builtinId="9" hidden="1"/>
    <cellStyle name="Followed Hyperlink" xfId="3794" builtinId="9" hidden="1"/>
    <cellStyle name="Followed Hyperlink" xfId="3795" builtinId="9" hidden="1"/>
    <cellStyle name="Followed Hyperlink" xfId="3796" builtinId="9" hidden="1"/>
    <cellStyle name="Followed Hyperlink" xfId="3797" builtinId="9" hidden="1"/>
    <cellStyle name="Followed Hyperlink" xfId="3798" builtinId="9" hidden="1"/>
    <cellStyle name="Followed Hyperlink" xfId="3799" builtinId="9" hidden="1"/>
    <cellStyle name="Followed Hyperlink" xfId="3800" builtinId="9" hidden="1"/>
    <cellStyle name="Followed Hyperlink" xfId="3801" builtinId="9" hidden="1"/>
    <cellStyle name="Followed Hyperlink" xfId="3802" builtinId="9" hidden="1"/>
    <cellStyle name="Followed Hyperlink" xfId="3803" builtinId="9" hidden="1"/>
    <cellStyle name="Followed Hyperlink" xfId="3804" builtinId="9" hidden="1"/>
    <cellStyle name="Followed Hyperlink" xfId="3805" builtinId="9" hidden="1"/>
    <cellStyle name="Followed Hyperlink" xfId="3806" builtinId="9" hidden="1"/>
    <cellStyle name="Followed Hyperlink" xfId="3807" builtinId="9" hidden="1"/>
    <cellStyle name="Followed Hyperlink" xfId="3808" builtinId="9" hidden="1"/>
    <cellStyle name="Followed Hyperlink" xfId="3809" builtinId="9" hidden="1"/>
    <cellStyle name="Followed Hyperlink" xfId="3810" builtinId="9" hidden="1"/>
    <cellStyle name="Followed Hyperlink" xfId="3811" builtinId="9" hidden="1"/>
    <cellStyle name="Followed Hyperlink" xfId="3812" builtinId="9" hidden="1"/>
    <cellStyle name="Followed Hyperlink" xfId="3813" builtinId="9" hidden="1"/>
    <cellStyle name="Followed Hyperlink" xfId="3814" builtinId="9" hidden="1"/>
    <cellStyle name="Followed Hyperlink" xfId="3815" builtinId="9" hidden="1"/>
    <cellStyle name="Followed Hyperlink" xfId="3816" builtinId="9" hidden="1"/>
    <cellStyle name="Followed Hyperlink" xfId="3817" builtinId="9" hidden="1"/>
    <cellStyle name="Followed Hyperlink" xfId="3818" builtinId="9" hidden="1"/>
    <cellStyle name="Followed Hyperlink" xfId="3819" builtinId="9" hidden="1"/>
    <cellStyle name="Followed Hyperlink" xfId="3820" builtinId="9" hidden="1"/>
    <cellStyle name="Followed Hyperlink" xfId="3821" builtinId="9" hidden="1"/>
    <cellStyle name="Followed Hyperlink" xfId="3822" builtinId="9" hidden="1"/>
    <cellStyle name="Followed Hyperlink" xfId="3823" builtinId="9" hidden="1"/>
    <cellStyle name="Followed Hyperlink" xfId="3824" builtinId="9" hidden="1"/>
    <cellStyle name="Followed Hyperlink" xfId="3825" builtinId="9" hidden="1"/>
    <cellStyle name="Followed Hyperlink" xfId="3826" builtinId="9" hidden="1"/>
    <cellStyle name="Followed Hyperlink" xfId="3827" builtinId="9" hidden="1"/>
    <cellStyle name="Followed Hyperlink" xfId="3828" builtinId="9" hidden="1"/>
    <cellStyle name="Followed Hyperlink" xfId="3829" builtinId="9" hidden="1"/>
    <cellStyle name="Followed Hyperlink" xfId="3830" builtinId="9" hidden="1"/>
    <cellStyle name="Followed Hyperlink" xfId="3831" builtinId="9" hidden="1"/>
    <cellStyle name="Followed Hyperlink" xfId="3832" builtinId="9" hidden="1"/>
    <cellStyle name="Followed Hyperlink" xfId="3833" builtinId="9" hidden="1"/>
    <cellStyle name="Followed Hyperlink" xfId="3834" builtinId="9" hidden="1"/>
    <cellStyle name="Followed Hyperlink" xfId="3835" builtinId="9" hidden="1"/>
    <cellStyle name="Followed Hyperlink" xfId="3836" builtinId="9" hidden="1"/>
    <cellStyle name="Followed Hyperlink" xfId="3837" builtinId="9" hidden="1"/>
    <cellStyle name="Followed Hyperlink" xfId="3838" builtinId="9" hidden="1"/>
    <cellStyle name="Followed Hyperlink" xfId="3839" builtinId="9" hidden="1"/>
    <cellStyle name="Followed Hyperlink" xfId="3840" builtinId="9" hidden="1"/>
    <cellStyle name="Followed Hyperlink" xfId="3841" builtinId="9" hidden="1"/>
    <cellStyle name="Followed Hyperlink" xfId="3842" builtinId="9" hidden="1"/>
    <cellStyle name="Followed Hyperlink" xfId="3843" builtinId="9" hidden="1"/>
    <cellStyle name="Followed Hyperlink" xfId="3844" builtinId="9" hidden="1"/>
    <cellStyle name="Followed Hyperlink" xfId="3845" builtinId="9" hidden="1"/>
    <cellStyle name="Followed Hyperlink" xfId="3846" builtinId="9" hidden="1"/>
    <cellStyle name="Followed Hyperlink" xfId="3847" builtinId="9" hidden="1"/>
    <cellStyle name="Followed Hyperlink" xfId="3848" builtinId="9" hidden="1"/>
    <cellStyle name="Followed Hyperlink" xfId="3849" builtinId="9" hidden="1"/>
    <cellStyle name="Followed Hyperlink" xfId="3850" builtinId="9" hidden="1"/>
    <cellStyle name="Followed Hyperlink" xfId="3851" builtinId="9" hidden="1"/>
    <cellStyle name="Followed Hyperlink" xfId="3852" builtinId="9" hidden="1"/>
    <cellStyle name="Followed Hyperlink" xfId="3853" builtinId="9" hidden="1"/>
    <cellStyle name="Followed Hyperlink" xfId="3854" builtinId="9" hidden="1"/>
    <cellStyle name="Followed Hyperlink" xfId="3855" builtinId="9" hidden="1"/>
    <cellStyle name="Followed Hyperlink" xfId="3856" builtinId="9" hidden="1"/>
    <cellStyle name="Followed Hyperlink" xfId="3857" builtinId="9" hidden="1"/>
    <cellStyle name="Followed Hyperlink" xfId="3858" builtinId="9" hidden="1"/>
    <cellStyle name="Followed Hyperlink" xfId="3859" builtinId="9" hidden="1"/>
    <cellStyle name="Followed Hyperlink" xfId="3860" builtinId="9" hidden="1"/>
    <cellStyle name="Followed Hyperlink" xfId="3861" builtinId="9" hidden="1"/>
    <cellStyle name="Followed Hyperlink" xfId="3862" builtinId="9" hidden="1"/>
    <cellStyle name="Followed Hyperlink" xfId="3863" builtinId="9" hidden="1"/>
    <cellStyle name="Followed Hyperlink" xfId="3864" builtinId="9" hidden="1"/>
    <cellStyle name="Followed Hyperlink" xfId="3865" builtinId="9" hidden="1"/>
    <cellStyle name="Followed Hyperlink" xfId="3866" builtinId="9" hidden="1"/>
    <cellStyle name="Followed Hyperlink" xfId="3867" builtinId="9" hidden="1"/>
    <cellStyle name="Followed Hyperlink" xfId="3868" builtinId="9" hidden="1"/>
    <cellStyle name="Followed Hyperlink" xfId="3869" builtinId="9" hidden="1"/>
    <cellStyle name="Followed Hyperlink" xfId="3870" builtinId="9" hidden="1"/>
    <cellStyle name="Followed Hyperlink" xfId="3871" builtinId="9" hidden="1"/>
    <cellStyle name="Followed Hyperlink" xfId="3872" builtinId="9" hidden="1"/>
    <cellStyle name="Followed Hyperlink" xfId="3873" builtinId="9" hidden="1"/>
    <cellStyle name="Followed Hyperlink" xfId="3874" builtinId="9" hidden="1"/>
    <cellStyle name="Followed Hyperlink" xfId="3875" builtinId="9" hidden="1"/>
    <cellStyle name="Followed Hyperlink" xfId="3876" builtinId="9" hidden="1"/>
    <cellStyle name="Followed Hyperlink" xfId="3877" builtinId="9" hidden="1"/>
    <cellStyle name="Followed Hyperlink" xfId="3878" builtinId="9" hidden="1"/>
    <cellStyle name="Followed Hyperlink" xfId="3879" builtinId="9" hidden="1"/>
    <cellStyle name="Followed Hyperlink" xfId="3880" builtinId="9" hidden="1"/>
    <cellStyle name="Followed Hyperlink" xfId="3881" builtinId="9" hidden="1"/>
    <cellStyle name="Followed Hyperlink" xfId="3882" builtinId="9" hidden="1"/>
    <cellStyle name="Followed Hyperlink" xfId="3883" builtinId="9" hidden="1"/>
    <cellStyle name="Followed Hyperlink" xfId="3884" builtinId="9" hidden="1"/>
    <cellStyle name="Followed Hyperlink" xfId="3885" builtinId="9" hidden="1"/>
    <cellStyle name="Followed Hyperlink" xfId="3886" builtinId="9" hidden="1"/>
    <cellStyle name="Followed Hyperlink" xfId="3887" builtinId="9" hidden="1"/>
    <cellStyle name="Followed Hyperlink" xfId="3888" builtinId="9" hidden="1"/>
    <cellStyle name="Followed Hyperlink" xfId="3889" builtinId="9" hidden="1"/>
    <cellStyle name="Followed Hyperlink" xfId="3890" builtinId="9" hidden="1"/>
    <cellStyle name="Followed Hyperlink" xfId="3891" builtinId="9" hidden="1"/>
    <cellStyle name="Followed Hyperlink" xfId="3892" builtinId="9" hidden="1"/>
    <cellStyle name="Followed Hyperlink" xfId="3893" builtinId="9" hidden="1"/>
    <cellStyle name="Followed Hyperlink" xfId="3894" builtinId="9" hidden="1"/>
    <cellStyle name="Followed Hyperlink" xfId="3895" builtinId="9" hidden="1"/>
    <cellStyle name="Followed Hyperlink" xfId="3896" builtinId="9" hidden="1"/>
    <cellStyle name="Followed Hyperlink" xfId="3897" builtinId="9" hidden="1"/>
    <cellStyle name="Followed Hyperlink" xfId="3898" builtinId="9" hidden="1"/>
    <cellStyle name="Followed Hyperlink" xfId="3899" builtinId="9" hidden="1"/>
    <cellStyle name="Followed Hyperlink" xfId="3900" builtinId="9" hidden="1"/>
    <cellStyle name="Followed Hyperlink" xfId="3901" builtinId="9" hidden="1"/>
    <cellStyle name="Followed Hyperlink" xfId="3902" builtinId="9" hidden="1"/>
    <cellStyle name="Followed Hyperlink" xfId="3903" builtinId="9" hidden="1"/>
    <cellStyle name="Followed Hyperlink" xfId="3904" builtinId="9" hidden="1"/>
    <cellStyle name="Followed Hyperlink" xfId="3905" builtinId="9" hidden="1"/>
    <cellStyle name="Followed Hyperlink" xfId="3906" builtinId="9" hidden="1"/>
    <cellStyle name="Followed Hyperlink" xfId="3907" builtinId="9" hidden="1"/>
    <cellStyle name="Followed Hyperlink" xfId="3908" builtinId="9" hidden="1"/>
    <cellStyle name="Followed Hyperlink" xfId="3909" builtinId="9" hidden="1"/>
    <cellStyle name="Followed Hyperlink" xfId="3910" builtinId="9" hidden="1"/>
    <cellStyle name="Followed Hyperlink" xfId="3911" builtinId="9" hidden="1"/>
    <cellStyle name="Followed Hyperlink" xfId="3912" builtinId="9" hidden="1"/>
    <cellStyle name="Followed Hyperlink" xfId="3913" builtinId="9" hidden="1"/>
    <cellStyle name="Followed Hyperlink" xfId="3914" builtinId="9" hidden="1"/>
    <cellStyle name="Followed Hyperlink" xfId="3915" builtinId="9" hidden="1"/>
    <cellStyle name="Followed Hyperlink" xfId="3916" builtinId="9" hidden="1"/>
    <cellStyle name="Followed Hyperlink" xfId="3917" builtinId="9" hidden="1"/>
    <cellStyle name="Followed Hyperlink" xfId="3918" builtinId="9" hidden="1"/>
    <cellStyle name="Followed Hyperlink" xfId="3919" builtinId="9" hidden="1"/>
    <cellStyle name="Followed Hyperlink" xfId="3920" builtinId="9" hidden="1"/>
    <cellStyle name="Followed Hyperlink" xfId="3921" builtinId="9" hidden="1"/>
    <cellStyle name="Followed Hyperlink" xfId="3922" builtinId="9" hidden="1"/>
    <cellStyle name="Followed Hyperlink" xfId="3923" builtinId="9" hidden="1"/>
    <cellStyle name="Followed Hyperlink" xfId="3924" builtinId="9" hidden="1"/>
    <cellStyle name="Followed Hyperlink" xfId="3925" builtinId="9" hidden="1"/>
    <cellStyle name="Followed Hyperlink" xfId="3926" builtinId="9" hidden="1"/>
    <cellStyle name="Followed Hyperlink" xfId="3927" builtinId="9" hidden="1"/>
    <cellStyle name="Followed Hyperlink" xfId="3928" builtinId="9" hidden="1"/>
    <cellStyle name="Followed Hyperlink" xfId="3929" builtinId="9" hidden="1"/>
    <cellStyle name="Followed Hyperlink" xfId="3930" builtinId="9" hidden="1"/>
    <cellStyle name="Followed Hyperlink" xfId="3931" builtinId="9" hidden="1"/>
    <cellStyle name="Followed Hyperlink" xfId="3932" builtinId="9" hidden="1"/>
    <cellStyle name="Followed Hyperlink" xfId="3933" builtinId="9" hidden="1"/>
    <cellStyle name="Followed Hyperlink" xfId="3934" builtinId="9" hidden="1"/>
    <cellStyle name="Followed Hyperlink" xfId="3935" builtinId="9" hidden="1"/>
    <cellStyle name="Followed Hyperlink" xfId="3936" builtinId="9" hidden="1"/>
    <cellStyle name="Followed Hyperlink" xfId="3937" builtinId="9" hidden="1"/>
    <cellStyle name="Followed Hyperlink" xfId="3938" builtinId="9" hidden="1"/>
    <cellStyle name="Followed Hyperlink" xfId="3939" builtinId="9" hidden="1"/>
    <cellStyle name="Followed Hyperlink" xfId="3940" builtinId="9" hidden="1"/>
    <cellStyle name="Followed Hyperlink" xfId="3941" builtinId="9" hidden="1"/>
    <cellStyle name="Followed Hyperlink" xfId="3942" builtinId="9" hidden="1"/>
    <cellStyle name="Followed Hyperlink" xfId="3943" builtinId="9" hidden="1"/>
    <cellStyle name="Followed Hyperlink" xfId="3944" builtinId="9" hidden="1"/>
    <cellStyle name="Followed Hyperlink" xfId="3945" builtinId="9" hidden="1"/>
    <cellStyle name="Followed Hyperlink" xfId="3946" builtinId="9" hidden="1"/>
    <cellStyle name="Followed Hyperlink" xfId="3947" builtinId="9" hidden="1"/>
    <cellStyle name="Followed Hyperlink" xfId="3948" builtinId="9" hidden="1"/>
    <cellStyle name="Followed Hyperlink" xfId="3949" builtinId="9" hidden="1"/>
    <cellStyle name="Followed Hyperlink" xfId="3950" builtinId="9" hidden="1"/>
    <cellStyle name="Followed Hyperlink" xfId="3951" builtinId="9" hidden="1"/>
    <cellStyle name="Followed Hyperlink" xfId="3952" builtinId="9" hidden="1"/>
    <cellStyle name="Followed Hyperlink" xfId="3953" builtinId="9" hidden="1"/>
    <cellStyle name="Followed Hyperlink" xfId="3954" builtinId="9" hidden="1"/>
    <cellStyle name="Followed Hyperlink" xfId="3955" builtinId="9" hidden="1"/>
    <cellStyle name="Followed Hyperlink" xfId="3956" builtinId="9" hidden="1"/>
    <cellStyle name="Followed Hyperlink" xfId="3957" builtinId="9" hidden="1"/>
    <cellStyle name="Followed Hyperlink" xfId="3958" builtinId="9" hidden="1"/>
    <cellStyle name="Followed Hyperlink" xfId="3959" builtinId="9" hidden="1"/>
    <cellStyle name="Followed Hyperlink" xfId="3960" builtinId="9" hidden="1"/>
    <cellStyle name="Followed Hyperlink" xfId="3961" builtinId="9" hidden="1"/>
    <cellStyle name="Followed Hyperlink" xfId="3962" builtinId="9" hidden="1"/>
    <cellStyle name="Followed Hyperlink" xfId="3963" builtinId="9" hidden="1"/>
    <cellStyle name="Followed Hyperlink" xfId="3964" builtinId="9" hidden="1"/>
    <cellStyle name="Followed Hyperlink" xfId="3965" builtinId="9" hidden="1"/>
    <cellStyle name="Followed Hyperlink" xfId="3966" builtinId="9" hidden="1"/>
    <cellStyle name="Followed Hyperlink" xfId="3967" builtinId="9" hidden="1"/>
    <cellStyle name="Followed Hyperlink" xfId="3968" builtinId="9" hidden="1"/>
    <cellStyle name="Followed Hyperlink" xfId="3969" builtinId="9" hidden="1"/>
    <cellStyle name="Followed Hyperlink" xfId="3970" builtinId="9" hidden="1"/>
    <cellStyle name="Followed Hyperlink" xfId="3971" builtinId="9" hidden="1"/>
    <cellStyle name="Followed Hyperlink" xfId="3972" builtinId="9" hidden="1"/>
    <cellStyle name="Followed Hyperlink" xfId="3973" builtinId="9" hidden="1"/>
    <cellStyle name="Followed Hyperlink" xfId="3974" builtinId="9" hidden="1"/>
    <cellStyle name="Followed Hyperlink" xfId="3975" builtinId="9" hidden="1"/>
    <cellStyle name="Followed Hyperlink" xfId="3976" builtinId="9" hidden="1"/>
    <cellStyle name="Followed Hyperlink" xfId="3977" builtinId="9" hidden="1"/>
    <cellStyle name="Followed Hyperlink" xfId="3978" builtinId="9" hidden="1"/>
    <cellStyle name="Followed Hyperlink" xfId="3979" builtinId="9" hidden="1"/>
    <cellStyle name="Followed Hyperlink" xfId="3980" builtinId="9" hidden="1"/>
    <cellStyle name="Followed Hyperlink" xfId="3981" builtinId="9" hidden="1"/>
    <cellStyle name="Followed Hyperlink" xfId="3982" builtinId="9" hidden="1"/>
    <cellStyle name="Followed Hyperlink" xfId="3983" builtinId="9" hidden="1"/>
    <cellStyle name="Followed Hyperlink" xfId="3984" builtinId="9" hidden="1"/>
    <cellStyle name="Followed Hyperlink" xfId="3985" builtinId="9" hidden="1"/>
    <cellStyle name="Followed Hyperlink" xfId="3986" builtinId="9" hidden="1"/>
    <cellStyle name="Followed Hyperlink" xfId="3987" builtinId="9" hidden="1"/>
    <cellStyle name="Followed Hyperlink" xfId="3988" builtinId="9" hidden="1"/>
    <cellStyle name="Followed Hyperlink" xfId="3989" builtinId="9" hidden="1"/>
    <cellStyle name="Followed Hyperlink" xfId="3990" builtinId="9" hidden="1"/>
    <cellStyle name="Followed Hyperlink" xfId="3991" builtinId="9" hidden="1"/>
    <cellStyle name="Followed Hyperlink" xfId="3992" builtinId="9" hidden="1"/>
    <cellStyle name="Followed Hyperlink" xfId="3993" builtinId="9" hidden="1"/>
    <cellStyle name="Followed Hyperlink" xfId="3994" builtinId="9" hidden="1"/>
    <cellStyle name="Followed Hyperlink" xfId="3995" builtinId="9" hidden="1"/>
    <cellStyle name="Followed Hyperlink" xfId="3996" builtinId="9" hidden="1"/>
    <cellStyle name="Followed Hyperlink" xfId="3997" builtinId="9" hidden="1"/>
    <cellStyle name="Followed Hyperlink" xfId="3998" builtinId="9" hidden="1"/>
    <cellStyle name="Followed Hyperlink" xfId="3999" builtinId="9" hidden="1"/>
    <cellStyle name="Followed Hyperlink" xfId="4000" builtinId="9" hidden="1"/>
    <cellStyle name="Followed Hyperlink" xfId="4001" builtinId="9" hidden="1"/>
    <cellStyle name="Followed Hyperlink" xfId="4002" builtinId="9" hidden="1"/>
    <cellStyle name="Followed Hyperlink" xfId="4003" builtinId="9" hidden="1"/>
    <cellStyle name="Followed Hyperlink" xfId="4004" builtinId="9" hidden="1"/>
    <cellStyle name="Followed Hyperlink" xfId="4005" builtinId="9" hidden="1"/>
    <cellStyle name="Followed Hyperlink" xfId="4006" builtinId="9" hidden="1"/>
    <cellStyle name="Followed Hyperlink" xfId="4007" builtinId="9" hidden="1"/>
    <cellStyle name="Followed Hyperlink" xfId="4008" builtinId="9" hidden="1"/>
    <cellStyle name="Followed Hyperlink" xfId="4009" builtinId="9" hidden="1"/>
    <cellStyle name="Followed Hyperlink" xfId="4010" builtinId="9" hidden="1"/>
    <cellStyle name="Followed Hyperlink" xfId="4011" builtinId="9" hidden="1"/>
    <cellStyle name="Followed Hyperlink" xfId="4012" builtinId="9" hidden="1"/>
    <cellStyle name="Followed Hyperlink" xfId="4013" builtinId="9" hidden="1"/>
    <cellStyle name="Followed Hyperlink" xfId="4014" builtinId="9" hidden="1"/>
    <cellStyle name="Followed Hyperlink" xfId="4015" builtinId="9" hidden="1"/>
    <cellStyle name="Followed Hyperlink" xfId="4016" builtinId="9" hidden="1"/>
    <cellStyle name="Followed Hyperlink" xfId="4017" builtinId="9" hidden="1"/>
    <cellStyle name="Followed Hyperlink" xfId="4018" builtinId="9" hidden="1"/>
    <cellStyle name="Followed Hyperlink" xfId="4019" builtinId="9" hidden="1"/>
    <cellStyle name="Followed Hyperlink" xfId="4020" builtinId="9" hidden="1"/>
    <cellStyle name="Followed Hyperlink" xfId="4021" builtinId="9" hidden="1"/>
    <cellStyle name="Followed Hyperlink" xfId="4022" builtinId="9" hidden="1"/>
    <cellStyle name="Followed Hyperlink" xfId="4023" builtinId="9" hidden="1"/>
    <cellStyle name="Followed Hyperlink" xfId="4024" builtinId="9" hidden="1"/>
    <cellStyle name="Followed Hyperlink" xfId="4025" builtinId="9" hidden="1"/>
    <cellStyle name="Followed Hyperlink" xfId="4026" builtinId="9" hidden="1"/>
    <cellStyle name="Followed Hyperlink" xfId="4027" builtinId="9" hidden="1"/>
    <cellStyle name="Followed Hyperlink" xfId="4028" builtinId="9" hidden="1"/>
    <cellStyle name="Followed Hyperlink" xfId="3772" builtinId="9" hidden="1"/>
    <cellStyle name="Followed Hyperlink" xfId="3769" builtinId="9" hidden="1"/>
    <cellStyle name="Followed Hyperlink" xfId="3780" builtinId="9" hidden="1"/>
    <cellStyle name="Followed Hyperlink" xfId="3776" builtinId="9" hidden="1"/>
    <cellStyle name="Followed Hyperlink" xfId="3771" builtinId="9" hidden="1"/>
    <cellStyle name="Followed Hyperlink" xfId="3768" builtinId="9" hidden="1"/>
    <cellStyle name="Followed Hyperlink" xfId="3426" builtinId="9" hidden="1"/>
    <cellStyle name="Followed Hyperlink" xfId="2802" builtinId="9" hidden="1"/>
    <cellStyle name="Followed Hyperlink" xfId="3428" builtinId="9" hidden="1"/>
    <cellStyle name="Followed Hyperlink" xfId="2803" builtinId="9" hidden="1"/>
    <cellStyle name="Followed Hyperlink" xfId="1880" builtinId="9" hidden="1"/>
    <cellStyle name="Followed Hyperlink" xfId="2808" builtinId="9" hidden="1"/>
    <cellStyle name="Followed Hyperlink" xfId="1114" builtinId="9" hidden="1"/>
    <cellStyle name="Followed Hyperlink" xfId="2242" builtinId="9" hidden="1"/>
    <cellStyle name="Followed Hyperlink" xfId="2239" builtinId="9" hidden="1"/>
    <cellStyle name="Followed Hyperlink" xfId="2236" builtinId="9" hidden="1"/>
    <cellStyle name="Followed Hyperlink" xfId="2233" builtinId="9" hidden="1"/>
    <cellStyle name="Followed Hyperlink" xfId="2230" builtinId="9" hidden="1"/>
    <cellStyle name="Followed Hyperlink" xfId="2227" builtinId="9" hidden="1"/>
    <cellStyle name="Followed Hyperlink" xfId="2224" builtinId="9" hidden="1"/>
    <cellStyle name="Followed Hyperlink" xfId="2221" builtinId="9" hidden="1"/>
    <cellStyle name="Followed Hyperlink" xfId="2218" builtinId="9" hidden="1"/>
    <cellStyle name="Followed Hyperlink" xfId="2215" builtinId="9" hidden="1"/>
    <cellStyle name="Followed Hyperlink" xfId="2212" builtinId="9" hidden="1"/>
    <cellStyle name="Followed Hyperlink" xfId="2209" builtinId="9" hidden="1"/>
    <cellStyle name="Followed Hyperlink" xfId="2206" builtinId="9" hidden="1"/>
    <cellStyle name="Followed Hyperlink" xfId="2203" builtinId="9" hidden="1"/>
    <cellStyle name="Followed Hyperlink" xfId="2200" builtinId="9" hidden="1"/>
    <cellStyle name="Followed Hyperlink" xfId="2197" builtinId="9" hidden="1"/>
    <cellStyle name="Followed Hyperlink" xfId="2194" builtinId="9" hidden="1"/>
    <cellStyle name="Followed Hyperlink" xfId="2191" builtinId="9" hidden="1"/>
    <cellStyle name="Followed Hyperlink" xfId="2188" builtinId="9" hidden="1"/>
    <cellStyle name="Followed Hyperlink" xfId="2185" builtinId="9" hidden="1"/>
    <cellStyle name="Followed Hyperlink" xfId="1884" builtinId="9" hidden="1"/>
    <cellStyle name="Followed Hyperlink" xfId="1898" builtinId="9" hidden="1"/>
    <cellStyle name="Followed Hyperlink" xfId="1889" builtinId="9" hidden="1"/>
    <cellStyle name="Followed Hyperlink" xfId="1878" builtinId="9" hidden="1"/>
    <cellStyle name="Followed Hyperlink" xfId="1975" builtinId="9" hidden="1"/>
    <cellStyle name="Followed Hyperlink" xfId="1875" builtinId="9" hidden="1"/>
    <cellStyle name="Followed Hyperlink" xfId="1116" builtinId="9" hidden="1"/>
    <cellStyle name="Followed Hyperlink" xfId="1123" builtinId="9" hidden="1"/>
    <cellStyle name="Followed Hyperlink" xfId="1130" builtinId="9" hidden="1"/>
    <cellStyle name="Followed Hyperlink" xfId="1137" builtinId="9" hidden="1"/>
    <cellStyle name="Followed Hyperlink" xfId="1144" builtinId="9" hidden="1"/>
    <cellStyle name="Followed Hyperlink" xfId="1151" builtinId="9" hidden="1"/>
    <cellStyle name="Followed Hyperlink" xfId="1158" builtinId="9" hidden="1"/>
    <cellStyle name="Followed Hyperlink" xfId="1165" builtinId="9" hidden="1"/>
    <cellStyle name="Followed Hyperlink" xfId="1172" builtinId="9" hidden="1"/>
    <cellStyle name="Followed Hyperlink" xfId="1179" builtinId="9" hidden="1"/>
    <cellStyle name="Followed Hyperlink" xfId="1186" builtinId="9" hidden="1"/>
    <cellStyle name="Followed Hyperlink" xfId="1193" builtinId="9" hidden="1"/>
    <cellStyle name="Followed Hyperlink" xfId="1200" builtinId="9" hidden="1"/>
    <cellStyle name="Followed Hyperlink" xfId="1207" builtinId="9" hidden="1"/>
    <cellStyle name="Followed Hyperlink" xfId="1214" builtinId="9" hidden="1"/>
    <cellStyle name="Followed Hyperlink" xfId="1221" builtinId="9" hidden="1"/>
    <cellStyle name="Followed Hyperlink" xfId="1228" builtinId="9" hidden="1"/>
    <cellStyle name="Followed Hyperlink" xfId="1235" builtinId="9" hidden="1"/>
    <cellStyle name="Followed Hyperlink" xfId="1242" builtinId="9" hidden="1"/>
    <cellStyle name="Followed Hyperlink" xfId="1249" builtinId="9" hidden="1"/>
    <cellStyle name="Followed Hyperlink" xfId="1256" builtinId="9" hidden="1"/>
    <cellStyle name="Followed Hyperlink" xfId="1263" builtinId="9" hidden="1"/>
    <cellStyle name="Followed Hyperlink" xfId="1270" builtinId="9" hidden="1"/>
    <cellStyle name="Followed Hyperlink" xfId="1277" builtinId="9" hidden="1"/>
    <cellStyle name="Followed Hyperlink" xfId="1284" builtinId="9" hidden="1"/>
    <cellStyle name="Followed Hyperlink" xfId="1291" builtinId="9" hidden="1"/>
    <cellStyle name="Followed Hyperlink" xfId="1298" builtinId="9" hidden="1"/>
    <cellStyle name="Followed Hyperlink" xfId="1305" builtinId="9" hidden="1"/>
    <cellStyle name="Followed Hyperlink" xfId="1882" builtinId="9" hidden="1"/>
    <cellStyle name="Followed Hyperlink" xfId="2807" builtinId="9" hidden="1"/>
    <cellStyle name="Followed Hyperlink" xfId="2806" builtinId="9" hidden="1"/>
    <cellStyle name="Followed Hyperlink" xfId="2800" builtinId="9" hidden="1"/>
    <cellStyle name="Followed Hyperlink" xfId="2244" builtinId="9" hidden="1"/>
    <cellStyle name="Followed Hyperlink" xfId="3427" builtinId="9" hidden="1"/>
    <cellStyle name="Followed Hyperlink" xfId="1874" builtinId="9" hidden="1"/>
    <cellStyle name="Followed Hyperlink" xfId="2809" builtinId="9" hidden="1"/>
    <cellStyle name="Followed Hyperlink" xfId="2805" builtinId="9" hidden="1"/>
    <cellStyle name="Followed Hyperlink" xfId="2814" builtinId="9" hidden="1"/>
    <cellStyle name="Followed Hyperlink" xfId="2810" builtinId="9" hidden="1"/>
    <cellStyle name="Followed Hyperlink" xfId="2817" builtinId="9" hidden="1"/>
    <cellStyle name="Followed Hyperlink" xfId="2816" builtinId="9" hidden="1"/>
    <cellStyle name="Followed Hyperlink" xfId="2812" builtinId="9" hidden="1"/>
    <cellStyle name="Followed Hyperlink" xfId="3767" builtinId="9" hidden="1"/>
    <cellStyle name="Followed Hyperlink" xfId="2842" builtinId="9" hidden="1"/>
    <cellStyle name="Followed Hyperlink" xfId="2831" builtinId="9" hidden="1"/>
    <cellStyle name="Followed Hyperlink" xfId="3766" builtinId="9" hidden="1"/>
    <cellStyle name="Followed Hyperlink" xfId="2840" builtinId="9" hidden="1"/>
    <cellStyle name="Followed Hyperlink" xfId="2829" builtinId="9" hidden="1"/>
    <cellStyle name="Followed Hyperlink" xfId="3764" builtinId="9" hidden="1"/>
    <cellStyle name="Followed Hyperlink" xfId="2838" builtinId="9" hidden="1"/>
    <cellStyle name="Followed Hyperlink" xfId="2827" builtinId="9" hidden="1"/>
    <cellStyle name="Followed Hyperlink" xfId="3762" builtinId="9" hidden="1"/>
    <cellStyle name="Followed Hyperlink" xfId="2837" builtinId="9" hidden="1"/>
    <cellStyle name="Followed Hyperlink" xfId="2825" builtinId="9" hidden="1"/>
    <cellStyle name="Followed Hyperlink" xfId="3761" builtinId="9" hidden="1"/>
    <cellStyle name="Followed Hyperlink" xfId="2835" builtinId="9" hidden="1"/>
    <cellStyle name="Followed Hyperlink" xfId="2823" builtinId="9" hidden="1"/>
    <cellStyle name="Followed Hyperlink" xfId="3759" builtinId="9" hidden="1"/>
    <cellStyle name="Followed Hyperlink" xfId="2833" builtinId="9" hidden="1"/>
    <cellStyle name="Followed Hyperlink" xfId="2821" builtinId="9" hidden="1"/>
    <cellStyle name="Followed Hyperlink" xfId="3091" builtinId="9" hidden="1"/>
    <cellStyle name="Followed Hyperlink" xfId="2841" builtinId="9" hidden="1"/>
    <cellStyle name="Followed Hyperlink" xfId="2830" builtinId="9" hidden="1"/>
    <cellStyle name="Followed Hyperlink" xfId="2819" builtinId="9" hidden="1"/>
    <cellStyle name="Followed Hyperlink" xfId="2804" builtinId="9" hidden="1"/>
    <cellStyle name="Followed Hyperlink" xfId="2801" builtinId="9" hidden="1"/>
    <cellStyle name="Followed Hyperlink" xfId="2248" builtinId="9" hidden="1"/>
    <cellStyle name="Followed Hyperlink" xfId="3765" builtinId="9" hidden="1"/>
    <cellStyle name="Followed Hyperlink" xfId="2839" builtinId="9" hidden="1"/>
    <cellStyle name="Followed Hyperlink" xfId="2828" builtinId="9" hidden="1"/>
    <cellStyle name="Followed Hyperlink" xfId="3763" builtinId="9" hidden="1"/>
    <cellStyle name="Followed Hyperlink" xfId="3779" builtinId="9" hidden="1"/>
    <cellStyle name="Followed Hyperlink" xfId="3775" builtinId="9" hidden="1"/>
    <cellStyle name="Followed Hyperlink" xfId="2813" builtinId="9" hidden="1"/>
    <cellStyle name="Followed Hyperlink" xfId="3778" builtinId="9" hidden="1"/>
    <cellStyle name="Followed Hyperlink" xfId="3774" builtinId="9" hidden="1"/>
    <cellStyle name="Followed Hyperlink" xfId="2811" builtinId="9" hidden="1"/>
    <cellStyle name="Followed Hyperlink" xfId="3777" builtinId="9" hidden="1"/>
    <cellStyle name="Followed Hyperlink" xfId="3773" builtinId="9" hidden="1"/>
    <cellStyle name="Followed Hyperlink" xfId="3770" builtinId="9" hidden="1"/>
    <cellStyle name="Followed Hyperlink" xfId="3424" builtinId="9" hidden="1"/>
    <cellStyle name="Followed Hyperlink" xfId="2245" builtinId="9" hidden="1"/>
    <cellStyle name="Followed Hyperlink" xfId="4030" builtinId="9" hidden="1"/>
    <cellStyle name="Followed Hyperlink" xfId="4032" builtinId="9" hidden="1"/>
    <cellStyle name="Followed Hyperlink" xfId="4034" builtinId="9" hidden="1"/>
    <cellStyle name="Followed Hyperlink" xfId="4036" builtinId="9" hidden="1"/>
    <cellStyle name="Followed Hyperlink" xfId="4038" builtinId="9" hidden="1"/>
    <cellStyle name="Followed Hyperlink" xfId="4040" builtinId="9" hidden="1"/>
    <cellStyle name="Followed Hyperlink" xfId="4042" builtinId="9" hidden="1"/>
    <cellStyle name="Followed Hyperlink" xfId="4044" builtinId="9" hidden="1"/>
    <cellStyle name="Followed Hyperlink" xfId="4046" builtinId="9" hidden="1"/>
    <cellStyle name="Followed Hyperlink" xfId="4048" builtinId="9" hidden="1"/>
    <cellStyle name="Followed Hyperlink" xfId="4050" builtinId="9" hidden="1"/>
    <cellStyle name="Followed Hyperlink" xfId="4052" builtinId="9" hidden="1"/>
    <cellStyle name="Followed Hyperlink" xfId="4054" builtinId="9" hidden="1"/>
    <cellStyle name="Followed Hyperlink" xfId="4056" builtinId="9" hidden="1"/>
    <cellStyle name="Followed Hyperlink" xfId="4058" builtinId="9" hidden="1"/>
    <cellStyle name="Followed Hyperlink" xfId="4060" builtinId="9" hidden="1"/>
    <cellStyle name="Followed Hyperlink" xfId="4062" builtinId="9" hidden="1"/>
    <cellStyle name="Followed Hyperlink" xfId="4064" builtinId="9" hidden="1"/>
    <cellStyle name="Followed Hyperlink" xfId="4066" builtinId="9" hidden="1"/>
    <cellStyle name="Followed Hyperlink" xfId="4068" builtinId="9" hidden="1"/>
    <cellStyle name="Followed Hyperlink" xfId="4070" builtinId="9" hidden="1"/>
    <cellStyle name="Followed Hyperlink" xfId="4072" builtinId="9" hidden="1"/>
    <cellStyle name="Followed Hyperlink" xfId="4074" builtinId="9" hidden="1"/>
    <cellStyle name="Followed Hyperlink" xfId="4076" builtinId="9" hidden="1"/>
    <cellStyle name="Followed Hyperlink" xfId="4078" builtinId="9" hidden="1"/>
    <cellStyle name="Followed Hyperlink" xfId="4080" builtinId="9" hidden="1"/>
    <cellStyle name="Followed Hyperlink" xfId="4082" builtinId="9" hidden="1"/>
    <cellStyle name="Followed Hyperlink" xfId="4084" builtinId="9" hidden="1"/>
    <cellStyle name="Followed Hyperlink" xfId="4086" builtinId="9" hidden="1"/>
    <cellStyle name="Followed Hyperlink" xfId="4088" builtinId="9" hidden="1"/>
    <cellStyle name="Followed Hyperlink" xfId="4090" builtinId="9" hidden="1"/>
    <cellStyle name="Followed Hyperlink" xfId="4092" builtinId="9" hidden="1"/>
    <cellStyle name="Followed Hyperlink" xfId="4094" builtinId="9" hidden="1"/>
    <cellStyle name="Followed Hyperlink" xfId="4096" builtinId="9" hidden="1"/>
    <cellStyle name="Followed Hyperlink" xfId="4098" builtinId="9" hidden="1"/>
    <cellStyle name="Followed Hyperlink" xfId="4100" builtinId="9" hidden="1"/>
    <cellStyle name="Followed Hyperlink" xfId="4102" builtinId="9" hidden="1"/>
    <cellStyle name="Followed Hyperlink" xfId="4104" builtinId="9" hidden="1"/>
    <cellStyle name="Followed Hyperlink" xfId="4106" builtinId="9" hidden="1"/>
    <cellStyle name="Followed Hyperlink" xfId="4108" builtinId="9" hidden="1"/>
    <cellStyle name="Followed Hyperlink" xfId="4110" builtinId="9" hidden="1"/>
    <cellStyle name="Followed Hyperlink" xfId="4112" builtinId="9" hidden="1"/>
    <cellStyle name="Followed Hyperlink" xfId="4114" builtinId="9" hidden="1"/>
    <cellStyle name="Followed Hyperlink" xfId="4116" builtinId="9" hidden="1"/>
    <cellStyle name="Followed Hyperlink" xfId="4118" builtinId="9" hidden="1"/>
    <cellStyle name="Followed Hyperlink" xfId="4120" builtinId="9" hidden="1"/>
    <cellStyle name="Followed Hyperlink" xfId="4122" builtinId="9" hidden="1"/>
    <cellStyle name="Followed Hyperlink" xfId="4124" builtinId="9" hidden="1"/>
    <cellStyle name="Followed Hyperlink" xfId="4126" builtinId="9" hidden="1"/>
    <cellStyle name="Followed Hyperlink" xfId="4128" builtinId="9" hidden="1"/>
    <cellStyle name="Followed Hyperlink" xfId="4130" builtinId="9" hidden="1"/>
    <cellStyle name="Followed Hyperlink" xfId="4132" builtinId="9" hidden="1"/>
    <cellStyle name="Followed Hyperlink" xfId="4134" builtinId="9" hidden="1"/>
    <cellStyle name="Followed Hyperlink" xfId="4136" builtinId="9" hidden="1"/>
    <cellStyle name="Followed Hyperlink" xfId="4138" builtinId="9" hidden="1"/>
    <cellStyle name="Followed Hyperlink" xfId="4140" builtinId="9" hidden="1"/>
    <cellStyle name="Followed Hyperlink" xfId="4142" builtinId="9" hidden="1"/>
    <cellStyle name="Followed Hyperlink" xfId="4144" builtinId="9" hidden="1"/>
    <cellStyle name="Followed Hyperlink" xfId="4146" builtinId="9" hidden="1"/>
    <cellStyle name="Followed Hyperlink" xfId="4148" builtinId="9" hidden="1"/>
    <cellStyle name="Followed Hyperlink" xfId="4150" builtinId="9" hidden="1"/>
    <cellStyle name="Followed Hyperlink" xfId="4152" builtinId="9" hidden="1"/>
    <cellStyle name="Followed Hyperlink" xfId="4154" builtinId="9" hidden="1"/>
    <cellStyle name="Followed Hyperlink" xfId="4156" builtinId="9" hidden="1"/>
    <cellStyle name="Followed Hyperlink" xfId="4158" builtinId="9" hidden="1"/>
    <cellStyle name="Followed Hyperlink" xfId="4160" builtinId="9" hidden="1"/>
    <cellStyle name="Followed Hyperlink" xfId="4162" builtinId="9" hidden="1"/>
    <cellStyle name="Followed Hyperlink" xfId="4164" builtinId="9" hidden="1"/>
    <cellStyle name="Followed Hyperlink" xfId="4166" builtinId="9" hidden="1"/>
    <cellStyle name="Followed Hyperlink" xfId="4168" builtinId="9" hidden="1"/>
    <cellStyle name="Followed Hyperlink" xfId="4170" builtinId="9" hidden="1"/>
    <cellStyle name="Followed Hyperlink" xfId="4172" builtinId="9" hidden="1"/>
    <cellStyle name="Followed Hyperlink" xfId="4174" builtinId="9" hidden="1"/>
    <cellStyle name="Followed Hyperlink" xfId="4176" builtinId="9" hidden="1"/>
    <cellStyle name="Followed Hyperlink" xfId="4178" builtinId="9" hidden="1"/>
    <cellStyle name="Followed Hyperlink" xfId="4180" builtinId="9" hidden="1"/>
    <cellStyle name="Followed Hyperlink" xfId="4182" builtinId="9" hidden="1"/>
    <cellStyle name="Followed Hyperlink" xfId="4184" builtinId="9" hidden="1"/>
    <cellStyle name="Followed Hyperlink" xfId="4186" builtinId="9" hidden="1"/>
    <cellStyle name="Followed Hyperlink" xfId="4188" builtinId="9" hidden="1"/>
    <cellStyle name="Followed Hyperlink" xfId="4190" builtinId="9" hidden="1"/>
    <cellStyle name="Followed Hyperlink" xfId="4192" builtinId="9" hidden="1"/>
    <cellStyle name="Followed Hyperlink" xfId="4194" builtinId="9" hidden="1"/>
    <cellStyle name="Followed Hyperlink" xfId="4196" builtinId="9" hidden="1"/>
    <cellStyle name="Followed Hyperlink" xfId="4198" builtinId="9" hidden="1"/>
    <cellStyle name="Followed Hyperlink" xfId="4200" builtinId="9" hidden="1"/>
    <cellStyle name="Followed Hyperlink" xfId="4202" builtinId="9" hidden="1"/>
    <cellStyle name="Followed Hyperlink" xfId="4204" builtinId="9" hidden="1"/>
    <cellStyle name="Followed Hyperlink" xfId="4206" builtinId="9" hidden="1"/>
    <cellStyle name="Followed Hyperlink" xfId="4208" builtinId="9" hidden="1"/>
    <cellStyle name="Followed Hyperlink" xfId="4210" builtinId="9" hidden="1"/>
    <cellStyle name="Followed Hyperlink" xfId="4212" builtinId="9" hidden="1"/>
    <cellStyle name="Followed Hyperlink" xfId="4214" builtinId="9" hidden="1"/>
    <cellStyle name="Followed Hyperlink" xfId="4216" builtinId="9" hidden="1"/>
    <cellStyle name="Followed Hyperlink" xfId="4218" builtinId="9" hidden="1"/>
    <cellStyle name="Followed Hyperlink" xfId="4220" builtinId="9" hidden="1"/>
    <cellStyle name="Followed Hyperlink" xfId="4222" builtinId="9" hidden="1"/>
    <cellStyle name="Followed Hyperlink" xfId="4224" builtinId="9" hidden="1"/>
    <cellStyle name="Followed Hyperlink" xfId="4226" builtinId="9" hidden="1"/>
    <cellStyle name="Followed Hyperlink" xfId="4230" builtinId="9" hidden="1"/>
    <cellStyle name="Followed Hyperlink" xfId="4232" builtinId="9" hidden="1"/>
    <cellStyle name="Followed Hyperlink" xfId="4234" builtinId="9" hidden="1"/>
    <cellStyle name="Followed Hyperlink" xfId="4236" builtinId="9" hidden="1"/>
    <cellStyle name="Followed Hyperlink" xfId="4238" builtinId="9" hidden="1"/>
    <cellStyle name="Followed Hyperlink" xfId="4240" builtinId="9" hidden="1"/>
    <cellStyle name="Followed Hyperlink" xfId="4242" builtinId="9" hidden="1"/>
    <cellStyle name="Followed Hyperlink" xfId="4244" builtinId="9" hidden="1"/>
    <cellStyle name="Followed Hyperlink" xfId="4246" builtinId="9" hidden="1"/>
    <cellStyle name="Followed Hyperlink" xfId="4248" builtinId="9" hidden="1"/>
    <cellStyle name="Followed Hyperlink" xfId="4250" builtinId="9" hidden="1"/>
    <cellStyle name="Followed Hyperlink" xfId="4252" builtinId="9" hidden="1"/>
    <cellStyle name="Followed Hyperlink" xfId="4254" builtinId="9" hidden="1"/>
    <cellStyle name="Followed Hyperlink" xfId="4256" builtinId="9" hidden="1"/>
    <cellStyle name="Followed Hyperlink" xfId="4258" builtinId="9" hidden="1"/>
    <cellStyle name="Followed Hyperlink" xfId="4260" builtinId="9" hidden="1"/>
    <cellStyle name="Followed Hyperlink" xfId="4262" builtinId="9" hidden="1"/>
    <cellStyle name="Followed Hyperlink" xfId="4264" builtinId="9" hidden="1"/>
    <cellStyle name="Followed Hyperlink" xfId="4266" builtinId="9" hidden="1"/>
    <cellStyle name="Followed Hyperlink" xfId="4268" builtinId="9" hidden="1"/>
    <cellStyle name="Followed Hyperlink" xfId="4270" builtinId="9" hidden="1"/>
    <cellStyle name="Followed Hyperlink" xfId="4272" builtinId="9" hidden="1"/>
    <cellStyle name="Followed Hyperlink" xfId="4274" builtinId="9" hidden="1"/>
    <cellStyle name="Followed Hyperlink" xfId="4276" builtinId="9" hidden="1"/>
    <cellStyle name="Followed Hyperlink" xfId="4278" builtinId="9" hidden="1"/>
    <cellStyle name="Followed Hyperlink" xfId="4280" builtinId="9" hidden="1"/>
    <cellStyle name="Followed Hyperlink" xfId="4282" builtinId="9" hidden="1"/>
    <cellStyle name="Followed Hyperlink" xfId="4284" builtinId="9" hidden="1"/>
    <cellStyle name="Followed Hyperlink" xfId="4286" builtinId="9" hidden="1"/>
    <cellStyle name="Followed Hyperlink" xfId="4288" builtinId="9" hidden="1"/>
    <cellStyle name="Followed Hyperlink" xfId="4290" builtinId="9" hidden="1"/>
    <cellStyle name="Followed Hyperlink" xfId="4292" builtinId="9" hidden="1"/>
    <cellStyle name="Followed Hyperlink" xfId="4294" builtinId="9" hidden="1"/>
    <cellStyle name="Followed Hyperlink" xfId="4296" builtinId="9" hidden="1"/>
    <cellStyle name="Followed Hyperlink" xfId="4298" builtinId="9" hidden="1"/>
    <cellStyle name="Followed Hyperlink" xfId="4300" builtinId="9" hidden="1"/>
    <cellStyle name="Followed Hyperlink" xfId="4302" builtinId="9" hidden="1"/>
    <cellStyle name="Followed Hyperlink" xfId="4304" builtinId="9" hidden="1"/>
    <cellStyle name="Followed Hyperlink" xfId="4306" builtinId="9" hidden="1"/>
    <cellStyle name="Followed Hyperlink" xfId="4308" builtinId="9" hidden="1"/>
    <cellStyle name="Followed Hyperlink" xfId="4310" builtinId="9" hidden="1"/>
    <cellStyle name="Followed Hyperlink" xfId="4312" builtinId="9" hidden="1"/>
    <cellStyle name="Followed Hyperlink" xfId="4314" builtinId="9" hidden="1"/>
    <cellStyle name="Followed Hyperlink" xfId="4316" builtinId="9" hidden="1"/>
    <cellStyle name="Followed Hyperlink" xfId="4318" builtinId="9" hidden="1"/>
    <cellStyle name="Followed Hyperlink" xfId="4320" builtinId="9" hidden="1"/>
    <cellStyle name="Followed Hyperlink" xfId="4322" builtinId="9" hidden="1"/>
    <cellStyle name="Followed Hyperlink" xfId="4324" builtinId="9" hidden="1"/>
    <cellStyle name="Followed Hyperlink" xfId="4326" builtinId="9" hidden="1"/>
    <cellStyle name="Followed Hyperlink" xfId="4328" builtinId="9" hidden="1"/>
    <cellStyle name="Followed Hyperlink" xfId="4330" builtinId="9" hidden="1"/>
    <cellStyle name="Followed Hyperlink" xfId="4332" builtinId="9" hidden="1"/>
    <cellStyle name="Followed Hyperlink" xfId="4334" builtinId="9" hidden="1"/>
    <cellStyle name="Followed Hyperlink" xfId="4336" builtinId="9" hidden="1"/>
    <cellStyle name="Followed Hyperlink" xfId="4338" builtinId="9" hidden="1"/>
    <cellStyle name="Followed Hyperlink" xfId="4340" builtinId="9" hidden="1"/>
    <cellStyle name="Followed Hyperlink" xfId="4342" builtinId="9" hidden="1"/>
    <cellStyle name="Followed Hyperlink" xfId="4344" builtinId="9" hidden="1"/>
    <cellStyle name="Followed Hyperlink" xfId="4346" builtinId="9" hidden="1"/>
    <cellStyle name="Followed Hyperlink" xfId="4348" builtinId="9" hidden="1"/>
    <cellStyle name="Followed Hyperlink" xfId="4350" builtinId="9" hidden="1"/>
    <cellStyle name="Followed Hyperlink" xfId="4352" builtinId="9" hidden="1"/>
    <cellStyle name="Followed Hyperlink" xfId="4354" builtinId="9" hidden="1"/>
    <cellStyle name="Followed Hyperlink" xfId="4356" builtinId="9" hidden="1"/>
    <cellStyle name="Followed Hyperlink" xfId="4358" builtinId="9" hidden="1"/>
    <cellStyle name="Followed Hyperlink" xfId="4360" builtinId="9" hidden="1"/>
    <cellStyle name="Followed Hyperlink" xfId="4362" builtinId="9" hidden="1"/>
    <cellStyle name="Followed Hyperlink" xfId="4364" builtinId="9" hidden="1"/>
    <cellStyle name="Followed Hyperlink" xfId="4366" builtinId="9" hidden="1"/>
    <cellStyle name="Followed Hyperlink" xfId="4368" builtinId="9" hidden="1"/>
    <cellStyle name="Followed Hyperlink" xfId="4370" builtinId="9" hidden="1"/>
    <cellStyle name="Followed Hyperlink" xfId="4372" builtinId="9" hidden="1"/>
    <cellStyle name="Followed Hyperlink" xfId="4374" builtinId="9" hidden="1"/>
    <cellStyle name="Followed Hyperlink" xfId="4376" builtinId="9" hidden="1"/>
    <cellStyle name="Followed Hyperlink" xfId="4378" builtinId="9" hidden="1"/>
    <cellStyle name="Followed Hyperlink" xfId="4380" builtinId="9" hidden="1"/>
    <cellStyle name="Followed Hyperlink" xfId="4382" builtinId="9" hidden="1"/>
    <cellStyle name="Followed Hyperlink" xfId="4384" builtinId="9" hidden="1"/>
    <cellStyle name="Followed Hyperlink" xfId="4386" builtinId="9" hidden="1"/>
    <cellStyle name="Followed Hyperlink" xfId="4388" builtinId="9" hidden="1"/>
    <cellStyle name="Followed Hyperlink" xfId="4390" builtinId="9" hidden="1"/>
    <cellStyle name="Followed Hyperlink" xfId="4392" builtinId="9" hidden="1"/>
    <cellStyle name="Followed Hyperlink" xfId="4394" builtinId="9" hidden="1"/>
    <cellStyle name="Followed Hyperlink" xfId="4396" builtinId="9" hidden="1"/>
    <cellStyle name="Followed Hyperlink" xfId="4398" builtinId="9" hidden="1"/>
    <cellStyle name="Followed Hyperlink" xfId="4400" builtinId="9" hidden="1"/>
    <cellStyle name="Followed Hyperlink" xfId="4402" builtinId="9" hidden="1"/>
    <cellStyle name="Followed Hyperlink" xfId="4404" builtinId="9" hidden="1"/>
    <cellStyle name="Followed Hyperlink" xfId="4406" builtinId="9" hidden="1"/>
    <cellStyle name="Followed Hyperlink" xfId="4408" builtinId="9" hidden="1"/>
    <cellStyle name="Followed Hyperlink" xfId="4410" builtinId="9" hidden="1"/>
    <cellStyle name="Followed Hyperlink" xfId="4412" builtinId="9" hidden="1"/>
    <cellStyle name="Followed Hyperlink" xfId="4414" builtinId="9" hidden="1"/>
    <cellStyle name="Followed Hyperlink" xfId="4416" builtinId="9" hidden="1"/>
    <cellStyle name="Followed Hyperlink" xfId="4418" builtinId="9" hidden="1"/>
    <cellStyle name="Followed Hyperlink" xfId="4420" builtinId="9" hidden="1"/>
    <cellStyle name="Followed Hyperlink" xfId="4422" builtinId="9" hidden="1"/>
    <cellStyle name="Followed Hyperlink" xfId="4424" builtinId="9" hidden="1"/>
    <cellStyle name="Followed Hyperlink" xfId="4426" builtinId="9" hidden="1"/>
    <cellStyle name="Followed Hyperlink" xfId="4428" builtinId="9" hidden="1"/>
    <cellStyle name="Followed Hyperlink" xfId="4430" builtinId="9" hidden="1"/>
    <cellStyle name="Followed Hyperlink" xfId="4432" builtinId="9" hidden="1"/>
    <cellStyle name="Followed Hyperlink" xfId="4434" builtinId="9" hidden="1"/>
    <cellStyle name="Followed Hyperlink" xfId="4436" builtinId="9" hidden="1"/>
    <cellStyle name="Followed Hyperlink" xfId="4438" builtinId="9" hidden="1"/>
    <cellStyle name="Followed Hyperlink" xfId="4440" builtinId="9" hidden="1"/>
    <cellStyle name="Followed Hyperlink" xfId="4442" builtinId="9" hidden="1"/>
    <cellStyle name="Followed Hyperlink" xfId="4444" builtinId="9" hidden="1"/>
    <cellStyle name="Followed Hyperlink" xfId="4446" builtinId="9" hidden="1"/>
    <cellStyle name="Followed Hyperlink" xfId="4448" builtinId="9" hidden="1"/>
    <cellStyle name="Followed Hyperlink" xfId="4447" builtinId="9" hidden="1"/>
    <cellStyle name="Followed Hyperlink" xfId="4443" builtinId="9" hidden="1"/>
    <cellStyle name="Followed Hyperlink" xfId="4439" builtinId="9" hidden="1"/>
    <cellStyle name="Followed Hyperlink" xfId="4435" builtinId="9" hidden="1"/>
    <cellStyle name="Followed Hyperlink" xfId="4431" builtinId="9" hidden="1"/>
    <cellStyle name="Followed Hyperlink" xfId="4427" builtinId="9" hidden="1"/>
    <cellStyle name="Followed Hyperlink" xfId="4423" builtinId="9" hidden="1"/>
    <cellStyle name="Followed Hyperlink" xfId="4419" builtinId="9" hidden="1"/>
    <cellStyle name="Followed Hyperlink" xfId="4415" builtinId="9" hidden="1"/>
    <cellStyle name="Followed Hyperlink" xfId="4411" builtinId="9" hidden="1"/>
    <cellStyle name="Followed Hyperlink" xfId="4407" builtinId="9" hidden="1"/>
    <cellStyle name="Followed Hyperlink" xfId="4403" builtinId="9" hidden="1"/>
    <cellStyle name="Followed Hyperlink" xfId="4399" builtinId="9" hidden="1"/>
    <cellStyle name="Followed Hyperlink" xfId="4395" builtinId="9" hidden="1"/>
    <cellStyle name="Followed Hyperlink" xfId="4391" builtinId="9" hidden="1"/>
    <cellStyle name="Followed Hyperlink" xfId="4387" builtinId="9" hidden="1"/>
    <cellStyle name="Followed Hyperlink" xfId="4383" builtinId="9" hidden="1"/>
    <cellStyle name="Followed Hyperlink" xfId="4379" builtinId="9" hidden="1"/>
    <cellStyle name="Followed Hyperlink" xfId="4375" builtinId="9" hidden="1"/>
    <cellStyle name="Followed Hyperlink" xfId="4371" builtinId="9" hidden="1"/>
    <cellStyle name="Followed Hyperlink" xfId="4367" builtinId="9" hidden="1"/>
    <cellStyle name="Followed Hyperlink" xfId="4363" builtinId="9" hidden="1"/>
    <cellStyle name="Followed Hyperlink" xfId="4359" builtinId="9" hidden="1"/>
    <cellStyle name="Followed Hyperlink" xfId="4355" builtinId="9" hidden="1"/>
    <cellStyle name="Followed Hyperlink" xfId="4351" builtinId="9" hidden="1"/>
    <cellStyle name="Followed Hyperlink" xfId="4347" builtinId="9" hidden="1"/>
    <cellStyle name="Followed Hyperlink" xfId="4343" builtinId="9" hidden="1"/>
    <cellStyle name="Followed Hyperlink" xfId="4339" builtinId="9" hidden="1"/>
    <cellStyle name="Followed Hyperlink" xfId="4335" builtinId="9" hidden="1"/>
    <cellStyle name="Followed Hyperlink" xfId="4331" builtinId="9" hidden="1"/>
    <cellStyle name="Followed Hyperlink" xfId="4327" builtinId="9" hidden="1"/>
    <cellStyle name="Followed Hyperlink" xfId="4323" builtinId="9" hidden="1"/>
    <cellStyle name="Followed Hyperlink" xfId="4319" builtinId="9" hidden="1"/>
    <cellStyle name="Followed Hyperlink" xfId="4315" builtinId="9" hidden="1"/>
    <cellStyle name="Followed Hyperlink" xfId="4311" builtinId="9" hidden="1"/>
    <cellStyle name="Followed Hyperlink" xfId="4307" builtinId="9" hidden="1"/>
    <cellStyle name="Followed Hyperlink" xfId="4303" builtinId="9" hidden="1"/>
    <cellStyle name="Followed Hyperlink" xfId="4299" builtinId="9" hidden="1"/>
    <cellStyle name="Followed Hyperlink" xfId="4295" builtinId="9" hidden="1"/>
    <cellStyle name="Followed Hyperlink" xfId="4291" builtinId="9" hidden="1"/>
    <cellStyle name="Followed Hyperlink" xfId="4287" builtinId="9" hidden="1"/>
    <cellStyle name="Followed Hyperlink" xfId="4283" builtinId="9" hidden="1"/>
    <cellStyle name="Followed Hyperlink" xfId="4279" builtinId="9" hidden="1"/>
    <cellStyle name="Followed Hyperlink" xfId="4275" builtinId="9" hidden="1"/>
    <cellStyle name="Followed Hyperlink" xfId="4271" builtinId="9" hidden="1"/>
    <cellStyle name="Followed Hyperlink" xfId="4267" builtinId="9" hidden="1"/>
    <cellStyle name="Followed Hyperlink" xfId="4263" builtinId="9" hidden="1"/>
    <cellStyle name="Followed Hyperlink" xfId="4259" builtinId="9" hidden="1"/>
    <cellStyle name="Followed Hyperlink" xfId="4255" builtinId="9" hidden="1"/>
    <cellStyle name="Followed Hyperlink" xfId="4251" builtinId="9" hidden="1"/>
    <cellStyle name="Followed Hyperlink" xfId="4247" builtinId="9" hidden="1"/>
    <cellStyle name="Followed Hyperlink" xfId="4243" builtinId="9" hidden="1"/>
    <cellStyle name="Followed Hyperlink" xfId="4239" builtinId="9" hidden="1"/>
    <cellStyle name="Followed Hyperlink" xfId="4235" builtinId="9" hidden="1"/>
    <cellStyle name="Followed Hyperlink" xfId="4231" builtinId="9" hidden="1"/>
    <cellStyle name="Followed Hyperlink" xfId="4449" builtinId="9" hidden="1"/>
    <cellStyle name="Followed Hyperlink" xfId="2815" builtinId="9" hidden="1"/>
    <cellStyle name="Followed Hyperlink" xfId="4450" builtinId="9" hidden="1"/>
    <cellStyle name="Followed Hyperlink" xfId="4454" builtinId="9" hidden="1"/>
    <cellStyle name="Followed Hyperlink" xfId="4456" builtinId="9" hidden="1"/>
    <cellStyle name="Followed Hyperlink" xfId="4458" builtinId="9" hidden="1"/>
    <cellStyle name="Followed Hyperlink" xfId="4460" builtinId="9" hidden="1"/>
    <cellStyle name="Followed Hyperlink" xfId="4462" builtinId="9" hidden="1"/>
    <cellStyle name="Followed Hyperlink" xfId="4464" builtinId="9" hidden="1"/>
    <cellStyle name="Followed Hyperlink" xfId="4466" builtinId="9" hidden="1"/>
    <cellStyle name="Followed Hyperlink" xfId="4468" builtinId="9" hidden="1"/>
    <cellStyle name="Followed Hyperlink" xfId="4470" builtinId="9" hidden="1"/>
    <cellStyle name="Followed Hyperlink" xfId="4472" builtinId="9" hidden="1"/>
    <cellStyle name="Followed Hyperlink" xfId="4474" builtinId="9" hidden="1"/>
    <cellStyle name="Followed Hyperlink" xfId="4476" builtinId="9" hidden="1"/>
    <cellStyle name="Followed Hyperlink" xfId="4478" builtinId="9" hidden="1"/>
    <cellStyle name="Followed Hyperlink" xfId="4480" builtinId="9" hidden="1"/>
    <cellStyle name="Followed Hyperlink" xfId="4482" builtinId="9" hidden="1"/>
    <cellStyle name="Followed Hyperlink" xfId="4484" builtinId="9" hidden="1"/>
    <cellStyle name="Followed Hyperlink" xfId="4486" builtinId="9" hidden="1"/>
    <cellStyle name="Followed Hyperlink" xfId="4488" builtinId="9" hidden="1"/>
    <cellStyle name="Followed Hyperlink" xfId="4490" builtinId="9" hidden="1"/>
    <cellStyle name="Followed Hyperlink" xfId="4492" builtinId="9" hidden="1"/>
    <cellStyle name="Followed Hyperlink" xfId="4494" builtinId="9" hidden="1"/>
    <cellStyle name="Followed Hyperlink" xfId="4496" builtinId="9" hidden="1"/>
    <cellStyle name="Followed Hyperlink" xfId="4498" builtinId="9" hidden="1"/>
    <cellStyle name="Followed Hyperlink" xfId="4500" builtinId="9" hidden="1"/>
    <cellStyle name="Followed Hyperlink" xfId="4502" builtinId="9" hidden="1"/>
    <cellStyle name="Followed Hyperlink" xfId="4504" builtinId="9" hidden="1"/>
    <cellStyle name="Followed Hyperlink" xfId="4506" builtinId="9" hidden="1"/>
    <cellStyle name="Followed Hyperlink" xfId="4508" builtinId="9" hidden="1"/>
    <cellStyle name="Followed Hyperlink" xfId="4510" builtinId="9" hidden="1"/>
    <cellStyle name="Followed Hyperlink" xfId="4512" builtinId="9" hidden="1"/>
    <cellStyle name="Followed Hyperlink" xfId="4514" builtinId="9" hidden="1"/>
    <cellStyle name="Followed Hyperlink" xfId="4516" builtinId="9" hidden="1"/>
    <cellStyle name="Followed Hyperlink" xfId="4518" builtinId="9" hidden="1"/>
    <cellStyle name="Followed Hyperlink" xfId="4520" builtinId="9" hidden="1"/>
    <cellStyle name="Followed Hyperlink" xfId="4522" builtinId="9" hidden="1"/>
    <cellStyle name="Followed Hyperlink" xfId="4524" builtinId="9" hidden="1"/>
    <cellStyle name="Followed Hyperlink" xfId="4526" builtinId="9" hidden="1"/>
    <cellStyle name="Followed Hyperlink" xfId="4528" builtinId="9" hidden="1"/>
    <cellStyle name="Followed Hyperlink" xfId="4530" builtinId="9" hidden="1"/>
    <cellStyle name="Followed Hyperlink" xfId="4532" builtinId="9" hidden="1"/>
    <cellStyle name="Followed Hyperlink" xfId="4534" builtinId="9" hidden="1"/>
    <cellStyle name="Followed Hyperlink" xfId="4536" builtinId="9" hidden="1"/>
    <cellStyle name="Followed Hyperlink" xfId="4538" builtinId="9" hidden="1"/>
    <cellStyle name="Followed Hyperlink" xfId="4540" builtinId="9" hidden="1"/>
    <cellStyle name="Followed Hyperlink" xfId="4542" builtinId="9" hidden="1"/>
    <cellStyle name="Followed Hyperlink" xfId="4544" builtinId="9" hidden="1"/>
    <cellStyle name="Followed Hyperlink" xfId="4546" builtinId="9" hidden="1"/>
    <cellStyle name="Followed Hyperlink" xfId="4548" builtinId="9" hidden="1"/>
    <cellStyle name="Followed Hyperlink" xfId="4550" builtinId="9" hidden="1"/>
    <cellStyle name="Followed Hyperlink" xfId="4552" builtinId="9" hidden="1"/>
    <cellStyle name="Followed Hyperlink" xfId="4554" builtinId="9" hidden="1"/>
    <cellStyle name="Followed Hyperlink" xfId="4556" builtinId="9" hidden="1"/>
    <cellStyle name="Followed Hyperlink" xfId="4558" builtinId="9" hidden="1"/>
    <cellStyle name="Followed Hyperlink" xfId="4559" builtinId="9" hidden="1"/>
    <cellStyle name="Followed Hyperlink" xfId="4560" builtinId="9" hidden="1"/>
    <cellStyle name="Followed Hyperlink" xfId="4561" builtinId="9" hidden="1"/>
    <cellStyle name="Followed Hyperlink" xfId="4562" builtinId="9" hidden="1"/>
    <cellStyle name="Followed Hyperlink" xfId="4563" builtinId="9" hidden="1"/>
    <cellStyle name="Followed Hyperlink" xfId="4564" builtinId="9" hidden="1"/>
    <cellStyle name="Followed Hyperlink" xfId="4565" builtinId="9" hidden="1"/>
    <cellStyle name="Followed Hyperlink" xfId="4566" builtinId="9" hidden="1"/>
    <cellStyle name="Followed Hyperlink" xfId="4567" builtinId="9" hidden="1"/>
    <cellStyle name="Followed Hyperlink" xfId="4568" builtinId="9" hidden="1"/>
    <cellStyle name="Followed Hyperlink" xfId="4569" builtinId="9" hidden="1"/>
    <cellStyle name="Followed Hyperlink" xfId="4570" builtinId="9" hidden="1"/>
    <cellStyle name="Followed Hyperlink" xfId="4571" builtinId="9" hidden="1"/>
    <cellStyle name="Followed Hyperlink" xfId="4572" builtinId="9" hidden="1"/>
    <cellStyle name="Followed Hyperlink" xfId="4573" builtinId="9" hidden="1"/>
    <cellStyle name="Followed Hyperlink" xfId="4574" builtinId="9" hidden="1"/>
    <cellStyle name="Followed Hyperlink" xfId="4575" builtinId="9" hidden="1"/>
    <cellStyle name="Followed Hyperlink" xfId="4576" builtinId="9" hidden="1"/>
    <cellStyle name="Followed Hyperlink" xfId="4577" builtinId="9" hidden="1"/>
    <cellStyle name="Followed Hyperlink" xfId="4578" builtinId="9" hidden="1"/>
    <cellStyle name="Followed Hyperlink" xfId="4579" builtinId="9" hidden="1"/>
    <cellStyle name="Followed Hyperlink" xfId="4580" builtinId="9" hidden="1"/>
    <cellStyle name="Followed Hyperlink" xfId="4581" builtinId="9" hidden="1"/>
    <cellStyle name="Followed Hyperlink" xfId="4582" builtinId="9" hidden="1"/>
    <cellStyle name="Followed Hyperlink" xfId="4583" builtinId="9" hidden="1"/>
    <cellStyle name="Followed Hyperlink" xfId="4584" builtinId="9" hidden="1"/>
    <cellStyle name="Followed Hyperlink" xfId="4585" builtinId="9" hidden="1"/>
    <cellStyle name="Followed Hyperlink" xfId="4586" builtinId="9" hidden="1"/>
    <cellStyle name="Followed Hyperlink" xfId="4587" builtinId="9" hidden="1"/>
    <cellStyle name="Followed Hyperlink" xfId="4588" builtinId="9" hidden="1"/>
    <cellStyle name="Followed Hyperlink" xfId="4589" builtinId="9" hidden="1"/>
    <cellStyle name="Followed Hyperlink" xfId="4590" builtinId="9" hidden="1"/>
    <cellStyle name="Followed Hyperlink" xfId="4591" builtinId="9" hidden="1"/>
    <cellStyle name="Followed Hyperlink" xfId="4592" builtinId="9" hidden="1"/>
    <cellStyle name="Followed Hyperlink" xfId="4593" builtinId="9" hidden="1"/>
    <cellStyle name="Followed Hyperlink" xfId="4594" builtinId="9" hidden="1"/>
    <cellStyle name="Followed Hyperlink" xfId="4595" builtinId="9" hidden="1"/>
    <cellStyle name="Followed Hyperlink" xfId="4596" builtinId="9" hidden="1"/>
    <cellStyle name="Followed Hyperlink" xfId="4597" builtinId="9" hidden="1"/>
    <cellStyle name="Followed Hyperlink" xfId="4598" builtinId="9" hidden="1"/>
    <cellStyle name="Followed Hyperlink" xfId="4599" builtinId="9" hidden="1"/>
    <cellStyle name="Followed Hyperlink" xfId="4600" builtinId="9" hidden="1"/>
    <cellStyle name="Followed Hyperlink" xfId="4601" builtinId="9" hidden="1"/>
    <cellStyle name="Followed Hyperlink" xfId="4602" builtinId="9" hidden="1"/>
    <cellStyle name="Followed Hyperlink" xfId="4603" builtinId="9" hidden="1"/>
    <cellStyle name="Followed Hyperlink" xfId="4604" builtinId="9" hidden="1"/>
    <cellStyle name="Followed Hyperlink" xfId="4605" builtinId="9" hidden="1"/>
    <cellStyle name="Followed Hyperlink" xfId="4606" builtinId="9" hidden="1"/>
    <cellStyle name="Followed Hyperlink" xfId="4607" builtinId="9" hidden="1"/>
    <cellStyle name="Followed Hyperlink" xfId="4608" builtinId="9" hidden="1"/>
    <cellStyle name="Followed Hyperlink" xfId="4609" builtinId="9" hidden="1"/>
    <cellStyle name="Followed Hyperlink" xfId="4610" builtinId="9" hidden="1"/>
    <cellStyle name="Followed Hyperlink" xfId="4611" builtinId="9" hidden="1"/>
    <cellStyle name="Followed Hyperlink" xfId="4612" builtinId="9" hidden="1"/>
    <cellStyle name="Followed Hyperlink" xfId="4613" builtinId="9" hidden="1"/>
    <cellStyle name="Followed Hyperlink" xfId="4614" builtinId="9" hidden="1"/>
    <cellStyle name="Followed Hyperlink" xfId="4615" builtinId="9" hidden="1"/>
    <cellStyle name="Followed Hyperlink" xfId="4616" builtinId="9" hidden="1"/>
    <cellStyle name="Followed Hyperlink" xfId="4617" builtinId="9" hidden="1"/>
    <cellStyle name="Followed Hyperlink" xfId="4618" builtinId="9" hidden="1"/>
    <cellStyle name="Followed Hyperlink" xfId="4619" builtinId="9" hidden="1"/>
    <cellStyle name="Followed Hyperlink" xfId="4620" builtinId="9" hidden="1"/>
    <cellStyle name="Followed Hyperlink" xfId="4621" builtinId="9" hidden="1"/>
    <cellStyle name="Followed Hyperlink" xfId="4622" builtinId="9" hidden="1"/>
    <cellStyle name="Followed Hyperlink" xfId="4623" builtinId="9" hidden="1"/>
    <cellStyle name="Followed Hyperlink" xfId="4624" builtinId="9" hidden="1"/>
    <cellStyle name="Followed Hyperlink" xfId="4625" builtinId="9" hidden="1"/>
    <cellStyle name="Followed Hyperlink" xfId="4626" builtinId="9" hidden="1"/>
    <cellStyle name="Followed Hyperlink" xfId="4627" builtinId="9" hidden="1"/>
    <cellStyle name="Followed Hyperlink" xfId="4628" builtinId="9" hidden="1"/>
    <cellStyle name="Followed Hyperlink" xfId="4629" builtinId="9" hidden="1"/>
    <cellStyle name="Followed Hyperlink" xfId="4630" builtinId="9" hidden="1"/>
    <cellStyle name="Followed Hyperlink" xfId="4631" builtinId="9" hidden="1"/>
    <cellStyle name="Followed Hyperlink" xfId="4632" builtinId="9" hidden="1"/>
    <cellStyle name="Followed Hyperlink" xfId="4633" builtinId="9" hidden="1"/>
    <cellStyle name="Followed Hyperlink" xfId="4634" builtinId="9" hidden="1"/>
    <cellStyle name="Followed Hyperlink" xfId="4635" builtinId="9" hidden="1"/>
    <cellStyle name="Followed Hyperlink" xfId="4636" builtinId="9" hidden="1"/>
    <cellStyle name="Followed Hyperlink" xfId="4637" builtinId="9" hidden="1"/>
    <cellStyle name="Followed Hyperlink" xfId="4638" builtinId="9" hidden="1"/>
    <cellStyle name="Followed Hyperlink" xfId="4639" builtinId="9" hidden="1"/>
    <cellStyle name="Followed Hyperlink" xfId="4640" builtinId="9" hidden="1"/>
    <cellStyle name="Followed Hyperlink" xfId="4641" builtinId="9" hidden="1"/>
    <cellStyle name="Followed Hyperlink" xfId="4642" builtinId="9" hidden="1"/>
    <cellStyle name="Followed Hyperlink" xfId="4643" builtinId="9" hidden="1"/>
    <cellStyle name="Followed Hyperlink" xfId="4644" builtinId="9" hidden="1"/>
    <cellStyle name="Followed Hyperlink" xfId="4645" builtinId="9" hidden="1"/>
    <cellStyle name="Followed Hyperlink" xfId="4646" builtinId="9" hidden="1"/>
    <cellStyle name="Followed Hyperlink" xfId="4647" builtinId="9" hidden="1"/>
    <cellStyle name="Followed Hyperlink" xfId="4648" builtinId="9" hidden="1"/>
    <cellStyle name="Followed Hyperlink" xfId="4649" builtinId="9" hidden="1"/>
    <cellStyle name="Followed Hyperlink" xfId="4650" builtinId="9" hidden="1"/>
    <cellStyle name="Followed Hyperlink" xfId="4651" builtinId="9" hidden="1"/>
    <cellStyle name="Followed Hyperlink" xfId="4652" builtinId="9" hidden="1"/>
    <cellStyle name="Followed Hyperlink" xfId="4653" builtinId="9" hidden="1"/>
    <cellStyle name="Followed Hyperlink" xfId="4654" builtinId="9" hidden="1"/>
    <cellStyle name="Followed Hyperlink" xfId="4655" builtinId="9" hidden="1"/>
    <cellStyle name="Followed Hyperlink" xfId="4656" builtinId="9" hidden="1"/>
    <cellStyle name="Followed Hyperlink" xfId="4657" builtinId="9" hidden="1"/>
    <cellStyle name="Followed Hyperlink" xfId="4658" builtinId="9" hidden="1"/>
    <cellStyle name="Followed Hyperlink" xfId="4659" builtinId="9" hidden="1"/>
    <cellStyle name="Followed Hyperlink" xfId="4660" builtinId="9" hidden="1"/>
    <cellStyle name="Followed Hyperlink" xfId="4661" builtinId="9" hidden="1"/>
    <cellStyle name="Followed Hyperlink" xfId="4662" builtinId="9" hidden="1"/>
    <cellStyle name="Followed Hyperlink" xfId="4663" builtinId="9" hidden="1"/>
    <cellStyle name="Followed Hyperlink" xfId="4664" builtinId="9" hidden="1"/>
    <cellStyle name="Followed Hyperlink" xfId="4665" builtinId="9" hidden="1"/>
    <cellStyle name="Followed Hyperlink" xfId="4666" builtinId="9" hidden="1"/>
    <cellStyle name="Followed Hyperlink" xfId="4667" builtinId="9" hidden="1"/>
    <cellStyle name="Followed Hyperlink" xfId="4668" builtinId="9" hidden="1"/>
    <cellStyle name="Followed Hyperlink" xfId="4669" builtinId="9" hidden="1"/>
    <cellStyle name="Followed Hyperlink" xfId="4670" builtinId="9" hidden="1"/>
    <cellStyle name="Followed Hyperlink" xfId="4671" builtinId="9" hidden="1"/>
    <cellStyle name="Followed Hyperlink" xfId="4672" builtinId="9" hidden="1"/>
    <cellStyle name="Followed Hyperlink" xfId="4673" builtinId="9" hidden="1"/>
    <cellStyle name="Followed Hyperlink" xfId="4674" builtinId="9" hidden="1"/>
    <cellStyle name="Followed Hyperlink" xfId="4675" builtinId="9" hidden="1"/>
    <cellStyle name="Followed Hyperlink" xfId="4676" builtinId="9" hidden="1"/>
    <cellStyle name="Followed Hyperlink" xfId="4677" builtinId="9" hidden="1"/>
    <cellStyle name="Followed Hyperlink" xfId="4678" builtinId="9" hidden="1"/>
    <cellStyle name="Followed Hyperlink" xfId="4679" builtinId="9" hidden="1"/>
    <cellStyle name="Followed Hyperlink" xfId="4680" builtinId="9" hidden="1"/>
    <cellStyle name="Followed Hyperlink" xfId="4681" builtinId="9" hidden="1"/>
    <cellStyle name="Followed Hyperlink" xfId="4682" builtinId="9" hidden="1"/>
    <cellStyle name="Followed Hyperlink" xfId="4683" builtinId="9" hidden="1"/>
    <cellStyle name="Followed Hyperlink" xfId="4684" builtinId="9" hidden="1"/>
    <cellStyle name="Followed Hyperlink" xfId="4685" builtinId="9" hidden="1"/>
    <cellStyle name="Followed Hyperlink" xfId="4686" builtinId="9" hidden="1"/>
    <cellStyle name="Followed Hyperlink" xfId="4687" builtinId="9" hidden="1"/>
    <cellStyle name="Followed Hyperlink" xfId="4688" builtinId="9" hidden="1"/>
    <cellStyle name="Followed Hyperlink" xfId="4689" builtinId="9" hidden="1"/>
    <cellStyle name="Followed Hyperlink" xfId="4690" builtinId="9" hidden="1"/>
    <cellStyle name="Followed Hyperlink" xfId="4691" builtinId="9" hidden="1"/>
    <cellStyle name="Followed Hyperlink" xfId="4692" builtinId="9" hidden="1"/>
    <cellStyle name="Followed Hyperlink" xfId="4693" builtinId="9" hidden="1"/>
    <cellStyle name="Followed Hyperlink" xfId="4694" builtinId="9" hidden="1"/>
    <cellStyle name="Followed Hyperlink" xfId="4695" builtinId="9" hidden="1"/>
    <cellStyle name="Followed Hyperlink" xfId="4696" builtinId="9" hidden="1"/>
    <cellStyle name="Followed Hyperlink" xfId="4697" builtinId="9" hidden="1"/>
    <cellStyle name="Followed Hyperlink" xfId="4698" builtinId="9" hidden="1"/>
    <cellStyle name="Followed Hyperlink" xfId="4699" builtinId="9" hidden="1"/>
    <cellStyle name="Followed Hyperlink" xfId="4700" builtinId="9" hidden="1"/>
    <cellStyle name="Followed Hyperlink" xfId="4701" builtinId="9" hidden="1"/>
    <cellStyle name="Followed Hyperlink" xfId="4702" builtinId="9" hidden="1"/>
    <cellStyle name="Followed Hyperlink" xfId="4703" builtinId="9" hidden="1"/>
    <cellStyle name="Followed Hyperlink" xfId="4704" builtinId="9" hidden="1"/>
    <cellStyle name="Followed Hyperlink" xfId="4705" builtinId="9" hidden="1"/>
    <cellStyle name="Followed Hyperlink" xfId="4706" builtinId="9" hidden="1"/>
    <cellStyle name="Followed Hyperlink" xfId="4707" builtinId="9" hidden="1"/>
    <cellStyle name="Followed Hyperlink" xfId="4708" builtinId="9" hidden="1"/>
    <cellStyle name="Followed Hyperlink" xfId="4709" builtinId="9" hidden="1"/>
    <cellStyle name="Followed Hyperlink" xfId="4710" builtinId="9" hidden="1"/>
    <cellStyle name="Followed Hyperlink" xfId="4711" builtinId="9" hidden="1"/>
    <cellStyle name="Followed Hyperlink" xfId="4712" builtinId="9" hidden="1"/>
    <cellStyle name="Followed Hyperlink" xfId="4713" builtinId="9" hidden="1"/>
    <cellStyle name="Followed Hyperlink" xfId="4714" builtinId="9" hidden="1"/>
    <cellStyle name="Followed Hyperlink" xfId="4715" builtinId="9" hidden="1"/>
    <cellStyle name="Followed Hyperlink" xfId="4716" builtinId="9" hidden="1"/>
    <cellStyle name="Followed Hyperlink" xfId="4717" builtinId="9" hidden="1"/>
    <cellStyle name="Followed Hyperlink" xfId="4718" builtinId="9" hidden="1"/>
    <cellStyle name="Followed Hyperlink" xfId="4719" builtinId="9" hidden="1"/>
    <cellStyle name="Followed Hyperlink" xfId="4720" builtinId="9" hidden="1"/>
    <cellStyle name="Followed Hyperlink" xfId="4721" builtinId="9" hidden="1"/>
    <cellStyle name="Followed Hyperlink" xfId="4722" builtinId="9" hidden="1"/>
    <cellStyle name="Followed Hyperlink" xfId="4723" builtinId="9" hidden="1"/>
    <cellStyle name="Followed Hyperlink" xfId="4724" builtinId="9" hidden="1"/>
    <cellStyle name="Followed Hyperlink" xfId="4725" builtinId="9" hidden="1"/>
    <cellStyle name="Followed Hyperlink" xfId="4726" builtinId="9" hidden="1"/>
    <cellStyle name="Followed Hyperlink" xfId="4727" builtinId="9" hidden="1"/>
    <cellStyle name="Followed Hyperlink" xfId="4728" builtinId="9" hidden="1"/>
    <cellStyle name="Followed Hyperlink" xfId="4729" builtinId="9" hidden="1"/>
    <cellStyle name="Followed Hyperlink" xfId="4730" builtinId="9" hidden="1"/>
    <cellStyle name="Followed Hyperlink" xfId="4731" builtinId="9" hidden="1"/>
    <cellStyle name="Followed Hyperlink" xfId="4732" builtinId="9" hidden="1"/>
    <cellStyle name="Followed Hyperlink" xfId="4733" builtinId="9" hidden="1"/>
    <cellStyle name="Followed Hyperlink" xfId="4734" builtinId="9" hidden="1"/>
    <cellStyle name="Followed Hyperlink" xfId="4735" builtinId="9" hidden="1"/>
    <cellStyle name="Followed Hyperlink" xfId="4736" builtinId="9" hidden="1"/>
    <cellStyle name="Followed Hyperlink" xfId="4737" builtinId="9" hidden="1"/>
    <cellStyle name="Followed Hyperlink" xfId="4738" builtinId="9" hidden="1"/>
    <cellStyle name="Followed Hyperlink" xfId="4739" builtinId="9" hidden="1"/>
    <cellStyle name="Followed Hyperlink" xfId="4740" builtinId="9" hidden="1"/>
    <cellStyle name="Followed Hyperlink" xfId="4741" builtinId="9" hidden="1"/>
    <cellStyle name="Followed Hyperlink" xfId="4742" builtinId="9" hidden="1"/>
    <cellStyle name="Followed Hyperlink" xfId="4743" builtinId="9" hidden="1"/>
    <cellStyle name="Followed Hyperlink" xfId="4744" builtinId="9" hidden="1"/>
    <cellStyle name="Followed Hyperlink" xfId="4745" builtinId="9" hidden="1"/>
    <cellStyle name="Followed Hyperlink" xfId="4746" builtinId="9" hidden="1"/>
    <cellStyle name="Followed Hyperlink" xfId="4747" builtinId="9" hidden="1"/>
    <cellStyle name="Followed Hyperlink" xfId="4748" builtinId="9" hidden="1"/>
    <cellStyle name="Followed Hyperlink" xfId="4749" builtinId="9" hidden="1"/>
    <cellStyle name="Followed Hyperlink" xfId="4750" builtinId="9" hidden="1"/>
    <cellStyle name="Followed Hyperlink" xfId="4751" builtinId="9" hidden="1"/>
    <cellStyle name="Followed Hyperlink" xfId="4752" builtinId="9" hidden="1"/>
    <cellStyle name="Followed Hyperlink" xfId="4753" builtinId="9" hidden="1"/>
    <cellStyle name="Followed Hyperlink" xfId="4754" builtinId="9" hidden="1"/>
    <cellStyle name="Followed Hyperlink" xfId="4755" builtinId="9" hidden="1"/>
    <cellStyle name="Followed Hyperlink" xfId="4756" builtinId="9" hidden="1"/>
    <cellStyle name="Followed Hyperlink" xfId="4757" builtinId="9" hidden="1"/>
    <cellStyle name="Followed Hyperlink" xfId="4758" builtinId="9" hidden="1"/>
    <cellStyle name="Followed Hyperlink" xfId="4759" builtinId="9" hidden="1"/>
    <cellStyle name="Followed Hyperlink" xfId="4760" builtinId="9" hidden="1"/>
    <cellStyle name="Followed Hyperlink" xfId="4761" builtinId="9" hidden="1"/>
    <cellStyle name="Followed Hyperlink" xfId="4762" builtinId="9" hidden="1"/>
    <cellStyle name="Followed Hyperlink" xfId="4763" builtinId="9" hidden="1"/>
    <cellStyle name="Followed Hyperlink" xfId="4764" builtinId="9" hidden="1"/>
    <cellStyle name="Followed Hyperlink" xfId="4765" builtinId="9" hidden="1"/>
    <cellStyle name="Followed Hyperlink" xfId="4766" builtinId="9" hidden="1"/>
    <cellStyle name="Followed Hyperlink" xfId="4767" builtinId="9" hidden="1"/>
    <cellStyle name="Followed Hyperlink" xfId="4768" builtinId="9" hidden="1"/>
    <cellStyle name="Followed Hyperlink" xfId="4769" builtinId="9" hidden="1"/>
    <cellStyle name="Followed Hyperlink" xfId="4770" builtinId="9" hidden="1"/>
    <cellStyle name="Followed Hyperlink" xfId="4771" builtinId="9" hidden="1"/>
    <cellStyle name="Followed Hyperlink" xfId="4772" builtinId="9" hidden="1"/>
    <cellStyle name="Followed Hyperlink" xfId="4773" builtinId="9" hidden="1"/>
    <cellStyle name="Followed Hyperlink" xfId="4774" builtinId="9" hidden="1"/>
    <cellStyle name="Followed Hyperlink" xfId="4775" builtinId="9" hidden="1"/>
    <cellStyle name="Followed Hyperlink" xfId="4776" builtinId="9" hidden="1"/>
    <cellStyle name="Followed Hyperlink" xfId="4777" builtinId="9" hidden="1"/>
    <cellStyle name="Followed Hyperlink" xfId="4778" builtinId="9" hidden="1"/>
    <cellStyle name="Followed Hyperlink" xfId="4779" builtinId="9" hidden="1"/>
    <cellStyle name="Followed Hyperlink" xfId="4780" builtinId="9" hidden="1"/>
    <cellStyle name="Followed Hyperlink" xfId="4781" builtinId="9" hidden="1"/>
    <cellStyle name="Followed Hyperlink" xfId="4782" builtinId="9" hidden="1"/>
    <cellStyle name="Followed Hyperlink" xfId="4783" builtinId="9" hidden="1"/>
    <cellStyle name="Followed Hyperlink" xfId="4784" builtinId="9" hidden="1"/>
    <cellStyle name="Followed Hyperlink" xfId="4785" builtinId="9" hidden="1"/>
    <cellStyle name="Followed Hyperlink" xfId="4786" builtinId="9" hidden="1"/>
    <cellStyle name="Followed Hyperlink" xfId="4787" builtinId="9" hidden="1"/>
    <cellStyle name="Followed Hyperlink" xfId="4788" builtinId="9" hidden="1"/>
    <cellStyle name="Followed Hyperlink" xfId="4789" builtinId="9" hidden="1"/>
    <cellStyle name="Followed Hyperlink" xfId="4790" builtinId="9" hidden="1"/>
    <cellStyle name="Followed Hyperlink" xfId="4791" builtinId="9" hidden="1"/>
    <cellStyle name="Followed Hyperlink" xfId="4792" builtinId="9" hidden="1"/>
    <cellStyle name="Followed Hyperlink" xfId="4793" builtinId="9" hidden="1"/>
    <cellStyle name="Followed Hyperlink" xfId="4794" builtinId="9" hidden="1"/>
    <cellStyle name="Followed Hyperlink" xfId="4795" builtinId="9" hidden="1"/>
    <cellStyle name="Followed Hyperlink" xfId="4796" builtinId="9" hidden="1"/>
    <cellStyle name="Followed Hyperlink" xfId="4797" builtinId="9" hidden="1"/>
    <cellStyle name="Followed Hyperlink" xfId="4798" builtinId="9" hidden="1"/>
    <cellStyle name="Followed Hyperlink" xfId="4799" builtinId="9" hidden="1"/>
    <cellStyle name="Followed Hyperlink" xfId="4800" builtinId="9" hidden="1"/>
    <cellStyle name="Followed Hyperlink" xfId="4801" builtinId="9" hidden="1"/>
    <cellStyle name="Followed Hyperlink" xfId="4802" builtinId="9" hidden="1"/>
    <cellStyle name="Followed Hyperlink" xfId="4803" builtinId="9" hidden="1"/>
    <cellStyle name="Followed Hyperlink" xfId="4804" builtinId="9" hidden="1"/>
    <cellStyle name="Followed Hyperlink" xfId="4805" builtinId="9" hidden="1"/>
    <cellStyle name="Followed Hyperlink" xfId="4808" builtinId="9" hidden="1"/>
    <cellStyle name="Followed Hyperlink" xfId="4810" builtinId="9" hidden="1"/>
    <cellStyle name="Followed Hyperlink" xfId="4811" builtinId="9" hidden="1"/>
    <cellStyle name="Followed Hyperlink" xfId="4813" builtinId="9" hidden="1"/>
    <cellStyle name="Followed Hyperlink" xfId="4814" builtinId="9" hidden="1"/>
    <cellStyle name="Followed Hyperlink" xfId="4816" builtinId="9" hidden="1"/>
    <cellStyle name="Followed Hyperlink" xfId="4817" builtinId="9" hidden="1"/>
    <cellStyle name="Followed Hyperlink" xfId="4819" builtinId="9" hidden="1"/>
    <cellStyle name="Followed Hyperlink" xfId="4820" builtinId="9" hidden="1"/>
    <cellStyle name="Followed Hyperlink" xfId="4822" builtinId="9" hidden="1"/>
    <cellStyle name="Followed Hyperlink" xfId="4823" builtinId="9" hidden="1"/>
    <cellStyle name="Followed Hyperlink" xfId="4825" builtinId="9" hidden="1"/>
    <cellStyle name="Followed Hyperlink" xfId="4826" builtinId="9" hidden="1"/>
    <cellStyle name="Followed Hyperlink" xfId="4828" builtinId="9" hidden="1"/>
    <cellStyle name="Followed Hyperlink" xfId="4829" builtinId="9" hidden="1"/>
    <cellStyle name="Followed Hyperlink" xfId="4831" builtinId="9" hidden="1"/>
    <cellStyle name="Followed Hyperlink" xfId="4832" builtinId="9" hidden="1"/>
    <cellStyle name="Followed Hyperlink" xfId="4834" builtinId="9" hidden="1"/>
    <cellStyle name="Followed Hyperlink" xfId="4835" builtinId="9" hidden="1"/>
    <cellStyle name="Followed Hyperlink" xfId="4837" builtinId="9" hidden="1"/>
    <cellStyle name="Followed Hyperlink" xfId="4838" builtinId="9" hidden="1"/>
    <cellStyle name="Followed Hyperlink" xfId="4840" builtinId="9" hidden="1"/>
    <cellStyle name="Followed Hyperlink" xfId="4841" builtinId="9" hidden="1"/>
    <cellStyle name="Followed Hyperlink" xfId="4843" builtinId="9" hidden="1"/>
    <cellStyle name="Followed Hyperlink" xfId="4844" builtinId="9" hidden="1"/>
    <cellStyle name="Followed Hyperlink" xfId="4846" builtinId="9" hidden="1"/>
    <cellStyle name="Followed Hyperlink" xfId="4847" builtinId="9" hidden="1"/>
    <cellStyle name="Followed Hyperlink" xfId="4849" builtinId="9" hidden="1"/>
    <cellStyle name="Followed Hyperlink" xfId="4850" builtinId="9" hidden="1"/>
    <cellStyle name="Followed Hyperlink" xfId="4852" builtinId="9" hidden="1"/>
    <cellStyle name="Followed Hyperlink" xfId="4853" builtinId="9" hidden="1"/>
    <cellStyle name="Followed Hyperlink" xfId="4855" builtinId="9" hidden="1"/>
    <cellStyle name="Followed Hyperlink" xfId="4856" builtinId="9" hidden="1"/>
    <cellStyle name="Followed Hyperlink" xfId="4858" builtinId="9" hidden="1"/>
    <cellStyle name="Followed Hyperlink" xfId="4859" builtinId="9" hidden="1"/>
    <cellStyle name="Followed Hyperlink" xfId="4861" builtinId="9" hidden="1"/>
    <cellStyle name="Followed Hyperlink" xfId="4862" builtinId="9" hidden="1"/>
    <cellStyle name="Followed Hyperlink" xfId="4864" builtinId="9" hidden="1"/>
    <cellStyle name="Followed Hyperlink" xfId="4865" builtinId="9" hidden="1"/>
    <cellStyle name="Followed Hyperlink" xfId="4867" builtinId="9" hidden="1"/>
    <cellStyle name="Followed Hyperlink" xfId="4868" builtinId="9" hidden="1"/>
    <cellStyle name="Followed Hyperlink" xfId="4870" builtinId="9" hidden="1"/>
    <cellStyle name="Followed Hyperlink" xfId="4871" builtinId="9" hidden="1"/>
    <cellStyle name="Followed Hyperlink" xfId="4873" builtinId="9" hidden="1"/>
    <cellStyle name="Followed Hyperlink" xfId="4874" builtinId="9" hidden="1"/>
    <cellStyle name="Followed Hyperlink" xfId="4876" builtinId="9" hidden="1"/>
    <cellStyle name="Followed Hyperlink" xfId="4877" builtinId="9" hidden="1"/>
    <cellStyle name="Followed Hyperlink" xfId="4879" builtinId="9" hidden="1"/>
    <cellStyle name="Followed Hyperlink" xfId="4880" builtinId="9" hidden="1"/>
    <cellStyle name="Followed Hyperlink" xfId="4882" builtinId="9" hidden="1"/>
    <cellStyle name="Followed Hyperlink" xfId="4883" builtinId="9" hidden="1"/>
    <cellStyle name="Followed Hyperlink" xfId="4885" builtinId="9" hidden="1"/>
    <cellStyle name="Followed Hyperlink" xfId="4886" builtinId="9" hidden="1"/>
    <cellStyle name="Followed Hyperlink" xfId="4888" builtinId="9" hidden="1"/>
    <cellStyle name="Followed Hyperlink" xfId="4889" builtinId="9" hidden="1"/>
    <cellStyle name="Followed Hyperlink" xfId="4891" builtinId="9" hidden="1"/>
    <cellStyle name="Followed Hyperlink" xfId="4892" builtinId="9" hidden="1"/>
    <cellStyle name="Followed Hyperlink" xfId="4894" builtinId="9" hidden="1"/>
    <cellStyle name="Followed Hyperlink" xfId="4895" builtinId="9" hidden="1"/>
    <cellStyle name="Followed Hyperlink" xfId="4897" builtinId="9" hidden="1"/>
    <cellStyle name="Followed Hyperlink" xfId="4898" builtinId="9" hidden="1"/>
    <cellStyle name="Followed Hyperlink" xfId="4900" builtinId="9" hidden="1"/>
    <cellStyle name="Followed Hyperlink" xfId="4901" builtinId="9" hidden="1"/>
    <cellStyle name="Followed Hyperlink" xfId="4903" builtinId="9" hidden="1"/>
    <cellStyle name="Followed Hyperlink" xfId="4904" builtinId="9" hidden="1"/>
    <cellStyle name="Followed Hyperlink" xfId="4906" builtinId="9" hidden="1"/>
    <cellStyle name="Followed Hyperlink" xfId="4907" builtinId="9" hidden="1"/>
    <cellStyle name="Followed Hyperlink" xfId="4909" builtinId="9" hidden="1"/>
    <cellStyle name="Followed Hyperlink" xfId="4910" builtinId="9" hidden="1"/>
    <cellStyle name="Followed Hyperlink" xfId="4912" builtinId="9" hidden="1"/>
    <cellStyle name="Followed Hyperlink" xfId="4913" builtinId="9" hidden="1"/>
    <cellStyle name="Followed Hyperlink" xfId="4915" builtinId="9" hidden="1"/>
    <cellStyle name="Followed Hyperlink" xfId="4916" builtinId="9" hidden="1"/>
    <cellStyle name="Followed Hyperlink" xfId="4918" builtinId="9" hidden="1"/>
    <cellStyle name="Followed Hyperlink" xfId="4919" builtinId="9" hidden="1"/>
    <cellStyle name="Followed Hyperlink" xfId="4921" builtinId="9" hidden="1"/>
    <cellStyle name="Followed Hyperlink" xfId="4922" builtinId="9" hidden="1"/>
    <cellStyle name="Followed Hyperlink" xfId="4924" builtinId="9" hidden="1"/>
    <cellStyle name="Followed Hyperlink" xfId="4925" builtinId="9" hidden="1"/>
    <cellStyle name="Followed Hyperlink" xfId="4927" builtinId="9" hidden="1"/>
    <cellStyle name="Followed Hyperlink" xfId="4928" builtinId="9" hidden="1"/>
    <cellStyle name="Followed Hyperlink" xfId="4930" builtinId="9" hidden="1"/>
    <cellStyle name="Followed Hyperlink" xfId="4931" builtinId="9" hidden="1"/>
    <cellStyle name="Followed Hyperlink" xfId="4933" builtinId="9" hidden="1"/>
    <cellStyle name="Followed Hyperlink" xfId="4934" builtinId="9" hidden="1"/>
    <cellStyle name="Followed Hyperlink" xfId="4936" builtinId="9" hidden="1"/>
    <cellStyle name="Followed Hyperlink" xfId="4937" builtinId="9" hidden="1"/>
    <cellStyle name="Followed Hyperlink" xfId="4939" builtinId="9" hidden="1"/>
    <cellStyle name="Followed Hyperlink" xfId="4940" builtinId="9" hidden="1"/>
    <cellStyle name="Followed Hyperlink" xfId="4942" builtinId="9" hidden="1"/>
    <cellStyle name="Followed Hyperlink" xfId="4943" builtinId="9" hidden="1"/>
    <cellStyle name="Followed Hyperlink" xfId="4945" builtinId="9" hidden="1"/>
    <cellStyle name="Followed Hyperlink" xfId="4946" builtinId="9" hidden="1"/>
    <cellStyle name="Followed Hyperlink" xfId="4948" builtinId="9" hidden="1"/>
    <cellStyle name="Followed Hyperlink" xfId="4949" builtinId="9" hidden="1"/>
    <cellStyle name="Followed Hyperlink" xfId="4951" builtinId="9" hidden="1"/>
    <cellStyle name="Followed Hyperlink" xfId="4952" builtinId="9" hidden="1"/>
    <cellStyle name="Followed Hyperlink" xfId="4954" builtinId="9" hidden="1"/>
    <cellStyle name="Followed Hyperlink" xfId="4955" builtinId="9" hidden="1"/>
    <cellStyle name="Followed Hyperlink" xfId="4957" builtinId="9" hidden="1"/>
    <cellStyle name="Followed Hyperlink" xfId="4958" builtinId="9" hidden="1"/>
    <cellStyle name="Followed Hyperlink" xfId="4960" builtinId="9" hidden="1"/>
    <cellStyle name="Followed Hyperlink" xfId="4961" builtinId="9" hidden="1"/>
    <cellStyle name="Followed Hyperlink" xfId="4963" builtinId="9" hidden="1"/>
    <cellStyle name="Followed Hyperlink" xfId="4964" builtinId="9" hidden="1"/>
    <cellStyle name="Followed Hyperlink" xfId="4966" builtinId="9" hidden="1"/>
    <cellStyle name="Followed Hyperlink" xfId="4967" builtinId="9" hidden="1"/>
    <cellStyle name="Followed Hyperlink" xfId="4969" builtinId="9" hidden="1"/>
    <cellStyle name="Followed Hyperlink" xfId="4970" builtinId="9" hidden="1"/>
    <cellStyle name="Followed Hyperlink" xfId="4972" builtinId="9" hidden="1"/>
    <cellStyle name="Followed Hyperlink" xfId="4976" builtinId="9" hidden="1"/>
    <cellStyle name="Followed Hyperlink" xfId="4978" builtinId="9" hidden="1"/>
    <cellStyle name="Followed Hyperlink" xfId="4980" builtinId="9" hidden="1"/>
    <cellStyle name="Followed Hyperlink" xfId="4982" builtinId="9" hidden="1"/>
    <cellStyle name="Followed Hyperlink" xfId="4984" builtinId="9" hidden="1"/>
    <cellStyle name="Followed Hyperlink" xfId="4986" builtinId="9" hidden="1"/>
    <cellStyle name="Followed Hyperlink" xfId="4988" builtinId="9" hidden="1"/>
    <cellStyle name="Followed Hyperlink" xfId="4990" builtinId="9" hidden="1"/>
    <cellStyle name="Followed Hyperlink" xfId="4992" builtinId="9" hidden="1"/>
    <cellStyle name="Followed Hyperlink" xfId="4994" builtinId="9" hidden="1"/>
    <cellStyle name="Followed Hyperlink" xfId="4996" builtinId="9" hidden="1"/>
    <cellStyle name="Followed Hyperlink" xfId="4998" builtinId="9" hidden="1"/>
    <cellStyle name="Followed Hyperlink" xfId="5000" builtinId="9" hidden="1"/>
    <cellStyle name="Followed Hyperlink" xfId="5002" builtinId="9" hidden="1"/>
    <cellStyle name="Followed Hyperlink" xfId="5004" builtinId="9" hidden="1"/>
    <cellStyle name="Followed Hyperlink" xfId="5006" builtinId="9" hidden="1"/>
    <cellStyle name="Followed Hyperlink" xfId="5008" builtinId="9" hidden="1"/>
    <cellStyle name="Followed Hyperlink" xfId="5010" builtinId="9" hidden="1"/>
    <cellStyle name="Followed Hyperlink" xfId="5012" builtinId="9" hidden="1"/>
    <cellStyle name="Followed Hyperlink" xfId="5014" builtinId="9" hidden="1"/>
    <cellStyle name="Followed Hyperlink" xfId="5016" builtinId="9" hidden="1"/>
    <cellStyle name="Followed Hyperlink" xfId="5018" builtinId="9" hidden="1"/>
    <cellStyle name="Followed Hyperlink" xfId="5020" builtinId="9" hidden="1"/>
    <cellStyle name="Followed Hyperlink" xfId="5022" builtinId="9" hidden="1"/>
    <cellStyle name="Followed Hyperlink" xfId="5024" builtinId="9" hidden="1"/>
    <cellStyle name="Followed Hyperlink" xfId="5026" builtinId="9" hidden="1"/>
    <cellStyle name="Followed Hyperlink" xfId="5028" builtinId="9" hidden="1"/>
    <cellStyle name="Followed Hyperlink" xfId="5030" builtinId="9" hidden="1"/>
    <cellStyle name="Followed Hyperlink" xfId="5032" builtinId="9" hidden="1"/>
    <cellStyle name="Followed Hyperlink" xfId="5034" builtinId="9" hidden="1"/>
    <cellStyle name="Followed Hyperlink" xfId="5036" builtinId="9" hidden="1"/>
    <cellStyle name="Followed Hyperlink" xfId="5038" builtinId="9" hidden="1"/>
    <cellStyle name="Followed Hyperlink" xfId="5040" builtinId="9" hidden="1"/>
    <cellStyle name="Followed Hyperlink" xfId="5042" builtinId="9" hidden="1"/>
    <cellStyle name="Followed Hyperlink" xfId="5044" builtinId="9" hidden="1"/>
    <cellStyle name="Followed Hyperlink" xfId="5046" builtinId="9" hidden="1"/>
    <cellStyle name="Followed Hyperlink" xfId="5048" builtinId="9" hidden="1"/>
    <cellStyle name="Followed Hyperlink" xfId="5050" builtinId="9" hidden="1"/>
    <cellStyle name="Followed Hyperlink" xfId="5052" builtinId="9" hidden="1"/>
    <cellStyle name="Followed Hyperlink" xfId="5054" builtinId="9" hidden="1"/>
    <cellStyle name="Followed Hyperlink" xfId="5056" builtinId="9" hidden="1"/>
    <cellStyle name="Followed Hyperlink" xfId="5058" builtinId="9" hidden="1"/>
    <cellStyle name="Followed Hyperlink" xfId="5060" builtinId="9" hidden="1"/>
    <cellStyle name="Followed Hyperlink" xfId="5062" builtinId="9" hidden="1"/>
    <cellStyle name="Followed Hyperlink" xfId="5064" builtinId="9" hidden="1"/>
    <cellStyle name="Followed Hyperlink" xfId="5066" builtinId="9" hidden="1"/>
    <cellStyle name="Followed Hyperlink" xfId="5068" builtinId="9" hidden="1"/>
    <cellStyle name="Followed Hyperlink" xfId="5070" builtinId="9" hidden="1"/>
    <cellStyle name="Followed Hyperlink" xfId="5072" builtinId="9" hidden="1"/>
    <cellStyle name="Followed Hyperlink" xfId="5074" builtinId="9" hidden="1"/>
    <cellStyle name="Followed Hyperlink" xfId="5076" builtinId="9" hidden="1"/>
    <cellStyle name="Followed Hyperlink" xfId="5078" builtinId="9" hidden="1"/>
    <cellStyle name="Followed Hyperlink" xfId="5080" builtinId="9" hidden="1"/>
    <cellStyle name="Followed Hyperlink" xfId="5082" builtinId="9" hidden="1"/>
    <cellStyle name="Followed Hyperlink" xfId="5084" builtinId="9" hidden="1"/>
    <cellStyle name="Followed Hyperlink" xfId="5086" builtinId="9" hidden="1"/>
    <cellStyle name="Followed Hyperlink" xfId="5088" builtinId="9" hidden="1"/>
    <cellStyle name="Followed Hyperlink" xfId="5090" builtinId="9" hidden="1"/>
    <cellStyle name="Followed Hyperlink" xfId="5092" builtinId="9" hidden="1"/>
    <cellStyle name="Followed Hyperlink" xfId="5094" builtinId="9" hidden="1"/>
    <cellStyle name="Followed Hyperlink" xfId="5096" builtinId="9" hidden="1"/>
    <cellStyle name="Followed Hyperlink" xfId="5098" builtinId="9" hidden="1"/>
    <cellStyle name="Followed Hyperlink" xfId="5100" builtinId="9" hidden="1"/>
    <cellStyle name="Followed Hyperlink" xfId="5102" builtinId="9" hidden="1"/>
    <cellStyle name="Followed Hyperlink" xfId="5104" builtinId="9" hidden="1"/>
    <cellStyle name="Followed Hyperlink" xfId="5106" builtinId="9" hidden="1"/>
    <cellStyle name="Followed Hyperlink" xfId="5108" builtinId="9" hidden="1"/>
    <cellStyle name="Followed Hyperlink" xfId="5110" builtinId="9" hidden="1"/>
    <cellStyle name="Followed Hyperlink" xfId="5112" builtinId="9" hidden="1"/>
    <cellStyle name="Followed Hyperlink" xfId="5114" builtinId="9" hidden="1"/>
    <cellStyle name="Followed Hyperlink" xfId="5116" builtinId="9" hidden="1"/>
    <cellStyle name="Followed Hyperlink" xfId="5118" builtinId="9" hidden="1"/>
    <cellStyle name="Followed Hyperlink" xfId="5120" builtinId="9" hidden="1"/>
    <cellStyle name="Followed Hyperlink" xfId="5122" builtinId="9" hidden="1"/>
    <cellStyle name="Followed Hyperlink" xfId="5124" builtinId="9" hidden="1"/>
    <cellStyle name="Followed Hyperlink" xfId="5126" builtinId="9" hidden="1"/>
    <cellStyle name="Followed Hyperlink" xfId="5128" builtinId="9" hidden="1"/>
    <cellStyle name="Followed Hyperlink" xfId="5130" builtinId="9" hidden="1"/>
    <cellStyle name="Followed Hyperlink" xfId="5132" builtinId="9" hidden="1"/>
    <cellStyle name="Followed Hyperlink" xfId="5134" builtinId="9" hidden="1"/>
    <cellStyle name="Followed Hyperlink" xfId="5136" builtinId="9" hidden="1"/>
    <cellStyle name="Followed Hyperlink" xfId="5138" builtinId="9" hidden="1"/>
    <cellStyle name="Followed Hyperlink" xfId="5140" builtinId="9" hidden="1"/>
    <cellStyle name="Followed Hyperlink" xfId="5142" builtinId="9" hidden="1"/>
    <cellStyle name="Followed Hyperlink" xfId="5144" builtinId="9" hidden="1"/>
    <cellStyle name="Followed Hyperlink" xfId="5146" builtinId="9" hidden="1"/>
    <cellStyle name="Followed Hyperlink" xfId="5148" builtinId="9" hidden="1"/>
    <cellStyle name="Followed Hyperlink" xfId="5150" builtinId="9" hidden="1"/>
    <cellStyle name="Followed Hyperlink" xfId="5152" builtinId="9" hidden="1"/>
    <cellStyle name="Followed Hyperlink" xfId="5154" builtinId="9" hidden="1"/>
    <cellStyle name="Followed Hyperlink" xfId="5156" builtinId="9" hidden="1"/>
    <cellStyle name="Followed Hyperlink" xfId="5158" builtinId="9" hidden="1"/>
    <cellStyle name="Followed Hyperlink" xfId="5160" builtinId="9" hidden="1"/>
    <cellStyle name="Followed Hyperlink" xfId="5162" builtinId="9" hidden="1"/>
    <cellStyle name="Followed Hyperlink" xfId="5164" builtinId="9" hidden="1"/>
    <cellStyle name="Followed Hyperlink" xfId="5166" builtinId="9" hidden="1"/>
    <cellStyle name="Followed Hyperlink" xfId="5168" builtinId="9" hidden="1"/>
    <cellStyle name="Followed Hyperlink" xfId="5170" builtinId="9" hidden="1"/>
    <cellStyle name="Followed Hyperlink" xfId="5172" builtinId="9" hidden="1"/>
    <cellStyle name="Followed Hyperlink" xfId="5174" builtinId="9" hidden="1"/>
    <cellStyle name="Followed Hyperlink" xfId="5176" builtinId="9" hidden="1"/>
    <cellStyle name="Followed Hyperlink" xfId="5178" builtinId="9" hidden="1"/>
    <cellStyle name="Followed Hyperlink" xfId="5180" builtinId="9" hidden="1"/>
    <cellStyle name="Followed Hyperlink" xfId="5182" builtinId="9" hidden="1"/>
    <cellStyle name="Followed Hyperlink" xfId="5184" builtinId="9" hidden="1"/>
    <cellStyle name="Followed Hyperlink" xfId="5186" builtinId="9" hidden="1"/>
    <cellStyle name="Followed Hyperlink" xfId="5188" builtinId="9" hidden="1"/>
    <cellStyle name="Followed Hyperlink" xfId="5190" builtinId="9" hidden="1"/>
    <cellStyle name="Followed Hyperlink" xfId="5192" builtinId="9" hidden="1"/>
    <cellStyle name="Followed Hyperlink" xfId="5194" builtinId="9" hidden="1"/>
    <cellStyle name="Followed Hyperlink" xfId="5198" builtinId="9" hidden="1"/>
    <cellStyle name="Followed Hyperlink" xfId="5200" builtinId="9" hidden="1"/>
    <cellStyle name="Followed Hyperlink" xfId="5202" builtinId="9" hidden="1"/>
    <cellStyle name="Followed Hyperlink" xfId="5204" builtinId="9" hidden="1"/>
    <cellStyle name="Followed Hyperlink" xfId="5206" builtinId="9" hidden="1"/>
    <cellStyle name="Followed Hyperlink" xfId="5208" builtinId="9" hidden="1"/>
    <cellStyle name="Followed Hyperlink" xfId="5210" builtinId="9" hidden="1"/>
    <cellStyle name="Followed Hyperlink" xfId="5212" builtinId="9" hidden="1"/>
    <cellStyle name="Followed Hyperlink" xfId="5214" builtinId="9" hidden="1"/>
    <cellStyle name="Followed Hyperlink" xfId="5216" builtinId="9" hidden="1"/>
    <cellStyle name="Followed Hyperlink" xfId="5218" builtinId="9" hidden="1"/>
    <cellStyle name="Followed Hyperlink" xfId="5220" builtinId="9" hidden="1"/>
    <cellStyle name="Followed Hyperlink" xfId="5222" builtinId="9" hidden="1"/>
    <cellStyle name="Followed Hyperlink" xfId="5224" builtinId="9" hidden="1"/>
    <cellStyle name="Followed Hyperlink" xfId="5226" builtinId="9" hidden="1"/>
    <cellStyle name="Followed Hyperlink" xfId="5228" builtinId="9" hidden="1"/>
    <cellStyle name="Followed Hyperlink" xfId="5230" builtinId="9" hidden="1"/>
    <cellStyle name="Followed Hyperlink" xfId="5232" builtinId="9" hidden="1"/>
    <cellStyle name="Followed Hyperlink" xfId="5234" builtinId="9" hidden="1"/>
    <cellStyle name="Followed Hyperlink" xfId="5236" builtinId="9" hidden="1"/>
    <cellStyle name="Followed Hyperlink" xfId="5238" builtinId="9" hidden="1"/>
    <cellStyle name="Followed Hyperlink" xfId="5240" builtinId="9" hidden="1"/>
    <cellStyle name="Followed Hyperlink" xfId="5242" builtinId="9" hidden="1"/>
    <cellStyle name="Followed Hyperlink" xfId="5244" builtinId="9" hidden="1"/>
    <cellStyle name="Followed Hyperlink" xfId="5246" builtinId="9" hidden="1"/>
    <cellStyle name="Followed Hyperlink" xfId="5248" builtinId="9" hidden="1"/>
    <cellStyle name="Followed Hyperlink" xfId="5250" builtinId="9" hidden="1"/>
    <cellStyle name="Followed Hyperlink" xfId="5252" builtinId="9" hidden="1"/>
    <cellStyle name="Followed Hyperlink" xfId="5254" builtinId="9" hidden="1"/>
    <cellStyle name="Followed Hyperlink" xfId="5256" builtinId="9" hidden="1"/>
    <cellStyle name="Followed Hyperlink" xfId="5258" builtinId="9" hidden="1"/>
    <cellStyle name="Followed Hyperlink" xfId="5260" builtinId="9" hidden="1"/>
    <cellStyle name="Followed Hyperlink" xfId="5262" builtinId="9" hidden="1"/>
    <cellStyle name="Followed Hyperlink" xfId="5264" builtinId="9" hidden="1"/>
    <cellStyle name="Followed Hyperlink" xfId="5266" builtinId="9" hidden="1"/>
    <cellStyle name="Followed Hyperlink" xfId="5268" builtinId="9" hidden="1"/>
    <cellStyle name="Followed Hyperlink" xfId="5270" builtinId="9" hidden="1"/>
    <cellStyle name="Followed Hyperlink" xfId="5272" builtinId="9" hidden="1"/>
    <cellStyle name="Followed Hyperlink" xfId="5274" builtinId="9" hidden="1"/>
    <cellStyle name="Followed Hyperlink" xfId="5276" builtinId="9" hidden="1"/>
    <cellStyle name="Followed Hyperlink" xfId="5278" builtinId="9" hidden="1"/>
    <cellStyle name="Followed Hyperlink" xfId="5280" builtinId="9" hidden="1"/>
    <cellStyle name="Followed Hyperlink" xfId="5282" builtinId="9" hidden="1"/>
    <cellStyle name="Followed Hyperlink" xfId="5284" builtinId="9" hidden="1"/>
    <cellStyle name="Followed Hyperlink" xfId="5286" builtinId="9" hidden="1"/>
    <cellStyle name="Followed Hyperlink" xfId="5288" builtinId="9" hidden="1"/>
    <cellStyle name="Followed Hyperlink" xfId="5290" builtinId="9" hidden="1"/>
    <cellStyle name="Followed Hyperlink" xfId="5292" builtinId="9" hidden="1"/>
    <cellStyle name="Followed Hyperlink" xfId="5294" builtinId="9" hidden="1"/>
    <cellStyle name="Followed Hyperlink" xfId="5296" builtinId="9" hidden="1"/>
    <cellStyle name="Followed Hyperlink" xfId="5298" builtinId="9" hidden="1"/>
    <cellStyle name="Followed Hyperlink" xfId="5300" builtinId="9" hidden="1"/>
    <cellStyle name="Followed Hyperlink" xfId="5302" builtinId="9" hidden="1"/>
    <cellStyle name="Followed Hyperlink" xfId="5304" builtinId="9" hidden="1"/>
    <cellStyle name="Followed Hyperlink" xfId="5306" builtinId="9" hidden="1"/>
    <cellStyle name="Followed Hyperlink" xfId="5308" builtinId="9" hidden="1"/>
    <cellStyle name="Followed Hyperlink" xfId="5310" builtinId="9" hidden="1"/>
    <cellStyle name="Followed Hyperlink" xfId="5312" builtinId="9" hidden="1"/>
    <cellStyle name="Followed Hyperlink" xfId="5314" builtinId="9" hidden="1"/>
    <cellStyle name="Followed Hyperlink" xfId="5316" builtinId="9" hidden="1"/>
    <cellStyle name="Followed Hyperlink" xfId="5318" builtinId="9" hidden="1"/>
    <cellStyle name="Followed Hyperlink" xfId="5320" builtinId="9" hidden="1"/>
    <cellStyle name="Followed Hyperlink" xfId="5322" builtinId="9" hidden="1"/>
    <cellStyle name="Followed Hyperlink" xfId="5324" builtinId="9" hidden="1"/>
    <cellStyle name="Followed Hyperlink" xfId="5326" builtinId="9" hidden="1"/>
    <cellStyle name="Followed Hyperlink" xfId="5328" builtinId="9" hidden="1"/>
    <cellStyle name="Followed Hyperlink" xfId="5330" builtinId="9" hidden="1"/>
    <cellStyle name="Followed Hyperlink" xfId="5332" builtinId="9" hidden="1"/>
    <cellStyle name="Followed Hyperlink" xfId="5334" builtinId="9" hidden="1"/>
    <cellStyle name="Followed Hyperlink" xfId="5336" builtinId="9" hidden="1"/>
    <cellStyle name="Followed Hyperlink" xfId="5338" builtinId="9" hidden="1"/>
    <cellStyle name="Followed Hyperlink" xfId="5340" builtinId="9" hidden="1"/>
    <cellStyle name="Followed Hyperlink" xfId="5342" builtinId="9" hidden="1"/>
    <cellStyle name="Followed Hyperlink" xfId="5344" builtinId="9" hidden="1"/>
    <cellStyle name="Followed Hyperlink" xfId="5346" builtinId="9" hidden="1"/>
    <cellStyle name="Followed Hyperlink" xfId="5348" builtinId="9" hidden="1"/>
    <cellStyle name="Followed Hyperlink" xfId="5350" builtinId="9" hidden="1"/>
    <cellStyle name="Followed Hyperlink" xfId="5352" builtinId="9" hidden="1"/>
    <cellStyle name="Followed Hyperlink" xfId="5354" builtinId="9" hidden="1"/>
    <cellStyle name="Followed Hyperlink" xfId="5356" builtinId="9" hidden="1"/>
    <cellStyle name="Followed Hyperlink" xfId="5358" builtinId="9" hidden="1"/>
    <cellStyle name="Followed Hyperlink" xfId="5360" builtinId="9" hidden="1"/>
    <cellStyle name="Followed Hyperlink" xfId="5362" builtinId="9" hidden="1"/>
    <cellStyle name="Followed Hyperlink" xfId="5364" builtinId="9" hidden="1"/>
    <cellStyle name="Followed Hyperlink" xfId="5366" builtinId="9" hidden="1"/>
    <cellStyle name="Followed Hyperlink" xfId="5368" builtinId="9" hidden="1"/>
    <cellStyle name="Followed Hyperlink" xfId="5370" builtinId="9" hidden="1"/>
    <cellStyle name="Followed Hyperlink" xfId="5372" builtinId="9" hidden="1"/>
    <cellStyle name="Followed Hyperlink" xfId="5374" builtinId="9" hidden="1"/>
    <cellStyle name="Followed Hyperlink" xfId="5376" builtinId="9" hidden="1"/>
    <cellStyle name="Followed Hyperlink" xfId="5378" builtinId="9" hidden="1"/>
    <cellStyle name="Followed Hyperlink" xfId="5380" builtinId="9" hidden="1"/>
    <cellStyle name="Followed Hyperlink" xfId="5382" builtinId="9" hidden="1"/>
    <cellStyle name="Followed Hyperlink" xfId="5384" builtinId="9" hidden="1"/>
    <cellStyle name="Followed Hyperlink" xfId="5386" builtinId="9" hidden="1"/>
    <cellStyle name="Followed Hyperlink" xfId="5388" builtinId="9" hidden="1"/>
    <cellStyle name="Followed Hyperlink" xfId="5390" builtinId="9" hidden="1"/>
    <cellStyle name="Followed Hyperlink" xfId="5392" builtinId="9" hidden="1"/>
    <cellStyle name="Followed Hyperlink" xfId="5394" builtinId="9" hidden="1"/>
    <cellStyle name="Followed Hyperlink" xfId="5396" builtinId="9" hidden="1"/>
    <cellStyle name="Followed Hyperlink" xfId="5398" builtinId="9" hidden="1"/>
    <cellStyle name="Followed Hyperlink" xfId="5400" builtinId="9" hidden="1"/>
    <cellStyle name="Followed Hyperlink" xfId="5402" builtinId="9" hidden="1"/>
    <cellStyle name="Followed Hyperlink" xfId="5404" builtinId="9" hidden="1"/>
    <cellStyle name="Followed Hyperlink" xfId="5406" builtinId="9" hidden="1"/>
    <cellStyle name="Followed Hyperlink" xfId="5408" builtinId="9" hidden="1"/>
    <cellStyle name="Followed Hyperlink" xfId="5410" builtinId="9" hidden="1"/>
    <cellStyle name="Followed Hyperlink" xfId="5412" builtinId="9" hidden="1"/>
    <cellStyle name="Followed Hyperlink" xfId="5414" builtinId="9" hidden="1"/>
    <cellStyle name="Followed Hyperlink" xfId="5416" builtinId="9" hidden="1"/>
    <cellStyle name="Followed Hyperlink" xfId="5415" builtinId="9" hidden="1"/>
    <cellStyle name="Followed Hyperlink" xfId="5411" builtinId="9" hidden="1"/>
    <cellStyle name="Followed Hyperlink" xfId="5407" builtinId="9" hidden="1"/>
    <cellStyle name="Followed Hyperlink" xfId="5403" builtinId="9" hidden="1"/>
    <cellStyle name="Followed Hyperlink" xfId="5399" builtinId="9" hidden="1"/>
    <cellStyle name="Followed Hyperlink" xfId="5395" builtinId="9" hidden="1"/>
    <cellStyle name="Followed Hyperlink" xfId="5391" builtinId="9" hidden="1"/>
    <cellStyle name="Followed Hyperlink" xfId="5387" builtinId="9" hidden="1"/>
    <cellStyle name="Followed Hyperlink" xfId="5383" builtinId="9" hidden="1"/>
    <cellStyle name="Followed Hyperlink" xfId="5379" builtinId="9" hidden="1"/>
    <cellStyle name="Followed Hyperlink" xfId="5375" builtinId="9" hidden="1"/>
    <cellStyle name="Followed Hyperlink" xfId="5371" builtinId="9" hidden="1"/>
    <cellStyle name="Followed Hyperlink" xfId="5367" builtinId="9" hidden="1"/>
    <cellStyle name="Followed Hyperlink" xfId="5363" builtinId="9" hidden="1"/>
    <cellStyle name="Followed Hyperlink" xfId="5359" builtinId="9" hidden="1"/>
    <cellStyle name="Followed Hyperlink" xfId="5355" builtinId="9" hidden="1"/>
    <cellStyle name="Followed Hyperlink" xfId="5351" builtinId="9" hidden="1"/>
    <cellStyle name="Followed Hyperlink" xfId="5347" builtinId="9" hidden="1"/>
    <cellStyle name="Followed Hyperlink" xfId="5343" builtinId="9" hidden="1"/>
    <cellStyle name="Followed Hyperlink" xfId="5339" builtinId="9" hidden="1"/>
    <cellStyle name="Followed Hyperlink" xfId="5335" builtinId="9" hidden="1"/>
    <cellStyle name="Followed Hyperlink" xfId="5331" builtinId="9" hidden="1"/>
    <cellStyle name="Followed Hyperlink" xfId="5327" builtinId="9" hidden="1"/>
    <cellStyle name="Followed Hyperlink" xfId="5323" builtinId="9" hidden="1"/>
    <cellStyle name="Followed Hyperlink" xfId="5319" builtinId="9" hidden="1"/>
    <cellStyle name="Followed Hyperlink" xfId="5315" builtinId="9" hidden="1"/>
    <cellStyle name="Followed Hyperlink" xfId="5311" builtinId="9" hidden="1"/>
    <cellStyle name="Followed Hyperlink" xfId="5307" builtinId="9" hidden="1"/>
    <cellStyle name="Followed Hyperlink" xfId="5303" builtinId="9" hidden="1"/>
    <cellStyle name="Followed Hyperlink" xfId="5299" builtinId="9" hidden="1"/>
    <cellStyle name="Followed Hyperlink" xfId="5295" builtinId="9" hidden="1"/>
    <cellStyle name="Followed Hyperlink" xfId="5291" builtinId="9" hidden="1"/>
    <cellStyle name="Followed Hyperlink" xfId="5287" builtinId="9" hidden="1"/>
    <cellStyle name="Followed Hyperlink" xfId="5283" builtinId="9" hidden="1"/>
    <cellStyle name="Followed Hyperlink" xfId="5279" builtinId="9" hidden="1"/>
    <cellStyle name="Followed Hyperlink" xfId="5275" builtinId="9" hidden="1"/>
    <cellStyle name="Followed Hyperlink" xfId="5271" builtinId="9" hidden="1"/>
    <cellStyle name="Followed Hyperlink" xfId="5267" builtinId="9" hidden="1"/>
    <cellStyle name="Followed Hyperlink" xfId="5263" builtinId="9" hidden="1"/>
    <cellStyle name="Followed Hyperlink" xfId="5259" builtinId="9" hidden="1"/>
    <cellStyle name="Followed Hyperlink" xfId="5255" builtinId="9" hidden="1"/>
    <cellStyle name="Followed Hyperlink" xfId="5251" builtinId="9" hidden="1"/>
    <cellStyle name="Followed Hyperlink" xfId="5247" builtinId="9" hidden="1"/>
    <cellStyle name="Followed Hyperlink" xfId="5243" builtinId="9" hidden="1"/>
    <cellStyle name="Followed Hyperlink" xfId="5239" builtinId="9" hidden="1"/>
    <cellStyle name="Followed Hyperlink" xfId="5235" builtinId="9" hidden="1"/>
    <cellStyle name="Followed Hyperlink" xfId="5231" builtinId="9" hidden="1"/>
    <cellStyle name="Followed Hyperlink" xfId="5227" builtinId="9" hidden="1"/>
    <cellStyle name="Followed Hyperlink" xfId="5223" builtinId="9" hidden="1"/>
    <cellStyle name="Followed Hyperlink" xfId="5219" builtinId="9" hidden="1"/>
    <cellStyle name="Followed Hyperlink" xfId="5215" builtinId="9" hidden="1"/>
    <cellStyle name="Followed Hyperlink" xfId="5211" builtinId="9" hidden="1"/>
    <cellStyle name="Followed Hyperlink" xfId="5207" builtinId="9" hidden="1"/>
    <cellStyle name="Followed Hyperlink" xfId="5203" builtinId="9" hidden="1"/>
    <cellStyle name="Followed Hyperlink" xfId="5199" builtinId="9" hidden="1"/>
    <cellStyle name="Followed Hyperlink" xfId="5417" builtinId="9" hidden="1"/>
    <cellStyle name="Followed Hyperlink" xfId="4975" builtinId="9" hidden="1"/>
    <cellStyle name="Followed Hyperlink" xfId="5418" builtinId="9" hidden="1"/>
    <cellStyle name="Followed Hyperlink" xfId="5422" builtinId="9" hidden="1"/>
    <cellStyle name="Followed Hyperlink" xfId="5424" builtinId="9" hidden="1"/>
    <cellStyle name="Followed Hyperlink" xfId="5426" builtinId="9" hidden="1"/>
    <cellStyle name="Followed Hyperlink" xfId="5428" builtinId="9" hidden="1"/>
    <cellStyle name="Followed Hyperlink" xfId="5430" builtinId="9" hidden="1"/>
    <cellStyle name="Followed Hyperlink" xfId="5432" builtinId="9" hidden="1"/>
    <cellStyle name="Followed Hyperlink" xfId="5434" builtinId="9" hidden="1"/>
    <cellStyle name="Followed Hyperlink" xfId="5436" builtinId="9" hidden="1"/>
    <cellStyle name="Followed Hyperlink" xfId="5438" builtinId="9" hidden="1"/>
    <cellStyle name="Followed Hyperlink" xfId="5440" builtinId="9" hidden="1"/>
    <cellStyle name="Followed Hyperlink" xfId="5442" builtinId="9" hidden="1"/>
    <cellStyle name="Followed Hyperlink" xfId="5444" builtinId="9" hidden="1"/>
    <cellStyle name="Followed Hyperlink" xfId="5446" builtinId="9" hidden="1"/>
    <cellStyle name="Followed Hyperlink" xfId="5448" builtinId="9" hidden="1"/>
    <cellStyle name="Followed Hyperlink" xfId="5450" builtinId="9" hidden="1"/>
    <cellStyle name="Followed Hyperlink" xfId="5452" builtinId="9" hidden="1"/>
    <cellStyle name="Followed Hyperlink" xfId="5454" builtinId="9" hidden="1"/>
    <cellStyle name="Followed Hyperlink" xfId="5456" builtinId="9" hidden="1"/>
    <cellStyle name="Followed Hyperlink" xfId="5458" builtinId="9" hidden="1"/>
    <cellStyle name="Followed Hyperlink" xfId="5460" builtinId="9" hidden="1"/>
    <cellStyle name="Followed Hyperlink" xfId="5462" builtinId="9" hidden="1"/>
    <cellStyle name="Followed Hyperlink" xfId="5464" builtinId="9" hidden="1"/>
    <cellStyle name="Followed Hyperlink" xfId="5466" builtinId="9" hidden="1"/>
    <cellStyle name="Followed Hyperlink" xfId="5468" builtinId="9" hidden="1"/>
    <cellStyle name="Followed Hyperlink" xfId="5470" builtinId="9" hidden="1"/>
    <cellStyle name="Followed Hyperlink" xfId="5472" builtinId="9" hidden="1"/>
    <cellStyle name="Followed Hyperlink" xfId="5474" builtinId="9" hidden="1"/>
    <cellStyle name="Followed Hyperlink" xfId="5476" builtinId="9" hidden="1"/>
    <cellStyle name="Followed Hyperlink" xfId="5478" builtinId="9" hidden="1"/>
    <cellStyle name="Followed Hyperlink" xfId="5480" builtinId="9" hidden="1"/>
    <cellStyle name="Followed Hyperlink" xfId="5482" builtinId="9" hidden="1"/>
    <cellStyle name="Followed Hyperlink" xfId="5484" builtinId="9" hidden="1"/>
    <cellStyle name="Followed Hyperlink" xfId="5486" builtinId="9" hidden="1"/>
    <cellStyle name="Followed Hyperlink" xfId="5488" builtinId="9" hidden="1"/>
    <cellStyle name="Followed Hyperlink" xfId="5490" builtinId="9" hidden="1"/>
    <cellStyle name="Followed Hyperlink" xfId="5492" builtinId="9" hidden="1"/>
    <cellStyle name="Followed Hyperlink" xfId="5494" builtinId="9" hidden="1"/>
    <cellStyle name="Followed Hyperlink" xfId="5496" builtinId="9" hidden="1"/>
    <cellStyle name="Followed Hyperlink" xfId="5498" builtinId="9" hidden="1"/>
    <cellStyle name="Followed Hyperlink" xfId="5500" builtinId="9" hidden="1"/>
    <cellStyle name="Followed Hyperlink" xfId="5502" builtinId="9" hidden="1"/>
    <cellStyle name="Followed Hyperlink" xfId="5504" builtinId="9" hidden="1"/>
    <cellStyle name="Followed Hyperlink" xfId="5506" builtinId="9" hidden="1"/>
    <cellStyle name="Followed Hyperlink" xfId="5508" builtinId="9" hidden="1"/>
    <cellStyle name="Followed Hyperlink" xfId="5510" builtinId="9" hidden="1"/>
    <cellStyle name="Followed Hyperlink" xfId="5512" builtinId="9" hidden="1"/>
    <cellStyle name="Followed Hyperlink" xfId="5514" builtinId="9" hidden="1"/>
    <cellStyle name="Followed Hyperlink" xfId="5516" builtinId="9" hidden="1"/>
    <cellStyle name="Followed Hyperlink" xfId="5518" builtinId="9" hidden="1"/>
    <cellStyle name="Followed Hyperlink" xfId="5520" builtinId="9" hidden="1"/>
    <cellStyle name="Followed Hyperlink" xfId="5522" builtinId="9" hidden="1"/>
    <cellStyle name="Followed Hyperlink" xfId="5524" builtinId="9" hidden="1"/>
    <cellStyle name="Followed Hyperlink" xfId="5537" builtinId="9" hidden="1"/>
    <cellStyle name="Followed Hyperlink" xfId="5538" builtinId="9" hidden="1"/>
    <cellStyle name="Followed Hyperlink" xfId="5539" builtinId="9" hidden="1"/>
    <cellStyle name="Followed Hyperlink" xfId="5540" builtinId="9" hidden="1"/>
    <cellStyle name="Followed Hyperlink" xfId="5541" builtinId="9" hidden="1"/>
    <cellStyle name="Followed Hyperlink" xfId="5542" builtinId="9" hidden="1"/>
    <cellStyle name="Followed Hyperlink" xfId="5543" builtinId="9" hidden="1"/>
    <cellStyle name="Followed Hyperlink" xfId="5544" builtinId="9" hidden="1"/>
    <cellStyle name="Followed Hyperlink" xfId="5545" builtinId="9" hidden="1"/>
    <cellStyle name="Followed Hyperlink" xfId="5546" builtinId="9" hidden="1"/>
    <cellStyle name="Followed Hyperlink" xfId="5547" builtinId="9" hidden="1"/>
    <cellStyle name="Followed Hyperlink" xfId="5548" builtinId="9" hidden="1"/>
    <cellStyle name="Followed Hyperlink" xfId="5549" builtinId="9" hidden="1"/>
    <cellStyle name="Followed Hyperlink" xfId="5550" builtinId="9" hidden="1"/>
    <cellStyle name="Followed Hyperlink" xfId="5551" builtinId="9" hidden="1"/>
    <cellStyle name="Followed Hyperlink" xfId="5552" builtinId="9" hidden="1"/>
    <cellStyle name="Followed Hyperlink" xfId="5553" builtinId="9" hidden="1"/>
    <cellStyle name="Followed Hyperlink" xfId="5554" builtinId="9" hidden="1"/>
    <cellStyle name="Followed Hyperlink" xfId="5555" builtinId="9" hidden="1"/>
    <cellStyle name="Followed Hyperlink" xfId="5556" builtinId="9" hidden="1"/>
    <cellStyle name="Followed Hyperlink" xfId="5557" builtinId="9" hidden="1"/>
    <cellStyle name="Followed Hyperlink" xfId="5558" builtinId="9" hidden="1"/>
    <cellStyle name="Followed Hyperlink" xfId="5559" builtinId="9" hidden="1"/>
    <cellStyle name="Followed Hyperlink" xfId="5560" builtinId="9" hidden="1"/>
    <cellStyle name="Followed Hyperlink" xfId="5561" builtinId="9" hidden="1"/>
    <cellStyle name="Followed Hyperlink" xfId="5562" builtinId="9" hidden="1"/>
    <cellStyle name="Followed Hyperlink" xfId="5563" builtinId="9" hidden="1"/>
    <cellStyle name="Followed Hyperlink" xfId="5564" builtinId="9" hidden="1"/>
    <cellStyle name="Followed Hyperlink" xfId="5565" builtinId="9" hidden="1"/>
    <cellStyle name="Followed Hyperlink" xfId="5566" builtinId="9" hidden="1"/>
    <cellStyle name="Followed Hyperlink" xfId="5567" builtinId="9" hidden="1"/>
    <cellStyle name="Followed Hyperlink" xfId="5568" builtinId="9" hidden="1"/>
    <cellStyle name="Followed Hyperlink" xfId="5569" builtinId="9" hidden="1"/>
    <cellStyle name="Followed Hyperlink" xfId="5570" builtinId="9" hidden="1"/>
    <cellStyle name="Followed Hyperlink" xfId="5571" builtinId="9" hidden="1"/>
    <cellStyle name="Followed Hyperlink" xfId="5572" builtinId="9" hidden="1"/>
    <cellStyle name="Followed Hyperlink" xfId="5573" builtinId="9" hidden="1"/>
    <cellStyle name="Followed Hyperlink" xfId="5574" builtinId="9" hidden="1"/>
    <cellStyle name="Followed Hyperlink" xfId="5575" builtinId="9" hidden="1"/>
    <cellStyle name="Followed Hyperlink" xfId="5576" builtinId="9" hidden="1"/>
    <cellStyle name="Followed Hyperlink" xfId="5577" builtinId="9" hidden="1"/>
    <cellStyle name="Followed Hyperlink" xfId="5578" builtinId="9" hidden="1"/>
    <cellStyle name="Followed Hyperlink" xfId="5579" builtinId="9" hidden="1"/>
    <cellStyle name="Followed Hyperlink" xfId="5580" builtinId="9" hidden="1"/>
    <cellStyle name="Followed Hyperlink" xfId="5581" builtinId="9" hidden="1"/>
    <cellStyle name="Followed Hyperlink" xfId="5582" builtinId="9" hidden="1"/>
    <cellStyle name="Followed Hyperlink" xfId="5583" builtinId="9" hidden="1"/>
    <cellStyle name="Followed Hyperlink" xfId="5584" builtinId="9" hidden="1"/>
    <cellStyle name="Followed Hyperlink" xfId="5585" builtinId="9" hidden="1"/>
    <cellStyle name="Followed Hyperlink" xfId="5586" builtinId="9" hidden="1"/>
    <cellStyle name="Followed Hyperlink" xfId="5587" builtinId="9" hidden="1"/>
    <cellStyle name="Followed Hyperlink" xfId="5588" builtinId="9" hidden="1"/>
    <cellStyle name="Followed Hyperlink" xfId="5589" builtinId="9" hidden="1"/>
    <cellStyle name="Followed Hyperlink" xfId="5590" builtinId="9" hidden="1"/>
    <cellStyle name="Followed Hyperlink" xfId="5591" builtinId="9" hidden="1"/>
    <cellStyle name="Followed Hyperlink" xfId="5592" builtinId="9" hidden="1"/>
    <cellStyle name="Followed Hyperlink" xfId="5593" builtinId="9" hidden="1"/>
    <cellStyle name="Followed Hyperlink" xfId="5594" builtinId="9" hidden="1"/>
    <cellStyle name="Followed Hyperlink" xfId="5595" builtinId="9" hidden="1"/>
    <cellStyle name="Followed Hyperlink" xfId="5596" builtinId="9" hidden="1"/>
    <cellStyle name="Followed Hyperlink" xfId="5597" builtinId="9" hidden="1"/>
    <cellStyle name="Followed Hyperlink" xfId="5598" builtinId="9" hidden="1"/>
    <cellStyle name="Followed Hyperlink" xfId="5599" builtinId="9" hidden="1"/>
    <cellStyle name="Followed Hyperlink" xfId="5600" builtinId="9" hidden="1"/>
    <cellStyle name="Followed Hyperlink" xfId="5601" builtinId="9" hidden="1"/>
    <cellStyle name="Followed Hyperlink" xfId="5602" builtinId="9" hidden="1"/>
    <cellStyle name="Followed Hyperlink" xfId="5603" builtinId="9" hidden="1"/>
    <cellStyle name="Followed Hyperlink" xfId="5604" builtinId="9" hidden="1"/>
    <cellStyle name="Followed Hyperlink" xfId="5605" builtinId="9" hidden="1"/>
    <cellStyle name="Followed Hyperlink" xfId="5606" builtinId="9" hidden="1"/>
    <cellStyle name="Followed Hyperlink" xfId="5607" builtinId="9" hidden="1"/>
    <cellStyle name="Followed Hyperlink" xfId="5608" builtinId="9" hidden="1"/>
    <cellStyle name="Followed Hyperlink" xfId="5609" builtinId="9" hidden="1"/>
    <cellStyle name="Followed Hyperlink" xfId="5610" builtinId="9" hidden="1"/>
    <cellStyle name="Followed Hyperlink" xfId="5611" builtinId="9" hidden="1"/>
    <cellStyle name="Followed Hyperlink" xfId="5612" builtinId="9" hidden="1"/>
    <cellStyle name="Followed Hyperlink" xfId="5613" builtinId="9" hidden="1"/>
    <cellStyle name="Followed Hyperlink" xfId="5614" builtinId="9" hidden="1"/>
    <cellStyle name="Followed Hyperlink" xfId="5615" builtinId="9" hidden="1"/>
    <cellStyle name="Followed Hyperlink" xfId="5616" builtinId="9" hidden="1"/>
    <cellStyle name="Followed Hyperlink" xfId="5617" builtinId="9" hidden="1"/>
    <cellStyle name="Followed Hyperlink" xfId="5618" builtinId="9" hidden="1"/>
    <cellStyle name="Followed Hyperlink" xfId="5619" builtinId="9" hidden="1"/>
    <cellStyle name="Followed Hyperlink" xfId="5620" builtinId="9" hidden="1"/>
    <cellStyle name="Followed Hyperlink" xfId="5621" builtinId="9" hidden="1"/>
    <cellStyle name="Followed Hyperlink" xfId="5622" builtinId="9" hidden="1"/>
    <cellStyle name="Followed Hyperlink" xfId="5623" builtinId="9" hidden="1"/>
    <cellStyle name="Followed Hyperlink" xfId="5624" builtinId="9" hidden="1"/>
    <cellStyle name="Followed Hyperlink" xfId="5625" builtinId="9" hidden="1"/>
    <cellStyle name="Followed Hyperlink" xfId="5626" builtinId="9" hidden="1"/>
    <cellStyle name="Followed Hyperlink" xfId="5627" builtinId="9" hidden="1"/>
    <cellStyle name="Followed Hyperlink" xfId="5628" builtinId="9" hidden="1"/>
    <cellStyle name="Followed Hyperlink" xfId="5629" builtinId="9" hidden="1"/>
    <cellStyle name="Followed Hyperlink" xfId="5630" builtinId="9" hidden="1"/>
    <cellStyle name="Followed Hyperlink" xfId="5631" builtinId="9" hidden="1"/>
    <cellStyle name="Followed Hyperlink" xfId="5632" builtinId="9" hidden="1"/>
    <cellStyle name="Followed Hyperlink" xfId="5633" builtinId="9" hidden="1"/>
    <cellStyle name="Followed Hyperlink" xfId="5634" builtinId="9" hidden="1"/>
    <cellStyle name="Followed Hyperlink" xfId="5635" builtinId="9" hidden="1"/>
    <cellStyle name="Followed Hyperlink" xfId="5636" builtinId="9" hidden="1"/>
    <cellStyle name="Followed Hyperlink" xfId="5637" builtinId="9" hidden="1"/>
    <cellStyle name="Followed Hyperlink" xfId="5638" builtinId="9" hidden="1"/>
    <cellStyle name="Followed Hyperlink" xfId="5639" builtinId="9" hidden="1"/>
    <cellStyle name="Followed Hyperlink" xfId="5640" builtinId="9" hidden="1"/>
    <cellStyle name="Followed Hyperlink" xfId="5641" builtinId="9" hidden="1"/>
    <cellStyle name="Followed Hyperlink" xfId="5642" builtinId="9" hidden="1"/>
    <cellStyle name="Followed Hyperlink" xfId="5643" builtinId="9" hidden="1"/>
    <cellStyle name="Followed Hyperlink" xfId="5644" builtinId="9" hidden="1"/>
    <cellStyle name="Followed Hyperlink" xfId="5645" builtinId="9" hidden="1"/>
    <cellStyle name="Followed Hyperlink" xfId="5646" builtinId="9" hidden="1"/>
    <cellStyle name="Followed Hyperlink" xfId="5647" builtinId="9" hidden="1"/>
    <cellStyle name="Followed Hyperlink" xfId="5648" builtinId="9" hidden="1"/>
    <cellStyle name="Followed Hyperlink" xfId="5649" builtinId="9" hidden="1"/>
    <cellStyle name="Followed Hyperlink" xfId="5650" builtinId="9" hidden="1"/>
    <cellStyle name="Followed Hyperlink" xfId="5651" builtinId="9" hidden="1"/>
    <cellStyle name="Followed Hyperlink" xfId="5652" builtinId="9" hidden="1"/>
    <cellStyle name="Followed Hyperlink" xfId="5653" builtinId="9" hidden="1"/>
    <cellStyle name="Followed Hyperlink" xfId="5654" builtinId="9" hidden="1"/>
    <cellStyle name="Followed Hyperlink" xfId="5655" builtinId="9" hidden="1"/>
    <cellStyle name="Followed Hyperlink" xfId="5656" builtinId="9" hidden="1"/>
    <cellStyle name="Followed Hyperlink" xfId="5657" builtinId="9" hidden="1"/>
    <cellStyle name="Followed Hyperlink" xfId="5658" builtinId="9" hidden="1"/>
    <cellStyle name="Followed Hyperlink" xfId="5659" builtinId="9" hidden="1"/>
    <cellStyle name="Followed Hyperlink" xfId="5660" builtinId="9" hidden="1"/>
    <cellStyle name="Followed Hyperlink" xfId="5661" builtinId="9" hidden="1"/>
    <cellStyle name="Followed Hyperlink" xfId="5662" builtinId="9" hidden="1"/>
    <cellStyle name="Followed Hyperlink" xfId="5663" builtinId="9" hidden="1"/>
    <cellStyle name="Followed Hyperlink" xfId="5664" builtinId="9" hidden="1"/>
    <cellStyle name="Followed Hyperlink" xfId="5665" builtinId="9" hidden="1"/>
    <cellStyle name="Followed Hyperlink" xfId="5666" builtinId="9" hidden="1"/>
    <cellStyle name="Followed Hyperlink" xfId="5667" builtinId="9" hidden="1"/>
    <cellStyle name="Followed Hyperlink" xfId="5668" builtinId="9" hidden="1"/>
    <cellStyle name="Followed Hyperlink" xfId="5669" builtinId="9" hidden="1"/>
    <cellStyle name="Followed Hyperlink" xfId="5670" builtinId="9" hidden="1"/>
    <cellStyle name="Followed Hyperlink" xfId="5671" builtinId="9" hidden="1"/>
    <cellStyle name="Followed Hyperlink" xfId="5672" builtinId="9" hidden="1"/>
    <cellStyle name="Followed Hyperlink" xfId="5673" builtinId="9" hidden="1"/>
    <cellStyle name="Followed Hyperlink" xfId="5674" builtinId="9" hidden="1"/>
    <cellStyle name="Followed Hyperlink" xfId="5675" builtinId="9" hidden="1"/>
    <cellStyle name="Followed Hyperlink" xfId="5676" builtinId="9" hidden="1"/>
    <cellStyle name="Followed Hyperlink" xfId="5677" builtinId="9" hidden="1"/>
    <cellStyle name="Followed Hyperlink" xfId="5678" builtinId="9" hidden="1"/>
    <cellStyle name="Followed Hyperlink" xfId="5679" builtinId="9" hidden="1"/>
    <cellStyle name="Followed Hyperlink" xfId="5680" builtinId="9" hidden="1"/>
    <cellStyle name="Followed Hyperlink" xfId="5681" builtinId="9" hidden="1"/>
    <cellStyle name="Followed Hyperlink" xfId="5682" builtinId="9" hidden="1"/>
    <cellStyle name="Followed Hyperlink" xfId="5683" builtinId="9" hidden="1"/>
    <cellStyle name="Followed Hyperlink" xfId="5684" builtinId="9" hidden="1"/>
    <cellStyle name="Followed Hyperlink" xfId="5685" builtinId="9" hidden="1"/>
    <cellStyle name="Followed Hyperlink" xfId="5686" builtinId="9" hidden="1"/>
    <cellStyle name="Followed Hyperlink" xfId="5687" builtinId="9" hidden="1"/>
    <cellStyle name="Followed Hyperlink" xfId="5688" builtinId="9" hidden="1"/>
    <cellStyle name="Followed Hyperlink" xfId="5689" builtinId="9" hidden="1"/>
    <cellStyle name="Followed Hyperlink" xfId="5690" builtinId="9" hidden="1"/>
    <cellStyle name="Followed Hyperlink" xfId="5691" builtinId="9" hidden="1"/>
    <cellStyle name="Followed Hyperlink" xfId="5692" builtinId="9" hidden="1"/>
    <cellStyle name="Followed Hyperlink" xfId="5693" builtinId="9" hidden="1"/>
    <cellStyle name="Followed Hyperlink" xfId="5694" builtinId="9" hidden="1"/>
    <cellStyle name="Followed Hyperlink" xfId="5695" builtinId="9" hidden="1"/>
    <cellStyle name="Followed Hyperlink" xfId="5696" builtinId="9" hidden="1"/>
    <cellStyle name="Followed Hyperlink" xfId="5697" builtinId="9" hidden="1"/>
    <cellStyle name="Followed Hyperlink" xfId="5698" builtinId="9" hidden="1"/>
    <cellStyle name="Followed Hyperlink" xfId="5699" builtinId="9" hidden="1"/>
    <cellStyle name="Followed Hyperlink" xfId="5700" builtinId="9" hidden="1"/>
    <cellStyle name="Followed Hyperlink" xfId="5701" builtinId="9" hidden="1"/>
    <cellStyle name="Followed Hyperlink" xfId="5702" builtinId="9" hidden="1"/>
    <cellStyle name="Followed Hyperlink" xfId="5703" builtinId="9" hidden="1"/>
    <cellStyle name="Followed Hyperlink" xfId="5704" builtinId="9" hidden="1"/>
    <cellStyle name="Followed Hyperlink" xfId="5705" builtinId="9" hidden="1"/>
    <cellStyle name="Followed Hyperlink" xfId="5706" builtinId="9" hidden="1"/>
    <cellStyle name="Followed Hyperlink" xfId="5707" builtinId="9" hidden="1"/>
    <cellStyle name="Followed Hyperlink" xfId="5708" builtinId="9" hidden="1"/>
    <cellStyle name="Followed Hyperlink" xfId="5709" builtinId="9" hidden="1"/>
    <cellStyle name="Followed Hyperlink" xfId="5710" builtinId="9" hidden="1"/>
    <cellStyle name="Followed Hyperlink" xfId="5711" builtinId="9" hidden="1"/>
    <cellStyle name="Followed Hyperlink" xfId="5712" builtinId="9" hidden="1"/>
    <cellStyle name="Followed Hyperlink" xfId="5713" builtinId="9" hidden="1"/>
    <cellStyle name="Followed Hyperlink" xfId="5714" builtinId="9" hidden="1"/>
    <cellStyle name="Followed Hyperlink" xfId="5715" builtinId="9" hidden="1"/>
    <cellStyle name="Followed Hyperlink" xfId="5716" builtinId="9" hidden="1"/>
    <cellStyle name="Followed Hyperlink" xfId="5717" builtinId="9" hidden="1"/>
    <cellStyle name="Followed Hyperlink" xfId="5718" builtinId="9" hidden="1"/>
    <cellStyle name="Followed Hyperlink" xfId="5719" builtinId="9" hidden="1"/>
    <cellStyle name="Followed Hyperlink" xfId="5720" builtinId="9" hidden="1"/>
    <cellStyle name="Followed Hyperlink" xfId="5721" builtinId="9" hidden="1"/>
    <cellStyle name="Followed Hyperlink" xfId="5722" builtinId="9" hidden="1"/>
    <cellStyle name="Followed Hyperlink" xfId="5723" builtinId="9" hidden="1"/>
    <cellStyle name="Followed Hyperlink" xfId="5724" builtinId="9" hidden="1"/>
    <cellStyle name="Followed Hyperlink" xfId="5725" builtinId="9" hidden="1"/>
    <cellStyle name="Followed Hyperlink" xfId="5726" builtinId="9" hidden="1"/>
    <cellStyle name="Followed Hyperlink" xfId="5727" builtinId="9" hidden="1"/>
    <cellStyle name="Followed Hyperlink" xfId="5728" builtinId="9" hidden="1"/>
    <cellStyle name="Followed Hyperlink" xfId="5729" builtinId="9" hidden="1"/>
    <cellStyle name="Followed Hyperlink" xfId="5730" builtinId="9" hidden="1"/>
    <cellStyle name="Followed Hyperlink" xfId="5731" builtinId="9" hidden="1"/>
    <cellStyle name="Followed Hyperlink" xfId="5732" builtinId="9" hidden="1"/>
    <cellStyle name="Followed Hyperlink" xfId="5733" builtinId="9" hidden="1"/>
    <cellStyle name="Followed Hyperlink" xfId="5734" builtinId="9" hidden="1"/>
    <cellStyle name="Followed Hyperlink" xfId="5735" builtinId="9" hidden="1"/>
    <cellStyle name="Followed Hyperlink" xfId="5736" builtinId="9" hidden="1"/>
    <cellStyle name="Followed Hyperlink" xfId="5737" builtinId="9" hidden="1"/>
    <cellStyle name="Followed Hyperlink" xfId="5738" builtinId="9" hidden="1"/>
    <cellStyle name="Followed Hyperlink" xfId="5739" builtinId="9" hidden="1"/>
    <cellStyle name="Followed Hyperlink" xfId="5740" builtinId="9" hidden="1"/>
    <cellStyle name="Followed Hyperlink" xfId="5741" builtinId="9" hidden="1"/>
    <cellStyle name="Followed Hyperlink" xfId="5742" builtinId="9" hidden="1"/>
    <cellStyle name="Followed Hyperlink" xfId="5743" builtinId="9" hidden="1"/>
    <cellStyle name="Followed Hyperlink" xfId="5744" builtinId="9" hidden="1"/>
    <cellStyle name="Followed Hyperlink" xfId="5745" builtinId="9" hidden="1"/>
    <cellStyle name="Followed Hyperlink" xfId="5746" builtinId="9" hidden="1"/>
    <cellStyle name="Followed Hyperlink" xfId="5747" builtinId="9" hidden="1"/>
    <cellStyle name="Followed Hyperlink" xfId="5748" builtinId="9" hidden="1"/>
    <cellStyle name="Followed Hyperlink" xfId="5749" builtinId="9" hidden="1"/>
    <cellStyle name="Followed Hyperlink" xfId="5750" builtinId="9" hidden="1"/>
    <cellStyle name="Followed Hyperlink" xfId="5751" builtinId="9" hidden="1"/>
    <cellStyle name="Followed Hyperlink" xfId="5752" builtinId="9" hidden="1"/>
    <cellStyle name="Followed Hyperlink" xfId="5753" builtinId="9" hidden="1"/>
    <cellStyle name="Followed Hyperlink" xfId="5754" builtinId="9" hidden="1"/>
    <cellStyle name="Followed Hyperlink" xfId="5755" builtinId="9" hidden="1"/>
    <cellStyle name="Followed Hyperlink" xfId="5756" builtinId="9" hidden="1"/>
    <cellStyle name="Followed Hyperlink" xfId="5757" builtinId="9" hidden="1"/>
    <cellStyle name="Followed Hyperlink" xfId="5758" builtinId="9" hidden="1"/>
    <cellStyle name="Followed Hyperlink" xfId="5759" builtinId="9" hidden="1"/>
    <cellStyle name="Followed Hyperlink" xfId="5760" builtinId="9" hidden="1"/>
    <cellStyle name="Followed Hyperlink" xfId="5761" builtinId="9" hidden="1"/>
    <cellStyle name="Followed Hyperlink" xfId="5762" builtinId="9" hidden="1"/>
    <cellStyle name="Followed Hyperlink" xfId="5763" builtinId="9" hidden="1"/>
    <cellStyle name="Followed Hyperlink" xfId="5764" builtinId="9" hidden="1"/>
    <cellStyle name="Followed Hyperlink" xfId="5765" builtinId="9" hidden="1"/>
    <cellStyle name="Followed Hyperlink" xfId="5766" builtinId="9" hidden="1"/>
    <cellStyle name="Followed Hyperlink" xfId="5767" builtinId="9" hidden="1"/>
    <cellStyle name="Followed Hyperlink" xfId="5768" builtinId="9" hidden="1"/>
    <cellStyle name="Followed Hyperlink" xfId="5769" builtinId="9" hidden="1"/>
    <cellStyle name="Followed Hyperlink" xfId="5770" builtinId="9" hidden="1"/>
    <cellStyle name="Followed Hyperlink" xfId="5771" builtinId="9" hidden="1"/>
    <cellStyle name="Followed Hyperlink" xfId="5772" builtinId="9" hidden="1"/>
    <cellStyle name="Followed Hyperlink" xfId="5773" builtinId="9" hidden="1"/>
    <cellStyle name="Followed Hyperlink" xfId="5774" builtinId="9" hidden="1"/>
    <cellStyle name="Followed Hyperlink" xfId="5775" builtinId="9" hidden="1"/>
    <cellStyle name="Followed Hyperlink" xfId="5776" builtinId="9" hidden="1"/>
    <cellStyle name="Followed Hyperlink" xfId="5777" builtinId="9" hidden="1"/>
    <cellStyle name="Followed Hyperlink" xfId="5778" builtinId="9" hidden="1"/>
    <cellStyle name="Followed Hyperlink" xfId="5779" builtinId="9" hidden="1"/>
    <cellStyle name="Followed Hyperlink" xfId="5780" builtinId="9" hidden="1"/>
    <cellStyle name="Followed Hyperlink" xfId="5781" builtinId="9" hidden="1"/>
    <cellStyle name="Followed Hyperlink" xfId="5782" builtinId="9" hidden="1"/>
    <cellStyle name="Followed Hyperlink" xfId="5783" builtinId="9" hidden="1"/>
    <cellStyle name="Followed Hyperlink" xfId="5784" builtinId="9" hidden="1"/>
    <cellStyle name="Followed Hyperlink" xfId="5530" builtinId="9" hidden="1"/>
    <cellStyle name="Followed Hyperlink" xfId="4807" builtinId="9" hidden="1"/>
    <cellStyle name="Followed Hyperlink" xfId="4971" builtinId="9" hidden="1"/>
    <cellStyle name="Followed Hyperlink" xfId="4968" builtinId="9" hidden="1"/>
    <cellStyle name="Followed Hyperlink" xfId="4965" builtinId="9" hidden="1"/>
    <cellStyle name="Followed Hyperlink" xfId="4962" builtinId="9" hidden="1"/>
    <cellStyle name="Followed Hyperlink" xfId="4959" builtinId="9" hidden="1"/>
    <cellStyle name="Followed Hyperlink" xfId="4956" builtinId="9" hidden="1"/>
    <cellStyle name="Followed Hyperlink" xfId="4953" builtinId="9" hidden="1"/>
    <cellStyle name="Followed Hyperlink" xfId="4950" builtinId="9" hidden="1"/>
    <cellStyle name="Followed Hyperlink" xfId="4947" builtinId="9" hidden="1"/>
    <cellStyle name="Followed Hyperlink" xfId="4944" builtinId="9" hidden="1"/>
    <cellStyle name="Followed Hyperlink" xfId="4941" builtinId="9" hidden="1"/>
    <cellStyle name="Followed Hyperlink" xfId="4938" builtinId="9" hidden="1"/>
    <cellStyle name="Followed Hyperlink" xfId="4935" builtinId="9" hidden="1"/>
    <cellStyle name="Followed Hyperlink" xfId="4932" builtinId="9" hidden="1"/>
    <cellStyle name="Followed Hyperlink" xfId="4929" builtinId="9" hidden="1"/>
    <cellStyle name="Followed Hyperlink" xfId="4926" builtinId="9" hidden="1"/>
    <cellStyle name="Followed Hyperlink" xfId="4923" builtinId="9" hidden="1"/>
    <cellStyle name="Followed Hyperlink" xfId="4920" builtinId="9" hidden="1"/>
    <cellStyle name="Followed Hyperlink" xfId="4917" builtinId="9" hidden="1"/>
    <cellStyle name="Followed Hyperlink" xfId="4914" builtinId="9" hidden="1"/>
    <cellStyle name="Followed Hyperlink" xfId="4911" builtinId="9" hidden="1"/>
    <cellStyle name="Followed Hyperlink" xfId="4908" builtinId="9" hidden="1"/>
    <cellStyle name="Followed Hyperlink" xfId="4905" builtinId="9" hidden="1"/>
    <cellStyle name="Followed Hyperlink" xfId="4902" builtinId="9" hidden="1"/>
    <cellStyle name="Followed Hyperlink" xfId="4899" builtinId="9" hidden="1"/>
    <cellStyle name="Followed Hyperlink" xfId="4896" builtinId="9" hidden="1"/>
    <cellStyle name="Followed Hyperlink" xfId="4893" builtinId="9" hidden="1"/>
    <cellStyle name="Followed Hyperlink" xfId="4890" builtinId="9" hidden="1"/>
    <cellStyle name="Followed Hyperlink" xfId="4887" builtinId="9" hidden="1"/>
    <cellStyle name="Followed Hyperlink" xfId="4884" builtinId="9" hidden="1"/>
    <cellStyle name="Followed Hyperlink" xfId="4881" builtinId="9" hidden="1"/>
    <cellStyle name="Followed Hyperlink" xfId="4878" builtinId="9" hidden="1"/>
    <cellStyle name="Followed Hyperlink" xfId="4875" builtinId="9" hidden="1"/>
    <cellStyle name="Followed Hyperlink" xfId="4872" builtinId="9" hidden="1"/>
    <cellStyle name="Followed Hyperlink" xfId="4869" builtinId="9" hidden="1"/>
    <cellStyle name="Followed Hyperlink" xfId="4866" builtinId="9" hidden="1"/>
    <cellStyle name="Followed Hyperlink" xfId="4863" builtinId="9" hidden="1"/>
    <cellStyle name="Followed Hyperlink" xfId="4860" builtinId="9" hidden="1"/>
    <cellStyle name="Followed Hyperlink" xfId="4857" builtinId="9" hidden="1"/>
    <cellStyle name="Followed Hyperlink" xfId="4854" builtinId="9" hidden="1"/>
    <cellStyle name="Followed Hyperlink" xfId="4851" builtinId="9" hidden="1"/>
    <cellStyle name="Followed Hyperlink" xfId="4848" builtinId="9" hidden="1"/>
    <cellStyle name="Followed Hyperlink" xfId="4845" builtinId="9" hidden="1"/>
    <cellStyle name="Followed Hyperlink" xfId="4842" builtinId="9" hidden="1"/>
    <cellStyle name="Followed Hyperlink" xfId="4839" builtinId="9" hidden="1"/>
    <cellStyle name="Followed Hyperlink" xfId="4836" builtinId="9" hidden="1"/>
    <cellStyle name="Followed Hyperlink" xfId="4833" builtinId="9" hidden="1"/>
    <cellStyle name="Followed Hyperlink" xfId="4830" builtinId="9" hidden="1"/>
    <cellStyle name="Followed Hyperlink" xfId="4827" builtinId="9" hidden="1"/>
    <cellStyle name="Followed Hyperlink" xfId="4824" builtinId="9" hidden="1"/>
    <cellStyle name="Followed Hyperlink" xfId="4821" builtinId="9" hidden="1"/>
    <cellStyle name="Followed Hyperlink" xfId="4818" builtinId="9" hidden="1"/>
    <cellStyle name="Followed Hyperlink" xfId="4815" builtinId="9" hidden="1"/>
    <cellStyle name="Followed Hyperlink" xfId="4812" builtinId="9" hidden="1"/>
    <cellStyle name="Followed Hyperlink" xfId="4809" builtinId="9" hidden="1"/>
    <cellStyle name="Followed Hyperlink" xfId="5529" builtinId="9" hidden="1"/>
    <cellStyle name="Followed Hyperlink" xfId="5528" builtinId="9" hidden="1"/>
    <cellStyle name="Followed Hyperlink" xfId="5526" builtinId="9" hidden="1"/>
    <cellStyle name="Followed Hyperlink" xfId="4973" builtinId="9" hidden="1"/>
    <cellStyle name="Followed Hyperlink" xfId="4806" builtinId="9" hidden="1"/>
    <cellStyle name="Followed Hyperlink" xfId="5531" builtinId="9" hidden="1"/>
    <cellStyle name="Followed Hyperlink" xfId="5527" builtinId="9" hidden="1"/>
    <cellStyle name="Followed Hyperlink" xfId="5534" builtinId="9" hidden="1"/>
    <cellStyle name="Followed Hyperlink" xfId="5532" builtinId="9" hidden="1"/>
    <cellStyle name="Followed Hyperlink" xfId="5536" builtinId="9" hidden="1"/>
    <cellStyle name="Followed Hyperlink" xfId="5535" builtinId="9" hidden="1"/>
    <cellStyle name="Followed Hyperlink" xfId="5533" builtinId="9" hidden="1"/>
    <cellStyle name="Followed Hyperlink" xfId="5785" builtinId="9" hidden="1"/>
    <cellStyle name="Followed Hyperlink" xfId="5786" builtinId="9" hidden="1"/>
    <cellStyle name="Followed Hyperlink" xfId="5787" builtinId="9" hidden="1"/>
    <cellStyle name="Followed Hyperlink" xfId="5788" builtinId="9" hidden="1"/>
    <cellStyle name="Followed Hyperlink" xfId="5789" builtinId="9" hidden="1"/>
    <cellStyle name="Followed Hyperlink" xfId="5790" builtinId="9" hidden="1"/>
    <cellStyle name="Followed Hyperlink" xfId="5791" builtinId="9" hidden="1"/>
    <cellStyle name="Followed Hyperlink" xfId="5792" builtinId="9" hidden="1"/>
    <cellStyle name="Followed Hyperlink" xfId="5793" builtinId="9" hidden="1"/>
    <cellStyle name="Followed Hyperlink" xfId="5794" builtinId="9" hidden="1"/>
    <cellStyle name="Followed Hyperlink" xfId="5795" builtinId="9" hidden="1"/>
    <cellStyle name="Followed Hyperlink" xfId="5796" builtinId="9" hidden="1"/>
    <cellStyle name="Followed Hyperlink" xfId="5797" builtinId="9" hidden="1"/>
    <cellStyle name="Followed Hyperlink" xfId="5798" builtinId="9" hidden="1"/>
    <cellStyle name="Followed Hyperlink" xfId="5799" builtinId="9" hidden="1"/>
    <cellStyle name="Followed Hyperlink" xfId="5800" builtinId="9" hidden="1"/>
    <cellStyle name="Followed Hyperlink" xfId="5801" builtinId="9" hidden="1"/>
    <cellStyle name="Followed Hyperlink" xfId="5802" builtinId="9" hidden="1"/>
    <cellStyle name="Followed Hyperlink" xfId="5803" builtinId="9" hidden="1"/>
    <cellStyle name="Followed Hyperlink" xfId="5804" builtinId="9" hidden="1"/>
    <cellStyle name="Followed Hyperlink" xfId="5805" builtinId="9" hidden="1"/>
    <cellStyle name="Followed Hyperlink" xfId="5806" builtinId="9" hidden="1"/>
    <cellStyle name="Followed Hyperlink" xfId="5807" builtinId="9" hidden="1"/>
    <cellStyle name="Followed Hyperlink" xfId="5808" builtinId="9" hidden="1"/>
    <cellStyle name="Followed Hyperlink" xfId="5809" builtinId="9" hidden="1"/>
    <cellStyle name="Followed Hyperlink" xfId="5810" builtinId="9" hidden="1"/>
    <cellStyle name="Followed Hyperlink" xfId="5811" builtinId="9" hidden="1"/>
    <cellStyle name="Followed Hyperlink" xfId="5812" builtinId="9" hidden="1"/>
    <cellStyle name="Followed Hyperlink" xfId="5813" builtinId="9" hidden="1"/>
    <cellStyle name="Followed Hyperlink" xfId="5814" builtinId="9" hidden="1"/>
    <cellStyle name="Followed Hyperlink" xfId="5815" builtinId="9" hidden="1"/>
    <cellStyle name="Followed Hyperlink" xfId="5816" builtinId="9" hidden="1"/>
    <cellStyle name="Followed Hyperlink" xfId="5817" builtinId="9" hidden="1"/>
    <cellStyle name="Followed Hyperlink" xfId="5818" builtinId="9" hidden="1"/>
    <cellStyle name="Followed Hyperlink" xfId="5819" builtinId="9" hidden="1"/>
    <cellStyle name="Followed Hyperlink" xfId="5820" builtinId="9" hidden="1"/>
    <cellStyle name="Followed Hyperlink" xfId="5821" builtinId="9" hidden="1"/>
    <cellStyle name="Followed Hyperlink" xfId="5822" builtinId="9" hidden="1"/>
    <cellStyle name="Followed Hyperlink" xfId="5823" builtinId="9" hidden="1"/>
    <cellStyle name="Followed Hyperlink" xfId="5824" builtinId="9" hidden="1"/>
    <cellStyle name="Followed Hyperlink" xfId="5825" builtinId="9" hidden="1"/>
    <cellStyle name="Followed Hyperlink" xfId="5828" builtinId="9" hidden="1"/>
    <cellStyle name="Followed Hyperlink" xfId="5830" builtinId="9" hidden="1"/>
    <cellStyle name="Followed Hyperlink" xfId="5832" builtinId="9" hidden="1"/>
    <cellStyle name="Followed Hyperlink" xfId="5834" builtinId="9" hidden="1"/>
    <cellStyle name="Followed Hyperlink" xfId="5836" builtinId="9" hidden="1"/>
    <cellStyle name="Followed Hyperlink" xfId="5838" builtinId="9" hidden="1"/>
    <cellStyle name="Followed Hyperlink" xfId="5840" builtinId="9" hidden="1"/>
    <cellStyle name="Followed Hyperlink" xfId="5842" builtinId="9" hidden="1"/>
    <cellStyle name="Followed Hyperlink" xfId="5844" builtinId="9" hidden="1"/>
    <cellStyle name="Followed Hyperlink" xfId="5846" builtinId="9" hidden="1"/>
    <cellStyle name="Followed Hyperlink" xfId="5848" builtinId="9" hidden="1"/>
    <cellStyle name="Followed Hyperlink" xfId="5850" builtinId="9" hidden="1"/>
    <cellStyle name="Followed Hyperlink" xfId="5852" builtinId="9" hidden="1"/>
    <cellStyle name="Followed Hyperlink" xfId="5854" builtinId="9" hidden="1"/>
    <cellStyle name="Followed Hyperlink" xfId="5856" builtinId="9" hidden="1"/>
    <cellStyle name="Followed Hyperlink" xfId="5858" builtinId="9" hidden="1"/>
    <cellStyle name="Followed Hyperlink" xfId="5860" builtinId="9" hidden="1"/>
    <cellStyle name="Followed Hyperlink" xfId="5862" builtinId="9" hidden="1"/>
    <cellStyle name="Followed Hyperlink" xfId="5864" builtinId="9" hidden="1"/>
    <cellStyle name="Followed Hyperlink" xfId="5866" builtinId="9" hidden="1"/>
    <cellStyle name="Followed Hyperlink" xfId="5868" builtinId="9" hidden="1"/>
    <cellStyle name="Followed Hyperlink" xfId="5870" builtinId="9" hidden="1"/>
    <cellStyle name="Followed Hyperlink" xfId="5872" builtinId="9" hidden="1"/>
    <cellStyle name="Followed Hyperlink" xfId="5874" builtinId="9" hidden="1"/>
    <cellStyle name="Followed Hyperlink" xfId="5876" builtinId="9" hidden="1"/>
    <cellStyle name="Followed Hyperlink" xfId="5878" builtinId="9" hidden="1"/>
    <cellStyle name="Followed Hyperlink" xfId="5880" builtinId="9" hidden="1"/>
    <cellStyle name="Followed Hyperlink" xfId="5882" builtinId="9" hidden="1"/>
    <cellStyle name="Followed Hyperlink" xfId="5884" builtinId="9" hidden="1"/>
    <cellStyle name="Followed Hyperlink" xfId="5886" builtinId="9" hidden="1"/>
    <cellStyle name="Followed Hyperlink" xfId="5888" builtinId="9" hidden="1"/>
    <cellStyle name="Followed Hyperlink" xfId="5890" builtinId="9" hidden="1"/>
    <cellStyle name="Followed Hyperlink" xfId="5892" builtinId="9" hidden="1"/>
    <cellStyle name="Followed Hyperlink" xfId="5894" builtinId="9" hidden="1"/>
    <cellStyle name="Followed Hyperlink" xfId="5896" builtinId="9" hidden="1"/>
    <cellStyle name="Followed Hyperlink" xfId="5898" builtinId="9" hidden="1"/>
    <cellStyle name="Followed Hyperlink" xfId="5900" builtinId="9" hidden="1"/>
    <cellStyle name="Followed Hyperlink" xfId="5902" builtinId="9" hidden="1"/>
    <cellStyle name="Followed Hyperlink" xfId="5904" builtinId="9" hidden="1"/>
    <cellStyle name="Followed Hyperlink" xfId="5906" builtinId="9" hidden="1"/>
    <cellStyle name="Followed Hyperlink" xfId="5908" builtinId="9" hidden="1"/>
    <cellStyle name="Followed Hyperlink" xfId="5910" builtinId="9" hidden="1"/>
    <cellStyle name="Followed Hyperlink" xfId="5912" builtinId="9" hidden="1"/>
    <cellStyle name="Followed Hyperlink" xfId="5914" builtinId="9" hidden="1"/>
    <cellStyle name="Followed Hyperlink" xfId="5916" builtinId="9" hidden="1"/>
    <cellStyle name="Followed Hyperlink" xfId="5918" builtinId="9" hidden="1"/>
    <cellStyle name="Followed Hyperlink" xfId="5920" builtinId="9" hidden="1"/>
    <cellStyle name="Followed Hyperlink" xfId="5922" builtinId="9" hidden="1"/>
    <cellStyle name="Followed Hyperlink" xfId="5924" builtinId="9" hidden="1"/>
    <cellStyle name="Followed Hyperlink" xfId="5926" builtinId="9" hidden="1"/>
    <cellStyle name="Followed Hyperlink" xfId="5928" builtinId="9" hidden="1"/>
    <cellStyle name="Followed Hyperlink" xfId="5930" builtinId="9" hidden="1"/>
    <cellStyle name="Followed Hyperlink" xfId="5932" builtinId="9" hidden="1"/>
    <cellStyle name="Followed Hyperlink" xfId="5934" builtinId="9" hidden="1"/>
    <cellStyle name="Followed Hyperlink" xfId="5936" builtinId="9" hidden="1"/>
    <cellStyle name="Followed Hyperlink" xfId="5938" builtinId="9" hidden="1"/>
    <cellStyle name="Followed Hyperlink" xfId="5940" builtinId="9" hidden="1"/>
    <cellStyle name="Followed Hyperlink" xfId="5942" builtinId="9" hidden="1"/>
    <cellStyle name="Followed Hyperlink" xfId="5944" builtinId="9" hidden="1"/>
    <cellStyle name="Followed Hyperlink" xfId="5946" builtinId="9" hidden="1"/>
    <cellStyle name="Followed Hyperlink" xfId="5948" builtinId="9" hidden="1"/>
    <cellStyle name="Followed Hyperlink" xfId="5950" builtinId="9" hidden="1"/>
    <cellStyle name="Followed Hyperlink" xfId="5952" builtinId="9" hidden="1"/>
    <cellStyle name="Followed Hyperlink" xfId="5954" builtinId="9" hidden="1"/>
    <cellStyle name="Followed Hyperlink" xfId="5956" builtinId="9" hidden="1"/>
    <cellStyle name="Followed Hyperlink" xfId="5958" builtinId="9" hidden="1"/>
    <cellStyle name="Followed Hyperlink" xfId="5960" builtinId="9" hidden="1"/>
    <cellStyle name="Followed Hyperlink" xfId="5962" builtinId="9" hidden="1"/>
    <cellStyle name="Followed Hyperlink" xfId="5964" builtinId="9" hidden="1"/>
    <cellStyle name="Followed Hyperlink" xfId="5966" builtinId="9" hidden="1"/>
    <cellStyle name="Followed Hyperlink" xfId="5968" builtinId="9" hidden="1"/>
    <cellStyle name="Followed Hyperlink" xfId="5970" builtinId="9" hidden="1"/>
    <cellStyle name="Followed Hyperlink" xfId="5972" builtinId="9" hidden="1"/>
    <cellStyle name="Followed Hyperlink" xfId="5974" builtinId="9" hidden="1"/>
    <cellStyle name="Followed Hyperlink" xfId="5976" builtinId="9" hidden="1"/>
    <cellStyle name="Followed Hyperlink" xfId="5978" builtinId="9" hidden="1"/>
    <cellStyle name="Followed Hyperlink" xfId="5980" builtinId="9" hidden="1"/>
    <cellStyle name="Followed Hyperlink" xfId="5982" builtinId="9" hidden="1"/>
    <cellStyle name="Followed Hyperlink" xfId="5984" builtinId="9" hidden="1"/>
    <cellStyle name="Followed Hyperlink" xfId="5986" builtinId="9" hidden="1"/>
    <cellStyle name="Followed Hyperlink" xfId="5988" builtinId="9" hidden="1"/>
    <cellStyle name="Followed Hyperlink" xfId="5990" builtinId="9" hidden="1"/>
    <cellStyle name="Followed Hyperlink" xfId="5992" builtinId="9" hidden="1"/>
    <cellStyle name="Followed Hyperlink" xfId="5994" builtinId="9" hidden="1"/>
    <cellStyle name="Followed Hyperlink" xfId="5996" builtinId="9" hidden="1"/>
    <cellStyle name="Followed Hyperlink" xfId="5998" builtinId="9" hidden="1"/>
    <cellStyle name="Followed Hyperlink" xfId="6000" builtinId="9" hidden="1"/>
    <cellStyle name="Followed Hyperlink" xfId="6002" builtinId="9" hidden="1"/>
    <cellStyle name="Followed Hyperlink" xfId="6004" builtinId="9" hidden="1"/>
    <cellStyle name="Followed Hyperlink" xfId="6006" builtinId="9" hidden="1"/>
    <cellStyle name="Followed Hyperlink" xfId="6008" builtinId="9" hidden="1"/>
    <cellStyle name="Followed Hyperlink" xfId="6010" builtinId="9" hidden="1"/>
    <cellStyle name="Followed Hyperlink" xfId="6012" builtinId="9" hidden="1"/>
    <cellStyle name="Followed Hyperlink" xfId="6014" builtinId="9" hidden="1"/>
    <cellStyle name="Followed Hyperlink" xfId="6016" builtinId="9" hidden="1"/>
    <cellStyle name="Followed Hyperlink" xfId="6018" builtinId="9" hidden="1"/>
    <cellStyle name="Followed Hyperlink" xfId="6020" builtinId="9" hidden="1"/>
    <cellStyle name="Followed Hyperlink" xfId="6022" builtinId="9" hidden="1"/>
    <cellStyle name="Followed Hyperlink" xfId="6024" builtinId="9" hidden="1"/>
    <cellStyle name="Followed Hyperlink" xfId="6026" builtinId="9" hidden="1"/>
    <cellStyle name="Followed Hyperlink" xfId="6028" builtinId="9" hidden="1"/>
    <cellStyle name="Followed Hyperlink" xfId="6030" builtinId="9" hidden="1"/>
    <cellStyle name="Followed Hyperlink" xfId="6032" builtinId="9" hidden="1"/>
    <cellStyle name="Followed Hyperlink" xfId="6034" builtinId="9" hidden="1"/>
    <cellStyle name="Followed Hyperlink" xfId="6036" builtinId="9" hidden="1"/>
    <cellStyle name="Followed Hyperlink" xfId="6038" builtinId="9" hidden="1"/>
    <cellStyle name="Followed Hyperlink" xfId="6040" builtinId="9" hidden="1"/>
    <cellStyle name="Followed Hyperlink" xfId="6042" builtinId="9" hidden="1"/>
    <cellStyle name="Followed Hyperlink" xfId="6044" builtinId="9" hidden="1"/>
    <cellStyle name="Followed Hyperlink" xfId="6046" builtinId="9" hidden="1"/>
    <cellStyle name="Followed Hyperlink" xfId="6050" builtinId="9" hidden="1"/>
    <cellStyle name="Followed Hyperlink" xfId="6052" builtinId="9" hidden="1"/>
    <cellStyle name="Followed Hyperlink" xfId="6054" builtinId="9" hidden="1"/>
    <cellStyle name="Followed Hyperlink" xfId="6056" builtinId="9" hidden="1"/>
    <cellStyle name="Followed Hyperlink" xfId="6058" builtinId="9" hidden="1"/>
    <cellStyle name="Followed Hyperlink" xfId="6060" builtinId="9" hidden="1"/>
    <cellStyle name="Followed Hyperlink" xfId="6062" builtinId="9" hidden="1"/>
    <cellStyle name="Followed Hyperlink" xfId="6064" builtinId="9" hidden="1"/>
    <cellStyle name="Followed Hyperlink" xfId="6066" builtinId="9" hidden="1"/>
    <cellStyle name="Followed Hyperlink" xfId="6068" builtinId="9" hidden="1"/>
    <cellStyle name="Followed Hyperlink" xfId="6070" builtinId="9" hidden="1"/>
    <cellStyle name="Followed Hyperlink" xfId="6072" builtinId="9" hidden="1"/>
    <cellStyle name="Followed Hyperlink" xfId="6074" builtinId="9" hidden="1"/>
    <cellStyle name="Followed Hyperlink" xfId="6076" builtinId="9" hidden="1"/>
    <cellStyle name="Followed Hyperlink" xfId="6078" builtinId="9" hidden="1"/>
    <cellStyle name="Followed Hyperlink" xfId="6080" builtinId="9" hidden="1"/>
    <cellStyle name="Followed Hyperlink" xfId="6082" builtinId="9" hidden="1"/>
    <cellStyle name="Followed Hyperlink" xfId="6084" builtinId="9" hidden="1"/>
    <cellStyle name="Followed Hyperlink" xfId="6086" builtinId="9" hidden="1"/>
    <cellStyle name="Followed Hyperlink" xfId="6088" builtinId="9" hidden="1"/>
    <cellStyle name="Followed Hyperlink" xfId="6090" builtinId="9" hidden="1"/>
    <cellStyle name="Followed Hyperlink" xfId="6092" builtinId="9" hidden="1"/>
    <cellStyle name="Followed Hyperlink" xfId="6094" builtinId="9" hidden="1"/>
    <cellStyle name="Followed Hyperlink" xfId="6096" builtinId="9" hidden="1"/>
    <cellStyle name="Followed Hyperlink" xfId="6098" builtinId="9" hidden="1"/>
    <cellStyle name="Followed Hyperlink" xfId="6100" builtinId="9" hidden="1"/>
    <cellStyle name="Followed Hyperlink" xfId="6102" builtinId="9" hidden="1"/>
    <cellStyle name="Followed Hyperlink" xfId="6104" builtinId="9" hidden="1"/>
    <cellStyle name="Followed Hyperlink" xfId="6106" builtinId="9" hidden="1"/>
    <cellStyle name="Followed Hyperlink" xfId="6108" builtinId="9" hidden="1"/>
    <cellStyle name="Followed Hyperlink" xfId="6110" builtinId="9" hidden="1"/>
    <cellStyle name="Followed Hyperlink" xfId="6112" builtinId="9" hidden="1"/>
    <cellStyle name="Followed Hyperlink" xfId="6114" builtinId="9" hidden="1"/>
    <cellStyle name="Followed Hyperlink" xfId="6116" builtinId="9" hidden="1"/>
    <cellStyle name="Followed Hyperlink" xfId="6118" builtinId="9" hidden="1"/>
    <cellStyle name="Followed Hyperlink" xfId="6120" builtinId="9" hidden="1"/>
    <cellStyle name="Followed Hyperlink" xfId="6122" builtinId="9" hidden="1"/>
    <cellStyle name="Followed Hyperlink" xfId="6124" builtinId="9" hidden="1"/>
    <cellStyle name="Followed Hyperlink" xfId="6126" builtinId="9" hidden="1"/>
    <cellStyle name="Followed Hyperlink" xfId="6128" builtinId="9" hidden="1"/>
    <cellStyle name="Followed Hyperlink" xfId="6130" builtinId="9" hidden="1"/>
    <cellStyle name="Followed Hyperlink" xfId="6132" builtinId="9" hidden="1"/>
    <cellStyle name="Followed Hyperlink" xfId="6134" builtinId="9" hidden="1"/>
    <cellStyle name="Followed Hyperlink" xfId="6136" builtinId="9" hidden="1"/>
    <cellStyle name="Followed Hyperlink" xfId="6138" builtinId="9" hidden="1"/>
    <cellStyle name="Followed Hyperlink" xfId="6140" builtinId="9" hidden="1"/>
    <cellStyle name="Followed Hyperlink" xfId="6142" builtinId="9" hidden="1"/>
    <cellStyle name="Followed Hyperlink" xfId="6144" builtinId="9" hidden="1"/>
    <cellStyle name="Followed Hyperlink" xfId="6146" builtinId="9" hidden="1"/>
    <cellStyle name="Followed Hyperlink" xfId="6148" builtinId="9" hidden="1"/>
    <cellStyle name="Followed Hyperlink" xfId="6150" builtinId="9" hidden="1"/>
    <cellStyle name="Followed Hyperlink" xfId="6152" builtinId="9" hidden="1"/>
    <cellStyle name="Followed Hyperlink" xfId="6154" builtinId="9" hidden="1"/>
    <cellStyle name="Followed Hyperlink" xfId="6156" builtinId="9" hidden="1"/>
    <cellStyle name="Followed Hyperlink" xfId="6158" builtinId="9" hidden="1"/>
    <cellStyle name="Followed Hyperlink" xfId="6160" builtinId="9" hidden="1"/>
    <cellStyle name="Followed Hyperlink" xfId="6162" builtinId="9" hidden="1"/>
    <cellStyle name="Followed Hyperlink" xfId="6164" builtinId="9" hidden="1"/>
    <cellStyle name="Followed Hyperlink" xfId="6166" builtinId="9" hidden="1"/>
    <cellStyle name="Followed Hyperlink" xfId="6168" builtinId="9" hidden="1"/>
    <cellStyle name="Followed Hyperlink" xfId="6170" builtinId="9" hidden="1"/>
    <cellStyle name="Followed Hyperlink" xfId="6172" builtinId="9" hidden="1"/>
    <cellStyle name="Followed Hyperlink" xfId="6174" builtinId="9" hidden="1"/>
    <cellStyle name="Followed Hyperlink" xfId="6176" builtinId="9" hidden="1"/>
    <cellStyle name="Followed Hyperlink" xfId="6178" builtinId="9" hidden="1"/>
    <cellStyle name="Followed Hyperlink" xfId="6180" builtinId="9" hidden="1"/>
    <cellStyle name="Followed Hyperlink" xfId="6182" builtinId="9" hidden="1"/>
    <cellStyle name="Followed Hyperlink" xfId="6184" builtinId="9" hidden="1"/>
    <cellStyle name="Followed Hyperlink" xfId="6186" builtinId="9" hidden="1"/>
    <cellStyle name="Followed Hyperlink" xfId="6188" builtinId="9" hidden="1"/>
    <cellStyle name="Followed Hyperlink" xfId="6190" builtinId="9" hidden="1"/>
    <cellStyle name="Followed Hyperlink" xfId="6192" builtinId="9" hidden="1"/>
    <cellStyle name="Followed Hyperlink" xfId="6194" builtinId="9" hidden="1"/>
    <cellStyle name="Followed Hyperlink" xfId="6196" builtinId="9" hidden="1"/>
    <cellStyle name="Followed Hyperlink" xfId="6198" builtinId="9" hidden="1"/>
    <cellStyle name="Followed Hyperlink" xfId="6200" builtinId="9" hidden="1"/>
    <cellStyle name="Followed Hyperlink" xfId="6202" builtinId="9" hidden="1"/>
    <cellStyle name="Followed Hyperlink" xfId="6204" builtinId="9" hidden="1"/>
    <cellStyle name="Followed Hyperlink" xfId="6206" builtinId="9" hidden="1"/>
    <cellStyle name="Followed Hyperlink" xfId="6208" builtinId="9" hidden="1"/>
    <cellStyle name="Followed Hyperlink" xfId="6210" builtinId="9" hidden="1"/>
    <cellStyle name="Followed Hyperlink" xfId="6212" builtinId="9" hidden="1"/>
    <cellStyle name="Followed Hyperlink" xfId="6214" builtinId="9" hidden="1"/>
    <cellStyle name="Followed Hyperlink" xfId="6216" builtinId="9" hidden="1"/>
    <cellStyle name="Followed Hyperlink" xfId="6218" builtinId="9" hidden="1"/>
    <cellStyle name="Followed Hyperlink" xfId="6220" builtinId="9" hidden="1"/>
    <cellStyle name="Followed Hyperlink" xfId="6222" builtinId="9" hidden="1"/>
    <cellStyle name="Followed Hyperlink" xfId="6224" builtinId="9" hidden="1"/>
    <cellStyle name="Followed Hyperlink" xfId="6226" builtinId="9" hidden="1"/>
    <cellStyle name="Followed Hyperlink" xfId="6228" builtinId="9" hidden="1"/>
    <cellStyle name="Followed Hyperlink" xfId="6230" builtinId="9" hidden="1"/>
    <cellStyle name="Followed Hyperlink" xfId="6232" builtinId="9" hidden="1"/>
    <cellStyle name="Followed Hyperlink" xfId="6234" builtinId="9" hidden="1"/>
    <cellStyle name="Followed Hyperlink" xfId="6236" builtinId="9" hidden="1"/>
    <cellStyle name="Followed Hyperlink" xfId="6238" builtinId="9" hidden="1"/>
    <cellStyle name="Followed Hyperlink" xfId="6240" builtinId="9" hidden="1"/>
    <cellStyle name="Followed Hyperlink" xfId="6242" builtinId="9" hidden="1"/>
    <cellStyle name="Followed Hyperlink" xfId="6244" builtinId="9" hidden="1"/>
    <cellStyle name="Followed Hyperlink" xfId="6246" builtinId="9" hidden="1"/>
    <cellStyle name="Followed Hyperlink" xfId="6248" builtinId="9" hidden="1"/>
    <cellStyle name="Followed Hyperlink" xfId="6250" builtinId="9" hidden="1"/>
    <cellStyle name="Followed Hyperlink" xfId="6252" builtinId="9" hidden="1"/>
    <cellStyle name="Followed Hyperlink" xfId="6254" builtinId="9" hidden="1"/>
    <cellStyle name="Followed Hyperlink" xfId="6256" builtinId="9" hidden="1"/>
    <cellStyle name="Followed Hyperlink" xfId="6258" builtinId="9" hidden="1"/>
    <cellStyle name="Followed Hyperlink" xfId="6260" builtinId="9" hidden="1"/>
    <cellStyle name="Followed Hyperlink" xfId="6262" builtinId="9" hidden="1"/>
    <cellStyle name="Followed Hyperlink" xfId="6264" builtinId="9" hidden="1"/>
    <cellStyle name="Followed Hyperlink" xfId="6266" builtinId="9" hidden="1"/>
    <cellStyle name="Followed Hyperlink" xfId="6268" builtinId="9" hidden="1"/>
    <cellStyle name="Followed Hyperlink" xfId="6267" builtinId="9" hidden="1"/>
    <cellStyle name="Followed Hyperlink" xfId="6263" builtinId="9" hidden="1"/>
    <cellStyle name="Followed Hyperlink" xfId="6259" builtinId="9" hidden="1"/>
    <cellStyle name="Followed Hyperlink" xfId="6255" builtinId="9" hidden="1"/>
    <cellStyle name="Followed Hyperlink" xfId="6251" builtinId="9" hidden="1"/>
    <cellStyle name="Followed Hyperlink" xfId="6247" builtinId="9" hidden="1"/>
    <cellStyle name="Followed Hyperlink" xfId="6243" builtinId="9" hidden="1"/>
    <cellStyle name="Followed Hyperlink" xfId="6239" builtinId="9" hidden="1"/>
    <cellStyle name="Followed Hyperlink" xfId="6235" builtinId="9" hidden="1"/>
    <cellStyle name="Followed Hyperlink" xfId="6231" builtinId="9" hidden="1"/>
    <cellStyle name="Followed Hyperlink" xfId="6227" builtinId="9" hidden="1"/>
    <cellStyle name="Followed Hyperlink" xfId="6223" builtinId="9" hidden="1"/>
    <cellStyle name="Followed Hyperlink" xfId="6219" builtinId="9" hidden="1"/>
    <cellStyle name="Followed Hyperlink" xfId="6215" builtinId="9" hidden="1"/>
    <cellStyle name="Followed Hyperlink" xfId="6211" builtinId="9" hidden="1"/>
    <cellStyle name="Followed Hyperlink" xfId="6207" builtinId="9" hidden="1"/>
    <cellStyle name="Followed Hyperlink" xfId="6203" builtinId="9" hidden="1"/>
    <cellStyle name="Followed Hyperlink" xfId="6199" builtinId="9" hidden="1"/>
    <cellStyle name="Followed Hyperlink" xfId="6195" builtinId="9" hidden="1"/>
    <cellStyle name="Followed Hyperlink" xfId="6191" builtinId="9" hidden="1"/>
    <cellStyle name="Followed Hyperlink" xfId="6187" builtinId="9" hidden="1"/>
    <cellStyle name="Followed Hyperlink" xfId="6183" builtinId="9" hidden="1"/>
    <cellStyle name="Followed Hyperlink" xfId="6179" builtinId="9" hidden="1"/>
    <cellStyle name="Followed Hyperlink" xfId="6175" builtinId="9" hidden="1"/>
    <cellStyle name="Followed Hyperlink" xfId="6171" builtinId="9" hidden="1"/>
    <cellStyle name="Followed Hyperlink" xfId="6167" builtinId="9" hidden="1"/>
    <cellStyle name="Followed Hyperlink" xfId="6163" builtinId="9" hidden="1"/>
    <cellStyle name="Followed Hyperlink" xfId="6159" builtinId="9" hidden="1"/>
    <cellStyle name="Followed Hyperlink" xfId="6155" builtinId="9" hidden="1"/>
    <cellStyle name="Followed Hyperlink" xfId="6151" builtinId="9" hidden="1"/>
    <cellStyle name="Followed Hyperlink" xfId="6147" builtinId="9" hidden="1"/>
    <cellStyle name="Followed Hyperlink" xfId="6143" builtinId="9" hidden="1"/>
    <cellStyle name="Followed Hyperlink" xfId="6139" builtinId="9" hidden="1"/>
    <cellStyle name="Followed Hyperlink" xfId="6135" builtinId="9" hidden="1"/>
    <cellStyle name="Followed Hyperlink" xfId="6131" builtinId="9" hidden="1"/>
    <cellStyle name="Followed Hyperlink" xfId="6127" builtinId="9" hidden="1"/>
    <cellStyle name="Followed Hyperlink" xfId="6123" builtinId="9" hidden="1"/>
    <cellStyle name="Followed Hyperlink" xfId="6119" builtinId="9" hidden="1"/>
    <cellStyle name="Followed Hyperlink" xfId="6115" builtinId="9" hidden="1"/>
    <cellStyle name="Followed Hyperlink" xfId="6111" builtinId="9" hidden="1"/>
    <cellStyle name="Followed Hyperlink" xfId="6107" builtinId="9" hidden="1"/>
    <cellStyle name="Followed Hyperlink" xfId="6103" builtinId="9" hidden="1"/>
    <cellStyle name="Followed Hyperlink" xfId="6099" builtinId="9" hidden="1"/>
    <cellStyle name="Followed Hyperlink" xfId="6095" builtinId="9" hidden="1"/>
    <cellStyle name="Followed Hyperlink" xfId="6091" builtinId="9" hidden="1"/>
    <cellStyle name="Followed Hyperlink" xfId="6087" builtinId="9" hidden="1"/>
    <cellStyle name="Followed Hyperlink" xfId="6083" builtinId="9" hidden="1"/>
    <cellStyle name="Followed Hyperlink" xfId="6079" builtinId="9" hidden="1"/>
    <cellStyle name="Followed Hyperlink" xfId="6075" builtinId="9" hidden="1"/>
    <cellStyle name="Followed Hyperlink" xfId="6071" builtinId="9" hidden="1"/>
    <cellStyle name="Followed Hyperlink" xfId="6067" builtinId="9" hidden="1"/>
    <cellStyle name="Followed Hyperlink" xfId="6063" builtinId="9" hidden="1"/>
    <cellStyle name="Followed Hyperlink" xfId="6059" builtinId="9" hidden="1"/>
    <cellStyle name="Followed Hyperlink" xfId="6055" builtinId="9" hidden="1"/>
    <cellStyle name="Followed Hyperlink" xfId="6051" builtinId="9" hidden="1"/>
    <cellStyle name="Followed Hyperlink" xfId="6269" builtinId="9" hidden="1"/>
    <cellStyle name="Followed Hyperlink" xfId="5827" builtinId="9" hidden="1"/>
    <cellStyle name="Followed Hyperlink" xfId="6270" builtinId="9" hidden="1"/>
    <cellStyle name="Followed Hyperlink" xfId="6274" builtinId="9" hidden="1"/>
    <cellStyle name="Followed Hyperlink" xfId="6276" builtinId="9" hidden="1"/>
    <cellStyle name="Followed Hyperlink" xfId="6278" builtinId="9" hidden="1"/>
    <cellStyle name="Followed Hyperlink" xfId="6280" builtinId="9" hidden="1"/>
    <cellStyle name="Followed Hyperlink" xfId="6282" builtinId="9" hidden="1"/>
    <cellStyle name="Followed Hyperlink" xfId="6284" builtinId="9" hidden="1"/>
    <cellStyle name="Followed Hyperlink" xfId="6286" builtinId="9" hidden="1"/>
    <cellStyle name="Followed Hyperlink" xfId="6288" builtinId="9" hidden="1"/>
    <cellStyle name="Followed Hyperlink" xfId="6290" builtinId="9" hidden="1"/>
    <cellStyle name="Followed Hyperlink" xfId="6292" builtinId="9" hidden="1"/>
    <cellStyle name="Followed Hyperlink" xfId="6294" builtinId="9" hidden="1"/>
    <cellStyle name="Followed Hyperlink" xfId="6296" builtinId="9" hidden="1"/>
    <cellStyle name="Followed Hyperlink" xfId="6298" builtinId="9" hidden="1"/>
    <cellStyle name="Followed Hyperlink" xfId="6300" builtinId="9" hidden="1"/>
    <cellStyle name="Followed Hyperlink" xfId="6302" builtinId="9" hidden="1"/>
    <cellStyle name="Followed Hyperlink" xfId="6304" builtinId="9" hidden="1"/>
    <cellStyle name="Followed Hyperlink" xfId="6306" builtinId="9" hidden="1"/>
    <cellStyle name="Followed Hyperlink" xfId="6308" builtinId="9" hidden="1"/>
    <cellStyle name="Followed Hyperlink" xfId="6310" builtinId="9" hidden="1"/>
    <cellStyle name="Followed Hyperlink" xfId="6312" builtinId="9" hidden="1"/>
    <cellStyle name="Followed Hyperlink" xfId="6314" builtinId="9" hidden="1"/>
    <cellStyle name="Followed Hyperlink" xfId="6316" builtinId="9" hidden="1"/>
    <cellStyle name="Followed Hyperlink" xfId="6318" builtinId="9" hidden="1"/>
    <cellStyle name="Followed Hyperlink" xfId="6320" builtinId="9" hidden="1"/>
    <cellStyle name="Followed Hyperlink" xfId="6322" builtinId="9" hidden="1"/>
    <cellStyle name="Followed Hyperlink" xfId="6324" builtinId="9" hidden="1"/>
    <cellStyle name="Followed Hyperlink" xfId="6326" builtinId="9" hidden="1"/>
    <cellStyle name="Followed Hyperlink" xfId="6328" builtinId="9" hidden="1"/>
    <cellStyle name="Followed Hyperlink" xfId="6330" builtinId="9" hidden="1"/>
    <cellStyle name="Followed Hyperlink" xfId="6332" builtinId="9" hidden="1"/>
    <cellStyle name="Followed Hyperlink" xfId="6334" builtinId="9" hidden="1"/>
    <cellStyle name="Followed Hyperlink" xfId="6336" builtinId="9" hidden="1"/>
    <cellStyle name="Followed Hyperlink" xfId="6338" builtinId="9" hidden="1"/>
    <cellStyle name="Followed Hyperlink" xfId="6340" builtinId="9" hidden="1"/>
    <cellStyle name="Followed Hyperlink" xfId="6342" builtinId="9" hidden="1"/>
    <cellStyle name="Followed Hyperlink" xfId="6344" builtinId="9" hidden="1"/>
    <cellStyle name="Followed Hyperlink" xfId="6346" builtinId="9" hidden="1"/>
    <cellStyle name="Followed Hyperlink" xfId="6348" builtinId="9" hidden="1"/>
    <cellStyle name="Followed Hyperlink" xfId="6350" builtinId="9" hidden="1"/>
    <cellStyle name="Followed Hyperlink" xfId="6352" builtinId="9" hidden="1"/>
    <cellStyle name="Followed Hyperlink" xfId="6354" builtinId="9" hidden="1"/>
    <cellStyle name="Followed Hyperlink" xfId="6356" builtinId="9" hidden="1"/>
    <cellStyle name="Followed Hyperlink" xfId="6358" builtinId="9" hidden="1"/>
    <cellStyle name="Followed Hyperlink" xfId="6360" builtinId="9" hidden="1"/>
    <cellStyle name="Followed Hyperlink" xfId="6362" builtinId="9" hidden="1"/>
    <cellStyle name="Followed Hyperlink" xfId="6364" builtinId="9" hidden="1"/>
    <cellStyle name="Followed Hyperlink" xfId="6366" builtinId="9" hidden="1"/>
    <cellStyle name="Followed Hyperlink" xfId="6368" builtinId="9" hidden="1"/>
    <cellStyle name="Followed Hyperlink" xfId="6370" builtinId="9" hidden="1"/>
    <cellStyle name="Followed Hyperlink" xfId="6372" builtinId="9" hidden="1"/>
    <cellStyle name="Followed Hyperlink" xfId="6374" builtinId="9" hidden="1"/>
    <cellStyle name="Followed Hyperlink" xfId="6376" builtinId="9" hidden="1"/>
    <cellStyle name="Followed Hyperlink" xfId="6378" builtinId="9" hidden="1"/>
    <cellStyle name="Followed Hyperlink" xfId="6379" builtinId="9" hidden="1"/>
    <cellStyle name="Followed Hyperlink" xfId="6380" builtinId="9" hidden="1"/>
    <cellStyle name="Followed Hyperlink" xfId="6381" builtinId="9" hidden="1"/>
    <cellStyle name="Followed Hyperlink" xfId="6382" builtinId="9" hidden="1"/>
    <cellStyle name="Followed Hyperlink" xfId="6383" builtinId="9" hidden="1"/>
    <cellStyle name="Followed Hyperlink" xfId="6384" builtinId="9" hidden="1"/>
    <cellStyle name="Followed Hyperlink" xfId="6385" builtinId="9" hidden="1"/>
    <cellStyle name="Followed Hyperlink" xfId="6386" builtinId="9" hidden="1"/>
    <cellStyle name="Followed Hyperlink" xfId="6387" builtinId="9" hidden="1"/>
    <cellStyle name="Followed Hyperlink" xfId="6388" builtinId="9" hidden="1"/>
    <cellStyle name="Followed Hyperlink" xfId="6389" builtinId="9" hidden="1"/>
    <cellStyle name="Followed Hyperlink" xfId="6390" builtinId="9" hidden="1"/>
    <cellStyle name="Followed Hyperlink" xfId="6391" builtinId="9" hidden="1"/>
    <cellStyle name="Followed Hyperlink" xfId="6392" builtinId="9" hidden="1"/>
    <cellStyle name="Followed Hyperlink" xfId="6393" builtinId="9" hidden="1"/>
    <cellStyle name="Followed Hyperlink" xfId="6394" builtinId="9" hidden="1"/>
    <cellStyle name="Followed Hyperlink" xfId="6395" builtinId="9" hidden="1"/>
    <cellStyle name="Followed Hyperlink" xfId="6396" builtinId="9" hidden="1"/>
    <cellStyle name="Followed Hyperlink" xfId="6397" builtinId="9" hidden="1"/>
    <cellStyle name="Followed Hyperlink" xfId="6398" builtinId="9" hidden="1"/>
    <cellStyle name="Followed Hyperlink" xfId="6399" builtinId="9" hidden="1"/>
    <cellStyle name="Followed Hyperlink" xfId="6400" builtinId="9" hidden="1"/>
    <cellStyle name="Followed Hyperlink" xfId="6401" builtinId="9" hidden="1"/>
    <cellStyle name="Followed Hyperlink" xfId="6402" builtinId="9" hidden="1"/>
    <cellStyle name="Followed Hyperlink" xfId="6403" builtinId="9" hidden="1"/>
    <cellStyle name="Followed Hyperlink" xfId="6404" builtinId="9" hidden="1"/>
    <cellStyle name="Followed Hyperlink" xfId="6405" builtinId="9" hidden="1"/>
    <cellStyle name="Followed Hyperlink" xfId="6406" builtinId="9" hidden="1"/>
    <cellStyle name="Followed Hyperlink" xfId="6407" builtinId="9" hidden="1"/>
    <cellStyle name="Followed Hyperlink" xfId="6408" builtinId="9" hidden="1"/>
    <cellStyle name="Followed Hyperlink" xfId="6409" builtinId="9" hidden="1"/>
    <cellStyle name="Followed Hyperlink" xfId="6410" builtinId="9" hidden="1"/>
    <cellStyle name="Followed Hyperlink" xfId="6411" builtinId="9" hidden="1"/>
    <cellStyle name="Followed Hyperlink" xfId="6412" builtinId="9" hidden="1"/>
    <cellStyle name="Followed Hyperlink" xfId="6413" builtinId="9" hidden="1"/>
    <cellStyle name="Followed Hyperlink" xfId="6414" builtinId="9" hidden="1"/>
    <cellStyle name="Followed Hyperlink" xfId="6415" builtinId="9" hidden="1"/>
    <cellStyle name="Followed Hyperlink" xfId="6416" builtinId="9" hidden="1"/>
    <cellStyle name="Followed Hyperlink" xfId="6417" builtinId="9" hidden="1"/>
    <cellStyle name="Followed Hyperlink" xfId="6418" builtinId="9" hidden="1"/>
    <cellStyle name="Followed Hyperlink" xfId="6419" builtinId="9" hidden="1"/>
    <cellStyle name="Followed Hyperlink" xfId="6420" builtinId="9" hidden="1"/>
    <cellStyle name="Followed Hyperlink" xfId="6421" builtinId="9" hidden="1"/>
    <cellStyle name="Followed Hyperlink" xfId="6422" builtinId="9" hidden="1"/>
    <cellStyle name="Followed Hyperlink" xfId="6423" builtinId="9" hidden="1"/>
    <cellStyle name="Followed Hyperlink" xfId="6424" builtinId="9" hidden="1"/>
    <cellStyle name="Followed Hyperlink" xfId="6425" builtinId="9" hidden="1"/>
    <cellStyle name="Followed Hyperlink" xfId="6426" builtinId="9" hidden="1"/>
    <cellStyle name="Followed Hyperlink" xfId="6427" builtinId="9" hidden="1"/>
    <cellStyle name="Followed Hyperlink" xfId="6428" builtinId="9" hidden="1"/>
    <cellStyle name="Followed Hyperlink" xfId="6429" builtinId="9" hidden="1"/>
    <cellStyle name="Followed Hyperlink" xfId="6430" builtinId="9" hidden="1"/>
    <cellStyle name="Followed Hyperlink" xfId="6431" builtinId="9" hidden="1"/>
    <cellStyle name="Followed Hyperlink" xfId="6432" builtinId="9" hidden="1"/>
    <cellStyle name="Followed Hyperlink" xfId="6433" builtinId="9" hidden="1"/>
    <cellStyle name="Followed Hyperlink" xfId="6434" builtinId="9" hidden="1"/>
    <cellStyle name="Followed Hyperlink" xfId="6435" builtinId="9" hidden="1"/>
    <cellStyle name="Followed Hyperlink" xfId="6436" builtinId="9" hidden="1"/>
    <cellStyle name="Followed Hyperlink" xfId="6437" builtinId="9" hidden="1"/>
    <cellStyle name="Followed Hyperlink" xfId="6438" builtinId="9" hidden="1"/>
    <cellStyle name="Followed Hyperlink" xfId="6439" builtinId="9" hidden="1"/>
    <cellStyle name="Followed Hyperlink" xfId="6440" builtinId="9" hidden="1"/>
    <cellStyle name="Followed Hyperlink" xfId="6441" builtinId="9" hidden="1"/>
    <cellStyle name="Followed Hyperlink" xfId="6442" builtinId="9" hidden="1"/>
    <cellStyle name="Followed Hyperlink" xfId="6443" builtinId="9" hidden="1"/>
    <cellStyle name="Followed Hyperlink" xfId="6444" builtinId="9" hidden="1"/>
    <cellStyle name="Followed Hyperlink" xfId="6445" builtinId="9" hidden="1"/>
    <cellStyle name="Followed Hyperlink" xfId="6446" builtinId="9" hidden="1"/>
    <cellStyle name="Followed Hyperlink" xfId="6447" builtinId="9" hidden="1"/>
    <cellStyle name="Followed Hyperlink" xfId="6448" builtinId="9" hidden="1"/>
    <cellStyle name="Followed Hyperlink" xfId="6449" builtinId="9" hidden="1"/>
    <cellStyle name="Followed Hyperlink" xfId="6450" builtinId="9" hidden="1"/>
    <cellStyle name="Followed Hyperlink" xfId="6451" builtinId="9" hidden="1"/>
    <cellStyle name="Followed Hyperlink" xfId="6452" builtinId="9" hidden="1"/>
    <cellStyle name="Followed Hyperlink" xfId="6453" builtinId="9" hidden="1"/>
    <cellStyle name="Followed Hyperlink" xfId="6454" builtinId="9" hidden="1"/>
    <cellStyle name="Followed Hyperlink" xfId="6455" builtinId="9" hidden="1"/>
    <cellStyle name="Followed Hyperlink" xfId="6456" builtinId="9" hidden="1"/>
    <cellStyle name="Followed Hyperlink" xfId="6457" builtinId="9" hidden="1"/>
    <cellStyle name="Followed Hyperlink" xfId="6458" builtinId="9" hidden="1"/>
    <cellStyle name="Followed Hyperlink" xfId="6459" builtinId="9" hidden="1"/>
    <cellStyle name="Followed Hyperlink" xfId="6460" builtinId="9" hidden="1"/>
    <cellStyle name="Followed Hyperlink" xfId="6461" builtinId="9" hidden="1"/>
    <cellStyle name="Followed Hyperlink" xfId="6462" builtinId="9" hidden="1"/>
    <cellStyle name="Followed Hyperlink" xfId="6463" builtinId="9" hidden="1"/>
    <cellStyle name="Followed Hyperlink" xfId="6464" builtinId="9" hidden="1"/>
    <cellStyle name="Followed Hyperlink" xfId="6465" builtinId="9" hidden="1"/>
    <cellStyle name="Followed Hyperlink" xfId="6466" builtinId="9" hidden="1"/>
    <cellStyle name="Followed Hyperlink" xfId="6467" builtinId="9" hidden="1"/>
    <cellStyle name="Followed Hyperlink" xfId="6468" builtinId="9" hidden="1"/>
    <cellStyle name="Followed Hyperlink" xfId="6469" builtinId="9" hidden="1"/>
    <cellStyle name="Followed Hyperlink" xfId="6470" builtinId="9" hidden="1"/>
    <cellStyle name="Followed Hyperlink" xfId="6471" builtinId="9" hidden="1"/>
    <cellStyle name="Followed Hyperlink" xfId="6472" builtinId="9" hidden="1"/>
    <cellStyle name="Followed Hyperlink" xfId="6473" builtinId="9" hidden="1"/>
    <cellStyle name="Followed Hyperlink" xfId="6474" builtinId="9" hidden="1"/>
    <cellStyle name="Followed Hyperlink" xfId="6475" builtinId="9" hidden="1"/>
    <cellStyle name="Followed Hyperlink" xfId="6476" builtinId="9" hidden="1"/>
    <cellStyle name="Followed Hyperlink" xfId="6477" builtinId="9" hidden="1"/>
    <cellStyle name="Followed Hyperlink" xfId="6478" builtinId="9" hidden="1"/>
    <cellStyle name="Followed Hyperlink" xfId="6479" builtinId="9" hidden="1"/>
    <cellStyle name="Followed Hyperlink" xfId="6480" builtinId="9" hidden="1"/>
    <cellStyle name="Followed Hyperlink" xfId="6481" builtinId="9" hidden="1"/>
    <cellStyle name="Followed Hyperlink" xfId="6482" builtinId="9" hidden="1"/>
    <cellStyle name="Followed Hyperlink" xfId="6483" builtinId="9" hidden="1"/>
    <cellStyle name="Followed Hyperlink" xfId="6484" builtinId="9" hidden="1"/>
    <cellStyle name="Followed Hyperlink" xfId="6485" builtinId="9" hidden="1"/>
    <cellStyle name="Followed Hyperlink" xfId="6486" builtinId="9" hidden="1"/>
    <cellStyle name="Followed Hyperlink" xfId="6487" builtinId="9" hidden="1"/>
    <cellStyle name="Followed Hyperlink" xfId="6488" builtinId="9" hidden="1"/>
    <cellStyle name="Followed Hyperlink" xfId="6489" builtinId="9" hidden="1"/>
    <cellStyle name="Followed Hyperlink" xfId="6490" builtinId="9" hidden="1"/>
    <cellStyle name="Followed Hyperlink" xfId="6491" builtinId="9" hidden="1"/>
    <cellStyle name="Followed Hyperlink" xfId="6492" builtinId="9" hidden="1"/>
    <cellStyle name="Followed Hyperlink" xfId="6493" builtinId="9" hidden="1"/>
    <cellStyle name="Followed Hyperlink" xfId="6494" builtinId="9" hidden="1"/>
    <cellStyle name="Followed Hyperlink" xfId="6495" builtinId="9" hidden="1"/>
    <cellStyle name="Followed Hyperlink" xfId="6496" builtinId="9" hidden="1"/>
    <cellStyle name="Followed Hyperlink" xfId="6497" builtinId="9" hidden="1"/>
    <cellStyle name="Followed Hyperlink" xfId="6498" builtinId="9" hidden="1"/>
    <cellStyle name="Followed Hyperlink" xfId="6499" builtinId="9" hidden="1"/>
    <cellStyle name="Followed Hyperlink" xfId="6500" builtinId="9" hidden="1"/>
    <cellStyle name="Followed Hyperlink" xfId="6501" builtinId="9" hidden="1"/>
    <cellStyle name="Followed Hyperlink" xfId="6502" builtinId="9" hidden="1"/>
    <cellStyle name="Followed Hyperlink" xfId="6503" builtinId="9" hidden="1"/>
    <cellStyle name="Followed Hyperlink" xfId="6504" builtinId="9" hidden="1"/>
    <cellStyle name="Followed Hyperlink" xfId="6505" builtinId="9" hidden="1"/>
    <cellStyle name="Followed Hyperlink" xfId="6506" builtinId="9" hidden="1"/>
    <cellStyle name="Followed Hyperlink" xfId="6507" builtinId="9" hidden="1"/>
    <cellStyle name="Followed Hyperlink" xfId="6508" builtinId="9" hidden="1"/>
    <cellStyle name="Followed Hyperlink" xfId="6509" builtinId="9" hidden="1"/>
    <cellStyle name="Followed Hyperlink" xfId="6510" builtinId="9" hidden="1"/>
    <cellStyle name="Followed Hyperlink" xfId="6511" builtinId="9" hidden="1"/>
    <cellStyle name="Followed Hyperlink" xfId="6512" builtinId="9" hidden="1"/>
    <cellStyle name="Followed Hyperlink" xfId="6513" builtinId="9" hidden="1"/>
    <cellStyle name="Followed Hyperlink" xfId="6514" builtinId="9" hidden="1"/>
    <cellStyle name="Followed Hyperlink" xfId="6515" builtinId="9" hidden="1"/>
    <cellStyle name="Followed Hyperlink" xfId="6516" builtinId="9" hidden="1"/>
    <cellStyle name="Followed Hyperlink" xfId="6517" builtinId="9" hidden="1"/>
    <cellStyle name="Followed Hyperlink" xfId="6518" builtinId="9" hidden="1"/>
    <cellStyle name="Followed Hyperlink" xfId="6519" builtinId="9" hidden="1"/>
    <cellStyle name="Followed Hyperlink" xfId="6520" builtinId="9" hidden="1"/>
    <cellStyle name="Followed Hyperlink" xfId="6521" builtinId="9" hidden="1"/>
    <cellStyle name="Followed Hyperlink" xfId="6522" builtinId="9" hidden="1"/>
    <cellStyle name="Followed Hyperlink" xfId="6523" builtinId="9" hidden="1"/>
    <cellStyle name="Followed Hyperlink" xfId="6524" builtinId="9" hidden="1"/>
    <cellStyle name="Followed Hyperlink" xfId="6525" builtinId="9" hidden="1"/>
    <cellStyle name="Followed Hyperlink" xfId="6526" builtinId="9" hidden="1"/>
    <cellStyle name="Followed Hyperlink" xfId="6527" builtinId="9" hidden="1"/>
    <cellStyle name="Followed Hyperlink" xfId="6528" builtinId="9" hidden="1"/>
    <cellStyle name="Followed Hyperlink" xfId="6529" builtinId="9" hidden="1"/>
    <cellStyle name="Followed Hyperlink" xfId="6530" builtinId="9" hidden="1"/>
    <cellStyle name="Followed Hyperlink" xfId="6531" builtinId="9" hidden="1"/>
    <cellStyle name="Followed Hyperlink" xfId="6532" builtinId="9" hidden="1"/>
    <cellStyle name="Followed Hyperlink" xfId="6533" builtinId="9" hidden="1"/>
    <cellStyle name="Followed Hyperlink" xfId="6534" builtinId="9" hidden="1"/>
    <cellStyle name="Followed Hyperlink" xfId="6535" builtinId="9" hidden="1"/>
    <cellStyle name="Followed Hyperlink" xfId="6536" builtinId="9" hidden="1"/>
    <cellStyle name="Followed Hyperlink" xfId="6537" builtinId="9" hidden="1"/>
    <cellStyle name="Followed Hyperlink" xfId="6538" builtinId="9" hidden="1"/>
    <cellStyle name="Followed Hyperlink" xfId="6539" builtinId="9" hidden="1"/>
    <cellStyle name="Followed Hyperlink" xfId="6540" builtinId="9" hidden="1"/>
    <cellStyle name="Followed Hyperlink" xfId="6541" builtinId="9" hidden="1"/>
    <cellStyle name="Followed Hyperlink" xfId="6542" builtinId="9" hidden="1"/>
    <cellStyle name="Followed Hyperlink" xfId="6543" builtinId="9" hidden="1"/>
    <cellStyle name="Followed Hyperlink" xfId="6544" builtinId="9" hidden="1"/>
    <cellStyle name="Followed Hyperlink" xfId="6545" builtinId="9" hidden="1"/>
    <cellStyle name="Followed Hyperlink" xfId="6546" builtinId="9" hidden="1"/>
    <cellStyle name="Followed Hyperlink" xfId="6547" builtinId="9" hidden="1"/>
    <cellStyle name="Followed Hyperlink" xfId="6548" builtinId="9" hidden="1"/>
    <cellStyle name="Followed Hyperlink" xfId="6549" builtinId="9" hidden="1"/>
    <cellStyle name="Followed Hyperlink" xfId="6550" builtinId="9" hidden="1"/>
    <cellStyle name="Followed Hyperlink" xfId="6551" builtinId="9" hidden="1"/>
    <cellStyle name="Followed Hyperlink" xfId="6552" builtinId="9" hidden="1"/>
    <cellStyle name="Followed Hyperlink" xfId="6553" builtinId="9" hidden="1"/>
    <cellStyle name="Followed Hyperlink" xfId="6554" builtinId="9" hidden="1"/>
    <cellStyle name="Followed Hyperlink" xfId="6555" builtinId="9" hidden="1"/>
    <cellStyle name="Followed Hyperlink" xfId="6556" builtinId="9" hidden="1"/>
    <cellStyle name="Followed Hyperlink" xfId="6557" builtinId="9" hidden="1"/>
    <cellStyle name="Followed Hyperlink" xfId="6558" builtinId="9" hidden="1"/>
    <cellStyle name="Followed Hyperlink" xfId="6559" builtinId="9" hidden="1"/>
    <cellStyle name="Followed Hyperlink" xfId="6560" builtinId="9" hidden="1"/>
    <cellStyle name="Followed Hyperlink" xfId="6561" builtinId="9" hidden="1"/>
    <cellStyle name="Followed Hyperlink" xfId="6562" builtinId="9" hidden="1"/>
    <cellStyle name="Followed Hyperlink" xfId="6563" builtinId="9" hidden="1"/>
    <cellStyle name="Followed Hyperlink" xfId="6564" builtinId="9" hidden="1"/>
    <cellStyle name="Followed Hyperlink" xfId="6565" builtinId="9" hidden="1"/>
    <cellStyle name="Followed Hyperlink" xfId="6566" builtinId="9" hidden="1"/>
    <cellStyle name="Followed Hyperlink" xfId="6567" builtinId="9" hidden="1"/>
    <cellStyle name="Followed Hyperlink" xfId="6568" builtinId="9" hidden="1"/>
    <cellStyle name="Followed Hyperlink" xfId="6569" builtinId="9" hidden="1"/>
    <cellStyle name="Followed Hyperlink" xfId="6570" builtinId="9" hidden="1"/>
    <cellStyle name="Followed Hyperlink" xfId="6571" builtinId="9" hidden="1"/>
    <cellStyle name="Followed Hyperlink" xfId="6572" builtinId="9" hidden="1"/>
    <cellStyle name="Followed Hyperlink" xfId="6573" builtinId="9" hidden="1"/>
    <cellStyle name="Followed Hyperlink" xfId="6574" builtinId="9" hidden="1"/>
    <cellStyle name="Followed Hyperlink" xfId="6575" builtinId="9" hidden="1"/>
    <cellStyle name="Followed Hyperlink" xfId="6576" builtinId="9" hidden="1"/>
    <cellStyle name="Followed Hyperlink" xfId="6577" builtinId="9" hidden="1"/>
    <cellStyle name="Followed Hyperlink" xfId="6578" builtinId="9" hidden="1"/>
    <cellStyle name="Followed Hyperlink" xfId="6579" builtinId="9" hidden="1"/>
    <cellStyle name="Followed Hyperlink" xfId="6580" builtinId="9" hidden="1"/>
    <cellStyle name="Followed Hyperlink" xfId="6581" builtinId="9" hidden="1"/>
    <cellStyle name="Followed Hyperlink" xfId="6582" builtinId="9" hidden="1"/>
    <cellStyle name="Followed Hyperlink" xfId="6583" builtinId="9" hidden="1"/>
    <cellStyle name="Followed Hyperlink" xfId="6584" builtinId="9" hidden="1"/>
    <cellStyle name="Followed Hyperlink" xfId="6585" builtinId="9" hidden="1"/>
    <cellStyle name="Followed Hyperlink" xfId="6586" builtinId="9" hidden="1"/>
    <cellStyle name="Followed Hyperlink" xfId="6587" builtinId="9" hidden="1"/>
    <cellStyle name="Followed Hyperlink" xfId="6588" builtinId="9" hidden="1"/>
    <cellStyle name="Followed Hyperlink" xfId="6589" builtinId="9" hidden="1"/>
    <cellStyle name="Followed Hyperlink" xfId="6590" builtinId="9" hidden="1"/>
    <cellStyle name="Followed Hyperlink" xfId="6591" builtinId="9" hidden="1"/>
    <cellStyle name="Followed Hyperlink" xfId="6592" builtinId="9" hidden="1"/>
    <cellStyle name="Followed Hyperlink" xfId="6593" builtinId="9" hidden="1"/>
    <cellStyle name="Followed Hyperlink" xfId="6594" builtinId="9" hidden="1"/>
    <cellStyle name="Followed Hyperlink" xfId="6595" builtinId="9" hidden="1"/>
    <cellStyle name="Followed Hyperlink" xfId="6596" builtinId="9" hidden="1"/>
    <cellStyle name="Followed Hyperlink" xfId="6597" builtinId="9" hidden="1"/>
    <cellStyle name="Followed Hyperlink" xfId="6598" builtinId="9" hidden="1"/>
    <cellStyle name="Followed Hyperlink" xfId="6599" builtinId="9" hidden="1"/>
    <cellStyle name="Followed Hyperlink" xfId="6600" builtinId="9" hidden="1"/>
    <cellStyle name="Followed Hyperlink" xfId="6601" builtinId="9" hidden="1"/>
    <cellStyle name="Followed Hyperlink" xfId="6602" builtinId="9" hidden="1"/>
    <cellStyle name="Followed Hyperlink" xfId="6603" builtinId="9" hidden="1"/>
    <cellStyle name="Followed Hyperlink" xfId="6604" builtinId="9" hidden="1"/>
    <cellStyle name="Followed Hyperlink" xfId="6605" builtinId="9" hidden="1"/>
    <cellStyle name="Followed Hyperlink" xfId="6606" builtinId="9" hidden="1"/>
    <cellStyle name="Followed Hyperlink" xfId="6607" builtinId="9" hidden="1"/>
    <cellStyle name="Followed Hyperlink" xfId="6608" builtinId="9" hidden="1"/>
    <cellStyle name="Followed Hyperlink" xfId="6609" builtinId="9" hidden="1"/>
    <cellStyle name="Followed Hyperlink" xfId="6610" builtinId="9" hidden="1"/>
    <cellStyle name="Followed Hyperlink" xfId="6611" builtinId="9" hidden="1"/>
    <cellStyle name="Followed Hyperlink" xfId="6612" builtinId="9" hidden="1"/>
    <cellStyle name="Followed Hyperlink" xfId="6613" builtinId="9" hidden="1"/>
    <cellStyle name="Followed Hyperlink" xfId="6614" builtinId="9" hidden="1"/>
    <cellStyle name="Followed Hyperlink" xfId="6615" builtinId="9" hidden="1"/>
    <cellStyle name="Followed Hyperlink" xfId="6616" builtinId="9" hidden="1"/>
    <cellStyle name="Followed Hyperlink" xfId="6617" builtinId="9" hidden="1"/>
    <cellStyle name="Followed Hyperlink" xfId="6618" builtinId="9" hidden="1"/>
    <cellStyle name="Followed Hyperlink" xfId="6619" builtinId="9" hidden="1"/>
    <cellStyle name="Followed Hyperlink" xfId="6620" builtinId="9" hidden="1"/>
    <cellStyle name="Followed Hyperlink" xfId="6621" builtinId="9" hidden="1"/>
    <cellStyle name="Followed Hyperlink" xfId="6622" builtinId="9" hidden="1"/>
    <cellStyle name="Followed Hyperlink" xfId="6623" builtinId="9" hidden="1"/>
    <cellStyle name="Followed Hyperlink" xfId="6624" builtinId="9" hidden="1"/>
    <cellStyle name="Followed Hyperlink" xfId="6625" builtinId="9" hidden="1"/>
    <cellStyle name="Followed Hyperlink" xfId="6626" builtinId="9" hidden="1"/>
    <cellStyle name="Followed Hyperlink" xfId="6627" builtinId="9" hidden="1"/>
    <cellStyle name="Followed Hyperlink" xfId="6628" builtinId="9" hidden="1"/>
    <cellStyle name="Followed Hyperlink" xfId="6629" builtinId="9" hidden="1"/>
    <cellStyle name="Followed Hyperlink" xfId="6630" builtinId="9" hidden="1"/>
    <cellStyle name="Followed Hyperlink" xfId="6631" builtinId="9" hidden="1"/>
    <cellStyle name="Followed Hyperlink" xfId="6632" builtinId="9" hidden="1"/>
    <cellStyle name="Followed Hyperlink" xfId="6633" builtinId="9" hidden="1"/>
    <cellStyle name="Followed Hyperlink" xfId="6634" builtinId="9" hidden="1"/>
    <cellStyle name="Followed Hyperlink" xfId="6635" builtinId="9" hidden="1"/>
    <cellStyle name="Followed Hyperlink" xfId="6636" builtinId="9" hidden="1"/>
    <cellStyle name="Followed Hyperlink" xfId="6637" builtinId="9" hidden="1"/>
    <cellStyle name="Followed Hyperlink" xfId="6638" builtinId="9" hidden="1"/>
    <cellStyle name="Followed Hyperlink" xfId="6639" builtinId="9" hidden="1"/>
    <cellStyle name="Followed Hyperlink" xfId="6640" builtinId="9" hidden="1"/>
    <cellStyle name="Followed Hyperlink" xfId="6641" builtinId="9" hidden="1"/>
    <cellStyle name="Followed Hyperlink" xfId="6642" builtinId="9" hidden="1"/>
    <cellStyle name="Followed Hyperlink" xfId="6643" builtinId="9" hidden="1"/>
    <cellStyle name="Followed Hyperlink" xfId="6644" builtinId="9" hidden="1"/>
    <cellStyle name="Followed Hyperlink" xfId="6645" builtinId="9" hidden="1"/>
    <cellStyle name="Followed Hyperlink" xfId="6646" builtinId="9" hidden="1"/>
    <cellStyle name="Followed Hyperlink" xfId="6647" builtinId="9" hidden="1"/>
    <cellStyle name="Followed Hyperlink" xfId="6648" builtinId="9" hidden="1"/>
    <cellStyle name="Followed Hyperlink" xfId="6649" builtinId="9" hidden="1"/>
    <cellStyle name="Followed Hyperlink" xfId="6650" builtinId="9" hidden="1"/>
    <cellStyle name="Followed Hyperlink" xfId="6651" builtinId="9" hidden="1"/>
    <cellStyle name="Followed Hyperlink" xfId="6652" builtinId="9" hidden="1"/>
    <cellStyle name="Followed Hyperlink" xfId="6653" builtinId="9" hidden="1"/>
    <cellStyle name="Followed Hyperlink" xfId="6654" builtinId="9" hidden="1"/>
    <cellStyle name="Followed Hyperlink" xfId="6655" builtinId="9" hidden="1"/>
    <cellStyle name="Followed Hyperlink" xfId="6656" builtinId="9" hidden="1"/>
    <cellStyle name="Followed Hyperlink" xfId="6657" builtinId="9" hidden="1"/>
    <cellStyle name="Followed Hyperlink" xfId="6658" builtinId="9" hidden="1"/>
    <cellStyle name="Followed Hyperlink" xfId="6659" builtinId="9" hidden="1"/>
    <cellStyle name="Followed Hyperlink" xfId="6660" builtinId="9" hidden="1"/>
    <cellStyle name="Followed Hyperlink" xfId="6661" builtinId="9" hidden="1"/>
    <cellStyle name="Followed Hyperlink" xfId="6662" builtinId="9" hidden="1"/>
    <cellStyle name="Followed Hyperlink" xfId="6663" builtinId="9" hidden="1"/>
    <cellStyle name="Followed Hyperlink" xfId="6664" builtinId="9" hidden="1"/>
    <cellStyle name="Followed Hyperlink" xfId="6665" builtinId="9" hidden="1"/>
    <cellStyle name="Followed Hyperlink" xfId="6666" builtinId="9" hidden="1"/>
    <cellStyle name="Followed Hyperlink" xfId="6667" builtinId="9" hidden="1"/>
    <cellStyle name="Followed Hyperlink" xfId="6668" builtinId="9" hidden="1"/>
    <cellStyle name="Followed Hyperlink" xfId="6669" builtinId="9" hidden="1"/>
    <cellStyle name="Followed Hyperlink" xfId="6670" builtinId="9" hidden="1"/>
    <cellStyle name="Followed Hyperlink" xfId="6671" builtinId="9" hidden="1"/>
    <cellStyle name="Followed Hyperlink" xfId="6672" builtinId="9" hidden="1"/>
    <cellStyle name="Followed Hyperlink" xfId="6673" builtinId="9" hidden="1"/>
    <cellStyle name="Followed Hyperlink" xfId="6674" builtinId="9" hidden="1"/>
    <cellStyle name="Followed Hyperlink" xfId="6675" builtinId="9" hidden="1"/>
    <cellStyle name="Followed Hyperlink" xfId="6676" builtinId="9" hidden="1"/>
    <cellStyle name="Followed Hyperlink" xfId="6677" builtinId="9" hidden="1"/>
    <cellStyle name="Followed Hyperlink" xfId="6678" builtinId="9" hidden="1"/>
    <cellStyle name="Followed Hyperlink" xfId="6679" builtinId="9" hidden="1"/>
    <cellStyle name="Followed Hyperlink" xfId="6680" builtinId="9" hidden="1"/>
    <cellStyle name="Followed Hyperlink" xfId="6681" builtinId="9" hidden="1"/>
    <cellStyle name="Followed Hyperlink" xfId="6682" builtinId="9" hidden="1"/>
    <cellStyle name="Followed Hyperlink" xfId="6683" builtinId="9" hidden="1"/>
    <cellStyle name="Followed Hyperlink" xfId="6684" builtinId="9" hidden="1"/>
    <cellStyle name="Followed Hyperlink" xfId="6685" builtinId="9" hidden="1"/>
    <cellStyle name="Followed Hyperlink" xfId="6686" builtinId="9" hidden="1"/>
    <cellStyle name="Followed Hyperlink" xfId="6687" builtinId="9" hidden="1"/>
    <cellStyle name="Followed Hyperlink" xfId="6688" builtinId="9" hidden="1"/>
    <cellStyle name="Followed Hyperlink" xfId="6689" builtinId="9" hidden="1"/>
    <cellStyle name="Followed Hyperlink" xfId="6690" builtinId="9" hidden="1"/>
    <cellStyle name="Followed Hyperlink" xfId="6691" builtinId="9" hidden="1"/>
    <cellStyle name="Followed Hyperlink" xfId="6692" builtinId="9" hidden="1"/>
    <cellStyle name="Followed Hyperlink" xfId="6693" builtinId="9" hidden="1"/>
    <cellStyle name="Followed Hyperlink" xfId="6694" builtinId="9" hidden="1"/>
    <cellStyle name="Followed Hyperlink" xfId="6695" builtinId="9" hidden="1"/>
    <cellStyle name="Followed Hyperlink" xfId="6696" builtinId="9" hidden="1"/>
    <cellStyle name="Followed Hyperlink" xfId="6697" builtinId="9" hidden="1"/>
    <cellStyle name="Followed Hyperlink" xfId="6698" builtinId="9" hidden="1"/>
    <cellStyle name="Followed Hyperlink" xfId="6699" builtinId="9" hidden="1"/>
    <cellStyle name="Followed Hyperlink" xfId="6700" builtinId="9" hidden="1"/>
    <cellStyle name="Followed Hyperlink" xfId="6701" builtinId="9" hidden="1"/>
    <cellStyle name="Followed Hyperlink" xfId="6702" builtinId="9" hidden="1"/>
    <cellStyle name="Followed Hyperlink" xfId="6703" builtinId="9" hidden="1"/>
    <cellStyle name="Followed Hyperlink" xfId="6704" builtinId="9" hidden="1"/>
    <cellStyle name="Followed Hyperlink" xfId="6705" builtinId="9" hidden="1"/>
    <cellStyle name="Followed Hyperlink" xfId="6706" builtinId="9" hidden="1"/>
    <cellStyle name="Followed Hyperlink" xfId="6707" builtinId="9" hidden="1"/>
    <cellStyle name="Followed Hyperlink" xfId="6708" builtinId="9" hidden="1"/>
    <cellStyle name="Followed Hyperlink" xfId="6709" builtinId="9" hidden="1"/>
    <cellStyle name="Followed Hyperlink" xfId="6710" builtinId="9" hidden="1"/>
    <cellStyle name="Followed Hyperlink" xfId="6711" builtinId="9" hidden="1"/>
    <cellStyle name="Followed Hyperlink" xfId="6712" builtinId="9" hidden="1"/>
    <cellStyle name="Followed Hyperlink" xfId="6713" builtinId="9" hidden="1"/>
    <cellStyle name="Followed Hyperlink" xfId="6714" builtinId="9" hidden="1"/>
    <cellStyle name="Followed Hyperlink" xfId="6715" builtinId="9" hidden="1"/>
    <cellStyle name="Followed Hyperlink" xfId="6716" builtinId="9" hidden="1"/>
    <cellStyle name="Followed Hyperlink" xfId="6717" builtinId="9" hidden="1"/>
    <cellStyle name="Followed Hyperlink" xfId="6718" builtinId="9" hidden="1"/>
    <cellStyle name="Followed Hyperlink" xfId="6719" builtinId="9" hidden="1"/>
    <cellStyle name="Followed Hyperlink" xfId="6720" builtinId="9" hidden="1"/>
    <cellStyle name="Followed Hyperlink" xfId="6721" builtinId="9" hidden="1"/>
    <cellStyle name="Followed Hyperlink" xfId="6722" builtinId="9" hidden="1"/>
    <cellStyle name="Followed Hyperlink" xfId="6723" builtinId="9" hidden="1"/>
    <cellStyle name="Followed Hyperlink" xfId="6724" builtinId="9" hidden="1"/>
    <cellStyle name="Followed Hyperlink" xfId="6725" builtinId="9" hidden="1"/>
    <cellStyle name="Followed Hyperlink" xfId="6726" builtinId="9" hidden="1"/>
    <cellStyle name="Followed Hyperlink" xfId="6727" builtinId="9" hidden="1"/>
    <cellStyle name="Followed Hyperlink" xfId="6728" builtinId="9" hidden="1"/>
    <cellStyle name="Followed Hyperlink" xfId="6729" builtinId="9" hidden="1"/>
    <cellStyle name="Followed Hyperlink" xfId="6730" builtinId="9" hidden="1"/>
    <cellStyle name="Followed Hyperlink" xfId="6731" builtinId="9" hidden="1"/>
    <cellStyle name="Followed Hyperlink" xfId="6732" builtinId="9" hidden="1"/>
    <cellStyle name="Followed Hyperlink" xfId="6733" builtinId="9" hidden="1"/>
    <cellStyle name="Followed Hyperlink" xfId="6734" builtinId="9" hidden="1"/>
    <cellStyle name="Followed Hyperlink" xfId="6735" builtinId="9" hidden="1"/>
    <cellStyle name="Followed Hyperlink" xfId="6738" builtinId="9" hidden="1"/>
    <cellStyle name="Followed Hyperlink" xfId="6740" builtinId="9" hidden="1"/>
    <cellStyle name="Followed Hyperlink" xfId="6742" builtinId="9" hidden="1"/>
    <cellStyle name="Followed Hyperlink" xfId="6744" builtinId="9" hidden="1"/>
    <cellStyle name="Followed Hyperlink" xfId="6746" builtinId="9" hidden="1"/>
    <cellStyle name="Followed Hyperlink" xfId="6748" builtinId="9" hidden="1"/>
    <cellStyle name="Followed Hyperlink" xfId="6750" builtinId="9" hidden="1"/>
    <cellStyle name="Followed Hyperlink" xfId="6752" builtinId="9" hidden="1"/>
    <cellStyle name="Followed Hyperlink" xfId="6754" builtinId="9" hidden="1"/>
    <cellStyle name="Followed Hyperlink" xfId="6756" builtinId="9" hidden="1"/>
    <cellStyle name="Followed Hyperlink" xfId="6758" builtinId="9" hidden="1"/>
    <cellStyle name="Followed Hyperlink" xfId="6760" builtinId="9" hidden="1"/>
    <cellStyle name="Followed Hyperlink" xfId="6762" builtinId="9" hidden="1"/>
    <cellStyle name="Followed Hyperlink" xfId="6764" builtinId="9" hidden="1"/>
    <cellStyle name="Followed Hyperlink" xfId="6766" builtinId="9" hidden="1"/>
    <cellStyle name="Followed Hyperlink" xfId="6768" builtinId="9" hidden="1"/>
    <cellStyle name="Followed Hyperlink" xfId="6770" builtinId="9" hidden="1"/>
    <cellStyle name="Followed Hyperlink" xfId="6772" builtinId="9" hidden="1"/>
    <cellStyle name="Followed Hyperlink" xfId="6774" builtinId="9" hidden="1"/>
    <cellStyle name="Followed Hyperlink" xfId="6776" builtinId="9" hidden="1"/>
    <cellStyle name="Followed Hyperlink" xfId="6778" builtinId="9" hidden="1"/>
    <cellStyle name="Followed Hyperlink" xfId="6780" builtinId="9" hidden="1"/>
    <cellStyle name="Followed Hyperlink" xfId="6782" builtinId="9" hidden="1"/>
    <cellStyle name="Followed Hyperlink" xfId="6784" builtinId="9" hidden="1"/>
    <cellStyle name="Followed Hyperlink" xfId="6786" builtinId="9" hidden="1"/>
    <cellStyle name="Followed Hyperlink" xfId="6788" builtinId="9" hidden="1"/>
    <cellStyle name="Followed Hyperlink" xfId="6790" builtinId="9" hidden="1"/>
    <cellStyle name="Followed Hyperlink" xfId="6792" builtinId="9" hidden="1"/>
    <cellStyle name="Followed Hyperlink" xfId="6794" builtinId="9" hidden="1"/>
    <cellStyle name="Followed Hyperlink" xfId="6796" builtinId="9" hidden="1"/>
    <cellStyle name="Followed Hyperlink" xfId="6798" builtinId="9" hidden="1"/>
    <cellStyle name="Followed Hyperlink" xfId="6800" builtinId="9" hidden="1"/>
    <cellStyle name="Followed Hyperlink" xfId="6802" builtinId="9" hidden="1"/>
    <cellStyle name="Followed Hyperlink" xfId="6804" builtinId="9" hidden="1"/>
    <cellStyle name="Followed Hyperlink" xfId="6806" builtinId="9" hidden="1"/>
    <cellStyle name="Followed Hyperlink" xfId="6808" builtinId="9" hidden="1"/>
    <cellStyle name="Followed Hyperlink" xfId="6810" builtinId="9" hidden="1"/>
    <cellStyle name="Followed Hyperlink" xfId="6812" builtinId="9" hidden="1"/>
    <cellStyle name="Followed Hyperlink" xfId="6814" builtinId="9" hidden="1"/>
    <cellStyle name="Followed Hyperlink" xfId="6816" builtinId="9" hidden="1"/>
    <cellStyle name="Followed Hyperlink" xfId="6818" builtinId="9" hidden="1"/>
    <cellStyle name="Followed Hyperlink" xfId="6820" builtinId="9" hidden="1"/>
    <cellStyle name="Followed Hyperlink" xfId="6822" builtinId="9" hidden="1"/>
    <cellStyle name="Followed Hyperlink" xfId="6824" builtinId="9" hidden="1"/>
    <cellStyle name="Followed Hyperlink" xfId="6826" builtinId="9" hidden="1"/>
    <cellStyle name="Followed Hyperlink" xfId="6828" builtinId="9" hidden="1"/>
    <cellStyle name="Followed Hyperlink" xfId="6830" builtinId="9" hidden="1"/>
    <cellStyle name="Followed Hyperlink" xfId="6832" builtinId="9" hidden="1"/>
    <cellStyle name="Followed Hyperlink" xfId="6834" builtinId="9" hidden="1"/>
    <cellStyle name="Followed Hyperlink" xfId="6836" builtinId="9" hidden="1"/>
    <cellStyle name="Followed Hyperlink" xfId="6838" builtinId="9" hidden="1"/>
    <cellStyle name="Followed Hyperlink" xfId="6840" builtinId="9" hidden="1"/>
    <cellStyle name="Followed Hyperlink" xfId="6842" builtinId="9" hidden="1"/>
    <cellStyle name="Followed Hyperlink" xfId="6844" builtinId="9" hidden="1"/>
    <cellStyle name="Followed Hyperlink" xfId="6846" builtinId="9" hidden="1"/>
    <cellStyle name="Followed Hyperlink" xfId="6848" builtinId="9" hidden="1"/>
    <cellStyle name="Followed Hyperlink" xfId="6850" builtinId="9" hidden="1"/>
    <cellStyle name="Followed Hyperlink" xfId="6852" builtinId="9" hidden="1"/>
    <cellStyle name="Followed Hyperlink" xfId="6854" builtinId="9" hidden="1"/>
    <cellStyle name="Followed Hyperlink" xfId="6856" builtinId="9" hidden="1"/>
    <cellStyle name="Followed Hyperlink" xfId="6858" builtinId="9" hidden="1"/>
    <cellStyle name="Followed Hyperlink" xfId="6860" builtinId="9" hidden="1"/>
    <cellStyle name="Followed Hyperlink" xfId="6862" builtinId="9" hidden="1"/>
    <cellStyle name="Followed Hyperlink" xfId="6864" builtinId="9" hidden="1"/>
    <cellStyle name="Followed Hyperlink" xfId="6866" builtinId="9" hidden="1"/>
    <cellStyle name="Followed Hyperlink" xfId="6868" builtinId="9" hidden="1"/>
    <cellStyle name="Followed Hyperlink" xfId="6870" builtinId="9" hidden="1"/>
    <cellStyle name="Followed Hyperlink" xfId="6872" builtinId="9" hidden="1"/>
    <cellStyle name="Followed Hyperlink" xfId="6874" builtinId="9" hidden="1"/>
    <cellStyle name="Followed Hyperlink" xfId="6876" builtinId="9" hidden="1"/>
    <cellStyle name="Followed Hyperlink" xfId="6878" builtinId="9" hidden="1"/>
    <cellStyle name="Followed Hyperlink" xfId="6880" builtinId="9" hidden="1"/>
    <cellStyle name="Followed Hyperlink" xfId="6882" builtinId="9" hidden="1"/>
    <cellStyle name="Followed Hyperlink" xfId="6884" builtinId="9" hidden="1"/>
    <cellStyle name="Followed Hyperlink" xfId="6886" builtinId="9" hidden="1"/>
    <cellStyle name="Followed Hyperlink" xfId="6888" builtinId="9" hidden="1"/>
    <cellStyle name="Followed Hyperlink" xfId="6890" builtinId="9" hidden="1"/>
    <cellStyle name="Followed Hyperlink" xfId="6892" builtinId="9" hidden="1"/>
    <cellStyle name="Followed Hyperlink" xfId="6894" builtinId="9" hidden="1"/>
    <cellStyle name="Followed Hyperlink" xfId="6896" builtinId="9" hidden="1"/>
    <cellStyle name="Followed Hyperlink" xfId="6898" builtinId="9" hidden="1"/>
    <cellStyle name="Followed Hyperlink" xfId="6900" builtinId="9" hidden="1"/>
    <cellStyle name="Followed Hyperlink" xfId="6902" builtinId="9" hidden="1"/>
    <cellStyle name="Followed Hyperlink" xfId="6904" builtinId="9" hidden="1"/>
    <cellStyle name="Followed Hyperlink" xfId="6906" builtinId="9" hidden="1"/>
    <cellStyle name="Followed Hyperlink" xfId="6908" builtinId="9" hidden="1"/>
    <cellStyle name="Followed Hyperlink" xfId="6910" builtinId="9" hidden="1"/>
    <cellStyle name="Followed Hyperlink" xfId="6912" builtinId="9" hidden="1"/>
    <cellStyle name="Followed Hyperlink" xfId="6914" builtinId="9" hidden="1"/>
    <cellStyle name="Followed Hyperlink" xfId="6916" builtinId="9" hidden="1"/>
    <cellStyle name="Followed Hyperlink" xfId="6918" builtinId="9" hidden="1"/>
    <cellStyle name="Followed Hyperlink" xfId="6920" builtinId="9" hidden="1"/>
    <cellStyle name="Followed Hyperlink" xfId="6922" builtinId="9" hidden="1"/>
    <cellStyle name="Followed Hyperlink" xfId="6924" builtinId="9" hidden="1"/>
    <cellStyle name="Followed Hyperlink" xfId="6926" builtinId="9" hidden="1"/>
    <cellStyle name="Followed Hyperlink" xfId="6928" builtinId="9" hidden="1"/>
    <cellStyle name="Followed Hyperlink" xfId="6930" builtinId="9" hidden="1"/>
    <cellStyle name="Followed Hyperlink" xfId="6932" builtinId="9" hidden="1"/>
    <cellStyle name="Followed Hyperlink" xfId="6934" builtinId="9" hidden="1"/>
    <cellStyle name="Followed Hyperlink" xfId="6936" builtinId="9" hidden="1"/>
    <cellStyle name="Followed Hyperlink" xfId="6938" builtinId="9" hidden="1"/>
    <cellStyle name="Followed Hyperlink" xfId="6940" builtinId="9" hidden="1"/>
    <cellStyle name="Followed Hyperlink" xfId="6942" builtinId="9" hidden="1"/>
    <cellStyle name="Followed Hyperlink" xfId="6944" builtinId="9" hidden="1"/>
    <cellStyle name="Followed Hyperlink" xfId="6946" builtinId="9" hidden="1"/>
    <cellStyle name="Followed Hyperlink" xfId="6948" builtinId="9" hidden="1"/>
    <cellStyle name="Followed Hyperlink" xfId="6950" builtinId="9" hidden="1"/>
    <cellStyle name="Followed Hyperlink" xfId="6952" builtinId="9" hidden="1"/>
    <cellStyle name="Followed Hyperlink" xfId="6954" builtinId="9" hidden="1"/>
    <cellStyle name="Followed Hyperlink" xfId="6956" builtinId="9" hidden="1"/>
    <cellStyle name="Followed Hyperlink" xfId="6960" builtinId="9" hidden="1"/>
    <cellStyle name="Followed Hyperlink" xfId="6962" builtinId="9" hidden="1"/>
    <cellStyle name="Followed Hyperlink" xfId="6964" builtinId="9" hidden="1"/>
    <cellStyle name="Followed Hyperlink" xfId="6966" builtinId="9" hidden="1"/>
    <cellStyle name="Followed Hyperlink" xfId="6968" builtinId="9" hidden="1"/>
    <cellStyle name="Followed Hyperlink" xfId="6970" builtinId="9" hidden="1"/>
    <cellStyle name="Followed Hyperlink" xfId="6972" builtinId="9" hidden="1"/>
    <cellStyle name="Followed Hyperlink" xfId="6974" builtinId="9" hidden="1"/>
    <cellStyle name="Followed Hyperlink" xfId="6976" builtinId="9" hidden="1"/>
    <cellStyle name="Followed Hyperlink" xfId="6978" builtinId="9" hidden="1"/>
    <cellStyle name="Followed Hyperlink" xfId="6980" builtinId="9" hidden="1"/>
    <cellStyle name="Followed Hyperlink" xfId="6982" builtinId="9" hidden="1"/>
    <cellStyle name="Followed Hyperlink" xfId="6984" builtinId="9" hidden="1"/>
    <cellStyle name="Followed Hyperlink" xfId="6986" builtinId="9" hidden="1"/>
    <cellStyle name="Followed Hyperlink" xfId="6988" builtinId="9" hidden="1"/>
    <cellStyle name="Followed Hyperlink" xfId="6990" builtinId="9" hidden="1"/>
    <cellStyle name="Followed Hyperlink" xfId="6992" builtinId="9" hidden="1"/>
    <cellStyle name="Followed Hyperlink" xfId="6994" builtinId="9" hidden="1"/>
    <cellStyle name="Followed Hyperlink" xfId="6996" builtinId="9" hidden="1"/>
    <cellStyle name="Followed Hyperlink" xfId="6998" builtinId="9" hidden="1"/>
    <cellStyle name="Followed Hyperlink" xfId="7000" builtinId="9" hidden="1"/>
    <cellStyle name="Followed Hyperlink" xfId="7002" builtinId="9" hidden="1"/>
    <cellStyle name="Followed Hyperlink" xfId="7004" builtinId="9" hidden="1"/>
    <cellStyle name="Followed Hyperlink" xfId="7006" builtinId="9" hidden="1"/>
    <cellStyle name="Followed Hyperlink" xfId="7008" builtinId="9" hidden="1"/>
    <cellStyle name="Followed Hyperlink" xfId="7010" builtinId="9" hidden="1"/>
    <cellStyle name="Followed Hyperlink" xfId="7012" builtinId="9" hidden="1"/>
    <cellStyle name="Followed Hyperlink" xfId="7014" builtinId="9" hidden="1"/>
    <cellStyle name="Followed Hyperlink" xfId="7016" builtinId="9" hidden="1"/>
    <cellStyle name="Followed Hyperlink" xfId="7018" builtinId="9" hidden="1"/>
    <cellStyle name="Followed Hyperlink" xfId="7020" builtinId="9" hidden="1"/>
    <cellStyle name="Followed Hyperlink" xfId="7022" builtinId="9" hidden="1"/>
    <cellStyle name="Followed Hyperlink" xfId="7024" builtinId="9" hidden="1"/>
    <cellStyle name="Followed Hyperlink" xfId="7026" builtinId="9" hidden="1"/>
    <cellStyle name="Followed Hyperlink" xfId="7028" builtinId="9" hidden="1"/>
    <cellStyle name="Followed Hyperlink" xfId="7030" builtinId="9" hidden="1"/>
    <cellStyle name="Followed Hyperlink" xfId="7032" builtinId="9" hidden="1"/>
    <cellStyle name="Followed Hyperlink" xfId="7034" builtinId="9" hidden="1"/>
    <cellStyle name="Followed Hyperlink" xfId="7036" builtinId="9" hidden="1"/>
    <cellStyle name="Followed Hyperlink" xfId="7038" builtinId="9" hidden="1"/>
    <cellStyle name="Followed Hyperlink" xfId="7040" builtinId="9" hidden="1"/>
    <cellStyle name="Followed Hyperlink" xfId="7042" builtinId="9" hidden="1"/>
    <cellStyle name="Followed Hyperlink" xfId="7044" builtinId="9" hidden="1"/>
    <cellStyle name="Followed Hyperlink" xfId="7046" builtinId="9" hidden="1"/>
    <cellStyle name="Followed Hyperlink" xfId="7048" builtinId="9" hidden="1"/>
    <cellStyle name="Followed Hyperlink" xfId="7050" builtinId="9" hidden="1"/>
    <cellStyle name="Followed Hyperlink" xfId="7052" builtinId="9" hidden="1"/>
    <cellStyle name="Followed Hyperlink" xfId="7054" builtinId="9" hidden="1"/>
    <cellStyle name="Followed Hyperlink" xfId="7056" builtinId="9" hidden="1"/>
    <cellStyle name="Followed Hyperlink" xfId="7058" builtinId="9" hidden="1"/>
    <cellStyle name="Followed Hyperlink" xfId="7060" builtinId="9" hidden="1"/>
    <cellStyle name="Followed Hyperlink" xfId="7062" builtinId="9" hidden="1"/>
    <cellStyle name="Followed Hyperlink" xfId="7064" builtinId="9" hidden="1"/>
    <cellStyle name="Followed Hyperlink" xfId="7066" builtinId="9" hidden="1"/>
    <cellStyle name="Followed Hyperlink" xfId="7068" builtinId="9" hidden="1"/>
    <cellStyle name="Followed Hyperlink" xfId="7070" builtinId="9" hidden="1"/>
    <cellStyle name="Followed Hyperlink" xfId="7072" builtinId="9" hidden="1"/>
    <cellStyle name="Followed Hyperlink" xfId="7074" builtinId="9" hidden="1"/>
    <cellStyle name="Followed Hyperlink" xfId="7076" builtinId="9" hidden="1"/>
    <cellStyle name="Followed Hyperlink" xfId="7078" builtinId="9" hidden="1"/>
    <cellStyle name="Followed Hyperlink" xfId="7080" builtinId="9" hidden="1"/>
    <cellStyle name="Followed Hyperlink" xfId="7082" builtinId="9" hidden="1"/>
    <cellStyle name="Followed Hyperlink" xfId="7084" builtinId="9" hidden="1"/>
    <cellStyle name="Followed Hyperlink" xfId="7086" builtinId="9" hidden="1"/>
    <cellStyle name="Followed Hyperlink" xfId="7088" builtinId="9" hidden="1"/>
    <cellStyle name="Followed Hyperlink" xfId="7090" builtinId="9" hidden="1"/>
    <cellStyle name="Followed Hyperlink" xfId="7092" builtinId="9" hidden="1"/>
    <cellStyle name="Followed Hyperlink" xfId="7094" builtinId="9" hidden="1"/>
    <cellStyle name="Followed Hyperlink" xfId="7096" builtinId="9" hidden="1"/>
    <cellStyle name="Followed Hyperlink" xfId="7098" builtinId="9" hidden="1"/>
    <cellStyle name="Followed Hyperlink" xfId="7100" builtinId="9" hidden="1"/>
    <cellStyle name="Followed Hyperlink" xfId="7102" builtinId="9" hidden="1"/>
    <cellStyle name="Followed Hyperlink" xfId="7104" builtinId="9" hidden="1"/>
    <cellStyle name="Followed Hyperlink" xfId="7106" builtinId="9" hidden="1"/>
    <cellStyle name="Followed Hyperlink" xfId="7108" builtinId="9" hidden="1"/>
    <cellStyle name="Followed Hyperlink" xfId="7110" builtinId="9" hidden="1"/>
    <cellStyle name="Followed Hyperlink" xfId="7112" builtinId="9" hidden="1"/>
    <cellStyle name="Followed Hyperlink" xfId="7114" builtinId="9" hidden="1"/>
    <cellStyle name="Followed Hyperlink" xfId="7116" builtinId="9" hidden="1"/>
    <cellStyle name="Followed Hyperlink" xfId="7118" builtinId="9" hidden="1"/>
    <cellStyle name="Followed Hyperlink" xfId="7120" builtinId="9" hidden="1"/>
    <cellStyle name="Followed Hyperlink" xfId="7122" builtinId="9" hidden="1"/>
    <cellStyle name="Followed Hyperlink" xfId="7124" builtinId="9" hidden="1"/>
    <cellStyle name="Followed Hyperlink" xfId="7126" builtinId="9" hidden="1"/>
    <cellStyle name="Followed Hyperlink" xfId="7128" builtinId="9" hidden="1"/>
    <cellStyle name="Followed Hyperlink" xfId="7130" builtinId="9" hidden="1"/>
    <cellStyle name="Followed Hyperlink" xfId="7132" builtinId="9" hidden="1"/>
    <cellStyle name="Followed Hyperlink" xfId="7134" builtinId="9" hidden="1"/>
    <cellStyle name="Followed Hyperlink" xfId="7136" builtinId="9" hidden="1"/>
    <cellStyle name="Followed Hyperlink" xfId="7138" builtinId="9" hidden="1"/>
    <cellStyle name="Followed Hyperlink" xfId="7140" builtinId="9" hidden="1"/>
    <cellStyle name="Followed Hyperlink" xfId="7142" builtinId="9" hidden="1"/>
    <cellStyle name="Followed Hyperlink" xfId="7144" builtinId="9" hidden="1"/>
    <cellStyle name="Followed Hyperlink" xfId="7146" builtinId="9" hidden="1"/>
    <cellStyle name="Followed Hyperlink" xfId="7148" builtinId="9" hidden="1"/>
    <cellStyle name="Followed Hyperlink" xfId="7150" builtinId="9" hidden="1"/>
    <cellStyle name="Followed Hyperlink" xfId="7152" builtinId="9" hidden="1"/>
    <cellStyle name="Followed Hyperlink" xfId="7154" builtinId="9" hidden="1"/>
    <cellStyle name="Followed Hyperlink" xfId="7156" builtinId="9" hidden="1"/>
    <cellStyle name="Followed Hyperlink" xfId="7158" builtinId="9" hidden="1"/>
    <cellStyle name="Followed Hyperlink" xfId="7160" builtinId="9" hidden="1"/>
    <cellStyle name="Followed Hyperlink" xfId="7162" builtinId="9" hidden="1"/>
    <cellStyle name="Followed Hyperlink" xfId="7164" builtinId="9" hidden="1"/>
    <cellStyle name="Followed Hyperlink" xfId="7166" builtinId="9" hidden="1"/>
    <cellStyle name="Followed Hyperlink" xfId="7168" builtinId="9" hidden="1"/>
    <cellStyle name="Followed Hyperlink" xfId="7170" builtinId="9" hidden="1"/>
    <cellStyle name="Followed Hyperlink" xfId="7172" builtinId="9" hidden="1"/>
    <cellStyle name="Followed Hyperlink" xfId="7174" builtinId="9" hidden="1"/>
    <cellStyle name="Followed Hyperlink" xfId="7176" builtinId="9" hidden="1"/>
    <cellStyle name="Followed Hyperlink" xfId="7178" builtinId="9" hidden="1"/>
    <cellStyle name="Followed Hyperlink" xfId="7177" builtinId="9" hidden="1"/>
    <cellStyle name="Followed Hyperlink" xfId="7173" builtinId="9" hidden="1"/>
    <cellStyle name="Followed Hyperlink" xfId="7169" builtinId="9" hidden="1"/>
    <cellStyle name="Followed Hyperlink" xfId="7165" builtinId="9" hidden="1"/>
    <cellStyle name="Followed Hyperlink" xfId="7161" builtinId="9" hidden="1"/>
    <cellStyle name="Followed Hyperlink" xfId="7157" builtinId="9" hidden="1"/>
    <cellStyle name="Followed Hyperlink" xfId="7153" builtinId="9" hidden="1"/>
    <cellStyle name="Followed Hyperlink" xfId="7149" builtinId="9" hidden="1"/>
    <cellStyle name="Followed Hyperlink" xfId="7145" builtinId="9" hidden="1"/>
    <cellStyle name="Followed Hyperlink" xfId="7141" builtinId="9" hidden="1"/>
    <cellStyle name="Followed Hyperlink" xfId="7137" builtinId="9" hidden="1"/>
    <cellStyle name="Followed Hyperlink" xfId="7133" builtinId="9" hidden="1"/>
    <cellStyle name="Followed Hyperlink" xfId="7129" builtinId="9" hidden="1"/>
    <cellStyle name="Followed Hyperlink" xfId="7125" builtinId="9" hidden="1"/>
    <cellStyle name="Followed Hyperlink" xfId="7121" builtinId="9" hidden="1"/>
    <cellStyle name="Followed Hyperlink" xfId="7117" builtinId="9" hidden="1"/>
    <cellStyle name="Followed Hyperlink" xfId="7113" builtinId="9" hidden="1"/>
    <cellStyle name="Followed Hyperlink" xfId="7109" builtinId="9" hidden="1"/>
    <cellStyle name="Followed Hyperlink" xfId="7105" builtinId="9" hidden="1"/>
    <cellStyle name="Followed Hyperlink" xfId="7101" builtinId="9" hidden="1"/>
    <cellStyle name="Followed Hyperlink" xfId="7097" builtinId="9" hidden="1"/>
    <cellStyle name="Followed Hyperlink" xfId="7093" builtinId="9" hidden="1"/>
    <cellStyle name="Followed Hyperlink" xfId="7089" builtinId="9" hidden="1"/>
    <cellStyle name="Followed Hyperlink" xfId="7085" builtinId="9" hidden="1"/>
    <cellStyle name="Followed Hyperlink" xfId="7081" builtinId="9" hidden="1"/>
    <cellStyle name="Followed Hyperlink" xfId="7077" builtinId="9" hidden="1"/>
    <cellStyle name="Followed Hyperlink" xfId="7073" builtinId="9" hidden="1"/>
    <cellStyle name="Followed Hyperlink" xfId="7069" builtinId="9" hidden="1"/>
    <cellStyle name="Followed Hyperlink" xfId="7065" builtinId="9" hidden="1"/>
    <cellStyle name="Followed Hyperlink" xfId="7061" builtinId="9" hidden="1"/>
    <cellStyle name="Followed Hyperlink" xfId="7057" builtinId="9" hidden="1"/>
    <cellStyle name="Followed Hyperlink" xfId="7053" builtinId="9" hidden="1"/>
    <cellStyle name="Followed Hyperlink" xfId="7049" builtinId="9" hidden="1"/>
    <cellStyle name="Followed Hyperlink" xfId="7045" builtinId="9" hidden="1"/>
    <cellStyle name="Followed Hyperlink" xfId="7041" builtinId="9" hidden="1"/>
    <cellStyle name="Followed Hyperlink" xfId="7037" builtinId="9" hidden="1"/>
    <cellStyle name="Followed Hyperlink" xfId="7033" builtinId="9" hidden="1"/>
    <cellStyle name="Followed Hyperlink" xfId="7029" builtinId="9" hidden="1"/>
    <cellStyle name="Followed Hyperlink" xfId="7025" builtinId="9" hidden="1"/>
    <cellStyle name="Followed Hyperlink" xfId="7021" builtinId="9" hidden="1"/>
    <cellStyle name="Followed Hyperlink" xfId="7017" builtinId="9" hidden="1"/>
    <cellStyle name="Followed Hyperlink" xfId="7013" builtinId="9" hidden="1"/>
    <cellStyle name="Followed Hyperlink" xfId="7009" builtinId="9" hidden="1"/>
    <cellStyle name="Followed Hyperlink" xfId="7005" builtinId="9" hidden="1"/>
    <cellStyle name="Followed Hyperlink" xfId="7001" builtinId="9" hidden="1"/>
    <cellStyle name="Followed Hyperlink" xfId="6997" builtinId="9" hidden="1"/>
    <cellStyle name="Followed Hyperlink" xfId="6993" builtinId="9" hidden="1"/>
    <cellStyle name="Followed Hyperlink" xfId="6989" builtinId="9" hidden="1"/>
    <cellStyle name="Followed Hyperlink" xfId="6985" builtinId="9" hidden="1"/>
    <cellStyle name="Followed Hyperlink" xfId="6981" builtinId="9" hidden="1"/>
    <cellStyle name="Followed Hyperlink" xfId="6977" builtinId="9" hidden="1"/>
    <cellStyle name="Followed Hyperlink" xfId="6973" builtinId="9" hidden="1"/>
    <cellStyle name="Followed Hyperlink" xfId="6969" builtinId="9" hidden="1"/>
    <cellStyle name="Followed Hyperlink" xfId="6965" builtinId="9" hidden="1"/>
    <cellStyle name="Followed Hyperlink" xfId="6961" builtinId="9" hidden="1"/>
    <cellStyle name="Followed Hyperlink" xfId="7179" builtinId="9" hidden="1"/>
    <cellStyle name="Followed Hyperlink" xfId="6737" builtinId="9" hidden="1"/>
    <cellStyle name="Followed Hyperlink" xfId="7180" builtinId="9" hidden="1"/>
    <cellStyle name="Followed Hyperlink" xfId="7184" builtinId="9" hidden="1"/>
    <cellStyle name="Followed Hyperlink" xfId="7186" builtinId="9" hidden="1"/>
    <cellStyle name="Followed Hyperlink" xfId="7188" builtinId="9" hidden="1"/>
    <cellStyle name="Followed Hyperlink" xfId="7190" builtinId="9" hidden="1"/>
    <cellStyle name="Followed Hyperlink" xfId="7192" builtinId="9" hidden="1"/>
    <cellStyle name="Followed Hyperlink" xfId="7194" builtinId="9" hidden="1"/>
    <cellStyle name="Followed Hyperlink" xfId="7196" builtinId="9" hidden="1"/>
    <cellStyle name="Followed Hyperlink" xfId="7198" builtinId="9" hidden="1"/>
    <cellStyle name="Followed Hyperlink" xfId="7200" builtinId="9" hidden="1"/>
    <cellStyle name="Followed Hyperlink" xfId="7202" builtinId="9" hidden="1"/>
    <cellStyle name="Followed Hyperlink" xfId="7204" builtinId="9" hidden="1"/>
    <cellStyle name="Followed Hyperlink" xfId="7206" builtinId="9" hidden="1"/>
    <cellStyle name="Followed Hyperlink" xfId="7208" builtinId="9" hidden="1"/>
    <cellStyle name="Followed Hyperlink" xfId="7210" builtinId="9" hidden="1"/>
    <cellStyle name="Followed Hyperlink" xfId="7212" builtinId="9" hidden="1"/>
    <cellStyle name="Followed Hyperlink" xfId="7214" builtinId="9" hidden="1"/>
    <cellStyle name="Followed Hyperlink" xfId="7216" builtinId="9" hidden="1"/>
    <cellStyle name="Followed Hyperlink" xfId="7218" builtinId="9" hidden="1"/>
    <cellStyle name="Followed Hyperlink" xfId="7220" builtinId="9" hidden="1"/>
    <cellStyle name="Followed Hyperlink" xfId="7222" builtinId="9" hidden="1"/>
    <cellStyle name="Followed Hyperlink" xfId="7224" builtinId="9" hidden="1"/>
    <cellStyle name="Followed Hyperlink" xfId="7226" builtinId="9" hidden="1"/>
    <cellStyle name="Followed Hyperlink" xfId="7228" builtinId="9" hidden="1"/>
    <cellStyle name="Followed Hyperlink" xfId="7230" builtinId="9" hidden="1"/>
    <cellStyle name="Followed Hyperlink" xfId="7232" builtinId="9" hidden="1"/>
    <cellStyle name="Followed Hyperlink" xfId="7234" builtinId="9" hidden="1"/>
    <cellStyle name="Followed Hyperlink" xfId="7236" builtinId="9" hidden="1"/>
    <cellStyle name="Followed Hyperlink" xfId="7238" builtinId="9" hidden="1"/>
    <cellStyle name="Followed Hyperlink" xfId="7240" builtinId="9" hidden="1"/>
    <cellStyle name="Followed Hyperlink" xfId="7242" builtinId="9" hidden="1"/>
    <cellStyle name="Followed Hyperlink" xfId="7244" builtinId="9" hidden="1"/>
    <cellStyle name="Followed Hyperlink" xfId="7246" builtinId="9" hidden="1"/>
    <cellStyle name="Followed Hyperlink" xfId="7248" builtinId="9" hidden="1"/>
    <cellStyle name="Followed Hyperlink" xfId="7250" builtinId="9" hidden="1"/>
    <cellStyle name="Followed Hyperlink" xfId="7252" builtinId="9" hidden="1"/>
    <cellStyle name="Followed Hyperlink" xfId="7254" builtinId="9" hidden="1"/>
    <cellStyle name="Followed Hyperlink" xfId="7256" builtinId="9" hidden="1"/>
    <cellStyle name="Followed Hyperlink" xfId="7258" builtinId="9" hidden="1"/>
    <cellStyle name="Followed Hyperlink" xfId="7260" builtinId="9" hidden="1"/>
    <cellStyle name="Followed Hyperlink" xfId="7262" builtinId="9" hidden="1"/>
    <cellStyle name="Followed Hyperlink" xfId="7264" builtinId="9" hidden="1"/>
    <cellStyle name="Followed Hyperlink" xfId="7266" builtinId="9" hidden="1"/>
    <cellStyle name="Followed Hyperlink" xfId="7268" builtinId="9" hidden="1"/>
    <cellStyle name="Followed Hyperlink" xfId="7270" builtinId="9" hidden="1"/>
    <cellStyle name="Followed Hyperlink" xfId="7272" builtinId="9" hidden="1"/>
    <cellStyle name="Followed Hyperlink" xfId="7274" builtinId="9" hidden="1"/>
    <cellStyle name="Followed Hyperlink" xfId="7276" builtinId="9" hidden="1"/>
    <cellStyle name="Followed Hyperlink" xfId="7278" builtinId="9" hidden="1"/>
    <cellStyle name="Followed Hyperlink" xfId="7280" builtinId="9" hidden="1"/>
    <cellStyle name="Followed Hyperlink" xfId="7282" builtinId="9" hidden="1"/>
    <cellStyle name="Followed Hyperlink" xfId="7284" builtinId="9" hidden="1"/>
    <cellStyle name="Followed Hyperlink" xfId="7286" builtinId="9" hidden="1"/>
    <cellStyle name="Followed Hyperlink" xfId="7288" builtinId="9" hidden="1"/>
    <cellStyle name="Followed Hyperlink" xfId="7289" builtinId="9" hidden="1"/>
    <cellStyle name="Followed Hyperlink" xfId="7290" builtinId="9" hidden="1"/>
    <cellStyle name="Followed Hyperlink" xfId="7291" builtinId="9" hidden="1"/>
    <cellStyle name="Followed Hyperlink" xfId="7292" builtinId="9" hidden="1"/>
    <cellStyle name="Followed Hyperlink" xfId="7293" builtinId="9" hidden="1"/>
    <cellStyle name="Followed Hyperlink" xfId="7294" builtinId="9" hidden="1"/>
    <cellStyle name="Followed Hyperlink" xfId="7295" builtinId="9" hidden="1"/>
    <cellStyle name="Followed Hyperlink" xfId="7296" builtinId="9" hidden="1"/>
    <cellStyle name="Followed Hyperlink" xfId="7297" builtinId="9" hidden="1"/>
    <cellStyle name="Followed Hyperlink" xfId="7298" builtinId="9" hidden="1"/>
    <cellStyle name="Followed Hyperlink" xfId="7299" builtinId="9" hidden="1"/>
    <cellStyle name="Followed Hyperlink" xfId="7300" builtinId="9" hidden="1"/>
    <cellStyle name="Followed Hyperlink" xfId="7301" builtinId="9" hidden="1"/>
    <cellStyle name="Followed Hyperlink" xfId="7302" builtinId="9" hidden="1"/>
    <cellStyle name="Followed Hyperlink" xfId="7303" builtinId="9" hidden="1"/>
    <cellStyle name="Followed Hyperlink" xfId="7304" builtinId="9" hidden="1"/>
    <cellStyle name="Followed Hyperlink" xfId="7305" builtinId="9" hidden="1"/>
    <cellStyle name="Followed Hyperlink" xfId="7306" builtinId="9" hidden="1"/>
    <cellStyle name="Followed Hyperlink" xfId="7307" builtinId="9" hidden="1"/>
    <cellStyle name="Followed Hyperlink" xfId="7308" builtinId="9" hidden="1"/>
    <cellStyle name="Followed Hyperlink" xfId="7309" builtinId="9" hidden="1"/>
    <cellStyle name="Followed Hyperlink" xfId="7310" builtinId="9" hidden="1"/>
    <cellStyle name="Followed Hyperlink" xfId="7311" builtinId="9" hidden="1"/>
    <cellStyle name="Followed Hyperlink" xfId="7312" builtinId="9" hidden="1"/>
    <cellStyle name="Followed Hyperlink" xfId="7313" builtinId="9" hidden="1"/>
    <cellStyle name="Followed Hyperlink" xfId="7314" builtinId="9" hidden="1"/>
    <cellStyle name="Followed Hyperlink" xfId="7315" builtinId="9" hidden="1"/>
    <cellStyle name="Followed Hyperlink" xfId="7316" builtinId="9" hidden="1"/>
    <cellStyle name="Followed Hyperlink" xfId="7317" builtinId="9" hidden="1"/>
    <cellStyle name="Followed Hyperlink" xfId="7318" builtinId="9" hidden="1"/>
    <cellStyle name="Followed Hyperlink" xfId="7319" builtinId="9" hidden="1"/>
    <cellStyle name="Followed Hyperlink" xfId="7320" builtinId="9" hidden="1"/>
    <cellStyle name="Followed Hyperlink" xfId="7321" builtinId="9" hidden="1"/>
    <cellStyle name="Followed Hyperlink" xfId="7322" builtinId="9" hidden="1"/>
    <cellStyle name="Followed Hyperlink" xfId="7323" builtinId="9" hidden="1"/>
    <cellStyle name="Followed Hyperlink" xfId="7324" builtinId="9" hidden="1"/>
    <cellStyle name="Followed Hyperlink" xfId="7325" builtinId="9" hidden="1"/>
    <cellStyle name="Followed Hyperlink" xfId="7326" builtinId="9" hidden="1"/>
    <cellStyle name="Followed Hyperlink" xfId="7327" builtinId="9" hidden="1"/>
    <cellStyle name="Followed Hyperlink" xfId="7328" builtinId="9" hidden="1"/>
    <cellStyle name="Followed Hyperlink" xfId="7329" builtinId="9" hidden="1"/>
    <cellStyle name="Followed Hyperlink" xfId="7330" builtinId="9" hidden="1"/>
    <cellStyle name="Followed Hyperlink" xfId="7331" builtinId="9" hidden="1"/>
    <cellStyle name="Followed Hyperlink" xfId="7332" builtinId="9" hidden="1"/>
    <cellStyle name="Followed Hyperlink" xfId="7333" builtinId="9" hidden="1"/>
    <cellStyle name="Followed Hyperlink" xfId="7334" builtinId="9" hidden="1"/>
    <cellStyle name="Followed Hyperlink" xfId="7335" builtinId="9" hidden="1"/>
    <cellStyle name="Followed Hyperlink" xfId="7336" builtinId="9" hidden="1"/>
    <cellStyle name="Followed Hyperlink" xfId="7337" builtinId="9" hidden="1"/>
    <cellStyle name="Followed Hyperlink" xfId="7338" builtinId="9" hidden="1"/>
    <cellStyle name="Followed Hyperlink" xfId="7339" builtinId="9" hidden="1"/>
    <cellStyle name="Followed Hyperlink" xfId="7340" builtinId="9" hidden="1"/>
    <cellStyle name="Followed Hyperlink" xfId="7341" builtinId="9" hidden="1"/>
    <cellStyle name="Followed Hyperlink" xfId="7342" builtinId="9" hidden="1"/>
    <cellStyle name="Followed Hyperlink" xfId="7343" builtinId="9" hidden="1"/>
    <cellStyle name="Followed Hyperlink" xfId="7344" builtinId="9" hidden="1"/>
    <cellStyle name="Followed Hyperlink" xfId="7345" builtinId="9" hidden="1"/>
    <cellStyle name="Followed Hyperlink" xfId="7346" builtinId="9" hidden="1"/>
    <cellStyle name="Followed Hyperlink" xfId="7347" builtinId="9" hidden="1"/>
    <cellStyle name="Followed Hyperlink" xfId="7348" builtinId="9" hidden="1"/>
    <cellStyle name="Followed Hyperlink" xfId="7349" builtinId="9" hidden="1"/>
    <cellStyle name="Followed Hyperlink" xfId="7350" builtinId="9" hidden="1"/>
    <cellStyle name="Followed Hyperlink" xfId="7351" builtinId="9" hidden="1"/>
    <cellStyle name="Followed Hyperlink" xfId="7352" builtinId="9" hidden="1"/>
    <cellStyle name="Followed Hyperlink" xfId="7353" builtinId="9" hidden="1"/>
    <cellStyle name="Followed Hyperlink" xfId="7354" builtinId="9" hidden="1"/>
    <cellStyle name="Followed Hyperlink" xfId="7355" builtinId="9" hidden="1"/>
    <cellStyle name="Followed Hyperlink" xfId="7356" builtinId="9" hidden="1"/>
    <cellStyle name="Followed Hyperlink" xfId="7357" builtinId="9" hidden="1"/>
    <cellStyle name="Followed Hyperlink" xfId="7358" builtinId="9" hidden="1"/>
    <cellStyle name="Followed Hyperlink" xfId="7359" builtinId="9" hidden="1"/>
    <cellStyle name="Followed Hyperlink" xfId="7360" builtinId="9" hidden="1"/>
    <cellStyle name="Followed Hyperlink" xfId="7361" builtinId="9" hidden="1"/>
    <cellStyle name="Followed Hyperlink" xfId="7362" builtinId="9" hidden="1"/>
    <cellStyle name="Followed Hyperlink" xfId="7363" builtinId="9" hidden="1"/>
    <cellStyle name="Followed Hyperlink" xfId="7364" builtinId="9" hidden="1"/>
    <cellStyle name="Followed Hyperlink" xfId="7365" builtinId="9" hidden="1"/>
    <cellStyle name="Followed Hyperlink" xfId="7366" builtinId="9" hidden="1"/>
    <cellStyle name="Followed Hyperlink" xfId="7367" builtinId="9" hidden="1"/>
    <cellStyle name="Followed Hyperlink" xfId="7368" builtinId="9" hidden="1"/>
    <cellStyle name="Followed Hyperlink" xfId="7369" builtinId="9" hidden="1"/>
    <cellStyle name="Followed Hyperlink" xfId="7370" builtinId="9" hidden="1"/>
    <cellStyle name="Followed Hyperlink" xfId="7371" builtinId="9" hidden="1"/>
    <cellStyle name="Followed Hyperlink" xfId="7372" builtinId="9" hidden="1"/>
    <cellStyle name="Followed Hyperlink" xfId="7373" builtinId="9" hidden="1"/>
    <cellStyle name="Followed Hyperlink" xfId="7374" builtinId="9" hidden="1"/>
    <cellStyle name="Followed Hyperlink" xfId="7375" builtinId="9" hidden="1"/>
    <cellStyle name="Followed Hyperlink" xfId="7376" builtinId="9" hidden="1"/>
    <cellStyle name="Followed Hyperlink" xfId="7377" builtinId="9" hidden="1"/>
    <cellStyle name="Followed Hyperlink" xfId="7378" builtinId="9" hidden="1"/>
    <cellStyle name="Followed Hyperlink" xfId="7379" builtinId="9" hidden="1"/>
    <cellStyle name="Followed Hyperlink" xfId="7380" builtinId="9" hidden="1"/>
    <cellStyle name="Followed Hyperlink" xfId="7381" builtinId="9" hidden="1"/>
    <cellStyle name="Followed Hyperlink" xfId="7382" builtinId="9" hidden="1"/>
    <cellStyle name="Followed Hyperlink" xfId="7383" builtinId="9" hidden="1"/>
    <cellStyle name="Followed Hyperlink" xfId="7384" builtinId="9" hidden="1"/>
    <cellStyle name="Followed Hyperlink" xfId="7385" builtinId="9" hidden="1"/>
    <cellStyle name="Followed Hyperlink" xfId="7386" builtinId="9" hidden="1"/>
    <cellStyle name="Followed Hyperlink" xfId="7387" builtinId="9" hidden="1"/>
    <cellStyle name="Followed Hyperlink" xfId="7388" builtinId="9" hidden="1"/>
    <cellStyle name="Followed Hyperlink" xfId="7389" builtinId="9" hidden="1"/>
    <cellStyle name="Followed Hyperlink" xfId="7390" builtinId="9" hidden="1"/>
    <cellStyle name="Followed Hyperlink" xfId="7391" builtinId="9" hidden="1"/>
    <cellStyle name="Followed Hyperlink" xfId="7392" builtinId="9" hidden="1"/>
    <cellStyle name="Followed Hyperlink" xfId="7393" builtinId="9" hidden="1"/>
    <cellStyle name="Followed Hyperlink" xfId="7394" builtinId="9" hidden="1"/>
    <cellStyle name="Followed Hyperlink" xfId="7395" builtinId="9" hidden="1"/>
    <cellStyle name="Followed Hyperlink" xfId="7396" builtinId="9" hidden="1"/>
    <cellStyle name="Followed Hyperlink" xfId="7397" builtinId="9" hidden="1"/>
    <cellStyle name="Followed Hyperlink" xfId="7398" builtinId="9" hidden="1"/>
    <cellStyle name="Followed Hyperlink" xfId="7399" builtinId="9" hidden="1"/>
    <cellStyle name="Followed Hyperlink" xfId="7400" builtinId="9" hidden="1"/>
    <cellStyle name="Followed Hyperlink" xfId="7401" builtinId="9" hidden="1"/>
    <cellStyle name="Followed Hyperlink" xfId="7402" builtinId="9" hidden="1"/>
    <cellStyle name="Followed Hyperlink" xfId="7403" builtinId="9" hidden="1"/>
    <cellStyle name="Followed Hyperlink" xfId="7404" builtinId="9" hidden="1"/>
    <cellStyle name="Followed Hyperlink" xfId="7405" builtinId="9" hidden="1"/>
    <cellStyle name="Followed Hyperlink" xfId="7406" builtinId="9" hidden="1"/>
    <cellStyle name="Followed Hyperlink" xfId="7407" builtinId="9" hidden="1"/>
    <cellStyle name="Followed Hyperlink" xfId="7408" builtinId="9" hidden="1"/>
    <cellStyle name="Followed Hyperlink" xfId="7409" builtinId="9" hidden="1"/>
    <cellStyle name="Followed Hyperlink" xfId="7410" builtinId="9" hidden="1"/>
    <cellStyle name="Followed Hyperlink" xfId="7411" builtinId="9" hidden="1"/>
    <cellStyle name="Followed Hyperlink" xfId="7412" builtinId="9" hidden="1"/>
    <cellStyle name="Followed Hyperlink" xfId="7413" builtinId="9" hidden="1"/>
    <cellStyle name="Followed Hyperlink" xfId="7414" builtinId="9" hidden="1"/>
    <cellStyle name="Followed Hyperlink" xfId="7415" builtinId="9" hidden="1"/>
    <cellStyle name="Followed Hyperlink" xfId="7416" builtinId="9" hidden="1"/>
    <cellStyle name="Followed Hyperlink" xfId="7417" builtinId="9" hidden="1"/>
    <cellStyle name="Followed Hyperlink" xfId="7418" builtinId="9" hidden="1"/>
    <cellStyle name="Followed Hyperlink" xfId="7419" builtinId="9" hidden="1"/>
    <cellStyle name="Followed Hyperlink" xfId="7420" builtinId="9" hidden="1"/>
    <cellStyle name="Followed Hyperlink" xfId="7421" builtinId="9" hidden="1"/>
    <cellStyle name="Followed Hyperlink" xfId="7422" builtinId="9" hidden="1"/>
    <cellStyle name="Followed Hyperlink" xfId="7423" builtinId="9" hidden="1"/>
    <cellStyle name="Followed Hyperlink" xfId="7424" builtinId="9" hidden="1"/>
    <cellStyle name="Followed Hyperlink" xfId="7425" builtinId="9" hidden="1"/>
    <cellStyle name="Followed Hyperlink" xfId="7426" builtinId="9" hidden="1"/>
    <cellStyle name="Followed Hyperlink" xfId="7427" builtinId="9" hidden="1"/>
    <cellStyle name="Followed Hyperlink" xfId="7428" builtinId="9" hidden="1"/>
    <cellStyle name="Followed Hyperlink" xfId="7429" builtinId="9" hidden="1"/>
    <cellStyle name="Followed Hyperlink" xfId="7430" builtinId="9" hidden="1"/>
    <cellStyle name="Followed Hyperlink" xfId="7431" builtinId="9" hidden="1"/>
    <cellStyle name="Followed Hyperlink" xfId="7432" builtinId="9" hidden="1"/>
    <cellStyle name="Followed Hyperlink" xfId="7433" builtinId="9" hidden="1"/>
    <cellStyle name="Followed Hyperlink" xfId="7434" builtinId="9" hidden="1"/>
    <cellStyle name="Followed Hyperlink" xfId="7435" builtinId="9" hidden="1"/>
    <cellStyle name="Followed Hyperlink" xfId="7436" builtinId="9" hidden="1"/>
    <cellStyle name="Followed Hyperlink" xfId="7437" builtinId="9" hidden="1"/>
    <cellStyle name="Followed Hyperlink" xfId="7438" builtinId="9" hidden="1"/>
    <cellStyle name="Followed Hyperlink" xfId="7439" builtinId="9" hidden="1"/>
    <cellStyle name="Followed Hyperlink" xfId="7440" builtinId="9" hidden="1"/>
    <cellStyle name="Followed Hyperlink" xfId="7441" builtinId="9" hidden="1"/>
    <cellStyle name="Followed Hyperlink" xfId="7442" builtinId="9" hidden="1"/>
    <cellStyle name="Followed Hyperlink" xfId="7443" builtinId="9" hidden="1"/>
    <cellStyle name="Followed Hyperlink" xfId="7444" builtinId="9" hidden="1"/>
    <cellStyle name="Followed Hyperlink" xfId="7445" builtinId="9" hidden="1"/>
    <cellStyle name="Followed Hyperlink" xfId="7446" builtinId="9" hidden="1"/>
    <cellStyle name="Followed Hyperlink" xfId="7447" builtinId="9" hidden="1"/>
    <cellStyle name="Followed Hyperlink" xfId="7448" builtinId="9" hidden="1"/>
    <cellStyle name="Followed Hyperlink" xfId="7449" builtinId="9" hidden="1"/>
    <cellStyle name="Followed Hyperlink" xfId="7450" builtinId="9" hidden="1"/>
    <cellStyle name="Followed Hyperlink" xfId="7451" builtinId="9" hidden="1"/>
    <cellStyle name="Followed Hyperlink" xfId="7452" builtinId="9" hidden="1"/>
    <cellStyle name="Followed Hyperlink" xfId="7453" builtinId="9" hidden="1"/>
    <cellStyle name="Followed Hyperlink" xfId="7454" builtinId="9" hidden="1"/>
    <cellStyle name="Followed Hyperlink" xfId="7455" builtinId="9" hidden="1"/>
    <cellStyle name="Followed Hyperlink" xfId="7456" builtinId="9" hidden="1"/>
    <cellStyle name="Followed Hyperlink" xfId="7457" builtinId="9" hidden="1"/>
    <cellStyle name="Followed Hyperlink" xfId="7458" builtinId="9" hidden="1"/>
    <cellStyle name="Followed Hyperlink" xfId="7459" builtinId="9" hidden="1"/>
    <cellStyle name="Followed Hyperlink" xfId="7460" builtinId="9" hidden="1"/>
    <cellStyle name="Followed Hyperlink" xfId="7461" builtinId="9" hidden="1"/>
    <cellStyle name="Followed Hyperlink" xfId="7462" builtinId="9" hidden="1"/>
    <cellStyle name="Followed Hyperlink" xfId="7463" builtinId="9" hidden="1"/>
    <cellStyle name="Followed Hyperlink" xfId="7464" builtinId="9" hidden="1"/>
    <cellStyle name="Followed Hyperlink" xfId="7465" builtinId="9" hidden="1"/>
    <cellStyle name="Followed Hyperlink" xfId="7466" builtinId="9" hidden="1"/>
    <cellStyle name="Followed Hyperlink" xfId="7467" builtinId="9" hidden="1"/>
    <cellStyle name="Followed Hyperlink" xfId="7468" builtinId="9" hidden="1"/>
    <cellStyle name="Followed Hyperlink" xfId="7469" builtinId="9" hidden="1"/>
    <cellStyle name="Followed Hyperlink" xfId="7470" builtinId="9" hidden="1"/>
    <cellStyle name="Followed Hyperlink" xfId="7471" builtinId="9" hidden="1"/>
    <cellStyle name="Followed Hyperlink" xfId="7472" builtinId="9" hidden="1"/>
    <cellStyle name="Followed Hyperlink" xfId="7473" builtinId="9" hidden="1"/>
    <cellStyle name="Followed Hyperlink" xfId="7474" builtinId="9" hidden="1"/>
    <cellStyle name="Followed Hyperlink" xfId="7475" builtinId="9" hidden="1"/>
    <cellStyle name="Followed Hyperlink" xfId="7476" builtinId="9" hidden="1"/>
    <cellStyle name="Followed Hyperlink" xfId="7477" builtinId="9" hidden="1"/>
    <cellStyle name="Followed Hyperlink" xfId="7478" builtinId="9" hidden="1"/>
    <cellStyle name="Followed Hyperlink" xfId="7479" builtinId="9" hidden="1"/>
    <cellStyle name="Followed Hyperlink" xfId="7480" builtinId="9" hidden="1"/>
    <cellStyle name="Followed Hyperlink" xfId="7481" builtinId="9" hidden="1"/>
    <cellStyle name="Followed Hyperlink" xfId="7482" builtinId="9" hidden="1"/>
    <cellStyle name="Followed Hyperlink" xfId="7483" builtinId="9" hidden="1"/>
    <cellStyle name="Followed Hyperlink" xfId="7484" builtinId="9" hidden="1"/>
    <cellStyle name="Followed Hyperlink" xfId="7485" builtinId="9" hidden="1"/>
    <cellStyle name="Followed Hyperlink" xfId="7486" builtinId="9" hidden="1"/>
    <cellStyle name="Followed Hyperlink" xfId="7487" builtinId="9" hidden="1"/>
    <cellStyle name="Followed Hyperlink" xfId="7488" builtinId="9" hidden="1"/>
    <cellStyle name="Followed Hyperlink" xfId="7489" builtinId="9" hidden="1"/>
    <cellStyle name="Followed Hyperlink" xfId="7490" builtinId="9" hidden="1"/>
    <cellStyle name="Followed Hyperlink" xfId="7491" builtinId="9" hidden="1"/>
    <cellStyle name="Followed Hyperlink" xfId="7492" builtinId="9" hidden="1"/>
    <cellStyle name="Followed Hyperlink" xfId="7493" builtinId="9" hidden="1"/>
    <cellStyle name="Followed Hyperlink" xfId="7494" builtinId="9" hidden="1"/>
    <cellStyle name="Followed Hyperlink" xfId="7495" builtinId="9" hidden="1"/>
    <cellStyle name="Followed Hyperlink" xfId="7496" builtinId="9" hidden="1"/>
    <cellStyle name="Followed Hyperlink" xfId="7497" builtinId="9" hidden="1"/>
    <cellStyle name="Followed Hyperlink" xfId="7498" builtinId="9" hidden="1"/>
    <cellStyle name="Followed Hyperlink" xfId="7499" builtinId="9" hidden="1"/>
    <cellStyle name="Followed Hyperlink" xfId="7500" builtinId="9" hidden="1"/>
    <cellStyle name="Followed Hyperlink" xfId="7501" builtinId="9" hidden="1"/>
    <cellStyle name="Followed Hyperlink" xfId="7502" builtinId="9" hidden="1"/>
    <cellStyle name="Followed Hyperlink" xfId="7503" builtinId="9" hidden="1"/>
    <cellStyle name="Followed Hyperlink" xfId="7504" builtinId="9" hidden="1"/>
    <cellStyle name="Followed Hyperlink" xfId="7505" builtinId="9" hidden="1"/>
    <cellStyle name="Followed Hyperlink" xfId="7506" builtinId="9" hidden="1"/>
    <cellStyle name="Followed Hyperlink" xfId="7507" builtinId="9" hidden="1"/>
    <cellStyle name="Followed Hyperlink" xfId="7508" builtinId="9" hidden="1"/>
    <cellStyle name="Followed Hyperlink" xfId="7509" builtinId="9" hidden="1"/>
    <cellStyle name="Followed Hyperlink" xfId="7510" builtinId="9" hidden="1"/>
    <cellStyle name="Followed Hyperlink" xfId="7511" builtinId="9" hidden="1"/>
    <cellStyle name="Followed Hyperlink" xfId="7512" builtinId="9" hidden="1"/>
    <cellStyle name="Followed Hyperlink" xfId="7513" builtinId="9" hidden="1"/>
    <cellStyle name="Followed Hyperlink" xfId="7514" builtinId="9" hidden="1"/>
    <cellStyle name="Followed Hyperlink" xfId="7515" builtinId="9" hidden="1"/>
    <cellStyle name="Followed Hyperlink" xfId="7516" builtinId="9" hidden="1"/>
    <cellStyle name="Followed Hyperlink" xfId="7517" builtinId="9" hidden="1"/>
    <cellStyle name="Followed Hyperlink" xfId="7518" builtinId="9" hidden="1"/>
    <cellStyle name="Followed Hyperlink" xfId="7519" builtinId="9" hidden="1"/>
    <cellStyle name="Followed Hyperlink" xfId="7520" builtinId="9" hidden="1"/>
    <cellStyle name="Followed Hyperlink" xfId="7521" builtinId="9" hidden="1"/>
    <cellStyle name="Followed Hyperlink" xfId="7522" builtinId="9" hidden="1"/>
    <cellStyle name="Followed Hyperlink" xfId="7523" builtinId="9" hidden="1"/>
    <cellStyle name="Followed Hyperlink" xfId="7524" builtinId="9" hidden="1"/>
    <cellStyle name="Followed Hyperlink" xfId="7525" builtinId="9" hidden="1"/>
    <cellStyle name="Followed Hyperlink" xfId="7526" builtinId="9" hidden="1"/>
    <cellStyle name="Followed Hyperlink" xfId="7527" builtinId="9" hidden="1"/>
    <cellStyle name="Followed Hyperlink" xfId="7528" builtinId="9" hidden="1"/>
    <cellStyle name="Followed Hyperlink" xfId="7529" builtinId="9" hidden="1"/>
    <cellStyle name="Followed Hyperlink" xfId="7530" builtinId="9" hidden="1"/>
    <cellStyle name="Followed Hyperlink" xfId="7531" builtinId="9" hidden="1"/>
    <cellStyle name="Followed Hyperlink" xfId="7532" builtinId="9" hidden="1"/>
    <cellStyle name="Followed Hyperlink" xfId="7533" builtinId="9" hidden="1"/>
    <cellStyle name="Followed Hyperlink" xfId="7534" builtinId="9" hidden="1"/>
    <cellStyle name="Followed Hyperlink" xfId="7535" builtinId="9" hidden="1"/>
    <cellStyle name="Good" xfId="789" builtinId="26" customBuiltin="1"/>
    <cellStyle name="Heading 1" xfId="796" builtinId="16" customBuiltin="1"/>
    <cellStyle name="Heading 2" xfId="797" builtinId="17" customBuiltin="1"/>
    <cellStyle name="Heading 3" xfId="798" builtinId="18" customBuiltin="1"/>
    <cellStyle name="Heading 4" xfId="799" builtinId="19" customBuilti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31" builtinId="8"/>
    <cellStyle name="Hyperlink 10" xfId="250" hidden="1"/>
    <cellStyle name="Hyperlink 10" xfId="648" hidden="1"/>
    <cellStyle name="Hyperlink 10" xfId="1329" hidden="1"/>
    <cellStyle name="Hyperlink 10" xfId="1727" hidden="1"/>
    <cellStyle name="Hyperlink 10" xfId="2264" hidden="1"/>
    <cellStyle name="Hyperlink 10" xfId="2659" hidden="1"/>
    <cellStyle name="Hyperlink 10" xfId="3220" hidden="1"/>
    <cellStyle name="Hyperlink 10" xfId="3618" hidden="1"/>
    <cellStyle name="Hyperlink 10" xfId="2820" hidden="1"/>
    <cellStyle name="Hyperlink 10" xfId="4417" hidden="1"/>
    <cellStyle name="Hyperlink 10" xfId="4991" hidden="1"/>
    <cellStyle name="Hyperlink 10" xfId="5385" hidden="1"/>
    <cellStyle name="Hyperlink 10" xfId="5843" hidden="1"/>
    <cellStyle name="Hyperlink 10" xfId="6237" hidden="1"/>
    <cellStyle name="Hyperlink 10" xfId="6753" hidden="1"/>
    <cellStyle name="Hyperlink 10" xfId="7147"/>
    <cellStyle name="Hyperlink 100" xfId="430" hidden="1"/>
    <cellStyle name="Hyperlink 100" xfId="764" hidden="1"/>
    <cellStyle name="Hyperlink 100" xfId="1509" hidden="1"/>
    <cellStyle name="Hyperlink 100" xfId="1843" hidden="1"/>
    <cellStyle name="Hyperlink 100" xfId="2444" hidden="1"/>
    <cellStyle name="Hyperlink 100" xfId="2775" hidden="1"/>
    <cellStyle name="Hyperlink 100" xfId="3400" hidden="1"/>
    <cellStyle name="Hyperlink 100" xfId="3734" hidden="1"/>
    <cellStyle name="Hyperlink 100" xfId="4203" hidden="1"/>
    <cellStyle name="Hyperlink 100" xfId="4533" hidden="1"/>
    <cellStyle name="Hyperlink 100" xfId="5171" hidden="1"/>
    <cellStyle name="Hyperlink 100" xfId="5501" hidden="1"/>
    <cellStyle name="Hyperlink 100" xfId="6023" hidden="1"/>
    <cellStyle name="Hyperlink 100" xfId="6353" hidden="1"/>
    <cellStyle name="Hyperlink 100" xfId="6933" hidden="1"/>
    <cellStyle name="Hyperlink 100" xfId="7263"/>
    <cellStyle name="Hyperlink 101" xfId="432" hidden="1"/>
    <cellStyle name="Hyperlink 101" xfId="766" hidden="1"/>
    <cellStyle name="Hyperlink 101" xfId="1511" hidden="1"/>
    <cellStyle name="Hyperlink 101" xfId="1845" hidden="1"/>
    <cellStyle name="Hyperlink 101" xfId="2446" hidden="1"/>
    <cellStyle name="Hyperlink 101" xfId="2777" hidden="1"/>
    <cellStyle name="Hyperlink 101" xfId="3402" hidden="1"/>
    <cellStyle name="Hyperlink 101" xfId="3736" hidden="1"/>
    <cellStyle name="Hyperlink 101" xfId="4205" hidden="1"/>
    <cellStyle name="Hyperlink 101" xfId="4535" hidden="1"/>
    <cellStyle name="Hyperlink 101" xfId="5173" hidden="1"/>
    <cellStyle name="Hyperlink 101" xfId="5503" hidden="1"/>
    <cellStyle name="Hyperlink 101" xfId="6025" hidden="1"/>
    <cellStyle name="Hyperlink 101" xfId="6355" hidden="1"/>
    <cellStyle name="Hyperlink 101" xfId="6935" hidden="1"/>
    <cellStyle name="Hyperlink 101" xfId="7265"/>
    <cellStyle name="Hyperlink 102" xfId="434" hidden="1"/>
    <cellStyle name="Hyperlink 102" xfId="768" hidden="1"/>
    <cellStyle name="Hyperlink 102" xfId="1513" hidden="1"/>
    <cellStyle name="Hyperlink 102" xfId="1847" hidden="1"/>
    <cellStyle name="Hyperlink 102" xfId="2448" hidden="1"/>
    <cellStyle name="Hyperlink 102" xfId="2779" hidden="1"/>
    <cellStyle name="Hyperlink 102" xfId="3404" hidden="1"/>
    <cellStyle name="Hyperlink 102" xfId="3738" hidden="1"/>
    <cellStyle name="Hyperlink 102" xfId="4207" hidden="1"/>
    <cellStyle name="Hyperlink 102" xfId="4537" hidden="1"/>
    <cellStyle name="Hyperlink 102" xfId="5175" hidden="1"/>
    <cellStyle name="Hyperlink 102" xfId="5505" hidden="1"/>
    <cellStyle name="Hyperlink 102" xfId="6027" hidden="1"/>
    <cellStyle name="Hyperlink 102" xfId="6357" hidden="1"/>
    <cellStyle name="Hyperlink 102" xfId="6937" hidden="1"/>
    <cellStyle name="Hyperlink 102" xfId="7267"/>
    <cellStyle name="Hyperlink 103" xfId="436" hidden="1"/>
    <cellStyle name="Hyperlink 103" xfId="770" hidden="1"/>
    <cellStyle name="Hyperlink 103" xfId="1515" hidden="1"/>
    <cellStyle name="Hyperlink 103" xfId="1849" hidden="1"/>
    <cellStyle name="Hyperlink 103" xfId="2450" hidden="1"/>
    <cellStyle name="Hyperlink 103" xfId="2781" hidden="1"/>
    <cellStyle name="Hyperlink 103" xfId="3406" hidden="1"/>
    <cellStyle name="Hyperlink 103" xfId="3740" hidden="1"/>
    <cellStyle name="Hyperlink 103" xfId="4209" hidden="1"/>
    <cellStyle name="Hyperlink 103" xfId="4539" hidden="1"/>
    <cellStyle name="Hyperlink 103" xfId="5177" hidden="1"/>
    <cellStyle name="Hyperlink 103" xfId="5507" hidden="1"/>
    <cellStyle name="Hyperlink 103" xfId="6029" hidden="1"/>
    <cellStyle name="Hyperlink 103" xfId="6359" hidden="1"/>
    <cellStyle name="Hyperlink 103" xfId="6939" hidden="1"/>
    <cellStyle name="Hyperlink 103" xfId="7269"/>
    <cellStyle name="Hyperlink 104" xfId="438" hidden="1"/>
    <cellStyle name="Hyperlink 104" xfId="772" hidden="1"/>
    <cellStyle name="Hyperlink 104" xfId="1517" hidden="1"/>
    <cellStyle name="Hyperlink 104" xfId="1851" hidden="1"/>
    <cellStyle name="Hyperlink 104" xfId="2452" hidden="1"/>
    <cellStyle name="Hyperlink 104" xfId="2783" hidden="1"/>
    <cellStyle name="Hyperlink 104" xfId="3408" hidden="1"/>
    <cellStyle name="Hyperlink 104" xfId="3742" hidden="1"/>
    <cellStyle name="Hyperlink 104" xfId="4211" hidden="1"/>
    <cellStyle name="Hyperlink 104" xfId="4541" hidden="1"/>
    <cellStyle name="Hyperlink 104" xfId="5179" hidden="1"/>
    <cellStyle name="Hyperlink 104" xfId="5509" hidden="1"/>
    <cellStyle name="Hyperlink 104" xfId="6031" hidden="1"/>
    <cellStyle name="Hyperlink 104" xfId="6361" hidden="1"/>
    <cellStyle name="Hyperlink 104" xfId="6941" hidden="1"/>
    <cellStyle name="Hyperlink 104" xfId="7271"/>
    <cellStyle name="Hyperlink 105" xfId="440" hidden="1"/>
    <cellStyle name="Hyperlink 105" xfId="774" hidden="1"/>
    <cellStyle name="Hyperlink 105" xfId="1519" hidden="1"/>
    <cellStyle name="Hyperlink 105" xfId="1853" hidden="1"/>
    <cellStyle name="Hyperlink 105" xfId="2454" hidden="1"/>
    <cellStyle name="Hyperlink 105" xfId="2785" hidden="1"/>
    <cellStyle name="Hyperlink 105" xfId="3410" hidden="1"/>
    <cellStyle name="Hyperlink 105" xfId="3744" hidden="1"/>
    <cellStyle name="Hyperlink 105" xfId="4213" hidden="1"/>
    <cellStyle name="Hyperlink 105" xfId="4543" hidden="1"/>
    <cellStyle name="Hyperlink 105" xfId="5181" hidden="1"/>
    <cellStyle name="Hyperlink 105" xfId="5511" hidden="1"/>
    <cellStyle name="Hyperlink 105" xfId="6033" hidden="1"/>
    <cellStyle name="Hyperlink 105" xfId="6363" hidden="1"/>
    <cellStyle name="Hyperlink 105" xfId="6943" hidden="1"/>
    <cellStyle name="Hyperlink 105" xfId="7273"/>
    <cellStyle name="Hyperlink 106" xfId="442" hidden="1"/>
    <cellStyle name="Hyperlink 106" xfId="776" hidden="1"/>
    <cellStyle name="Hyperlink 106" xfId="1521" hidden="1"/>
    <cellStyle name="Hyperlink 106" xfId="1855" hidden="1"/>
    <cellStyle name="Hyperlink 106" xfId="2456" hidden="1"/>
    <cellStyle name="Hyperlink 106" xfId="2787" hidden="1"/>
    <cellStyle name="Hyperlink 106" xfId="3412" hidden="1"/>
    <cellStyle name="Hyperlink 106" xfId="3746" hidden="1"/>
    <cellStyle name="Hyperlink 106" xfId="4215" hidden="1"/>
    <cellStyle name="Hyperlink 106" xfId="4545" hidden="1"/>
    <cellStyle name="Hyperlink 106" xfId="5183" hidden="1"/>
    <cellStyle name="Hyperlink 106" xfId="5513" hidden="1"/>
    <cellStyle name="Hyperlink 106" xfId="6035" hidden="1"/>
    <cellStyle name="Hyperlink 106" xfId="6365" hidden="1"/>
    <cellStyle name="Hyperlink 106" xfId="6945" hidden="1"/>
    <cellStyle name="Hyperlink 106" xfId="7275"/>
    <cellStyle name="Hyperlink 107" xfId="444" hidden="1"/>
    <cellStyle name="Hyperlink 107" xfId="778" hidden="1"/>
    <cellStyle name="Hyperlink 107" xfId="1523" hidden="1"/>
    <cellStyle name="Hyperlink 107" xfId="1857" hidden="1"/>
    <cellStyle name="Hyperlink 107" xfId="2458" hidden="1"/>
    <cellStyle name="Hyperlink 107" xfId="2789" hidden="1"/>
    <cellStyle name="Hyperlink 107" xfId="3414" hidden="1"/>
    <cellStyle name="Hyperlink 107" xfId="3748" hidden="1"/>
    <cellStyle name="Hyperlink 107" xfId="4217" hidden="1"/>
    <cellStyle name="Hyperlink 107" xfId="4547" hidden="1"/>
    <cellStyle name="Hyperlink 107" xfId="5185" hidden="1"/>
    <cellStyle name="Hyperlink 107" xfId="5515" hidden="1"/>
    <cellStyle name="Hyperlink 107" xfId="6037" hidden="1"/>
    <cellStyle name="Hyperlink 107" xfId="6367" hidden="1"/>
    <cellStyle name="Hyperlink 107" xfId="6947" hidden="1"/>
    <cellStyle name="Hyperlink 107" xfId="7277"/>
    <cellStyle name="Hyperlink 108" xfId="446" hidden="1"/>
    <cellStyle name="Hyperlink 108" xfId="780" hidden="1"/>
    <cellStyle name="Hyperlink 108" xfId="1525" hidden="1"/>
    <cellStyle name="Hyperlink 108" xfId="1859" hidden="1"/>
    <cellStyle name="Hyperlink 108" xfId="2460" hidden="1"/>
    <cellStyle name="Hyperlink 108" xfId="2791" hidden="1"/>
    <cellStyle name="Hyperlink 108" xfId="3416" hidden="1"/>
    <cellStyle name="Hyperlink 108" xfId="3750" hidden="1"/>
    <cellStyle name="Hyperlink 108" xfId="4219" hidden="1"/>
    <cellStyle name="Hyperlink 108" xfId="4549" hidden="1"/>
    <cellStyle name="Hyperlink 108" xfId="5187" hidden="1"/>
    <cellStyle name="Hyperlink 108" xfId="5517" hidden="1"/>
    <cellStyle name="Hyperlink 108" xfId="6039" hidden="1"/>
    <cellStyle name="Hyperlink 108" xfId="6369" hidden="1"/>
    <cellStyle name="Hyperlink 108" xfId="6949" hidden="1"/>
    <cellStyle name="Hyperlink 108" xfId="7279"/>
    <cellStyle name="Hyperlink 109" xfId="448" hidden="1"/>
    <cellStyle name="Hyperlink 109" xfId="782" hidden="1"/>
    <cellStyle name="Hyperlink 109" xfId="1527" hidden="1"/>
    <cellStyle name="Hyperlink 109" xfId="1861" hidden="1"/>
    <cellStyle name="Hyperlink 109" xfId="2462" hidden="1"/>
    <cellStyle name="Hyperlink 109" xfId="2793" hidden="1"/>
    <cellStyle name="Hyperlink 109" xfId="3418" hidden="1"/>
    <cellStyle name="Hyperlink 109" xfId="3752" hidden="1"/>
    <cellStyle name="Hyperlink 109" xfId="4221" hidden="1"/>
    <cellStyle name="Hyperlink 109" xfId="4551" hidden="1"/>
    <cellStyle name="Hyperlink 109" xfId="5189" hidden="1"/>
    <cellStyle name="Hyperlink 109" xfId="5519" hidden="1"/>
    <cellStyle name="Hyperlink 109" xfId="6041" hidden="1"/>
    <cellStyle name="Hyperlink 109" xfId="6371" hidden="1"/>
    <cellStyle name="Hyperlink 109" xfId="6951" hidden="1"/>
    <cellStyle name="Hyperlink 109" xfId="7281"/>
    <cellStyle name="Hyperlink 11" xfId="252" hidden="1"/>
    <cellStyle name="Hyperlink 11" xfId="644" hidden="1"/>
    <cellStyle name="Hyperlink 11" xfId="1331" hidden="1"/>
    <cellStyle name="Hyperlink 11" xfId="1723" hidden="1"/>
    <cellStyle name="Hyperlink 11" xfId="2266" hidden="1"/>
    <cellStyle name="Hyperlink 11" xfId="2655" hidden="1"/>
    <cellStyle name="Hyperlink 11" xfId="3222" hidden="1"/>
    <cellStyle name="Hyperlink 11" xfId="3614" hidden="1"/>
    <cellStyle name="Hyperlink 11" xfId="2818" hidden="1"/>
    <cellStyle name="Hyperlink 11" xfId="4413" hidden="1"/>
    <cellStyle name="Hyperlink 11" xfId="4993" hidden="1"/>
    <cellStyle name="Hyperlink 11" xfId="5381" hidden="1"/>
    <cellStyle name="Hyperlink 11" xfId="5845" hidden="1"/>
    <cellStyle name="Hyperlink 11" xfId="6233" hidden="1"/>
    <cellStyle name="Hyperlink 11" xfId="6755" hidden="1"/>
    <cellStyle name="Hyperlink 11" xfId="7143"/>
    <cellStyle name="Hyperlink 110" xfId="450" hidden="1"/>
    <cellStyle name="Hyperlink 110" xfId="784" hidden="1"/>
    <cellStyle name="Hyperlink 110" xfId="1529" hidden="1"/>
    <cellStyle name="Hyperlink 110" xfId="1863" hidden="1"/>
    <cellStyle name="Hyperlink 110" xfId="2464" hidden="1"/>
    <cellStyle name="Hyperlink 110" xfId="2795" hidden="1"/>
    <cellStyle name="Hyperlink 110" xfId="3420" hidden="1"/>
    <cellStyle name="Hyperlink 110" xfId="3754" hidden="1"/>
    <cellStyle name="Hyperlink 110" xfId="4223" hidden="1"/>
    <cellStyle name="Hyperlink 110" xfId="4553" hidden="1"/>
    <cellStyle name="Hyperlink 110" xfId="5191" hidden="1"/>
    <cellStyle name="Hyperlink 110" xfId="5521" hidden="1"/>
    <cellStyle name="Hyperlink 110" xfId="6043" hidden="1"/>
    <cellStyle name="Hyperlink 110" xfId="6373" hidden="1"/>
    <cellStyle name="Hyperlink 110" xfId="6953" hidden="1"/>
    <cellStyle name="Hyperlink 110" xfId="7283"/>
    <cellStyle name="Hyperlink 111" xfId="452" hidden="1"/>
    <cellStyle name="Hyperlink 111" xfId="786" hidden="1"/>
    <cellStyle name="Hyperlink 111" xfId="1531" hidden="1"/>
    <cellStyle name="Hyperlink 111" xfId="1865" hidden="1"/>
    <cellStyle name="Hyperlink 111" xfId="2466" hidden="1"/>
    <cellStyle name="Hyperlink 111" xfId="2797" hidden="1"/>
    <cellStyle name="Hyperlink 111" xfId="3422" hidden="1"/>
    <cellStyle name="Hyperlink 111" xfId="3756" hidden="1"/>
    <cellStyle name="Hyperlink 111" xfId="4225" hidden="1"/>
    <cellStyle name="Hyperlink 111" xfId="4555" hidden="1"/>
    <cellStyle name="Hyperlink 111" xfId="5193" hidden="1"/>
    <cellStyle name="Hyperlink 111" xfId="5523" hidden="1"/>
    <cellStyle name="Hyperlink 111" xfId="6045" hidden="1"/>
    <cellStyle name="Hyperlink 111" xfId="6375" hidden="1"/>
    <cellStyle name="Hyperlink 111" xfId="6955" hidden="1"/>
    <cellStyle name="Hyperlink 111" xfId="7285"/>
    <cellStyle name="Hyperlink 12" xfId="254" hidden="1"/>
    <cellStyle name="Hyperlink 12" xfId="640" hidden="1"/>
    <cellStyle name="Hyperlink 12" xfId="1333" hidden="1"/>
    <cellStyle name="Hyperlink 12" xfId="1719" hidden="1"/>
    <cellStyle name="Hyperlink 12" xfId="2268" hidden="1"/>
    <cellStyle name="Hyperlink 12" xfId="2651" hidden="1"/>
    <cellStyle name="Hyperlink 12" xfId="3224" hidden="1"/>
    <cellStyle name="Hyperlink 12" xfId="3610" hidden="1"/>
    <cellStyle name="Hyperlink 12" xfId="2468" hidden="1"/>
    <cellStyle name="Hyperlink 12" xfId="4409" hidden="1"/>
    <cellStyle name="Hyperlink 12" xfId="4995" hidden="1"/>
    <cellStyle name="Hyperlink 12" xfId="5377" hidden="1"/>
    <cellStyle name="Hyperlink 12" xfId="5847" hidden="1"/>
    <cellStyle name="Hyperlink 12" xfId="6229" hidden="1"/>
    <cellStyle name="Hyperlink 12" xfId="6757" hidden="1"/>
    <cellStyle name="Hyperlink 12" xfId="7139"/>
    <cellStyle name="Hyperlink 13" xfId="256" hidden="1"/>
    <cellStyle name="Hyperlink 13" xfId="636" hidden="1"/>
    <cellStyle name="Hyperlink 13" xfId="1335" hidden="1"/>
    <cellStyle name="Hyperlink 13" xfId="1715" hidden="1"/>
    <cellStyle name="Hyperlink 13" xfId="2270" hidden="1"/>
    <cellStyle name="Hyperlink 13" xfId="2647" hidden="1"/>
    <cellStyle name="Hyperlink 13" xfId="3226" hidden="1"/>
    <cellStyle name="Hyperlink 13" xfId="3606" hidden="1"/>
    <cellStyle name="Hyperlink 13" xfId="4029" hidden="1"/>
    <cellStyle name="Hyperlink 13" xfId="4405" hidden="1"/>
    <cellStyle name="Hyperlink 13" xfId="4997" hidden="1"/>
    <cellStyle name="Hyperlink 13" xfId="5373" hidden="1"/>
    <cellStyle name="Hyperlink 13" xfId="5849" hidden="1"/>
    <cellStyle name="Hyperlink 13" xfId="6225" hidden="1"/>
    <cellStyle name="Hyperlink 13" xfId="6759" hidden="1"/>
    <cellStyle name="Hyperlink 13" xfId="7135"/>
    <cellStyle name="Hyperlink 14" xfId="258" hidden="1"/>
    <cellStyle name="Hyperlink 14" xfId="632" hidden="1"/>
    <cellStyle name="Hyperlink 14" xfId="1337" hidden="1"/>
    <cellStyle name="Hyperlink 14" xfId="1711" hidden="1"/>
    <cellStyle name="Hyperlink 14" xfId="2272" hidden="1"/>
    <cellStyle name="Hyperlink 14" xfId="2643" hidden="1"/>
    <cellStyle name="Hyperlink 14" xfId="3228" hidden="1"/>
    <cellStyle name="Hyperlink 14" xfId="3602" hidden="1"/>
    <cellStyle name="Hyperlink 14" xfId="4031" hidden="1"/>
    <cellStyle name="Hyperlink 14" xfId="4401" hidden="1"/>
    <cellStyle name="Hyperlink 14" xfId="4999" hidden="1"/>
    <cellStyle name="Hyperlink 14" xfId="5369" hidden="1"/>
    <cellStyle name="Hyperlink 14" xfId="5851" hidden="1"/>
    <cellStyle name="Hyperlink 14" xfId="6221" hidden="1"/>
    <cellStyle name="Hyperlink 14" xfId="6761" hidden="1"/>
    <cellStyle name="Hyperlink 14" xfId="7131"/>
    <cellStyle name="Hyperlink 15" xfId="260" hidden="1"/>
    <cellStyle name="Hyperlink 15" xfId="628" hidden="1"/>
    <cellStyle name="Hyperlink 15" xfId="1339" hidden="1"/>
    <cellStyle name="Hyperlink 15" xfId="1707" hidden="1"/>
    <cellStyle name="Hyperlink 15" xfId="2274" hidden="1"/>
    <cellStyle name="Hyperlink 15" xfId="2639" hidden="1"/>
    <cellStyle name="Hyperlink 15" xfId="3230" hidden="1"/>
    <cellStyle name="Hyperlink 15" xfId="3598" hidden="1"/>
    <cellStyle name="Hyperlink 15" xfId="4033" hidden="1"/>
    <cellStyle name="Hyperlink 15" xfId="4397" hidden="1"/>
    <cellStyle name="Hyperlink 15" xfId="5001" hidden="1"/>
    <cellStyle name="Hyperlink 15" xfId="5365" hidden="1"/>
    <cellStyle name="Hyperlink 15" xfId="5853" hidden="1"/>
    <cellStyle name="Hyperlink 15" xfId="6217" hidden="1"/>
    <cellStyle name="Hyperlink 15" xfId="6763" hidden="1"/>
    <cellStyle name="Hyperlink 15" xfId="7127"/>
    <cellStyle name="Hyperlink 16" xfId="262" hidden="1"/>
    <cellStyle name="Hyperlink 16" xfId="624" hidden="1"/>
    <cellStyle name="Hyperlink 16" xfId="1341" hidden="1"/>
    <cellStyle name="Hyperlink 16" xfId="1703" hidden="1"/>
    <cellStyle name="Hyperlink 16" xfId="2276" hidden="1"/>
    <cellStyle name="Hyperlink 16" xfId="2635" hidden="1"/>
    <cellStyle name="Hyperlink 16" xfId="3232" hidden="1"/>
    <cellStyle name="Hyperlink 16" xfId="3594" hidden="1"/>
    <cellStyle name="Hyperlink 16" xfId="4035" hidden="1"/>
    <cellStyle name="Hyperlink 16" xfId="4393" hidden="1"/>
    <cellStyle name="Hyperlink 16" xfId="5003" hidden="1"/>
    <cellStyle name="Hyperlink 16" xfId="5361" hidden="1"/>
    <cellStyle name="Hyperlink 16" xfId="5855" hidden="1"/>
    <cellStyle name="Hyperlink 16" xfId="6213" hidden="1"/>
    <cellStyle name="Hyperlink 16" xfId="6765" hidden="1"/>
    <cellStyle name="Hyperlink 16" xfId="7123"/>
    <cellStyle name="Hyperlink 17" xfId="264" hidden="1"/>
    <cellStyle name="Hyperlink 17" xfId="620" hidden="1"/>
    <cellStyle name="Hyperlink 17" xfId="1343" hidden="1"/>
    <cellStyle name="Hyperlink 17" xfId="1699" hidden="1"/>
    <cellStyle name="Hyperlink 17" xfId="2278" hidden="1"/>
    <cellStyle name="Hyperlink 17" xfId="2631" hidden="1"/>
    <cellStyle name="Hyperlink 17" xfId="3234" hidden="1"/>
    <cellStyle name="Hyperlink 17" xfId="3590" hidden="1"/>
    <cellStyle name="Hyperlink 17" xfId="4037" hidden="1"/>
    <cellStyle name="Hyperlink 17" xfId="4389" hidden="1"/>
    <cellStyle name="Hyperlink 17" xfId="5005" hidden="1"/>
    <cellStyle name="Hyperlink 17" xfId="5357" hidden="1"/>
    <cellStyle name="Hyperlink 17" xfId="5857" hidden="1"/>
    <cellStyle name="Hyperlink 17" xfId="6209" hidden="1"/>
    <cellStyle name="Hyperlink 17" xfId="6767" hidden="1"/>
    <cellStyle name="Hyperlink 17" xfId="7119"/>
    <cellStyle name="Hyperlink 18" xfId="266" hidden="1"/>
    <cellStyle name="Hyperlink 18" xfId="616" hidden="1"/>
    <cellStyle name="Hyperlink 18" xfId="1345" hidden="1"/>
    <cellStyle name="Hyperlink 18" xfId="1695" hidden="1"/>
    <cellStyle name="Hyperlink 18" xfId="2280" hidden="1"/>
    <cellStyle name="Hyperlink 18" xfId="2627" hidden="1"/>
    <cellStyle name="Hyperlink 18" xfId="3236" hidden="1"/>
    <cellStyle name="Hyperlink 18" xfId="3586" hidden="1"/>
    <cellStyle name="Hyperlink 18" xfId="4039" hidden="1"/>
    <cellStyle name="Hyperlink 18" xfId="4385" hidden="1"/>
    <cellStyle name="Hyperlink 18" xfId="5007" hidden="1"/>
    <cellStyle name="Hyperlink 18" xfId="5353" hidden="1"/>
    <cellStyle name="Hyperlink 18" xfId="5859" hidden="1"/>
    <cellStyle name="Hyperlink 18" xfId="6205" hidden="1"/>
    <cellStyle name="Hyperlink 18" xfId="6769" hidden="1"/>
    <cellStyle name="Hyperlink 18" xfId="7115"/>
    <cellStyle name="Hyperlink 19" xfId="268" hidden="1"/>
    <cellStyle name="Hyperlink 19" xfId="612" hidden="1"/>
    <cellStyle name="Hyperlink 19" xfId="1347" hidden="1"/>
    <cellStyle name="Hyperlink 19" xfId="1691" hidden="1"/>
    <cellStyle name="Hyperlink 19" xfId="2282" hidden="1"/>
    <cellStyle name="Hyperlink 19" xfId="2623" hidden="1"/>
    <cellStyle name="Hyperlink 19" xfId="3238" hidden="1"/>
    <cellStyle name="Hyperlink 19" xfId="3582" hidden="1"/>
    <cellStyle name="Hyperlink 19" xfId="4041" hidden="1"/>
    <cellStyle name="Hyperlink 19" xfId="4381" hidden="1"/>
    <cellStyle name="Hyperlink 19" xfId="5009" hidden="1"/>
    <cellStyle name="Hyperlink 19" xfId="5349" hidden="1"/>
    <cellStyle name="Hyperlink 19" xfId="5861" hidden="1"/>
    <cellStyle name="Hyperlink 19" xfId="6201" hidden="1"/>
    <cellStyle name="Hyperlink 19" xfId="6771" hidden="1"/>
    <cellStyle name="Hyperlink 19" xfId="7111"/>
    <cellStyle name="Hyperlink 2" xfId="232" hidden="1"/>
    <cellStyle name="Hyperlink 2" xfId="455" hidden="1"/>
    <cellStyle name="Hyperlink 2" xfId="682" hidden="1"/>
    <cellStyle name="Hyperlink 2" xfId="788" hidden="1"/>
    <cellStyle name="Hyperlink 2" xfId="1311" hidden="1"/>
    <cellStyle name="Hyperlink 2" xfId="1534" hidden="1"/>
    <cellStyle name="Hyperlink 2" xfId="1761" hidden="1"/>
    <cellStyle name="Hyperlink 2" xfId="1867" hidden="1"/>
    <cellStyle name="Hyperlink 2" xfId="2246" hidden="1"/>
    <cellStyle name="Hyperlink 2" xfId="2469" hidden="1"/>
    <cellStyle name="Hyperlink 2" xfId="2693" hidden="1"/>
    <cellStyle name="Hyperlink 2" xfId="2799" hidden="1"/>
    <cellStyle name="Hyperlink 2" xfId="3203" hidden="1"/>
    <cellStyle name="Hyperlink 2" xfId="3425" hidden="1"/>
    <cellStyle name="Hyperlink 2" xfId="3652" hidden="1"/>
    <cellStyle name="Hyperlink 2" xfId="3758" hidden="1"/>
    <cellStyle name="Hyperlink 2" xfId="2826" hidden="1"/>
    <cellStyle name="Hyperlink 2" xfId="4227" hidden="1"/>
    <cellStyle name="Hyperlink 2" xfId="4451" hidden="1"/>
    <cellStyle name="Hyperlink 2" xfId="4557" hidden="1"/>
    <cellStyle name="Hyperlink 2" xfId="4974" hidden="1"/>
    <cellStyle name="Hyperlink 2" xfId="5195" hidden="1"/>
    <cellStyle name="Hyperlink 2" xfId="5419" hidden="1"/>
    <cellStyle name="Hyperlink 2" xfId="5525" hidden="1"/>
    <cellStyle name="Hyperlink 2" xfId="5826" hidden="1"/>
    <cellStyle name="Hyperlink 2" xfId="6047" hidden="1"/>
    <cellStyle name="Hyperlink 2" xfId="6271" hidden="1"/>
    <cellStyle name="Hyperlink 2" xfId="6377" hidden="1"/>
    <cellStyle name="Hyperlink 2" xfId="6736" hidden="1"/>
    <cellStyle name="Hyperlink 2" xfId="6957" hidden="1"/>
    <cellStyle name="Hyperlink 2" xfId="7181" hidden="1"/>
    <cellStyle name="Hyperlink 2" xfId="7287"/>
    <cellStyle name="Hyperlink 20" xfId="270" hidden="1"/>
    <cellStyle name="Hyperlink 20" xfId="608" hidden="1"/>
    <cellStyle name="Hyperlink 20" xfId="1349" hidden="1"/>
    <cellStyle name="Hyperlink 20" xfId="1687" hidden="1"/>
    <cellStyle name="Hyperlink 20" xfId="2284" hidden="1"/>
    <cellStyle name="Hyperlink 20" xfId="2619" hidden="1"/>
    <cellStyle name="Hyperlink 20" xfId="3240" hidden="1"/>
    <cellStyle name="Hyperlink 20" xfId="3578" hidden="1"/>
    <cellStyle name="Hyperlink 20" xfId="4043" hidden="1"/>
    <cellStyle name="Hyperlink 20" xfId="4377" hidden="1"/>
    <cellStyle name="Hyperlink 20" xfId="5011" hidden="1"/>
    <cellStyle name="Hyperlink 20" xfId="5345" hidden="1"/>
    <cellStyle name="Hyperlink 20" xfId="5863" hidden="1"/>
    <cellStyle name="Hyperlink 20" xfId="6197" hidden="1"/>
    <cellStyle name="Hyperlink 20" xfId="6773" hidden="1"/>
    <cellStyle name="Hyperlink 20" xfId="7107"/>
    <cellStyle name="Hyperlink 21" xfId="272" hidden="1"/>
    <cellStyle name="Hyperlink 21" xfId="604" hidden="1"/>
    <cellStyle name="Hyperlink 21" xfId="1351" hidden="1"/>
    <cellStyle name="Hyperlink 21" xfId="1683" hidden="1"/>
    <cellStyle name="Hyperlink 21" xfId="2286" hidden="1"/>
    <cellStyle name="Hyperlink 21" xfId="2615" hidden="1"/>
    <cellStyle name="Hyperlink 21" xfId="3242" hidden="1"/>
    <cellStyle name="Hyperlink 21" xfId="3574" hidden="1"/>
    <cellStyle name="Hyperlink 21" xfId="4045" hidden="1"/>
    <cellStyle name="Hyperlink 21" xfId="4373" hidden="1"/>
    <cellStyle name="Hyperlink 21" xfId="5013" hidden="1"/>
    <cellStyle name="Hyperlink 21" xfId="5341" hidden="1"/>
    <cellStyle name="Hyperlink 21" xfId="5865" hidden="1"/>
    <cellStyle name="Hyperlink 21" xfId="6193" hidden="1"/>
    <cellStyle name="Hyperlink 21" xfId="6775" hidden="1"/>
    <cellStyle name="Hyperlink 21" xfId="7103"/>
    <cellStyle name="Hyperlink 22" xfId="274" hidden="1"/>
    <cellStyle name="Hyperlink 22" xfId="600" hidden="1"/>
    <cellStyle name="Hyperlink 22" xfId="1353" hidden="1"/>
    <cellStyle name="Hyperlink 22" xfId="1679" hidden="1"/>
    <cellStyle name="Hyperlink 22" xfId="2288" hidden="1"/>
    <cellStyle name="Hyperlink 22" xfId="2611" hidden="1"/>
    <cellStyle name="Hyperlink 22" xfId="3244" hidden="1"/>
    <cellStyle name="Hyperlink 22" xfId="3570" hidden="1"/>
    <cellStyle name="Hyperlink 22" xfId="4047" hidden="1"/>
    <cellStyle name="Hyperlink 22" xfId="4369" hidden="1"/>
    <cellStyle name="Hyperlink 22" xfId="5015" hidden="1"/>
    <cellStyle name="Hyperlink 22" xfId="5337" hidden="1"/>
    <cellStyle name="Hyperlink 22" xfId="5867" hidden="1"/>
    <cellStyle name="Hyperlink 22" xfId="6189" hidden="1"/>
    <cellStyle name="Hyperlink 22" xfId="6777" hidden="1"/>
    <cellStyle name="Hyperlink 22" xfId="7099"/>
    <cellStyle name="Hyperlink 23" xfId="276" hidden="1"/>
    <cellStyle name="Hyperlink 23" xfId="596" hidden="1"/>
    <cellStyle name="Hyperlink 23" xfId="1355" hidden="1"/>
    <cellStyle name="Hyperlink 23" xfId="1675" hidden="1"/>
    <cellStyle name="Hyperlink 23" xfId="2290" hidden="1"/>
    <cellStyle name="Hyperlink 23" xfId="2607" hidden="1"/>
    <cellStyle name="Hyperlink 23" xfId="3246" hidden="1"/>
    <cellStyle name="Hyperlink 23" xfId="3566" hidden="1"/>
    <cellStyle name="Hyperlink 23" xfId="4049" hidden="1"/>
    <cellStyle name="Hyperlink 23" xfId="4365" hidden="1"/>
    <cellStyle name="Hyperlink 23" xfId="5017" hidden="1"/>
    <cellStyle name="Hyperlink 23" xfId="5333" hidden="1"/>
    <cellStyle name="Hyperlink 23" xfId="5869" hidden="1"/>
    <cellStyle name="Hyperlink 23" xfId="6185" hidden="1"/>
    <cellStyle name="Hyperlink 23" xfId="6779" hidden="1"/>
    <cellStyle name="Hyperlink 23" xfId="7095"/>
    <cellStyle name="Hyperlink 24" xfId="278" hidden="1"/>
    <cellStyle name="Hyperlink 24" xfId="592" hidden="1"/>
    <cellStyle name="Hyperlink 24" xfId="1357" hidden="1"/>
    <cellStyle name="Hyperlink 24" xfId="1671" hidden="1"/>
    <cellStyle name="Hyperlink 24" xfId="2292" hidden="1"/>
    <cellStyle name="Hyperlink 24" xfId="2603" hidden="1"/>
    <cellStyle name="Hyperlink 24" xfId="3248" hidden="1"/>
    <cellStyle name="Hyperlink 24" xfId="3562" hidden="1"/>
    <cellStyle name="Hyperlink 24" xfId="4051" hidden="1"/>
    <cellStyle name="Hyperlink 24" xfId="4361" hidden="1"/>
    <cellStyle name="Hyperlink 24" xfId="5019" hidden="1"/>
    <cellStyle name="Hyperlink 24" xfId="5329" hidden="1"/>
    <cellStyle name="Hyperlink 24" xfId="5871" hidden="1"/>
    <cellStyle name="Hyperlink 24" xfId="6181" hidden="1"/>
    <cellStyle name="Hyperlink 24" xfId="6781" hidden="1"/>
    <cellStyle name="Hyperlink 24" xfId="7091"/>
    <cellStyle name="Hyperlink 25" xfId="280" hidden="1"/>
    <cellStyle name="Hyperlink 25" xfId="588" hidden="1"/>
    <cellStyle name="Hyperlink 25" xfId="1359" hidden="1"/>
    <cellStyle name="Hyperlink 25" xfId="1667" hidden="1"/>
    <cellStyle name="Hyperlink 25" xfId="2294" hidden="1"/>
    <cellStyle name="Hyperlink 25" xfId="2599" hidden="1"/>
    <cellStyle name="Hyperlink 25" xfId="3250" hidden="1"/>
    <cellStyle name="Hyperlink 25" xfId="3558" hidden="1"/>
    <cellStyle name="Hyperlink 25" xfId="4053" hidden="1"/>
    <cellStyle name="Hyperlink 25" xfId="4357" hidden="1"/>
    <cellStyle name="Hyperlink 25" xfId="5021" hidden="1"/>
    <cellStyle name="Hyperlink 25" xfId="5325" hidden="1"/>
    <cellStyle name="Hyperlink 25" xfId="5873" hidden="1"/>
    <cellStyle name="Hyperlink 25" xfId="6177" hidden="1"/>
    <cellStyle name="Hyperlink 25" xfId="6783" hidden="1"/>
    <cellStyle name="Hyperlink 25" xfId="7087"/>
    <cellStyle name="Hyperlink 26" xfId="282" hidden="1"/>
    <cellStyle name="Hyperlink 26" xfId="584" hidden="1"/>
    <cellStyle name="Hyperlink 26" xfId="1361" hidden="1"/>
    <cellStyle name="Hyperlink 26" xfId="1663" hidden="1"/>
    <cellStyle name="Hyperlink 26" xfId="2296" hidden="1"/>
    <cellStyle name="Hyperlink 26" xfId="2595" hidden="1"/>
    <cellStyle name="Hyperlink 26" xfId="3252" hidden="1"/>
    <cellStyle name="Hyperlink 26" xfId="3554" hidden="1"/>
    <cellStyle name="Hyperlink 26" xfId="4055" hidden="1"/>
    <cellStyle name="Hyperlink 26" xfId="4353" hidden="1"/>
    <cellStyle name="Hyperlink 26" xfId="5023" hidden="1"/>
    <cellStyle name="Hyperlink 26" xfId="5321" hidden="1"/>
    <cellStyle name="Hyperlink 26" xfId="5875" hidden="1"/>
    <cellStyle name="Hyperlink 26" xfId="6173" hidden="1"/>
    <cellStyle name="Hyperlink 26" xfId="6785" hidden="1"/>
    <cellStyle name="Hyperlink 26" xfId="7083"/>
    <cellStyle name="Hyperlink 27" xfId="284" hidden="1"/>
    <cellStyle name="Hyperlink 27" xfId="580" hidden="1"/>
    <cellStyle name="Hyperlink 27" xfId="1363" hidden="1"/>
    <cellStyle name="Hyperlink 27" xfId="1659" hidden="1"/>
    <cellStyle name="Hyperlink 27" xfId="2298" hidden="1"/>
    <cellStyle name="Hyperlink 27" xfId="2591" hidden="1"/>
    <cellStyle name="Hyperlink 27" xfId="3254" hidden="1"/>
    <cellStyle name="Hyperlink 27" xfId="3550" hidden="1"/>
    <cellStyle name="Hyperlink 27" xfId="4057" hidden="1"/>
    <cellStyle name="Hyperlink 27" xfId="4349" hidden="1"/>
    <cellStyle name="Hyperlink 27" xfId="5025" hidden="1"/>
    <cellStyle name="Hyperlink 27" xfId="5317" hidden="1"/>
    <cellStyle name="Hyperlink 27" xfId="5877" hidden="1"/>
    <cellStyle name="Hyperlink 27" xfId="6169" hidden="1"/>
    <cellStyle name="Hyperlink 27" xfId="6787" hidden="1"/>
    <cellStyle name="Hyperlink 27" xfId="7079"/>
    <cellStyle name="Hyperlink 28" xfId="286" hidden="1"/>
    <cellStyle name="Hyperlink 28" xfId="576" hidden="1"/>
    <cellStyle name="Hyperlink 28" xfId="1365" hidden="1"/>
    <cellStyle name="Hyperlink 28" xfId="1655" hidden="1"/>
    <cellStyle name="Hyperlink 28" xfId="2300" hidden="1"/>
    <cellStyle name="Hyperlink 28" xfId="2587" hidden="1"/>
    <cellStyle name="Hyperlink 28" xfId="3256" hidden="1"/>
    <cellStyle name="Hyperlink 28" xfId="3546" hidden="1"/>
    <cellStyle name="Hyperlink 28" xfId="4059" hidden="1"/>
    <cellStyle name="Hyperlink 28" xfId="4345" hidden="1"/>
    <cellStyle name="Hyperlink 28" xfId="5027" hidden="1"/>
    <cellStyle name="Hyperlink 28" xfId="5313" hidden="1"/>
    <cellStyle name="Hyperlink 28" xfId="5879" hidden="1"/>
    <cellStyle name="Hyperlink 28" xfId="6165" hidden="1"/>
    <cellStyle name="Hyperlink 28" xfId="6789" hidden="1"/>
    <cellStyle name="Hyperlink 28" xfId="7075"/>
    <cellStyle name="Hyperlink 29" xfId="288" hidden="1"/>
    <cellStyle name="Hyperlink 29" xfId="572" hidden="1"/>
    <cellStyle name="Hyperlink 29" xfId="1367" hidden="1"/>
    <cellStyle name="Hyperlink 29" xfId="1651" hidden="1"/>
    <cellStyle name="Hyperlink 29" xfId="2302" hidden="1"/>
    <cellStyle name="Hyperlink 29" xfId="2583" hidden="1"/>
    <cellStyle name="Hyperlink 29" xfId="3258" hidden="1"/>
    <cellStyle name="Hyperlink 29" xfId="3542" hidden="1"/>
    <cellStyle name="Hyperlink 29" xfId="4061" hidden="1"/>
    <cellStyle name="Hyperlink 29" xfId="4341" hidden="1"/>
    <cellStyle name="Hyperlink 29" xfId="5029" hidden="1"/>
    <cellStyle name="Hyperlink 29" xfId="5309" hidden="1"/>
    <cellStyle name="Hyperlink 29" xfId="5881" hidden="1"/>
    <cellStyle name="Hyperlink 29" xfId="6161" hidden="1"/>
    <cellStyle name="Hyperlink 29" xfId="6791" hidden="1"/>
    <cellStyle name="Hyperlink 29" xfId="7071"/>
    <cellStyle name="Hyperlink 3" xfId="236" hidden="1"/>
    <cellStyle name="Hyperlink 3" xfId="676" hidden="1"/>
    <cellStyle name="Hyperlink 3" xfId="1315" hidden="1"/>
    <cellStyle name="Hyperlink 3" xfId="1755" hidden="1"/>
    <cellStyle name="Hyperlink 3" xfId="2250" hidden="1"/>
    <cellStyle name="Hyperlink 3" xfId="2687" hidden="1"/>
    <cellStyle name="Hyperlink 3" xfId="3206" hidden="1"/>
    <cellStyle name="Hyperlink 3" xfId="3646" hidden="1"/>
    <cellStyle name="Hyperlink 3" xfId="2836" hidden="1"/>
    <cellStyle name="Hyperlink 3" xfId="4445" hidden="1"/>
    <cellStyle name="Hyperlink 3" xfId="4977" hidden="1"/>
    <cellStyle name="Hyperlink 3" xfId="5413" hidden="1"/>
    <cellStyle name="Hyperlink 3" xfId="5829" hidden="1"/>
    <cellStyle name="Hyperlink 3" xfId="6265" hidden="1"/>
    <cellStyle name="Hyperlink 3" xfId="6739" hidden="1"/>
    <cellStyle name="Hyperlink 3" xfId="7175"/>
    <cellStyle name="Hyperlink 30" xfId="290" hidden="1"/>
    <cellStyle name="Hyperlink 30" xfId="568" hidden="1"/>
    <cellStyle name="Hyperlink 30" xfId="1369" hidden="1"/>
    <cellStyle name="Hyperlink 30" xfId="1647" hidden="1"/>
    <cellStyle name="Hyperlink 30" xfId="2304" hidden="1"/>
    <cellStyle name="Hyperlink 30" xfId="2579" hidden="1"/>
    <cellStyle name="Hyperlink 30" xfId="3260" hidden="1"/>
    <cellStyle name="Hyperlink 30" xfId="3538" hidden="1"/>
    <cellStyle name="Hyperlink 30" xfId="4063" hidden="1"/>
    <cellStyle name="Hyperlink 30" xfId="4337" hidden="1"/>
    <cellStyle name="Hyperlink 30" xfId="5031" hidden="1"/>
    <cellStyle name="Hyperlink 30" xfId="5305" hidden="1"/>
    <cellStyle name="Hyperlink 30" xfId="5883" hidden="1"/>
    <cellStyle name="Hyperlink 30" xfId="6157" hidden="1"/>
    <cellStyle name="Hyperlink 30" xfId="6793" hidden="1"/>
    <cellStyle name="Hyperlink 30" xfId="7067"/>
    <cellStyle name="Hyperlink 31" xfId="292" hidden="1"/>
    <cellStyle name="Hyperlink 31" xfId="564" hidden="1"/>
    <cellStyle name="Hyperlink 31" xfId="1371" hidden="1"/>
    <cellStyle name="Hyperlink 31" xfId="1643" hidden="1"/>
    <cellStyle name="Hyperlink 31" xfId="2306" hidden="1"/>
    <cellStyle name="Hyperlink 31" xfId="2575" hidden="1"/>
    <cellStyle name="Hyperlink 31" xfId="3262" hidden="1"/>
    <cellStyle name="Hyperlink 31" xfId="3534" hidden="1"/>
    <cellStyle name="Hyperlink 31" xfId="4065" hidden="1"/>
    <cellStyle name="Hyperlink 31" xfId="4333" hidden="1"/>
    <cellStyle name="Hyperlink 31" xfId="5033" hidden="1"/>
    <cellStyle name="Hyperlink 31" xfId="5301" hidden="1"/>
    <cellStyle name="Hyperlink 31" xfId="5885" hidden="1"/>
    <cellStyle name="Hyperlink 31" xfId="6153" hidden="1"/>
    <cellStyle name="Hyperlink 31" xfId="6795" hidden="1"/>
    <cellStyle name="Hyperlink 31" xfId="7063"/>
    <cellStyle name="Hyperlink 32" xfId="294" hidden="1"/>
    <cellStyle name="Hyperlink 32" xfId="560" hidden="1"/>
    <cellStyle name="Hyperlink 32" xfId="1373" hidden="1"/>
    <cellStyle name="Hyperlink 32" xfId="1639" hidden="1"/>
    <cellStyle name="Hyperlink 32" xfId="2308" hidden="1"/>
    <cellStyle name="Hyperlink 32" xfId="2571" hidden="1"/>
    <cellStyle name="Hyperlink 32" xfId="3264" hidden="1"/>
    <cellStyle name="Hyperlink 32" xfId="3530" hidden="1"/>
    <cellStyle name="Hyperlink 32" xfId="4067" hidden="1"/>
    <cellStyle name="Hyperlink 32" xfId="4329" hidden="1"/>
    <cellStyle name="Hyperlink 32" xfId="5035" hidden="1"/>
    <cellStyle name="Hyperlink 32" xfId="5297" hidden="1"/>
    <cellStyle name="Hyperlink 32" xfId="5887" hidden="1"/>
    <cellStyle name="Hyperlink 32" xfId="6149" hidden="1"/>
    <cellStyle name="Hyperlink 32" xfId="6797" hidden="1"/>
    <cellStyle name="Hyperlink 32" xfId="7059"/>
    <cellStyle name="Hyperlink 33" xfId="296" hidden="1"/>
    <cellStyle name="Hyperlink 33" xfId="556" hidden="1"/>
    <cellStyle name="Hyperlink 33" xfId="1375" hidden="1"/>
    <cellStyle name="Hyperlink 33" xfId="1635" hidden="1"/>
    <cellStyle name="Hyperlink 33" xfId="2310" hidden="1"/>
    <cellStyle name="Hyperlink 33" xfId="2567" hidden="1"/>
    <cellStyle name="Hyperlink 33" xfId="3266" hidden="1"/>
    <cellStyle name="Hyperlink 33" xfId="3526" hidden="1"/>
    <cellStyle name="Hyperlink 33" xfId="4069" hidden="1"/>
    <cellStyle name="Hyperlink 33" xfId="4325" hidden="1"/>
    <cellStyle name="Hyperlink 33" xfId="5037" hidden="1"/>
    <cellStyle name="Hyperlink 33" xfId="5293" hidden="1"/>
    <cellStyle name="Hyperlink 33" xfId="5889" hidden="1"/>
    <cellStyle name="Hyperlink 33" xfId="6145" hidden="1"/>
    <cellStyle name="Hyperlink 33" xfId="6799" hidden="1"/>
    <cellStyle name="Hyperlink 33" xfId="7055"/>
    <cellStyle name="Hyperlink 34" xfId="298" hidden="1"/>
    <cellStyle name="Hyperlink 34" xfId="552" hidden="1"/>
    <cellStyle name="Hyperlink 34" xfId="1377" hidden="1"/>
    <cellStyle name="Hyperlink 34" xfId="1631" hidden="1"/>
    <cellStyle name="Hyperlink 34" xfId="2312" hidden="1"/>
    <cellStyle name="Hyperlink 34" xfId="2563" hidden="1"/>
    <cellStyle name="Hyperlink 34" xfId="3268" hidden="1"/>
    <cellStyle name="Hyperlink 34" xfId="3522" hidden="1"/>
    <cellStyle name="Hyperlink 34" xfId="4071" hidden="1"/>
    <cellStyle name="Hyperlink 34" xfId="4321" hidden="1"/>
    <cellStyle name="Hyperlink 34" xfId="5039" hidden="1"/>
    <cellStyle name="Hyperlink 34" xfId="5289" hidden="1"/>
    <cellStyle name="Hyperlink 34" xfId="5891" hidden="1"/>
    <cellStyle name="Hyperlink 34" xfId="6141" hidden="1"/>
    <cellStyle name="Hyperlink 34" xfId="6801" hidden="1"/>
    <cellStyle name="Hyperlink 34" xfId="7051"/>
    <cellStyle name="Hyperlink 35" xfId="300" hidden="1"/>
    <cellStyle name="Hyperlink 35" xfId="548" hidden="1"/>
    <cellStyle name="Hyperlink 35" xfId="1379" hidden="1"/>
    <cellStyle name="Hyperlink 35" xfId="1627" hidden="1"/>
    <cellStyle name="Hyperlink 35" xfId="2314" hidden="1"/>
    <cellStyle name="Hyperlink 35" xfId="2559" hidden="1"/>
    <cellStyle name="Hyperlink 35" xfId="3270" hidden="1"/>
    <cellStyle name="Hyperlink 35" xfId="3518" hidden="1"/>
    <cellStyle name="Hyperlink 35" xfId="4073" hidden="1"/>
    <cellStyle name="Hyperlink 35" xfId="4317" hidden="1"/>
    <cellStyle name="Hyperlink 35" xfId="5041" hidden="1"/>
    <cellStyle name="Hyperlink 35" xfId="5285" hidden="1"/>
    <cellStyle name="Hyperlink 35" xfId="5893" hidden="1"/>
    <cellStyle name="Hyperlink 35" xfId="6137" hidden="1"/>
    <cellStyle name="Hyperlink 35" xfId="6803" hidden="1"/>
    <cellStyle name="Hyperlink 35" xfId="7047"/>
    <cellStyle name="Hyperlink 36" xfId="302" hidden="1"/>
    <cellStyle name="Hyperlink 36" xfId="544" hidden="1"/>
    <cellStyle name="Hyperlink 36" xfId="1381" hidden="1"/>
    <cellStyle name="Hyperlink 36" xfId="1623" hidden="1"/>
    <cellStyle name="Hyperlink 36" xfId="2316" hidden="1"/>
    <cellStyle name="Hyperlink 36" xfId="2555" hidden="1"/>
    <cellStyle name="Hyperlink 36" xfId="3272" hidden="1"/>
    <cellStyle name="Hyperlink 36" xfId="3514" hidden="1"/>
    <cellStyle name="Hyperlink 36" xfId="4075" hidden="1"/>
    <cellStyle name="Hyperlink 36" xfId="4313" hidden="1"/>
    <cellStyle name="Hyperlink 36" xfId="5043" hidden="1"/>
    <cellStyle name="Hyperlink 36" xfId="5281" hidden="1"/>
    <cellStyle name="Hyperlink 36" xfId="5895" hidden="1"/>
    <cellStyle name="Hyperlink 36" xfId="6133" hidden="1"/>
    <cellStyle name="Hyperlink 36" xfId="6805" hidden="1"/>
    <cellStyle name="Hyperlink 36" xfId="7043"/>
    <cellStyle name="Hyperlink 37" xfId="304" hidden="1"/>
    <cellStyle name="Hyperlink 37" xfId="540" hidden="1"/>
    <cellStyle name="Hyperlink 37" xfId="1383" hidden="1"/>
    <cellStyle name="Hyperlink 37" xfId="1619" hidden="1"/>
    <cellStyle name="Hyperlink 37" xfId="2318" hidden="1"/>
    <cellStyle name="Hyperlink 37" xfId="2551" hidden="1"/>
    <cellStyle name="Hyperlink 37" xfId="3274" hidden="1"/>
    <cellStyle name="Hyperlink 37" xfId="3510" hidden="1"/>
    <cellStyle name="Hyperlink 37" xfId="4077" hidden="1"/>
    <cellStyle name="Hyperlink 37" xfId="4309" hidden="1"/>
    <cellStyle name="Hyperlink 37" xfId="5045" hidden="1"/>
    <cellStyle name="Hyperlink 37" xfId="5277" hidden="1"/>
    <cellStyle name="Hyperlink 37" xfId="5897" hidden="1"/>
    <cellStyle name="Hyperlink 37" xfId="6129" hidden="1"/>
    <cellStyle name="Hyperlink 37" xfId="6807" hidden="1"/>
    <cellStyle name="Hyperlink 37" xfId="7039"/>
    <cellStyle name="Hyperlink 38" xfId="306" hidden="1"/>
    <cellStyle name="Hyperlink 38" xfId="536" hidden="1"/>
    <cellStyle name="Hyperlink 38" xfId="1385" hidden="1"/>
    <cellStyle name="Hyperlink 38" xfId="1615" hidden="1"/>
    <cellStyle name="Hyperlink 38" xfId="2320" hidden="1"/>
    <cellStyle name="Hyperlink 38" xfId="2547" hidden="1"/>
    <cellStyle name="Hyperlink 38" xfId="3276" hidden="1"/>
    <cellStyle name="Hyperlink 38" xfId="3506" hidden="1"/>
    <cellStyle name="Hyperlink 38" xfId="4079" hidden="1"/>
    <cellStyle name="Hyperlink 38" xfId="4305" hidden="1"/>
    <cellStyle name="Hyperlink 38" xfId="5047" hidden="1"/>
    <cellStyle name="Hyperlink 38" xfId="5273" hidden="1"/>
    <cellStyle name="Hyperlink 38" xfId="5899" hidden="1"/>
    <cellStyle name="Hyperlink 38" xfId="6125" hidden="1"/>
    <cellStyle name="Hyperlink 38" xfId="6809" hidden="1"/>
    <cellStyle name="Hyperlink 38" xfId="7035"/>
    <cellStyle name="Hyperlink 39" xfId="308" hidden="1"/>
    <cellStyle name="Hyperlink 39" xfId="532" hidden="1"/>
    <cellStyle name="Hyperlink 39" xfId="1387" hidden="1"/>
    <cellStyle name="Hyperlink 39" xfId="1611" hidden="1"/>
    <cellStyle name="Hyperlink 39" xfId="2322" hidden="1"/>
    <cellStyle name="Hyperlink 39" xfId="2543" hidden="1"/>
    <cellStyle name="Hyperlink 39" xfId="3278" hidden="1"/>
    <cellStyle name="Hyperlink 39" xfId="3502" hidden="1"/>
    <cellStyle name="Hyperlink 39" xfId="4081" hidden="1"/>
    <cellStyle name="Hyperlink 39" xfId="4301" hidden="1"/>
    <cellStyle name="Hyperlink 39" xfId="5049" hidden="1"/>
    <cellStyle name="Hyperlink 39" xfId="5269" hidden="1"/>
    <cellStyle name="Hyperlink 39" xfId="5901" hidden="1"/>
    <cellStyle name="Hyperlink 39" xfId="6121" hidden="1"/>
    <cellStyle name="Hyperlink 39" xfId="6811" hidden="1"/>
    <cellStyle name="Hyperlink 39" xfId="7031"/>
    <cellStyle name="Hyperlink 4" xfId="238" hidden="1"/>
    <cellStyle name="Hyperlink 4" xfId="672" hidden="1"/>
    <cellStyle name="Hyperlink 4" xfId="1317" hidden="1"/>
    <cellStyle name="Hyperlink 4" xfId="1751" hidden="1"/>
    <cellStyle name="Hyperlink 4" xfId="2252" hidden="1"/>
    <cellStyle name="Hyperlink 4" xfId="2683" hidden="1"/>
    <cellStyle name="Hyperlink 4" xfId="3208" hidden="1"/>
    <cellStyle name="Hyperlink 4" xfId="3642" hidden="1"/>
    <cellStyle name="Hyperlink 4" xfId="2824" hidden="1"/>
    <cellStyle name="Hyperlink 4" xfId="4441" hidden="1"/>
    <cellStyle name="Hyperlink 4" xfId="4979" hidden="1"/>
    <cellStyle name="Hyperlink 4" xfId="5409" hidden="1"/>
    <cellStyle name="Hyperlink 4" xfId="5831" hidden="1"/>
    <cellStyle name="Hyperlink 4" xfId="6261" hidden="1"/>
    <cellStyle name="Hyperlink 4" xfId="6741" hidden="1"/>
    <cellStyle name="Hyperlink 4" xfId="7171"/>
    <cellStyle name="Hyperlink 40" xfId="310" hidden="1"/>
    <cellStyle name="Hyperlink 40" xfId="528" hidden="1"/>
    <cellStyle name="Hyperlink 40" xfId="1389" hidden="1"/>
    <cellStyle name="Hyperlink 40" xfId="1607" hidden="1"/>
    <cellStyle name="Hyperlink 40" xfId="2324" hidden="1"/>
    <cellStyle name="Hyperlink 40" xfId="2539" hidden="1"/>
    <cellStyle name="Hyperlink 40" xfId="3280" hidden="1"/>
    <cellStyle name="Hyperlink 40" xfId="3498" hidden="1"/>
    <cellStyle name="Hyperlink 40" xfId="4083" hidden="1"/>
    <cellStyle name="Hyperlink 40" xfId="4297" hidden="1"/>
    <cellStyle name="Hyperlink 40" xfId="5051" hidden="1"/>
    <cellStyle name="Hyperlink 40" xfId="5265" hidden="1"/>
    <cellStyle name="Hyperlink 40" xfId="5903" hidden="1"/>
    <cellStyle name="Hyperlink 40" xfId="6117" hidden="1"/>
    <cellStyle name="Hyperlink 40" xfId="6813" hidden="1"/>
    <cellStyle name="Hyperlink 40" xfId="7027"/>
    <cellStyle name="Hyperlink 41" xfId="312" hidden="1"/>
    <cellStyle name="Hyperlink 41" xfId="524" hidden="1"/>
    <cellStyle name="Hyperlink 41" xfId="1391" hidden="1"/>
    <cellStyle name="Hyperlink 41" xfId="1603" hidden="1"/>
    <cellStyle name="Hyperlink 41" xfId="2326" hidden="1"/>
    <cellStyle name="Hyperlink 41" xfId="2535" hidden="1"/>
    <cellStyle name="Hyperlink 41" xfId="3282" hidden="1"/>
    <cellStyle name="Hyperlink 41" xfId="3494" hidden="1"/>
    <cellStyle name="Hyperlink 41" xfId="4085" hidden="1"/>
    <cellStyle name="Hyperlink 41" xfId="4293" hidden="1"/>
    <cellStyle name="Hyperlink 41" xfId="5053" hidden="1"/>
    <cellStyle name="Hyperlink 41" xfId="5261" hidden="1"/>
    <cellStyle name="Hyperlink 41" xfId="5905" hidden="1"/>
    <cellStyle name="Hyperlink 41" xfId="6113" hidden="1"/>
    <cellStyle name="Hyperlink 41" xfId="6815" hidden="1"/>
    <cellStyle name="Hyperlink 41" xfId="7023"/>
    <cellStyle name="Hyperlink 42" xfId="314" hidden="1"/>
    <cellStyle name="Hyperlink 42" xfId="520" hidden="1"/>
    <cellStyle name="Hyperlink 42" xfId="1393" hidden="1"/>
    <cellStyle name="Hyperlink 42" xfId="1599" hidden="1"/>
    <cellStyle name="Hyperlink 42" xfId="2328" hidden="1"/>
    <cellStyle name="Hyperlink 42" xfId="2531" hidden="1"/>
    <cellStyle name="Hyperlink 42" xfId="3284" hidden="1"/>
    <cellStyle name="Hyperlink 42" xfId="3490" hidden="1"/>
    <cellStyle name="Hyperlink 42" xfId="4087" hidden="1"/>
    <cellStyle name="Hyperlink 42" xfId="4289" hidden="1"/>
    <cellStyle name="Hyperlink 42" xfId="5055" hidden="1"/>
    <cellStyle name="Hyperlink 42" xfId="5257" hidden="1"/>
    <cellStyle name="Hyperlink 42" xfId="5907" hidden="1"/>
    <cellStyle name="Hyperlink 42" xfId="6109" hidden="1"/>
    <cellStyle name="Hyperlink 42" xfId="6817" hidden="1"/>
    <cellStyle name="Hyperlink 42" xfId="7019"/>
    <cellStyle name="Hyperlink 43" xfId="316" hidden="1"/>
    <cellStyle name="Hyperlink 43" xfId="516" hidden="1"/>
    <cellStyle name="Hyperlink 43" xfId="1395" hidden="1"/>
    <cellStyle name="Hyperlink 43" xfId="1595" hidden="1"/>
    <cellStyle name="Hyperlink 43" xfId="2330" hidden="1"/>
    <cellStyle name="Hyperlink 43" xfId="2527" hidden="1"/>
    <cellStyle name="Hyperlink 43" xfId="3286" hidden="1"/>
    <cellStyle name="Hyperlink 43" xfId="3486" hidden="1"/>
    <cellStyle name="Hyperlink 43" xfId="4089" hidden="1"/>
    <cellStyle name="Hyperlink 43" xfId="4285" hidden="1"/>
    <cellStyle name="Hyperlink 43" xfId="5057" hidden="1"/>
    <cellStyle name="Hyperlink 43" xfId="5253" hidden="1"/>
    <cellStyle name="Hyperlink 43" xfId="5909" hidden="1"/>
    <cellStyle name="Hyperlink 43" xfId="6105" hidden="1"/>
    <cellStyle name="Hyperlink 43" xfId="6819" hidden="1"/>
    <cellStyle name="Hyperlink 43" xfId="7015"/>
    <cellStyle name="Hyperlink 44" xfId="318" hidden="1"/>
    <cellStyle name="Hyperlink 44" xfId="512" hidden="1"/>
    <cellStyle name="Hyperlink 44" xfId="1397" hidden="1"/>
    <cellStyle name="Hyperlink 44" xfId="1591" hidden="1"/>
    <cellStyle name="Hyperlink 44" xfId="2332" hidden="1"/>
    <cellStyle name="Hyperlink 44" xfId="2523" hidden="1"/>
    <cellStyle name="Hyperlink 44" xfId="3288" hidden="1"/>
    <cellStyle name="Hyperlink 44" xfId="3482" hidden="1"/>
    <cellStyle name="Hyperlink 44" xfId="4091" hidden="1"/>
    <cellStyle name="Hyperlink 44" xfId="4281" hidden="1"/>
    <cellStyle name="Hyperlink 44" xfId="5059" hidden="1"/>
    <cellStyle name="Hyperlink 44" xfId="5249" hidden="1"/>
    <cellStyle name="Hyperlink 44" xfId="5911" hidden="1"/>
    <cellStyle name="Hyperlink 44" xfId="6101" hidden="1"/>
    <cellStyle name="Hyperlink 44" xfId="6821" hidden="1"/>
    <cellStyle name="Hyperlink 44" xfId="7011"/>
    <cellStyle name="Hyperlink 45" xfId="320" hidden="1"/>
    <cellStyle name="Hyperlink 45" xfId="508" hidden="1"/>
    <cellStyle name="Hyperlink 45" xfId="1399" hidden="1"/>
    <cellStyle name="Hyperlink 45" xfId="1587" hidden="1"/>
    <cellStyle name="Hyperlink 45" xfId="2334" hidden="1"/>
    <cellStyle name="Hyperlink 45" xfId="2519" hidden="1"/>
    <cellStyle name="Hyperlink 45" xfId="3290" hidden="1"/>
    <cellStyle name="Hyperlink 45" xfId="3478" hidden="1"/>
    <cellStyle name="Hyperlink 45" xfId="4093" hidden="1"/>
    <cellStyle name="Hyperlink 45" xfId="4277" hidden="1"/>
    <cellStyle name="Hyperlink 45" xfId="5061" hidden="1"/>
    <cellStyle name="Hyperlink 45" xfId="5245" hidden="1"/>
    <cellStyle name="Hyperlink 45" xfId="5913" hidden="1"/>
    <cellStyle name="Hyperlink 45" xfId="6097" hidden="1"/>
    <cellStyle name="Hyperlink 45" xfId="6823" hidden="1"/>
    <cellStyle name="Hyperlink 45" xfId="7007"/>
    <cellStyle name="Hyperlink 46" xfId="322" hidden="1"/>
    <cellStyle name="Hyperlink 46" xfId="504" hidden="1"/>
    <cellStyle name="Hyperlink 46" xfId="1401" hidden="1"/>
    <cellStyle name="Hyperlink 46" xfId="1583" hidden="1"/>
    <cellStyle name="Hyperlink 46" xfId="2336" hidden="1"/>
    <cellStyle name="Hyperlink 46" xfId="2515" hidden="1"/>
    <cellStyle name="Hyperlink 46" xfId="3292" hidden="1"/>
    <cellStyle name="Hyperlink 46" xfId="3474" hidden="1"/>
    <cellStyle name="Hyperlink 46" xfId="4095" hidden="1"/>
    <cellStyle name="Hyperlink 46" xfId="4273" hidden="1"/>
    <cellStyle name="Hyperlink 46" xfId="5063" hidden="1"/>
    <cellStyle name="Hyperlink 46" xfId="5241" hidden="1"/>
    <cellStyle name="Hyperlink 46" xfId="5915" hidden="1"/>
    <cellStyle name="Hyperlink 46" xfId="6093" hidden="1"/>
    <cellStyle name="Hyperlink 46" xfId="6825" hidden="1"/>
    <cellStyle name="Hyperlink 46" xfId="7003"/>
    <cellStyle name="Hyperlink 47" xfId="324" hidden="1"/>
    <cellStyle name="Hyperlink 47" xfId="500" hidden="1"/>
    <cellStyle name="Hyperlink 47" xfId="1403" hidden="1"/>
    <cellStyle name="Hyperlink 47" xfId="1579" hidden="1"/>
    <cellStyle name="Hyperlink 47" xfId="2338" hidden="1"/>
    <cellStyle name="Hyperlink 47" xfId="2511" hidden="1"/>
    <cellStyle name="Hyperlink 47" xfId="3294" hidden="1"/>
    <cellStyle name="Hyperlink 47" xfId="3470" hidden="1"/>
    <cellStyle name="Hyperlink 47" xfId="4097" hidden="1"/>
    <cellStyle name="Hyperlink 47" xfId="4269" hidden="1"/>
    <cellStyle name="Hyperlink 47" xfId="5065" hidden="1"/>
    <cellStyle name="Hyperlink 47" xfId="5237" hidden="1"/>
    <cellStyle name="Hyperlink 47" xfId="5917" hidden="1"/>
    <cellStyle name="Hyperlink 47" xfId="6089" hidden="1"/>
    <cellStyle name="Hyperlink 47" xfId="6827" hidden="1"/>
    <cellStyle name="Hyperlink 47" xfId="6999"/>
    <cellStyle name="Hyperlink 48" xfId="326" hidden="1"/>
    <cellStyle name="Hyperlink 48" xfId="496" hidden="1"/>
    <cellStyle name="Hyperlink 48" xfId="1405" hidden="1"/>
    <cellStyle name="Hyperlink 48" xfId="1575" hidden="1"/>
    <cellStyle name="Hyperlink 48" xfId="2340" hidden="1"/>
    <cellStyle name="Hyperlink 48" xfId="2507" hidden="1"/>
    <cellStyle name="Hyperlink 48" xfId="3296" hidden="1"/>
    <cellStyle name="Hyperlink 48" xfId="3466" hidden="1"/>
    <cellStyle name="Hyperlink 48" xfId="4099" hidden="1"/>
    <cellStyle name="Hyperlink 48" xfId="4265" hidden="1"/>
    <cellStyle name="Hyperlink 48" xfId="5067" hidden="1"/>
    <cellStyle name="Hyperlink 48" xfId="5233" hidden="1"/>
    <cellStyle name="Hyperlink 48" xfId="5919" hidden="1"/>
    <cellStyle name="Hyperlink 48" xfId="6085" hidden="1"/>
    <cellStyle name="Hyperlink 48" xfId="6829" hidden="1"/>
    <cellStyle name="Hyperlink 48" xfId="6995"/>
    <cellStyle name="Hyperlink 49" xfId="328" hidden="1"/>
    <cellStyle name="Hyperlink 49" xfId="492" hidden="1"/>
    <cellStyle name="Hyperlink 49" xfId="1407" hidden="1"/>
    <cellStyle name="Hyperlink 49" xfId="1571" hidden="1"/>
    <cellStyle name="Hyperlink 49" xfId="2342" hidden="1"/>
    <cellStyle name="Hyperlink 49" xfId="2503" hidden="1"/>
    <cellStyle name="Hyperlink 49" xfId="3298" hidden="1"/>
    <cellStyle name="Hyperlink 49" xfId="3462" hidden="1"/>
    <cellStyle name="Hyperlink 49" xfId="4101" hidden="1"/>
    <cellStyle name="Hyperlink 49" xfId="4261" hidden="1"/>
    <cellStyle name="Hyperlink 49" xfId="5069" hidden="1"/>
    <cellStyle name="Hyperlink 49" xfId="5229" hidden="1"/>
    <cellStyle name="Hyperlink 49" xfId="5921" hidden="1"/>
    <cellStyle name="Hyperlink 49" xfId="6081" hidden="1"/>
    <cellStyle name="Hyperlink 49" xfId="6831" hidden="1"/>
    <cellStyle name="Hyperlink 49" xfId="6991"/>
    <cellStyle name="Hyperlink 5" xfId="240" hidden="1"/>
    <cellStyle name="Hyperlink 5" xfId="668" hidden="1"/>
    <cellStyle name="Hyperlink 5" xfId="1319" hidden="1"/>
    <cellStyle name="Hyperlink 5" xfId="1747" hidden="1"/>
    <cellStyle name="Hyperlink 5" xfId="2254" hidden="1"/>
    <cellStyle name="Hyperlink 5" xfId="2679" hidden="1"/>
    <cellStyle name="Hyperlink 5" xfId="3210" hidden="1"/>
    <cellStyle name="Hyperlink 5" xfId="3638" hidden="1"/>
    <cellStyle name="Hyperlink 5" xfId="3760" hidden="1"/>
    <cellStyle name="Hyperlink 5" xfId="4437" hidden="1"/>
    <cellStyle name="Hyperlink 5" xfId="4981" hidden="1"/>
    <cellStyle name="Hyperlink 5" xfId="5405" hidden="1"/>
    <cellStyle name="Hyperlink 5" xfId="5833" hidden="1"/>
    <cellStyle name="Hyperlink 5" xfId="6257" hidden="1"/>
    <cellStyle name="Hyperlink 5" xfId="6743" hidden="1"/>
    <cellStyle name="Hyperlink 5" xfId="7167"/>
    <cellStyle name="Hyperlink 50" xfId="330" hidden="1"/>
    <cellStyle name="Hyperlink 50" xfId="488" hidden="1"/>
    <cellStyle name="Hyperlink 50" xfId="1409" hidden="1"/>
    <cellStyle name="Hyperlink 50" xfId="1567" hidden="1"/>
    <cellStyle name="Hyperlink 50" xfId="2344" hidden="1"/>
    <cellStyle name="Hyperlink 50" xfId="2499" hidden="1"/>
    <cellStyle name="Hyperlink 50" xfId="3300" hidden="1"/>
    <cellStyle name="Hyperlink 50" xfId="3458" hidden="1"/>
    <cellStyle name="Hyperlink 50" xfId="4103" hidden="1"/>
    <cellStyle name="Hyperlink 50" xfId="4257" hidden="1"/>
    <cellStyle name="Hyperlink 50" xfId="5071" hidden="1"/>
    <cellStyle name="Hyperlink 50" xfId="5225" hidden="1"/>
    <cellStyle name="Hyperlink 50" xfId="5923" hidden="1"/>
    <cellStyle name="Hyperlink 50" xfId="6077" hidden="1"/>
    <cellStyle name="Hyperlink 50" xfId="6833" hidden="1"/>
    <cellStyle name="Hyperlink 50" xfId="6987"/>
    <cellStyle name="Hyperlink 51" xfId="332" hidden="1"/>
    <cellStyle name="Hyperlink 51" xfId="484" hidden="1"/>
    <cellStyle name="Hyperlink 51" xfId="1411" hidden="1"/>
    <cellStyle name="Hyperlink 51" xfId="1563" hidden="1"/>
    <cellStyle name="Hyperlink 51" xfId="2346" hidden="1"/>
    <cellStyle name="Hyperlink 51" xfId="2495" hidden="1"/>
    <cellStyle name="Hyperlink 51" xfId="3302" hidden="1"/>
    <cellStyle name="Hyperlink 51" xfId="3454" hidden="1"/>
    <cellStyle name="Hyperlink 51" xfId="4105" hidden="1"/>
    <cellStyle name="Hyperlink 51" xfId="4253" hidden="1"/>
    <cellStyle name="Hyperlink 51" xfId="5073" hidden="1"/>
    <cellStyle name="Hyperlink 51" xfId="5221" hidden="1"/>
    <cellStyle name="Hyperlink 51" xfId="5925" hidden="1"/>
    <cellStyle name="Hyperlink 51" xfId="6073" hidden="1"/>
    <cellStyle name="Hyperlink 51" xfId="6835" hidden="1"/>
    <cellStyle name="Hyperlink 51" xfId="6983"/>
    <cellStyle name="Hyperlink 52" xfId="334" hidden="1"/>
    <cellStyle name="Hyperlink 52" xfId="480" hidden="1"/>
    <cellStyle name="Hyperlink 52" xfId="1413" hidden="1"/>
    <cellStyle name="Hyperlink 52" xfId="1559" hidden="1"/>
    <cellStyle name="Hyperlink 52" xfId="2348" hidden="1"/>
    <cellStyle name="Hyperlink 52" xfId="2491" hidden="1"/>
    <cellStyle name="Hyperlink 52" xfId="3304" hidden="1"/>
    <cellStyle name="Hyperlink 52" xfId="3450" hidden="1"/>
    <cellStyle name="Hyperlink 52" xfId="4107" hidden="1"/>
    <cellStyle name="Hyperlink 52" xfId="4249" hidden="1"/>
    <cellStyle name="Hyperlink 52" xfId="5075" hidden="1"/>
    <cellStyle name="Hyperlink 52" xfId="5217" hidden="1"/>
    <cellStyle name="Hyperlink 52" xfId="5927" hidden="1"/>
    <cellStyle name="Hyperlink 52" xfId="6069" hidden="1"/>
    <cellStyle name="Hyperlink 52" xfId="6837" hidden="1"/>
    <cellStyle name="Hyperlink 52" xfId="6979"/>
    <cellStyle name="Hyperlink 53" xfId="336" hidden="1"/>
    <cellStyle name="Hyperlink 53" xfId="476" hidden="1"/>
    <cellStyle name="Hyperlink 53" xfId="1415" hidden="1"/>
    <cellStyle name="Hyperlink 53" xfId="1555" hidden="1"/>
    <cellStyle name="Hyperlink 53" xfId="2350" hidden="1"/>
    <cellStyle name="Hyperlink 53" xfId="2487" hidden="1"/>
    <cellStyle name="Hyperlink 53" xfId="3306" hidden="1"/>
    <cellStyle name="Hyperlink 53" xfId="3446" hidden="1"/>
    <cellStyle name="Hyperlink 53" xfId="4109" hidden="1"/>
    <cellStyle name="Hyperlink 53" xfId="4245" hidden="1"/>
    <cellStyle name="Hyperlink 53" xfId="5077" hidden="1"/>
    <cellStyle name="Hyperlink 53" xfId="5213" hidden="1"/>
    <cellStyle name="Hyperlink 53" xfId="5929" hidden="1"/>
    <cellStyle name="Hyperlink 53" xfId="6065" hidden="1"/>
    <cellStyle name="Hyperlink 53" xfId="6839" hidden="1"/>
    <cellStyle name="Hyperlink 53" xfId="6975"/>
    <cellStyle name="Hyperlink 54" xfId="338" hidden="1"/>
    <cellStyle name="Hyperlink 54" xfId="472" hidden="1"/>
    <cellStyle name="Hyperlink 54" xfId="1417" hidden="1"/>
    <cellStyle name="Hyperlink 54" xfId="1551" hidden="1"/>
    <cellStyle name="Hyperlink 54" xfId="2352" hidden="1"/>
    <cellStyle name="Hyperlink 54" xfId="2483" hidden="1"/>
    <cellStyle name="Hyperlink 54" xfId="3308" hidden="1"/>
    <cellStyle name="Hyperlink 54" xfId="3442" hidden="1"/>
    <cellStyle name="Hyperlink 54" xfId="4111" hidden="1"/>
    <cellStyle name="Hyperlink 54" xfId="4241" hidden="1"/>
    <cellStyle name="Hyperlink 54" xfId="5079" hidden="1"/>
    <cellStyle name="Hyperlink 54" xfId="5209" hidden="1"/>
    <cellStyle name="Hyperlink 54" xfId="5931" hidden="1"/>
    <cellStyle name="Hyperlink 54" xfId="6061" hidden="1"/>
    <cellStyle name="Hyperlink 54" xfId="6841" hidden="1"/>
    <cellStyle name="Hyperlink 54" xfId="6971"/>
    <cellStyle name="Hyperlink 55" xfId="340" hidden="1"/>
    <cellStyle name="Hyperlink 55" xfId="468" hidden="1"/>
    <cellStyle name="Hyperlink 55" xfId="1419" hidden="1"/>
    <cellStyle name="Hyperlink 55" xfId="1547" hidden="1"/>
    <cellStyle name="Hyperlink 55" xfId="2354" hidden="1"/>
    <cellStyle name="Hyperlink 55" xfId="2479" hidden="1"/>
    <cellStyle name="Hyperlink 55" xfId="3310" hidden="1"/>
    <cellStyle name="Hyperlink 55" xfId="3438" hidden="1"/>
    <cellStyle name="Hyperlink 55" xfId="4113" hidden="1"/>
    <cellStyle name="Hyperlink 55" xfId="4237" hidden="1"/>
    <cellStyle name="Hyperlink 55" xfId="5081" hidden="1"/>
    <cellStyle name="Hyperlink 55" xfId="5205" hidden="1"/>
    <cellStyle name="Hyperlink 55" xfId="5933" hidden="1"/>
    <cellStyle name="Hyperlink 55" xfId="6057" hidden="1"/>
    <cellStyle name="Hyperlink 55" xfId="6843" hidden="1"/>
    <cellStyle name="Hyperlink 55" xfId="6967"/>
    <cellStyle name="Hyperlink 56" xfId="342" hidden="1"/>
    <cellStyle name="Hyperlink 56" xfId="464" hidden="1"/>
    <cellStyle name="Hyperlink 56" xfId="1421" hidden="1"/>
    <cellStyle name="Hyperlink 56" xfId="1543" hidden="1"/>
    <cellStyle name="Hyperlink 56" xfId="2356" hidden="1"/>
    <cellStyle name="Hyperlink 56" xfId="2475" hidden="1"/>
    <cellStyle name="Hyperlink 56" xfId="3312" hidden="1"/>
    <cellStyle name="Hyperlink 56" xfId="3434" hidden="1"/>
    <cellStyle name="Hyperlink 56" xfId="4115" hidden="1"/>
    <cellStyle name="Hyperlink 56" xfId="4233" hidden="1"/>
    <cellStyle name="Hyperlink 56" xfId="5083" hidden="1"/>
    <cellStyle name="Hyperlink 56" xfId="5201" hidden="1"/>
    <cellStyle name="Hyperlink 56" xfId="5935" hidden="1"/>
    <cellStyle name="Hyperlink 56" xfId="6053" hidden="1"/>
    <cellStyle name="Hyperlink 56" xfId="6845" hidden="1"/>
    <cellStyle name="Hyperlink 56" xfId="6963"/>
    <cellStyle name="Hyperlink 57" xfId="344" hidden="1"/>
    <cellStyle name="Hyperlink 57" xfId="460" hidden="1"/>
    <cellStyle name="Hyperlink 57" xfId="1423" hidden="1"/>
    <cellStyle name="Hyperlink 57" xfId="1539" hidden="1"/>
    <cellStyle name="Hyperlink 57" xfId="2358" hidden="1"/>
    <cellStyle name="Hyperlink 57" xfId="2471" hidden="1"/>
    <cellStyle name="Hyperlink 57" xfId="3314" hidden="1"/>
    <cellStyle name="Hyperlink 57" xfId="3430" hidden="1"/>
    <cellStyle name="Hyperlink 57" xfId="4117" hidden="1"/>
    <cellStyle name="Hyperlink 57" xfId="4229" hidden="1"/>
    <cellStyle name="Hyperlink 57" xfId="5085" hidden="1"/>
    <cellStyle name="Hyperlink 57" xfId="5197" hidden="1"/>
    <cellStyle name="Hyperlink 57" xfId="5937" hidden="1"/>
    <cellStyle name="Hyperlink 57" xfId="6049" hidden="1"/>
    <cellStyle name="Hyperlink 57" xfId="6847" hidden="1"/>
    <cellStyle name="Hyperlink 57" xfId="6959"/>
    <cellStyle name="Hyperlink 58" xfId="346" hidden="1"/>
    <cellStyle name="Hyperlink 58" xfId="683" hidden="1"/>
    <cellStyle name="Hyperlink 58" xfId="1425" hidden="1"/>
    <cellStyle name="Hyperlink 58" xfId="1762" hidden="1"/>
    <cellStyle name="Hyperlink 58" xfId="2360" hidden="1"/>
    <cellStyle name="Hyperlink 58" xfId="2694" hidden="1"/>
    <cellStyle name="Hyperlink 58" xfId="3316" hidden="1"/>
    <cellStyle name="Hyperlink 58" xfId="3653" hidden="1"/>
    <cellStyle name="Hyperlink 58" xfId="4119" hidden="1"/>
    <cellStyle name="Hyperlink 58" xfId="4452" hidden="1"/>
    <cellStyle name="Hyperlink 58" xfId="5087" hidden="1"/>
    <cellStyle name="Hyperlink 58" xfId="5420" hidden="1"/>
    <cellStyle name="Hyperlink 58" xfId="5939" hidden="1"/>
    <cellStyle name="Hyperlink 58" xfId="6272" hidden="1"/>
    <cellStyle name="Hyperlink 58" xfId="6849" hidden="1"/>
    <cellStyle name="Hyperlink 58" xfId="7182"/>
    <cellStyle name="Hyperlink 59" xfId="348" hidden="1"/>
    <cellStyle name="Hyperlink 59" xfId="459" hidden="1"/>
    <cellStyle name="Hyperlink 59" xfId="1427" hidden="1"/>
    <cellStyle name="Hyperlink 59" xfId="1538" hidden="1"/>
    <cellStyle name="Hyperlink 59" xfId="2362" hidden="1"/>
    <cellStyle name="Hyperlink 59" xfId="2470" hidden="1"/>
    <cellStyle name="Hyperlink 59" xfId="3318" hidden="1"/>
    <cellStyle name="Hyperlink 59" xfId="3429" hidden="1"/>
    <cellStyle name="Hyperlink 59" xfId="4121" hidden="1"/>
    <cellStyle name="Hyperlink 59" xfId="4228" hidden="1"/>
    <cellStyle name="Hyperlink 59" xfId="5089" hidden="1"/>
    <cellStyle name="Hyperlink 59" xfId="5196" hidden="1"/>
    <cellStyle name="Hyperlink 59" xfId="5941" hidden="1"/>
    <cellStyle name="Hyperlink 59" xfId="6048" hidden="1"/>
    <cellStyle name="Hyperlink 59" xfId="6851" hidden="1"/>
    <cellStyle name="Hyperlink 59" xfId="6958"/>
    <cellStyle name="Hyperlink 6" xfId="242" hidden="1"/>
    <cellStyle name="Hyperlink 6" xfId="664" hidden="1"/>
    <cellStyle name="Hyperlink 6" xfId="1321" hidden="1"/>
    <cellStyle name="Hyperlink 6" xfId="1743" hidden="1"/>
    <cellStyle name="Hyperlink 6" xfId="2256" hidden="1"/>
    <cellStyle name="Hyperlink 6" xfId="2675" hidden="1"/>
    <cellStyle name="Hyperlink 6" xfId="3212" hidden="1"/>
    <cellStyle name="Hyperlink 6" xfId="3634" hidden="1"/>
    <cellStyle name="Hyperlink 6" xfId="2834" hidden="1"/>
    <cellStyle name="Hyperlink 6" xfId="4433" hidden="1"/>
    <cellStyle name="Hyperlink 6" xfId="4983" hidden="1"/>
    <cellStyle name="Hyperlink 6" xfId="5401" hidden="1"/>
    <cellStyle name="Hyperlink 6" xfId="5835" hidden="1"/>
    <cellStyle name="Hyperlink 6" xfId="6253" hidden="1"/>
    <cellStyle name="Hyperlink 6" xfId="6745" hidden="1"/>
    <cellStyle name="Hyperlink 6" xfId="7163"/>
    <cellStyle name="Hyperlink 60" xfId="350" hidden="1"/>
    <cellStyle name="Hyperlink 60" xfId="684" hidden="1"/>
    <cellStyle name="Hyperlink 60" xfId="1429" hidden="1"/>
    <cellStyle name="Hyperlink 60" xfId="1763" hidden="1"/>
    <cellStyle name="Hyperlink 60" xfId="2364" hidden="1"/>
    <cellStyle name="Hyperlink 60" xfId="2695" hidden="1"/>
    <cellStyle name="Hyperlink 60" xfId="3320" hidden="1"/>
    <cellStyle name="Hyperlink 60" xfId="3654" hidden="1"/>
    <cellStyle name="Hyperlink 60" xfId="4123" hidden="1"/>
    <cellStyle name="Hyperlink 60" xfId="4453" hidden="1"/>
    <cellStyle name="Hyperlink 60" xfId="5091" hidden="1"/>
    <cellStyle name="Hyperlink 60" xfId="5421" hidden="1"/>
    <cellStyle name="Hyperlink 60" xfId="5943" hidden="1"/>
    <cellStyle name="Hyperlink 60" xfId="6273" hidden="1"/>
    <cellStyle name="Hyperlink 60" xfId="6853" hidden="1"/>
    <cellStyle name="Hyperlink 60" xfId="7183"/>
    <cellStyle name="Hyperlink 61" xfId="352" hidden="1"/>
    <cellStyle name="Hyperlink 61" xfId="686" hidden="1"/>
    <cellStyle name="Hyperlink 61" xfId="1431" hidden="1"/>
    <cellStyle name="Hyperlink 61" xfId="1765" hidden="1"/>
    <cellStyle name="Hyperlink 61" xfId="2366" hidden="1"/>
    <cellStyle name="Hyperlink 61" xfId="2697" hidden="1"/>
    <cellStyle name="Hyperlink 61" xfId="3322" hidden="1"/>
    <cellStyle name="Hyperlink 61" xfId="3656" hidden="1"/>
    <cellStyle name="Hyperlink 61" xfId="4125" hidden="1"/>
    <cellStyle name="Hyperlink 61" xfId="4455" hidden="1"/>
    <cellStyle name="Hyperlink 61" xfId="5093" hidden="1"/>
    <cellStyle name="Hyperlink 61" xfId="5423" hidden="1"/>
    <cellStyle name="Hyperlink 61" xfId="5945" hidden="1"/>
    <cellStyle name="Hyperlink 61" xfId="6275" hidden="1"/>
    <cellStyle name="Hyperlink 61" xfId="6855" hidden="1"/>
    <cellStyle name="Hyperlink 61" xfId="7185"/>
    <cellStyle name="Hyperlink 62" xfId="354" hidden="1"/>
    <cellStyle name="Hyperlink 62" xfId="688" hidden="1"/>
    <cellStyle name="Hyperlink 62" xfId="1433" hidden="1"/>
    <cellStyle name="Hyperlink 62" xfId="1767" hidden="1"/>
    <cellStyle name="Hyperlink 62" xfId="2368" hidden="1"/>
    <cellStyle name="Hyperlink 62" xfId="2699" hidden="1"/>
    <cellStyle name="Hyperlink 62" xfId="3324" hidden="1"/>
    <cellStyle name="Hyperlink 62" xfId="3658" hidden="1"/>
    <cellStyle name="Hyperlink 62" xfId="4127" hidden="1"/>
    <cellStyle name="Hyperlink 62" xfId="4457" hidden="1"/>
    <cellStyle name="Hyperlink 62" xfId="5095" hidden="1"/>
    <cellStyle name="Hyperlink 62" xfId="5425" hidden="1"/>
    <cellStyle name="Hyperlink 62" xfId="5947" hidden="1"/>
    <cellStyle name="Hyperlink 62" xfId="6277" hidden="1"/>
    <cellStyle name="Hyperlink 62" xfId="6857" hidden="1"/>
    <cellStyle name="Hyperlink 62" xfId="7187"/>
    <cellStyle name="Hyperlink 63" xfId="356" hidden="1"/>
    <cellStyle name="Hyperlink 63" xfId="690" hidden="1"/>
    <cellStyle name="Hyperlink 63" xfId="1435" hidden="1"/>
    <cellStyle name="Hyperlink 63" xfId="1769" hidden="1"/>
    <cellStyle name="Hyperlink 63" xfId="2370" hidden="1"/>
    <cellStyle name="Hyperlink 63" xfId="2701" hidden="1"/>
    <cellStyle name="Hyperlink 63" xfId="3326" hidden="1"/>
    <cellStyle name="Hyperlink 63" xfId="3660" hidden="1"/>
    <cellStyle name="Hyperlink 63" xfId="4129" hidden="1"/>
    <cellStyle name="Hyperlink 63" xfId="4459" hidden="1"/>
    <cellStyle name="Hyperlink 63" xfId="5097" hidden="1"/>
    <cellStyle name="Hyperlink 63" xfId="5427" hidden="1"/>
    <cellStyle name="Hyperlink 63" xfId="5949" hidden="1"/>
    <cellStyle name="Hyperlink 63" xfId="6279" hidden="1"/>
    <cellStyle name="Hyperlink 63" xfId="6859" hidden="1"/>
    <cellStyle name="Hyperlink 63" xfId="7189"/>
    <cellStyle name="Hyperlink 64" xfId="358" hidden="1"/>
    <cellStyle name="Hyperlink 64" xfId="692" hidden="1"/>
    <cellStyle name="Hyperlink 64" xfId="1437" hidden="1"/>
    <cellStyle name="Hyperlink 64" xfId="1771" hidden="1"/>
    <cellStyle name="Hyperlink 64" xfId="2372" hidden="1"/>
    <cellStyle name="Hyperlink 64" xfId="2703" hidden="1"/>
    <cellStyle name="Hyperlink 64" xfId="3328" hidden="1"/>
    <cellStyle name="Hyperlink 64" xfId="3662" hidden="1"/>
    <cellStyle name="Hyperlink 64" xfId="4131" hidden="1"/>
    <cellStyle name="Hyperlink 64" xfId="4461" hidden="1"/>
    <cellStyle name="Hyperlink 64" xfId="5099" hidden="1"/>
    <cellStyle name="Hyperlink 64" xfId="5429" hidden="1"/>
    <cellStyle name="Hyperlink 64" xfId="5951" hidden="1"/>
    <cellStyle name="Hyperlink 64" xfId="6281" hidden="1"/>
    <cellStyle name="Hyperlink 64" xfId="6861" hidden="1"/>
    <cellStyle name="Hyperlink 64" xfId="7191"/>
    <cellStyle name="Hyperlink 65" xfId="360" hidden="1"/>
    <cellStyle name="Hyperlink 65" xfId="694" hidden="1"/>
    <cellStyle name="Hyperlink 65" xfId="1439" hidden="1"/>
    <cellStyle name="Hyperlink 65" xfId="1773" hidden="1"/>
    <cellStyle name="Hyperlink 65" xfId="2374" hidden="1"/>
    <cellStyle name="Hyperlink 65" xfId="2705" hidden="1"/>
    <cellStyle name="Hyperlink 65" xfId="3330" hidden="1"/>
    <cellStyle name="Hyperlink 65" xfId="3664" hidden="1"/>
    <cellStyle name="Hyperlink 65" xfId="4133" hidden="1"/>
    <cellStyle name="Hyperlink 65" xfId="4463" hidden="1"/>
    <cellStyle name="Hyperlink 65" xfId="5101" hidden="1"/>
    <cellStyle name="Hyperlink 65" xfId="5431" hidden="1"/>
    <cellStyle name="Hyperlink 65" xfId="5953" hidden="1"/>
    <cellStyle name="Hyperlink 65" xfId="6283" hidden="1"/>
    <cellStyle name="Hyperlink 65" xfId="6863" hidden="1"/>
    <cellStyle name="Hyperlink 65" xfId="7193"/>
    <cellStyle name="Hyperlink 66" xfId="362" hidden="1"/>
    <cellStyle name="Hyperlink 66" xfId="696" hidden="1"/>
    <cellStyle name="Hyperlink 66" xfId="1441" hidden="1"/>
    <cellStyle name="Hyperlink 66" xfId="1775" hidden="1"/>
    <cellStyle name="Hyperlink 66" xfId="2376" hidden="1"/>
    <cellStyle name="Hyperlink 66" xfId="2707" hidden="1"/>
    <cellStyle name="Hyperlink 66" xfId="3332" hidden="1"/>
    <cellStyle name="Hyperlink 66" xfId="3666" hidden="1"/>
    <cellStyle name="Hyperlink 66" xfId="4135" hidden="1"/>
    <cellStyle name="Hyperlink 66" xfId="4465" hidden="1"/>
    <cellStyle name="Hyperlink 66" xfId="5103" hidden="1"/>
    <cellStyle name="Hyperlink 66" xfId="5433" hidden="1"/>
    <cellStyle name="Hyperlink 66" xfId="5955" hidden="1"/>
    <cellStyle name="Hyperlink 66" xfId="6285" hidden="1"/>
    <cellStyle name="Hyperlink 66" xfId="6865" hidden="1"/>
    <cellStyle name="Hyperlink 66" xfId="7195"/>
    <cellStyle name="Hyperlink 67" xfId="364" hidden="1"/>
    <cellStyle name="Hyperlink 67" xfId="698" hidden="1"/>
    <cellStyle name="Hyperlink 67" xfId="1443" hidden="1"/>
    <cellStyle name="Hyperlink 67" xfId="1777" hidden="1"/>
    <cellStyle name="Hyperlink 67" xfId="2378" hidden="1"/>
    <cellStyle name="Hyperlink 67" xfId="2709" hidden="1"/>
    <cellStyle name="Hyperlink 67" xfId="3334" hidden="1"/>
    <cellStyle name="Hyperlink 67" xfId="3668" hidden="1"/>
    <cellStyle name="Hyperlink 67" xfId="4137" hidden="1"/>
    <cellStyle name="Hyperlink 67" xfId="4467" hidden="1"/>
    <cellStyle name="Hyperlink 67" xfId="5105" hidden="1"/>
    <cellStyle name="Hyperlink 67" xfId="5435" hidden="1"/>
    <cellStyle name="Hyperlink 67" xfId="5957" hidden="1"/>
    <cellStyle name="Hyperlink 67" xfId="6287" hidden="1"/>
    <cellStyle name="Hyperlink 67" xfId="6867" hidden="1"/>
    <cellStyle name="Hyperlink 67" xfId="7197"/>
    <cellStyle name="Hyperlink 68" xfId="366" hidden="1"/>
    <cellStyle name="Hyperlink 68" xfId="700" hidden="1"/>
    <cellStyle name="Hyperlink 68" xfId="1445" hidden="1"/>
    <cellStyle name="Hyperlink 68" xfId="1779" hidden="1"/>
    <cellStyle name="Hyperlink 68" xfId="2380" hidden="1"/>
    <cellStyle name="Hyperlink 68" xfId="2711" hidden="1"/>
    <cellStyle name="Hyperlink 68" xfId="3336" hidden="1"/>
    <cellStyle name="Hyperlink 68" xfId="3670" hidden="1"/>
    <cellStyle name="Hyperlink 68" xfId="4139" hidden="1"/>
    <cellStyle name="Hyperlink 68" xfId="4469" hidden="1"/>
    <cellStyle name="Hyperlink 68" xfId="5107" hidden="1"/>
    <cellStyle name="Hyperlink 68" xfId="5437" hidden="1"/>
    <cellStyle name="Hyperlink 68" xfId="5959" hidden="1"/>
    <cellStyle name="Hyperlink 68" xfId="6289" hidden="1"/>
    <cellStyle name="Hyperlink 68" xfId="6869" hidden="1"/>
    <cellStyle name="Hyperlink 68" xfId="7199"/>
    <cellStyle name="Hyperlink 69" xfId="368" hidden="1"/>
    <cellStyle name="Hyperlink 69" xfId="702" hidden="1"/>
    <cellStyle name="Hyperlink 69" xfId="1447" hidden="1"/>
    <cellStyle name="Hyperlink 69" xfId="1781" hidden="1"/>
    <cellStyle name="Hyperlink 69" xfId="2382" hidden="1"/>
    <cellStyle name="Hyperlink 69" xfId="2713" hidden="1"/>
    <cellStyle name="Hyperlink 69" xfId="3338" hidden="1"/>
    <cellStyle name="Hyperlink 69" xfId="3672" hidden="1"/>
    <cellStyle name="Hyperlink 69" xfId="4141" hidden="1"/>
    <cellStyle name="Hyperlink 69" xfId="4471" hidden="1"/>
    <cellStyle name="Hyperlink 69" xfId="5109" hidden="1"/>
    <cellStyle name="Hyperlink 69" xfId="5439" hidden="1"/>
    <cellStyle name="Hyperlink 69" xfId="5961" hidden="1"/>
    <cellStyle name="Hyperlink 69" xfId="6291" hidden="1"/>
    <cellStyle name="Hyperlink 69" xfId="6871" hidden="1"/>
    <cellStyle name="Hyperlink 69" xfId="7201"/>
    <cellStyle name="Hyperlink 7" xfId="244" hidden="1"/>
    <cellStyle name="Hyperlink 7" xfId="660" hidden="1"/>
    <cellStyle name="Hyperlink 7" xfId="1323" hidden="1"/>
    <cellStyle name="Hyperlink 7" xfId="1739" hidden="1"/>
    <cellStyle name="Hyperlink 7" xfId="2258" hidden="1"/>
    <cellStyle name="Hyperlink 7" xfId="2671" hidden="1"/>
    <cellStyle name="Hyperlink 7" xfId="3214" hidden="1"/>
    <cellStyle name="Hyperlink 7" xfId="3630" hidden="1"/>
    <cellStyle name="Hyperlink 7" xfId="2822" hidden="1"/>
    <cellStyle name="Hyperlink 7" xfId="4429" hidden="1"/>
    <cellStyle name="Hyperlink 7" xfId="4985" hidden="1"/>
    <cellStyle name="Hyperlink 7" xfId="5397" hidden="1"/>
    <cellStyle name="Hyperlink 7" xfId="5837" hidden="1"/>
    <cellStyle name="Hyperlink 7" xfId="6249" hidden="1"/>
    <cellStyle name="Hyperlink 7" xfId="6747" hidden="1"/>
    <cellStyle name="Hyperlink 7" xfId="7159"/>
    <cellStyle name="Hyperlink 70" xfId="370" hidden="1"/>
    <cellStyle name="Hyperlink 70" xfId="704" hidden="1"/>
    <cellStyle name="Hyperlink 70" xfId="1449" hidden="1"/>
    <cellStyle name="Hyperlink 70" xfId="1783" hidden="1"/>
    <cellStyle name="Hyperlink 70" xfId="2384" hidden="1"/>
    <cellStyle name="Hyperlink 70" xfId="2715" hidden="1"/>
    <cellStyle name="Hyperlink 70" xfId="3340" hidden="1"/>
    <cellStyle name="Hyperlink 70" xfId="3674" hidden="1"/>
    <cellStyle name="Hyperlink 70" xfId="4143" hidden="1"/>
    <cellStyle name="Hyperlink 70" xfId="4473" hidden="1"/>
    <cellStyle name="Hyperlink 70" xfId="5111" hidden="1"/>
    <cellStyle name="Hyperlink 70" xfId="5441" hidden="1"/>
    <cellStyle name="Hyperlink 70" xfId="5963" hidden="1"/>
    <cellStyle name="Hyperlink 70" xfId="6293" hidden="1"/>
    <cellStyle name="Hyperlink 70" xfId="6873" hidden="1"/>
    <cellStyle name="Hyperlink 70" xfId="7203"/>
    <cellStyle name="Hyperlink 71" xfId="372" hidden="1"/>
    <cellStyle name="Hyperlink 71" xfId="706" hidden="1"/>
    <cellStyle name="Hyperlink 71" xfId="1451" hidden="1"/>
    <cellStyle name="Hyperlink 71" xfId="1785" hidden="1"/>
    <cellStyle name="Hyperlink 71" xfId="2386" hidden="1"/>
    <cellStyle name="Hyperlink 71" xfId="2717" hidden="1"/>
    <cellStyle name="Hyperlink 71" xfId="3342" hidden="1"/>
    <cellStyle name="Hyperlink 71" xfId="3676" hidden="1"/>
    <cellStyle name="Hyperlink 71" xfId="4145" hidden="1"/>
    <cellStyle name="Hyperlink 71" xfId="4475" hidden="1"/>
    <cellStyle name="Hyperlink 71" xfId="5113" hidden="1"/>
    <cellStyle name="Hyperlink 71" xfId="5443" hidden="1"/>
    <cellStyle name="Hyperlink 71" xfId="5965" hidden="1"/>
    <cellStyle name="Hyperlink 71" xfId="6295" hidden="1"/>
    <cellStyle name="Hyperlink 71" xfId="6875" hidden="1"/>
    <cellStyle name="Hyperlink 71" xfId="7205"/>
    <cellStyle name="Hyperlink 72" xfId="374" hidden="1"/>
    <cellStyle name="Hyperlink 72" xfId="708" hidden="1"/>
    <cellStyle name="Hyperlink 72" xfId="1453" hidden="1"/>
    <cellStyle name="Hyperlink 72" xfId="1787" hidden="1"/>
    <cellStyle name="Hyperlink 72" xfId="2388" hidden="1"/>
    <cellStyle name="Hyperlink 72" xfId="2719" hidden="1"/>
    <cellStyle name="Hyperlink 72" xfId="3344" hidden="1"/>
    <cellStyle name="Hyperlink 72" xfId="3678" hidden="1"/>
    <cellStyle name="Hyperlink 72" xfId="4147" hidden="1"/>
    <cellStyle name="Hyperlink 72" xfId="4477" hidden="1"/>
    <cellStyle name="Hyperlink 72" xfId="5115" hidden="1"/>
    <cellStyle name="Hyperlink 72" xfId="5445" hidden="1"/>
    <cellStyle name="Hyperlink 72" xfId="5967" hidden="1"/>
    <cellStyle name="Hyperlink 72" xfId="6297" hidden="1"/>
    <cellStyle name="Hyperlink 72" xfId="6877" hidden="1"/>
    <cellStyle name="Hyperlink 72" xfId="7207"/>
    <cellStyle name="Hyperlink 73" xfId="376" hidden="1"/>
    <cellStyle name="Hyperlink 73" xfId="710" hidden="1"/>
    <cellStyle name="Hyperlink 73" xfId="1455" hidden="1"/>
    <cellStyle name="Hyperlink 73" xfId="1789" hidden="1"/>
    <cellStyle name="Hyperlink 73" xfId="2390" hidden="1"/>
    <cellStyle name="Hyperlink 73" xfId="2721" hidden="1"/>
    <cellStyle name="Hyperlink 73" xfId="3346" hidden="1"/>
    <cellStyle name="Hyperlink 73" xfId="3680" hidden="1"/>
    <cellStyle name="Hyperlink 73" xfId="4149" hidden="1"/>
    <cellStyle name="Hyperlink 73" xfId="4479" hidden="1"/>
    <cellStyle name="Hyperlink 73" xfId="5117" hidden="1"/>
    <cellStyle name="Hyperlink 73" xfId="5447" hidden="1"/>
    <cellStyle name="Hyperlink 73" xfId="5969" hidden="1"/>
    <cellStyle name="Hyperlink 73" xfId="6299" hidden="1"/>
    <cellStyle name="Hyperlink 73" xfId="6879" hidden="1"/>
    <cellStyle name="Hyperlink 73" xfId="7209"/>
    <cellStyle name="Hyperlink 74" xfId="378" hidden="1"/>
    <cellStyle name="Hyperlink 74" xfId="712" hidden="1"/>
    <cellStyle name="Hyperlink 74" xfId="1457" hidden="1"/>
    <cellStyle name="Hyperlink 74" xfId="1791" hidden="1"/>
    <cellStyle name="Hyperlink 74" xfId="2392" hidden="1"/>
    <cellStyle name="Hyperlink 74" xfId="2723" hidden="1"/>
    <cellStyle name="Hyperlink 74" xfId="3348" hidden="1"/>
    <cellStyle name="Hyperlink 74" xfId="3682" hidden="1"/>
    <cellStyle name="Hyperlink 74" xfId="4151" hidden="1"/>
    <cellStyle name="Hyperlink 74" xfId="4481" hidden="1"/>
    <cellStyle name="Hyperlink 74" xfId="5119" hidden="1"/>
    <cellStyle name="Hyperlink 74" xfId="5449" hidden="1"/>
    <cellStyle name="Hyperlink 74" xfId="5971" hidden="1"/>
    <cellStyle name="Hyperlink 74" xfId="6301" hidden="1"/>
    <cellStyle name="Hyperlink 74" xfId="6881" hidden="1"/>
    <cellStyle name="Hyperlink 74" xfId="7211"/>
    <cellStyle name="Hyperlink 75" xfId="380" hidden="1"/>
    <cellStyle name="Hyperlink 75" xfId="714" hidden="1"/>
    <cellStyle name="Hyperlink 75" xfId="1459" hidden="1"/>
    <cellStyle name="Hyperlink 75" xfId="1793" hidden="1"/>
    <cellStyle name="Hyperlink 75" xfId="2394" hidden="1"/>
    <cellStyle name="Hyperlink 75" xfId="2725" hidden="1"/>
    <cellStyle name="Hyperlink 75" xfId="3350" hidden="1"/>
    <cellStyle name="Hyperlink 75" xfId="3684" hidden="1"/>
    <cellStyle name="Hyperlink 75" xfId="4153" hidden="1"/>
    <cellStyle name="Hyperlink 75" xfId="4483" hidden="1"/>
    <cellStyle name="Hyperlink 75" xfId="5121" hidden="1"/>
    <cellStyle name="Hyperlink 75" xfId="5451" hidden="1"/>
    <cellStyle name="Hyperlink 75" xfId="5973" hidden="1"/>
    <cellStyle name="Hyperlink 75" xfId="6303" hidden="1"/>
    <cellStyle name="Hyperlink 75" xfId="6883" hidden="1"/>
    <cellStyle name="Hyperlink 75" xfId="7213"/>
    <cellStyle name="Hyperlink 76" xfId="382" hidden="1"/>
    <cellStyle name="Hyperlink 76" xfId="716" hidden="1"/>
    <cellStyle name="Hyperlink 76" xfId="1461" hidden="1"/>
    <cellStyle name="Hyperlink 76" xfId="1795" hidden="1"/>
    <cellStyle name="Hyperlink 76" xfId="2396" hidden="1"/>
    <cellStyle name="Hyperlink 76" xfId="2727" hidden="1"/>
    <cellStyle name="Hyperlink 76" xfId="3352" hidden="1"/>
    <cellStyle name="Hyperlink 76" xfId="3686" hidden="1"/>
    <cellStyle name="Hyperlink 76" xfId="4155" hidden="1"/>
    <cellStyle name="Hyperlink 76" xfId="4485" hidden="1"/>
    <cellStyle name="Hyperlink 76" xfId="5123" hidden="1"/>
    <cellStyle name="Hyperlink 76" xfId="5453" hidden="1"/>
    <cellStyle name="Hyperlink 76" xfId="5975" hidden="1"/>
    <cellStyle name="Hyperlink 76" xfId="6305" hidden="1"/>
    <cellStyle name="Hyperlink 76" xfId="6885" hidden="1"/>
    <cellStyle name="Hyperlink 76" xfId="7215"/>
    <cellStyle name="Hyperlink 77" xfId="384" hidden="1"/>
    <cellStyle name="Hyperlink 77" xfId="718" hidden="1"/>
    <cellStyle name="Hyperlink 77" xfId="1463" hidden="1"/>
    <cellStyle name="Hyperlink 77" xfId="1797" hidden="1"/>
    <cellStyle name="Hyperlink 77" xfId="2398" hidden="1"/>
    <cellStyle name="Hyperlink 77" xfId="2729" hidden="1"/>
    <cellStyle name="Hyperlink 77" xfId="3354" hidden="1"/>
    <cellStyle name="Hyperlink 77" xfId="3688" hidden="1"/>
    <cellStyle name="Hyperlink 77" xfId="4157" hidden="1"/>
    <cellStyle name="Hyperlink 77" xfId="4487" hidden="1"/>
    <cellStyle name="Hyperlink 77" xfId="5125" hidden="1"/>
    <cellStyle name="Hyperlink 77" xfId="5455" hidden="1"/>
    <cellStyle name="Hyperlink 77" xfId="5977" hidden="1"/>
    <cellStyle name="Hyperlink 77" xfId="6307" hidden="1"/>
    <cellStyle name="Hyperlink 77" xfId="6887" hidden="1"/>
    <cellStyle name="Hyperlink 77" xfId="7217"/>
    <cellStyle name="Hyperlink 78" xfId="386" hidden="1"/>
    <cellStyle name="Hyperlink 78" xfId="720" hidden="1"/>
    <cellStyle name="Hyperlink 78" xfId="1465" hidden="1"/>
    <cellStyle name="Hyperlink 78" xfId="1799" hidden="1"/>
    <cellStyle name="Hyperlink 78" xfId="2400" hidden="1"/>
    <cellStyle name="Hyperlink 78" xfId="2731" hidden="1"/>
    <cellStyle name="Hyperlink 78" xfId="3356" hidden="1"/>
    <cellStyle name="Hyperlink 78" xfId="3690" hidden="1"/>
    <cellStyle name="Hyperlink 78" xfId="4159" hidden="1"/>
    <cellStyle name="Hyperlink 78" xfId="4489" hidden="1"/>
    <cellStyle name="Hyperlink 78" xfId="5127" hidden="1"/>
    <cellStyle name="Hyperlink 78" xfId="5457" hidden="1"/>
    <cellStyle name="Hyperlink 78" xfId="5979" hidden="1"/>
    <cellStyle name="Hyperlink 78" xfId="6309" hidden="1"/>
    <cellStyle name="Hyperlink 78" xfId="6889" hidden="1"/>
    <cellStyle name="Hyperlink 78" xfId="7219"/>
    <cellStyle name="Hyperlink 79" xfId="388" hidden="1"/>
    <cellStyle name="Hyperlink 79" xfId="722" hidden="1"/>
    <cellStyle name="Hyperlink 79" xfId="1467" hidden="1"/>
    <cellStyle name="Hyperlink 79" xfId="1801" hidden="1"/>
    <cellStyle name="Hyperlink 79" xfId="2402" hidden="1"/>
    <cellStyle name="Hyperlink 79" xfId="2733" hidden="1"/>
    <cellStyle name="Hyperlink 79" xfId="3358" hidden="1"/>
    <cellStyle name="Hyperlink 79" xfId="3692" hidden="1"/>
    <cellStyle name="Hyperlink 79" xfId="4161" hidden="1"/>
    <cellStyle name="Hyperlink 79" xfId="4491" hidden="1"/>
    <cellStyle name="Hyperlink 79" xfId="5129" hidden="1"/>
    <cellStyle name="Hyperlink 79" xfId="5459" hidden="1"/>
    <cellStyle name="Hyperlink 79" xfId="5981" hidden="1"/>
    <cellStyle name="Hyperlink 79" xfId="6311" hidden="1"/>
    <cellStyle name="Hyperlink 79" xfId="6891" hidden="1"/>
    <cellStyle name="Hyperlink 79" xfId="7221"/>
    <cellStyle name="Hyperlink 8" xfId="246" hidden="1"/>
    <cellStyle name="Hyperlink 8" xfId="656" hidden="1"/>
    <cellStyle name="Hyperlink 8" xfId="1325" hidden="1"/>
    <cellStyle name="Hyperlink 8" xfId="1735" hidden="1"/>
    <cellStyle name="Hyperlink 8" xfId="2260" hidden="1"/>
    <cellStyle name="Hyperlink 8" xfId="2667" hidden="1"/>
    <cellStyle name="Hyperlink 8" xfId="3216" hidden="1"/>
    <cellStyle name="Hyperlink 8" xfId="3626" hidden="1"/>
    <cellStyle name="Hyperlink 8" xfId="3202" hidden="1"/>
    <cellStyle name="Hyperlink 8" xfId="4425" hidden="1"/>
    <cellStyle name="Hyperlink 8" xfId="4987" hidden="1"/>
    <cellStyle name="Hyperlink 8" xfId="5393" hidden="1"/>
    <cellStyle name="Hyperlink 8" xfId="5839" hidden="1"/>
    <cellStyle name="Hyperlink 8" xfId="6245" hidden="1"/>
    <cellStyle name="Hyperlink 8" xfId="6749" hidden="1"/>
    <cellStyle name="Hyperlink 8" xfId="7155"/>
    <cellStyle name="Hyperlink 80" xfId="390" hidden="1"/>
    <cellStyle name="Hyperlink 80" xfId="724" hidden="1"/>
    <cellStyle name="Hyperlink 80" xfId="1469" hidden="1"/>
    <cellStyle name="Hyperlink 80" xfId="1803" hidden="1"/>
    <cellStyle name="Hyperlink 80" xfId="2404" hidden="1"/>
    <cellStyle name="Hyperlink 80" xfId="2735" hidden="1"/>
    <cellStyle name="Hyperlink 80" xfId="3360" hidden="1"/>
    <cellStyle name="Hyperlink 80" xfId="3694" hidden="1"/>
    <cellStyle name="Hyperlink 80" xfId="4163" hidden="1"/>
    <cellStyle name="Hyperlink 80" xfId="4493" hidden="1"/>
    <cellStyle name="Hyperlink 80" xfId="5131" hidden="1"/>
    <cellStyle name="Hyperlink 80" xfId="5461" hidden="1"/>
    <cellStyle name="Hyperlink 80" xfId="5983" hidden="1"/>
    <cellStyle name="Hyperlink 80" xfId="6313" hidden="1"/>
    <cellStyle name="Hyperlink 80" xfId="6893" hidden="1"/>
    <cellStyle name="Hyperlink 80" xfId="7223"/>
    <cellStyle name="Hyperlink 81" xfId="392" hidden="1"/>
    <cellStyle name="Hyperlink 81" xfId="726" hidden="1"/>
    <cellStyle name="Hyperlink 81" xfId="1471" hidden="1"/>
    <cellStyle name="Hyperlink 81" xfId="1805" hidden="1"/>
    <cellStyle name="Hyperlink 81" xfId="2406" hidden="1"/>
    <cellStyle name="Hyperlink 81" xfId="2737" hidden="1"/>
    <cellStyle name="Hyperlink 81" xfId="3362" hidden="1"/>
    <cellStyle name="Hyperlink 81" xfId="3696" hidden="1"/>
    <cellStyle name="Hyperlink 81" xfId="4165" hidden="1"/>
    <cellStyle name="Hyperlink 81" xfId="4495" hidden="1"/>
    <cellStyle name="Hyperlink 81" xfId="5133" hidden="1"/>
    <cellStyle name="Hyperlink 81" xfId="5463" hidden="1"/>
    <cellStyle name="Hyperlink 81" xfId="5985" hidden="1"/>
    <cellStyle name="Hyperlink 81" xfId="6315" hidden="1"/>
    <cellStyle name="Hyperlink 81" xfId="6895" hidden="1"/>
    <cellStyle name="Hyperlink 81" xfId="7225"/>
    <cellStyle name="Hyperlink 82" xfId="394" hidden="1"/>
    <cellStyle name="Hyperlink 82" xfId="728" hidden="1"/>
    <cellStyle name="Hyperlink 82" xfId="1473" hidden="1"/>
    <cellStyle name="Hyperlink 82" xfId="1807" hidden="1"/>
    <cellStyle name="Hyperlink 82" xfId="2408" hidden="1"/>
    <cellStyle name="Hyperlink 82" xfId="2739" hidden="1"/>
    <cellStyle name="Hyperlink 82" xfId="3364" hidden="1"/>
    <cellStyle name="Hyperlink 82" xfId="3698" hidden="1"/>
    <cellStyle name="Hyperlink 82" xfId="4167" hidden="1"/>
    <cellStyle name="Hyperlink 82" xfId="4497" hidden="1"/>
    <cellStyle name="Hyperlink 82" xfId="5135" hidden="1"/>
    <cellStyle name="Hyperlink 82" xfId="5465" hidden="1"/>
    <cellStyle name="Hyperlink 82" xfId="5987" hidden="1"/>
    <cellStyle name="Hyperlink 82" xfId="6317" hidden="1"/>
    <cellStyle name="Hyperlink 82" xfId="6897" hidden="1"/>
    <cellStyle name="Hyperlink 82" xfId="7227"/>
    <cellStyle name="Hyperlink 83" xfId="396" hidden="1"/>
    <cellStyle name="Hyperlink 83" xfId="730" hidden="1"/>
    <cellStyle name="Hyperlink 83" xfId="1475" hidden="1"/>
    <cellStyle name="Hyperlink 83" xfId="1809" hidden="1"/>
    <cellStyle name="Hyperlink 83" xfId="2410" hidden="1"/>
    <cellStyle name="Hyperlink 83" xfId="2741" hidden="1"/>
    <cellStyle name="Hyperlink 83" xfId="3366" hidden="1"/>
    <cellStyle name="Hyperlink 83" xfId="3700" hidden="1"/>
    <cellStyle name="Hyperlink 83" xfId="4169" hidden="1"/>
    <cellStyle name="Hyperlink 83" xfId="4499" hidden="1"/>
    <cellStyle name="Hyperlink 83" xfId="5137" hidden="1"/>
    <cellStyle name="Hyperlink 83" xfId="5467" hidden="1"/>
    <cellStyle name="Hyperlink 83" xfId="5989" hidden="1"/>
    <cellStyle name="Hyperlink 83" xfId="6319" hidden="1"/>
    <cellStyle name="Hyperlink 83" xfId="6899" hidden="1"/>
    <cellStyle name="Hyperlink 83" xfId="7229"/>
    <cellStyle name="Hyperlink 84" xfId="398" hidden="1"/>
    <cellStyle name="Hyperlink 84" xfId="732" hidden="1"/>
    <cellStyle name="Hyperlink 84" xfId="1477" hidden="1"/>
    <cellStyle name="Hyperlink 84" xfId="1811" hidden="1"/>
    <cellStyle name="Hyperlink 84" xfId="2412" hidden="1"/>
    <cellStyle name="Hyperlink 84" xfId="2743" hidden="1"/>
    <cellStyle name="Hyperlink 84" xfId="3368" hidden="1"/>
    <cellStyle name="Hyperlink 84" xfId="3702" hidden="1"/>
    <cellStyle name="Hyperlink 84" xfId="4171" hidden="1"/>
    <cellStyle name="Hyperlink 84" xfId="4501" hidden="1"/>
    <cellStyle name="Hyperlink 84" xfId="5139" hidden="1"/>
    <cellStyle name="Hyperlink 84" xfId="5469" hidden="1"/>
    <cellStyle name="Hyperlink 84" xfId="5991" hidden="1"/>
    <cellStyle name="Hyperlink 84" xfId="6321" hidden="1"/>
    <cellStyle name="Hyperlink 84" xfId="6901" hidden="1"/>
    <cellStyle name="Hyperlink 84" xfId="7231"/>
    <cellStyle name="Hyperlink 85" xfId="400" hidden="1"/>
    <cellStyle name="Hyperlink 85" xfId="734" hidden="1"/>
    <cellStyle name="Hyperlink 85" xfId="1479" hidden="1"/>
    <cellStyle name="Hyperlink 85" xfId="1813" hidden="1"/>
    <cellStyle name="Hyperlink 85" xfId="2414" hidden="1"/>
    <cellStyle name="Hyperlink 85" xfId="2745" hidden="1"/>
    <cellStyle name="Hyperlink 85" xfId="3370" hidden="1"/>
    <cellStyle name="Hyperlink 85" xfId="3704" hidden="1"/>
    <cellStyle name="Hyperlink 85" xfId="4173" hidden="1"/>
    <cellStyle name="Hyperlink 85" xfId="4503" hidden="1"/>
    <cellStyle name="Hyperlink 85" xfId="5141" hidden="1"/>
    <cellStyle name="Hyperlink 85" xfId="5471" hidden="1"/>
    <cellStyle name="Hyperlink 85" xfId="5993" hidden="1"/>
    <cellStyle name="Hyperlink 85" xfId="6323" hidden="1"/>
    <cellStyle name="Hyperlink 85" xfId="6903" hidden="1"/>
    <cellStyle name="Hyperlink 85" xfId="7233"/>
    <cellStyle name="Hyperlink 86" xfId="402" hidden="1"/>
    <cellStyle name="Hyperlink 86" xfId="736" hidden="1"/>
    <cellStyle name="Hyperlink 86" xfId="1481" hidden="1"/>
    <cellStyle name="Hyperlink 86" xfId="1815" hidden="1"/>
    <cellStyle name="Hyperlink 86" xfId="2416" hidden="1"/>
    <cellStyle name="Hyperlink 86" xfId="2747" hidden="1"/>
    <cellStyle name="Hyperlink 86" xfId="3372" hidden="1"/>
    <cellStyle name="Hyperlink 86" xfId="3706" hidden="1"/>
    <cellStyle name="Hyperlink 86" xfId="4175" hidden="1"/>
    <cellStyle name="Hyperlink 86" xfId="4505" hidden="1"/>
    <cellStyle name="Hyperlink 86" xfId="5143" hidden="1"/>
    <cellStyle name="Hyperlink 86" xfId="5473" hidden="1"/>
    <cellStyle name="Hyperlink 86" xfId="5995" hidden="1"/>
    <cellStyle name="Hyperlink 86" xfId="6325" hidden="1"/>
    <cellStyle name="Hyperlink 86" xfId="6905" hidden="1"/>
    <cellStyle name="Hyperlink 86" xfId="7235"/>
    <cellStyle name="Hyperlink 87" xfId="404" hidden="1"/>
    <cellStyle name="Hyperlink 87" xfId="738" hidden="1"/>
    <cellStyle name="Hyperlink 87" xfId="1483" hidden="1"/>
    <cellStyle name="Hyperlink 87" xfId="1817" hidden="1"/>
    <cellStyle name="Hyperlink 87" xfId="2418" hidden="1"/>
    <cellStyle name="Hyperlink 87" xfId="2749" hidden="1"/>
    <cellStyle name="Hyperlink 87" xfId="3374" hidden="1"/>
    <cellStyle name="Hyperlink 87" xfId="3708" hidden="1"/>
    <cellStyle name="Hyperlink 87" xfId="4177" hidden="1"/>
    <cellStyle name="Hyperlink 87" xfId="4507" hidden="1"/>
    <cellStyle name="Hyperlink 87" xfId="5145" hidden="1"/>
    <cellStyle name="Hyperlink 87" xfId="5475" hidden="1"/>
    <cellStyle name="Hyperlink 87" xfId="5997" hidden="1"/>
    <cellStyle name="Hyperlink 87" xfId="6327" hidden="1"/>
    <cellStyle name="Hyperlink 87" xfId="6907" hidden="1"/>
    <cellStyle name="Hyperlink 87" xfId="7237"/>
    <cellStyle name="Hyperlink 88" xfId="406" hidden="1"/>
    <cellStyle name="Hyperlink 88" xfId="740" hidden="1"/>
    <cellStyle name="Hyperlink 88" xfId="1485" hidden="1"/>
    <cellStyle name="Hyperlink 88" xfId="1819" hidden="1"/>
    <cellStyle name="Hyperlink 88" xfId="2420" hidden="1"/>
    <cellStyle name="Hyperlink 88" xfId="2751" hidden="1"/>
    <cellStyle name="Hyperlink 88" xfId="3376" hidden="1"/>
    <cellStyle name="Hyperlink 88" xfId="3710" hidden="1"/>
    <cellStyle name="Hyperlink 88" xfId="4179" hidden="1"/>
    <cellStyle name="Hyperlink 88" xfId="4509" hidden="1"/>
    <cellStyle name="Hyperlink 88" xfId="5147" hidden="1"/>
    <cellStyle name="Hyperlink 88" xfId="5477" hidden="1"/>
    <cellStyle name="Hyperlink 88" xfId="5999" hidden="1"/>
    <cellStyle name="Hyperlink 88" xfId="6329" hidden="1"/>
    <cellStyle name="Hyperlink 88" xfId="6909" hidden="1"/>
    <cellStyle name="Hyperlink 88" xfId="7239"/>
    <cellStyle name="Hyperlink 89" xfId="408" hidden="1"/>
    <cellStyle name="Hyperlink 89" xfId="742" hidden="1"/>
    <cellStyle name="Hyperlink 89" xfId="1487" hidden="1"/>
    <cellStyle name="Hyperlink 89" xfId="1821" hidden="1"/>
    <cellStyle name="Hyperlink 89" xfId="2422" hidden="1"/>
    <cellStyle name="Hyperlink 89" xfId="2753" hidden="1"/>
    <cellStyle name="Hyperlink 89" xfId="3378" hidden="1"/>
    <cellStyle name="Hyperlink 89" xfId="3712" hidden="1"/>
    <cellStyle name="Hyperlink 89" xfId="4181" hidden="1"/>
    <cellStyle name="Hyperlink 89" xfId="4511" hidden="1"/>
    <cellStyle name="Hyperlink 89" xfId="5149" hidden="1"/>
    <cellStyle name="Hyperlink 89" xfId="5479" hidden="1"/>
    <cellStyle name="Hyperlink 89" xfId="6001" hidden="1"/>
    <cellStyle name="Hyperlink 89" xfId="6331" hidden="1"/>
    <cellStyle name="Hyperlink 89" xfId="6911" hidden="1"/>
    <cellStyle name="Hyperlink 89" xfId="7241"/>
    <cellStyle name="Hyperlink 9" xfId="248" hidden="1"/>
    <cellStyle name="Hyperlink 9" xfId="652" hidden="1"/>
    <cellStyle name="Hyperlink 9" xfId="1327" hidden="1"/>
    <cellStyle name="Hyperlink 9" xfId="1731" hidden="1"/>
    <cellStyle name="Hyperlink 9" xfId="2262" hidden="1"/>
    <cellStyle name="Hyperlink 9" xfId="2663" hidden="1"/>
    <cellStyle name="Hyperlink 9" xfId="3218" hidden="1"/>
    <cellStyle name="Hyperlink 9" xfId="3622" hidden="1"/>
    <cellStyle name="Hyperlink 9" xfId="2832" hidden="1"/>
    <cellStyle name="Hyperlink 9" xfId="4421" hidden="1"/>
    <cellStyle name="Hyperlink 9" xfId="4989" hidden="1"/>
    <cellStyle name="Hyperlink 9" xfId="5389" hidden="1"/>
    <cellStyle name="Hyperlink 9" xfId="5841" hidden="1"/>
    <cellStyle name="Hyperlink 9" xfId="6241" hidden="1"/>
    <cellStyle name="Hyperlink 9" xfId="6751" hidden="1"/>
    <cellStyle name="Hyperlink 9" xfId="7151"/>
    <cellStyle name="Hyperlink 90" xfId="410" hidden="1"/>
    <cellStyle name="Hyperlink 90" xfId="744" hidden="1"/>
    <cellStyle name="Hyperlink 90" xfId="1489" hidden="1"/>
    <cellStyle name="Hyperlink 90" xfId="1823" hidden="1"/>
    <cellStyle name="Hyperlink 90" xfId="2424" hidden="1"/>
    <cellStyle name="Hyperlink 90" xfId="2755" hidden="1"/>
    <cellStyle name="Hyperlink 90" xfId="3380" hidden="1"/>
    <cellStyle name="Hyperlink 90" xfId="3714" hidden="1"/>
    <cellStyle name="Hyperlink 90" xfId="4183" hidden="1"/>
    <cellStyle name="Hyperlink 90" xfId="4513" hidden="1"/>
    <cellStyle name="Hyperlink 90" xfId="5151" hidden="1"/>
    <cellStyle name="Hyperlink 90" xfId="5481" hidden="1"/>
    <cellStyle name="Hyperlink 90" xfId="6003" hidden="1"/>
    <cellStyle name="Hyperlink 90" xfId="6333" hidden="1"/>
    <cellStyle name="Hyperlink 90" xfId="6913" hidden="1"/>
    <cellStyle name="Hyperlink 90" xfId="7243"/>
    <cellStyle name="Hyperlink 91" xfId="412" hidden="1"/>
    <cellStyle name="Hyperlink 91" xfId="746" hidden="1"/>
    <cellStyle name="Hyperlink 91" xfId="1491" hidden="1"/>
    <cellStyle name="Hyperlink 91" xfId="1825" hidden="1"/>
    <cellStyle name="Hyperlink 91" xfId="2426" hidden="1"/>
    <cellStyle name="Hyperlink 91" xfId="2757" hidden="1"/>
    <cellStyle name="Hyperlink 91" xfId="3382" hidden="1"/>
    <cellStyle name="Hyperlink 91" xfId="3716" hidden="1"/>
    <cellStyle name="Hyperlink 91" xfId="4185" hidden="1"/>
    <cellStyle name="Hyperlink 91" xfId="4515" hidden="1"/>
    <cellStyle name="Hyperlink 91" xfId="5153" hidden="1"/>
    <cellStyle name="Hyperlink 91" xfId="5483" hidden="1"/>
    <cellStyle name="Hyperlink 91" xfId="6005" hidden="1"/>
    <cellStyle name="Hyperlink 91" xfId="6335" hidden="1"/>
    <cellStyle name="Hyperlink 91" xfId="6915" hidden="1"/>
    <cellStyle name="Hyperlink 91" xfId="7245"/>
    <cellStyle name="Hyperlink 92" xfId="414" hidden="1"/>
    <cellStyle name="Hyperlink 92" xfId="748" hidden="1"/>
    <cellStyle name="Hyperlink 92" xfId="1493" hidden="1"/>
    <cellStyle name="Hyperlink 92" xfId="1827" hidden="1"/>
    <cellStyle name="Hyperlink 92" xfId="2428" hidden="1"/>
    <cellStyle name="Hyperlink 92" xfId="2759" hidden="1"/>
    <cellStyle name="Hyperlink 92" xfId="3384" hidden="1"/>
    <cellStyle name="Hyperlink 92" xfId="3718" hidden="1"/>
    <cellStyle name="Hyperlink 92" xfId="4187" hidden="1"/>
    <cellStyle name="Hyperlink 92" xfId="4517" hidden="1"/>
    <cellStyle name="Hyperlink 92" xfId="5155" hidden="1"/>
    <cellStyle name="Hyperlink 92" xfId="5485" hidden="1"/>
    <cellStyle name="Hyperlink 92" xfId="6007" hidden="1"/>
    <cellStyle name="Hyperlink 92" xfId="6337" hidden="1"/>
    <cellStyle name="Hyperlink 92" xfId="6917" hidden="1"/>
    <cellStyle name="Hyperlink 92" xfId="7247"/>
    <cellStyle name="Hyperlink 93" xfId="416" hidden="1"/>
    <cellStyle name="Hyperlink 93" xfId="750" hidden="1"/>
    <cellStyle name="Hyperlink 93" xfId="1495" hidden="1"/>
    <cellStyle name="Hyperlink 93" xfId="1829" hidden="1"/>
    <cellStyle name="Hyperlink 93" xfId="2430" hidden="1"/>
    <cellStyle name="Hyperlink 93" xfId="2761" hidden="1"/>
    <cellStyle name="Hyperlink 93" xfId="3386" hidden="1"/>
    <cellStyle name="Hyperlink 93" xfId="3720" hidden="1"/>
    <cellStyle name="Hyperlink 93" xfId="4189" hidden="1"/>
    <cellStyle name="Hyperlink 93" xfId="4519" hidden="1"/>
    <cellStyle name="Hyperlink 93" xfId="5157" hidden="1"/>
    <cellStyle name="Hyperlink 93" xfId="5487" hidden="1"/>
    <cellStyle name="Hyperlink 93" xfId="6009" hidden="1"/>
    <cellStyle name="Hyperlink 93" xfId="6339" hidden="1"/>
    <cellStyle name="Hyperlink 93" xfId="6919" hidden="1"/>
    <cellStyle name="Hyperlink 93" xfId="7249"/>
    <cellStyle name="Hyperlink 94" xfId="418" hidden="1"/>
    <cellStyle name="Hyperlink 94" xfId="752" hidden="1"/>
    <cellStyle name="Hyperlink 94" xfId="1497" hidden="1"/>
    <cellStyle name="Hyperlink 94" xfId="1831" hidden="1"/>
    <cellStyle name="Hyperlink 94" xfId="2432" hidden="1"/>
    <cellStyle name="Hyperlink 94" xfId="2763" hidden="1"/>
    <cellStyle name="Hyperlink 94" xfId="3388" hidden="1"/>
    <cellStyle name="Hyperlink 94" xfId="3722" hidden="1"/>
    <cellStyle name="Hyperlink 94" xfId="4191" hidden="1"/>
    <cellStyle name="Hyperlink 94" xfId="4521" hidden="1"/>
    <cellStyle name="Hyperlink 94" xfId="5159" hidden="1"/>
    <cellStyle name="Hyperlink 94" xfId="5489" hidden="1"/>
    <cellStyle name="Hyperlink 94" xfId="6011" hidden="1"/>
    <cellStyle name="Hyperlink 94" xfId="6341" hidden="1"/>
    <cellStyle name="Hyperlink 94" xfId="6921" hidden="1"/>
    <cellStyle name="Hyperlink 94" xfId="7251"/>
    <cellStyle name="Hyperlink 95" xfId="420" hidden="1"/>
    <cellStyle name="Hyperlink 95" xfId="754" hidden="1"/>
    <cellStyle name="Hyperlink 95" xfId="1499" hidden="1"/>
    <cellStyle name="Hyperlink 95" xfId="1833" hidden="1"/>
    <cellStyle name="Hyperlink 95" xfId="2434" hidden="1"/>
    <cellStyle name="Hyperlink 95" xfId="2765" hidden="1"/>
    <cellStyle name="Hyperlink 95" xfId="3390" hidden="1"/>
    <cellStyle name="Hyperlink 95" xfId="3724" hidden="1"/>
    <cellStyle name="Hyperlink 95" xfId="4193" hidden="1"/>
    <cellStyle name="Hyperlink 95" xfId="4523" hidden="1"/>
    <cellStyle name="Hyperlink 95" xfId="5161" hidden="1"/>
    <cellStyle name="Hyperlink 95" xfId="5491" hidden="1"/>
    <cellStyle name="Hyperlink 95" xfId="6013" hidden="1"/>
    <cellStyle name="Hyperlink 95" xfId="6343" hidden="1"/>
    <cellStyle name="Hyperlink 95" xfId="6923" hidden="1"/>
    <cellStyle name="Hyperlink 95" xfId="7253"/>
    <cellStyle name="Hyperlink 96" xfId="422" hidden="1"/>
    <cellStyle name="Hyperlink 96" xfId="756" hidden="1"/>
    <cellStyle name="Hyperlink 96" xfId="1501" hidden="1"/>
    <cellStyle name="Hyperlink 96" xfId="1835" hidden="1"/>
    <cellStyle name="Hyperlink 96" xfId="2436" hidden="1"/>
    <cellStyle name="Hyperlink 96" xfId="2767" hidden="1"/>
    <cellStyle name="Hyperlink 96" xfId="3392" hidden="1"/>
    <cellStyle name="Hyperlink 96" xfId="3726" hidden="1"/>
    <cellStyle name="Hyperlink 96" xfId="4195" hidden="1"/>
    <cellStyle name="Hyperlink 96" xfId="4525" hidden="1"/>
    <cellStyle name="Hyperlink 96" xfId="5163" hidden="1"/>
    <cellStyle name="Hyperlink 96" xfId="5493" hidden="1"/>
    <cellStyle name="Hyperlink 96" xfId="6015" hidden="1"/>
    <cellStyle name="Hyperlink 96" xfId="6345" hidden="1"/>
    <cellStyle name="Hyperlink 96" xfId="6925" hidden="1"/>
    <cellStyle name="Hyperlink 96" xfId="7255"/>
    <cellStyle name="Hyperlink 97" xfId="424" hidden="1"/>
    <cellStyle name="Hyperlink 97" xfId="758" hidden="1"/>
    <cellStyle name="Hyperlink 97" xfId="1503" hidden="1"/>
    <cellStyle name="Hyperlink 97" xfId="1837" hidden="1"/>
    <cellStyle name="Hyperlink 97" xfId="2438" hidden="1"/>
    <cellStyle name="Hyperlink 97" xfId="2769" hidden="1"/>
    <cellStyle name="Hyperlink 97" xfId="3394" hidden="1"/>
    <cellStyle name="Hyperlink 97" xfId="3728" hidden="1"/>
    <cellStyle name="Hyperlink 97" xfId="4197" hidden="1"/>
    <cellStyle name="Hyperlink 97" xfId="4527" hidden="1"/>
    <cellStyle name="Hyperlink 97" xfId="5165" hidden="1"/>
    <cellStyle name="Hyperlink 97" xfId="5495" hidden="1"/>
    <cellStyle name="Hyperlink 97" xfId="6017" hidden="1"/>
    <cellStyle name="Hyperlink 97" xfId="6347" hidden="1"/>
    <cellStyle name="Hyperlink 97" xfId="6927" hidden="1"/>
    <cellStyle name="Hyperlink 97" xfId="7257"/>
    <cellStyle name="Hyperlink 98" xfId="426" hidden="1"/>
    <cellStyle name="Hyperlink 98" xfId="760" hidden="1"/>
    <cellStyle name="Hyperlink 98" xfId="1505" hidden="1"/>
    <cellStyle name="Hyperlink 98" xfId="1839" hidden="1"/>
    <cellStyle name="Hyperlink 98" xfId="2440" hidden="1"/>
    <cellStyle name="Hyperlink 98" xfId="2771" hidden="1"/>
    <cellStyle name="Hyperlink 98" xfId="3396" hidden="1"/>
    <cellStyle name="Hyperlink 98" xfId="3730" hidden="1"/>
    <cellStyle name="Hyperlink 98" xfId="4199" hidden="1"/>
    <cellStyle name="Hyperlink 98" xfId="4529" hidden="1"/>
    <cellStyle name="Hyperlink 98" xfId="5167" hidden="1"/>
    <cellStyle name="Hyperlink 98" xfId="5497" hidden="1"/>
    <cellStyle name="Hyperlink 98" xfId="6019" hidden="1"/>
    <cellStyle name="Hyperlink 98" xfId="6349" hidden="1"/>
    <cellStyle name="Hyperlink 98" xfId="6929" hidden="1"/>
    <cellStyle name="Hyperlink 98" xfId="7259"/>
    <cellStyle name="Hyperlink 99" xfId="428" hidden="1"/>
    <cellStyle name="Hyperlink 99" xfId="762" hidden="1"/>
    <cellStyle name="Hyperlink 99" xfId="1507" hidden="1"/>
    <cellStyle name="Hyperlink 99" xfId="1841" hidden="1"/>
    <cellStyle name="Hyperlink 99" xfId="2442" hidden="1"/>
    <cellStyle name="Hyperlink 99" xfId="2773" hidden="1"/>
    <cellStyle name="Hyperlink 99" xfId="3398" hidden="1"/>
    <cellStyle name="Hyperlink 99" xfId="3732" hidden="1"/>
    <cellStyle name="Hyperlink 99" xfId="4201" hidden="1"/>
    <cellStyle name="Hyperlink 99" xfId="4531" hidden="1"/>
    <cellStyle name="Hyperlink 99" xfId="5169" hidden="1"/>
    <cellStyle name="Hyperlink 99" xfId="5499" hidden="1"/>
    <cellStyle name="Hyperlink 99" xfId="6021" hidden="1"/>
    <cellStyle name="Hyperlink 99" xfId="6351" hidden="1"/>
    <cellStyle name="Hyperlink 99" xfId="6931" hidden="1"/>
    <cellStyle name="Hyperlink 99" xfId="7261"/>
    <cellStyle name="Input" xfId="3" builtinId="20" customBuiltin="1"/>
    <cellStyle name="Linked Cell" xfId="804" builtinId="24" customBuiltin="1"/>
    <cellStyle name="Neutral" xfId="801" builtinId="28" customBuiltin="1"/>
    <cellStyle name="Normal" xfId="0" builtinId="0" customBuiltin="1"/>
    <cellStyle name="Normal 2" xfId="6"/>
    <cellStyle name="Normal 2 2" xfId="458"/>
    <cellStyle name="Normal 2 2 2" xfId="792"/>
    <cellStyle name="Normal 2 2 2 2" xfId="1871"/>
    <cellStyle name="Normal 2 2 3" xfId="1537"/>
    <cellStyle name="Normal 3" xfId="456"/>
    <cellStyle name="Normal 3 2" xfId="791"/>
    <cellStyle name="Normal 3 2 2" xfId="1870"/>
    <cellStyle name="Normal 3 3" xfId="1535"/>
    <cellStyle name="Normal 4" xfId="830"/>
    <cellStyle name="Normal 4 2" xfId="1901"/>
    <cellStyle name="Normal 5" xfId="834"/>
    <cellStyle name="Normal 5 2" xfId="1905"/>
    <cellStyle name="Normal 6" xfId="848"/>
    <cellStyle name="Normal 6 2" xfId="1919"/>
    <cellStyle name="Normal 7" xfId="862"/>
    <cellStyle name="Normal 7 2" xfId="1933"/>
    <cellStyle name="Note 2" xfId="831"/>
    <cellStyle name="Note 2 2" xfId="1902"/>
    <cellStyle name="Note 3" xfId="835"/>
    <cellStyle name="Note 3 2" xfId="1906"/>
    <cellStyle name="Note 4" xfId="849"/>
    <cellStyle name="Note 4 2" xfId="1920"/>
    <cellStyle name="ofwhich" xfId="4"/>
    <cellStyle name="Output" xfId="802" builtinId="21" customBuiltin="1"/>
    <cellStyle name="Percent" xfId="1" builtinId="5" customBuiltin="1"/>
    <cellStyle name="Percent 2" xfId="7"/>
    <cellStyle name="Table_HeaderRow" xfId="5"/>
    <cellStyle name="Title" xfId="795" builtinId="15" customBuiltin="1"/>
    <cellStyle name="Total" xfId="808" builtinId="25" customBuiltin="1"/>
    <cellStyle name="Warning Text" xfId="806" builtinId="11" customBuiltin="1"/>
  </cellStyles>
  <dxfs count="440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Cambria"/>
        <scheme val="minor"/>
      </font>
      <fill>
        <patternFill patternType="solid">
          <fgColor indexed="64"/>
          <bgColor theme="6" tint="0.79998168889431442"/>
        </patternFill>
      </fill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C5D9F1"/>
        </patternFill>
      </fill>
    </dxf>
    <dxf>
      <border outline="0">
        <top style="thin">
          <color rgb="FF0D0D0D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C5D9F1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6A6A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rgb="FF0D0D0D"/>
        </top>
        <bottom style="thin">
          <color rgb="FF0D0D0D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E4DFEC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6A6A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auto="1"/>
        </bottom>
        <vertical/>
        <horizontal/>
      </border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auto="1"/>
        </bottom>
        <vertical/>
        <horizontal/>
      </border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auto="1"/>
        </bottom>
        <vertical/>
        <horizontal/>
      </border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auto="1"/>
        </bottom>
        <vertical/>
        <horizontal/>
      </border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auto="1"/>
        </bottom>
        <vertical/>
        <horizontal/>
      </border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auto="1"/>
        </bottom>
        <vertical/>
        <horizontal/>
      </border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/>
        <bottom/>
        <vertical/>
        <horizontal/>
      </border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/>
        <bottom/>
        <vertical/>
        <horizontal/>
      </border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/>
        <bottom/>
        <vertical/>
        <horizontal/>
      </border>
    </dxf>
    <dxf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/>
        <bottom/>
        <vertical/>
        <horizontal/>
      </border>
    </dxf>
    <dxf>
      <numFmt numFmtId="0" formatCode="General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/>
        <bottom/>
        <vertical/>
        <horizontal/>
      </border>
    </dxf>
    <dxf>
      <fill>
        <patternFill patternType="solid">
          <fgColor indexed="64"/>
          <bgColor theme="5" tint="0.59999389629810485"/>
        </patternFill>
      </fill>
      <border diagonalUp="0" diagonalDown="0">
        <left/>
        <right style="thin">
          <color theme="5" tint="0.59996337778862885"/>
        </right>
        <top/>
        <bottom/>
        <vertical/>
        <horizontal/>
      </border>
    </dxf>
    <dxf>
      <border outline="0">
        <top style="thin">
          <color theme="5" tint="0.59996337778862885"/>
        </top>
      </border>
    </dxf>
    <dxf>
      <border outline="0">
        <top style="thin">
          <color theme="1"/>
        </top>
      </border>
    </dxf>
    <dxf>
      <fill>
        <patternFill patternType="solid">
          <fgColor indexed="64"/>
          <bgColor theme="5" tint="0.59999389629810485"/>
        </patternFill>
      </fill>
    </dxf>
    <dxf>
      <border outline="0">
        <bottom style="thin">
          <color theme="5" tint="0.5999633777886288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numFmt numFmtId="0" formatCode="General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fill>
        <patternFill patternType="solid">
          <fgColor indexed="64"/>
          <bgColor theme="5" tint="0.59999389629810485"/>
        </patternFill>
      </fill>
      <border diagonalUp="0" diagonalDown="0">
        <left/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border outline="0">
        <top style="thin">
          <color theme="5" tint="0.59996337778862885"/>
        </top>
      </border>
    </dxf>
    <dxf>
      <border outline="0">
        <top style="thin">
          <color theme="1"/>
        </top>
      </border>
    </dxf>
    <dxf>
      <fill>
        <patternFill patternType="solid">
          <fgColor indexed="64"/>
          <bgColor theme="5" tint="0.59999389629810485"/>
        </patternFill>
      </fill>
    </dxf>
    <dxf>
      <border outline="0">
        <bottom style="thin">
          <color theme="5" tint="0.5999633777886288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numFmt numFmtId="178" formatCode="#,##0.000_);\(#,##0.00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numFmt numFmtId="178" formatCode="#,##0.000_);\(#,##0.00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numFmt numFmtId="178" formatCode="#,##0.000_);\(#,##0.00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numFmt numFmtId="178" formatCode="#,##0.000_);\(#,##0.00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numFmt numFmtId="178" formatCode="#,##0.000_);\(#,##0.00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numFmt numFmtId="178" formatCode="#,##0.000_);\(#,##0.00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numFmt numFmtId="178" formatCode="#,##0.000_);\(#,##0.00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numFmt numFmtId="178" formatCode="#,##0.000_);\(#,##0.00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numFmt numFmtId="178" formatCode="#,##0.000_);\(#,##0.00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numFmt numFmtId="0" formatCode="General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fill>
        <patternFill patternType="solid">
          <fgColor indexed="64"/>
          <bgColor theme="5" tint="0.59999389629810485"/>
        </patternFill>
      </fill>
      <border diagonalUp="0" diagonalDown="0">
        <left/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border outline="0">
        <top style="thin">
          <color theme="5" tint="0.59996337778862885"/>
        </top>
      </border>
    </dxf>
    <dxf>
      <border outline="0">
        <top style="thin">
          <color theme="1"/>
        </top>
      </border>
    </dxf>
    <dxf>
      <fill>
        <patternFill patternType="solid">
          <fgColor indexed="64"/>
          <bgColor theme="5" tint="0.59999389629810485"/>
        </patternFill>
      </fill>
    </dxf>
    <dxf>
      <border outline="0">
        <bottom style="thin">
          <color theme="5" tint="0.5999633777886288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>
        <left/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ill>
        <patternFill patternType="solid">
          <fgColor indexed="64"/>
          <bgColor theme="5" tint="0.59999389629810485"/>
        </patternFill>
      </fill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>
        <left/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ill>
        <patternFill patternType="solid">
          <fgColor indexed="64"/>
          <bgColor theme="5" tint="0.59999389629810485"/>
        </patternFill>
      </fill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>
        <left/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ill>
        <patternFill patternType="solid">
          <fgColor indexed="64"/>
          <bgColor theme="5" tint="0.59999389629810485"/>
        </patternFill>
      </fill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ill>
        <patternFill patternType="solid">
          <fgColor indexed="64"/>
          <bgColor theme="5" tint="0.59999389629810485"/>
        </patternFill>
      </fill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59999389629810485"/>
        </patternFill>
      </fill>
      <alignment horizontal="general" vertical="center" textRotation="0" wrapText="0" relativeIndent="0" justifyLastLine="0" shrinkToFit="0" readingOrder="0"/>
      <border diagonalUp="0" diagonalDown="0" outline="0"/>
    </dxf>
    <dxf>
      <border outline="0"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aj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right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aj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right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aj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right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8" formatCode="#,##0.000_);\(#,##0.000\);&quot;-&quot;_);@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9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ajor"/>
      </font>
      <numFmt numFmtId="0" formatCode="General"/>
      <fill>
        <patternFill patternType="solid">
          <fgColor indexed="64"/>
          <bgColor theme="9" tint="0.79998168889431442"/>
        </patternFill>
      </fill>
      <alignment horizontal="right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numFmt numFmtId="0" formatCode="General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/>
        <right style="thin">
          <color theme="5" tint="0.59996337778862885"/>
        </right>
        <top style="thin">
          <color theme="5" tint="0.59996337778862885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/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/>
    </dxf>
    <dxf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/>
    </dxf>
    <dxf>
      <border>
        <bottom style="thin">
          <color theme="5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numFmt numFmtId="0" formatCode="General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/>
        <right style="thin">
          <color theme="5" tint="0.59996337778862885"/>
        </right>
        <top style="thin">
          <color theme="5" tint="0.59996337778862885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/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/>
    </dxf>
    <dxf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/>
    </dxf>
    <dxf>
      <border>
        <bottom style="thin">
          <color theme="5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numFmt numFmtId="0" formatCode="General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/>
        <right style="thin">
          <color theme="5" tint="0.59996337778862885"/>
        </right>
        <top style="thin">
          <color theme="5" tint="0.59996337778862885"/>
        </top>
        <bottom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/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border>
        <top style="thin">
          <color theme="5" tint="0.59996337778862885"/>
        </top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/>
    </dxf>
    <dxf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/>
    </dxf>
    <dxf>
      <border>
        <bottom style="thin">
          <color theme="5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5" tint="0.59999389629810485"/>
        </patternFill>
      </fill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/>
        <right style="thin">
          <color theme="5" tint="0.59996337778862885"/>
        </right>
        <top style="thin">
          <color theme="5" tint="0.59996337778862885"/>
        </top>
        <bottom/>
      </border>
    </dxf>
    <dxf>
      <border>
        <top style="thin">
          <color theme="5" tint="0.59996337778862885"/>
        </top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none">
          <fgColor indexed="64"/>
          <bgColor theme="5" tint="0.59999389629810485"/>
        </patternFill>
      </fill>
    </dxf>
    <dxf>
      <border diagonalUp="0" diagonalDown="0">
        <left style="thin">
          <color theme="5" tint="0.59996337778862885"/>
        </left>
        <right style="thin">
          <color theme="5" tint="0.59996337778862885"/>
        </right>
        <top style="thin">
          <color theme="5" tint="0.59996337778862885"/>
        </top>
        <bottom style="thin">
          <color theme="5" tint="0.59996337778862885"/>
        </bottom>
      </border>
    </dxf>
    <dxf>
      <fill>
        <patternFill patternType="solid">
          <fgColor indexed="64"/>
          <bgColor theme="5" tint="0.59999389629810485"/>
        </patternFill>
      </fill>
      <border diagonalUp="0" diagonalDown="0" outline="0"/>
    </dxf>
    <dxf>
      <border>
        <bottom style="thin">
          <color theme="5" tint="0.59996337778862885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5" tint="0.59999389629810485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/>
        <i val="0"/>
      </font>
    </dxf>
    <dxf>
      <font>
        <b/>
        <i val="0"/>
      </font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numFmt numFmtId="0" formatCode="General"/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7" tint="0.79998168889431442"/>
        </patternFill>
      </fill>
    </dxf>
    <dxf>
      <border outline="0">
        <top style="thin">
          <color theme="5" tint="0.59996337778862885"/>
        </top>
      </border>
    </dxf>
    <dxf>
      <border outline="0">
        <right style="thin">
          <color theme="5" tint="0.59996337778862885"/>
        </right>
        <top style="thin">
          <color theme="5" tint="0.59996337778862885"/>
        </top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/>
    </dxf>
    <dxf>
      <border>
        <bottom style="thin">
          <color theme="0" tint="-0.34998626667073579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/>
        <bottom/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/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>
        <left/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border>
        <top style="thin">
          <color theme="5" tint="0.59996337778862885"/>
        </top>
        <vertical/>
        <horizontal/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/>
    </dxf>
    <dxf>
      <border>
        <bottom style="thin">
          <color theme="0" tint="-0.34998626667073579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67" formatCode="#,##0.0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67" formatCode="#,##0.0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67" formatCode="#,##0.0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67" formatCode="#,##0.0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67" formatCode="#,##0.0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67" formatCode="#,##0.0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67" formatCode="#,##0.0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67" formatCode="#,##0.0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67" formatCode="#,##0.0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>
        <left/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border outline="0">
        <top style="thin">
          <color theme="5" tint="0.59996337778862885"/>
        </top>
      </border>
    </dxf>
    <dxf>
      <border outline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indexed="64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/>
    </dxf>
    <dxf>
      <border>
        <bottom style="thin">
          <color theme="0" tint="-0.34998626667073579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5" tint="0.79998168889431442"/>
        </left>
        <right style="thin">
          <color theme="5" tint="0.7999816888943144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>
        <left/>
        <right style="thin">
          <color theme="5" tint="0.79998168889431442"/>
        </right>
        <top style="thin">
          <color theme="5" tint="0.79998168889431442"/>
        </top>
        <bottom style="thin">
          <color theme="5" tint="0.79998168889431442"/>
        </bottom>
      </border>
    </dxf>
    <dxf>
      <border outline="0">
        <top style="thin">
          <color theme="5" tint="0.59996337778862885"/>
        </top>
      </border>
    </dxf>
    <dxf>
      <border outline="0">
        <top style="thin">
          <color theme="1"/>
        </top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/>
    </dxf>
    <dxf>
      <border>
        <bottom style="thin">
          <color theme="0" tint="-0.34998626667073579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5" tint="0.79998168889431442"/>
        </left>
        <right style="thin">
          <color theme="5" tint="0.7999816888943144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C5D9F1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6A6A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C5D9F1"/>
        </patternFill>
      </fill>
    </dxf>
    <dxf>
      <border outline="0">
        <top style="thin">
          <color rgb="FF0D0D0D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C5D9F1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6A6A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C5D9F1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6A6A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C5D9F1"/>
        </patternFill>
      </fill>
    </dxf>
    <dxf>
      <border outline="0">
        <top style="thin">
          <color rgb="FF0D0D0D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C5D9F1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6A6A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numFmt numFmtId="177" formatCode="#,##0.00_);\(#,##0.00\);&quot;-&quot;_);@"/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177" formatCode="#,##0.00_);\(#,##0.00\);&quot;-&quot;_);@"/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177" formatCode="#,##0.00_);\(#,##0.00\);&quot;-&quot;_);@"/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177" formatCode="#,##0.00_);\(#,##0.00\);&quot;-&quot;_);@"/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177" formatCode="#,##0.00_);\(#,##0.00\);&quot;-&quot;_);@"/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177" formatCode="#,##0.00_);\(#,##0.00\);&quot;-&quot;_);@"/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177" formatCode="#,##0.00_);\(#,##0.00\);&quot;-&quot;_);@"/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177" formatCode="#,##0.00_);\(#,##0.00\);&quot;-&quot;_);@"/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177" formatCode="#,##0.00_);\(#,##0.00\);&quot;-&quot;_);@"/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border outline="0">
        <bottom style="thin">
          <color indexed="64"/>
        </bottom>
      </border>
    </dxf>
    <dxf>
      <fill>
        <patternFill patternType="solid">
          <fgColor indexed="64"/>
          <bgColor theme="7" tint="0.79998168889431442"/>
        </patternFill>
      </fill>
    </dxf>
    <dxf>
      <border>
        <bottom style="thin">
          <color theme="0" tint="-0.34998626667073579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left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left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174" formatCode="#,##0.0_);\(#,##0.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border outline="0">
        <top style="thin">
          <color theme="5" tint="0.59996337778862885"/>
        </top>
      </border>
    </dxf>
    <dxf>
      <border outline="0">
        <top style="thin">
          <color theme="1"/>
        </top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/>
    </dxf>
    <dxf>
      <border>
        <bottom style="thin">
          <color theme="0" tint="-0.34998626667073579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left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left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left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left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numFmt numFmtId="1" formatCode="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3" formatCode="#,##0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</dxf>
    <dxf>
      <alignment horizontal="right" vertical="bottom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left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</font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rgb="FF0D0D0D"/>
        </top>
        <bottom style="thin">
          <color rgb="FF0D0D0D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C5D9F1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5A5A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C5D9F1"/>
        </patternFill>
      </fill>
    </dxf>
    <dxf>
      <border outline="0">
        <top style="thin">
          <color rgb="FF0D0D0D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C5D9F1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5A5A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rgb="FF0D0D0D"/>
        </top>
        <bottom style="thin">
          <color rgb="FF0D0D0D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C5D9F1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6A6A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C5D9F1"/>
        </patternFill>
      </fill>
    </dxf>
    <dxf>
      <border outline="0">
        <top style="thin">
          <color rgb="FF0D0D0D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C5D9F1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6A6A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rgb="FF0D0D0D"/>
        </top>
        <bottom style="thin">
          <color rgb="FF0D0D0D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C5D9F1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5A5A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C5D9F1"/>
        </patternFill>
      </fill>
    </dxf>
    <dxf>
      <border outline="0">
        <top style="thin">
          <color rgb="FF0D0D0D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C5D9F1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5A5A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theme="1" tint="4.9989318521683403E-2"/>
        </top>
        <bottom style="thin">
          <color theme="1" tint="4.9989318521683403E-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numFmt numFmtId="0" formatCode="General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5" tint="0.59996337778862885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>
        <left/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border outline="0">
        <top style="thin">
          <color theme="5" tint="0.59996337778862885"/>
        </top>
      </border>
    </dxf>
    <dxf>
      <border outline="0">
        <top style="thin">
          <color theme="1"/>
        </top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/>
    </dxf>
    <dxf>
      <border>
        <bottom style="thin">
          <color theme="0" tint="-0.34998626667073579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5" tint="0.59996337778862885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>
        <left/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border outline="0">
        <top style="thin">
          <color rgb="FFE6B9B8"/>
        </top>
      </border>
    </dxf>
    <dxf>
      <border outline="0">
        <top style="thin">
          <color rgb="FF000000"/>
        </top>
      </border>
    </dxf>
    <dxf>
      <fill>
        <patternFill patternType="solid">
          <fgColor rgb="FF000000"/>
          <bgColor rgb="FFE5E0EC"/>
        </patternFill>
      </fill>
      <border diagonalUp="0" diagonalDown="0" outline="0"/>
    </dxf>
    <dxf>
      <border>
        <bottom style="thin">
          <color rgb="FFA5A5A5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C5D9F1"/>
        </patternFill>
      </fill>
    </dxf>
    <dxf>
      <border outline="0">
        <top style="thin">
          <color rgb="FF0D0D0D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C5D9F1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5A5A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rgb="FF0D0D0D"/>
        </top>
        <bottom style="thin">
          <color rgb="FF0D0D0D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C5D9F1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5A5A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rgb="FF0D0D0D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E5E0EC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5A5A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name val="Cambria"/>
        <scheme val="none"/>
      </font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rgb="FF0D0D0D"/>
        </top>
        <bottom style="thin">
          <color rgb="FF0D0D0D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C5D9F1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5A5A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5" tint="0.59996337778862885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>
        <left/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border outline="0">
        <top style="thin">
          <color theme="5" tint="0.59996337778862885"/>
        </top>
      </border>
    </dxf>
    <dxf>
      <border outline="0">
        <top style="thin">
          <color theme="1"/>
        </top>
      </border>
    </dxf>
    <dxf>
      <fill>
        <patternFill patternType="solid">
          <fgColor indexed="64"/>
          <bgColor theme="7" tint="0.79998168889431442"/>
        </patternFill>
      </fill>
      <border diagonalUp="0" diagonalDown="0" outline="0"/>
    </dxf>
    <dxf>
      <border>
        <bottom style="thin">
          <color theme="0" tint="-0.34998626667073579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theme="1" tint="4.9989318521683403E-2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theme="0" tint="-0.3499862666707357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5" tint="0.59996337778862885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border diagonalUp="0" diagonalDown="0">
        <left style="thin">
          <color theme="7" tint="0.79998168889431442"/>
        </left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fill>
        <patternFill patternType="solid">
          <fgColor indexed="64"/>
          <bgColor theme="7" tint="0.79998168889431442"/>
        </patternFill>
      </fill>
      <border diagonalUp="0" diagonalDown="0">
        <left/>
        <right style="thin">
          <color theme="7" tint="0.79998168889431442"/>
        </right>
        <top style="thin">
          <color theme="7" tint="0.79998168889431442"/>
        </top>
        <bottom style="thin">
          <color theme="7" tint="0.79998168889431442"/>
        </bottom>
      </border>
    </dxf>
    <dxf>
      <border outline="0">
        <top style="thin">
          <color rgb="FFE6B9B8"/>
        </top>
      </border>
    </dxf>
    <dxf>
      <border outline="0">
        <top style="thin">
          <color rgb="FF000000"/>
        </top>
      </border>
    </dxf>
    <dxf>
      <fill>
        <patternFill patternType="solid">
          <fgColor rgb="FF000000"/>
          <bgColor rgb="FFE5E0EC"/>
        </patternFill>
      </fill>
      <border diagonalUp="0" diagonalDown="0" outline="0"/>
    </dxf>
    <dxf>
      <border>
        <bottom style="thin">
          <color rgb="FFA5A5A5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7" tint="0.79998168889431442"/>
        </patternFill>
      </fill>
      <border diagonalUp="0" diagonalDown="0" outline="0">
        <left style="thin">
          <color theme="5" tint="0.59996337778862885"/>
        </left>
        <right style="thin">
          <color theme="5" tint="0.59996337778862885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rgb="FF000000"/>
          <bgColor rgb="FFC5D9F1"/>
        </patternFill>
      </fill>
    </dxf>
    <dxf>
      <border outline="0">
        <top style="thin">
          <color rgb="FF0D0D0D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C5D9F1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5A5A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border outline="0">
        <top style="thin">
          <color rgb="FF0D0D0D"/>
        </top>
        <bottom style="thin">
          <color rgb="FF0D0D0D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C5D9F1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5A5A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border outline="0">
        <top style="thin">
          <color rgb="FF0D0D0D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mbria"/>
        <scheme val="none"/>
      </font>
      <fill>
        <patternFill patternType="solid">
          <fgColor rgb="FF000000"/>
          <bgColor rgb="FFE5E0EC"/>
        </patternFill>
      </fill>
      <alignment horizontal="general" vertical="center" textRotation="0" wrapText="0" relativeIndent="0" justifyLastLine="0" shrinkToFit="0" readingOrder="0"/>
    </dxf>
    <dxf>
      <border outline="0">
        <bottom style="thin">
          <color rgb="FFA5A5A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7" tint="0.7999816888943144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4" formatCode="#,##0.0_);\(#,##0.0\);&quot;-&quot;_);@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Cambria"/>
        <scheme val="min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/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u val="none"/>
        <vertAlign val="baseline"/>
        <sz val="10"/>
        <name val="Cambria"/>
        <scheme val="none"/>
      </font>
      <fill>
        <patternFill patternType="solid">
          <fgColor rgb="FF000000"/>
          <bgColor rgb="FFEAF1DD"/>
        </patternFill>
      </fill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scheme val="major"/>
      </font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</dxf>
    <dxf>
      <alignment horizontal="left" vertical="center" textRotation="0" wrapText="0" relativeIndent="0" justifyLastLine="0" shrinkToFit="0" readingOrder="0"/>
    </dxf>
    <dxf>
      <alignment horizontal="left" vertical="center" textRotation="0" wrapText="0" relativeIndent="0" justifyLastLine="0" shrinkToFit="0" readingOrder="0"/>
    </dxf>
    <dxf>
      <alignment horizontal="left" vertical="center" textRotation="0" wrapText="0" relativeIndent="0" justifyLastLine="0" shrinkToFit="0" readingOrder="0"/>
    </dxf>
    <dxf>
      <alignment horizontal="left" vertical="center" textRotation="0" wrapText="0" relativeIndent="0" justifyLastLine="0" shrinkToFit="0" readingOrder="0"/>
    </dxf>
    <dxf>
      <alignment horizontal="left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theme="5" tint="0.59999389629810485"/>
          <bgColor theme="3" tint="0.79998168889431442"/>
        </patternFill>
      </fill>
      <alignment horizontal="left" vertical="center" textRotation="0" wrapText="1" relativeIndent="0" justifyLastLine="0" shrinkToFit="0" readingOrder="0"/>
    </dxf>
    <dxf>
      <fill>
        <patternFill patternType="solid">
          <fgColor theme="5" tint="0.59999389629810485"/>
          <bgColor theme="3" tint="0.79998168889431442"/>
        </patternFill>
      </fill>
      <alignment horizontal="general" vertical="center" textRotation="0" wrapText="0" relativeIndent="0" justifyLastLine="0" shrinkToFit="0" readingOrder="0"/>
      <border diagonalUp="0" diagonalDown="0">
        <left/>
        <right style="thin">
          <color theme="0"/>
        </right>
        <top/>
        <bottom/>
        <vertical/>
        <horizontal/>
      </border>
    </dxf>
    <dxf>
      <fill>
        <patternFill patternType="solid">
          <fgColor theme="5" tint="0.59999389629810485"/>
          <bgColor theme="3" tint="0.79998168889431442"/>
        </patternFill>
      </fill>
      <border diagonalUp="0" diagonalDown="0">
        <left/>
        <right style="thin">
          <color theme="0"/>
        </right>
        <top/>
        <bottom/>
        <vertical/>
        <horizontal/>
      </border>
    </dxf>
    <dxf>
      <border outline="0">
        <left style="thin">
          <color theme="0"/>
        </left>
        <bottom style="thin">
          <color theme="0"/>
        </bottom>
      </border>
    </dxf>
    <dxf>
      <border outline="0">
        <bottom style="thick">
          <color theme="0"/>
        </bottom>
      </border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alignment horizontal="left" vertical="center" textRotation="0" wrapText="1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</dxf>
    <dxf>
      <font>
        <b val="0"/>
        <strike val="0"/>
        <outline val="0"/>
        <shadow val="0"/>
        <u val="none"/>
        <vertAlign val="baseline"/>
        <sz val="11"/>
        <color theme="1"/>
        <name val="Calibri"/>
        <scheme val="major"/>
      </font>
      <alignment horizontal="general" vertical="center" textRotation="0" wrapText="0" relative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relativeIndent="0" justifyLastLine="0" shrinkToFit="0" readingOrder="0"/>
    </dxf>
    <dxf>
      <numFmt numFmtId="0" formatCode="General"/>
      <alignment horizontal="general" vertical="center" textRotation="0" wrapText="0" relative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left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168" formatCode="0.000"/>
    </dxf>
    <dxf>
      <numFmt numFmtId="168" formatCode="0.000"/>
    </dxf>
    <dxf>
      <numFmt numFmtId="168" formatCode="0.000"/>
    </dxf>
    <dxf>
      <numFmt numFmtId="168" formatCode="0.00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5" formatCode="0.00E+00"/>
      <alignment horizontal="general" vertical="center" textRotation="0" wrapText="0" relative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0" formatCode="General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75" formatCode="#,##0_);\(#,##0\);&quot;-&quot;_);@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75" formatCode="#,##0_);\(#,##0\);&quot;-&quot;_);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75" formatCode="#,##0_);\(#,##0\);&quot;-&quot;_);@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75" formatCode="#,##0_);\(#,##0\);&quot;-&quot;_);@"/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numFmt numFmtId="175" formatCode="#,##0_);\(#,##0\);&quot;-&quot;_);@"/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5" formatCode="0.00E+0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5" formatCode="0.00E+0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5" formatCode="0.00E+0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5" formatCode="0.00E+0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5" formatCode="0.00E+0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5" formatCode="0.00E+0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5" formatCode="0.00E+0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5" formatCode="0.00E+0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numFmt numFmtId="15" formatCode="0.00E+00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#,##0_);\(#,##0\);&quot;-&quot;_);@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#,##0_);\(#,##0\);&quot;-&quot;_);@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#,##0_);\(#,##0\);&quot;-&quot;_);@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#,##0_);\(#,##0\);&quot;-&quot;_);@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#,##0_);\(#,##0\);&quot;-&quot;_);@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#,##0_);\(#,##0\);&quot;-&quot;_);@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#,##0_);\(#,##0\);&quot;-&quot;_);@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#,##0_);\(#,##0\);&quot;-&quot;_);@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#,##0_);\(#,##0\);&quot;-&quot;_);@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75" formatCode="#,##0_);\(#,##0\);&quot;-&quot;_);@"/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solid">
          <fgColor indexed="64"/>
          <bgColor theme="5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mbria"/>
        <scheme val="minor"/>
      </font>
      <fill>
        <patternFill patternType="solid">
          <fgColor indexed="64"/>
          <bgColor theme="5" tint="0.79998168889431442"/>
        </patternFill>
      </fill>
    </dxf>
    <dxf>
      <font>
        <color theme="1"/>
      </font>
      <fill>
        <patternFill>
          <bgColor theme="5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9" formatCode="0%;\ \(0%\);\ \-"/>
      <fill>
        <patternFill patternType="solid">
          <fgColor indexed="64"/>
          <bgColor theme="0" tint="-4.9989318521683403E-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9" formatCode="0%;\ \(0%\);\ \-"/>
      <fill>
        <patternFill patternType="solid">
          <fgColor indexed="64"/>
          <bgColor theme="0" tint="-4.9989318521683403E-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9" formatCode="0%;\ \(0%\);\ \-"/>
      <fill>
        <patternFill patternType="solid">
          <fgColor indexed="64"/>
          <bgColor theme="0" tint="-4.9989318521683403E-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9" formatCode="0%;\ \(0%\);\ \-"/>
      <fill>
        <patternFill patternType="solid">
          <fgColor indexed="64"/>
          <bgColor theme="0" tint="-4.9989318521683403E-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9" formatCode="0%;\ \(0%\);\ \-"/>
      <fill>
        <patternFill patternType="solid">
          <fgColor indexed="64"/>
          <bgColor theme="0" tint="-4.9989318521683403E-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9" formatCode="0%;\ \(0%\);\ \-"/>
      <fill>
        <patternFill patternType="solid">
          <fgColor indexed="64"/>
          <bgColor theme="0" tint="-4.9989318521683403E-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9" formatCode="0%;\ \(0%\);\ \-"/>
      <fill>
        <patternFill patternType="solid">
          <fgColor indexed="64"/>
          <bgColor theme="0" tint="-4.9989318521683403E-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9" formatCode="0%;\ \(0%\);\ \-"/>
      <fill>
        <patternFill patternType="solid">
          <fgColor indexed="64"/>
          <bgColor theme="0" tint="-4.9989318521683403E-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79" formatCode="0%;\ \(0%\);\ \-"/>
      <fill>
        <patternFill patternType="solid">
          <fgColor indexed="64"/>
          <bgColor theme="0" tint="-4.9989318521683403E-2"/>
        </patternFill>
      </fill>
      <alignment horizontal="general" vertical="center" textRotation="0" wrapText="0" relative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0" relative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fill>
        <patternFill patternType="solid">
          <fgColor indexed="64"/>
          <bgColor theme="0" tint="-4.9989318521683403E-2"/>
        </patternFill>
      </fill>
      <alignment horizontal="general" vertical="center" textRotation="0" wrapText="0" relativeIndent="0" justifyLastLine="0" shrinkToFit="0" readingOrder="0"/>
    </dxf>
    <dxf>
      <font>
        <b val="0"/>
        <i/>
        <strike val="0"/>
        <condense val="0"/>
        <extend val="0"/>
        <outline val="0"/>
        <shadow val="0"/>
        <u val="none"/>
        <vertAlign val="baseline"/>
        <sz val="10"/>
        <color auto="1"/>
        <name val="Cambria"/>
        <scheme val="minor"/>
      </font>
      <numFmt numFmtId="1" formatCode="0"/>
      <fill>
        <patternFill patternType="solid">
          <fgColor indexed="64"/>
          <bgColor theme="0" tint="-4.9989318521683403E-2"/>
        </patternFill>
      </fill>
      <alignment horizontal="general" vertical="center" textRotation="0" wrapText="0" relativeIndent="0" justifyLastLine="0" shrinkToFit="0" readingOrder="0"/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color theme="0"/>
      </font>
      <fill>
        <patternFill>
          <bgColor theme="0" tint="-0.499984740745262"/>
        </patternFill>
      </fill>
    </dxf>
    <dxf>
      <fill>
        <patternFill>
          <bgColor theme="4" tint="0.79998168889431442"/>
        </patternFill>
      </fill>
    </dxf>
    <dxf>
      <font>
        <b/>
        <i val="0"/>
      </font>
      <border>
        <top style="thin">
          <color auto="1"/>
        </top>
      </border>
    </dxf>
    <dxf>
      <font>
        <b/>
        <i val="0"/>
      </font>
      <fill>
        <patternFill patternType="none">
          <bgColor auto="1"/>
        </patternFill>
      </fill>
      <border>
        <bottom style="thin">
          <color theme="0" tint="-0.34998626667073579"/>
        </bottom>
      </border>
    </dxf>
    <dxf>
      <border>
        <top style="thin">
          <color theme="1" tint="4.9989318521683403E-2"/>
        </top>
        <bottom style="thin">
          <color theme="1" tint="4.9989318521683403E-2"/>
        </bottom>
      </border>
    </dxf>
  </dxfs>
  <tableStyles count="1" defaultTableStyle="TableStyleMedium2" defaultPivotStyle="PivotStyleLight16">
    <tableStyle name="EnergyCalcTables" pivot="0" count="4">
      <tableStyleElement type="wholeTable" dxfId="4407"/>
      <tableStyleElement type="headerRow" dxfId="4406"/>
      <tableStyleElement type="totalRow" dxfId="4405"/>
      <tableStyleElement type="secondRowStripe" dxfId="4404"/>
    </tableStyle>
  </tableStyles>
  <colors>
    <mruColors>
      <color rgb="FFFFFFFF"/>
      <color rgb="FFE9EFF7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2.xml"/><Relationship Id="rId63" Type="http://schemas.openxmlformats.org/officeDocument/2006/relationships/externalLink" Target="externalLinks/externalLink10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5.xml"/><Relationship Id="rId66" Type="http://schemas.openxmlformats.org/officeDocument/2006/relationships/externalLink" Target="externalLinks/externalLink1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4.xml"/><Relationship Id="rId61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7.xml"/><Relationship Id="rId65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3.xml"/><Relationship Id="rId64" Type="http://schemas.openxmlformats.org/officeDocument/2006/relationships/externalLink" Target="externalLinks/externalLink11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6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.xml"/><Relationship Id="rId62" Type="http://schemas.openxmlformats.org/officeDocument/2006/relationships/externalLink" Target="externalLinks/externalLink9.xml"/><Relationship Id="rId7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GB"/>
              <a:t>Demand</a:t>
            </a:r>
          </a:p>
        </c:rich>
      </c:tx>
      <c:layout>
        <c:manualLayout>
          <c:xMode val="edge"/>
          <c:yMode val="edge"/>
          <c:x val="0.29752610155507864"/>
          <c:y val="2.0382168331031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626947672973801"/>
          <c:y val="0.123391816889359"/>
          <c:w val="0.60254322385204651"/>
          <c:h val="0.7813586404359445"/>
        </c:manualLayout>
      </c:layout>
      <c:areaChart>
        <c:grouping val="stacked"/>
        <c:varyColors val="0"/>
        <c:ser>
          <c:idx val="0"/>
          <c:order val="0"/>
          <c:tx>
            <c:strRef>
              <c:f>'Intermediate output'!$D$7</c:f>
              <c:strCache>
                <c:ptCount val="1"/>
                <c:pt idx="0">
                  <c:v>Road transport</c:v>
                </c:pt>
              </c:strCache>
            </c:strRef>
          </c:tx>
          <c:cat>
            <c:numRef>
              <c:f>'Intermediate output'!$AX$4:$BF$4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output'!$AX$7:$BF$7</c:f>
              <c:numCache>
                <c:formatCode>#,##0.0_);\(#,##0.0\);"-"_);@</c:formatCode>
                <c:ptCount val="9"/>
                <c:pt idx="0">
                  <c:v>102.3149280766313</c:v>
                </c:pt>
                <c:pt idx="1">
                  <c:v>98.573713532137731</c:v>
                </c:pt>
                <c:pt idx="2">
                  <c:v>95.196935864243045</c:v>
                </c:pt>
                <c:pt idx="3">
                  <c:v>91.616521511184374</c:v>
                </c:pt>
                <c:pt idx="4">
                  <c:v>87.702870215268888</c:v>
                </c:pt>
                <c:pt idx="5">
                  <c:v>94.494594530868937</c:v>
                </c:pt>
                <c:pt idx="6">
                  <c:v>100.21442697127782</c:v>
                </c:pt>
                <c:pt idx="7">
                  <c:v>107.4464981999182</c:v>
                </c:pt>
                <c:pt idx="8">
                  <c:v>115.70828124472884</c:v>
                </c:pt>
              </c:numCache>
            </c:numRef>
          </c:val>
        </c:ser>
        <c:ser>
          <c:idx val="1"/>
          <c:order val="1"/>
          <c:tx>
            <c:strRef>
              <c:f>'Intermediate output'!$D$8</c:f>
              <c:strCache>
                <c:ptCount val="1"/>
                <c:pt idx="0">
                  <c:v>Rail transport</c:v>
                </c:pt>
              </c:strCache>
            </c:strRef>
          </c:tx>
          <c:cat>
            <c:numRef>
              <c:f>'Intermediate output'!$AX$4:$BF$4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output'!$AX$8:$BF$8</c:f>
              <c:numCache>
                <c:formatCode>#,##0.0_);\(#,##0.0\);"-"_);@</c:formatCode>
                <c:ptCount val="9"/>
                <c:pt idx="0">
                  <c:v>25.076957917110953</c:v>
                </c:pt>
                <c:pt idx="1">
                  <c:v>42.475937245436782</c:v>
                </c:pt>
                <c:pt idx="2">
                  <c:v>49.917389989978602</c:v>
                </c:pt>
                <c:pt idx="3">
                  <c:v>55.17577889636857</c:v>
                </c:pt>
                <c:pt idx="4">
                  <c:v>59.254113213404999</c:v>
                </c:pt>
                <c:pt idx="5">
                  <c:v>62.417203676107818</c:v>
                </c:pt>
                <c:pt idx="6">
                  <c:v>63.419361714598281</c:v>
                </c:pt>
                <c:pt idx="7">
                  <c:v>63.640391829160592</c:v>
                </c:pt>
                <c:pt idx="8">
                  <c:v>63.15812022583664</c:v>
                </c:pt>
              </c:numCache>
            </c:numRef>
          </c:val>
        </c:ser>
        <c:ser>
          <c:idx val="2"/>
          <c:order val="2"/>
          <c:tx>
            <c:strRef>
              <c:f>'Intermediate output'!$D$9</c:f>
              <c:strCache>
                <c:ptCount val="1"/>
                <c:pt idx="0">
                  <c:v>Domestic aviation</c:v>
                </c:pt>
              </c:strCache>
            </c:strRef>
          </c:tx>
          <c:cat>
            <c:numRef>
              <c:f>'Intermediate output'!$AX$4:$BF$4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output'!$AX$9:$BF$9</c:f>
              <c:numCache>
                <c:formatCode>#,##0.0_);\(#,##0.0\);"-"_);@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'Intermediate output'!$D$10</c:f>
              <c:strCache>
                <c:ptCount val="1"/>
                <c:pt idx="0">
                  <c:v>Berge</c:v>
                </c:pt>
              </c:strCache>
            </c:strRef>
          </c:tx>
          <c:cat>
            <c:numRef>
              <c:f>'Intermediate output'!$AX$4:$BF$4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output'!$AX$10:$BF$10</c:f>
              <c:numCache>
                <c:formatCode>#,##0.0_);\(#,##0.0\);"-"_);@</c:formatCode>
                <c:ptCount val="9"/>
                <c:pt idx="0">
                  <c:v>0</c:v>
                </c:pt>
                <c:pt idx="1">
                  <c:v>1.2059144801278183E-13</c:v>
                </c:pt>
                <c:pt idx="2">
                  <c:v>2.4118289602556366E-13</c:v>
                </c:pt>
                <c:pt idx="3">
                  <c:v>3.6177434403834546E-13</c:v>
                </c:pt>
                <c:pt idx="4">
                  <c:v>4.8236579205112732E-13</c:v>
                </c:pt>
                <c:pt idx="5">
                  <c:v>6.0295724006390912E-13</c:v>
                </c:pt>
                <c:pt idx="6">
                  <c:v>7.2354868807669103E-13</c:v>
                </c:pt>
                <c:pt idx="7">
                  <c:v>8.4414013608947293E-13</c:v>
                </c:pt>
                <c:pt idx="8">
                  <c:v>9.6473158410225464E-13</c:v>
                </c:pt>
              </c:numCache>
            </c:numRef>
          </c:val>
        </c:ser>
        <c:ser>
          <c:idx val="4"/>
          <c:order val="4"/>
          <c:tx>
            <c:strRef>
              <c:f>'Intermediate output'!$D$11</c:f>
              <c:strCache>
                <c:ptCount val="1"/>
                <c:pt idx="0">
                  <c:v>Pipeline</c:v>
                </c:pt>
              </c:strCache>
            </c:strRef>
          </c:tx>
          <c:cat>
            <c:numRef>
              <c:f>'Intermediate output'!$AX$4:$BF$4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output'!$AX$11:$BF$11</c:f>
              <c:numCache>
                <c:formatCode>#,##0.0_);\(#,##0.0\);"-"_);@</c:formatCode>
                <c:ptCount val="9"/>
                <c:pt idx="0">
                  <c:v>1.0449356110119832</c:v>
                </c:pt>
                <c:pt idx="1">
                  <c:v>2.2204881734004642</c:v>
                </c:pt>
                <c:pt idx="2">
                  <c:v>3.3960407357889455</c:v>
                </c:pt>
                <c:pt idx="3">
                  <c:v>4.5715932981774268</c:v>
                </c:pt>
                <c:pt idx="4">
                  <c:v>5.747145860565908</c:v>
                </c:pt>
                <c:pt idx="5">
                  <c:v>6.9226984229543893</c:v>
                </c:pt>
                <c:pt idx="6">
                  <c:v>8.0982509853428706</c:v>
                </c:pt>
                <c:pt idx="7">
                  <c:v>9.273803547731351</c:v>
                </c:pt>
                <c:pt idx="8">
                  <c:v>10.449356110119831</c:v>
                </c:pt>
              </c:numCache>
            </c:numRef>
          </c:val>
        </c:ser>
        <c:ser>
          <c:idx val="7"/>
          <c:order val="5"/>
          <c:tx>
            <c:strRef>
              <c:f>'Intermediate output'!$D$13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cat>
            <c:numRef>
              <c:f>'Intermediate output'!$AX$4:$BF$4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output'!$AX$13:$BF$13</c:f>
              <c:numCache>
                <c:formatCode>#,##0.0_);\(#,##0.0\);"-"_);@</c:formatCode>
                <c:ptCount val="9"/>
                <c:pt idx="0">
                  <c:v>419.34528169394542</c:v>
                </c:pt>
                <c:pt idx="1">
                  <c:v>394.98215312294013</c:v>
                </c:pt>
                <c:pt idx="2">
                  <c:v>370.71748563692677</c:v>
                </c:pt>
                <c:pt idx="3">
                  <c:v>349.58782518850057</c:v>
                </c:pt>
                <c:pt idx="4">
                  <c:v>328.36034930214595</c:v>
                </c:pt>
                <c:pt idx="5">
                  <c:v>309.99575906391863</c:v>
                </c:pt>
                <c:pt idx="6">
                  <c:v>294.87382567799034</c:v>
                </c:pt>
                <c:pt idx="7">
                  <c:v>283.43578325749672</c:v>
                </c:pt>
                <c:pt idx="8">
                  <c:v>276.1943057542378</c:v>
                </c:pt>
              </c:numCache>
            </c:numRef>
          </c:val>
        </c:ser>
        <c:ser>
          <c:idx val="8"/>
          <c:order val="6"/>
          <c:tx>
            <c:strRef>
              <c:f>'Intermediate output'!$D$14</c:f>
              <c:strCache>
                <c:ptCount val="1"/>
                <c:pt idx="0">
                  <c:v>Cooling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'Intermediate output'!$AX$4:$BF$4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output'!$AX$14:$BF$14</c:f>
              <c:numCache>
                <c:formatCode>#,##0.0_);\(#,##0.0\);"-"_);@</c:formatCode>
                <c:ptCount val="9"/>
                <c:pt idx="0">
                  <c:v>46.191013019682934</c:v>
                </c:pt>
                <c:pt idx="1">
                  <c:v>53.519847980518854</c:v>
                </c:pt>
                <c:pt idx="2">
                  <c:v>65.109017777829635</c:v>
                </c:pt>
                <c:pt idx="3">
                  <c:v>77.828245025810716</c:v>
                </c:pt>
                <c:pt idx="4">
                  <c:v>89.131279635070655</c:v>
                </c:pt>
                <c:pt idx="5">
                  <c:v>104.15840897030208</c:v>
                </c:pt>
                <c:pt idx="6">
                  <c:v>114.82360568835084</c:v>
                </c:pt>
                <c:pt idx="7">
                  <c:v>125.64327023914129</c:v>
                </c:pt>
                <c:pt idx="8">
                  <c:v>136.57044448493946</c:v>
                </c:pt>
              </c:numCache>
            </c:numRef>
          </c:val>
        </c:ser>
        <c:ser>
          <c:idx val="9"/>
          <c:order val="7"/>
          <c:tx>
            <c:strRef>
              <c:f>'Intermediate output'!$D$15</c:f>
              <c:strCache>
                <c:ptCount val="1"/>
                <c:pt idx="0">
                  <c:v>Lighting &amp; appliances</c:v>
                </c:pt>
              </c:strCache>
            </c:strRef>
          </c:tx>
          <c:cat>
            <c:numRef>
              <c:f>'Intermediate output'!$AX$4:$BF$4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output'!$AX$15:$BF$15</c:f>
              <c:numCache>
                <c:formatCode>#,##0.0_);\(#,##0.0\);"-"_);@</c:formatCode>
                <c:ptCount val="9"/>
                <c:pt idx="0">
                  <c:v>31.295223413352669</c:v>
                </c:pt>
                <c:pt idx="1">
                  <c:v>36.686116203690624</c:v>
                </c:pt>
                <c:pt idx="2">
                  <c:v>69.119383751249117</c:v>
                </c:pt>
                <c:pt idx="3">
                  <c:v>143.64019818412442</c:v>
                </c:pt>
                <c:pt idx="4">
                  <c:v>224.74473101896561</c:v>
                </c:pt>
                <c:pt idx="5">
                  <c:v>334.68229252873908</c:v>
                </c:pt>
                <c:pt idx="6">
                  <c:v>439.09796990378345</c:v>
                </c:pt>
                <c:pt idx="7">
                  <c:v>552.9641205990697</c:v>
                </c:pt>
                <c:pt idx="8">
                  <c:v>678.71617088874098</c:v>
                </c:pt>
              </c:numCache>
            </c:numRef>
          </c:val>
        </c:ser>
        <c:ser>
          <c:idx val="11"/>
          <c:order val="8"/>
          <c:tx>
            <c:strRef>
              <c:f>'Intermediate output'!$D$19</c:f>
              <c:strCache>
                <c:ptCount val="1"/>
                <c:pt idx="0">
                  <c:v>Dummy for charting uses</c:v>
                </c:pt>
              </c:strCache>
            </c:strRef>
          </c:tx>
          <c:spPr>
            <a:noFill/>
            <a:ln>
              <a:noFill/>
            </a:ln>
          </c:spPr>
          <c:val>
            <c:numRef>
              <c:f>'Intermediate output'!$AX$19:$BF$19</c:f>
              <c:numCache>
                <c:formatCode>#,##0.0_);\(#,##0.0\);"-"_);@</c:formatCode>
                <c:ptCount val="9"/>
                <c:pt idx="0">
                  <c:v>343.80139344287215</c:v>
                </c:pt>
                <c:pt idx="1">
                  <c:v>413.07245285431941</c:v>
                </c:pt>
                <c:pt idx="2">
                  <c:v>532.34385522823584</c:v>
                </c:pt>
                <c:pt idx="3">
                  <c:v>635.58497309643349</c:v>
                </c:pt>
                <c:pt idx="4">
                  <c:v>845.23843066441759</c:v>
                </c:pt>
                <c:pt idx="5">
                  <c:v>1133.0979513491641</c:v>
                </c:pt>
                <c:pt idx="6">
                  <c:v>1466.3282734776321</c:v>
                </c:pt>
                <c:pt idx="7">
                  <c:v>1827.8268459079929</c:v>
                </c:pt>
                <c:pt idx="8">
                  <c:v>2295.1601354191002</c:v>
                </c:pt>
              </c:numCache>
            </c:numRef>
          </c:val>
        </c:ser>
        <c:ser>
          <c:idx val="5"/>
          <c:order val="9"/>
          <c:tx>
            <c:strRef>
              <c:f>'Intermediate output'!$D$16</c:f>
              <c:strCache>
                <c:ptCount val="1"/>
                <c:pt idx="0">
                  <c:v>Cooking</c:v>
                </c:pt>
              </c:strCache>
            </c:strRef>
          </c:tx>
          <c:val>
            <c:numRef>
              <c:f>'Intermediate output'!$AX$16:$BF$16</c:f>
              <c:numCache>
                <c:formatCode>#,##0.0_);\(#,##0.0\);"-"_);@</c:formatCode>
                <c:ptCount val="9"/>
                <c:pt idx="0">
                  <c:v>244.94029459261003</c:v>
                </c:pt>
                <c:pt idx="1">
                  <c:v>237.93519496128644</c:v>
                </c:pt>
                <c:pt idx="2">
                  <c:v>249.1957189496236</c:v>
                </c:pt>
                <c:pt idx="3">
                  <c:v>257.93373420427446</c:v>
                </c:pt>
                <c:pt idx="4">
                  <c:v>253.21809995124116</c:v>
                </c:pt>
                <c:pt idx="5">
                  <c:v>253.51908831090404</c:v>
                </c:pt>
                <c:pt idx="6">
                  <c:v>232.49054882061384</c:v>
                </c:pt>
                <c:pt idx="7">
                  <c:v>204.16202861606214</c:v>
                </c:pt>
                <c:pt idx="8">
                  <c:v>167.26510658441217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810752"/>
        <c:axId val="58812288"/>
      </c:areaChart>
      <c:catAx>
        <c:axId val="5881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US" sz="1200"/>
            </a:pPr>
            <a:endParaRPr lang="en-US"/>
          </a:p>
        </c:txPr>
        <c:crossAx val="58812288"/>
        <c:crosses val="autoZero"/>
        <c:auto val="1"/>
        <c:lblAlgn val="ctr"/>
        <c:lblOffset val="100"/>
        <c:noMultiLvlLbl val="0"/>
      </c:catAx>
      <c:valAx>
        <c:axId val="58812288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strRef>
              <c:f>'Intermediate output'!$D$4</c:f>
              <c:strCache>
                <c:ptCount val="1"/>
                <c:pt idx="0">
                  <c:v>TWh / year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 lang="en-US" sz="1200"/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lang="en-US" sz="1200"/>
            </a:pPr>
            <a:endParaRPr lang="en-US"/>
          </a:p>
        </c:txPr>
        <c:crossAx val="58810752"/>
        <c:crosses val="autoZero"/>
        <c:crossBetween val="midCat"/>
      </c:valAx>
      <c:spPr>
        <a:noFill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76700786061242365"/>
          <c:y val="3.9501600234222951E-2"/>
          <c:w val="0.23299217048626325"/>
          <c:h val="0.77014383609509107"/>
        </c:manualLayout>
      </c:layout>
      <c:overlay val="0"/>
      <c:txPr>
        <a:bodyPr/>
        <a:lstStyle/>
        <a:p>
          <a:pPr>
            <a:defRPr lang="en-US" sz="120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000000000001765" l="0.70000000000000295" r="0.70000000000000295" t="0.750000000000017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GB"/>
              <a:t>Primary supply</a:t>
            </a:r>
          </a:p>
        </c:rich>
      </c:tx>
      <c:layout>
        <c:manualLayout>
          <c:xMode val="edge"/>
          <c:yMode val="edge"/>
          <c:x val="0.28384883677570238"/>
          <c:y val="4.05513992795787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51451032489641"/>
          <c:y val="0.14293864860339722"/>
          <c:w val="0.615028124877673"/>
          <c:h val="0.74672293785685795"/>
        </c:manualLayout>
      </c:layout>
      <c:areaChart>
        <c:grouping val="stacked"/>
        <c:varyColors val="0"/>
        <c:ser>
          <c:idx val="6"/>
          <c:order val="0"/>
          <c:tx>
            <c:strRef>
              <c:f>'Intermediate output'!$D$27</c:f>
              <c:strCache>
                <c:ptCount val="1"/>
                <c:pt idx="0">
                  <c:v>Primary electricity, solar, marine, and net imports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effectLst/>
          </c:spPr>
          <c:cat>
            <c:numRef>
              <c:f>'Intermediate output'!$AX$4:$BF$4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output'!$AX$27:$BF$27</c:f>
              <c:numCache>
                <c:formatCode>#,##0.0_);\(#,##0.0\);"-"_);@</c:formatCode>
                <c:ptCount val="9"/>
                <c:pt idx="0">
                  <c:v>9.7763648999999972</c:v>
                </c:pt>
                <c:pt idx="1">
                  <c:v>10.669181999999998</c:v>
                </c:pt>
                <c:pt idx="2">
                  <c:v>68.813183400000028</c:v>
                </c:pt>
                <c:pt idx="3">
                  <c:v>147.86048756146491</c:v>
                </c:pt>
                <c:pt idx="4">
                  <c:v>174.59121672648104</c:v>
                </c:pt>
                <c:pt idx="5">
                  <c:v>192.48126090136492</c:v>
                </c:pt>
                <c:pt idx="6">
                  <c:v>230.96544496728814</c:v>
                </c:pt>
                <c:pt idx="7">
                  <c:v>305.75430999998173</c:v>
                </c:pt>
                <c:pt idx="8">
                  <c:v>498.73135941299188</c:v>
                </c:pt>
              </c:numCache>
            </c:numRef>
          </c:val>
        </c:ser>
        <c:ser>
          <c:idx val="8"/>
          <c:order val="1"/>
          <c:tx>
            <c:strRef>
              <c:f>'Intermediate output'!$D$31</c:f>
              <c:strCache>
                <c:ptCount val="1"/>
                <c:pt idx="0">
                  <c:v>Agriculture, waste, and biomatter imports</c:v>
                </c:pt>
              </c:strCache>
            </c:strRef>
          </c:tx>
          <c:cat>
            <c:numRef>
              <c:f>'Intermediate output'!$AX$4:$BF$4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output'!$AX$31:$BF$31</c:f>
              <c:numCache>
                <c:formatCode>#,##0.0_);\(#,##0.0\);"-"_);@</c:formatCode>
                <c:ptCount val="9"/>
                <c:pt idx="0">
                  <c:v>855.30283783977507</c:v>
                </c:pt>
                <c:pt idx="1">
                  <c:v>918.96998324472042</c:v>
                </c:pt>
                <c:pt idx="2">
                  <c:v>1016.3568873081676</c:v>
                </c:pt>
                <c:pt idx="3">
                  <c:v>1098.4828604298527</c:v>
                </c:pt>
                <c:pt idx="4">
                  <c:v>1155.5340274210844</c:v>
                </c:pt>
                <c:pt idx="5">
                  <c:v>1230.3693635327027</c:v>
                </c:pt>
                <c:pt idx="6">
                  <c:v>1295.3889917636257</c:v>
                </c:pt>
                <c:pt idx="7">
                  <c:v>1368.7842482057417</c:v>
                </c:pt>
                <c:pt idx="8">
                  <c:v>1440.8666928559978</c:v>
                </c:pt>
              </c:numCache>
            </c:numRef>
          </c:val>
        </c:ser>
        <c:ser>
          <c:idx val="9"/>
          <c:order val="2"/>
          <c:tx>
            <c:strRef>
              <c:f>'Intermediate output'!$D$34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  <a:effectLst/>
          </c:spPr>
          <c:cat>
            <c:numRef>
              <c:f>'Intermediate output'!$AX$4:$BF$4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output'!$AX$34:$BF$34</c:f>
              <c:numCache>
                <c:formatCode>#,##0.0_);\(#,##0.0\);"-"_);@</c:formatCode>
                <c:ptCount val="9"/>
                <c:pt idx="0">
                  <c:v>-2.4032071317770312</c:v>
                </c:pt>
                <c:pt idx="1">
                  <c:v>-3.0768427572715078</c:v>
                </c:pt>
                <c:pt idx="2">
                  <c:v>19.975118009232251</c:v>
                </c:pt>
                <c:pt idx="3">
                  <c:v>116.99048157421316</c:v>
                </c:pt>
                <c:pt idx="4">
                  <c:v>276.6342134525816</c:v>
                </c:pt>
                <c:pt idx="5">
                  <c:v>507.32081828929068</c:v>
                </c:pt>
                <c:pt idx="6">
                  <c:v>751.75114808733497</c:v>
                </c:pt>
                <c:pt idx="7">
                  <c:v>994.47441071750291</c:v>
                </c:pt>
                <c:pt idx="8">
                  <c:v>1237.326775284753</c:v>
                </c:pt>
              </c:numCache>
            </c:numRef>
          </c:val>
        </c:ser>
        <c:ser>
          <c:idx val="10"/>
          <c:order val="3"/>
          <c:tx>
            <c:strRef>
              <c:f>'Intermediate output'!$D$38</c:f>
              <c:strCache>
                <c:ptCount val="1"/>
                <c:pt idx="0">
                  <c:v>Oil and petroleum products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cat>
            <c:numRef>
              <c:f>'Intermediate output'!$AX$4:$BF$4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output'!$AX$38:$BF$38</c:f>
              <c:numCache>
                <c:formatCode>#,##0.0_);\(#,##0.0\);"-"_);@</c:formatCode>
                <c:ptCount val="9"/>
                <c:pt idx="0">
                  <c:v>301.24472631181243</c:v>
                </c:pt>
                <c:pt idx="1">
                  <c:v>309.20345172722136</c:v>
                </c:pt>
                <c:pt idx="2">
                  <c:v>221.35927018559823</c:v>
                </c:pt>
                <c:pt idx="3">
                  <c:v>188.35750920679629</c:v>
                </c:pt>
                <c:pt idx="4">
                  <c:v>190.79882842617371</c:v>
                </c:pt>
                <c:pt idx="5">
                  <c:v>198.31117547774625</c:v>
                </c:pt>
                <c:pt idx="6">
                  <c:v>197.7969679668272</c:v>
                </c:pt>
                <c:pt idx="7">
                  <c:v>196.27149320474473</c:v>
                </c:pt>
                <c:pt idx="8">
                  <c:v>191.75650933957013</c:v>
                </c:pt>
              </c:numCache>
            </c:numRef>
          </c:val>
        </c:ser>
        <c:ser>
          <c:idx val="11"/>
          <c:order val="4"/>
          <c:tx>
            <c:strRef>
              <c:f>'Intermediate output'!$D$41</c:f>
              <c:strCache>
                <c:ptCount val="1"/>
                <c:pt idx="0">
                  <c:v>Natural gas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</c:spPr>
          <c:val>
            <c:numRef>
              <c:f>'Intermediate output'!$AX$41:$BF$41</c:f>
              <c:numCache>
                <c:formatCode>#,##0.0_);\(#,##0.0\);"-"_);@</c:formatCode>
                <c:ptCount val="9"/>
                <c:pt idx="0">
                  <c:v>50.089305847406877</c:v>
                </c:pt>
                <c:pt idx="1">
                  <c:v>43.700129859060326</c:v>
                </c:pt>
                <c:pt idx="2">
                  <c:v>108.49136903087731</c:v>
                </c:pt>
                <c:pt idx="3">
                  <c:v>64.247530632547182</c:v>
                </c:pt>
                <c:pt idx="4">
                  <c:v>95.838733834760433</c:v>
                </c:pt>
                <c:pt idx="5">
                  <c:v>170.80537865185499</c:v>
                </c:pt>
                <c:pt idx="6">
                  <c:v>243.4437104545143</c:v>
                </c:pt>
                <c:pt idx="7">
                  <c:v>309.10828006860288</c:v>
                </c:pt>
                <c:pt idx="8">
                  <c:v>374.54058381880384</c:v>
                </c:pt>
              </c:numCache>
            </c:numRef>
          </c:val>
        </c:ser>
        <c:ser>
          <c:idx val="12"/>
          <c:order val="5"/>
          <c:tx>
            <c:strRef>
              <c:f>'Intermediate output'!$D$44</c:f>
              <c:strCache>
                <c:ptCount val="1"/>
                <c:pt idx="0">
                  <c:v>Dummy for charting supply</c:v>
                </c:pt>
              </c:strCache>
            </c:strRef>
          </c:tx>
          <c:spPr>
            <a:noFill/>
            <a:ln>
              <a:noFill/>
            </a:ln>
          </c:spPr>
          <c:val>
            <c:numRef>
              <c:f>'Intermediate output'!$AX$44:$BF$44</c:f>
              <c:numCache>
                <c:formatCode>#,##0.0_);\(#,##0.0\);"-"_);@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9305216"/>
        <c:axId val="129319296"/>
      </c:areaChart>
      <c:catAx>
        <c:axId val="12930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US" sz="1200"/>
            </a:pPr>
            <a:endParaRPr lang="en-US"/>
          </a:p>
        </c:txPr>
        <c:crossAx val="129319296"/>
        <c:crosses val="autoZero"/>
        <c:auto val="1"/>
        <c:lblAlgn val="ctr"/>
        <c:lblOffset val="100"/>
        <c:noMultiLvlLbl val="0"/>
      </c:catAx>
      <c:valAx>
        <c:axId val="129319296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strRef>
              <c:f>'Intermediate output'!$D$4</c:f>
              <c:strCache>
                <c:ptCount val="1"/>
                <c:pt idx="0">
                  <c:v>TWh / year</c:v>
                </c:pt>
              </c:strCache>
            </c:strRef>
          </c:tx>
          <c:overlay val="0"/>
          <c:txPr>
            <a:bodyPr rot="-5400000" vert="horz"/>
            <a:lstStyle/>
            <a:p>
              <a:pPr>
                <a:defRPr lang="en-US" sz="1200"/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lang="en-US" sz="1200"/>
            </a:pPr>
            <a:endParaRPr lang="en-US"/>
          </a:p>
        </c:txPr>
        <c:crossAx val="129305216"/>
        <c:crosses val="autoZero"/>
        <c:crossBetween val="midCat"/>
      </c:valAx>
      <c:spPr>
        <a:noFill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482012022770973"/>
          <c:y val="0.102083910593886"/>
          <c:w val="0.25179879772295238"/>
          <c:h val="0.72178833347213889"/>
        </c:manualLayout>
      </c:layout>
      <c:overlay val="0"/>
      <c:txPr>
        <a:bodyPr/>
        <a:lstStyle/>
        <a:p>
          <a:pPr>
            <a:defRPr lang="en-US" sz="120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000000000001765" l="0.70000000000000295" r="0.70000000000000295" t="0.750000000000017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GB"/>
              <a:t>Electricity generation</a:t>
            </a:r>
          </a:p>
        </c:rich>
      </c:tx>
      <c:layout>
        <c:manualLayout>
          <c:xMode val="edge"/>
          <c:yMode val="edge"/>
          <c:x val="0.19056903184723642"/>
          <c:y val="2.3759823182711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86083494256541"/>
          <c:y val="0.14293864860339722"/>
          <c:w val="0.63933857577989861"/>
          <c:h val="0.74672293785685795"/>
        </c:manualLayout>
      </c:layout>
      <c:areaChart>
        <c:grouping val="stacked"/>
        <c:varyColors val="0"/>
        <c:ser>
          <c:idx val="6"/>
          <c:order val="0"/>
          <c:tx>
            <c:strRef>
              <c:f>'Intermediate output'!$D$92</c:f>
              <c:strCache>
                <c:ptCount val="1"/>
                <c:pt idx="0">
                  <c:v>Conventional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effectLst/>
          </c:spPr>
          <c:cat>
            <c:numRef>
              <c:f>'Intermediate output'!$AX$4:$BF$4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output'!$AX$92:$BF$92</c:f>
              <c:numCache>
                <c:formatCode>#,##0.0_);\(#,##0.0\);"-"_);@</c:formatCode>
                <c:ptCount val="9"/>
                <c:pt idx="0">
                  <c:v>18.408599999999996</c:v>
                </c:pt>
                <c:pt idx="1">
                  <c:v>49.089599999999997</c:v>
                </c:pt>
                <c:pt idx="2">
                  <c:v>118.612746</c:v>
                </c:pt>
                <c:pt idx="3">
                  <c:v>190.99360799999999</c:v>
                </c:pt>
                <c:pt idx="4">
                  <c:v>290.57536799999997</c:v>
                </c:pt>
                <c:pt idx="5">
                  <c:v>431.73426599999993</c:v>
                </c:pt>
                <c:pt idx="6">
                  <c:v>573.550614</c:v>
                </c:pt>
                <c:pt idx="7">
                  <c:v>714.77087399999982</c:v>
                </c:pt>
                <c:pt idx="8">
                  <c:v>855.92977199999996</c:v>
                </c:pt>
              </c:numCache>
            </c:numRef>
          </c:val>
        </c:ser>
        <c:ser>
          <c:idx val="7"/>
          <c:order val="1"/>
          <c:tx>
            <c:strRef>
              <c:f>'Intermediate output'!$D$93</c:f>
              <c:strCache>
                <c:ptCount val="1"/>
                <c:pt idx="0">
                  <c:v>Biomass power station</c:v>
                </c:pt>
              </c:strCache>
            </c:strRef>
          </c:tx>
          <c:spPr>
            <a:effectLst/>
          </c:spPr>
          <c:cat>
            <c:numRef>
              <c:f>'Intermediate output'!$AX$4:$BF$4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output'!$AX$93:$BF$93</c:f>
              <c:numCache>
                <c:formatCode>#,##0.0_);\(#,##0.0\);"-"_);@</c:formatCode>
                <c:ptCount val="9"/>
                <c:pt idx="0">
                  <c:v>0</c:v>
                </c:pt>
                <c:pt idx="1">
                  <c:v>0</c:v>
                </c:pt>
                <c:pt idx="2">
                  <c:v>7.8894000000000002</c:v>
                </c:pt>
                <c:pt idx="3">
                  <c:v>15.7788</c:v>
                </c:pt>
                <c:pt idx="4">
                  <c:v>19.723499999999998</c:v>
                </c:pt>
                <c:pt idx="5">
                  <c:v>31.557600000000001</c:v>
                </c:pt>
                <c:pt idx="6">
                  <c:v>47.336400000000005</c:v>
                </c:pt>
                <c:pt idx="7">
                  <c:v>63.115200000000002</c:v>
                </c:pt>
                <c:pt idx="8">
                  <c:v>78.893999999999991</c:v>
                </c:pt>
              </c:numCache>
            </c:numRef>
          </c:val>
        </c:ser>
        <c:ser>
          <c:idx val="8"/>
          <c:order val="2"/>
          <c:tx>
            <c:strRef>
              <c:f>'Intermediate output'!$D$96</c:f>
              <c:strCache>
                <c:ptCount val="1"/>
                <c:pt idx="0">
                  <c:v>Nuclear power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effectLst/>
          </c:spPr>
          <c:cat>
            <c:numRef>
              <c:f>'Intermediate output'!$AX$4:$BF$4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output'!$AX$96:$BF$96</c:f>
              <c:numCache>
                <c:formatCode>#,##0.0_);\(#,##0.0\);"-"_);@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7.0128000000000013</c:v>
                </c:pt>
                <c:pt idx="4">
                  <c:v>13.32432</c:v>
                </c:pt>
                <c:pt idx="5">
                  <c:v>25.947360000000003</c:v>
                </c:pt>
                <c:pt idx="6">
                  <c:v>49.790880000000001</c:v>
                </c:pt>
                <c:pt idx="7">
                  <c:v>96.075360000000018</c:v>
                </c:pt>
                <c:pt idx="8">
                  <c:v>185.83920000000003</c:v>
                </c:pt>
              </c:numCache>
            </c:numRef>
          </c:val>
        </c:ser>
        <c:ser>
          <c:idx val="9"/>
          <c:order val="3"/>
          <c:tx>
            <c:strRef>
              <c:f>'Intermediate output'!$D$103</c:f>
              <c:strCache>
                <c:ptCount val="1"/>
                <c:pt idx="0">
                  <c:v>Non-thermal renewable generation</c:v>
                </c:pt>
              </c:strCache>
            </c:strRef>
          </c:tx>
          <c:spPr>
            <a:solidFill>
              <a:schemeClr val="accent3"/>
            </a:solidFill>
            <a:effectLst/>
          </c:spPr>
          <c:cat>
            <c:numRef>
              <c:f>'Intermediate output'!$AX$4:$BF$4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output'!$AX$103:$BF$103</c:f>
              <c:numCache>
                <c:formatCode>#,##0.0_);\(#,##0.0\);"-"_);@</c:formatCode>
                <c:ptCount val="9"/>
                <c:pt idx="0">
                  <c:v>10.301364899999998</c:v>
                </c:pt>
                <c:pt idx="1">
                  <c:v>11.194181999999998</c:v>
                </c:pt>
                <c:pt idx="2">
                  <c:v>69.338183400000005</c:v>
                </c:pt>
                <c:pt idx="3">
                  <c:v>132.64736245714283</c:v>
                </c:pt>
                <c:pt idx="4">
                  <c:v>202.99376108571425</c:v>
                </c:pt>
                <c:pt idx="5">
                  <c:v>289.9043933142857</c:v>
                </c:pt>
                <c:pt idx="6">
                  <c:v>356.05363114285717</c:v>
                </c:pt>
                <c:pt idx="7">
                  <c:v>437.97553277142856</c:v>
                </c:pt>
                <c:pt idx="8">
                  <c:v>532.27152000000001</c:v>
                </c:pt>
              </c:numCache>
            </c:numRef>
          </c:val>
        </c:ser>
        <c:ser>
          <c:idx val="12"/>
          <c:order val="6"/>
          <c:tx>
            <c:strRef>
              <c:f>'Intermediate output'!$D$104</c:f>
              <c:strCache>
                <c:ptCount val="1"/>
                <c:pt idx="0">
                  <c:v>Electricity imports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val>
            <c:numRef>
              <c:f>'Intermediate output'!$AX$104:$BF$104</c:f>
              <c:numCache>
                <c:formatCode>#,##0.0_);\(#,##0.0\);"-"_);@</c:formatCode>
                <c:ptCount val="9"/>
                <c:pt idx="0">
                  <c:v>-0.52500000000000002</c:v>
                </c:pt>
                <c:pt idx="1">
                  <c:v>-0.52500000000000002</c:v>
                </c:pt>
                <c:pt idx="2">
                  <c:v>-0.52500000000000002</c:v>
                </c:pt>
                <c:pt idx="3">
                  <c:v>-0.52500000000000002</c:v>
                </c:pt>
                <c:pt idx="4">
                  <c:v>12.089399999999999</c:v>
                </c:pt>
                <c:pt idx="5">
                  <c:v>24.703800000000001</c:v>
                </c:pt>
                <c:pt idx="6">
                  <c:v>37.318200000000004</c:v>
                </c:pt>
                <c:pt idx="7">
                  <c:v>49.932600000000001</c:v>
                </c:pt>
                <c:pt idx="8">
                  <c:v>62.547000000000004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78784"/>
        <c:axId val="130680320"/>
      </c:areaChart>
      <c:lineChart>
        <c:grouping val="standard"/>
        <c:varyColors val="0"/>
        <c:ser>
          <c:idx val="10"/>
          <c:order val="4"/>
          <c:tx>
            <c:v>Domestic demand</c:v>
          </c:tx>
          <c:spPr>
            <a:ln w="57150">
              <a:solidFill>
                <a:srgbClr val="000000">
                  <a:alpha val="50196"/>
                </a:srgbClr>
              </a:solidFill>
            </a:ln>
          </c:spPr>
          <c:marker>
            <c:symbol val="none"/>
          </c:marker>
          <c:cat>
            <c:numRef>
              <c:f>'Intermediate output'!$AX$88:$BF$88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output'!$AX$78:$BF$78</c:f>
              <c:numCache>
                <c:formatCode>#,##0.0_);\(#,##0.0\);"-"_);@</c:formatCode>
                <c:ptCount val="9"/>
                <c:pt idx="0">
                  <c:v>141.05858604975359</c:v>
                </c:pt>
                <c:pt idx="1">
                  <c:v>166.45895128395276</c:v>
                </c:pt>
                <c:pt idx="2">
                  <c:v>226.16569502655335</c:v>
                </c:pt>
                <c:pt idx="3">
                  <c:v>340.21769556146489</c:v>
                </c:pt>
                <c:pt idx="4">
                  <c:v>457.50120472648098</c:v>
                </c:pt>
                <c:pt idx="5">
                  <c:v>602.4368869013648</c:v>
                </c:pt>
                <c:pt idx="6">
                  <c:v>749.50453896728811</c:v>
                </c:pt>
                <c:pt idx="7">
                  <c:v>886.15214399998172</c:v>
                </c:pt>
                <c:pt idx="8">
                  <c:v>1051.5523314129916</c:v>
                </c:pt>
              </c:numCache>
            </c:numRef>
          </c:val>
          <c:smooth val="0"/>
        </c:ser>
        <c:ser>
          <c:idx val="11"/>
          <c:order val="5"/>
          <c:tx>
            <c:v>Dummy</c:v>
          </c:tx>
          <c:spPr>
            <a:ln>
              <a:noFill/>
            </a:ln>
          </c:spPr>
          <c:marker>
            <c:symbol val="none"/>
          </c:marker>
          <c:cat>
            <c:numRef>
              <c:f>'Intermediate output'!$AX$88:$BF$88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output'!$AX$79:$BF$79</c:f>
              <c:numCache>
                <c:formatCode>#,##0.0_);\(#,##0.0\);"-"_);@</c:formatCode>
                <c:ptCount val="9"/>
                <c:pt idx="0">
                  <c:v>141.05858604975359</c:v>
                </c:pt>
                <c:pt idx="1">
                  <c:v>166.45895128395276</c:v>
                </c:pt>
                <c:pt idx="2">
                  <c:v>226.16569502655335</c:v>
                </c:pt>
                <c:pt idx="3">
                  <c:v>345.90757045714281</c:v>
                </c:pt>
                <c:pt idx="4">
                  <c:v>538.70634908571412</c:v>
                </c:pt>
                <c:pt idx="5">
                  <c:v>803.84741931428562</c:v>
                </c:pt>
                <c:pt idx="6">
                  <c:v>1064.0497251428571</c:v>
                </c:pt>
                <c:pt idx="7">
                  <c:v>1361.8695667714285</c:v>
                </c:pt>
                <c:pt idx="8">
                  <c:v>1715.4814920000001</c:v>
                </c:pt>
              </c:numCache>
            </c:numRef>
          </c:val>
          <c:smooth val="0"/>
        </c:ser>
        <c:ser>
          <c:idx val="0"/>
          <c:order val="7"/>
          <c:tx>
            <c:strRef>
              <c:f>'Intermediate output'!$D$95</c:f>
              <c:strCache>
                <c:ptCount val="1"/>
                <c:pt idx="0">
                  <c:v>Self Generation </c:v>
                </c:pt>
              </c:strCache>
            </c:strRef>
          </c:tx>
          <c:marker>
            <c:symbol val="none"/>
          </c:marker>
          <c:val>
            <c:numRef>
              <c:f>'Intermediate output'!$AX$95:$BF$95</c:f>
              <c:numCache>
                <c:formatCode>#,##0.0_);\(#,##0.0\);"-"_);@</c:formatCode>
                <c:ptCount val="9"/>
                <c:pt idx="0">
                  <c:v>112.87362114975359</c:v>
                </c:pt>
                <c:pt idx="1">
                  <c:v>106.70016928395276</c:v>
                </c:pt>
                <c:pt idx="2">
                  <c:v>30.850365626553355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84032"/>
        <c:axId val="130682240"/>
      </c:lineChart>
      <c:catAx>
        <c:axId val="13067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US" sz="1200"/>
            </a:pPr>
            <a:endParaRPr lang="en-US"/>
          </a:p>
        </c:txPr>
        <c:crossAx val="130680320"/>
        <c:crosses val="autoZero"/>
        <c:auto val="1"/>
        <c:lblAlgn val="ctr"/>
        <c:lblOffset val="100"/>
        <c:noMultiLvlLbl val="0"/>
      </c:catAx>
      <c:valAx>
        <c:axId val="130680320"/>
        <c:scaling>
          <c:orientation val="minMax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strRef>
              <c:f>'Intermediate output'!$D$4</c:f>
              <c:strCache>
                <c:ptCount val="1"/>
                <c:pt idx="0">
                  <c:v>TWh / year</c:v>
                </c:pt>
              </c:strCache>
            </c:strRef>
          </c:tx>
          <c:layout>
            <c:manualLayout>
              <c:xMode val="edge"/>
              <c:yMode val="edge"/>
              <c:x val="0"/>
              <c:y val="0.38654596100283678"/>
            </c:manualLayout>
          </c:layout>
          <c:overlay val="0"/>
          <c:txPr>
            <a:bodyPr rot="-5400000" vert="horz"/>
            <a:lstStyle/>
            <a:p>
              <a:pPr>
                <a:defRPr lang="en-US" sz="1200"/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lang="en-US" sz="1200"/>
            </a:pPr>
            <a:endParaRPr lang="en-US"/>
          </a:p>
        </c:txPr>
        <c:crossAx val="130678784"/>
        <c:crosses val="autoZero"/>
        <c:crossBetween val="midCat"/>
      </c:valAx>
      <c:valAx>
        <c:axId val="130682240"/>
        <c:scaling>
          <c:orientation val="minMax"/>
        </c:scaling>
        <c:delete val="1"/>
        <c:axPos val="r"/>
        <c:numFmt formatCode="#,##0.0_);\(#,##0.0\);&quot;-&quot;_);@" sourceLinked="1"/>
        <c:majorTickMark val="out"/>
        <c:minorTickMark val="none"/>
        <c:tickLblPos val="none"/>
        <c:crossAx val="130684032"/>
        <c:crosses val="max"/>
        <c:crossBetween val="between"/>
      </c:valAx>
      <c:catAx>
        <c:axId val="130684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0682240"/>
        <c:crosses val="autoZero"/>
        <c:auto val="1"/>
        <c:lblAlgn val="ctr"/>
        <c:lblOffset val="100"/>
        <c:noMultiLvlLbl val="0"/>
      </c:catAx>
      <c:spPr>
        <a:noFill/>
        <a:effectLst/>
      </c:spPr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0.75215875866160264"/>
          <c:y val="0.102083910593886"/>
          <c:w val="0.24784122301091061"/>
          <c:h val="0.80293613852456114"/>
        </c:manualLayout>
      </c:layout>
      <c:overlay val="0"/>
      <c:txPr>
        <a:bodyPr/>
        <a:lstStyle/>
        <a:p>
          <a:pPr>
            <a:defRPr lang="en-US" sz="120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000000000001765" l="0.70000000000000295" r="0.70000000000000295" t="0.750000000000017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GB"/>
              <a:t>Emissions (% of base year)</a:t>
            </a:r>
          </a:p>
        </c:rich>
      </c:tx>
      <c:layout>
        <c:manualLayout>
          <c:xMode val="edge"/>
          <c:yMode val="edge"/>
          <c:x val="0.26909292368401438"/>
          <c:y val="3.78176398464806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9388716961062"/>
          <c:y val="0.12339175210124613"/>
          <c:w val="0.6214333029614395"/>
          <c:h val="0.7813586404359445"/>
        </c:manualLayout>
      </c:layout>
      <c:areaChart>
        <c:grouping val="stacked"/>
        <c:varyColors val="0"/>
        <c:ser>
          <c:idx val="6"/>
          <c:order val="2"/>
          <c:tx>
            <c:strRef>
              <c:f>'Intermediate output'!$D$131</c:f>
              <c:strCache>
                <c:ptCount val="1"/>
                <c:pt idx="0">
                  <c:v>Fuel Combustion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'Intermediate output'!$AX$128:$BF$128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output'!$AX$131:$BF$131</c:f>
              <c:numCache>
                <c:formatCode>0%;\ \(0%\);\ \-</c:formatCode>
                <c:ptCount val="9"/>
                <c:pt idx="0">
                  <c:v>0.19069575086373286</c:v>
                </c:pt>
                <c:pt idx="1">
                  <c:v>0.21115367117195538</c:v>
                </c:pt>
                <c:pt idx="2">
                  <c:v>0.26490772746173852</c:v>
                </c:pt>
                <c:pt idx="3">
                  <c:v>0.32530653150841482</c:v>
                </c:pt>
                <c:pt idx="4">
                  <c:v>0.41614628791806441</c:v>
                </c:pt>
                <c:pt idx="5">
                  <c:v>0.55394430375699955</c:v>
                </c:pt>
                <c:pt idx="6">
                  <c:v>0.68736292885599637</c:v>
                </c:pt>
                <c:pt idx="7">
                  <c:v>0.81477545423334941</c:v>
                </c:pt>
                <c:pt idx="8">
                  <c:v>0.93585410838252081</c:v>
                </c:pt>
              </c:numCache>
            </c:numRef>
          </c:val>
        </c:ser>
        <c:ser>
          <c:idx val="7"/>
          <c:order val="3"/>
          <c:tx>
            <c:strRef>
              <c:f>'Intermediate output'!$D$132</c:f>
              <c:strCache>
                <c:ptCount val="1"/>
                <c:pt idx="0">
                  <c:v>Industrial Processes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</c:spPr>
          <c:cat>
            <c:numRef>
              <c:f>'Intermediate output'!$AX$128:$BF$128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output'!$AX$132:$BF$132</c:f>
              <c:numCache>
                <c:formatCode>0%;\ \(0%\);\ \-</c:formatCode>
                <c:ptCount val="9"/>
                <c:pt idx="0">
                  <c:v>3.4882184192791141E-2</c:v>
                </c:pt>
                <c:pt idx="1">
                  <c:v>3.4840636537559269E-2</c:v>
                </c:pt>
                <c:pt idx="2">
                  <c:v>3.4849873436417017E-2</c:v>
                </c:pt>
                <c:pt idx="3">
                  <c:v>3.4911341825801377E-2</c:v>
                </c:pt>
                <c:pt idx="4">
                  <c:v>3.4446077901012756E-2</c:v>
                </c:pt>
                <c:pt idx="5">
                  <c:v>3.4009732538688796E-2</c:v>
                </c:pt>
                <c:pt idx="6">
                  <c:v>3.3601660263176257E-2</c:v>
                </c:pt>
                <c:pt idx="7">
                  <c:v>3.3221250874010913E-2</c:v>
                </c:pt>
                <c:pt idx="8">
                  <c:v>3.4882184192791141E-2</c:v>
                </c:pt>
              </c:numCache>
            </c:numRef>
          </c:val>
        </c:ser>
        <c:ser>
          <c:idx val="8"/>
          <c:order val="4"/>
          <c:tx>
            <c:strRef>
              <c:f>'Intermediate output'!$D$134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cat>
            <c:numRef>
              <c:f>'Intermediate output'!$AX$128:$BF$128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output'!$AX$134:$BF$134</c:f>
              <c:numCache>
                <c:formatCode>0%;\ \(0%\);\ \-</c:formatCode>
                <c:ptCount val="9"/>
                <c:pt idx="0">
                  <c:v>2.9115060857043091E-2</c:v>
                </c:pt>
                <c:pt idx="1">
                  <c:v>2.8196158518730106E-2</c:v>
                </c:pt>
                <c:pt idx="2">
                  <c:v>2.7306257717164821E-2</c:v>
                </c:pt>
                <c:pt idx="3">
                  <c:v>2.7214468946924843E-2</c:v>
                </c:pt>
                <c:pt idx="4">
                  <c:v>2.7122988720551605E-2</c:v>
                </c:pt>
                <c:pt idx="5">
                  <c:v>2.7031816000888623E-2</c:v>
                </c:pt>
                <c:pt idx="6">
                  <c:v>2.6940949754265777E-2</c:v>
                </c:pt>
                <c:pt idx="7">
                  <c:v>2.6850388950487584E-2</c:v>
                </c:pt>
                <c:pt idx="8">
                  <c:v>2.6760132562821507E-2</c:v>
                </c:pt>
              </c:numCache>
            </c:numRef>
          </c:val>
        </c:ser>
        <c:ser>
          <c:idx val="9"/>
          <c:order val="5"/>
          <c:tx>
            <c:strRef>
              <c:f>'Intermediate output'!$D$135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  <a:ln>
              <a:noFill/>
            </a:ln>
          </c:spPr>
          <c:cat>
            <c:numRef>
              <c:f>'Intermediate output'!$AX$128:$BF$128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output'!$AX$135:$BF$135</c:f>
              <c:numCache>
                <c:formatCode>0%;\ \(0%\);\ \-</c:formatCode>
                <c:ptCount val="9"/>
                <c:pt idx="0">
                  <c:v>2.3788091132191545E-3</c:v>
                </c:pt>
                <c:pt idx="1">
                  <c:v>6.2491063965834587E-3</c:v>
                </c:pt>
                <c:pt idx="2">
                  <c:v>9.1423337107827529E-3</c:v>
                </c:pt>
                <c:pt idx="3">
                  <c:v>1.0904384349802685E-2</c:v>
                </c:pt>
                <c:pt idx="4">
                  <c:v>9.9199669669540816E-3</c:v>
                </c:pt>
                <c:pt idx="5">
                  <c:v>8.1085756904724967E-3</c:v>
                </c:pt>
                <c:pt idx="6">
                  <c:v>4.6264521423208327E-3</c:v>
                </c:pt>
                <c:pt idx="7">
                  <c:v>7.8314039369477729E-4</c:v>
                </c:pt>
                <c:pt idx="8">
                  <c:v>-2.1916211583965996E-3</c:v>
                </c:pt>
              </c:numCache>
            </c:numRef>
          </c:val>
        </c:ser>
        <c:ser>
          <c:idx val="10"/>
          <c:order val="6"/>
          <c:tx>
            <c:strRef>
              <c:f>'Intermediate output'!$D$136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</c:spPr>
          <c:cat>
            <c:numRef>
              <c:f>'Intermediate output'!$AX$128:$BF$128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output'!$AX$136:$BF$136</c:f>
              <c:numCache>
                <c:formatCode>0%;\ \(0%\);\ \-</c:formatCode>
                <c:ptCount val="9"/>
                <c:pt idx="0">
                  <c:v>1.6410002850588429E-2</c:v>
                </c:pt>
                <c:pt idx="1">
                  <c:v>1.3515776986134802E-2</c:v>
                </c:pt>
                <c:pt idx="2">
                  <c:v>1.0621551121681175E-2</c:v>
                </c:pt>
                <c:pt idx="3">
                  <c:v>7.9910659537047787E-3</c:v>
                </c:pt>
                <c:pt idx="4">
                  <c:v>5.6352067514232815E-3</c:v>
                </c:pt>
                <c:pt idx="5">
                  <c:v>4.3659091787620454E-3</c:v>
                </c:pt>
                <c:pt idx="6">
                  <c:v>3.2359149611414888E-3</c:v>
                </c:pt>
                <c:pt idx="7">
                  <c:v>2.2452240985616082E-3</c:v>
                </c:pt>
                <c:pt idx="8">
                  <c:v>1.3938365910224021E-3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773376"/>
        <c:axId val="130774912"/>
      </c:areaChart>
      <c:areaChart>
        <c:grouping val="stacked"/>
        <c:varyColors val="0"/>
        <c:ser>
          <c:idx val="13"/>
          <c:order val="0"/>
          <c:tx>
            <c:strRef>
              <c:f>'Intermediate output'!$D$138</c:f>
              <c:strCache>
                <c:ptCount val="1"/>
                <c:pt idx="0">
                  <c:v>Bioenergy credit</c:v>
                </c:pt>
              </c:strCache>
            </c:strRef>
          </c:tx>
          <c:spPr>
            <a:ln w="9525">
              <a:noFill/>
            </a:ln>
            <a:effectLst/>
          </c:spPr>
          <c:cat>
            <c:numRef>
              <c:f>'Intermediate output'!$AX$128:$BF$128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output'!$AX$138:$BF$138</c:f>
              <c:numCache>
                <c:formatCode>0%;\ \(0%\);\ \-</c:formatCode>
                <c:ptCount val="9"/>
                <c:pt idx="0">
                  <c:v>-8.752620904126468E-2</c:v>
                </c:pt>
                <c:pt idx="1">
                  <c:v>-9.9787442306399729E-2</c:v>
                </c:pt>
                <c:pt idx="2">
                  <c:v>-0.11497383342469135</c:v>
                </c:pt>
                <c:pt idx="3">
                  <c:v>-0.14434964605193185</c:v>
                </c:pt>
                <c:pt idx="4">
                  <c:v>-0.15635630767987899</c:v>
                </c:pt>
                <c:pt idx="5">
                  <c:v>-0.17094597391703839</c:v>
                </c:pt>
                <c:pt idx="6">
                  <c:v>-0.185122589594124</c:v>
                </c:pt>
                <c:pt idx="7">
                  <c:v>-0.20027640176798431</c:v>
                </c:pt>
                <c:pt idx="8">
                  <c:v>-0.21478632602817205</c:v>
                </c:pt>
              </c:numCache>
            </c:numRef>
          </c:val>
        </c:ser>
        <c:ser>
          <c:idx val="11"/>
          <c:order val="1"/>
          <c:tx>
            <c:strRef>
              <c:f>'Intermediate output'!$D$139</c:f>
              <c:strCache>
                <c:ptCount val="1"/>
                <c:pt idx="0">
                  <c:v>Carbon capture</c:v>
                </c:pt>
              </c:strCache>
            </c:strRef>
          </c:tx>
          <c:spPr>
            <a:solidFill>
              <a:schemeClr val="accent2"/>
            </a:solidFill>
            <a:ln w="9525">
              <a:noFill/>
            </a:ln>
            <a:effectLst/>
          </c:spPr>
          <c:cat>
            <c:numRef>
              <c:f>'Intermediate output'!$AX$128:$BF$128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output'!$AX$139:$BF$139</c:f>
              <c:numCache>
                <c:formatCode>0%;\ \(0%\);\ \-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778624"/>
        <c:axId val="130777088"/>
      </c:areaChart>
      <c:lineChart>
        <c:grouping val="standard"/>
        <c:varyColors val="0"/>
        <c:ser>
          <c:idx val="0"/>
          <c:order val="7"/>
          <c:tx>
            <c:strRef>
              <c:f>'Intermediate output'!$D$140</c:f>
              <c:strCache>
                <c:ptCount val="1"/>
                <c:pt idx="0">
                  <c:v>Total</c:v>
                </c:pt>
              </c:strCache>
            </c:strRef>
          </c:tx>
          <c:spPr>
            <a:ln w="57150">
              <a:solidFill>
                <a:srgbClr val="000000">
                  <a:alpha val="80000"/>
                </a:srgbClr>
              </a:solidFill>
            </a:ln>
          </c:spPr>
          <c:marker>
            <c:symbol val="none"/>
          </c:marker>
          <c:cat>
            <c:numRef>
              <c:f>'Intermediate output'!$AX$128:$BF$128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output'!$AX$140:$BF$140</c:f>
              <c:numCache>
                <c:formatCode>0%;\ \(0%\);\ \-</c:formatCode>
                <c:ptCount val="9"/>
                <c:pt idx="0">
                  <c:v>0.18595559883611001</c:v>
                </c:pt>
                <c:pt idx="1">
                  <c:v>0.19416790730456329</c:v>
                </c:pt>
                <c:pt idx="2">
                  <c:v>0.23185391002309294</c:v>
                </c:pt>
                <c:pt idx="3">
                  <c:v>0.26197814653271662</c:v>
                </c:pt>
                <c:pt idx="4">
                  <c:v>0.33691422057812714</c:v>
                </c:pt>
                <c:pt idx="5">
                  <c:v>0.45651436324877309</c:v>
                </c:pt>
                <c:pt idx="6">
                  <c:v>0.5706453163827766</c:v>
                </c:pt>
                <c:pt idx="7">
                  <c:v>0.67759905678212007</c:v>
                </c:pt>
                <c:pt idx="8">
                  <c:v>0.78191231454258725</c:v>
                </c:pt>
              </c:numCache>
            </c:numRef>
          </c:val>
          <c:smooth val="0"/>
        </c:ser>
        <c:ser>
          <c:idx val="1"/>
          <c:order val="8"/>
          <c:tx>
            <c:strRef>
              <c:f>'Intermediate output'!$D$189</c:f>
              <c:strCache>
                <c:ptCount val="1"/>
                <c:pt idx="0">
                  <c:v>Target, for chart</c:v>
                </c:pt>
              </c:strCache>
            </c:strRef>
          </c:tx>
          <c:spPr>
            <a:ln w="12700">
              <a:solidFill>
                <a:schemeClr val="bg1"/>
              </a:solidFill>
              <a:prstDash val="dash"/>
            </a:ln>
          </c:spPr>
          <c:marker>
            <c:symbol val="none"/>
          </c:marker>
          <c:cat>
            <c:numRef>
              <c:f>'Intermediate output'!$AX$128:$BF$128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output'!$AW$189:$BF$189</c:f>
              <c:numCache>
                <c:formatCode>0%;\ \(0%\);\ \-</c:formatCode>
                <c:ptCount val="9"/>
                <c:pt idx="0">
                  <c:v>0.2</c:v>
                </c:pt>
                <c:pt idx="1">
                  <c:v>0.2</c:v>
                </c:pt>
                <c:pt idx="2">
                  <c:v>0.2</c:v>
                </c:pt>
                <c:pt idx="3">
                  <c:v>0.2</c:v>
                </c:pt>
                <c:pt idx="4">
                  <c:v>0.2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</c:numCache>
            </c:numRef>
          </c:val>
          <c:smooth val="0"/>
        </c:ser>
        <c:ser>
          <c:idx val="2"/>
          <c:order val="9"/>
          <c:tx>
            <c:strRef>
              <c:f>'Intermediate output'!$D$190</c:f>
              <c:strCache>
                <c:ptCount val="1"/>
                <c:pt idx="0">
                  <c:v>Dummy, for chart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'Intermediate output'!$AX$128:$BF$128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'Intermediate output'!$AW$190:$BF$190</c:f>
              <c:numCache>
                <c:formatCode>0%;\ \(0%\);\ \-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778624"/>
        <c:axId val="130777088"/>
      </c:lineChart>
      <c:catAx>
        <c:axId val="1307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US" sz="1200"/>
            </a:pPr>
            <a:endParaRPr lang="en-US"/>
          </a:p>
        </c:txPr>
        <c:crossAx val="130774912"/>
        <c:crossesAt val="-0.5"/>
        <c:auto val="1"/>
        <c:lblAlgn val="ctr"/>
        <c:lblOffset val="100"/>
        <c:noMultiLvlLbl val="0"/>
      </c:catAx>
      <c:valAx>
        <c:axId val="130774912"/>
        <c:scaling>
          <c:orientation val="minMax"/>
          <c:max val="1"/>
          <c:min val="-0.5"/>
        </c:scaling>
        <c:delete val="0"/>
        <c:axPos val="l"/>
        <c:majorGridlines>
          <c:spPr>
            <a:ln>
              <a:solidFill>
                <a:schemeClr val="accent1">
                  <a:lumMod val="20000"/>
                  <a:lumOff val="8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lang="en-US" sz="1200"/>
                </a:pPr>
                <a:r>
                  <a:rPr lang="en-US" sz="1200"/>
                  <a:t>CO</a:t>
                </a:r>
                <a:r>
                  <a:rPr lang="en-US" sz="1200" baseline="-25000"/>
                  <a:t>2</a:t>
                </a:r>
                <a:r>
                  <a:rPr lang="en-US" sz="1200"/>
                  <a:t>e / year (% of 1990)</a:t>
                </a:r>
              </a:p>
            </c:rich>
          </c:tx>
          <c:layout>
            <c:manualLayout>
              <c:xMode val="edge"/>
              <c:yMode val="edge"/>
              <c:x val="0"/>
              <c:y val="0.384137580878326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lang="en-US" sz="1200"/>
            </a:pPr>
            <a:endParaRPr lang="en-US"/>
          </a:p>
        </c:txPr>
        <c:crossAx val="130773376"/>
        <c:crosses val="autoZero"/>
        <c:crossBetween val="midCat"/>
        <c:majorUnit val="0.25"/>
      </c:valAx>
      <c:valAx>
        <c:axId val="130777088"/>
        <c:scaling>
          <c:orientation val="minMax"/>
          <c:max val="1"/>
          <c:min val="-0.5"/>
        </c:scaling>
        <c:delete val="0"/>
        <c:axPos val="r"/>
        <c:numFmt formatCode="0%;\ \(0%\);\ \-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 lang="en-US"/>
            </a:pPr>
            <a:endParaRPr lang="en-US"/>
          </a:p>
        </c:txPr>
        <c:crossAx val="130778624"/>
        <c:crosses val="max"/>
        <c:crossBetween val="between"/>
        <c:majorUnit val="0.25"/>
      </c:valAx>
      <c:catAx>
        <c:axId val="13077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30777088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r"/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3249970163530165"/>
          <c:y val="0.17657784398102219"/>
          <c:w val="0.26750029836472738"/>
          <c:h val="0.72940816604061398"/>
        </c:manualLayout>
      </c:layout>
      <c:overlay val="0"/>
      <c:txPr>
        <a:bodyPr/>
        <a:lstStyle/>
        <a:p>
          <a:pPr>
            <a:defRPr lang="en-US" sz="1200"/>
          </a:pPr>
          <a:endParaRPr lang="en-US"/>
        </a:p>
      </c:txPr>
    </c:legend>
    <c:plotVisOnly val="1"/>
    <c:dispBlanksAs val="zero"/>
    <c:showDLblsOverMax val="0"/>
  </c:chart>
  <c:spPr>
    <a:noFill/>
    <a:ln>
      <a:noFill/>
    </a:ln>
    <a:effectLst/>
  </c:spPr>
  <c:txPr>
    <a:bodyPr/>
    <a:lstStyle/>
    <a:p>
      <a:pPr>
        <a:defRPr>
          <a:latin typeface="+mj-lt"/>
        </a:defRPr>
      </a:pPr>
      <a:endParaRPr lang="en-US"/>
    </a:p>
  </c:txPr>
  <c:printSettings>
    <c:headerFooter/>
    <c:pageMargins b="0.75000000000001765" l="0.70000000000000295" r="0.70000000000000295" t="0.750000000000017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'Energy Security'!$D$32</c:f>
              <c:strCache>
                <c:ptCount val="1"/>
                <c:pt idx="0">
                  <c:v>Nuclear fission</c:v>
                </c:pt>
              </c:strCache>
            </c:strRef>
          </c:tx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Security'!$E$32:$M$32</c:f>
              <c:numCache>
                <c:formatCode>0%;\ \(0%\);\ \-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4.2940372410412327E-3</c:v>
                </c:pt>
                <c:pt idx="4">
                  <c:v>7.4792742233764781E-3</c:v>
                </c:pt>
                <c:pt idx="5">
                  <c:v>1.3118035674131277E-2</c:v>
                </c:pt>
                <c:pt idx="6">
                  <c:v>2.2828170214175349E-2</c:v>
                </c:pt>
                <c:pt idx="7">
                  <c:v>3.9758643068105247E-2</c:v>
                </c:pt>
                <c:pt idx="8">
                  <c:v>6.8938669594381996E-2</c:v>
                </c:pt>
              </c:numCache>
            </c:numRef>
          </c:val>
        </c:ser>
        <c:ser>
          <c:idx val="1"/>
          <c:order val="1"/>
          <c:tx>
            <c:strRef>
              <c:f>'Energy Security'!$D$33</c:f>
              <c:strCache>
                <c:ptCount val="1"/>
                <c:pt idx="0">
                  <c:v>Solar</c:v>
                </c:pt>
              </c:strCache>
            </c:strRef>
          </c:tx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Security'!$E$33:$M$33</c:f>
              <c:numCache>
                <c:formatCode>0%;\ \(0%\);\ \-</c:formatCode>
                <c:ptCount val="9"/>
                <c:pt idx="0">
                  <c:v>6.9594804938118323E-6</c:v>
                </c:pt>
                <c:pt idx="1">
                  <c:v>2.1679299762735897E-4</c:v>
                </c:pt>
                <c:pt idx="2">
                  <c:v>1.0595790826676946E-2</c:v>
                </c:pt>
                <c:pt idx="3">
                  <c:v>1.9370772843007811E-2</c:v>
                </c:pt>
                <c:pt idx="4">
                  <c:v>2.831449240764242E-2</c:v>
                </c:pt>
                <c:pt idx="5">
                  <c:v>3.7759202063472753E-2</c:v>
                </c:pt>
                <c:pt idx="6">
                  <c:v>4.2787999840056899E-2</c:v>
                </c:pt>
                <c:pt idx="7">
                  <c:v>4.7978366569772606E-2</c:v>
                </c:pt>
                <c:pt idx="8">
                  <c:v>5.2892396071298559E-2</c:v>
                </c:pt>
              </c:numCache>
            </c:numRef>
          </c:val>
        </c:ser>
        <c:ser>
          <c:idx val="2"/>
          <c:order val="2"/>
          <c:tx>
            <c:strRef>
              <c:f>'Energy Security'!$D$34</c:f>
              <c:strCache>
                <c:ptCount val="1"/>
                <c:pt idx="0">
                  <c:v>Wind</c:v>
                </c:pt>
              </c:strCache>
            </c:strRef>
          </c:tx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Security'!$E$34:$M$34</c:f>
              <c:numCache>
                <c:formatCode>0%;\ \(0%\);\ \-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8.0709337260456628E-4</c:v>
                </c:pt>
                <c:pt idx="3">
                  <c:v>1.4755873428305326E-3</c:v>
                </c:pt>
                <c:pt idx="4">
                  <c:v>2.0290662606002215E-3</c:v>
                </c:pt>
                <c:pt idx="5">
                  <c:v>2.436667068708414E-3</c:v>
                </c:pt>
                <c:pt idx="6">
                  <c:v>2.2097434932031451E-3</c:v>
                </c:pt>
                <c:pt idx="7">
                  <c:v>2.4931597677079927E-3</c:v>
                </c:pt>
                <c:pt idx="8">
                  <c:v>2.6818679698123213E-3</c:v>
                </c:pt>
              </c:numCache>
            </c:numRef>
          </c:val>
        </c:ser>
        <c:ser>
          <c:idx val="3"/>
          <c:order val="3"/>
          <c:tx>
            <c:strRef>
              <c:f>'Energy Security'!#REF!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4"/>
          <c:order val="4"/>
          <c:tx>
            <c:strRef>
              <c:f>'Energy Security'!#REF!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5"/>
          <c:order val="5"/>
          <c:tx>
            <c:strRef>
              <c:f>'Energy Security'!#REF!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6"/>
          <c:order val="6"/>
          <c:tx>
            <c:strRef>
              <c:f>'Energy Security'!$D$35</c:f>
              <c:strCache>
                <c:ptCount val="1"/>
                <c:pt idx="0">
                  <c:v>Hydro</c:v>
                </c:pt>
              </c:strCache>
            </c:strRef>
          </c:tx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Security'!$E$35:$M$35</c:f>
              <c:numCache>
                <c:formatCode>0%;\ \(0%\);\ \-</c:formatCode>
                <c:ptCount val="9"/>
                <c:pt idx="0">
                  <c:v>2.5893686154753867E-3</c:v>
                </c:pt>
                <c:pt idx="1">
                  <c:v>2.4198227925644254E-3</c:v>
                </c:pt>
                <c:pt idx="2">
                  <c:v>3.797182153015769E-3</c:v>
                </c:pt>
                <c:pt idx="3">
                  <c:v>5.7353419943402019E-3</c:v>
                </c:pt>
                <c:pt idx="4">
                  <c:v>6.9476885143572456E-3</c:v>
                </c:pt>
                <c:pt idx="5">
                  <c:v>7.7708752334150512E-3</c:v>
                </c:pt>
                <c:pt idx="6">
                  <c:v>8.4275031988826285E-3</c:v>
                </c:pt>
                <c:pt idx="7">
                  <c:v>8.8454764517700291E-3</c:v>
                </c:pt>
                <c:pt idx="8">
                  <c:v>9.0459832315098136E-3</c:v>
                </c:pt>
              </c:numCache>
            </c:numRef>
          </c:val>
        </c:ser>
        <c:ser>
          <c:idx val="7"/>
          <c:order val="7"/>
          <c:tx>
            <c:strRef>
              <c:f>'Energy Security'!$D$36</c:f>
              <c:strCache>
                <c:ptCount val="1"/>
                <c:pt idx="0">
                  <c:v>Electricity imports</c:v>
                </c:pt>
              </c:strCache>
            </c:strRef>
          </c:tx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Security'!$E$36:$M$36</c:f>
              <c:numCache>
                <c:formatCode>0%;\ \(0%\);\ \-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8"/>
          <c:order val="8"/>
          <c:tx>
            <c:strRef>
              <c:f>'Energy Security'!#REF!</c:f>
              <c:strCache>
                <c:ptCount val="1"/>
                <c:pt idx="0">
                  <c:v>#REF!</c:v>
                </c:pt>
              </c:strCache>
            </c:strRef>
          </c:tx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ser>
          <c:idx val="9"/>
          <c:order val="9"/>
          <c:tx>
            <c:strRef>
              <c:f>'Energy Security'!$D$37</c:f>
              <c:strCache>
                <c:ptCount val="1"/>
                <c:pt idx="0">
                  <c:v>Waste</c:v>
                </c:pt>
              </c:strCache>
            </c:strRef>
          </c:tx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Security'!$E$37:$M$37</c:f>
              <c:numCache>
                <c:formatCode>0%;\ \(0%\);\ \-</c:formatCode>
                <c:ptCount val="9"/>
                <c:pt idx="0">
                  <c:v>1.4516652808511601E-2</c:v>
                </c:pt>
                <c:pt idx="1">
                  <c:v>2.852808805611597E-2</c:v>
                </c:pt>
                <c:pt idx="2">
                  <c:v>4.81501643970896E-2</c:v>
                </c:pt>
                <c:pt idx="3">
                  <c:v>6.2087350818514013E-2</c:v>
                </c:pt>
                <c:pt idx="4">
                  <c:v>6.3463762399922019E-2</c:v>
                </c:pt>
                <c:pt idx="5">
                  <c:v>6.7593568421069006E-2</c:v>
                </c:pt>
                <c:pt idx="6">
                  <c:v>6.7640776925408375E-2</c:v>
                </c:pt>
                <c:pt idx="7">
                  <c:v>6.6904525073645776E-2</c:v>
                </c:pt>
                <c:pt idx="8">
                  <c:v>6.190703179901013E-2</c:v>
                </c:pt>
              </c:numCache>
            </c:numRef>
          </c:val>
        </c:ser>
        <c:ser>
          <c:idx val="10"/>
          <c:order val="10"/>
          <c:tx>
            <c:strRef>
              <c:f>'Energy Security'!$D$38</c:f>
              <c:strCache>
                <c:ptCount val="1"/>
                <c:pt idx="0">
                  <c:v>Agriculture</c:v>
                </c:pt>
              </c:strCache>
            </c:strRef>
          </c:tx>
          <c:spPr>
            <a:ln w="25400">
              <a:noFill/>
            </a:ln>
          </c:spPr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Security'!$E$38:$M$38</c:f>
              <c:numCache>
                <c:formatCode>0%;\ \(0%\);\ \-</c:formatCode>
                <c:ptCount val="9"/>
                <c:pt idx="0">
                  <c:v>0.42171537496513423</c:v>
                </c:pt>
                <c:pt idx="1">
                  <c:v>0.42474350891469226</c:v>
                </c:pt>
                <c:pt idx="2">
                  <c:v>0.42606454240582209</c:v>
                </c:pt>
                <c:pt idx="3">
                  <c:v>0.41978791848193947</c:v>
                </c:pt>
                <c:pt idx="4">
                  <c:v>0.41478930846738599</c:v>
                </c:pt>
                <c:pt idx="5">
                  <c:v>0.4026812941557919</c:v>
                </c:pt>
                <c:pt idx="6">
                  <c:v>0.39363698738077113</c:v>
                </c:pt>
                <c:pt idx="7">
                  <c:v>0.38300113802552188</c:v>
                </c:pt>
                <c:pt idx="8">
                  <c:v>0.37010957270579237</c:v>
                </c:pt>
              </c:numCache>
            </c:numRef>
          </c:val>
        </c:ser>
        <c:ser>
          <c:idx val="11"/>
          <c:order val="11"/>
          <c:tx>
            <c:strRef>
              <c:f>'Energy Security'!$D$39</c:f>
              <c:strCache>
                <c:ptCount val="1"/>
                <c:pt idx="0">
                  <c:v>Biomass imports</c:v>
                </c:pt>
              </c:strCache>
            </c:strRef>
          </c:tx>
          <c:spPr>
            <a:ln w="25400">
              <a:noFill/>
            </a:ln>
          </c:spPr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Security'!$E$39:$M$39</c:f>
              <c:numCache>
                <c:formatCode>0%;\ \(0%\);\ \-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2"/>
          <c:order val="12"/>
          <c:tx>
            <c:strRef>
              <c:f>'Energy Security'!$D$40</c:f>
              <c:strCache>
                <c:ptCount val="1"/>
                <c:pt idx="0">
                  <c:v>Coal reserves</c:v>
                </c:pt>
              </c:strCache>
            </c:strRef>
          </c:tx>
          <c:spPr>
            <a:ln w="25400">
              <a:noFill/>
            </a:ln>
          </c:spPr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Security'!$E$40:$M$40</c:f>
              <c:numCache>
                <c:formatCode>0%;\ \(0%\);\ \-</c:formatCode>
                <c:ptCount val="9"/>
                <c:pt idx="0">
                  <c:v>1.5556121309895597E-3</c:v>
                </c:pt>
                <c:pt idx="1">
                  <c:v>1.4537542737101407E-3</c:v>
                </c:pt>
                <c:pt idx="2">
                  <c:v>1.5722529891707775E-3</c:v>
                </c:pt>
                <c:pt idx="3">
                  <c:v>3.5068905972662663E-3</c:v>
                </c:pt>
                <c:pt idx="4">
                  <c:v>6.2460166136486511E-3</c:v>
                </c:pt>
                <c:pt idx="5">
                  <c:v>8.3555842764913464E-3</c:v>
                </c:pt>
                <c:pt idx="6">
                  <c:v>1.0053236941199405E-2</c:v>
                </c:pt>
                <c:pt idx="7">
                  <c:v>1.1308781797834566E-2</c:v>
                </c:pt>
                <c:pt idx="8">
                  <c:v>1.2140466819006339E-2</c:v>
                </c:pt>
              </c:numCache>
            </c:numRef>
          </c:val>
        </c:ser>
        <c:ser>
          <c:idx val="13"/>
          <c:order val="13"/>
          <c:tx>
            <c:strRef>
              <c:f>'Energy Security'!$D$41</c:f>
              <c:strCache>
                <c:ptCount val="1"/>
                <c:pt idx="0">
                  <c:v>Coal imports</c:v>
                </c:pt>
              </c:strCache>
            </c:strRef>
          </c:tx>
          <c:spPr>
            <a:ln w="25400">
              <a:noFill/>
            </a:ln>
          </c:spPr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Security'!$E$41:$M$41</c:f>
              <c:numCache>
                <c:formatCode>0%;\ \(0%\);\ \-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2.8066202989243155E-3</c:v>
                </c:pt>
                <c:pt idx="3">
                  <c:v>1.9937270534291479E-2</c:v>
                </c:pt>
                <c:pt idx="4">
                  <c:v>4.4573450831305816E-2</c:v>
                </c:pt>
                <c:pt idx="5">
                  <c:v>7.5584254385582333E-2</c:v>
                </c:pt>
                <c:pt idx="6">
                  <c:v>0.10274575429075075</c:v>
                </c:pt>
                <c:pt idx="7">
                  <c:v>0.12337737526006189</c:v>
                </c:pt>
                <c:pt idx="8">
                  <c:v>0.13807677977712024</c:v>
                </c:pt>
              </c:numCache>
            </c:numRef>
          </c:val>
        </c:ser>
        <c:ser>
          <c:idx val="14"/>
          <c:order val="14"/>
          <c:tx>
            <c:strRef>
              <c:f>'Energy Security'!$D$42</c:f>
              <c:strCache>
                <c:ptCount val="1"/>
                <c:pt idx="0">
                  <c:v>Oil reserves</c:v>
                </c:pt>
              </c:strCache>
            </c:strRef>
          </c:tx>
          <c:spPr>
            <a:ln w="25400">
              <a:noFill/>
            </a:ln>
          </c:spPr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Security'!$E$42:$M$42</c:f>
              <c:numCache>
                <c:formatCode>0%;\ \(0%\);\ \-</c:formatCode>
                <c:ptCount val="9"/>
                <c:pt idx="0">
                  <c:v>0.36770674595411434</c:v>
                </c:pt>
                <c:pt idx="1">
                  <c:v>0.34363016509957417</c:v>
                </c:pt>
                <c:pt idx="2">
                  <c:v>0.31753864314997593</c:v>
                </c:pt>
                <c:pt idx="3">
                  <c:v>0.28818542685854598</c:v>
                </c:pt>
                <c:pt idx="4">
                  <c:v>0.26227297660553595</c:v>
                </c:pt>
                <c:pt idx="5">
                  <c:v>0.23449474476812585</c:v>
                </c:pt>
                <c:pt idx="6">
                  <c:v>0.21109290871960026</c:v>
                </c:pt>
                <c:pt idx="7">
                  <c:v>0.18912237250087116</c:v>
                </c:pt>
                <c:pt idx="8">
                  <c:v>0.16826577391055772</c:v>
                </c:pt>
              </c:numCache>
            </c:numRef>
          </c:val>
        </c:ser>
        <c:ser>
          <c:idx val="15"/>
          <c:order val="15"/>
          <c:tx>
            <c:strRef>
              <c:f>'Energy Security'!$D$43</c:f>
              <c:strCache>
                <c:ptCount val="1"/>
                <c:pt idx="0">
                  <c:v>Oil imports</c:v>
                </c:pt>
              </c:strCache>
            </c:strRef>
          </c:tx>
          <c:spPr>
            <a:ln w="25400">
              <a:noFill/>
            </a:ln>
          </c:spPr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Security'!$E$43:$M$43</c:f>
              <c:numCache>
                <c:formatCode>0%;\ \(0%\);\ \-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6"/>
          <c:order val="16"/>
          <c:tx>
            <c:strRef>
              <c:f>'Energy Security'!$D$44</c:f>
              <c:strCache>
                <c:ptCount val="1"/>
                <c:pt idx="0">
                  <c:v>Gas reserves</c:v>
                </c:pt>
              </c:strCache>
            </c:strRef>
          </c:tx>
          <c:spPr>
            <a:ln w="25400">
              <a:noFill/>
            </a:ln>
          </c:spPr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Security'!$E$44:$M$44</c:f>
              <c:numCache>
                <c:formatCode>0%;\ \(0%\);\ \-</c:formatCode>
                <c:ptCount val="9"/>
                <c:pt idx="0">
                  <c:v>0.19190928604528107</c:v>
                </c:pt>
                <c:pt idx="1">
                  <c:v>0.1990078678657157</c:v>
                </c:pt>
                <c:pt idx="2">
                  <c:v>0.18866771040672009</c:v>
                </c:pt>
                <c:pt idx="3">
                  <c:v>0.17561940328822287</c:v>
                </c:pt>
                <c:pt idx="4">
                  <c:v>0.16388396367622526</c:v>
                </c:pt>
                <c:pt idx="5">
                  <c:v>0.15020577395321197</c:v>
                </c:pt>
                <c:pt idx="6">
                  <c:v>0.13857691899595209</c:v>
                </c:pt>
                <c:pt idx="7">
                  <c:v>0.12721016148470896</c:v>
                </c:pt>
                <c:pt idx="8">
                  <c:v>0.11594145812151055</c:v>
                </c:pt>
              </c:numCache>
            </c:numRef>
          </c:val>
        </c:ser>
        <c:ser>
          <c:idx val="17"/>
          <c:order val="17"/>
          <c:tx>
            <c:strRef>
              <c:f>'Energy Security'!$D$45</c:f>
              <c:strCache>
                <c:ptCount val="1"/>
                <c:pt idx="0">
                  <c:v>Gas imports</c:v>
                </c:pt>
              </c:strCache>
            </c:strRef>
          </c:tx>
          <c:spPr>
            <a:ln w="25400">
              <a:noFill/>
            </a:ln>
          </c:spPr>
          <c:cat>
            <c:numRef>
              <c:f>'Energy Security'!$E$31:$M$31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Security'!$E$45:$M$45</c:f>
              <c:numCache>
                <c:formatCode>0%;\ \(0%\);\ \-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4204032"/>
        <c:axId val="134209920"/>
      </c:areaChart>
      <c:catAx>
        <c:axId val="13420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4209920"/>
        <c:crosses val="autoZero"/>
        <c:auto val="1"/>
        <c:lblAlgn val="ctr"/>
        <c:lblOffset val="100"/>
        <c:noMultiLvlLbl val="0"/>
      </c:catAx>
      <c:valAx>
        <c:axId val="134209920"/>
        <c:scaling>
          <c:orientation val="minMax"/>
          <c:max val="1"/>
          <c:min val="0"/>
        </c:scaling>
        <c:delete val="0"/>
        <c:axPos val="l"/>
        <c:majorGridlines/>
        <c:numFmt formatCode="0%;\ \(0%\);\ \-" sourceLinked="1"/>
        <c:majorTickMark val="out"/>
        <c:minorTickMark val="none"/>
        <c:tickLblPos val="nextTo"/>
        <c:crossAx val="134204032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1" l="0.75000000000000089" r="0.75000000000000089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8.7093613298337619E-2"/>
          <c:y val="0.21111111111111122"/>
          <c:w val="0.58790638670166007"/>
          <c:h val="0.67160542432196091"/>
        </c:manualLayout>
      </c:layout>
      <c:lineChart>
        <c:grouping val="standard"/>
        <c:varyColors val="0"/>
        <c:ser>
          <c:idx val="0"/>
          <c:order val="0"/>
          <c:tx>
            <c:strRef>
              <c:f>'Energy Security'!$D$65</c:f>
              <c:strCache>
                <c:ptCount val="1"/>
                <c:pt idx="0">
                  <c:v>Shannon-Weiner Index</c:v>
                </c:pt>
              </c:strCache>
            </c:strRef>
          </c:tx>
          <c:marker>
            <c:symbol val="none"/>
          </c:marker>
          <c:cat>
            <c:numRef>
              <c:f>'Energy Security'!$E$51:$M$51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Security'!$E$65:$M$65</c:f>
              <c:numCache>
                <c:formatCode>#,##0.0_);\(#,##0.0\);"-"_);@</c:formatCode>
                <c:ptCount val="9"/>
                <c:pt idx="0">
                  <c:v>1.1357124568215555</c:v>
                </c:pt>
                <c:pt idx="1">
                  <c:v>1.1775835881198757</c:v>
                </c:pt>
                <c:pt idx="2">
                  <c:v>1.2420356506278409</c:v>
                </c:pt>
                <c:pt idx="3">
                  <c:v>1.3380590860430082</c:v>
                </c:pt>
                <c:pt idx="4">
                  <c:v>1.4048746448526432</c:v>
                </c:pt>
                <c:pt idx="5">
                  <c:v>1.460826371412737</c:v>
                </c:pt>
                <c:pt idx="6">
                  <c:v>1.4852165299241065</c:v>
                </c:pt>
                <c:pt idx="7">
                  <c:v>1.4913895072577308</c:v>
                </c:pt>
                <c:pt idx="8">
                  <c:v>1.4751900999255592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13216"/>
        <c:axId val="133927296"/>
      </c:lineChart>
      <c:catAx>
        <c:axId val="1339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3927296"/>
        <c:crosses val="autoZero"/>
        <c:auto val="1"/>
        <c:lblAlgn val="ctr"/>
        <c:lblOffset val="100"/>
        <c:noMultiLvlLbl val="0"/>
      </c:catAx>
      <c:valAx>
        <c:axId val="133927296"/>
        <c:scaling>
          <c:orientation val="minMax"/>
          <c:max val="2.8899999999999997"/>
          <c:min val="0"/>
        </c:scaling>
        <c:delete val="0"/>
        <c:axPos val="l"/>
        <c:majorGridlines/>
        <c:numFmt formatCode="#,##0.0_);\(#,##0.0\);&quot;-&quot;_);@" sourceLinked="1"/>
        <c:majorTickMark val="out"/>
        <c:minorTickMark val="none"/>
        <c:tickLblPos val="nextTo"/>
        <c:crossAx val="1339132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1" l="0.75000000000000089" r="0.75000000000000089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TWh/yr imported</a:t>
            </a:r>
          </a:p>
        </c:rich>
      </c:tx>
      <c:overlay val="0"/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'Energy Security'!$D$92</c:f>
              <c:strCache>
                <c:ptCount val="1"/>
                <c:pt idx="0">
                  <c:v>Uranium</c:v>
                </c:pt>
              </c:strCache>
            </c:strRef>
          </c:tx>
          <c:cat>
            <c:numRef>
              <c:f>'Energy Security'!$E$91:$M$91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Security'!$E$92:$M$92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21.428000000000004</c:v>
                </c:pt>
                <c:pt idx="4">
                  <c:v>40.713200000000001</c:v>
                </c:pt>
                <c:pt idx="5">
                  <c:v>79.283600000000021</c:v>
                </c:pt>
                <c:pt idx="6">
                  <c:v>152.13880000000003</c:v>
                </c:pt>
                <c:pt idx="7">
                  <c:v>293.56360000000006</c:v>
                </c:pt>
                <c:pt idx="8">
                  <c:v>567.8420000000001</c:v>
                </c:pt>
              </c:numCache>
            </c:numRef>
          </c:val>
        </c:ser>
        <c:ser>
          <c:idx val="1"/>
          <c:order val="1"/>
          <c:tx>
            <c:strRef>
              <c:f>'Energy Security'!$D$93</c:f>
              <c:strCache>
                <c:ptCount val="1"/>
                <c:pt idx="0">
                  <c:v>Electricity</c:v>
                </c:pt>
              </c:strCache>
            </c:strRef>
          </c:tx>
          <c:cat>
            <c:numRef>
              <c:f>'Energy Security'!$E$91:$M$91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Security'!$E$93:$M$93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strRef>
              <c:f>'Energy Security'!$D$94</c:f>
              <c:strCache>
                <c:ptCount val="1"/>
                <c:pt idx="0">
                  <c:v>Bioenergy</c:v>
                </c:pt>
              </c:strCache>
            </c:strRef>
          </c:tx>
          <c:cat>
            <c:numRef>
              <c:f>'Energy Security'!$E$91:$M$91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Security'!$E$94:$M$94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3"/>
          <c:order val="3"/>
          <c:tx>
            <c:strRef>
              <c:f>'Energy Security'!$D$95</c:f>
              <c:strCache>
                <c:ptCount val="1"/>
                <c:pt idx="0">
                  <c:v>Coal</c:v>
                </c:pt>
              </c:strCache>
            </c:strRef>
          </c:tx>
          <c:cat>
            <c:numRef>
              <c:f>'Energy Security'!$E$91:$M$91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Security'!$E$95:$M$95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12.802967336492252</c:v>
                </c:pt>
                <c:pt idx="3">
                  <c:v>99.490481574213163</c:v>
                </c:pt>
                <c:pt idx="4">
                  <c:v>242.6342134525816</c:v>
                </c:pt>
                <c:pt idx="5">
                  <c:v>456.82081828929068</c:v>
                </c:pt>
                <c:pt idx="6">
                  <c:v>684.75114808733497</c:v>
                </c:pt>
                <c:pt idx="7">
                  <c:v>910.97441071750291</c:v>
                </c:pt>
                <c:pt idx="8">
                  <c:v>1137.326775284753</c:v>
                </c:pt>
              </c:numCache>
            </c:numRef>
          </c:val>
        </c:ser>
        <c:ser>
          <c:idx val="4"/>
          <c:order val="4"/>
          <c:tx>
            <c:strRef>
              <c:f>'Energy Security'!$D$96</c:f>
              <c:strCache>
                <c:ptCount val="1"/>
                <c:pt idx="0">
                  <c:v>Oil</c:v>
                </c:pt>
              </c:strCache>
            </c:strRef>
          </c:tx>
          <c:cat>
            <c:numRef>
              <c:f>'Energy Security'!$E$91:$M$91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Security'!$E$96:$M$96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strRef>
              <c:f>'Energy Security'!$D$97</c:f>
              <c:strCache>
                <c:ptCount val="1"/>
                <c:pt idx="0">
                  <c:v>Gas</c:v>
                </c:pt>
              </c:strCache>
            </c:strRef>
          </c:tx>
          <c:cat>
            <c:numRef>
              <c:f>'Energy Security'!$E$91:$M$91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Security'!$E$97:$M$97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3951488"/>
        <c:axId val="133953024"/>
      </c:areaChart>
      <c:catAx>
        <c:axId val="13395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3953024"/>
        <c:crosses val="autoZero"/>
        <c:auto val="1"/>
        <c:lblAlgn val="ctr"/>
        <c:lblOffset val="100"/>
        <c:noMultiLvlLbl val="0"/>
      </c:catAx>
      <c:valAx>
        <c:axId val="13395302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33951488"/>
        <c:crosses val="autoZero"/>
        <c:crossBetween val="midCat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1" l="0.75000000000000089" r="0.75000000000000089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Proportion imported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'Energy Security'!$D$114</c:f>
              <c:strCache>
                <c:ptCount val="1"/>
                <c:pt idx="0">
                  <c:v>Uranium</c:v>
                </c:pt>
              </c:strCache>
            </c:strRef>
          </c:tx>
          <c:marker>
            <c:symbol val="none"/>
          </c:marker>
          <c:cat>
            <c:numRef>
              <c:f>'Energy Security'!$E$91:$M$91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Security'!$E$114:$M$114</c:f>
              <c:numCache>
                <c:formatCode>0%;\ \(0%\);\ \-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'Energy Security'!$D$115</c:f>
              <c:strCache>
                <c:ptCount val="1"/>
                <c:pt idx="0">
                  <c:v>Electricity</c:v>
                </c:pt>
              </c:strCache>
            </c:strRef>
          </c:tx>
          <c:marker>
            <c:symbol val="none"/>
          </c:marker>
          <c:cat>
            <c:numRef>
              <c:f>'Energy Security'!$E$91:$M$91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Security'!$E$115:$M$115</c:f>
              <c:numCache>
                <c:formatCode>0%;\ \(0%\);\ \-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'Energy Security'!$D$116</c:f>
              <c:strCache>
                <c:ptCount val="1"/>
                <c:pt idx="0">
                  <c:v>Bioenergy</c:v>
                </c:pt>
              </c:strCache>
            </c:strRef>
          </c:tx>
          <c:marker>
            <c:symbol val="none"/>
          </c:marker>
          <c:cat>
            <c:numRef>
              <c:f>'Energy Security'!$E$91:$M$91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Security'!$E$116:$M$116</c:f>
              <c:numCache>
                <c:formatCode>0%;\ \(0%\);\ \-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'Energy Security'!$D$117</c:f>
              <c:strCache>
                <c:ptCount val="1"/>
                <c:pt idx="0">
                  <c:v>Coal</c:v>
                </c:pt>
              </c:strCache>
            </c:strRef>
          </c:tx>
          <c:marker>
            <c:symbol val="none"/>
          </c:marker>
          <c:cat>
            <c:numRef>
              <c:f>'Energy Security'!$E$91:$M$91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Security'!$E$117:$M$117</c:f>
              <c:numCache>
                <c:formatCode>0%;\ \(0%\);\ \-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0.64094576715766483</c:v>
                </c:pt>
                <c:pt idx="3">
                  <c:v>0.85041518109403769</c:v>
                </c:pt>
                <c:pt idx="4">
                  <c:v>0.87709401676800181</c:v>
                </c:pt>
                <c:pt idx="5">
                  <c:v>0.90045746561261109</c:v>
                </c:pt>
                <c:pt idx="6">
                  <c:v>0.91087476198677353</c:v>
                </c:pt>
                <c:pt idx="7">
                  <c:v>0.91603604969608454</c:v>
                </c:pt>
                <c:pt idx="8">
                  <c:v>0.91918060612808894</c:v>
                </c:pt>
              </c:numCache>
            </c:numRef>
          </c:val>
          <c:smooth val="1"/>
        </c:ser>
        <c:ser>
          <c:idx val="4"/>
          <c:order val="4"/>
          <c:tx>
            <c:strRef>
              <c:f>'Energy Security'!$D$118</c:f>
              <c:strCache>
                <c:ptCount val="1"/>
                <c:pt idx="0">
                  <c:v>Oil</c:v>
                </c:pt>
              </c:strCache>
            </c:strRef>
          </c:tx>
          <c:marker>
            <c:symbol val="none"/>
          </c:marker>
          <c:cat>
            <c:numRef>
              <c:f>'Energy Security'!$E$91:$M$91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Security'!$E$118:$M$118</c:f>
              <c:numCache>
                <c:formatCode>0%;\ \(0%\);\ \-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1"/>
        </c:ser>
        <c:ser>
          <c:idx val="5"/>
          <c:order val="5"/>
          <c:tx>
            <c:strRef>
              <c:f>'Energy Security'!$D$119</c:f>
              <c:strCache>
                <c:ptCount val="1"/>
                <c:pt idx="0">
                  <c:v>Gas</c:v>
                </c:pt>
              </c:strCache>
            </c:strRef>
          </c:tx>
          <c:marker>
            <c:symbol val="none"/>
          </c:marker>
          <c:cat>
            <c:numRef>
              <c:f>'Energy Security'!$E$91:$M$91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Security'!$E$119:$M$119</c:f>
              <c:numCache>
                <c:formatCode>0%;\ \(0%\);\ \-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1"/>
        </c:ser>
        <c:ser>
          <c:idx val="6"/>
          <c:order val="6"/>
          <c:tx>
            <c:strRef>
              <c:f>'Energy Security'!$D$120</c:f>
              <c:strCache>
                <c:ptCount val="1"/>
                <c:pt idx="0">
                  <c:v>Total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'Energy Security'!$E$91:$M$91</c:f>
              <c:numCache>
                <c:formatCode>General</c:formatCode>
                <c:ptCount val="9"/>
                <c:pt idx="0">
                  <c:v>2010</c:v>
                </c:pt>
                <c:pt idx="1">
                  <c:v>2015</c:v>
                </c:pt>
                <c:pt idx="2">
                  <c:v>2020</c:v>
                </c:pt>
                <c:pt idx="3">
                  <c:v>2025</c:v>
                </c:pt>
                <c:pt idx="4">
                  <c:v>2030</c:v>
                </c:pt>
                <c:pt idx="5">
                  <c:v>2035</c:v>
                </c:pt>
                <c:pt idx="6">
                  <c:v>2040</c:v>
                </c:pt>
                <c:pt idx="7">
                  <c:v>2045</c:v>
                </c:pt>
                <c:pt idx="8">
                  <c:v>2050</c:v>
                </c:pt>
              </c:numCache>
            </c:numRef>
          </c:cat>
          <c:val>
            <c:numRef>
              <c:f>'Energy Security'!$E$120:$M$120</c:f>
              <c:numCache>
                <c:formatCode>0%;\ \(0%\);\ \-</c:formatCode>
                <c:ptCount val="9"/>
                <c:pt idx="0">
                  <c:v>0</c:v>
                </c:pt>
                <c:pt idx="1">
                  <c:v>0</c:v>
                </c:pt>
                <c:pt idx="2">
                  <c:v>8.9219543968473546E-3</c:v>
                </c:pt>
                <c:pt idx="3">
                  <c:v>7.4828623695861463E-2</c:v>
                </c:pt>
                <c:pt idx="4">
                  <c:v>0.14965029018233628</c:v>
                </c:pt>
                <c:pt idx="5">
                  <c:v>0.23316105638922047</c:v>
                </c:pt>
                <c:pt idx="6">
                  <c:v>0.30775409494572342</c:v>
                </c:pt>
                <c:pt idx="7">
                  <c:v>0.37945462598430796</c:v>
                </c:pt>
                <c:pt idx="8">
                  <c:v>0.45553504745461604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37728"/>
        <c:axId val="134139264"/>
      </c:lineChart>
      <c:catAx>
        <c:axId val="1341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34139264"/>
        <c:crosses val="autoZero"/>
        <c:auto val="1"/>
        <c:lblAlgn val="ctr"/>
        <c:lblOffset val="100"/>
        <c:noMultiLvlLbl val="0"/>
      </c:catAx>
      <c:valAx>
        <c:axId val="134139264"/>
        <c:scaling>
          <c:orientation val="minMax"/>
          <c:max val="1"/>
          <c:min val="-0.1"/>
        </c:scaling>
        <c:delete val="0"/>
        <c:axPos val="l"/>
        <c:majorGridlines/>
        <c:numFmt formatCode="0%;\ \(0%\);\ \-" sourceLinked="1"/>
        <c:majorTickMark val="out"/>
        <c:minorTickMark val="none"/>
        <c:tickLblPos val="nextTo"/>
        <c:crossAx val="1341377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1" l="0.75000000000000089" r="0.75000000000000089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'Air Quality'!$D$6</c:f>
              <c:strCache>
                <c:ptCount val="1"/>
                <c:pt idx="0">
                  <c:v>Low</c:v>
                </c:pt>
              </c:strCache>
            </c:strRef>
          </c:tx>
          <c:invertIfNegative val="0"/>
          <c:cat>
            <c:strRef>
              <c:f>'Air Quality'!$C$7:$C$8</c:f>
              <c:strCache>
                <c:ptCount val="2"/>
                <c:pt idx="0">
                  <c:v>2010</c:v>
                </c:pt>
                <c:pt idx="1">
                  <c:v>2050 - Your pathway</c:v>
                </c:pt>
              </c:strCache>
            </c:strRef>
          </c:cat>
          <c:val>
            <c:numRef>
              <c:f>'Air Quality'!$D$7:$D$8</c:f>
              <c:numCache>
                <c:formatCode>0</c:formatCode>
                <c:ptCount val="2"/>
                <c:pt idx="0" formatCode="General">
                  <c:v>100</c:v>
                </c:pt>
                <c:pt idx="1">
                  <c:v>6.6120541275657638</c:v>
                </c:pt>
              </c:numCache>
            </c:numRef>
          </c:val>
        </c:ser>
        <c:ser>
          <c:idx val="1"/>
          <c:order val="1"/>
          <c:tx>
            <c:strRef>
              <c:f>'Air Quality'!$E$6</c:f>
              <c:strCache>
                <c:ptCount val="1"/>
                <c:pt idx="0">
                  <c:v>High</c:v>
                </c:pt>
              </c:strCache>
            </c:strRef>
          </c:tx>
          <c:spPr>
            <a:pattFill prst="pct25">
              <a:fgClr>
                <a:schemeClr val="tx2"/>
              </a:fgClr>
              <a:bgClr>
                <a:prstClr val="white"/>
              </a:bgClr>
            </a:pattFill>
          </c:spPr>
          <c:invertIfNegative val="0"/>
          <c:cat>
            <c:strRef>
              <c:f>'Air Quality'!$C$7:$C$8</c:f>
              <c:strCache>
                <c:ptCount val="2"/>
                <c:pt idx="0">
                  <c:v>2010</c:v>
                </c:pt>
                <c:pt idx="1">
                  <c:v>2050 - Your pathway</c:v>
                </c:pt>
              </c:strCache>
            </c:strRef>
          </c:cat>
          <c:val>
            <c:numRef>
              <c:f>'Air Quality'!$E$7:$E$8</c:f>
              <c:numCache>
                <c:formatCode>0</c:formatCode>
                <c:ptCount val="2"/>
                <c:pt idx="1">
                  <c:v>6.3253190683899989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3748608"/>
        <c:axId val="133750144"/>
      </c:barChart>
      <c:catAx>
        <c:axId val="133748608"/>
        <c:scaling>
          <c:orientation val="maxMin"/>
        </c:scaling>
        <c:delete val="0"/>
        <c:axPos val="l"/>
        <c:majorTickMark val="out"/>
        <c:minorTickMark val="none"/>
        <c:tickLblPos val="nextTo"/>
        <c:crossAx val="133750144"/>
        <c:crosses val="autoZero"/>
        <c:auto val="1"/>
        <c:lblAlgn val="ctr"/>
        <c:lblOffset val="100"/>
        <c:noMultiLvlLbl val="0"/>
      </c:catAx>
      <c:valAx>
        <c:axId val="133750144"/>
        <c:scaling>
          <c:orientation val="minMax"/>
        </c:scaling>
        <c:delete val="0"/>
        <c:axPos val="t"/>
        <c:majorGridlines/>
        <c:numFmt formatCode="General" sourceLinked="1"/>
        <c:majorTickMark val="out"/>
        <c:minorTickMark val="none"/>
        <c:tickLblPos val="nextTo"/>
        <c:crossAx val="1337486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000000000000089" r="0.75000000000000089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34636</xdr:colOff>
      <xdr:row>27</xdr:row>
      <xdr:rowOff>49950</xdr:rowOff>
    </xdr:from>
    <xdr:to>
      <xdr:col>40</xdr:col>
      <xdr:colOff>519545</xdr:colOff>
      <xdr:row>40</xdr:row>
      <xdr:rowOff>36601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30</xdr:col>
      <xdr:colOff>25400</xdr:colOff>
      <xdr:row>3</xdr:row>
      <xdr:rowOff>0</xdr:rowOff>
    </xdr:from>
    <xdr:to>
      <xdr:col>41</xdr:col>
      <xdr:colOff>25400</xdr:colOff>
      <xdr:row>24</xdr:row>
      <xdr:rowOff>158099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69273</xdr:colOff>
      <xdr:row>43</xdr:row>
      <xdr:rowOff>173181</xdr:rowOff>
    </xdr:from>
    <xdr:to>
      <xdr:col>40</xdr:col>
      <xdr:colOff>615830</xdr:colOff>
      <xdr:row>58</xdr:row>
      <xdr:rowOff>173180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42</xdr:col>
      <xdr:colOff>242453</xdr:colOff>
      <xdr:row>3</xdr:row>
      <xdr:rowOff>69273</xdr:rowOff>
    </xdr:from>
    <xdr:to>
      <xdr:col>52</xdr:col>
      <xdr:colOff>492847</xdr:colOff>
      <xdr:row>30</xdr:row>
      <xdr:rowOff>51955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43</xdr:col>
      <xdr:colOff>421984</xdr:colOff>
      <xdr:row>15</xdr:row>
      <xdr:rowOff>177991</xdr:rowOff>
    </xdr:from>
    <xdr:ext cx="663771" cy="311496"/>
    <xdr:sp macro="" textlink="">
      <xdr:nvSpPr>
        <xdr:cNvPr id="6" name="TextBox 5"/>
        <xdr:cNvSpPr txBox="1"/>
      </xdr:nvSpPr>
      <xdr:spPr>
        <a:xfrm>
          <a:off x="18848529" y="3936036"/>
          <a:ext cx="663771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r>
            <a:rPr lang="en-GB" sz="1400" b="1">
              <a:solidFill>
                <a:schemeClr val="bg1"/>
              </a:solidFill>
              <a:latin typeface="+mj-lt"/>
            </a:rPr>
            <a:t>Target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215900</xdr:colOff>
      <xdr:row>31</xdr:row>
      <xdr:rowOff>6350</xdr:rowOff>
    </xdr:from>
    <xdr:to>
      <xdr:col>18</xdr:col>
      <xdr:colOff>660400</xdr:colOff>
      <xdr:row>45</xdr:row>
      <xdr:rowOff>139700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88900</xdr:colOff>
      <xdr:row>50</xdr:row>
      <xdr:rowOff>69850</xdr:rowOff>
    </xdr:from>
    <xdr:to>
      <xdr:col>18</xdr:col>
      <xdr:colOff>533400</xdr:colOff>
      <xdr:row>63</xdr:row>
      <xdr:rowOff>6350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292100</xdr:colOff>
      <xdr:row>85</xdr:row>
      <xdr:rowOff>146050</xdr:rowOff>
    </xdr:from>
    <xdr:to>
      <xdr:col>18</xdr:col>
      <xdr:colOff>736600</xdr:colOff>
      <xdr:row>102</xdr:row>
      <xdr:rowOff>31750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266700</xdr:colOff>
      <xdr:row>103</xdr:row>
      <xdr:rowOff>158750</xdr:rowOff>
    </xdr:from>
    <xdr:to>
      <xdr:col>18</xdr:col>
      <xdr:colOff>711200</xdr:colOff>
      <xdr:row>120</xdr:row>
      <xdr:rowOff>95250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25400</xdr:colOff>
      <xdr:row>5</xdr:row>
      <xdr:rowOff>19050</xdr:rowOff>
    </xdr:from>
    <xdr:to>
      <xdr:col>9</xdr:col>
      <xdr:colOff>381000</xdr:colOff>
      <xdr:row>26</xdr:row>
      <xdr:rowOff>50800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266697</xdr:colOff>
      <xdr:row>14</xdr:row>
      <xdr:rowOff>84286</xdr:rowOff>
    </xdr:from>
    <xdr:to>
      <xdr:col>1</xdr:col>
      <xdr:colOff>228597</xdr:colOff>
      <xdr:row>21</xdr:row>
      <xdr:rowOff>27136</xdr:rowOff>
    </xdr:to>
    <xdr:sp macro="" textlink="">
      <xdr:nvSpPr>
        <xdr:cNvPr id="2" name="Left Brace 1"/>
        <xdr:cNvSpPr/>
      </xdr:nvSpPr>
      <xdr:spPr>
        <a:xfrm>
          <a:off x="266697" y="2846536"/>
          <a:ext cx="352425" cy="117157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0</xdr:col>
      <xdr:colOff>27133</xdr:colOff>
      <xdr:row>12</xdr:row>
      <xdr:rowOff>190501</xdr:rowOff>
    </xdr:from>
    <xdr:ext cx="257699" cy="1778820"/>
    <xdr:sp macro="" textlink="">
      <xdr:nvSpPr>
        <xdr:cNvPr id="3" name="TextBox 2"/>
        <xdr:cNvSpPr txBox="1"/>
      </xdr:nvSpPr>
      <xdr:spPr>
        <a:xfrm rot="16200000">
          <a:off x="-733427" y="3265636"/>
          <a:ext cx="1778820" cy="2576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GB" sz="1100"/>
            <a:t>(i) industry</a:t>
          </a:r>
          <a:r>
            <a:rPr lang="en-GB" sz="1100" baseline="0"/>
            <a:t> output growth</a:t>
          </a:r>
          <a:endParaRPr lang="en-GB" sz="1100"/>
        </a:p>
      </xdr:txBody>
    </xdr:sp>
    <xdr:clientData/>
  </xdr:oneCellAnchor>
  <xdr:twoCellAnchor>
    <xdr:from>
      <xdr:col>0</xdr:col>
      <xdr:colOff>249086</xdr:colOff>
      <xdr:row>22</xdr:row>
      <xdr:rowOff>101896</xdr:rowOff>
    </xdr:from>
    <xdr:to>
      <xdr:col>1</xdr:col>
      <xdr:colOff>210986</xdr:colOff>
      <xdr:row>54</xdr:row>
      <xdr:rowOff>36661</xdr:rowOff>
    </xdr:to>
    <xdr:sp macro="" textlink="">
      <xdr:nvSpPr>
        <xdr:cNvPr id="4" name="Left Brace 3"/>
        <xdr:cNvSpPr/>
      </xdr:nvSpPr>
      <xdr:spPr>
        <a:xfrm>
          <a:off x="249086" y="4254796"/>
          <a:ext cx="352425" cy="539259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0</xdr:col>
      <xdr:colOff>1</xdr:colOff>
      <xdr:row>34</xdr:row>
      <xdr:rowOff>20336</xdr:rowOff>
    </xdr:from>
    <xdr:ext cx="257699" cy="1392369"/>
    <xdr:sp macro="" textlink="">
      <xdr:nvSpPr>
        <xdr:cNvPr id="5" name="TextBox 4"/>
        <xdr:cNvSpPr txBox="1"/>
      </xdr:nvSpPr>
      <xdr:spPr>
        <a:xfrm rot="16200000">
          <a:off x="-567334" y="6759871"/>
          <a:ext cx="1392369" cy="2576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GB" sz="1100"/>
            <a:t>(ii) Energy intensity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LECTRICITY/Documents/IMAM/2050%20Calculator/Excel%20versions/UK_Excel_Model/mode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1PDRV01\C\C\WINNT\Profiles\agreenwa\LOCALS~1\Temp\TRIM\TEMP\CONTEXT.3840\110208%20-%20CCS%20add%20-%20costs%20AG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1PDRV01\C\C\Application%20Data\Desktop\Copy%20of%20D11%20669823%20%20070311%20March%20Calculator%202011%20-%20COSTS%20-%20Gas%20distribution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1PDRV01\C\C\WINNT\Profiles\tcounsel\LOCALS~1\Temp\TRIM\TEMP\CONTEXT.4116\110208%20-%20CCS%20add%20-%20costs%20AG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1PDRV01\C\C\WINNT\Profiles\tcounsel\Local%20Settings\Temporary%20Internet%20Files\Content.Outlook\XNG4HC4C\2050%20Calculator%20-%20Imported%20fuel%20cost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1PDRV01\C\C\Application%20Data\Desktop\070311%20March%20Calculator%202011%20-%20COSTS%20-%20Decmial%20points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aarbib/Desktop/model_Ima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aaarbib/Desktop/model_Balancing_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1PDRV01\C\C\Application%20Data\Desktop\070311%20March%20Calculator%202011%20-%20COSTS%20-%20UK%20Biocrops%20v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1PDRV01\C\C\Application%20Data\Desktop\Copy%20of%20D11%20669823%20%20070311%20March%20Calculator%202011%20-%20Bioenergy%20Import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1PDRV01\C\C\Application%20Data\Tower%20Software\Offline%20Records\Offline%20Records%20(M1)\2050%20~%20-%20STRATEGIC%20PATHWAYS%20ANALYSIS%20(TO%202050)(2)\110208%20-%20CCS%20add%20-%20costs%20AG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1PDRV01\C\C\Application%20Data\Desktop\Andrew%20industry%20figur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1PDRV01\C\C\Personal\My%20Documents\offline%20matrix%20stuff\D11%20669823%20%20070311%20March%20Calculator%202011%20-%20COSTS%20copy%20and%20pas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ntrol"/>
      <sheetName val="Preferences"/>
      <sheetName val="Intermediate output"/>
      <sheetName val="Energy"/>
      <sheetName val="Output - Emissions"/>
      <sheetName val="GHG"/>
      <sheetName val="Electricity"/>
      <sheetName val="Security"/>
      <sheetName val="Land"/>
      <sheetName val="Flows"/>
      <sheetName val="Air Quality"/>
      <sheetName val="Costs per capita"/>
      <sheetName val="Costs"/>
      <sheetName val="Conversions"/>
      <sheetName val="Global assumptions"/>
      <sheetName val="Constants"/>
      <sheetName val="Structure of the model"/>
      <sheetName val="I.a"/>
      <sheetName val="I.b"/>
      <sheetName val="II.a"/>
      <sheetName val="III.a.1"/>
      <sheetName val="III.a.2"/>
      <sheetName val="III.b"/>
      <sheetName val="III.c"/>
      <sheetName val="III.d"/>
      <sheetName val="IV.a"/>
      <sheetName val="IV.b"/>
      <sheetName val="IV.c"/>
      <sheetName val="V.a"/>
      <sheetName val="V.b"/>
      <sheetName val="VI.a"/>
      <sheetName val="VI.b"/>
      <sheetName val="VI.c"/>
      <sheetName val="VII.a"/>
      <sheetName val="VII.b"/>
      <sheetName val="VII.c"/>
      <sheetName val="VIII.a"/>
      <sheetName val="IX.a"/>
      <sheetName val="IX.c"/>
      <sheetName val="X.a"/>
      <sheetName val="X.b"/>
      <sheetName val="XI.a"/>
      <sheetName val="XII.a"/>
      <sheetName val="XII.b"/>
      <sheetName val="XII.c"/>
      <sheetName val="XII.e"/>
      <sheetName val="XIV.a"/>
      <sheetName val="XV.a"/>
      <sheetName val="XV.b"/>
      <sheetName val="XVI.a"/>
      <sheetName val="XVI.b"/>
      <sheetName val="XVII.a"/>
      <sheetName val="XVIII.a"/>
      <sheetName val="2007 (Actual, frozen)"/>
      <sheetName val="2007 (Consistent)"/>
      <sheetName val="2007"/>
      <sheetName val="2010"/>
      <sheetName val="2015"/>
      <sheetName val="2020"/>
      <sheetName val="2025"/>
      <sheetName val="2030"/>
      <sheetName val="2035"/>
      <sheetName val="2040"/>
      <sheetName val="2045"/>
      <sheetName val="2050"/>
      <sheetName val="DUKES 09 (1.2)"/>
      <sheetName val="DUKES 09 (1.9)"/>
      <sheetName val="DUKES 09 (2.5)"/>
      <sheetName val="DUKES 09 (5.1)"/>
      <sheetName val="DUKES 09 (5.6)"/>
      <sheetName val="DUKES 09 (7.2)"/>
      <sheetName val="DUKES 09 (7.4)"/>
      <sheetName val="DUKES 09 (A.1)"/>
      <sheetName val="DECC Energy Cons. (1.14)"/>
      <sheetName val="DECC Energy Cons. (4.1)"/>
      <sheetName val="model"/>
    </sheetNames>
    <sheetDataSet>
      <sheetData sheetId="0"/>
      <sheetData sheetId="1">
        <row r="5">
          <cell r="E5">
            <v>1</v>
          </cell>
        </row>
      </sheetData>
      <sheetData sheetId="2">
        <row r="3">
          <cell r="C3" t="str">
            <v>TWh</v>
          </cell>
        </row>
      </sheetData>
      <sheetData sheetId="3">
        <row r="132">
          <cell r="AY132">
            <v>77.371867698868485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 t="str">
            <v>PJ</v>
          </cell>
        </row>
      </sheetData>
      <sheetData sheetId="15">
        <row r="20">
          <cell r="D20">
            <v>100</v>
          </cell>
        </row>
      </sheetData>
      <sheetData sheetId="16">
        <row r="8">
          <cell r="C8">
            <v>7.2500000000000004E-9</v>
          </cell>
        </row>
      </sheetData>
      <sheetData sheetId="17"/>
      <sheetData sheetId="18">
        <row r="89">
          <cell r="F89">
            <v>2</v>
          </cell>
        </row>
      </sheetData>
      <sheetData sheetId="19">
        <row r="87">
          <cell r="F87">
            <v>1.2</v>
          </cell>
        </row>
      </sheetData>
      <sheetData sheetId="20">
        <row r="71">
          <cell r="F71">
            <v>3</v>
          </cell>
        </row>
      </sheetData>
      <sheetData sheetId="21">
        <row r="47">
          <cell r="F47">
            <v>2.5000000000000001E-3</v>
          </cell>
        </row>
      </sheetData>
      <sheetData sheetId="22">
        <row r="53">
          <cell r="F53">
            <v>5.7999999999999996E-3</v>
          </cell>
        </row>
      </sheetData>
      <sheetData sheetId="23">
        <row r="39">
          <cell r="F39">
            <v>0.1</v>
          </cell>
        </row>
      </sheetData>
      <sheetData sheetId="24">
        <row r="77">
          <cell r="F77">
            <v>1.5E-3</v>
          </cell>
        </row>
      </sheetData>
      <sheetData sheetId="25">
        <row r="36">
          <cell r="F36">
            <v>0.01</v>
          </cell>
        </row>
      </sheetData>
      <sheetData sheetId="26">
        <row r="38">
          <cell r="E38">
            <v>2.4999999999999998E-6</v>
          </cell>
        </row>
      </sheetData>
      <sheetData sheetId="27">
        <row r="39">
          <cell r="E39">
            <v>1.1000000000000001E-7</v>
          </cell>
        </row>
      </sheetData>
      <sheetData sheetId="28">
        <row r="36">
          <cell r="F36">
            <v>4.9999999999999996E-6</v>
          </cell>
        </row>
      </sheetData>
      <sheetData sheetId="29">
        <row r="84">
          <cell r="F84">
            <v>1</v>
          </cell>
        </row>
      </sheetData>
      <sheetData sheetId="30"/>
      <sheetData sheetId="31"/>
      <sheetData sheetId="32">
        <row r="188">
          <cell r="E188">
            <v>0.25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Control"/>
      <sheetName val="Glossary"/>
      <sheetName val="Preferences"/>
      <sheetName val="CHANGELOG"/>
      <sheetName val="Intermediate output"/>
      <sheetName val="Costs"/>
      <sheetName val="Global cost assumptions"/>
      <sheetName val="All vectors"/>
      <sheetName val="Conversions"/>
      <sheetName val="Global assumptions"/>
      <sheetName val="Constants"/>
      <sheetName val="Combustion Emissions Factors"/>
      <sheetName val="{Workstreams}"/>
      <sheetName val="{Modules}"/>
      <sheetName val="{Energy vectors}"/>
      <sheetName val="{Emissions}"/>
      <sheetName val="I.a"/>
      <sheetName val="I.b"/>
      <sheetName val="II.a"/>
      <sheetName val="III.a.1"/>
      <sheetName val="III.a.2"/>
      <sheetName val="III.c"/>
      <sheetName val="III.b"/>
      <sheetName val="III.d"/>
      <sheetName val="IV.a"/>
      <sheetName val="IV.b"/>
      <sheetName val="IV.c"/>
      <sheetName val="V.a"/>
      <sheetName val="V.b"/>
      <sheetName val="VI.a"/>
      <sheetName val="VI.b"/>
      <sheetName val="VI.c"/>
      <sheetName val="VII.a"/>
      <sheetName val="VII.b"/>
      <sheetName val="VII.c"/>
      <sheetName val="VII.c (1 day)"/>
      <sheetName val="VIII.a"/>
      <sheetName val="IX.a"/>
      <sheetName val="IX.c"/>
      <sheetName val="X.a"/>
      <sheetName val="X.b"/>
      <sheetName val="XI.a"/>
      <sheetName val="XII.a"/>
      <sheetName val="XII.b"/>
      <sheetName val="XII.c"/>
      <sheetName val="XII.e"/>
      <sheetName val="XIII.a"/>
      <sheetName val="XIV.a"/>
      <sheetName val="XV.a"/>
      <sheetName val="XV.b"/>
      <sheetName val="XVI.a"/>
      <sheetName val="XVII.a"/>
      <sheetName val="2007 (Actual, frozen)"/>
      <sheetName val="2007 (Consistent)"/>
      <sheetName val="2007"/>
      <sheetName val="2010"/>
      <sheetName val="2015"/>
      <sheetName val="2020"/>
      <sheetName val="2025"/>
      <sheetName val="2030"/>
      <sheetName val="2035"/>
      <sheetName val="2040"/>
      <sheetName val="2045"/>
      <sheetName val="2050"/>
      <sheetName val="DUKES 09 (1.2)"/>
      <sheetName val="DUKES 09 (1.9)"/>
      <sheetName val="DUKES 09 (2.5)"/>
      <sheetName val="DUKES 09 (5.1)"/>
      <sheetName val="DUKES 09 (5.6)"/>
      <sheetName val="DUKES 09 (7.2)"/>
      <sheetName val="DUKES 09 (7.4)"/>
      <sheetName val="DUKES 09 (A.1)"/>
      <sheetName val="DECC Energy Cons. (1.14)"/>
      <sheetName val="DECC Energy Cons. (4.1)"/>
      <sheetName val="110208 - CCS add - costs AG"/>
      <sheetName val="\WINNT\Profiles\agreenwa\LOCALS"/>
      <sheetName val="110208 - CCS add - costs AG.xls"/>
      <sheetName val="\C\WINNT\Profiles\agreenwa\LOC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CHANGELOG"/>
      <sheetName val="Glossary"/>
      <sheetName val="Control"/>
      <sheetName val="Preferences"/>
      <sheetName val="Cost Charts"/>
      <sheetName val="Costs"/>
      <sheetName val="Global cost assumptions"/>
      <sheetName val="Intermediate output"/>
      <sheetName val="Conversions"/>
      <sheetName val="Global assumptions"/>
      <sheetName val="Constants"/>
      <sheetName val="Combustion Emissions Factors"/>
      <sheetName val="{Workstreams}"/>
      <sheetName val="{Modules}"/>
      <sheetName val="{Energy vectors}"/>
      <sheetName val="{Emissions}"/>
      <sheetName val="I.a"/>
      <sheetName val="I.b"/>
      <sheetName val="II.a"/>
      <sheetName val="III.a.1"/>
      <sheetName val="III.a.2"/>
      <sheetName val="III.b"/>
      <sheetName val="III.c"/>
      <sheetName val="IV.a"/>
      <sheetName val="III.d"/>
      <sheetName val="IV.b"/>
      <sheetName val="IV.c"/>
      <sheetName val="V.a"/>
      <sheetName val="V.b"/>
      <sheetName val="VI.a"/>
      <sheetName val="VI.b"/>
      <sheetName val="VI.c"/>
      <sheetName val="VII.a"/>
      <sheetName val="VII.b"/>
      <sheetName val="VII.c"/>
      <sheetName val="VII.c (1 day)"/>
      <sheetName val="VIII.a"/>
      <sheetName val="IX.a"/>
      <sheetName val="IX.c"/>
      <sheetName val="X.a"/>
      <sheetName val="XI.a"/>
      <sheetName val="X.b"/>
      <sheetName val="XII.a"/>
      <sheetName val="XII.b"/>
      <sheetName val="XII.c"/>
      <sheetName val="XII.e"/>
      <sheetName val="XIII.a"/>
      <sheetName val="XIV.a"/>
      <sheetName val="XV.a"/>
      <sheetName val="XV.b"/>
      <sheetName val="XVI.a"/>
      <sheetName val="XVI.b"/>
      <sheetName val="XVII.a"/>
      <sheetName val="2007 (Actual, frozen)"/>
      <sheetName val="2007 (Consistent)"/>
      <sheetName val="2007"/>
      <sheetName val="2010"/>
      <sheetName val="2015"/>
      <sheetName val="2020"/>
      <sheetName val="2025"/>
      <sheetName val="2030"/>
      <sheetName val="2035"/>
      <sheetName val="2040"/>
      <sheetName val="2045"/>
      <sheetName val="2050"/>
      <sheetName val="DUKES 09 (1.2)"/>
      <sheetName val="DUKES 09 (1.9)"/>
      <sheetName val="DUKES 09 (2.5)"/>
      <sheetName val="DUKES 09 (5.1)"/>
      <sheetName val="DUKES 09 (5.6)"/>
      <sheetName val="DUKES 09 (7.2)"/>
      <sheetName val="DUKES 09 (7.4)"/>
      <sheetName val="DUKES 09 (A.1)"/>
      <sheetName val="DECC Energy Cons. (1.14)"/>
      <sheetName val="DECC Energy Cons. (4.1)"/>
      <sheetName val="Copy of D11 669823  070311 Marc"/>
      <sheetName val="\Application Data\Desktop\Copy "/>
      <sheetName val="\C\Application Data\Desktop\Co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41">
          <cell r="W141">
            <v>1047.089858423868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Control"/>
      <sheetName val="Glossary"/>
      <sheetName val="Preferences"/>
      <sheetName val="CHANGELOG"/>
      <sheetName val="Intermediate output"/>
      <sheetName val="Costs"/>
      <sheetName val="Global cost assumptions"/>
      <sheetName val="All vectors"/>
      <sheetName val="Conversions"/>
      <sheetName val="Global assumptions"/>
      <sheetName val="Constants"/>
      <sheetName val="Combustion Emissions Factors"/>
      <sheetName val="{Workstreams}"/>
      <sheetName val="{Modules}"/>
      <sheetName val="{Energy vectors}"/>
      <sheetName val="{Emissions}"/>
      <sheetName val="I.a"/>
      <sheetName val="I.b"/>
      <sheetName val="II.a"/>
      <sheetName val="III.a.1"/>
      <sheetName val="III.a.2"/>
      <sheetName val="III.c"/>
      <sheetName val="III.b"/>
      <sheetName val="III.d"/>
      <sheetName val="IV.a"/>
      <sheetName val="IV.b"/>
      <sheetName val="IV.c"/>
      <sheetName val="V.a"/>
      <sheetName val="V.b"/>
      <sheetName val="VI.a"/>
      <sheetName val="VI.b"/>
      <sheetName val="VI.c"/>
      <sheetName val="VII.a"/>
      <sheetName val="VII.b"/>
      <sheetName val="VII.c"/>
      <sheetName val="VII.c (1 day)"/>
      <sheetName val="VIII.a"/>
      <sheetName val="IX.a"/>
      <sheetName val="IX.c"/>
      <sheetName val="X.a"/>
      <sheetName val="X.b"/>
      <sheetName val="XI.a"/>
      <sheetName val="XII.a"/>
      <sheetName val="XII.b"/>
      <sheetName val="XII.c"/>
      <sheetName val="XII.e"/>
      <sheetName val="XIII.a"/>
      <sheetName val="XIV.a"/>
      <sheetName val="XV.a"/>
      <sheetName val="XV.b"/>
      <sheetName val="XVI.a"/>
      <sheetName val="XVII.a"/>
      <sheetName val="2007 (Actual, frozen)"/>
      <sheetName val="2007 (Consistent)"/>
      <sheetName val="2007"/>
      <sheetName val="2010"/>
      <sheetName val="2015"/>
      <sheetName val="2020"/>
      <sheetName val="2025"/>
      <sheetName val="2030"/>
      <sheetName val="2035"/>
      <sheetName val="2040"/>
      <sheetName val="2045"/>
      <sheetName val="2050"/>
      <sheetName val="DUKES 09 (1.2)"/>
      <sheetName val="DUKES 09 (1.9)"/>
      <sheetName val="DUKES 09 (2.5)"/>
      <sheetName val="DUKES 09 (5.1)"/>
      <sheetName val="DUKES 09 (5.6)"/>
      <sheetName val="DUKES 09 (7.2)"/>
      <sheetName val="DUKES 09 (7.4)"/>
      <sheetName val="DUKES 09 (A.1)"/>
      <sheetName val="DECC Energy Cons. (1.14)"/>
      <sheetName val="DECC Energy Cons. (4.1)"/>
      <sheetName val="110208 - CCS add - costs AG"/>
      <sheetName val="\WINNT\Profiles\tcounsel\LOCALS"/>
      <sheetName val="110208 - CCS add - costs AG.xls"/>
      <sheetName val="\C\WINNT\Profiles\tcounsel\LOC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Control"/>
      <sheetName val="Glossary"/>
      <sheetName val="Preferences"/>
      <sheetName val="CHANGELOG"/>
      <sheetName val="All vectors"/>
      <sheetName val="Intermediate output"/>
      <sheetName val="Conversions"/>
      <sheetName val="Global assumptions"/>
      <sheetName val="Constants"/>
      <sheetName val="Combustion Emissions Factors"/>
      <sheetName val="{Workstreams}"/>
      <sheetName val="{Modules}"/>
      <sheetName val="{Energy vectors}"/>
      <sheetName val="{Emissions}"/>
      <sheetName val="I.a"/>
      <sheetName val="I.b"/>
      <sheetName val="II.a"/>
      <sheetName val="III.a.1"/>
      <sheetName val="III.a.2"/>
      <sheetName val="III.c"/>
      <sheetName val="III.b"/>
      <sheetName val="III.d"/>
      <sheetName val="IV.a"/>
      <sheetName val="IV.b"/>
      <sheetName val="IV.c"/>
      <sheetName val="V.a"/>
      <sheetName val="V.b"/>
      <sheetName val="VI.a"/>
      <sheetName val="VI.b"/>
      <sheetName val="VI.c"/>
      <sheetName val="VII.a"/>
      <sheetName val="VII.b"/>
      <sheetName val="VII.c"/>
      <sheetName val="VII.c (1 day)"/>
      <sheetName val="VIII.a"/>
      <sheetName val="IX.a"/>
      <sheetName val="IX.c"/>
      <sheetName val="X.a"/>
      <sheetName val="X.b"/>
      <sheetName val="XI.a"/>
      <sheetName val="XII.a"/>
      <sheetName val="XII.b"/>
      <sheetName val="XII.c"/>
      <sheetName val="XII.e"/>
      <sheetName val="XIII.a"/>
      <sheetName val="XIV.a"/>
      <sheetName val="XV.a"/>
      <sheetName val="XV.b"/>
      <sheetName val="XVI.a"/>
      <sheetName val="XVI.b"/>
      <sheetName val="XVII.a"/>
      <sheetName val="2007 (Actual, frozen)"/>
      <sheetName val="2007 (Consistent)"/>
      <sheetName val="2007"/>
      <sheetName val="2010"/>
      <sheetName val="2015"/>
      <sheetName val="2020"/>
      <sheetName val="2025"/>
      <sheetName val="2030"/>
      <sheetName val="2035"/>
      <sheetName val="2040"/>
      <sheetName val="2045"/>
      <sheetName val="2050"/>
      <sheetName val="DUKES 09 (1.2)"/>
      <sheetName val="DUKES 09 (1.9)"/>
      <sheetName val="DUKES 09 (2.5)"/>
      <sheetName val="DUKES 09 (5.1)"/>
      <sheetName val="DUKES 09 (5.6)"/>
      <sheetName val="DUKES 09 (7.2)"/>
      <sheetName val="DUKES 09 (7.4)"/>
      <sheetName val="DUKES 09 (A.1)"/>
      <sheetName val="DECC Energy Cons. (1.14)"/>
      <sheetName val="DECC Energy Cons. (4.1)"/>
      <sheetName val="2050 Calculator - Imported fuel"/>
      <sheetName val="\WINNT\Profiles\tcounsel\Local "/>
      <sheetName val="\C\WINNT\Profiles\tcounsel\Loca"/>
    </sheetNames>
    <sheetDataSet>
      <sheetData sheetId="0" refreshError="1"/>
      <sheetData sheetId="1" refreshError="1"/>
      <sheetData sheetId="2">
        <row r="5">
          <cell r="AB5">
            <v>2</v>
          </cell>
        </row>
      </sheetData>
      <sheetData sheetId="3" refreshError="1"/>
      <sheetData sheetId="4">
        <row r="3">
          <cell r="C3" t="str">
            <v>TWh</v>
          </cell>
        </row>
      </sheetData>
      <sheetData sheetId="5" refreshError="1"/>
      <sheetData sheetId="6" refreshError="1"/>
      <sheetData sheetId="7" refreshError="1"/>
      <sheetData sheetId="8">
        <row r="5">
          <cell r="B5" t="str">
            <v>PJ</v>
          </cell>
        </row>
      </sheetData>
      <sheetData sheetId="9">
        <row r="5">
          <cell r="I5">
            <v>100</v>
          </cell>
        </row>
      </sheetData>
      <sheetData sheetId="10">
        <row r="6">
          <cell r="C6">
            <v>7.2500000000000004E-9</v>
          </cell>
        </row>
      </sheetData>
      <sheetData sheetId="11" refreshError="1"/>
      <sheetData sheetId="12"/>
      <sheetData sheetId="13"/>
      <sheetData sheetId="14"/>
      <sheetData sheetId="15"/>
      <sheetData sheetId="16">
        <row r="174">
          <cell r="F174">
            <v>28.137999999999998</v>
          </cell>
        </row>
      </sheetData>
      <sheetData sheetId="17">
        <row r="172">
          <cell r="F17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CHANGELOG"/>
      <sheetName val="Glossary"/>
      <sheetName val="Control"/>
      <sheetName val="Preferences"/>
      <sheetName val="Cost Charts"/>
      <sheetName val="Costs"/>
      <sheetName val="Global cost assumptions"/>
      <sheetName val="Intermediate output"/>
      <sheetName val="Conversions"/>
      <sheetName val="Global assumptions"/>
      <sheetName val="Constants"/>
      <sheetName val="Combustion Emissions Factors"/>
      <sheetName val="{Workstreams}"/>
      <sheetName val="{Modules}"/>
      <sheetName val="{Energy vectors}"/>
      <sheetName val="{Emissions}"/>
      <sheetName val="I.a"/>
      <sheetName val="I.b"/>
      <sheetName val="II.a"/>
      <sheetName val="III.a.1"/>
      <sheetName val="III.a.2"/>
      <sheetName val="III.b"/>
      <sheetName val="III.c"/>
      <sheetName val="III.d"/>
      <sheetName val="IV.a"/>
      <sheetName val="IV.b"/>
      <sheetName val="IV.c"/>
      <sheetName val="V.a"/>
      <sheetName val="V.b"/>
      <sheetName val="VI.a"/>
      <sheetName val="VI.b"/>
      <sheetName val="VI.c"/>
      <sheetName val="VII.a"/>
      <sheetName val="VII.b"/>
      <sheetName val="VII.c"/>
      <sheetName val="VII.c (1 day)"/>
      <sheetName val="VIII.a"/>
      <sheetName val="IX.a"/>
      <sheetName val="IX.c"/>
      <sheetName val="X.a"/>
      <sheetName val="X.b"/>
      <sheetName val="XI.a"/>
      <sheetName val="XII.a"/>
      <sheetName val="XII.b"/>
      <sheetName val="XII.c"/>
      <sheetName val="XII.e"/>
      <sheetName val="XIII.a"/>
      <sheetName val="XIV.a"/>
      <sheetName val="XV.a"/>
      <sheetName val="XV.b"/>
      <sheetName val="XVI.a"/>
      <sheetName val="XVI.b"/>
      <sheetName val="XVII.a"/>
      <sheetName val="2007 (Actual, frozen)"/>
      <sheetName val="2007 (Consistent)"/>
      <sheetName val="2007"/>
      <sheetName val="2010"/>
      <sheetName val="2015"/>
      <sheetName val="2020"/>
      <sheetName val="2025"/>
      <sheetName val="2030"/>
      <sheetName val="2035"/>
      <sheetName val="2040"/>
      <sheetName val="2045"/>
      <sheetName val="2050"/>
      <sheetName val="DUKES 09 (1.2)"/>
      <sheetName val="DUKES 09 (1.9)"/>
      <sheetName val="DUKES 09 (2.5)"/>
      <sheetName val="DUKES 09 (5.1)"/>
      <sheetName val="DUKES 09 (5.6)"/>
      <sheetName val="DUKES 09 (7.2)"/>
      <sheetName val="DUKES 09 (7.4)"/>
      <sheetName val="DUKES 09 (A.1)"/>
      <sheetName val="DECC Energy Cons. (1.14)"/>
      <sheetName val="DECC Energy Cons. (4.1)"/>
      <sheetName val="070311 March Calculator 2011 - "/>
      <sheetName val="\Application Data\Desktop\07031"/>
      <sheetName val="\C\Application Data\Desktop\07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88">
          <cell r="U88">
            <v>125.93794534209844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>
        <row r="9">
          <cell r="K9">
            <v>8612.8860000000022</v>
          </cell>
        </row>
      </sheetData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Preferences"/>
      <sheetName val="Intermediate output"/>
      <sheetName val="Energy"/>
      <sheetName val="Energy Security"/>
      <sheetName val="Land Use"/>
      <sheetName val="Flows"/>
      <sheetName val="Air Quality"/>
      <sheetName val="Costs per capita"/>
      <sheetName val="Costs"/>
      <sheetName val="Conversions"/>
      <sheetName val="Global assumptions"/>
      <sheetName val="Constants"/>
      <sheetName val="Structure of the model"/>
      <sheetName val="I.a"/>
      <sheetName val="I.a1"/>
      <sheetName val="I.a2"/>
      <sheetName val="I.b"/>
      <sheetName val="II.a"/>
      <sheetName val="III.a.1"/>
      <sheetName val="III.a.2"/>
      <sheetName val="III.b"/>
      <sheetName val="III.b1"/>
      <sheetName val="III.c"/>
      <sheetName val="III.d"/>
      <sheetName val="IV.a"/>
      <sheetName val="IV.z"/>
      <sheetName val="IV.b"/>
      <sheetName val="IV.c"/>
      <sheetName val="V.a"/>
      <sheetName val="V.b"/>
      <sheetName val="VI.a"/>
      <sheetName val="VI.b"/>
      <sheetName val="VI.c"/>
      <sheetName val="VII.a"/>
      <sheetName val="VII.b"/>
      <sheetName val="VII.c"/>
      <sheetName val="VIII.a"/>
      <sheetName val="IX.a"/>
      <sheetName val="IX.c"/>
      <sheetName val="X.a"/>
      <sheetName val="X.b"/>
      <sheetName val="XI.a"/>
      <sheetName val="XII.a"/>
      <sheetName val="XII.b"/>
      <sheetName val="XII.c"/>
      <sheetName val="XII.e"/>
      <sheetName val="XIV.a"/>
      <sheetName val="XV.a"/>
      <sheetName val="XV.b"/>
      <sheetName val="XVI.a"/>
      <sheetName val="XVI.b"/>
      <sheetName val="XVII.a"/>
      <sheetName val="XVIII.a"/>
      <sheetName val="2007 (Actual, frozen)"/>
      <sheetName val="2007 (Consistent)"/>
      <sheetName val="2007"/>
      <sheetName val="2010"/>
      <sheetName val="2015"/>
      <sheetName val="2020"/>
      <sheetName val="2025"/>
      <sheetName val="2030"/>
      <sheetName val="2035"/>
      <sheetName val="2040"/>
      <sheetName val="2045"/>
      <sheetName val="2050"/>
      <sheetName val="DUKES 09 (1.2)"/>
      <sheetName val="DUKES 09 (1.9)"/>
      <sheetName val="DUKES 09 (2.5)"/>
      <sheetName val="DUKES 09 (5.1)"/>
      <sheetName val="DUKES 09 (5.6)"/>
      <sheetName val="DUKES 09 (7.2)"/>
      <sheetName val="DUKES 09 (7.4)"/>
      <sheetName val="DUKES 09 (A.1)"/>
      <sheetName val="DECC Energy Cons. (1.14)"/>
      <sheetName val="DECC Energy Cons. (4.1)"/>
      <sheetName val="model_Imam"/>
    </sheetNames>
    <sheetDataSet>
      <sheetData sheetId="0">
        <row r="5">
          <cell r="E5">
            <v>3</v>
          </cell>
        </row>
      </sheetData>
      <sheetData sheetId="1">
        <row r="3">
          <cell r="C3" t="str">
            <v>Mboe</v>
          </cell>
        </row>
      </sheetData>
      <sheetData sheetId="2">
        <row r="134">
          <cell r="AY134">
            <v>73.681237854435324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 t="str">
            <v>PJ</v>
          </cell>
        </row>
      </sheetData>
      <sheetData sheetId="11">
        <row r="20">
          <cell r="D20">
            <v>400</v>
          </cell>
        </row>
      </sheetData>
      <sheetData sheetId="12">
        <row r="8">
          <cell r="C8">
            <v>4.4527699299840313E-9</v>
          </cell>
        </row>
      </sheetData>
      <sheetData sheetId="13"/>
      <sheetData sheetId="14">
        <row r="89">
          <cell r="F89">
            <v>2</v>
          </cell>
        </row>
      </sheetData>
      <sheetData sheetId="15">
        <row r="42">
          <cell r="F42">
            <v>0.5</v>
          </cell>
        </row>
      </sheetData>
      <sheetData sheetId="16"/>
      <sheetData sheetId="17">
        <row r="87">
          <cell r="F87">
            <v>1.2</v>
          </cell>
        </row>
      </sheetData>
      <sheetData sheetId="18">
        <row r="52">
          <cell r="F52">
            <v>1</v>
          </cell>
        </row>
      </sheetData>
      <sheetData sheetId="19">
        <row r="43">
          <cell r="F43">
            <v>2.5000000000000001E-3</v>
          </cell>
        </row>
      </sheetData>
      <sheetData sheetId="20">
        <row r="53">
          <cell r="F53">
            <v>5.7999999999999996E-3</v>
          </cell>
        </row>
      </sheetData>
      <sheetData sheetId="21">
        <row r="39">
          <cell r="F39">
            <v>0.6</v>
          </cell>
        </row>
      </sheetData>
      <sheetData sheetId="22">
        <row r="39">
          <cell r="F39">
            <v>0.03</v>
          </cell>
        </row>
      </sheetData>
      <sheetData sheetId="23">
        <row r="77">
          <cell r="F77">
            <v>1.5E-3</v>
          </cell>
        </row>
      </sheetData>
      <sheetData sheetId="24">
        <row r="36">
          <cell r="F36">
            <v>0.01</v>
          </cell>
        </row>
      </sheetData>
      <sheetData sheetId="25">
        <row r="38">
          <cell r="E38">
            <v>5.0000000000000001E-3</v>
          </cell>
        </row>
      </sheetData>
      <sheetData sheetId="26"/>
      <sheetData sheetId="27">
        <row r="36">
          <cell r="E36">
            <v>2.6E-7</v>
          </cell>
        </row>
      </sheetData>
      <sheetData sheetId="28">
        <row r="36">
          <cell r="F36">
            <v>4.9999999999999996E-6</v>
          </cell>
        </row>
      </sheetData>
      <sheetData sheetId="29">
        <row r="84">
          <cell r="F84">
            <v>1</v>
          </cell>
        </row>
      </sheetData>
      <sheetData sheetId="30"/>
      <sheetData sheetId="31"/>
      <sheetData sheetId="32">
        <row r="188">
          <cell r="E188">
            <v>0.25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88">
          <cell r="U88">
            <v>77.347958077692198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Preferences"/>
      <sheetName val="Intermediate output"/>
      <sheetName val="Energy"/>
      <sheetName val="Energy Security"/>
      <sheetName val="Land Use"/>
      <sheetName val="Flows"/>
      <sheetName val="Air Quality"/>
      <sheetName val="Costs per capita"/>
      <sheetName val="Costs"/>
      <sheetName val="Conversions"/>
      <sheetName val="Global assumptions"/>
      <sheetName val="Constants"/>
      <sheetName val="Structure of the model"/>
      <sheetName val="I.a"/>
      <sheetName val="I.d"/>
      <sheetName val="I.b"/>
      <sheetName val="II.a"/>
      <sheetName val="III.a.1"/>
      <sheetName val="III.a.2"/>
      <sheetName val="III.b"/>
      <sheetName val="III.c"/>
      <sheetName val="III.d"/>
      <sheetName val="IV.a"/>
      <sheetName val="IV.b"/>
      <sheetName val="IV.c"/>
      <sheetName val="V.a"/>
      <sheetName val="V.b"/>
      <sheetName val="VI.a"/>
      <sheetName val="VI.b"/>
      <sheetName val="VI.c"/>
      <sheetName val="VII.a"/>
      <sheetName val="VII.b"/>
      <sheetName val="VII.c"/>
      <sheetName val="VIII.a"/>
      <sheetName val="IX.a"/>
      <sheetName val="IX.c"/>
      <sheetName val="X.a"/>
      <sheetName val="X.b"/>
      <sheetName val="XI.a"/>
      <sheetName val="XII.a"/>
      <sheetName val="XII.b"/>
      <sheetName val="XII.c"/>
      <sheetName val="XII.e"/>
      <sheetName val="XIV.a"/>
      <sheetName val="XV.a"/>
      <sheetName val="XV.b"/>
      <sheetName val="XVI.a"/>
      <sheetName val="XVI.b"/>
      <sheetName val="XVII.a"/>
      <sheetName val="XVIII.a"/>
      <sheetName val="2007 (Actual, frozen)"/>
      <sheetName val="2007 (Consistent)"/>
      <sheetName val="2007"/>
      <sheetName val="2010"/>
      <sheetName val="2015"/>
      <sheetName val="2020"/>
      <sheetName val="2025"/>
      <sheetName val="2030"/>
      <sheetName val="2035"/>
      <sheetName val="2040"/>
      <sheetName val="2045"/>
      <sheetName val="2050"/>
      <sheetName val="DUKES 09 (1.2)"/>
      <sheetName val="DUKES 09 (1.9)"/>
      <sheetName val="DUKES 09 (2.5)"/>
      <sheetName val="DUKES 09 (5.1)"/>
      <sheetName val="DUKES 09 (5.6)"/>
      <sheetName val="DUKES 09 (7.2)"/>
      <sheetName val="DUKES 09 (7.4)"/>
      <sheetName val="DUKES 09 (A.1)"/>
      <sheetName val="DECC Energy Cons. (1.14)"/>
      <sheetName val="DECC Energy Cons. (4.1)"/>
      <sheetName val="model_Balancing_1"/>
    </sheetNames>
    <sheetDataSet>
      <sheetData sheetId="0">
        <row r="5">
          <cell r="E5">
            <v>1.8</v>
          </cell>
        </row>
      </sheetData>
      <sheetData sheetId="1">
        <row r="3">
          <cell r="C3" t="str">
            <v>TWh</v>
          </cell>
        </row>
      </sheetData>
      <sheetData sheetId="2">
        <row r="134">
          <cell r="AY134">
            <v>42.928200000000004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B5" t="str">
            <v>PJ</v>
          </cell>
        </row>
      </sheetData>
      <sheetData sheetId="11">
        <row r="20">
          <cell r="D20">
            <v>100</v>
          </cell>
        </row>
      </sheetData>
      <sheetData sheetId="12">
        <row r="8">
          <cell r="C8">
            <v>7.2500000000000004E-9</v>
          </cell>
        </row>
      </sheetData>
      <sheetData sheetId="13"/>
      <sheetData sheetId="14"/>
      <sheetData sheetId="15"/>
      <sheetData sheetId="16">
        <row r="87">
          <cell r="F87">
            <v>1.2</v>
          </cell>
        </row>
      </sheetData>
      <sheetData sheetId="17">
        <row r="71">
          <cell r="F71">
            <v>3</v>
          </cell>
        </row>
      </sheetData>
      <sheetData sheetId="18">
        <row r="47">
          <cell r="F47">
            <v>2.5000000000000001E-3</v>
          </cell>
        </row>
      </sheetData>
      <sheetData sheetId="19">
        <row r="53">
          <cell r="F53">
            <v>5.7999999999999996E-3</v>
          </cell>
        </row>
      </sheetData>
      <sheetData sheetId="20">
        <row r="39">
          <cell r="F39">
            <v>0.1</v>
          </cell>
        </row>
      </sheetData>
      <sheetData sheetId="21">
        <row r="77">
          <cell r="F77">
            <v>1.5E-3</v>
          </cell>
        </row>
      </sheetData>
      <sheetData sheetId="22">
        <row r="36">
          <cell r="F36">
            <v>0.01</v>
          </cell>
        </row>
      </sheetData>
      <sheetData sheetId="23">
        <row r="38">
          <cell r="E38">
            <v>2.4999999999999998E-6</v>
          </cell>
        </row>
      </sheetData>
      <sheetData sheetId="24">
        <row r="39">
          <cell r="E39">
            <v>1.1000000000000001E-7</v>
          </cell>
        </row>
      </sheetData>
      <sheetData sheetId="25">
        <row r="36">
          <cell r="F36">
            <v>4.9999999999999996E-6</v>
          </cell>
        </row>
      </sheetData>
      <sheetData sheetId="26">
        <row r="84">
          <cell r="F84">
            <v>1</v>
          </cell>
        </row>
      </sheetData>
      <sheetData sheetId="27"/>
      <sheetData sheetId="28"/>
      <sheetData sheetId="29">
        <row r="188">
          <cell r="E188">
            <v>0.25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88">
          <cell r="U88">
            <v>125.93794534209844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CHANGELOG"/>
      <sheetName val="Glossary"/>
      <sheetName val="Control"/>
      <sheetName val="Preferences"/>
      <sheetName val="Cost Charts"/>
      <sheetName val="Costs"/>
      <sheetName val="Global cost assumptions"/>
      <sheetName val="Intermediate output"/>
      <sheetName val="Conversions"/>
      <sheetName val="Global assumptions"/>
      <sheetName val="Constants"/>
      <sheetName val="Combustion Emissions Factors"/>
      <sheetName val="{Workstreams}"/>
      <sheetName val="{Modules}"/>
      <sheetName val="{Energy vectors}"/>
      <sheetName val="{Emissions}"/>
      <sheetName val="I.a"/>
      <sheetName val="I.b"/>
      <sheetName val="II.a"/>
      <sheetName val="III.a.1"/>
      <sheetName val="III.a.2"/>
      <sheetName val="III.b"/>
      <sheetName val="III.c"/>
      <sheetName val="III.d"/>
      <sheetName val="IV.a"/>
      <sheetName val="IV.b"/>
      <sheetName val="IV.c"/>
      <sheetName val="V.a"/>
      <sheetName val="V.b"/>
      <sheetName val="VI.a"/>
      <sheetName val="VI.b"/>
      <sheetName val="VI.c"/>
      <sheetName val="VII.a"/>
      <sheetName val="VII.b"/>
      <sheetName val="VII.c"/>
      <sheetName val="VII.c (1 day)"/>
      <sheetName val="VIII.a"/>
      <sheetName val="IX.a"/>
      <sheetName val="IX.c"/>
      <sheetName val="X.a"/>
      <sheetName val="X.b"/>
      <sheetName val="XI.a"/>
      <sheetName val="XII.a"/>
      <sheetName val="XII.b"/>
      <sheetName val="XII.c"/>
      <sheetName val="XII.e"/>
      <sheetName val="XIII.a"/>
      <sheetName val="XIV.a"/>
      <sheetName val="XV.a"/>
      <sheetName val="XV.b"/>
      <sheetName val="XVI.a"/>
      <sheetName val="XVI.b"/>
      <sheetName val="XVII.a"/>
      <sheetName val="2007 (Actual, frozen)"/>
      <sheetName val="2007 (Consistent)"/>
      <sheetName val="2007"/>
      <sheetName val="2010"/>
      <sheetName val="2015"/>
      <sheetName val="2020"/>
      <sheetName val="2025"/>
      <sheetName val="2030"/>
      <sheetName val="2035"/>
      <sheetName val="2040"/>
      <sheetName val="2045"/>
      <sheetName val="2050"/>
      <sheetName val="DUKES 09 (1.2)"/>
      <sheetName val="DUKES 09 (1.9)"/>
      <sheetName val="DUKES 09 (2.5)"/>
      <sheetName val="DUKES 09 (5.1)"/>
      <sheetName val="DUKES 09 (5.6)"/>
      <sheetName val="DUKES 09 (7.2)"/>
      <sheetName val="DUKES 09 (7.4)"/>
      <sheetName val="DUKES 09 (A.1)"/>
      <sheetName val="DECC Energy Cons. (1.14)"/>
      <sheetName val="DECC Energy Cons. (4.1)"/>
      <sheetName val="070311 March Calculator 2011 - "/>
      <sheetName val="\Application Data\Desktop\07031"/>
      <sheetName val="\C\Application Data\Desktop\07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Control"/>
      <sheetName val="Glossary"/>
      <sheetName val="Preferences"/>
      <sheetName val="CHANGELOG"/>
      <sheetName val="All vectors"/>
      <sheetName val="Cost Charts"/>
      <sheetName val="Costs"/>
      <sheetName val="Global cost assumptions"/>
      <sheetName val="Intermediate output"/>
      <sheetName val="Conversions"/>
      <sheetName val="Global assumptions"/>
      <sheetName val="Constants"/>
      <sheetName val="Combustion Emissions Factors"/>
      <sheetName val="{Workstreams}"/>
      <sheetName val="{Modules}"/>
      <sheetName val="{Energy vectors}"/>
      <sheetName val="{Emissions}"/>
      <sheetName val="I.a"/>
      <sheetName val="I.b"/>
      <sheetName val="II.a"/>
      <sheetName val="III.a.1"/>
      <sheetName val="III.a.2"/>
      <sheetName val="III.b"/>
      <sheetName val="III.c"/>
      <sheetName val="III.d"/>
      <sheetName val="IV.a"/>
      <sheetName val="IV.b"/>
      <sheetName val="IV.c"/>
      <sheetName val="V.a"/>
      <sheetName val="V.b"/>
      <sheetName val="VI.a"/>
      <sheetName val="VI.c"/>
      <sheetName val="VI.b"/>
      <sheetName val="VII.a"/>
      <sheetName val="VII.b"/>
      <sheetName val="VII.c"/>
      <sheetName val="VII.c (1 day)"/>
      <sheetName val="VIII.a"/>
      <sheetName val="IX.a"/>
      <sheetName val="IX.c"/>
      <sheetName val="X.a"/>
      <sheetName val="X.b"/>
      <sheetName val="XI.a"/>
      <sheetName val="XII.a"/>
      <sheetName val="XII.b"/>
      <sheetName val="XII.c"/>
      <sheetName val="XII.e"/>
      <sheetName val="XIII.a"/>
      <sheetName val="XIV.a"/>
      <sheetName val="XV.a"/>
      <sheetName val="XV.b"/>
      <sheetName val="XVI.a"/>
      <sheetName val="XVI.b"/>
      <sheetName val="XVII.a"/>
      <sheetName val="2007 (Actual, frozen)"/>
      <sheetName val="2007 (Consistent)"/>
      <sheetName val="2007"/>
      <sheetName val="2010"/>
      <sheetName val="2015"/>
      <sheetName val="2020"/>
      <sheetName val="2025"/>
      <sheetName val="2030"/>
      <sheetName val="2035"/>
      <sheetName val="2040"/>
      <sheetName val="2045"/>
      <sheetName val="2050"/>
      <sheetName val="DUKES 09 (1.2)"/>
      <sheetName val="DUKES 09 (1.9)"/>
      <sheetName val="DUKES 09 (2.5)"/>
      <sheetName val="DUKES 09 (5.1)"/>
      <sheetName val="DUKES 09 (5.6)"/>
      <sheetName val="DUKES 09 (7.2)"/>
      <sheetName val="DUKES 09 (7.4)"/>
      <sheetName val="DUKES 09 (A.1)"/>
      <sheetName val="DECC Energy Cons. (1.14)"/>
      <sheetName val="DECC Energy Cons. (4.1)"/>
      <sheetName val="Copy of D11 669823  070311 Marc"/>
      <sheetName val="\Application Data\Desktop\Copy "/>
      <sheetName val="\C\Application Data\Desktop\Co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Control"/>
      <sheetName val="Glossary"/>
      <sheetName val="Preferences"/>
      <sheetName val="CHANGELOG"/>
      <sheetName val="Intermediate output"/>
      <sheetName val="Costs"/>
      <sheetName val="Global cost assumptions"/>
      <sheetName val="All vectors"/>
      <sheetName val="Conversions"/>
      <sheetName val="Global assumptions"/>
      <sheetName val="Constants"/>
      <sheetName val="Combustion Emissions Factors"/>
      <sheetName val="{Workstreams}"/>
      <sheetName val="{Modules}"/>
      <sheetName val="{Energy vectors}"/>
      <sheetName val="{Emissions}"/>
      <sheetName val="I.a"/>
      <sheetName val="I.b"/>
      <sheetName val="II.a"/>
      <sheetName val="III.a.1"/>
      <sheetName val="III.a.2"/>
      <sheetName val="III.c"/>
      <sheetName val="III.b"/>
      <sheetName val="III.d"/>
      <sheetName val="IV.a"/>
      <sheetName val="IV.b"/>
      <sheetName val="IV.c"/>
      <sheetName val="V.a"/>
      <sheetName val="V.b"/>
      <sheetName val="VI.a"/>
      <sheetName val="VI.b"/>
      <sheetName val="VI.c"/>
      <sheetName val="VII.a"/>
      <sheetName val="VII.b"/>
      <sheetName val="VII.c"/>
      <sheetName val="VII.c (1 day)"/>
      <sheetName val="VIII.a"/>
      <sheetName val="IX.a"/>
      <sheetName val="IX.c"/>
      <sheetName val="X.a"/>
      <sheetName val="X.b"/>
      <sheetName val="XI.a"/>
      <sheetName val="XII.a"/>
      <sheetName val="XII.b"/>
      <sheetName val="XII.c"/>
      <sheetName val="XII.e"/>
      <sheetName val="XIII.a"/>
      <sheetName val="XIV.a"/>
      <sheetName val="XV.a"/>
      <sheetName val="XV.b"/>
      <sheetName val="XVI.a"/>
      <sheetName val="XVII.a"/>
      <sheetName val="2007 (Actual, frozen)"/>
      <sheetName val="2007 (Consistent)"/>
      <sheetName val="2007"/>
      <sheetName val="2010"/>
      <sheetName val="2015"/>
      <sheetName val="2020"/>
      <sheetName val="2025"/>
      <sheetName val="2030"/>
      <sheetName val="2035"/>
      <sheetName val="2040"/>
      <sheetName val="2045"/>
      <sheetName val="2050"/>
      <sheetName val="DUKES 09 (1.2)"/>
      <sheetName val="DUKES 09 (1.9)"/>
      <sheetName val="DUKES 09 (2.5)"/>
      <sheetName val="DUKES 09 (5.1)"/>
      <sheetName val="DUKES 09 (5.6)"/>
      <sheetName val="DUKES 09 (7.2)"/>
      <sheetName val="DUKES 09 (7.4)"/>
      <sheetName val="DUKES 09 (A.1)"/>
      <sheetName val="DECC Energy Cons. (1.14)"/>
      <sheetName val="DECC Energy Cons. (4.1)"/>
      <sheetName val="110208 - CCS add - costs AG"/>
      <sheetName val="\Application Data\Tower Softwar"/>
      <sheetName val="110208 - CCS add - costs AG.xls"/>
      <sheetName val="\C\Application Data\Tower Soft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structions"/>
      <sheetName val="CHANGELOG"/>
      <sheetName val="Glossary"/>
      <sheetName val="Control"/>
      <sheetName val="Preferences"/>
      <sheetName val="Cost Charts"/>
      <sheetName val="Costs"/>
      <sheetName val="Global cost assumptions"/>
      <sheetName val="Intermediate output"/>
      <sheetName val="Conversions"/>
      <sheetName val="Global assumptions"/>
      <sheetName val="Constants"/>
      <sheetName val="Combustion Emissions Factors"/>
      <sheetName val="{Workstreams}"/>
      <sheetName val="{Modules}"/>
      <sheetName val="{Energy vectors}"/>
      <sheetName val="{Emissions}"/>
      <sheetName val="I.a"/>
      <sheetName val="I.b"/>
      <sheetName val="II.a"/>
      <sheetName val="III.a.1"/>
      <sheetName val="III.a.2"/>
      <sheetName val="III.b"/>
      <sheetName val="III.c"/>
      <sheetName val="III.d"/>
      <sheetName val="IV.a"/>
      <sheetName val="IV.b"/>
      <sheetName val="IV.c"/>
      <sheetName val="V.a"/>
      <sheetName val="V.b"/>
      <sheetName val="VI.a"/>
      <sheetName val="VI.b"/>
      <sheetName val="VI.c"/>
      <sheetName val="VII.a"/>
      <sheetName val="VII.b"/>
      <sheetName val="VII.c"/>
      <sheetName val="VII.c (1 day)"/>
      <sheetName val="VIII.a"/>
      <sheetName val="IX.a"/>
      <sheetName val="X.b"/>
      <sheetName val="IX.c"/>
      <sheetName val="X.a"/>
      <sheetName val="XI.a"/>
      <sheetName val="XII.a"/>
      <sheetName val="XII.b"/>
      <sheetName val="XII.c"/>
      <sheetName val="XII.e"/>
      <sheetName val="XIII.a"/>
      <sheetName val="XIV.a"/>
      <sheetName val="XV.a"/>
      <sheetName val="XV.b"/>
      <sheetName val="XVI.a"/>
      <sheetName val="XVI.b"/>
      <sheetName val="XVII.a"/>
      <sheetName val="2007 (Actual, frozen)"/>
      <sheetName val="2007 (Consistent)"/>
      <sheetName val="2007"/>
      <sheetName val="2010"/>
      <sheetName val="2015"/>
      <sheetName val="2020"/>
      <sheetName val="2025"/>
      <sheetName val="2030"/>
      <sheetName val="2035"/>
      <sheetName val="2040"/>
      <sheetName val="2045"/>
      <sheetName val="2050"/>
      <sheetName val="DUKES 09 (1.2)"/>
      <sheetName val="DUKES 09 (1.9)"/>
      <sheetName val="DUKES 09 (2.5)"/>
      <sheetName val="DUKES 09 (5.1)"/>
      <sheetName val="DUKES 09 (5.6)"/>
      <sheetName val="DUKES 09 (7.2)"/>
      <sheetName val="DUKES 09 (7.4)"/>
      <sheetName val="DUKES 09 (A.1)"/>
      <sheetName val="DECC Energy Cons. (1.14)"/>
      <sheetName val="DECC Energy Cons. (4.1)"/>
      <sheetName val="Andrew industry figures"/>
      <sheetName val="\Application Data\Desktop\Andre"/>
      <sheetName val="Andrew industry figures.XLSX"/>
      <sheetName val="\C\Application Data\Desktop\A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Preferences"/>
      <sheetName val="Intermediate output"/>
      <sheetName val="IncrementalCost"/>
      <sheetName val="CostPerCapita"/>
      <sheetName val="CostPercentGDP"/>
      <sheetName val="CostAbsolute"/>
      <sheetName val="Air Quality Impacts"/>
      <sheetName val="Conversions"/>
      <sheetName val="Global assumptions"/>
      <sheetName val="Constants"/>
      <sheetName val="Structure of the model"/>
      <sheetName val="I.a"/>
      <sheetName val="I.b"/>
      <sheetName val="II.a"/>
      <sheetName val="III.a.1"/>
      <sheetName val="III.a.2"/>
      <sheetName val="III.b"/>
      <sheetName val="III.c"/>
      <sheetName val="III.d"/>
      <sheetName val="IV.a"/>
      <sheetName val="IV.b"/>
      <sheetName val="IV.c"/>
      <sheetName val="V.a"/>
      <sheetName val="V.b"/>
      <sheetName val="VI.a"/>
      <sheetName val="VI.b"/>
      <sheetName val="VI.c"/>
      <sheetName val="VII.a"/>
      <sheetName val="VII.b"/>
      <sheetName val="VII.c"/>
      <sheetName val="VIII.a"/>
      <sheetName val="IX.a"/>
      <sheetName val="IX.c"/>
      <sheetName val="X.a"/>
      <sheetName val="X.b"/>
      <sheetName val="XI.a"/>
      <sheetName val="XII.a"/>
      <sheetName val="XII.b"/>
      <sheetName val="XII.c"/>
      <sheetName val="XII.e"/>
      <sheetName val="XIV.a"/>
      <sheetName val="XV.a"/>
      <sheetName val="XV.b"/>
      <sheetName val="XVI.a"/>
      <sheetName val="XVI.b"/>
      <sheetName val="XVII.a"/>
      <sheetName val="XVIII.a"/>
      <sheetName val="2007 (Actual, frozen)"/>
      <sheetName val="2007 (Consistent)"/>
      <sheetName val="2007"/>
      <sheetName val="2010"/>
      <sheetName val="2015"/>
      <sheetName val="2020"/>
      <sheetName val="2025"/>
      <sheetName val="2030"/>
      <sheetName val="2035"/>
      <sheetName val="2040"/>
      <sheetName val="2045"/>
      <sheetName val="2050"/>
      <sheetName val="DUKES 09 (1.2)"/>
      <sheetName val="DUKES 09 (1.9)"/>
      <sheetName val="DUKES 09 (2.5)"/>
      <sheetName val="DUKES 09 (5.1)"/>
      <sheetName val="DUKES 09 (5.6)"/>
      <sheetName val="DUKES 09 (7.2)"/>
      <sheetName val="DUKES 09 (7.4)"/>
      <sheetName val="DUKES 09 (A.1)"/>
      <sheetName val="DECC Energy Cons. (1.14)"/>
      <sheetName val="DECC Energy Cons. (4.1)"/>
      <sheetName val="D11 669823  070311 March Calcul"/>
      <sheetName val="\Personal\My Documents\offline "/>
      <sheetName val="\C\Personal\My Documents\offli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</sheetDataSet>
  </externalBook>
</externalLink>
</file>

<file path=xl/tables/table1.xml><?xml version="1.0" encoding="utf-8"?>
<table xmlns="http://schemas.openxmlformats.org/spreadsheetml/2006/main" id="249" name="Bioshare" displayName="Bioshare" ref="D249:BF253" totalsRowShown="0" headerRowDxfId="4330" dataDxfId="4329" headerRowCellStyle="Percent" dataCellStyle="Percent">
  <autoFilter ref="D249:BF253"/>
  <tableColumns count="55">
    <tableColumn id="1" name="Bio type" dataDxfId="4328"/>
    <tableColumn id="2" name="Column1" dataDxfId="4327"/>
    <tableColumn id="3" name="Column2" dataDxfId="4326"/>
    <tableColumn id="15" name="Column22" dataDxfId="4325"/>
    <tableColumn id="16" name="Column23" dataDxfId="4324"/>
    <tableColumn id="17" name="Column24" dataDxfId="4323"/>
    <tableColumn id="18" name="Column25" dataDxfId="4322"/>
    <tableColumn id="19" name="Column26" dataDxfId="4321"/>
    <tableColumn id="20" name="Column27" dataDxfId="4320"/>
    <tableColumn id="21" name="Column28" dataDxfId="4319"/>
    <tableColumn id="22" name="Column29" dataDxfId="4318"/>
    <tableColumn id="23" name="Column30" dataDxfId="4317"/>
    <tableColumn id="24" name="Column31" dataDxfId="4316"/>
    <tableColumn id="25" name="Column32" dataDxfId="4315"/>
    <tableColumn id="26" name="Column33" dataDxfId="4314"/>
    <tableColumn id="27" name="Column34" dataDxfId="4313"/>
    <tableColumn id="28" name="Column35" dataDxfId="4312"/>
    <tableColumn id="29" name="Column36" dataDxfId="4311"/>
    <tableColumn id="30" name="Column37" dataDxfId="4310"/>
    <tableColumn id="31" name="Column38" dataDxfId="4309"/>
    <tableColumn id="32" name="Column39" dataDxfId="4308"/>
    <tableColumn id="33" name="Column40" dataDxfId="4307"/>
    <tableColumn id="34" name="Column41" dataDxfId="4306"/>
    <tableColumn id="35" name="Column42" dataDxfId="4305"/>
    <tableColumn id="36" name="Column43" dataDxfId="4304"/>
    <tableColumn id="37" name="Column44" dataDxfId="4303"/>
    <tableColumn id="38" name="Column45" dataDxfId="4302"/>
    <tableColumn id="39" name="Column46" dataDxfId="4301"/>
    <tableColumn id="40" name="Column47" dataDxfId="4300"/>
    <tableColumn id="41" name="Column48" dataDxfId="4299"/>
    <tableColumn id="42" name="Column49" dataDxfId="4298"/>
    <tableColumn id="43" name="Column50" dataDxfId="4297"/>
    <tableColumn id="44" name="Column51" dataDxfId="4296"/>
    <tableColumn id="45" name="Column52" dataDxfId="4295"/>
    <tableColumn id="46" name="Column53" dataDxfId="4294"/>
    <tableColumn id="47" name="Column54" dataDxfId="4293"/>
    <tableColumn id="48" name="Column55" dataDxfId="4292"/>
    <tableColumn id="49" name="Column56" dataDxfId="4291"/>
    <tableColumn id="50" name="Column57" dataDxfId="4290"/>
    <tableColumn id="51" name="Column58" dataDxfId="4289"/>
    <tableColumn id="52" name="Column59" dataDxfId="4288"/>
    <tableColumn id="53" name="Column60" dataDxfId="4287"/>
    <tableColumn id="54" name="Column61" dataDxfId="4286"/>
    <tableColumn id="58" name="Column612" dataDxfId="4285"/>
    <tableColumn id="55" name="Column62" dataDxfId="4284"/>
    <tableColumn id="56" name="Column63" dataDxfId="4283"/>
    <tableColumn id="6" name="2010" dataDxfId="4282" dataCellStyle="Percent"/>
    <tableColumn id="7" name="2015" dataDxfId="4281" dataCellStyle="Percent"/>
    <tableColumn id="8" name="2020" dataDxfId="4280" dataCellStyle="Percent"/>
    <tableColumn id="9" name="2025" dataDxfId="4279" dataCellStyle="Percent"/>
    <tableColumn id="10" name="2030" dataDxfId="4278" dataCellStyle="Percent"/>
    <tableColumn id="11" name="2035" dataDxfId="4277" dataCellStyle="Percent"/>
    <tableColumn id="12" name="2040" dataDxfId="4276" dataCellStyle="Percent"/>
    <tableColumn id="13" name="2045" dataDxfId="4275" dataCellStyle="Percent"/>
    <tableColumn id="14" name="2050" dataDxfId="4274" dataCellStyle="Percent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31" name="IPCC" displayName="IPCC" ref="T6:V17" totalsRowShown="0" headerRowDxfId="4201" dataDxfId="4200">
  <autoFilter ref="T6:V17"/>
  <tableColumns count="3">
    <tableColumn id="1" name="Sector_code" dataDxfId="4199"/>
    <tableColumn id="2" name="Sector_description" dataDxfId="4198"/>
    <tableColumn id="3" name="Comment" dataDxfId="4197"/>
  </tableColumns>
  <tableStyleInfo name="TableStyleMedium11" showFirstColumn="0" showLastColumn="0" showRowStripes="1" showColumnStripes="0"/>
</table>
</file>

<file path=xl/tables/table100.xml><?xml version="1.0" encoding="utf-8"?>
<table xmlns="http://schemas.openxmlformats.org/spreadsheetml/2006/main" id="91" name="X.b.costs" displayName="X.b.costs" ref="C199:N208" totalsRowShown="0" headerRowDxfId="1993" dataDxfId="1991" headerRowBorderDxfId="1992" dataCellStyle="Comma">
  <autoFilter ref="C199:N208"/>
  <tableColumns count="12">
    <tableColumn id="1" name="Vector" dataDxfId="1990"/>
    <tableColumn id="2" name="Name" dataDxfId="1989"/>
    <tableColumn id="3" name="Notes" dataDxfId="1988"/>
    <tableColumn id="5" name="2010" dataDxfId="1987" dataCellStyle="Comma"/>
    <tableColumn id="6" name="2015" dataDxfId="1986" dataCellStyle="Comma"/>
    <tableColumn id="7" name="2020" dataDxfId="1985" dataCellStyle="Comma"/>
    <tableColumn id="8" name="2025" dataDxfId="1984" dataCellStyle="Comma"/>
    <tableColumn id="9" name="2030" dataDxfId="1983" dataCellStyle="Comma"/>
    <tableColumn id="10" name="2035" dataDxfId="1982" dataCellStyle="Comma"/>
    <tableColumn id="11" name="2040" dataDxfId="1981" dataCellStyle="Comma"/>
    <tableColumn id="12" name="2045" dataDxfId="1980" dataCellStyle="Comma"/>
    <tableColumn id="13" name="2050" dataDxfId="1979" dataCellStyle="Comma"/>
  </tableColumns>
  <tableStyleInfo name="TableStyleMedium9" showFirstColumn="0" showLastColumn="0" showRowStripes="1" showColumnStripes="0"/>
</table>
</file>

<file path=xl/tables/table101.xml><?xml version="1.0" encoding="utf-8"?>
<table xmlns="http://schemas.openxmlformats.org/spreadsheetml/2006/main" id="309" name="X.b.AQ" displayName="X.b.AQ" ref="C176:N180" totalsRowShown="0" headerRowDxfId="1978" dataDxfId="1976" headerRowBorderDxfId="1977" tableBorderDxfId="1975" totalsRowBorderDxfId="1974">
  <autoFilter ref="C176:N180"/>
  <tableColumns count="12">
    <tableColumn id="1" name="Vector" dataDxfId="1973">
      <calculatedColumnFormula>INDEX(AirQualityVectors[Code],MATCH(D177,AirQualityVectors[Description],0))</calculatedColumnFormula>
    </tableColumn>
    <tableColumn id="2" name="Name" dataDxfId="1972"/>
    <tableColumn id="3" name="IPCC Sector" dataDxfId="1971"/>
    <tableColumn id="5" name="2010" dataDxfId="1970"/>
    <tableColumn id="6" name="2015" dataDxfId="1969"/>
    <tableColumn id="7" name="2020" dataDxfId="1968"/>
    <tableColumn id="8" name="2025" dataDxfId="1967"/>
    <tableColumn id="9" name="2030" dataDxfId="1966"/>
    <tableColumn id="10" name="2035" dataDxfId="1965"/>
    <tableColumn id="11" name="2040" dataDxfId="1964"/>
    <tableColumn id="12" name="2045" dataDxfId="1963"/>
    <tableColumn id="13" name="2050" dataDxfId="1962"/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id="21" name="XI.a.Outputs" displayName="XI.a.Outputs" ref="C440:N447" totalsRowCount="1" headerRowDxfId="1961" dataDxfId="1960">
  <autoFilter ref="C440:N446"/>
  <tableColumns count="12">
    <tableColumn id="1" name="Vector" totalsRowLabel="Total" dataDxfId="1959" totalsRowDxfId="1958"/>
    <tableColumn id="2" name="Name" dataDxfId="1957" totalsRowDxfId="1956">
      <calculatedColumnFormula>INDEX(Vectors[Description], MATCH(XI.a.Outputs[Vector], Vectors[Code], 0))</calculatedColumnFormula>
    </tableColumn>
    <tableColumn id="3" name="Notes" dataDxfId="1955" totalsRowDxfId="1954"/>
    <tableColumn id="5" name="2010" totalsRowFunction="sum" dataDxfId="1953" totalsRowDxfId="1952" dataCellStyle="Comma"/>
    <tableColumn id="6" name="2015" totalsRowFunction="sum" dataDxfId="1951" totalsRowDxfId="1950" dataCellStyle="Comma"/>
    <tableColumn id="7" name="2020" totalsRowFunction="sum" dataDxfId="1949" totalsRowDxfId="1948" dataCellStyle="Comma"/>
    <tableColumn id="8" name="2025" totalsRowFunction="sum" dataDxfId="1947" totalsRowDxfId="1946" dataCellStyle="Comma"/>
    <tableColumn id="9" name="2030" totalsRowFunction="sum" dataDxfId="1945" totalsRowDxfId="1944" dataCellStyle="Comma"/>
    <tableColumn id="10" name="2035" totalsRowFunction="sum" dataDxfId="1943" totalsRowDxfId="1942" dataCellStyle="Comma"/>
    <tableColumn id="11" name="2040" totalsRowFunction="sum" dataDxfId="1941" totalsRowDxfId="1940" dataCellStyle="Comma"/>
    <tableColumn id="12" name="2045" totalsRowFunction="sum" dataDxfId="1939" totalsRowDxfId="1938" dataCellStyle="Comma"/>
    <tableColumn id="13" name="2050" totalsRowFunction="sum" dataDxfId="1937" totalsRowDxfId="1936" dataCellStyle="Comma"/>
  </tableColumns>
  <tableStyleInfo name="EnergyCalcTables" showFirstColumn="0" showLastColumn="0" showRowStripes="1" showColumnStripes="0"/>
</table>
</file>

<file path=xl/tables/table103.xml><?xml version="1.0" encoding="utf-8"?>
<table xmlns="http://schemas.openxmlformats.org/spreadsheetml/2006/main" id="45" name="XI.a.Emissions" displayName="XI.a.Emissions" ref="C454:N463" totalsRowCount="1" headerRowDxfId="1935" dataDxfId="1933" headerRowBorderDxfId="1934" tableBorderDxfId="1932" dataCellStyle="Comma">
  <autoFilter ref="C454:N462"/>
  <tableColumns count="12">
    <tableColumn id="1" name="GHG" totalsRowLabel="Total" dataDxfId="1931" totalsRowDxfId="1930"/>
    <tableColumn id="2" name="IPCC Sector" dataDxfId="1929" totalsRowDxfId="1928"/>
    <tableColumn id="3" name="Notes" dataDxfId="1927" totalsRowDxfId="1926"/>
    <tableColumn id="5" name="2010" totalsRowFunction="sum" dataDxfId="1925" totalsRowDxfId="1924" dataCellStyle="Comma"/>
    <tableColumn id="6" name="2015" totalsRowFunction="sum" dataDxfId="1923" totalsRowDxfId="1922" dataCellStyle="Comma"/>
    <tableColumn id="7" name="2020" totalsRowFunction="sum" dataDxfId="1921" totalsRowDxfId="1920" dataCellStyle="Comma"/>
    <tableColumn id="8" name="2025" totalsRowFunction="sum" dataDxfId="1919" totalsRowDxfId="1918" dataCellStyle="Comma"/>
    <tableColumn id="9" name="2030" totalsRowFunction="sum" dataDxfId="1917" totalsRowDxfId="1916" dataCellStyle="Comma"/>
    <tableColumn id="10" name="2035" totalsRowFunction="sum" dataDxfId="1915" totalsRowDxfId="1914" dataCellStyle="Comma"/>
    <tableColumn id="11" name="2040" totalsRowFunction="sum" dataDxfId="1913" totalsRowDxfId="1912" dataCellStyle="Comma"/>
    <tableColumn id="12" name="2045" totalsRowFunction="sum" dataDxfId="1911" totalsRowDxfId="1910" dataCellStyle="Comma"/>
    <tableColumn id="13" name="2050" totalsRowFunction="sum" dataDxfId="1909" totalsRowDxfId="1908" dataCellStyle="Comma"/>
  </tableColumns>
  <tableStyleInfo name="EnergyCalcTables" showFirstColumn="0" showLastColumn="0" showRowStripes="1" showColumnStripes="0"/>
</table>
</file>

<file path=xl/tables/table104.xml><?xml version="1.0" encoding="utf-8"?>
<table xmlns="http://schemas.openxmlformats.org/spreadsheetml/2006/main" id="107" name="XI.a.info" displayName="XI.a.info" ref="C486:N488" totalsRowShown="0" headerRowDxfId="1907" dataDxfId="1905" totalsRowDxfId="1903" headerRowBorderDxfId="1906" tableBorderDxfId="1904" dataCellStyle="Comma">
  <autoFilter ref="C486:N488"/>
  <tableColumns count="12">
    <tableColumn id="1" name="Vector" dataDxfId="1902" totalsRowDxfId="1901"/>
    <tableColumn id="2" name="Information type" dataDxfId="1900" totalsRowDxfId="1899"/>
    <tableColumn id="3" name="Notes" dataDxfId="1898" totalsRowDxfId="1897"/>
    <tableColumn id="5" name="2010" dataDxfId="1896" totalsRowDxfId="1895" dataCellStyle="Comma"/>
    <tableColumn id="6" name="2015" dataDxfId="1894" totalsRowDxfId="1893" dataCellStyle="Comma"/>
    <tableColumn id="7" name="2020" dataDxfId="1892" totalsRowDxfId="1891" dataCellStyle="Comma"/>
    <tableColumn id="8" name="2025" dataDxfId="1890" totalsRowDxfId="1889" dataCellStyle="Comma"/>
    <tableColumn id="9" name="2030" dataDxfId="1888" totalsRowDxfId="1887" dataCellStyle="Comma"/>
    <tableColumn id="10" name="2035" dataDxfId="1886" totalsRowDxfId="1885" dataCellStyle="Comma"/>
    <tableColumn id="11" name="2040" dataDxfId="1884" totalsRowDxfId="1883" dataCellStyle="Comma"/>
    <tableColumn id="12" name="2045" dataDxfId="1882" totalsRowDxfId="1881" dataCellStyle="Comma"/>
    <tableColumn id="13" name="2050" dataDxfId="1880" totalsRowDxfId="1879" dataCellStyle="Comma"/>
  </tableColumns>
  <tableStyleInfo name="EnergyCalcTables" showFirstColumn="0" showLastColumn="0" showRowStripes="1" showColumnStripes="0"/>
</table>
</file>

<file path=xl/tables/table105.xml><?xml version="1.0" encoding="utf-8"?>
<table xmlns="http://schemas.openxmlformats.org/spreadsheetml/2006/main" id="92" name="XI.a.Costs" displayName="XI.a.Costs" ref="C495:N501" headerRowDxfId="1878" dataDxfId="1876" headerRowBorderDxfId="1877" tableBorderDxfId="1875">
  <autoFilter ref="C495:N501"/>
  <tableColumns count="12">
    <tableColumn id="1" name="Vector" totalsRowLabel="Total" dataDxfId="1874" totalsRowDxfId="1873"/>
    <tableColumn id="2" name="Name" dataDxfId="1872" totalsRowDxfId="1871">
      <calculatedColumnFormula>INDEX([8]!CostVectors[Description], MATCH(C496, [8]!CostVectors[Code], 0))</calculatedColumnFormula>
    </tableColumn>
    <tableColumn id="3" name="Notes" dataDxfId="1870" totalsRowDxfId="1869"/>
    <tableColumn id="5" name="2010" totalsRowFunction="custom" dataDxfId="1868" totalsRowDxfId="1867" dataCellStyle="Comma">
      <totalsRowFormula>SUM(XI.a.Costs[2010])</totalsRowFormula>
    </tableColumn>
    <tableColumn id="6" name="2015" totalsRowFunction="custom" dataDxfId="1866" totalsRowDxfId="1865" dataCellStyle="Comma">
      <totalsRowFormula>SUM(XI.a.Costs[2015])</totalsRowFormula>
    </tableColumn>
    <tableColumn id="7" name="2020" totalsRowFunction="sum" dataDxfId="1864" totalsRowDxfId="1863" dataCellStyle="Comma"/>
    <tableColumn id="8" name="2025" totalsRowFunction="sum" dataDxfId="1862" totalsRowDxfId="1861" dataCellStyle="Comma"/>
    <tableColumn id="9" name="2030" totalsRowFunction="sum" dataDxfId="1860" totalsRowDxfId="1859" dataCellStyle="Comma"/>
    <tableColumn id="10" name="2035" totalsRowFunction="sum" dataDxfId="1858" totalsRowDxfId="1857" dataCellStyle="Comma"/>
    <tableColumn id="11" name="2040" totalsRowFunction="sum" dataDxfId="1856" totalsRowDxfId="1855" dataCellStyle="Comma"/>
    <tableColumn id="12" name="2045" totalsRowFunction="sum" dataDxfId="1854" totalsRowDxfId="1853" dataCellStyle="Comma"/>
    <tableColumn id="13" name="2050" totalsRowFunction="sum" dataDxfId="1852" totalsRowDxfId="1851" dataCellStyle="Comma"/>
  </tableColumns>
  <tableStyleInfo name="EnergyCalcTables" showFirstColumn="0" showLastColumn="0" showRowStripes="1" showColumnStripes="0"/>
</table>
</file>

<file path=xl/tables/table106.xml><?xml version="1.0" encoding="utf-8"?>
<table xmlns="http://schemas.openxmlformats.org/spreadsheetml/2006/main" id="163" name="XI.a.Combustion.AQ" displayName="XI.a.Combustion.AQ" ref="C467:N471" totalsRowShown="0" headerRowDxfId="1850" dataDxfId="1848" headerRowBorderDxfId="1849" totalsRowBorderDxfId="1847">
  <autoFilter ref="C467:N471"/>
  <tableColumns count="12">
    <tableColumn id="1" name="Vector" dataDxfId="1846">
      <calculatedColumnFormula>INDEX(AirQualityVectors[Code],MATCH(D468,AirQualityVectors[Description],0))</calculatedColumnFormula>
    </tableColumn>
    <tableColumn id="2" name="Name" dataDxfId="1845"/>
    <tableColumn id="3" name="IPCC Sector" dataDxfId="1844"/>
    <tableColumn id="5" name="2010" dataDxfId="1843">
      <calculatedColumnFormula>F359</calculatedColumnFormula>
    </tableColumn>
    <tableColumn id="6" name="2015" dataDxfId="1842">
      <calculatedColumnFormula>G359</calculatedColumnFormula>
    </tableColumn>
    <tableColumn id="7" name="2020" dataDxfId="1841">
      <calculatedColumnFormula>H359</calculatedColumnFormula>
    </tableColumn>
    <tableColumn id="8" name="2025" dataDxfId="1840">
      <calculatedColumnFormula>I359</calculatedColumnFormula>
    </tableColumn>
    <tableColumn id="9" name="2030" dataDxfId="1839">
      <calculatedColumnFormula>J359</calculatedColumnFormula>
    </tableColumn>
    <tableColumn id="10" name="2035" dataDxfId="1838">
      <calculatedColumnFormula>K359</calculatedColumnFormula>
    </tableColumn>
    <tableColumn id="11" name="2040" dataDxfId="1837">
      <calculatedColumnFormula>L359</calculatedColumnFormula>
    </tableColumn>
    <tableColumn id="12" name="2045" dataDxfId="1836">
      <calculatedColumnFormula>M359</calculatedColumnFormula>
    </tableColumn>
    <tableColumn id="13" name="2050" dataDxfId="1835">
      <calculatedColumnFormula>N359</calculatedColumnFormula>
    </tableColumn>
  </tableColumns>
  <tableStyleInfo name="TableStyleMedium9" showFirstColumn="0" showLastColumn="0" showRowStripes="1" showColumnStripes="0"/>
</table>
</file>

<file path=xl/tables/table107.xml><?xml version="1.0" encoding="utf-8"?>
<table xmlns="http://schemas.openxmlformats.org/spreadsheetml/2006/main" id="298" name="XI.a.Process.AQ" displayName="XI.a.Process.AQ" ref="C475:N479" totalsRowShown="0" headerRowDxfId="1834" dataDxfId="1832" headerRowBorderDxfId="1833" tableBorderDxfId="1831" totalsRowBorderDxfId="1830">
  <autoFilter ref="C475:N479"/>
  <tableColumns count="12">
    <tableColumn id="1" name="Vector" dataDxfId="1829">
      <calculatedColumnFormula>INDEX(AirQualityVectors[Code],MATCH(D476,AirQualityVectors[Description],0))</calculatedColumnFormula>
    </tableColumn>
    <tableColumn id="2" name="Name" dataDxfId="1828"/>
    <tableColumn id="3" name="IPCC Sector" dataDxfId="1827"/>
    <tableColumn id="5" name="2010" dataDxfId="1826"/>
    <tableColumn id="6" name="2015" dataDxfId="1825"/>
    <tableColumn id="7" name="2020" dataDxfId="1824"/>
    <tableColumn id="8" name="2025" dataDxfId="1823"/>
    <tableColumn id="9" name="2030" dataDxfId="1822"/>
    <tableColumn id="10" name="2035" dataDxfId="1821"/>
    <tableColumn id="11" name="2040" dataDxfId="1820"/>
    <tableColumn id="12" name="2045" dataDxfId="1819"/>
    <tableColumn id="13" name="2050" dataDxfId="1818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id="67" name="XII.a.Outputs" displayName="XII.a.Outputs" ref="C821:N828" totalsRowCount="1" headerRowDxfId="1815" dataDxfId="1814">
  <autoFilter ref="C821:N827"/>
  <tableColumns count="12">
    <tableColumn id="1" name="Vector" totalsRowLabel="Total" dataDxfId="1813" totalsRowDxfId="1812"/>
    <tableColumn id="2" name="Name" dataDxfId="1811" totalsRowDxfId="1810">
      <calculatedColumnFormula>INDEX([9]!Vectors[Description], MATCH(XII.a.Outputs[Vector], [9]!Vectors[Code], 0))</calculatedColumnFormula>
    </tableColumn>
    <tableColumn id="3" name="Notes" dataDxfId="1809" totalsRowDxfId="1808"/>
    <tableColumn id="5" name="2010" totalsRowFunction="sum" dataDxfId="1807" totalsRowDxfId="1806" dataCellStyle="Comma"/>
    <tableColumn id="6" name="2015" totalsRowFunction="sum" dataDxfId="1805" totalsRowDxfId="1804" dataCellStyle="Comma"/>
    <tableColumn id="7" name="2020" totalsRowFunction="sum" dataDxfId="1803" totalsRowDxfId="1802" dataCellStyle="Comma"/>
    <tableColumn id="8" name="2025" totalsRowFunction="sum" dataDxfId="1801" totalsRowDxfId="1800" dataCellStyle="Comma"/>
    <tableColumn id="9" name="2030" totalsRowFunction="sum" dataDxfId="1799" totalsRowDxfId="1798" dataCellStyle="Comma"/>
    <tableColumn id="10" name="2035" totalsRowFunction="sum" dataDxfId="1797" totalsRowDxfId="1796" dataCellStyle="Comma"/>
    <tableColumn id="11" name="2040" totalsRowFunction="sum" dataDxfId="1795" totalsRowDxfId="1794" dataCellStyle="Comma"/>
    <tableColumn id="12" name="2045" totalsRowFunction="sum" dataDxfId="1793" totalsRowDxfId="1792" dataCellStyle="Comma"/>
    <tableColumn id="13" name="2050" totalsRowFunction="sum" dataDxfId="1791" totalsRowDxfId="1790" dataCellStyle="Comma"/>
  </tableColumns>
  <tableStyleInfo name="EnergyCalcTables" showFirstColumn="0" showLastColumn="0" showRowStripes="1" showColumnStripes="0"/>
</table>
</file>

<file path=xl/tables/table109.xml><?xml version="1.0" encoding="utf-8"?>
<table xmlns="http://schemas.openxmlformats.org/spreadsheetml/2006/main" id="170" name="XII.a.Emissions" displayName="XII.a.Emissions" ref="C862:N866" totalsRowCount="1" headerRowDxfId="1789" dataDxfId="1787" headerRowBorderDxfId="1788" tableBorderDxfId="1786" dataCellStyle="Comma">
  <autoFilter ref="C862:N865"/>
  <tableColumns count="12">
    <tableColumn id="1" name="GHG" totalsRowLabel="Total" dataDxfId="1785" totalsRowDxfId="1784"/>
    <tableColumn id="2" name="IPCC Sector" dataDxfId="1783" totalsRowDxfId="1782"/>
    <tableColumn id="3" name="Notes" dataDxfId="1781" totalsRowDxfId="1780">
      <calculatedColumnFormula>INDEX(IPCC[Sector_description], MATCH(XII.a.Emissions[IPCC Sector], IPCC[Sector_code], 0))</calculatedColumnFormula>
    </tableColumn>
    <tableColumn id="5" name="2010" totalsRowFunction="sum" dataDxfId="1779" totalsRowDxfId="1778" dataCellStyle="Comma"/>
    <tableColumn id="6" name="2015" totalsRowFunction="sum" dataDxfId="1777" totalsRowDxfId="1776" dataCellStyle="Comma"/>
    <tableColumn id="7" name="2020" totalsRowFunction="sum" dataDxfId="1775" totalsRowDxfId="1774" dataCellStyle="Comma"/>
    <tableColumn id="8" name="2025" totalsRowFunction="sum" dataDxfId="1773" totalsRowDxfId="1772" dataCellStyle="Comma"/>
    <tableColumn id="9" name="2030" totalsRowFunction="sum" dataDxfId="1771" totalsRowDxfId="1770" dataCellStyle="Comma"/>
    <tableColumn id="10" name="2035" totalsRowFunction="sum" dataDxfId="1769" totalsRowDxfId="1768" dataCellStyle="Comma"/>
    <tableColumn id="11" name="2040" totalsRowFunction="sum" dataDxfId="1767" totalsRowDxfId="1766" dataCellStyle="Comma"/>
    <tableColumn id="12" name="2045" totalsRowFunction="sum" dataDxfId="1765" totalsRowDxfId="1764" dataCellStyle="Comma"/>
    <tableColumn id="13" name="2050" totalsRowFunction="sum" dataDxfId="1763" totalsRowDxfId="1762" dataCellStyle="Comma"/>
  </tableColumns>
  <tableStyleInfo name="EnergyCalcTables" showFirstColumn="0" showLastColumn="0" showRowStripes="1" showColumnStripes="0"/>
</table>
</file>

<file path=xl/tables/table11.xml><?xml version="1.0" encoding="utf-8"?>
<table xmlns="http://schemas.openxmlformats.org/spreadsheetml/2006/main" id="32" name="GHG" displayName="GHG" ref="T22:V26" totalsRowShown="0" headerRowDxfId="4196" dataDxfId="4195">
  <autoFilter ref="T22:V26"/>
  <tableColumns count="3">
    <tableColumn id="1" name="GHG_code" dataDxfId="4194"/>
    <tableColumn id="2" name="GHG_description" dataDxfId="4193"/>
    <tableColumn id="3" name="Comment" dataDxfId="4192"/>
  </tableColumns>
  <tableStyleInfo name="TableStyleMedium11" showFirstColumn="0" showLastColumn="0" showRowStripes="1" showColumnStripes="0"/>
</table>
</file>

<file path=xl/tables/table110.xml><?xml version="1.0" encoding="utf-8"?>
<table xmlns="http://schemas.openxmlformats.org/spreadsheetml/2006/main" id="180" name="XII.a.info" displayName="XII.a.info" ref="C907:N909" totalsRowShown="0" headerRowDxfId="1761" dataDxfId="1759" totalsRowDxfId="1757" headerRowBorderDxfId="1760" tableBorderDxfId="1758" dataCellStyle="Comma">
  <autoFilter ref="C907:N909"/>
  <tableColumns count="12">
    <tableColumn id="1" name="Vector" dataDxfId="1756" totalsRowDxfId="1755"/>
    <tableColumn id="2" name="Information type" dataDxfId="1754" totalsRowDxfId="1753">
      <calculatedColumnFormula>INDEX([9]!Vectors[Description], MATCH(XII.a.info[Vector], [9]!Vectors[Code], 0))</calculatedColumnFormula>
    </tableColumn>
    <tableColumn id="3" name="Notes" dataDxfId="1752" totalsRowDxfId="1751">
      <calculatedColumnFormula>INDEX([9]!Vectors[Comment], MATCH(XII.a.info[Information type], [9]!Vectors[Description], 0))</calculatedColumnFormula>
    </tableColumn>
    <tableColumn id="5" name="2010" dataDxfId="1750" totalsRowDxfId="1749" dataCellStyle="Comma"/>
    <tableColumn id="6" name="2015" dataDxfId="1748" totalsRowDxfId="1747" dataCellStyle="Comma"/>
    <tableColumn id="7" name="2020" dataDxfId="1746" totalsRowDxfId="1745" dataCellStyle="Comma"/>
    <tableColumn id="8" name="2025" dataDxfId="1744" totalsRowDxfId="1743" dataCellStyle="Comma"/>
    <tableColumn id="9" name="2030" dataDxfId="1742" totalsRowDxfId="1741" dataCellStyle="Comma"/>
    <tableColumn id="10" name="2035" dataDxfId="1740" totalsRowDxfId="1739" dataCellStyle="Comma"/>
    <tableColumn id="11" name="2040" dataDxfId="1738" totalsRowDxfId="1737" dataCellStyle="Comma"/>
    <tableColumn id="12" name="2045" dataDxfId="1736" totalsRowDxfId="1735" dataCellStyle="Comma"/>
    <tableColumn id="13" name="2050" dataDxfId="1734" totalsRowDxfId="1733" dataCellStyle="Comma"/>
  </tableColumns>
  <tableStyleInfo name="EnergyCalcTables" showFirstColumn="0" showLastColumn="0" showRowStripes="1" showColumnStripes="0"/>
</table>
</file>

<file path=xl/tables/table111.xml><?xml version="1.0" encoding="utf-8"?>
<table xmlns="http://schemas.openxmlformats.org/spreadsheetml/2006/main" id="183" name="XII.a.Road.Outputs" displayName="XII.a.Road.Outputs" ref="C832:N837" totalsRowCount="1" headerRowDxfId="1732" dataDxfId="1731">
  <autoFilter ref="C832:N836"/>
  <tableColumns count="12">
    <tableColumn id="1" name="Vector" totalsRowLabel="Total" dataDxfId="1730" totalsRowDxfId="1729"/>
    <tableColumn id="2" name="Name" dataDxfId="1728" totalsRowDxfId="1727">
      <calculatedColumnFormula>INDEX(Vectors[Description], MATCH(XII.a.Road.Outputs[Vector], Vectors[Code], 0))</calculatedColumnFormula>
    </tableColumn>
    <tableColumn id="3" name="Notes" dataDxfId="1726" totalsRowDxfId="1725"/>
    <tableColumn id="5" name="2010" totalsRowFunction="sum" dataDxfId="1724" totalsRowDxfId="1723" dataCellStyle="Comma"/>
    <tableColumn id="6" name="2015" totalsRowFunction="sum" dataDxfId="1722" totalsRowDxfId="1721" dataCellStyle="Comma"/>
    <tableColumn id="7" name="2020" totalsRowFunction="sum" dataDxfId="1720" totalsRowDxfId="1719" dataCellStyle="Comma"/>
    <tableColumn id="8" name="2025" totalsRowFunction="sum" dataDxfId="1718" totalsRowDxfId="1717" dataCellStyle="Comma"/>
    <tableColumn id="9" name="2030" totalsRowFunction="sum" dataDxfId="1716" totalsRowDxfId="1715" dataCellStyle="Comma"/>
    <tableColumn id="10" name="2035" totalsRowFunction="sum" dataDxfId="1714" totalsRowDxfId="1713" dataCellStyle="Comma"/>
    <tableColumn id="11" name="2040" totalsRowFunction="sum" dataDxfId="1712" totalsRowDxfId="1711" dataCellStyle="Comma"/>
    <tableColumn id="12" name="2045" totalsRowFunction="sum" dataDxfId="1710" totalsRowDxfId="1709" dataCellStyle="Comma"/>
    <tableColumn id="13" name="2050" totalsRowFunction="sum" dataDxfId="1708" totalsRowDxfId="1707" dataCellStyle="Comma"/>
  </tableColumns>
  <tableStyleInfo name="EnergyCalcTables" showFirstColumn="0" showLastColumn="0" showRowStripes="1" showColumnStripes="0"/>
</table>
</file>

<file path=xl/tables/table112.xml><?xml version="1.0" encoding="utf-8"?>
<table xmlns="http://schemas.openxmlformats.org/spreadsheetml/2006/main" id="191" name="XII.a.Rail.Outputs" displayName="XII.a.Rail.Outputs" ref="C841:N846" totalsRowCount="1" headerRowDxfId="1706" dataDxfId="1705">
  <autoFilter ref="C841:N845"/>
  <tableColumns count="12">
    <tableColumn id="1" name="Vector" totalsRowLabel="Total" dataDxfId="1704" totalsRowDxfId="1703"/>
    <tableColumn id="2" name="Name" dataDxfId="1702" totalsRowDxfId="1701">
      <calculatedColumnFormula>INDEX(Vectors[Description], MATCH(XII.a.Rail.Outputs[Vector], Vectors[Code], 0))</calculatedColumnFormula>
    </tableColumn>
    <tableColumn id="3" name="Notes" dataDxfId="1700" totalsRowDxfId="1699"/>
    <tableColumn id="5" name="2010" totalsRowFunction="sum" dataDxfId="1698" totalsRowDxfId="1697" dataCellStyle="Comma"/>
    <tableColumn id="6" name="2015" totalsRowFunction="sum" dataDxfId="1696" totalsRowDxfId="1695" dataCellStyle="Comma"/>
    <tableColumn id="7" name="2020" totalsRowFunction="sum" dataDxfId="1694" totalsRowDxfId="1693" dataCellStyle="Comma"/>
    <tableColumn id="8" name="2025" totalsRowFunction="sum" dataDxfId="1692" totalsRowDxfId="1691" dataCellStyle="Comma"/>
    <tableColumn id="9" name="2030" totalsRowFunction="sum" dataDxfId="1690" totalsRowDxfId="1689" dataCellStyle="Comma"/>
    <tableColumn id="10" name="2035" totalsRowFunction="sum" dataDxfId="1688" totalsRowDxfId="1687" dataCellStyle="Comma"/>
    <tableColumn id="11" name="2040" totalsRowFunction="sum" dataDxfId="1686" totalsRowDxfId="1685" dataCellStyle="Comma"/>
    <tableColumn id="12" name="2045" totalsRowFunction="sum" dataDxfId="1684" totalsRowDxfId="1683" dataCellStyle="Comma"/>
    <tableColumn id="13" name="2050" totalsRowFunction="sum" dataDxfId="1682" totalsRowDxfId="1681" dataCellStyle="Comma"/>
  </tableColumns>
  <tableStyleInfo name="EnergyCalcTables" showFirstColumn="0" showLastColumn="0" showRowStripes="1" showColumnStripes="0"/>
</table>
</file>

<file path=xl/tables/table113.xml><?xml version="1.0" encoding="utf-8"?>
<table xmlns="http://schemas.openxmlformats.org/spreadsheetml/2006/main" id="194" name="XII.a.Aviation.Outputs" displayName="XII.a.Aviation.Outputs" ref="C850:N855" totalsRowCount="1" headerRowDxfId="1680" dataDxfId="1679">
  <autoFilter ref="C850:N854"/>
  <tableColumns count="12">
    <tableColumn id="1" name="Vector" totalsRowLabel="Total" dataDxfId="1678" totalsRowDxfId="1677"/>
    <tableColumn id="2" name="Name" dataDxfId="1676" totalsRowDxfId="1675">
      <calculatedColumnFormula>INDEX(Vectors[Description], MATCH(XII.a.Aviation.Outputs[Vector], Vectors[Code], 0))</calculatedColumnFormula>
    </tableColumn>
    <tableColumn id="3" name="Notes" dataDxfId="1674" totalsRowDxfId="1673"/>
    <tableColumn id="5" name="2010" totalsRowFunction="sum" dataDxfId="1672" totalsRowDxfId="1671" dataCellStyle="Comma"/>
    <tableColumn id="6" name="2015" totalsRowFunction="sum" dataDxfId="1670" totalsRowDxfId="1669" dataCellStyle="Comma"/>
    <tableColumn id="7" name="2020" totalsRowFunction="sum" dataDxfId="1668" totalsRowDxfId="1667" dataCellStyle="Comma"/>
    <tableColumn id="8" name="2025" totalsRowFunction="sum" dataDxfId="1666" totalsRowDxfId="1665" dataCellStyle="Comma"/>
    <tableColumn id="9" name="2030" totalsRowFunction="sum" dataDxfId="1664" totalsRowDxfId="1663" dataCellStyle="Comma"/>
    <tableColumn id="10" name="2035" totalsRowFunction="sum" dataDxfId="1662" totalsRowDxfId="1661" dataCellStyle="Comma"/>
    <tableColumn id="11" name="2040" totalsRowFunction="sum" dataDxfId="1660" totalsRowDxfId="1659" dataCellStyle="Comma"/>
    <tableColumn id="12" name="2045" totalsRowFunction="sum" dataDxfId="1658" totalsRowDxfId="1657" dataCellStyle="Comma"/>
    <tableColumn id="13" name="2050" totalsRowFunction="sum" dataDxfId="1656" totalsRowDxfId="1655" dataCellStyle="Comma"/>
  </tableColumns>
  <tableStyleInfo name="EnergyCalcTables" showFirstColumn="0" showLastColumn="0" showRowStripes="1" showColumnStripes="0"/>
</table>
</file>

<file path=xl/tables/table114.xml><?xml version="1.0" encoding="utf-8"?>
<table xmlns="http://schemas.openxmlformats.org/spreadsheetml/2006/main" id="197" name="XII.a.road.Emissions" displayName="XII.a.road.Emissions" ref="C870:N874" totalsRowCount="1" headerRowDxfId="1654" dataDxfId="1652" headerRowBorderDxfId="1653" tableBorderDxfId="1651" dataCellStyle="Comma">
  <autoFilter ref="C870:N873"/>
  <tableColumns count="12">
    <tableColumn id="1" name="GHG" totalsRowLabel="Total" dataDxfId="1650" totalsRowDxfId="1649"/>
    <tableColumn id="2" name="IPCC Sector" dataDxfId="1648" totalsRowDxfId="1647"/>
    <tableColumn id="3" name="Notes" dataDxfId="1646" totalsRowDxfId="1645">
      <calculatedColumnFormula>INDEX(IPCC[Sector_description], MATCH(XII.a.road.Emissions[IPCC Sector], IPCC[Sector_code], 0))</calculatedColumnFormula>
    </tableColumn>
    <tableColumn id="5" name="2010" totalsRowFunction="sum" dataDxfId="1644" totalsRowDxfId="1643" dataCellStyle="Comma">
      <calculatedColumnFormula>F$863*(F834/F825)</calculatedColumnFormula>
    </tableColumn>
    <tableColumn id="6" name="2015" totalsRowFunction="sum" dataDxfId="1642" totalsRowDxfId="1641" dataCellStyle="Comma">
      <calculatedColumnFormula>G$863*(G834/G825)</calculatedColumnFormula>
    </tableColumn>
    <tableColumn id="7" name="2020" totalsRowFunction="sum" dataDxfId="1640" totalsRowDxfId="1639" dataCellStyle="Comma">
      <calculatedColumnFormula>H$863*(H834/H825)</calculatedColumnFormula>
    </tableColumn>
    <tableColumn id="8" name="2025" totalsRowFunction="sum" dataDxfId="1638" totalsRowDxfId="1637" dataCellStyle="Comma">
      <calculatedColumnFormula>I$863*(I834/I825)</calculatedColumnFormula>
    </tableColumn>
    <tableColumn id="9" name="2030" totalsRowFunction="sum" dataDxfId="1636" totalsRowDxfId="1635" dataCellStyle="Comma">
      <calculatedColumnFormula>J$863*(J834/J825)</calculatedColumnFormula>
    </tableColumn>
    <tableColumn id="10" name="2035" totalsRowFunction="sum" dataDxfId="1634" totalsRowDxfId="1633" dataCellStyle="Comma">
      <calculatedColumnFormula>K$863*(K834/K825)</calculatedColumnFormula>
    </tableColumn>
    <tableColumn id="11" name="2040" totalsRowFunction="sum" dataDxfId="1632" totalsRowDxfId="1631" dataCellStyle="Comma">
      <calculatedColumnFormula>L$863*(L834/L825)</calculatedColumnFormula>
    </tableColumn>
    <tableColumn id="12" name="2045" totalsRowFunction="sum" dataDxfId="1630" totalsRowDxfId="1629" dataCellStyle="Comma">
      <calculatedColumnFormula>M$863*(M834/M825)</calculatedColumnFormula>
    </tableColumn>
    <tableColumn id="13" name="2050" totalsRowFunction="sum" dataDxfId="1628" totalsRowDxfId="1627" dataCellStyle="Comma">
      <calculatedColumnFormula>N$863*(N834/N825)</calculatedColumnFormula>
    </tableColumn>
  </tableColumns>
  <tableStyleInfo name="EnergyCalcTables" showFirstColumn="0" showLastColumn="0" showRowStripes="1" showColumnStripes="0"/>
</table>
</file>

<file path=xl/tables/table115.xml><?xml version="1.0" encoding="utf-8"?>
<table xmlns="http://schemas.openxmlformats.org/spreadsheetml/2006/main" id="203" name="XII.a.Rail.Emissions" displayName="XII.a.Rail.Emissions" ref="C878:N882" totalsRowCount="1" headerRowDxfId="1626" dataDxfId="1624" headerRowBorderDxfId="1625" tableBorderDxfId="1623" dataCellStyle="Comma">
  <autoFilter ref="C878:N881"/>
  <tableColumns count="12">
    <tableColumn id="1" name="GHG" totalsRowLabel="Total" dataDxfId="1622" totalsRowDxfId="1621"/>
    <tableColumn id="2" name="IPCC Sector" dataDxfId="1620" totalsRowDxfId="1619"/>
    <tableColumn id="3" name="Notes" dataDxfId="1618" totalsRowDxfId="1617">
      <calculatedColumnFormula>INDEX(IPCC[Sector_description], MATCH(XII.a.Rail.Emissions[IPCC Sector], IPCC[Sector_code], 0))</calculatedColumnFormula>
    </tableColumn>
    <tableColumn id="5" name="2010" totalsRowFunction="sum" dataDxfId="1616" totalsRowDxfId="1615" dataCellStyle="Comma">
      <calculatedColumnFormula>F863*(F$843/F$825)</calculatedColumnFormula>
    </tableColumn>
    <tableColumn id="6" name="2015" totalsRowFunction="sum" dataDxfId="1614" totalsRowDxfId="1613" dataCellStyle="Comma">
      <calculatedColumnFormula>G863*(G$843/G$825)</calculatedColumnFormula>
    </tableColumn>
    <tableColumn id="7" name="2020" totalsRowFunction="sum" dataDxfId="1612" totalsRowDxfId="1611" dataCellStyle="Comma">
      <calculatedColumnFormula>H863*(H$843/H$825)</calculatedColumnFormula>
    </tableColumn>
    <tableColumn id="8" name="2025" totalsRowFunction="sum" dataDxfId="1610" totalsRowDxfId="1609" dataCellStyle="Comma">
      <calculatedColumnFormula>I863*(I$843/I$825)</calculatedColumnFormula>
    </tableColumn>
    <tableColumn id="9" name="2030" totalsRowFunction="sum" dataDxfId="1608" totalsRowDxfId="1607" dataCellStyle="Comma">
      <calculatedColumnFormula>J863*(J$843/J$825)</calculatedColumnFormula>
    </tableColumn>
    <tableColumn id="10" name="2035" totalsRowFunction="sum" dataDxfId="1606" totalsRowDxfId="1605" dataCellStyle="Comma">
      <calculatedColumnFormula>K863*(K$843/K$825)</calculatedColumnFormula>
    </tableColumn>
    <tableColumn id="11" name="2040" totalsRowFunction="sum" dataDxfId="1604" totalsRowDxfId="1603" dataCellStyle="Comma">
      <calculatedColumnFormula>L863*(L$843/L$825)</calculatedColumnFormula>
    </tableColumn>
    <tableColumn id="12" name="2045" totalsRowFunction="sum" dataDxfId="1602" totalsRowDxfId="1601" dataCellStyle="Comma">
      <calculatedColumnFormula>M863*(M$843/M$825)</calculatedColumnFormula>
    </tableColumn>
    <tableColumn id="13" name="2050" totalsRowFunction="sum" dataDxfId="1600" totalsRowDxfId="1599" dataCellStyle="Comma">
      <calculatedColumnFormula>N863*(N$843/N$825)</calculatedColumnFormula>
    </tableColumn>
  </tableColumns>
  <tableStyleInfo name="EnergyCalcTables" showFirstColumn="0" showLastColumn="0" showRowStripes="1" showColumnStripes="0"/>
</table>
</file>

<file path=xl/tables/table116.xml><?xml version="1.0" encoding="utf-8"?>
<table xmlns="http://schemas.openxmlformats.org/spreadsheetml/2006/main" id="206" name="XII.a.Aviation.Emissions" displayName="XII.a.Aviation.Emissions" ref="C886:N890" totalsRowCount="1" headerRowDxfId="1598" dataDxfId="1596" headerRowBorderDxfId="1597" tableBorderDxfId="1595" dataCellStyle="Comma">
  <autoFilter ref="C886:N889"/>
  <tableColumns count="12">
    <tableColumn id="1" name="GHG" totalsRowLabel="Total" dataDxfId="1594" totalsRowDxfId="1593"/>
    <tableColumn id="2" name="IPCC Sector" dataDxfId="1592" totalsRowDxfId="1591"/>
    <tableColumn id="3" name="Notes" dataDxfId="1590" totalsRowDxfId="1589">
      <calculatedColumnFormula>INDEX(IPCC[Sector_description], MATCH(XII.a.Aviation.Emissions[IPCC Sector], IPCC[Sector_code], 0))</calculatedColumnFormula>
    </tableColumn>
    <tableColumn id="5" name="2010" totalsRowFunction="sum" dataDxfId="1588" totalsRowDxfId="1587" dataCellStyle="Comma">
      <calculatedColumnFormula>F863*(F$852/F$825)</calculatedColumnFormula>
    </tableColumn>
    <tableColumn id="6" name="2015" totalsRowFunction="sum" dataDxfId="1586" totalsRowDxfId="1585" dataCellStyle="Comma">
      <calculatedColumnFormula>G863*(G$852/G$825)</calculatedColumnFormula>
    </tableColumn>
    <tableColumn id="7" name="2020" totalsRowFunction="sum" dataDxfId="1584" totalsRowDxfId="1583" dataCellStyle="Comma">
      <calculatedColumnFormula>H863*(H$852/H$825)</calculatedColumnFormula>
    </tableColumn>
    <tableColumn id="8" name="2025" totalsRowFunction="sum" dataDxfId="1582" totalsRowDxfId="1581" dataCellStyle="Comma">
      <calculatedColumnFormula>I863*(I$852/I$825)</calculatedColumnFormula>
    </tableColumn>
    <tableColumn id="9" name="2030" totalsRowFunction="sum" dataDxfId="1580" totalsRowDxfId="1579" dataCellStyle="Comma">
      <calculatedColumnFormula>J863*(J$852/J$825)</calculatedColumnFormula>
    </tableColumn>
    <tableColumn id="10" name="2035" totalsRowFunction="sum" dataDxfId="1578" totalsRowDxfId="1577" dataCellStyle="Comma">
      <calculatedColumnFormula>K863*(K$852/K$825)</calculatedColumnFormula>
    </tableColumn>
    <tableColumn id="11" name="2040" totalsRowFunction="sum" dataDxfId="1576" totalsRowDxfId="1575" dataCellStyle="Comma">
      <calculatedColumnFormula>L863*(L$852/L$825)</calculatedColumnFormula>
    </tableColumn>
    <tableColumn id="12" name="2045" totalsRowFunction="sum" dataDxfId="1574" totalsRowDxfId="1573" dataCellStyle="Comma">
      <calculatedColumnFormula>M863*(M$852/M$825)</calculatedColumnFormula>
    </tableColumn>
    <tableColumn id="13" name="2050" totalsRowFunction="sum" dataDxfId="1572" totalsRowDxfId="1571" dataCellStyle="Comma">
      <calculatedColumnFormula>N863*(N$852/N$825)</calculatedColumnFormula>
    </tableColumn>
  </tableColumns>
  <tableStyleInfo name="EnergyCalcTables" showFirstColumn="0" showLastColumn="0" showRowStripes="1" showColumnStripes="0"/>
</table>
</file>

<file path=xl/tables/table117.xml><?xml version="1.0" encoding="utf-8"?>
<table xmlns="http://schemas.openxmlformats.org/spreadsheetml/2006/main" id="207" name="XII.a.ICE_LH.Costs" displayName="XII.a.ICE_LH.Costs" ref="C917:N923" headerRowDxfId="1570" dataDxfId="1568" headerRowBorderDxfId="1569" tableBorderDxfId="1567" dataCellStyle="Comma">
  <autoFilter ref="C917:N923"/>
  <tableColumns count="12">
    <tableColumn id="1" name="Vector" totalsRowLabel="Total" dataDxfId="1566" totalsRowDxfId="1565"/>
    <tableColumn id="2" name="Name" dataDxfId="1564" totalsRowDxfId="1563">
      <calculatedColumnFormula>INDEX(CostVectors[Description], MATCH(C918,CostVectors[Code], 0))</calculatedColumnFormula>
    </tableColumn>
    <tableColumn id="3" name="Notes" dataDxfId="1562" totalsRowDxfId="1561"/>
    <tableColumn id="5" name="2010" totalsRowFunction="custom" dataDxfId="1560" totalsRowDxfId="1559" dataCellStyle="Comma">
      <totalsRowFormula>SUM(XII.a.ICE_LH.Costs[2010])</totalsRowFormula>
    </tableColumn>
    <tableColumn id="6" name="2015" totalsRowFunction="custom" dataDxfId="1558" totalsRowDxfId="1557" dataCellStyle="Comma">
      <totalsRowFormula>SUM(XII.a.ICE_LH.Costs[2015])</totalsRowFormula>
    </tableColumn>
    <tableColumn id="7" name="2020" totalsRowFunction="sum" dataDxfId="1556" totalsRowDxfId="1555" dataCellStyle="Comma"/>
    <tableColumn id="8" name="2025" totalsRowFunction="sum" dataDxfId="1554" totalsRowDxfId="1553" dataCellStyle="Comma"/>
    <tableColumn id="9" name="2030" totalsRowFunction="sum" dataDxfId="1552" totalsRowDxfId="1551" dataCellStyle="Comma"/>
    <tableColumn id="10" name="2035" totalsRowFunction="sum" dataDxfId="1550" totalsRowDxfId="1549" dataCellStyle="Comma"/>
    <tableColumn id="11" name="2040" totalsRowFunction="sum" dataDxfId="1548" totalsRowDxfId="1547" dataCellStyle="Comma"/>
    <tableColumn id="12" name="2045" totalsRowFunction="sum" dataDxfId="1546" totalsRowDxfId="1545" dataCellStyle="Comma"/>
    <tableColumn id="13" name="2050" totalsRowFunction="sum" dataDxfId="1544" totalsRowDxfId="1543" dataCellStyle="Comma"/>
  </tableColumns>
  <tableStyleInfo name="EnergyCalcTables" showFirstColumn="0" showLastColumn="0" showRowStripes="1" showColumnStripes="0"/>
</table>
</file>

<file path=xl/tables/table118.xml><?xml version="1.0" encoding="utf-8"?>
<table xmlns="http://schemas.openxmlformats.org/spreadsheetml/2006/main" id="213" name="XII.a.Car.EV.Info" displayName="XII.a.Car.EV.Info" ref="C902:N903" totalsRowShown="0" headerRowDxfId="1542" dataDxfId="1540" totalsRowDxfId="1538" headerRowBorderDxfId="1541" tableBorderDxfId="1539" dataCellStyle="Comma">
  <autoFilter ref="C902:N903"/>
  <tableColumns count="12">
    <tableColumn id="1" name="Vector" dataDxfId="1537" totalsRowDxfId="1536"/>
    <tableColumn id="2" name="Information type" dataDxfId="1535" totalsRowDxfId="1534">
      <calculatedColumnFormula>INDEX(Vectors[Description], MATCH(XII.a.Car.EV.Info[Vector], Vectors[Code], 0))</calculatedColumnFormula>
    </tableColumn>
    <tableColumn id="3" name="Notes" dataDxfId="1533" totalsRowDxfId="1532">
      <calculatedColumnFormula>Preferences.PowerUnits</calculatedColumnFormula>
    </tableColumn>
    <tableColumn id="5" name="2010" dataDxfId="1531" totalsRowDxfId="1530" dataCellStyle="Comma">
      <calculatedColumnFormula>F779*Conversion.to.average.power</calculatedColumnFormula>
    </tableColumn>
    <tableColumn id="6" name="2015" dataDxfId="1529" totalsRowDxfId="1528" dataCellStyle="Comma">
      <calculatedColumnFormula>G779*Conversion.to.average.power</calculatedColumnFormula>
    </tableColumn>
    <tableColumn id="7" name="2020" dataDxfId="1527" totalsRowDxfId="1526" dataCellStyle="Comma">
      <calculatedColumnFormula>H779*Conversion.to.average.power</calculatedColumnFormula>
    </tableColumn>
    <tableColumn id="8" name="2025" dataDxfId="1525" totalsRowDxfId="1524" dataCellStyle="Comma">
      <calculatedColumnFormula>I779*Conversion.to.average.power</calculatedColumnFormula>
    </tableColumn>
    <tableColumn id="9" name="2030" dataDxfId="1523" totalsRowDxfId="1522" dataCellStyle="Comma">
      <calculatedColumnFormula>J779*Conversion.to.average.power</calculatedColumnFormula>
    </tableColumn>
    <tableColumn id="10" name="2035" dataDxfId="1521" totalsRowDxfId="1520" dataCellStyle="Comma">
      <calculatedColumnFormula>K779*Conversion.to.average.power</calculatedColumnFormula>
    </tableColumn>
    <tableColumn id="11" name="2040" dataDxfId="1519" totalsRowDxfId="1518" dataCellStyle="Comma">
      <calculatedColumnFormula>L779*Conversion.to.average.power</calculatedColumnFormula>
    </tableColumn>
    <tableColumn id="12" name="2045" dataDxfId="1517" totalsRowDxfId="1516" dataCellStyle="Comma">
      <calculatedColumnFormula>M779*Conversion.to.average.power</calculatedColumnFormula>
    </tableColumn>
    <tableColumn id="13" name="2050" dataDxfId="1515" totalsRowDxfId="1514" dataCellStyle="Comma">
      <calculatedColumnFormula>N779*Conversion.to.average.power</calculatedColumnFormula>
    </tableColumn>
  </tableColumns>
  <tableStyleInfo name="EnergyCalcTables" showFirstColumn="0" showLastColumn="0" showRowStripes="1" showColumnStripes="0"/>
</table>
</file>

<file path=xl/tables/table119.xml><?xml version="1.0" encoding="utf-8"?>
<table xmlns="http://schemas.openxmlformats.org/spreadsheetml/2006/main" id="214" name="XII.a.Car.PHEV.Info" displayName="XII.a.Car.PHEV.Info" ref="C897:N898" totalsRowShown="0" headerRowDxfId="1513" dataDxfId="1511" totalsRowDxfId="1509" headerRowBorderDxfId="1512" tableBorderDxfId="1510" dataCellStyle="Comma">
  <autoFilter ref="C897:N898"/>
  <tableColumns count="12">
    <tableColumn id="1" name="Vector" dataDxfId="1508" totalsRowDxfId="1507"/>
    <tableColumn id="2" name="Information type" dataDxfId="1506" totalsRowDxfId="1505">
      <calculatedColumnFormula>INDEX(Vectors[Description], MATCH(XII.a.Car.PHEV.Info[Vector], Vectors[Code], 0))</calculatedColumnFormula>
    </tableColumn>
    <tableColumn id="3" name="Notes" dataDxfId="1504" totalsRowDxfId="1503">
      <calculatedColumnFormula>Preferences.PowerUnits</calculatedColumnFormula>
    </tableColumn>
    <tableColumn id="5" name="2010" dataDxfId="1502" totalsRowDxfId="1501" dataCellStyle="Comma">
      <calculatedColumnFormula>F778*Conversion.to.average.power</calculatedColumnFormula>
    </tableColumn>
    <tableColumn id="6" name="2015" dataDxfId="1500" totalsRowDxfId="1499" dataCellStyle="Comma">
      <calculatedColumnFormula>G778*Conversion.to.average.power</calculatedColumnFormula>
    </tableColumn>
    <tableColumn id="7" name="2020" dataDxfId="1498" totalsRowDxfId="1497" dataCellStyle="Comma">
      <calculatedColumnFormula>H778*Conversion.to.average.power</calculatedColumnFormula>
    </tableColumn>
    <tableColumn id="8" name="2025" dataDxfId="1496" totalsRowDxfId="1495" dataCellStyle="Comma">
      <calculatedColumnFormula>I778*Conversion.to.average.power</calculatedColumnFormula>
    </tableColumn>
    <tableColumn id="9" name="2030" dataDxfId="1494" totalsRowDxfId="1493" dataCellStyle="Comma">
      <calculatedColumnFormula>J778*Conversion.to.average.power</calculatedColumnFormula>
    </tableColumn>
    <tableColumn id="10" name="2035" dataDxfId="1492" totalsRowDxfId="1491" dataCellStyle="Comma">
      <calculatedColumnFormula>K778*Conversion.to.average.power</calculatedColumnFormula>
    </tableColumn>
    <tableColumn id="11" name="2040" dataDxfId="1490" totalsRowDxfId="1489" dataCellStyle="Comma">
      <calculatedColumnFormula>L778*Conversion.to.average.power</calculatedColumnFormula>
    </tableColumn>
    <tableColumn id="12" name="2045" dataDxfId="1488" totalsRowDxfId="1487" dataCellStyle="Comma">
      <calculatedColumnFormula>M778*Conversion.to.average.power</calculatedColumnFormula>
    </tableColumn>
    <tableColumn id="13" name="2050" dataDxfId="1486" totalsRowDxfId="1485" dataCellStyle="Comma">
      <calculatedColumnFormula>N778*Conversion.to.average.power</calculatedColumnFormula>
    </tableColumn>
  </tableColumns>
  <tableStyleInfo name="EnergyCalcTables" showFirstColumn="0" showLastColumn="0" showRowStripes="1" showColumnStripes="0"/>
</table>
</file>

<file path=xl/tables/table12.xml><?xml version="1.0" encoding="utf-8"?>
<table xmlns="http://schemas.openxmlformats.org/spreadsheetml/2006/main" id="96" name="CostVectors" displayName="CostVectors" ref="X6:Z17" totalsRowShown="0" headerRowBorderDxfId="4191" tableBorderDxfId="4190">
  <autoFilter ref="X6:Z17"/>
  <sortState ref="AS9:AU14">
    <sortCondition ref="AS4:AS10"/>
  </sortState>
  <tableColumns count="3">
    <tableColumn id="1" name="Code" dataDxfId="4189"/>
    <tableColumn id="2" name="Description" dataDxfId="4188"/>
    <tableColumn id="3" name="Comment" dataDxfId="4187"/>
  </tableColumns>
  <tableStyleInfo name="EnergyCalcTables" showFirstColumn="0" showLastColumn="0" showRowStripes="1" showColumnStripes="0"/>
</table>
</file>

<file path=xl/tables/table120.xml><?xml version="1.0" encoding="utf-8"?>
<table xmlns="http://schemas.openxmlformats.org/spreadsheetml/2006/main" id="215" name="XII.a.HEV.Costs" displayName="XII.a.HEV.Costs" ref="C927:N933" headerRowDxfId="1484" dataDxfId="1482" headerRowBorderDxfId="1483" tableBorderDxfId="1481" dataCellStyle="Comma">
  <autoFilter ref="C927:N933"/>
  <tableColumns count="12">
    <tableColumn id="1" name="Vector" totalsRowLabel="Total" dataDxfId="1480" totalsRowDxfId="1479"/>
    <tableColumn id="2" name="Name" dataDxfId="1478" totalsRowDxfId="1477">
      <calculatedColumnFormula>INDEX(CostVectors[Description], MATCH(C928,CostVectors[Code], 0))</calculatedColumnFormula>
    </tableColumn>
    <tableColumn id="3" name="Notes" dataDxfId="1476" totalsRowDxfId="1475"/>
    <tableColumn id="5" name="2010" totalsRowFunction="custom" dataDxfId="1474" totalsRowDxfId="1473" dataCellStyle="Comma">
      <totalsRowFormula>SUM(XII.a.HEV.Costs[2010])</totalsRowFormula>
    </tableColumn>
    <tableColumn id="6" name="2015" totalsRowFunction="custom" dataDxfId="1472" totalsRowDxfId="1471" dataCellStyle="Comma">
      <totalsRowFormula>SUM(XII.a.HEV.Costs[2015])</totalsRowFormula>
    </tableColumn>
    <tableColumn id="7" name="2020" totalsRowFunction="sum" dataDxfId="1470" totalsRowDxfId="1469" dataCellStyle="Comma"/>
    <tableColumn id="8" name="2025" totalsRowFunction="sum" dataDxfId="1468" totalsRowDxfId="1467" dataCellStyle="Comma"/>
    <tableColumn id="9" name="2030" totalsRowFunction="sum" dataDxfId="1466" totalsRowDxfId="1465" dataCellStyle="Comma"/>
    <tableColumn id="10" name="2035" totalsRowFunction="sum" dataDxfId="1464" totalsRowDxfId="1463" dataCellStyle="Comma"/>
    <tableColumn id="11" name="2040" totalsRowFunction="sum" dataDxfId="1462" totalsRowDxfId="1461" dataCellStyle="Comma"/>
    <tableColumn id="12" name="2045" totalsRowFunction="sum" dataDxfId="1460" totalsRowDxfId="1459" dataCellStyle="Comma"/>
    <tableColumn id="13" name="2050" totalsRowFunction="sum" dataDxfId="1458" totalsRowDxfId="1457" dataCellStyle="Comma"/>
  </tableColumns>
  <tableStyleInfo name="EnergyCalcTables" showFirstColumn="0" showLastColumn="0" showRowStripes="1" showColumnStripes="0"/>
</table>
</file>

<file path=xl/tables/table121.xml><?xml version="1.0" encoding="utf-8"?>
<table xmlns="http://schemas.openxmlformats.org/spreadsheetml/2006/main" id="216" name="XII.a.EV.Costs" displayName="XII.a.EV.Costs" ref="C937:N943" headerRowDxfId="1456" dataDxfId="1454" headerRowBorderDxfId="1455" tableBorderDxfId="1453" dataCellStyle="Comma">
  <autoFilter ref="C937:N943"/>
  <tableColumns count="12">
    <tableColumn id="1" name="Vector" totalsRowLabel="Total" dataDxfId="1452" totalsRowDxfId="1451"/>
    <tableColumn id="2" name="Name" dataDxfId="1450" totalsRowDxfId="1449">
      <calculatedColumnFormula>INDEX(CostVectors[Description], MATCH(C938,CostVectors[Code], 0))</calculatedColumnFormula>
    </tableColumn>
    <tableColumn id="3" name="Notes" dataDxfId="1448" totalsRowDxfId="1447"/>
    <tableColumn id="5" name="2010" totalsRowFunction="custom" dataDxfId="1446" totalsRowDxfId="1445" dataCellStyle="Comma">
      <totalsRowFormula>SUM(XII.a.EV.Costs[2010])</totalsRowFormula>
    </tableColumn>
    <tableColumn id="6" name="2015" totalsRowFunction="custom" dataDxfId="1444" totalsRowDxfId="1443" dataCellStyle="Comma">
      <totalsRowFormula>SUM(XII.a.EV.Costs[2015])</totalsRowFormula>
    </tableColumn>
    <tableColumn id="7" name="2020" totalsRowFunction="sum" dataDxfId="1442" totalsRowDxfId="1441" dataCellStyle="Comma"/>
    <tableColumn id="8" name="2025" totalsRowFunction="sum" dataDxfId="1440" totalsRowDxfId="1439" dataCellStyle="Comma"/>
    <tableColumn id="9" name="2030" totalsRowFunction="sum" dataDxfId="1438" totalsRowDxfId="1437" dataCellStyle="Comma"/>
    <tableColumn id="10" name="2035" totalsRowFunction="sum" dataDxfId="1436" totalsRowDxfId="1435" dataCellStyle="Comma"/>
    <tableColumn id="11" name="2040" totalsRowFunction="sum" dataDxfId="1434" totalsRowDxfId="1433" dataCellStyle="Comma"/>
    <tableColumn id="12" name="2045" totalsRowFunction="sum" dataDxfId="1432" totalsRowDxfId="1431" dataCellStyle="Comma"/>
    <tableColumn id="13" name="2050" totalsRowFunction="sum" dataDxfId="1430" totalsRowDxfId="1429" dataCellStyle="Comma"/>
  </tableColumns>
  <tableStyleInfo name="EnergyCalcTables" showFirstColumn="0" showLastColumn="0" showRowStripes="1" showColumnStripes="0"/>
</table>
</file>

<file path=xl/tables/table122.xml><?xml version="1.0" encoding="utf-8"?>
<table xmlns="http://schemas.openxmlformats.org/spreadsheetml/2006/main" id="217" name="XII.a.ICE_GH.Costs" displayName="XII.a.ICE_GH.Costs" ref="C947:N953" headerRowDxfId="1428" dataDxfId="1426" headerRowBorderDxfId="1427" tableBorderDxfId="1425" dataCellStyle="Comma">
  <autoFilter ref="C947:N953"/>
  <tableColumns count="12">
    <tableColumn id="1" name="Vector" totalsRowLabel="Total" dataDxfId="1424" totalsRowDxfId="1423"/>
    <tableColumn id="2" name="Name" dataDxfId="1422" totalsRowDxfId="1421">
      <calculatedColumnFormula>INDEX(CostVectors[Description], MATCH(C948,CostVectors[Code], 0))</calculatedColumnFormula>
    </tableColumn>
    <tableColumn id="3" name="Notes" dataDxfId="1420" totalsRowDxfId="1419"/>
    <tableColumn id="5" name="2010" totalsRowFunction="custom" dataDxfId="1418" totalsRowDxfId="1417" dataCellStyle="Comma">
      <totalsRowFormula>SUM(XII.a.ICE_GH.Costs[2010])</totalsRowFormula>
    </tableColumn>
    <tableColumn id="6" name="2015" totalsRowFunction="custom" dataDxfId="1416" totalsRowDxfId="1415" dataCellStyle="Comma">
      <totalsRowFormula>SUM(XII.a.ICE_GH.Costs[2015])</totalsRowFormula>
    </tableColumn>
    <tableColumn id="7" name="2020" totalsRowFunction="sum" dataDxfId="1414" totalsRowDxfId="1413" dataCellStyle="Comma"/>
    <tableColumn id="8" name="2025" totalsRowFunction="sum" dataDxfId="1412" totalsRowDxfId="1411" dataCellStyle="Comma"/>
    <tableColumn id="9" name="2030" totalsRowFunction="sum" dataDxfId="1410" totalsRowDxfId="1409" dataCellStyle="Comma"/>
    <tableColumn id="10" name="2035" totalsRowFunction="sum" dataDxfId="1408" totalsRowDxfId="1407" dataCellStyle="Comma"/>
    <tableColumn id="11" name="2040" totalsRowFunction="sum" dataDxfId="1406" totalsRowDxfId="1405" dataCellStyle="Comma"/>
    <tableColumn id="12" name="2045" totalsRowFunction="sum" dataDxfId="1404" totalsRowDxfId="1403" dataCellStyle="Comma"/>
    <tableColumn id="13" name="2050" totalsRowFunction="sum" dataDxfId="1402" totalsRowDxfId="1401" dataCellStyle="Comma"/>
  </tableColumns>
  <tableStyleInfo name="EnergyCalcTables" showFirstColumn="0" showLastColumn="0" showRowStripes="1" showColumnStripes="0"/>
</table>
</file>

<file path=xl/tables/table123.xml><?xml version="1.0" encoding="utf-8"?>
<table xmlns="http://schemas.openxmlformats.org/spreadsheetml/2006/main" id="218" name="XII.a.Bike.Costs" displayName="XII.a.Bike.Costs" ref="C957:N963" headerRowDxfId="1400" dataDxfId="1398" headerRowBorderDxfId="1399" tableBorderDxfId="1397" dataCellStyle="Comma">
  <autoFilter ref="C957:N963"/>
  <tableColumns count="12">
    <tableColumn id="1" name="Vector" totalsRowLabel="Total" dataDxfId="1396" totalsRowDxfId="1395"/>
    <tableColumn id="2" name="Name" dataDxfId="1394" totalsRowDxfId="1393">
      <calculatedColumnFormula>INDEX(CostVectors[Description], MATCH(C958,CostVectors[Code], 0))</calculatedColumnFormula>
    </tableColumn>
    <tableColumn id="3" name="Notes" dataDxfId="1392" totalsRowDxfId="1391"/>
    <tableColumn id="5" name="2010" totalsRowFunction="custom" dataDxfId="1390" totalsRowDxfId="1389" dataCellStyle="Comma">
      <totalsRowFormula>SUM(XII.a.Bike.Costs[2010])</totalsRowFormula>
    </tableColumn>
    <tableColumn id="6" name="2015" totalsRowFunction="custom" dataDxfId="1388" totalsRowDxfId="1387" dataCellStyle="Comma">
      <totalsRowFormula>SUM(XII.a.Bike.Costs[2015])</totalsRowFormula>
    </tableColumn>
    <tableColumn id="7" name="2020" totalsRowFunction="sum" dataDxfId="1386" totalsRowDxfId="1385" dataCellStyle="Comma"/>
    <tableColumn id="8" name="2025" totalsRowFunction="sum" dataDxfId="1384" totalsRowDxfId="1383" dataCellStyle="Comma"/>
    <tableColumn id="9" name="2030" totalsRowFunction="sum" dataDxfId="1382" totalsRowDxfId="1381" dataCellStyle="Comma"/>
    <tableColumn id="10" name="2035" totalsRowFunction="sum" dataDxfId="1380" totalsRowDxfId="1379" dataCellStyle="Comma"/>
    <tableColumn id="11" name="2040" totalsRowFunction="sum" dataDxfId="1378" totalsRowDxfId="1377" dataCellStyle="Comma"/>
    <tableColumn id="12" name="2045" totalsRowFunction="sum" dataDxfId="1376" totalsRowDxfId="1375" dataCellStyle="Comma"/>
    <tableColumn id="13" name="2050" totalsRowFunction="sum" dataDxfId="1374" totalsRowDxfId="1373" dataCellStyle="Comma"/>
  </tableColumns>
  <tableStyleInfo name="EnergyCalcTables" showFirstColumn="0" showLastColumn="0" showRowStripes="1" showColumnStripes="0"/>
</table>
</file>

<file path=xl/tables/table124.xml><?xml version="1.0" encoding="utf-8"?>
<table xmlns="http://schemas.openxmlformats.org/spreadsheetml/2006/main" id="236" name="XII.a.Rail.Costs" displayName="XII.a.Rail.Costs" ref="C967:N973" headerRowDxfId="1372" dataDxfId="1370" headerRowBorderDxfId="1371" tableBorderDxfId="1369" dataCellStyle="Comma">
  <autoFilter ref="C967:N973"/>
  <tableColumns count="12">
    <tableColumn id="1" name="Vector" totalsRowLabel="Total" dataDxfId="1368" totalsRowDxfId="1367"/>
    <tableColumn id="2" name="Name" dataDxfId="1366" totalsRowDxfId="1365">
      <calculatedColumnFormula>INDEX(CostVectors[Description], MATCH(C968,CostVectors[Code], 0))</calculatedColumnFormula>
    </tableColumn>
    <tableColumn id="3" name="Notes" dataDxfId="1364" totalsRowDxfId="1363"/>
    <tableColumn id="5" name="2010" totalsRowFunction="custom" dataDxfId="1362" totalsRowDxfId="1361" dataCellStyle="Comma">
      <totalsRowFormula>SUM(XII.a.Rail.Costs[2010])</totalsRowFormula>
    </tableColumn>
    <tableColumn id="6" name="2015" totalsRowFunction="custom" dataDxfId="1360" totalsRowDxfId="1359" dataCellStyle="Comma">
      <totalsRowFormula>SUM(XII.a.Rail.Costs[2015])</totalsRowFormula>
    </tableColumn>
    <tableColumn id="7" name="2020" totalsRowFunction="sum" dataDxfId="1358" totalsRowDxfId="1357" dataCellStyle="Comma"/>
    <tableColumn id="8" name="2025" totalsRowFunction="sum" dataDxfId="1356" totalsRowDxfId="1355" dataCellStyle="Comma"/>
    <tableColumn id="9" name="2030" totalsRowFunction="sum" dataDxfId="1354" totalsRowDxfId="1353" dataCellStyle="Comma"/>
    <tableColumn id="10" name="2035" totalsRowFunction="sum" dataDxfId="1352" totalsRowDxfId="1351" dataCellStyle="Comma"/>
    <tableColumn id="11" name="2040" totalsRowFunction="sum" dataDxfId="1350" totalsRowDxfId="1349" dataCellStyle="Comma"/>
    <tableColumn id="12" name="2045" totalsRowFunction="sum" dataDxfId="1348" totalsRowDxfId="1347" dataCellStyle="Comma"/>
    <tableColumn id="13" name="2050" totalsRowFunction="sum" dataDxfId="1346" totalsRowDxfId="1345" dataCellStyle="Comma"/>
  </tableColumns>
  <tableStyleInfo name="EnergyCalcTables" showFirstColumn="0" showLastColumn="0" showRowStripes="1" showColumnStripes="0"/>
</table>
</file>

<file path=xl/tables/table125.xml><?xml version="1.0" encoding="utf-8"?>
<table xmlns="http://schemas.openxmlformats.org/spreadsheetml/2006/main" id="238" name="XII.a.Air.Costs" displayName="XII.a.Air.Costs" ref="C977:N983" headerRowDxfId="1344" dataDxfId="1342" headerRowBorderDxfId="1343" tableBorderDxfId="1341" dataCellStyle="Comma">
  <autoFilter ref="C977:N983"/>
  <tableColumns count="12">
    <tableColumn id="1" name="Vector" totalsRowLabel="Total" dataDxfId="1340" totalsRowDxfId="1339"/>
    <tableColumn id="2" name="Name" dataDxfId="1338" totalsRowDxfId="1337">
      <calculatedColumnFormula>INDEX(CostVectors[Description], MATCH(C978,CostVectors[Code], 0))</calculatedColumnFormula>
    </tableColumn>
    <tableColumn id="3" name="Notes" dataDxfId="1336" totalsRowDxfId="1335"/>
    <tableColumn id="5" name="2010" totalsRowFunction="custom" dataDxfId="1334" totalsRowDxfId="1333" dataCellStyle="Comma">
      <totalsRowFormula>SUM(XII.a.Air.Costs[2010])</totalsRowFormula>
    </tableColumn>
    <tableColumn id="6" name="2015" totalsRowFunction="custom" dataDxfId="1332" totalsRowDxfId="1331" dataCellStyle="Comma">
      <totalsRowFormula>SUM(XII.a.Air.Costs[2015])</totalsRowFormula>
    </tableColumn>
    <tableColumn id="7" name="2020" totalsRowFunction="sum" dataDxfId="1330" totalsRowDxfId="1329" dataCellStyle="Comma"/>
    <tableColumn id="8" name="2025" totalsRowFunction="sum" dataDxfId="1328" totalsRowDxfId="1327" dataCellStyle="Comma"/>
    <tableColumn id="9" name="2030" totalsRowFunction="sum" dataDxfId="1326" totalsRowDxfId="1325" dataCellStyle="Comma"/>
    <tableColumn id="10" name="2035" totalsRowFunction="sum" dataDxfId="1324" totalsRowDxfId="1323" dataCellStyle="Comma"/>
    <tableColumn id="11" name="2040" totalsRowFunction="sum" dataDxfId="1322" totalsRowDxfId="1321" dataCellStyle="Comma"/>
    <tableColumn id="12" name="2045" totalsRowFunction="sum" dataDxfId="1320" totalsRowDxfId="1319" dataCellStyle="Comma"/>
    <tableColumn id="13" name="2050" totalsRowFunction="sum" dataDxfId="1318" totalsRowDxfId="1317" dataCellStyle="Comma"/>
  </tableColumns>
  <tableStyleInfo name="EnergyCalcTables" showFirstColumn="0" showLastColumn="0" showRowStripes="1" showColumnStripes="0"/>
</table>
</file>

<file path=xl/tables/table126.xml><?xml version="1.0" encoding="utf-8"?>
<table xmlns="http://schemas.openxmlformats.org/spreadsheetml/2006/main" id="239" name="XII.a.AQ.Total" displayName="XII.a.AQ.Total" ref="C990:N994" headerRowDxfId="1316" dataDxfId="1314" totalsRowDxfId="1312" headerRowBorderDxfId="1315" tableBorderDxfId="1313" totalsRowBorderDxfId="1311">
  <autoFilter ref="C990:N994"/>
  <tableColumns count="12">
    <tableColumn id="1" name="Vector" totalsRowLabel="Total" totalsRowDxfId="1310">
      <calculatedColumnFormula>INDEX(AirQualityVectors[Code],MATCH(D991,AirQualityVectors[Description],0))</calculatedColumnFormula>
    </tableColumn>
    <tableColumn id="2" name="Name" totalsRowDxfId="1309"/>
    <tableColumn id="3" name="IPCC Sector" totalsRowDxfId="1308"/>
    <tableColumn id="5" name="2010" dataDxfId="1307" totalsRowDxfId="1306"/>
    <tableColumn id="6" name="2015" dataDxfId="1305" totalsRowDxfId="1304"/>
    <tableColumn id="7" name="2020" dataDxfId="1303" totalsRowDxfId="1302"/>
    <tableColumn id="8" name="2025" dataDxfId="1301" totalsRowDxfId="1300"/>
    <tableColumn id="9" name="2030" dataDxfId="1299" totalsRowDxfId="1298"/>
    <tableColumn id="10" name="2035" dataDxfId="1297" totalsRowDxfId="1296"/>
    <tableColumn id="11" name="2040" dataDxfId="1295" totalsRowDxfId="1294"/>
    <tableColumn id="12" name="2045" dataDxfId="1293" totalsRowDxfId="1292"/>
    <tableColumn id="13" name="2050" dataDxfId="1291" totalsRowDxfId="1290"/>
  </tableColumns>
  <tableStyleInfo name="TableStyleMedium9" showFirstColumn="0" showLastColumn="0" showRowStripes="1" showColumnStripes="0"/>
</table>
</file>

<file path=xl/tables/table127.xml><?xml version="1.0" encoding="utf-8"?>
<table xmlns="http://schemas.openxmlformats.org/spreadsheetml/2006/main" id="241" name="XII.a.Road.AQ" displayName="XII.a.Road.AQ" ref="C999:N1003" headerRowDxfId="1289" dataDxfId="1287" totalsRowDxfId="1285" headerRowBorderDxfId="1288" tableBorderDxfId="1286" totalsRowBorderDxfId="1284">
  <autoFilter ref="C999:N1003"/>
  <tableColumns count="12">
    <tableColumn id="1" name="Vector" totalsRowLabel="Total" dataDxfId="1283" totalsRowDxfId="1282">
      <calculatedColumnFormula>INDEX(AirQualityVectors[Code],MATCH(D1000,AirQualityVectors[Description],0))</calculatedColumnFormula>
    </tableColumn>
    <tableColumn id="2" name="Name" dataDxfId="1281" totalsRowDxfId="1280"/>
    <tableColumn id="3" name="IPCC Sector" dataDxfId="1279" totalsRowDxfId="1278"/>
    <tableColumn id="5" name="2010" dataDxfId="1277" totalsRowDxfId="1276"/>
    <tableColumn id="6" name="2015" dataDxfId="1275" totalsRowDxfId="1274"/>
    <tableColumn id="7" name="2020" dataDxfId="1273" totalsRowDxfId="1272"/>
    <tableColumn id="8" name="2025" dataDxfId="1271" totalsRowDxfId="1270"/>
    <tableColumn id="9" name="2030" dataDxfId="1269" totalsRowDxfId="1268"/>
    <tableColumn id="10" name="2035" dataDxfId="1267" totalsRowDxfId="1266"/>
    <tableColumn id="11" name="2040" dataDxfId="1265" totalsRowDxfId="1264"/>
    <tableColumn id="12" name="2045" dataDxfId="1263" totalsRowDxfId="1262"/>
    <tableColumn id="13" name="2050" totalsRowFunction="sum" dataDxfId="1261" totalsRowDxfId="1260"/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id="245" name="XII.a.Rail.AQ" displayName="XII.a.Rail.AQ" ref="C1008:N1012" headerRowDxfId="1259" dataDxfId="1257" totalsRowDxfId="1255" headerRowBorderDxfId="1258" tableBorderDxfId="1256" totalsRowBorderDxfId="1254">
  <autoFilter ref="C1008:N1012"/>
  <tableColumns count="12">
    <tableColumn id="1" name="Vector" totalsRowLabel="Total" dataDxfId="1253" totalsRowDxfId="1252">
      <calculatedColumnFormula>INDEX(AirQualityVectors[Code],MATCH(D1009,AirQualityVectors[Description],0))</calculatedColumnFormula>
    </tableColumn>
    <tableColumn id="2" name="Name" dataDxfId="1251" totalsRowDxfId="1250"/>
    <tableColumn id="3" name="IPCC Sector" dataDxfId="1249" totalsRowDxfId="1248"/>
    <tableColumn id="5" name="2010" dataDxfId="1247" totalsRowDxfId="1246"/>
    <tableColumn id="6" name="2015" dataDxfId="1245" totalsRowDxfId="1244"/>
    <tableColumn id="7" name="2020" dataDxfId="1243" totalsRowDxfId="1242"/>
    <tableColumn id="8" name="2025" dataDxfId="1241" totalsRowDxfId="1240"/>
    <tableColumn id="9" name="2030" dataDxfId="1239" totalsRowDxfId="1238"/>
    <tableColumn id="10" name="2035" dataDxfId="1237" totalsRowDxfId="1236"/>
    <tableColumn id="11" name="2040" dataDxfId="1235" totalsRowDxfId="1234"/>
    <tableColumn id="12" name="2045" dataDxfId="1233" totalsRowDxfId="1232"/>
    <tableColumn id="13" name="2050" totalsRowFunction="sum" dataDxfId="1231" totalsRowDxfId="1230"/>
  </tableColumns>
  <tableStyleInfo name="TableStyleMedium9" showFirstColumn="0" showLastColumn="0" showRowStripes="1" showColumnStripes="0"/>
</table>
</file>

<file path=xl/tables/table129.xml><?xml version="1.0" encoding="utf-8"?>
<table xmlns="http://schemas.openxmlformats.org/spreadsheetml/2006/main" id="246" name="XII.a.Aviation.AQ" displayName="XII.a.Aviation.AQ" ref="C1017:N1021" headerRowDxfId="1229" dataDxfId="1227" totalsRowDxfId="1225" headerRowBorderDxfId="1228" tableBorderDxfId="1226" totalsRowBorderDxfId="1224">
  <autoFilter ref="C1017:N1021"/>
  <tableColumns count="12">
    <tableColumn id="1" name="Vector" totalsRowLabel="Total" dataDxfId="1223" totalsRowDxfId="1222">
      <calculatedColumnFormula>INDEX(AirQualityVectors[Code],MATCH(D1018,AirQualityVectors[Description],0))</calculatedColumnFormula>
    </tableColumn>
    <tableColumn id="2" name="Name" dataDxfId="1221" totalsRowDxfId="1220"/>
    <tableColumn id="3" name="IPCC Sector" dataDxfId="1219" totalsRowDxfId="1218"/>
    <tableColumn id="5" name="2010" dataDxfId="1217" totalsRowDxfId="1216"/>
    <tableColumn id="6" name="2015" dataDxfId="1215" totalsRowDxfId="1214"/>
    <tableColumn id="7" name="2020" dataDxfId="1213" totalsRowDxfId="1212"/>
    <tableColumn id="8" name="2025" dataDxfId="1211" totalsRowDxfId="1210"/>
    <tableColumn id="9" name="2030" dataDxfId="1209" totalsRowDxfId="1208"/>
    <tableColumn id="10" name="2035" dataDxfId="1207" totalsRowDxfId="1206"/>
    <tableColumn id="11" name="2040" dataDxfId="1205" totalsRowDxfId="1204"/>
    <tableColumn id="12" name="2045" dataDxfId="1203" totalsRowDxfId="1202"/>
    <tableColumn id="13" name="2050" totalsRowFunction="sum" dataDxfId="1201" totalsRowDxfId="1200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id="30" name="AirQualityVectors" displayName="AirQualityVectors" ref="X21:Z25" totalsRowShown="0" headerRowDxfId="4186" dataDxfId="4185">
  <autoFilter ref="X21:Z25"/>
  <tableColumns count="3">
    <tableColumn id="1" name="Code" dataDxfId="4184"/>
    <tableColumn id="2" name="Description" dataDxfId="4183"/>
    <tableColumn id="3" name="Comments" dataDxfId="4182"/>
  </tableColumns>
  <tableStyleInfo name="TableStyleMedium9" showFirstColumn="0" showLastColumn="0" showRowStripes="1" showColumnStripes="0"/>
</table>
</file>

<file path=xl/tables/table130.xml><?xml version="1.0" encoding="utf-8"?>
<table xmlns="http://schemas.openxmlformats.org/spreadsheetml/2006/main" id="35" name="EF.XII.a.PM10" displayName="EF.XII.a.PM10" ref="C197:N208" totalsRowShown="0" headerRowDxfId="1199" dataDxfId="1197" headerRowBorderDxfId="1198" tableBorderDxfId="1196" dataCellStyle="Comma">
  <autoFilter ref="C197:N208"/>
  <tableColumns count="12">
    <tableColumn id="1" name="Code" dataDxfId="1195"/>
    <tableColumn id="2" name="Mode" dataDxfId="1194"/>
    <tableColumn id="3" name="Technology" dataDxfId="1193"/>
    <tableColumn id="5" name="2010" dataDxfId="1192" dataCellStyle="Comma"/>
    <tableColumn id="6" name="2015" dataDxfId="1191" dataCellStyle="Comma"/>
    <tableColumn id="7" name="2020" dataDxfId="1190" dataCellStyle="Comma"/>
    <tableColumn id="8" name="2025" dataDxfId="1189" dataCellStyle="Comma"/>
    <tableColumn id="9" name="2030" dataDxfId="1188" dataCellStyle="Comma"/>
    <tableColumn id="10" name="2035" dataDxfId="1187" dataCellStyle="Comma"/>
    <tableColumn id="11" name="2040" dataDxfId="1186" dataCellStyle="Comma"/>
    <tableColumn id="12" name="2045" dataDxfId="1185" dataCellStyle="Comma"/>
    <tableColumn id="13" name="2050" dataDxfId="1184" dataCellStyle="Comma"/>
  </tableColumns>
  <tableStyleInfo name="TableStyleMedium9" showFirstColumn="0" showLastColumn="0" showRowStripes="1" showColumnStripes="0"/>
</table>
</file>

<file path=xl/tables/table131.xml><?xml version="1.0" encoding="utf-8"?>
<table xmlns="http://schemas.openxmlformats.org/spreadsheetml/2006/main" id="108" name="EF.XII.a.NOX" displayName="EF.XII.a.NOX" ref="C212:N223" totalsRowShown="0" headerRowDxfId="1183" dataDxfId="1181" headerRowBorderDxfId="1182" tableBorderDxfId="1180" dataCellStyle="Comma">
  <autoFilter ref="C212:N223"/>
  <tableColumns count="12">
    <tableColumn id="1" name="Code" dataDxfId="1179"/>
    <tableColumn id="2" name="Mode" dataDxfId="1178"/>
    <tableColumn id="3" name="Technology" dataDxfId="1177"/>
    <tableColumn id="5" name="2010" dataDxfId="1176" dataCellStyle="Comma"/>
    <tableColumn id="6" name="2015" dataDxfId="1175" dataCellStyle="Comma"/>
    <tableColumn id="7" name="2020" dataDxfId="1174" dataCellStyle="Comma"/>
    <tableColumn id="8" name="2025" dataDxfId="1173" dataCellStyle="Comma"/>
    <tableColumn id="9" name="2030" dataDxfId="1172" dataCellStyle="Comma"/>
    <tableColumn id="10" name="2035" dataDxfId="1171" dataCellStyle="Comma"/>
    <tableColumn id="11" name="2040" dataDxfId="1170" dataCellStyle="Comma"/>
    <tableColumn id="12" name="2045" dataDxfId="1169" dataCellStyle="Comma"/>
    <tableColumn id="13" name="2050" dataDxfId="1168" dataCellStyle="Comma"/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id="113" name="EF.XII.a.SO2" displayName="EF.XII.a.SO2" ref="C227:N238" totalsRowShown="0" headerRowDxfId="1167" dataDxfId="1165" headerRowBorderDxfId="1166" tableBorderDxfId="1164" dataCellStyle="Comma">
  <autoFilter ref="C227:N238"/>
  <tableColumns count="12">
    <tableColumn id="1" name="Code" dataDxfId="1163"/>
    <tableColumn id="2" name="Mode" dataDxfId="1162"/>
    <tableColumn id="3" name="Technology" dataDxfId="1161"/>
    <tableColumn id="5" name="2010" dataDxfId="1160" dataCellStyle="Comma"/>
    <tableColumn id="6" name="2015" dataDxfId="1159" dataCellStyle="Comma"/>
    <tableColumn id="7" name="2020" dataDxfId="1158" dataCellStyle="Comma"/>
    <tableColumn id="8" name="2025" dataDxfId="1157" dataCellStyle="Comma"/>
    <tableColumn id="9" name="2030" dataDxfId="1156" dataCellStyle="Comma"/>
    <tableColumn id="10" name="2035" dataDxfId="1155" dataCellStyle="Comma"/>
    <tableColumn id="11" name="2040" dataDxfId="1154" dataCellStyle="Comma"/>
    <tableColumn id="12" name="2045" dataDxfId="1153" dataCellStyle="Comma"/>
    <tableColumn id="13" name="2050" dataDxfId="1152" dataCellStyle="Comma"/>
  </tableColumns>
  <tableStyleInfo name="TableStyleMedium9" showFirstColumn="0" showLastColumn="0" showRowStripes="1" showColumnStripes="0"/>
</table>
</file>

<file path=xl/tables/table133.xml><?xml version="1.0" encoding="utf-8"?>
<table xmlns="http://schemas.openxmlformats.org/spreadsheetml/2006/main" id="116" name="EF.XII.a.NMVOC" displayName="EF.XII.a.NMVOC" ref="C242:N253" totalsRowShown="0" headerRowDxfId="1151" dataDxfId="1149" headerRowBorderDxfId="1150" tableBorderDxfId="1148" dataCellStyle="Comma">
  <autoFilter ref="C242:N253"/>
  <tableColumns count="12">
    <tableColumn id="1" name="Code" dataDxfId="1147"/>
    <tableColumn id="2" name="Mode" dataDxfId="1146"/>
    <tableColumn id="3" name="Technology" dataDxfId="1145"/>
    <tableColumn id="5" name="2010" dataDxfId="1144" dataCellStyle="Comma"/>
    <tableColumn id="6" name="2015" dataDxfId="1143" dataCellStyle="Comma"/>
    <tableColumn id="7" name="2020" dataDxfId="1142" dataCellStyle="Comma"/>
    <tableColumn id="8" name="2025" dataDxfId="1141" dataCellStyle="Comma"/>
    <tableColumn id="9" name="2030" dataDxfId="1140" dataCellStyle="Comma"/>
    <tableColumn id="10" name="2035" dataDxfId="1139" dataCellStyle="Comma"/>
    <tableColumn id="11" name="2040" dataDxfId="1138" dataCellStyle="Comma"/>
    <tableColumn id="12" name="2045" dataDxfId="1137" dataCellStyle="Comma"/>
    <tableColumn id="13" name="2050" dataDxfId="1136" dataCellStyle="Comma"/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id="23" name="XII.b.Outputs" displayName="XII.b.Outputs" ref="C435:N443" totalsRowCount="1" headerRowDxfId="1135" dataDxfId="1134">
  <autoFilter ref="C435:N442"/>
  <tableColumns count="12">
    <tableColumn id="1" name="Vector" totalsRowLabel="Total" dataDxfId="1133" totalsRowDxfId="1132"/>
    <tableColumn id="2" name="Name" dataDxfId="1131" totalsRowDxfId="1130">
      <calculatedColumnFormula>INDEX(Vectors[Description], MATCH(XII.b.Outputs[Vector], Vectors[Code], 0))</calculatedColumnFormula>
    </tableColumn>
    <tableColumn id="3" name="Notes" dataDxfId="1129" totalsRowDxfId="1128"/>
    <tableColumn id="5" name="2010" totalsRowFunction="sum" dataDxfId="1127" totalsRowDxfId="1126" dataCellStyle="Comma"/>
    <tableColumn id="6" name="2015" totalsRowFunction="sum" dataDxfId="1125" totalsRowDxfId="1124" dataCellStyle="Comma"/>
    <tableColumn id="7" name="2020" totalsRowFunction="sum" dataDxfId="1123" totalsRowDxfId="1122" dataCellStyle="Comma"/>
    <tableColumn id="8" name="2025" totalsRowFunction="sum" dataDxfId="1121" totalsRowDxfId="1120" dataCellStyle="Comma"/>
    <tableColumn id="9" name="2030" totalsRowFunction="sum" dataDxfId="1119" totalsRowDxfId="1118" dataCellStyle="Comma"/>
    <tableColumn id="10" name="2035" totalsRowFunction="sum" dataDxfId="1117" totalsRowDxfId="1116" dataCellStyle="Comma"/>
    <tableColumn id="11" name="2040" totalsRowFunction="sum" dataDxfId="1115" totalsRowDxfId="1114" dataCellStyle="Comma"/>
    <tableColumn id="12" name="2045" totalsRowFunction="sum" dataDxfId="1113" totalsRowDxfId="1112" dataCellStyle="Comma"/>
    <tableColumn id="13" name="2050" totalsRowFunction="sum" dataDxfId="1111" totalsRowDxfId="1110" dataCellStyle="Comma"/>
  </tableColumns>
  <tableStyleInfo name="EnergyCalcTables" showFirstColumn="0" showLastColumn="0" showRowStripes="1" showColumnStripes="0"/>
</table>
</file>

<file path=xl/tables/table135.xml><?xml version="1.0" encoding="utf-8"?>
<table xmlns="http://schemas.openxmlformats.org/spreadsheetml/2006/main" id="37" name="XII.b.Emissions" displayName="XII.b.Emissions" ref="C480:N484" totalsRowCount="1" headerRowDxfId="1109" dataDxfId="1107" headerRowBorderDxfId="1108" tableBorderDxfId="1106" dataCellStyle="Comma">
  <autoFilter ref="C480:N483"/>
  <tableColumns count="12">
    <tableColumn id="1" name="GHG" totalsRowLabel="Total" dataDxfId="1105" totalsRowDxfId="1104"/>
    <tableColumn id="2" name="IPCC Sector" dataDxfId="1103" totalsRowDxfId="1102"/>
    <tableColumn id="3" name="Notes" dataDxfId="1101" totalsRowDxfId="1100"/>
    <tableColumn id="5" name="2010" totalsRowFunction="sum" dataDxfId="1099" totalsRowDxfId="1098" dataCellStyle="Comma">
      <calculatedColumnFormula>F306+F311</calculatedColumnFormula>
    </tableColumn>
    <tableColumn id="6" name="2015" totalsRowFunction="sum" dataDxfId="1097" totalsRowDxfId="1096" dataCellStyle="Comma">
      <calculatedColumnFormula>G306+G311</calculatedColumnFormula>
    </tableColumn>
    <tableColumn id="7" name="2020" totalsRowFunction="sum" dataDxfId="1095" totalsRowDxfId="1094" dataCellStyle="Comma">
      <calculatedColumnFormula>H306+H311</calculatedColumnFormula>
    </tableColumn>
    <tableColumn id="8" name="2025" totalsRowFunction="sum" dataDxfId="1093" totalsRowDxfId="1092" dataCellStyle="Comma">
      <calculatedColumnFormula>I306+I311</calculatedColumnFormula>
    </tableColumn>
    <tableColumn id="9" name="2030" totalsRowFunction="sum" dataDxfId="1091" totalsRowDxfId="1090" dataCellStyle="Comma">
      <calculatedColumnFormula>J306+J311</calculatedColumnFormula>
    </tableColumn>
    <tableColumn id="10" name="2035" totalsRowFunction="sum" dataDxfId="1089" totalsRowDxfId="1088" dataCellStyle="Comma">
      <calculatedColumnFormula>K306+K311</calculatedColumnFormula>
    </tableColumn>
    <tableColumn id="11" name="2040" totalsRowFunction="sum" dataDxfId="1087" totalsRowDxfId="1086" dataCellStyle="Comma">
      <calculatedColumnFormula>L306+L311</calculatedColumnFormula>
    </tableColumn>
    <tableColumn id="12" name="2045" totalsRowFunction="sum" dataDxfId="1085" totalsRowDxfId="1084" dataCellStyle="Comma">
      <calculatedColumnFormula>M306+M311</calculatedColumnFormula>
    </tableColumn>
    <tableColumn id="13" name="2050" totalsRowFunction="sum" dataDxfId="1083" totalsRowDxfId="1082" dataCellStyle="Comma">
      <calculatedColumnFormula>N306+N311</calculatedColumnFormula>
    </tableColumn>
  </tableColumns>
  <tableStyleInfo name="EnergyCalcTables" showFirstColumn="0" showLastColumn="0" showRowStripes="1" showColumnStripes="0"/>
</table>
</file>

<file path=xl/tables/table136.xml><?xml version="1.0" encoding="utf-8"?>
<table xmlns="http://schemas.openxmlformats.org/spreadsheetml/2006/main" id="109" name="XII.b.info" displayName="XII.b.info" ref="C516:N519" totalsRowShown="0" headerRowDxfId="1081" dataDxfId="1079" totalsRowDxfId="1077" headerRowBorderDxfId="1080" tableBorderDxfId="1078" dataCellStyle="Comma">
  <autoFilter ref="C516:N519"/>
  <tableColumns count="12">
    <tableColumn id="1" name="Vector" dataDxfId="1076" totalsRowDxfId="1075"/>
    <tableColumn id="2" name="Information type" dataDxfId="1074" totalsRowDxfId="1073">
      <calculatedColumnFormula>INDEX(Vectors[Description], MATCH(XII.b.info[Vector], Vectors[Code], 0))</calculatedColumnFormula>
    </tableColumn>
    <tableColumn id="3" name="Notes" dataDxfId="1072" totalsRowDxfId="1071">
      <calculatedColumnFormula>INDEX(Vectors[Comment], MATCH(XII.b.info[Information type], Vectors[Description], 0))</calculatedColumnFormula>
    </tableColumn>
    <tableColumn id="5" name="2010" dataDxfId="1070" totalsRowDxfId="1069" dataCellStyle="Comma"/>
    <tableColumn id="6" name="2015" dataDxfId="1068" totalsRowDxfId="1067" dataCellStyle="Comma"/>
    <tableColumn id="7" name="2020" dataDxfId="1066" totalsRowDxfId="1065" dataCellStyle="Comma"/>
    <tableColumn id="8" name="2025" dataDxfId="1064" totalsRowDxfId="1063" dataCellStyle="Comma"/>
    <tableColumn id="9" name="2030" dataDxfId="1062" totalsRowDxfId="1061" dataCellStyle="Comma"/>
    <tableColumn id="10" name="2035" dataDxfId="1060" totalsRowDxfId="1059" dataCellStyle="Comma"/>
    <tableColumn id="11" name="2040" dataDxfId="1058" totalsRowDxfId="1057" dataCellStyle="Comma"/>
    <tableColumn id="12" name="2045" dataDxfId="1056" totalsRowDxfId="1055" dataCellStyle="Comma"/>
    <tableColumn id="13" name="2050" dataDxfId="1054" totalsRowDxfId="1053" dataCellStyle="Comma"/>
  </tableColumns>
  <tableStyleInfo name="EnergyCalcTables" showFirstColumn="0" showLastColumn="0" showRowStripes="1" showColumnStripes="0"/>
</table>
</file>

<file path=xl/tables/table137.xml><?xml version="1.0" encoding="utf-8"?>
<table xmlns="http://schemas.openxmlformats.org/spreadsheetml/2006/main" id="131" name="XII.b.road.Outputs" displayName="XII.b.road.Outputs" ref="C447:N452" totalsRowCount="1" headerRowDxfId="1052" dataDxfId="1051">
  <autoFilter ref="C447:N451"/>
  <tableColumns count="12">
    <tableColumn id="1" name="Vector" totalsRowLabel="Total" dataDxfId="1050" totalsRowDxfId="1049"/>
    <tableColumn id="2" name="Name" dataDxfId="1048" totalsRowDxfId="1047">
      <calculatedColumnFormula>INDEX(Vectors[Description], MATCH(XII.b.road.Outputs[Vector], Vectors[Code], 0))</calculatedColumnFormula>
    </tableColumn>
    <tableColumn id="3" name="Notes" dataDxfId="1046" totalsRowDxfId="1045"/>
    <tableColumn id="5" name="2010" totalsRowFunction="sum" dataDxfId="1044" totalsRowDxfId="1043" dataCellStyle="Comma"/>
    <tableColumn id="6" name="2015" totalsRowFunction="sum" dataDxfId="1042" totalsRowDxfId="1041" dataCellStyle="Comma"/>
    <tableColumn id="7" name="2020" totalsRowFunction="sum" dataDxfId="1040" totalsRowDxfId="1039" dataCellStyle="Comma"/>
    <tableColumn id="8" name="2025" totalsRowFunction="sum" dataDxfId="1038" totalsRowDxfId="1037" dataCellStyle="Comma"/>
    <tableColumn id="9" name="2030" totalsRowFunction="sum" dataDxfId="1036" totalsRowDxfId="1035" dataCellStyle="Comma"/>
    <tableColumn id="10" name="2035" totalsRowFunction="sum" dataDxfId="1034" totalsRowDxfId="1033" dataCellStyle="Comma"/>
    <tableColumn id="11" name="2040" totalsRowFunction="sum" dataDxfId="1032" totalsRowDxfId="1031" dataCellStyle="Comma"/>
    <tableColumn id="12" name="2045" totalsRowFunction="sum" dataDxfId="1030" totalsRowDxfId="1029" dataCellStyle="Comma"/>
    <tableColumn id="13" name="2050" totalsRowFunction="sum" dataDxfId="1028" totalsRowDxfId="1027" dataCellStyle="Comma"/>
  </tableColumns>
  <tableStyleInfo name="EnergyCalcTables" showFirstColumn="0" showLastColumn="0" showRowStripes="1" showColumnStripes="0"/>
</table>
</file>

<file path=xl/tables/table138.xml><?xml version="1.0" encoding="utf-8"?>
<table xmlns="http://schemas.openxmlformats.org/spreadsheetml/2006/main" id="132" name="XII.b.Rail.Outputs" displayName="XII.b.Rail.Outputs" ref="C456:N460" totalsRowCount="1" headerRowDxfId="1026" dataDxfId="1025">
  <autoFilter ref="C456:N459"/>
  <tableColumns count="12">
    <tableColumn id="1" name="Vector" totalsRowLabel="Total" dataDxfId="1024" totalsRowDxfId="1023"/>
    <tableColumn id="2" name="Name" dataDxfId="1022" totalsRowDxfId="1021">
      <calculatedColumnFormula>INDEX(Vectors[Description], MATCH(XII.b.Rail.Outputs[Vector], Vectors[Code], 0))</calculatedColumnFormula>
    </tableColumn>
    <tableColumn id="3" name="Notes" dataDxfId="1020" totalsRowDxfId="1019"/>
    <tableColumn id="5" name="2010" totalsRowFunction="sum" dataDxfId="1018" totalsRowDxfId="1017" dataCellStyle="Comma"/>
    <tableColumn id="6" name="2015" totalsRowFunction="sum" dataDxfId="1016" totalsRowDxfId="1015" dataCellStyle="Comma"/>
    <tableColumn id="7" name="2020" totalsRowFunction="sum" dataDxfId="1014" totalsRowDxfId="1013" dataCellStyle="Comma"/>
    <tableColumn id="8" name="2025" totalsRowFunction="sum" dataDxfId="1012" totalsRowDxfId="1011" dataCellStyle="Comma"/>
    <tableColumn id="9" name="2030" totalsRowFunction="sum" dataDxfId="1010" totalsRowDxfId="1009" dataCellStyle="Comma"/>
    <tableColumn id="10" name="2035" totalsRowFunction="sum" dataDxfId="1008" totalsRowDxfId="1007" dataCellStyle="Comma"/>
    <tableColumn id="11" name="2040" totalsRowFunction="sum" dataDxfId="1006" totalsRowDxfId="1005" dataCellStyle="Comma"/>
    <tableColumn id="12" name="2045" totalsRowFunction="sum" dataDxfId="1004" totalsRowDxfId="1003" dataCellStyle="Comma"/>
    <tableColumn id="13" name="2050" totalsRowFunction="sum" dataDxfId="1002" totalsRowDxfId="1001" dataCellStyle="Comma"/>
  </tableColumns>
  <tableStyleInfo name="EnergyCalcTables" showFirstColumn="0" showLastColumn="0" showRowStripes="1" showColumnStripes="0"/>
</table>
</file>

<file path=xl/tables/table139.xml><?xml version="1.0" encoding="utf-8"?>
<table xmlns="http://schemas.openxmlformats.org/spreadsheetml/2006/main" id="133" name="XII.b.Berge.Outputs" displayName="XII.b.Berge.Outputs" ref="C464:N467" totalsRowCount="1" headerRowDxfId="1000" dataDxfId="999">
  <autoFilter ref="C464:N466"/>
  <tableColumns count="12">
    <tableColumn id="1" name="Vector" totalsRowLabel="Total" dataDxfId="998" totalsRowDxfId="997"/>
    <tableColumn id="2" name="Name" dataDxfId="996" totalsRowDxfId="995">
      <calculatedColumnFormula>INDEX(Vectors[Description], MATCH(XII.b.Berge.Outputs[Vector], Vectors[Code], 0))</calculatedColumnFormula>
    </tableColumn>
    <tableColumn id="3" name="Notes" dataDxfId="994" totalsRowDxfId="993"/>
    <tableColumn id="5" name="2010" totalsRowFunction="sum" dataDxfId="992" totalsRowDxfId="991" dataCellStyle="Comma"/>
    <tableColumn id="6" name="2015" totalsRowFunction="sum" dataDxfId="990" totalsRowDxfId="989" dataCellStyle="Comma"/>
    <tableColumn id="7" name="2020" totalsRowFunction="sum" dataDxfId="988" totalsRowDxfId="987" dataCellStyle="Comma"/>
    <tableColumn id="8" name="2025" totalsRowFunction="sum" dataDxfId="986" totalsRowDxfId="985" dataCellStyle="Comma"/>
    <tableColumn id="9" name="2030" totalsRowFunction="sum" dataDxfId="984" totalsRowDxfId="983" dataCellStyle="Comma"/>
    <tableColumn id="10" name="2035" totalsRowFunction="sum" dataDxfId="982" totalsRowDxfId="981" dataCellStyle="Comma"/>
    <tableColumn id="11" name="2040" totalsRowFunction="sum" dataDxfId="980" totalsRowDxfId="979" dataCellStyle="Comma"/>
    <tableColumn id="12" name="2045" totalsRowFunction="sum" dataDxfId="978" totalsRowDxfId="977" dataCellStyle="Comma"/>
    <tableColumn id="13" name="2050" totalsRowFunction="sum" dataDxfId="976" totalsRowDxfId="975" dataCellStyle="Comma"/>
  </tableColumns>
  <tableStyleInfo name="EnergyCalcTables" showFirstColumn="0" showLastColumn="0" showRowStripes="1" showColumnStripes="0"/>
</table>
</file>

<file path=xl/tables/table14.xml><?xml version="1.0" encoding="utf-8"?>
<table xmlns="http://schemas.openxmlformats.org/spreadsheetml/2006/main" id="19" name="I.a.Outputs" displayName="I.a.Outputs" ref="C165:N170" totalsRowCount="1" headerRowDxfId="4181" dataDxfId="4180">
  <autoFilter ref="C165:N169"/>
  <tableColumns count="12">
    <tableColumn id="1" name="Vector" totalsRowLabel="Total" dataDxfId="4179" totalsRowDxfId="4178"/>
    <tableColumn id="2" name="Name" dataDxfId="4177" totalsRowDxfId="4176">
      <calculatedColumnFormula>INDEX(Vectors[Description], MATCH(I.a.Outputs[Vector],Vectors[Code], 0))</calculatedColumnFormula>
    </tableColumn>
    <tableColumn id="3" name="Notes" dataDxfId="4175" totalsRowDxfId="4174"/>
    <tableColumn id="5" name="2010" totalsRowFunction="sum" dataDxfId="4173" totalsRowDxfId="4172" dataCellStyle="Comma"/>
    <tableColumn id="6" name="2015" totalsRowFunction="sum" dataDxfId="4171" totalsRowDxfId="4170" dataCellStyle="Comma"/>
    <tableColumn id="7" name="2020" totalsRowFunction="sum" dataDxfId="4169" totalsRowDxfId="4168" dataCellStyle="Comma"/>
    <tableColumn id="8" name="2025" totalsRowFunction="sum" dataDxfId="4167" totalsRowDxfId="4166" dataCellStyle="Comma"/>
    <tableColumn id="9" name="2030" totalsRowFunction="sum" dataDxfId="4165" totalsRowDxfId="4164" dataCellStyle="Comma"/>
    <tableColumn id="10" name="2035" totalsRowFunction="sum" dataDxfId="4163" totalsRowDxfId="4162" dataCellStyle="Comma"/>
    <tableColumn id="11" name="2040" totalsRowFunction="sum" dataDxfId="4161" totalsRowDxfId="4160" dataCellStyle="Comma"/>
    <tableColumn id="12" name="2045" totalsRowFunction="sum" dataDxfId="4159" totalsRowDxfId="4158" dataCellStyle="Comma"/>
    <tableColumn id="13" name="2050" totalsRowFunction="sum" dataDxfId="4157" totalsRowDxfId="4156" dataCellStyle="Comma"/>
  </tableColumns>
  <tableStyleInfo name="EnergyCalcTables" showFirstColumn="0" showLastColumn="0" showRowStripes="1" showColumnStripes="0"/>
</table>
</file>

<file path=xl/tables/table140.xml><?xml version="1.0" encoding="utf-8"?>
<table xmlns="http://schemas.openxmlformats.org/spreadsheetml/2006/main" id="134" name="XII.b.Road.Emissions" displayName="XII.b.Road.Emissions" ref="C488:N492" totalsRowCount="1" headerRowDxfId="974" dataDxfId="972" headerRowBorderDxfId="973" tableBorderDxfId="971" dataCellStyle="Comma">
  <autoFilter ref="C488:N491"/>
  <tableColumns count="12">
    <tableColumn id="1" name="GHG" totalsRowLabel="Total" dataDxfId="970" totalsRowDxfId="969"/>
    <tableColumn id="2" name="IPCC Sector" dataDxfId="968" totalsRowDxfId="967"/>
    <tableColumn id="3" name="Notes" dataDxfId="966" totalsRowDxfId="965">
      <calculatedColumnFormula>INDEX(IPCC[Sector_description], MATCH(XII.b.Road.Emissions[IPCC Sector], IPCC[Sector_code], 0))</calculatedColumnFormula>
    </tableColumn>
    <tableColumn id="5" name="2010" totalsRowFunction="sum" dataDxfId="964" totalsRowDxfId="963" dataCellStyle="Comma">
      <calculatedColumnFormula>((F306*(F$281/(F$274+F$281+F$299)))+F311)</calculatedColumnFormula>
    </tableColumn>
    <tableColumn id="6" name="2015" totalsRowFunction="sum" dataDxfId="962" totalsRowDxfId="961" dataCellStyle="Comma">
      <calculatedColumnFormula>((G306*(G$281/(G$274+G$281+G$299)))+G311)</calculatedColumnFormula>
    </tableColumn>
    <tableColumn id="7" name="2020" totalsRowFunction="sum" dataDxfId="960" totalsRowDxfId="959" dataCellStyle="Comma">
      <calculatedColumnFormula>((H306*(H$281/(H$274+H$281+H$299)))+H311)</calculatedColumnFormula>
    </tableColumn>
    <tableColumn id="8" name="2025" totalsRowFunction="sum" dataDxfId="958" totalsRowDxfId="957" dataCellStyle="Comma">
      <calculatedColumnFormula>((I306*(I$281/(I$274+I$281+I$299)))+I311)</calculatedColumnFormula>
    </tableColumn>
    <tableColumn id="9" name="2030" totalsRowFunction="sum" dataDxfId="956" totalsRowDxfId="955" dataCellStyle="Comma">
      <calculatedColumnFormula>((J306*(J$281/(J$274+J$281+J$299)))+J311)</calculatedColumnFormula>
    </tableColumn>
    <tableColumn id="10" name="2035" totalsRowFunction="sum" dataDxfId="954" totalsRowDxfId="953" dataCellStyle="Comma">
      <calculatedColumnFormula>((K306*(K$281/(K$274+K$281+K$299)))+K311)</calculatedColumnFormula>
    </tableColumn>
    <tableColumn id="11" name="2040" totalsRowFunction="sum" dataDxfId="952" totalsRowDxfId="951" dataCellStyle="Comma">
      <calculatedColumnFormula>((L306*(L$281/(L$274+L$281+L$299)))+L311)</calculatedColumnFormula>
    </tableColumn>
    <tableColumn id="12" name="2045" totalsRowFunction="sum" dataDxfId="950" totalsRowDxfId="949" dataCellStyle="Comma">
      <calculatedColumnFormula>((M306*(M$281/(M$274+M$281+M$299)))+M311)</calculatedColumnFormula>
    </tableColumn>
    <tableColumn id="13" name="2050" totalsRowFunction="sum" dataDxfId="948" totalsRowDxfId="947" dataCellStyle="Comma">
      <calculatedColumnFormula>((N306*(N$281/(N$274+N$281+N$299)))+N311)</calculatedColumnFormula>
    </tableColumn>
  </tableColumns>
  <tableStyleInfo name="EnergyCalcTables" showFirstColumn="0" showLastColumn="0" showRowStripes="1" showColumnStripes="0"/>
</table>
</file>

<file path=xl/tables/table141.xml><?xml version="1.0" encoding="utf-8"?>
<table xmlns="http://schemas.openxmlformats.org/spreadsheetml/2006/main" id="135" name="XII.b.Rail.Emissions" displayName="XII.b.Rail.Emissions" ref="C496:N500" totalsRowCount="1" headerRowDxfId="946" dataDxfId="944" headerRowBorderDxfId="945" tableBorderDxfId="943" dataCellStyle="Comma">
  <autoFilter ref="C496:N499"/>
  <tableColumns count="12">
    <tableColumn id="1" name="GHG" totalsRowLabel="Total" dataDxfId="942" totalsRowDxfId="941"/>
    <tableColumn id="2" name="IPCC Sector" dataDxfId="940" totalsRowDxfId="939"/>
    <tableColumn id="3" name="Notes" dataDxfId="938" totalsRowDxfId="937">
      <calculatedColumnFormula>INDEX(IPCC[Sector_description], MATCH(XII.b.Rail.Emissions[IPCC Sector], IPCC[Sector_code], 0))</calculatedColumnFormula>
    </tableColumn>
    <tableColumn id="5" name="2010" totalsRowFunction="sum" dataDxfId="936" totalsRowDxfId="935" dataCellStyle="Comma">
      <calculatedColumnFormula>(F306*(F$274/(F$274+F$281+F$299)))</calculatedColumnFormula>
    </tableColumn>
    <tableColumn id="6" name="2015" totalsRowFunction="sum" dataDxfId="934" totalsRowDxfId="933" dataCellStyle="Comma">
      <calculatedColumnFormula>(G306*(G$274/(G$274+G$281+G$299)))</calculatedColumnFormula>
    </tableColumn>
    <tableColumn id="7" name="2020" totalsRowFunction="sum" dataDxfId="932" totalsRowDxfId="931" dataCellStyle="Comma">
      <calculatedColumnFormula>(H306*(H$274/(H$274+H$281+H$299)))</calculatedColumnFormula>
    </tableColumn>
    <tableColumn id="8" name="2025" totalsRowFunction="sum" dataDxfId="930" totalsRowDxfId="929" dataCellStyle="Comma">
      <calculatedColumnFormula>(I306*(I$274/(I$274+I$281+I$299)))</calculatedColumnFormula>
    </tableColumn>
    <tableColumn id="9" name="2030" totalsRowFunction="sum" dataDxfId="928" totalsRowDxfId="927" dataCellStyle="Comma">
      <calculatedColumnFormula>(J306*(J$274/(J$274+J$281+J$299)))</calculatedColumnFormula>
    </tableColumn>
    <tableColumn id="10" name="2035" totalsRowFunction="sum" dataDxfId="926" totalsRowDxfId="925" dataCellStyle="Comma">
      <calculatedColumnFormula>(K306*(K$274/(K$274+K$281+K$299)))</calculatedColumnFormula>
    </tableColumn>
    <tableColumn id="11" name="2040" totalsRowFunction="sum" dataDxfId="924" totalsRowDxfId="923" dataCellStyle="Comma">
      <calculatedColumnFormula>(L306*(L$274/(L$274+L$281+L$299)))</calculatedColumnFormula>
    </tableColumn>
    <tableColumn id="12" name="2045" totalsRowFunction="sum" dataDxfId="922" totalsRowDxfId="921" dataCellStyle="Comma">
      <calculatedColumnFormula>(M306*(M$274/(M$274+M$281+M$299)))</calculatedColumnFormula>
    </tableColumn>
    <tableColumn id="13" name="2050" totalsRowFunction="sum" dataDxfId="920" totalsRowDxfId="919" dataCellStyle="Comma">
      <calculatedColumnFormula>(N306*(N$274/(N$274+N$281+N$299)))</calculatedColumnFormula>
    </tableColumn>
  </tableColumns>
  <tableStyleInfo name="EnergyCalcTables" showFirstColumn="0" showLastColumn="0" showRowStripes="1" showColumnStripes="0"/>
</table>
</file>

<file path=xl/tables/table142.xml><?xml version="1.0" encoding="utf-8"?>
<table xmlns="http://schemas.openxmlformats.org/spreadsheetml/2006/main" id="136" name="XII.b.Barge.Emissions" displayName="XII.b.Barge.Emissions" ref="C504:N508" totalsRowCount="1" headerRowDxfId="918" dataDxfId="916" headerRowBorderDxfId="917" tableBorderDxfId="915" dataCellStyle="Comma">
  <autoFilter ref="C504:N507"/>
  <tableColumns count="12">
    <tableColumn id="1" name="GHG" totalsRowLabel="Total" dataDxfId="914" totalsRowDxfId="913"/>
    <tableColumn id="2" name="IPCC Sector" dataDxfId="912" totalsRowDxfId="911"/>
    <tableColumn id="3" name="Notes" dataDxfId="910" totalsRowDxfId="909">
      <calculatedColumnFormula>INDEX(IPCC[Sector_description], MATCH(XII.b.Barge.Emissions[IPCC Sector], IPCC[Sector_code], 0))</calculatedColumnFormula>
    </tableColumn>
    <tableColumn id="5" name="2010" totalsRowFunction="sum" dataDxfId="908" totalsRowDxfId="907" dataCellStyle="Comma">
      <calculatedColumnFormula>(F306*(F$299/(F$274+F$281+F$299)))</calculatedColumnFormula>
    </tableColumn>
    <tableColumn id="6" name="2015" totalsRowFunction="sum" dataDxfId="906" totalsRowDxfId="905" dataCellStyle="Comma">
      <calculatedColumnFormula>(G306*(G$301/(G$274+G$281+G$301)))</calculatedColumnFormula>
    </tableColumn>
    <tableColumn id="7" name="2020" totalsRowFunction="sum" dataDxfId="904" totalsRowDxfId="903" dataCellStyle="Comma">
      <calculatedColumnFormula>(H306*(H$299/(H$274+H$281+H$299)))</calculatedColumnFormula>
    </tableColumn>
    <tableColumn id="8" name="2025" totalsRowFunction="sum" dataDxfId="902" totalsRowDxfId="901" dataCellStyle="Comma">
      <calculatedColumnFormula>(I306*(I$299/(I$274+I$281+I$299)))</calculatedColumnFormula>
    </tableColumn>
    <tableColumn id="9" name="2030" totalsRowFunction="sum" dataDxfId="900" totalsRowDxfId="899" dataCellStyle="Comma">
      <calculatedColumnFormula>(J306*(J$299/(J$274+J$281+J$299)))</calculatedColumnFormula>
    </tableColumn>
    <tableColumn id="10" name="2035" totalsRowFunction="sum" dataDxfId="898" totalsRowDxfId="897" dataCellStyle="Comma">
      <calculatedColumnFormula>(K306*(K$299/(K$274+K$281+K$299)))</calculatedColumnFormula>
    </tableColumn>
    <tableColumn id="11" name="2040" totalsRowFunction="sum" dataDxfId="896" totalsRowDxfId="895" dataCellStyle="Comma">
      <calculatedColumnFormula>(L306*(L$299/(L$274+L$281+L$299)))</calculatedColumnFormula>
    </tableColumn>
    <tableColumn id="12" name="2045" totalsRowFunction="sum" dataDxfId="894" totalsRowDxfId="893" dataCellStyle="Comma">
      <calculatedColumnFormula>(M306*(M$299/(M$274+M$281+M$299)))</calculatedColumnFormula>
    </tableColumn>
    <tableColumn id="13" name="2050" totalsRowFunction="sum" dataDxfId="892" totalsRowDxfId="891" dataCellStyle="Comma">
      <calculatedColumnFormula>(N306*(N$299/(N$274+N$281+N$299)))</calculatedColumnFormula>
    </tableColumn>
  </tableColumns>
  <tableStyleInfo name="EnergyCalcTables" showFirstColumn="0" showLastColumn="0" showRowStripes="1" showColumnStripes="0"/>
</table>
</file>

<file path=xl/tables/table143.xml><?xml version="1.0" encoding="utf-8"?>
<table xmlns="http://schemas.openxmlformats.org/spreadsheetml/2006/main" id="152" name="XII.b.Costs" displayName="XII.b.Costs" ref="C527:N533" headerRowDxfId="890" dataDxfId="888" headerRowBorderDxfId="889" tableBorderDxfId="887" dataCellStyle="Comma">
  <autoFilter ref="C527:N533"/>
  <tableColumns count="12">
    <tableColumn id="1" name="Vector" totalsRowLabel="Total" dataDxfId="886" totalsRowDxfId="885"/>
    <tableColumn id="2" name="Name" dataDxfId="884" totalsRowDxfId="883">
      <calculatedColumnFormula>INDEX([7]!CostVectors[Description], MATCH(C528, [7]!CostVectors[Code], 0))</calculatedColumnFormula>
    </tableColumn>
    <tableColumn id="3" name="Notes" dataDxfId="882" totalsRowDxfId="881"/>
    <tableColumn id="5" name="2010" totalsRowFunction="custom" dataDxfId="880" totalsRowDxfId="879" dataCellStyle="Comma">
      <totalsRowFormula>SUM(XII.b.Costs[2010])</totalsRowFormula>
    </tableColumn>
    <tableColumn id="6" name="2015" totalsRowFunction="custom" dataDxfId="878" totalsRowDxfId="877" dataCellStyle="Comma">
      <totalsRowFormula>SUM(XII.b.Costs[2015])</totalsRowFormula>
    </tableColumn>
    <tableColumn id="7" name="2020" totalsRowFunction="sum" dataDxfId="876" totalsRowDxfId="875" dataCellStyle="Comma"/>
    <tableColumn id="8" name="2025" totalsRowFunction="sum" dataDxfId="874" totalsRowDxfId="873" dataCellStyle="Comma"/>
    <tableColumn id="9" name="2030" totalsRowFunction="sum" dataDxfId="872" totalsRowDxfId="871" dataCellStyle="Comma"/>
    <tableColumn id="10" name="2035" totalsRowFunction="sum" dataDxfId="870" totalsRowDxfId="869" dataCellStyle="Comma"/>
    <tableColumn id="11" name="2040" totalsRowFunction="sum" dataDxfId="868" totalsRowDxfId="867" dataCellStyle="Comma"/>
    <tableColumn id="12" name="2045" totalsRowFunction="sum" dataDxfId="866" totalsRowDxfId="865" dataCellStyle="Comma"/>
    <tableColumn id="13" name="2050" totalsRowFunction="sum" dataDxfId="864" totalsRowDxfId="863" dataCellStyle="Comma"/>
  </tableColumns>
  <tableStyleInfo name="EnergyCalcTables" showFirstColumn="0" showLastColumn="0" showRowStripes="1" showColumnStripes="0"/>
</table>
</file>

<file path=xl/tables/table144.xml><?xml version="1.0" encoding="utf-8"?>
<table xmlns="http://schemas.openxmlformats.org/spreadsheetml/2006/main" id="227" name="EF.XII.b.PM10" displayName="EF.XII.b.PM10" ref="C155:N162" totalsRowShown="0" headerRowDxfId="862" dataDxfId="861">
  <autoFilter ref="C155:N162"/>
  <tableColumns count="12">
    <tableColumn id="1" name="Code" dataDxfId="860"/>
    <tableColumn id="2" name="Mode" dataDxfId="859"/>
    <tableColumn id="3" name="Technology" dataDxfId="858"/>
    <tableColumn id="5" name="2010" dataDxfId="857" dataCellStyle="Comma"/>
    <tableColumn id="6" name="2015" dataDxfId="856" dataCellStyle="Comma"/>
    <tableColumn id="7" name="2020" dataDxfId="855" dataCellStyle="Comma"/>
    <tableColumn id="8" name="2025" dataDxfId="854" dataCellStyle="Comma"/>
    <tableColumn id="9" name="2030" dataDxfId="853" dataCellStyle="Comma"/>
    <tableColumn id="10" name="2035" dataDxfId="852" dataCellStyle="Comma"/>
    <tableColumn id="11" name="2040" dataDxfId="851" dataCellStyle="Comma"/>
    <tableColumn id="12" name="2045" dataDxfId="850" dataCellStyle="Comma"/>
    <tableColumn id="13" name="2050" dataDxfId="849" dataCellStyle="Comma"/>
  </tableColumns>
  <tableStyleInfo name="TableStyleMedium9" showFirstColumn="0" showLastColumn="0" showRowStripes="1" showColumnStripes="0"/>
</table>
</file>

<file path=xl/tables/table145.xml><?xml version="1.0" encoding="utf-8"?>
<table xmlns="http://schemas.openxmlformats.org/spreadsheetml/2006/main" id="228" name="EF.XII.b.NOX" displayName="EF.XII.b.NOX" ref="C166:N173" totalsRowShown="0" headerRowDxfId="848" dataDxfId="847">
  <autoFilter ref="C166:N173"/>
  <tableColumns count="12">
    <tableColumn id="1" name="Code" dataDxfId="846"/>
    <tableColumn id="2" name="Mode" dataDxfId="845"/>
    <tableColumn id="3" name="Technology" dataDxfId="844"/>
    <tableColumn id="5" name="2010" dataDxfId="843" dataCellStyle="Comma"/>
    <tableColumn id="6" name="2015" dataDxfId="842" dataCellStyle="Comma"/>
    <tableColumn id="7" name="2020" dataDxfId="841" dataCellStyle="Comma"/>
    <tableColumn id="8" name="2025" dataDxfId="840" dataCellStyle="Comma"/>
    <tableColumn id="9" name="2030" dataDxfId="839" dataCellStyle="Comma"/>
    <tableColumn id="10" name="2035" dataDxfId="838" dataCellStyle="Comma"/>
    <tableColumn id="11" name="2040" dataDxfId="837" dataCellStyle="Comma"/>
    <tableColumn id="12" name="2045" dataDxfId="836" dataCellStyle="Comma"/>
    <tableColumn id="13" name="2050" dataDxfId="835" dataCellStyle="Comma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id="229" name="EF.XII.b.SO2" displayName="EF.XII.b.SO2" ref="C177:N184" totalsRowShown="0" headerRowDxfId="834" dataDxfId="833">
  <autoFilter ref="C177:N184"/>
  <tableColumns count="12">
    <tableColumn id="1" name="Code" dataDxfId="832"/>
    <tableColumn id="2" name="Mode" dataDxfId="831"/>
    <tableColumn id="3" name="Technology" dataDxfId="830"/>
    <tableColumn id="5" name="2010" dataDxfId="829" dataCellStyle="Comma"/>
    <tableColumn id="6" name="2015" dataDxfId="828" dataCellStyle="Comma"/>
    <tableColumn id="7" name="2020" dataDxfId="827" dataCellStyle="Comma"/>
    <tableColumn id="8" name="2025" dataDxfId="826" dataCellStyle="Comma"/>
    <tableColumn id="9" name="2030" dataDxfId="825" dataCellStyle="Comma"/>
    <tableColumn id="10" name="2035" dataDxfId="824" dataCellStyle="Comma"/>
    <tableColumn id="11" name="2040" dataDxfId="823" dataCellStyle="Comma"/>
    <tableColumn id="12" name="2045" dataDxfId="822" dataCellStyle="Comma"/>
    <tableColumn id="13" name="2050" dataDxfId="821" dataCellStyle="Comma"/>
  </tableColumns>
  <tableStyleInfo name="TableStyleMedium9" showFirstColumn="0" showLastColumn="0" showRowStripes="1" showColumnStripes="0"/>
</table>
</file>

<file path=xl/tables/table147.xml><?xml version="1.0" encoding="utf-8"?>
<table xmlns="http://schemas.openxmlformats.org/spreadsheetml/2006/main" id="230" name="EF.XII.b.NMVOC" displayName="EF.XII.b.NMVOC" ref="C188:N195" totalsRowShown="0" headerRowDxfId="820" dataDxfId="819">
  <autoFilter ref="C188:N195"/>
  <tableColumns count="12">
    <tableColumn id="1" name="Code" dataDxfId="818"/>
    <tableColumn id="2" name="Mode" dataDxfId="817"/>
    <tableColumn id="3" name="Technology" dataDxfId="816"/>
    <tableColumn id="5" name="2010" dataDxfId="815" dataCellStyle="Comma"/>
    <tableColumn id="6" name="2015" dataDxfId="814" dataCellStyle="Comma"/>
    <tableColumn id="7" name="2020" dataDxfId="813" dataCellStyle="Comma"/>
    <tableColumn id="8" name="2025" dataDxfId="812" dataCellStyle="Comma"/>
    <tableColumn id="9" name="2030" dataDxfId="811" dataCellStyle="Comma"/>
    <tableColumn id="10" name="2035" dataDxfId="810" dataCellStyle="Comma"/>
    <tableColumn id="11" name="2040" dataDxfId="809" dataCellStyle="Comma"/>
    <tableColumn id="12" name="2045" dataDxfId="808" dataCellStyle="Comma"/>
    <tableColumn id="13" name="2050" dataDxfId="807" dataCellStyle="Comma"/>
  </tableColumns>
  <tableStyleInfo name="TableStyleMedium9" showFirstColumn="0" showLastColumn="0" showRowStripes="1" showColumnStripes="0"/>
</table>
</file>

<file path=xl/tables/table148.xml><?xml version="1.0" encoding="utf-8"?>
<table xmlns="http://schemas.openxmlformats.org/spreadsheetml/2006/main" id="231" name="XII.b.Total.AQ" displayName="XII.b.Total.AQ" ref="C548:N553" totalsRowCount="1" headerRowDxfId="806" dataDxfId="804" totalsRowDxfId="802" headerRowBorderDxfId="805" tableBorderDxfId="803" dataCellStyle="Comma">
  <autoFilter ref="C548:N552"/>
  <tableColumns count="12">
    <tableColumn id="1" name="Vector" totalsRowLabel="Total" dataDxfId="801" totalsRowDxfId="800"/>
    <tableColumn id="2" name="Name" dataDxfId="799" totalsRowDxfId="798">
      <calculatedColumnFormula>INDEX(AirQualityVectors[Description],MATCH(C549,AirQualityVectors[Code],0))</calculatedColumnFormula>
    </tableColumn>
    <tableColumn id="3" name="IPCC" dataDxfId="797" totalsRowDxfId="796"/>
    <tableColumn id="5" name="2010" totalsRowFunction="sum" dataDxfId="795" totalsRowDxfId="794" dataCellStyle="Comma"/>
    <tableColumn id="6" name="2015" totalsRowFunction="sum" dataDxfId="793" totalsRowDxfId="792" dataCellStyle="Comma"/>
    <tableColumn id="7" name="2020" totalsRowFunction="sum" dataDxfId="791" totalsRowDxfId="790" dataCellStyle="Comma"/>
    <tableColumn id="8" name="2025" totalsRowFunction="sum" dataDxfId="789" totalsRowDxfId="788" dataCellStyle="Comma"/>
    <tableColumn id="9" name="2030" totalsRowFunction="sum" dataDxfId="787" totalsRowDxfId="786" dataCellStyle="Comma"/>
    <tableColumn id="10" name="2035" totalsRowFunction="sum" dataDxfId="785" totalsRowDxfId="784" dataCellStyle="Comma"/>
    <tableColumn id="11" name="2040" totalsRowFunction="sum" dataDxfId="783" totalsRowDxfId="782" dataCellStyle="Comma"/>
    <tableColumn id="12" name="2045" totalsRowFunction="sum" dataDxfId="781" totalsRowDxfId="780" dataCellStyle="Comma"/>
    <tableColumn id="13" name="2050" totalsRowFunction="sum" dataDxfId="779" totalsRowDxfId="778" dataCellStyle="Comma"/>
  </tableColumns>
  <tableStyleInfo name="EnergyCalcTables" showFirstColumn="0" showLastColumn="0" showRowStripes="1" showColumnStripes="0"/>
</table>
</file>

<file path=xl/tables/table149.xml><?xml version="1.0" encoding="utf-8"?>
<table xmlns="http://schemas.openxmlformats.org/spreadsheetml/2006/main" id="232" name="XII.b.Road.AQ" displayName="XII.b.Road.AQ" ref="C557:N562" totalsRowCount="1" headerRowDxfId="777" dataDxfId="775" totalsRowDxfId="773" headerRowBorderDxfId="776" tableBorderDxfId="774" dataCellStyle="Comma">
  <autoFilter ref="C557:N561"/>
  <tableColumns count="12">
    <tableColumn id="1" name="Vector" totalsRowLabel="Total" dataDxfId="772" totalsRowDxfId="771"/>
    <tableColumn id="2" name="Name" dataDxfId="770" totalsRowDxfId="769">
      <calculatedColumnFormula>INDEX(AirQualityVectors[Description],MATCH(C558,AirQualityVectors[Code],0))</calculatedColumnFormula>
    </tableColumn>
    <tableColumn id="3" name="IPCC" dataDxfId="768" totalsRowDxfId="767"/>
    <tableColumn id="5" name="2010" totalsRowFunction="sum" dataDxfId="766" totalsRowDxfId="765" dataCellStyle="Comma"/>
    <tableColumn id="6" name="2015" totalsRowFunction="sum" dataDxfId="764" totalsRowDxfId="763" dataCellStyle="Comma"/>
    <tableColumn id="7" name="2020" totalsRowFunction="sum" dataDxfId="762" totalsRowDxfId="761" dataCellStyle="Comma"/>
    <tableColumn id="8" name="2025" totalsRowFunction="sum" dataDxfId="760" totalsRowDxfId="759" dataCellStyle="Comma"/>
    <tableColumn id="9" name="2030" totalsRowFunction="sum" dataDxfId="758" totalsRowDxfId="757" dataCellStyle="Comma"/>
    <tableColumn id="10" name="2035" totalsRowFunction="sum" dataDxfId="756" totalsRowDxfId="755" dataCellStyle="Comma"/>
    <tableColumn id="11" name="2040" totalsRowFunction="sum" dataDxfId="754" totalsRowDxfId="753" dataCellStyle="Comma"/>
    <tableColumn id="12" name="2045" totalsRowFunction="sum" dataDxfId="752" totalsRowDxfId="751" dataCellStyle="Comma"/>
    <tableColumn id="13" name="2050" totalsRowFunction="sum" dataDxfId="750" totalsRowDxfId="749" dataCellStyle="Comma"/>
  </tableColumns>
  <tableStyleInfo name="EnergyCalcTables" showFirstColumn="0" showLastColumn="0" showRowStripes="1" showColumnStripes="0"/>
</table>
</file>

<file path=xl/tables/table15.xml><?xml version="1.0" encoding="utf-8"?>
<table xmlns="http://schemas.openxmlformats.org/spreadsheetml/2006/main" id="34" name="I.a.Emissions" displayName="I.a.Emissions" ref="C177:N181" totalsRowCount="1" headerRowDxfId="4155" dataDxfId="4153" headerRowBorderDxfId="4154" tableBorderDxfId="4152" dataCellStyle="40% - Accent2 3">
  <autoFilter ref="C177:N180"/>
  <tableColumns count="12">
    <tableColumn id="1" name="GHG" totalsRowLabel="Total" dataDxfId="4151" totalsRowDxfId="4150"/>
    <tableColumn id="2" name="IPCC Sector" dataDxfId="4149" totalsRowDxfId="4148"/>
    <tableColumn id="3" name="Notes" dataDxfId="4147" totalsRowDxfId="4146"/>
    <tableColumn id="5" name="2010" totalsRowFunction="sum" dataDxfId="4145" totalsRowDxfId="4144" dataCellStyle="Comma"/>
    <tableColumn id="6" name="2015" totalsRowFunction="sum" dataDxfId="4143" totalsRowDxfId="4142" dataCellStyle="Comma"/>
    <tableColumn id="7" name="2020" totalsRowFunction="sum" dataDxfId="4141" totalsRowDxfId="4140" dataCellStyle="Comma"/>
    <tableColumn id="8" name="2025" totalsRowFunction="sum" dataDxfId="4139" totalsRowDxfId="4138" dataCellStyle="Comma"/>
    <tableColumn id="9" name="2030" totalsRowFunction="sum" dataDxfId="4137" totalsRowDxfId="4136" dataCellStyle="Comma"/>
    <tableColumn id="10" name="2035" totalsRowFunction="sum" dataDxfId="4135" totalsRowDxfId="4134" dataCellStyle="Comma"/>
    <tableColumn id="11" name="2040" totalsRowFunction="sum" dataDxfId="4133" totalsRowDxfId="4132" dataCellStyle="Comma"/>
    <tableColumn id="12" name="2045" totalsRowFunction="sum" dataDxfId="4131" totalsRowDxfId="4130" dataCellStyle="Comma"/>
    <tableColumn id="13" name="2050" totalsRowFunction="sum" dataDxfId="4129" totalsRowDxfId="4128" dataCellStyle="Comma"/>
  </tableColumns>
  <tableStyleInfo name="EnergyCalcTables" showFirstColumn="0" showLastColumn="0" showRowStripes="1" showColumnStripes="0"/>
</table>
</file>

<file path=xl/tables/table150.xml><?xml version="1.0" encoding="utf-8"?>
<table xmlns="http://schemas.openxmlformats.org/spreadsheetml/2006/main" id="233" name="XII.b.Rail.AQ" displayName="XII.b.Rail.AQ" ref="C566:N571" totalsRowCount="1" headerRowDxfId="748" dataDxfId="746" totalsRowDxfId="744" headerRowBorderDxfId="747" tableBorderDxfId="745" dataCellStyle="Comma">
  <autoFilter ref="C566:N570"/>
  <tableColumns count="12">
    <tableColumn id="1" name="Vector" totalsRowLabel="Total" dataDxfId="743" totalsRowDxfId="742"/>
    <tableColumn id="2" name="Name" dataDxfId="741" totalsRowDxfId="740">
      <calculatedColumnFormula>INDEX(AirQualityVectors[Description],MATCH(C567,AirQualityVectors[Code],0))</calculatedColumnFormula>
    </tableColumn>
    <tableColumn id="3" name="IPCC" dataDxfId="739" totalsRowDxfId="738"/>
    <tableColumn id="5" name="2010" totalsRowFunction="sum" dataDxfId="737" totalsRowDxfId="736" dataCellStyle="Comma"/>
    <tableColumn id="6" name="2015" totalsRowFunction="sum" dataDxfId="735" totalsRowDxfId="734" dataCellStyle="Comma"/>
    <tableColumn id="7" name="2020" totalsRowFunction="sum" dataDxfId="733" totalsRowDxfId="732" dataCellStyle="Comma"/>
    <tableColumn id="8" name="2025" totalsRowFunction="sum" dataDxfId="731" totalsRowDxfId="730" dataCellStyle="Comma"/>
    <tableColumn id="9" name="2030" totalsRowFunction="sum" dataDxfId="729" totalsRowDxfId="728" dataCellStyle="Comma"/>
    <tableColumn id="10" name="2035" totalsRowFunction="sum" dataDxfId="727" totalsRowDxfId="726" dataCellStyle="Comma"/>
    <tableColumn id="11" name="2040" totalsRowFunction="sum" dataDxfId="725" totalsRowDxfId="724" dataCellStyle="Comma"/>
    <tableColumn id="12" name="2045" totalsRowFunction="sum" dataDxfId="723" totalsRowDxfId="722" dataCellStyle="Comma"/>
    <tableColumn id="13" name="2050" totalsRowFunction="sum" dataDxfId="721" totalsRowDxfId="720" dataCellStyle="Comma"/>
  </tableColumns>
  <tableStyleInfo name="EnergyCalcTables" showFirstColumn="0" showLastColumn="0" showRowStripes="1" showColumnStripes="0"/>
</table>
</file>

<file path=xl/tables/table151.xml><?xml version="1.0" encoding="utf-8"?>
<table xmlns="http://schemas.openxmlformats.org/spreadsheetml/2006/main" id="234" name="XII.b.Barge.AQ" displayName="XII.b.Barge.AQ" ref="C575:N580" totalsRowCount="1" headerRowDxfId="719" dataDxfId="717" totalsRowDxfId="715" headerRowBorderDxfId="718" tableBorderDxfId="716" dataCellStyle="Comma">
  <autoFilter ref="C575:N579"/>
  <tableColumns count="12">
    <tableColumn id="1" name="Vector" totalsRowLabel="Total" dataDxfId="714" totalsRowDxfId="713"/>
    <tableColumn id="2" name="Name" dataDxfId="712" totalsRowDxfId="711">
      <calculatedColumnFormula>INDEX(AirQualityVectors[Description],MATCH(C576,AirQualityVectors[Code],0))</calculatedColumnFormula>
    </tableColumn>
    <tableColumn id="3" name="IPCC" dataDxfId="710" totalsRowDxfId="709"/>
    <tableColumn id="5" name="2010" totalsRowFunction="sum" dataDxfId="708" totalsRowDxfId="707" dataCellStyle="Comma"/>
    <tableColumn id="6" name="2015" totalsRowFunction="sum" dataDxfId="706" totalsRowDxfId="705" dataCellStyle="Comma"/>
    <tableColumn id="7" name="2020" totalsRowFunction="sum" dataDxfId="704" totalsRowDxfId="703" dataCellStyle="Comma"/>
    <tableColumn id="8" name="2025" totalsRowFunction="sum" dataDxfId="702" totalsRowDxfId="701" dataCellStyle="Comma"/>
    <tableColumn id="9" name="2030" totalsRowFunction="sum" dataDxfId="700" totalsRowDxfId="699" dataCellStyle="Comma"/>
    <tableColumn id="10" name="2035" totalsRowFunction="sum" dataDxfId="698" totalsRowDxfId="697" dataCellStyle="Comma"/>
    <tableColumn id="11" name="2040" totalsRowFunction="sum" dataDxfId="696" totalsRowDxfId="695" dataCellStyle="Comma"/>
    <tableColumn id="12" name="2045" totalsRowFunction="sum" dataDxfId="694" totalsRowDxfId="693" dataCellStyle="Comma"/>
    <tableColumn id="13" name="2050" totalsRowFunction="sum" dataDxfId="692" totalsRowDxfId="691" dataCellStyle="Comma"/>
  </tableColumns>
  <tableStyleInfo name="EnergyCalcTables" showFirstColumn="0" showLastColumn="0" showRowStripes="1" showColumnStripes="0"/>
</table>
</file>

<file path=xl/tables/table152.xml><?xml version="1.0" encoding="utf-8"?>
<table xmlns="http://schemas.openxmlformats.org/spreadsheetml/2006/main" id="11" name="XII.b.Pipeline.Outputs" displayName="XII.b.Pipeline.Outputs" ref="C471:N474" totalsRowCount="1" headerRowDxfId="690" dataDxfId="689">
  <autoFilter ref="C471:N473"/>
  <tableColumns count="12">
    <tableColumn id="1" name="Vector" totalsRowLabel="Total" dataDxfId="688" totalsRowDxfId="687"/>
    <tableColumn id="2" name="Name" dataDxfId="686" totalsRowDxfId="685">
      <calculatedColumnFormula>INDEX(Vectors[Description], MATCH(XII.b.Pipeline.Outputs[Vector], Vectors[Code], 0))</calculatedColumnFormula>
    </tableColumn>
    <tableColumn id="3" name="Notes" dataDxfId="684" totalsRowDxfId="683"/>
    <tableColumn id="5" name="2010" totalsRowFunction="sum" dataDxfId="682" totalsRowDxfId="681" dataCellStyle="Comma"/>
    <tableColumn id="6" name="2015" totalsRowFunction="sum" dataDxfId="680" totalsRowDxfId="679" dataCellStyle="Comma"/>
    <tableColumn id="7" name="2020" totalsRowFunction="sum" dataDxfId="678" totalsRowDxfId="677" dataCellStyle="Comma"/>
    <tableColumn id="8" name="2025" totalsRowFunction="sum" dataDxfId="676" totalsRowDxfId="675" dataCellStyle="Comma"/>
    <tableColumn id="9" name="2030" totalsRowFunction="sum" dataDxfId="674" totalsRowDxfId="673" dataCellStyle="Comma"/>
    <tableColumn id="10" name="2035" totalsRowFunction="sum" dataDxfId="672" totalsRowDxfId="671" dataCellStyle="Comma"/>
    <tableColumn id="11" name="2040" totalsRowFunction="sum" dataDxfId="670" totalsRowDxfId="669" dataCellStyle="Comma"/>
    <tableColumn id="12" name="2045" totalsRowFunction="sum" dataDxfId="668" totalsRowDxfId="667" dataCellStyle="Comma"/>
    <tableColumn id="13" name="2050" totalsRowFunction="sum" dataDxfId="666" totalsRowDxfId="665" dataCellStyle="Comma"/>
  </tableColumns>
  <tableStyleInfo name="EnergyCalcTables" showFirstColumn="0" showLastColumn="0" showRowStripes="1" showColumnStripes="0"/>
</table>
</file>

<file path=xl/tables/table153.xml><?xml version="1.0" encoding="utf-8"?>
<table xmlns="http://schemas.openxmlformats.org/spreadsheetml/2006/main" id="28" name="XV.a.Outputs" displayName="XV.a.Outputs" ref="C169:N176" totalsRowCount="1" headerRowDxfId="664" dataDxfId="663">
  <autoFilter ref="C169:N175"/>
  <tableColumns count="12">
    <tableColumn id="1" name="Vector" totalsRowLabel="Total" dataDxfId="662" totalsRowDxfId="661"/>
    <tableColumn id="2" name="Name" dataDxfId="660" totalsRowDxfId="659">
      <calculatedColumnFormula>INDEX(Vectors[Description], MATCH(XV.a.Outputs[Vector], Vectors[Code], 0))</calculatedColumnFormula>
    </tableColumn>
    <tableColumn id="3" name="Notes" dataDxfId="658" totalsRowDxfId="657"/>
    <tableColumn id="5" name="2010" totalsRowFunction="sum" dataDxfId="656" totalsRowDxfId="655" dataCellStyle="Comma"/>
    <tableColumn id="6" name="2015" totalsRowFunction="sum" dataDxfId="654" totalsRowDxfId="653" dataCellStyle="Comma"/>
    <tableColumn id="7" name="2020" totalsRowFunction="sum" dataDxfId="652" totalsRowDxfId="651" dataCellStyle="Comma"/>
    <tableColumn id="8" name="2025" totalsRowFunction="sum" dataDxfId="650" totalsRowDxfId="649" dataCellStyle="Comma"/>
    <tableColumn id="9" name="2030" totalsRowFunction="sum" dataDxfId="648" totalsRowDxfId="647" dataCellStyle="Comma"/>
    <tableColumn id="10" name="2035" totalsRowFunction="sum" dataDxfId="646" totalsRowDxfId="645" dataCellStyle="Comma"/>
    <tableColumn id="11" name="2040" totalsRowFunction="sum" dataDxfId="644" totalsRowDxfId="643" dataCellStyle="Comma"/>
    <tableColumn id="12" name="2045" totalsRowFunction="sum" dataDxfId="642" totalsRowDxfId="641" dataCellStyle="Comma"/>
    <tableColumn id="13" name="2050" totalsRowFunction="sum" dataDxfId="640" totalsRowDxfId="639" dataCellStyle="Comma"/>
  </tableColumns>
  <tableStyleInfo name="EnergyCalcTables" showFirstColumn="0" showLastColumn="0" showRowStripes="1" showColumnStripes="0"/>
</table>
</file>

<file path=xl/tables/table154.xml><?xml version="1.0" encoding="utf-8"?>
<table xmlns="http://schemas.openxmlformats.org/spreadsheetml/2006/main" id="46" name="XV.a.Emissions" displayName="XV.a.Emissions" ref="C183:N187" totalsRowCount="1" headerRowDxfId="638" dataDxfId="636" headerRowBorderDxfId="637" tableBorderDxfId="635" dataCellStyle="Comma">
  <autoFilter ref="C183:N186"/>
  <tableColumns count="12">
    <tableColumn id="1" name="GHG" totalsRowLabel="Total" dataDxfId="634" totalsRowDxfId="633"/>
    <tableColumn id="2" name="IPCC Sector" dataDxfId="632" totalsRowDxfId="631"/>
    <tableColumn id="3" name="Notes" dataDxfId="630" totalsRowDxfId="629">
      <calculatedColumnFormula>INDEX(IPCC[Sector_description], MATCH(XV.a.Emissions[IPCC Sector], IPCC[Sector_code], 0))</calculatedColumnFormula>
    </tableColumn>
    <tableColumn id="5" name="2010" totalsRowFunction="sum" dataDxfId="628" totalsRowDxfId="627" dataCellStyle="Comma"/>
    <tableColumn id="6" name="2015" totalsRowFunction="sum" dataDxfId="626" totalsRowDxfId="625" dataCellStyle="Comma"/>
    <tableColumn id="7" name="2020" totalsRowFunction="sum" dataDxfId="624" totalsRowDxfId="623" dataCellStyle="Comma"/>
    <tableColumn id="8" name="2025" totalsRowFunction="sum" dataDxfId="622" totalsRowDxfId="621" dataCellStyle="Comma"/>
    <tableColumn id="9" name="2030" totalsRowFunction="sum" dataDxfId="620" totalsRowDxfId="619" dataCellStyle="Comma"/>
    <tableColumn id="10" name="2035" totalsRowFunction="sum" dataDxfId="618" totalsRowDxfId="617" dataCellStyle="Comma"/>
    <tableColumn id="11" name="2040" totalsRowFunction="sum" dataDxfId="616" totalsRowDxfId="615" dataCellStyle="Comma"/>
    <tableColumn id="12" name="2045" totalsRowFunction="sum" dataDxfId="614" totalsRowDxfId="613" dataCellStyle="Comma"/>
    <tableColumn id="13" name="2050" totalsRowFunction="sum" dataDxfId="612" totalsRowDxfId="611" dataCellStyle="Comma"/>
  </tableColumns>
  <tableStyleInfo name="EnergyCalcTables" showFirstColumn="0" showLastColumn="0" showRowStripes="1" showColumnStripes="0"/>
</table>
</file>

<file path=xl/tables/table155.xml><?xml version="1.0" encoding="utf-8"?>
<table xmlns="http://schemas.openxmlformats.org/spreadsheetml/2006/main" id="75" name="XV.a.Inputs" displayName="XV.a.Inputs" ref="C8:N9" totalsRowShown="0" headerRowDxfId="610" dataDxfId="609">
  <autoFilter ref="C8:N9"/>
  <tableColumns count="12">
    <tableColumn id="1" name="Vector" dataDxfId="608"/>
    <tableColumn id="2" name="Name" dataDxfId="607">
      <calculatedColumnFormula>INDEX(Vectors[Description], MATCH(XV.a.Inputs[Vector], Vectors[Code], 0))</calculatedColumnFormula>
    </tableColumn>
    <tableColumn id="3" name="Notes" dataDxfId="606"/>
    <tableColumn id="5" name="2010" dataDxfId="605" dataCellStyle="Comma">
      <calculatedColumnFormula>INDEX(INDIRECT("'"&amp;XV.a.Inputs[#Headers]&amp;"'!Year.NetBalance"), MATCH(XV.a.Inputs[Vector], INDIRECT("'"&amp;XV.a.Inputs[#Headers]&amp;"'!Year.Vectors"), 0))</calculatedColumnFormula>
    </tableColumn>
    <tableColumn id="6" name="2015" dataDxfId="604" dataCellStyle="Comma">
      <calculatedColumnFormula>INDEX(INDIRECT("'"&amp;XV.a.Inputs[#Headers]&amp;"'!Year.NetBalance"), MATCH(XV.a.Inputs[Vector], INDIRECT("'"&amp;XV.a.Inputs[#Headers]&amp;"'!Year.Vectors"), 0))</calculatedColumnFormula>
    </tableColumn>
    <tableColumn id="7" name="2020" dataDxfId="603" dataCellStyle="Comma">
      <calculatedColumnFormula>INDEX(INDIRECT("'"&amp;XV.a.Inputs[#Headers]&amp;"'!Year.NetBalance"), MATCH(XV.a.Inputs[Vector], INDIRECT("'"&amp;XV.a.Inputs[#Headers]&amp;"'!Year.Vectors"), 0))</calculatedColumnFormula>
    </tableColumn>
    <tableColumn id="15" name="2025" dataDxfId="602" dataCellStyle="Comma">
      <calculatedColumnFormula>INDEX(INDIRECT("'"&amp;XV.a.Inputs[#Headers]&amp;"'!Year.NetBalance"), MATCH(XV.a.Inputs[Vector], INDIRECT("'"&amp;XV.a.Inputs[#Headers]&amp;"'!Year.Vectors"), 0))</calculatedColumnFormula>
    </tableColumn>
    <tableColumn id="16" name="2030" dataDxfId="601" dataCellStyle="Comma">
      <calculatedColumnFormula>INDEX(INDIRECT("'"&amp;XV.a.Inputs[#Headers]&amp;"'!Year.NetBalance"), MATCH(XV.a.Inputs[Vector], INDIRECT("'"&amp;XV.a.Inputs[#Headers]&amp;"'!Year.Vectors"), 0))</calculatedColumnFormula>
    </tableColumn>
    <tableColumn id="17" name="2035" dataDxfId="600" dataCellStyle="Comma">
      <calculatedColumnFormula>INDEX(INDIRECT("'"&amp;XV.a.Inputs[#Headers]&amp;"'!Year.NetBalance"), MATCH(XV.a.Inputs[Vector], INDIRECT("'"&amp;XV.a.Inputs[#Headers]&amp;"'!Year.Vectors"), 0))</calculatedColumnFormula>
    </tableColumn>
    <tableColumn id="18" name="2040" dataDxfId="599" dataCellStyle="Comma">
      <calculatedColumnFormula>INDEX(INDIRECT("'"&amp;XV.a.Inputs[#Headers]&amp;"'!Year.NetBalance"), MATCH(XV.a.Inputs[Vector], INDIRECT("'"&amp;XV.a.Inputs[#Headers]&amp;"'!Year.Vectors"), 0))</calculatedColumnFormula>
    </tableColumn>
    <tableColumn id="19" name="2045" dataDxfId="598" dataCellStyle="Comma">
      <calculatedColumnFormula>INDEX(INDIRECT("'"&amp;XV.a.Inputs[#Headers]&amp;"'!Year.NetBalance"), MATCH(XV.a.Inputs[Vector], INDIRECT("'"&amp;XV.a.Inputs[#Headers]&amp;"'!Year.Vectors"), 0))</calculatedColumnFormula>
    </tableColumn>
    <tableColumn id="20" name="2050" dataDxfId="597" dataCellStyle="Comma">
      <calculatedColumnFormula>INDEX(INDIRECT("'"&amp;XV.a.Inputs[#Headers]&amp;"'!Year.NetBalance"), MATCH(XV.a.Inputs[Vector], INDIRECT("'"&amp;XV.a.Inputs[#Headers]&amp;"'!Year.Vectors"), 0))</calculatedColumnFormula>
    </tableColumn>
  </tableColumns>
  <tableStyleInfo name="EnergyCalcTables" showFirstColumn="0" showLastColumn="0" showRowStripes="1" showColumnStripes="0"/>
</table>
</file>

<file path=xl/tables/table156.xml><?xml version="1.0" encoding="utf-8"?>
<table xmlns="http://schemas.openxmlformats.org/spreadsheetml/2006/main" id="114" name="XV.a.info" displayName="XV.a.info" ref="C195:N198" totalsRowShown="0" headerRowDxfId="596" dataDxfId="594" totalsRowDxfId="592" headerRowBorderDxfId="595" tableBorderDxfId="593" dataCellStyle="Comma">
  <autoFilter ref="C195:N198"/>
  <tableColumns count="12">
    <tableColumn id="1" name="Vector" dataDxfId="591" totalsRowDxfId="590"/>
    <tableColumn id="2" name="Information type" dataDxfId="589" totalsRowDxfId="588">
      <calculatedColumnFormula>INDEX(Vectors[Description], MATCH(XV.a.info[Vector], Vectors[Code], 0))</calculatedColumnFormula>
    </tableColumn>
    <tableColumn id="3" name="Notes" dataDxfId="587" totalsRowDxfId="586">
      <calculatedColumnFormula>INDEX(Vectors[Comment], MATCH(XV.a.info[Information type], Vectors[Description], 0))</calculatedColumnFormula>
    </tableColumn>
    <tableColumn id="5" name="2010" dataDxfId="585" totalsRowDxfId="584" dataCellStyle="Comma"/>
    <tableColumn id="6" name="2015" dataDxfId="583" totalsRowDxfId="582" dataCellStyle="Comma"/>
    <tableColumn id="7" name="2020" dataDxfId="581" totalsRowDxfId="580" dataCellStyle="Comma"/>
    <tableColumn id="8" name="2025" dataDxfId="579" totalsRowDxfId="578" dataCellStyle="Comma"/>
    <tableColumn id="9" name="2030" dataDxfId="577" totalsRowDxfId="576" dataCellStyle="Comma"/>
    <tableColumn id="10" name="2035" dataDxfId="575" totalsRowDxfId="574" dataCellStyle="Comma"/>
    <tableColumn id="11" name="2040" dataDxfId="573" totalsRowDxfId="572" dataCellStyle="Comma"/>
    <tableColumn id="12" name="2045" dataDxfId="571" totalsRowDxfId="570" dataCellStyle="Comma"/>
    <tableColumn id="13" name="2050" dataDxfId="569" totalsRowDxfId="568" dataCellStyle="Comma"/>
  </tableColumns>
  <tableStyleInfo name="EnergyCalcTables" showFirstColumn="0" showLastColumn="0" showRowStripes="1" showColumnStripes="0"/>
</table>
</file>

<file path=xl/tables/table157.xml><?xml version="1.0" encoding="utf-8"?>
<table xmlns="http://schemas.openxmlformats.org/spreadsheetml/2006/main" id="93" name="XV.a.Costs" displayName="XV.a.Costs" ref="C206:N212" headerRowDxfId="567" dataDxfId="565" headerRowBorderDxfId="566" tableBorderDxfId="564">
  <autoFilter ref="C206:N212"/>
  <tableColumns count="12">
    <tableColumn id="1" name="Vector" totalsRowLabel="Total" dataDxfId="563" totalsRowDxfId="562"/>
    <tableColumn id="2" name="Name" dataDxfId="561" totalsRowDxfId="560">
      <calculatedColumnFormula>INDEX([10]!CostVectors[Description], MATCH(C207, [10]!CostVectors[Code], 0))</calculatedColumnFormula>
    </tableColumn>
    <tableColumn id="3" name="Notes" dataDxfId="559" totalsRowDxfId="558"/>
    <tableColumn id="5" name="2010" totalsRowFunction="custom" dataDxfId="557" totalsRowDxfId="556" dataCellStyle="Comma">
      <totalsRowFormula>SUM(XV.a.Costs[2010])</totalsRowFormula>
    </tableColumn>
    <tableColumn id="6" name="2015" totalsRowFunction="custom" dataDxfId="555" totalsRowDxfId="554" dataCellStyle="Comma">
      <totalsRowFormula>SUM(XV.a.Costs[2015])</totalsRowFormula>
    </tableColumn>
    <tableColumn id="7" name="2020" totalsRowFunction="sum" dataDxfId="553" totalsRowDxfId="552" dataCellStyle="Comma"/>
    <tableColumn id="8" name="2025" totalsRowFunction="sum" dataDxfId="551" totalsRowDxfId="550" dataCellStyle="Comma"/>
    <tableColumn id="9" name="2030" totalsRowFunction="sum" dataDxfId="549" totalsRowDxfId="548" dataCellStyle="Comma"/>
    <tableColumn id="10" name="2035" totalsRowFunction="sum" dataDxfId="547" totalsRowDxfId="546" dataCellStyle="Comma"/>
    <tableColumn id="11" name="2040" totalsRowFunction="sum" dataDxfId="545" totalsRowDxfId="544" dataCellStyle="Comma"/>
    <tableColumn id="12" name="2045" totalsRowFunction="sum" dataDxfId="543" totalsRowDxfId="542" dataCellStyle="Comma"/>
    <tableColumn id="13" name="2050" totalsRowFunction="sum" dataDxfId="541" totalsRowDxfId="540" dataCellStyle="Comma"/>
  </tableColumns>
  <tableStyleInfo name="EnergyCalcTables" showFirstColumn="0" showLastColumn="0" showRowStripes="1" showColumnStripes="0"/>
</table>
</file>

<file path=xl/tables/table158.xml><?xml version="1.0" encoding="utf-8"?>
<table xmlns="http://schemas.openxmlformats.org/spreadsheetml/2006/main" id="310" name="XV.a.AQ" displayName="XV.a.AQ" ref="C223:N227" totalsRowShown="0" headerRowDxfId="539" dataDxfId="537" headerRowBorderDxfId="538" tableBorderDxfId="536" totalsRowBorderDxfId="535">
  <autoFilter ref="C223:N227"/>
  <tableColumns count="12">
    <tableColumn id="1" name="Vector" dataDxfId="534"/>
    <tableColumn id="2" name="Name" dataDxfId="533">
      <calculatedColumnFormula>INDEX(AirQualityVectors[Description],MATCH(C224,AirQualityVectors[Code],0))</calculatedColumnFormula>
    </tableColumn>
    <tableColumn id="3" name="IPCC Sector" dataDxfId="532"/>
    <tableColumn id="5" name="2010" dataDxfId="531">
      <calculatedColumnFormula>F216</calculatedColumnFormula>
    </tableColumn>
    <tableColumn id="6" name="2015" dataDxfId="530">
      <calculatedColumnFormula>G216</calculatedColumnFormula>
    </tableColumn>
    <tableColumn id="7" name="2020" dataDxfId="529">
      <calculatedColumnFormula>H216</calculatedColumnFormula>
    </tableColumn>
    <tableColumn id="8" name="2025" dataDxfId="528">
      <calculatedColumnFormula>I216</calculatedColumnFormula>
    </tableColumn>
    <tableColumn id="9" name="2030" dataDxfId="527">
      <calculatedColumnFormula>J216</calculatedColumnFormula>
    </tableColumn>
    <tableColumn id="10" name="2035" dataDxfId="526">
      <calculatedColumnFormula>K216</calculatedColumnFormula>
    </tableColumn>
    <tableColumn id="11" name="2040" dataDxfId="525">
      <calculatedColumnFormula>L216</calculatedColumnFormula>
    </tableColumn>
    <tableColumn id="12" name="2045" dataDxfId="524">
      <calculatedColumnFormula>M216</calculatedColumnFormula>
    </tableColumn>
    <tableColumn id="13" name="2050" dataDxfId="523">
      <calculatedColumnFormula>N216</calculatedColumnFormula>
    </tableColumn>
  </tableColumns>
  <tableStyleInfo name="TableStyleMedium9" showFirstColumn="0" showLastColumn="0" showRowStripes="1" showColumnStripes="0"/>
</table>
</file>

<file path=xl/tables/table159.xml><?xml version="1.0" encoding="utf-8"?>
<table xmlns="http://schemas.openxmlformats.org/spreadsheetml/2006/main" id="27" name="XV.b.Outputs" displayName="XV.b.Outputs" ref="C211:N222" totalsRowCount="1" headerRowDxfId="522" dataDxfId="521">
  <autoFilter ref="C211:N221"/>
  <tableColumns count="12">
    <tableColumn id="1" name="Vector" totalsRowLabel="Total" dataDxfId="520" totalsRowDxfId="519"/>
    <tableColumn id="2" name="Name" dataDxfId="518" totalsRowDxfId="517">
      <calculatedColumnFormula>INDEX(Vectors[Description], MATCH(XV.b.Outputs[Vector], Vectors[Code], 0))</calculatedColumnFormula>
    </tableColumn>
    <tableColumn id="3" name="Notes" dataDxfId="516" totalsRowDxfId="515"/>
    <tableColumn id="5" name="2010" totalsRowFunction="sum" dataDxfId="514" totalsRowDxfId="513" dataCellStyle="Comma"/>
    <tableColumn id="6" name="2015" totalsRowFunction="sum" dataDxfId="512" totalsRowDxfId="511" dataCellStyle="Comma"/>
    <tableColumn id="7" name="2020" totalsRowFunction="sum" dataDxfId="510" totalsRowDxfId="509" dataCellStyle="Comma"/>
    <tableColumn id="8" name="2025" totalsRowFunction="sum" dataDxfId="508" totalsRowDxfId="507" dataCellStyle="Comma"/>
    <tableColumn id="9" name="2030" totalsRowFunction="sum" dataDxfId="506" totalsRowDxfId="505" dataCellStyle="Comma"/>
    <tableColumn id="10" name="2035" totalsRowFunction="sum" dataDxfId="504" totalsRowDxfId="503" dataCellStyle="Comma"/>
    <tableColumn id="11" name="2040" totalsRowFunction="sum" dataDxfId="502" totalsRowDxfId="501" dataCellStyle="Comma"/>
    <tableColumn id="12" name="2045" totalsRowFunction="sum" dataDxfId="500" totalsRowDxfId="499" dataCellStyle="Comma"/>
    <tableColumn id="13" name="2050" totalsRowFunction="sum" dataDxfId="498" totalsRowDxfId="497" dataCellStyle="Comma"/>
  </tableColumns>
  <tableStyleInfo name="EnergyCalcTables" showFirstColumn="0" showLastColumn="0" showRowStripes="1" showColumnStripes="0"/>
</table>
</file>

<file path=xl/tables/table16.xml><?xml version="1.0" encoding="utf-8"?>
<table xmlns="http://schemas.openxmlformats.org/spreadsheetml/2006/main" id="38" name="I.a.Costs" displayName="I.a.Costs" ref="C206:N215" headerRowDxfId="4127" dataDxfId="4125" headerRowBorderDxfId="4126" tableBorderDxfId="4124" dataCellStyle="40% - Accent2 3">
  <autoFilter ref="C206:N215"/>
  <tableColumns count="12">
    <tableColumn id="1" name="Vector" totalsRowLabel="Total" dataDxfId="4123" totalsRowDxfId="4122"/>
    <tableColumn id="2" name="Name" dataDxfId="4121" totalsRowDxfId="4120">
      <calculatedColumnFormula>INDEX(CostVectors[Description], MATCH(C207, CostVectors[Code], 0))</calculatedColumnFormula>
    </tableColumn>
    <tableColumn id="3" name="Notes" dataDxfId="4119" totalsRowDxfId="4118"/>
    <tableColumn id="5" name="2010" totalsRowFunction="custom" dataDxfId="4117" totalsRowDxfId="4116" dataCellStyle="Comma">
      <totalsRowFormula>SUM(I.a.Costs[2010])</totalsRowFormula>
    </tableColumn>
    <tableColumn id="6" name="2015" totalsRowFunction="custom" dataDxfId="4115" totalsRowDxfId="4114" dataCellStyle="Comma">
      <totalsRowFormula>SUM(I.a.Costs[2015])</totalsRowFormula>
    </tableColumn>
    <tableColumn id="7" name="2020" totalsRowFunction="sum" dataDxfId="4113" totalsRowDxfId="4112" dataCellStyle="Comma"/>
    <tableColumn id="8" name="2025" totalsRowFunction="sum" dataDxfId="4111" totalsRowDxfId="4110" dataCellStyle="Comma"/>
    <tableColumn id="9" name="2030" totalsRowFunction="sum" dataDxfId="4109" totalsRowDxfId="4108" dataCellStyle="Comma"/>
    <tableColumn id="10" name="2035" totalsRowFunction="sum" dataDxfId="4107" totalsRowDxfId="4106" dataCellStyle="Comma"/>
    <tableColumn id="11" name="2040" totalsRowFunction="sum" dataDxfId="4105" totalsRowDxfId="4104" dataCellStyle="Comma"/>
    <tableColumn id="12" name="2045" totalsRowFunction="sum" dataDxfId="4103" totalsRowDxfId="4102" dataCellStyle="Comma"/>
    <tableColumn id="13" name="2050" totalsRowFunction="sum" dataDxfId="4101" totalsRowDxfId="4100" dataCellStyle="Comma"/>
  </tableColumns>
  <tableStyleInfo name="EnergyCalcTables" showFirstColumn="0" showLastColumn="0" showRowStripes="1" showColumnStripes="0"/>
</table>
</file>

<file path=xl/tables/table160.xml><?xml version="1.0" encoding="utf-8"?>
<table xmlns="http://schemas.openxmlformats.org/spreadsheetml/2006/main" id="47" name="XV.b.Emissions" displayName="XV.b.Emissions" ref="C229:N235" totalsRowCount="1" headerRowDxfId="496" dataDxfId="494" headerRowBorderDxfId="495" tableBorderDxfId="493" dataCellStyle="Comma">
  <autoFilter ref="C229:N234"/>
  <tableColumns count="12">
    <tableColumn id="1" name="GHG" totalsRowLabel="Total" dataDxfId="492" totalsRowDxfId="491"/>
    <tableColumn id="2" name="IPCC Sector" dataDxfId="490" totalsRowDxfId="489"/>
    <tableColumn id="3" name="Notes" dataDxfId="488" totalsRowDxfId="487">
      <calculatedColumnFormula>INDEX(IPCC[Sector_description], MATCH(XV.b.Emissions[IPCC Sector], IPCC[Sector_code], 0))</calculatedColumnFormula>
    </tableColumn>
    <tableColumn id="5" name="2010" totalsRowFunction="sum" dataDxfId="486" totalsRowDxfId="485" dataCellStyle="Comma"/>
    <tableColumn id="6" name="2015" totalsRowFunction="sum" dataDxfId="484" totalsRowDxfId="483" dataCellStyle="Comma"/>
    <tableColumn id="7" name="2020" totalsRowFunction="sum" dataDxfId="482" totalsRowDxfId="481" dataCellStyle="Comma"/>
    <tableColumn id="8" name="2025" totalsRowFunction="sum" dataDxfId="480" totalsRowDxfId="479" dataCellStyle="Comma"/>
    <tableColumn id="9" name="2030" totalsRowFunction="sum" dataDxfId="478" totalsRowDxfId="477" dataCellStyle="Comma"/>
    <tableColumn id="10" name="2035" totalsRowFunction="sum" dataDxfId="476" totalsRowDxfId="475" dataCellStyle="Comma"/>
    <tableColumn id="11" name="2040" totalsRowFunction="sum" dataDxfId="474" totalsRowDxfId="473" dataCellStyle="Comma"/>
    <tableColumn id="12" name="2045" totalsRowFunction="sum" dataDxfId="472" totalsRowDxfId="471" dataCellStyle="Comma"/>
    <tableColumn id="13" name="2050" totalsRowFunction="sum" dataDxfId="470" totalsRowDxfId="469" dataCellStyle="Comma"/>
  </tableColumns>
  <tableStyleInfo name="EnergyCalcTables" showFirstColumn="0" showLastColumn="0" showRowStripes="1" showColumnStripes="0"/>
</table>
</file>

<file path=xl/tables/table161.xml><?xml version="1.0" encoding="utf-8"?>
<table xmlns="http://schemas.openxmlformats.org/spreadsheetml/2006/main" id="115" name="XV.b.info" displayName="XV.b.info" ref="C243:N245" totalsRowShown="0" headerRowDxfId="468" dataDxfId="466" totalsRowDxfId="464" headerRowBorderDxfId="467" tableBorderDxfId="465" dataCellStyle="Comma">
  <autoFilter ref="C243:N245"/>
  <tableColumns count="12">
    <tableColumn id="1" name="Vector" dataDxfId="463" totalsRowDxfId="462"/>
    <tableColumn id="2" name="Information type" dataDxfId="461" totalsRowDxfId="460"/>
    <tableColumn id="3" name="Notes" dataDxfId="459" totalsRowDxfId="458"/>
    <tableColumn id="5" name="2010" dataDxfId="457" totalsRowDxfId="456" dataCellStyle="Comma"/>
    <tableColumn id="6" name="2015" dataDxfId="455" totalsRowDxfId="454" dataCellStyle="Comma"/>
    <tableColumn id="7" name="2020" dataDxfId="453" totalsRowDxfId="452" dataCellStyle="Comma"/>
    <tableColumn id="8" name="2025" dataDxfId="451" totalsRowDxfId="450" dataCellStyle="Comma"/>
    <tableColumn id="9" name="2030" dataDxfId="449" totalsRowDxfId="448" dataCellStyle="Comma"/>
    <tableColumn id="10" name="2035" dataDxfId="447" totalsRowDxfId="446" dataCellStyle="Comma"/>
    <tableColumn id="11" name="2040" dataDxfId="445" totalsRowDxfId="444" dataCellStyle="Comma"/>
    <tableColumn id="12" name="2045" dataDxfId="443" totalsRowDxfId="442" dataCellStyle="Comma"/>
    <tableColumn id="13" name="2050" dataDxfId="441" totalsRowDxfId="440" dataCellStyle="Comma"/>
  </tableColumns>
  <tableStyleInfo name="EnergyCalcTables" showFirstColumn="0" showLastColumn="0" showRowStripes="1" showColumnStripes="0"/>
</table>
</file>

<file path=xl/tables/table162.xml><?xml version="1.0" encoding="utf-8"?>
<table xmlns="http://schemas.openxmlformats.org/spreadsheetml/2006/main" id="150" name="XV.b.Coal.Costs" displayName="XV.b.Coal.Costs" ref="C252:N255" headerRowDxfId="439" dataDxfId="437" headerRowBorderDxfId="438" tableBorderDxfId="436" dataCellStyle="Comma">
  <autoFilter ref="C252:N255"/>
  <tableColumns count="12">
    <tableColumn id="1" name="Vector" totalsRowLabel="Total" dataDxfId="435" totalsRowDxfId="434"/>
    <tableColumn id="2" name="Name" dataDxfId="433" totalsRowDxfId="432">
      <calculatedColumnFormula>INDEX(CostVectors[Description], MATCH(C253, CostVectors[Code], 0))</calculatedColumnFormula>
    </tableColumn>
    <tableColumn id="3" name="Notes" dataDxfId="431" totalsRowDxfId="430">
      <calculatedColumnFormula>#REF!</calculatedColumnFormula>
    </tableColumn>
    <tableColumn id="5" name="2010" totalsRowFunction="custom" dataDxfId="429" totalsRowDxfId="428" dataCellStyle="Comma">
      <totalsRowFormula>SUM(XV.b.Coal.Costs[2010])</totalsRowFormula>
    </tableColumn>
    <tableColumn id="6" name="2015" totalsRowFunction="custom" dataDxfId="427" totalsRowDxfId="426" dataCellStyle="Comma">
      <totalsRowFormula>SUM(XV.b.Coal.Costs[2015])</totalsRowFormula>
    </tableColumn>
    <tableColumn id="7" name="2020" totalsRowFunction="sum" dataDxfId="425" totalsRowDxfId="424" dataCellStyle="Comma"/>
    <tableColumn id="8" name="2025" totalsRowFunction="sum" dataDxfId="423" totalsRowDxfId="422" dataCellStyle="Comma"/>
    <tableColumn id="9" name="2030" totalsRowFunction="sum" dataDxfId="421" totalsRowDxfId="420" dataCellStyle="Comma"/>
    <tableColumn id="10" name="2035" totalsRowFunction="sum" dataDxfId="419" totalsRowDxfId="418" dataCellStyle="Comma"/>
    <tableColumn id="11" name="2040" totalsRowFunction="sum" dataDxfId="417" totalsRowDxfId="416" dataCellStyle="Comma"/>
    <tableColumn id="12" name="2045" totalsRowFunction="sum" dataDxfId="415" totalsRowDxfId="414" dataCellStyle="Comma"/>
    <tableColumn id="13" name="2050" totalsRowFunction="sum" dataDxfId="413" totalsRowDxfId="412" dataCellStyle="Comma"/>
  </tableColumns>
  <tableStyleInfo name="EnergyCalcTables" showFirstColumn="0" showLastColumn="0" showRowStripes="1" showColumnStripes="0"/>
</table>
</file>

<file path=xl/tables/table163.xml><?xml version="1.0" encoding="utf-8"?>
<table xmlns="http://schemas.openxmlformats.org/spreadsheetml/2006/main" id="120" name="XV.b.Oil.Costs" displayName="XV.b.Oil.Costs" ref="C259:N262" headerRowDxfId="411" dataDxfId="409" headerRowBorderDxfId="410" tableBorderDxfId="408" dataCellStyle="Comma">
  <autoFilter ref="C259:N262"/>
  <tableColumns count="12">
    <tableColumn id="1" name="Vector" totalsRowLabel="Total" dataDxfId="407" totalsRowDxfId="406"/>
    <tableColumn id="2" name="Name" dataDxfId="405" totalsRowDxfId="404">
      <calculatedColumnFormula>INDEX(CostVectors[Description], MATCH(C260, CostVectors[Code], 0))</calculatedColumnFormula>
    </tableColumn>
    <tableColumn id="3" name="Notes" dataDxfId="403" totalsRowDxfId="402"/>
    <tableColumn id="5" name="2010" totalsRowFunction="custom" dataDxfId="401" totalsRowDxfId="400" dataCellStyle="Comma">
      <totalsRowFormula>SUM(XV.b.Oil.Costs[2010])</totalsRowFormula>
    </tableColumn>
    <tableColumn id="6" name="2015" totalsRowFunction="custom" dataDxfId="399" totalsRowDxfId="398" dataCellStyle="Comma">
      <totalsRowFormula>SUM(XV.b.Oil.Costs[2015])</totalsRowFormula>
    </tableColumn>
    <tableColumn id="7" name="2020" totalsRowFunction="sum" dataDxfId="397" totalsRowDxfId="396" dataCellStyle="Comma"/>
    <tableColumn id="8" name="2025" totalsRowFunction="sum" dataDxfId="395" totalsRowDxfId="394" dataCellStyle="Comma"/>
    <tableColumn id="9" name="2030" totalsRowFunction="sum" dataDxfId="393" totalsRowDxfId="392" dataCellStyle="Comma"/>
    <tableColumn id="10" name="2035" totalsRowFunction="sum" dataDxfId="391" totalsRowDxfId="390" dataCellStyle="Comma"/>
    <tableColumn id="11" name="2040" totalsRowFunction="sum" dataDxfId="389" totalsRowDxfId="388" dataCellStyle="Comma"/>
    <tableColumn id="12" name="2045" totalsRowFunction="sum" dataDxfId="387" totalsRowDxfId="386" dataCellStyle="Comma"/>
    <tableColumn id="13" name="2050" totalsRowFunction="sum" dataDxfId="385" totalsRowDxfId="384" dataCellStyle="Comma"/>
  </tableColumns>
  <tableStyleInfo name="EnergyCalcTables" showFirstColumn="0" showLastColumn="0" showRowStripes="1" showColumnStripes="0"/>
</table>
</file>

<file path=xl/tables/table164.xml><?xml version="1.0" encoding="utf-8"?>
<table xmlns="http://schemas.openxmlformats.org/spreadsheetml/2006/main" id="121" name="XV.b.Gas.Costs" displayName="XV.b.Gas.Costs" ref="C266:N269" headerRowDxfId="383" dataDxfId="381" headerRowBorderDxfId="382" tableBorderDxfId="380" dataCellStyle="Comma">
  <autoFilter ref="C266:N269"/>
  <tableColumns count="12">
    <tableColumn id="1" name="Vector" totalsRowLabel="Total" dataDxfId="379" totalsRowDxfId="378"/>
    <tableColumn id="2" name="Name" dataDxfId="377" totalsRowDxfId="376">
      <calculatedColumnFormula>INDEX(CostVectors[Description], MATCH(C267, CostVectors[Code], 0))</calculatedColumnFormula>
    </tableColumn>
    <tableColumn id="3" name="Notes" dataDxfId="375" totalsRowDxfId="374"/>
    <tableColumn id="5" name="2010" totalsRowFunction="custom" dataDxfId="373" totalsRowDxfId="372" dataCellStyle="Comma">
      <totalsRowFormula>SUM(XV.b.Gas.Costs[2010])</totalsRowFormula>
    </tableColumn>
    <tableColumn id="6" name="2015" totalsRowFunction="custom" dataDxfId="371" totalsRowDxfId="370" dataCellStyle="Comma">
      <totalsRowFormula>SUM(XV.b.Gas.Costs[2015])</totalsRowFormula>
    </tableColumn>
    <tableColumn id="7" name="2020" totalsRowFunction="sum" dataDxfId="369" totalsRowDxfId="368" dataCellStyle="Comma"/>
    <tableColumn id="8" name="2025" totalsRowFunction="sum" dataDxfId="367" totalsRowDxfId="366" dataCellStyle="Comma"/>
    <tableColumn id="9" name="2030" totalsRowFunction="sum" dataDxfId="365" totalsRowDxfId="364" dataCellStyle="Comma"/>
    <tableColumn id="10" name="2035" totalsRowFunction="sum" dataDxfId="363" totalsRowDxfId="362" dataCellStyle="Comma"/>
    <tableColumn id="11" name="2040" totalsRowFunction="sum" dataDxfId="361" totalsRowDxfId="360" dataCellStyle="Comma"/>
    <tableColumn id="12" name="2045" totalsRowFunction="sum" dataDxfId="359" totalsRowDxfId="358" dataCellStyle="Comma"/>
    <tableColumn id="13" name="2050" totalsRowFunction="sum" dataDxfId="357" totalsRowDxfId="356" dataCellStyle="Comma"/>
  </tableColumns>
  <tableStyleInfo name="EnergyCalcTables" showFirstColumn="0" showLastColumn="0" showRowStripes="1" showColumnStripes="0"/>
</table>
</file>

<file path=xl/tables/table165.xml><?xml version="1.0" encoding="utf-8"?>
<table xmlns="http://schemas.openxmlformats.org/spreadsheetml/2006/main" id="311" name="XV.b.AQ" displayName="XV.b.AQ" ref="C274:N278" totalsRowShown="0" headerRowDxfId="355" dataDxfId="353" headerRowBorderDxfId="354" tableBorderDxfId="352" totalsRowBorderDxfId="351">
  <autoFilter ref="C274:N278"/>
  <tableColumns count="12">
    <tableColumn id="1" name="Vector" dataDxfId="350"/>
    <tableColumn id="2" name="Name" dataDxfId="349">
      <calculatedColumnFormula>INDEX(AirQualityVectors[Description],MATCH(C275,AirQualityVectors[Code],0))</calculatedColumnFormula>
    </tableColumn>
    <tableColumn id="3" name="IPCC Sector" dataDxfId="348"/>
    <tableColumn id="5" name="2010" dataDxfId="347">
      <calculatedColumnFormula>F172+F180</calculatedColumnFormula>
    </tableColumn>
    <tableColumn id="6" name="2015" dataDxfId="346">
      <calculatedColumnFormula>G172+G180</calculatedColumnFormula>
    </tableColumn>
    <tableColumn id="7" name="2020" dataDxfId="345">
      <calculatedColumnFormula>H172+H180</calculatedColumnFormula>
    </tableColumn>
    <tableColumn id="8" name="2025" dataDxfId="344">
      <calculatedColumnFormula>I172+I180</calculatedColumnFormula>
    </tableColumn>
    <tableColumn id="9" name="2030" dataDxfId="343">
      <calculatedColumnFormula>J172+J180</calculatedColumnFormula>
    </tableColumn>
    <tableColumn id="10" name="2035" dataDxfId="342">
      <calculatedColumnFormula>K172+K180</calculatedColumnFormula>
    </tableColumn>
    <tableColumn id="11" name="2040" dataDxfId="341">
      <calculatedColumnFormula>L172+L180</calculatedColumnFormula>
    </tableColumn>
    <tableColumn id="12" name="2045" dataDxfId="340">
      <calculatedColumnFormula>M172+M180</calculatedColumnFormula>
    </tableColumn>
    <tableColumn id="13" name="2050" dataDxfId="339">
      <calculatedColumnFormula>N172+N180</calculatedColumnFormula>
    </tableColumn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id="48" name="XVI.a.Inputs" displayName="XVI.a.Inputs" ref="C8:N12" totalsRowShown="0" headerRowDxfId="338" dataDxfId="337">
  <autoFilter ref="C8:N12"/>
  <tableColumns count="12">
    <tableColumn id="1" name="Vector" dataDxfId="336"/>
    <tableColumn id="2" name="Name" dataDxfId="335">
      <calculatedColumnFormula>INDEX([11]!Vectors[Description], MATCH(XVI.a.Inputs[Vector], [11]!Vectors[Code], 0))</calculatedColumnFormula>
    </tableColumn>
    <tableColumn id="3" name="Notes" dataDxfId="334"/>
    <tableColumn id="5" name="2010" dataDxfId="333" dataCellStyle="Comma">
      <calculatedColumnFormula>INDEX(INDIRECT("'"&amp;XVI.a.Inputs[#Headers]&amp;"'!Year.Matrix"), MATCH("Subtotal."&amp;$A$2, INDIRECT("'"&amp;XVI.a.Inputs[#Headers]&amp;"'!Year.Modules"), 0), MATCH(XVI.a.Inputs[Vector], INDIRECT("'"&amp;XVI.a.Inputs[#Headers]&amp;"'!Year.Vectors"), 0))</calculatedColumnFormula>
    </tableColumn>
    <tableColumn id="6" name="2015" dataDxfId="332" dataCellStyle="Comma">
      <calculatedColumnFormula>INDEX(INDIRECT("'"&amp;XVI.a.Inputs[#Headers]&amp;"'!Year.Matrix"), MATCH("Subtotal."&amp;$A$2, INDIRECT("'"&amp;XVI.a.Inputs[#Headers]&amp;"'!Year.Modules"), 0), MATCH(XVI.a.Inputs[Vector], INDIRECT("'"&amp;XVI.a.Inputs[#Headers]&amp;"'!Year.Vectors"), 0))</calculatedColumnFormula>
    </tableColumn>
    <tableColumn id="7" name="2020" dataDxfId="331" dataCellStyle="Comma">
      <calculatedColumnFormula>INDEX(INDIRECT("'"&amp;XVI.a.Inputs[#Headers]&amp;"'!Year.Matrix"), MATCH("Subtotal."&amp;$A$2, INDIRECT("'"&amp;XVI.a.Inputs[#Headers]&amp;"'!Year.Modules"), 0), MATCH(XVI.a.Inputs[Vector], INDIRECT("'"&amp;XVI.a.Inputs[#Headers]&amp;"'!Year.Vectors"), 0))</calculatedColumnFormula>
    </tableColumn>
    <tableColumn id="15" name="2025" dataDxfId="330" dataCellStyle="Comma">
      <calculatedColumnFormula>INDEX(INDIRECT("'"&amp;XVI.a.Inputs[#Headers]&amp;"'!Year.Matrix"), MATCH("Subtotal."&amp;$A$2, INDIRECT("'"&amp;XVI.a.Inputs[#Headers]&amp;"'!Year.Modules"), 0), MATCH(XVI.a.Inputs[Vector], INDIRECT("'"&amp;XVI.a.Inputs[#Headers]&amp;"'!Year.Vectors"), 0))</calculatedColumnFormula>
    </tableColumn>
    <tableColumn id="16" name="2030" dataDxfId="329" dataCellStyle="Comma">
      <calculatedColumnFormula>INDEX(INDIRECT("'"&amp;XVI.a.Inputs[#Headers]&amp;"'!Year.Matrix"), MATCH("Subtotal."&amp;$A$2, INDIRECT("'"&amp;XVI.a.Inputs[#Headers]&amp;"'!Year.Modules"), 0), MATCH(XVI.a.Inputs[Vector], INDIRECT("'"&amp;XVI.a.Inputs[#Headers]&amp;"'!Year.Vectors"), 0))</calculatedColumnFormula>
    </tableColumn>
    <tableColumn id="17" name="2035" dataDxfId="328" dataCellStyle="Comma">
      <calculatedColumnFormula>INDEX(INDIRECT("'"&amp;XVI.a.Inputs[#Headers]&amp;"'!Year.Matrix"), MATCH("Subtotal."&amp;$A$2, INDIRECT("'"&amp;XVI.a.Inputs[#Headers]&amp;"'!Year.Modules"), 0), MATCH(XVI.a.Inputs[Vector], INDIRECT("'"&amp;XVI.a.Inputs[#Headers]&amp;"'!Year.Vectors"), 0))</calculatedColumnFormula>
    </tableColumn>
    <tableColumn id="18" name="2040" dataDxfId="327" dataCellStyle="Comma">
      <calculatedColumnFormula>INDEX(INDIRECT("'"&amp;XVI.a.Inputs[#Headers]&amp;"'!Year.Matrix"), MATCH("Subtotal."&amp;$A$2, INDIRECT("'"&amp;XVI.a.Inputs[#Headers]&amp;"'!Year.Modules"), 0), MATCH(XVI.a.Inputs[Vector], INDIRECT("'"&amp;XVI.a.Inputs[#Headers]&amp;"'!Year.Vectors"), 0))</calculatedColumnFormula>
    </tableColumn>
    <tableColumn id="19" name="2045" dataDxfId="326" dataCellStyle="Comma">
      <calculatedColumnFormula>INDEX(INDIRECT("'"&amp;XVI.a.Inputs[#Headers]&amp;"'!Year.Matrix"), MATCH("Subtotal."&amp;$A$2, INDIRECT("'"&amp;XVI.a.Inputs[#Headers]&amp;"'!Year.Modules"), 0), MATCH(XVI.a.Inputs[Vector], INDIRECT("'"&amp;XVI.a.Inputs[#Headers]&amp;"'!Year.Vectors"), 0))</calculatedColumnFormula>
    </tableColumn>
    <tableColumn id="20" name="2050" dataDxfId="325" dataCellStyle="Comma">
      <calculatedColumnFormula>INDEX(INDIRECT("'"&amp;XVI.a.Inputs[#Headers]&amp;"'!Year.Matrix"), MATCH("Subtotal."&amp;$A$2, INDIRECT("'"&amp;XVI.a.Inputs[#Headers]&amp;"'!Year.Modules"), 0), MATCH(XVI.a.Inputs[Vector], INDIRECT("'"&amp;XVI.a.Inputs[#Headers]&amp;"'!Year.Vectors"), 0))</calculatedColumnFormula>
    </tableColumn>
  </tableColumns>
  <tableStyleInfo name="EnergyCalcTables" showFirstColumn="0" showLastColumn="0" showRowStripes="1" showColumnStripes="0"/>
</table>
</file>

<file path=xl/tables/table167.xml><?xml version="1.0" encoding="utf-8"?>
<table xmlns="http://schemas.openxmlformats.org/spreadsheetml/2006/main" id="49" name="XVI.a.Outputs" displayName="XVI.a.Outputs" ref="C111:N121" totalsRowCount="1" headerRowDxfId="324" dataDxfId="323">
  <autoFilter ref="C111:N120"/>
  <tableColumns count="12">
    <tableColumn id="1" name="Vector" totalsRowLabel="Total" dataDxfId="322" totalsRowDxfId="321"/>
    <tableColumn id="2" name="Name" dataDxfId="320" totalsRowDxfId="319">
      <calculatedColumnFormula>INDEX([11]!Vectors[Description], MATCH(XVI.a.Outputs[Vector], [11]!Vectors[Code], 0))</calculatedColumnFormula>
    </tableColumn>
    <tableColumn id="3" name="Notes" dataDxfId="318" totalsRowDxfId="317"/>
    <tableColumn id="5" name="2010" totalsRowFunction="sum" dataDxfId="316" totalsRowDxfId="315" dataCellStyle="Comma"/>
    <tableColumn id="6" name="2015" totalsRowFunction="sum" dataDxfId="314" totalsRowDxfId="313" dataCellStyle="Comma"/>
    <tableColumn id="7" name="2020" totalsRowFunction="sum" dataDxfId="312" totalsRowDxfId="311" dataCellStyle="Comma"/>
    <tableColumn id="8" name="2025" totalsRowFunction="sum" dataDxfId="310" totalsRowDxfId="309" dataCellStyle="Comma"/>
    <tableColumn id="9" name="2030" totalsRowFunction="sum" dataDxfId="308" totalsRowDxfId="307" dataCellStyle="Comma"/>
    <tableColumn id="10" name="2035" totalsRowFunction="sum" dataDxfId="306" totalsRowDxfId="305" dataCellStyle="Comma"/>
    <tableColumn id="11" name="2040" totalsRowFunction="sum" dataDxfId="304" totalsRowDxfId="303" dataCellStyle="Comma"/>
    <tableColumn id="12" name="2045" totalsRowFunction="sum" dataDxfId="302" totalsRowDxfId="301" dataCellStyle="Comma"/>
    <tableColumn id="13" name="2050" totalsRowFunction="sum" dataDxfId="300" totalsRowDxfId="299" dataCellStyle="Comma"/>
  </tableColumns>
  <tableStyleInfo name="EnergyCalcTables" showFirstColumn="0" showLastColumn="0" showRowStripes="1" showColumnStripes="0"/>
</table>
</file>

<file path=xl/tables/table168.xml><?xml version="1.0" encoding="utf-8"?>
<table xmlns="http://schemas.openxmlformats.org/spreadsheetml/2006/main" id="50" name="XVI.a.Emissions" displayName="XVI.a.Emissions" ref="C128:N130" totalsRowCount="1" headerRowDxfId="298" dataDxfId="296" headerRowBorderDxfId="297" tableBorderDxfId="295" dataCellStyle="Comma">
  <autoFilter ref="C128:N129"/>
  <tableColumns count="12">
    <tableColumn id="1" name="GHG" totalsRowLabel="Total" dataDxfId="294" totalsRowDxfId="293"/>
    <tableColumn id="2" name="IPCC Sector" dataDxfId="292" totalsRowDxfId="291"/>
    <tableColumn id="3" name="Notes" dataDxfId="290" totalsRowDxfId="289">
      <calculatedColumnFormula>INDEX(IPCC[Sector_description], MATCH(XVI.a.Emissions[IPCC Sector], IPCC[Sector_code], 0))</calculatedColumnFormula>
    </tableColumn>
    <tableColumn id="5" name="2010" totalsRowFunction="sum" dataDxfId="288" totalsRowDxfId="287" dataCellStyle="Comma">
      <calculatedColumnFormula>F$77</calculatedColumnFormula>
    </tableColumn>
    <tableColumn id="6" name="2015" totalsRowFunction="sum" dataDxfId="286" totalsRowDxfId="285" dataCellStyle="Comma">
      <calculatedColumnFormula>G$77</calculatedColumnFormula>
    </tableColumn>
    <tableColumn id="7" name="2020" totalsRowFunction="sum" dataDxfId="284" totalsRowDxfId="283" dataCellStyle="Comma">
      <calculatedColumnFormula>H$77</calculatedColumnFormula>
    </tableColumn>
    <tableColumn id="8" name="2025" totalsRowFunction="sum" dataDxfId="282" totalsRowDxfId="281" dataCellStyle="Comma">
      <calculatedColumnFormula>I$77</calculatedColumnFormula>
    </tableColumn>
    <tableColumn id="9" name="2030" totalsRowFunction="sum" dataDxfId="280" totalsRowDxfId="279" dataCellStyle="Comma">
      <calculatedColumnFormula>J$77</calculatedColumnFormula>
    </tableColumn>
    <tableColumn id="10" name="2035" totalsRowFunction="sum" dataDxfId="278" totalsRowDxfId="277" dataCellStyle="Comma">
      <calculatedColumnFormula>K$77</calculatedColumnFormula>
    </tableColumn>
    <tableColumn id="11" name="2040" totalsRowFunction="sum" dataDxfId="276" totalsRowDxfId="275" dataCellStyle="Comma">
      <calculatedColumnFormula>L$77</calculatedColumnFormula>
    </tableColumn>
    <tableColumn id="12" name="2045" totalsRowFunction="sum" dataDxfId="274" totalsRowDxfId="273" dataCellStyle="Comma">
      <calculatedColumnFormula>M$77</calculatedColumnFormula>
    </tableColumn>
    <tableColumn id="13" name="2050" totalsRowFunction="sum" dataDxfId="272" totalsRowDxfId="271" dataCellStyle="Comma">
      <calculatedColumnFormula>N$77</calculatedColumnFormula>
    </tableColumn>
  </tableColumns>
  <tableStyleInfo name="EnergyCalcTables" showFirstColumn="0" showLastColumn="0" showRowStripes="1" showColumnStripes="0"/>
</table>
</file>

<file path=xl/tables/table169.xml><?xml version="1.0" encoding="utf-8"?>
<table xmlns="http://schemas.openxmlformats.org/spreadsheetml/2006/main" id="94" name="XVI.a.info" displayName="XVI.a.info" ref="C137:N138" totalsRowShown="0" headerRowDxfId="270" dataDxfId="268" totalsRowDxfId="266" headerRowBorderDxfId="269" tableBorderDxfId="267" dataCellStyle="Comma">
  <autoFilter ref="C137:N138"/>
  <tableColumns count="12">
    <tableColumn id="1" name="Vector" dataDxfId="265" totalsRowDxfId="264"/>
    <tableColumn id="2" name="Information type" dataDxfId="263" totalsRowDxfId="262"/>
    <tableColumn id="3" name="Notes" dataDxfId="261" totalsRowDxfId="260"/>
    <tableColumn id="5" name="2010" dataDxfId="259" totalsRowDxfId="258" dataCellStyle="Comma"/>
    <tableColumn id="6" name="2015" dataDxfId="257" totalsRowDxfId="256" dataCellStyle="Comma"/>
    <tableColumn id="7" name="2020" dataDxfId="255" totalsRowDxfId="254" dataCellStyle="Comma"/>
    <tableColumn id="8" name="2025" dataDxfId="253" totalsRowDxfId="252" dataCellStyle="Comma"/>
    <tableColumn id="9" name="2030" dataDxfId="251" totalsRowDxfId="250" dataCellStyle="Comma"/>
    <tableColumn id="10" name="2035" dataDxfId="249" totalsRowDxfId="248" dataCellStyle="Comma"/>
    <tableColumn id="11" name="2040" dataDxfId="247" totalsRowDxfId="246" dataCellStyle="Comma"/>
    <tableColumn id="12" name="2045" dataDxfId="245" totalsRowDxfId="244" dataCellStyle="Comma"/>
    <tableColumn id="13" name="2050" dataDxfId="243" totalsRowDxfId="242" dataCellStyle="Comma"/>
  </tableColumns>
  <tableStyleInfo name="EnergyCalcTables" showFirstColumn="0" showLastColumn="0" showRowStripes="1" showColumnStripes="0"/>
</table>
</file>

<file path=xl/tables/table17.xml><?xml version="1.0" encoding="utf-8"?>
<table xmlns="http://schemas.openxmlformats.org/spreadsheetml/2006/main" id="42" name="I.a.Info" displayName="I.a.Info" ref="C196:N199" totalsRowShown="0" headerRowDxfId="4099" dataDxfId="4097" totalsRowDxfId="4095" headerRowBorderDxfId="4098" tableBorderDxfId="4096" dataCellStyle="40% - Accent2 3">
  <autoFilter ref="C196:N199"/>
  <tableColumns count="12">
    <tableColumn id="1" name="Vector" dataDxfId="4094" totalsRowDxfId="4093"/>
    <tableColumn id="2" name="Information type" dataDxfId="4092" totalsRowDxfId="4091">
      <calculatedColumnFormula>INDEX([2]!Vectors[Description], MATCH(I.a.Info[Vector], [2]!Vectors[Code], 0))</calculatedColumnFormula>
    </tableColumn>
    <tableColumn id="3" name="Notes" dataDxfId="4090" totalsRowDxfId="4089">
      <calculatedColumnFormula>INDEX([2]!Vectors[Comment], MATCH(I.a.Info[Information type], [2]!Vectors[Description], 0))</calculatedColumnFormula>
    </tableColumn>
    <tableColumn id="5" name="2010" dataDxfId="4088" totalsRowDxfId="4087" dataCellStyle="Comma"/>
    <tableColumn id="6" name="2015" dataDxfId="4086" totalsRowDxfId="4085" dataCellStyle="Comma"/>
    <tableColumn id="7" name="2020" dataDxfId="4084" totalsRowDxfId="4083" dataCellStyle="Comma"/>
    <tableColumn id="8" name="2025" dataDxfId="4082" totalsRowDxfId="4081" dataCellStyle="Comma"/>
    <tableColumn id="9" name="2030" dataDxfId="4080" totalsRowDxfId="4079" dataCellStyle="Comma"/>
    <tableColumn id="10" name="2035" dataDxfId="4078" totalsRowDxfId="4077" dataCellStyle="Comma"/>
    <tableColumn id="11" name="2040" dataDxfId="4076" totalsRowDxfId="4075" dataCellStyle="Comma"/>
    <tableColumn id="12" name="2045" dataDxfId="4074" totalsRowDxfId="4073" dataCellStyle="Comma"/>
    <tableColumn id="13" name="2050" dataDxfId="4072" totalsRowDxfId="4071" dataCellStyle="Comma"/>
  </tableColumns>
  <tableStyleInfo name="EnergyCalcTables" showFirstColumn="0" showLastColumn="0" showRowStripes="1" showColumnStripes="0"/>
</table>
</file>

<file path=xl/tables/table170.xml><?xml version="1.0" encoding="utf-8"?>
<table xmlns="http://schemas.openxmlformats.org/spreadsheetml/2006/main" id="95" name="XVI.a.Costs" displayName="XVI.a.Costs" ref="C145:N151" headerRowDxfId="241" dataDxfId="239" headerRowBorderDxfId="240" tableBorderDxfId="238" dataCellStyle="Comma">
  <autoFilter ref="C145:N151"/>
  <tableColumns count="12">
    <tableColumn id="1" name="Vector" totalsRowLabel="Total" dataDxfId="237" totalsRowDxfId="236"/>
    <tableColumn id="2" name="Name" dataDxfId="235" totalsRowDxfId="234">
      <calculatedColumnFormula>INDEX([12]!CostVectors[Description], MATCH(C146, [12]!CostVectors[Code], 0))</calculatedColumnFormula>
    </tableColumn>
    <tableColumn id="3" name="Notes" dataDxfId="233" totalsRowDxfId="232"/>
    <tableColumn id="5" name="2010" totalsRowFunction="custom" dataDxfId="231" totalsRowDxfId="230" dataCellStyle="Comma">
      <totalsRowFormula>SUM(XVI.a.Costs[2010])</totalsRowFormula>
    </tableColumn>
    <tableColumn id="6" name="2015" totalsRowFunction="custom" dataDxfId="229" totalsRowDxfId="228" dataCellStyle="Comma">
      <totalsRowFormula>SUM(XVI.a.Costs[2015])</totalsRowFormula>
    </tableColumn>
    <tableColumn id="7" name="2020" totalsRowFunction="sum" dataDxfId="227" totalsRowDxfId="226" dataCellStyle="Comma"/>
    <tableColumn id="8" name="2025" totalsRowFunction="sum" dataDxfId="225" totalsRowDxfId="224" dataCellStyle="Comma"/>
    <tableColumn id="9" name="2030" totalsRowFunction="sum" dataDxfId="223" totalsRowDxfId="222" dataCellStyle="Comma"/>
    <tableColumn id="10" name="2035" totalsRowFunction="sum" dataDxfId="221" totalsRowDxfId="220" dataCellStyle="Comma"/>
    <tableColumn id="11" name="2040" totalsRowFunction="sum" dataDxfId="219" totalsRowDxfId="218" dataCellStyle="Comma"/>
    <tableColumn id="12" name="2045" totalsRowFunction="sum" dataDxfId="217" totalsRowDxfId="216" dataCellStyle="Comma"/>
    <tableColumn id="13" name="2050" totalsRowFunction="sum" dataDxfId="215" totalsRowDxfId="214" dataCellStyle="Comma"/>
  </tableColumns>
  <tableStyleInfo name="EnergyCalcTables" showFirstColumn="0" showLastColumn="0" showRowStripes="1" showColumnStripes="0"/>
</table>
</file>

<file path=xl/tables/table171.xml><?xml version="1.0" encoding="utf-8"?>
<table xmlns="http://schemas.openxmlformats.org/spreadsheetml/2006/main" id="312" name="XVI.a.AQ" displayName="XVI.a.AQ" ref="C156:N157" totalsRowShown="0" headerRowDxfId="213" dataDxfId="211" headerRowBorderDxfId="212" tableBorderDxfId="210" totalsRowBorderDxfId="209">
  <autoFilter ref="C156:N157"/>
  <tableColumns count="12">
    <tableColumn id="1" name="Vector" dataDxfId="208"/>
    <tableColumn id="2" name="Name" dataDxfId="207">
      <calculatedColumnFormula>INDEX(AirQualityVectors[Description],MATCH(C157,AirQualityVectors[Code],0))</calculatedColumnFormula>
    </tableColumn>
    <tableColumn id="3" name="IPCC Sector" dataDxfId="206"/>
    <tableColumn id="5" name="2010" dataDxfId="205">
      <calculatedColumnFormula>F$30</calculatedColumnFormula>
    </tableColumn>
    <tableColumn id="6" name="2015" dataDxfId="204">
      <calculatedColumnFormula>G$30</calculatedColumnFormula>
    </tableColumn>
    <tableColumn id="7" name="2020" dataDxfId="203">
      <calculatedColumnFormula>H$30</calculatedColumnFormula>
    </tableColumn>
    <tableColumn id="8" name="2025" dataDxfId="202">
      <calculatedColumnFormula>I$30</calculatedColumnFormula>
    </tableColumn>
    <tableColumn id="9" name="2030" dataDxfId="201">
      <calculatedColumnFormula>J$30</calculatedColumnFormula>
    </tableColumn>
    <tableColumn id="10" name="2035" dataDxfId="200">
      <calculatedColumnFormula>$J157*(K$65/$J$65)</calculatedColumnFormula>
    </tableColumn>
    <tableColumn id="11" name="2040" dataDxfId="199">
      <calculatedColumnFormula>$J157*(L$65/$J$65)</calculatedColumnFormula>
    </tableColumn>
    <tableColumn id="12" name="2045" dataDxfId="198">
      <calculatedColumnFormula>$J157*(M$65/$J$65)</calculatedColumnFormula>
    </tableColumn>
    <tableColumn id="13" name="2050" dataDxfId="197">
      <calculatedColumnFormula>$J157*(N$65/$J$65)</calculatedColumnFormula>
    </tableColumn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id="146" name="XVI.b.Inputs" displayName="XVI.b.Inputs" ref="C8:N11" totalsRowShown="0" headerRowDxfId="196" dataDxfId="195">
  <autoFilter ref="C8:N11"/>
  <tableColumns count="12">
    <tableColumn id="1" name="Vector" dataDxfId="194"/>
    <tableColumn id="2" name="Name" dataDxfId="193">
      <calculatedColumnFormula>INDEX([13]!Vectors[Description], MATCH(XVI.b.Inputs[Vector], [13]!Vectors[Code], 0))</calculatedColumnFormula>
    </tableColumn>
    <tableColumn id="3" name="Notes" dataDxfId="192"/>
    <tableColumn id="5" name="2010" dataDxfId="191" dataCellStyle="ofwhich">
      <calculatedColumnFormula>INDEX(INDIRECT("'"&amp;F$8&amp;"'!Year.NetBalance"), MATCH($C9, INDIRECT("'"&amp;F$8&amp;"'!Year.Vectors"), 0))</calculatedColumnFormula>
    </tableColumn>
    <tableColumn id="6" name="2015" dataDxfId="190" dataCellStyle="ofwhich">
      <calculatedColumnFormula>INDEX(INDIRECT("'"&amp;G$8&amp;"'!Year.NetBalance"), MATCH($C9, INDIRECT("'"&amp;G$8&amp;"'!Year.Vectors"), 0))</calculatedColumnFormula>
    </tableColumn>
    <tableColumn id="7" name="2020" dataDxfId="189" dataCellStyle="ofwhich">
      <calculatedColumnFormula>INDEX(INDIRECT("'"&amp;H$8&amp;"'!Year.NetBalance"), MATCH($C9, INDIRECT("'"&amp;H$8&amp;"'!Year.Vectors"), 0))</calculatedColumnFormula>
    </tableColumn>
    <tableColumn id="15" name="2025" dataDxfId="188" dataCellStyle="ofwhich">
      <calculatedColumnFormula>INDEX(INDIRECT("'"&amp;I$8&amp;"'!Year.NetBalance"), MATCH($C9, INDIRECT("'"&amp;I$8&amp;"'!Year.Vectors"), 0))</calculatedColumnFormula>
    </tableColumn>
    <tableColumn id="16" name="2030" dataDxfId="187" dataCellStyle="ofwhich">
      <calculatedColumnFormula>INDEX(INDIRECT("'"&amp;J$8&amp;"'!Year.NetBalance"), MATCH($C9, INDIRECT("'"&amp;J$8&amp;"'!Year.Vectors"), 0))</calculatedColumnFormula>
    </tableColumn>
    <tableColumn id="17" name="2035" dataDxfId="186" dataCellStyle="ofwhich">
      <calculatedColumnFormula>INDEX(INDIRECT("'"&amp;K$8&amp;"'!Year.NetBalance"), MATCH($C9, INDIRECT("'"&amp;K$8&amp;"'!Year.Vectors"), 0))</calculatedColumnFormula>
    </tableColumn>
    <tableColumn id="18" name="2040" dataDxfId="185" dataCellStyle="ofwhich">
      <calculatedColumnFormula>INDEX(INDIRECT("'"&amp;L$8&amp;"'!Year.NetBalance"), MATCH($C9, INDIRECT("'"&amp;L$8&amp;"'!Year.Vectors"), 0))</calculatedColumnFormula>
    </tableColumn>
    <tableColumn id="19" name="2045" dataDxfId="184" dataCellStyle="ofwhich">
      <calculatedColumnFormula>INDEX(INDIRECT("'"&amp;M$8&amp;"'!Year.NetBalance"), MATCH($C9, INDIRECT("'"&amp;M$8&amp;"'!Year.Vectors"), 0))</calculatedColumnFormula>
    </tableColumn>
    <tableColumn id="20" name="2050" dataDxfId="183" dataCellStyle="ofwhich">
      <calculatedColumnFormula>INDEX(INDIRECT("'"&amp;N$8&amp;"'!Year.NetBalance"), MATCH($C9, INDIRECT("'"&amp;N$8&amp;"'!Year.Vectors"), 0))</calculatedColumnFormula>
    </tableColumn>
  </tableColumns>
  <tableStyleInfo name="EnergyCalcTables" showFirstColumn="0" showLastColumn="0" showRowStripes="1" showColumnStripes="0"/>
</table>
</file>

<file path=xl/tables/table173.xml><?xml version="1.0" encoding="utf-8"?>
<table xmlns="http://schemas.openxmlformats.org/spreadsheetml/2006/main" id="147" name="XVI.b.Outputs" displayName="XVI.b.Outputs" ref="C79:N81" insertRow="1" totalsRowCount="1" headerRowDxfId="182" dataDxfId="181">
  <autoFilter ref="C79:N80"/>
  <tableColumns count="12">
    <tableColumn id="1" name="Vector" totalsRowLabel="Total" dataDxfId="180" totalsRowDxfId="179"/>
    <tableColumn id="2" name="Name" dataDxfId="178" totalsRowDxfId="177">
      <calculatedColumnFormula>INDEX([13]!Vectors[Description], MATCH(XVI.b.Outputs[Vector], [13]!Vectors[Code], 0))</calculatedColumnFormula>
    </tableColumn>
    <tableColumn id="3" name="Notes" dataDxfId="176" totalsRowDxfId="175"/>
    <tableColumn id="5" name="2010" totalsRowFunction="sum" dataDxfId="174" totalsRowDxfId="173" dataCellStyle="Comma"/>
    <tableColumn id="6" name="2015" totalsRowFunction="sum" dataDxfId="172" totalsRowDxfId="171" dataCellStyle="Comma"/>
    <tableColumn id="7" name="2020" totalsRowFunction="sum" dataDxfId="170" totalsRowDxfId="169" dataCellStyle="Comma"/>
    <tableColumn id="8" name="2025" totalsRowFunction="sum" dataDxfId="168" totalsRowDxfId="167" dataCellStyle="Comma"/>
    <tableColumn id="9" name="2030" totalsRowFunction="sum" dataDxfId="166" totalsRowDxfId="165" dataCellStyle="Comma"/>
    <tableColumn id="10" name="2035" totalsRowFunction="sum" dataDxfId="164" totalsRowDxfId="163" dataCellStyle="Comma"/>
    <tableColumn id="11" name="2040" totalsRowFunction="sum" dataDxfId="162" totalsRowDxfId="161" dataCellStyle="Comma"/>
    <tableColumn id="12" name="2045" totalsRowFunction="sum" dataDxfId="160" totalsRowDxfId="159" dataCellStyle="Comma"/>
    <tableColumn id="13" name="2050" totalsRowFunction="sum" dataDxfId="158" totalsRowDxfId="157" dataCellStyle="Comma"/>
  </tableColumns>
  <tableStyleInfo name="EnergyCalcTables" showFirstColumn="0" showLastColumn="0" showRowStripes="1" showColumnStripes="0"/>
</table>
</file>

<file path=xl/tables/table174.xml><?xml version="1.0" encoding="utf-8"?>
<table xmlns="http://schemas.openxmlformats.org/spreadsheetml/2006/main" id="148" name="XVI.b.Emissions" displayName="XVI.b.Emissions" ref="C88:N90" insertRow="1" totalsRowCount="1" headerRowDxfId="156" dataDxfId="154" headerRowBorderDxfId="155" tableBorderDxfId="153" dataCellStyle="Comma">
  <autoFilter ref="C88:N89"/>
  <tableColumns count="12">
    <tableColumn id="1" name="GHG" totalsRowLabel="Total" dataDxfId="152" totalsRowDxfId="151"/>
    <tableColumn id="2" name="IPCC Sector" dataDxfId="150" totalsRowDxfId="149"/>
    <tableColumn id="3" name="Notes" dataDxfId="148" totalsRowDxfId="147">
      <calculatedColumnFormula>INDEX([13]!IPCC[Sector_description], MATCH(XVI.b.Emissions[IPCC Sector], [13]!IPCC[Sector_code], 0))</calculatedColumnFormula>
    </tableColumn>
    <tableColumn id="5" name="2010" totalsRowFunction="sum" dataDxfId="146" totalsRowDxfId="145" dataCellStyle="Comma">
      <calculatedColumnFormula>F$71</calculatedColumnFormula>
    </tableColumn>
    <tableColumn id="6" name="2015" totalsRowFunction="sum" dataDxfId="144" totalsRowDxfId="143" dataCellStyle="Comma">
      <calculatedColumnFormula>G$71</calculatedColumnFormula>
    </tableColumn>
    <tableColumn id="7" name="2020" totalsRowFunction="sum" dataDxfId="142" totalsRowDxfId="141" dataCellStyle="Comma">
      <calculatedColumnFormula>H$71</calculatedColumnFormula>
    </tableColumn>
    <tableColumn id="8" name="2025" totalsRowFunction="sum" dataDxfId="140" totalsRowDxfId="139" dataCellStyle="Comma">
      <calculatedColumnFormula>I$71</calculatedColumnFormula>
    </tableColumn>
    <tableColumn id="9" name="2030" totalsRowFunction="sum" dataDxfId="138" totalsRowDxfId="137" dataCellStyle="Comma">
      <calculatedColumnFormula>J$71</calculatedColumnFormula>
    </tableColumn>
    <tableColumn id="10" name="2035" totalsRowFunction="sum" dataDxfId="136" totalsRowDxfId="135" dataCellStyle="Comma">
      <calculatedColumnFormula>K$71</calculatedColumnFormula>
    </tableColumn>
    <tableColumn id="11" name="2040" totalsRowFunction="sum" dataDxfId="134" totalsRowDxfId="133" dataCellStyle="Comma">
      <calculatedColumnFormula>L$71</calculatedColumnFormula>
    </tableColumn>
    <tableColumn id="12" name="2045" totalsRowFunction="sum" dataDxfId="132" totalsRowDxfId="131" dataCellStyle="Comma">
      <calculatedColumnFormula>M$71</calculatedColumnFormula>
    </tableColumn>
    <tableColumn id="13" name="2050" totalsRowFunction="sum" dataDxfId="130" totalsRowDxfId="129" dataCellStyle="Comma">
      <calculatedColumnFormula>N$71</calculatedColumnFormula>
    </tableColumn>
  </tableColumns>
  <tableStyleInfo name="EnergyCalcTables" showFirstColumn="0" showLastColumn="0" showRowStripes="1" showColumnStripes="0"/>
</table>
</file>

<file path=xl/tables/table175.xml><?xml version="1.0" encoding="utf-8"?>
<table xmlns="http://schemas.openxmlformats.org/spreadsheetml/2006/main" id="149" name="XVI.b.info" displayName="XVI.b.info" ref="C97:N98" insertRow="1" totalsRowShown="0" headerRowDxfId="128" dataDxfId="126" totalsRowDxfId="124" headerRowBorderDxfId="127" tableBorderDxfId="125" dataCellStyle="Comma">
  <autoFilter ref="C97:N98"/>
  <tableColumns count="12">
    <tableColumn id="1" name="Vector" dataDxfId="123" totalsRowDxfId="122"/>
    <tableColumn id="2" name="Information type" dataDxfId="121" totalsRowDxfId="120">
      <calculatedColumnFormula>INDEX([13]!Vectors[Description], MATCH(XVI.b.info[Vector], [13]!Vectors[Code], 0))</calculatedColumnFormula>
    </tableColumn>
    <tableColumn id="3" name="Notes" dataDxfId="119" totalsRowDxfId="118">
      <calculatedColumnFormula>INDEX([13]!Vectors[Comment], MATCH(XVI.b.info[Information type], [13]!Vectors[Description], 0))</calculatedColumnFormula>
    </tableColumn>
    <tableColumn id="5" name="2010" dataDxfId="117" totalsRowDxfId="116" dataCellStyle="Comma"/>
    <tableColumn id="6" name="2015" dataDxfId="115" totalsRowDxfId="114" dataCellStyle="Comma"/>
    <tableColumn id="7" name="2020" dataDxfId="113" totalsRowDxfId="112" dataCellStyle="Comma"/>
    <tableColumn id="8" name="2025" dataDxfId="111" totalsRowDxfId="110" dataCellStyle="Comma"/>
    <tableColumn id="9" name="2030" dataDxfId="109" totalsRowDxfId="108" dataCellStyle="Comma"/>
    <tableColumn id="10" name="2035" dataDxfId="107" totalsRowDxfId="106" dataCellStyle="Comma"/>
    <tableColumn id="11" name="2040" dataDxfId="105" totalsRowDxfId="104" dataCellStyle="Comma"/>
    <tableColumn id="12" name="2045" dataDxfId="103" totalsRowDxfId="102" dataCellStyle="Comma"/>
    <tableColumn id="13" name="2050" dataDxfId="101" totalsRowDxfId="100" dataCellStyle="Comma"/>
  </tableColumns>
  <tableStyleInfo name="EnergyCalcTables" showFirstColumn="0" showLastColumn="0" showRowStripes="1" showColumnStripes="0"/>
</table>
</file>

<file path=xl/tables/table176.xml><?xml version="1.0" encoding="utf-8"?>
<table xmlns="http://schemas.openxmlformats.org/spreadsheetml/2006/main" id="143" name="XVI.b.Gas.Costs" displayName="XVI.b.Gas.Costs" ref="C119:N122" headerRowDxfId="99" dataDxfId="97" headerRowBorderDxfId="98" tableBorderDxfId="96" dataCellStyle="Comma">
  <autoFilter ref="C119:N122"/>
  <tableColumns count="12">
    <tableColumn id="1" name="Vector" totalsRowLabel="Total" dataDxfId="95" totalsRowDxfId="94"/>
    <tableColumn id="2" name="Name" dataDxfId="93" totalsRowDxfId="92">
      <calculatedColumnFormula>INDEX([7]!CostVectors[Description], MATCH(C120, [7]!CostVectors[Code], 0))</calculatedColumnFormula>
    </tableColumn>
    <tableColumn id="3" name="Notes" dataDxfId="91" totalsRowDxfId="90"/>
    <tableColumn id="5" name="2010" totalsRowFunction="custom" dataDxfId="89" totalsRowDxfId="88" dataCellStyle="Comma">
      <totalsRowFormula>SUM(XVI.b.Gas.Costs[2010])</totalsRowFormula>
    </tableColumn>
    <tableColumn id="6" name="2015" totalsRowFunction="custom" dataDxfId="87" totalsRowDxfId="86" dataCellStyle="Comma">
      <totalsRowFormula>SUM(XVI.b.Gas.Costs[2015])</totalsRowFormula>
    </tableColumn>
    <tableColumn id="7" name="2020" totalsRowFunction="sum" dataDxfId="85" totalsRowDxfId="84" dataCellStyle="Comma"/>
    <tableColumn id="8" name="2025" totalsRowFunction="sum" dataDxfId="83" totalsRowDxfId="82" dataCellStyle="Comma"/>
    <tableColumn id="9" name="2030" totalsRowFunction="sum" dataDxfId="81" totalsRowDxfId="80" dataCellStyle="Comma"/>
    <tableColumn id="10" name="2035" totalsRowFunction="sum" dataDxfId="79" totalsRowDxfId="78" dataCellStyle="Comma"/>
    <tableColumn id="11" name="2040" totalsRowFunction="sum" dataDxfId="77" totalsRowDxfId="76" dataCellStyle="Comma"/>
    <tableColumn id="12" name="2045" totalsRowFunction="sum" dataDxfId="75" totalsRowDxfId="74" dataCellStyle="Comma"/>
    <tableColumn id="13" name="2050" totalsRowFunction="sum" dataDxfId="73" totalsRowDxfId="72" dataCellStyle="Comma"/>
  </tableColumns>
  <tableStyleInfo name="EnergyCalcTables" showFirstColumn="0" showLastColumn="0" showRowStripes="1" showColumnStripes="0"/>
</table>
</file>

<file path=xl/tables/table177.xml><?xml version="1.0" encoding="utf-8"?>
<table xmlns="http://schemas.openxmlformats.org/spreadsheetml/2006/main" id="98" name="Table" displayName="Table" ref="C14:N15" totalsRowShown="0" headerRowDxfId="71" dataDxfId="69" headerRowBorderDxfId="70" tableBorderDxfId="68" dataCellStyle="ofwhich">
  <autoFilter ref="C14:N15"/>
  <tableColumns count="12">
    <tableColumn id="1" name="Vector" dataDxfId="67"/>
    <tableColumn id="2" name="Name" dataDxfId="66">
      <calculatedColumnFormula>INDEX(Vectors[Description], MATCH(Table[Vector], Vectors[Code], 0))</calculatedColumnFormula>
    </tableColumn>
    <tableColumn id="3" name="Notes" dataDxfId="65"/>
    <tableColumn id="5" name="2010" dataDxfId="64" dataCellStyle="ofwhich">
      <calculatedColumnFormula>INDEX(INDIRECT("'"&amp;F$8&amp;"'!Year.NetBalance"), MATCH($C15, INDIRECT("'"&amp;F$8&amp;"'!Year.Vectors"), 0))</calculatedColumnFormula>
    </tableColumn>
    <tableColumn id="6" name="2015" dataDxfId="63" dataCellStyle="ofwhich">
      <calculatedColumnFormula>INDEX(INDIRECT("'"&amp;G$8&amp;"'!Year.NetBalance"), MATCH($C15, INDIRECT("'"&amp;G$8&amp;"'!Year.Vectors"), 0))</calculatedColumnFormula>
    </tableColumn>
    <tableColumn id="7" name="2020" dataDxfId="62" dataCellStyle="ofwhich">
      <calculatedColumnFormula>INDEX(INDIRECT("'"&amp;H$8&amp;"'!Year.NetBalance"), MATCH($C15, INDIRECT("'"&amp;H$8&amp;"'!Year.Vectors"), 0))</calculatedColumnFormula>
    </tableColumn>
    <tableColumn id="8" name="2025" dataDxfId="61" dataCellStyle="ofwhich">
      <calculatedColumnFormula>INDEX(INDIRECT("'"&amp;I$8&amp;"'!Year.NetBalance"), MATCH($C15, INDIRECT("'"&amp;I$8&amp;"'!Year.Vectors"), 0))</calculatedColumnFormula>
    </tableColumn>
    <tableColumn id="9" name="2030" dataDxfId="60" dataCellStyle="ofwhich">
      <calculatedColumnFormula>INDEX(INDIRECT("'"&amp;J$8&amp;"'!Year.NetBalance"), MATCH($C15, INDIRECT("'"&amp;J$8&amp;"'!Year.Vectors"), 0))</calculatedColumnFormula>
    </tableColumn>
    <tableColumn id="10" name="2035" dataDxfId="59" dataCellStyle="ofwhich">
      <calculatedColumnFormula>INDEX(INDIRECT("'"&amp;K$8&amp;"'!Year.NetBalance"), MATCH($C15, INDIRECT("'"&amp;K$8&amp;"'!Year.Vectors"), 0))</calculatedColumnFormula>
    </tableColumn>
    <tableColumn id="11" name="2040" dataDxfId="58" dataCellStyle="ofwhich">
      <calculatedColumnFormula>INDEX(INDIRECT("'"&amp;L$8&amp;"'!Year.NetBalance"), MATCH($C15, INDIRECT("'"&amp;L$8&amp;"'!Year.Vectors"), 0))</calculatedColumnFormula>
    </tableColumn>
    <tableColumn id="12" name="2045" dataDxfId="57" dataCellStyle="ofwhich">
      <calculatedColumnFormula>INDEX(INDIRECT("'"&amp;M$8&amp;"'!Year.NetBalance"), MATCH($C15, INDIRECT("'"&amp;M$8&amp;"'!Year.Vectors"), 0))</calculatedColumnFormula>
    </tableColumn>
    <tableColumn id="13" name="2050" dataDxfId="56" dataCellStyle="ofwhich">
      <calculatedColumnFormula>INDEX(INDIRECT("'"&amp;N$8&amp;"'!Year.NetBalance"), MATCH($C15, INDIRECT("'"&amp;N$8&amp;"'!Year.Vectors"), 0))</calculatedColumnFormula>
    </tableColumn>
  </tableColumns>
  <tableStyleInfo name="EnergyCalcTables" showFirstColumn="0" showLastColumn="0" showRowStripes="1" showColumnStripes="0"/>
</table>
</file>

<file path=xl/tables/table178.xml><?xml version="1.0" encoding="utf-8"?>
<table xmlns="http://schemas.openxmlformats.org/spreadsheetml/2006/main" id="101" name="XVI.b.Oil.Costs" displayName="XVI.b.Oil.Costs" ref="C112:N115" headerRowDxfId="55" dataDxfId="53" headerRowBorderDxfId="54" tableBorderDxfId="52" dataCellStyle="Comma">
  <autoFilter ref="C112:N115"/>
  <tableColumns count="12">
    <tableColumn id="1" name="Vector" totalsRowLabel="Total" dataDxfId="51" totalsRowDxfId="50"/>
    <tableColumn id="2" name="Name" dataDxfId="49" totalsRowDxfId="48">
      <calculatedColumnFormula>INDEX(CostVectors[Description], MATCH(C113, CostVectors[Code], 0))</calculatedColumnFormula>
    </tableColumn>
    <tableColumn id="3" name="Notes" dataDxfId="47" totalsRowDxfId="46"/>
    <tableColumn id="5" name="2010" totalsRowFunction="custom" dataDxfId="45" totalsRowDxfId="44" dataCellStyle="Comma">
      <totalsRowFormula>SUM(XVI.b.Oil.Costs[2010])</totalsRowFormula>
    </tableColumn>
    <tableColumn id="6" name="2015" totalsRowFunction="custom" dataDxfId="43" totalsRowDxfId="42" dataCellStyle="Comma">
      <totalsRowFormula>SUM(XVI.b.Oil.Costs[2015])</totalsRowFormula>
    </tableColumn>
    <tableColumn id="7" name="2020" totalsRowFunction="sum" dataDxfId="41" totalsRowDxfId="40" dataCellStyle="Comma"/>
    <tableColumn id="8" name="2025" totalsRowFunction="sum" dataDxfId="39" totalsRowDxfId="38" dataCellStyle="Comma"/>
    <tableColumn id="9" name="2030" totalsRowFunction="sum" dataDxfId="37" totalsRowDxfId="36" dataCellStyle="Comma"/>
    <tableColumn id="10" name="2035" totalsRowFunction="sum" dataDxfId="35" totalsRowDxfId="34" dataCellStyle="Comma"/>
    <tableColumn id="11" name="2040" totalsRowFunction="sum" dataDxfId="33" totalsRowDxfId="32" dataCellStyle="Comma"/>
    <tableColumn id="12" name="2045" totalsRowFunction="sum" dataDxfId="31" totalsRowDxfId="30" dataCellStyle="Comma"/>
    <tableColumn id="13" name="2050" totalsRowFunction="sum" dataDxfId="29" totalsRowDxfId="28" dataCellStyle="Comma"/>
  </tableColumns>
  <tableStyleInfo name="EnergyCalcTables" showFirstColumn="0" showLastColumn="0" showRowStripes="1" showColumnStripes="0"/>
</table>
</file>

<file path=xl/tables/table179.xml><?xml version="1.0" encoding="utf-8"?>
<table xmlns="http://schemas.openxmlformats.org/spreadsheetml/2006/main" id="117" name="XVI.b.Coal.Costs" displayName="XVI.b.Coal.Costs" ref="C105:N108" headerRowDxfId="27" dataDxfId="25" headerRowBorderDxfId="26" tableBorderDxfId="24" dataCellStyle="Comma">
  <autoFilter ref="C105:N108"/>
  <tableColumns count="12">
    <tableColumn id="1" name="Vector" totalsRowLabel="Total" dataDxfId="23" totalsRowDxfId="22"/>
    <tableColumn id="2" name="Name" dataDxfId="21" totalsRowDxfId="20">
      <calculatedColumnFormula>INDEX(CostVectors[Description], MATCH(C106, CostVectors[Code], 0))</calculatedColumnFormula>
    </tableColumn>
    <tableColumn id="3" name="Notes" dataDxfId="19" totalsRowDxfId="18"/>
    <tableColumn id="5" name="2010" totalsRowFunction="custom" dataDxfId="17" totalsRowDxfId="16" dataCellStyle="Comma">
      <totalsRowFormula>SUM(XVI.b.Coal.Costs[2010])</totalsRowFormula>
    </tableColumn>
    <tableColumn id="6" name="2015" totalsRowFunction="custom" dataDxfId="15" totalsRowDxfId="14" dataCellStyle="Comma">
      <totalsRowFormula>SUM(XVI.b.Coal.Costs[2015])</totalsRowFormula>
    </tableColumn>
    <tableColumn id="7" name="2020" totalsRowFunction="sum" dataDxfId="13" totalsRowDxfId="12" dataCellStyle="Comma"/>
    <tableColumn id="8" name="2025" totalsRowFunction="sum" dataDxfId="11" totalsRowDxfId="10" dataCellStyle="Comma"/>
    <tableColumn id="9" name="2030" totalsRowFunction="sum" dataDxfId="9" totalsRowDxfId="8" dataCellStyle="Comma"/>
    <tableColumn id="10" name="2035" totalsRowFunction="sum" dataDxfId="7" totalsRowDxfId="6" dataCellStyle="Comma"/>
    <tableColumn id="11" name="2040" totalsRowFunction="sum" dataDxfId="5" totalsRowDxfId="4" dataCellStyle="Comma"/>
    <tableColumn id="12" name="2045" totalsRowFunction="sum" dataDxfId="3" totalsRowDxfId="2" dataCellStyle="Comma"/>
    <tableColumn id="13" name="2050" totalsRowFunction="sum" dataDxfId="1" totalsRowDxfId="0" dataCellStyle="Comma"/>
  </tableColumns>
  <tableStyleInfo name="EnergyCalcTables" showFirstColumn="0" showLastColumn="0" showRowStripes="1" showColumnStripes="0"/>
</table>
</file>

<file path=xl/tables/table18.xml><?xml version="1.0" encoding="utf-8"?>
<table xmlns="http://schemas.openxmlformats.org/spreadsheetml/2006/main" id="55" name="I.a.AQ" displayName="I.a.AQ" ref="C185:N188" totalsRowShown="0" headerRowDxfId="4070" dataDxfId="4068" headerRowBorderDxfId="4069" tableBorderDxfId="4067" totalsRowBorderDxfId="4066">
  <autoFilter ref="C185:N188"/>
  <tableColumns count="12">
    <tableColumn id="1" name="Vector" dataDxfId="4065">
      <calculatedColumnFormula>INDEX([3]!AirQualityVectors[Code],MATCH(D186,[3]!AirQualityVectors[Description],0))</calculatedColumnFormula>
    </tableColumn>
    <tableColumn id="2" name="Name" dataDxfId="4064">
      <calculatedColumnFormula>INDEX([3]!AirQualityVectors[Description],MATCH(C186,[3]!AirQualityVectors[Code],0))</calculatedColumnFormula>
    </tableColumn>
    <tableColumn id="3" name="IPCC Sector" dataDxfId="4063"/>
    <tableColumn id="5" name="2010" dataDxfId="4062" dataCellStyle="Comma">
      <calculatedColumnFormula>F125</calculatedColumnFormula>
    </tableColumn>
    <tableColumn id="6" name="2015" dataDxfId="4061" dataCellStyle="Comma">
      <calculatedColumnFormula>G125</calculatedColumnFormula>
    </tableColumn>
    <tableColumn id="7" name="2020" dataDxfId="4060" dataCellStyle="Comma">
      <calculatedColumnFormula>H125</calculatedColumnFormula>
    </tableColumn>
    <tableColumn id="8" name="2025" dataDxfId="4059" dataCellStyle="Comma">
      <calculatedColumnFormula>I125</calculatedColumnFormula>
    </tableColumn>
    <tableColumn id="9" name="2030" dataDxfId="4058" dataCellStyle="Comma">
      <calculatedColumnFormula>J125</calculatedColumnFormula>
    </tableColumn>
    <tableColumn id="10" name="2035" dataDxfId="4057" dataCellStyle="Comma">
      <calculatedColumnFormula>K125</calculatedColumnFormula>
    </tableColumn>
    <tableColumn id="11" name="2040" dataDxfId="4056" dataCellStyle="Comma">
      <calculatedColumnFormula>L125</calculatedColumnFormula>
    </tableColumn>
    <tableColumn id="12" name="2045" dataDxfId="4055" dataCellStyle="Comma">
      <calculatedColumnFormula>M125</calculatedColumnFormula>
    </tableColumn>
    <tableColumn id="13" name="2050" dataDxfId="4054" dataCellStyle="Comma">
      <calculatedColumnFormula>N125</calculatedColumnFormula>
    </tableColumn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id="103" name="I.b.Outputs" displayName="I.b.Outputs" ref="C165:N170" totalsRowCount="1" headerRowDxfId="4053" dataDxfId="4052">
  <autoFilter ref="C165:N169"/>
  <tableColumns count="12">
    <tableColumn id="1" name="Vector" totalsRowLabel="Total" dataDxfId="4051" totalsRowDxfId="4050"/>
    <tableColumn id="2" name="Name" dataDxfId="4049" totalsRowDxfId="4048">
      <calculatedColumnFormula>INDEX([4]!Vectors[Description], MATCH(I.b.Outputs[Vector], [4]!Vectors[Code], 0))</calculatedColumnFormula>
    </tableColumn>
    <tableColumn id="3" name="Notes" dataDxfId="4047" totalsRowDxfId="4046"/>
    <tableColumn id="5" name="2010" totalsRowFunction="sum" dataDxfId="4045" totalsRowDxfId="4044" dataCellStyle="Comma"/>
    <tableColumn id="6" name="2015" totalsRowFunction="sum" dataDxfId="4043" totalsRowDxfId="4042" dataCellStyle="Comma"/>
    <tableColumn id="7" name="2020" totalsRowFunction="sum" dataDxfId="4041" totalsRowDxfId="4040" dataCellStyle="Comma"/>
    <tableColumn id="8" name="2025" totalsRowFunction="sum" dataDxfId="4039" totalsRowDxfId="4038" dataCellStyle="Comma"/>
    <tableColumn id="9" name="2030" totalsRowFunction="sum" dataDxfId="4037" totalsRowDxfId="4036" dataCellStyle="Comma"/>
    <tableColumn id="10" name="2035" totalsRowFunction="sum" dataDxfId="4035" totalsRowDxfId="4034" dataCellStyle="Comma"/>
    <tableColumn id="11" name="2040" totalsRowFunction="sum" dataDxfId="4033" totalsRowDxfId="4032" dataCellStyle="Comma"/>
    <tableColumn id="12" name="2045" totalsRowFunction="sum" dataDxfId="4031" totalsRowDxfId="4030" dataCellStyle="Comma"/>
    <tableColumn id="13" name="2050" totalsRowFunction="sum" dataDxfId="4029" totalsRowDxfId="4028" dataCellStyle="Comma"/>
  </tableColumns>
  <tableStyleInfo name="EnergyCalcTables" showFirstColumn="0" showLastColumn="0" showRowStripes="1" showColumnStripes="0"/>
</table>
</file>

<file path=xl/tables/table2.xml><?xml version="1.0" encoding="utf-8"?>
<table xmlns="http://schemas.openxmlformats.org/spreadsheetml/2006/main" id="4" name="FlowsTable" displayName="FlowsTable" ref="C5:M68" totalsRowShown="0" headerRowDxfId="4272" dataDxfId="4271" dataCellStyle="40% - Accent2 3">
  <autoFilter ref="C5:M68"/>
  <tableColumns count="11">
    <tableColumn id="1" name="From" dataDxfId="4270" dataCellStyle="Normal 2"/>
    <tableColumn id="2" name="To" dataDxfId="4269" dataCellStyle="Comma"/>
    <tableColumn id="4" name="2010" dataDxfId="4268" dataCellStyle="Comma"/>
    <tableColumn id="5" name="2015" dataDxfId="4267" dataCellStyle="Comma"/>
    <tableColumn id="6" name="2020" dataDxfId="4266" dataCellStyle="Comma"/>
    <tableColumn id="7" name="2025" dataDxfId="4265" dataCellStyle="Comma"/>
    <tableColumn id="8" name="2030" dataDxfId="4264" dataCellStyle="Comma"/>
    <tableColumn id="9" name="2035" dataDxfId="4263" dataCellStyle="Comma"/>
    <tableColumn id="10" name="2040" dataDxfId="4262" dataCellStyle="Comma"/>
    <tableColumn id="11" name="2045" dataDxfId="4261" dataCellStyle="Comma"/>
    <tableColumn id="12" name="2050" dataDxfId="4260" dataCellStyle="Comma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123" name="I.b.Emissions" displayName="I.b.Emissions" ref="C177:N181" totalsRowCount="1" headerRowDxfId="4027" dataDxfId="4025" headerRowBorderDxfId="4026" tableBorderDxfId="4024" dataCellStyle="40% - Accent2 3 2">
  <autoFilter ref="C177:N180"/>
  <tableColumns count="12">
    <tableColumn id="1" name="GHG" totalsRowLabel="Total" dataDxfId="4023" totalsRowDxfId="4022"/>
    <tableColumn id="2" name="IPCC Sector" dataDxfId="4021" totalsRowDxfId="4020"/>
    <tableColumn id="3" name="Notes" dataDxfId="4019" totalsRowDxfId="4018"/>
    <tableColumn id="5" name="2010" totalsRowFunction="sum" dataDxfId="4017" totalsRowDxfId="4016" dataCellStyle="Comma"/>
    <tableColumn id="6" name="2015" totalsRowFunction="sum" dataDxfId="4015" totalsRowDxfId="4014" dataCellStyle="Comma"/>
    <tableColumn id="7" name="2020" totalsRowFunction="sum" dataDxfId="4013" totalsRowDxfId="4012" dataCellStyle="Comma"/>
    <tableColumn id="8" name="2025" totalsRowFunction="sum" dataDxfId="4011" totalsRowDxfId="4010" dataCellStyle="Comma"/>
    <tableColumn id="9" name="2030" totalsRowFunction="sum" dataDxfId="4009" totalsRowDxfId="4008" dataCellStyle="Comma"/>
    <tableColumn id="10" name="2035" totalsRowFunction="sum" dataDxfId="4007" totalsRowDxfId="4006" dataCellStyle="Comma"/>
    <tableColumn id="11" name="2040" totalsRowFunction="sum" dataDxfId="4005" totalsRowDxfId="4004" dataCellStyle="Comma"/>
    <tableColumn id="12" name="2045" totalsRowFunction="sum" dataDxfId="4003" totalsRowDxfId="4002" dataCellStyle="Comma"/>
    <tableColumn id="13" name="2050" totalsRowFunction="sum" dataDxfId="4001" totalsRowDxfId="4000" dataCellStyle="Comma"/>
  </tableColumns>
  <tableStyleInfo name="EnergyCalcTables" showFirstColumn="0" showLastColumn="0" showRowStripes="1" showColumnStripes="0"/>
</table>
</file>

<file path=xl/tables/table21.xml><?xml version="1.0" encoding="utf-8"?>
<table xmlns="http://schemas.openxmlformats.org/spreadsheetml/2006/main" id="124" name="I.b.info" displayName="I.b.info" ref="C196:N199" totalsRowShown="0" headerRowDxfId="3999" dataDxfId="3997" totalsRowDxfId="3995" headerRowBorderDxfId="3998" tableBorderDxfId="3996" dataCellStyle="40% - Accent2 3 2">
  <autoFilter ref="C196:N199"/>
  <tableColumns count="12">
    <tableColumn id="1" name="Vector" dataDxfId="3994" totalsRowDxfId="3993"/>
    <tableColumn id="2" name="Information type" dataDxfId="3992" totalsRowDxfId="3991">
      <calculatedColumnFormula>INDEX([2]!Vectors[Description], MATCH(I.b.info[Vector], [2]!Vectors[Code], 0))</calculatedColumnFormula>
    </tableColumn>
    <tableColumn id="3" name="Notes" dataDxfId="3990" totalsRowDxfId="3989">
      <calculatedColumnFormula>INDEX([2]!Vectors[Comment], MATCH(I.b.info[Information type], [2]!Vectors[Description], 0))</calculatedColumnFormula>
    </tableColumn>
    <tableColumn id="5" name="2010" dataDxfId="3988" totalsRowDxfId="3987" dataCellStyle="Comma"/>
    <tableColumn id="6" name="2015" dataDxfId="3986" totalsRowDxfId="3985" dataCellStyle="Comma"/>
    <tableColumn id="7" name="2020" dataDxfId="3984" totalsRowDxfId="3983" dataCellStyle="Comma"/>
    <tableColumn id="8" name="2025" dataDxfId="3982" totalsRowDxfId="3981" dataCellStyle="Comma"/>
    <tableColumn id="9" name="2030" dataDxfId="3980" totalsRowDxfId="3979" dataCellStyle="Comma"/>
    <tableColumn id="10" name="2035" dataDxfId="3978" totalsRowDxfId="3977" dataCellStyle="Comma"/>
    <tableColumn id="11" name="2040" dataDxfId="3976" totalsRowDxfId="3975" dataCellStyle="Comma"/>
    <tableColumn id="12" name="2045" dataDxfId="3974" totalsRowDxfId="3973" dataCellStyle="Comma"/>
    <tableColumn id="13" name="2050" dataDxfId="3972" totalsRowDxfId="3971" dataCellStyle="Comma"/>
  </tableColumns>
  <tableStyleInfo name="EnergyCalcTables" showFirstColumn="0" showLastColumn="0" showRowStripes="1" showColumnStripes="0"/>
</table>
</file>

<file path=xl/tables/table22.xml><?xml version="1.0" encoding="utf-8"?>
<table xmlns="http://schemas.openxmlformats.org/spreadsheetml/2006/main" id="125" name="I.b.AQ" displayName="I.b.AQ" ref="C185:N188" totalsRowShown="0" headerRowDxfId="3970" dataDxfId="3968" headerRowBorderDxfId="3969" tableBorderDxfId="3967" totalsRowBorderDxfId="3966">
  <autoFilter ref="C185:N188"/>
  <tableColumns count="12">
    <tableColumn id="1" name="Vector" dataDxfId="3965">
      <calculatedColumnFormula>INDEX([4]!AirQualityVectors[Code],MATCH(D186,[4]!AirQualityVectors[Description],0))</calculatedColumnFormula>
    </tableColumn>
    <tableColumn id="2" name="Name" dataDxfId="3964">
      <calculatedColumnFormula>INDEX([4]!AirQualityVectors[Description],MATCH(C186,[4]!AirQualityVectors[Code],0))</calculatedColumnFormula>
    </tableColumn>
    <tableColumn id="3" name="IPCC Sector" dataDxfId="3963"/>
    <tableColumn id="5" name="2010" dataDxfId="3962" dataCellStyle="Comma">
      <calculatedColumnFormula>F123</calculatedColumnFormula>
    </tableColumn>
    <tableColumn id="6" name="2015" dataDxfId="3961" dataCellStyle="Comma">
      <calculatedColumnFormula>G123</calculatedColumnFormula>
    </tableColumn>
    <tableColumn id="7" name="2020" dataDxfId="3960" dataCellStyle="Comma">
      <calculatedColumnFormula>H123</calculatedColumnFormula>
    </tableColumn>
    <tableColumn id="8" name="2025" dataDxfId="3959" dataCellStyle="Comma">
      <calculatedColumnFormula>I123</calculatedColumnFormula>
    </tableColumn>
    <tableColumn id="9" name="2030" dataDxfId="3958" dataCellStyle="Comma">
      <calculatedColumnFormula>J123</calculatedColumnFormula>
    </tableColumn>
    <tableColumn id="10" name="2035" dataDxfId="3957" dataCellStyle="Comma">
      <calculatedColumnFormula>K123</calculatedColumnFormula>
    </tableColumn>
    <tableColumn id="11" name="2040" dataDxfId="3956" dataCellStyle="Comma">
      <calculatedColumnFormula>L123</calculatedColumnFormula>
    </tableColumn>
    <tableColumn id="12" name="2045" dataDxfId="3955" dataCellStyle="Comma">
      <calculatedColumnFormula>M123</calculatedColumnFormula>
    </tableColumn>
    <tableColumn id="13" name="2050" dataDxfId="3954" dataCellStyle="Comma">
      <calculatedColumnFormula>N123</calculatedColumnFormula>
    </tableColumn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id="24" name="I.b.Costs" displayName="I.b.Costs" ref="C207:N216" headerRowDxfId="3953" dataDxfId="3951" headerRowBorderDxfId="3952" tableBorderDxfId="3950" dataCellStyle="40% - Accent2 3">
  <autoFilter ref="C207:N216"/>
  <tableColumns count="12">
    <tableColumn id="1" name="Vector" totalsRowLabel="Total" dataDxfId="3949" totalsRowDxfId="3948"/>
    <tableColumn id="2" name="Name" dataDxfId="3947" totalsRowDxfId="3946">
      <calculatedColumnFormula>INDEX(CostVectors[Description], MATCH(C208, CostVectors[Code], 0))</calculatedColumnFormula>
    </tableColumn>
    <tableColumn id="3" name="Notes" dataDxfId="3945" totalsRowDxfId="3944"/>
    <tableColumn id="5" name="2010" totalsRowFunction="custom" dataDxfId="3943" totalsRowDxfId="3942" dataCellStyle="Comma">
      <totalsRowFormula>SUM(I.b.Costs[2010])</totalsRowFormula>
    </tableColumn>
    <tableColumn id="6" name="2015" totalsRowFunction="custom" dataDxfId="3941" totalsRowDxfId="3940" dataCellStyle="Comma">
      <totalsRowFormula>SUM(I.b.Costs[2015])</totalsRowFormula>
    </tableColumn>
    <tableColumn id="7" name="2020" totalsRowFunction="sum" dataDxfId="3939" totalsRowDxfId="3938" dataCellStyle="Comma"/>
    <tableColumn id="8" name="2025" totalsRowFunction="sum" dataDxfId="3937" totalsRowDxfId="3936" dataCellStyle="Comma"/>
    <tableColumn id="9" name="2030" totalsRowFunction="sum" dataDxfId="3935" totalsRowDxfId="3934" dataCellStyle="Comma"/>
    <tableColumn id="10" name="2035" totalsRowFunction="sum" dataDxfId="3933" totalsRowDxfId="3932" dataCellStyle="Comma"/>
    <tableColumn id="11" name="2040" totalsRowFunction="sum" dataDxfId="3931" totalsRowDxfId="3930" dataCellStyle="Comma"/>
    <tableColumn id="12" name="2045" totalsRowFunction="sum" dataDxfId="3929" totalsRowDxfId="3928" dataCellStyle="Comma"/>
    <tableColumn id="13" name="2050" totalsRowFunction="sum" dataDxfId="3927" totalsRowDxfId="3926" dataCellStyle="Comma"/>
  </tableColumns>
  <tableStyleInfo name="EnergyCalcTables" showFirstColumn="0" showLastColumn="0" showRowStripes="1" showColumnStripes="0"/>
</table>
</file>

<file path=xl/tables/table24.xml><?xml version="1.0" encoding="utf-8"?>
<table xmlns="http://schemas.openxmlformats.org/spreadsheetml/2006/main" id="12" name="I.c.Outputs" displayName="I.c.Outputs" ref="C157:N162" totalsRowCount="1" headerRowDxfId="3925" dataDxfId="3924">
  <autoFilter ref="C157:N161"/>
  <tableColumns count="12">
    <tableColumn id="1" name="Vector" totalsRowLabel="Total" dataDxfId="3923" totalsRowDxfId="3922"/>
    <tableColumn id="2" name="Name" dataDxfId="3921" totalsRowDxfId="3920">
      <calculatedColumnFormula>INDEX(Vectors[Description], MATCH(I.c.Outputs[Vector],Vectors[Code], 0))</calculatedColumnFormula>
    </tableColumn>
    <tableColumn id="3" name="Notes" dataDxfId="3919" totalsRowDxfId="3918"/>
    <tableColumn id="5" name="2010" totalsRowFunction="sum" dataDxfId="3917" totalsRowDxfId="3916" dataCellStyle="Comma"/>
    <tableColumn id="6" name="2015" totalsRowFunction="sum" dataDxfId="3915" totalsRowDxfId="3914" dataCellStyle="Comma"/>
    <tableColumn id="7" name="2020" totalsRowFunction="sum" dataDxfId="3913" totalsRowDxfId="3912" dataCellStyle="Comma"/>
    <tableColumn id="8" name="2025" totalsRowFunction="sum" dataDxfId="3911" totalsRowDxfId="3910" dataCellStyle="Comma"/>
    <tableColumn id="9" name="2030" totalsRowFunction="sum" dataDxfId="3909" totalsRowDxfId="3908" dataCellStyle="Comma"/>
    <tableColumn id="10" name="2035" totalsRowFunction="sum" dataDxfId="3907" totalsRowDxfId="3906" dataCellStyle="Comma"/>
    <tableColumn id="11" name="2040" totalsRowFunction="sum" dataDxfId="3905" totalsRowDxfId="3904" dataCellStyle="Comma"/>
    <tableColumn id="12" name="2045" totalsRowFunction="sum" dataDxfId="3903" totalsRowDxfId="3902" dataCellStyle="Comma"/>
    <tableColumn id="13" name="2050" totalsRowFunction="sum" dataDxfId="3901" totalsRowDxfId="3900" dataCellStyle="Comma"/>
  </tableColumns>
  <tableStyleInfo name="EnergyCalcTables" showFirstColumn="0" showLastColumn="0" showRowStripes="1" showColumnStripes="0"/>
</table>
</file>

<file path=xl/tables/table25.xml><?xml version="1.0" encoding="utf-8"?>
<table xmlns="http://schemas.openxmlformats.org/spreadsheetml/2006/main" id="13" name="I.c.Emissions" displayName="I.c.Emissions" ref="C169:N173" totalsRowCount="1" headerRowDxfId="3899" dataDxfId="3897" headerRowBorderDxfId="3898" tableBorderDxfId="3896" dataCellStyle="40% - Accent2 3">
  <autoFilter ref="C169:N172"/>
  <tableColumns count="12">
    <tableColumn id="1" name="GHG" totalsRowLabel="Total" dataDxfId="3895" totalsRowDxfId="3894"/>
    <tableColumn id="2" name="IPCC Sector" dataDxfId="3893" totalsRowDxfId="3892"/>
    <tableColumn id="3" name="Notes" dataDxfId="3891" totalsRowDxfId="3890"/>
    <tableColumn id="5" name="2010" totalsRowFunction="sum" dataDxfId="3889" totalsRowDxfId="3888" dataCellStyle="Comma"/>
    <tableColumn id="6" name="2015" totalsRowFunction="sum" dataDxfId="3887" totalsRowDxfId="3886" dataCellStyle="Comma"/>
    <tableColumn id="7" name="2020" totalsRowFunction="sum" dataDxfId="3885" totalsRowDxfId="3884" dataCellStyle="Comma"/>
    <tableColumn id="8" name="2025" totalsRowFunction="sum" dataDxfId="3883" totalsRowDxfId="3882" dataCellStyle="Comma"/>
    <tableColumn id="9" name="2030" totalsRowFunction="sum" dataDxfId="3881" totalsRowDxfId="3880" dataCellStyle="Comma"/>
    <tableColumn id="10" name="2035" totalsRowFunction="sum" dataDxfId="3879" totalsRowDxfId="3878" dataCellStyle="Comma"/>
    <tableColumn id="11" name="2040" totalsRowFunction="sum" dataDxfId="3877" totalsRowDxfId="3876" dataCellStyle="Comma"/>
    <tableColumn id="12" name="2045" totalsRowFunction="sum" dataDxfId="3875" totalsRowDxfId="3874" dataCellStyle="Comma"/>
    <tableColumn id="13" name="2050" totalsRowFunction="sum" dataDxfId="3873" totalsRowDxfId="3872" dataCellStyle="Comma"/>
  </tableColumns>
  <tableStyleInfo name="EnergyCalcTables" showFirstColumn="0" showLastColumn="0" showRowStripes="1" showColumnStripes="0"/>
</table>
</file>

<file path=xl/tables/table26.xml><?xml version="1.0" encoding="utf-8"?>
<table xmlns="http://schemas.openxmlformats.org/spreadsheetml/2006/main" id="14" name="I.c.Costs" displayName="I.c.Costs" ref="C199:N208" headerRowDxfId="3871" dataDxfId="3869" headerRowBorderDxfId="3870" tableBorderDxfId="3868" dataCellStyle="40% - Accent2 3">
  <autoFilter ref="C199:N208"/>
  <tableColumns count="12">
    <tableColumn id="1" name="Vector" totalsRowLabel="Total" dataDxfId="3867" totalsRowDxfId="3866"/>
    <tableColumn id="2" name="Name" dataDxfId="3865" totalsRowDxfId="3864">
      <calculatedColumnFormula>INDEX(CostVectors[Description], MATCH(C200, CostVectors[Code], 0))</calculatedColumnFormula>
    </tableColumn>
    <tableColumn id="3" name="Notes" dataDxfId="3863" totalsRowDxfId="3862"/>
    <tableColumn id="5" name="2010" totalsRowFunction="custom" dataDxfId="3861" totalsRowDxfId="3860" dataCellStyle="Comma">
      <totalsRowFormula>SUM(I.c.Costs[2010])</totalsRowFormula>
    </tableColumn>
    <tableColumn id="6" name="2015" totalsRowFunction="custom" dataDxfId="3859" totalsRowDxfId="3858" dataCellStyle="Comma">
      <totalsRowFormula>SUM(I.c.Costs[2015])</totalsRowFormula>
    </tableColumn>
    <tableColumn id="7" name="2020" totalsRowFunction="sum" dataDxfId="3857" totalsRowDxfId="3856" dataCellStyle="Comma"/>
    <tableColumn id="8" name="2025" totalsRowFunction="sum" dataDxfId="3855" totalsRowDxfId="3854" dataCellStyle="Comma"/>
    <tableColumn id="9" name="2030" totalsRowFunction="sum" dataDxfId="3853" totalsRowDxfId="3852" dataCellStyle="Comma"/>
    <tableColumn id="10" name="2035" totalsRowFunction="sum" dataDxfId="3851" totalsRowDxfId="3850" dataCellStyle="Comma"/>
    <tableColumn id="11" name="2040" totalsRowFunction="sum" dataDxfId="3849" totalsRowDxfId="3848" dataCellStyle="Comma"/>
    <tableColumn id="12" name="2045" totalsRowFunction="sum" dataDxfId="3847" totalsRowDxfId="3846" dataCellStyle="Comma"/>
    <tableColumn id="13" name="2050" totalsRowFunction="sum" dataDxfId="3845" totalsRowDxfId="3844" dataCellStyle="Comma"/>
  </tableColumns>
  <tableStyleInfo name="EnergyCalcTables" showFirstColumn="0" showLastColumn="0" showRowStripes="1" showColumnStripes="0"/>
</table>
</file>

<file path=xl/tables/table27.xml><?xml version="1.0" encoding="utf-8"?>
<table xmlns="http://schemas.openxmlformats.org/spreadsheetml/2006/main" id="17" name="I.c.Info" displayName="I.c.Info" ref="C189:N192" totalsRowShown="0" headerRowDxfId="3843" dataDxfId="3841" totalsRowDxfId="3839" headerRowBorderDxfId="3842" tableBorderDxfId="3840" dataCellStyle="40% - Accent2 3">
  <autoFilter ref="C189:N192"/>
  <tableColumns count="12">
    <tableColumn id="1" name="Vector" dataDxfId="3838" totalsRowDxfId="3837"/>
    <tableColumn id="2" name="Information type" dataDxfId="3836" totalsRowDxfId="3835">
      <calculatedColumnFormula>INDEX([2]!Vectors[Description], MATCH(I.c.Info[Vector], [2]!Vectors[Code], 0))</calculatedColumnFormula>
    </tableColumn>
    <tableColumn id="3" name="Notes" dataDxfId="3834" totalsRowDxfId="3833">
      <calculatedColumnFormula>INDEX([2]!Vectors[Comment], MATCH(I.c.Info[Information type], [2]!Vectors[Description], 0))</calculatedColumnFormula>
    </tableColumn>
    <tableColumn id="5" name="2010" dataDxfId="3832" totalsRowDxfId="3831" dataCellStyle="Comma"/>
    <tableColumn id="6" name="2015" dataDxfId="3830" totalsRowDxfId="3829" dataCellStyle="Comma"/>
    <tableColumn id="7" name="2020" dataDxfId="3828" totalsRowDxfId="3827" dataCellStyle="Comma"/>
    <tableColumn id="8" name="2025" dataDxfId="3826" totalsRowDxfId="3825" dataCellStyle="Comma"/>
    <tableColumn id="9" name="2030" dataDxfId="3824" totalsRowDxfId="3823" dataCellStyle="Comma"/>
    <tableColumn id="10" name="2035" dataDxfId="3822" totalsRowDxfId="3821" dataCellStyle="Comma"/>
    <tableColumn id="11" name="2040" dataDxfId="3820" totalsRowDxfId="3819" dataCellStyle="Comma"/>
    <tableColumn id="12" name="2045" dataDxfId="3818" totalsRowDxfId="3817" dataCellStyle="Comma"/>
    <tableColumn id="13" name="2050" dataDxfId="3816" totalsRowDxfId="3815" dataCellStyle="Comma"/>
  </tableColumns>
  <tableStyleInfo name="EnergyCalcTables" showFirstColumn="0" showLastColumn="0" showRowStripes="1" showColumnStripes="0"/>
</table>
</file>

<file path=xl/tables/table28.xml><?xml version="1.0" encoding="utf-8"?>
<table xmlns="http://schemas.openxmlformats.org/spreadsheetml/2006/main" id="18" name="I.c.AQ" displayName="I.c.AQ" ref="C177:N180" totalsRowShown="0" headerRowDxfId="3814" dataDxfId="3812" headerRowBorderDxfId="3813" tableBorderDxfId="3811" totalsRowBorderDxfId="3810">
  <autoFilter ref="C177:N180"/>
  <tableColumns count="12">
    <tableColumn id="1" name="Vector" dataDxfId="3809">
      <calculatedColumnFormula>INDEX([3]!AirQualityVectors[Code],MATCH(D178,[3]!AirQualityVectors[Description],0))</calculatedColumnFormula>
    </tableColumn>
    <tableColumn id="2" name="Name" dataDxfId="3808">
      <calculatedColumnFormula>INDEX([3]!AirQualityVectors[Description],MATCH(C178,[3]!AirQualityVectors[Code],0))</calculatedColumnFormula>
    </tableColumn>
    <tableColumn id="3" name="IPCC Sector" dataDxfId="3807"/>
    <tableColumn id="5" name="2010" dataDxfId="3806" dataCellStyle="Comma">
      <calculatedColumnFormula>F120</calculatedColumnFormula>
    </tableColumn>
    <tableColumn id="6" name="2015" dataDxfId="3805" dataCellStyle="Comma">
      <calculatedColumnFormula>G120</calculatedColumnFormula>
    </tableColumn>
    <tableColumn id="7" name="2020" dataDxfId="3804" dataCellStyle="Comma">
      <calculatedColumnFormula>H120</calculatedColumnFormula>
    </tableColumn>
    <tableColumn id="8" name="2025" dataDxfId="3803" dataCellStyle="Comma">
      <calculatedColumnFormula>I120</calculatedColumnFormula>
    </tableColumn>
    <tableColumn id="9" name="2030" dataDxfId="3802" dataCellStyle="Comma">
      <calculatedColumnFormula>J120</calculatedColumnFormula>
    </tableColumn>
    <tableColumn id="10" name="2035" dataDxfId="3801" dataCellStyle="Comma">
      <calculatedColumnFormula>K120</calculatedColumnFormula>
    </tableColumn>
    <tableColumn id="11" name="2040" dataDxfId="3800" dataCellStyle="Comma">
      <calculatedColumnFormula>L120</calculatedColumnFormula>
    </tableColumn>
    <tableColumn id="12" name="2045" dataDxfId="3799" dataCellStyle="Comma">
      <calculatedColumnFormula>M120</calculatedColumnFormula>
    </tableColumn>
    <tableColumn id="13" name="2050" dataDxfId="3798" dataCellStyle="Comma">
      <calculatedColumnFormula>N120</calculatedColumnFormula>
    </tableColumn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id="6" name="I.d.Outputs" displayName="I.d.Outputs" ref="C141:N146" totalsRowCount="1" headerRowDxfId="3797" dataDxfId="3796">
  <autoFilter ref="C141:N145"/>
  <tableColumns count="12">
    <tableColumn id="1" name="Vector" totalsRowLabel="Total" dataDxfId="3795" totalsRowDxfId="3794"/>
    <tableColumn id="2" name="Name" dataDxfId="3793" totalsRowDxfId="3792">
      <calculatedColumnFormula>INDEX([4]!Vectors[Description], MATCH(I.d.Outputs[Vector],[4]!Vectors[Code], 0))</calculatedColumnFormula>
    </tableColumn>
    <tableColumn id="3" name="Notes" dataDxfId="3791" totalsRowDxfId="3790"/>
    <tableColumn id="5" name="2010" totalsRowFunction="sum" dataDxfId="3789" totalsRowDxfId="3788" dataCellStyle="Comma"/>
    <tableColumn id="6" name="2015" totalsRowFunction="sum" dataDxfId="3787" totalsRowDxfId="3786" dataCellStyle="Comma"/>
    <tableColumn id="7" name="2020" totalsRowFunction="sum" dataDxfId="3785" totalsRowDxfId="3784" dataCellStyle="Comma"/>
    <tableColumn id="8" name="2025" totalsRowFunction="sum" dataDxfId="3783" totalsRowDxfId="3782" dataCellStyle="Comma"/>
    <tableColumn id="9" name="2030" totalsRowFunction="sum" dataDxfId="3781" totalsRowDxfId="3780" dataCellStyle="Comma"/>
    <tableColumn id="10" name="2035" totalsRowFunction="sum" dataDxfId="3779" totalsRowDxfId="3778" dataCellStyle="Comma"/>
    <tableColumn id="11" name="2040" totalsRowFunction="sum" dataDxfId="3777" totalsRowDxfId="3776" dataCellStyle="Comma"/>
    <tableColumn id="12" name="2045" totalsRowFunction="sum" dataDxfId="3775" totalsRowDxfId="3774" dataCellStyle="Comma"/>
    <tableColumn id="13" name="2050" totalsRowFunction="sum" dataDxfId="3773" totalsRowDxfId="3772" dataCellStyle="Comma"/>
  </tableColumns>
  <tableStyleInfo name="EnergyCalcTables" showFirstColumn="0" showLastColumn="0" showRowStripes="1" showColumnStripes="0"/>
</table>
</file>

<file path=xl/tables/table3.xml><?xml version="1.0" encoding="utf-8"?>
<table xmlns="http://schemas.openxmlformats.org/spreadsheetml/2006/main" id="10" name="bioenergy.credit.factors" displayName="bioenergy.credit.factors" ref="C106:M109" totalsRowShown="0" headerRowDxfId="4259" dataDxfId="4258" dataCellStyle="40% - Accent2 3">
  <autoFilter ref="C106:M109"/>
  <tableColumns count="11">
    <tableColumn id="1" name="Vector" dataDxfId="4257"/>
    <tableColumn id="2" name="Credit from growing bioenergy" dataDxfId="4256"/>
    <tableColumn id="4" name="2010" dataDxfId="4255" dataCellStyle="Comma">
      <calculatedColumnFormula>INDEX([1]!EF[CO2e], MATCH($C107, [1]!EF[Vector], 0))*(E101)</calculatedColumnFormula>
    </tableColumn>
    <tableColumn id="5" name="2015" dataDxfId="4254" dataCellStyle="Comma"/>
    <tableColumn id="6" name="2020" dataDxfId="4253" dataCellStyle="Comma"/>
    <tableColumn id="7" name="2025" dataDxfId="4252" dataCellStyle="Comma"/>
    <tableColumn id="8" name="2030" dataDxfId="4251" dataCellStyle="Comma"/>
    <tableColumn id="9" name="2035" dataDxfId="4250" dataCellStyle="Comma"/>
    <tableColumn id="10" name="2040" dataDxfId="4249" dataCellStyle="Comma"/>
    <tableColumn id="11" name="2045" dataDxfId="4248" dataCellStyle="Comma"/>
    <tableColumn id="12" name="2050" dataDxfId="4247" dataCellStyle="Comma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id="7" name="I.d.Emissions" displayName="I.d.Emissions" ref="C153:N157" totalsRowCount="1" headerRowDxfId="3771" dataDxfId="3769" headerRowBorderDxfId="3770" tableBorderDxfId="3768" dataCellStyle="40% - Accent2 3">
  <autoFilter ref="C153:N156"/>
  <tableColumns count="12">
    <tableColumn id="1" name="GHG" totalsRowLabel="Total" dataDxfId="3767" totalsRowDxfId="3766"/>
    <tableColumn id="2" name="IPCC Sector" dataDxfId="3765" totalsRowDxfId="3764"/>
    <tableColumn id="3" name="Notes" dataDxfId="3763" totalsRowDxfId="3762"/>
    <tableColumn id="5" name="2010" totalsRowFunction="sum" dataDxfId="3761" totalsRowDxfId="3760" dataCellStyle="Comma"/>
    <tableColumn id="6" name="2015" totalsRowFunction="sum" dataDxfId="3759" totalsRowDxfId="3758" dataCellStyle="Comma"/>
    <tableColumn id="7" name="2020" totalsRowFunction="sum" dataDxfId="3757" totalsRowDxfId="3756" dataCellStyle="Comma"/>
    <tableColumn id="8" name="2025" totalsRowFunction="sum" dataDxfId="3755" totalsRowDxfId="3754" dataCellStyle="Comma"/>
    <tableColumn id="9" name="2030" totalsRowFunction="sum" dataDxfId="3753" totalsRowDxfId="3752" dataCellStyle="Comma"/>
    <tableColumn id="10" name="2035" totalsRowFunction="sum" dataDxfId="3751" totalsRowDxfId="3750" dataCellStyle="Comma"/>
    <tableColumn id="11" name="2040" totalsRowFunction="sum" dataDxfId="3749" totalsRowDxfId="3748" dataCellStyle="Comma"/>
    <tableColumn id="12" name="2045" totalsRowFunction="sum" dataDxfId="3747" totalsRowDxfId="3746" dataCellStyle="Comma"/>
    <tableColumn id="13" name="2050" totalsRowFunction="sum" dataDxfId="3745" totalsRowDxfId="3744" dataCellStyle="Comma"/>
  </tableColumns>
  <tableStyleInfo name="EnergyCalcTables" showFirstColumn="0" showLastColumn="0" showRowStripes="1" showColumnStripes="0"/>
</table>
</file>

<file path=xl/tables/table31.xml><?xml version="1.0" encoding="utf-8"?>
<table xmlns="http://schemas.openxmlformats.org/spreadsheetml/2006/main" id="85" name="I.d.AQ" displayName="I.d.AQ" ref="C161:N164" totalsRowShown="0" headerRowDxfId="3743" dataDxfId="3741" headerRowBorderDxfId="3742" tableBorderDxfId="3740" totalsRowBorderDxfId="3739">
  <autoFilter ref="C161:N164"/>
  <tableColumns count="12">
    <tableColumn id="1" name="Vector" dataDxfId="3738">
      <calculatedColumnFormula>INDEX([4]!AirQualityVectors[Code],MATCH(D162,[4]!AirQualityVectors[Description],0))</calculatedColumnFormula>
    </tableColumn>
    <tableColumn id="2" name="Name" dataDxfId="3737">
      <calculatedColumnFormula>INDEX([3]!AirQualityVectors[Description],MATCH(C162,[3]!AirQualityVectors[Code],0))</calculatedColumnFormula>
    </tableColumn>
    <tableColumn id="3" name="IPCC Sector" dataDxfId="3736"/>
    <tableColumn id="5" name="2010" dataDxfId="3735" dataCellStyle="Comma">
      <calculatedColumnFormula>F130</calculatedColumnFormula>
    </tableColumn>
    <tableColumn id="6" name="2015" dataDxfId="3734" dataCellStyle="Comma">
      <calculatedColumnFormula>G130</calculatedColumnFormula>
    </tableColumn>
    <tableColumn id="7" name="2020" dataDxfId="3733" dataCellStyle="Comma">
      <calculatedColumnFormula>H130</calculatedColumnFormula>
    </tableColumn>
    <tableColumn id="8" name="2025" dataDxfId="3732" dataCellStyle="Comma">
      <calculatedColumnFormula>I130</calculatedColumnFormula>
    </tableColumn>
    <tableColumn id="9" name="2030" dataDxfId="3731" dataCellStyle="Comma">
      <calculatedColumnFormula>J130</calculatedColumnFormula>
    </tableColumn>
    <tableColumn id="10" name="2035" dataDxfId="3730" dataCellStyle="Comma">
      <calculatedColumnFormula>K130</calculatedColumnFormula>
    </tableColumn>
    <tableColumn id="11" name="2040" dataDxfId="3729" dataCellStyle="Comma">
      <calculatedColumnFormula>L130</calculatedColumnFormula>
    </tableColumn>
    <tableColumn id="12" name="2045" dataDxfId="3728" dataCellStyle="Comma">
      <calculatedColumnFormula>M130</calculatedColumnFormula>
    </tableColumn>
    <tableColumn id="13" name="2050" dataDxfId="3727" dataCellStyle="Comma">
      <calculatedColumnFormula>N130</calculatedColumnFormula>
    </tableColumn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id="97" name="I.d.Inputs" displayName="I.d.Inputs" ref="C9:N11" totalsRowShown="0" headerRowDxfId="3726" dataDxfId="3725">
  <autoFilter ref="C9:N11"/>
  <tableColumns count="12">
    <tableColumn id="1" name="Vector" dataDxfId="3724"/>
    <tableColumn id="2" name="Name" dataDxfId="3723">
      <calculatedColumnFormula>INDEX(Vectors[Description], MATCH(I.d.Inputs[Vector],Vectors[Code], 0))</calculatedColumnFormula>
    </tableColumn>
    <tableColumn id="3" name="Notes" dataDxfId="3722"/>
    <tableColumn id="5" name="2010" dataDxfId="3721" dataCellStyle="Comma">
      <calculatedColumnFormula>INDEX(INDIRECT("'"&amp;I.d.Inputs[#Headers]&amp;"'!Year.Matrix"), MATCH("Subtotal."&amp;$A$2, INDIRECT("'"&amp;I.d.Inputs[#Headers]&amp;"'!Year.Modules"), 0), MATCH(I.d.Inputs[Vector], INDIRECT("'"&amp;I.d.Inputs[#Headers]&amp;"'!Year.Vectors"), 0))</calculatedColumnFormula>
    </tableColumn>
    <tableColumn id="6" name="2015" dataDxfId="3720" dataCellStyle="Comma">
      <calculatedColumnFormula>INDEX(INDIRECT("'"&amp;I.d.Inputs[#Headers]&amp;"'!Year.Matrix"), MATCH("Subtotal."&amp;$A$2, INDIRECT("'"&amp;I.d.Inputs[#Headers]&amp;"'!Year.Modules"), 0), MATCH(I.d.Inputs[Vector], INDIRECT("'"&amp;I.d.Inputs[#Headers]&amp;"'!Year.Vectors"), 0))</calculatedColumnFormula>
    </tableColumn>
    <tableColumn id="7" name="2020" dataDxfId="3719" dataCellStyle="Comma">
      <calculatedColumnFormula>INDEX(INDIRECT("'"&amp;I.d.Inputs[#Headers]&amp;"'!Year.Matrix"), MATCH("Subtotal."&amp;$A$2, INDIRECT("'"&amp;I.d.Inputs[#Headers]&amp;"'!Year.Modules"), 0), MATCH(I.d.Inputs[Vector], INDIRECT("'"&amp;I.d.Inputs[#Headers]&amp;"'!Year.Vectors"), 0))</calculatedColumnFormula>
    </tableColumn>
    <tableColumn id="15" name="2025" dataDxfId="3718" dataCellStyle="Comma">
      <calculatedColumnFormula>INDEX(INDIRECT("'"&amp;I.d.Inputs[#Headers]&amp;"'!Year.Matrix"), MATCH("Subtotal."&amp;$A$2, INDIRECT("'"&amp;I.d.Inputs[#Headers]&amp;"'!Year.Modules"), 0), MATCH(I.d.Inputs[Vector], INDIRECT("'"&amp;I.d.Inputs[#Headers]&amp;"'!Year.Vectors"), 0))</calculatedColumnFormula>
    </tableColumn>
    <tableColumn id="16" name="2030" dataDxfId="3717" dataCellStyle="Comma">
      <calculatedColumnFormula>INDEX(INDIRECT("'"&amp;I.d.Inputs[#Headers]&amp;"'!Year.Matrix"), MATCH("Subtotal."&amp;$A$2, INDIRECT("'"&amp;I.d.Inputs[#Headers]&amp;"'!Year.Modules"), 0), MATCH(I.d.Inputs[Vector], INDIRECT("'"&amp;I.d.Inputs[#Headers]&amp;"'!Year.Vectors"), 0))</calculatedColumnFormula>
    </tableColumn>
    <tableColumn id="17" name="2035" dataDxfId="3716" dataCellStyle="Comma">
      <calculatedColumnFormula>INDEX(INDIRECT("'"&amp;I.d.Inputs[#Headers]&amp;"'!Year.Matrix"), MATCH("Subtotal."&amp;$A$2, INDIRECT("'"&amp;I.d.Inputs[#Headers]&amp;"'!Year.Modules"), 0), MATCH(I.d.Inputs[Vector], INDIRECT("'"&amp;I.d.Inputs[#Headers]&amp;"'!Year.Vectors"), 0))</calculatedColumnFormula>
    </tableColumn>
    <tableColumn id="18" name="2040" dataDxfId="3715" dataCellStyle="Comma">
      <calculatedColumnFormula>INDEX(INDIRECT("'"&amp;I.d.Inputs[#Headers]&amp;"'!Year.Matrix"), MATCH("Subtotal."&amp;$A$2, INDIRECT("'"&amp;I.d.Inputs[#Headers]&amp;"'!Year.Modules"), 0), MATCH(I.d.Inputs[Vector], INDIRECT("'"&amp;I.d.Inputs[#Headers]&amp;"'!Year.Vectors"), 0))</calculatedColumnFormula>
    </tableColumn>
    <tableColumn id="19" name="2045" dataDxfId="3714" dataCellStyle="Comma">
      <calculatedColumnFormula>INDEX(INDIRECT("'"&amp;I.d.Inputs[#Headers]&amp;"'!Year.Matrix"), MATCH("Subtotal."&amp;$A$2, INDIRECT("'"&amp;I.d.Inputs[#Headers]&amp;"'!Year.Modules"), 0), MATCH(I.d.Inputs[Vector], INDIRECT("'"&amp;I.d.Inputs[#Headers]&amp;"'!Year.Vectors"), 0))</calculatedColumnFormula>
    </tableColumn>
    <tableColumn id="20" name="2050" dataDxfId="3713" dataCellStyle="Comma">
      <calculatedColumnFormula>INDEX(INDIRECT("'"&amp;I.d.Inputs[#Headers]&amp;"'!Year.Matrix"), MATCH("Subtotal."&amp;$A$2, INDIRECT("'"&amp;I.d.Inputs[#Headers]&amp;"'!Year.Modules"), 0), MATCH(I.d.Inputs[Vector], INDIRECT("'"&amp;I.d.Inputs[#Headers]&amp;"'!Year.Vectors"), 0))</calculatedColumnFormula>
    </tableColumn>
  </tableColumns>
  <tableStyleInfo name="EnergyCalcTables" showFirstColumn="0" showLastColumn="0" showRowStripes="1" showColumnStripes="0"/>
</table>
</file>

<file path=xl/tables/table33.xml><?xml version="1.0" encoding="utf-8"?>
<table xmlns="http://schemas.openxmlformats.org/spreadsheetml/2006/main" id="99" name="I.d.info" displayName="I.d.info" ref="C173:N175" totalsRowShown="0" headerRowDxfId="3712" dataDxfId="3710" totalsRowDxfId="3708" headerRowBorderDxfId="3711" tableBorderDxfId="3709" dataCellStyle="40% - Accent2 3 2">
  <autoFilter ref="C173:N175"/>
  <tableColumns count="12">
    <tableColumn id="1" name="Vector" dataDxfId="3707" totalsRowDxfId="3706"/>
    <tableColumn id="2" name="Information type" dataDxfId="3705">
      <calculatedColumnFormula>INDEX(Vectors[Description], MATCH(I.d.info[Vector], Vectors[Code], 0))</calculatedColumnFormula>
    </tableColumn>
    <tableColumn id="3" name="Notes" dataDxfId="3704" totalsRowDxfId="3703">
      <calculatedColumnFormula>INDEX([4]!Vectors[Comment], MATCH(I.d.info[Information type], [4]!Vectors[Description], 0))</calculatedColumnFormula>
    </tableColumn>
    <tableColumn id="5" name="2010" dataDxfId="3702" totalsRowDxfId="3701" dataCellStyle="Comma"/>
    <tableColumn id="6" name="2015" dataDxfId="3700" totalsRowDxfId="3699" dataCellStyle="Comma"/>
    <tableColumn id="7" name="2020" dataDxfId="3698" totalsRowDxfId="3697" dataCellStyle="Comma"/>
    <tableColumn id="8" name="2025" dataDxfId="3696" totalsRowDxfId="3695" dataCellStyle="Comma"/>
    <tableColumn id="9" name="2030" dataDxfId="3694" totalsRowDxfId="3693" dataCellStyle="Comma"/>
    <tableColumn id="10" name="2035" dataDxfId="3692" totalsRowDxfId="3691" dataCellStyle="Comma"/>
    <tableColumn id="11" name="2040" dataDxfId="3690" totalsRowDxfId="3689" dataCellStyle="Comma"/>
    <tableColumn id="12" name="2045" dataDxfId="3688" totalsRowDxfId="3687" dataCellStyle="Comma"/>
    <tableColumn id="13" name="2050" dataDxfId="3686" totalsRowDxfId="3685" dataCellStyle="Comma"/>
  </tableColumns>
  <tableStyleInfo name="EnergyCalcTables" showFirstColumn="0" showLastColumn="0" showRowStripes="1" showColumnStripes="0"/>
</table>
</file>

<file path=xl/tables/table34.xml><?xml version="1.0" encoding="utf-8"?>
<table xmlns="http://schemas.openxmlformats.org/spreadsheetml/2006/main" id="58" name="II.a.Outputs" displayName="II.a.Outputs" ref="C139:N144" totalsRowCount="1" headerRowDxfId="3684" dataDxfId="3683">
  <autoFilter ref="C139:N143"/>
  <tableColumns count="12">
    <tableColumn id="1" name="Vector" totalsRowLabel="Total" dataDxfId="3682" totalsRowDxfId="3681"/>
    <tableColumn id="2" name="Name" dataDxfId="3680" totalsRowDxfId="3679">
      <calculatedColumnFormula>INDEX(Vectors[Description], MATCH(II.a.Outputs[Vector],Vectors[Code], 0))</calculatedColumnFormula>
    </tableColumn>
    <tableColumn id="3" name="Notes" dataDxfId="3678" totalsRowDxfId="3677"/>
    <tableColumn id="5" name="2010" totalsRowFunction="sum" dataDxfId="3676" totalsRowDxfId="3675" dataCellStyle="Comma"/>
    <tableColumn id="6" name="2015" totalsRowFunction="sum" dataDxfId="3674" totalsRowDxfId="3673" dataCellStyle="Comma"/>
    <tableColumn id="7" name="2020" totalsRowFunction="sum" dataDxfId="3672" totalsRowDxfId="3671" dataCellStyle="Comma"/>
    <tableColumn id="8" name="2025" totalsRowFunction="sum" dataDxfId="3670" totalsRowDxfId="3669" dataCellStyle="Comma"/>
    <tableColumn id="9" name="2030" totalsRowFunction="sum" dataDxfId="3668" totalsRowDxfId="3667" dataCellStyle="Comma"/>
    <tableColumn id="10" name="2035" totalsRowFunction="sum" dataDxfId="3666" totalsRowDxfId="3665" dataCellStyle="Comma"/>
    <tableColumn id="11" name="2040" totalsRowFunction="sum" dataDxfId="3664" totalsRowDxfId="3663" dataCellStyle="Comma"/>
    <tableColumn id="12" name="2045" totalsRowFunction="sum" dataDxfId="3662" totalsRowDxfId="3661" dataCellStyle="Comma"/>
    <tableColumn id="13" name="2050" totalsRowFunction="sum" dataDxfId="3660" totalsRowDxfId="3659" dataCellStyle="Comma"/>
  </tableColumns>
  <tableStyleInfo name="EnergyCalcTables" showFirstColumn="0" showLastColumn="0" showRowStripes="1" showColumnStripes="0"/>
</table>
</file>

<file path=xl/tables/table35.xml><?xml version="1.0" encoding="utf-8"?>
<table xmlns="http://schemas.openxmlformats.org/spreadsheetml/2006/main" id="104" name="II.a.info" displayName="II.a.info" ref="C151:N154" totalsRowShown="0" headerRowDxfId="3658" dataDxfId="3656" totalsRowDxfId="3654" headerRowBorderDxfId="3657" tableBorderDxfId="3655" dataCellStyle="40% - Accent2 3">
  <autoFilter ref="C151:N154"/>
  <tableColumns count="12">
    <tableColumn id="1" name="Vector" dataDxfId="3653" totalsRowDxfId="3652"/>
    <tableColumn id="2" name="Information type" dataDxfId="3651">
      <calculatedColumnFormula>INDEX([3]!Vectors[Description], MATCH(II.a.info[Vector], [3]!Vectors[Code], 0))</calculatedColumnFormula>
    </tableColumn>
    <tableColumn id="3" name="Notes" dataDxfId="3650" totalsRowDxfId="3649">
      <calculatedColumnFormula>INDEX([3]!Vectors[Comment], MATCH(II.a.info[Information type], [3]!Vectors[Description], 0))</calculatedColumnFormula>
    </tableColumn>
    <tableColumn id="5" name="2010" dataDxfId="3648" totalsRowDxfId="3647" dataCellStyle="Comma"/>
    <tableColumn id="6" name="2015" dataDxfId="3646" totalsRowDxfId="3645" dataCellStyle="Comma"/>
    <tableColumn id="7" name="2020" dataDxfId="3644" totalsRowDxfId="3643" dataCellStyle="Comma"/>
    <tableColumn id="8" name="2025" dataDxfId="3642" totalsRowDxfId="3641" dataCellStyle="Comma"/>
    <tableColumn id="9" name="2030" dataDxfId="3640" totalsRowDxfId="3639" dataCellStyle="Comma"/>
    <tableColumn id="10" name="2035" dataDxfId="3638" totalsRowDxfId="3637" dataCellStyle="Comma"/>
    <tableColumn id="11" name="2040" dataDxfId="3636" totalsRowDxfId="3635" dataCellStyle="Comma"/>
    <tableColumn id="12" name="2045" dataDxfId="3634" totalsRowDxfId="3633" dataCellStyle="Comma"/>
    <tableColumn id="13" name="2050" dataDxfId="3632" totalsRowDxfId="3631" dataCellStyle="Comma"/>
  </tableColumns>
  <tableStyleInfo name="EnergyCalcTables" showFirstColumn="0" showLastColumn="0" showRowStripes="1" showColumnStripes="0"/>
</table>
</file>

<file path=xl/tables/table36.xml><?xml version="1.0" encoding="utf-8"?>
<table xmlns="http://schemas.openxmlformats.org/spreadsheetml/2006/main" id="119" name="II.a.Costs" displayName="II.a.Costs" ref="C161:N170" headerRowDxfId="3630" dataDxfId="3628" headerRowBorderDxfId="3629" tableBorderDxfId="3627" dataCellStyle="40% - Accent2 3">
  <autoFilter ref="C161:N170"/>
  <tableColumns count="12">
    <tableColumn id="1" name="Vector" totalsRowLabel="Total" dataDxfId="3626" totalsRowDxfId="3625"/>
    <tableColumn id="2" name="Name" dataDxfId="3624" totalsRowDxfId="3623">
      <calculatedColumnFormula>INDEX(CostVectors[Description], MATCH(C162,CostVectors[Code], 0))</calculatedColumnFormula>
    </tableColumn>
    <tableColumn id="3" name="Notes" dataDxfId="3622" totalsRowDxfId="3621"/>
    <tableColumn id="5" name="2010" totalsRowFunction="custom" dataDxfId="3620" totalsRowDxfId="3619" dataCellStyle="Comma">
      <totalsRowFormula>SUM(II.a.Costs[2010])</totalsRowFormula>
    </tableColumn>
    <tableColumn id="6" name="2015" totalsRowFunction="custom" dataDxfId="3618" totalsRowDxfId="3617" dataCellStyle="Comma">
      <totalsRowFormula>SUM(II.a.Costs[2015])</totalsRowFormula>
    </tableColumn>
    <tableColumn id="7" name="2020" totalsRowFunction="sum" dataDxfId="3616" totalsRowDxfId="3615" dataCellStyle="Comma"/>
    <tableColumn id="8" name="2025" totalsRowFunction="sum" dataDxfId="3614" totalsRowDxfId="3613" dataCellStyle="Comma"/>
    <tableColumn id="9" name="2030" totalsRowFunction="sum" dataDxfId="3612" totalsRowDxfId="3611" dataCellStyle="Comma"/>
    <tableColumn id="10" name="2035" totalsRowFunction="sum" dataDxfId="3610" totalsRowDxfId="3609" dataCellStyle="Comma"/>
    <tableColumn id="11" name="2040" totalsRowFunction="sum" dataDxfId="3608" totalsRowDxfId="3607" dataCellStyle="Comma"/>
    <tableColumn id="12" name="2045" totalsRowFunction="sum" dataDxfId="3606" totalsRowDxfId="3605" dataCellStyle="Comma"/>
    <tableColumn id="13" name="2050" totalsRowFunction="sum" dataDxfId="3604" totalsRowDxfId="3603" dataCellStyle="Comma"/>
  </tableColumns>
  <tableStyleInfo name="EnergyCalcTables" showFirstColumn="0" showLastColumn="0" showRowStripes="1" showColumnStripes="0"/>
</table>
</file>

<file path=xl/tables/table37.xml><?xml version="1.0" encoding="utf-8"?>
<table xmlns="http://schemas.openxmlformats.org/spreadsheetml/2006/main" id="122" name="III.a.1.Outputs" displayName="III.a.1.Outputs" ref="C114:N117" totalsRowCount="1" headerRowDxfId="3602" dataDxfId="3601">
  <autoFilter ref="C114:N116"/>
  <tableColumns count="12">
    <tableColumn id="1" name="Vector" totalsRowLabel="Total" dataDxfId="3600" totalsRowDxfId="3599"/>
    <tableColumn id="2" name="Name" dataDxfId="3598" totalsRowDxfId="3597">
      <calculatedColumnFormula>INDEX(Vectors[Description], MATCH(III.a.1.Outputs[Vector],Vectors[Code], 0))</calculatedColumnFormula>
    </tableColumn>
    <tableColumn id="3" name="Notes" dataDxfId="3596" totalsRowDxfId="3595"/>
    <tableColumn id="5" name="2010" totalsRowFunction="sum" dataDxfId="3594" totalsRowDxfId="3593" dataCellStyle="Comma"/>
    <tableColumn id="6" name="2015" totalsRowFunction="sum" dataDxfId="3592" totalsRowDxfId="3591" dataCellStyle="Comma"/>
    <tableColumn id="7" name="2020" totalsRowFunction="sum" dataDxfId="3590" totalsRowDxfId="3589" dataCellStyle="Comma"/>
    <tableColumn id="8" name="2025" totalsRowFunction="sum" dataDxfId="3588" totalsRowDxfId="3587" dataCellStyle="Comma"/>
    <tableColumn id="9" name="2030" totalsRowFunction="sum" dataDxfId="3586" totalsRowDxfId="3585" dataCellStyle="Comma"/>
    <tableColumn id="10" name="2035" totalsRowFunction="sum" dataDxfId="3584" totalsRowDxfId="3583" dataCellStyle="Comma"/>
    <tableColumn id="11" name="2040" totalsRowFunction="sum" dataDxfId="3582" totalsRowDxfId="3581" dataCellStyle="Comma"/>
    <tableColumn id="12" name="2045" totalsRowFunction="sum" dataDxfId="3580" totalsRowDxfId="3579" dataCellStyle="Comma"/>
    <tableColumn id="13" name="2050" totalsRowFunction="sum" dataDxfId="3578" totalsRowDxfId="3577" dataCellStyle="Comma"/>
  </tableColumns>
  <tableStyleInfo name="EnergyCalcTables" showFirstColumn="0" showLastColumn="0" showRowStripes="1" showColumnStripes="0"/>
</table>
</file>

<file path=xl/tables/table38.xml><?xml version="1.0" encoding="utf-8"?>
<table xmlns="http://schemas.openxmlformats.org/spreadsheetml/2006/main" id="126" name="III.a.1.info" displayName="III.a.1.info" ref="C124:N127" totalsRowShown="0" headerRowDxfId="3576" dataDxfId="3574" totalsRowDxfId="3572" headerRowBorderDxfId="3575" tableBorderDxfId="3573" dataCellStyle="40% - Accent2 3">
  <autoFilter ref="C124:N127"/>
  <tableColumns count="12">
    <tableColumn id="1" name="Vector" dataDxfId="3571" totalsRowDxfId="3570"/>
    <tableColumn id="2" name="Information type" dataDxfId="3569" totalsRowDxfId="3568">
      <calculatedColumnFormula>INDEX([2]!Vectors[Description], MATCH(III.a.1.info[Vector], [2]!Vectors[Code], 0))</calculatedColumnFormula>
    </tableColumn>
    <tableColumn id="3" name="Notes" dataDxfId="3567" totalsRowDxfId="3566">
      <calculatedColumnFormula>INDEX([2]!Vectors[Comment], MATCH(III.a.1.info[Information type], [2]!Vectors[Description], 0))</calculatedColumnFormula>
    </tableColumn>
    <tableColumn id="5" name="2010" dataDxfId="3565" totalsRowDxfId="3564" dataCellStyle="Comma"/>
    <tableColumn id="6" name="2015" dataDxfId="3563" totalsRowDxfId="3562" dataCellStyle="Comma"/>
    <tableColumn id="7" name="2020" dataDxfId="3561" totalsRowDxfId="3560" dataCellStyle="Comma"/>
    <tableColumn id="8" name="2025" dataDxfId="3559" totalsRowDxfId="3558" dataCellStyle="Comma"/>
    <tableColumn id="9" name="2030" dataDxfId="3557" totalsRowDxfId="3556" dataCellStyle="Comma"/>
    <tableColumn id="10" name="2035" dataDxfId="3555" totalsRowDxfId="3554" dataCellStyle="Comma"/>
    <tableColumn id="11" name="2040" dataDxfId="3553" totalsRowDxfId="3552" dataCellStyle="Comma"/>
    <tableColumn id="12" name="2045" dataDxfId="3551" totalsRowDxfId="3550" dataCellStyle="Comma"/>
    <tableColumn id="13" name="2050" dataDxfId="3549" totalsRowDxfId="3548" dataCellStyle="Comma">
      <calculatedColumnFormula>N80</calculatedColumnFormula>
    </tableColumn>
  </tableColumns>
  <tableStyleInfo name="EnergyCalcTables" showFirstColumn="0" showLastColumn="0" showRowStripes="1" showColumnStripes="0"/>
</table>
</file>

<file path=xl/tables/table39.xml><?xml version="1.0" encoding="utf-8"?>
<table xmlns="http://schemas.openxmlformats.org/spreadsheetml/2006/main" id="138" name="III.a.1.Costs" displayName="III.a.1.Costs" ref="C134:N140" headerRowDxfId="3547" dataDxfId="3545" headerRowBorderDxfId="3546" tableBorderDxfId="3544" dataCellStyle="40% - Accent2 3">
  <autoFilter ref="C134:N140"/>
  <tableColumns count="12">
    <tableColumn id="1" name="Vector" totalsRowLabel="Total" dataDxfId="3543" totalsRowDxfId="3542"/>
    <tableColumn id="2" name="Name" dataDxfId="3541" totalsRowDxfId="3540">
      <calculatedColumnFormula>INDEX(CostVectors[Description], MATCH(C135, CostVectors[Code], 0))</calculatedColumnFormula>
    </tableColumn>
    <tableColumn id="3" name="Notes" dataDxfId="3539" totalsRowDxfId="3538"/>
    <tableColumn id="5" name="2010" totalsRowFunction="custom" dataDxfId="3537" totalsRowDxfId="3536" dataCellStyle="Comma">
      <totalsRowFormula>SUM(III.a.1.Costs[2010])</totalsRowFormula>
    </tableColumn>
    <tableColumn id="6" name="2015" totalsRowFunction="custom" dataDxfId="3535" totalsRowDxfId="3534" dataCellStyle="Comma">
      <totalsRowFormula>SUM(III.a.1.Costs[2015])</totalsRowFormula>
    </tableColumn>
    <tableColumn id="7" name="2020" totalsRowFunction="sum" dataDxfId="3533" totalsRowDxfId="3532" dataCellStyle="Comma"/>
    <tableColumn id="8" name="2025" totalsRowFunction="sum" dataDxfId="3531" totalsRowDxfId="3530" dataCellStyle="Comma"/>
    <tableColumn id="9" name="2030" totalsRowFunction="sum" dataDxfId="3529" totalsRowDxfId="3528" dataCellStyle="Comma"/>
    <tableColumn id="10" name="2035" totalsRowFunction="sum" dataDxfId="3527" totalsRowDxfId="3526" dataCellStyle="Comma"/>
    <tableColumn id="11" name="2040" totalsRowFunction="sum" dataDxfId="3525" totalsRowDxfId="3524" dataCellStyle="Comma"/>
    <tableColumn id="12" name="2045" totalsRowFunction="sum" dataDxfId="3523" totalsRowDxfId="3522" dataCellStyle="Comma"/>
    <tableColumn id="13" name="2050" totalsRowFunction="sum" dataDxfId="3521" totalsRowDxfId="3520" dataCellStyle="Comma"/>
  </tableColumns>
  <tableStyleInfo name="EnergyCalcTables" showFirstColumn="0" showLastColumn="0" showRowStripes="1" showColumnStripes="0"/>
</table>
</file>

<file path=xl/tables/table4.xml><?xml version="1.0" encoding="utf-8"?>
<table xmlns="http://schemas.openxmlformats.org/spreadsheetml/2006/main" id="16" name="Global.Assumptions" displayName="Global.Assumptions" ref="B5:G16" totalsRowCount="1" headerRowDxfId="4246" dataDxfId="4245">
  <autoFilter ref="B5:G15"/>
  <tableColumns count="6">
    <tableColumn id="1" name="Year" dataDxfId="4244" totalsRowDxfId="4243"/>
    <tableColumn id="2" name="Population" totalsRowFunction="average" dataDxfId="4242" totalsRowDxfId="4241" dataCellStyle="Comma"/>
    <tableColumn id="3" name="Households" dataDxfId="4240" totalsRowDxfId="4239" dataCellStyle="Comma"/>
    <tableColumn id="4" name="GDP (2005 £m)" dataDxfId="4238" totalsRowDxfId="4237" dataCellStyle="Comma"/>
    <tableColumn id="5" name="GDP (£2010)" dataDxfId="4236" totalsRowDxfId="4235" dataCellStyle="Comma">
      <calculatedColumnFormula>Global.Assumptions[[#This Row],[GDP (2005 £m)]]*MGBP*Price2005</calculatedColumnFormula>
    </tableColumn>
    <tableColumn id="6" name="GDP per Capita (£2010)" dataDxfId="4234" totalsRowDxfId="4233">
      <calculatedColumnFormula>Global.Assumptions[[#This Row],[GDP (£2010)]]/Global.Assumptions[[#This Row],[Population]]</calculatedColumnFormula>
    </tableColumn>
  </tableColumns>
  <tableStyleInfo name="EnergyCalcTables" showFirstColumn="0" showLastColumn="0" showRowStripes="0" showColumnStripes="0"/>
</table>
</file>

<file path=xl/tables/table40.xml><?xml version="1.0" encoding="utf-8"?>
<table xmlns="http://schemas.openxmlformats.org/spreadsheetml/2006/main" id="141" name="III.b.1.Outputs" displayName="III.b.1.Outputs" ref="C110:N113" totalsRowCount="1" headerRowDxfId="3519" dataDxfId="3518">
  <autoFilter ref="C110:N112"/>
  <tableColumns count="12">
    <tableColumn id="1" name="Vector" totalsRowLabel="Total" dataDxfId="3517" totalsRowDxfId="3516"/>
    <tableColumn id="2" name="Name" dataDxfId="3515" totalsRowDxfId="3514">
      <calculatedColumnFormula>INDEX(Vectors[Description], MATCH(III.b.1.Outputs[Vector], Vectors[Code], 0))</calculatedColumnFormula>
    </tableColumn>
    <tableColumn id="3" name="Notes" dataDxfId="3513" totalsRowDxfId="3512"/>
    <tableColumn id="5" name="2010" totalsRowFunction="sum" dataDxfId="3511" totalsRowDxfId="3510" dataCellStyle="Comma"/>
    <tableColumn id="6" name="2015" totalsRowFunction="sum" dataDxfId="3509" totalsRowDxfId="3508" dataCellStyle="Comma"/>
    <tableColumn id="7" name="2020" totalsRowFunction="sum" dataDxfId="3507" totalsRowDxfId="3506" dataCellStyle="Comma"/>
    <tableColumn id="8" name="2025" totalsRowFunction="sum" dataDxfId="3505" totalsRowDxfId="3504" dataCellStyle="Comma"/>
    <tableColumn id="9" name="2030" totalsRowFunction="sum" dataDxfId="3503" totalsRowDxfId="3502" dataCellStyle="Comma"/>
    <tableColumn id="10" name="2035" totalsRowFunction="sum" dataDxfId="3501" totalsRowDxfId="3500" dataCellStyle="Comma"/>
    <tableColumn id="11" name="2040" totalsRowFunction="sum" dataDxfId="3499" totalsRowDxfId="3498" dataCellStyle="Comma"/>
    <tableColumn id="12" name="2045" totalsRowFunction="sum" dataDxfId="3497" totalsRowDxfId="3496" dataCellStyle="Comma"/>
    <tableColumn id="13" name="2050" totalsRowFunction="sum" dataDxfId="3495" totalsRowDxfId="3494" dataCellStyle="Comma"/>
  </tableColumns>
  <tableStyleInfo name="EnergyCalcTables" showFirstColumn="0" showLastColumn="0" showRowStripes="1" showColumnStripes="0"/>
</table>
</file>

<file path=xl/tables/table41.xml><?xml version="1.0" encoding="utf-8"?>
<table xmlns="http://schemas.openxmlformats.org/spreadsheetml/2006/main" id="155" name="III.b.1.info" displayName="III.b.1.info" ref="C120:N124" totalsRowShown="0" headerRowDxfId="3493" dataDxfId="3491" totalsRowDxfId="3489" headerRowBorderDxfId="3492" tableBorderDxfId="3490" dataCellStyle="40% - Accent2 3">
  <autoFilter ref="C120:N124"/>
  <tableColumns count="12">
    <tableColumn id="1" name="Vector" dataDxfId="3488" totalsRowDxfId="3487"/>
    <tableColumn id="2" name="Information type" dataDxfId="3486" totalsRowDxfId="3485"/>
    <tableColumn id="3" name="Notes" dataDxfId="3484" totalsRowDxfId="3483"/>
    <tableColumn id="5" name="2010" dataDxfId="3482" totalsRowDxfId="3481"/>
    <tableColumn id="6" name="2015" dataDxfId="3480" totalsRowDxfId="3479" dataCellStyle="Comma">
      <calculatedColumnFormula>G82</calculatedColumnFormula>
    </tableColumn>
    <tableColumn id="7" name="2020" dataDxfId="3478" totalsRowDxfId="3477" dataCellStyle="Comma">
      <calculatedColumnFormula>H82</calculatedColumnFormula>
    </tableColumn>
    <tableColumn id="8" name="2025" dataDxfId="3476" totalsRowDxfId="3475" dataCellStyle="Comma">
      <calculatedColumnFormula>I82</calculatedColumnFormula>
    </tableColumn>
    <tableColumn id="9" name="2030" dataDxfId="3474" totalsRowDxfId="3473" dataCellStyle="Comma">
      <calculatedColumnFormula>J82</calculatedColumnFormula>
    </tableColumn>
    <tableColumn id="10" name="2035" dataDxfId="3472" totalsRowDxfId="3471" dataCellStyle="Comma">
      <calculatedColumnFormula>K82</calculatedColumnFormula>
    </tableColumn>
    <tableColumn id="11" name="2040" dataDxfId="3470" totalsRowDxfId="3469" dataCellStyle="Comma">
      <calculatedColumnFormula>L82</calculatedColumnFormula>
    </tableColumn>
    <tableColumn id="12" name="2045" dataDxfId="3468" totalsRowDxfId="3467" dataCellStyle="Comma">
      <calculatedColumnFormula>M82</calculatedColumnFormula>
    </tableColumn>
    <tableColumn id="13" name="2050" dataDxfId="3466" totalsRowDxfId="3465" dataCellStyle="Comma">
      <calculatedColumnFormula>N82</calculatedColumnFormula>
    </tableColumn>
  </tableColumns>
  <tableStyleInfo name="EnergyCalcTables" showFirstColumn="0" showLastColumn="0" showRowStripes="1" showColumnStripes="0"/>
</table>
</file>

<file path=xl/tables/table42.xml><?xml version="1.0" encoding="utf-8"?>
<table xmlns="http://schemas.openxmlformats.org/spreadsheetml/2006/main" id="157" name="III.b.1.Costs" displayName="III.b.1.Costs" ref="C131:N137" headerRowDxfId="3464" dataDxfId="3462" headerRowBorderDxfId="3463" tableBorderDxfId="3461" dataCellStyle="40% - Accent2 3">
  <autoFilter ref="C131:N137"/>
  <tableColumns count="12">
    <tableColumn id="1" name="Vector" totalsRowLabel="Total" dataDxfId="3460" totalsRowDxfId="3459"/>
    <tableColumn id="2" name="Name" dataDxfId="3458" totalsRowDxfId="3457">
      <calculatedColumnFormula>INDEX(CostVectors[Description], MATCH(C132, CostVectors[Code], 0))</calculatedColumnFormula>
    </tableColumn>
    <tableColumn id="3" name="Notes" dataDxfId="3456" totalsRowDxfId="3455"/>
    <tableColumn id="5" name="2010" totalsRowFunction="custom" dataDxfId="3454" totalsRowDxfId="3453" dataCellStyle="Comma">
      <totalsRowFormula>SUM(III.b.1.Costs[2010])</totalsRowFormula>
    </tableColumn>
    <tableColumn id="6" name="2015" totalsRowFunction="custom" dataDxfId="3452" totalsRowDxfId="3451" dataCellStyle="Comma">
      <totalsRowFormula>SUM(III.b.1.Costs[2015])</totalsRowFormula>
    </tableColumn>
    <tableColumn id="7" name="2020" totalsRowFunction="sum" dataDxfId="3450" totalsRowDxfId="3449" dataCellStyle="Comma"/>
    <tableColumn id="8" name="2025" totalsRowFunction="sum" dataDxfId="3448" totalsRowDxfId="3447" dataCellStyle="Comma"/>
    <tableColumn id="9" name="2030" totalsRowFunction="sum" dataDxfId="3446" totalsRowDxfId="3445" dataCellStyle="Comma"/>
    <tableColumn id="10" name="2035" totalsRowFunction="sum" dataDxfId="3444" totalsRowDxfId="3443" dataCellStyle="Comma"/>
    <tableColumn id="11" name="2040" totalsRowFunction="sum" dataDxfId="3442" totalsRowDxfId="3441" dataCellStyle="Comma"/>
    <tableColumn id="12" name="2045" totalsRowFunction="sum" dataDxfId="3440" totalsRowDxfId="3439" dataCellStyle="Comma"/>
    <tableColumn id="13" name="2050" totalsRowFunction="sum" dataDxfId="3438" totalsRowDxfId="3437" dataCellStyle="Comma"/>
  </tableColumns>
  <tableStyleInfo name="EnergyCalcTables" showFirstColumn="0" showLastColumn="0" showRowStripes="1" showColumnStripes="0"/>
</table>
</file>

<file path=xl/tables/table43.xml><?xml version="1.0" encoding="utf-8"?>
<table xmlns="http://schemas.openxmlformats.org/spreadsheetml/2006/main" id="220" name="III.b.2.Outputs" displayName="III.b.2.Outputs" ref="C110:N113" totalsRowCount="1" headerRowDxfId="3436" dataDxfId="3435">
  <autoFilter ref="C110:N112"/>
  <tableColumns count="12">
    <tableColumn id="1" name="Vector" totalsRowLabel="Total" dataDxfId="3434" totalsRowDxfId="3433"/>
    <tableColumn id="2" name="Name" dataDxfId="3432" totalsRowDxfId="3431">
      <calculatedColumnFormula>INDEX(Vectors[Description], MATCH(III.b.2.Outputs[Vector], Vectors[Code], 0))</calculatedColumnFormula>
    </tableColumn>
    <tableColumn id="3" name="Notes" dataDxfId="3430" totalsRowDxfId="3429"/>
    <tableColumn id="5" name="2010" totalsRowFunction="sum" dataDxfId="3428" totalsRowDxfId="3427" dataCellStyle="Comma"/>
    <tableColumn id="6" name="2015" totalsRowFunction="sum" dataDxfId="3426" totalsRowDxfId="3425" dataCellStyle="Comma"/>
    <tableColumn id="7" name="2020" totalsRowFunction="sum" dataDxfId="3424" totalsRowDxfId="3423" dataCellStyle="Comma"/>
    <tableColumn id="8" name="2025" totalsRowFunction="sum" dataDxfId="3422" totalsRowDxfId="3421" dataCellStyle="Comma"/>
    <tableColumn id="9" name="2030" totalsRowFunction="sum" dataDxfId="3420" totalsRowDxfId="3419" dataCellStyle="Comma"/>
    <tableColumn id="10" name="2035" totalsRowFunction="sum" dataDxfId="3418" totalsRowDxfId="3417" dataCellStyle="Comma"/>
    <tableColumn id="11" name="2040" totalsRowFunction="sum" dataDxfId="3416" totalsRowDxfId="3415" dataCellStyle="Comma"/>
    <tableColumn id="12" name="2045" totalsRowFunction="sum" dataDxfId="3414" totalsRowDxfId="3413" dataCellStyle="Comma"/>
    <tableColumn id="13" name="2050" totalsRowFunction="sum" dataDxfId="3412" totalsRowDxfId="3411" dataCellStyle="Comma"/>
  </tableColumns>
  <tableStyleInfo name="EnergyCalcTables" showFirstColumn="0" showLastColumn="0" showRowStripes="1" showColumnStripes="0"/>
</table>
</file>

<file path=xl/tables/table44.xml><?xml version="1.0" encoding="utf-8"?>
<table xmlns="http://schemas.openxmlformats.org/spreadsheetml/2006/main" id="221" name="III.b.2.info" displayName="III.b.2.info" ref="C120:N124" totalsRowShown="0" headerRowDxfId="3410" dataDxfId="3408" totalsRowDxfId="3406" headerRowBorderDxfId="3409" tableBorderDxfId="3407" dataCellStyle="40% - Accent2 3">
  <autoFilter ref="C120:N124"/>
  <tableColumns count="12">
    <tableColumn id="1" name="Vector" dataDxfId="3405" totalsRowDxfId="3404"/>
    <tableColumn id="2" name="Information type" dataDxfId="3403" totalsRowDxfId="3402"/>
    <tableColumn id="3" name="Notes" dataDxfId="3401" totalsRowDxfId="3400"/>
    <tableColumn id="5" name="2010" dataDxfId="3399" totalsRowDxfId="3398" dataCellStyle="Comma">
      <calculatedColumnFormula>F82</calculatedColumnFormula>
    </tableColumn>
    <tableColumn id="6" name="2015" dataDxfId="3397" totalsRowDxfId="3396" dataCellStyle="Comma">
      <calculatedColumnFormula>G82</calculatedColumnFormula>
    </tableColumn>
    <tableColumn id="7" name="2020" dataDxfId="3395" totalsRowDxfId="3394" dataCellStyle="Comma">
      <calculatedColumnFormula>H82</calculatedColumnFormula>
    </tableColumn>
    <tableColumn id="8" name="2025" dataDxfId="3393" totalsRowDxfId="3392" dataCellStyle="Comma">
      <calculatedColumnFormula>I82</calculatedColumnFormula>
    </tableColumn>
    <tableColumn id="9" name="2030" dataDxfId="3391" totalsRowDxfId="3390" dataCellStyle="Comma">
      <calculatedColumnFormula>J82</calculatedColumnFormula>
    </tableColumn>
    <tableColumn id="10" name="2035" dataDxfId="3389" totalsRowDxfId="3388" dataCellStyle="Comma">
      <calculatedColumnFormula>K82</calculatedColumnFormula>
    </tableColumn>
    <tableColumn id="11" name="2040" dataDxfId="3387" totalsRowDxfId="3386" dataCellStyle="Comma">
      <calculatedColumnFormula>L82</calculatedColumnFormula>
    </tableColumn>
    <tableColumn id="12" name="2045" dataDxfId="3385" totalsRowDxfId="3384" dataCellStyle="Comma">
      <calculatedColumnFormula>M82</calculatedColumnFormula>
    </tableColumn>
    <tableColumn id="13" name="2050" dataDxfId="3383" totalsRowDxfId="3382" dataCellStyle="Comma">
      <calculatedColumnFormula>N82</calculatedColumnFormula>
    </tableColumn>
  </tableColumns>
  <tableStyleInfo name="EnergyCalcTables" showFirstColumn="0" showLastColumn="0" showRowStripes="1" showColumnStripes="0"/>
</table>
</file>

<file path=xl/tables/table45.xml><?xml version="1.0" encoding="utf-8"?>
<table xmlns="http://schemas.openxmlformats.org/spreadsheetml/2006/main" id="222" name="III.b.2.Costs" displayName="III.b.2.Costs" ref="C131:N137" headerRowDxfId="3381" dataDxfId="3379" headerRowBorderDxfId="3380" tableBorderDxfId="3378" dataCellStyle="40% - Accent2 3">
  <autoFilter ref="C131:N137"/>
  <tableColumns count="12">
    <tableColumn id="1" name="Vector" totalsRowLabel="Total" dataDxfId="3377" totalsRowDxfId="3376"/>
    <tableColumn id="2" name="Name" dataDxfId="3375" totalsRowDxfId="3374">
      <calculatedColumnFormula>INDEX(CostVectors[Description], MATCH(C132,CostVectors[Code], 0))</calculatedColumnFormula>
    </tableColumn>
    <tableColumn id="3" name="Notes" dataDxfId="3373" totalsRowDxfId="3372"/>
    <tableColumn id="5" name="2010" totalsRowFunction="custom" dataDxfId="3371" totalsRowDxfId="3370" dataCellStyle="Comma">
      <totalsRowFormula>SUM(III.b.2.Costs[2010])</totalsRowFormula>
    </tableColumn>
    <tableColumn id="6" name="2015" totalsRowFunction="custom" dataDxfId="3369" totalsRowDxfId="3368" dataCellStyle="Comma">
      <totalsRowFormula>SUM(III.b.2.Costs[2015])</totalsRowFormula>
    </tableColumn>
    <tableColumn id="7" name="2020" totalsRowFunction="sum" dataDxfId="3367" totalsRowDxfId="3366" dataCellStyle="Comma"/>
    <tableColumn id="8" name="2025" totalsRowFunction="sum" dataDxfId="3365" totalsRowDxfId="3364" dataCellStyle="Comma"/>
    <tableColumn id="9" name="2030" totalsRowFunction="sum" dataDxfId="3363" totalsRowDxfId="3362" dataCellStyle="Comma"/>
    <tableColumn id="10" name="2035" totalsRowFunction="sum" dataDxfId="3361" totalsRowDxfId="3360" dataCellStyle="Comma"/>
    <tableColumn id="11" name="2040" totalsRowFunction="sum" dataDxfId="3359" totalsRowDxfId="3358" dataCellStyle="Comma"/>
    <tableColumn id="12" name="2045" totalsRowFunction="sum" dataDxfId="3357" totalsRowDxfId="3356" dataCellStyle="Comma"/>
    <tableColumn id="13" name="2050" totalsRowFunction="sum" dataDxfId="3355" totalsRowDxfId="3354" dataCellStyle="Comma"/>
  </tableColumns>
  <tableStyleInfo name="EnergyCalcTables" showFirstColumn="0" showLastColumn="0" showRowStripes="1" showColumnStripes="0"/>
</table>
</file>

<file path=xl/tables/table46.xml><?xml version="1.0" encoding="utf-8"?>
<table xmlns="http://schemas.openxmlformats.org/spreadsheetml/2006/main" id="243" name="III.f.Outputs" displayName="III.f.Outputs" ref="C106:N109" totalsRowCount="1" headerRowDxfId="3353" dataDxfId="3352">
  <autoFilter ref="C106:N108"/>
  <tableColumns count="12">
    <tableColumn id="1" name="Vector" totalsRowLabel="Total" dataDxfId="3351" totalsRowDxfId="3350"/>
    <tableColumn id="2" name="Name" dataDxfId="3349" totalsRowDxfId="3348">
      <calculatedColumnFormula>INDEX(Vectors[Description], MATCH(III.f.Outputs[Vector],Vectors[Code], 0))</calculatedColumnFormula>
    </tableColumn>
    <tableColumn id="3" name="Notes" dataDxfId="3347" totalsRowDxfId="3346"/>
    <tableColumn id="5" name="2010" totalsRowFunction="sum" dataDxfId="3345" totalsRowDxfId="3344" dataCellStyle="Comma"/>
    <tableColumn id="6" name="2015" totalsRowFunction="sum" dataDxfId="3343" totalsRowDxfId="3342" dataCellStyle="Comma"/>
    <tableColumn id="7" name="2020" totalsRowFunction="sum" dataDxfId="3341" totalsRowDxfId="3340" dataCellStyle="Comma"/>
    <tableColumn id="8" name="2025" totalsRowFunction="sum" dataDxfId="3339" totalsRowDxfId="3338" dataCellStyle="Comma"/>
    <tableColumn id="9" name="2030" totalsRowFunction="sum" dataDxfId="3337" totalsRowDxfId="3336" dataCellStyle="Comma"/>
    <tableColumn id="10" name="2035" totalsRowFunction="sum" dataDxfId="3335" totalsRowDxfId="3334" dataCellStyle="Comma"/>
    <tableColumn id="11" name="2040" totalsRowFunction="sum" dataDxfId="3333" totalsRowDxfId="3332" dataCellStyle="Comma"/>
    <tableColumn id="12" name="2045" totalsRowFunction="sum" dataDxfId="3331" totalsRowDxfId="3330" dataCellStyle="Comma"/>
    <tableColumn id="13" name="2050" totalsRowFunction="sum" dataDxfId="3329" totalsRowDxfId="3328" dataCellStyle="Comma"/>
  </tableColumns>
  <tableStyleInfo name="EnergyCalcTables" showFirstColumn="0" showLastColumn="0" showRowStripes="1" showColumnStripes="0"/>
</table>
</file>

<file path=xl/tables/table47.xml><?xml version="1.0" encoding="utf-8"?>
<table xmlns="http://schemas.openxmlformats.org/spreadsheetml/2006/main" id="244" name="III.f.info" displayName="III.f.info" ref="C116:N118" totalsRowShown="0" headerRowDxfId="3327" dataDxfId="3325" totalsRowDxfId="3323" headerRowBorderDxfId="3326" tableBorderDxfId="3324" dataCellStyle="40% - Accent2 3">
  <autoFilter ref="C116:N118"/>
  <tableColumns count="12">
    <tableColumn id="1" name="Vector" dataDxfId="3322" totalsRowDxfId="3321"/>
    <tableColumn id="2" name="Information type" dataDxfId="3320" totalsRowDxfId="3319">
      <calculatedColumnFormula>INDEX([2]!Vectors[Description], MATCH(III.f.info[Vector], [2]!Vectors[Code], 0))</calculatedColumnFormula>
    </tableColumn>
    <tableColumn id="3" name="Notes" dataDxfId="3318" totalsRowDxfId="3317">
      <calculatedColumnFormula>INDEX([2]!Vectors[Comment], MATCH(III.f.info[Information type], [2]!Vectors[Description], 0))</calculatedColumnFormula>
    </tableColumn>
    <tableColumn id="5" name="2010" dataDxfId="3316" totalsRowDxfId="3315" dataCellStyle="Comma"/>
    <tableColumn id="6" name="2015" dataDxfId="3314" totalsRowDxfId="3313" dataCellStyle="Comma"/>
    <tableColumn id="7" name="2020" dataDxfId="3312" totalsRowDxfId="3311" dataCellStyle="Comma"/>
    <tableColumn id="8" name="2025" dataDxfId="3310" totalsRowDxfId="3309" dataCellStyle="Comma"/>
    <tableColumn id="9" name="2030" dataDxfId="3308" totalsRowDxfId="3307" dataCellStyle="Comma"/>
    <tableColumn id="10" name="2035" dataDxfId="3306" totalsRowDxfId="3305" dataCellStyle="Comma"/>
    <tableColumn id="11" name="2040" dataDxfId="3304" totalsRowDxfId="3303" dataCellStyle="Comma"/>
    <tableColumn id="12" name="2045" dataDxfId="3302" totalsRowDxfId="3301" dataCellStyle="Comma"/>
    <tableColumn id="13" name="2050" dataDxfId="3300" totalsRowDxfId="3299" dataCellStyle="Comma"/>
  </tableColumns>
  <tableStyleInfo name="EnergyCalcTables" showFirstColumn="0" showLastColumn="0" showRowStripes="1" showColumnStripes="0"/>
</table>
</file>

<file path=xl/tables/table48.xml><?xml version="1.0" encoding="utf-8"?>
<table xmlns="http://schemas.openxmlformats.org/spreadsheetml/2006/main" id="247" name="III.f.Costs" displayName="III.f.Costs" ref="C125:N131" headerRowDxfId="3298" dataDxfId="3296" headerRowBorderDxfId="3297" tableBorderDxfId="3295" dataCellStyle="40% - Accent2 3">
  <autoFilter ref="C125:N131"/>
  <tableColumns count="12">
    <tableColumn id="1" name="Vector" totalsRowLabel="Total" dataDxfId="3294" totalsRowDxfId="3293"/>
    <tableColumn id="2" name="Name" dataDxfId="3292" totalsRowDxfId="3291">
      <calculatedColumnFormula>INDEX(CostVectors[Description], MATCH(C126, CostVectors[Code], 0))</calculatedColumnFormula>
    </tableColumn>
    <tableColumn id="3" name="Notes" dataDxfId="3290" totalsRowDxfId="3289"/>
    <tableColumn id="5" name="2010" totalsRowFunction="custom" dataDxfId="3288" totalsRowDxfId="3287" dataCellStyle="Comma">
      <totalsRowFormula>SUM(III.f.Costs[2010])</totalsRowFormula>
    </tableColumn>
    <tableColumn id="6" name="2015" totalsRowFunction="custom" dataDxfId="3286" totalsRowDxfId="3285" dataCellStyle="Comma">
      <totalsRowFormula>SUM(III.f.Costs[2015])</totalsRowFormula>
    </tableColumn>
    <tableColumn id="7" name="2020" totalsRowFunction="sum" dataDxfId="3284" totalsRowDxfId="3283" dataCellStyle="Comma"/>
    <tableColumn id="8" name="2025" totalsRowFunction="sum" dataDxfId="3282" totalsRowDxfId="3281" dataCellStyle="Comma"/>
    <tableColumn id="9" name="2030" totalsRowFunction="sum" dataDxfId="3280" totalsRowDxfId="3279" dataCellStyle="Comma"/>
    <tableColumn id="10" name="2035" totalsRowFunction="sum" dataDxfId="3278" totalsRowDxfId="3277" dataCellStyle="Comma"/>
    <tableColumn id="11" name="2040" totalsRowFunction="sum" dataDxfId="3276" totalsRowDxfId="3275" dataCellStyle="Comma"/>
    <tableColumn id="12" name="2045" totalsRowFunction="sum" dataDxfId="3274" totalsRowDxfId="3273" dataCellStyle="Comma"/>
    <tableColumn id="13" name="2050" totalsRowFunction="sum" dataDxfId="3272" totalsRowDxfId="3271" dataCellStyle="Comma"/>
  </tableColumns>
  <tableStyleInfo name="EnergyCalcTables" showFirstColumn="0" showLastColumn="0" showRowStripes="1" showColumnStripes="0"/>
</table>
</file>

<file path=xl/tables/table49.xml><?xml version="1.0" encoding="utf-8"?>
<table xmlns="http://schemas.openxmlformats.org/spreadsheetml/2006/main" id="226" name="III.g.Outputs" displayName="III.g.Outputs" ref="C108:N111" totalsRowCount="1" headerRowDxfId="3270" dataDxfId="3269">
  <autoFilter ref="C108:N110"/>
  <tableColumns count="12">
    <tableColumn id="1" name="Vector" totalsRowLabel="Total" dataDxfId="3268" totalsRowDxfId="3267"/>
    <tableColumn id="2" name="Name" dataDxfId="3266" totalsRowDxfId="3265">
      <calculatedColumnFormula>INDEX(Vectors[Description], MATCH(III.g.Outputs[Vector],Vectors[Code], 0))</calculatedColumnFormula>
    </tableColumn>
    <tableColumn id="3" name="Notes" dataDxfId="3264" totalsRowDxfId="3263"/>
    <tableColumn id="5" name="2010" totalsRowFunction="sum" dataDxfId="3262" totalsRowDxfId="3261" dataCellStyle="Comma"/>
    <tableColumn id="6" name="2015" totalsRowFunction="sum" dataDxfId="3260" totalsRowDxfId="3259" dataCellStyle="Comma"/>
    <tableColumn id="7" name="2020" totalsRowFunction="sum" dataDxfId="3258" totalsRowDxfId="3257" dataCellStyle="Comma"/>
    <tableColumn id="8" name="2025" totalsRowFunction="sum" dataDxfId="3256" totalsRowDxfId="3255" dataCellStyle="Comma"/>
    <tableColumn id="9" name="2030" totalsRowFunction="sum" dataDxfId="3254" totalsRowDxfId="3253" dataCellStyle="Comma"/>
    <tableColumn id="10" name="2035" totalsRowFunction="sum" dataDxfId="3252" totalsRowDxfId="3251" dataCellStyle="Comma"/>
    <tableColumn id="11" name="2040" totalsRowFunction="sum" dataDxfId="3250" totalsRowDxfId="3249" dataCellStyle="Comma"/>
    <tableColumn id="12" name="2045" totalsRowFunction="sum" dataDxfId="3248" totalsRowDxfId="3247" dataCellStyle="Comma"/>
    <tableColumn id="13" name="2050" totalsRowFunction="sum" dataDxfId="3246" totalsRowDxfId="3245" dataCellStyle="Comma"/>
  </tableColumns>
  <tableStyleInfo name="EnergyCalcTables" showFirstColumn="0" showLastColumn="0" showRowStripes="1" showColumnStripes="0"/>
</table>
</file>

<file path=xl/tables/table5.xml><?xml version="1.0" encoding="utf-8"?>
<table xmlns="http://schemas.openxmlformats.org/spreadsheetml/2006/main" id="33" name="EF" displayName="EF" ref="B45:H84" totalsRowShown="0" headerRowDxfId="4232" dataDxfId="4231">
  <autoFilter ref="B45:H84"/>
  <tableColumns count="7">
    <tableColumn id="1" name="Vector" dataDxfId="4230"/>
    <tableColumn id="6" name="Description" dataDxfId="4229">
      <calculatedColumnFormula>INDEX(Vectors[Description], MATCH(EF[Vector], Vectors[Code], 0))</calculatedColumnFormula>
    </tableColumn>
    <tableColumn id="2" name="CO2" dataDxfId="4228" dataCellStyle="Comma"/>
    <tableColumn id="3" name="CH4" dataDxfId="4227" dataCellStyle="Comma"/>
    <tableColumn id="4" name="N2O" dataDxfId="4226" dataCellStyle="Comma"/>
    <tableColumn id="7" name="CO2e" dataDxfId="4225" dataCellStyle="Comma">
      <calculatedColumnFormula>SUM(EF[[#This Row],[CO2]:[N2O]])</calculatedColumnFormula>
    </tableColumn>
    <tableColumn id="5" name="Comments" dataDxfId="4224"/>
  </tableColumns>
  <tableStyleInfo name="TableStyleMedium12" showFirstColumn="0" showLastColumn="0" showRowStripes="1" showColumnStripes="0"/>
</table>
</file>

<file path=xl/tables/table50.xml><?xml version="1.0" encoding="utf-8"?>
<table xmlns="http://schemas.openxmlformats.org/spreadsheetml/2006/main" id="240" name="III.g.info" displayName="III.g.info" ref="C118:N120" totalsRowShown="0" headerRowDxfId="3244" dataDxfId="3242" totalsRowDxfId="3240" headerRowBorderDxfId="3243" tableBorderDxfId="3241" dataCellStyle="40% - Accent2 3">
  <autoFilter ref="C118:N120"/>
  <tableColumns count="12">
    <tableColumn id="1" name="Vector" dataDxfId="3239" totalsRowDxfId="3238"/>
    <tableColumn id="2" name="Information type" dataDxfId="3237" totalsRowDxfId="3236">
      <calculatedColumnFormula>INDEX([2]!Vectors[Description], MATCH(III.g.info[Vector], [2]!Vectors[Code], 0))</calculatedColumnFormula>
    </tableColumn>
    <tableColumn id="3" name="Notes" dataDxfId="3235" totalsRowDxfId="3234">
      <calculatedColumnFormula>INDEX([2]!Vectors[Comment], MATCH(III.g.info[Information type], [2]!Vectors[Description], 0))</calculatedColumnFormula>
    </tableColumn>
    <tableColumn id="5" name="2010" dataDxfId="3233" totalsRowDxfId="3232" dataCellStyle="Comma"/>
    <tableColumn id="6" name="2015" dataDxfId="3231" totalsRowDxfId="3230" dataCellStyle="Comma"/>
    <tableColumn id="7" name="2020" dataDxfId="3229" totalsRowDxfId="3228" dataCellStyle="Comma"/>
    <tableColumn id="8" name="2025" dataDxfId="3227" totalsRowDxfId="3226" dataCellStyle="Comma"/>
    <tableColumn id="9" name="2030" dataDxfId="3225" totalsRowDxfId="3224" dataCellStyle="Comma"/>
    <tableColumn id="10" name="2035" dataDxfId="3223" totalsRowDxfId="3222" dataCellStyle="Comma"/>
    <tableColumn id="11" name="2040" dataDxfId="3221" totalsRowDxfId="3220" dataCellStyle="Comma"/>
    <tableColumn id="12" name="2045" dataDxfId="3219" totalsRowDxfId="3218" dataCellStyle="Comma"/>
    <tableColumn id="13" name="2050" dataDxfId="3217" totalsRowDxfId="3216" dataCellStyle="Comma"/>
  </tableColumns>
  <tableStyleInfo name="EnergyCalcTables" showFirstColumn="0" showLastColumn="0" showRowStripes="1" showColumnStripes="0"/>
</table>
</file>

<file path=xl/tables/table51.xml><?xml version="1.0" encoding="utf-8"?>
<table xmlns="http://schemas.openxmlformats.org/spreadsheetml/2006/main" id="242" name="III.g.Costs" displayName="III.g.Costs" ref="C127:N133" headerRowDxfId="3215" dataDxfId="3213" headerRowBorderDxfId="3214" tableBorderDxfId="3212" dataCellStyle="40% - Accent2 3">
  <autoFilter ref="C127:N133"/>
  <tableColumns count="12">
    <tableColumn id="1" name="Vector" totalsRowLabel="Total" dataDxfId="3211" totalsRowDxfId="3210"/>
    <tableColumn id="2" name="Name" dataDxfId="3209" totalsRowDxfId="3208">
      <calculatedColumnFormula>INDEX(CostVectors[Description], MATCH(C128, CostVectors[Code], 0))</calculatedColumnFormula>
    </tableColumn>
    <tableColumn id="3" name="Notes" dataDxfId="3207" totalsRowDxfId="3206"/>
    <tableColumn id="5" name="2010" totalsRowFunction="custom" dataDxfId="3205" totalsRowDxfId="3204" dataCellStyle="Comma">
      <totalsRowFormula>SUM(III.g.Costs[2010])</totalsRowFormula>
    </tableColumn>
    <tableColumn id="6" name="2015" totalsRowFunction="custom" dataDxfId="3203" totalsRowDxfId="3202" dataCellStyle="Comma">
      <totalsRowFormula>SUM(III.g.Costs[2015])</totalsRowFormula>
    </tableColumn>
    <tableColumn id="7" name="2020" totalsRowFunction="sum" dataDxfId="3201" totalsRowDxfId="3200" dataCellStyle="Comma"/>
    <tableColumn id="8" name="2025" totalsRowFunction="sum" dataDxfId="3199" totalsRowDxfId="3198" dataCellStyle="Comma"/>
    <tableColumn id="9" name="2030" totalsRowFunction="sum" dataDxfId="3197" totalsRowDxfId="3196" dataCellStyle="Comma"/>
    <tableColumn id="10" name="2035" totalsRowFunction="sum" dataDxfId="3195" totalsRowDxfId="3194" dataCellStyle="Comma"/>
    <tableColumn id="11" name="2040" totalsRowFunction="sum" dataDxfId="3193" totalsRowDxfId="3192" dataCellStyle="Comma"/>
    <tableColumn id="12" name="2045" totalsRowFunction="sum" dataDxfId="3191" totalsRowDxfId="3190" dataCellStyle="Comma"/>
    <tableColumn id="13" name="2050" totalsRowFunction="sum" dataDxfId="3189" totalsRowDxfId="3188" dataCellStyle="Comma"/>
  </tableColumns>
  <tableStyleInfo name="EnergyCalcTables" showFirstColumn="0" showLastColumn="0" showRowStripes="1" showColumnStripes="0"/>
</table>
</file>

<file path=xl/tables/table52.xml><?xml version="1.0" encoding="utf-8"?>
<table xmlns="http://schemas.openxmlformats.org/spreadsheetml/2006/main" id="223" name="IV.a.Outputs" displayName="IV.a.Outputs" ref="C108:N111" totalsRowCount="1" headerRowDxfId="3187" dataDxfId="3186">
  <autoFilter ref="C108:N110"/>
  <tableColumns count="12">
    <tableColumn id="1" name="Vector" totalsRowLabel="Total" dataDxfId="3185" totalsRowDxfId="3184"/>
    <tableColumn id="2" name="Name" dataDxfId="3183" totalsRowDxfId="3182">
      <calculatedColumnFormula>INDEX(Vectors[Description], MATCH(IV.a.Outputs[Vector],Vectors[Code], 0))</calculatedColumnFormula>
    </tableColumn>
    <tableColumn id="3" name="Notes" dataDxfId="3181" totalsRowDxfId="3180"/>
    <tableColumn id="5" name="2010" totalsRowFunction="sum" dataDxfId="3179" totalsRowDxfId="3178" dataCellStyle="Comma"/>
    <tableColumn id="6" name="2015" totalsRowFunction="sum" dataDxfId="3177" totalsRowDxfId="3176" dataCellStyle="Comma"/>
    <tableColumn id="7" name="2020" totalsRowFunction="sum" dataDxfId="3175" totalsRowDxfId="3174" dataCellStyle="Comma"/>
    <tableColumn id="8" name="2025" totalsRowFunction="sum" dataDxfId="3173" totalsRowDxfId="3172" dataCellStyle="Comma"/>
    <tableColumn id="9" name="2030" totalsRowFunction="sum" dataDxfId="3171" totalsRowDxfId="3170" dataCellStyle="Comma"/>
    <tableColumn id="10" name="2035" totalsRowFunction="sum" dataDxfId="3169" totalsRowDxfId="3168" dataCellStyle="Comma"/>
    <tableColumn id="11" name="2040" totalsRowFunction="sum" dataDxfId="3167" totalsRowDxfId="3166" dataCellStyle="Comma"/>
    <tableColumn id="12" name="2045" totalsRowFunction="sum" dataDxfId="3165" totalsRowDxfId="3164" dataCellStyle="Comma"/>
    <tableColumn id="13" name="2050" totalsRowFunction="sum" dataDxfId="3163" totalsRowDxfId="3162" dataCellStyle="Comma"/>
  </tableColumns>
  <tableStyleInfo name="EnergyCalcTables" showFirstColumn="0" showLastColumn="0" showRowStripes="1" showColumnStripes="0"/>
</table>
</file>

<file path=xl/tables/table53.xml><?xml version="1.0" encoding="utf-8"?>
<table xmlns="http://schemas.openxmlformats.org/spreadsheetml/2006/main" id="224" name="IV.a.info" displayName="IV.a.info" ref="C118:N120" totalsRowShown="0" headerRowDxfId="3161" dataDxfId="3159" totalsRowDxfId="3157" headerRowBorderDxfId="3160" tableBorderDxfId="3158" dataCellStyle="40% - Accent2 3">
  <autoFilter ref="C118:N120"/>
  <tableColumns count="12">
    <tableColumn id="1" name="Vector" dataDxfId="3156" totalsRowDxfId="3155"/>
    <tableColumn id="2" name="Information type" dataDxfId="3154" totalsRowDxfId="3153">
      <calculatedColumnFormula>INDEX([2]!Vectors[Description], MATCH(IV.a.info[Vector], [2]!Vectors[Code], 0))</calculatedColumnFormula>
    </tableColumn>
    <tableColumn id="3" name="Notes" dataDxfId="3152" totalsRowDxfId="3151">
      <calculatedColumnFormula>INDEX([2]!Vectors[Comment], MATCH(IV.a.info[Information type], [2]!Vectors[Description], 0))</calculatedColumnFormula>
    </tableColumn>
    <tableColumn id="5" name="2010" dataDxfId="3150" totalsRowDxfId="3149" dataCellStyle="Comma"/>
    <tableColumn id="6" name="2015" dataDxfId="3148" totalsRowDxfId="3147" dataCellStyle="Comma"/>
    <tableColumn id="7" name="2020" dataDxfId="3146" totalsRowDxfId="3145" dataCellStyle="Comma"/>
    <tableColumn id="8" name="2025" dataDxfId="3144" totalsRowDxfId="3143" dataCellStyle="Comma"/>
    <tableColumn id="9" name="2030" dataDxfId="3142" totalsRowDxfId="3141" dataCellStyle="Comma"/>
    <tableColumn id="10" name="2035" dataDxfId="3140" totalsRowDxfId="3139" dataCellStyle="Comma"/>
    <tableColumn id="11" name="2040" dataDxfId="3138" totalsRowDxfId="3137" dataCellStyle="Comma"/>
    <tableColumn id="12" name="2045" dataDxfId="3136" totalsRowDxfId="3135" dataCellStyle="Comma"/>
    <tableColumn id="13" name="2050" dataDxfId="3134" totalsRowDxfId="3133" dataCellStyle="Comma"/>
  </tableColumns>
  <tableStyleInfo name="EnergyCalcTables" showFirstColumn="0" showLastColumn="0" showRowStripes="1" showColumnStripes="0"/>
</table>
</file>

<file path=xl/tables/table54.xml><?xml version="1.0" encoding="utf-8"?>
<table xmlns="http://schemas.openxmlformats.org/spreadsheetml/2006/main" id="225" name="IV.a.Costs" displayName="IV.a.Costs" ref="C127:N133" headerRowDxfId="3132" dataDxfId="3130" headerRowBorderDxfId="3131" tableBorderDxfId="3129" dataCellStyle="40% - Accent2 3">
  <autoFilter ref="C127:N133"/>
  <tableColumns count="12">
    <tableColumn id="1" name="Vector" totalsRowLabel="Total" dataDxfId="3128" totalsRowDxfId="3127"/>
    <tableColumn id="2" name="Name" dataDxfId="3126" totalsRowDxfId="3125">
      <calculatedColumnFormula>INDEX(CostVectors[Description], MATCH(C128, CostVectors[Code], 0))</calculatedColumnFormula>
    </tableColumn>
    <tableColumn id="3" name="Notes" dataDxfId="3124" totalsRowDxfId="3123"/>
    <tableColumn id="5" name="2010" totalsRowFunction="custom" dataDxfId="3122" totalsRowDxfId="3121" dataCellStyle="Comma">
      <totalsRowFormula>SUM(IV.a.Costs[2010])</totalsRowFormula>
    </tableColumn>
    <tableColumn id="6" name="2015" totalsRowFunction="custom" dataDxfId="3120" totalsRowDxfId="3119" dataCellStyle="Comma">
      <totalsRowFormula>SUM(IV.a.Costs[2015])</totalsRowFormula>
    </tableColumn>
    <tableColumn id="7" name="2020" totalsRowFunction="sum" dataDxfId="3118" totalsRowDxfId="3117" dataCellStyle="Comma"/>
    <tableColumn id="8" name="2025" totalsRowFunction="sum" dataDxfId="3116" totalsRowDxfId="3115" dataCellStyle="Comma"/>
    <tableColumn id="9" name="2030" totalsRowFunction="sum" dataDxfId="3114" totalsRowDxfId="3113" dataCellStyle="Comma"/>
    <tableColumn id="10" name="2035" totalsRowFunction="sum" dataDxfId="3112" totalsRowDxfId="3111" dataCellStyle="Comma"/>
    <tableColumn id="11" name="2040" totalsRowFunction="sum" dataDxfId="3110" totalsRowDxfId="3109" dataCellStyle="Comma"/>
    <tableColumn id="12" name="2045" totalsRowFunction="sum" dataDxfId="3108" totalsRowDxfId="3107" dataCellStyle="Comma"/>
    <tableColumn id="13" name="2050" totalsRowFunction="sum" dataDxfId="3106" totalsRowDxfId="3105" dataCellStyle="Comma"/>
  </tableColumns>
  <tableStyleInfo name="EnergyCalcTables" showFirstColumn="0" showLastColumn="0" showRowStripes="1" showColumnStripes="0"/>
</table>
</file>

<file path=xl/tables/table55.xml><?xml version="1.0" encoding="utf-8"?>
<table xmlns="http://schemas.openxmlformats.org/spreadsheetml/2006/main" id="25" name="V.a.Inputs" displayName="V.a.Inputs" ref="C14:N19" totalsRowShown="0" headerRowDxfId="3104" dataDxfId="3103">
  <autoFilter ref="C14:N19"/>
  <tableColumns count="12">
    <tableColumn id="1" name="Vector" dataDxfId="3102"/>
    <tableColumn id="2" name="Name" dataDxfId="3101">
      <calculatedColumnFormula>INDEX([5]!Vectors[Description], MATCH(V.a.Inputs[Vector], [5]!Vectors[Code], 0))</calculatedColumnFormula>
    </tableColumn>
    <tableColumn id="3" name="Notes" dataDxfId="3100"/>
    <tableColumn id="5" name="2010" dataDxfId="3099" dataCellStyle="Comma">
      <calculatedColumnFormula>INDEX(INDIRECT("'"&amp;V.a.Inputs[#Headers]&amp;"'!Year.Matrix"), MATCH("Subtotal."&amp;$A$2, INDIRECT("'"&amp;V.a.Inputs[#Headers]&amp;"'!Year.Modules"), 0), MATCH(V.a.Inputs[Vector], INDIRECT("'"&amp;V.a.Inputs[#Headers]&amp;"'!Year.Vectors"), 0))</calculatedColumnFormula>
    </tableColumn>
    <tableColumn id="6" name="2015" dataDxfId="3098" dataCellStyle="Comma">
      <calculatedColumnFormula>INDEX(INDIRECT("'"&amp;V.a.Inputs[#Headers]&amp;"'!Year.Matrix"), MATCH("Subtotal."&amp;$A$2, INDIRECT("'"&amp;V.a.Inputs[#Headers]&amp;"'!Year.Modules"), 0), MATCH(V.a.Inputs[Vector], INDIRECT("'"&amp;V.a.Inputs[#Headers]&amp;"'!Year.Vectors"), 0))</calculatedColumnFormula>
    </tableColumn>
    <tableColumn id="7" name="2020" dataDxfId="3097" dataCellStyle="Comma">
      <calculatedColumnFormula>INDEX(INDIRECT("'"&amp;V.a.Inputs[#Headers]&amp;"'!Year.Matrix"), MATCH("Subtotal."&amp;$A$2, INDIRECT("'"&amp;V.a.Inputs[#Headers]&amp;"'!Year.Modules"), 0), MATCH(V.a.Inputs[Vector], INDIRECT("'"&amp;V.a.Inputs[#Headers]&amp;"'!Year.Vectors"), 0))</calculatedColumnFormula>
    </tableColumn>
    <tableColumn id="15" name="2025" dataDxfId="3096" dataCellStyle="Comma">
      <calculatedColumnFormula>INDEX(INDIRECT("'"&amp;V.a.Inputs[#Headers]&amp;"'!Year.Matrix"), MATCH("Subtotal."&amp;$A$2, INDIRECT("'"&amp;V.a.Inputs[#Headers]&amp;"'!Year.Modules"), 0), MATCH(V.a.Inputs[Vector], INDIRECT("'"&amp;V.a.Inputs[#Headers]&amp;"'!Year.Vectors"), 0))</calculatedColumnFormula>
    </tableColumn>
    <tableColumn id="16" name="2030" dataDxfId="3095" dataCellStyle="Comma">
      <calculatedColumnFormula>INDEX(INDIRECT("'"&amp;V.a.Inputs[#Headers]&amp;"'!Year.Matrix"), MATCH("Subtotal."&amp;$A$2, INDIRECT("'"&amp;V.a.Inputs[#Headers]&amp;"'!Year.Modules"), 0), MATCH(V.a.Inputs[Vector], INDIRECT("'"&amp;V.a.Inputs[#Headers]&amp;"'!Year.Vectors"), 0))</calculatedColumnFormula>
    </tableColumn>
    <tableColumn id="17" name="2035" dataDxfId="3094" dataCellStyle="Comma">
      <calculatedColumnFormula>INDEX(INDIRECT("'"&amp;V.a.Inputs[#Headers]&amp;"'!Year.Matrix"), MATCH("Subtotal."&amp;$A$2, INDIRECT("'"&amp;V.a.Inputs[#Headers]&amp;"'!Year.Modules"), 0), MATCH(V.a.Inputs[Vector], INDIRECT("'"&amp;V.a.Inputs[#Headers]&amp;"'!Year.Vectors"), 0))</calculatedColumnFormula>
    </tableColumn>
    <tableColumn id="18" name="2040" dataDxfId="3093" dataCellStyle="Comma">
      <calculatedColumnFormula>INDEX(INDIRECT("'"&amp;V.a.Inputs[#Headers]&amp;"'!Year.Matrix"), MATCH("Subtotal."&amp;$A$2, INDIRECT("'"&amp;V.a.Inputs[#Headers]&amp;"'!Year.Modules"), 0), MATCH(V.a.Inputs[Vector], INDIRECT("'"&amp;V.a.Inputs[#Headers]&amp;"'!Year.Vectors"), 0))</calculatedColumnFormula>
    </tableColumn>
    <tableColumn id="19" name="2045" dataDxfId="3092" dataCellStyle="Comma">
      <calculatedColumnFormula>INDEX(INDIRECT("'"&amp;V.a.Inputs[#Headers]&amp;"'!Year.Matrix"), MATCH("Subtotal."&amp;$A$2, INDIRECT("'"&amp;V.a.Inputs[#Headers]&amp;"'!Year.Modules"), 0), MATCH(V.a.Inputs[Vector], INDIRECT("'"&amp;V.a.Inputs[#Headers]&amp;"'!Year.Vectors"), 0))</calculatedColumnFormula>
    </tableColumn>
    <tableColumn id="20" name="2050" dataDxfId="3091" dataCellStyle="Comma">
      <calculatedColumnFormula>INDEX(INDIRECT("'"&amp;V.a.Inputs[#Headers]&amp;"'!Year.Matrix"), MATCH("Subtotal."&amp;$A$2, INDIRECT("'"&amp;V.a.Inputs[#Headers]&amp;"'!Year.Modules"), 0), MATCH(V.a.Inputs[Vector], INDIRECT("'"&amp;V.a.Inputs[#Headers]&amp;"'!Year.Vectors"), 0))</calculatedColumnFormula>
    </tableColumn>
  </tableColumns>
  <tableStyleInfo name="EnergyCalcTables" showFirstColumn="0" showLastColumn="0" showRowStripes="1" showColumnStripes="0"/>
</table>
</file>

<file path=xl/tables/table56.xml><?xml version="1.0" encoding="utf-8"?>
<table xmlns="http://schemas.openxmlformats.org/spreadsheetml/2006/main" id="36" name="V.a.Outputs" displayName="V.a.Outputs" ref="C413:N424" totalsRowCount="1" headerRowDxfId="3090" dataDxfId="3089" totalsRowDxfId="3088">
  <autoFilter ref="C413:N423"/>
  <tableColumns count="12">
    <tableColumn id="1" name="Vector" totalsRowLabel="Total" dataDxfId="3087" totalsRowDxfId="3086"/>
    <tableColumn id="2" name="Name" dataDxfId="3085" totalsRowDxfId="3084">
      <calculatedColumnFormula>INDEX(Vectors[Description], MATCH(V.a.Outputs[Vector], Vectors[Code], 0))</calculatedColumnFormula>
    </tableColumn>
    <tableColumn id="3" name="Notes" dataDxfId="3083" totalsRowDxfId="3082"/>
    <tableColumn id="5" name="2010" totalsRowFunction="sum" dataDxfId="3081" totalsRowDxfId="3080" dataCellStyle="Comma"/>
    <tableColumn id="6" name="2015" totalsRowFunction="sum" dataDxfId="3079" totalsRowDxfId="3078" dataCellStyle="Comma"/>
    <tableColumn id="7" name="2020" totalsRowFunction="sum" dataDxfId="3077" totalsRowDxfId="3076" dataCellStyle="Comma"/>
    <tableColumn id="8" name="2025" totalsRowFunction="sum" dataDxfId="3075" totalsRowDxfId="3074" dataCellStyle="Comma"/>
    <tableColumn id="9" name="2030" totalsRowFunction="sum" dataDxfId="3073" totalsRowDxfId="3072" dataCellStyle="Comma"/>
    <tableColumn id="10" name="2035" totalsRowFunction="sum" dataDxfId="3071" totalsRowDxfId="3070" dataCellStyle="Comma"/>
    <tableColumn id="11" name="2040" totalsRowFunction="sum" dataDxfId="3069" totalsRowDxfId="3068" dataCellStyle="Comma"/>
    <tableColumn id="12" name="2045" totalsRowFunction="sum" dataDxfId="3067" totalsRowDxfId="3066" dataCellStyle="Comma"/>
    <tableColumn id="13" name="2050" totalsRowFunction="sum" dataDxfId="3065" totalsRowDxfId="3064" dataCellStyle="Comma"/>
  </tableColumns>
  <tableStyleInfo name="EnergyCalcTables" showFirstColumn="0" showLastColumn="0" showRowStripes="1" showColumnStripes="0"/>
</table>
</file>

<file path=xl/tables/table57.xml><?xml version="1.0" encoding="utf-8"?>
<table xmlns="http://schemas.openxmlformats.org/spreadsheetml/2006/main" id="51" name="V.a.Emissions" displayName="V.a.Emissions" ref="C431:N433" totalsRowCount="1" headerRowDxfId="3063" dataDxfId="3061" headerRowBorderDxfId="3062" tableBorderDxfId="3060">
  <autoFilter ref="C431:N432"/>
  <tableColumns count="12">
    <tableColumn id="1" name="GHG" totalsRowLabel="Total" dataDxfId="3059" totalsRowDxfId="3058"/>
    <tableColumn id="2" name="IPCC Sector" dataDxfId="3057" totalsRowDxfId="3056"/>
    <tableColumn id="3" name="Notes" dataDxfId="3055" totalsRowDxfId="3054" dataCellStyle="Comma">
      <calculatedColumnFormula>INDEX(IPCC[Sector_description], MATCH(V.a.Emissions[IPCC Sector], IPCC[Sector_code], 0))</calculatedColumnFormula>
    </tableColumn>
    <tableColumn id="5" name="2010" totalsRowFunction="sum" dataDxfId="3053" totalsRowDxfId="3052" dataCellStyle="Comma">
      <calculatedColumnFormula>-F353</calculatedColumnFormula>
    </tableColumn>
    <tableColumn id="6" name="2015" totalsRowFunction="sum" dataDxfId="3051" totalsRowDxfId="3050" dataCellStyle="Comma">
      <calculatedColumnFormula>-G353</calculatedColumnFormula>
    </tableColumn>
    <tableColumn id="7" name="2020" totalsRowFunction="sum" dataDxfId="3049" totalsRowDxfId="3048" dataCellStyle="Comma">
      <calculatedColumnFormula>-H353</calculatedColumnFormula>
    </tableColumn>
    <tableColumn id="8" name="2025" totalsRowFunction="sum" dataDxfId="3047" totalsRowDxfId="3046" dataCellStyle="Comma">
      <calculatedColumnFormula>-I353</calculatedColumnFormula>
    </tableColumn>
    <tableColumn id="9" name="2030" totalsRowFunction="sum" dataDxfId="3045" totalsRowDxfId="3044" dataCellStyle="Comma">
      <calculatedColumnFormula>-J353</calculatedColumnFormula>
    </tableColumn>
    <tableColumn id="10" name="2035" totalsRowFunction="sum" dataDxfId="3043" totalsRowDxfId="3042" dataCellStyle="Comma">
      <calculatedColumnFormula>-K353</calculatedColumnFormula>
    </tableColumn>
    <tableColumn id="11" name="2040" totalsRowFunction="sum" dataDxfId="3041" totalsRowDxfId="3040" dataCellStyle="Comma">
      <calculatedColumnFormula>-L353</calculatedColumnFormula>
    </tableColumn>
    <tableColumn id="12" name="2045" totalsRowFunction="sum" dataDxfId="3039" totalsRowDxfId="3038" dataCellStyle="Comma">
      <calculatedColumnFormula>-M353</calculatedColumnFormula>
    </tableColumn>
    <tableColumn id="13" name="2050" totalsRowFunction="sum" dataDxfId="3037" totalsRowDxfId="3036" dataCellStyle="Comma">
      <calculatedColumnFormula>-N353</calculatedColumnFormula>
    </tableColumn>
  </tableColumns>
  <tableStyleInfo name="EnergyCalcTables" showFirstColumn="0" showLastColumn="0" showRowStripes="1" showColumnStripes="0"/>
</table>
</file>

<file path=xl/tables/table58.xml><?xml version="1.0" encoding="utf-8"?>
<table xmlns="http://schemas.openxmlformats.org/spreadsheetml/2006/main" id="52" name="V.a.InputsRequested" displayName="V.a.InputsRequested" ref="C23:N27" totalsRowShown="0" headerRowDxfId="3035" dataDxfId="3034">
  <autoFilter ref="C23:N27"/>
  <tableColumns count="12">
    <tableColumn id="1" name="Vector" dataDxfId="3033"/>
    <tableColumn id="2" name="Name" dataDxfId="3032">
      <calculatedColumnFormula>INDEX([5]!Vectors[Description], MATCH(V.a.InputsRequested[Vector], [5]!Vectors[Code], 0))</calculatedColumnFormula>
    </tableColumn>
    <tableColumn id="3" name="Notes" dataDxfId="3031"/>
    <tableColumn id="5" name="2010" dataDxfId="3030" dataCellStyle="Comma">
      <calculatedColumnFormula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calculatedColumnFormula>
    </tableColumn>
    <tableColumn id="6" name="2015" dataDxfId="3029" dataCellStyle="Comma">
      <calculatedColumnFormula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calculatedColumnFormula>
    </tableColumn>
    <tableColumn id="7" name="2020" dataDxfId="3028" dataCellStyle="Comma">
      <calculatedColumnFormula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calculatedColumnFormula>
    </tableColumn>
    <tableColumn id="15" name="2025" dataDxfId="3027" dataCellStyle="Comma">
      <calculatedColumnFormula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calculatedColumnFormula>
    </tableColumn>
    <tableColumn id="16" name="2030" dataDxfId="3026" dataCellStyle="Comma">
      <calculatedColumnFormula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calculatedColumnFormula>
    </tableColumn>
    <tableColumn id="17" name="2035" dataDxfId="3025" dataCellStyle="Comma">
      <calculatedColumnFormula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calculatedColumnFormula>
    </tableColumn>
    <tableColumn id="18" name="2040" dataDxfId="3024" dataCellStyle="Comma">
      <calculatedColumnFormula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calculatedColumnFormula>
    </tableColumn>
    <tableColumn id="19" name="2045" dataDxfId="3023" dataCellStyle="Comma">
      <calculatedColumnFormula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calculatedColumnFormula>
    </tableColumn>
    <tableColumn id="20" name="2050" dataDxfId="3022" dataCellStyle="Comma">
      <calculatedColumnFormula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calculatedColumnFormula>
    </tableColumn>
  </tableColumns>
  <tableStyleInfo name="EnergyCalcTables" showFirstColumn="0" showLastColumn="0" showRowStripes="1" showColumnStripes="0"/>
</table>
</file>

<file path=xl/tables/table59.xml><?xml version="1.0" encoding="utf-8"?>
<table xmlns="http://schemas.openxmlformats.org/spreadsheetml/2006/main" id="53" name="BioExports" displayName="BioExports" ref="B345:N349" totalsRowShown="0" headerRowDxfId="3021" dataDxfId="3020">
  <autoFilter ref="B345:N349"/>
  <tableColumns count="13">
    <tableColumn id="1" name="Vector" dataDxfId="3019"/>
    <tableColumn id="2" name="Exports of biomass (supply - available)" dataDxfId="3018">
      <calculatedColumnFormula>INDEX(Vectors[Description], MATCH($B346, Vectors[Code], 0))</calculatedColumnFormula>
    </tableColumn>
    <tableColumn id="3" name="Note"/>
    <tableColumn id="4" name="Units" dataDxfId="3017">
      <calculatedColumnFormula>Preferences.EnergyUnits</calculatedColumnFormula>
    </tableColumn>
    <tableColumn id="6" name="2010" dataDxfId="3016" dataCellStyle="Comma">
      <calculatedColumnFormula>F334-F340</calculatedColumnFormula>
    </tableColumn>
    <tableColumn id="7" name="2015" dataDxfId="3015" dataCellStyle="Comma">
      <calculatedColumnFormula>G334-G340</calculatedColumnFormula>
    </tableColumn>
    <tableColumn id="8" name="2020" dataDxfId="3014" dataCellStyle="Comma">
      <calculatedColumnFormula>H334-H340</calculatedColumnFormula>
    </tableColumn>
    <tableColumn id="9" name="2025" dataDxfId="3013" dataCellStyle="Comma">
      <calculatedColumnFormula>I334-I340</calculatedColumnFormula>
    </tableColumn>
    <tableColumn id="10" name="2030" dataDxfId="3012" dataCellStyle="Comma">
      <calculatedColumnFormula>J334-J340</calculatedColumnFormula>
    </tableColumn>
    <tableColumn id="11" name="2035" dataDxfId="3011" dataCellStyle="Comma">
      <calculatedColumnFormula>K334-K340</calculatedColumnFormula>
    </tableColumn>
    <tableColumn id="12" name="2040" dataDxfId="3010" dataCellStyle="Comma">
      <calculatedColumnFormula>L334-L340</calculatedColumnFormula>
    </tableColumn>
    <tableColumn id="13" name="2045" dataDxfId="3009" dataCellStyle="Comma">
      <calculatedColumnFormula>M334-M340</calculatedColumnFormula>
    </tableColumn>
    <tableColumn id="14" name="2050" dataDxfId="3008" dataCellStyle="Comma">
      <calculatedColumnFormula>N334-N340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22" name="Constants.BM_AQ_Emis" displayName="Constants.BM_AQ_Emis" ref="E34:I37" totalsRowShown="0">
  <autoFilter ref="E34:I37"/>
  <tableColumns count="5">
    <tableColumn id="1" name="Fueltype"/>
    <tableColumn id="2" name="PM10" dataDxfId="4223"/>
    <tableColumn id="3" name="NOX" dataDxfId="4222"/>
    <tableColumn id="4" name="SO2" dataDxfId="4221"/>
    <tableColumn id="5" name="NMVOC" dataDxfId="4220"/>
  </tableColumns>
  <tableStyleInfo name="TableStyleMedium9" showFirstColumn="0" showLastColumn="0" showRowStripes="1" showColumnStripes="0"/>
</table>
</file>

<file path=xl/tables/table60.xml><?xml version="1.0" encoding="utf-8"?>
<table xmlns="http://schemas.openxmlformats.org/spreadsheetml/2006/main" id="54" name="V.a.info" displayName="V.a.info" ref="C440:N442" totalsRowShown="0" headerRowDxfId="3007" dataDxfId="3005" totalsRowDxfId="3003" headerRowBorderDxfId="3006" tableBorderDxfId="3004">
  <autoFilter ref="C440:N442"/>
  <tableColumns count="12">
    <tableColumn id="1" name="Vector" dataDxfId="3002" totalsRowDxfId="3001"/>
    <tableColumn id="2" name="Information type" dataDxfId="3000" totalsRowDxfId="2999"/>
    <tableColumn id="3" name="Notes" dataDxfId="2998" totalsRowDxfId="2997"/>
    <tableColumn id="5" name="2010" dataDxfId="2996" totalsRowDxfId="2995" dataCellStyle="Comma"/>
    <tableColumn id="6" name="2015" dataDxfId="2994" totalsRowDxfId="2993" dataCellStyle="Comma"/>
    <tableColumn id="7" name="2020" dataDxfId="2992" totalsRowDxfId="2991" dataCellStyle="Comma"/>
    <tableColumn id="8" name="2025" dataDxfId="2990" totalsRowDxfId="2989" dataCellStyle="Comma"/>
    <tableColumn id="9" name="2030" dataDxfId="2988" totalsRowDxfId="2987" dataCellStyle="Comma"/>
    <tableColumn id="10" name="2035" dataDxfId="2986" totalsRowDxfId="2985" dataCellStyle="Comma"/>
    <tableColumn id="11" name="2040" dataDxfId="2984" totalsRowDxfId="2983" dataCellStyle="Comma"/>
    <tableColumn id="12" name="2045" dataDxfId="2982" totalsRowDxfId="2981" dataCellStyle="Comma"/>
    <tableColumn id="13" name="2050" dataDxfId="2980" totalsRowDxfId="2979" dataCellStyle="Comma"/>
  </tableColumns>
  <tableStyleInfo name="EnergyCalcTables" showFirstColumn="0" showLastColumn="0" showRowStripes="1" showColumnStripes="0"/>
</table>
</file>

<file path=xl/tables/table61.xml><?xml version="1.0" encoding="utf-8"?>
<table xmlns="http://schemas.openxmlformats.org/spreadsheetml/2006/main" id="3" name="V.a.Costs" displayName="V.a.Costs" ref="C449:N455" headerRowDxfId="2978" dataDxfId="2976" headerRowBorderDxfId="2977" tableBorderDxfId="2975" dataCellStyle="Comma">
  <autoFilter ref="C449:N455"/>
  <tableColumns count="12">
    <tableColumn id="1" name="Vector" totalsRowLabel="Total" dataDxfId="2974" totalsRowDxfId="2973"/>
    <tableColumn id="2" name="Name" dataDxfId="2972" totalsRowDxfId="2971">
      <calculatedColumnFormula>INDEX(CostVectors[Description], MATCH(C450, CostVectors[Code], 0))</calculatedColumnFormula>
    </tableColumn>
    <tableColumn id="3" name="Notes" dataDxfId="2970" totalsRowDxfId="2969"/>
    <tableColumn id="5" name="2010" totalsRowFunction="custom" dataDxfId="2968" totalsRowDxfId="2967" dataCellStyle="Comma">
      <totalsRowFormula>SUM(V.a.Costs[2010])</totalsRowFormula>
    </tableColumn>
    <tableColumn id="6" name="2015" totalsRowFunction="custom" dataDxfId="2966" totalsRowDxfId="2965" dataCellStyle="Comma">
      <totalsRowFormula>SUM(V.a.Costs[2015])</totalsRowFormula>
    </tableColumn>
    <tableColumn id="7" name="2020" totalsRowFunction="sum" dataDxfId="2964" totalsRowDxfId="2963" dataCellStyle="Comma"/>
    <tableColumn id="8" name="2025" totalsRowFunction="sum" dataDxfId="2962" totalsRowDxfId="2961" dataCellStyle="Comma"/>
    <tableColumn id="9" name="2030" totalsRowFunction="sum" dataDxfId="2960" totalsRowDxfId="2959" dataCellStyle="Comma"/>
    <tableColumn id="10" name="2035" totalsRowFunction="sum" dataDxfId="2958" totalsRowDxfId="2957" dataCellStyle="Comma"/>
    <tableColumn id="11" name="2040" totalsRowFunction="sum" dataDxfId="2956" totalsRowDxfId="2955" dataCellStyle="Comma"/>
    <tableColumn id="12" name="2045" totalsRowFunction="sum" dataDxfId="2954" totalsRowDxfId="2953" dataCellStyle="Comma"/>
    <tableColumn id="13" name="2050" totalsRowFunction="sum" dataDxfId="2952" totalsRowDxfId="2951" dataCellStyle="Comma"/>
  </tableColumns>
  <tableStyleInfo name="EnergyCalcTables" showFirstColumn="0" showLastColumn="0" showRowStripes="1" showColumnStripes="0"/>
</table>
</file>

<file path=xl/tables/table62.xml><?xml version="1.0" encoding="utf-8"?>
<table xmlns="http://schemas.openxmlformats.org/spreadsheetml/2006/main" id="60" name="V.b.Outputs" displayName="V.b.Outputs" ref="C109:N115" totalsRowCount="1" headerRowDxfId="2950" dataDxfId="2949">
  <autoFilter ref="C109:N114"/>
  <tableColumns count="12">
    <tableColumn id="1" name="Vector" totalsRowLabel="Total" dataDxfId="2948" totalsRowDxfId="2947"/>
    <tableColumn id="2" name="Name" dataDxfId="2946" totalsRowDxfId="2945">
      <calculatedColumnFormula>INDEX(Vectors[Description], MATCH(V.b.Outputs[Vector], Vectors[Code], 0))</calculatedColumnFormula>
    </tableColumn>
    <tableColumn id="3" name="Notes" dataDxfId="2944" totalsRowDxfId="2943"/>
    <tableColumn id="5" name="2010" totalsRowFunction="sum" dataDxfId="2942" totalsRowDxfId="2941" dataCellStyle="Comma"/>
    <tableColumn id="6" name="2015" totalsRowFunction="sum" dataDxfId="2940" totalsRowDxfId="2939" dataCellStyle="Comma"/>
    <tableColumn id="7" name="2020" totalsRowFunction="sum" dataDxfId="2938" totalsRowDxfId="2937" dataCellStyle="Comma"/>
    <tableColumn id="8" name="2025" totalsRowFunction="sum" dataDxfId="2936" totalsRowDxfId="2935" dataCellStyle="Comma"/>
    <tableColumn id="9" name="2030" totalsRowFunction="sum" dataDxfId="2934" totalsRowDxfId="2933" dataCellStyle="Comma"/>
    <tableColumn id="10" name="2035" totalsRowFunction="sum" dataDxfId="2932" totalsRowDxfId="2931" dataCellStyle="Comma"/>
    <tableColumn id="11" name="2040" totalsRowFunction="sum" dataDxfId="2930" totalsRowDxfId="2929" dataCellStyle="Comma"/>
    <tableColumn id="12" name="2045" totalsRowFunction="sum" dataDxfId="2928" totalsRowDxfId="2927" dataCellStyle="Comma"/>
    <tableColumn id="13" name="2050" totalsRowFunction="sum" dataDxfId="2926" totalsRowDxfId="2925" dataCellStyle="Comma"/>
  </tableColumns>
  <tableStyleInfo name="EnergyCalcTables" showFirstColumn="0" showLastColumn="0" showRowStripes="1" showColumnStripes="0"/>
</table>
</file>

<file path=xl/tables/table63.xml><?xml version="1.0" encoding="utf-8"?>
<table xmlns="http://schemas.openxmlformats.org/spreadsheetml/2006/main" id="61" name="V.b.Emissions" displayName="V.b.Emissions" ref="C122:N124" totalsRowCount="1" headerRowDxfId="2924" dataDxfId="2922" headerRowBorderDxfId="2923" tableBorderDxfId="2921">
  <autoFilter ref="C122:N123"/>
  <tableColumns count="12">
    <tableColumn id="1" name="GHG" totalsRowLabel="Total" dataDxfId="2920" totalsRowDxfId="2919"/>
    <tableColumn id="2" name="IPCC Sector" dataDxfId="2918" totalsRowDxfId="2917"/>
    <tableColumn id="3" name="Notes" dataDxfId="2916" totalsRowDxfId="2915">
      <calculatedColumnFormula>INDEX(IPCC[Sector_description], MATCH(V.b.Emissions[IPCC Sector], IPCC[Sector_code], 0))</calculatedColumnFormula>
    </tableColumn>
    <tableColumn id="5" name="2010" totalsRowFunction="sum" dataDxfId="2914" totalsRowDxfId="2913" dataCellStyle="Comma">
      <calculatedColumnFormula>-F90</calculatedColumnFormula>
    </tableColumn>
    <tableColumn id="6" name="2015" totalsRowFunction="sum" dataDxfId="2912" totalsRowDxfId="2911" dataCellStyle="Comma">
      <calculatedColumnFormula>-G90</calculatedColumnFormula>
    </tableColumn>
    <tableColumn id="7" name="2020" totalsRowFunction="sum" dataDxfId="2910" totalsRowDxfId="2909" dataCellStyle="Comma">
      <calculatedColumnFormula>-H90</calculatedColumnFormula>
    </tableColumn>
    <tableColumn id="8" name="2025" totalsRowFunction="sum" dataDxfId="2908" totalsRowDxfId="2907" dataCellStyle="Comma">
      <calculatedColumnFormula>-I90</calculatedColumnFormula>
    </tableColumn>
    <tableColumn id="9" name="2030" totalsRowFunction="sum" dataDxfId="2906" totalsRowDxfId="2905" dataCellStyle="Comma">
      <calculatedColumnFormula>-J90</calculatedColumnFormula>
    </tableColumn>
    <tableColumn id="10" name="2035" totalsRowFunction="sum" dataDxfId="2904" totalsRowDxfId="2903" dataCellStyle="Comma">
      <calculatedColumnFormula>-K90</calculatedColumnFormula>
    </tableColumn>
    <tableColumn id="11" name="2040" totalsRowFunction="sum" dataDxfId="2902" totalsRowDxfId="2901" dataCellStyle="Comma">
      <calculatedColumnFormula>-L90</calculatedColumnFormula>
    </tableColumn>
    <tableColumn id="12" name="2045" totalsRowFunction="sum" dataDxfId="2900" totalsRowDxfId="2899" dataCellStyle="Comma">
      <calculatedColumnFormula>-M90</calculatedColumnFormula>
    </tableColumn>
    <tableColumn id="13" name="2050" totalsRowFunction="sum" dataDxfId="2898" totalsRowDxfId="2897" dataCellStyle="Comma">
      <calculatedColumnFormula>-N90</calculatedColumnFormula>
    </tableColumn>
  </tableColumns>
  <tableStyleInfo name="EnergyCalcTables" showFirstColumn="0" showLastColumn="0" showRowStripes="1" showColumnStripes="0"/>
</table>
</file>

<file path=xl/tables/table64.xml><?xml version="1.0" encoding="utf-8"?>
<table xmlns="http://schemas.openxmlformats.org/spreadsheetml/2006/main" id="62" name="V.b.Inputs" displayName="V.b.Inputs" ref="C14:N18" totalsRowShown="0" headerRowDxfId="2896" dataDxfId="2895">
  <autoFilter ref="C14:N18"/>
  <tableColumns count="12">
    <tableColumn id="1" name="Vector" dataDxfId="2894"/>
    <tableColumn id="2" name="Name" dataDxfId="2893">
      <calculatedColumnFormula>INDEX([5]!Vectors[Description], MATCH(V.b.Inputs[Vector], [5]!Vectors[Code], 0))</calculatedColumnFormula>
    </tableColumn>
    <tableColumn id="3" name="Notes" dataDxfId="2892"/>
    <tableColumn id="5" name="2010" dataDxfId="2891" dataCellStyle="Comma">
      <calculatedColumnFormula>INDEX(INDIRECT("'"&amp;V.b.Inputs[#Headers]&amp;"'!Year.Matrix"), MATCH("Subtotal."&amp;$A$2, INDIRECT("'"&amp;V.b.Inputs[#Headers]&amp;"'!Year.Modules"), 0), MATCH(V.b.Inputs[Vector], INDIRECT("'"&amp;V.b.Inputs[#Headers]&amp;"'!Year.Vectors"), 0))</calculatedColumnFormula>
    </tableColumn>
    <tableColumn id="6" name="2015" dataDxfId="2890" dataCellStyle="Comma">
      <calculatedColumnFormula>INDEX(INDIRECT("'"&amp;V.b.Inputs[#Headers]&amp;"'!Year.Matrix"), MATCH("Subtotal."&amp;$A$2, INDIRECT("'"&amp;V.b.Inputs[#Headers]&amp;"'!Year.Modules"), 0), MATCH(V.b.Inputs[Vector], INDIRECT("'"&amp;V.b.Inputs[#Headers]&amp;"'!Year.Vectors"), 0))</calculatedColumnFormula>
    </tableColumn>
    <tableColumn id="7" name="2020" dataDxfId="2889" dataCellStyle="Comma">
      <calculatedColumnFormula>INDEX(INDIRECT("'"&amp;V.b.Inputs[#Headers]&amp;"'!Year.Matrix"), MATCH("Subtotal."&amp;$A$2, INDIRECT("'"&amp;V.b.Inputs[#Headers]&amp;"'!Year.Modules"), 0), MATCH(V.b.Inputs[Vector], INDIRECT("'"&amp;V.b.Inputs[#Headers]&amp;"'!Year.Vectors"), 0))</calculatedColumnFormula>
    </tableColumn>
    <tableColumn id="15" name="2025" dataDxfId="2888" dataCellStyle="Comma">
      <calculatedColumnFormula>INDEX(INDIRECT("'"&amp;V.b.Inputs[#Headers]&amp;"'!Year.Matrix"), MATCH("Subtotal."&amp;$A$2, INDIRECT("'"&amp;V.b.Inputs[#Headers]&amp;"'!Year.Modules"), 0), MATCH(V.b.Inputs[Vector], INDIRECT("'"&amp;V.b.Inputs[#Headers]&amp;"'!Year.Vectors"), 0))</calculatedColumnFormula>
    </tableColumn>
    <tableColumn id="16" name="2030" dataDxfId="2887" dataCellStyle="Comma">
      <calculatedColumnFormula>INDEX(INDIRECT("'"&amp;V.b.Inputs[#Headers]&amp;"'!Year.Matrix"), MATCH("Subtotal."&amp;$A$2, INDIRECT("'"&amp;V.b.Inputs[#Headers]&amp;"'!Year.Modules"), 0), MATCH(V.b.Inputs[Vector], INDIRECT("'"&amp;V.b.Inputs[#Headers]&amp;"'!Year.Vectors"), 0))</calculatedColumnFormula>
    </tableColumn>
    <tableColumn id="17" name="2035" dataDxfId="2886" dataCellStyle="Comma">
      <calculatedColumnFormula>INDEX(INDIRECT("'"&amp;V.b.Inputs[#Headers]&amp;"'!Year.Matrix"), MATCH("Subtotal."&amp;$A$2, INDIRECT("'"&amp;V.b.Inputs[#Headers]&amp;"'!Year.Modules"), 0), MATCH(V.b.Inputs[Vector], INDIRECT("'"&amp;V.b.Inputs[#Headers]&amp;"'!Year.Vectors"), 0))</calculatedColumnFormula>
    </tableColumn>
    <tableColumn id="18" name="2040" dataDxfId="2885" dataCellStyle="Comma">
      <calculatedColumnFormula>INDEX(INDIRECT("'"&amp;V.b.Inputs[#Headers]&amp;"'!Year.Matrix"), MATCH("Subtotal."&amp;$A$2, INDIRECT("'"&amp;V.b.Inputs[#Headers]&amp;"'!Year.Modules"), 0), MATCH(V.b.Inputs[Vector], INDIRECT("'"&amp;V.b.Inputs[#Headers]&amp;"'!Year.Vectors"), 0))</calculatedColumnFormula>
    </tableColumn>
    <tableColumn id="19" name="2045" dataDxfId="2884" dataCellStyle="Comma">
      <calculatedColumnFormula>INDEX(INDIRECT("'"&amp;V.b.Inputs[#Headers]&amp;"'!Year.Matrix"), MATCH("Subtotal."&amp;$A$2, INDIRECT("'"&amp;V.b.Inputs[#Headers]&amp;"'!Year.Modules"), 0), MATCH(V.b.Inputs[Vector], INDIRECT("'"&amp;V.b.Inputs[#Headers]&amp;"'!Year.Vectors"), 0))</calculatedColumnFormula>
    </tableColumn>
    <tableColumn id="20" name="2050" dataDxfId="2883" dataCellStyle="Comma">
      <calculatedColumnFormula>INDEX(INDIRECT("'"&amp;V.b.Inputs[#Headers]&amp;"'!Year.Matrix"), MATCH("Subtotal."&amp;$A$2, INDIRECT("'"&amp;V.b.Inputs[#Headers]&amp;"'!Year.Modules"), 0), MATCH(V.b.Inputs[Vector], INDIRECT("'"&amp;V.b.Inputs[#Headers]&amp;"'!Year.Vectors"), 0))</calculatedColumnFormula>
    </tableColumn>
  </tableColumns>
  <tableStyleInfo name="EnergyCalcTables" showFirstColumn="0" showLastColumn="0" showRowStripes="1" showColumnStripes="0"/>
</table>
</file>

<file path=xl/tables/table65.xml><?xml version="1.0" encoding="utf-8"?>
<table xmlns="http://schemas.openxmlformats.org/spreadsheetml/2006/main" id="65" name="V.b.info" displayName="V.b.info" ref="C131:N132" totalsRowShown="0" headerRowDxfId="2882" dataDxfId="2880" totalsRowDxfId="2878" headerRowBorderDxfId="2881" tableBorderDxfId="2879">
  <autoFilter ref="C131:N132"/>
  <tableColumns count="12">
    <tableColumn id="1" name="Vector" dataDxfId="2877" totalsRowDxfId="2876"/>
    <tableColumn id="2" name="Information type" dataDxfId="2875" totalsRowDxfId="2874">
      <calculatedColumnFormula>INDEX([6]!Vectors[Description], MATCH(V.b.info[Vector], [6]!Vectors[Code], 0))</calculatedColumnFormula>
    </tableColumn>
    <tableColumn id="3" name="Notes" dataDxfId="2873" totalsRowDxfId="2872">
      <calculatedColumnFormula>Preferences.AreaUnits</calculatedColumnFormula>
    </tableColumn>
    <tableColumn id="5" name="2010" dataDxfId="2871" totalsRowDxfId="2870" dataCellStyle="Comma">
      <calculatedColumnFormula>-F92</calculatedColumnFormula>
    </tableColumn>
    <tableColumn id="6" name="2015" dataDxfId="2869" totalsRowDxfId="2868" dataCellStyle="Comma">
      <calculatedColumnFormula>-G92</calculatedColumnFormula>
    </tableColumn>
    <tableColumn id="7" name="2020" dataDxfId="2867" totalsRowDxfId="2866" dataCellStyle="Comma">
      <calculatedColumnFormula>-H92</calculatedColumnFormula>
    </tableColumn>
    <tableColumn id="8" name="2025" dataDxfId="2865" totalsRowDxfId="2864" dataCellStyle="Comma">
      <calculatedColumnFormula>-I92</calculatedColumnFormula>
    </tableColumn>
    <tableColumn id="9" name="2030" dataDxfId="2863" totalsRowDxfId="2862" dataCellStyle="Comma">
      <calculatedColumnFormula>-J92</calculatedColumnFormula>
    </tableColumn>
    <tableColumn id="10" name="2035" dataDxfId="2861" totalsRowDxfId="2860" dataCellStyle="Comma">
      <calculatedColumnFormula>-K92</calculatedColumnFormula>
    </tableColumn>
    <tableColumn id="11" name="2040" dataDxfId="2859" totalsRowDxfId="2858" dataCellStyle="Comma">
      <calculatedColumnFormula>-L92</calculatedColumnFormula>
    </tableColumn>
    <tableColumn id="12" name="2045" dataDxfId="2857" totalsRowDxfId="2856" dataCellStyle="Comma">
      <calculatedColumnFormula>-M92</calculatedColumnFormula>
    </tableColumn>
    <tableColumn id="13" name="2050" dataDxfId="2855" totalsRowDxfId="2854" dataCellStyle="Comma">
      <calculatedColumnFormula>-N92</calculatedColumnFormula>
    </tableColumn>
  </tableColumns>
  <tableStyleInfo name="EnergyCalcTables" showFirstColumn="0" showLastColumn="0" showRowStripes="1" showColumnStripes="0"/>
</table>
</file>

<file path=xl/tables/table66.xml><?xml version="1.0" encoding="utf-8"?>
<table xmlns="http://schemas.openxmlformats.org/spreadsheetml/2006/main" id="59" name="V.b.Costs" displayName="V.b.Costs" ref="C139:N143" headerRowDxfId="2853" dataDxfId="2851" headerRowBorderDxfId="2852" tableBorderDxfId="2850" dataCellStyle="Comma">
  <autoFilter ref="C139:N143"/>
  <tableColumns count="12">
    <tableColumn id="1" name="Vector" totalsRowLabel="Total" dataDxfId="2849" totalsRowDxfId="2848"/>
    <tableColumn id="2" name="Name" dataDxfId="2847" totalsRowDxfId="2846">
      <calculatedColumnFormula>INDEX(CostVectors[Description], MATCH(C140, CostVectors[Code], 0))</calculatedColumnFormula>
    </tableColumn>
    <tableColumn id="3" name="Notes" dataDxfId="2845" totalsRowDxfId="2844"/>
    <tableColumn id="5" name="2010" totalsRowFunction="custom" dataDxfId="2843" totalsRowDxfId="2842" dataCellStyle="Comma">
      <totalsRowFormula>SUM(V.b.Costs[2010])</totalsRowFormula>
    </tableColumn>
    <tableColumn id="6" name="2015" totalsRowFunction="custom" dataDxfId="2841" totalsRowDxfId="2840" dataCellStyle="Comma">
      <totalsRowFormula>SUM(V.b.Costs[2015])</totalsRowFormula>
    </tableColumn>
    <tableColumn id="7" name="2020" totalsRowFunction="sum" dataDxfId="2839" totalsRowDxfId="2838" dataCellStyle="Comma"/>
    <tableColumn id="8" name="2025" totalsRowFunction="sum" dataDxfId="2837" totalsRowDxfId="2836" dataCellStyle="Comma"/>
    <tableColumn id="9" name="2030" totalsRowFunction="sum" dataDxfId="2835" totalsRowDxfId="2834" dataCellStyle="Comma"/>
    <tableColumn id="10" name="2035" totalsRowFunction="sum" dataDxfId="2833" totalsRowDxfId="2832" dataCellStyle="Comma"/>
    <tableColumn id="11" name="2040" totalsRowFunction="sum" dataDxfId="2831" totalsRowDxfId="2830" dataCellStyle="Comma"/>
    <tableColumn id="12" name="2045" totalsRowFunction="sum" dataDxfId="2829" totalsRowDxfId="2828" dataCellStyle="Comma"/>
    <tableColumn id="13" name="2050" totalsRowFunction="sum" dataDxfId="2827" totalsRowDxfId="2826" dataCellStyle="Comma"/>
  </tableColumns>
  <tableStyleInfo name="EnergyCalcTables" showFirstColumn="0" showLastColumn="0" showRowStripes="1" showColumnStripes="0"/>
</table>
</file>

<file path=xl/tables/table67.xml><?xml version="1.0" encoding="utf-8"?>
<table xmlns="http://schemas.openxmlformats.org/spreadsheetml/2006/main" id="69" name="VI.a.Outputs" displayName="VI.a.Outputs" ref="C538:N551" totalsRowCount="1" headerRowDxfId="2825" dataDxfId="2824">
  <autoFilter ref="C538:N550"/>
  <tableColumns count="12">
    <tableColumn id="1" name="Vector" totalsRowLabel="Total" dataDxfId="2823" totalsRowDxfId="2822"/>
    <tableColumn id="2" name="Name" dataDxfId="2821" totalsRowDxfId="2820">
      <calculatedColumnFormula>INDEX(Vectors[Description], MATCH(VI.a.Outputs[Vector], Vectors[Code], 0))</calculatedColumnFormula>
    </tableColumn>
    <tableColumn id="3" name="Notes" dataDxfId="2819" totalsRowDxfId="2818"/>
    <tableColumn id="5" name="2010" totalsRowFunction="sum" dataDxfId="2817" totalsRowDxfId="2816" dataCellStyle="Comma"/>
    <tableColumn id="6" name="2015" totalsRowFunction="sum" dataDxfId="2815" totalsRowDxfId="2814" dataCellStyle="Comma"/>
    <tableColumn id="7" name="2020" totalsRowFunction="sum" dataDxfId="2813" totalsRowDxfId="2812" dataCellStyle="Comma"/>
    <tableColumn id="8" name="2025" totalsRowFunction="sum" dataDxfId="2811" totalsRowDxfId="2810" dataCellStyle="Comma"/>
    <tableColumn id="9" name="2030" totalsRowFunction="sum" dataDxfId="2809" totalsRowDxfId="2808" dataCellStyle="Comma"/>
    <tableColumn id="10" name="2035" totalsRowFunction="sum" dataDxfId="2807" totalsRowDxfId="2806" dataCellStyle="Comma"/>
    <tableColumn id="11" name="2040" totalsRowFunction="sum" dataDxfId="2805" totalsRowDxfId="2804" dataCellStyle="Comma"/>
    <tableColumn id="12" name="2045" totalsRowFunction="sum" dataDxfId="2803" totalsRowDxfId="2802" dataCellStyle="Comma"/>
    <tableColumn id="13" name="2050" totalsRowFunction="sum" dataDxfId="2801" totalsRowDxfId="2800" dataCellStyle="Comma"/>
  </tableColumns>
  <tableStyleInfo name="EnergyCalcTables" showFirstColumn="0" showLastColumn="0" showRowStripes="1" showColumnStripes="0"/>
</table>
</file>

<file path=xl/tables/table68.xml><?xml version="1.0" encoding="utf-8"?>
<table xmlns="http://schemas.openxmlformats.org/spreadsheetml/2006/main" id="70" name="VI.a.Emissions" displayName="VI.a.Emissions" ref="C558:N565" totalsRowCount="1" headerRowDxfId="2799" dataDxfId="2797" headerRowBorderDxfId="2798" tableBorderDxfId="2796">
  <autoFilter ref="C558:N564"/>
  <tableColumns count="12">
    <tableColumn id="1" name="GHG" totalsRowLabel="Total" dataDxfId="2795" totalsRowDxfId="2794"/>
    <tableColumn id="2" name="IPCC Sector" dataDxfId="2793" totalsRowDxfId="2792"/>
    <tableColumn id="3" name="Notes" dataDxfId="2791" totalsRowDxfId="2790">
      <calculatedColumnFormula>INDEX(IPCC[Sector_description], MATCH(VI.a.Emissions[IPCC Sector], IPCC[Sector_code], 0))</calculatedColumnFormula>
    </tableColumn>
    <tableColumn id="5" name="2010" totalsRowFunction="sum" dataDxfId="2789" totalsRowDxfId="2788" dataCellStyle="Comma"/>
    <tableColumn id="6" name="2015" totalsRowFunction="sum" dataDxfId="2787" totalsRowDxfId="2786" dataCellStyle="Comma"/>
    <tableColumn id="7" name="2020" totalsRowFunction="sum" dataDxfId="2785" totalsRowDxfId="2784" dataCellStyle="Comma"/>
    <tableColumn id="8" name="2025" totalsRowFunction="sum" dataDxfId="2783" totalsRowDxfId="2782" dataCellStyle="Comma"/>
    <tableColumn id="9" name="2030" totalsRowFunction="sum" dataDxfId="2781" totalsRowDxfId="2780" dataCellStyle="Comma"/>
    <tableColumn id="10" name="2035" totalsRowFunction="sum" dataDxfId="2779" totalsRowDxfId="2778" dataCellStyle="Comma"/>
    <tableColumn id="11" name="2040" totalsRowFunction="sum" dataDxfId="2777" totalsRowDxfId="2776" dataCellStyle="Comma"/>
    <tableColumn id="12" name="2045" totalsRowFunction="sum" dataDxfId="2775" totalsRowDxfId="2774" dataCellStyle="Comma"/>
    <tableColumn id="13" name="2050" totalsRowFunction="sum" dataDxfId="2773" totalsRowDxfId="2772" dataCellStyle="Comma"/>
  </tableColumns>
  <tableStyleInfo name="EnergyCalcTables" showFirstColumn="0" showLastColumn="0" showRowStripes="1" showColumnStripes="0"/>
</table>
</file>

<file path=xl/tables/table69.xml><?xml version="1.0" encoding="utf-8"?>
<table xmlns="http://schemas.openxmlformats.org/spreadsheetml/2006/main" id="72" name="VI.a.Forestry.info" displayName="VI.a.Forestry.info" ref="C585:N586" totalsRowShown="0" headerRowDxfId="2771" dataDxfId="2769" totalsRowDxfId="2767" headerRowBorderDxfId="2770" tableBorderDxfId="2768">
  <autoFilter ref="C585:N586"/>
  <tableColumns count="12">
    <tableColumn id="1" name="Vector" dataDxfId="2766" totalsRowDxfId="2765"/>
    <tableColumn id="2" name="Information type" dataDxfId="2764" totalsRowDxfId="2763"/>
    <tableColumn id="3" name="Notes" dataDxfId="2762" totalsRowDxfId="2761">
      <calculatedColumnFormula>Preferences.AreaUnits</calculatedColumnFormula>
    </tableColumn>
    <tableColumn id="5" name="2010" dataDxfId="2760" totalsRowDxfId="2759" dataCellStyle="Comma">
      <calculatedColumnFormula>F305</calculatedColumnFormula>
    </tableColumn>
    <tableColumn id="6" name="2015" dataDxfId="2758" totalsRowDxfId="2757" dataCellStyle="Comma">
      <calculatedColumnFormula>G305</calculatedColumnFormula>
    </tableColumn>
    <tableColumn id="7" name="2020" dataDxfId="2756" totalsRowDxfId="2755" dataCellStyle="Comma">
      <calculatedColumnFormula>H305</calculatedColumnFormula>
    </tableColumn>
    <tableColumn id="8" name="2025" dataDxfId="2754" totalsRowDxfId="2753" dataCellStyle="Comma">
      <calculatedColumnFormula>I305</calculatedColumnFormula>
    </tableColumn>
    <tableColumn id="9" name="2030" dataDxfId="2752" totalsRowDxfId="2751" dataCellStyle="Comma">
      <calculatedColumnFormula>J305</calculatedColumnFormula>
    </tableColumn>
    <tableColumn id="10" name="2035" dataDxfId="2750" totalsRowDxfId="2749" dataCellStyle="Comma">
      <calculatedColumnFormula>K305</calculatedColumnFormula>
    </tableColumn>
    <tableColumn id="11" name="2040" dataDxfId="2748" totalsRowDxfId="2747" dataCellStyle="Comma">
      <calculatedColumnFormula>L305</calculatedColumnFormula>
    </tableColumn>
    <tableColumn id="12" name="2045" dataDxfId="2746" totalsRowDxfId="2745" dataCellStyle="Comma">
      <calculatedColumnFormula>M305</calculatedColumnFormula>
    </tableColumn>
    <tableColumn id="13" name="2050" dataDxfId="2744" totalsRowDxfId="2743" dataCellStyle="Comma">
      <calculatedColumnFormula>N305</calculatedColumnFormula>
    </tableColumn>
  </tableColumns>
  <tableStyleInfo name="EnergyCalcTables" showFirstColumn="0" showLastColumn="0" showRowStripes="1" showColumnStripes="0"/>
</table>
</file>

<file path=xl/tables/table7.xml><?xml version="1.0" encoding="utf-8"?>
<table xmlns="http://schemas.openxmlformats.org/spreadsheetml/2006/main" id="2" name="Workstreams" displayName="Workstreams" ref="B6:C24" totalsRowShown="0" headerRowDxfId="4219" dataDxfId="4218">
  <autoFilter ref="B6:C24"/>
  <tableColumns count="2">
    <tableColumn id="1" name="Code" dataDxfId="4217"/>
    <tableColumn id="2" name="Workstream" dataDxfId="4216"/>
  </tableColumns>
  <tableStyleInfo name="TableStyleMedium9" showFirstColumn="0" showLastColumn="0" showRowStripes="1" showColumnStripes="0"/>
</table>
</file>

<file path=xl/tables/table70.xml><?xml version="1.0" encoding="utf-8"?>
<table xmlns="http://schemas.openxmlformats.org/spreadsheetml/2006/main" id="76" name="VI.a.Biocrop.info" displayName="VI.a.Biocrop.info" ref="C580:N581" totalsRowShown="0" headerRowDxfId="2742" dataDxfId="2740" totalsRowDxfId="2738" headerRowBorderDxfId="2741" tableBorderDxfId="2739">
  <autoFilter ref="C580:N581"/>
  <tableColumns count="12">
    <tableColumn id="1" name="Vector" dataDxfId="2737" totalsRowDxfId="2736"/>
    <tableColumn id="2" name="Information type" dataDxfId="2735" totalsRowDxfId="2734"/>
    <tableColumn id="3" name="Notes" dataDxfId="2733" totalsRowDxfId="2732">
      <calculatedColumnFormula>Preferences.AreaUnits</calculatedColumnFormula>
    </tableColumn>
    <tableColumn id="5" name="2010" dataDxfId="2731" totalsRowDxfId="2730" dataCellStyle="Comma">
      <calculatedColumnFormula>F300+F301+F302</calculatedColumnFormula>
    </tableColumn>
    <tableColumn id="6" name="2015" dataDxfId="2729" totalsRowDxfId="2728" dataCellStyle="Comma">
      <calculatedColumnFormula>G300+G301+G302</calculatedColumnFormula>
    </tableColumn>
    <tableColumn id="7" name="2020" dataDxfId="2727" totalsRowDxfId="2726" dataCellStyle="Comma">
      <calculatedColumnFormula>H300+H301+H302</calculatedColumnFormula>
    </tableColumn>
    <tableColumn id="8" name="2025" dataDxfId="2725" totalsRowDxfId="2724" dataCellStyle="Comma">
      <calculatedColumnFormula>I300+I301+I302</calculatedColumnFormula>
    </tableColumn>
    <tableColumn id="9" name="2030" dataDxfId="2723" totalsRowDxfId="2722" dataCellStyle="Comma">
      <calculatedColumnFormula>J300+J301+J302</calculatedColumnFormula>
    </tableColumn>
    <tableColumn id="10" name="2035" dataDxfId="2721" totalsRowDxfId="2720" dataCellStyle="Comma">
      <calculatedColumnFormula>K300+K301+K302</calculatedColumnFormula>
    </tableColumn>
    <tableColumn id="11" name="2040" dataDxfId="2719" totalsRowDxfId="2718" dataCellStyle="Comma">
      <calculatedColumnFormula>L300+L301+L302</calculatedColumnFormula>
    </tableColumn>
    <tableColumn id="12" name="2045" dataDxfId="2717" totalsRowDxfId="2716" dataCellStyle="Comma">
      <calculatedColumnFormula>M300+M301+M302</calculatedColumnFormula>
    </tableColumn>
    <tableColumn id="13" name="2050" dataDxfId="2715" totalsRowDxfId="2714" dataCellStyle="Comma">
      <calculatedColumnFormula>N300+N301+N302</calculatedColumnFormula>
    </tableColumn>
  </tableColumns>
  <tableStyleInfo name="EnergyCalcTables" showFirstColumn="0" showLastColumn="0" showRowStripes="1" showColumnStripes="0"/>
</table>
</file>

<file path=xl/tables/table71.xml><?xml version="1.0" encoding="utf-8"?>
<table xmlns="http://schemas.openxmlformats.org/spreadsheetml/2006/main" id="78" name="VI.a.Emissions.Costs" displayName="VI.a.Emissions.Costs" ref="C593:N596" headerRowDxfId="2713" dataDxfId="2711" headerRowBorderDxfId="2712" tableBorderDxfId="2710">
  <autoFilter ref="C593:N596"/>
  <tableColumns count="12">
    <tableColumn id="1" name="Vector" totalsRowLabel="Total" dataDxfId="2709" totalsRowDxfId="2708"/>
    <tableColumn id="2" name="Name" dataDxfId="2707" totalsRowDxfId="2706">
      <calculatedColumnFormula>INDEX(CostVectors[Description], MATCH(C594, CostVectors[Code], 0))</calculatedColumnFormula>
    </tableColumn>
    <tableColumn id="3" name="Notes" dataDxfId="2705" totalsRowDxfId="2704"/>
    <tableColumn id="5" name="2010" totalsRowFunction="custom" dataDxfId="2703" totalsRowDxfId="2702" dataCellStyle="Comma">
      <totalsRowFormula>SUM(VI.a.Emissions.Costs[2010])</totalsRowFormula>
    </tableColumn>
    <tableColumn id="6" name="2015" totalsRowFunction="custom" dataDxfId="2701" totalsRowDxfId="2700" dataCellStyle="Comma">
      <totalsRowFormula>SUM(VI.a.Emissions.Costs[2015])</totalsRowFormula>
    </tableColumn>
    <tableColumn id="7" name="2020" totalsRowFunction="sum" dataDxfId="2699" totalsRowDxfId="2698" dataCellStyle="Comma"/>
    <tableColumn id="8" name="2025" totalsRowFunction="sum" dataDxfId="2697" totalsRowDxfId="2696" dataCellStyle="Comma"/>
    <tableColumn id="9" name="2030" totalsRowFunction="sum" dataDxfId="2695" totalsRowDxfId="2694" dataCellStyle="Comma"/>
    <tableColumn id="10" name="2035" totalsRowFunction="sum" dataDxfId="2693" totalsRowDxfId="2692" dataCellStyle="Comma"/>
    <tableColumn id="11" name="2040" totalsRowFunction="sum" dataDxfId="2691" totalsRowDxfId="2690" dataCellStyle="Comma"/>
    <tableColumn id="12" name="2045" totalsRowFunction="sum" dataDxfId="2689" totalsRowDxfId="2688" dataCellStyle="Comma"/>
    <tableColumn id="13" name="2050" totalsRowFunction="sum" dataDxfId="2687" totalsRowDxfId="2686" dataCellStyle="Comma"/>
  </tableColumns>
  <tableStyleInfo name="EnergyCalcTables" showFirstColumn="0" showLastColumn="0" showRowStripes="1" showColumnStripes="0"/>
</table>
</file>

<file path=xl/tables/table72.xml><?xml version="1.0" encoding="utf-8"?>
<table xmlns="http://schemas.openxmlformats.org/spreadsheetml/2006/main" id="205" name="VI.a.Bioenergy.Costs" displayName="VI.a.Bioenergy.Costs" ref="C600:N603" headerRowDxfId="2685" dataDxfId="2683" headerRowBorderDxfId="2684" tableBorderDxfId="2682">
  <autoFilter ref="C600:N603"/>
  <tableColumns count="12">
    <tableColumn id="1" name="Vector" totalsRowLabel="Total" dataDxfId="2681" totalsRowDxfId="2680"/>
    <tableColumn id="2" name="Name" dataDxfId="2679" totalsRowDxfId="2678">
      <calculatedColumnFormula>INDEX(CostVectors[Description], MATCH(C601, CostVectors[Code], 0))</calculatedColumnFormula>
    </tableColumn>
    <tableColumn id="3" name="Notes" dataDxfId="2677" totalsRowDxfId="2676"/>
    <tableColumn id="5" name="2010" totalsRowFunction="custom" dataDxfId="2675" totalsRowDxfId="2674" dataCellStyle="Comma">
      <totalsRowFormula>SUM(VI.a.Bioenergy.Costs[2010])</totalsRowFormula>
    </tableColumn>
    <tableColumn id="6" name="2015" totalsRowFunction="custom" dataDxfId="2673" totalsRowDxfId="2672" dataCellStyle="Comma">
      <totalsRowFormula>SUM(VI.a.Bioenergy.Costs[2015])</totalsRowFormula>
    </tableColumn>
    <tableColumn id="7" name="2020" totalsRowFunction="sum" dataDxfId="2671" totalsRowDxfId="2670" dataCellStyle="Comma"/>
    <tableColumn id="8" name="2025" totalsRowFunction="sum" dataDxfId="2669" totalsRowDxfId="2668" dataCellStyle="Comma"/>
    <tableColumn id="9" name="2030" totalsRowFunction="sum" dataDxfId="2667" totalsRowDxfId="2666" dataCellStyle="Comma"/>
    <tableColumn id="10" name="2035" totalsRowFunction="sum" dataDxfId="2665" totalsRowDxfId="2664" dataCellStyle="Comma"/>
    <tableColumn id="11" name="2040" totalsRowFunction="sum" dataDxfId="2663" totalsRowDxfId="2662" dataCellStyle="Comma"/>
    <tableColumn id="12" name="2045" totalsRowFunction="sum" dataDxfId="2661" totalsRowDxfId="2660" dataCellStyle="Comma"/>
    <tableColumn id="13" name="2050" totalsRowFunction="sum" dataDxfId="2659" totalsRowDxfId="2658" dataCellStyle="Comma"/>
  </tableColumns>
  <tableStyleInfo name="EnergyCalcTables" showFirstColumn="0" showLastColumn="0" showRowStripes="1" showColumnStripes="0"/>
</table>
</file>

<file path=xl/tables/table73.xml><?xml version="1.0" encoding="utf-8"?>
<table xmlns="http://schemas.openxmlformats.org/spreadsheetml/2006/main" id="303" name="VI.a.AQ" displayName="VI.a.AQ" ref="C569:N573" totalsRowShown="0" headerRowDxfId="2657" dataDxfId="2655" headerRowBorderDxfId="2656" tableBorderDxfId="2654" totalsRowBorderDxfId="2653">
  <autoFilter ref="C569:N573"/>
  <tableColumns count="12">
    <tableColumn id="1" name="Vector" dataDxfId="2652"/>
    <tableColumn id="2" name="Name" dataDxfId="2651">
      <calculatedColumnFormula>INDEX(AirQualityVectors[Description],MATCH(C570,AirQualityVectors[Code],0))</calculatedColumnFormula>
    </tableColumn>
    <tableColumn id="3" name="Notes" dataDxfId="2650"/>
    <tableColumn id="5" name="2010" dataDxfId="2649">
      <calculatedColumnFormula>F477</calculatedColumnFormula>
    </tableColumn>
    <tableColumn id="6" name="2015" dataDxfId="2648">
      <calculatedColumnFormula>G477</calculatedColumnFormula>
    </tableColumn>
    <tableColumn id="7" name="2020" dataDxfId="2647">
      <calculatedColumnFormula>H477</calculatedColumnFormula>
    </tableColumn>
    <tableColumn id="8" name="2025" dataDxfId="2646">
      <calculatedColumnFormula>I477</calculatedColumnFormula>
    </tableColumn>
    <tableColumn id="9" name="2030" dataDxfId="2645">
      <calculatedColumnFormula>J477</calculatedColumnFormula>
    </tableColumn>
    <tableColumn id="10" name="2035" dataDxfId="2644">
      <calculatedColumnFormula>K477</calculatedColumnFormula>
    </tableColumn>
    <tableColumn id="11" name="2040" dataDxfId="2643">
      <calculatedColumnFormula>L477</calculatedColumnFormula>
    </tableColumn>
    <tableColumn id="12" name="2045" dataDxfId="2642">
      <calculatedColumnFormula>M477</calculatedColumnFormula>
    </tableColumn>
    <tableColumn id="13" name="2050" dataDxfId="2641">
      <calculatedColumnFormula>N477</calculatedColumnFormula>
    </tableColumn>
  </tableColumns>
  <tableStyleInfo name="TableStyleMedium9" showFirstColumn="0" showLastColumn="0" showRowStripes="1" showColumnStripes="0"/>
</table>
</file>

<file path=xl/tables/table74.xml><?xml version="1.0" encoding="utf-8"?>
<table xmlns="http://schemas.openxmlformats.org/spreadsheetml/2006/main" id="79" name="VI.b.Outputs" displayName="VI.b.Outputs" ref="C527:N533" totalsRowCount="1" headerRowDxfId="2640" dataDxfId="2639">
  <autoFilter ref="C527:N532"/>
  <tableColumns count="12">
    <tableColumn id="1" name="Vector" totalsRowLabel="Total" dataDxfId="2638" totalsRowDxfId="2637"/>
    <tableColumn id="2" name="Name" dataDxfId="2636" totalsRowDxfId="2635">
      <calculatedColumnFormula>INDEX(Vectors[Description], MATCH(VI.b.Outputs[Vector], Vectors[Code], 0))</calculatedColumnFormula>
    </tableColumn>
    <tableColumn id="3" name="Notes" dataDxfId="2634" totalsRowDxfId="2633"/>
    <tableColumn id="5" name="2010" totalsRowFunction="sum" dataDxfId="2632" totalsRowDxfId="2631" dataCellStyle="Comma"/>
    <tableColumn id="6" name="2015" totalsRowFunction="sum" dataDxfId="2630" totalsRowDxfId="2629" dataCellStyle="Comma"/>
    <tableColumn id="7" name="2020" totalsRowFunction="sum" dataDxfId="2628" totalsRowDxfId="2627" dataCellStyle="Comma"/>
    <tableColumn id="8" name="2025" totalsRowFunction="sum" dataDxfId="2626" totalsRowDxfId="2625" dataCellStyle="Comma"/>
    <tableColumn id="9" name="2030" totalsRowFunction="sum" dataDxfId="2624" totalsRowDxfId="2623" dataCellStyle="Comma"/>
    <tableColumn id="10" name="2035" totalsRowFunction="sum" dataDxfId="2622" totalsRowDxfId="2621" dataCellStyle="Comma"/>
    <tableColumn id="11" name="2040" totalsRowFunction="sum" dataDxfId="2620" totalsRowDxfId="2619" dataCellStyle="Comma"/>
    <tableColumn id="12" name="2045" totalsRowFunction="sum" dataDxfId="2618" totalsRowDxfId="2617" dataCellStyle="Comma"/>
    <tableColumn id="13" name="2050" totalsRowFunction="sum" dataDxfId="2616" totalsRowDxfId="2615" dataCellStyle="Comma"/>
  </tableColumns>
  <tableStyleInfo name="EnergyCalcTables" showFirstColumn="0" showLastColumn="0" showRowStripes="1" showColumnStripes="0"/>
</table>
</file>

<file path=xl/tables/table75.xml><?xml version="1.0" encoding="utf-8"?>
<table xmlns="http://schemas.openxmlformats.org/spreadsheetml/2006/main" id="80" name="VI.b.Emissions" displayName="VI.b.Emissions" ref="C540:N544" totalsRowCount="1" headerRowDxfId="2614" dataDxfId="2612" headerRowBorderDxfId="2613" tableBorderDxfId="2611">
  <autoFilter ref="C540:N543"/>
  <tableColumns count="12">
    <tableColumn id="1" name="GHG" totalsRowLabel="Total" dataDxfId="2610" totalsRowDxfId="2609"/>
    <tableColumn id="2" name="IPCC Sector" dataDxfId="2608" totalsRowDxfId="2607"/>
    <tableColumn id="3" name="Notes" dataDxfId="2606" totalsRowDxfId="2605">
      <calculatedColumnFormula>INDEX(IPCC[Sector_description], MATCH(VI.b.Emissions[IPCC Sector], IPCC[Sector_code], 0))</calculatedColumnFormula>
    </tableColumn>
    <tableColumn id="5" name="2010" totalsRowFunction="sum" dataDxfId="2604" totalsRowDxfId="2603" dataCellStyle="Comma"/>
    <tableColumn id="6" name="2015" totalsRowFunction="sum" dataDxfId="2602" totalsRowDxfId="2601" dataCellStyle="Comma"/>
    <tableColumn id="7" name="2020" totalsRowFunction="sum" dataDxfId="2600" totalsRowDxfId="2599" dataCellStyle="Comma"/>
    <tableColumn id="8" name="2025" totalsRowFunction="sum" dataDxfId="2598" totalsRowDxfId="2597" dataCellStyle="Comma"/>
    <tableColumn id="9" name="2030" totalsRowFunction="sum" dataDxfId="2596" totalsRowDxfId="2595" dataCellStyle="Comma"/>
    <tableColumn id="10" name="2035" totalsRowFunction="sum" dataDxfId="2594" totalsRowDxfId="2593" dataCellStyle="Comma"/>
    <tableColumn id="11" name="2040" totalsRowFunction="sum" dataDxfId="2592" totalsRowDxfId="2591" dataCellStyle="Comma"/>
    <tableColumn id="12" name="2045" totalsRowFunction="sum" dataDxfId="2590" totalsRowDxfId="2589" dataCellStyle="Comma"/>
    <tableColumn id="13" name="2050" totalsRowFunction="sum" dataDxfId="2588" totalsRowDxfId="2587" dataCellStyle="Comma"/>
  </tableColumns>
  <tableStyleInfo name="EnergyCalcTables" showFirstColumn="0" showLastColumn="0" showRowStripes="1" showColumnStripes="0"/>
</table>
</file>

<file path=xl/tables/table76.xml><?xml version="1.0" encoding="utf-8"?>
<table xmlns="http://schemas.openxmlformats.org/spreadsheetml/2006/main" id="81" name="VI.b.info" displayName="VI.b.info" ref="C559:N560" totalsRowShown="0" headerRowDxfId="2586" dataDxfId="2584" totalsRowDxfId="2582" headerRowBorderDxfId="2585" tableBorderDxfId="2583">
  <autoFilter ref="C559:N560"/>
  <tableColumns count="12">
    <tableColumn id="1" name="Vector" dataDxfId="2581" totalsRowDxfId="2580"/>
    <tableColumn id="2" name="Information type" dataDxfId="2579" totalsRowDxfId="2578"/>
    <tableColumn id="3" name="Notes" dataDxfId="2577" totalsRowDxfId="2576"/>
    <tableColumn id="5" name="2010" dataDxfId="2575" totalsRowDxfId="2574" dataCellStyle="Comma">
      <calculatedColumnFormula>F442</calculatedColumnFormula>
    </tableColumn>
    <tableColumn id="6" name="2015" dataDxfId="2573" totalsRowDxfId="2572" dataCellStyle="Comma">
      <calculatedColumnFormula>G442</calculatedColumnFormula>
    </tableColumn>
    <tableColumn id="7" name="2020" dataDxfId="2571" totalsRowDxfId="2570" dataCellStyle="Comma">
      <calculatedColumnFormula>H442</calculatedColumnFormula>
    </tableColumn>
    <tableColumn id="8" name="2025" dataDxfId="2569" totalsRowDxfId="2568" dataCellStyle="Comma">
      <calculatedColumnFormula>I442</calculatedColumnFormula>
    </tableColumn>
    <tableColumn id="9" name="2030" dataDxfId="2567" totalsRowDxfId="2566" dataCellStyle="Comma">
      <calculatedColumnFormula>J442</calculatedColumnFormula>
    </tableColumn>
    <tableColumn id="10" name="2035" dataDxfId="2565" totalsRowDxfId="2564" dataCellStyle="Comma">
      <calculatedColumnFormula>K442</calculatedColumnFormula>
    </tableColumn>
    <tableColumn id="11" name="2040" dataDxfId="2563" totalsRowDxfId="2562" dataCellStyle="Comma">
      <calculatedColumnFormula>L442</calculatedColumnFormula>
    </tableColumn>
    <tableColumn id="12" name="2045" dataDxfId="2561" totalsRowDxfId="2560" dataCellStyle="Comma">
      <calculatedColumnFormula>M442</calculatedColumnFormula>
    </tableColumn>
    <tableColumn id="13" name="2050" dataDxfId="2559" totalsRowDxfId="2558" dataCellStyle="Comma">
      <calculatedColumnFormula>N442</calculatedColumnFormula>
    </tableColumn>
  </tableColumns>
  <tableStyleInfo name="EnergyCalcTables" showFirstColumn="0" showLastColumn="0" showRowStripes="1" showColumnStripes="0"/>
</table>
</file>

<file path=xl/tables/table77.xml><?xml version="1.0" encoding="utf-8"?>
<table xmlns="http://schemas.openxmlformats.org/spreadsheetml/2006/main" id="83" name="VI.b.Bioenergy.Costs" displayName="VI.b.Bioenergy.Costs" ref="C567:N573" headerRowDxfId="2557" dataDxfId="2555" headerRowBorderDxfId="2556" tableBorderDxfId="2554">
  <autoFilter ref="C567:N573"/>
  <tableColumns count="12">
    <tableColumn id="1" name="Vector" totalsRowLabel="Total" dataDxfId="2553" totalsRowDxfId="2552"/>
    <tableColumn id="2" name="Name" dataDxfId="2551" totalsRowDxfId="2550">
      <calculatedColumnFormula>INDEX(CostVectors[Description], MATCH(#REF!, CostVectors[Code], 0))</calculatedColumnFormula>
    </tableColumn>
    <tableColumn id="3" name="Notes" dataDxfId="2549" totalsRowDxfId="2548"/>
    <tableColumn id="5" name="2010" totalsRowFunction="custom" dataDxfId="2547" totalsRowDxfId="2546" dataCellStyle="Comma">
      <totalsRowFormula>SUM(VI.b.Bioenergy.Costs[2010])</totalsRowFormula>
    </tableColumn>
    <tableColumn id="6" name="2015" totalsRowFunction="custom" dataDxfId="2545" totalsRowDxfId="2544" dataCellStyle="Comma">
      <totalsRowFormula>SUM(VI.b.Bioenergy.Costs[2015])</totalsRowFormula>
    </tableColumn>
    <tableColumn id="7" name="2020" totalsRowFunction="sum" dataDxfId="2543" totalsRowDxfId="2542" dataCellStyle="Comma"/>
    <tableColumn id="8" name="2025" totalsRowFunction="sum" dataDxfId="2541" totalsRowDxfId="2540" dataCellStyle="Comma"/>
    <tableColumn id="9" name="2030" totalsRowFunction="sum" dataDxfId="2539" totalsRowDxfId="2538" dataCellStyle="Comma"/>
    <tableColumn id="10" name="2035" totalsRowFunction="sum" dataDxfId="2537" totalsRowDxfId="2536" dataCellStyle="Comma"/>
    <tableColumn id="11" name="2040" totalsRowFunction="sum" dataDxfId="2535" totalsRowDxfId="2534" dataCellStyle="Comma"/>
    <tableColumn id="12" name="2045" totalsRowFunction="sum" dataDxfId="2533" totalsRowDxfId="2532" dataCellStyle="Comma"/>
    <tableColumn id="13" name="2050" totalsRowFunction="sum" dataDxfId="2531" totalsRowDxfId="2530" dataCellStyle="Comma"/>
  </tableColumns>
  <tableStyleInfo name="EnergyCalcTables" showFirstColumn="0" showLastColumn="0" showRowStripes="1" showColumnStripes="0"/>
</table>
</file>

<file path=xl/tables/table78.xml><?xml version="1.0" encoding="utf-8"?>
<table xmlns="http://schemas.openxmlformats.org/spreadsheetml/2006/main" id="204" name="VI.b.Waste.Costs" displayName="VI.b.Waste.Costs" ref="C578:N584" headerRowDxfId="2529" dataDxfId="2527" totalsRowDxfId="2525" headerRowBorderDxfId="2528" tableBorderDxfId="2526" dataCellStyle="Comma">
  <autoFilter ref="C578:N584"/>
  <tableColumns count="12">
    <tableColumn id="1" name="Vector" totalsRowLabel="Total" dataDxfId="2524" totalsRowDxfId="2523"/>
    <tableColumn id="2" name="Name" dataDxfId="2522" totalsRowDxfId="2521">
      <calculatedColumnFormula>INDEX(CostVectors[Description], MATCH(C579, CostVectors[Code], 0))</calculatedColumnFormula>
    </tableColumn>
    <tableColumn id="3" name="Notes" dataDxfId="2520" totalsRowDxfId="2519"/>
    <tableColumn id="5" name="2010" totalsRowFunction="custom" dataDxfId="2518" totalsRowDxfId="2517" dataCellStyle="Comma">
      <totalsRowFormula>SUM(VI.b.Waste.Costs[2010])</totalsRowFormula>
    </tableColumn>
    <tableColumn id="6" name="2015" totalsRowFunction="custom" dataDxfId="2516" totalsRowDxfId="2515" dataCellStyle="Comma">
      <totalsRowFormula>SUM(VI.b.Waste.Costs[2015])</totalsRowFormula>
    </tableColumn>
    <tableColumn id="7" name="2020" totalsRowFunction="sum" dataDxfId="2514" totalsRowDxfId="2513" dataCellStyle="Comma"/>
    <tableColumn id="8" name="2025" totalsRowFunction="sum" dataDxfId="2512" totalsRowDxfId="2511" dataCellStyle="Comma"/>
    <tableColumn id="9" name="2030" totalsRowFunction="sum" dataDxfId="2510" totalsRowDxfId="2509" dataCellStyle="Comma"/>
    <tableColumn id="10" name="2035" totalsRowFunction="sum" dataDxfId="2508" totalsRowDxfId="2507" dataCellStyle="Comma"/>
    <tableColumn id="11" name="2040" totalsRowFunction="sum" dataDxfId="2506" totalsRowDxfId="2505" dataCellStyle="Comma"/>
    <tableColumn id="12" name="2045" totalsRowFunction="sum" dataDxfId="2504" totalsRowDxfId="2503" dataCellStyle="Comma"/>
    <tableColumn id="13" name="2050" totalsRowFunction="sum" dataDxfId="2502" totalsRowDxfId="2501" dataCellStyle="Comma"/>
  </tableColumns>
  <tableStyleInfo name="EnergyCalcTables" showFirstColumn="0" showLastColumn="0" showRowStripes="1" showColumnStripes="0"/>
</table>
</file>

<file path=xl/tables/table79.xml><?xml version="1.0" encoding="utf-8"?>
<table xmlns="http://schemas.openxmlformats.org/spreadsheetml/2006/main" id="304" name="VI.b.AQ" displayName="VI.b.AQ" ref="C548:N552" totalsRowShown="0" headerRowDxfId="2500" dataDxfId="2498" headerRowBorderDxfId="2499" tableBorderDxfId="2497">
  <autoFilter ref="C548:N552"/>
  <tableColumns count="12">
    <tableColumn id="1" name="Vector" dataDxfId="2496"/>
    <tableColumn id="2" name="Name" dataDxfId="2495">
      <calculatedColumnFormula>INDEX(AirQualityVectors[Description],MATCH(C549,AirQualityVectors[Code],0))</calculatedColumnFormula>
    </tableColumn>
    <tableColumn id="3" name="Notes" dataDxfId="2494"/>
    <tableColumn id="5" name="2010" dataDxfId="2493"/>
    <tableColumn id="6" name="2015" dataDxfId="2492"/>
    <tableColumn id="7" name="2020" dataDxfId="2491"/>
    <tableColumn id="8" name="2025" dataDxfId="2490"/>
    <tableColumn id="9" name="2030" dataDxfId="2489"/>
    <tableColumn id="10" name="2035" dataDxfId="2488"/>
    <tableColumn id="11" name="2040" dataDxfId="2487"/>
    <tableColumn id="12" name="2045" dataDxfId="2486"/>
    <tableColumn id="13" name="2050" dataDxfId="2485"/>
  </tableColumns>
  <tableStyleInfo showFirstColumn="0" showLastColumn="0" showRowStripes="0" showColumnStripes="0"/>
</table>
</file>

<file path=xl/tables/table8.xml><?xml version="1.0" encoding="utf-8"?>
<table xmlns="http://schemas.openxmlformats.org/spreadsheetml/2006/main" id="5" name="Modules" displayName="Modules" ref="F6:J35" totalsRowShown="0" headerRowDxfId="4215" dataDxfId="4214">
  <autoFilter ref="F6:J35"/>
  <sortState ref="J5:Q20">
    <sortCondition ref="J3:J19"/>
  </sortState>
  <tableColumns count="5">
    <tableColumn id="1" name="Code" dataDxfId="4213"/>
    <tableColumn id="2" name="Module" dataDxfId="4212"/>
    <tableColumn id="7" name="WS Code" dataDxfId="4211">
      <calculatedColumnFormula>LEFT(Modules[Code], FIND(".", Modules[Code])-1)</calculatedColumnFormula>
    </tableColumn>
    <tableColumn id="6" name="Workstream" dataDxfId="4210">
      <calculatedColumnFormula>INDEX(Workstreams[Workstream], MATCH(Modules[WS Code], Workstreams[Code], 0))</calculatedColumnFormula>
    </tableColumn>
    <tableColumn id="3" name="Comments" dataDxfId="4209"/>
  </tableColumns>
  <tableStyleInfo name="TableStyleMedium9" showFirstColumn="0" showLastColumn="0" showRowStripes="1" showColumnStripes="0"/>
</table>
</file>

<file path=xl/tables/table80.xml><?xml version="1.0" encoding="utf-8"?>
<table xmlns="http://schemas.openxmlformats.org/spreadsheetml/2006/main" id="211" name="VII.a.Outputs" displayName="VII.a.Outputs" ref="C149:N152" totalsRowCount="1" headerRowDxfId="2484" dataDxfId="2483">
  <autoFilter ref="C149:N151"/>
  <tableColumns count="12">
    <tableColumn id="1" name="Vector" totalsRowLabel="Total" dataDxfId="2482" totalsRowDxfId="2481"/>
    <tableColumn id="2" name="Name" dataDxfId="2480" totalsRowDxfId="2479">
      <calculatedColumnFormula>INDEX(Vectors[Description], MATCH(VII.a.Outputs[Vector], Vectors[Code], 0))</calculatedColumnFormula>
    </tableColumn>
    <tableColumn id="3" name="Notes" dataDxfId="2478" totalsRowDxfId="2477"/>
    <tableColumn id="5" name="2010" totalsRowFunction="sum" dataDxfId="2476" totalsRowDxfId="2475" dataCellStyle="Comma"/>
    <tableColumn id="6" name="2015" totalsRowFunction="sum" dataDxfId="2474" totalsRowDxfId="2473" dataCellStyle="Comma"/>
    <tableColumn id="7" name="2020" totalsRowFunction="sum" dataDxfId="2472" totalsRowDxfId="2471" dataCellStyle="Comma"/>
    <tableColumn id="8" name="2025" totalsRowFunction="sum" dataDxfId="2470" totalsRowDxfId="2469" dataCellStyle="Comma"/>
    <tableColumn id="9" name="2030" totalsRowFunction="sum" dataDxfId="2468" totalsRowDxfId="2467" dataCellStyle="Comma"/>
    <tableColumn id="10" name="2035" totalsRowFunction="sum" dataDxfId="2466" totalsRowDxfId="2465" dataCellStyle="Comma"/>
    <tableColumn id="11" name="2040" totalsRowFunction="sum" dataDxfId="2464" totalsRowDxfId="2463" dataCellStyle="Comma"/>
    <tableColumn id="12" name="2045" totalsRowFunction="sum" dataDxfId="2462" totalsRowDxfId="2461" dataCellStyle="Comma"/>
    <tableColumn id="13" name="2050" totalsRowFunction="sum" dataDxfId="2460" totalsRowDxfId="2459" dataCellStyle="Comma"/>
  </tableColumns>
  <tableStyleInfo name="EnergyCalcTables" showFirstColumn="0" showLastColumn="0" showRowStripes="1" showColumnStripes="0"/>
</table>
</file>

<file path=xl/tables/table81.xml><?xml version="1.0" encoding="utf-8"?>
<table xmlns="http://schemas.openxmlformats.org/spreadsheetml/2006/main" id="212" name="VII.a.info" displayName="VII.a.info" ref="C159:N160" totalsRowShown="0" headerRowDxfId="2458" dataDxfId="2456" totalsRowDxfId="2454" headerRowBorderDxfId="2457" tableBorderDxfId="2455" dataCellStyle="Comma">
  <autoFilter ref="C159:N160"/>
  <tableColumns count="12">
    <tableColumn id="1" name="Vector" dataDxfId="2453" totalsRowDxfId="2452"/>
    <tableColumn id="2" name="Information type" dataDxfId="2451" totalsRowDxfId="2450">
      <calculatedColumnFormula>INDEX([2]!Vectors[Description], MATCH(VII.a.info[Vector], [2]!Vectors[Code], 0))</calculatedColumnFormula>
    </tableColumn>
    <tableColumn id="3" name="Notes" dataDxfId="2449" totalsRowDxfId="2448">
      <calculatedColumnFormula>INDEX([2]!Vectors[Comment], MATCH(VII.a.info[Information type], [2]!Vectors[Description], 0))</calculatedColumnFormula>
    </tableColumn>
    <tableColumn id="5" name="2010" dataDxfId="2447" totalsRowDxfId="2446" dataCellStyle="Comma"/>
    <tableColumn id="6" name="2015" dataDxfId="2445" totalsRowDxfId="2444" dataCellStyle="Comma"/>
    <tableColumn id="7" name="2020" dataDxfId="2443" totalsRowDxfId="2442" dataCellStyle="Comma"/>
    <tableColumn id="8" name="2025" dataDxfId="2441" totalsRowDxfId="2440" dataCellStyle="Comma"/>
    <tableColumn id="9" name="2030" dataDxfId="2439" totalsRowDxfId="2438" dataCellStyle="Comma"/>
    <tableColumn id="10" name="2035" dataDxfId="2437" totalsRowDxfId="2436" dataCellStyle="Comma"/>
    <tableColumn id="11" name="2040" dataDxfId="2435" totalsRowDxfId="2434" dataCellStyle="Comma"/>
    <tableColumn id="12" name="2045" dataDxfId="2433" totalsRowDxfId="2432" dataCellStyle="Comma"/>
    <tableColumn id="13" name="2050" dataDxfId="2431" totalsRowDxfId="2430" dataCellStyle="Comma"/>
  </tableColumns>
  <tableStyleInfo name="EnergyCalcTables" showFirstColumn="0" showLastColumn="0" showRowStripes="1" showColumnStripes="0"/>
</table>
</file>

<file path=xl/tables/table82.xml><?xml version="1.0" encoding="utf-8"?>
<table xmlns="http://schemas.openxmlformats.org/spreadsheetml/2006/main" id="8" name="VII.b.Inputs" displayName="VII.b.Inputs" ref="C8:N9" totalsRowShown="0" headerRowDxfId="2428" dataDxfId="2427">
  <autoFilter ref="C8:N9"/>
  <tableColumns count="12">
    <tableColumn id="1" name="Vector" dataDxfId="2426"/>
    <tableColumn id="2" name="Name" dataDxfId="2425">
      <calculatedColumnFormula>INDEX(Vectors[Description], MATCH(VII.b.Inputs[Vector], Vectors[Code], 0))</calculatedColumnFormula>
    </tableColumn>
    <tableColumn id="3" name="Notes" dataDxfId="2424"/>
    <tableColumn id="5" name="2010" dataDxfId="2423" dataCellStyle="Comma">
      <calculatedColumnFormula>INDEX(INDIRECT("'"&amp;VII.b.Inputs[#Headers]&amp;"'!Year.Matrix"), MATCH("Subtotal."&amp;$A$2, INDIRECT("'"&amp;VII.b.Inputs[#Headers]&amp;"'!Year.Modules"), 0), MATCH(VII.b.Inputs[Vector], INDIRECT("'"&amp;VII.b.Inputs[#Headers]&amp;"'!Year.Vectors"), 0))</calculatedColumnFormula>
    </tableColumn>
    <tableColumn id="6" name="2015" dataDxfId="2422" dataCellStyle="Comma">
      <calculatedColumnFormula>INDEX(INDIRECT("'"&amp;VII.b.Inputs[#Headers]&amp;"'!Year.Matrix"), MATCH("Subtotal."&amp;$A$2, INDIRECT("'"&amp;VII.b.Inputs[#Headers]&amp;"'!Year.Modules"), 0), MATCH(VII.b.Inputs[Vector], INDIRECT("'"&amp;VII.b.Inputs[#Headers]&amp;"'!Year.Vectors"), 0))</calculatedColumnFormula>
    </tableColumn>
    <tableColumn id="7" name="2020" dataDxfId="2421" dataCellStyle="Comma">
      <calculatedColumnFormula>INDEX(INDIRECT("'"&amp;VII.b.Inputs[#Headers]&amp;"'!Year.Matrix"), MATCH("Subtotal."&amp;$A$2, INDIRECT("'"&amp;VII.b.Inputs[#Headers]&amp;"'!Year.Modules"), 0), MATCH(VII.b.Inputs[Vector], INDIRECT("'"&amp;VII.b.Inputs[#Headers]&amp;"'!Year.Vectors"), 0))</calculatedColumnFormula>
    </tableColumn>
    <tableColumn id="15" name="2025" dataDxfId="2420" dataCellStyle="Comma">
      <calculatedColumnFormula>INDEX(INDIRECT("'"&amp;VII.b.Inputs[#Headers]&amp;"'!Year.Matrix"), MATCH("Subtotal."&amp;$A$2, INDIRECT("'"&amp;VII.b.Inputs[#Headers]&amp;"'!Year.Modules"), 0), MATCH(VII.b.Inputs[Vector], INDIRECT("'"&amp;VII.b.Inputs[#Headers]&amp;"'!Year.Vectors"), 0))</calculatedColumnFormula>
    </tableColumn>
    <tableColumn id="16" name="2030" dataDxfId="2419" dataCellStyle="Comma">
      <calculatedColumnFormula>INDEX(INDIRECT("'"&amp;VII.b.Inputs[#Headers]&amp;"'!Year.Matrix"), MATCH("Subtotal."&amp;$A$2, INDIRECT("'"&amp;VII.b.Inputs[#Headers]&amp;"'!Year.Modules"), 0), MATCH(VII.b.Inputs[Vector], INDIRECT("'"&amp;VII.b.Inputs[#Headers]&amp;"'!Year.Vectors"), 0))</calculatedColumnFormula>
    </tableColumn>
    <tableColumn id="17" name="2035" dataDxfId="2418" dataCellStyle="Comma">
      <calculatedColumnFormula>INDEX(INDIRECT("'"&amp;VII.b.Inputs[#Headers]&amp;"'!Year.Matrix"), MATCH("Subtotal."&amp;$A$2, INDIRECT("'"&amp;VII.b.Inputs[#Headers]&amp;"'!Year.Modules"), 0), MATCH(VII.b.Inputs[Vector], INDIRECT("'"&amp;VII.b.Inputs[#Headers]&amp;"'!Year.Vectors"), 0))</calculatedColumnFormula>
    </tableColumn>
    <tableColumn id="18" name="2040" dataDxfId="2417" dataCellStyle="Comma">
      <calculatedColumnFormula>INDEX(INDIRECT("'"&amp;VII.b.Inputs[#Headers]&amp;"'!Year.Matrix"), MATCH("Subtotal."&amp;$A$2, INDIRECT("'"&amp;VII.b.Inputs[#Headers]&amp;"'!Year.Modules"), 0), MATCH(VII.b.Inputs[Vector], INDIRECT("'"&amp;VII.b.Inputs[#Headers]&amp;"'!Year.Vectors"), 0))</calculatedColumnFormula>
    </tableColumn>
    <tableColumn id="19" name="2045" dataDxfId="2416" dataCellStyle="Comma">
      <calculatedColumnFormula>INDEX(INDIRECT("'"&amp;VII.b.Inputs[#Headers]&amp;"'!Year.Matrix"), MATCH("Subtotal."&amp;$A$2, INDIRECT("'"&amp;VII.b.Inputs[#Headers]&amp;"'!Year.Modules"), 0), MATCH(VII.b.Inputs[Vector], INDIRECT("'"&amp;VII.b.Inputs[#Headers]&amp;"'!Year.Vectors"), 0))</calculatedColumnFormula>
    </tableColumn>
    <tableColumn id="20" name="2050" dataDxfId="2415" dataCellStyle="Comma">
      <calculatedColumnFormula>INDEX(INDIRECT("'"&amp;VII.b.Inputs[#Headers]&amp;"'!Year.Matrix"), MATCH("Subtotal."&amp;$A$2, INDIRECT("'"&amp;VII.b.Inputs[#Headers]&amp;"'!Year.Modules"), 0), MATCH(VII.b.Inputs[Vector], INDIRECT("'"&amp;VII.b.Inputs[#Headers]&amp;"'!Year.Vectors"), 0))</calculatedColumnFormula>
    </tableColumn>
  </tableColumns>
  <tableStyleInfo name="EnergyCalcTables" showFirstColumn="0" showLastColumn="0" showRowStripes="1" showColumnStripes="0"/>
</table>
</file>

<file path=xl/tables/table83.xml><?xml version="1.0" encoding="utf-8"?>
<table xmlns="http://schemas.openxmlformats.org/spreadsheetml/2006/main" id="9" name="VII.b.Outputs" displayName="VII.b.Outputs" ref="C114:N117" totalsRowCount="1" headerRowDxfId="2414" dataDxfId="2413">
  <autoFilter ref="C114:N116"/>
  <tableColumns count="12">
    <tableColumn id="1" name="Vector" totalsRowLabel="Total" dataDxfId="2412" totalsRowDxfId="2411"/>
    <tableColumn id="2" name="Name" dataDxfId="2410" totalsRowDxfId="2409">
      <calculatedColumnFormula>INDEX(Vectors[Description], MATCH(VII.b.Outputs[Vector], Vectors[Code], 0))</calculatedColumnFormula>
    </tableColumn>
    <tableColumn id="3" name="Notes" dataDxfId="2408" totalsRowDxfId="2407"/>
    <tableColumn id="5" name="2010" totalsRowFunction="sum" dataDxfId="2406" totalsRowDxfId="2405" dataCellStyle="Comma"/>
    <tableColumn id="6" name="2015" totalsRowFunction="sum" dataDxfId="2404" totalsRowDxfId="2403" dataCellStyle="Comma"/>
    <tableColumn id="7" name="2020" totalsRowFunction="sum" dataDxfId="2402" totalsRowDxfId="2401" dataCellStyle="Comma"/>
    <tableColumn id="8" name="2025" totalsRowFunction="sum" dataDxfId="2400" totalsRowDxfId="2399" dataCellStyle="Comma"/>
    <tableColumn id="9" name="2030" totalsRowFunction="sum" dataDxfId="2398" totalsRowDxfId="2397" dataCellStyle="Comma"/>
    <tableColumn id="10" name="2035" totalsRowFunction="sum" dataDxfId="2396" totalsRowDxfId="2395" dataCellStyle="Comma"/>
    <tableColumn id="11" name="2040" totalsRowFunction="sum" dataDxfId="2394" totalsRowDxfId="2393" dataCellStyle="Comma"/>
    <tableColumn id="12" name="2045" totalsRowFunction="sum" dataDxfId="2392" totalsRowDxfId="2391" dataCellStyle="Comma"/>
    <tableColumn id="13" name="2050" totalsRowFunction="sum" dataDxfId="2390" totalsRowDxfId="2389" dataCellStyle="Comma"/>
  </tableColumns>
  <tableStyleInfo name="EnergyCalcTables" showFirstColumn="0" showLastColumn="0" showRowStripes="1" showColumnStripes="0"/>
</table>
</file>

<file path=xl/tables/table84.xml><?xml version="1.0" encoding="utf-8"?>
<table xmlns="http://schemas.openxmlformats.org/spreadsheetml/2006/main" id="100" name="VII.b.info" displayName="VII.b.info" ref="C124:N126" totalsRowShown="0" headerRowDxfId="2388" dataDxfId="2386" totalsRowDxfId="2384" headerRowBorderDxfId="2387" tableBorderDxfId="2385" dataCellStyle="Comma">
  <autoFilter ref="C124:N126"/>
  <tableColumns count="12">
    <tableColumn id="1" name="Vector" dataDxfId="2383" totalsRowDxfId="2382"/>
    <tableColumn id="2" name="Information type" dataDxfId="2381" totalsRowDxfId="2380"/>
    <tableColumn id="3" name="Notes" dataDxfId="2379" totalsRowDxfId="2378"/>
    <tableColumn id="5" name="2010" dataDxfId="2377" totalsRowDxfId="2376" dataCellStyle="Comma"/>
    <tableColumn id="6" name="2015" dataDxfId="2375" totalsRowDxfId="2374" dataCellStyle="Comma"/>
    <tableColumn id="7" name="2020" dataDxfId="2373" totalsRowDxfId="2372" dataCellStyle="Comma"/>
    <tableColumn id="8" name="2025" dataDxfId="2371" totalsRowDxfId="2370" dataCellStyle="Comma"/>
    <tableColumn id="9" name="2030" dataDxfId="2369" totalsRowDxfId="2368" dataCellStyle="Comma"/>
    <tableColumn id="10" name="2035" dataDxfId="2367" totalsRowDxfId="2366" dataCellStyle="Comma"/>
    <tableColumn id="11" name="2040" dataDxfId="2365" totalsRowDxfId="2364" dataCellStyle="Comma"/>
    <tableColumn id="12" name="2045" dataDxfId="2363" totalsRowDxfId="2362" dataCellStyle="Comma"/>
    <tableColumn id="13" name="2050" dataDxfId="2361" totalsRowDxfId="2360" dataCellStyle="Comma"/>
  </tableColumns>
  <tableStyleInfo name="EnergyCalcTables" showFirstColumn="0" showLastColumn="0" showRowStripes="1" showColumnStripes="0"/>
</table>
</file>

<file path=xl/tables/table85.xml><?xml version="1.0" encoding="utf-8"?>
<table xmlns="http://schemas.openxmlformats.org/spreadsheetml/2006/main" id="66" name="VII.b.Costs" displayName="VII.b.Costs" ref="C133:N139" headerRowDxfId="2359" dataDxfId="2357" headerRowBorderDxfId="2358" tableBorderDxfId="2356" dataCellStyle="Comma">
  <autoFilter ref="C133:N139"/>
  <tableColumns count="12">
    <tableColumn id="1" name="Vector" totalsRowLabel="Total" dataDxfId="2355" totalsRowDxfId="2354"/>
    <tableColumn id="2" name="Name" dataDxfId="2353" totalsRowDxfId="2352">
      <calculatedColumnFormula>INDEX([7]!CostVectors[Description], MATCH(C134, [7]!CostVectors[Code], 0))</calculatedColumnFormula>
    </tableColumn>
    <tableColumn id="3" name="Notes" dataDxfId="2351" totalsRowDxfId="2350"/>
    <tableColumn id="5" name="2010" totalsRowFunction="custom" dataDxfId="2349" totalsRowDxfId="2348" dataCellStyle="Comma">
      <calculatedColumnFormula>F74+F94</calculatedColumnFormula>
      <totalsRowFormula>SUM(VII.b.Costs[2010])</totalsRowFormula>
    </tableColumn>
    <tableColumn id="6" name="2015" totalsRowFunction="custom" dataDxfId="2347" totalsRowDxfId="2346" dataCellStyle="Comma">
      <calculatedColumnFormula>G74+G94</calculatedColumnFormula>
      <totalsRowFormula>SUM(VII.b.Costs[2015])</totalsRowFormula>
    </tableColumn>
    <tableColumn id="7" name="2020" totalsRowFunction="sum" dataDxfId="2345" totalsRowDxfId="2344" dataCellStyle="Comma">
      <calculatedColumnFormula>H74+H94</calculatedColumnFormula>
    </tableColumn>
    <tableColumn id="8" name="2025" totalsRowFunction="sum" dataDxfId="2343" totalsRowDxfId="2342" dataCellStyle="Comma">
      <calculatedColumnFormula>I74+I94</calculatedColumnFormula>
    </tableColumn>
    <tableColumn id="9" name="2030" totalsRowFunction="sum" dataDxfId="2341" totalsRowDxfId="2340" dataCellStyle="Comma">
      <calculatedColumnFormula>J74+J94</calculatedColumnFormula>
    </tableColumn>
    <tableColumn id="10" name="2035" totalsRowFunction="sum" dataDxfId="2339" totalsRowDxfId="2338" dataCellStyle="Comma">
      <calculatedColumnFormula>K74+K94</calculatedColumnFormula>
    </tableColumn>
    <tableColumn id="11" name="2040" totalsRowFunction="sum" dataDxfId="2337" totalsRowDxfId="2336" dataCellStyle="Comma">
      <calculatedColumnFormula>L74+L94</calculatedColumnFormula>
    </tableColumn>
    <tableColumn id="12" name="2045" totalsRowFunction="sum" dataDxfId="2335" totalsRowDxfId="2334" dataCellStyle="Comma">
      <calculatedColumnFormula>M74+M94</calculatedColumnFormula>
    </tableColumn>
    <tableColumn id="13" name="2050" totalsRowFunction="sum" dataDxfId="2333" totalsRowDxfId="2332" dataCellStyle="Comma">
      <calculatedColumnFormula>N74+N94</calculatedColumnFormula>
    </tableColumn>
  </tableColumns>
  <tableStyleInfo name="EnergyCalcTables" showFirstColumn="0" showLastColumn="0" showRowStripes="1" showColumnStripes="0"/>
</table>
</file>

<file path=xl/tables/table86.xml><?xml version="1.0" encoding="utf-8"?>
<table xmlns="http://schemas.openxmlformats.org/spreadsheetml/2006/main" id="140" name="IX.a.Outputs" displayName="IX.a.Outputs" ref="C133:N136" totalsRowCount="1" headerRowDxfId="2331" dataDxfId="2330">
  <autoFilter ref="C133:N135"/>
  <tableColumns count="12">
    <tableColumn id="1" name="Vector" totalsRowLabel="Total" dataDxfId="2329" totalsRowDxfId="2328"/>
    <tableColumn id="2" name="Name" dataDxfId="2327" totalsRowDxfId="2326">
      <calculatedColumnFormula>INDEX(Vectors[Description], MATCH(IX.a.Outputs[Vector], Vectors[Code], 0))</calculatedColumnFormula>
    </tableColumn>
    <tableColumn id="3" name="Notes" dataDxfId="2325" totalsRowDxfId="2324"/>
    <tableColumn id="5" name="2010" totalsRowFunction="sum" dataDxfId="2323" totalsRowDxfId="2322" dataCellStyle="Comma"/>
    <tableColumn id="6" name="2015" totalsRowFunction="sum" dataDxfId="2321" totalsRowDxfId="2320" dataCellStyle="Comma"/>
    <tableColumn id="7" name="2020" totalsRowFunction="sum" dataDxfId="2319" totalsRowDxfId="2318" dataCellStyle="Comma"/>
    <tableColumn id="8" name="2025" totalsRowFunction="sum" dataDxfId="2317" totalsRowDxfId="2316" dataCellStyle="Comma"/>
    <tableColumn id="9" name="2030" totalsRowFunction="sum" dataDxfId="2315" totalsRowDxfId="2314" dataCellStyle="Comma"/>
    <tableColumn id="10" name="2035" totalsRowFunction="sum" dataDxfId="2313" totalsRowDxfId="2312" dataCellStyle="Comma"/>
    <tableColumn id="11" name="2040" totalsRowFunction="sum" dataDxfId="2311" totalsRowDxfId="2310" dataCellStyle="Comma"/>
    <tableColumn id="12" name="2045" totalsRowFunction="sum" dataDxfId="2309" totalsRowDxfId="2308" dataCellStyle="Comma"/>
    <tableColumn id="13" name="2050" totalsRowFunction="sum" dataDxfId="2307" totalsRowDxfId="2306" dataCellStyle="Comma"/>
  </tableColumns>
  <tableStyleInfo name="EnergyCalcTables" showFirstColumn="0" showLastColumn="0" showRowStripes="1" showColumnStripes="0"/>
</table>
</file>

<file path=xl/tables/table87.xml><?xml version="1.0" encoding="utf-8"?>
<table xmlns="http://schemas.openxmlformats.org/spreadsheetml/2006/main" id="144" name="IX.a.info" displayName="IX.a.info" ref="C145:N147" totalsRowShown="0" headerRowDxfId="2305" dataDxfId="2303" totalsRowDxfId="2301" headerRowBorderDxfId="2304" tableBorderDxfId="2302" dataCellStyle="Comma">
  <autoFilter ref="C145:N147"/>
  <tableColumns count="12">
    <tableColumn id="1" name="Vector" dataDxfId="2300" totalsRowDxfId="2299"/>
    <tableColumn id="2" name="Information type" dataDxfId="2298" totalsRowDxfId="2297"/>
    <tableColumn id="3" name="Notes" dataDxfId="2296" totalsRowDxfId="2295"/>
    <tableColumn id="5" name="2010" dataDxfId="2294" totalsRowDxfId="2293" dataCellStyle="Comma"/>
    <tableColumn id="6" name="2015" dataDxfId="2292" totalsRowDxfId="2291" dataCellStyle="Comma"/>
    <tableColumn id="7" name="2020" dataDxfId="2290" totalsRowDxfId="2289" dataCellStyle="Comma"/>
    <tableColumn id="8" name="2025" dataDxfId="2288" totalsRowDxfId="2287" dataCellStyle="Comma"/>
    <tableColumn id="9" name="2030" dataDxfId="2286" totalsRowDxfId="2285" dataCellStyle="Comma"/>
    <tableColumn id="10" name="2035" dataDxfId="2284" totalsRowDxfId="2283" dataCellStyle="Comma"/>
    <tableColumn id="11" name="2040" dataDxfId="2282" totalsRowDxfId="2281" dataCellStyle="Comma"/>
    <tableColumn id="12" name="2045" dataDxfId="2280" totalsRowDxfId="2279" dataCellStyle="Comma"/>
    <tableColumn id="13" name="2050" dataDxfId="2278" totalsRowDxfId="2277" dataCellStyle="Comma"/>
  </tableColumns>
  <tableStyleInfo name="EnergyCalcTables" showFirstColumn="0" showLastColumn="0" showRowStripes="1" showColumnStripes="0"/>
</table>
</file>

<file path=xl/tables/table88.xml><?xml version="1.0" encoding="utf-8"?>
<table xmlns="http://schemas.openxmlformats.org/spreadsheetml/2006/main" id="151" name="IX.a.costs" displayName="IX.a.costs" ref="C154:N159" totalsRowShown="0" headerRowDxfId="2276" dataDxfId="2274" headerRowBorderDxfId="2275" dataCellStyle="Comma">
  <autoFilter ref="C154:N159"/>
  <tableColumns count="12">
    <tableColumn id="1" name="Vector" dataDxfId="2273"/>
    <tableColumn id="2" name="Name" dataDxfId="2272"/>
    <tableColumn id="3" name="Notes" dataDxfId="2271"/>
    <tableColumn id="5" name="2010" dataDxfId="2270" dataCellStyle="Comma"/>
    <tableColumn id="6" name="2015" dataDxfId="2269" dataCellStyle="Comma"/>
    <tableColumn id="7" name="2020" dataDxfId="2268" dataCellStyle="Comma"/>
    <tableColumn id="8" name="2025" dataDxfId="2267" dataCellStyle="Comma"/>
    <tableColumn id="9" name="2030" dataDxfId="2266" dataCellStyle="Comma"/>
    <tableColumn id="10" name="2035" dataDxfId="2265" dataCellStyle="Comma"/>
    <tableColumn id="11" name="2040" dataDxfId="2264" dataCellStyle="Comma"/>
    <tableColumn id="12" name="2045" dataDxfId="2263" dataCellStyle="Comma"/>
    <tableColumn id="13" name="2050" dataDxfId="2262" dataCellStyle="Comma"/>
  </tableColumns>
  <tableStyleInfo name="TableStyleMedium8" showFirstColumn="0" showLastColumn="0" showRowStripes="1" showColumnStripes="0"/>
</table>
</file>

<file path=xl/tables/table89.xml><?xml version="1.0" encoding="utf-8"?>
<table xmlns="http://schemas.openxmlformats.org/spreadsheetml/2006/main" id="156" name="IX.c.Outputs" displayName="IX.c.Outputs" ref="C109:N112" totalsRowCount="1" headerRowDxfId="2261" dataDxfId="2260">
  <autoFilter ref="C109:N111"/>
  <tableColumns count="12">
    <tableColumn id="1" name="Vector" totalsRowLabel="Total" dataDxfId="2259" totalsRowDxfId="2258"/>
    <tableColumn id="2" name="Name" dataDxfId="2257" totalsRowDxfId="2256">
      <calculatedColumnFormula>INDEX(Vectors[Description], MATCH(IX.c.Outputs[Vector], Vectors[Code], 0))</calculatedColumnFormula>
    </tableColumn>
    <tableColumn id="3" name="Notes" dataDxfId="2255" totalsRowDxfId="2254"/>
    <tableColumn id="5" name="2010" totalsRowFunction="sum" dataDxfId="2253" totalsRowDxfId="2252" dataCellStyle="Comma"/>
    <tableColumn id="6" name="2015" totalsRowFunction="sum" dataDxfId="2251" totalsRowDxfId="2250" dataCellStyle="Comma"/>
    <tableColumn id="7" name="2020" totalsRowFunction="sum" dataDxfId="2249" totalsRowDxfId="2248" dataCellStyle="Comma"/>
    <tableColumn id="8" name="2025" totalsRowFunction="sum" dataDxfId="2247" totalsRowDxfId="2246" dataCellStyle="Comma"/>
    <tableColumn id="9" name="2030" totalsRowFunction="sum" dataDxfId="2245" totalsRowDxfId="2244" dataCellStyle="Comma"/>
    <tableColumn id="10" name="2035" totalsRowFunction="sum" dataDxfId="2243" totalsRowDxfId="2242" dataCellStyle="Comma"/>
    <tableColumn id="11" name="2040" totalsRowFunction="sum" dataDxfId="2241" totalsRowDxfId="2240" dataCellStyle="Comma"/>
    <tableColumn id="12" name="2045" totalsRowFunction="sum" dataDxfId="2239" totalsRowDxfId="2238" dataCellStyle="Comma"/>
    <tableColumn id="13" name="2050" totalsRowFunction="sum" dataDxfId="2237" totalsRowDxfId="2236" dataCellStyle="Comma"/>
  </tableColumns>
  <tableStyleInfo name="EnergyCalcTables" showFirstColumn="0" showLastColumn="0" showRowStripes="1" showColumnStripes="0"/>
</table>
</file>

<file path=xl/tables/table9.xml><?xml version="1.0" encoding="utf-8"?>
<table xmlns="http://schemas.openxmlformats.org/spreadsheetml/2006/main" id="1" name="Vectors" displayName="Vectors" ref="M6:Q63" totalsRowShown="0" headerRowDxfId="4208" dataDxfId="4207">
  <autoFilter ref="M6:Q63"/>
  <tableColumns count="5">
    <tableColumn id="1" name="Category" dataDxfId="4206"/>
    <tableColumn id="2" name="Subcategory" dataDxfId="4205"/>
    <tableColumn id="3" name="Code" dataDxfId="4204"/>
    <tableColumn id="4" name="Description" dataDxfId="4203"/>
    <tableColumn id="5" name="Comment" dataDxfId="4202"/>
  </tableColumns>
  <tableStyleInfo name="TableStyleMedium10" showFirstColumn="0" showLastColumn="0" showRowStripes="1" showColumnStripes="0"/>
</table>
</file>

<file path=xl/tables/table90.xml><?xml version="1.0" encoding="utf-8"?>
<table xmlns="http://schemas.openxmlformats.org/spreadsheetml/2006/main" id="158" name="IX.c.info" displayName="IX.c.info" ref="C122:N124" totalsRowShown="0" headerRowDxfId="2235" dataDxfId="2233" totalsRowDxfId="2231" headerRowBorderDxfId="2234" tableBorderDxfId="2232" dataCellStyle="Comma">
  <autoFilter ref="C122:N124"/>
  <tableColumns count="12">
    <tableColumn id="1" name="Vector" dataDxfId="2230" totalsRowDxfId="2229"/>
    <tableColumn id="2" name="Information type" dataDxfId="2228" totalsRowDxfId="2227"/>
    <tableColumn id="3" name="Notes" dataDxfId="2226" totalsRowDxfId="2225"/>
    <tableColumn id="5" name="2010" dataDxfId="2224" totalsRowDxfId="2223" dataCellStyle="Comma"/>
    <tableColumn id="6" name="2015" dataDxfId="2222" totalsRowDxfId="2221" dataCellStyle="Comma"/>
    <tableColumn id="7" name="2020" dataDxfId="2220" totalsRowDxfId="2219" dataCellStyle="Comma"/>
    <tableColumn id="8" name="2025" dataDxfId="2218" totalsRowDxfId="2217" dataCellStyle="Comma"/>
    <tableColumn id="9" name="2030" dataDxfId="2216" totalsRowDxfId="2215" dataCellStyle="Comma"/>
    <tableColumn id="10" name="2035" dataDxfId="2214" totalsRowDxfId="2213" dataCellStyle="Comma"/>
    <tableColumn id="11" name="2040" dataDxfId="2212" totalsRowDxfId="2211" dataCellStyle="Comma"/>
    <tableColumn id="12" name="2045" dataDxfId="2210" totalsRowDxfId="2209" dataCellStyle="Comma"/>
    <tableColumn id="13" name="2050" dataDxfId="2208" totalsRowDxfId="2207" dataCellStyle="Comma"/>
  </tableColumns>
  <tableStyleInfo name="EnergyCalcTables" showFirstColumn="0" showLastColumn="0" showRowStripes="1" showColumnStripes="0"/>
</table>
</file>

<file path=xl/tables/table91.xml><?xml version="1.0" encoding="utf-8"?>
<table xmlns="http://schemas.openxmlformats.org/spreadsheetml/2006/main" id="219" name="IX.c.costs" displayName="IX.c.costs" ref="C132:N141" totalsRowShown="0" headerRowDxfId="2206" dataDxfId="2204" headerRowBorderDxfId="2205" dataCellStyle="Comma">
  <autoFilter ref="C132:N141"/>
  <tableColumns count="12">
    <tableColumn id="1" name="Vector" dataDxfId="2203"/>
    <tableColumn id="2" name="Name" dataDxfId="2202"/>
    <tableColumn id="3" name="Notes" dataDxfId="2201"/>
    <tableColumn id="5" name="2010" dataDxfId="2200" dataCellStyle="Comma"/>
    <tableColumn id="6" name="2015" dataDxfId="2199" dataCellStyle="Comma"/>
    <tableColumn id="7" name="2020" dataDxfId="2198" dataCellStyle="Comma"/>
    <tableColumn id="8" name="2025" dataDxfId="2197" dataCellStyle="Comma"/>
    <tableColumn id="9" name="2030" dataDxfId="2196" dataCellStyle="Comma"/>
    <tableColumn id="10" name="2035" dataDxfId="2195" dataCellStyle="Comma"/>
    <tableColumn id="11" name="2040" dataDxfId="2194" dataCellStyle="Comma"/>
    <tableColumn id="12" name="2045" dataDxfId="2193" dataCellStyle="Comma"/>
    <tableColumn id="13" name="2050" dataDxfId="2192" dataCellStyle="Comma"/>
  </tableColumns>
  <tableStyleInfo name="TableStyleMedium9" showFirstColumn="0" showLastColumn="0" showRowStripes="1" showColumnStripes="0"/>
</table>
</file>

<file path=xl/tables/table92.xml><?xml version="1.0" encoding="utf-8"?>
<table xmlns="http://schemas.openxmlformats.org/spreadsheetml/2006/main" id="29" name="X.a.Outputs" displayName="X.a.Outputs" ref="C192:N199" totalsRowCount="1" headerRowDxfId="2191" dataDxfId="2190">
  <autoFilter ref="C192:N198"/>
  <tableColumns count="12">
    <tableColumn id="1" name="Vector" totalsRowLabel="Total" dataDxfId="2189" totalsRowDxfId="2188"/>
    <tableColumn id="2" name="Name" dataDxfId="2187" totalsRowDxfId="2186">
      <calculatedColumnFormula>INDEX(Vectors[Description], MATCH(X.a.Outputs[Vector], Vectors[Code], 0))</calculatedColumnFormula>
    </tableColumn>
    <tableColumn id="3" name="Notes" dataDxfId="2185" totalsRowDxfId="2184"/>
    <tableColumn id="5" name="2010" totalsRowFunction="sum" dataDxfId="2183" totalsRowDxfId="2182" dataCellStyle="Comma"/>
    <tableColumn id="6" name="2015" totalsRowFunction="sum" dataDxfId="2181" totalsRowDxfId="2180" dataCellStyle="Comma"/>
    <tableColumn id="7" name="2020" totalsRowFunction="sum" dataDxfId="2179" totalsRowDxfId="2178" dataCellStyle="Comma"/>
    <tableColumn id="8" name="2025" totalsRowFunction="sum" dataDxfId="2177" totalsRowDxfId="2176" dataCellStyle="Comma"/>
    <tableColumn id="9" name="2030" totalsRowFunction="sum" dataDxfId="2175" totalsRowDxfId="2174" dataCellStyle="Comma"/>
    <tableColumn id="10" name="2035" totalsRowFunction="sum" dataDxfId="2173" totalsRowDxfId="2172" dataCellStyle="Comma"/>
    <tableColumn id="11" name="2040" totalsRowFunction="sum" dataDxfId="2171" totalsRowDxfId="2170" dataCellStyle="Comma"/>
    <tableColumn id="12" name="2045" totalsRowFunction="sum" dataDxfId="2169" totalsRowDxfId="2168" dataCellStyle="Comma"/>
    <tableColumn id="13" name="2050" totalsRowFunction="sum" dataDxfId="2167" totalsRowDxfId="2166" dataCellStyle="Comma"/>
  </tableColumns>
  <tableStyleInfo name="EnergyCalcTables" showFirstColumn="0" showLastColumn="0" showRowStripes="1" showColumnStripes="0"/>
</table>
</file>

<file path=xl/tables/table93.xml><?xml version="1.0" encoding="utf-8"?>
<table xmlns="http://schemas.openxmlformats.org/spreadsheetml/2006/main" id="43" name="X.a.Emissions" displayName="X.a.Emissions" ref="C206:N210" totalsRowCount="1" headerRowDxfId="2165" dataDxfId="2163" headerRowBorderDxfId="2164" tableBorderDxfId="2162" dataCellStyle="Comma">
  <autoFilter ref="C206:N209"/>
  <tableColumns count="12">
    <tableColumn id="1" name="GHG" totalsRowLabel="Total" dataDxfId="2161" totalsRowDxfId="2160"/>
    <tableColumn id="2" name="IPCC Sector" dataDxfId="2159" totalsRowDxfId="2158"/>
    <tableColumn id="3" name="Notes" dataDxfId="2157" totalsRowDxfId="2156">
      <calculatedColumnFormula>INDEX(IPCC[Sector_description], MATCH(X.a.Emissions[IPCC Sector], IPCC[Sector_code], 0))</calculatedColumnFormula>
    </tableColumn>
    <tableColumn id="5" name="2010" totalsRowFunction="sum" dataDxfId="2155" totalsRowDxfId="2154" dataCellStyle="Comma">
      <calculatedColumnFormula>F167</calculatedColumnFormula>
    </tableColumn>
    <tableColumn id="6" name="2015" totalsRowFunction="sum" dataDxfId="2153" totalsRowDxfId="2152" dataCellStyle="Comma">
      <calculatedColumnFormula>G167</calculatedColumnFormula>
    </tableColumn>
    <tableColumn id="7" name="2020" totalsRowFunction="sum" dataDxfId="2151" totalsRowDxfId="2150" dataCellStyle="Comma">
      <calculatedColumnFormula>H167</calculatedColumnFormula>
    </tableColumn>
    <tableColumn id="8" name="2025" totalsRowFunction="sum" dataDxfId="2149" totalsRowDxfId="2148" dataCellStyle="Comma">
      <calculatedColumnFormula>I167</calculatedColumnFormula>
    </tableColumn>
    <tableColumn id="9" name="2030" totalsRowFunction="sum" dataDxfId="2147" totalsRowDxfId="2146" dataCellStyle="Comma">
      <calculatedColumnFormula>J167</calculatedColumnFormula>
    </tableColumn>
    <tableColumn id="10" name="2035" totalsRowFunction="sum" dataDxfId="2145" totalsRowDxfId="2144" dataCellStyle="Comma">
      <calculatedColumnFormula>K167</calculatedColumnFormula>
    </tableColumn>
    <tableColumn id="11" name="2040" totalsRowFunction="sum" dataDxfId="2143" totalsRowDxfId="2142" dataCellStyle="Comma">
      <calculatedColumnFormula>L167</calculatedColumnFormula>
    </tableColumn>
    <tableColumn id="12" name="2045" totalsRowFunction="sum" dataDxfId="2141" totalsRowDxfId="2140" dataCellStyle="Comma">
      <calculatedColumnFormula>M167</calculatedColumnFormula>
    </tableColumn>
    <tableColumn id="13" name="2050" totalsRowFunction="sum" dataDxfId="2139" totalsRowDxfId="2138" dataCellStyle="Comma">
      <calculatedColumnFormula>N167</calculatedColumnFormula>
    </tableColumn>
  </tableColumns>
  <tableStyleInfo name="EnergyCalcTables" showFirstColumn="0" showLastColumn="0" showRowStripes="1" showColumnStripes="0"/>
</table>
</file>

<file path=xl/tables/table94.xml><?xml version="1.0" encoding="utf-8"?>
<table xmlns="http://schemas.openxmlformats.org/spreadsheetml/2006/main" id="105" name="X.a.info" displayName="X.a.info" ref="C226:N228" totalsRowShown="0" headerRowDxfId="2137" dataDxfId="2135" totalsRowDxfId="2133" headerRowBorderDxfId="2136" tableBorderDxfId="2134" dataCellStyle="Comma">
  <autoFilter ref="C226:N228"/>
  <tableColumns count="12">
    <tableColumn id="1" name="Vector" dataDxfId="2132" totalsRowDxfId="2131"/>
    <tableColumn id="2" name="Information type" dataDxfId="2130" totalsRowDxfId="2129"/>
    <tableColumn id="3" name="Notes" dataDxfId="2128" totalsRowDxfId="2127"/>
    <tableColumn id="5" name="2010" dataDxfId="2126" totalsRowDxfId="2125" dataCellStyle="Comma"/>
    <tableColumn id="6" name="2015" dataDxfId="2124" totalsRowDxfId="2123" dataCellStyle="Comma"/>
    <tableColumn id="7" name="2020" dataDxfId="2122" totalsRowDxfId="2121" dataCellStyle="Comma"/>
    <tableColumn id="8" name="2025" dataDxfId="2120" totalsRowDxfId="2119" dataCellStyle="Comma"/>
    <tableColumn id="9" name="2030" dataDxfId="2118" totalsRowDxfId="2117" dataCellStyle="Comma"/>
    <tableColumn id="10" name="2035" dataDxfId="2116" totalsRowDxfId="2115" dataCellStyle="Comma"/>
    <tableColumn id="11" name="2040" dataDxfId="2114" totalsRowDxfId="2113" dataCellStyle="Comma"/>
    <tableColumn id="12" name="2045" dataDxfId="2112" totalsRowDxfId="2111" dataCellStyle="Comma"/>
    <tableColumn id="13" name="2050" dataDxfId="2110" totalsRowDxfId="2109" dataCellStyle="Comma"/>
  </tableColumns>
  <tableStyleInfo name="EnergyCalcTables" showFirstColumn="0" showLastColumn="0" showRowStripes="1" showColumnStripes="0"/>
</table>
</file>

<file path=xl/tables/table95.xml><?xml version="1.0" encoding="utf-8"?>
<table xmlns="http://schemas.openxmlformats.org/spreadsheetml/2006/main" id="64" name="X.a.costs" displayName="X.a.costs" ref="C235:N240" totalsRowShown="0" headerRowDxfId="2108" dataDxfId="2106" headerRowBorderDxfId="2107" dataCellStyle="Comma">
  <autoFilter ref="C235:N240"/>
  <tableColumns count="12">
    <tableColumn id="1" name="Vector" dataDxfId="2105"/>
    <tableColumn id="2" name="Name" dataDxfId="2104"/>
    <tableColumn id="3" name="Notes" dataDxfId="2103"/>
    <tableColumn id="5" name="2010" dataDxfId="2102" dataCellStyle="Comma"/>
    <tableColumn id="6" name="2015" dataDxfId="2101" dataCellStyle="Comma"/>
    <tableColumn id="7" name="2020" dataDxfId="2100" dataCellStyle="Comma"/>
    <tableColumn id="8" name="2025" dataDxfId="2099" dataCellStyle="Comma"/>
    <tableColumn id="9" name="2030" dataDxfId="2098" dataCellStyle="Comma"/>
    <tableColumn id="10" name="2035" dataDxfId="2097" dataCellStyle="Comma"/>
    <tableColumn id="11" name="2040" dataDxfId="2096" dataCellStyle="Comma"/>
    <tableColumn id="12" name="2045" dataDxfId="2095" dataCellStyle="Comma"/>
    <tableColumn id="13" name="2050" dataDxfId="2094" dataCellStyle="Comma"/>
  </tableColumns>
  <tableStyleInfo name="TableStyleMedium8" showFirstColumn="0" showLastColumn="0" showRowStripes="1" showColumnStripes="0"/>
</table>
</file>

<file path=xl/tables/table96.xml><?xml version="1.0" encoding="utf-8"?>
<table xmlns="http://schemas.openxmlformats.org/spreadsheetml/2006/main" id="308" name="X.a.AQ" displayName="X.a.AQ" ref="C214:N218" totalsRowShown="0" headerRowDxfId="2093" dataDxfId="2091" headerRowBorderDxfId="2092" tableBorderDxfId="2090" totalsRowBorderDxfId="2089">
  <autoFilter ref="C214:N218"/>
  <tableColumns count="12">
    <tableColumn id="1" name="Vector" dataDxfId="2088">
      <calculatedColumnFormula>INDEX(AirQualityVectors[Code],MATCH(D215,AirQualityVectors[Description],0))</calculatedColumnFormula>
    </tableColumn>
    <tableColumn id="2" name="Name" dataDxfId="2087"/>
    <tableColumn id="3" name="IPCC Sector" dataDxfId="2086"/>
    <tableColumn id="5" name="2010" dataDxfId="2085"/>
    <tableColumn id="6" name="2015" dataDxfId="2084"/>
    <tableColumn id="7" name="2020" dataDxfId="2083"/>
    <tableColumn id="8" name="2025" dataDxfId="2082"/>
    <tableColumn id="9" name="2030" dataDxfId="2081"/>
    <tableColumn id="10" name="2035" dataDxfId="2080"/>
    <tableColumn id="11" name="2040" dataDxfId="2079"/>
    <tableColumn id="12" name="2045" dataDxfId="2078"/>
    <tableColumn id="13" name="2050" dataDxfId="2077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id="15" name="X.b.Outputs" displayName="X.b.Outputs" ref="C154:N161" totalsRowCount="1" headerRowDxfId="2076" dataDxfId="2075">
  <autoFilter ref="C154:N160"/>
  <tableColumns count="12">
    <tableColumn id="1" name="Vector" totalsRowLabel="Total" dataDxfId="2074" totalsRowDxfId="2073"/>
    <tableColumn id="2" name="Name" dataDxfId="2072" totalsRowDxfId="2071">
      <calculatedColumnFormula>INDEX(Vectors[Description], MATCH(X.b.Outputs[Vector], Vectors[Code], 0))</calculatedColumnFormula>
    </tableColumn>
    <tableColumn id="3" name="Notes" dataDxfId="2070" totalsRowDxfId="2069"/>
    <tableColumn id="5" name="2010" totalsRowFunction="sum" dataDxfId="2068" totalsRowDxfId="2067" dataCellStyle="Comma"/>
    <tableColumn id="6" name="2015" totalsRowFunction="sum" dataDxfId="2066" totalsRowDxfId="2065" dataCellStyle="Comma"/>
    <tableColumn id="7" name="2020" totalsRowFunction="sum" dataDxfId="2064" totalsRowDxfId="2063" dataCellStyle="Comma"/>
    <tableColumn id="8" name="2025" totalsRowFunction="sum" dataDxfId="2062" totalsRowDxfId="2061" dataCellStyle="Comma"/>
    <tableColumn id="9" name="2030" totalsRowFunction="sum" dataDxfId="2060" totalsRowDxfId="2059" dataCellStyle="Comma"/>
    <tableColumn id="10" name="2035" totalsRowFunction="sum" dataDxfId="2058" totalsRowDxfId="2057" dataCellStyle="Comma"/>
    <tableColumn id="11" name="2040" totalsRowFunction="sum" dataDxfId="2056" totalsRowDxfId="2055" dataCellStyle="Comma"/>
    <tableColumn id="12" name="2045" totalsRowFunction="sum" dataDxfId="2054" totalsRowDxfId="2053" dataCellStyle="Comma"/>
    <tableColumn id="13" name="2050" totalsRowFunction="sum" dataDxfId="2052" totalsRowDxfId="2051" dataCellStyle="Comma"/>
  </tableColumns>
  <tableStyleInfo name="EnergyCalcTables" showFirstColumn="0" showLastColumn="0" showRowStripes="1" showColumnStripes="0"/>
</table>
</file>

<file path=xl/tables/table98.xml><?xml version="1.0" encoding="utf-8"?>
<table xmlns="http://schemas.openxmlformats.org/spreadsheetml/2006/main" id="44" name="X.b.Emissions" displayName="X.b.Emissions" ref="C168:N172" totalsRowCount="1" headerRowDxfId="2050" dataDxfId="2048" headerRowBorderDxfId="2049" tableBorderDxfId="2047" dataCellStyle="Comma">
  <autoFilter ref="C168:N171"/>
  <tableColumns count="12">
    <tableColumn id="1" name="GHG" totalsRowLabel="Total" dataDxfId="2046" totalsRowDxfId="2045"/>
    <tableColumn id="2" name="IPCC Sector" dataDxfId="2044" totalsRowDxfId="2043"/>
    <tableColumn id="3" name="Notes" dataDxfId="2042" totalsRowDxfId="2041"/>
    <tableColumn id="5" name="2010" totalsRowFunction="sum" dataDxfId="2040" totalsRowDxfId="2039" dataCellStyle="Comma">
      <calculatedColumnFormula>F122</calculatedColumnFormula>
    </tableColumn>
    <tableColumn id="6" name="2015" totalsRowFunction="sum" dataDxfId="2038" totalsRowDxfId="2037" dataCellStyle="Comma">
      <calculatedColumnFormula>G122</calculatedColumnFormula>
    </tableColumn>
    <tableColumn id="7" name="2020" totalsRowFunction="sum" dataDxfId="2036" totalsRowDxfId="2035" dataCellStyle="Comma">
      <calculatedColumnFormula>H122</calculatedColumnFormula>
    </tableColumn>
    <tableColumn id="8" name="2025" totalsRowFunction="sum" dataDxfId="2034" totalsRowDxfId="2033" dataCellStyle="Comma">
      <calculatedColumnFormula>I122</calculatedColumnFormula>
    </tableColumn>
    <tableColumn id="9" name="2030" totalsRowFunction="sum" dataDxfId="2032" totalsRowDxfId="2031" dataCellStyle="Comma">
      <calculatedColumnFormula>J122</calculatedColumnFormula>
    </tableColumn>
    <tableColumn id="10" name="2035" totalsRowFunction="sum" dataDxfId="2030" totalsRowDxfId="2029" dataCellStyle="Comma">
      <calculatedColumnFormula>K122</calculatedColumnFormula>
    </tableColumn>
    <tableColumn id="11" name="2040" totalsRowFunction="sum" dataDxfId="2028" totalsRowDxfId="2027" dataCellStyle="Comma">
      <calculatedColumnFormula>L122</calculatedColumnFormula>
    </tableColumn>
    <tableColumn id="12" name="2045" totalsRowFunction="sum" dataDxfId="2026" totalsRowDxfId="2025" dataCellStyle="Comma">
      <calculatedColumnFormula>M122</calculatedColumnFormula>
    </tableColumn>
    <tableColumn id="13" name="2050" totalsRowFunction="sum" dataDxfId="2024" totalsRowDxfId="2023" dataCellStyle="Comma">
      <calculatedColumnFormula>N122</calculatedColumnFormula>
    </tableColumn>
  </tableColumns>
  <tableStyleInfo name="EnergyCalcTables" showFirstColumn="0" showLastColumn="0" showRowStripes="1" showColumnStripes="0"/>
</table>
</file>

<file path=xl/tables/table99.xml><?xml version="1.0" encoding="utf-8"?>
<table xmlns="http://schemas.openxmlformats.org/spreadsheetml/2006/main" id="106" name="X.b.info" displayName="X.b.info" ref="C189:N191" totalsRowShown="0" headerRowDxfId="2022" dataDxfId="2020" totalsRowDxfId="2018" headerRowBorderDxfId="2021" tableBorderDxfId="2019" dataCellStyle="Comma">
  <autoFilter ref="C189:N191"/>
  <tableColumns count="12">
    <tableColumn id="1" name="Vector" dataDxfId="2017" totalsRowDxfId="2016"/>
    <tableColumn id="2" name="Information type" dataDxfId="2015" totalsRowDxfId="2014"/>
    <tableColumn id="3" name="Notes" dataDxfId="2013" totalsRowDxfId="2012"/>
    <tableColumn id="5" name="2010" dataDxfId="2011" totalsRowDxfId="2010" dataCellStyle="Comma"/>
    <tableColumn id="6" name="2015" dataDxfId="2009" totalsRowDxfId="2008" dataCellStyle="Comma"/>
    <tableColumn id="7" name="2020" dataDxfId="2007" totalsRowDxfId="2006" dataCellStyle="Comma"/>
    <tableColumn id="8" name="2025" dataDxfId="2005" totalsRowDxfId="2004" dataCellStyle="Comma"/>
    <tableColumn id="9" name="2030" dataDxfId="2003" totalsRowDxfId="2002" dataCellStyle="Comma"/>
    <tableColumn id="10" name="2035" dataDxfId="2001" totalsRowDxfId="2000" dataCellStyle="Comma"/>
    <tableColumn id="11" name="2040" dataDxfId="1999" totalsRowDxfId="1998" dataCellStyle="Comma"/>
    <tableColumn id="12" name="2045" dataDxfId="1997" totalsRowDxfId="1996" dataCellStyle="Comma"/>
    <tableColumn id="13" name="2050" dataDxfId="1995" totalsRowDxfId="1994" dataCellStyle="Comma"/>
  </tableColumns>
  <tableStyleInfo name="EnergyCalcTables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">
      <a:majorFont>
        <a:latin typeface="Calibri"/>
        <a:ea typeface=""/>
        <a:cs typeface=""/>
        <a:font script="Jpan" typeface="HGｺﾞｼｯｸM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Cambria"/>
        <a:ea typeface=""/>
        <a:cs typeface=""/>
        <a:font script="Jpan" typeface="HG明朝B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nigeria-energy-calculator.org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2050-calculator-tool-wiki.decc.gov.uk/pages/80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table" Target="../tables/table7.xml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7" Type="http://schemas.openxmlformats.org/officeDocument/2006/relationships/table" Target="../tables/table18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nigeria-energy-calculator.org/" TargetMode="External"/><Relationship Id="rId6" Type="http://schemas.openxmlformats.org/officeDocument/2006/relationships/table" Target="../tables/table17.xml"/><Relationship Id="rId5" Type="http://schemas.openxmlformats.org/officeDocument/2006/relationships/table" Target="../tables/table16.xml"/><Relationship Id="rId4" Type="http://schemas.openxmlformats.org/officeDocument/2006/relationships/table" Target="../tables/table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table" Target="../tables/table20.xml"/><Relationship Id="rId1" Type="http://schemas.openxmlformats.org/officeDocument/2006/relationships/table" Target="../tables/table19.xml"/><Relationship Id="rId5" Type="http://schemas.openxmlformats.org/officeDocument/2006/relationships/table" Target="../tables/table23.xml"/><Relationship Id="rId4" Type="http://schemas.openxmlformats.org/officeDocument/2006/relationships/table" Target="../tables/table22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7" Type="http://schemas.openxmlformats.org/officeDocument/2006/relationships/table" Target="../tables/table28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nigeria-energy-calculator.org/" TargetMode="External"/><Relationship Id="rId6" Type="http://schemas.openxmlformats.org/officeDocument/2006/relationships/table" Target="../tables/table27.xml"/><Relationship Id="rId5" Type="http://schemas.openxmlformats.org/officeDocument/2006/relationships/table" Target="../tables/table26.xml"/><Relationship Id="rId4" Type="http://schemas.openxmlformats.org/officeDocument/2006/relationships/table" Target="../tables/table25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7" Type="http://schemas.openxmlformats.org/officeDocument/2006/relationships/table" Target="../tables/table33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nigeria-energy-calculator.org/" TargetMode="External"/><Relationship Id="rId6" Type="http://schemas.openxmlformats.org/officeDocument/2006/relationships/table" Target="../tables/table32.xml"/><Relationship Id="rId5" Type="http://schemas.openxmlformats.org/officeDocument/2006/relationships/table" Target="../tables/table31.xml"/><Relationship Id="rId4" Type="http://schemas.openxmlformats.org/officeDocument/2006/relationships/table" Target="../tables/table3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nigeria-energy-calculator.org/" TargetMode="External"/><Relationship Id="rId5" Type="http://schemas.openxmlformats.org/officeDocument/2006/relationships/table" Target="../tables/table36.xml"/><Relationship Id="rId4" Type="http://schemas.openxmlformats.org/officeDocument/2006/relationships/table" Target="../tables/table35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table" Target="../tables/table37.xml"/><Relationship Id="rId1" Type="http://schemas.openxmlformats.org/officeDocument/2006/relationships/hyperlink" Target="http://www.nigeria-energy-calculator.org/" TargetMode="External"/><Relationship Id="rId4" Type="http://schemas.openxmlformats.org/officeDocument/2006/relationships/table" Target="../tables/table3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nigeria-energy-calculator.org/" TargetMode="External"/><Relationship Id="rId5" Type="http://schemas.openxmlformats.org/officeDocument/2006/relationships/table" Target="../tables/table42.xml"/><Relationship Id="rId4" Type="http://schemas.openxmlformats.org/officeDocument/2006/relationships/table" Target="../tables/table4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.xml"/><Relationship Id="rId2" Type="http://schemas.openxmlformats.org/officeDocument/2006/relationships/table" Target="../tables/table44.xml"/><Relationship Id="rId1" Type="http://schemas.openxmlformats.org/officeDocument/2006/relationships/table" Target="../tables/table4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8.xml"/><Relationship Id="rId2" Type="http://schemas.openxmlformats.org/officeDocument/2006/relationships/table" Target="../tables/table47.xml"/><Relationship Id="rId1" Type="http://schemas.openxmlformats.org/officeDocument/2006/relationships/table" Target="../tables/table46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.xml"/><Relationship Id="rId2" Type="http://schemas.openxmlformats.org/officeDocument/2006/relationships/table" Target="../tables/table49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51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.xml"/><Relationship Id="rId2" Type="http://schemas.openxmlformats.org/officeDocument/2006/relationships/table" Target="../tables/table52.xml"/><Relationship Id="rId1" Type="http://schemas.openxmlformats.org/officeDocument/2006/relationships/vmlDrawing" Target="../drawings/vmlDrawing1.vml"/><Relationship Id="rId5" Type="http://schemas.openxmlformats.org/officeDocument/2006/relationships/comments" Target="../comments1.xml"/><Relationship Id="rId4" Type="http://schemas.openxmlformats.org/officeDocument/2006/relationships/table" Target="../tables/table54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7.xml"/><Relationship Id="rId7" Type="http://schemas.openxmlformats.org/officeDocument/2006/relationships/table" Target="../tables/table61.xml"/><Relationship Id="rId2" Type="http://schemas.openxmlformats.org/officeDocument/2006/relationships/table" Target="../tables/table56.xml"/><Relationship Id="rId1" Type="http://schemas.openxmlformats.org/officeDocument/2006/relationships/table" Target="../tables/table55.xml"/><Relationship Id="rId6" Type="http://schemas.openxmlformats.org/officeDocument/2006/relationships/table" Target="../tables/table60.xml"/><Relationship Id="rId5" Type="http://schemas.openxmlformats.org/officeDocument/2006/relationships/table" Target="../tables/table59.xml"/><Relationship Id="rId4" Type="http://schemas.openxmlformats.org/officeDocument/2006/relationships/table" Target="../tables/table58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4.xml"/><Relationship Id="rId2" Type="http://schemas.openxmlformats.org/officeDocument/2006/relationships/table" Target="../tables/table63.xml"/><Relationship Id="rId1" Type="http://schemas.openxmlformats.org/officeDocument/2006/relationships/table" Target="../tables/table62.xml"/><Relationship Id="rId5" Type="http://schemas.openxmlformats.org/officeDocument/2006/relationships/table" Target="../tables/table66.xml"/><Relationship Id="rId4" Type="http://schemas.openxmlformats.org/officeDocument/2006/relationships/table" Target="../tables/table6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2.xml"/><Relationship Id="rId3" Type="http://schemas.openxmlformats.org/officeDocument/2006/relationships/table" Target="../tables/table67.xml"/><Relationship Id="rId7" Type="http://schemas.openxmlformats.org/officeDocument/2006/relationships/table" Target="../tables/table71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decc-wiki.greenonblack.com/pages/358" TargetMode="External"/><Relationship Id="rId6" Type="http://schemas.openxmlformats.org/officeDocument/2006/relationships/table" Target="../tables/table70.xml"/><Relationship Id="rId5" Type="http://schemas.openxmlformats.org/officeDocument/2006/relationships/table" Target="../tables/table69.xml"/><Relationship Id="rId4" Type="http://schemas.openxmlformats.org/officeDocument/2006/relationships/table" Target="../tables/table68.xml"/><Relationship Id="rId9" Type="http://schemas.openxmlformats.org/officeDocument/2006/relationships/table" Target="../tables/table73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5.xml"/><Relationship Id="rId7" Type="http://schemas.openxmlformats.org/officeDocument/2006/relationships/table" Target="../tables/table79.xml"/><Relationship Id="rId2" Type="http://schemas.openxmlformats.org/officeDocument/2006/relationships/table" Target="../tables/table74.xml"/><Relationship Id="rId1" Type="http://schemas.openxmlformats.org/officeDocument/2006/relationships/printerSettings" Target="../printerSettings/printerSettings12.bin"/><Relationship Id="rId6" Type="http://schemas.openxmlformats.org/officeDocument/2006/relationships/table" Target="../tables/table78.xml"/><Relationship Id="rId5" Type="http://schemas.openxmlformats.org/officeDocument/2006/relationships/table" Target="../tables/table77.xml"/><Relationship Id="rId4" Type="http://schemas.openxmlformats.org/officeDocument/2006/relationships/table" Target="../tables/table76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1.xml"/><Relationship Id="rId2" Type="http://schemas.openxmlformats.org/officeDocument/2006/relationships/table" Target="../tables/table80.xml"/><Relationship Id="rId1" Type="http://schemas.openxmlformats.org/officeDocument/2006/relationships/printerSettings" Target="../printerSettings/printerSettings13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2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decc-wiki.greenonblack.com/pages/330" TargetMode="External"/><Relationship Id="rId6" Type="http://schemas.openxmlformats.org/officeDocument/2006/relationships/table" Target="../tables/table85.xml"/><Relationship Id="rId5" Type="http://schemas.openxmlformats.org/officeDocument/2006/relationships/table" Target="../tables/table84.xml"/><Relationship Id="rId4" Type="http://schemas.openxmlformats.org/officeDocument/2006/relationships/table" Target="../tables/table83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8.xml"/><Relationship Id="rId2" Type="http://schemas.openxmlformats.org/officeDocument/2006/relationships/table" Target="../tables/table87.xml"/><Relationship Id="rId1" Type="http://schemas.openxmlformats.org/officeDocument/2006/relationships/table" Target="../tables/table86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1.xml"/><Relationship Id="rId2" Type="http://schemas.openxmlformats.org/officeDocument/2006/relationships/table" Target="../tables/table90.xml"/><Relationship Id="rId1" Type="http://schemas.openxmlformats.org/officeDocument/2006/relationships/table" Target="../tables/table89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4.xml"/><Relationship Id="rId2" Type="http://schemas.openxmlformats.org/officeDocument/2006/relationships/table" Target="../tables/table93.xml"/><Relationship Id="rId1" Type="http://schemas.openxmlformats.org/officeDocument/2006/relationships/table" Target="../tables/table92.xml"/><Relationship Id="rId5" Type="http://schemas.openxmlformats.org/officeDocument/2006/relationships/table" Target="../tables/table96.xml"/><Relationship Id="rId4" Type="http://schemas.openxmlformats.org/officeDocument/2006/relationships/table" Target="../tables/table9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7.xml"/><Relationship Id="rId7" Type="http://schemas.openxmlformats.org/officeDocument/2006/relationships/table" Target="../tables/table101.xml"/><Relationship Id="rId2" Type="http://schemas.openxmlformats.org/officeDocument/2006/relationships/vmlDrawing" Target="../drawings/vmlDrawing2.vml"/><Relationship Id="rId1" Type="http://schemas.openxmlformats.org/officeDocument/2006/relationships/hyperlink" Target="http://decc-wiki.greenonblack.com/pages/xxx" TargetMode="External"/><Relationship Id="rId6" Type="http://schemas.openxmlformats.org/officeDocument/2006/relationships/table" Target="../tables/table100.xml"/><Relationship Id="rId5" Type="http://schemas.openxmlformats.org/officeDocument/2006/relationships/table" Target="../tables/table99.xml"/><Relationship Id="rId4" Type="http://schemas.openxmlformats.org/officeDocument/2006/relationships/table" Target="../tables/table98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07.xml"/><Relationship Id="rId3" Type="http://schemas.openxmlformats.org/officeDocument/2006/relationships/table" Target="../tables/table102.xml"/><Relationship Id="rId7" Type="http://schemas.openxmlformats.org/officeDocument/2006/relationships/table" Target="../tables/table106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Relationship Id="rId6" Type="http://schemas.openxmlformats.org/officeDocument/2006/relationships/table" Target="../tables/table105.xml"/><Relationship Id="rId5" Type="http://schemas.openxmlformats.org/officeDocument/2006/relationships/table" Target="../tables/table104.xml"/><Relationship Id="rId4" Type="http://schemas.openxmlformats.org/officeDocument/2006/relationships/table" Target="../tables/table103.xml"/><Relationship Id="rId9" Type="http://schemas.openxmlformats.org/officeDocument/2006/relationships/comments" Target="../comments2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3.xml"/><Relationship Id="rId13" Type="http://schemas.openxmlformats.org/officeDocument/2006/relationships/table" Target="../tables/table118.xml"/><Relationship Id="rId18" Type="http://schemas.openxmlformats.org/officeDocument/2006/relationships/table" Target="../tables/table123.xml"/><Relationship Id="rId26" Type="http://schemas.openxmlformats.org/officeDocument/2006/relationships/table" Target="../tables/table131.xml"/><Relationship Id="rId3" Type="http://schemas.openxmlformats.org/officeDocument/2006/relationships/table" Target="../tables/table108.xml"/><Relationship Id="rId21" Type="http://schemas.openxmlformats.org/officeDocument/2006/relationships/table" Target="../tables/table126.xml"/><Relationship Id="rId7" Type="http://schemas.openxmlformats.org/officeDocument/2006/relationships/table" Target="../tables/table112.xml"/><Relationship Id="rId12" Type="http://schemas.openxmlformats.org/officeDocument/2006/relationships/table" Target="../tables/table117.xml"/><Relationship Id="rId17" Type="http://schemas.openxmlformats.org/officeDocument/2006/relationships/table" Target="../tables/table122.xml"/><Relationship Id="rId25" Type="http://schemas.openxmlformats.org/officeDocument/2006/relationships/table" Target="../tables/table130.xml"/><Relationship Id="rId2" Type="http://schemas.openxmlformats.org/officeDocument/2006/relationships/vmlDrawing" Target="../drawings/vmlDrawing4.vml"/><Relationship Id="rId16" Type="http://schemas.openxmlformats.org/officeDocument/2006/relationships/table" Target="../tables/table121.xml"/><Relationship Id="rId20" Type="http://schemas.openxmlformats.org/officeDocument/2006/relationships/table" Target="../tables/table125.xml"/><Relationship Id="rId29" Type="http://schemas.openxmlformats.org/officeDocument/2006/relationships/comments" Target="../comments3.xml"/><Relationship Id="rId1" Type="http://schemas.openxmlformats.org/officeDocument/2006/relationships/printerSettings" Target="../printerSettings/printerSettings15.bin"/><Relationship Id="rId6" Type="http://schemas.openxmlformats.org/officeDocument/2006/relationships/table" Target="../tables/table111.xml"/><Relationship Id="rId11" Type="http://schemas.openxmlformats.org/officeDocument/2006/relationships/table" Target="../tables/table116.xml"/><Relationship Id="rId24" Type="http://schemas.openxmlformats.org/officeDocument/2006/relationships/table" Target="../tables/table129.xml"/><Relationship Id="rId5" Type="http://schemas.openxmlformats.org/officeDocument/2006/relationships/table" Target="../tables/table110.xml"/><Relationship Id="rId15" Type="http://schemas.openxmlformats.org/officeDocument/2006/relationships/table" Target="../tables/table120.xml"/><Relationship Id="rId23" Type="http://schemas.openxmlformats.org/officeDocument/2006/relationships/table" Target="../tables/table128.xml"/><Relationship Id="rId28" Type="http://schemas.openxmlformats.org/officeDocument/2006/relationships/table" Target="../tables/table133.xml"/><Relationship Id="rId10" Type="http://schemas.openxmlformats.org/officeDocument/2006/relationships/table" Target="../tables/table115.xml"/><Relationship Id="rId19" Type="http://schemas.openxmlformats.org/officeDocument/2006/relationships/table" Target="../tables/table124.xml"/><Relationship Id="rId4" Type="http://schemas.openxmlformats.org/officeDocument/2006/relationships/table" Target="../tables/table109.xml"/><Relationship Id="rId9" Type="http://schemas.openxmlformats.org/officeDocument/2006/relationships/table" Target="../tables/table114.xml"/><Relationship Id="rId14" Type="http://schemas.openxmlformats.org/officeDocument/2006/relationships/table" Target="../tables/table119.xml"/><Relationship Id="rId22" Type="http://schemas.openxmlformats.org/officeDocument/2006/relationships/table" Target="../tables/table127.xml"/><Relationship Id="rId27" Type="http://schemas.openxmlformats.org/officeDocument/2006/relationships/table" Target="../tables/table132.xm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1.xml"/><Relationship Id="rId13" Type="http://schemas.openxmlformats.org/officeDocument/2006/relationships/table" Target="../tables/table146.xml"/><Relationship Id="rId18" Type="http://schemas.openxmlformats.org/officeDocument/2006/relationships/table" Target="../tables/table151.xml"/><Relationship Id="rId3" Type="http://schemas.openxmlformats.org/officeDocument/2006/relationships/table" Target="../tables/table136.xml"/><Relationship Id="rId7" Type="http://schemas.openxmlformats.org/officeDocument/2006/relationships/table" Target="../tables/table140.xml"/><Relationship Id="rId12" Type="http://schemas.openxmlformats.org/officeDocument/2006/relationships/table" Target="../tables/table145.xml"/><Relationship Id="rId17" Type="http://schemas.openxmlformats.org/officeDocument/2006/relationships/table" Target="../tables/table150.xml"/><Relationship Id="rId2" Type="http://schemas.openxmlformats.org/officeDocument/2006/relationships/table" Target="../tables/table135.xml"/><Relationship Id="rId16" Type="http://schemas.openxmlformats.org/officeDocument/2006/relationships/table" Target="../tables/table149.xml"/><Relationship Id="rId1" Type="http://schemas.openxmlformats.org/officeDocument/2006/relationships/table" Target="../tables/table134.xml"/><Relationship Id="rId6" Type="http://schemas.openxmlformats.org/officeDocument/2006/relationships/table" Target="../tables/table139.xml"/><Relationship Id="rId11" Type="http://schemas.openxmlformats.org/officeDocument/2006/relationships/table" Target="../tables/table144.xml"/><Relationship Id="rId5" Type="http://schemas.openxmlformats.org/officeDocument/2006/relationships/table" Target="../tables/table138.xml"/><Relationship Id="rId15" Type="http://schemas.openxmlformats.org/officeDocument/2006/relationships/table" Target="../tables/table148.xml"/><Relationship Id="rId10" Type="http://schemas.openxmlformats.org/officeDocument/2006/relationships/table" Target="../tables/table143.xml"/><Relationship Id="rId19" Type="http://schemas.openxmlformats.org/officeDocument/2006/relationships/table" Target="../tables/table152.xml"/><Relationship Id="rId4" Type="http://schemas.openxmlformats.org/officeDocument/2006/relationships/table" Target="../tables/table137.xml"/><Relationship Id="rId9" Type="http://schemas.openxmlformats.org/officeDocument/2006/relationships/table" Target="../tables/table142.xml"/><Relationship Id="rId14" Type="http://schemas.openxmlformats.org/officeDocument/2006/relationships/table" Target="../tables/table147.x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4.xml"/><Relationship Id="rId7" Type="http://schemas.openxmlformats.org/officeDocument/2006/relationships/table" Target="../tables/table158.xml"/><Relationship Id="rId2" Type="http://schemas.openxmlformats.org/officeDocument/2006/relationships/table" Target="../tables/table153.xml"/><Relationship Id="rId1" Type="http://schemas.openxmlformats.org/officeDocument/2006/relationships/hyperlink" Target="http://decc-wiki.greenonblack.com/pages/364" TargetMode="External"/><Relationship Id="rId6" Type="http://schemas.openxmlformats.org/officeDocument/2006/relationships/table" Target="../tables/table157.xml"/><Relationship Id="rId5" Type="http://schemas.openxmlformats.org/officeDocument/2006/relationships/table" Target="../tables/table156.xml"/><Relationship Id="rId4" Type="http://schemas.openxmlformats.org/officeDocument/2006/relationships/table" Target="../tables/table155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1.xml"/><Relationship Id="rId7" Type="http://schemas.openxmlformats.org/officeDocument/2006/relationships/table" Target="../tables/table165.xml"/><Relationship Id="rId2" Type="http://schemas.openxmlformats.org/officeDocument/2006/relationships/table" Target="../tables/table160.xml"/><Relationship Id="rId1" Type="http://schemas.openxmlformats.org/officeDocument/2006/relationships/table" Target="../tables/table159.xml"/><Relationship Id="rId6" Type="http://schemas.openxmlformats.org/officeDocument/2006/relationships/table" Target="../tables/table164.xml"/><Relationship Id="rId5" Type="http://schemas.openxmlformats.org/officeDocument/2006/relationships/table" Target="../tables/table163.xml"/><Relationship Id="rId4" Type="http://schemas.openxmlformats.org/officeDocument/2006/relationships/table" Target="../tables/table162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7.xml"/><Relationship Id="rId7" Type="http://schemas.openxmlformats.org/officeDocument/2006/relationships/table" Target="../tables/table171.xml"/><Relationship Id="rId2" Type="http://schemas.openxmlformats.org/officeDocument/2006/relationships/table" Target="../tables/table166.xml"/><Relationship Id="rId1" Type="http://schemas.openxmlformats.org/officeDocument/2006/relationships/printerSettings" Target="../printerSettings/printerSettings16.bin"/><Relationship Id="rId6" Type="http://schemas.openxmlformats.org/officeDocument/2006/relationships/table" Target="../tables/table170.xml"/><Relationship Id="rId5" Type="http://schemas.openxmlformats.org/officeDocument/2006/relationships/table" Target="../tables/table169.xml"/><Relationship Id="rId4" Type="http://schemas.openxmlformats.org/officeDocument/2006/relationships/table" Target="../tables/table168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79.xml"/><Relationship Id="rId3" Type="http://schemas.openxmlformats.org/officeDocument/2006/relationships/table" Target="../tables/table174.xml"/><Relationship Id="rId7" Type="http://schemas.openxmlformats.org/officeDocument/2006/relationships/table" Target="../tables/table178.xml"/><Relationship Id="rId2" Type="http://schemas.openxmlformats.org/officeDocument/2006/relationships/table" Target="../tables/table173.xml"/><Relationship Id="rId1" Type="http://schemas.openxmlformats.org/officeDocument/2006/relationships/table" Target="../tables/table172.xml"/><Relationship Id="rId6" Type="http://schemas.openxmlformats.org/officeDocument/2006/relationships/table" Target="../tables/table177.xml"/><Relationship Id="rId5" Type="http://schemas.openxmlformats.org/officeDocument/2006/relationships/table" Target="../tables/table176.xml"/><Relationship Id="rId4" Type="http://schemas.openxmlformats.org/officeDocument/2006/relationships/table" Target="../tables/table175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theme="5" tint="-0.249977111117893"/>
    <pageSetUpPr autoPageBreaks="0"/>
  </sheetPr>
  <dimension ref="A1:BY80"/>
  <sheetViews>
    <sheetView windowProtection="1" topLeftCell="A32" zoomScale="87" zoomScaleNormal="87" workbookViewId="0">
      <selection activeCell="B5" sqref="B5:B14"/>
    </sheetView>
  </sheetViews>
  <sheetFormatPr defaultColWidth="8.7109375" defaultRowHeight="12.75" x14ac:dyDescent="0.2"/>
  <cols>
    <col min="1" max="1" width="20.140625" style="610" customWidth="1"/>
    <col min="2" max="2" width="26.28515625" style="610" customWidth="1"/>
    <col min="3" max="3" width="6" customWidth="1"/>
    <col min="4" max="4" width="45.28515625" customWidth="1"/>
    <col min="5" max="5" width="5.140625" style="370" customWidth="1"/>
    <col min="6" max="6" width="4" style="368" customWidth="1"/>
    <col min="7" max="7" width="6.7109375" style="2580" customWidth="1"/>
    <col min="8" max="8" width="1.140625" customWidth="1"/>
    <col min="9" max="12" width="43.7109375" style="38" customWidth="1"/>
    <col min="13" max="13" width="1.140625" style="1595" customWidth="1"/>
    <col min="14" max="14" width="4.42578125" style="38" customWidth="1"/>
    <col min="15" max="16" width="4.42578125" style="1318" customWidth="1"/>
    <col min="17" max="17" width="6.42578125" style="2143" customWidth="1"/>
    <col min="18" max="18" width="5.42578125" style="1593" customWidth="1"/>
    <col min="19" max="20" width="4.7109375" style="1593" customWidth="1"/>
    <col min="21" max="21" width="4.7109375" style="2282" customWidth="1"/>
    <col min="22" max="22" width="4.42578125" style="1593" customWidth="1"/>
    <col min="23" max="23" width="4.7109375" style="2143" customWidth="1"/>
    <col min="24" max="25" width="5.140625" style="2143" customWidth="1"/>
    <col min="26" max="27" width="4.7109375" style="2143" customWidth="1"/>
    <col min="28" max="28" width="4.42578125" style="2143" customWidth="1"/>
    <col min="29" max="29" width="4.42578125" style="1593" customWidth="1"/>
    <col min="30" max="30" width="1" customWidth="1"/>
    <col min="31" max="31" width="1.7109375" customWidth="1"/>
    <col min="32" max="41" width="9.42578125" customWidth="1"/>
    <col min="42" max="42" width="0.7109375" style="1336" customWidth="1"/>
    <col min="43" max="43" width="6.7109375" style="1336" customWidth="1"/>
    <col min="44" max="53" width="9.42578125" customWidth="1"/>
    <col min="54" max="54" width="0.7109375" style="525" customWidth="1"/>
    <col min="55" max="55" width="2.140625" style="525" customWidth="1"/>
    <col min="56" max="56" width="7.7109375" customWidth="1"/>
    <col min="57" max="60" width="9.42578125" customWidth="1"/>
    <col min="61" max="64" width="9.7109375" customWidth="1"/>
    <col min="65" max="66" width="2.7109375" customWidth="1"/>
    <col min="67" max="67" width="21" style="1595" customWidth="1"/>
    <col min="68" max="68" width="48.7109375" style="1316" customWidth="1"/>
    <col min="69" max="69" width="55.28515625" style="1316" customWidth="1"/>
    <col min="70" max="70" width="49" style="1316" customWidth="1"/>
    <col min="71" max="71" width="49.140625" style="1316" customWidth="1"/>
  </cols>
  <sheetData>
    <row r="1" spans="1:71" ht="31.5" customHeight="1" x14ac:dyDescent="0.2">
      <c r="A1" s="1599" t="s">
        <v>2040</v>
      </c>
      <c r="C1" s="1138"/>
      <c r="E1" s="1380" t="s">
        <v>2578</v>
      </c>
      <c r="K1" s="1599"/>
      <c r="N1" s="1599" t="s">
        <v>2455</v>
      </c>
      <c r="AD1" s="38"/>
      <c r="AE1" s="100"/>
      <c r="AG1" s="1139"/>
    </row>
    <row r="2" spans="1:71" ht="32.25" customHeight="1" x14ac:dyDescent="0.3">
      <c r="A2" s="943" t="s">
        <v>599</v>
      </c>
      <c r="B2" s="943"/>
      <c r="C2" s="943"/>
      <c r="D2" s="942"/>
      <c r="E2" s="942"/>
      <c r="F2" s="942"/>
      <c r="G2" s="2581"/>
      <c r="H2" s="409"/>
      <c r="I2" s="944" t="s">
        <v>1778</v>
      </c>
      <c r="J2" s="944"/>
      <c r="K2" s="944"/>
      <c r="L2" s="944"/>
      <c r="M2" s="1422"/>
      <c r="N2" s="1120" t="s">
        <v>1194</v>
      </c>
      <c r="O2" s="1120"/>
      <c r="P2" s="1120"/>
      <c r="Q2" s="1121"/>
      <c r="R2" s="1121"/>
      <c r="S2" s="1121"/>
      <c r="T2" s="1121"/>
      <c r="U2" s="1121"/>
      <c r="V2" s="1121"/>
      <c r="W2" s="1121"/>
      <c r="X2" s="1121"/>
      <c r="Y2" s="1121"/>
      <c r="Z2" s="1121"/>
      <c r="AA2" s="1121"/>
      <c r="AB2" s="1121"/>
      <c r="AC2" s="1121"/>
      <c r="AD2" s="409"/>
      <c r="AE2" s="944" t="s">
        <v>892</v>
      </c>
      <c r="AF2" s="945"/>
      <c r="AG2" s="945"/>
      <c r="AH2" s="945"/>
      <c r="AI2" s="945"/>
      <c r="AJ2" s="945"/>
      <c r="AK2" s="945"/>
      <c r="AL2" s="945"/>
      <c r="AM2" s="945"/>
      <c r="AN2" s="945"/>
      <c r="AO2" s="945"/>
      <c r="AQ2" s="945"/>
      <c r="AR2" s="945"/>
      <c r="AS2" s="945"/>
      <c r="AT2" s="945"/>
      <c r="AU2" s="945"/>
      <c r="AV2" s="1338" t="s">
        <v>361</v>
      </c>
      <c r="AW2" s="945"/>
      <c r="AX2" s="945"/>
      <c r="AY2" s="945"/>
      <c r="AZ2" s="945"/>
      <c r="BA2" s="945"/>
      <c r="BC2" s="2740" t="s">
        <v>1335</v>
      </c>
      <c r="BD2" s="2740"/>
      <c r="BE2" s="2740"/>
      <c r="BF2" s="2740"/>
      <c r="BG2" s="2740"/>
      <c r="BH2" s="2740"/>
      <c r="BI2" s="2740"/>
      <c r="BJ2" s="2740"/>
      <c r="BK2" s="2740"/>
      <c r="BL2" s="2740"/>
      <c r="BM2" s="2740"/>
      <c r="BP2" s="944" t="s">
        <v>1337</v>
      </c>
      <c r="BQ2" s="944"/>
      <c r="BR2" s="944"/>
      <c r="BS2" s="944"/>
    </row>
    <row r="3" spans="1:71" s="525" customFormat="1" ht="6" customHeight="1" thickBot="1" x14ac:dyDescent="0.25">
      <c r="A3" s="1600"/>
      <c r="B3" s="1600"/>
      <c r="G3" s="2582"/>
    </row>
    <row r="4" spans="1:71" s="1608" customFormat="1" ht="188.25" customHeight="1" x14ac:dyDescent="0.35">
      <c r="A4" s="1606" t="s">
        <v>58</v>
      </c>
      <c r="B4" s="1606"/>
      <c r="C4" s="1607"/>
      <c r="D4" s="1607"/>
      <c r="E4" s="1598" t="s">
        <v>1777</v>
      </c>
      <c r="F4" s="2374" t="s">
        <v>1776</v>
      </c>
      <c r="G4" s="2576" t="s">
        <v>2073</v>
      </c>
      <c r="I4" s="1609" t="s">
        <v>1207</v>
      </c>
      <c r="J4" s="1609" t="s">
        <v>1208</v>
      </c>
      <c r="K4" s="1609" t="s">
        <v>1209</v>
      </c>
      <c r="L4" s="1609" t="s">
        <v>1265</v>
      </c>
      <c r="N4" s="2615" t="s">
        <v>2048</v>
      </c>
      <c r="O4" s="2616" t="s">
        <v>2566</v>
      </c>
      <c r="P4" s="2616" t="s">
        <v>1338</v>
      </c>
      <c r="Q4" s="2616" t="s">
        <v>2564</v>
      </c>
      <c r="R4" s="2616" t="s">
        <v>2038</v>
      </c>
      <c r="S4" s="2616" t="s">
        <v>2567</v>
      </c>
      <c r="T4" s="2616" t="s">
        <v>2575</v>
      </c>
      <c r="U4" s="2616" t="s">
        <v>2576</v>
      </c>
      <c r="V4" s="2616" t="s">
        <v>2574</v>
      </c>
      <c r="W4" s="2616" t="s">
        <v>2565</v>
      </c>
      <c r="X4" s="2616" t="s">
        <v>2571</v>
      </c>
      <c r="Y4" s="2616" t="s">
        <v>2572</v>
      </c>
      <c r="Z4" s="2616" t="s">
        <v>2573</v>
      </c>
      <c r="AA4" s="2616" t="s">
        <v>2577</v>
      </c>
      <c r="AB4" s="2344"/>
      <c r="AC4" s="2344"/>
      <c r="AE4" s="1611"/>
      <c r="AF4" s="1611"/>
      <c r="AG4" s="1611"/>
      <c r="AH4" s="1611"/>
      <c r="AI4" s="1611"/>
      <c r="AJ4" s="1611"/>
      <c r="AK4" s="1611"/>
      <c r="AL4" s="1611"/>
      <c r="AM4" s="1611"/>
      <c r="AN4" s="1611"/>
      <c r="AO4" s="1611"/>
      <c r="AQ4" s="1611"/>
      <c r="AR4" s="1611"/>
      <c r="AS4" s="1611"/>
      <c r="AT4" s="1611"/>
      <c r="AU4" s="1611"/>
      <c r="AV4" s="1611"/>
      <c r="AW4" s="1611"/>
      <c r="AX4" s="1611"/>
      <c r="AY4" s="1611"/>
      <c r="AZ4" s="1611"/>
      <c r="BA4" s="1611"/>
      <c r="BB4" s="1612"/>
      <c r="BC4" s="977"/>
      <c r="BD4" s="977"/>
      <c r="BE4" s="1611"/>
      <c r="BF4" s="1611"/>
      <c r="BG4" s="1611"/>
      <c r="BH4" s="1611"/>
      <c r="BI4" s="1611"/>
      <c r="BJ4" s="1611"/>
      <c r="BK4" s="1611"/>
      <c r="BL4" s="1611"/>
      <c r="BM4" s="1611"/>
      <c r="BP4" s="1610" t="s">
        <v>1207</v>
      </c>
      <c r="BQ4" s="1609" t="s">
        <v>1208</v>
      </c>
      <c r="BR4" s="1609" t="s">
        <v>1209</v>
      </c>
      <c r="BS4" s="1609" t="s">
        <v>1265</v>
      </c>
    </row>
    <row r="5" spans="1:71" s="38" customFormat="1" ht="34.5" customHeight="1" x14ac:dyDescent="0.2">
      <c r="A5" s="2743" t="s">
        <v>568</v>
      </c>
      <c r="B5" s="2744" t="s">
        <v>2149</v>
      </c>
      <c r="C5" s="369" t="s">
        <v>288</v>
      </c>
      <c r="D5" s="369" t="s">
        <v>2148</v>
      </c>
      <c r="E5" s="2351">
        <v>4</v>
      </c>
      <c r="F5" s="2372" t="s">
        <v>133</v>
      </c>
      <c r="G5" s="2577" t="s">
        <v>2074</v>
      </c>
      <c r="H5" s="1174"/>
      <c r="I5" s="1596" t="s">
        <v>2159</v>
      </c>
      <c r="J5" s="1596" t="s">
        <v>2160</v>
      </c>
      <c r="K5" s="1596" t="s">
        <v>2161</v>
      </c>
      <c r="L5" s="1596" t="s">
        <v>2162</v>
      </c>
      <c r="M5" s="1595"/>
      <c r="N5" s="2270">
        <v>1</v>
      </c>
      <c r="O5" s="2269">
        <v>1</v>
      </c>
      <c r="P5" s="2269">
        <v>4</v>
      </c>
      <c r="Q5" s="2269">
        <v>2</v>
      </c>
      <c r="R5" s="2269">
        <v>2</v>
      </c>
      <c r="S5" s="2269">
        <v>1</v>
      </c>
      <c r="T5" s="2269">
        <v>1</v>
      </c>
      <c r="U5" s="2269">
        <v>1</v>
      </c>
      <c r="V5" s="2345">
        <v>2</v>
      </c>
      <c r="W5" s="2269">
        <v>2</v>
      </c>
      <c r="X5" s="2269">
        <v>3</v>
      </c>
      <c r="Y5" s="2269">
        <v>3</v>
      </c>
      <c r="Z5" s="2269">
        <v>2</v>
      </c>
      <c r="AA5" s="2269">
        <v>1</v>
      </c>
      <c r="AB5" s="2269"/>
      <c r="AC5" s="2269"/>
      <c r="AD5"/>
      <c r="AE5" s="924"/>
      <c r="AF5" s="924"/>
      <c r="AG5" s="924"/>
      <c r="AH5" s="924"/>
      <c r="AI5" s="924"/>
      <c r="AJ5" s="924"/>
      <c r="AK5" s="924"/>
      <c r="AL5" s="924"/>
      <c r="AM5" s="924"/>
      <c r="AN5" s="925"/>
      <c r="AO5" s="925"/>
      <c r="AP5" s="1336"/>
      <c r="AQ5" s="925"/>
      <c r="AR5" s="925"/>
      <c r="AS5" s="925"/>
      <c r="AT5" s="925"/>
      <c r="AU5" s="925"/>
      <c r="AV5" s="925"/>
      <c r="AW5" s="925"/>
      <c r="AX5" s="925"/>
      <c r="AY5" s="925"/>
      <c r="AZ5" s="925"/>
      <c r="BA5" s="925"/>
      <c r="BB5" s="525"/>
      <c r="BC5" s="972"/>
      <c r="BD5" s="1351" t="s">
        <v>1173</v>
      </c>
      <c r="BE5" s="925"/>
      <c r="BF5" s="925"/>
      <c r="BG5" s="925"/>
      <c r="BH5" s="925"/>
      <c r="BI5" s="925"/>
      <c r="BJ5" s="925"/>
      <c r="BK5" s="925"/>
      <c r="BL5" s="925"/>
      <c r="BM5" s="925"/>
      <c r="BO5" s="1595"/>
      <c r="BP5" s="2479" t="s">
        <v>2159</v>
      </c>
      <c r="BQ5" s="2479" t="s">
        <v>2160</v>
      </c>
      <c r="BR5" s="2479" t="s">
        <v>2161</v>
      </c>
      <c r="BS5" s="2479" t="s">
        <v>2162</v>
      </c>
    </row>
    <row r="6" spans="1:71" s="2479" customFormat="1" ht="34.5" customHeight="1" x14ac:dyDescent="0.25">
      <c r="A6" s="2743"/>
      <c r="B6" s="2744"/>
      <c r="C6" s="369" t="s">
        <v>352</v>
      </c>
      <c r="D6" s="2569" t="s">
        <v>2412</v>
      </c>
      <c r="E6" s="2351">
        <v>4</v>
      </c>
      <c r="F6" s="2372">
        <v>4</v>
      </c>
      <c r="G6" s="2577" t="s">
        <v>2549</v>
      </c>
      <c r="I6" s="1596" t="s">
        <v>2456</v>
      </c>
      <c r="J6" s="1596" t="s">
        <v>2457</v>
      </c>
      <c r="K6" s="1596" t="s">
        <v>2458</v>
      </c>
      <c r="L6" s="1596" t="s">
        <v>2459</v>
      </c>
      <c r="N6" s="2270">
        <v>1</v>
      </c>
      <c r="O6" s="2269">
        <v>1</v>
      </c>
      <c r="P6" s="2269">
        <v>4</v>
      </c>
      <c r="Q6" s="2269">
        <v>2</v>
      </c>
      <c r="R6" s="2269">
        <v>2</v>
      </c>
      <c r="S6" s="2269">
        <v>1</v>
      </c>
      <c r="T6" s="2269">
        <v>1</v>
      </c>
      <c r="U6" s="2269">
        <v>1</v>
      </c>
      <c r="V6" s="2345">
        <v>2</v>
      </c>
      <c r="W6" s="2269">
        <v>2</v>
      </c>
      <c r="X6" s="2269">
        <v>3</v>
      </c>
      <c r="Y6" s="2269">
        <v>2</v>
      </c>
      <c r="Z6" s="2269">
        <v>2</v>
      </c>
      <c r="AA6" s="2269">
        <v>1</v>
      </c>
      <c r="AB6" s="2269"/>
      <c r="AC6" s="2269"/>
      <c r="AE6" s="924"/>
      <c r="AF6" s="924"/>
      <c r="AG6" s="924"/>
      <c r="AH6" s="924"/>
      <c r="AI6" s="924"/>
      <c r="AJ6" s="924"/>
      <c r="AK6" s="924"/>
      <c r="AL6" s="924"/>
      <c r="AM6" s="924"/>
      <c r="AN6" s="925"/>
      <c r="AO6" s="925"/>
      <c r="AQ6" s="925"/>
      <c r="AR6" s="925"/>
      <c r="AS6" s="925"/>
      <c r="AT6" s="925"/>
      <c r="AU6" s="925"/>
      <c r="AV6" s="925"/>
      <c r="AW6" s="925"/>
      <c r="AX6" s="925"/>
      <c r="AY6" s="925"/>
      <c r="AZ6" s="925"/>
      <c r="BA6" s="925"/>
      <c r="BB6" s="525"/>
      <c r="BC6" s="972"/>
      <c r="BD6" s="938"/>
      <c r="BE6" s="929"/>
      <c r="BF6" s="950"/>
      <c r="BG6" s="950"/>
      <c r="BH6" s="949"/>
      <c r="BI6" s="948">
        <v>2010</v>
      </c>
      <c r="BJ6" s="948">
        <v>2020</v>
      </c>
      <c r="BK6" s="948">
        <v>2030</v>
      </c>
      <c r="BL6" s="948">
        <v>2050</v>
      </c>
      <c r="BM6" s="925"/>
      <c r="BP6" s="1596" t="s">
        <v>2456</v>
      </c>
      <c r="BQ6" s="1596" t="s">
        <v>2457</v>
      </c>
      <c r="BR6" s="1596" t="s">
        <v>2458</v>
      </c>
      <c r="BS6" s="1596" t="s">
        <v>2459</v>
      </c>
    </row>
    <row r="7" spans="1:71" s="1174" customFormat="1" ht="25.5" customHeight="1" x14ac:dyDescent="0.2">
      <c r="A7" s="2743"/>
      <c r="B7" s="2744"/>
      <c r="C7" s="369" t="s">
        <v>2146</v>
      </c>
      <c r="D7" s="369" t="s">
        <v>2147</v>
      </c>
      <c r="E7" s="2351">
        <v>4</v>
      </c>
      <c r="F7" s="369">
        <v>4</v>
      </c>
      <c r="G7" s="2578" t="s">
        <v>2075</v>
      </c>
      <c r="H7" s="1595"/>
      <c r="I7" s="1596" t="s">
        <v>2166</v>
      </c>
      <c r="J7" s="1596" t="s">
        <v>2163</v>
      </c>
      <c r="K7" s="1596" t="s">
        <v>2164</v>
      </c>
      <c r="L7" s="1596" t="s">
        <v>2165</v>
      </c>
      <c r="M7" s="1595"/>
      <c r="N7" s="2270">
        <v>1</v>
      </c>
      <c r="O7" s="2269">
        <v>1</v>
      </c>
      <c r="P7" s="2269">
        <v>4</v>
      </c>
      <c r="Q7" s="2269">
        <v>2</v>
      </c>
      <c r="R7" s="2269">
        <v>1</v>
      </c>
      <c r="S7" s="2269">
        <v>1</v>
      </c>
      <c r="T7" s="2269">
        <v>2</v>
      </c>
      <c r="U7" s="2269">
        <v>1</v>
      </c>
      <c r="V7" s="2345">
        <v>2</v>
      </c>
      <c r="W7" s="2269">
        <v>1</v>
      </c>
      <c r="X7" s="2269">
        <v>3</v>
      </c>
      <c r="Y7" s="2269">
        <v>3</v>
      </c>
      <c r="Z7" s="2269">
        <v>2</v>
      </c>
      <c r="AA7" s="2269">
        <v>1</v>
      </c>
      <c r="AB7" s="2269"/>
      <c r="AC7" s="2269"/>
      <c r="AD7" s="1198"/>
      <c r="AE7" s="924"/>
      <c r="AF7" s="924"/>
      <c r="AG7" s="924"/>
      <c r="AH7" s="924"/>
      <c r="AI7" s="924"/>
      <c r="AJ7" s="924"/>
      <c r="AK7" s="924"/>
      <c r="AL7" s="924"/>
      <c r="AM7" s="924"/>
      <c r="AN7" s="925"/>
      <c r="AO7" s="925"/>
      <c r="AP7" s="1336"/>
      <c r="AQ7" s="925"/>
      <c r="AR7" s="925"/>
      <c r="AS7" s="925"/>
      <c r="AT7" s="925"/>
      <c r="AU7" s="925"/>
      <c r="AV7" s="925"/>
      <c r="AW7" s="925"/>
      <c r="AX7" s="925"/>
      <c r="AY7" s="925"/>
      <c r="AZ7" s="925"/>
      <c r="BA7" s="925"/>
      <c r="BB7" s="525"/>
      <c r="BC7" s="972"/>
      <c r="BD7" s="928"/>
      <c r="BE7" s="925"/>
      <c r="BF7" s="925"/>
      <c r="BG7" s="925"/>
      <c r="BH7" s="925"/>
      <c r="BI7" s="925"/>
      <c r="BJ7" s="925"/>
      <c r="BK7" s="925"/>
      <c r="BL7" s="925"/>
      <c r="BM7" s="925"/>
      <c r="BO7" s="1595"/>
      <c r="BP7" s="2479" t="s">
        <v>2166</v>
      </c>
      <c r="BQ7" s="2479" t="s">
        <v>2163</v>
      </c>
      <c r="BR7" s="2479" t="s">
        <v>2164</v>
      </c>
      <c r="BS7" s="2479" t="s">
        <v>2165</v>
      </c>
    </row>
    <row r="8" spans="1:71" s="84" customFormat="1" ht="25.5" customHeight="1" x14ac:dyDescent="0.25">
      <c r="A8" s="2743"/>
      <c r="B8" s="2744"/>
      <c r="C8" s="369" t="s">
        <v>297</v>
      </c>
      <c r="D8" s="369" t="s">
        <v>187</v>
      </c>
      <c r="E8" s="2351">
        <v>4</v>
      </c>
      <c r="F8" s="2372">
        <v>4</v>
      </c>
      <c r="G8" s="2577" t="s">
        <v>2550</v>
      </c>
      <c r="H8" s="2370"/>
      <c r="I8" s="1596" t="s">
        <v>2151</v>
      </c>
      <c r="J8" s="1596" t="s">
        <v>2152</v>
      </c>
      <c r="K8" s="1596" t="s">
        <v>2153</v>
      </c>
      <c r="L8" s="1596" t="s">
        <v>2154</v>
      </c>
      <c r="M8" s="2370"/>
      <c r="N8" s="2270">
        <v>1</v>
      </c>
      <c r="O8" s="2269">
        <v>1</v>
      </c>
      <c r="P8" s="2269">
        <v>4</v>
      </c>
      <c r="Q8" s="2269">
        <v>2</v>
      </c>
      <c r="R8" s="2269">
        <v>2</v>
      </c>
      <c r="S8" s="2269">
        <v>1</v>
      </c>
      <c r="T8" s="2269">
        <v>1</v>
      </c>
      <c r="U8" s="2269">
        <v>1</v>
      </c>
      <c r="V8" s="2345">
        <v>2</v>
      </c>
      <c r="W8" s="2269">
        <v>2</v>
      </c>
      <c r="X8" s="2269">
        <v>3</v>
      </c>
      <c r="Y8" s="2269">
        <v>2</v>
      </c>
      <c r="Z8" s="2269">
        <v>2</v>
      </c>
      <c r="AA8" s="2269">
        <v>1</v>
      </c>
      <c r="AB8" s="2269"/>
      <c r="AC8" s="2269"/>
      <c r="AD8" s="38"/>
      <c r="AE8" s="924"/>
      <c r="AF8" s="924"/>
      <c r="AG8" s="924"/>
      <c r="AH8" s="924"/>
      <c r="AI8" s="924"/>
      <c r="AJ8" s="924"/>
      <c r="AK8" s="924"/>
      <c r="AL8" s="924"/>
      <c r="AM8" s="924"/>
      <c r="AN8" s="925"/>
      <c r="AO8" s="925"/>
      <c r="AP8" s="1336"/>
      <c r="AQ8" s="925"/>
      <c r="AR8" s="925"/>
      <c r="AS8" s="925"/>
      <c r="AT8" s="925"/>
      <c r="AU8" s="925"/>
      <c r="AV8" s="925"/>
      <c r="AW8" s="925"/>
      <c r="AX8" s="925"/>
      <c r="AY8" s="925"/>
      <c r="AZ8" s="925"/>
      <c r="BA8" s="925"/>
      <c r="BB8" s="525"/>
      <c r="BC8" s="1344"/>
      <c r="BD8" s="1028"/>
      <c r="BE8" s="924"/>
      <c r="BF8" s="924"/>
      <c r="BG8" s="1217"/>
      <c r="BH8" s="1028"/>
      <c r="BI8" s="1247"/>
      <c r="BJ8" s="1248"/>
      <c r="BK8" s="1248"/>
      <c r="BL8" s="1248"/>
      <c r="BM8" s="925"/>
      <c r="BP8" s="2479" t="s">
        <v>2151</v>
      </c>
      <c r="BQ8" s="2479" t="s">
        <v>2152</v>
      </c>
      <c r="BR8" s="2479" t="s">
        <v>2153</v>
      </c>
      <c r="BS8" s="2479" t="s">
        <v>2154</v>
      </c>
    </row>
    <row r="9" spans="1:71" s="84" customFormat="1" ht="30" customHeight="1" x14ac:dyDescent="0.25">
      <c r="A9" s="2743"/>
      <c r="B9" s="2744"/>
      <c r="C9" s="369" t="s">
        <v>864</v>
      </c>
      <c r="D9" s="369" t="s">
        <v>184</v>
      </c>
      <c r="E9" s="2351">
        <v>4</v>
      </c>
      <c r="F9" s="369">
        <v>4</v>
      </c>
      <c r="G9" s="2578" t="s">
        <v>2551</v>
      </c>
      <c r="H9"/>
      <c r="I9" s="1596" t="s">
        <v>2155</v>
      </c>
      <c r="J9" s="1596" t="s">
        <v>2156</v>
      </c>
      <c r="K9" s="1596" t="s">
        <v>2157</v>
      </c>
      <c r="L9" s="1596" t="s">
        <v>2158</v>
      </c>
      <c r="M9" s="1595"/>
      <c r="N9" s="2270">
        <v>1</v>
      </c>
      <c r="O9" s="2269">
        <v>1</v>
      </c>
      <c r="P9" s="2269">
        <v>4</v>
      </c>
      <c r="Q9" s="2269">
        <v>2</v>
      </c>
      <c r="R9" s="2269">
        <v>2</v>
      </c>
      <c r="S9" s="2269">
        <v>1</v>
      </c>
      <c r="T9" s="2269">
        <v>1</v>
      </c>
      <c r="U9" s="2269">
        <v>1</v>
      </c>
      <c r="V9" s="2269">
        <v>2</v>
      </c>
      <c r="W9" s="2269">
        <v>2</v>
      </c>
      <c r="X9" s="2269">
        <v>3</v>
      </c>
      <c r="Y9" s="2269">
        <v>2</v>
      </c>
      <c r="Z9" s="2269">
        <v>2</v>
      </c>
      <c r="AA9" s="2269">
        <v>1</v>
      </c>
      <c r="AB9" s="2269"/>
      <c r="AC9" s="2269"/>
      <c r="AD9"/>
      <c r="AE9" s="924"/>
      <c r="AF9" s="924"/>
      <c r="AG9" s="924"/>
      <c r="AH9" s="924"/>
      <c r="AI9" s="924"/>
      <c r="AJ9" s="924"/>
      <c r="AK9" s="924"/>
      <c r="AL9" s="924"/>
      <c r="AM9" s="924"/>
      <c r="AN9" s="925"/>
      <c r="AO9" s="925"/>
      <c r="AP9" s="1336"/>
      <c r="AQ9" s="925"/>
      <c r="AR9" s="925"/>
      <c r="AS9" s="925"/>
      <c r="AT9" s="925"/>
      <c r="AU9" s="925"/>
      <c r="AV9" s="925"/>
      <c r="AW9" s="925"/>
      <c r="AX9" s="925"/>
      <c r="AY9" s="925"/>
      <c r="AZ9" s="925"/>
      <c r="BA9" s="925"/>
      <c r="BB9" s="525"/>
      <c r="BC9" s="762"/>
      <c r="BD9" s="1028"/>
      <c r="BE9" s="1030"/>
      <c r="BF9" s="1030"/>
      <c r="BG9" s="1246"/>
      <c r="BH9" s="1029"/>
      <c r="BI9" s="1249"/>
      <c r="BJ9" s="1250"/>
      <c r="BK9" s="1250"/>
      <c r="BL9" s="1250"/>
      <c r="BM9" s="925"/>
      <c r="BP9" s="2479" t="s">
        <v>2155</v>
      </c>
      <c r="BQ9" s="2479" t="s">
        <v>2156</v>
      </c>
      <c r="BR9" s="2479" t="s">
        <v>2157</v>
      </c>
      <c r="BS9" s="2479" t="s">
        <v>2158</v>
      </c>
    </row>
    <row r="10" spans="1:71" s="84" customFormat="1" ht="30" customHeight="1" x14ac:dyDescent="0.2">
      <c r="A10" s="2743"/>
      <c r="B10" s="2744"/>
      <c r="C10" s="369" t="s">
        <v>2366</v>
      </c>
      <c r="D10" s="369" t="s">
        <v>1352</v>
      </c>
      <c r="E10" s="2351">
        <v>4</v>
      </c>
      <c r="F10" s="2372">
        <v>4</v>
      </c>
      <c r="G10" s="2577" t="s">
        <v>2076</v>
      </c>
      <c r="H10"/>
      <c r="I10" s="1596" t="s">
        <v>2167</v>
      </c>
      <c r="J10" s="1596" t="s">
        <v>2168</v>
      </c>
      <c r="K10" s="1596" t="s">
        <v>2169</v>
      </c>
      <c r="L10" s="1596" t="s">
        <v>2170</v>
      </c>
      <c r="M10" s="1595"/>
      <c r="N10" s="2270">
        <v>1</v>
      </c>
      <c r="O10" s="2269">
        <v>1</v>
      </c>
      <c r="P10" s="2269">
        <v>4</v>
      </c>
      <c r="Q10" s="2269">
        <v>2</v>
      </c>
      <c r="R10" s="2269">
        <v>4</v>
      </c>
      <c r="S10" s="2269">
        <v>1</v>
      </c>
      <c r="T10" s="2269">
        <v>1</v>
      </c>
      <c r="U10" s="2269">
        <v>1</v>
      </c>
      <c r="V10" s="2269">
        <v>2</v>
      </c>
      <c r="W10" s="2269">
        <v>1</v>
      </c>
      <c r="X10" s="2269">
        <v>3</v>
      </c>
      <c r="Y10" s="2269">
        <v>2</v>
      </c>
      <c r="Z10" s="2269">
        <v>1</v>
      </c>
      <c r="AA10" s="2269">
        <v>1</v>
      </c>
      <c r="AB10" s="2269"/>
      <c r="AC10" s="2269"/>
      <c r="AD10"/>
      <c r="AE10" s="924"/>
      <c r="AF10" s="924"/>
      <c r="AG10" s="924"/>
      <c r="AH10" s="924"/>
      <c r="AI10" s="924"/>
      <c r="AJ10" s="924"/>
      <c r="AK10" s="924"/>
      <c r="AL10" s="924"/>
      <c r="AM10" s="924"/>
      <c r="AN10" s="925"/>
      <c r="AO10" s="925"/>
      <c r="AP10" s="1336"/>
      <c r="AQ10" s="925"/>
      <c r="AR10" s="925"/>
      <c r="AS10" s="925"/>
      <c r="AT10" s="925"/>
      <c r="AU10" s="925"/>
      <c r="AV10" s="925"/>
      <c r="AW10" s="925"/>
      <c r="AX10" s="925"/>
      <c r="AY10" s="925"/>
      <c r="AZ10" s="925"/>
      <c r="BA10" s="925"/>
      <c r="BB10" s="525"/>
      <c r="BC10" s="925"/>
      <c r="BD10" s="925"/>
      <c r="BE10" s="925"/>
      <c r="BF10" s="925"/>
      <c r="BG10" s="925"/>
      <c r="BH10" s="925"/>
      <c r="BI10" s="925"/>
      <c r="BJ10" s="925"/>
      <c r="BK10" s="925"/>
      <c r="BL10" s="925"/>
      <c r="BM10" s="925"/>
      <c r="BP10" s="2479" t="s">
        <v>2167</v>
      </c>
      <c r="BQ10" s="2479" t="s">
        <v>2168</v>
      </c>
      <c r="BR10" s="2479" t="s">
        <v>2169</v>
      </c>
      <c r="BS10" s="2479" t="s">
        <v>2170</v>
      </c>
    </row>
    <row r="11" spans="1:71" s="84" customFormat="1" ht="31.5" customHeight="1" x14ac:dyDescent="0.2">
      <c r="A11" s="2743"/>
      <c r="B11" s="2744"/>
      <c r="C11" s="369" t="s">
        <v>2365</v>
      </c>
      <c r="D11" s="369" t="s">
        <v>2363</v>
      </c>
      <c r="E11" s="2351">
        <v>4</v>
      </c>
      <c r="F11" s="2372">
        <v>4</v>
      </c>
      <c r="G11" s="2577" t="s">
        <v>2552</v>
      </c>
      <c r="H11"/>
      <c r="I11" s="1596" t="s">
        <v>2460</v>
      </c>
      <c r="J11" s="1596" t="s">
        <v>2461</v>
      </c>
      <c r="K11" s="1596" t="s">
        <v>2462</v>
      </c>
      <c r="L11" s="1596" t="s">
        <v>2463</v>
      </c>
      <c r="M11" s="1595"/>
      <c r="N11" s="2270">
        <v>1</v>
      </c>
      <c r="O11" s="2269">
        <v>1</v>
      </c>
      <c r="P11" s="2269">
        <v>4</v>
      </c>
      <c r="Q11" s="2269">
        <v>2</v>
      </c>
      <c r="R11" s="2269">
        <v>3</v>
      </c>
      <c r="S11" s="2269">
        <v>1</v>
      </c>
      <c r="T11" s="2269">
        <v>1</v>
      </c>
      <c r="U11" s="2269">
        <v>1</v>
      </c>
      <c r="V11" s="2269">
        <v>2</v>
      </c>
      <c r="W11" s="2269">
        <v>1</v>
      </c>
      <c r="X11" s="2269">
        <v>3</v>
      </c>
      <c r="Y11" s="2269">
        <v>3</v>
      </c>
      <c r="Z11" s="2269">
        <v>1</v>
      </c>
      <c r="AA11" s="2269">
        <v>1</v>
      </c>
      <c r="AB11" s="2269"/>
      <c r="AC11" s="2269"/>
      <c r="AD11" s="1592"/>
      <c r="AE11" s="924"/>
      <c r="AF11" s="924"/>
      <c r="AG11" s="924"/>
      <c r="AH11" s="924"/>
      <c r="AI11" s="924"/>
      <c r="AJ11" s="924"/>
      <c r="AK11" s="924"/>
      <c r="AL11" s="924"/>
      <c r="AM11" s="924"/>
      <c r="AN11" s="925"/>
      <c r="AO11" s="925"/>
      <c r="AP11" s="1592"/>
      <c r="AQ11" s="925"/>
      <c r="AR11" s="925"/>
      <c r="AS11" s="925"/>
      <c r="AT11" s="925"/>
      <c r="AU11" s="925"/>
      <c r="AV11" s="925"/>
      <c r="AW11" s="925"/>
      <c r="AX11" s="925"/>
      <c r="AY11" s="925"/>
      <c r="AZ11" s="925"/>
      <c r="BA11" s="925"/>
      <c r="BB11" s="525"/>
      <c r="BC11" s="925"/>
      <c r="BD11" s="925"/>
      <c r="BE11" s="925"/>
      <c r="BF11" s="925"/>
      <c r="BG11" s="925"/>
      <c r="BH11" s="925"/>
      <c r="BI11" s="925"/>
      <c r="BJ11" s="925"/>
      <c r="BK11" s="925"/>
      <c r="BL11" s="925"/>
      <c r="BM11" s="925"/>
      <c r="BP11" s="1596" t="s">
        <v>2460</v>
      </c>
      <c r="BQ11" s="1596" t="s">
        <v>2461</v>
      </c>
      <c r="BR11" s="1596" t="s">
        <v>2462</v>
      </c>
      <c r="BS11" s="1596" t="s">
        <v>2463</v>
      </c>
    </row>
    <row r="12" spans="1:71" s="84" customFormat="1" ht="34.5" customHeight="1" x14ac:dyDescent="0.2">
      <c r="A12" s="2743"/>
      <c r="B12" s="2744"/>
      <c r="C12" s="369" t="s">
        <v>2364</v>
      </c>
      <c r="D12" s="369" t="s">
        <v>2372</v>
      </c>
      <c r="E12" s="2351">
        <v>4</v>
      </c>
      <c r="F12" s="2372">
        <v>4</v>
      </c>
      <c r="G12" s="2577" t="s">
        <v>2077</v>
      </c>
      <c r="H12" s="2479"/>
      <c r="I12" s="1596" t="s">
        <v>2464</v>
      </c>
      <c r="J12" s="1596" t="s">
        <v>2465</v>
      </c>
      <c r="K12" s="1596" t="s">
        <v>2466</v>
      </c>
      <c r="L12" s="1596" t="s">
        <v>2467</v>
      </c>
      <c r="M12" s="2479"/>
      <c r="N12" s="2270">
        <v>1</v>
      </c>
      <c r="O12" s="2269">
        <v>1</v>
      </c>
      <c r="P12" s="2269">
        <v>4</v>
      </c>
      <c r="Q12" s="2269">
        <v>2</v>
      </c>
      <c r="R12" s="2269">
        <v>3</v>
      </c>
      <c r="S12" s="2269">
        <v>1</v>
      </c>
      <c r="T12" s="2269">
        <v>1</v>
      </c>
      <c r="U12" s="2269">
        <v>1</v>
      </c>
      <c r="V12" s="2269">
        <v>2</v>
      </c>
      <c r="W12" s="2269">
        <v>2</v>
      </c>
      <c r="X12" s="2269">
        <v>3</v>
      </c>
      <c r="Y12" s="2269">
        <v>3</v>
      </c>
      <c r="Z12" s="2269">
        <v>1</v>
      </c>
      <c r="AA12" s="2269">
        <v>1</v>
      </c>
      <c r="AB12" s="2269"/>
      <c r="AC12" s="2269"/>
      <c r="AD12" s="1592"/>
      <c r="AE12" s="924"/>
      <c r="AF12" s="924"/>
      <c r="AG12" s="924"/>
      <c r="AH12" s="924"/>
      <c r="AI12" s="924"/>
      <c r="AJ12" s="924"/>
      <c r="AK12" s="924"/>
      <c r="AL12" s="924"/>
      <c r="AM12" s="924"/>
      <c r="AN12" s="925"/>
      <c r="AO12" s="925"/>
      <c r="AP12" s="1592"/>
      <c r="AQ12" s="925"/>
      <c r="AR12" s="925"/>
      <c r="AS12" s="925"/>
      <c r="AT12" s="925"/>
      <c r="AU12" s="925"/>
      <c r="AV12" s="925"/>
      <c r="AW12" s="925"/>
      <c r="AX12" s="925"/>
      <c r="AY12" s="925"/>
      <c r="AZ12" s="925"/>
      <c r="BA12" s="925"/>
      <c r="BB12" s="525"/>
      <c r="BC12" s="925"/>
      <c r="BD12" s="925"/>
      <c r="BE12" s="925"/>
      <c r="BF12" s="925"/>
      <c r="BG12" s="925"/>
      <c r="BH12" s="925"/>
      <c r="BI12" s="925"/>
      <c r="BJ12" s="925"/>
      <c r="BK12" s="925"/>
      <c r="BL12" s="925"/>
      <c r="BM12" s="925"/>
      <c r="BP12" s="1596" t="s">
        <v>2464</v>
      </c>
      <c r="BQ12" s="1596" t="s">
        <v>2465</v>
      </c>
      <c r="BR12" s="1596" t="s">
        <v>2466</v>
      </c>
      <c r="BS12" s="1596" t="s">
        <v>2467</v>
      </c>
    </row>
    <row r="13" spans="1:71" ht="33.75" customHeight="1" x14ac:dyDescent="0.2">
      <c r="A13" s="2743"/>
      <c r="B13" s="2744"/>
      <c r="C13" s="369" t="s">
        <v>2376</v>
      </c>
      <c r="D13" s="369" t="s">
        <v>2174</v>
      </c>
      <c r="E13" s="2351">
        <v>4</v>
      </c>
      <c r="F13" s="2372">
        <v>4</v>
      </c>
      <c r="G13" s="2577" t="s">
        <v>2078</v>
      </c>
      <c r="H13" s="2479"/>
      <c r="I13" s="1596" t="s">
        <v>2468</v>
      </c>
      <c r="J13" s="1596" t="s">
        <v>2469</v>
      </c>
      <c r="K13" s="1596" t="s">
        <v>2470</v>
      </c>
      <c r="L13" s="1596" t="s">
        <v>2471</v>
      </c>
      <c r="M13" s="2479"/>
      <c r="N13" s="2270">
        <v>1</v>
      </c>
      <c r="O13" s="2269">
        <v>1</v>
      </c>
      <c r="P13" s="2269">
        <v>4</v>
      </c>
      <c r="Q13" s="2269">
        <v>2</v>
      </c>
      <c r="R13" s="2269">
        <v>3</v>
      </c>
      <c r="S13" s="2269">
        <v>1</v>
      </c>
      <c r="T13" s="2269">
        <v>1</v>
      </c>
      <c r="U13" s="2269">
        <v>1</v>
      </c>
      <c r="V13" s="2269">
        <v>2</v>
      </c>
      <c r="W13" s="2269">
        <v>1</v>
      </c>
      <c r="X13" s="2269">
        <v>3</v>
      </c>
      <c r="Y13" s="2269">
        <v>2</v>
      </c>
      <c r="Z13" s="2269">
        <v>1</v>
      </c>
      <c r="AA13" s="2269">
        <v>1</v>
      </c>
      <c r="AB13" s="2269"/>
      <c r="AC13" s="2269"/>
      <c r="AD13" s="84"/>
      <c r="AE13" s="924"/>
      <c r="AF13" s="924"/>
      <c r="AG13" s="924"/>
      <c r="AH13" s="924"/>
      <c r="AI13" s="924"/>
      <c r="AJ13" s="924"/>
      <c r="AK13" s="924"/>
      <c r="AL13" s="924"/>
      <c r="AM13" s="924"/>
      <c r="AN13" s="925"/>
      <c r="AO13" s="925"/>
      <c r="AQ13" s="925"/>
      <c r="AR13" s="925"/>
      <c r="AS13" s="925"/>
      <c r="AT13" s="925"/>
      <c r="AU13" s="925"/>
      <c r="AV13" s="925"/>
      <c r="AW13" s="925"/>
      <c r="AX13" s="925"/>
      <c r="AY13" s="925"/>
      <c r="AZ13" s="925"/>
      <c r="BA13" s="925"/>
      <c r="BC13" s="925"/>
      <c r="BD13" s="1119" t="s">
        <v>1369</v>
      </c>
      <c r="BE13" s="925"/>
      <c r="BF13" s="925"/>
      <c r="BG13" s="925"/>
      <c r="BH13" s="925"/>
      <c r="BI13" s="925"/>
      <c r="BJ13" s="925"/>
      <c r="BK13" s="925"/>
      <c r="BL13" s="925"/>
      <c r="BM13" s="925"/>
      <c r="BP13" s="1596" t="s">
        <v>2468</v>
      </c>
      <c r="BQ13" s="1596" t="s">
        <v>2469</v>
      </c>
      <c r="BR13" s="1596" t="s">
        <v>2470</v>
      </c>
      <c r="BS13" s="1596" t="s">
        <v>2471</v>
      </c>
    </row>
    <row r="14" spans="1:71" s="2370" customFormat="1" ht="37.5" customHeight="1" x14ac:dyDescent="0.2">
      <c r="A14" s="2743"/>
      <c r="B14" s="2744"/>
      <c r="C14" s="369" t="s">
        <v>409</v>
      </c>
      <c r="D14" s="369" t="s">
        <v>2472</v>
      </c>
      <c r="E14" s="2351">
        <v>4</v>
      </c>
      <c r="F14" s="2372">
        <v>4</v>
      </c>
      <c r="G14" s="2577" t="s">
        <v>2553</v>
      </c>
      <c r="H14" s="2479"/>
      <c r="I14" s="1596" t="s">
        <v>2473</v>
      </c>
      <c r="J14" s="1596" t="s">
        <v>2474</v>
      </c>
      <c r="K14" s="1596" t="s">
        <v>2475</v>
      </c>
      <c r="L14" s="1596" t="s">
        <v>2476</v>
      </c>
      <c r="M14" s="1595"/>
      <c r="N14" s="2270">
        <v>1</v>
      </c>
      <c r="O14" s="2269">
        <v>1</v>
      </c>
      <c r="P14" s="2269">
        <v>4</v>
      </c>
      <c r="Q14" s="2269">
        <v>2</v>
      </c>
      <c r="R14" s="2269">
        <v>3</v>
      </c>
      <c r="S14" s="2269">
        <v>1</v>
      </c>
      <c r="T14" s="2269">
        <v>1</v>
      </c>
      <c r="U14" s="2269">
        <v>1</v>
      </c>
      <c r="V14" s="2269">
        <v>2</v>
      </c>
      <c r="W14" s="2269">
        <v>2</v>
      </c>
      <c r="X14" s="2269">
        <v>3</v>
      </c>
      <c r="Y14" s="2269">
        <v>2</v>
      </c>
      <c r="Z14" s="2269">
        <v>1</v>
      </c>
      <c r="AA14" s="2269">
        <v>1</v>
      </c>
      <c r="AB14" s="2269"/>
      <c r="AC14" s="2269"/>
      <c r="AD14" s="84"/>
      <c r="AE14" s="924"/>
      <c r="AF14" s="924"/>
      <c r="AG14" s="924"/>
      <c r="AH14" s="924"/>
      <c r="AI14" s="924"/>
      <c r="AJ14" s="924"/>
      <c r="AK14" s="924"/>
      <c r="AL14" s="924"/>
      <c r="AM14" s="924"/>
      <c r="AN14" s="925"/>
      <c r="AO14" s="925"/>
      <c r="AQ14" s="925"/>
      <c r="AR14" s="925"/>
      <c r="AS14" s="925"/>
      <c r="AT14" s="925"/>
      <c r="AU14" s="925"/>
      <c r="AV14" s="925"/>
      <c r="AW14" s="925"/>
      <c r="AX14" s="925"/>
      <c r="AY14" s="925"/>
      <c r="AZ14" s="925"/>
      <c r="BA14" s="925"/>
      <c r="BB14" s="525"/>
      <c r="BC14" s="925"/>
      <c r="BD14" s="1119"/>
      <c r="BE14" s="925"/>
      <c r="BF14" s="925"/>
      <c r="BG14" s="925"/>
      <c r="BH14" s="925"/>
      <c r="BI14" s="925"/>
      <c r="BJ14" s="925"/>
      <c r="BK14" s="925"/>
      <c r="BL14" s="925"/>
      <c r="BM14" s="925"/>
      <c r="BP14" s="1596" t="s">
        <v>2473</v>
      </c>
      <c r="BQ14" s="1596" t="s">
        <v>2474</v>
      </c>
      <c r="BR14" s="1596" t="s">
        <v>2475</v>
      </c>
      <c r="BS14" s="1596" t="s">
        <v>2476</v>
      </c>
    </row>
    <row r="15" spans="1:71" s="84" customFormat="1" ht="36" customHeight="1" x14ac:dyDescent="0.2">
      <c r="A15" s="2743"/>
      <c r="B15" s="13" t="s">
        <v>1334</v>
      </c>
      <c r="C15" s="369" t="s">
        <v>305</v>
      </c>
      <c r="D15" s="369" t="s">
        <v>43</v>
      </c>
      <c r="E15" s="2351">
        <v>4</v>
      </c>
      <c r="F15" s="2372">
        <v>4</v>
      </c>
      <c r="G15" s="2577" t="s">
        <v>2554</v>
      </c>
      <c r="H15"/>
      <c r="I15" s="1596" t="s">
        <v>2477</v>
      </c>
      <c r="J15" s="1596" t="s">
        <v>2478</v>
      </c>
      <c r="K15" s="1596" t="s">
        <v>2479</v>
      </c>
      <c r="L15" s="1596" t="s">
        <v>2480</v>
      </c>
      <c r="M15" s="1595"/>
      <c r="N15" s="2270">
        <v>1</v>
      </c>
      <c r="O15" s="2269">
        <v>1</v>
      </c>
      <c r="P15" s="2269">
        <v>4</v>
      </c>
      <c r="Q15" s="2269">
        <v>2</v>
      </c>
      <c r="R15" s="2269">
        <v>3</v>
      </c>
      <c r="S15" s="2269">
        <v>1</v>
      </c>
      <c r="T15" s="2269">
        <v>1</v>
      </c>
      <c r="U15" s="2269">
        <v>1</v>
      </c>
      <c r="V15" s="2269">
        <v>2</v>
      </c>
      <c r="W15" s="2269">
        <v>1</v>
      </c>
      <c r="X15" s="2269">
        <v>3</v>
      </c>
      <c r="Y15" s="2269">
        <v>2</v>
      </c>
      <c r="Z15" s="2269">
        <v>1</v>
      </c>
      <c r="AA15" s="2269">
        <v>1</v>
      </c>
      <c r="AB15" s="2269"/>
      <c r="AC15" s="2269"/>
      <c r="AD15"/>
      <c r="AE15" s="924"/>
      <c r="AF15" s="924"/>
      <c r="AG15" s="924"/>
      <c r="AH15" s="924"/>
      <c r="AI15" s="924"/>
      <c r="AJ15" s="924"/>
      <c r="AK15" s="924"/>
      <c r="AL15" s="924"/>
      <c r="AM15" s="924"/>
      <c r="AN15" s="925"/>
      <c r="AO15" s="925"/>
      <c r="AP15" s="1336"/>
      <c r="AQ15" s="925"/>
      <c r="AR15" s="925"/>
      <c r="AS15" s="925"/>
      <c r="AT15" s="925"/>
      <c r="AU15" s="925"/>
      <c r="AV15" s="925"/>
      <c r="AW15" s="925"/>
      <c r="AX15" s="925"/>
      <c r="AY15" s="925"/>
      <c r="AZ15" s="925"/>
      <c r="BA15" s="925"/>
      <c r="BB15" s="525"/>
      <c r="BC15" s="925"/>
      <c r="BD15" s="1119" t="s">
        <v>1370</v>
      </c>
      <c r="BE15" s="925"/>
      <c r="BF15" s="925"/>
      <c r="BG15" s="925"/>
      <c r="BH15" s="925"/>
      <c r="BI15" s="925"/>
      <c r="BJ15" s="925"/>
      <c r="BK15" s="925"/>
      <c r="BL15" s="925"/>
      <c r="BM15" s="925"/>
      <c r="BP15" s="1596" t="s">
        <v>2477</v>
      </c>
      <c r="BQ15" s="1596" t="s">
        <v>2478</v>
      </c>
      <c r="BR15" s="1596" t="s">
        <v>2479</v>
      </c>
      <c r="BS15" s="1596" t="s">
        <v>2480</v>
      </c>
    </row>
    <row r="16" spans="1:71" s="84" customFormat="1" ht="25.9" customHeight="1" x14ac:dyDescent="0.2">
      <c r="A16" s="2742" t="s">
        <v>1251</v>
      </c>
      <c r="B16" s="2744" t="s">
        <v>1189</v>
      </c>
      <c r="C16" s="369" t="s">
        <v>380</v>
      </c>
      <c r="D16" s="369" t="s">
        <v>1190</v>
      </c>
      <c r="E16" s="2351"/>
      <c r="F16" s="2372"/>
      <c r="G16" s="2577"/>
      <c r="H16"/>
      <c r="I16" s="1597"/>
      <c r="J16" s="1597"/>
      <c r="K16" s="1597"/>
      <c r="L16" s="2346"/>
      <c r="M16" s="2346"/>
      <c r="N16" s="2346"/>
      <c r="O16" s="2347"/>
      <c r="P16" s="2347"/>
      <c r="Q16" s="2347"/>
      <c r="R16" s="2347"/>
      <c r="S16" s="2347"/>
      <c r="T16" s="2347"/>
      <c r="U16" s="2348"/>
      <c r="V16" s="2349"/>
      <c r="W16" s="2348"/>
      <c r="X16" s="2348"/>
      <c r="Y16" s="2348"/>
      <c r="Z16" s="2348"/>
      <c r="AA16" s="2348"/>
      <c r="AB16" s="2348"/>
      <c r="AC16" s="2348"/>
      <c r="AF16" s="924"/>
      <c r="AG16" s="924"/>
      <c r="AH16" s="924"/>
      <c r="AI16" s="924"/>
      <c r="AJ16" s="924"/>
      <c r="AK16" s="924"/>
      <c r="AL16" s="924"/>
      <c r="AM16" s="924"/>
      <c r="AN16" s="925"/>
      <c r="AO16" s="925"/>
      <c r="AP16" s="1336"/>
      <c r="AQ16" s="925"/>
      <c r="AR16" s="925"/>
      <c r="AS16" s="925"/>
      <c r="AT16" s="925"/>
      <c r="AU16" s="925"/>
      <c r="AV16" s="925"/>
      <c r="AW16" s="925"/>
      <c r="AX16" s="925"/>
      <c r="AY16" s="925"/>
      <c r="AZ16" s="925"/>
      <c r="BA16" s="925"/>
      <c r="BB16" s="525"/>
      <c r="BC16" s="2740" t="s">
        <v>1367</v>
      </c>
      <c r="BD16" s="2740"/>
      <c r="BE16" s="2740"/>
      <c r="BF16" s="2740"/>
      <c r="BG16" s="2740"/>
      <c r="BH16" s="2740"/>
      <c r="BI16" s="2740"/>
      <c r="BJ16" s="2740"/>
      <c r="BK16" s="2740"/>
      <c r="BL16" s="2740"/>
      <c r="BM16" s="2740"/>
      <c r="BP16" s="2479"/>
      <c r="BQ16" s="2479"/>
      <c r="BR16" s="2479"/>
      <c r="BS16" s="2479"/>
    </row>
    <row r="17" spans="1:77" s="84" customFormat="1" ht="25.9" customHeight="1" x14ac:dyDescent="0.2">
      <c r="A17" s="2742"/>
      <c r="B17" s="2744"/>
      <c r="C17" s="1008"/>
      <c r="D17" s="1008" t="s">
        <v>1349</v>
      </c>
      <c r="E17" s="2351">
        <v>4</v>
      </c>
      <c r="F17" s="2371">
        <v>4</v>
      </c>
      <c r="G17" s="2577" t="s">
        <v>2079</v>
      </c>
      <c r="H17"/>
      <c r="I17" s="1596" t="s">
        <v>2482</v>
      </c>
      <c r="J17" s="1596" t="s">
        <v>2481</v>
      </c>
      <c r="K17" s="1596" t="s">
        <v>2483</v>
      </c>
      <c r="L17" s="1596" t="s">
        <v>2483</v>
      </c>
      <c r="M17" s="1595"/>
      <c r="N17" s="2270">
        <v>1</v>
      </c>
      <c r="O17" s="2269">
        <v>1</v>
      </c>
      <c r="P17" s="2269">
        <v>4</v>
      </c>
      <c r="Q17" s="2269">
        <v>1</v>
      </c>
      <c r="R17" s="2269">
        <v>1</v>
      </c>
      <c r="S17" s="2269">
        <v>1</v>
      </c>
      <c r="T17" s="2269">
        <v>1</v>
      </c>
      <c r="U17" s="2269">
        <v>1</v>
      </c>
      <c r="V17" s="2345">
        <v>1</v>
      </c>
      <c r="W17" s="2269">
        <v>1</v>
      </c>
      <c r="X17" s="2269">
        <v>3</v>
      </c>
      <c r="Y17" s="2269">
        <v>1</v>
      </c>
      <c r="Z17" s="2269">
        <v>1</v>
      </c>
      <c r="AA17" s="2269">
        <v>1</v>
      </c>
      <c r="AB17" s="2269"/>
      <c r="AC17" s="2269"/>
      <c r="AD17" s="2479"/>
      <c r="AE17" s="924"/>
      <c r="AF17" s="924"/>
      <c r="AG17" s="924"/>
      <c r="AH17" s="924"/>
      <c r="AI17" s="924"/>
      <c r="AJ17" s="924"/>
      <c r="AK17" s="924"/>
      <c r="AL17" s="924"/>
      <c r="AM17" s="924"/>
      <c r="AN17" s="925"/>
      <c r="AO17" s="925"/>
      <c r="AP17" s="2479"/>
      <c r="AQ17" s="925"/>
      <c r="AR17" s="925"/>
      <c r="AS17" s="925"/>
      <c r="AT17" s="925"/>
      <c r="AU17" s="925"/>
      <c r="AV17" s="925"/>
      <c r="AW17" s="925"/>
      <c r="AX17" s="925"/>
      <c r="AY17" s="925"/>
      <c r="AZ17" s="925"/>
      <c r="BA17" s="925"/>
      <c r="BB17" s="525"/>
      <c r="BC17" s="2740"/>
      <c r="BD17" s="2740"/>
      <c r="BE17" s="2740"/>
      <c r="BF17" s="2740"/>
      <c r="BG17" s="2740"/>
      <c r="BH17" s="2740"/>
      <c r="BI17" s="2740"/>
      <c r="BJ17" s="2740"/>
      <c r="BK17" s="2740"/>
      <c r="BL17" s="2740"/>
      <c r="BM17" s="2740"/>
      <c r="BP17" s="1596" t="s">
        <v>2482</v>
      </c>
      <c r="BQ17" s="1596" t="s">
        <v>2481</v>
      </c>
      <c r="BR17" s="1596" t="s">
        <v>2483</v>
      </c>
      <c r="BS17" s="1596" t="s">
        <v>2483</v>
      </c>
    </row>
    <row r="18" spans="1:77" s="84" customFormat="1" ht="25.9" customHeight="1" x14ac:dyDescent="0.2">
      <c r="A18" s="2742"/>
      <c r="B18" s="2744"/>
      <c r="C18" s="1008"/>
      <c r="D18" s="1008" t="s">
        <v>1351</v>
      </c>
      <c r="E18" s="2351">
        <v>4</v>
      </c>
      <c r="F18" s="2371">
        <v>4</v>
      </c>
      <c r="G18" s="2577" t="s">
        <v>2555</v>
      </c>
      <c r="H18" s="1200"/>
      <c r="I18" s="1596" t="s">
        <v>2484</v>
      </c>
      <c r="J18" s="1596" t="s">
        <v>2485</v>
      </c>
      <c r="K18" s="1596" t="s">
        <v>2486</v>
      </c>
      <c r="L18" s="1596" t="s">
        <v>2487</v>
      </c>
      <c r="M18" s="1595"/>
      <c r="N18" s="2270">
        <v>1</v>
      </c>
      <c r="O18" s="2269">
        <v>1</v>
      </c>
      <c r="P18" s="2269">
        <v>4</v>
      </c>
      <c r="Q18" s="2269">
        <v>3</v>
      </c>
      <c r="R18" s="2269">
        <v>2</v>
      </c>
      <c r="S18" s="2269">
        <v>4</v>
      </c>
      <c r="T18" s="2269">
        <v>3</v>
      </c>
      <c r="U18" s="2269">
        <v>3</v>
      </c>
      <c r="V18" s="2345">
        <v>2</v>
      </c>
      <c r="W18" s="2269">
        <v>2</v>
      </c>
      <c r="X18" s="2269">
        <v>3</v>
      </c>
      <c r="Y18" s="2269">
        <v>3</v>
      </c>
      <c r="Z18" s="2269">
        <v>3</v>
      </c>
      <c r="AA18" s="2269">
        <v>1</v>
      </c>
      <c r="AB18" s="2269"/>
      <c r="AC18" s="2269"/>
      <c r="AD18" s="2479"/>
      <c r="AE18" s="924"/>
      <c r="AF18" s="924"/>
      <c r="AG18" s="924"/>
      <c r="AH18" s="924"/>
      <c r="AI18" s="924"/>
      <c r="AJ18" s="924"/>
      <c r="AK18" s="924"/>
      <c r="AL18" s="924"/>
      <c r="AM18" s="924"/>
      <c r="AN18" s="925"/>
      <c r="AO18" s="925"/>
      <c r="AP18" s="2479"/>
      <c r="AQ18" s="925"/>
      <c r="AR18" s="925"/>
      <c r="AS18" s="925"/>
      <c r="AT18" s="925"/>
      <c r="AU18" s="925"/>
      <c r="AV18" s="925"/>
      <c r="AW18" s="925"/>
      <c r="AX18" s="925"/>
      <c r="AY18" s="925"/>
      <c r="AZ18" s="925"/>
      <c r="BA18" s="925"/>
      <c r="BB18" s="525"/>
      <c r="BC18" s="2740"/>
      <c r="BD18" s="2740"/>
      <c r="BE18" s="2740"/>
      <c r="BF18" s="2740"/>
      <c r="BG18" s="2740"/>
      <c r="BH18" s="2740"/>
      <c r="BI18" s="2740"/>
      <c r="BJ18" s="2740"/>
      <c r="BK18" s="2740"/>
      <c r="BL18" s="2740"/>
      <c r="BM18" s="2740"/>
      <c r="BP18" s="1596" t="s">
        <v>2484</v>
      </c>
      <c r="BQ18" s="1596" t="s">
        <v>2485</v>
      </c>
      <c r="BR18" s="1596" t="s">
        <v>2486</v>
      </c>
      <c r="BS18" s="1596" t="s">
        <v>2487</v>
      </c>
    </row>
    <row r="19" spans="1:77" s="84" customFormat="1" ht="25.9" customHeight="1" x14ac:dyDescent="0.2">
      <c r="A19" s="2742"/>
      <c r="B19" s="2744"/>
      <c r="C19" s="369" t="s">
        <v>402</v>
      </c>
      <c r="D19" s="369" t="s">
        <v>1290</v>
      </c>
      <c r="E19" s="2351">
        <v>4</v>
      </c>
      <c r="F19" s="762">
        <v>4</v>
      </c>
      <c r="G19" s="2577" t="s">
        <v>2080</v>
      </c>
      <c r="H19" s="1200"/>
      <c r="I19" s="1596" t="s">
        <v>2488</v>
      </c>
      <c r="J19" s="1596" t="s">
        <v>2489</v>
      </c>
      <c r="K19" s="1596" t="s">
        <v>2490</v>
      </c>
      <c r="L19" s="1596" t="s">
        <v>2491</v>
      </c>
      <c r="M19" s="1595"/>
      <c r="N19" s="2270">
        <v>1</v>
      </c>
      <c r="O19" s="2269">
        <v>1</v>
      </c>
      <c r="P19" s="2269">
        <v>4</v>
      </c>
      <c r="Q19" s="2269">
        <v>2</v>
      </c>
      <c r="R19" s="2269">
        <v>2</v>
      </c>
      <c r="S19" s="2269">
        <v>2</v>
      </c>
      <c r="T19" s="2269">
        <v>2</v>
      </c>
      <c r="U19" s="2269">
        <v>2</v>
      </c>
      <c r="V19" s="2345">
        <v>4</v>
      </c>
      <c r="W19" s="2269">
        <v>3</v>
      </c>
      <c r="X19" s="2269">
        <v>4</v>
      </c>
      <c r="Y19" s="2269">
        <v>2</v>
      </c>
      <c r="Z19" s="2269">
        <v>4</v>
      </c>
      <c r="AA19" s="2269">
        <v>1</v>
      </c>
      <c r="AB19" s="2269"/>
      <c r="AC19" s="2269"/>
      <c r="AD19"/>
      <c r="AE19" s="924"/>
      <c r="AF19" s="924"/>
      <c r="AG19" s="924"/>
      <c r="AH19" s="924"/>
      <c r="AI19" s="924"/>
      <c r="AJ19" s="924"/>
      <c r="AK19" s="924"/>
      <c r="AL19" s="924"/>
      <c r="AM19" s="924"/>
      <c r="AN19" s="925"/>
      <c r="AO19" s="925"/>
      <c r="AP19" s="1336"/>
      <c r="AQ19" s="925"/>
      <c r="AR19" s="925"/>
      <c r="AS19" s="925"/>
      <c r="AT19" s="925"/>
      <c r="AU19" s="925"/>
      <c r="AV19" s="925"/>
      <c r="AW19" s="925"/>
      <c r="AX19" s="925"/>
      <c r="AY19" s="925"/>
      <c r="AZ19" s="925"/>
      <c r="BA19" s="925"/>
      <c r="BB19" s="525"/>
      <c r="BC19" s="2740"/>
      <c r="BD19" s="2740"/>
      <c r="BE19" s="2740"/>
      <c r="BF19" s="2740"/>
      <c r="BG19" s="2740"/>
      <c r="BH19" s="2740"/>
      <c r="BI19" s="2740"/>
      <c r="BJ19" s="2740"/>
      <c r="BK19" s="2740"/>
      <c r="BL19" s="2740"/>
      <c r="BM19" s="2740"/>
      <c r="BP19" s="1596" t="s">
        <v>2488</v>
      </c>
      <c r="BQ19" s="1596" t="s">
        <v>2489</v>
      </c>
      <c r="BR19" s="1596" t="s">
        <v>2490</v>
      </c>
      <c r="BS19" s="1596" t="s">
        <v>2491</v>
      </c>
    </row>
    <row r="20" spans="1:77" s="84" customFormat="1" ht="25.9" customHeight="1" x14ac:dyDescent="0.2">
      <c r="A20" s="2742"/>
      <c r="B20" s="2744"/>
      <c r="C20" s="369" t="s">
        <v>400</v>
      </c>
      <c r="D20" s="369" t="s">
        <v>1350</v>
      </c>
      <c r="E20" s="2351">
        <v>4</v>
      </c>
      <c r="F20" s="2372">
        <v>4</v>
      </c>
      <c r="G20" s="2577" t="s">
        <v>2556</v>
      </c>
      <c r="H20"/>
      <c r="I20" s="1596" t="s">
        <v>1267</v>
      </c>
      <c r="J20" s="1596" t="s">
        <v>1268</v>
      </c>
      <c r="K20" s="1596" t="s">
        <v>1269</v>
      </c>
      <c r="L20" s="1596" t="s">
        <v>1266</v>
      </c>
      <c r="M20" s="1595"/>
      <c r="N20" s="2270">
        <v>1</v>
      </c>
      <c r="O20" s="2269">
        <v>1</v>
      </c>
      <c r="P20" s="2269">
        <v>4</v>
      </c>
      <c r="Q20" s="2269">
        <v>1</v>
      </c>
      <c r="R20" s="2269">
        <v>1</v>
      </c>
      <c r="S20" s="2269">
        <v>3</v>
      </c>
      <c r="T20" s="2269">
        <v>1</v>
      </c>
      <c r="U20" s="2269">
        <v>1</v>
      </c>
      <c r="V20" s="2345">
        <v>1</v>
      </c>
      <c r="W20" s="2269">
        <v>1</v>
      </c>
      <c r="X20" s="2269">
        <v>3</v>
      </c>
      <c r="Y20" s="2269">
        <v>2</v>
      </c>
      <c r="Z20" s="2269">
        <v>1</v>
      </c>
      <c r="AA20" s="2269">
        <v>1</v>
      </c>
      <c r="AB20" s="2269"/>
      <c r="AC20" s="2269"/>
      <c r="AD20"/>
      <c r="AE20" s="924"/>
      <c r="AF20" s="924"/>
      <c r="AG20" s="924"/>
      <c r="AH20" s="924"/>
      <c r="AI20" s="924"/>
      <c r="AJ20" s="924"/>
      <c r="AK20" s="924"/>
      <c r="AL20" s="924"/>
      <c r="AM20" s="924"/>
      <c r="AN20" s="925"/>
      <c r="AO20" s="925"/>
      <c r="AP20" s="1336"/>
      <c r="AQ20" s="925"/>
      <c r="AR20" s="925"/>
      <c r="AS20" s="925"/>
      <c r="AT20" s="925"/>
      <c r="AU20" s="925"/>
      <c r="AV20" s="925"/>
      <c r="AW20" s="925"/>
      <c r="AX20" s="925"/>
      <c r="AY20" s="925"/>
      <c r="AZ20" s="925"/>
      <c r="BA20" s="925"/>
      <c r="BB20" s="525"/>
      <c r="BC20" s="1341"/>
      <c r="BD20" s="937"/>
      <c r="BE20" s="925"/>
      <c r="BF20" s="925"/>
      <c r="BG20" s="925"/>
      <c r="BH20" s="925"/>
      <c r="BI20" s="925"/>
      <c r="BJ20" s="925"/>
      <c r="BK20" s="925"/>
      <c r="BL20" s="925"/>
      <c r="BM20" s="925"/>
      <c r="BP20" s="2479" t="s">
        <v>1182</v>
      </c>
      <c r="BQ20" s="2479" t="s">
        <v>1316</v>
      </c>
      <c r="BR20" s="2479" t="s">
        <v>1317</v>
      </c>
      <c r="BS20" s="2479" t="s">
        <v>1336</v>
      </c>
    </row>
    <row r="21" spans="1:77" s="84" customFormat="1" ht="25.9" customHeight="1" x14ac:dyDescent="0.2">
      <c r="A21" s="2742"/>
      <c r="B21" s="1613" t="s">
        <v>1333</v>
      </c>
      <c r="C21" s="369" t="s">
        <v>838</v>
      </c>
      <c r="D21" s="2569" t="s">
        <v>839</v>
      </c>
      <c r="E21" s="2351">
        <v>4</v>
      </c>
      <c r="F21" s="2372">
        <v>4</v>
      </c>
      <c r="G21" s="2577" t="s">
        <v>2081</v>
      </c>
      <c r="H21" s="2479"/>
      <c r="I21" s="1596" t="s">
        <v>1318</v>
      </c>
      <c r="J21" s="1596" t="s">
        <v>1358</v>
      </c>
      <c r="K21" s="1596" t="s">
        <v>1359</v>
      </c>
      <c r="L21" s="1596" t="s">
        <v>1360</v>
      </c>
      <c r="M21" s="2479"/>
      <c r="N21" s="2270">
        <v>1</v>
      </c>
      <c r="O21" s="2269">
        <v>1</v>
      </c>
      <c r="P21" s="2269">
        <v>4</v>
      </c>
      <c r="Q21" s="2269">
        <v>2</v>
      </c>
      <c r="R21" s="2269">
        <v>2</v>
      </c>
      <c r="S21" s="2269">
        <v>3.7</v>
      </c>
      <c r="T21" s="2269">
        <v>3</v>
      </c>
      <c r="U21" s="2269">
        <v>2.1</v>
      </c>
      <c r="V21" s="2345">
        <v>1</v>
      </c>
      <c r="W21" s="2269">
        <v>2</v>
      </c>
      <c r="X21" s="2269">
        <v>1</v>
      </c>
      <c r="Y21" s="2269">
        <v>2</v>
      </c>
      <c r="Z21" s="2269">
        <v>1</v>
      </c>
      <c r="AA21" s="2269">
        <v>1</v>
      </c>
      <c r="AB21" s="2269"/>
      <c r="AC21" s="2269"/>
      <c r="AD21" s="2479"/>
      <c r="AE21" s="924"/>
      <c r="AF21" s="924"/>
      <c r="AG21" s="924"/>
      <c r="AH21" s="924"/>
      <c r="AI21" s="924"/>
      <c r="AJ21" s="924"/>
      <c r="AK21" s="924"/>
      <c r="AL21" s="924"/>
      <c r="AM21" s="924"/>
      <c r="AN21" s="925"/>
      <c r="AO21" s="925"/>
      <c r="AP21" s="2479"/>
      <c r="AQ21" s="925"/>
      <c r="AR21" s="925"/>
      <c r="AS21" s="925"/>
      <c r="AT21" s="925"/>
      <c r="AU21" s="925"/>
      <c r="AV21" s="925"/>
      <c r="AW21" s="925"/>
      <c r="AX21" s="925"/>
      <c r="AY21" s="925"/>
      <c r="AZ21" s="925"/>
      <c r="BA21" s="925"/>
      <c r="BB21" s="525"/>
      <c r="BC21" s="1341"/>
      <c r="BD21" s="937"/>
      <c r="BE21" s="925"/>
      <c r="BF21" s="925"/>
      <c r="BG21" s="925"/>
      <c r="BH21" s="925"/>
      <c r="BI21" s="925"/>
      <c r="BJ21" s="925"/>
      <c r="BK21" s="925"/>
      <c r="BL21" s="925"/>
      <c r="BM21" s="925"/>
      <c r="BP21" s="2479" t="s">
        <v>1267</v>
      </c>
      <c r="BQ21" s="2479" t="s">
        <v>1268</v>
      </c>
      <c r="BR21" s="2479" t="s">
        <v>1269</v>
      </c>
      <c r="BS21" s="2479" t="s">
        <v>1266</v>
      </c>
    </row>
    <row r="22" spans="1:77" s="84" customFormat="1" ht="25.9" customHeight="1" x14ac:dyDescent="0.2">
      <c r="A22" s="1257" t="s">
        <v>59</v>
      </c>
      <c r="B22" s="1257"/>
      <c r="C22" s="1257"/>
      <c r="D22" s="1257"/>
      <c r="E22" s="2352"/>
      <c r="F22" s="2373"/>
      <c r="G22" s="2373"/>
      <c r="H22" s="1257"/>
      <c r="I22" s="1276"/>
      <c r="J22" s="1276"/>
      <c r="K22" s="1276"/>
      <c r="L22" s="1276"/>
      <c r="M22" s="1257"/>
      <c r="N22" s="2346"/>
      <c r="O22" s="2347"/>
      <c r="P22" s="2347"/>
      <c r="Q22" s="2347"/>
      <c r="R22" s="2347"/>
      <c r="S22" s="2347"/>
      <c r="T22" s="2347"/>
      <c r="U22" s="2348"/>
      <c r="V22" s="2349"/>
      <c r="W22" s="2348"/>
      <c r="X22" s="2348"/>
      <c r="Y22" s="2348"/>
      <c r="Z22" s="2348"/>
      <c r="AA22" s="2348"/>
      <c r="AB22" s="2348"/>
      <c r="AC22" s="2348"/>
      <c r="AD22" s="38"/>
      <c r="AE22" s="924"/>
      <c r="AF22" s="924"/>
      <c r="AG22" s="924"/>
      <c r="AH22" s="924"/>
      <c r="AI22" s="924"/>
      <c r="AJ22" s="924"/>
      <c r="AK22" s="924"/>
      <c r="AL22" s="924"/>
      <c r="AM22" s="924"/>
      <c r="AN22" s="925"/>
      <c r="AO22" s="925"/>
      <c r="AP22" s="1336"/>
      <c r="AQ22" s="925"/>
      <c r="AR22" s="925"/>
      <c r="AS22" s="925"/>
      <c r="AT22" s="925"/>
      <c r="AU22" s="925"/>
      <c r="AV22" s="925"/>
      <c r="AW22" s="925"/>
      <c r="AX22" s="925"/>
      <c r="AY22" s="925"/>
      <c r="AZ22" s="925"/>
      <c r="BA22" s="925"/>
      <c r="BB22" s="525"/>
      <c r="BC22" s="1341"/>
      <c r="BD22" s="937" t="s">
        <v>1255</v>
      </c>
      <c r="BE22" s="925"/>
      <c r="BF22" s="925"/>
      <c r="BG22" s="925"/>
      <c r="BH22" s="925"/>
      <c r="BI22" s="925"/>
      <c r="BJ22" s="925"/>
      <c r="BK22" s="925"/>
      <c r="BL22" s="925"/>
      <c r="BM22" s="925"/>
      <c r="BP22" s="2479"/>
      <c r="BQ22" s="2479"/>
      <c r="BR22" s="2479"/>
      <c r="BS22" s="2479"/>
    </row>
    <row r="23" spans="1:77" s="84" customFormat="1" ht="25.9" customHeight="1" x14ac:dyDescent="0.2">
      <c r="A23" s="2743" t="s">
        <v>125</v>
      </c>
      <c r="B23" s="2741" t="s">
        <v>125</v>
      </c>
      <c r="C23" s="369" t="s">
        <v>362</v>
      </c>
      <c r="D23" s="369" t="s">
        <v>605</v>
      </c>
      <c r="E23" s="2351"/>
      <c r="F23" s="2372"/>
      <c r="G23" s="2579"/>
      <c r="H23" s="2479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7"/>
      <c r="X23" s="1597"/>
      <c r="Y23" s="1597"/>
      <c r="Z23" s="1597"/>
      <c r="AA23" s="1597"/>
      <c r="AB23" s="1597"/>
      <c r="AC23" s="1597"/>
      <c r="AD23"/>
      <c r="AE23" s="924"/>
      <c r="AF23" s="924"/>
      <c r="AG23" s="924"/>
      <c r="AH23" s="924"/>
      <c r="AI23" s="924"/>
      <c r="AJ23" s="924"/>
      <c r="AK23" s="924"/>
      <c r="AL23" s="924"/>
      <c r="AM23" s="924"/>
      <c r="AN23" s="925"/>
      <c r="AO23" s="925"/>
      <c r="AP23" s="1336"/>
      <c r="AQ23" s="925"/>
      <c r="AR23" s="925"/>
      <c r="AS23" s="925"/>
      <c r="AT23" s="925"/>
      <c r="AU23" s="925"/>
      <c r="AV23" s="925"/>
      <c r="AW23" s="925"/>
      <c r="AX23" s="925"/>
      <c r="AY23" s="925"/>
      <c r="AZ23" s="925"/>
      <c r="BA23" s="925"/>
      <c r="BB23" s="525"/>
      <c r="BC23" s="762"/>
      <c r="BD23" s="925"/>
      <c r="BE23" s="925"/>
      <c r="BF23" s="925"/>
      <c r="BG23" s="925"/>
      <c r="BH23" s="925"/>
      <c r="BI23" s="925"/>
      <c r="BJ23" s="925"/>
      <c r="BK23" s="925"/>
      <c r="BL23" s="925"/>
      <c r="BM23" s="925"/>
      <c r="BP23" s="2479"/>
      <c r="BQ23" s="2479"/>
      <c r="BR23" s="2479"/>
      <c r="BS23" s="2479"/>
    </row>
    <row r="24" spans="1:77" s="84" customFormat="1" ht="25.5" x14ac:dyDescent="0.25">
      <c r="A24" s="2743"/>
      <c r="B24" s="2741"/>
      <c r="C24" s="1008"/>
      <c r="D24" s="1008" t="s">
        <v>1291</v>
      </c>
      <c r="E24" s="2351">
        <v>4</v>
      </c>
      <c r="F24" s="2371">
        <v>4</v>
      </c>
      <c r="G24" s="2579" t="s">
        <v>2082</v>
      </c>
      <c r="H24" s="2479"/>
      <c r="I24" s="1596" t="s">
        <v>2300</v>
      </c>
      <c r="J24" s="1596" t="s">
        <v>2301</v>
      </c>
      <c r="K24" s="1596" t="s">
        <v>2302</v>
      </c>
      <c r="L24" s="1596" t="s">
        <v>2303</v>
      </c>
      <c r="M24" s="2479"/>
      <c r="N24" s="2270">
        <v>1</v>
      </c>
      <c r="O24" s="2270">
        <v>4</v>
      </c>
      <c r="P24" s="2270">
        <v>1</v>
      </c>
      <c r="Q24" s="2270">
        <v>2</v>
      </c>
      <c r="R24" s="2270">
        <v>1</v>
      </c>
      <c r="S24" s="2270">
        <v>1</v>
      </c>
      <c r="T24" s="2270">
        <v>1</v>
      </c>
      <c r="U24" s="2270">
        <v>1</v>
      </c>
      <c r="V24" s="2270">
        <v>1</v>
      </c>
      <c r="W24" s="2270">
        <v>1</v>
      </c>
      <c r="X24" s="2270">
        <v>1</v>
      </c>
      <c r="Y24" s="2270">
        <v>1</v>
      </c>
      <c r="Z24" s="2270">
        <v>1</v>
      </c>
      <c r="AA24" s="2270">
        <v>1</v>
      </c>
      <c r="AB24" s="2269"/>
      <c r="AC24" s="2269"/>
      <c r="AD24"/>
      <c r="AE24" s="924"/>
      <c r="AF24" s="924"/>
      <c r="AG24" s="924"/>
      <c r="AH24" s="924"/>
      <c r="AI24" s="924"/>
      <c r="AJ24" s="924"/>
      <c r="AK24" s="924"/>
      <c r="AL24" s="924"/>
      <c r="AM24" s="924"/>
      <c r="AN24" s="925"/>
      <c r="AO24" s="925"/>
      <c r="AP24" s="1336"/>
      <c r="AQ24" s="925"/>
      <c r="AR24" s="925"/>
      <c r="AS24" s="925"/>
      <c r="AT24" s="925"/>
      <c r="AU24" s="925"/>
      <c r="AV24" s="925"/>
      <c r="AW24" s="925"/>
      <c r="AX24" s="925"/>
      <c r="AY24" s="925"/>
      <c r="AZ24" s="925"/>
      <c r="BA24" s="925"/>
      <c r="BB24" s="525"/>
      <c r="BC24" s="972"/>
      <c r="BD24" s="938" t="s">
        <v>264</v>
      </c>
      <c r="BE24" s="929"/>
      <c r="BF24" s="950"/>
      <c r="BG24" s="950"/>
      <c r="BH24" s="949" t="str">
        <f>Preferences.EnergyUnits &amp; " / year"</f>
        <v>TWh / year</v>
      </c>
      <c r="BI24" s="948">
        <v>2010</v>
      </c>
      <c r="BJ24" s="948">
        <v>2020</v>
      </c>
      <c r="BK24" s="948">
        <v>2030</v>
      </c>
      <c r="BL24" s="948">
        <v>2050</v>
      </c>
      <c r="BM24" s="925"/>
      <c r="BP24" s="2479" t="s">
        <v>2300</v>
      </c>
      <c r="BQ24" s="2479" t="s">
        <v>2301</v>
      </c>
      <c r="BR24" s="2479" t="s">
        <v>2302</v>
      </c>
      <c r="BS24" s="2479" t="s">
        <v>2303</v>
      </c>
    </row>
    <row r="25" spans="1:77" s="84" customFormat="1" ht="24" customHeight="1" x14ac:dyDescent="0.2">
      <c r="A25" s="2743"/>
      <c r="B25" s="2741"/>
      <c r="C25" s="1008"/>
      <c r="D25" s="2427" t="s">
        <v>2259</v>
      </c>
      <c r="E25" s="2351">
        <v>4</v>
      </c>
      <c r="F25" s="2371">
        <v>4</v>
      </c>
      <c r="G25" s="2577" t="s">
        <v>2597</v>
      </c>
      <c r="H25" s="2479"/>
      <c r="I25" s="1596" t="s">
        <v>2545</v>
      </c>
      <c r="J25" s="1596" t="s">
        <v>2546</v>
      </c>
      <c r="K25" s="1596" t="s">
        <v>2547</v>
      </c>
      <c r="L25" s="1596" t="s">
        <v>2548</v>
      </c>
      <c r="M25" s="2479"/>
      <c r="N25" s="2270">
        <v>1</v>
      </c>
      <c r="O25" s="2270">
        <v>4</v>
      </c>
      <c r="P25" s="2270">
        <v>1</v>
      </c>
      <c r="Q25" s="2270">
        <v>2</v>
      </c>
      <c r="R25" s="2270">
        <v>1</v>
      </c>
      <c r="S25" s="2270">
        <v>1</v>
      </c>
      <c r="T25" s="2270">
        <v>1</v>
      </c>
      <c r="U25" s="2270">
        <v>1</v>
      </c>
      <c r="V25" s="2270">
        <v>1</v>
      </c>
      <c r="W25" s="2270">
        <v>1</v>
      </c>
      <c r="X25" s="2270">
        <v>1</v>
      </c>
      <c r="Y25" s="2270">
        <v>1</v>
      </c>
      <c r="Z25" s="2270">
        <v>1</v>
      </c>
      <c r="AA25" s="2270">
        <v>1</v>
      </c>
      <c r="AB25" s="2269"/>
      <c r="AC25" s="2269"/>
      <c r="AD25" s="1200"/>
      <c r="AE25" s="924"/>
      <c r="AF25" s="924"/>
      <c r="AG25" s="924"/>
      <c r="AH25" s="924"/>
      <c r="AI25" s="924"/>
      <c r="AJ25" s="924"/>
      <c r="AK25" s="924"/>
      <c r="AL25" s="924"/>
      <c r="AM25" s="924"/>
      <c r="AN25" s="925"/>
      <c r="AO25" s="925"/>
      <c r="AP25" s="1336"/>
      <c r="AQ25" s="925"/>
      <c r="AR25" s="925"/>
      <c r="AS25" s="925"/>
      <c r="AT25" s="925"/>
      <c r="AU25" s="925"/>
      <c r="AV25" s="925"/>
      <c r="AW25" s="925"/>
      <c r="AX25" s="925"/>
      <c r="AY25" s="925"/>
      <c r="AZ25" s="925"/>
      <c r="BA25" s="925"/>
      <c r="BB25" s="525"/>
      <c r="BC25" s="971"/>
      <c r="BD25" s="930" t="s">
        <v>417</v>
      </c>
      <c r="BE25" s="928" t="str">
        <f>INDEX(Vectors[Description], MATCH($BD25, Vectors[Code], 0))</f>
        <v>Coal oversupply (imports)</v>
      </c>
      <c r="BF25" s="925"/>
      <c r="BG25" s="927"/>
      <c r="BH25" s="928"/>
      <c r="BI25" s="927">
        <f t="shared" ref="BI25:BL29" ca="1" si="0">SUMIFS(INDIRECT("'"&amp;BI$24&amp;"'!Year.NetBalance"), INDIRECT("'"&amp;BI$24&amp;"'!Year.Vectors"),$BD25)</f>
        <v>8.5753578045170311</v>
      </c>
      <c r="BJ25" s="927">
        <f t="shared" ca="1" si="0"/>
        <v>-12.802967336492252</v>
      </c>
      <c r="BK25" s="927">
        <f t="shared" ca="1" si="0"/>
        <v>-242.6342134525816</v>
      </c>
      <c r="BL25" s="927">
        <f t="shared" ca="1" si="0"/>
        <v>-1137.326775284753</v>
      </c>
      <c r="BM25" s="925"/>
      <c r="BP25" s="2479" t="s">
        <v>2296</v>
      </c>
      <c r="BQ25" s="2479" t="s">
        <v>2297</v>
      </c>
      <c r="BR25" s="2479" t="s">
        <v>2299</v>
      </c>
      <c r="BS25" s="2479" t="s">
        <v>2298</v>
      </c>
    </row>
    <row r="26" spans="1:77" s="84" customFormat="1" ht="31.5" customHeight="1" x14ac:dyDescent="0.2">
      <c r="A26" s="2743"/>
      <c r="B26" s="2741"/>
      <c r="C26" s="1008"/>
      <c r="D26" s="1008" t="s">
        <v>2258</v>
      </c>
      <c r="E26" s="2351">
        <v>4</v>
      </c>
      <c r="F26" s="2371">
        <v>4</v>
      </c>
      <c r="G26" s="2577" t="s">
        <v>2557</v>
      </c>
      <c r="H26" s="2479"/>
      <c r="I26" s="1597" t="s">
        <v>2296</v>
      </c>
      <c r="J26" s="1597" t="s">
        <v>2297</v>
      </c>
      <c r="K26" s="1597" t="s">
        <v>2299</v>
      </c>
      <c r="L26" s="1597" t="s">
        <v>2298</v>
      </c>
      <c r="M26" s="2479"/>
      <c r="N26" s="2270">
        <v>1</v>
      </c>
      <c r="O26" s="2270">
        <v>4</v>
      </c>
      <c r="P26" s="2270">
        <v>1</v>
      </c>
      <c r="Q26" s="2270">
        <v>2</v>
      </c>
      <c r="R26" s="2270">
        <v>1</v>
      </c>
      <c r="S26" s="2270">
        <v>1</v>
      </c>
      <c r="T26" s="2270">
        <v>1</v>
      </c>
      <c r="U26" s="2270">
        <v>1</v>
      </c>
      <c r="V26" s="2270">
        <v>1</v>
      </c>
      <c r="W26" s="2270">
        <v>1</v>
      </c>
      <c r="X26" s="2270">
        <v>1</v>
      </c>
      <c r="Y26" s="2270">
        <v>1</v>
      </c>
      <c r="Z26" s="2270">
        <v>1</v>
      </c>
      <c r="AA26" s="2270">
        <v>1</v>
      </c>
      <c r="AB26" s="2269"/>
      <c r="AC26" s="2269"/>
      <c r="AD26" s="1200"/>
      <c r="AE26" s="924"/>
      <c r="AF26" s="924"/>
      <c r="AG26" s="924"/>
      <c r="AH26" s="924"/>
      <c r="AI26" s="924"/>
      <c r="AJ26" s="924"/>
      <c r="AK26" s="924"/>
      <c r="AL26" s="924"/>
      <c r="AM26" s="924"/>
      <c r="AN26" s="925"/>
      <c r="AO26" s="925"/>
      <c r="AP26" s="1336"/>
      <c r="AQ26" s="925"/>
      <c r="AR26" s="925"/>
      <c r="AS26" s="925"/>
      <c r="AT26" s="925"/>
      <c r="AU26" s="925"/>
      <c r="AV26" s="925"/>
      <c r="AW26" s="925"/>
      <c r="AX26" s="925"/>
      <c r="AY26" s="925"/>
      <c r="AZ26" s="925"/>
      <c r="BA26" s="925"/>
      <c r="BB26" s="525"/>
      <c r="BC26" s="971"/>
      <c r="BD26" s="930" t="s">
        <v>418</v>
      </c>
      <c r="BE26" s="928" t="str">
        <f>INDEX(Vectors[Description], MATCH($BD26, Vectors[Code], 0))</f>
        <v>Oil and petroleum products oversupply (imports)</v>
      </c>
      <c r="BF26" s="925"/>
      <c r="BG26" s="927"/>
      <c r="BH26" s="928"/>
      <c r="BI26" s="927">
        <f t="shared" ca="1" si="0"/>
        <v>1157.6931375681877</v>
      </c>
      <c r="BJ26" s="927">
        <f t="shared" ca="1" si="0"/>
        <v>1227.1576089524019</v>
      </c>
      <c r="BK26" s="927">
        <f t="shared" ca="1" si="0"/>
        <v>1236.8760812278265</v>
      </c>
      <c r="BL26" s="927">
        <f t="shared" ca="1" si="0"/>
        <v>1194.23446134643</v>
      </c>
      <c r="BM26" s="925"/>
      <c r="BP26" s="2479" t="s">
        <v>2292</v>
      </c>
      <c r="BQ26" s="2479" t="s">
        <v>2293</v>
      </c>
      <c r="BR26" s="2479" t="s">
        <v>2294</v>
      </c>
      <c r="BS26" s="2479" t="s">
        <v>2295</v>
      </c>
    </row>
    <row r="27" spans="1:77" s="84" customFormat="1" ht="34.5" customHeight="1" x14ac:dyDescent="0.2">
      <c r="A27" s="2743"/>
      <c r="B27" s="2741"/>
      <c r="C27" s="369" t="s">
        <v>375</v>
      </c>
      <c r="D27" s="369" t="s">
        <v>606</v>
      </c>
      <c r="E27" s="2351">
        <v>4</v>
      </c>
      <c r="F27" s="2372">
        <v>4</v>
      </c>
      <c r="G27" s="2577" t="s">
        <v>2083</v>
      </c>
      <c r="H27" s="2479"/>
      <c r="I27" s="1596" t="s">
        <v>1195</v>
      </c>
      <c r="J27" s="1596" t="s">
        <v>1202</v>
      </c>
      <c r="K27" s="1596" t="s">
        <v>1210</v>
      </c>
      <c r="L27" s="1596" t="s">
        <v>1270</v>
      </c>
      <c r="M27" s="2479"/>
      <c r="N27" s="2270">
        <v>1</v>
      </c>
      <c r="O27" s="2270">
        <v>4</v>
      </c>
      <c r="P27" s="2270">
        <v>1</v>
      </c>
      <c r="Q27" s="2270">
        <v>2</v>
      </c>
      <c r="R27" s="2270">
        <v>1</v>
      </c>
      <c r="S27" s="2270">
        <v>1</v>
      </c>
      <c r="T27" s="2270">
        <v>1</v>
      </c>
      <c r="U27" s="2270">
        <v>1</v>
      </c>
      <c r="V27" s="2270">
        <v>1</v>
      </c>
      <c r="W27" s="2270">
        <v>1</v>
      </c>
      <c r="X27" s="2270">
        <v>1</v>
      </c>
      <c r="Y27" s="2270">
        <v>1</v>
      </c>
      <c r="Z27" s="2270">
        <v>1</v>
      </c>
      <c r="AA27" s="2270">
        <v>1</v>
      </c>
      <c r="AB27" s="2269"/>
      <c r="AC27" s="2269"/>
      <c r="AD27"/>
      <c r="AE27" s="924"/>
      <c r="AF27" s="924"/>
      <c r="AG27" s="924"/>
      <c r="AH27" s="924"/>
      <c r="AI27" s="924"/>
      <c r="AJ27" s="924"/>
      <c r="AK27" s="924"/>
      <c r="AL27" s="924"/>
      <c r="AM27" s="924"/>
      <c r="AN27" s="925"/>
      <c r="AO27" s="925"/>
      <c r="AP27" s="1336"/>
      <c r="AQ27" s="925"/>
      <c r="AR27" s="925"/>
      <c r="AS27" s="925"/>
      <c r="AT27" s="925"/>
      <c r="AU27" s="925"/>
      <c r="AV27" s="925"/>
      <c r="AW27" s="925"/>
      <c r="AX27" s="925"/>
      <c r="AY27" s="925"/>
      <c r="AZ27" s="925"/>
      <c r="BA27" s="925"/>
      <c r="BB27" s="525"/>
      <c r="BC27" s="971"/>
      <c r="BD27" s="930" t="s">
        <v>419</v>
      </c>
      <c r="BE27" s="928" t="str">
        <f>INDEX(Vectors[Description], MATCH($BD27, Vectors[Code], 0))</f>
        <v>Gas oversupply (imports)</v>
      </c>
      <c r="BF27" s="925"/>
      <c r="BG27" s="927"/>
      <c r="BH27" s="928"/>
      <c r="BI27" s="927">
        <f t="shared" ca="1" si="0"/>
        <v>711.34280526370412</v>
      </c>
      <c r="BJ27" s="927">
        <f t="shared" ca="1" si="0"/>
        <v>752.15463096912265</v>
      </c>
      <c r="BK27" s="927">
        <f t="shared" ca="1" si="0"/>
        <v>796.25859949857295</v>
      </c>
      <c r="BL27" s="927">
        <f t="shared" ca="1" si="0"/>
        <v>580.45941618119616</v>
      </c>
      <c r="BM27" s="925"/>
      <c r="BP27" s="2479" t="s">
        <v>1195</v>
      </c>
      <c r="BQ27" s="2479" t="s">
        <v>1202</v>
      </c>
      <c r="BR27" s="2479" t="s">
        <v>1210</v>
      </c>
      <c r="BS27" s="2479" t="s">
        <v>1270</v>
      </c>
    </row>
    <row r="28" spans="1:77" s="84" customFormat="1" ht="33" customHeight="1" x14ac:dyDescent="0.2">
      <c r="A28" s="2743" t="s">
        <v>334</v>
      </c>
      <c r="B28" s="2741" t="s">
        <v>2172</v>
      </c>
      <c r="C28" s="369" t="s">
        <v>341</v>
      </c>
      <c r="D28" s="369" t="s">
        <v>2172</v>
      </c>
      <c r="E28" s="2351"/>
      <c r="F28" s="2372"/>
      <c r="G28" s="2577"/>
      <c r="H28" s="2479"/>
      <c r="I28" s="1596"/>
      <c r="J28" s="1596"/>
      <c r="K28" s="1596"/>
      <c r="L28" s="1596"/>
      <c r="M28" s="2479"/>
      <c r="N28" s="2270">
        <v>1</v>
      </c>
      <c r="O28" s="2270">
        <v>4</v>
      </c>
      <c r="P28" s="2270">
        <v>1</v>
      </c>
      <c r="Q28" s="2270">
        <v>1</v>
      </c>
      <c r="R28" s="2270">
        <v>1</v>
      </c>
      <c r="S28" s="2270">
        <v>1</v>
      </c>
      <c r="T28" s="2270">
        <v>1</v>
      </c>
      <c r="U28" s="2270">
        <v>1</v>
      </c>
      <c r="V28" s="2270">
        <v>1</v>
      </c>
      <c r="W28" s="2270">
        <v>1</v>
      </c>
      <c r="X28" s="2270">
        <v>1</v>
      </c>
      <c r="Y28" s="2270">
        <v>1</v>
      </c>
      <c r="Z28" s="2270">
        <v>1</v>
      </c>
      <c r="AA28" s="2270">
        <v>1</v>
      </c>
      <c r="AB28" s="2269"/>
      <c r="AC28" s="2269"/>
      <c r="AD28"/>
      <c r="AE28" s="924"/>
      <c r="AF28" s="924"/>
      <c r="AG28" s="924"/>
      <c r="AH28" s="924"/>
      <c r="AI28" s="924"/>
      <c r="AJ28" s="924"/>
      <c r="AK28" s="924"/>
      <c r="AL28" s="924"/>
      <c r="AM28" s="924"/>
      <c r="AN28" s="925"/>
      <c r="AO28" s="925"/>
      <c r="AP28" s="1336"/>
      <c r="AQ28" s="925"/>
      <c r="AR28" s="925"/>
      <c r="AS28" s="925"/>
      <c r="AT28" s="925"/>
      <c r="AU28" s="925"/>
      <c r="AV28" s="925"/>
      <c r="AW28" s="925"/>
      <c r="AX28" s="925"/>
      <c r="AY28" s="925"/>
      <c r="AZ28" s="925"/>
      <c r="BA28" s="925"/>
      <c r="BB28" s="525"/>
      <c r="BC28" s="971"/>
      <c r="BD28" s="930" t="s">
        <v>46</v>
      </c>
      <c r="BE28" s="928" t="str">
        <f>INDEX(Vectors[Description], MATCH($BD28, Vectors[Code], 0))</f>
        <v>Biomass oversupply (imports)</v>
      </c>
      <c r="BF28" s="925"/>
      <c r="BG28" s="925"/>
      <c r="BH28" s="925"/>
      <c r="BI28" s="927">
        <f t="shared" ca="1" si="0"/>
        <v>875.52051462475561</v>
      </c>
      <c r="BJ28" s="927">
        <f t="shared" ca="1" si="0"/>
        <v>1146.8696111280037</v>
      </c>
      <c r="BK28" s="927">
        <f t="shared" ca="1" si="0"/>
        <v>1447.82190569574</v>
      </c>
      <c r="BL28" s="927">
        <f t="shared" ca="1" si="0"/>
        <v>2117.6175972906126</v>
      </c>
      <c r="BM28" s="925"/>
      <c r="BP28" s="2479"/>
      <c r="BQ28" s="2479"/>
      <c r="BR28" s="2479"/>
      <c r="BS28" s="2479"/>
    </row>
    <row r="29" spans="1:77" s="84" customFormat="1" ht="30" customHeight="1" x14ac:dyDescent="0.2">
      <c r="A29" s="2743"/>
      <c r="B29" s="2741"/>
      <c r="C29" s="1007"/>
      <c r="D29" s="1008" t="s">
        <v>2230</v>
      </c>
      <c r="E29" s="2353">
        <v>4</v>
      </c>
      <c r="F29" s="2371">
        <v>4</v>
      </c>
      <c r="G29" s="2577" t="s">
        <v>2084</v>
      </c>
      <c r="H29" s="39"/>
      <c r="I29" s="1596" t="s">
        <v>2251</v>
      </c>
      <c r="J29" s="1596" t="s">
        <v>2252</v>
      </c>
      <c r="K29" s="1596" t="s">
        <v>2253</v>
      </c>
      <c r="L29" s="1596" t="s">
        <v>2254</v>
      </c>
      <c r="M29" s="39"/>
      <c r="N29" s="2270">
        <v>1</v>
      </c>
      <c r="O29" s="2270">
        <v>4</v>
      </c>
      <c r="P29" s="2270">
        <v>1</v>
      </c>
      <c r="Q29" s="2270">
        <v>1</v>
      </c>
      <c r="R29" s="2270">
        <v>1</v>
      </c>
      <c r="S29" s="2270">
        <v>1</v>
      </c>
      <c r="T29" s="2270">
        <v>1</v>
      </c>
      <c r="U29" s="2270">
        <v>1</v>
      </c>
      <c r="V29" s="2270">
        <v>1</v>
      </c>
      <c r="W29" s="2270">
        <v>1</v>
      </c>
      <c r="X29" s="2270">
        <v>1</v>
      </c>
      <c r="Y29" s="2270">
        <v>1</v>
      </c>
      <c r="Z29" s="2270">
        <v>1</v>
      </c>
      <c r="AA29" s="2270">
        <v>1</v>
      </c>
      <c r="AB29" s="2269"/>
      <c r="AC29" s="2269"/>
      <c r="AD29"/>
      <c r="AE29" s="924"/>
      <c r="AF29" s="924"/>
      <c r="AG29" s="924"/>
      <c r="AH29" s="924"/>
      <c r="AI29" s="924"/>
      <c r="AJ29" s="924"/>
      <c r="AK29" s="924"/>
      <c r="AL29" s="924"/>
      <c r="AM29" s="924"/>
      <c r="AN29" s="925"/>
      <c r="AO29" s="925"/>
      <c r="AP29" s="1336"/>
      <c r="AQ29" s="925"/>
      <c r="AR29" s="925"/>
      <c r="AS29" s="925"/>
      <c r="AT29" s="925"/>
      <c r="AU29" s="925"/>
      <c r="AV29" s="925"/>
      <c r="AW29" s="925"/>
      <c r="AX29" s="925"/>
      <c r="AY29" s="925"/>
      <c r="AZ29" s="925"/>
      <c r="BA29" s="925"/>
      <c r="BB29" s="525"/>
      <c r="BC29" s="971"/>
      <c r="BD29" s="940" t="s">
        <v>47</v>
      </c>
      <c r="BE29" s="934" t="str">
        <f>INDEX(Vectors[Description], MATCH($BD29, Vectors[Code], 0))</f>
        <v>Electricity oversupply (imports)</v>
      </c>
      <c r="BF29" s="933"/>
      <c r="BG29" s="933"/>
      <c r="BH29" s="933"/>
      <c r="BI29" s="941">
        <f t="shared" ca="1" si="0"/>
        <v>0.52500000000000002</v>
      </c>
      <c r="BJ29" s="941">
        <f t="shared" ca="1" si="0"/>
        <v>0.5249999999999716</v>
      </c>
      <c r="BK29" s="941">
        <f t="shared" ca="1" si="0"/>
        <v>69.115744359233204</v>
      </c>
      <c r="BL29" s="941">
        <f ca="1">SUMIFS(INDIRECT("'"&amp;BL$24&amp;"'!Year.NetBalance"), INDIRECT("'"&amp;BL$24&amp;"'!Year.Vectors"),$BD29)</f>
        <v>601.38216058700823</v>
      </c>
      <c r="BM29" s="925"/>
      <c r="BP29" s="2479" t="s">
        <v>2251</v>
      </c>
      <c r="BQ29" s="2479" t="s">
        <v>2252</v>
      </c>
      <c r="BR29" s="2479" t="s">
        <v>2253</v>
      </c>
      <c r="BS29" s="2479" t="s">
        <v>2254</v>
      </c>
    </row>
    <row r="30" spans="1:77" s="84" customFormat="1" ht="15.75" x14ac:dyDescent="0.2">
      <c r="A30" s="2743"/>
      <c r="B30" s="2741"/>
      <c r="C30" s="1007"/>
      <c r="D30" s="2413" t="s">
        <v>2231</v>
      </c>
      <c r="E30" s="2353">
        <v>4</v>
      </c>
      <c r="F30" s="2371">
        <v>4</v>
      </c>
      <c r="G30" s="2577" t="s">
        <v>2558</v>
      </c>
      <c r="H30" s="39"/>
      <c r="I30" s="1596" t="s">
        <v>2196</v>
      </c>
      <c r="J30" s="1596" t="s">
        <v>2255</v>
      </c>
      <c r="K30" s="1596" t="s">
        <v>2256</v>
      </c>
      <c r="L30" s="1596" t="s">
        <v>2257</v>
      </c>
      <c r="M30" s="39"/>
      <c r="N30" s="2270">
        <v>1</v>
      </c>
      <c r="O30" s="2270">
        <v>4</v>
      </c>
      <c r="P30" s="2270">
        <v>1</v>
      </c>
      <c r="Q30" s="2270">
        <v>1</v>
      </c>
      <c r="R30" s="2270">
        <v>1</v>
      </c>
      <c r="S30" s="2270">
        <v>1</v>
      </c>
      <c r="T30" s="2270">
        <v>1</v>
      </c>
      <c r="U30" s="2270">
        <v>1</v>
      </c>
      <c r="V30" s="2270">
        <v>1</v>
      </c>
      <c r="W30" s="2270">
        <v>1</v>
      </c>
      <c r="X30" s="2270">
        <v>1</v>
      </c>
      <c r="Y30" s="2270">
        <v>1</v>
      </c>
      <c r="Z30" s="2270">
        <v>1</v>
      </c>
      <c r="AA30" s="2270">
        <v>1</v>
      </c>
      <c r="AB30" s="2269"/>
      <c r="AC30" s="2269"/>
      <c r="AD30" s="38"/>
      <c r="AE30" s="924"/>
      <c r="AF30" s="924"/>
      <c r="AG30" s="924"/>
      <c r="AH30" s="924"/>
      <c r="AI30" s="924"/>
      <c r="AJ30" s="924"/>
      <c r="AK30" s="924"/>
      <c r="AL30" s="924"/>
      <c r="AM30" s="924"/>
      <c r="AN30" s="925"/>
      <c r="AO30" s="925"/>
      <c r="AP30" s="1336"/>
      <c r="AQ30" s="925"/>
      <c r="AR30" s="925"/>
      <c r="AS30" s="925"/>
      <c r="AT30" s="925"/>
      <c r="AU30" s="925"/>
      <c r="AV30" s="925"/>
      <c r="AW30" s="925"/>
      <c r="AX30" s="925"/>
      <c r="AY30" s="925"/>
      <c r="AZ30" s="925"/>
      <c r="BA30" s="925"/>
      <c r="BB30" s="525"/>
      <c r="BC30" s="762"/>
      <c r="BD30" s="925"/>
      <c r="BE30" s="925"/>
      <c r="BF30" s="925"/>
      <c r="BG30" s="925"/>
      <c r="BH30" s="925"/>
      <c r="BI30" s="925"/>
      <c r="BJ30" s="925"/>
      <c r="BK30" s="925"/>
      <c r="BL30" s="925"/>
      <c r="BM30" s="925"/>
      <c r="BP30" s="2479" t="s">
        <v>2196</v>
      </c>
      <c r="BQ30" s="2479" t="s">
        <v>2255</v>
      </c>
      <c r="BR30" s="2479" t="s">
        <v>2256</v>
      </c>
      <c r="BS30" s="2479" t="s">
        <v>2257</v>
      </c>
      <c r="BT30"/>
      <c r="BU30"/>
      <c r="BV30"/>
      <c r="BW30"/>
    </row>
    <row r="31" spans="1:77" s="84" customFormat="1" ht="23.25" x14ac:dyDescent="0.2">
      <c r="A31" s="2743"/>
      <c r="B31" s="2741" t="s">
        <v>2173</v>
      </c>
      <c r="C31" s="369" t="s">
        <v>392</v>
      </c>
      <c r="D31" s="369" t="s">
        <v>2217</v>
      </c>
      <c r="E31" s="2351"/>
      <c r="F31" s="2372"/>
      <c r="G31" s="2577"/>
      <c r="H31" s="2479"/>
      <c r="I31" s="1597"/>
      <c r="J31" s="1597"/>
      <c r="K31" s="1597"/>
      <c r="L31" s="1597"/>
      <c r="M31" s="1597"/>
      <c r="N31" s="1597"/>
      <c r="O31" s="1597"/>
      <c r="P31" s="1597"/>
      <c r="Q31" s="1597"/>
      <c r="R31" s="1597"/>
      <c r="S31" s="1597"/>
      <c r="T31" s="1597"/>
      <c r="U31" s="1597"/>
      <c r="V31" s="1597"/>
      <c r="W31" s="1597"/>
      <c r="X31" s="1597"/>
      <c r="Y31" s="1597"/>
      <c r="Z31" s="1597"/>
      <c r="AA31" s="1597"/>
      <c r="AB31" s="1597"/>
      <c r="AC31" s="1597"/>
      <c r="AE31" s="924"/>
      <c r="AF31" s="924"/>
      <c r="AG31" s="924"/>
      <c r="AH31" s="924"/>
      <c r="AI31" s="924"/>
      <c r="AJ31" s="924"/>
      <c r="AK31" s="924"/>
      <c r="AL31" s="924"/>
      <c r="AM31" s="924"/>
      <c r="AN31" s="925"/>
      <c r="AO31" s="925"/>
      <c r="AP31" s="1336"/>
      <c r="AQ31" s="925"/>
      <c r="AR31" s="925"/>
      <c r="AS31" s="925"/>
      <c r="AT31" s="925"/>
      <c r="AU31" s="925"/>
      <c r="AV31" s="925"/>
      <c r="AW31" s="925"/>
      <c r="AX31" s="925"/>
      <c r="AY31" s="925"/>
      <c r="AZ31" s="925"/>
      <c r="BA31" s="924"/>
      <c r="BB31" s="525"/>
      <c r="BC31" s="1341"/>
      <c r="BD31" s="937" t="s">
        <v>882</v>
      </c>
      <c r="BE31" s="925"/>
      <c r="BF31" s="925"/>
      <c r="BG31" s="925"/>
      <c r="BH31" s="925"/>
      <c r="BI31" s="925"/>
      <c r="BJ31" s="925"/>
      <c r="BK31" s="925"/>
      <c r="BL31" s="925"/>
      <c r="BM31" s="925"/>
      <c r="BP31" s="2479"/>
      <c r="BQ31" s="2479"/>
      <c r="BR31" s="2479"/>
      <c r="BS31" s="2479"/>
      <c r="BX31"/>
      <c r="BY31"/>
    </row>
    <row r="32" spans="1:77" ht="29.25" customHeight="1" x14ac:dyDescent="0.2">
      <c r="A32" s="2743"/>
      <c r="B32" s="2741"/>
      <c r="C32" s="1008"/>
      <c r="D32" s="1008" t="s">
        <v>2216</v>
      </c>
      <c r="E32" s="2351">
        <v>4</v>
      </c>
      <c r="F32" s="2371">
        <v>4</v>
      </c>
      <c r="G32" s="2577" t="s">
        <v>2559</v>
      </c>
      <c r="H32" s="2479"/>
      <c r="I32" s="1596" t="s">
        <v>2208</v>
      </c>
      <c r="J32" s="1596" t="s">
        <v>2210</v>
      </c>
      <c r="K32" s="1596" t="s">
        <v>2209</v>
      </c>
      <c r="L32" s="1596" t="s">
        <v>2211</v>
      </c>
      <c r="M32" s="2479"/>
      <c r="N32" s="2270">
        <v>1</v>
      </c>
      <c r="O32" s="2270">
        <v>4</v>
      </c>
      <c r="P32" s="2270">
        <v>1</v>
      </c>
      <c r="Q32" s="2270">
        <v>2</v>
      </c>
      <c r="R32" s="2270">
        <v>1</v>
      </c>
      <c r="S32" s="2270">
        <v>1</v>
      </c>
      <c r="T32" s="2270">
        <v>1</v>
      </c>
      <c r="U32" s="2270">
        <v>1</v>
      </c>
      <c r="V32" s="2270">
        <v>1</v>
      </c>
      <c r="W32" s="2270">
        <v>1</v>
      </c>
      <c r="X32" s="2270">
        <v>1</v>
      </c>
      <c r="Y32" s="2270">
        <v>1</v>
      </c>
      <c r="Z32" s="2270">
        <v>1</v>
      </c>
      <c r="AA32" s="2270">
        <v>1</v>
      </c>
      <c r="AB32" s="2269"/>
      <c r="AC32" s="2269"/>
      <c r="AD32" s="38"/>
      <c r="AE32" s="924"/>
      <c r="AF32" s="924"/>
      <c r="AG32" s="924"/>
      <c r="AH32" s="924"/>
      <c r="AI32" s="924"/>
      <c r="AJ32" s="924"/>
      <c r="AK32" s="924"/>
      <c r="AL32" s="924"/>
      <c r="AM32" s="924"/>
      <c r="AN32" s="925"/>
      <c r="AO32" s="925"/>
      <c r="AQ32" s="1119"/>
      <c r="AR32" s="1119" t="s">
        <v>1199</v>
      </c>
      <c r="AS32" s="925"/>
      <c r="AT32" s="925"/>
      <c r="AU32" s="925"/>
      <c r="AV32" s="925"/>
      <c r="AW32" s="925"/>
      <c r="AX32" s="925"/>
      <c r="AY32" s="925"/>
      <c r="AZ32" s="925"/>
      <c r="BA32" s="924"/>
      <c r="BC32" s="1341"/>
      <c r="BD32" s="937"/>
      <c r="BE32" s="925"/>
      <c r="BF32" s="925"/>
      <c r="BG32" s="925"/>
      <c r="BH32" s="925"/>
      <c r="BI32" s="925"/>
      <c r="BJ32" s="925"/>
      <c r="BK32" s="925"/>
      <c r="BL32" s="925"/>
      <c r="BM32" s="925"/>
      <c r="BP32" s="2479" t="s">
        <v>2208</v>
      </c>
      <c r="BQ32" s="2479" t="s">
        <v>2210</v>
      </c>
      <c r="BR32" s="2479" t="s">
        <v>2209</v>
      </c>
      <c r="BS32" s="2479" t="s">
        <v>2211</v>
      </c>
      <c r="BT32" s="84"/>
      <c r="BU32" s="84"/>
      <c r="BV32" s="84"/>
      <c r="BW32" s="84"/>
      <c r="BX32" s="84"/>
      <c r="BY32" s="84"/>
    </row>
    <row r="33" spans="1:77" s="84" customFormat="1" ht="40.5" customHeight="1" x14ac:dyDescent="0.25">
      <c r="A33" s="2743"/>
      <c r="B33" s="2741"/>
      <c r="C33" s="1008"/>
      <c r="D33" s="1008" t="s">
        <v>2200</v>
      </c>
      <c r="E33" s="2351">
        <v>4</v>
      </c>
      <c r="F33" s="2371">
        <v>4</v>
      </c>
      <c r="G33" s="2577" t="s">
        <v>2085</v>
      </c>
      <c r="H33" s="2479"/>
      <c r="I33" s="1596" t="s">
        <v>2201</v>
      </c>
      <c r="J33" s="1596" t="s">
        <v>2202</v>
      </c>
      <c r="K33" s="1596" t="s">
        <v>2203</v>
      </c>
      <c r="L33" s="1596" t="s">
        <v>2204</v>
      </c>
      <c r="M33" s="2479"/>
      <c r="N33" s="2270">
        <v>1</v>
      </c>
      <c r="O33" s="2270">
        <v>4</v>
      </c>
      <c r="P33" s="2270">
        <v>1</v>
      </c>
      <c r="Q33" s="2270">
        <v>1</v>
      </c>
      <c r="R33" s="2270">
        <v>1</v>
      </c>
      <c r="S33" s="2270">
        <v>1</v>
      </c>
      <c r="T33" s="2270">
        <v>1</v>
      </c>
      <c r="U33" s="2270">
        <v>1</v>
      </c>
      <c r="V33" s="2270">
        <v>1</v>
      </c>
      <c r="W33" s="2270">
        <v>1</v>
      </c>
      <c r="X33" s="2270">
        <v>1</v>
      </c>
      <c r="Y33" s="2270">
        <v>1</v>
      </c>
      <c r="Z33" s="2270">
        <v>1</v>
      </c>
      <c r="AA33" s="2270">
        <v>1</v>
      </c>
      <c r="AB33" s="2269"/>
      <c r="AC33" s="2269"/>
      <c r="AD33"/>
      <c r="AE33" s="924"/>
      <c r="AF33" s="924"/>
      <c r="AG33" s="924"/>
      <c r="AH33" s="924"/>
      <c r="AI33" s="924"/>
      <c r="AJ33" s="924"/>
      <c r="AK33" s="924"/>
      <c r="AL33" s="924"/>
      <c r="AM33" s="924"/>
      <c r="AN33" s="926"/>
      <c r="AO33" s="926"/>
      <c r="AP33" s="1336"/>
      <c r="AQ33" s="925"/>
      <c r="AR33" s="925"/>
      <c r="AS33" s="926"/>
      <c r="AT33" s="926"/>
      <c r="AU33" s="926"/>
      <c r="AV33" s="926"/>
      <c r="AW33" s="926"/>
      <c r="AX33" s="926"/>
      <c r="AY33" s="926"/>
      <c r="AZ33" s="926"/>
      <c r="BA33" s="924"/>
      <c r="BB33" s="525"/>
      <c r="BC33" s="972"/>
      <c r="BD33" s="938" t="s">
        <v>891</v>
      </c>
      <c r="BE33" s="929"/>
      <c r="BF33" s="950"/>
      <c r="BG33" s="950"/>
      <c r="BH33" s="949" t="str">
        <f>Preferences.EnergyUnits &amp; " / year"</f>
        <v>TWh / year</v>
      </c>
      <c r="BI33" s="948">
        <v>2010</v>
      </c>
      <c r="BJ33" s="948">
        <v>2020</v>
      </c>
      <c r="BK33" s="948">
        <v>2030</v>
      </c>
      <c r="BL33" s="948">
        <v>2050</v>
      </c>
      <c r="BM33" s="925"/>
      <c r="BP33" s="2479" t="s">
        <v>2201</v>
      </c>
      <c r="BQ33" s="2479" t="s">
        <v>2202</v>
      </c>
      <c r="BR33" s="2479" t="s">
        <v>2203</v>
      </c>
      <c r="BS33" s="2479" t="s">
        <v>2204</v>
      </c>
    </row>
    <row r="34" spans="1:77" s="84" customFormat="1" ht="31.5" customHeight="1" x14ac:dyDescent="0.25">
      <c r="A34" s="2743" t="s">
        <v>33</v>
      </c>
      <c r="B34" s="2744" t="s">
        <v>33</v>
      </c>
      <c r="C34" s="369" t="s">
        <v>360</v>
      </c>
      <c r="D34" s="369" t="s">
        <v>176</v>
      </c>
      <c r="E34" s="2351"/>
      <c r="F34" s="2372"/>
      <c r="G34" s="2577"/>
      <c r="H34" s="2479"/>
      <c r="I34" s="1597"/>
      <c r="J34" s="1597"/>
      <c r="K34" s="1597"/>
      <c r="L34" s="1597"/>
      <c r="M34" s="1597"/>
      <c r="N34" s="1597"/>
      <c r="O34" s="1597"/>
      <c r="P34" s="1597"/>
      <c r="Q34" s="1597"/>
      <c r="R34" s="1597"/>
      <c r="S34" s="1597"/>
      <c r="T34" s="1597"/>
      <c r="U34" s="1597"/>
      <c r="V34" s="1597"/>
      <c r="W34" s="1597"/>
      <c r="X34" s="1597"/>
      <c r="Y34" s="1597"/>
      <c r="Z34" s="1597"/>
      <c r="AA34" s="1597"/>
      <c r="AB34" s="1597"/>
      <c r="AC34" s="1597"/>
      <c r="AD34"/>
      <c r="AE34" s="924"/>
      <c r="AF34" s="924"/>
      <c r="AG34" s="924"/>
      <c r="AH34" s="924"/>
      <c r="AI34" s="924"/>
      <c r="AJ34" s="924"/>
      <c r="AK34" s="924"/>
      <c r="AL34" s="924"/>
      <c r="AM34" s="924"/>
      <c r="AN34" s="926"/>
      <c r="AO34" s="926"/>
      <c r="AP34" s="1336"/>
      <c r="AQ34" s="925"/>
      <c r="AR34" s="925"/>
      <c r="AS34" s="926"/>
      <c r="AT34" s="926"/>
      <c r="AU34" s="926"/>
      <c r="AV34" s="926"/>
      <c r="AW34" s="926"/>
      <c r="AX34" s="926"/>
      <c r="AY34" s="926"/>
      <c r="AZ34" s="926"/>
      <c r="BA34" s="924"/>
      <c r="BB34" s="525"/>
      <c r="BC34" s="972"/>
      <c r="BD34" s="972"/>
      <c r="BE34" s="1203"/>
      <c r="BF34" s="1204"/>
      <c r="BG34" s="1204"/>
      <c r="BH34" s="1103"/>
      <c r="BI34" s="1104"/>
      <c r="BJ34" s="1104"/>
      <c r="BK34" s="1104"/>
      <c r="BL34" s="1104"/>
      <c r="BM34" s="925"/>
      <c r="BP34" s="2479"/>
      <c r="BQ34" s="2479"/>
      <c r="BR34" s="2479"/>
      <c r="BS34" s="2479"/>
    </row>
    <row r="35" spans="1:77" s="84" customFormat="1" ht="25.9" customHeight="1" x14ac:dyDescent="0.25">
      <c r="A35" s="2743"/>
      <c r="B35" s="2744"/>
      <c r="C35" s="1008"/>
      <c r="D35" s="1008" t="s">
        <v>2175</v>
      </c>
      <c r="E35" s="2351">
        <v>4</v>
      </c>
      <c r="F35" s="2371">
        <v>4</v>
      </c>
      <c r="G35" s="2577" t="s">
        <v>2086</v>
      </c>
      <c r="H35" s="2479"/>
      <c r="I35" s="1596" t="s">
        <v>2179</v>
      </c>
      <c r="J35" s="1596" t="s">
        <v>2176</v>
      </c>
      <c r="K35" s="1596" t="s">
        <v>2177</v>
      </c>
      <c r="L35" s="1596" t="s">
        <v>2178</v>
      </c>
      <c r="M35" s="2479"/>
      <c r="N35" s="2270">
        <v>1</v>
      </c>
      <c r="O35" s="2270">
        <v>4</v>
      </c>
      <c r="P35" s="2270">
        <v>1</v>
      </c>
      <c r="Q35" s="2270">
        <v>2</v>
      </c>
      <c r="R35" s="2270">
        <v>1</v>
      </c>
      <c r="S35" s="2270">
        <v>1</v>
      </c>
      <c r="T35" s="2270">
        <v>1</v>
      </c>
      <c r="U35" s="2270">
        <v>1</v>
      </c>
      <c r="V35" s="2270">
        <v>1</v>
      </c>
      <c r="W35" s="2270">
        <v>1</v>
      </c>
      <c r="X35" s="2270">
        <v>1</v>
      </c>
      <c r="Y35" s="2270">
        <v>1</v>
      </c>
      <c r="Z35" s="2270">
        <v>1</v>
      </c>
      <c r="AA35" s="2270">
        <v>1</v>
      </c>
      <c r="AB35" s="2269"/>
      <c r="AC35" s="2269"/>
      <c r="AD35" s="1588"/>
      <c r="AE35" s="924"/>
      <c r="AF35" s="924"/>
      <c r="AG35" s="924"/>
      <c r="AH35" s="924"/>
      <c r="AI35" s="924"/>
      <c r="AJ35" s="924"/>
      <c r="AK35" s="924"/>
      <c r="AL35" s="924"/>
      <c r="AM35" s="924"/>
      <c r="AN35" s="926"/>
      <c r="AO35" s="926"/>
      <c r="AP35" s="1588"/>
      <c r="AQ35" s="925"/>
      <c r="AR35" s="925"/>
      <c r="AS35" s="926"/>
      <c r="AT35" s="926"/>
      <c r="AU35" s="926"/>
      <c r="AV35" s="926"/>
      <c r="AW35" s="926"/>
      <c r="AX35" s="926"/>
      <c r="AY35" s="926"/>
      <c r="AZ35" s="926"/>
      <c r="BA35" s="924"/>
      <c r="BB35" s="525"/>
      <c r="BC35" s="972"/>
      <c r="BD35" s="972"/>
      <c r="BE35" s="1203"/>
      <c r="BF35" s="1204"/>
      <c r="BG35" s="1204"/>
      <c r="BH35" s="1103"/>
      <c r="BI35" s="1104"/>
      <c r="BJ35" s="1104"/>
      <c r="BK35" s="1104"/>
      <c r="BL35" s="1104"/>
      <c r="BM35" s="925"/>
      <c r="BP35" s="2479" t="s">
        <v>2179</v>
      </c>
      <c r="BQ35" s="2479" t="s">
        <v>2176</v>
      </c>
      <c r="BR35" s="2479" t="s">
        <v>2177</v>
      </c>
      <c r="BS35" s="2479" t="s">
        <v>2178</v>
      </c>
    </row>
    <row r="36" spans="1:77" s="84" customFormat="1" ht="25.9" customHeight="1" x14ac:dyDescent="0.45">
      <c r="A36" s="2743"/>
      <c r="B36" s="2744"/>
      <c r="C36" s="1008"/>
      <c r="D36" s="1008" t="s">
        <v>1365</v>
      </c>
      <c r="E36" s="2351">
        <v>4</v>
      </c>
      <c r="F36" s="2371">
        <v>4</v>
      </c>
      <c r="G36" s="2577" t="s">
        <v>2087</v>
      </c>
      <c r="H36" s="2479"/>
      <c r="I36" s="1596" t="s">
        <v>2192</v>
      </c>
      <c r="J36" s="1596" t="s">
        <v>2193</v>
      </c>
      <c r="K36" s="1596" t="s">
        <v>2194</v>
      </c>
      <c r="L36" s="1596" t="s">
        <v>2195</v>
      </c>
      <c r="M36" s="2479"/>
      <c r="N36" s="2270">
        <v>1</v>
      </c>
      <c r="O36" s="2270">
        <v>4</v>
      </c>
      <c r="P36" s="2270">
        <v>1</v>
      </c>
      <c r="Q36" s="2270">
        <v>2</v>
      </c>
      <c r="R36" s="2270">
        <v>1</v>
      </c>
      <c r="S36" s="2270">
        <v>1</v>
      </c>
      <c r="T36" s="2270">
        <v>1</v>
      </c>
      <c r="U36" s="2270">
        <v>1</v>
      </c>
      <c r="V36" s="2270">
        <v>1</v>
      </c>
      <c r="W36" s="2270">
        <v>1</v>
      </c>
      <c r="X36" s="2270">
        <v>1</v>
      </c>
      <c r="Y36" s="2270">
        <v>1</v>
      </c>
      <c r="Z36" s="2270">
        <v>1</v>
      </c>
      <c r="AA36" s="2270">
        <v>1</v>
      </c>
      <c r="AB36" s="2269"/>
      <c r="AC36" s="2269"/>
      <c r="AD36" s="38"/>
      <c r="AE36" s="924"/>
      <c r="AF36" s="924"/>
      <c r="AG36" s="924"/>
      <c r="AH36" s="924"/>
      <c r="AI36" s="924"/>
      <c r="AJ36" s="924"/>
      <c r="AK36" s="924"/>
      <c r="AL36" s="924"/>
      <c r="AM36" s="924"/>
      <c r="AN36" s="926"/>
      <c r="AO36" s="926"/>
      <c r="AP36" s="1336"/>
      <c r="AQ36" s="926"/>
      <c r="AR36" s="977" t="s">
        <v>906</v>
      </c>
      <c r="AS36" s="925"/>
      <c r="AT36" s="925"/>
      <c r="AU36" s="925"/>
      <c r="AV36" s="925"/>
      <c r="AW36" s="925"/>
      <c r="AX36" s="925"/>
      <c r="AY36" s="925"/>
      <c r="AZ36" s="925"/>
      <c r="BA36" s="924"/>
      <c r="BB36" s="525"/>
      <c r="BC36" s="1342"/>
      <c r="BD36" s="939" t="s">
        <v>903</v>
      </c>
      <c r="BE36" s="928"/>
      <c r="BF36" s="928"/>
      <c r="BG36" s="927"/>
      <c r="BH36" s="928"/>
      <c r="BI36" s="947">
        <f ca="1">-(INDEX(INDIRECT(BI$33&amp;"!Year.Matrix"),MATCH("Subtotal.Supply",INDIRECT(BI$33&amp;"!Year.Modules"),0),MATCH("V.05",INDIRECT(BI$33&amp;"!Year.Vectors"),0))+INDEX(INDIRECT(BI$33&amp;"!Year.Matrix"),MATCH("Subtotal.Consumption",INDIRECT(BI$33&amp;"!Year.Modules"),0),MATCH("V.05",INDIRECT(BI$33&amp;"!Year.Vectors"),0)))</f>
        <v>426.21576409221666</v>
      </c>
      <c r="BJ36" s="947">
        <f ca="1">-(INDEX(INDIRECT(BJ$33&amp;"!Year.Matrix"),MATCH("Subtotal.Supply",INDIRECT(BJ$33&amp;"!Year.Modules"),0),MATCH("V.05",INDIRECT(BJ$33&amp;"!Year.Vectors"),0))+INDEX(INDIRECT(BJ$33&amp;"!Year.Matrix"),MATCH("Subtotal.Consumption",INDIRECT(BJ$33&amp;"!Year.Modules"),0),MATCH("V.05",INDIRECT(BJ$33&amp;"!Year.Vectors"),0)))</f>
        <v>602.03428222027173</v>
      </c>
      <c r="BK36" s="947">
        <f ca="1">-(INDEX(INDIRECT(BK$33&amp;"!Year.Matrix"),MATCH("Subtotal.Supply",INDIRECT(BK$33&amp;"!Year.Modules"),0),MATCH("V.05",INDIRECT(BK$33&amp;"!Year.Vectors"),0))+INDEX(INDIRECT(BK$33&amp;"!Year.Matrix"),MATCH("Subtotal.Consumption",INDIRECT(BK$33&amp;"!Year.Modules"),0),MATCH("V.05",INDIRECT(BK$33&amp;"!Year.Vectors"),0)))</f>
        <v>767.69800998239816</v>
      </c>
      <c r="BL36" s="947">
        <f ca="1">-(INDEX(INDIRECT(BL$33&amp;"!Year.Matrix"),MATCH("Subtotal.Supply",INDIRECT(BL$33&amp;"!Year.Modules"),0),MATCH("V.05",INDIRECT(BL$33&amp;"!Year.Vectors"),0))+INDEX(INDIRECT(BL$33&amp;"!Year.Matrix"),MATCH("Subtotal.Consumption",INDIRECT(BL$33&amp;"!Year.Modules"),0),MATCH("V.05",INDIRECT(BL$33&amp;"!Year.Vectors"),0)))</f>
        <v>1292.18715265321</v>
      </c>
      <c r="BM36" s="925"/>
      <c r="BP36" s="2479" t="s">
        <v>2192</v>
      </c>
      <c r="BQ36" s="2479" t="s">
        <v>2193</v>
      </c>
      <c r="BR36" s="2479" t="s">
        <v>2194</v>
      </c>
      <c r="BS36" s="2479" t="s">
        <v>2195</v>
      </c>
      <c r="BT36" s="202"/>
      <c r="BU36" s="202"/>
      <c r="BV36" s="202"/>
      <c r="BW36" s="202"/>
    </row>
    <row r="37" spans="1:77" s="84" customFormat="1" ht="22.9" customHeight="1" x14ac:dyDescent="0.35">
      <c r="A37" s="2743" t="s">
        <v>2596</v>
      </c>
      <c r="B37" s="2744" t="s">
        <v>2218</v>
      </c>
      <c r="C37" s="369" t="s">
        <v>388</v>
      </c>
      <c r="D37" s="369" t="s">
        <v>2218</v>
      </c>
      <c r="E37" s="2351"/>
      <c r="F37" s="2372"/>
      <c r="G37" s="2577"/>
      <c r="H37" s="2479"/>
      <c r="I37" s="1597"/>
      <c r="J37" s="1597"/>
      <c r="K37" s="1597"/>
      <c r="L37" s="1597"/>
      <c r="M37" s="2479"/>
      <c r="N37" s="2270">
        <v>1</v>
      </c>
      <c r="O37" s="2270">
        <v>4</v>
      </c>
      <c r="P37" s="2270">
        <v>1</v>
      </c>
      <c r="Q37" s="2270">
        <v>1</v>
      </c>
      <c r="R37" s="2270">
        <v>1</v>
      </c>
      <c r="S37" s="2270">
        <v>1</v>
      </c>
      <c r="T37" s="2270">
        <v>1</v>
      </c>
      <c r="U37" s="2270">
        <v>1</v>
      </c>
      <c r="V37" s="2270">
        <v>1</v>
      </c>
      <c r="W37" s="2270">
        <v>1</v>
      </c>
      <c r="X37" s="2270">
        <v>1</v>
      </c>
      <c r="Y37" s="2270">
        <v>1</v>
      </c>
      <c r="Z37" s="2270">
        <v>1</v>
      </c>
      <c r="AA37" s="2270">
        <v>1</v>
      </c>
      <c r="AB37" s="2269"/>
      <c r="AC37" s="2269"/>
      <c r="AD37" s="38"/>
      <c r="AE37" s="924"/>
      <c r="AF37" s="924"/>
      <c r="AG37" s="924"/>
      <c r="AH37" s="924"/>
      <c r="AI37" s="924"/>
      <c r="AJ37" s="924"/>
      <c r="AK37" s="924"/>
      <c r="AL37" s="924"/>
      <c r="AM37" s="924"/>
      <c r="AN37" s="926"/>
      <c r="AO37" s="926"/>
      <c r="AP37" s="1336"/>
      <c r="AQ37" s="1339"/>
      <c r="AR37" s="1339"/>
      <c r="AS37" s="1339"/>
      <c r="AT37" s="1339"/>
      <c r="AU37" s="1339"/>
      <c r="AV37" s="1339"/>
      <c r="AW37" s="1339"/>
      <c r="AX37" s="1339"/>
      <c r="AY37" s="1339"/>
      <c r="AZ37" s="1339"/>
      <c r="BA37" s="924"/>
      <c r="BB37" s="525"/>
      <c r="BC37" s="1343"/>
      <c r="BD37" s="1343" t="s">
        <v>224</v>
      </c>
      <c r="BE37" s="1348" t="s">
        <v>1172</v>
      </c>
      <c r="BF37" s="900"/>
      <c r="BG37" s="900"/>
      <c r="BH37" s="900"/>
      <c r="BI37" s="1349">
        <f ca="1">INDEX(INDIRECT(BI$33&amp;"!Year.Matrix"),MATCH($BD37,INDIRECT(BI$33&amp;"!Year.Modules"),0),MATCH("V.05",INDIRECT(BI$33&amp;"!Year.Vectors"),0))/BI$36</f>
        <v>0.88387252260668037</v>
      </c>
      <c r="BJ37" s="1349">
        <f ca="1">INDEX(INDIRECT(BJ$33&amp;"!Year.Matrix"),MATCH($BD37,INDIRECT(BJ$33&amp;"!Year.Modules"),0),MATCH("V.05",INDIRECT(BJ$33&amp;"!Year.Vectors"),0))/BJ$36</f>
        <v>0.82192889462341523</v>
      </c>
      <c r="BK37" s="1349">
        <f ca="1">INDEX(INDIRECT(BK$33&amp;"!Year.Matrix"),MATCH($BD37,INDIRECT(BK$33&amp;"!Year.Modules"),0),MATCH("V.05",INDIRECT(BK$33&amp;"!Year.Vectors"),0))/BK$36</f>
        <v>0.87664119884457969</v>
      </c>
      <c r="BL37" s="1349">
        <f ca="1">INDEX(INDIRECT(BL$33&amp;"!Year.Matrix"),MATCH($BD37,INDIRECT(BL$33&amp;"!Year.Modules"),0),MATCH("V.05",INDIRECT(BL$33&amp;"!Year.Vectors"),0))/BL$36</f>
        <v>0.71358685128126675</v>
      </c>
      <c r="BM37" s="925"/>
      <c r="BP37" s="2479"/>
      <c r="BQ37" s="2479"/>
      <c r="BR37" s="2479"/>
      <c r="BS37" s="2479"/>
      <c r="BT37" s="202"/>
      <c r="BU37" s="202"/>
      <c r="BV37" s="202"/>
      <c r="BW37" s="202"/>
      <c r="BX37" s="202"/>
      <c r="BY37" s="202"/>
    </row>
    <row r="38" spans="1:77" s="202" customFormat="1" ht="25.9" customHeight="1" x14ac:dyDescent="0.2">
      <c r="A38" s="2743"/>
      <c r="B38" s="2744"/>
      <c r="C38" s="1007"/>
      <c r="D38" s="1008" t="s">
        <v>2219</v>
      </c>
      <c r="E38" s="2351">
        <v>4</v>
      </c>
      <c r="F38" s="2371">
        <v>4</v>
      </c>
      <c r="G38" s="2577" t="s">
        <v>2560</v>
      </c>
      <c r="H38" s="2479"/>
      <c r="I38" s="1596" t="s">
        <v>2251</v>
      </c>
      <c r="J38" s="1596" t="s">
        <v>2252</v>
      </c>
      <c r="K38" s="1596" t="s">
        <v>2253</v>
      </c>
      <c r="L38" s="1596" t="s">
        <v>2254</v>
      </c>
      <c r="M38" s="2479"/>
      <c r="N38" s="2270">
        <v>1</v>
      </c>
      <c r="O38" s="2270">
        <v>4</v>
      </c>
      <c r="P38" s="2270">
        <v>1</v>
      </c>
      <c r="Q38" s="2270">
        <v>2</v>
      </c>
      <c r="R38" s="2270">
        <v>1</v>
      </c>
      <c r="S38" s="2270">
        <v>1</v>
      </c>
      <c r="T38" s="2270">
        <v>1</v>
      </c>
      <c r="U38" s="2270">
        <v>1</v>
      </c>
      <c r="V38" s="2270">
        <v>1</v>
      </c>
      <c r="W38" s="2270">
        <v>1</v>
      </c>
      <c r="X38" s="2270">
        <v>1</v>
      </c>
      <c r="Y38" s="2270">
        <v>1</v>
      </c>
      <c r="Z38" s="2270">
        <v>1</v>
      </c>
      <c r="AA38" s="2270">
        <v>1</v>
      </c>
      <c r="AB38" s="2269"/>
      <c r="AC38" s="2269"/>
      <c r="AD38"/>
      <c r="AE38" s="924"/>
      <c r="AF38" s="924"/>
      <c r="AG38" s="924"/>
      <c r="AH38" s="924"/>
      <c r="AI38" s="924"/>
      <c r="AJ38" s="924"/>
      <c r="AK38" s="924"/>
      <c r="AL38" s="924"/>
      <c r="AM38" s="924"/>
      <c r="AN38" s="925"/>
      <c r="AO38" s="925"/>
      <c r="AP38" s="1336"/>
      <c r="AQ38" s="1203"/>
      <c r="AR38" s="929" t="s">
        <v>117</v>
      </c>
      <c r="AS38" s="929"/>
      <c r="AT38" s="890"/>
      <c r="AU38" s="890"/>
      <c r="AV38" s="890"/>
      <c r="AW38" s="951">
        <v>2010</v>
      </c>
      <c r="AX38" s="951">
        <v>2050</v>
      </c>
      <c r="AY38" s="1113" t="s">
        <v>1181</v>
      </c>
      <c r="AZ38" s="1113"/>
      <c r="BA38" s="924"/>
      <c r="BB38" s="525"/>
      <c r="BC38" s="971"/>
      <c r="BD38" s="971" t="s">
        <v>341</v>
      </c>
      <c r="BE38" s="972" t="s">
        <v>905</v>
      </c>
      <c r="BF38" s="818"/>
      <c r="BG38" s="818"/>
      <c r="BH38" s="818"/>
      <c r="BI38" s="973">
        <f t="shared" ref="BI38:BL42" ca="1" si="1">-INDEX(INDIRECT(BI$33&amp;"!Year.Matrix"),MATCH($BD38,INDIRECT(BI$33&amp;"!Year.Modules"),0),MATCH("V.05",INDIRECT(BI$33&amp;"!Year.Vectors"),0))/BI$36</f>
        <v>0</v>
      </c>
      <c r="BJ38" s="973">
        <f t="shared" ca="1" si="1"/>
        <v>0</v>
      </c>
      <c r="BK38" s="973">
        <f t="shared" ca="1" si="1"/>
        <v>0</v>
      </c>
      <c r="BL38" s="973">
        <f t="shared" ca="1" si="1"/>
        <v>0</v>
      </c>
      <c r="BM38" s="925"/>
      <c r="BP38" s="2479" t="s">
        <v>2251</v>
      </c>
      <c r="BQ38" s="2479" t="s">
        <v>2252</v>
      </c>
      <c r="BR38" s="2479" t="s">
        <v>2253</v>
      </c>
      <c r="BS38" s="2479" t="s">
        <v>2254</v>
      </c>
    </row>
    <row r="39" spans="1:77" s="202" customFormat="1" ht="15.75" x14ac:dyDescent="0.2">
      <c r="A39" s="2743"/>
      <c r="B39" s="2744"/>
      <c r="C39" s="1007"/>
      <c r="D39" s="2413" t="s">
        <v>2231</v>
      </c>
      <c r="E39" s="2351">
        <v>4</v>
      </c>
      <c r="F39" s="2371">
        <v>4</v>
      </c>
      <c r="G39" s="2577" t="s">
        <v>2561</v>
      </c>
      <c r="H39" s="2479"/>
      <c r="I39" s="1596" t="s">
        <v>2196</v>
      </c>
      <c r="J39" s="1596" t="s">
        <v>2255</v>
      </c>
      <c r="K39" s="1596" t="s">
        <v>2256</v>
      </c>
      <c r="L39" s="1596" t="s">
        <v>2257</v>
      </c>
      <c r="M39" s="2479"/>
      <c r="N39" s="2270">
        <v>1</v>
      </c>
      <c r="O39" s="2270">
        <v>4</v>
      </c>
      <c r="P39" s="2270">
        <v>1</v>
      </c>
      <c r="Q39" s="2270">
        <v>1</v>
      </c>
      <c r="R39" s="2270">
        <v>1</v>
      </c>
      <c r="S39" s="2270">
        <v>1</v>
      </c>
      <c r="T39" s="2270">
        <v>1</v>
      </c>
      <c r="U39" s="2270">
        <v>1</v>
      </c>
      <c r="V39" s="2270">
        <v>1</v>
      </c>
      <c r="W39" s="2270">
        <v>1</v>
      </c>
      <c r="X39" s="2270">
        <v>1</v>
      </c>
      <c r="Y39" s="2270">
        <v>1</v>
      </c>
      <c r="Z39" s="2270">
        <v>1</v>
      </c>
      <c r="AA39" s="2270">
        <v>1</v>
      </c>
      <c r="AB39" s="2269"/>
      <c r="AC39" s="2269"/>
      <c r="AD39"/>
      <c r="AE39" s="924"/>
      <c r="AF39" s="924"/>
      <c r="AG39" s="924"/>
      <c r="AH39" s="924"/>
      <c r="AI39" s="924"/>
      <c r="AJ39" s="924"/>
      <c r="AK39" s="924"/>
      <c r="AL39" s="924"/>
      <c r="AM39" s="924"/>
      <c r="AN39" s="925"/>
      <c r="AO39" s="925"/>
      <c r="AP39" s="1336"/>
      <c r="AQ39" s="971"/>
      <c r="AR39" s="930" t="s">
        <v>60</v>
      </c>
      <c r="AS39" s="928" t="str">
        <f>INDEX(Workstreams[Workstream], MATCH($AR39, Workstreams[Code], 0))</f>
        <v>Hydrocarbon fuel power generation</v>
      </c>
      <c r="AT39" s="925"/>
      <c r="AU39" s="927"/>
      <c r="AV39" s="928"/>
      <c r="AW39" s="1111">
        <f t="shared" ref="AW39:AX45" ca="1" si="2">SUMIFS(INDIRECT("'"&amp;AW$38&amp;"'!Year.EmissionsBySector"), INDIRECT("'"&amp;AW$38&amp;"'!Year.Modules"),$AR39)</f>
        <v>10.773783422309908</v>
      </c>
      <c r="AX39" s="1111">
        <f t="shared" ca="1" si="2"/>
        <v>576.93127599111767</v>
      </c>
      <c r="AY39" s="1114">
        <f ca="1">AX39*'Intermediate output'!$AX$143/'Intermediate output'!$E$188</f>
        <v>0.72153733723423175</v>
      </c>
      <c r="AZ39" s="924"/>
      <c r="BA39" s="924"/>
      <c r="BB39" s="525"/>
      <c r="BC39" s="971"/>
      <c r="BD39" s="971" t="s">
        <v>388</v>
      </c>
      <c r="BE39" s="972" t="s">
        <v>904</v>
      </c>
      <c r="BF39" s="818"/>
      <c r="BG39" s="818"/>
      <c r="BH39" s="818"/>
      <c r="BI39" s="973">
        <f t="shared" ca="1" si="1"/>
        <v>0</v>
      </c>
      <c r="BJ39" s="973">
        <f t="shared" ca="1" si="1"/>
        <v>0</v>
      </c>
      <c r="BK39" s="973">
        <f t="shared" ca="1" si="1"/>
        <v>0</v>
      </c>
      <c r="BL39" s="973">
        <f t="shared" ca="1" si="1"/>
        <v>0</v>
      </c>
      <c r="BM39" s="925"/>
      <c r="BP39" s="2479" t="s">
        <v>2196</v>
      </c>
      <c r="BQ39" s="2479" t="s">
        <v>2255</v>
      </c>
      <c r="BR39" s="2479" t="s">
        <v>2256</v>
      </c>
      <c r="BS39" s="2479" t="s">
        <v>2257</v>
      </c>
    </row>
    <row r="40" spans="1:77" s="202" customFormat="1" ht="25.9" customHeight="1" x14ac:dyDescent="0.2">
      <c r="A40" s="2743"/>
      <c r="B40" s="2744" t="s">
        <v>2223</v>
      </c>
      <c r="C40" s="369" t="s">
        <v>393</v>
      </c>
      <c r="D40" s="2424" t="s">
        <v>2221</v>
      </c>
      <c r="E40" s="2351"/>
      <c r="F40" s="2372"/>
      <c r="G40" s="2577"/>
      <c r="H40" s="2479"/>
      <c r="I40" s="2372"/>
      <c r="J40" s="2372"/>
      <c r="K40" s="2372"/>
      <c r="L40" s="1597"/>
      <c r="M40" s="1597"/>
      <c r="N40" s="1597"/>
      <c r="O40" s="1597"/>
      <c r="P40" s="1597"/>
      <c r="Q40" s="1597"/>
      <c r="R40" s="1597"/>
      <c r="S40" s="1597"/>
      <c r="T40" s="1597"/>
      <c r="U40" s="1597"/>
      <c r="V40" s="1597"/>
      <c r="W40" s="1597"/>
      <c r="X40" s="1597"/>
      <c r="Y40" s="1597"/>
      <c r="Z40" s="1597"/>
      <c r="AA40" s="1597"/>
      <c r="AB40" s="1597"/>
      <c r="AC40" s="1597"/>
      <c r="AD40"/>
      <c r="AE40" s="924"/>
      <c r="AF40" s="924"/>
      <c r="AG40" s="924"/>
      <c r="AH40" s="924"/>
      <c r="AI40" s="924"/>
      <c r="AJ40" s="924"/>
      <c r="AK40" s="924"/>
      <c r="AL40" s="924"/>
      <c r="AM40" s="924"/>
      <c r="AN40" s="925"/>
      <c r="AO40" s="925"/>
      <c r="AP40" s="1336"/>
      <c r="AQ40" s="971"/>
      <c r="AR40" s="930" t="s">
        <v>224</v>
      </c>
      <c r="AS40" s="928" t="str">
        <f>INDEX(Workstreams[Workstream], MATCH($AR40, Workstreams[Code], 0))</f>
        <v>Bioenergy</v>
      </c>
      <c r="AT40" s="925"/>
      <c r="AU40" s="927"/>
      <c r="AV40" s="928"/>
      <c r="AW40" s="1111">
        <f t="shared" ca="1" si="2"/>
        <v>-69.984746261924187</v>
      </c>
      <c r="AX40" s="1111">
        <f t="shared" ca="1" si="2"/>
        <v>-171.74017579723738</v>
      </c>
      <c r="AY40" s="1114">
        <f ca="1">AX40*'Intermediate output'!$AX$143/'Intermediate output'!$E$188</f>
        <v>-0.21478632602817205</v>
      </c>
      <c r="AZ40" s="924"/>
      <c r="BA40" s="924"/>
      <c r="BB40" s="525"/>
      <c r="BC40" s="971"/>
      <c r="BD40" s="971" t="s">
        <v>231</v>
      </c>
      <c r="BE40" s="972" t="s">
        <v>1252</v>
      </c>
      <c r="BF40" s="818"/>
      <c r="BG40" s="818"/>
      <c r="BH40" s="818"/>
      <c r="BI40" s="973">
        <f t="shared" ca="1" si="1"/>
        <v>4.555793117419342E-2</v>
      </c>
      <c r="BJ40" s="973">
        <f t="shared" ca="1" si="1"/>
        <v>5.2317469385101366E-2</v>
      </c>
      <c r="BK40" s="973">
        <f t="shared" ca="1" si="1"/>
        <v>6.3516365504333538E-2</v>
      </c>
      <c r="BL40" s="973">
        <f t="shared" ca="1" si="1"/>
        <v>7.3274352526189399E-2</v>
      </c>
      <c r="BM40" s="925"/>
      <c r="BP40" s="2479"/>
      <c r="BQ40" s="2479"/>
      <c r="BR40" s="2479"/>
      <c r="BS40" s="2479"/>
    </row>
    <row r="41" spans="1:77" s="202" customFormat="1" ht="40.5" customHeight="1" x14ac:dyDescent="0.2">
      <c r="A41" s="2743"/>
      <c r="B41" s="2744"/>
      <c r="C41" s="1008"/>
      <c r="D41" s="1008" t="s">
        <v>2222</v>
      </c>
      <c r="E41" s="2351">
        <v>4</v>
      </c>
      <c r="F41" s="2371">
        <v>4</v>
      </c>
      <c r="G41" s="2577" t="s">
        <v>2562</v>
      </c>
      <c r="H41" s="2479"/>
      <c r="I41" s="1596" t="s">
        <v>2212</v>
      </c>
      <c r="J41" s="1596" t="s">
        <v>2213</v>
      </c>
      <c r="K41" s="1596" t="s">
        <v>2214</v>
      </c>
      <c r="L41" s="1596" t="s">
        <v>2215</v>
      </c>
      <c r="M41" s="1597"/>
      <c r="N41" s="2270">
        <v>1</v>
      </c>
      <c r="O41" s="2269">
        <v>4</v>
      </c>
      <c r="P41" s="2269">
        <v>1</v>
      </c>
      <c r="Q41" s="2269">
        <v>4</v>
      </c>
      <c r="R41" s="2269">
        <v>4</v>
      </c>
      <c r="S41" s="2269">
        <v>2</v>
      </c>
      <c r="T41" s="2269">
        <v>3</v>
      </c>
      <c r="U41" s="2269">
        <v>4</v>
      </c>
      <c r="V41" s="2345">
        <v>4</v>
      </c>
      <c r="W41" s="2269">
        <v>4</v>
      </c>
      <c r="X41" s="2269">
        <v>4</v>
      </c>
      <c r="Y41" s="2269">
        <v>3</v>
      </c>
      <c r="Z41" s="2269">
        <v>4</v>
      </c>
      <c r="AA41" s="2269">
        <v>1</v>
      </c>
      <c r="AB41" s="2269"/>
      <c r="AC41" s="2269"/>
      <c r="AD41"/>
      <c r="AE41" s="924"/>
      <c r="AF41" s="924"/>
      <c r="AG41" s="924"/>
      <c r="AH41" s="924"/>
      <c r="AI41" s="924"/>
      <c r="AJ41" s="924"/>
      <c r="AK41" s="924"/>
      <c r="AL41" s="924"/>
      <c r="AM41" s="924"/>
      <c r="AN41" s="925"/>
      <c r="AO41" s="925"/>
      <c r="AP41" s="1336"/>
      <c r="AQ41" s="971"/>
      <c r="AR41" s="930" t="s">
        <v>228</v>
      </c>
      <c r="AS41" s="928" t="str">
        <f>INDEX(Workstreams[Workstream], MATCH($AR41, Workstreams[Code], 0))</f>
        <v>Geosequestration</v>
      </c>
      <c r="AT41" s="925"/>
      <c r="AU41" s="927"/>
      <c r="AV41" s="928"/>
      <c r="AW41" s="1111">
        <f t="shared" ca="1" si="2"/>
        <v>0</v>
      </c>
      <c r="AX41" s="1111">
        <f t="shared" ca="1" si="2"/>
        <v>0</v>
      </c>
      <c r="AY41" s="1114">
        <f ca="1">AX41*'Intermediate output'!$AX$143/'Intermediate output'!$E$188</f>
        <v>0</v>
      </c>
      <c r="AZ41" s="924"/>
      <c r="BA41" s="924"/>
      <c r="BB41" s="525"/>
      <c r="BC41" s="971"/>
      <c r="BD41" s="971" t="s">
        <v>288</v>
      </c>
      <c r="BE41" s="972" t="s">
        <v>1253</v>
      </c>
      <c r="BF41" s="818"/>
      <c r="BG41" s="818"/>
      <c r="BH41" s="818"/>
      <c r="BI41" s="973">
        <f t="shared" ca="1" si="1"/>
        <v>9.0700680868377917E-2</v>
      </c>
      <c r="BJ41" s="973">
        <f t="shared" ca="1" si="1"/>
        <v>0.41374183158038891</v>
      </c>
      <c r="BK41" s="973">
        <f t="shared" ca="1" si="1"/>
        <v>0.57724550804835428</v>
      </c>
      <c r="BL41" s="973">
        <f t="shared" ca="1" si="1"/>
        <v>0.80336487564398407</v>
      </c>
      <c r="BM41" s="925"/>
      <c r="BP41" s="2479" t="s">
        <v>2212</v>
      </c>
      <c r="BQ41" s="2479" t="s">
        <v>2213</v>
      </c>
      <c r="BR41" s="2479" t="s">
        <v>2214</v>
      </c>
      <c r="BS41" s="2479" t="s">
        <v>2215</v>
      </c>
      <c r="BT41" s="2423"/>
      <c r="BU41" s="2423"/>
    </row>
    <row r="42" spans="1:77" s="202" customFormat="1" ht="31.5" customHeight="1" x14ac:dyDescent="0.2">
      <c r="A42" s="2743"/>
      <c r="B42" s="2744"/>
      <c r="C42" s="1008"/>
      <c r="D42" s="1008" t="s">
        <v>2200</v>
      </c>
      <c r="E42" s="2351">
        <v>4</v>
      </c>
      <c r="F42" s="2371">
        <v>4</v>
      </c>
      <c r="G42" s="2577" t="s">
        <v>2563</v>
      </c>
      <c r="H42" s="1257"/>
      <c r="I42" s="1596" t="s">
        <v>2201</v>
      </c>
      <c r="J42" s="1596" t="s">
        <v>2202</v>
      </c>
      <c r="K42" s="1596" t="s">
        <v>2203</v>
      </c>
      <c r="L42" s="1596" t="s">
        <v>2204</v>
      </c>
      <c r="M42" s="2479"/>
      <c r="N42" s="2270">
        <v>1</v>
      </c>
      <c r="O42" s="2269">
        <v>4</v>
      </c>
      <c r="P42" s="2269">
        <v>1</v>
      </c>
      <c r="Q42" s="2269">
        <v>2</v>
      </c>
      <c r="R42" s="2269">
        <v>2</v>
      </c>
      <c r="S42" s="2269">
        <v>2</v>
      </c>
      <c r="T42" s="2269">
        <v>1</v>
      </c>
      <c r="U42" s="2269">
        <v>1</v>
      </c>
      <c r="V42" s="2345">
        <v>2</v>
      </c>
      <c r="W42" s="2269">
        <v>1</v>
      </c>
      <c r="X42" s="2269">
        <v>2</v>
      </c>
      <c r="Y42" s="2269">
        <v>2</v>
      </c>
      <c r="Z42" s="2269">
        <v>2</v>
      </c>
      <c r="AA42" s="2269">
        <v>1</v>
      </c>
      <c r="AB42" s="2269"/>
      <c r="AC42" s="2269"/>
      <c r="AD42" s="38"/>
      <c r="AE42" s="924"/>
      <c r="AF42" s="924"/>
      <c r="AG42" s="924"/>
      <c r="AH42" s="924"/>
      <c r="AI42" s="924"/>
      <c r="AJ42" s="924"/>
      <c r="AK42" s="924"/>
      <c r="AL42" s="924"/>
      <c r="AM42" s="924"/>
      <c r="AN42" s="925"/>
      <c r="AO42" s="925"/>
      <c r="AP42" s="1336"/>
      <c r="AQ42" s="971"/>
      <c r="AR42" s="930" t="s">
        <v>225</v>
      </c>
      <c r="AS42" s="928" t="str">
        <f>INDEX(Workstreams[Workstream], MATCH($AR42, Workstreams[Code], 0))</f>
        <v>Agriculture &amp; waste</v>
      </c>
      <c r="AT42" s="925"/>
      <c r="AU42" s="927"/>
      <c r="AV42" s="928"/>
      <c r="AW42" s="1111">
        <f t="shared" ca="1" si="2"/>
        <v>38.985057330980375</v>
      </c>
      <c r="AX42" s="1111">
        <f t="shared" ca="1" si="2"/>
        <v>21.843078406880405</v>
      </c>
      <c r="AY42" s="1114">
        <f ca="1">AX42*'Intermediate output'!$AX$143/'Intermediate output'!$E$188</f>
        <v>2.7317979257795826E-2</v>
      </c>
      <c r="AZ42" s="924"/>
      <c r="BA42" s="924"/>
      <c r="BB42" s="525"/>
      <c r="BC42" s="971"/>
      <c r="BD42" s="971" t="s">
        <v>352</v>
      </c>
      <c r="BE42" s="972" t="s">
        <v>1254</v>
      </c>
      <c r="BF42" s="818"/>
      <c r="BG42" s="818"/>
      <c r="BH42" s="818"/>
      <c r="BI42" s="973">
        <f t="shared" ca="1" si="1"/>
        <v>0</v>
      </c>
      <c r="BJ42" s="973">
        <f t="shared" ca="1" si="1"/>
        <v>0</v>
      </c>
      <c r="BK42" s="973">
        <f t="shared" ca="1" si="1"/>
        <v>0</v>
      </c>
      <c r="BL42" s="973">
        <f t="shared" ca="1" si="1"/>
        <v>0</v>
      </c>
      <c r="BM42" s="925"/>
      <c r="BP42" s="2479" t="s">
        <v>2201</v>
      </c>
      <c r="BQ42" s="2479" t="s">
        <v>2202</v>
      </c>
      <c r="BR42" s="2479" t="s">
        <v>2203</v>
      </c>
      <c r="BS42" s="2479" t="s">
        <v>2204</v>
      </c>
    </row>
    <row r="43" spans="1:77" s="202" customFormat="1" ht="15.75" x14ac:dyDescent="0.2">
      <c r="A43" s="1601" t="s">
        <v>404</v>
      </c>
      <c r="B43" s="1602"/>
      <c r="C43" s="1257"/>
      <c r="D43" s="1257"/>
      <c r="E43" s="2352">
        <v>0</v>
      </c>
      <c r="F43" s="2373"/>
      <c r="G43" s="2373"/>
      <c r="H43" s="2479"/>
      <c r="I43" s="1276"/>
      <c r="J43" s="1276"/>
      <c r="K43" s="1276"/>
      <c r="L43" s="1276"/>
      <c r="M43" s="1257"/>
      <c r="N43" s="2346"/>
      <c r="O43" s="2347"/>
      <c r="P43" s="2347"/>
      <c r="Q43" s="2347"/>
      <c r="R43" s="2347"/>
      <c r="S43" s="2347"/>
      <c r="T43" s="2347"/>
      <c r="U43" s="2348"/>
      <c r="V43" s="2349"/>
      <c r="W43" s="2348"/>
      <c r="X43" s="2348"/>
      <c r="Y43" s="2348"/>
      <c r="Z43" s="2348"/>
      <c r="AA43" s="2348"/>
      <c r="AB43" s="2348"/>
      <c r="AC43" s="2348"/>
      <c r="AD43" s="2414"/>
      <c r="AE43" s="2415"/>
      <c r="AF43" s="2415"/>
      <c r="AG43" s="2415"/>
      <c r="AH43" s="2415"/>
      <c r="AI43" s="2415"/>
      <c r="AJ43" s="2415"/>
      <c r="AK43" s="2415"/>
      <c r="AL43" s="2415"/>
      <c r="AM43" s="2415"/>
      <c r="AN43" s="2416"/>
      <c r="AO43" s="2416"/>
      <c r="AP43" s="2414"/>
      <c r="AQ43" s="2417"/>
      <c r="AR43" s="2425" t="s">
        <v>229</v>
      </c>
      <c r="AS43" s="2426" t="str">
        <f>INDEX(Workstreams[Workstream], MATCH($AR43, Workstreams[Code], 0))</f>
        <v>Cooling</v>
      </c>
      <c r="AT43" s="2416"/>
      <c r="AU43" s="2419"/>
      <c r="AV43" s="2418"/>
      <c r="AW43" s="2419">
        <f t="shared" ca="1" si="2"/>
        <v>0</v>
      </c>
      <c r="AX43" s="2419">
        <f t="shared" ca="1" si="2"/>
        <v>0</v>
      </c>
      <c r="AY43" s="1114">
        <f ca="1">AX43*'Intermediate output'!$AX$143/'Intermediate output'!$E$188</f>
        <v>0</v>
      </c>
      <c r="AZ43" s="2415"/>
      <c r="BA43" s="2415"/>
      <c r="BB43" s="2420"/>
      <c r="BC43" s="2421"/>
      <c r="BD43" s="2422"/>
      <c r="BE43" s="2422"/>
      <c r="BF43" s="2422"/>
      <c r="BG43" s="2422"/>
      <c r="BH43" s="2422"/>
      <c r="BI43" s="2422"/>
      <c r="BJ43" s="2422"/>
      <c r="BK43" s="2422"/>
      <c r="BL43" s="2422"/>
      <c r="BM43" s="2416"/>
      <c r="BN43" s="2423"/>
      <c r="BO43" s="2423"/>
      <c r="BP43" s="2479"/>
      <c r="BQ43" s="2479"/>
      <c r="BR43" s="2479"/>
      <c r="BS43" s="2479"/>
      <c r="BT43" s="84"/>
      <c r="BU43" s="84"/>
      <c r="BV43" s="84"/>
      <c r="BW43" s="84"/>
    </row>
    <row r="44" spans="1:77" s="202" customFormat="1" ht="30" customHeight="1" x14ac:dyDescent="0.2">
      <c r="A44" s="2742" t="s">
        <v>2150</v>
      </c>
      <c r="B44" s="2742"/>
      <c r="C44" s="2354" t="s">
        <v>415</v>
      </c>
      <c r="D44" s="2354" t="s">
        <v>2434</v>
      </c>
      <c r="E44" s="2351">
        <v>3</v>
      </c>
      <c r="F44" s="2372">
        <v>3</v>
      </c>
      <c r="G44" s="2577" t="s">
        <v>2088</v>
      </c>
      <c r="H44" s="2479"/>
      <c r="I44" s="1596" t="s">
        <v>2498</v>
      </c>
      <c r="J44" s="1596" t="s">
        <v>2499</v>
      </c>
      <c r="K44" s="1596" t="s">
        <v>2500</v>
      </c>
      <c r="L44" s="1596"/>
      <c r="M44" s="84"/>
      <c r="N44" s="2270">
        <v>1</v>
      </c>
      <c r="O44" s="2269">
        <v>3</v>
      </c>
      <c r="P44" s="2269">
        <v>1</v>
      </c>
      <c r="Q44" s="2269">
        <v>1</v>
      </c>
      <c r="R44" s="2269">
        <v>1</v>
      </c>
      <c r="S44" s="2269">
        <v>1</v>
      </c>
      <c r="T44" s="2269">
        <v>1</v>
      </c>
      <c r="U44" s="2269">
        <v>1</v>
      </c>
      <c r="V44" s="2345">
        <v>1</v>
      </c>
      <c r="W44" s="2269">
        <v>1</v>
      </c>
      <c r="X44" s="2269">
        <v>1</v>
      </c>
      <c r="Y44" s="2269">
        <v>1</v>
      </c>
      <c r="Z44" s="2269">
        <v>1</v>
      </c>
      <c r="AA44" s="2269">
        <v>1</v>
      </c>
      <c r="AB44" s="2269"/>
      <c r="AC44" s="2269"/>
      <c r="AD44"/>
      <c r="AE44" s="924"/>
      <c r="AF44" s="924"/>
      <c r="AG44" s="924"/>
      <c r="AH44" s="924"/>
      <c r="AI44" s="924"/>
      <c r="AJ44" s="924"/>
      <c r="AK44" s="924"/>
      <c r="AL44" s="924"/>
      <c r="AM44" s="924"/>
      <c r="AN44" s="925"/>
      <c r="AO44" s="925"/>
      <c r="AP44" s="1336"/>
      <c r="AQ44" s="971"/>
      <c r="AR44" s="930" t="s">
        <v>230</v>
      </c>
      <c r="AS44" s="928" t="str">
        <f>INDEX(Workstreams[Workstream], MATCH($AR44, Workstreams[Code], 0))</f>
        <v>Lighting, Appliances &amp; Cooking</v>
      </c>
      <c r="AT44" s="925"/>
      <c r="AU44" s="927"/>
      <c r="AV44" s="928"/>
      <c r="AW44" s="1111">
        <f t="shared" ca="1" si="2"/>
        <v>27.207746225959674</v>
      </c>
      <c r="AX44" s="1111">
        <f t="shared" ca="1" si="2"/>
        <v>58.636525614908081</v>
      </c>
      <c r="AY44" s="1114">
        <f ca="1">AX44*'Intermediate output'!$AX$143/'Intermediate output'!$E$188</f>
        <v>7.3333591568883791E-2</v>
      </c>
      <c r="AZ44" s="924"/>
      <c r="BA44" s="924"/>
      <c r="BB44" s="525"/>
      <c r="BC44" s="1342"/>
      <c r="BD44" s="939" t="s">
        <v>881</v>
      </c>
      <c r="BE44" s="928"/>
      <c r="BF44" s="928"/>
      <c r="BG44" s="927"/>
      <c r="BH44" s="928"/>
      <c r="BI44" s="947">
        <f ca="1">-(INDEX(INDIRECT(BI$33&amp;"!Year.Matrix"),MATCH("Subtotal.Supply",INDIRECT(BI$33&amp;"!Year.Modules"),0),MATCH("V.04",INDIRECT(BI$33&amp;"!Year.Vectors"),0))+INDEX(INDIRECT(BI$33&amp;"!Year.Matrix"),MATCH("Subtotal.Consumption",INDIRECT(BI$33&amp;"!Year.Modules"),0),MATCH("V.04",INDIRECT(BI$33&amp;"!Year.Vectors"),0)))</f>
        <v>303.91749505847918</v>
      </c>
      <c r="BJ44" s="947">
        <f ca="1">-(INDEX(INDIRECT(BJ$33&amp;"!Year.Matrix"),MATCH("Subtotal.Supply",INDIRECT(BJ$33&amp;"!Year.Modules"),0),MATCH("V.04",INDIRECT(BJ$33&amp;"!Year.Vectors"),0))+INDEX(INDIRECT(BJ$33&amp;"!Year.Matrix"),MATCH("Subtotal.Consumption",INDIRECT(BJ$33&amp;"!Year.Modules"),0),MATCH("V.04",INDIRECT(BJ$33&amp;"!Year.Vectors"),0)))</f>
        <v>224.89080078518401</v>
      </c>
      <c r="BK44" s="947">
        <f ca="1">-(INDEX(INDIRECT(BK$33&amp;"!Year.Matrix"),MATCH("Subtotal.Supply",INDIRECT(BK$33&amp;"!Year.Modules"),0),MATCH("V.04",INDIRECT(BK$33&amp;"!Year.Vectors"),0))+INDEX(INDIRECT(BK$33&amp;"!Year.Matrix"),MATCH("Subtotal.Consumption",INDIRECT(BK$33&amp;"!Year.Modules"),0),MATCH("V.04",INDIRECT(BK$33&amp;"!Year.Vectors"),0)))</f>
        <v>195.55535526588415</v>
      </c>
      <c r="BL44" s="947">
        <f ca="1">-(INDEX(INDIRECT(BL$33&amp;"!Year.Matrix"),MATCH("Subtotal.Supply",INDIRECT(BL$33&amp;"!Year.Modules"),0),MATCH("V.04",INDIRECT(BL$33&amp;"!Year.Vectors"),0))+INDEX(INDIRECT(BL$33&amp;"!Year.Matrix"),MATCH("Subtotal.Consumption",INDIRECT(BL$33&amp;"!Year.Modules"),0),MATCH("V.04",INDIRECT(BL$33&amp;"!Year.Vectors"),0)))</f>
        <v>200.0606200439783</v>
      </c>
      <c r="BM44" s="926"/>
      <c r="BP44" s="1596" t="s">
        <v>2498</v>
      </c>
      <c r="BQ44" s="1596" t="s">
        <v>2499</v>
      </c>
      <c r="BR44" s="1596" t="s">
        <v>2500</v>
      </c>
      <c r="BS44" s="2479"/>
      <c r="BT44" s="84"/>
      <c r="BU44" s="84"/>
      <c r="BV44" s="84"/>
      <c r="BW44" s="84"/>
      <c r="BX44" s="84"/>
      <c r="BY44" s="84"/>
    </row>
    <row r="45" spans="1:77" s="84" customFormat="1" ht="25.9" customHeight="1" x14ac:dyDescent="0.2">
      <c r="A45" s="2742"/>
      <c r="B45" s="2742"/>
      <c r="C45" s="2354" t="s">
        <v>415</v>
      </c>
      <c r="D45" s="2354" t="s">
        <v>2433</v>
      </c>
      <c r="E45" s="2351">
        <v>3</v>
      </c>
      <c r="F45" s="2372">
        <v>3</v>
      </c>
      <c r="G45" s="2577" t="s">
        <v>2598</v>
      </c>
      <c r="H45" s="2479"/>
      <c r="I45" s="1596" t="s">
        <v>2492</v>
      </c>
      <c r="J45" s="1596" t="s">
        <v>2493</v>
      </c>
      <c r="K45" s="1596" t="s">
        <v>2494</v>
      </c>
      <c r="L45" s="1596"/>
      <c r="N45" s="2270">
        <v>1</v>
      </c>
      <c r="O45" s="2269">
        <v>3</v>
      </c>
      <c r="P45" s="2269">
        <v>1</v>
      </c>
      <c r="Q45" s="2269">
        <v>1</v>
      </c>
      <c r="R45" s="2269">
        <v>1</v>
      </c>
      <c r="S45" s="2269">
        <v>1</v>
      </c>
      <c r="T45" s="2269">
        <v>1</v>
      </c>
      <c r="U45" s="2269">
        <v>1</v>
      </c>
      <c r="V45" s="2345">
        <v>1</v>
      </c>
      <c r="W45" s="2269">
        <v>1</v>
      </c>
      <c r="X45" s="2269">
        <v>1</v>
      </c>
      <c r="Y45" s="2269">
        <v>1</v>
      </c>
      <c r="Z45" s="2269">
        <v>1</v>
      </c>
      <c r="AA45" s="2269">
        <v>1</v>
      </c>
      <c r="AB45" s="2269"/>
      <c r="AC45" s="2269"/>
      <c r="AD45" s="38"/>
      <c r="AE45" s="924"/>
      <c r="AF45" s="924"/>
      <c r="AG45" s="924"/>
      <c r="AH45" s="924"/>
      <c r="AI45" s="924"/>
      <c r="AJ45" s="924"/>
      <c r="AK45" s="924"/>
      <c r="AL45" s="924"/>
      <c r="AM45" s="924"/>
      <c r="AN45" s="925"/>
      <c r="AO45" s="925"/>
      <c r="AP45" s="1336"/>
      <c r="AQ45" s="971"/>
      <c r="AR45" s="930" t="s">
        <v>231</v>
      </c>
      <c r="AS45" s="928" t="str">
        <f>INDEX(Workstreams[Workstream], MATCH($AR45, Workstreams[Code], 0))</f>
        <v>Industry</v>
      </c>
      <c r="AT45" s="925"/>
      <c r="AU45" s="927"/>
      <c r="AV45" s="928"/>
      <c r="AW45" s="1111">
        <f t="shared" ca="1" si="2"/>
        <v>32.569976730223672</v>
      </c>
      <c r="AX45" s="1111">
        <f t="shared" ca="1" si="2"/>
        <v>57.097571036852841</v>
      </c>
      <c r="AY45" s="1114">
        <f ca="1">AX45*'Intermediate output'!$AX$143/'Intermediate output'!$E$188</f>
        <v>7.1408902728836404E-2</v>
      </c>
      <c r="AZ45" s="924"/>
      <c r="BA45" s="924"/>
      <c r="BB45" s="525"/>
      <c r="BC45" s="1343"/>
      <c r="BD45" s="1343" t="s">
        <v>224</v>
      </c>
      <c r="BE45" s="1348" t="s">
        <v>888</v>
      </c>
      <c r="BF45" s="899"/>
      <c r="BG45" s="1350"/>
      <c r="BH45" s="1348"/>
      <c r="BI45" s="1349">
        <f ca="1">INDEX(INDIRECT(BI$33&amp;"!Year.Matrix"),MATCH($BD45,INDIRECT(BI$33&amp;"!Year.Modules"),0),MATCH("V.04",INDIRECT(BI$33&amp;"!Year.Vectors"),0))/BI$44</f>
        <v>8.7943892343294635E-3</v>
      </c>
      <c r="BJ45" s="1349">
        <f ca="1">INDEX(INDIRECT(BJ$33&amp;"!Year.Matrix"),MATCH($BD45,INDIRECT(BJ$33&amp;"!Year.Modules"),0),MATCH("V.04",INDIRECT(BJ$33&amp;"!Year.Vectors"),0))/BJ$44</f>
        <v>1.5703312840079881E-2</v>
      </c>
      <c r="BK45" s="1349">
        <f ca="1">INDEX(INDIRECT(BK$33&amp;"!Year.Matrix"),MATCH($BD45,INDIRECT(BK$33&amp;"!Year.Modules"),0),MATCH("V.04",INDIRECT(BK$33&amp;"!Year.Vectors"),0))/BK$44</f>
        <v>2.4323173524157377E-2</v>
      </c>
      <c r="BL45" s="1349">
        <f ca="1">INDEX(INDIRECT(BL$33&amp;"!Year.Matrix"),MATCH($BD45,INDIRECT(BL$33&amp;"!Year.Modules"),0),MATCH("V.04",INDIRECT(BL$33&amp;"!Year.Vectors"),0))/BL$44</f>
        <v>4.1507972446465001E-2</v>
      </c>
      <c r="BM45" s="925"/>
      <c r="BP45" s="1596" t="s">
        <v>2492</v>
      </c>
      <c r="BQ45" s="1596" t="s">
        <v>2493</v>
      </c>
      <c r="BR45" s="1596" t="s">
        <v>2494</v>
      </c>
      <c r="BS45" s="2479"/>
    </row>
    <row r="46" spans="1:77" s="84" customFormat="1" ht="25.5" x14ac:dyDescent="0.2">
      <c r="A46" s="2742"/>
      <c r="B46" s="2742"/>
      <c r="C46" s="2354" t="s">
        <v>415</v>
      </c>
      <c r="D46" s="2354" t="s">
        <v>2432</v>
      </c>
      <c r="E46" s="2351">
        <v>3</v>
      </c>
      <c r="F46" s="2372">
        <v>3</v>
      </c>
      <c r="G46" s="2577" t="s">
        <v>2599</v>
      </c>
      <c r="H46" s="2479"/>
      <c r="I46" s="1596" t="s">
        <v>2496</v>
      </c>
      <c r="J46" s="1596" t="s">
        <v>2495</v>
      </c>
      <c r="K46" s="1596" t="s">
        <v>2497</v>
      </c>
      <c r="L46" s="1596"/>
      <c r="M46" s="2479"/>
      <c r="N46" s="2270">
        <v>1</v>
      </c>
      <c r="O46" s="2269">
        <v>3</v>
      </c>
      <c r="P46" s="2269">
        <v>1</v>
      </c>
      <c r="Q46" s="2269">
        <v>1</v>
      </c>
      <c r="R46" s="2269">
        <v>1</v>
      </c>
      <c r="S46" s="2269">
        <v>1</v>
      </c>
      <c r="T46" s="2269">
        <v>1</v>
      </c>
      <c r="U46" s="2269">
        <v>1</v>
      </c>
      <c r="V46" s="2269">
        <v>1</v>
      </c>
      <c r="W46" s="2269">
        <v>1</v>
      </c>
      <c r="X46" s="2269">
        <v>1</v>
      </c>
      <c r="Y46" s="2269">
        <v>1</v>
      </c>
      <c r="Z46" s="2269">
        <v>1</v>
      </c>
      <c r="AA46" s="2269">
        <v>1</v>
      </c>
      <c r="AB46" s="2269"/>
      <c r="AC46" s="2269"/>
      <c r="AD46" s="38"/>
      <c r="AE46" s="925"/>
      <c r="AF46" s="925"/>
      <c r="AG46" s="925"/>
      <c r="AH46" s="925"/>
      <c r="AI46" s="925"/>
      <c r="AJ46" s="925"/>
      <c r="AK46" s="927"/>
      <c r="AL46" s="928"/>
      <c r="AM46" s="928"/>
      <c r="AN46" s="925"/>
      <c r="AO46" s="925"/>
      <c r="AP46" s="1336"/>
      <c r="AQ46" s="971"/>
      <c r="AR46" s="930"/>
      <c r="AS46" s="928"/>
      <c r="AT46" s="925"/>
      <c r="AU46" s="927"/>
      <c r="AV46" s="928"/>
      <c r="AW46" s="1111"/>
      <c r="AX46" s="1111"/>
      <c r="AY46" s="1114">
        <f>AX46*'Intermediate output'!$AX$143/'Intermediate output'!$E$188</f>
        <v>0</v>
      </c>
      <c r="AZ46" s="924"/>
      <c r="BA46" s="924"/>
      <c r="BB46" s="525"/>
      <c r="BC46" s="971"/>
      <c r="BD46" s="971" t="s">
        <v>232</v>
      </c>
      <c r="BE46" s="972" t="s">
        <v>886</v>
      </c>
      <c r="BF46" s="762"/>
      <c r="BG46" s="1100"/>
      <c r="BH46" s="972"/>
      <c r="BI46" s="973">
        <f t="shared" ref="BI46:BL50" ca="1" si="3">-INDEX(INDIRECT(BI$33&amp;"!Year.Matrix"),MATCH($BD46,INDIRECT(BI$33&amp;"!Year.Modules"),0),MATCH("V.04",INDIRECT(BI$33&amp;"!Year.Vectors"),0))/BI$44</f>
        <v>0.4191660173075254</v>
      </c>
      <c r="BJ46" s="973">
        <f t="shared" ca="1" si="3"/>
        <v>0.60603895771965488</v>
      </c>
      <c r="BK46" s="973">
        <f t="shared" ca="1" si="3"/>
        <v>0.63853037858924844</v>
      </c>
      <c r="BL46" s="973">
        <f t="shared" ca="1" si="3"/>
        <v>0.5877563806936007</v>
      </c>
      <c r="BM46" s="925"/>
      <c r="BP46" s="1596" t="s">
        <v>2496</v>
      </c>
      <c r="BQ46" s="1596" t="s">
        <v>2495</v>
      </c>
      <c r="BR46" s="1596" t="s">
        <v>2497</v>
      </c>
      <c r="BS46" s="2479"/>
    </row>
    <row r="47" spans="1:77" s="84" customFormat="1" ht="15.75" x14ac:dyDescent="0.2">
      <c r="B47" s="1613"/>
      <c r="C47" s="26"/>
      <c r="D47" s="26"/>
      <c r="E47" s="2355"/>
      <c r="H47" s="2479"/>
      <c r="L47" s="84" t="s">
        <v>2052</v>
      </c>
      <c r="N47" s="2479" t="s">
        <v>2063</v>
      </c>
      <c r="O47" s="2479"/>
      <c r="P47" s="2479" t="s">
        <v>2053</v>
      </c>
      <c r="Q47" s="2479" t="s">
        <v>2054</v>
      </c>
      <c r="R47" s="2479" t="s">
        <v>2055</v>
      </c>
      <c r="S47" s="2479" t="s">
        <v>2056</v>
      </c>
      <c r="T47" s="2479" t="s">
        <v>2057</v>
      </c>
      <c r="U47" s="2479" t="s">
        <v>2058</v>
      </c>
      <c r="V47" s="2479" t="s">
        <v>2059</v>
      </c>
      <c r="W47" s="2479" t="s">
        <v>2060</v>
      </c>
      <c r="X47" s="2479" t="s">
        <v>2061</v>
      </c>
      <c r="Y47" s="2479" t="s">
        <v>2062</v>
      </c>
      <c r="Z47" s="2479"/>
      <c r="AA47" s="2479"/>
      <c r="AB47" s="2479"/>
      <c r="AD47" s="2479"/>
      <c r="AE47" s="925"/>
      <c r="AF47" s="925"/>
      <c r="AG47" s="925"/>
      <c r="AH47" s="925"/>
      <c r="AI47" s="925"/>
      <c r="AJ47" s="925"/>
      <c r="AK47" s="927"/>
      <c r="AL47" s="928"/>
      <c r="AM47" s="928"/>
      <c r="AN47" s="925"/>
      <c r="AO47" s="925"/>
      <c r="AP47" s="2479"/>
      <c r="AQ47" s="971"/>
      <c r="AR47" s="930"/>
      <c r="AS47" s="928"/>
      <c r="AT47" s="925"/>
      <c r="AU47" s="927"/>
      <c r="AV47" s="928"/>
      <c r="AW47" s="1111"/>
      <c r="AX47" s="1111"/>
      <c r="AY47" s="1114">
        <f>AX47*'Intermediate output'!$AX$143/'Intermediate output'!$E$188</f>
        <v>0</v>
      </c>
      <c r="AZ47" s="924"/>
      <c r="BA47" s="924"/>
      <c r="BB47" s="525"/>
      <c r="BC47" s="971"/>
      <c r="BD47" s="971"/>
      <c r="BE47" s="972"/>
      <c r="BF47" s="762"/>
      <c r="BG47" s="1100"/>
      <c r="BH47" s="972"/>
      <c r="BI47" s="973"/>
      <c r="BJ47" s="973"/>
      <c r="BK47" s="973"/>
      <c r="BL47" s="973"/>
      <c r="BM47" s="925"/>
      <c r="BP47" s="1317"/>
      <c r="BR47" s="960"/>
    </row>
    <row r="48" spans="1:77" s="84" customFormat="1" ht="15.75" x14ac:dyDescent="0.2">
      <c r="B48" s="610"/>
      <c r="C48" s="34"/>
      <c r="D48" s="26"/>
      <c r="E48" s="2356"/>
      <c r="F48" s="60"/>
      <c r="G48" s="2583"/>
      <c r="H48" s="2479"/>
      <c r="L48" s="84" t="s">
        <v>2049</v>
      </c>
      <c r="N48" s="588" t="s">
        <v>2051</v>
      </c>
      <c r="O48" s="588" t="s">
        <v>2051</v>
      </c>
      <c r="P48" s="1853">
        <v>112</v>
      </c>
      <c r="Q48" s="1853">
        <v>109</v>
      </c>
      <c r="R48" s="1853">
        <v>110</v>
      </c>
      <c r="S48" s="1853">
        <v>111</v>
      </c>
      <c r="T48" s="1853">
        <v>170</v>
      </c>
      <c r="U48" s="2350">
        <v>95</v>
      </c>
      <c r="V48" s="1853">
        <v>96</v>
      </c>
      <c r="W48" s="1853">
        <v>94</v>
      </c>
      <c r="X48" s="1853">
        <v>97</v>
      </c>
      <c r="Y48" s="1853">
        <v>92</v>
      </c>
      <c r="Z48" s="588"/>
      <c r="AA48" s="588"/>
      <c r="AB48" s="588"/>
      <c r="AD48" s="2479"/>
      <c r="AE48" s="925"/>
      <c r="AF48" s="925"/>
      <c r="AG48" s="925"/>
      <c r="AH48" s="925"/>
      <c r="AI48" s="925"/>
      <c r="AJ48" s="925"/>
      <c r="AK48" s="927"/>
      <c r="AL48" s="928"/>
      <c r="AM48" s="928"/>
      <c r="AN48" s="925"/>
      <c r="AO48" s="925"/>
      <c r="AP48" s="2479"/>
      <c r="AQ48" s="971"/>
      <c r="AR48" s="930"/>
      <c r="AS48" s="928"/>
      <c r="AT48" s="925"/>
      <c r="AU48" s="927"/>
      <c r="AV48" s="928"/>
      <c r="AW48" s="1111"/>
      <c r="AX48" s="1111"/>
      <c r="AY48" s="1114">
        <f>AX48*'Intermediate output'!$AX$143/'Intermediate output'!$E$188</f>
        <v>0</v>
      </c>
      <c r="AZ48" s="924"/>
      <c r="BA48" s="924"/>
      <c r="BB48" s="525"/>
      <c r="BC48" s="971"/>
      <c r="BD48" s="971"/>
      <c r="BE48" s="972"/>
      <c r="BF48" s="762"/>
      <c r="BG48" s="1100"/>
      <c r="BH48" s="972"/>
      <c r="BI48" s="973"/>
      <c r="BJ48" s="973"/>
      <c r="BK48" s="973"/>
      <c r="BL48" s="973"/>
      <c r="BM48" s="925"/>
      <c r="BP48" s="1317"/>
      <c r="BS48" s="1316"/>
    </row>
    <row r="49" spans="1:71" s="84" customFormat="1" ht="22.5" x14ac:dyDescent="0.2">
      <c r="A49" s="1599" t="s">
        <v>1368</v>
      </c>
      <c r="B49" s="2574"/>
      <c r="C49" s="34"/>
      <c r="D49" s="34"/>
      <c r="E49" s="2356"/>
      <c r="F49" s="165"/>
      <c r="G49" s="2575"/>
      <c r="I49" s="2479"/>
      <c r="J49" s="2479"/>
      <c r="K49" s="2479"/>
      <c r="L49" s="1596" t="s">
        <v>2050</v>
      </c>
      <c r="M49" s="1853">
        <v>10</v>
      </c>
      <c r="N49" s="588" t="s">
        <v>2051</v>
      </c>
      <c r="O49" s="588" t="s">
        <v>2051</v>
      </c>
      <c r="P49" s="1853">
        <v>0</v>
      </c>
      <c r="Q49" s="1853">
        <v>1</v>
      </c>
      <c r="R49" s="1853">
        <v>2</v>
      </c>
      <c r="S49" s="1853">
        <v>3</v>
      </c>
      <c r="T49" s="1853">
        <v>4</v>
      </c>
      <c r="U49" s="2350">
        <v>5</v>
      </c>
      <c r="V49" s="1853">
        <v>6</v>
      </c>
      <c r="W49" s="1853">
        <v>7</v>
      </c>
      <c r="X49" s="1853">
        <v>8</v>
      </c>
      <c r="Y49" s="1853">
        <v>9</v>
      </c>
      <c r="Z49" s="588"/>
      <c r="AA49" s="588"/>
      <c r="AB49" s="588"/>
      <c r="AE49" s="925"/>
      <c r="AF49" s="925"/>
      <c r="AG49" s="925"/>
      <c r="AH49" s="925"/>
      <c r="AI49" s="925"/>
      <c r="AJ49" s="925"/>
      <c r="AK49" s="927"/>
      <c r="AL49" s="928"/>
      <c r="AM49" s="928"/>
      <c r="AN49" s="925"/>
      <c r="AO49" s="925"/>
      <c r="AP49" s="1336"/>
      <c r="AQ49" s="971"/>
      <c r="AR49" s="930" t="s">
        <v>232</v>
      </c>
      <c r="AS49" s="928" t="str">
        <f>INDEX(Workstreams[Workstream], MATCH($AR49, Workstreams[Code], 0))</f>
        <v>Transport</v>
      </c>
      <c r="AT49" s="925"/>
      <c r="AU49" s="927"/>
      <c r="AV49" s="928"/>
      <c r="AW49" s="1111">
        <f t="shared" ref="AW49:AX51" ca="1" si="4">SUMIFS(INDIRECT("'"&amp;AW$38&amp;"'!Year.EmissionsBySector"), INDIRECT("'"&amp;AW$38&amp;"'!Year.Modules"),$AR49)</f>
        <v>32.460632363860149</v>
      </c>
      <c r="AX49" s="1111">
        <f t="shared" ca="1" si="4"/>
        <v>30.403730229809337</v>
      </c>
      <c r="AY49" s="1114">
        <f ca="1">AX49*'Intermediate output'!$AX$143/'Intermediate output'!$E$188</f>
        <v>3.8024332299055823E-2</v>
      </c>
      <c r="AZ49" s="925"/>
      <c r="BA49" s="925"/>
      <c r="BB49" s="525"/>
      <c r="BC49" s="971"/>
      <c r="BD49" s="971" t="s">
        <v>231</v>
      </c>
      <c r="BE49" s="972" t="s">
        <v>890</v>
      </c>
      <c r="BF49" s="762"/>
      <c r="BG49" s="1100"/>
      <c r="BH49" s="972"/>
      <c r="BI49" s="973">
        <f t="shared" ca="1" si="3"/>
        <v>8.0205503489157691E-3</v>
      </c>
      <c r="BJ49" s="973">
        <f t="shared" ca="1" si="3"/>
        <v>4.4013207794948613E-2</v>
      </c>
      <c r="BK49" s="973">
        <f t="shared" ca="1" si="3"/>
        <v>0.11524951933845501</v>
      </c>
      <c r="BL49" s="973">
        <f t="shared" ca="1" si="3"/>
        <v>0.19515623285727146</v>
      </c>
      <c r="BM49" s="926"/>
      <c r="BP49" s="1317"/>
    </row>
    <row r="50" spans="1:71" s="84" customFormat="1" ht="37.5" customHeight="1" x14ac:dyDescent="0.2">
      <c r="A50" s="1603"/>
      <c r="B50" s="2574"/>
      <c r="G50" s="2583"/>
      <c r="AE50" s="925"/>
      <c r="AF50" s="925"/>
      <c r="AG50" s="925"/>
      <c r="AH50" s="925"/>
      <c r="AI50" s="925"/>
      <c r="AJ50" s="925"/>
      <c r="AK50" s="927"/>
      <c r="AL50" s="928"/>
      <c r="AM50" s="928"/>
      <c r="AN50" s="925"/>
      <c r="AO50" s="925"/>
      <c r="AP50" s="1336"/>
      <c r="AQ50" s="971"/>
      <c r="AR50" s="930" t="s">
        <v>403</v>
      </c>
      <c r="AS50" s="928" t="str">
        <f>INDEX(Workstreams[Workstream], MATCH($AR50, Workstreams[Code], 0))</f>
        <v>Fossil fuel production</v>
      </c>
      <c r="AT50" s="925"/>
      <c r="AU50" s="927"/>
      <c r="AV50" s="928"/>
      <c r="AW50" s="1111">
        <f t="shared" ca="1" si="4"/>
        <v>72.304423887923576</v>
      </c>
      <c r="AX50" s="1111">
        <f t="shared" ca="1" si="4"/>
        <v>19.352913826596069</v>
      </c>
      <c r="AY50" s="1114">
        <f ca="1">AX50*'Intermediate output'!$AX$143/'Intermediate output'!$E$188</f>
        <v>2.4203662535328831E-2</v>
      </c>
      <c r="AZ50" s="925"/>
      <c r="BA50" s="925"/>
      <c r="BB50" s="525"/>
      <c r="BC50" s="971"/>
      <c r="BD50" s="971" t="s">
        <v>405</v>
      </c>
      <c r="BE50" s="972" t="s">
        <v>1171</v>
      </c>
      <c r="BF50" s="762"/>
      <c r="BG50" s="1100"/>
      <c r="BH50" s="972"/>
      <c r="BI50" s="973">
        <f t="shared" ca="1" si="3"/>
        <v>6.9143943485875466E-4</v>
      </c>
      <c r="BJ50" s="973">
        <f t="shared" ca="1" si="3"/>
        <v>8.7005737529501179E-4</v>
      </c>
      <c r="BK50" s="973">
        <f t="shared" ca="1" si="3"/>
        <v>7.4249722296248414E-4</v>
      </c>
      <c r="BL50" s="973">
        <f t="shared" ca="1" si="3"/>
        <v>6.7847530139480755E-4</v>
      </c>
      <c r="BM50" s="926"/>
      <c r="BP50" s="1317"/>
    </row>
    <row r="51" spans="1:71" s="84" customFormat="1" ht="25.9" customHeight="1" x14ac:dyDescent="0.2">
      <c r="A51" s="1603"/>
      <c r="B51" s="2574"/>
      <c r="G51" s="2584"/>
      <c r="H51" s="1256"/>
      <c r="AE51" s="925"/>
      <c r="AF51" s="925"/>
      <c r="AG51" s="925"/>
      <c r="AH51" s="925"/>
      <c r="AI51" s="925"/>
      <c r="AJ51" s="925"/>
      <c r="AK51" s="927"/>
      <c r="AL51" s="928"/>
      <c r="AM51" s="928"/>
      <c r="AN51" s="925"/>
      <c r="AO51" s="925"/>
      <c r="AP51" s="1336"/>
      <c r="AQ51" s="971"/>
      <c r="AR51" s="930" t="s">
        <v>438</v>
      </c>
      <c r="AS51" s="928" t="str">
        <f>INDEX(Workstreams[Workstream], MATCH($AR51, Workstreams[Code], 0))</f>
        <v>Transfers</v>
      </c>
      <c r="AT51" s="925"/>
      <c r="AU51" s="927"/>
      <c r="AV51" s="928"/>
      <c r="AW51" s="1111">
        <f t="shared" ca="1" si="4"/>
        <v>4.3706513640884639</v>
      </c>
      <c r="AX51" s="1111">
        <f t="shared" ca="1" si="4"/>
        <v>32.681353552015572</v>
      </c>
      <c r="AY51" s="1114">
        <f ca="1">AX51*'Intermediate output'!$AX$143/'Intermediate output'!$E$188</f>
        <v>4.0872834946626919E-2</v>
      </c>
      <c r="AZ51" s="925"/>
      <c r="BA51" s="925"/>
      <c r="BB51" s="525"/>
      <c r="BC51" s="762"/>
      <c r="BD51" s="925"/>
      <c r="BE51" s="925"/>
      <c r="BF51" s="925"/>
      <c r="BG51" s="925"/>
      <c r="BH51" s="925"/>
      <c r="BI51" s="925"/>
      <c r="BJ51" s="925"/>
      <c r="BK51" s="925"/>
      <c r="BL51" s="925"/>
      <c r="BM51" s="926"/>
      <c r="BP51" s="1317"/>
    </row>
    <row r="52" spans="1:71" s="84" customFormat="1" ht="15.75" x14ac:dyDescent="0.2">
      <c r="A52" s="1603"/>
      <c r="E52" s="370"/>
      <c r="F52" s="165"/>
      <c r="G52" s="2584"/>
      <c r="H52" s="1256"/>
      <c r="I52" s="1256"/>
      <c r="J52" s="1256"/>
      <c r="K52" s="1256"/>
      <c r="L52" s="1256"/>
      <c r="AE52" s="925"/>
      <c r="AF52" s="925"/>
      <c r="AG52" s="925"/>
      <c r="AH52" s="925"/>
      <c r="AI52" s="925"/>
      <c r="AJ52" s="925"/>
      <c r="AK52" s="927"/>
      <c r="AL52" s="928"/>
      <c r="AM52" s="928"/>
      <c r="AN52" s="925"/>
      <c r="AO52" s="925"/>
      <c r="AP52" s="1336"/>
      <c r="AQ52" s="762"/>
      <c r="AR52" s="931"/>
      <c r="AS52" s="932" t="s">
        <v>105</v>
      </c>
      <c r="AT52" s="931"/>
      <c r="AU52" s="931"/>
      <c r="AV52" s="931"/>
      <c r="AW52" s="1112">
        <f ca="1">SUM(AW39:AW51)</f>
        <v>148.68752506342165</v>
      </c>
      <c r="AX52" s="1112">
        <f ca="1">SUM(AX39:AX51)</f>
        <v>625.20627286094248</v>
      </c>
      <c r="AY52" s="1115">
        <f ca="1">AX52*'Intermediate output'!$AX$143/'Intermediate output'!$E$188</f>
        <v>0.78191231454258714</v>
      </c>
      <c r="AZ52" s="1115"/>
      <c r="BA52" s="925"/>
      <c r="BB52" s="525"/>
      <c r="BC52" s="1342"/>
      <c r="BD52" s="939" t="s">
        <v>880</v>
      </c>
      <c r="BE52" s="928"/>
      <c r="BF52" s="928"/>
      <c r="BG52" s="927"/>
      <c r="BH52" s="928"/>
      <c r="BI52" s="947">
        <f ca="1">-(INDEX(INDIRECT(BI$33&amp;"!Year.Matrix"),MATCH("Subtotal.Supply",INDIRECT(BI$33&amp;"!Year.Modules"),0),MATCH("V.03",INDIRECT(BI$33&amp;"!Year.Vectors"),0))+INDEX(INDIRECT(BI$33&amp;"!Year.Matrix"),MATCH("Subtotal.Consumption",INDIRECT(BI$33&amp;"!Year.Modules"),0),MATCH("V.03",INDIRECT(BI$33&amp;"!Year.Vectors"),0)))</f>
        <v>1.5203815348896348</v>
      </c>
      <c r="BJ52" s="947">
        <f ca="1">-(INDEX(INDIRECT(BJ$33&amp;"!Year.Matrix"),MATCH("Subtotal.Supply",INDIRECT(BJ$33&amp;"!Year.Modules"),0),MATCH("V.03",INDIRECT(BJ$33&amp;"!Year.Vectors"),0))+INDEX(INDIRECT(BJ$33&amp;"!Year.Matrix"),MATCH("Subtotal.Consumption",INDIRECT(BJ$33&amp;"!Year.Modules"),0),MATCH("V.03",INDIRECT(BJ$33&amp;"!Year.Vectors"),0)))</f>
        <v>25.824701842565585</v>
      </c>
      <c r="BK52" s="947">
        <f ca="1">-(INDEX(INDIRECT(BK$33&amp;"!Year.Matrix"),MATCH("Subtotal.Supply",INDIRECT(BK$33&amp;"!Year.Modules"),0),MATCH("V.03",INDIRECT(BK$33&amp;"!Year.Vectors"),0))+INDEX(INDIRECT(BK$33&amp;"!Year.Matrix"),MATCH("Subtotal.Consumption",INDIRECT(BK$33&amp;"!Year.Modules"),0),MATCH("V.03",INDIRECT(BK$33&amp;"!Year.Vectors"),0)))</f>
        <v>281.95754953591495</v>
      </c>
      <c r="BL52" s="947">
        <f ca="1">-(INDEX(INDIRECT(BL$33&amp;"!Year.Matrix"),MATCH("Subtotal.Supply",INDIRECT(BL$33&amp;"!Year.Modules"),0),MATCH("V.03",INDIRECT(BL$33&amp;"!Year.Vectors"),0))+INDEX(INDIRECT(BL$33&amp;"!Year.Matrix"),MATCH("Subtotal.Consumption",INDIRECT(BL$33&amp;"!Year.Modules"),0),MATCH("V.03",INDIRECT(BL$33&amp;"!Year.Vectors"),0)))</f>
        <v>1241.5439171180863</v>
      </c>
      <c r="BM52" s="925"/>
      <c r="BP52" s="1317"/>
    </row>
    <row r="53" spans="1:71" s="84" customFormat="1" ht="25.9" customHeight="1" x14ac:dyDescent="0.2">
      <c r="A53" s="1603"/>
      <c r="B53" s="2574"/>
      <c r="E53" s="370"/>
      <c r="F53" s="165"/>
      <c r="G53" s="2583"/>
      <c r="I53" s="1256"/>
      <c r="J53" s="1256"/>
      <c r="K53" s="1256"/>
      <c r="L53" s="1256"/>
      <c r="AE53" s="925"/>
      <c r="AF53" s="925"/>
      <c r="AG53" s="925"/>
      <c r="AH53" s="925"/>
      <c r="AI53" s="925"/>
      <c r="AJ53" s="925"/>
      <c r="AK53" s="927"/>
      <c r="AL53" s="928"/>
      <c r="AM53" s="928"/>
      <c r="AN53" s="925"/>
      <c r="AO53" s="925"/>
      <c r="AP53" s="1336"/>
      <c r="AQ53" s="762"/>
      <c r="AR53" s="933"/>
      <c r="AS53" s="934" t="s">
        <v>852</v>
      </c>
      <c r="AT53" s="935"/>
      <c r="AU53" s="935"/>
      <c r="AV53" s="935"/>
      <c r="AW53" s="1117">
        <f ca="1">AW52/677.35</f>
        <v>0.21951358243658617</v>
      </c>
      <c r="AX53" s="936"/>
      <c r="AY53" s="1116"/>
      <c r="AZ53" s="1116"/>
      <c r="BA53" s="925"/>
      <c r="BB53" s="525"/>
      <c r="BC53" s="1343"/>
      <c r="BD53" s="1343" t="s">
        <v>224</v>
      </c>
      <c r="BE53" s="1348" t="s">
        <v>889</v>
      </c>
      <c r="BF53" s="899"/>
      <c r="BG53" s="899"/>
      <c r="BH53" s="899"/>
      <c r="BI53" s="1349">
        <f ca="1">INDEX(INDIRECT(BI$33&amp;"!Year.Matrix"),MATCH($BD53,INDIRECT(BI$33&amp;"!Year.Modules"),0),MATCH("V.03",INDIRECT(BI$33&amp;"!Year.Vectors"),0))/BI$52</f>
        <v>0</v>
      </c>
      <c r="BJ53" s="1349">
        <f ca="1">INDEX(INDIRECT(BJ$33&amp;"!Year.Matrix"),MATCH($BD53,INDIRECT(BJ$33&amp;"!Year.Modules"),0),MATCH("V.03",INDIRECT(BJ$33&amp;"!Year.Vectors"),0))/BJ$52</f>
        <v>0</v>
      </c>
      <c r="BK53" s="1349">
        <f ca="1">INDEX(INDIRECT(BK$33&amp;"!Year.Matrix"),MATCH($BD53,INDIRECT(BK$33&amp;"!Year.Modules"),0),MATCH("V.03",INDIRECT(BK$33&amp;"!Year.Vectors"),0))/BK$52</f>
        <v>0</v>
      </c>
      <c r="BL53" s="1349">
        <f ca="1">INDEX(INDIRECT(BL$33&amp;"!Year.Matrix"),MATCH($BD53,INDIRECT(BL$33&amp;"!Year.Modules"),0),MATCH("V.03",INDIRECT(BL$33&amp;"!Year.Vectors"),0))/BL$52</f>
        <v>0</v>
      </c>
      <c r="BM53" s="925"/>
      <c r="BP53" s="1317"/>
    </row>
    <row r="54" spans="1:71" s="84" customFormat="1" ht="25.9" customHeight="1" x14ac:dyDescent="0.2">
      <c r="A54" s="1603"/>
      <c r="F54" s="165"/>
      <c r="G54" s="2583"/>
      <c r="M54" s="1595"/>
      <c r="N54" s="1256"/>
      <c r="O54" s="1318"/>
      <c r="P54" s="1318"/>
      <c r="AE54" s="925"/>
      <c r="AF54" s="925"/>
      <c r="AG54" s="925"/>
      <c r="AH54" s="925"/>
      <c r="AI54" s="925"/>
      <c r="AJ54" s="925"/>
      <c r="AK54" s="927"/>
      <c r="AL54" s="928"/>
      <c r="AM54" s="928"/>
      <c r="AN54" s="925"/>
      <c r="AO54" s="925"/>
      <c r="AP54" s="1336"/>
      <c r="AQ54" s="1340"/>
      <c r="AR54" s="1118" t="s">
        <v>1197</v>
      </c>
      <c r="AS54" s="925"/>
      <c r="AT54" s="925"/>
      <c r="AU54" s="925"/>
      <c r="AV54" s="925"/>
      <c r="AW54" s="925"/>
      <c r="AX54" s="925"/>
      <c r="AY54" s="925"/>
      <c r="AZ54" s="925"/>
      <c r="BA54" s="925"/>
      <c r="BB54" s="525"/>
      <c r="BC54" s="971"/>
      <c r="BD54" s="971" t="s">
        <v>352</v>
      </c>
      <c r="BE54" s="972" t="s">
        <v>887</v>
      </c>
      <c r="BF54" s="762"/>
      <c r="BG54" s="762"/>
      <c r="BH54" s="762"/>
      <c r="BI54" s="973">
        <f t="shared" ref="BI54:BL57" ca="1" si="5">-INDEX(INDIRECT(BI$33&amp;"!Year.Matrix"),MATCH($BD54,INDIRECT(BI$33&amp;"!Year.Modules"),0),MATCH("V.03",INDIRECT(BI$33&amp;"!Year.Vectors"),0))/BI$52</f>
        <v>0</v>
      </c>
      <c r="BJ54" s="973">
        <f t="shared" ca="1" si="5"/>
        <v>0.91649460831291663</v>
      </c>
      <c r="BK54" s="973">
        <f t="shared" ca="1" si="5"/>
        <v>0.20985605846479746</v>
      </c>
      <c r="BL54" s="973">
        <f t="shared" ca="1" si="5"/>
        <v>0.1906352217885246</v>
      </c>
      <c r="BM54" s="925"/>
      <c r="BP54" s="1316"/>
      <c r="BQ54" s="1316"/>
      <c r="BR54" s="1316"/>
      <c r="BS54" s="1316"/>
    </row>
    <row r="55" spans="1:71" s="84" customFormat="1" ht="25.9" customHeight="1" x14ac:dyDescent="0.2">
      <c r="A55" s="1603"/>
      <c r="B55" s="1604"/>
      <c r="F55" s="165"/>
      <c r="G55" s="2583"/>
      <c r="M55" s="1595"/>
      <c r="N55" s="1256"/>
      <c r="O55" s="1318"/>
      <c r="P55" s="1318"/>
      <c r="AE55" s="925"/>
      <c r="AF55" s="925"/>
      <c r="AG55" s="925"/>
      <c r="AH55" s="925"/>
      <c r="AI55" s="925"/>
      <c r="AJ55" s="925"/>
      <c r="AK55" s="927"/>
      <c r="AL55" s="928"/>
      <c r="AM55" s="928"/>
      <c r="AN55" s="925"/>
      <c r="AO55" s="925"/>
      <c r="AP55" s="1336"/>
      <c r="AQ55" s="1340"/>
      <c r="AR55" s="1118" t="s">
        <v>1200</v>
      </c>
      <c r="AS55" s="925"/>
      <c r="AT55" s="925"/>
      <c r="AU55" s="925"/>
      <c r="AV55" s="925"/>
      <c r="AW55" s="925"/>
      <c r="AX55" s="925"/>
      <c r="AY55" s="925"/>
      <c r="AZ55" s="925"/>
      <c r="BA55" s="925"/>
      <c r="BB55" s="525"/>
      <c r="BC55" s="971"/>
      <c r="BD55" s="971" t="s">
        <v>288</v>
      </c>
      <c r="BE55" s="972" t="s">
        <v>1174</v>
      </c>
      <c r="BF55" s="762"/>
      <c r="BG55" s="762"/>
      <c r="BH55" s="762"/>
      <c r="BI55" s="973">
        <f t="shared" ca="1" si="5"/>
        <v>0</v>
      </c>
      <c r="BJ55" s="973">
        <f t="shared" ca="1" si="5"/>
        <v>0</v>
      </c>
      <c r="BK55" s="973">
        <f t="shared" ca="1" si="5"/>
        <v>0</v>
      </c>
      <c r="BL55" s="973">
        <f t="shared" ca="1" si="5"/>
        <v>0</v>
      </c>
      <c r="BM55" s="925"/>
    </row>
    <row r="56" spans="1:71" s="84" customFormat="1" ht="15.75" x14ac:dyDescent="0.2">
      <c r="F56" s="165"/>
      <c r="G56" s="2583"/>
      <c r="AE56" s="925"/>
      <c r="AF56" s="925"/>
      <c r="AG56" s="925"/>
      <c r="AH56" s="925"/>
      <c r="AI56" s="925"/>
      <c r="AJ56" s="925"/>
      <c r="AK56" s="927"/>
      <c r="AL56" s="928"/>
      <c r="AM56" s="928"/>
      <c r="AN56" s="925"/>
      <c r="AO56" s="925"/>
      <c r="AP56" s="1336"/>
      <c r="AQ56" s="1118"/>
      <c r="AR56" s="1118" t="s">
        <v>1198</v>
      </c>
      <c r="AS56" s="925"/>
      <c r="AT56" s="925"/>
      <c r="AU56" s="925"/>
      <c r="AV56" s="925"/>
      <c r="AW56" s="925"/>
      <c r="AX56" s="925"/>
      <c r="AY56" s="925"/>
      <c r="AZ56" s="925"/>
      <c r="BA56" s="925"/>
      <c r="BB56" s="525"/>
      <c r="BC56" s="971"/>
      <c r="BD56" s="971" t="s">
        <v>231</v>
      </c>
      <c r="BE56" s="972" t="s">
        <v>890</v>
      </c>
      <c r="BF56" s="762"/>
      <c r="BG56" s="762"/>
      <c r="BH56" s="762"/>
      <c r="BI56" s="973">
        <f t="shared" ca="1" si="5"/>
        <v>0.99167997016873533</v>
      </c>
      <c r="BJ56" s="973">
        <f t="shared" ca="1" si="5"/>
        <v>8.2962046992595032E-2</v>
      </c>
      <c r="BK56" s="973">
        <f t="shared" ca="1" si="5"/>
        <v>1.0458499183726436E-2</v>
      </c>
      <c r="BL56" s="973">
        <f t="shared" ca="1" si="5"/>
        <v>4.5575648765903949E-3</v>
      </c>
      <c r="BM56" s="925"/>
    </row>
    <row r="57" spans="1:71" s="84" customFormat="1" ht="25.9" customHeight="1" x14ac:dyDescent="0.2">
      <c r="A57" s="1605"/>
      <c r="F57" s="165"/>
      <c r="G57" s="2583"/>
      <c r="AE57" s="925"/>
      <c r="AF57" s="925"/>
      <c r="AG57" s="925"/>
      <c r="AH57" s="925"/>
      <c r="AI57" s="925"/>
      <c r="AJ57" s="925"/>
      <c r="AK57" s="927"/>
      <c r="AL57" s="928"/>
      <c r="AM57" s="928"/>
      <c r="AN57" s="925"/>
      <c r="AO57" s="925"/>
      <c r="AP57" s="1336"/>
      <c r="AQ57" s="925"/>
      <c r="AR57" s="925"/>
      <c r="AS57" s="925"/>
      <c r="AT57" s="925"/>
      <c r="AU57" s="925"/>
      <c r="AV57" s="925"/>
      <c r="AW57" s="925"/>
      <c r="AX57" s="927"/>
      <c r="AY57" s="925"/>
      <c r="AZ57" s="925"/>
      <c r="BA57" s="925"/>
      <c r="BB57" s="525"/>
      <c r="BC57" s="971"/>
      <c r="BD57" s="971" t="s">
        <v>229</v>
      </c>
      <c r="BE57" s="972" t="s">
        <v>1170</v>
      </c>
      <c r="BF57" s="762"/>
      <c r="BG57" s="762"/>
      <c r="BH57" s="762"/>
      <c r="BI57" s="973">
        <f t="shared" ca="1" si="5"/>
        <v>0</v>
      </c>
      <c r="BJ57" s="973">
        <f t="shared" ca="1" si="5"/>
        <v>0</v>
      </c>
      <c r="BK57" s="973">
        <f t="shared" ca="1" si="5"/>
        <v>0</v>
      </c>
      <c r="BL57" s="973">
        <f t="shared" ca="1" si="5"/>
        <v>0</v>
      </c>
      <c r="BM57" s="925"/>
      <c r="BP57" s="1316"/>
      <c r="BQ57" s="1316"/>
      <c r="BR57" s="1316"/>
      <c r="BS57" s="1316"/>
    </row>
    <row r="58" spans="1:71" s="84" customFormat="1" ht="23.25" x14ac:dyDescent="0.2">
      <c r="F58" s="165"/>
      <c r="G58" s="2583"/>
      <c r="H58"/>
      <c r="AE58" s="925"/>
      <c r="AF58" s="925"/>
      <c r="AG58" s="925"/>
      <c r="AH58" s="925"/>
      <c r="AI58" s="925"/>
      <c r="AJ58" s="925"/>
      <c r="AK58" s="927"/>
      <c r="AL58" s="928"/>
      <c r="AM58" s="928"/>
      <c r="AN58" s="925"/>
      <c r="AO58" s="925"/>
      <c r="AP58" s="1336"/>
      <c r="AQ58" s="925"/>
      <c r="AR58" s="925"/>
      <c r="AS58" s="925"/>
      <c r="AT58" s="925"/>
      <c r="AU58" s="925"/>
      <c r="AV58" s="925"/>
      <c r="AW58" s="925"/>
      <c r="AX58" s="927"/>
      <c r="AY58" s="925"/>
      <c r="AZ58" s="925"/>
      <c r="BA58" s="925"/>
      <c r="BB58" s="525"/>
      <c r="BC58" s="937"/>
      <c r="BD58" s="937"/>
      <c r="BE58" s="925"/>
      <c r="BF58" s="925"/>
      <c r="BG58" s="925"/>
      <c r="BH58" s="925"/>
      <c r="BI58" s="925"/>
      <c r="BJ58" s="925"/>
      <c r="BK58" s="925"/>
      <c r="BL58" s="925"/>
      <c r="BM58" s="925"/>
      <c r="BP58" s="1316"/>
      <c r="BQ58" s="1316"/>
      <c r="BR58" s="1316"/>
      <c r="BS58" s="1316"/>
    </row>
    <row r="59" spans="1:71" s="84" customFormat="1" ht="23.25" x14ac:dyDescent="0.2">
      <c r="B59" s="1538"/>
      <c r="C59"/>
      <c r="D59"/>
      <c r="E59" s="370"/>
      <c r="F59" s="368"/>
      <c r="G59" s="2583"/>
      <c r="H59"/>
      <c r="I59" s="38"/>
      <c r="J59" s="38"/>
      <c r="K59" s="38"/>
      <c r="L59" s="38"/>
      <c r="Q59" s="2143"/>
      <c r="R59" s="1593"/>
      <c r="S59" s="1593"/>
      <c r="T59" s="1593"/>
      <c r="U59" s="2282"/>
      <c r="V59" s="1593"/>
      <c r="W59" s="2143"/>
      <c r="X59" s="2143"/>
      <c r="Y59" s="2143"/>
      <c r="Z59" s="2143"/>
      <c r="AA59" s="2143"/>
      <c r="AB59" s="2143"/>
      <c r="AC59" s="1593"/>
      <c r="AE59" s="925"/>
      <c r="AF59" s="925"/>
      <c r="AG59" s="925"/>
      <c r="AH59" s="925"/>
      <c r="AI59" s="925"/>
      <c r="AJ59" s="925"/>
      <c r="AK59" s="927"/>
      <c r="AL59" s="928"/>
      <c r="AM59" s="928"/>
      <c r="AN59" s="925"/>
      <c r="AO59" s="925"/>
      <c r="AP59" s="1337"/>
      <c r="AQ59" s="925"/>
      <c r="AR59" s="925"/>
      <c r="AS59" s="925"/>
      <c r="AT59" s="925"/>
      <c r="AU59" s="925"/>
      <c r="AV59" s="925"/>
      <c r="AW59" s="925"/>
      <c r="AX59" s="927"/>
      <c r="AY59" s="925"/>
      <c r="AZ59" s="925"/>
      <c r="BA59" s="925"/>
      <c r="BB59" s="525"/>
      <c r="BC59" s="937"/>
      <c r="BD59" s="937"/>
      <c r="BE59" s="925"/>
      <c r="BF59" s="925"/>
      <c r="BG59" s="925"/>
      <c r="BH59" s="925"/>
      <c r="BI59" s="925"/>
      <c r="BJ59" s="925"/>
      <c r="BK59" s="925"/>
      <c r="BL59" s="925"/>
      <c r="BM59" s="925"/>
      <c r="BP59" s="1316"/>
      <c r="BQ59" s="1316"/>
      <c r="BR59" s="1316"/>
      <c r="BS59" s="1316"/>
    </row>
    <row r="60" spans="1:71" s="84" customFormat="1" ht="23.25" x14ac:dyDescent="0.2">
      <c r="B60" s="1538"/>
      <c r="C60"/>
      <c r="D60"/>
      <c r="E60" s="370"/>
      <c r="F60" s="368"/>
      <c r="G60" s="2580"/>
      <c r="H60"/>
      <c r="I60" s="38"/>
      <c r="J60" s="38"/>
      <c r="K60" s="38"/>
      <c r="L60" s="38"/>
      <c r="Q60" s="2143"/>
      <c r="R60" s="1593"/>
      <c r="S60" s="1593"/>
      <c r="T60" s="1593"/>
      <c r="U60" s="2282"/>
      <c r="V60" s="1593"/>
      <c r="W60" s="2143"/>
      <c r="X60" s="2143"/>
      <c r="Y60" s="2143"/>
      <c r="Z60" s="2143"/>
      <c r="AA60" s="2143"/>
      <c r="AB60" s="2143"/>
      <c r="AC60" s="1593"/>
      <c r="AD60" s="38"/>
      <c r="AE60" s="925"/>
      <c r="AF60" s="925"/>
      <c r="AG60" s="925"/>
      <c r="AH60" s="925"/>
      <c r="AI60" s="925"/>
      <c r="AJ60" s="925"/>
      <c r="AK60" s="927"/>
      <c r="AL60" s="928"/>
      <c r="AM60" s="928"/>
      <c r="AN60" s="925"/>
      <c r="AO60" s="925"/>
      <c r="AP60" s="1337"/>
      <c r="AQ60" s="925"/>
      <c r="AR60" s="925"/>
      <c r="AS60" s="925"/>
      <c r="AT60" s="925"/>
      <c r="AU60" s="925"/>
      <c r="AV60" s="925"/>
      <c r="AW60" s="925"/>
      <c r="AX60" s="927"/>
      <c r="AY60" s="925"/>
      <c r="AZ60" s="925"/>
      <c r="BA60" s="925"/>
      <c r="BB60" s="525"/>
      <c r="BC60" s="937"/>
      <c r="BD60" s="937"/>
      <c r="BE60" s="925"/>
      <c r="BF60" s="925"/>
      <c r="BG60" s="925"/>
      <c r="BH60" s="925"/>
      <c r="BI60" s="925"/>
      <c r="BJ60" s="925"/>
      <c r="BK60" s="925"/>
      <c r="BL60" s="925"/>
      <c r="BM60" s="925"/>
      <c r="BP60" s="1316"/>
      <c r="BQ60" s="1316"/>
      <c r="BR60" s="1316"/>
      <c r="BS60" s="1316"/>
    </row>
    <row r="61" spans="1:71" s="84" customFormat="1" ht="25.5" customHeight="1" x14ac:dyDescent="0.2">
      <c r="A61" s="610"/>
      <c r="B61" s="610"/>
      <c r="C61"/>
      <c r="D61"/>
      <c r="E61" s="370"/>
      <c r="F61" s="368"/>
      <c r="G61" s="2580"/>
      <c r="H61"/>
      <c r="I61" s="38"/>
      <c r="J61" s="38"/>
      <c r="K61" s="38"/>
      <c r="L61" s="38"/>
      <c r="M61" s="1595"/>
      <c r="N61" s="38"/>
      <c r="O61" s="1318"/>
      <c r="P61" s="1318"/>
      <c r="Q61" s="2143"/>
      <c r="R61" s="1593"/>
      <c r="S61" s="1593"/>
      <c r="T61" s="1593"/>
      <c r="U61" s="2282"/>
      <c r="V61" s="1593"/>
      <c r="W61" s="2143"/>
      <c r="X61" s="2143"/>
      <c r="Y61" s="2143"/>
      <c r="Z61" s="2143"/>
      <c r="AA61" s="2143"/>
      <c r="AB61" s="2143"/>
      <c r="AC61" s="1593"/>
      <c r="AD61"/>
      <c r="AE61" s="925"/>
      <c r="AF61" s="925"/>
      <c r="AG61" s="925"/>
      <c r="AH61" s="925"/>
      <c r="AI61" s="925"/>
      <c r="AJ61" s="925"/>
      <c r="AK61" s="927"/>
      <c r="AL61" s="928"/>
      <c r="AM61" s="928"/>
      <c r="AN61" s="925"/>
      <c r="AO61" s="925"/>
      <c r="AP61" s="1337"/>
      <c r="AQ61" s="925"/>
      <c r="AR61" s="925"/>
      <c r="AS61" s="925"/>
      <c r="AT61" s="925"/>
      <c r="AU61" s="925"/>
      <c r="AV61" s="925"/>
      <c r="AW61" s="925"/>
      <c r="AX61" s="927"/>
      <c r="AY61" s="925"/>
      <c r="AZ61" s="925"/>
      <c r="BA61" s="925"/>
      <c r="BB61" s="525"/>
      <c r="BC61" s="937"/>
      <c r="BD61" s="937"/>
      <c r="BE61" s="925"/>
      <c r="BF61" s="925"/>
      <c r="BG61" s="925"/>
      <c r="BH61" s="925"/>
      <c r="BI61" s="925"/>
      <c r="BJ61" s="925"/>
      <c r="BK61" s="925"/>
      <c r="BL61" s="925"/>
      <c r="BM61" s="925"/>
      <c r="BP61" s="1316"/>
      <c r="BQ61" s="1316"/>
      <c r="BR61" s="1316"/>
      <c r="BS61" s="1316"/>
    </row>
    <row r="62" spans="1:71" s="84" customFormat="1" ht="23.25" x14ac:dyDescent="0.2">
      <c r="A62" s="610"/>
      <c r="B62" s="610"/>
      <c r="C62"/>
      <c r="D62"/>
      <c r="E62" s="370"/>
      <c r="F62" s="368"/>
      <c r="G62" s="2580"/>
      <c r="H62"/>
      <c r="I62" s="38"/>
      <c r="J62" s="38"/>
      <c r="K62" s="38"/>
      <c r="L62" s="38"/>
      <c r="M62" s="1595"/>
      <c r="N62" s="38"/>
      <c r="O62" s="1318"/>
      <c r="P62" s="1318"/>
      <c r="Q62" s="2143"/>
      <c r="R62" s="1593"/>
      <c r="S62" s="1593"/>
      <c r="T62" s="1593"/>
      <c r="U62" s="2282"/>
      <c r="V62" s="1593"/>
      <c r="W62" s="2143"/>
      <c r="X62" s="2143"/>
      <c r="Y62" s="2143"/>
      <c r="Z62" s="2143"/>
      <c r="AA62" s="2143"/>
      <c r="AB62" s="2143"/>
      <c r="AC62" s="1593"/>
      <c r="AD62"/>
      <c r="AE62" s="925"/>
      <c r="AF62" s="925"/>
      <c r="AG62" s="925"/>
      <c r="AH62" s="925"/>
      <c r="AI62" s="925"/>
      <c r="AJ62" s="925"/>
      <c r="AK62" s="927"/>
      <c r="AL62" s="928"/>
      <c r="AM62" s="928"/>
      <c r="AN62" s="925"/>
      <c r="AO62" s="925"/>
      <c r="AP62" s="1671"/>
      <c r="AQ62" s="925"/>
      <c r="AR62" s="925"/>
      <c r="AS62" s="925"/>
      <c r="AT62" s="925"/>
      <c r="AU62" s="925"/>
      <c r="AV62" s="925"/>
      <c r="AW62" s="925"/>
      <c r="AX62" s="927"/>
      <c r="AY62" s="925"/>
      <c r="AZ62" s="925"/>
      <c r="BA62" s="925"/>
      <c r="BB62" s="525"/>
      <c r="BC62" s="937"/>
      <c r="BD62" s="937"/>
      <c r="BE62" s="925"/>
      <c r="BF62" s="925"/>
      <c r="BG62" s="925"/>
      <c r="BH62" s="925"/>
      <c r="BI62" s="925"/>
      <c r="BJ62" s="925"/>
      <c r="BK62" s="925"/>
      <c r="BL62" s="925"/>
      <c r="BM62" s="925"/>
    </row>
    <row r="63" spans="1:71" s="84" customFormat="1" ht="20.25" customHeight="1" x14ac:dyDescent="0.2">
      <c r="A63" s="610"/>
      <c r="B63" s="610"/>
      <c r="C63"/>
      <c r="D63"/>
      <c r="E63" s="370"/>
      <c r="F63" s="368"/>
      <c r="G63" s="2580"/>
      <c r="H63"/>
      <c r="I63" s="38"/>
      <c r="J63" s="38"/>
      <c r="K63" s="38"/>
      <c r="L63" s="38"/>
      <c r="M63" s="1595"/>
      <c r="N63" s="38"/>
      <c r="O63" s="1318"/>
      <c r="P63" s="1318"/>
      <c r="Q63" s="2143"/>
      <c r="R63" s="1593"/>
      <c r="S63" s="1593"/>
      <c r="T63" s="1593"/>
      <c r="U63" s="2282"/>
      <c r="V63" s="1593"/>
      <c r="W63" s="2143"/>
      <c r="X63" s="2143"/>
      <c r="Y63" s="2143"/>
      <c r="Z63" s="2143"/>
      <c r="AA63" s="2143"/>
      <c r="AB63" s="2143"/>
      <c r="AC63" s="1593"/>
      <c r="AD63"/>
      <c r="AE63" s="38"/>
      <c r="AF63"/>
      <c r="AG63" s="89"/>
      <c r="AH63" s="89"/>
      <c r="AI63" s="865"/>
      <c r="AJ63" s="89"/>
      <c r="AK63" s="89"/>
      <c r="AL63" s="89"/>
      <c r="AM63" s="89"/>
      <c r="AN63" s="89"/>
      <c r="AO63" s="946"/>
      <c r="AP63" s="1336"/>
      <c r="AQ63" s="1336"/>
      <c r="AR63" s="946"/>
      <c r="AS63" s="946"/>
      <c r="AT63" s="946"/>
      <c r="AU63" s="946"/>
      <c r="AV63" s="946"/>
      <c r="AW63" s="946"/>
      <c r="AX63" s="946"/>
      <c r="AY63" s="946"/>
      <c r="AZ63" s="946"/>
      <c r="BA63" s="946"/>
      <c r="BB63" s="525"/>
      <c r="BC63" s="525"/>
      <c r="BM63" s="946"/>
      <c r="BN63" s="946"/>
      <c r="BO63" s="946"/>
    </row>
    <row r="64" spans="1:71" s="84" customFormat="1" ht="20.25" customHeight="1" x14ac:dyDescent="0.2">
      <c r="A64" s="610"/>
      <c r="B64" s="610"/>
      <c r="C64"/>
      <c r="D64"/>
      <c r="E64" s="370"/>
      <c r="F64" s="368"/>
      <c r="G64" s="2580"/>
      <c r="H64"/>
      <c r="I64" s="38"/>
      <c r="J64" s="38"/>
      <c r="K64" s="38"/>
      <c r="L64" s="38"/>
      <c r="M64" s="1595"/>
      <c r="N64" s="38"/>
      <c r="O64" s="1318"/>
      <c r="P64" s="1318"/>
      <c r="Q64" s="2143"/>
      <c r="R64" s="1593"/>
      <c r="S64" s="1593"/>
      <c r="T64" s="1593"/>
      <c r="U64" s="2282"/>
      <c r="V64" s="1593"/>
      <c r="W64" s="2143"/>
      <c r="X64" s="2143"/>
      <c r="Y64" s="2143"/>
      <c r="Z64" s="2143"/>
      <c r="AA64" s="2143"/>
      <c r="AB64" s="2143"/>
      <c r="AC64" s="1593"/>
      <c r="AD64"/>
      <c r="AE64" s="38"/>
      <c r="AF64"/>
      <c r="AG64" s="89"/>
      <c r="AH64" s="89"/>
      <c r="AI64" s="865"/>
      <c r="AJ64" s="89"/>
      <c r="AK64" s="89"/>
      <c r="AL64" s="89"/>
      <c r="AM64" s="89"/>
      <c r="AN64" s="89"/>
      <c r="AP64" s="1336"/>
      <c r="AQ64" s="1336"/>
      <c r="BB64" s="525"/>
      <c r="BC64" s="525"/>
      <c r="BD64" s="946"/>
      <c r="BE64" s="946"/>
      <c r="BF64" s="946"/>
      <c r="BG64" s="946"/>
      <c r="BH64" s="946"/>
      <c r="BI64" s="946"/>
      <c r="BJ64" s="946"/>
      <c r="BK64" s="946"/>
      <c r="BL64" s="946"/>
      <c r="BM64" s="946"/>
      <c r="BN64" s="946"/>
      <c r="BO64" s="946"/>
    </row>
    <row r="65" spans="1:77" s="84" customFormat="1" ht="12" customHeight="1" x14ac:dyDescent="0.2">
      <c r="A65" s="610"/>
      <c r="B65" s="610"/>
      <c r="C65"/>
      <c r="D65"/>
      <c r="E65" s="370"/>
      <c r="F65" s="368"/>
      <c r="G65" s="2580"/>
      <c r="H65"/>
      <c r="I65" s="38"/>
      <c r="J65" s="38"/>
      <c r="K65" s="38"/>
      <c r="L65" s="38"/>
      <c r="M65" s="1595"/>
      <c r="N65" s="38"/>
      <c r="O65" s="1318"/>
      <c r="P65" s="1318"/>
      <c r="Q65" s="2143"/>
      <c r="R65" s="1593"/>
      <c r="S65" s="1593"/>
      <c r="T65" s="1593"/>
      <c r="U65" s="2282"/>
      <c r="V65" s="1593"/>
      <c r="W65" s="2143"/>
      <c r="X65" s="2143"/>
      <c r="Y65" s="2143"/>
      <c r="Z65" s="2143"/>
      <c r="AA65" s="2143"/>
      <c r="AB65" s="2143"/>
      <c r="AC65" s="1593"/>
      <c r="AD65"/>
      <c r="AE65"/>
      <c r="AF65"/>
      <c r="AG65" s="89"/>
      <c r="AH65" s="89"/>
      <c r="AI65" s="865"/>
      <c r="AJ65" s="89"/>
      <c r="AK65" s="89"/>
      <c r="AL65" s="89"/>
      <c r="AM65" s="89"/>
      <c r="AN65" s="89"/>
      <c r="AP65" s="1336"/>
      <c r="AQ65" s="1336"/>
      <c r="AR65" s="946"/>
      <c r="AS65" s="946"/>
      <c r="AT65" s="946"/>
      <c r="AU65" s="946"/>
      <c r="AV65" s="946"/>
      <c r="AW65" s="946"/>
      <c r="AX65" s="946"/>
      <c r="AY65" s="946"/>
      <c r="AZ65" s="946"/>
      <c r="BA65" s="946"/>
      <c r="BB65" s="525"/>
      <c r="BC65" s="525"/>
      <c r="BD65" s="946"/>
      <c r="BE65" s="946"/>
      <c r="BF65" s="946"/>
      <c r="BG65" s="946"/>
      <c r="BH65" s="946"/>
      <c r="BI65" s="946"/>
      <c r="BJ65" s="946"/>
      <c r="BK65" s="946"/>
      <c r="BL65" s="946"/>
      <c r="BM65" s="946"/>
    </row>
    <row r="66" spans="1:77" s="84" customFormat="1" ht="21" customHeight="1" x14ac:dyDescent="0.2">
      <c r="A66" s="610"/>
      <c r="B66" s="1320"/>
      <c r="C66"/>
      <c r="D66"/>
      <c r="E66" s="370"/>
      <c r="F66" s="368"/>
      <c r="G66" s="2580"/>
      <c r="H66"/>
      <c r="I66" s="38"/>
      <c r="J66" s="38"/>
      <c r="K66" s="38"/>
      <c r="L66" s="38"/>
      <c r="M66" s="1595"/>
      <c r="N66" s="38"/>
      <c r="O66" s="1318"/>
      <c r="P66" s="1318"/>
      <c r="Q66" s="2143"/>
      <c r="R66" s="1593"/>
      <c r="S66" s="1593"/>
      <c r="T66" s="1593"/>
      <c r="U66" s="2282"/>
      <c r="V66" s="1593"/>
      <c r="W66" s="2143"/>
      <c r="X66" s="2143"/>
      <c r="Y66" s="2143"/>
      <c r="Z66" s="2143"/>
      <c r="AA66" s="2143"/>
      <c r="AB66" s="2143"/>
      <c r="AC66" s="1593"/>
      <c r="AD66" s="1256"/>
      <c r="AP66" s="1336"/>
      <c r="AQ66" s="1336"/>
      <c r="AR66" s="946"/>
      <c r="AS66" s="946"/>
      <c r="AT66" s="946"/>
      <c r="AU66" s="946"/>
      <c r="AV66" s="946"/>
      <c r="AW66" s="946"/>
      <c r="AX66" s="946"/>
      <c r="AY66" s="946"/>
      <c r="AZ66" s="946"/>
      <c r="BA66" s="946"/>
      <c r="BB66" s="525"/>
      <c r="BC66" s="525"/>
      <c r="BD66" s="946"/>
      <c r="BE66" s="946"/>
      <c r="BF66" s="946"/>
      <c r="BG66" s="946"/>
      <c r="BH66" s="946"/>
      <c r="BI66" s="946"/>
      <c r="BJ66" s="946"/>
      <c r="BK66" s="946"/>
      <c r="BL66" s="946"/>
    </row>
    <row r="67" spans="1:77" s="84" customFormat="1" ht="20.25" customHeight="1" x14ac:dyDescent="0.2">
      <c r="A67" s="1320"/>
      <c r="B67" s="610"/>
      <c r="C67"/>
      <c r="D67"/>
      <c r="E67" s="370"/>
      <c r="F67" s="368"/>
      <c r="G67" s="2580"/>
      <c r="H67"/>
      <c r="I67" s="38"/>
      <c r="J67" s="38"/>
      <c r="K67" s="38"/>
      <c r="L67" s="38"/>
      <c r="M67" s="1595"/>
      <c r="N67" s="38"/>
      <c r="O67" s="1318"/>
      <c r="P67" s="1318"/>
      <c r="Q67" s="2143"/>
      <c r="R67" s="1593"/>
      <c r="S67" s="1593"/>
      <c r="T67" s="1593"/>
      <c r="U67" s="2282"/>
      <c r="V67" s="1593"/>
      <c r="W67" s="2143"/>
      <c r="X67" s="2143"/>
      <c r="Y67" s="2143"/>
      <c r="Z67" s="2143"/>
      <c r="AA67" s="2143"/>
      <c r="AB67" s="2143"/>
      <c r="AC67" s="1593"/>
      <c r="AD67" s="1256"/>
      <c r="AP67" s="1336"/>
      <c r="AQ67" s="1336"/>
      <c r="AS67" s="946"/>
      <c r="AT67" s="946"/>
      <c r="AU67" s="946"/>
      <c r="AV67" s="946"/>
      <c r="AW67" s="946"/>
      <c r="AX67" s="946"/>
      <c r="AY67" s="946"/>
      <c r="AZ67" s="946"/>
      <c r="BA67" s="946"/>
      <c r="BB67" s="525"/>
      <c r="BC67" s="525"/>
      <c r="BP67" s="1316"/>
      <c r="BQ67" s="1316"/>
      <c r="BR67" s="1316"/>
      <c r="BS67" s="1316"/>
    </row>
    <row r="68" spans="1:77" s="84" customFormat="1" ht="20.25" customHeight="1" x14ac:dyDescent="0.2">
      <c r="A68" s="1320"/>
      <c r="B68" s="610"/>
      <c r="C68"/>
      <c r="D68"/>
      <c r="E68" s="370"/>
      <c r="F68" s="368"/>
      <c r="G68" s="2580"/>
      <c r="H68"/>
      <c r="I68" s="38"/>
      <c r="J68" s="38"/>
      <c r="K68" s="38"/>
      <c r="L68" s="38"/>
      <c r="M68" s="1595"/>
      <c r="N68" s="38"/>
      <c r="O68" s="1318"/>
      <c r="P68" s="1318"/>
      <c r="Q68" s="2143"/>
      <c r="R68" s="1593"/>
      <c r="S68" s="1593"/>
      <c r="T68" s="1593"/>
      <c r="U68" s="2282"/>
      <c r="V68" s="1593"/>
      <c r="W68" s="2143"/>
      <c r="X68" s="2143"/>
      <c r="Y68" s="2143"/>
      <c r="Z68" s="2143"/>
      <c r="AA68" s="2143"/>
      <c r="AB68" s="2143"/>
      <c r="AC68" s="1593"/>
      <c r="AD68" s="1256"/>
      <c r="AP68" s="1336"/>
      <c r="AQ68" s="1336"/>
      <c r="BB68" s="525"/>
      <c r="BC68" s="525"/>
      <c r="BD68" s="946"/>
      <c r="BE68" s="946"/>
      <c r="BN68" s="946"/>
      <c r="BO68" s="946"/>
      <c r="BP68" s="1316"/>
      <c r="BQ68" s="1316"/>
      <c r="BR68" s="1316"/>
      <c r="BS68" s="1316"/>
    </row>
    <row r="69" spans="1:77" s="84" customFormat="1" ht="20.25" customHeight="1" x14ac:dyDescent="0.2">
      <c r="A69" s="1320"/>
      <c r="B69" s="1320"/>
      <c r="C69"/>
      <c r="D69"/>
      <c r="E69" s="370"/>
      <c r="F69" s="368"/>
      <c r="G69" s="2580"/>
      <c r="H69"/>
      <c r="I69" s="38"/>
      <c r="J69" s="38"/>
      <c r="K69" s="38"/>
      <c r="L69" s="38"/>
      <c r="M69" s="1595"/>
      <c r="N69" s="38"/>
      <c r="O69" s="1318"/>
      <c r="P69" s="1318"/>
      <c r="Q69" s="2143"/>
      <c r="R69" s="1593"/>
      <c r="S69" s="1593"/>
      <c r="T69" s="1593"/>
      <c r="U69" s="2282"/>
      <c r="V69" s="1593"/>
      <c r="W69" s="2143"/>
      <c r="X69" s="2143"/>
      <c r="Y69" s="2143"/>
      <c r="Z69" s="2143"/>
      <c r="AA69" s="2143"/>
      <c r="AB69" s="2143"/>
      <c r="AC69" s="1593"/>
      <c r="AD69" s="1256"/>
      <c r="AP69" s="1336"/>
      <c r="AQ69" s="1336"/>
      <c r="BB69" s="525"/>
      <c r="BC69" s="525"/>
      <c r="BD69" s="946"/>
      <c r="BE69" s="946"/>
      <c r="BN69" s="946"/>
      <c r="BO69" s="946"/>
      <c r="BP69" s="1316"/>
      <c r="BQ69" s="1316"/>
      <c r="BR69" s="1316"/>
      <c r="BS69" s="1316"/>
    </row>
    <row r="70" spans="1:77" s="84" customFormat="1" x14ac:dyDescent="0.2">
      <c r="A70" s="610"/>
      <c r="B70" s="1320"/>
      <c r="C70"/>
      <c r="D70"/>
      <c r="E70" s="370"/>
      <c r="F70" s="368"/>
      <c r="G70" s="2580"/>
      <c r="H70"/>
      <c r="I70" s="38"/>
      <c r="J70" s="38"/>
      <c r="K70" s="38"/>
      <c r="L70" s="38"/>
      <c r="M70" s="1595"/>
      <c r="N70" s="38"/>
      <c r="O70" s="1318"/>
      <c r="P70" s="1318"/>
      <c r="Q70" s="2143"/>
      <c r="R70" s="1593"/>
      <c r="S70" s="1593"/>
      <c r="T70" s="1593"/>
      <c r="U70" s="2282"/>
      <c r="V70" s="1593"/>
      <c r="W70" s="2143"/>
      <c r="X70" s="2143"/>
      <c r="Y70" s="2143"/>
      <c r="Z70" s="2143"/>
      <c r="AA70" s="2143"/>
      <c r="AB70" s="2143"/>
      <c r="AC70" s="1593"/>
      <c r="AP70" s="1336"/>
      <c r="AQ70" s="1336"/>
      <c r="BB70" s="525"/>
      <c r="BC70" s="525"/>
      <c r="BE70" s="946"/>
      <c r="BN70" s="946"/>
      <c r="BO70" s="946"/>
      <c r="BP70" s="1316"/>
      <c r="BQ70" s="1316"/>
      <c r="BR70" s="1316"/>
      <c r="BS70" s="1316"/>
    </row>
    <row r="71" spans="1:77" s="84" customFormat="1" x14ac:dyDescent="0.2">
      <c r="A71" s="610"/>
      <c r="B71" s="1320"/>
      <c r="C71"/>
      <c r="D71"/>
      <c r="E71" s="370"/>
      <c r="F71" s="368"/>
      <c r="G71" s="2580"/>
      <c r="H71"/>
      <c r="I71" s="38"/>
      <c r="J71" s="38"/>
      <c r="K71" s="38"/>
      <c r="L71" s="38"/>
      <c r="M71" s="1595"/>
      <c r="N71" s="38"/>
      <c r="O71" s="1318"/>
      <c r="P71" s="1318"/>
      <c r="Q71" s="2143"/>
      <c r="R71" s="1593"/>
      <c r="S71" s="1593"/>
      <c r="T71" s="1593"/>
      <c r="U71" s="2282"/>
      <c r="V71" s="1593"/>
      <c r="W71" s="2143"/>
      <c r="X71" s="2143"/>
      <c r="Y71" s="2143"/>
      <c r="Z71" s="2143"/>
      <c r="AA71" s="2143"/>
      <c r="AB71" s="2143"/>
      <c r="AC71" s="1593"/>
      <c r="AP71" s="1336"/>
      <c r="AQ71" s="1336"/>
      <c r="BB71" s="525"/>
      <c r="BC71" s="525"/>
      <c r="BP71" s="1316"/>
      <c r="BQ71" s="1316"/>
      <c r="BR71" s="1316"/>
      <c r="BS71" s="1316"/>
    </row>
    <row r="72" spans="1:77" s="84" customFormat="1" x14ac:dyDescent="0.2">
      <c r="A72" s="1320"/>
      <c r="B72" s="610"/>
      <c r="C72"/>
      <c r="D72"/>
      <c r="E72" s="370"/>
      <c r="F72" s="368"/>
      <c r="G72" s="2580"/>
      <c r="H72"/>
      <c r="I72" s="38"/>
      <c r="J72" s="38"/>
      <c r="K72" s="38"/>
      <c r="L72" s="38"/>
      <c r="M72" s="1595"/>
      <c r="N72" s="38"/>
      <c r="O72" s="1318"/>
      <c r="P72" s="1318"/>
      <c r="Q72" s="2143"/>
      <c r="R72" s="1593"/>
      <c r="S72" s="1593"/>
      <c r="T72" s="1593"/>
      <c r="U72" s="2282"/>
      <c r="V72" s="1593"/>
      <c r="W72" s="2143"/>
      <c r="X72" s="2143"/>
      <c r="Y72" s="2143"/>
      <c r="Z72" s="2143"/>
      <c r="AA72" s="2143"/>
      <c r="AB72" s="2143"/>
      <c r="AC72" s="1593"/>
      <c r="AP72" s="1336"/>
      <c r="AQ72" s="1336"/>
      <c r="BB72" s="525"/>
      <c r="BC72" s="525"/>
      <c r="BP72" s="1316"/>
      <c r="BQ72" s="1316"/>
      <c r="BR72" s="1316"/>
      <c r="BS72" s="1316"/>
    </row>
    <row r="73" spans="1:77" s="84" customFormat="1" x14ac:dyDescent="0.2">
      <c r="A73" s="1320"/>
      <c r="B73" s="610"/>
      <c r="C73"/>
      <c r="D73"/>
      <c r="E73" s="370"/>
      <c r="F73" s="368"/>
      <c r="G73" s="2580"/>
      <c r="H73"/>
      <c r="I73" s="38"/>
      <c r="J73" s="38"/>
      <c r="K73" s="38"/>
      <c r="L73" s="38"/>
      <c r="M73" s="1595"/>
      <c r="N73" s="38"/>
      <c r="O73" s="1318"/>
      <c r="P73" s="1318"/>
      <c r="Q73" s="2143"/>
      <c r="R73" s="1593"/>
      <c r="S73" s="1593"/>
      <c r="T73" s="1593"/>
      <c r="U73" s="2282"/>
      <c r="V73" s="1593"/>
      <c r="W73" s="2143"/>
      <c r="X73" s="2143"/>
      <c r="Y73" s="2143"/>
      <c r="Z73" s="2143"/>
      <c r="AA73" s="2143"/>
      <c r="AB73" s="2143"/>
      <c r="AC73" s="1593"/>
      <c r="AP73" s="1336"/>
      <c r="AQ73" s="1336"/>
      <c r="BB73" s="525"/>
      <c r="BC73" s="525"/>
      <c r="BP73" s="1316"/>
      <c r="BQ73" s="1316"/>
      <c r="BR73" s="1316"/>
      <c r="BS73" s="1316"/>
    </row>
    <row r="74" spans="1:77" s="84" customFormat="1" x14ac:dyDescent="0.2">
      <c r="A74" s="1320"/>
      <c r="B74" s="610"/>
      <c r="C74"/>
      <c r="D74"/>
      <c r="E74" s="370"/>
      <c r="F74" s="368"/>
      <c r="G74" s="2580"/>
      <c r="H74"/>
      <c r="I74" s="38"/>
      <c r="J74" s="38"/>
      <c r="K74" s="38"/>
      <c r="L74" s="38"/>
      <c r="M74" s="1595"/>
      <c r="N74" s="38"/>
      <c r="O74" s="1318"/>
      <c r="P74" s="1318"/>
      <c r="Q74" s="2143"/>
      <c r="R74" s="1593"/>
      <c r="S74" s="1593"/>
      <c r="T74" s="1593"/>
      <c r="U74" s="2282"/>
      <c r="V74" s="1593"/>
      <c r="W74" s="2143"/>
      <c r="X74" s="2143"/>
      <c r="Y74" s="2143"/>
      <c r="Z74" s="2143"/>
      <c r="AA74" s="2143"/>
      <c r="AB74" s="2143"/>
      <c r="AC74" s="1593"/>
      <c r="AP74" s="1336"/>
      <c r="AQ74" s="1336"/>
      <c r="BB74" s="525"/>
      <c r="BC74" s="525"/>
      <c r="BP74" s="1316"/>
      <c r="BQ74" s="1316"/>
      <c r="BR74" s="1316"/>
      <c r="BS74" s="1316"/>
    </row>
    <row r="75" spans="1:77" s="84" customFormat="1" x14ac:dyDescent="0.2">
      <c r="A75" s="610"/>
      <c r="B75" s="610"/>
      <c r="C75"/>
      <c r="D75"/>
      <c r="E75" s="370"/>
      <c r="F75" s="368"/>
      <c r="G75" s="2580"/>
      <c r="H75"/>
      <c r="I75" s="38"/>
      <c r="J75" s="38"/>
      <c r="K75" s="38"/>
      <c r="L75" s="38"/>
      <c r="M75" s="1595"/>
      <c r="N75" s="38"/>
      <c r="O75" s="1318"/>
      <c r="P75" s="1318"/>
      <c r="Q75" s="2143"/>
      <c r="R75" s="1593"/>
      <c r="S75" s="1593"/>
      <c r="T75" s="1593"/>
      <c r="U75" s="2282"/>
      <c r="V75" s="1593"/>
      <c r="W75" s="2143"/>
      <c r="X75" s="2143"/>
      <c r="Y75" s="2143"/>
      <c r="Z75" s="2143"/>
      <c r="AA75" s="2143"/>
      <c r="AB75" s="2143"/>
      <c r="AC75" s="1593"/>
      <c r="AD75"/>
      <c r="AE75"/>
      <c r="AF75"/>
      <c r="AG75"/>
      <c r="AH75"/>
      <c r="AI75"/>
      <c r="AJ75"/>
      <c r="AK75"/>
      <c r="AL75"/>
      <c r="AM75"/>
      <c r="AN75"/>
      <c r="AO75"/>
      <c r="AP75" s="1336"/>
      <c r="AQ75" s="1336"/>
      <c r="BB75" s="525"/>
      <c r="BC75" s="525"/>
      <c r="BP75" s="1316"/>
      <c r="BQ75" s="1316"/>
      <c r="BR75" s="1316"/>
      <c r="BS75" s="1316"/>
    </row>
    <row r="76" spans="1:77" s="84" customFormat="1" x14ac:dyDescent="0.2">
      <c r="A76" s="610"/>
      <c r="B76" s="610"/>
      <c r="C76"/>
      <c r="D76"/>
      <c r="E76" s="370"/>
      <c r="F76" s="368"/>
      <c r="G76" s="2580"/>
      <c r="H76"/>
      <c r="I76" s="38"/>
      <c r="J76" s="38"/>
      <c r="K76" s="38"/>
      <c r="L76" s="38"/>
      <c r="M76" s="1595"/>
      <c r="N76" s="38"/>
      <c r="O76" s="1318"/>
      <c r="P76" s="1318"/>
      <c r="Q76" s="2143"/>
      <c r="R76" s="1593"/>
      <c r="S76" s="1593"/>
      <c r="T76" s="1593"/>
      <c r="U76" s="2282"/>
      <c r="V76" s="1593"/>
      <c r="W76" s="2143"/>
      <c r="X76" s="2143"/>
      <c r="Y76" s="2143"/>
      <c r="Z76" s="2143"/>
      <c r="AA76" s="2143"/>
      <c r="AB76" s="2143"/>
      <c r="AC76" s="1593"/>
      <c r="AD76"/>
      <c r="AE76"/>
      <c r="AF76"/>
      <c r="AG76"/>
      <c r="AH76"/>
      <c r="AI76"/>
      <c r="AJ76"/>
      <c r="AK76"/>
      <c r="AL76"/>
      <c r="AM76"/>
      <c r="AN76"/>
      <c r="AO76"/>
      <c r="AP76" s="1336"/>
      <c r="AQ76" s="1336"/>
      <c r="BB76" s="525"/>
      <c r="BC76" s="525"/>
      <c r="BP76" s="1316"/>
      <c r="BQ76" s="1316"/>
      <c r="BR76" s="1316"/>
      <c r="BS76" s="1316"/>
    </row>
    <row r="77" spans="1:77" s="84" customFormat="1" x14ac:dyDescent="0.2">
      <c r="A77" s="610"/>
      <c r="B77" s="610"/>
      <c r="C77"/>
      <c r="D77"/>
      <c r="E77" s="370"/>
      <c r="F77" s="368"/>
      <c r="G77" s="2580"/>
      <c r="H77"/>
      <c r="I77" s="38"/>
      <c r="J77" s="38"/>
      <c r="K77" s="38"/>
      <c r="L77" s="38"/>
      <c r="M77" s="1595"/>
      <c r="N77" s="38"/>
      <c r="O77" s="1318"/>
      <c r="P77" s="1318"/>
      <c r="Q77" s="2143"/>
      <c r="R77" s="1593"/>
      <c r="S77" s="1593"/>
      <c r="T77" s="1593"/>
      <c r="U77" s="2282"/>
      <c r="V77" s="1593"/>
      <c r="W77" s="2143"/>
      <c r="X77" s="2143"/>
      <c r="Y77" s="2143"/>
      <c r="Z77" s="2143"/>
      <c r="AA77" s="2143"/>
      <c r="AB77" s="2143"/>
      <c r="AC77" s="1593"/>
      <c r="AD77"/>
      <c r="AE77"/>
      <c r="AF77"/>
      <c r="AG77"/>
      <c r="AH77"/>
      <c r="AI77"/>
      <c r="AJ77"/>
      <c r="AK77"/>
      <c r="AL77"/>
      <c r="AM77"/>
      <c r="AN77"/>
      <c r="AO77"/>
      <c r="AP77" s="1336"/>
      <c r="AQ77" s="1336"/>
      <c r="BB77" s="525"/>
      <c r="BC77" s="525"/>
      <c r="BP77" s="1316"/>
      <c r="BQ77" s="1316"/>
      <c r="BR77" s="1316"/>
      <c r="BS77" s="1316"/>
      <c r="BT77"/>
      <c r="BU77"/>
      <c r="BV77"/>
      <c r="BW77"/>
    </row>
    <row r="78" spans="1:77" s="84" customFormat="1" x14ac:dyDescent="0.2">
      <c r="A78" s="610"/>
      <c r="B78" s="610"/>
      <c r="C78"/>
      <c r="D78"/>
      <c r="E78" s="370"/>
      <c r="F78" s="368"/>
      <c r="G78" s="2580"/>
      <c r="H78"/>
      <c r="I78" s="38"/>
      <c r="J78" s="38"/>
      <c r="K78" s="38"/>
      <c r="L78" s="38"/>
      <c r="M78" s="1595"/>
      <c r="N78" s="38"/>
      <c r="O78" s="1318"/>
      <c r="P78" s="1318"/>
      <c r="Q78" s="2143"/>
      <c r="R78" s="1593"/>
      <c r="S78" s="1593"/>
      <c r="T78" s="1593"/>
      <c r="U78" s="2282"/>
      <c r="V78" s="1593"/>
      <c r="W78" s="2143"/>
      <c r="X78" s="2143"/>
      <c r="Y78" s="2143"/>
      <c r="Z78" s="2143"/>
      <c r="AA78" s="2143"/>
      <c r="AB78" s="2143"/>
      <c r="AC78" s="1593"/>
      <c r="AD78"/>
      <c r="AE78"/>
      <c r="AF78"/>
      <c r="AG78"/>
      <c r="AH78"/>
      <c r="AI78"/>
      <c r="AJ78"/>
      <c r="AK78"/>
      <c r="AL78"/>
      <c r="AM78"/>
      <c r="AN78"/>
      <c r="AO78"/>
      <c r="AP78" s="1336"/>
      <c r="AQ78" s="1336"/>
      <c r="AR78"/>
      <c r="AS78"/>
      <c r="AT78"/>
      <c r="AU78"/>
      <c r="AV78"/>
      <c r="AW78"/>
      <c r="AX78"/>
      <c r="AY78"/>
      <c r="AZ78"/>
      <c r="BA78"/>
      <c r="BB78" s="525"/>
      <c r="BC78" s="525"/>
      <c r="BP78" s="1316"/>
      <c r="BQ78" s="1316"/>
      <c r="BR78" s="1316"/>
      <c r="BS78" s="1316"/>
      <c r="BT78"/>
      <c r="BU78"/>
      <c r="BV78"/>
      <c r="BW78"/>
      <c r="BX78"/>
      <c r="BY78"/>
    </row>
    <row r="79" spans="1:77" s="84" customFormat="1" x14ac:dyDescent="0.2">
      <c r="A79" s="610"/>
      <c r="B79" s="610"/>
      <c r="C79"/>
      <c r="D79"/>
      <c r="E79" s="370"/>
      <c r="F79" s="368"/>
      <c r="G79" s="2580"/>
      <c r="H79"/>
      <c r="I79" s="38"/>
      <c r="J79" s="38"/>
      <c r="K79" s="38"/>
      <c r="L79" s="38"/>
      <c r="M79" s="1595"/>
      <c r="N79" s="38"/>
      <c r="O79" s="1318"/>
      <c r="P79" s="1318"/>
      <c r="Q79" s="2143"/>
      <c r="R79" s="1593"/>
      <c r="S79" s="1593"/>
      <c r="T79" s="1593"/>
      <c r="U79" s="2282"/>
      <c r="V79" s="1593"/>
      <c r="W79" s="2143"/>
      <c r="X79" s="2143"/>
      <c r="Y79" s="2143"/>
      <c r="Z79" s="2143"/>
      <c r="AA79" s="2143"/>
      <c r="AB79" s="2143"/>
      <c r="AC79" s="1593"/>
      <c r="AD79"/>
      <c r="AE79"/>
      <c r="AF79"/>
      <c r="AG79"/>
      <c r="AH79"/>
      <c r="AI79"/>
      <c r="AJ79"/>
      <c r="AK79"/>
      <c r="AL79"/>
      <c r="AM79"/>
      <c r="AN79"/>
      <c r="AO79"/>
      <c r="AP79" s="1336"/>
      <c r="AQ79" s="1336"/>
      <c r="AR79"/>
      <c r="AS79"/>
      <c r="AT79"/>
      <c r="AU79"/>
      <c r="AV79"/>
      <c r="AW79"/>
      <c r="AX79"/>
      <c r="AY79"/>
      <c r="AZ79"/>
      <c r="BA79"/>
      <c r="BB79" s="525"/>
      <c r="BC79" s="525"/>
      <c r="BP79" s="1316"/>
      <c r="BQ79" s="1316"/>
      <c r="BR79" s="1316"/>
      <c r="BS79" s="1316"/>
      <c r="BT79"/>
      <c r="BU79"/>
      <c r="BV79"/>
      <c r="BW79"/>
      <c r="BX79"/>
      <c r="BY79"/>
    </row>
    <row r="80" spans="1:77" x14ac:dyDescent="0.2">
      <c r="BD80" s="84"/>
      <c r="BE80" s="84"/>
      <c r="BF80" s="84"/>
      <c r="BG80" s="84"/>
      <c r="BH80" s="84"/>
      <c r="BI80" s="84"/>
      <c r="BJ80" s="84"/>
      <c r="BK80" s="84"/>
      <c r="BL80" s="84"/>
    </row>
  </sheetData>
  <sheetProtection formatColumns="0" insertColumns="0" deleteColumns="0"/>
  <mergeCells count="17">
    <mergeCell ref="A44:B46"/>
    <mergeCell ref="B37:B39"/>
    <mergeCell ref="B40:B42"/>
    <mergeCell ref="A34:A36"/>
    <mergeCell ref="A37:A42"/>
    <mergeCell ref="B28:B30"/>
    <mergeCell ref="B31:B33"/>
    <mergeCell ref="A28:A33"/>
    <mergeCell ref="B34:B36"/>
    <mergeCell ref="BC16:BM19"/>
    <mergeCell ref="BC2:BM2"/>
    <mergeCell ref="B23:B27"/>
    <mergeCell ref="A16:A21"/>
    <mergeCell ref="A23:A27"/>
    <mergeCell ref="B16:B20"/>
    <mergeCell ref="B5:B14"/>
    <mergeCell ref="A5:A15"/>
  </mergeCells>
  <conditionalFormatting sqref="I35 I42 I33:L33 I30 I39 I19:I21 J19:L19">
    <cfRule type="expression" dxfId="4403" priority="407">
      <formula>$E19=1</formula>
    </cfRule>
  </conditionalFormatting>
  <conditionalFormatting sqref="J35 J42 J30 J39 J20:J21">
    <cfRule type="expression" dxfId="4402" priority="415">
      <formula>$E20=2</formula>
    </cfRule>
  </conditionalFormatting>
  <conditionalFormatting sqref="K35 K42 K30 K39 K20:K21">
    <cfRule type="expression" dxfId="4401" priority="423">
      <formula>$E20=3</formula>
    </cfRule>
  </conditionalFormatting>
  <conditionalFormatting sqref="L35 L42 L30 L39 L20:L21">
    <cfRule type="expression" dxfId="4400" priority="431">
      <formula>$E20=4</formula>
    </cfRule>
  </conditionalFormatting>
  <conditionalFormatting sqref="I5:I6 I17:I18 I36 I32 I38 I41 J24:L24 I29 I14:I15 J18:L18 I45 I24:I25 I27">
    <cfRule type="expression" dxfId="4399" priority="355" stopIfTrue="1">
      <formula>$E5&gt;=1</formula>
    </cfRule>
  </conditionalFormatting>
  <conditionalFormatting sqref="I5:K6 I17:K18 I36:K36 I24:K25 I32:K32 I38:K38 I41:K41 J24:L24 I29:L29 I14:K15 J18:L18 I45:K45 I25:L25 I27:K27">
    <cfRule type="expression" dxfId="4398" priority="115" stopIfTrue="1">
      <formula>$E5&gt;=3</formula>
    </cfRule>
  </conditionalFormatting>
  <conditionalFormatting sqref="I5:J6 I17:J18 I36:J36 I24:J25 I32:J32 I38:J38 I41:J41 J24:L24 I29:L29 I14:J15 J18:L18 I45:J45 I25:L25 I27:J27">
    <cfRule type="expression" dxfId="4397" priority="116" stopIfTrue="1">
      <formula>$E5&gt;=2</formula>
    </cfRule>
  </conditionalFormatting>
  <conditionalFormatting sqref="I5:L6 I36:L36 I32:L32 I38:L38 I41:L41 L49 I29:L29 I14:L15 I17:L18 L46 I45:L45 L44 I24:L25 I27:L27">
    <cfRule type="expression" dxfId="4396" priority="114" stopIfTrue="1">
      <formula>$E5&gt;=4</formula>
    </cfRule>
  </conditionalFormatting>
  <conditionalFormatting sqref="I13">
    <cfRule type="expression" dxfId="4395" priority="433" stopIfTrue="1">
      <formula>#REF!&gt;=1</formula>
    </cfRule>
  </conditionalFormatting>
  <conditionalFormatting sqref="I13:K13">
    <cfRule type="expression" dxfId="4394" priority="435" stopIfTrue="1">
      <formula>#REF!&gt;=3</formula>
    </cfRule>
  </conditionalFormatting>
  <conditionalFormatting sqref="I13:J13">
    <cfRule type="expression" dxfId="4393" priority="437" stopIfTrue="1">
      <formula>#REF!&gt;=2</formula>
    </cfRule>
  </conditionalFormatting>
  <conditionalFormatting sqref="I13:L13">
    <cfRule type="expression" dxfId="4392" priority="439" stopIfTrue="1">
      <formula>#REF!&gt;=4</formula>
    </cfRule>
  </conditionalFormatting>
  <conditionalFormatting sqref="I21">
    <cfRule type="expression" dxfId="4391" priority="61" stopIfTrue="1">
      <formula>$E21&gt;=1</formula>
    </cfRule>
  </conditionalFormatting>
  <conditionalFormatting sqref="I21:K21">
    <cfRule type="expression" dxfId="4390" priority="60" stopIfTrue="1">
      <formula>$E21&gt;=3</formula>
    </cfRule>
  </conditionalFormatting>
  <conditionalFormatting sqref="I21:J21">
    <cfRule type="expression" dxfId="4389" priority="59" stopIfTrue="1">
      <formula>$E21&gt;=2</formula>
    </cfRule>
  </conditionalFormatting>
  <conditionalFormatting sqref="I21:L21">
    <cfRule type="expression" dxfId="4388" priority="58" stopIfTrue="1">
      <formula>$E21&gt;=4</formula>
    </cfRule>
  </conditionalFormatting>
  <conditionalFormatting sqref="I7:I12">
    <cfRule type="expression" dxfId="4387" priority="457" stopIfTrue="1">
      <formula>$E8&gt;=1</formula>
    </cfRule>
  </conditionalFormatting>
  <conditionalFormatting sqref="I7:K12">
    <cfRule type="expression" dxfId="4386" priority="458" stopIfTrue="1">
      <formula>$E8&gt;=3</formula>
    </cfRule>
  </conditionalFormatting>
  <conditionalFormatting sqref="I7:J12">
    <cfRule type="expression" dxfId="4385" priority="459" stopIfTrue="1">
      <formula>$E8&gt;=2</formula>
    </cfRule>
  </conditionalFormatting>
  <conditionalFormatting sqref="I7:L12">
    <cfRule type="expression" dxfId="4384" priority="460" stopIfTrue="1">
      <formula>$E8&gt;=4</formula>
    </cfRule>
  </conditionalFormatting>
  <conditionalFormatting sqref="BP6">
    <cfRule type="expression" dxfId="4383" priority="57" stopIfTrue="1">
      <formula>$E6&gt;=1</formula>
    </cfRule>
  </conditionalFormatting>
  <conditionalFormatting sqref="BP6:BR6">
    <cfRule type="expression" dxfId="4382" priority="55" stopIfTrue="1">
      <formula>$E6&gt;=3</formula>
    </cfRule>
  </conditionalFormatting>
  <conditionalFormatting sqref="BP6:BQ6">
    <cfRule type="expression" dxfId="4381" priority="56" stopIfTrue="1">
      <formula>$E6&gt;=2</formula>
    </cfRule>
  </conditionalFormatting>
  <conditionalFormatting sqref="BP6:BS6">
    <cfRule type="expression" dxfId="4380" priority="54" stopIfTrue="1">
      <formula>$E6&gt;=4</formula>
    </cfRule>
  </conditionalFormatting>
  <conditionalFormatting sqref="BP11">
    <cfRule type="expression" dxfId="4379" priority="50" stopIfTrue="1">
      <formula>$E12&gt;=1</formula>
    </cfRule>
  </conditionalFormatting>
  <conditionalFormatting sqref="BP11:BR11">
    <cfRule type="expression" dxfId="4378" priority="51" stopIfTrue="1">
      <formula>$E12&gt;=3</formula>
    </cfRule>
  </conditionalFormatting>
  <conditionalFormatting sqref="BP11:BQ11">
    <cfRule type="expression" dxfId="4377" priority="52" stopIfTrue="1">
      <formula>$E12&gt;=2</formula>
    </cfRule>
  </conditionalFormatting>
  <conditionalFormatting sqref="BP11:BS11">
    <cfRule type="expression" dxfId="4376" priority="53" stopIfTrue="1">
      <formula>$E12&gt;=4</formula>
    </cfRule>
  </conditionalFormatting>
  <conditionalFormatting sqref="BP12">
    <cfRule type="expression" dxfId="4375" priority="46" stopIfTrue="1">
      <formula>$E13&gt;=1</formula>
    </cfRule>
  </conditionalFormatting>
  <conditionalFormatting sqref="BP12:BR12">
    <cfRule type="expression" dxfId="4374" priority="47" stopIfTrue="1">
      <formula>$E13&gt;=3</formula>
    </cfRule>
  </conditionalFormatting>
  <conditionalFormatting sqref="BP12:BQ12">
    <cfRule type="expression" dxfId="4373" priority="48" stopIfTrue="1">
      <formula>$E13&gt;=2</formula>
    </cfRule>
  </conditionalFormatting>
  <conditionalFormatting sqref="BP12:BS12">
    <cfRule type="expression" dxfId="4372" priority="49" stopIfTrue="1">
      <formula>$E13&gt;=4</formula>
    </cfRule>
  </conditionalFormatting>
  <conditionalFormatting sqref="BP13">
    <cfRule type="expression" dxfId="4371" priority="42" stopIfTrue="1">
      <formula>#REF!&gt;=1</formula>
    </cfRule>
  </conditionalFormatting>
  <conditionalFormatting sqref="BP13:BR13">
    <cfRule type="expression" dxfId="4370" priority="43" stopIfTrue="1">
      <formula>#REF!&gt;=3</formula>
    </cfRule>
  </conditionalFormatting>
  <conditionalFormatting sqref="BP13:BQ13">
    <cfRule type="expression" dxfId="4369" priority="44" stopIfTrue="1">
      <formula>#REF!&gt;=2</formula>
    </cfRule>
  </conditionalFormatting>
  <conditionalFormatting sqref="BP13:BS13">
    <cfRule type="expression" dxfId="4368" priority="45" stopIfTrue="1">
      <formula>#REF!&gt;=4</formula>
    </cfRule>
  </conditionalFormatting>
  <conditionalFormatting sqref="BP14">
    <cfRule type="expression" dxfId="4367" priority="41" stopIfTrue="1">
      <formula>$E14&gt;=1</formula>
    </cfRule>
  </conditionalFormatting>
  <conditionalFormatting sqref="BP14:BR14">
    <cfRule type="expression" dxfId="4366" priority="39" stopIfTrue="1">
      <formula>$E14&gt;=3</formula>
    </cfRule>
  </conditionalFormatting>
  <conditionalFormatting sqref="BP14:BQ14">
    <cfRule type="expression" dxfId="4365" priority="40" stopIfTrue="1">
      <formula>$E14&gt;=2</formula>
    </cfRule>
  </conditionalFormatting>
  <conditionalFormatting sqref="BP14:BS14">
    <cfRule type="expression" dxfId="4364" priority="38" stopIfTrue="1">
      <formula>$E14&gt;=4</formula>
    </cfRule>
  </conditionalFormatting>
  <conditionalFormatting sqref="BP15">
    <cfRule type="expression" dxfId="4363" priority="37" stopIfTrue="1">
      <formula>$E15&gt;=1</formula>
    </cfRule>
  </conditionalFormatting>
  <conditionalFormatting sqref="BP15:BR15">
    <cfRule type="expression" dxfId="4362" priority="35" stopIfTrue="1">
      <formula>$E15&gt;=3</formula>
    </cfRule>
  </conditionalFormatting>
  <conditionalFormatting sqref="BP15:BQ15">
    <cfRule type="expression" dxfId="4361" priority="36" stopIfTrue="1">
      <formula>$E15&gt;=2</formula>
    </cfRule>
  </conditionalFormatting>
  <conditionalFormatting sqref="BP15:BS15">
    <cfRule type="expression" dxfId="4360" priority="34" stopIfTrue="1">
      <formula>$E15&gt;=4</formula>
    </cfRule>
  </conditionalFormatting>
  <conditionalFormatting sqref="BP17">
    <cfRule type="expression" dxfId="4359" priority="33" stopIfTrue="1">
      <formula>$E17&gt;=1</formula>
    </cfRule>
  </conditionalFormatting>
  <conditionalFormatting sqref="BP17:BR17">
    <cfRule type="expression" dxfId="4358" priority="31" stopIfTrue="1">
      <formula>$E17&gt;=3</formula>
    </cfRule>
  </conditionalFormatting>
  <conditionalFormatting sqref="BP17:BQ17">
    <cfRule type="expression" dxfId="4357" priority="32" stopIfTrue="1">
      <formula>$E17&gt;=2</formula>
    </cfRule>
  </conditionalFormatting>
  <conditionalFormatting sqref="BP17:BS17">
    <cfRule type="expression" dxfId="4356" priority="30" stopIfTrue="1">
      <formula>$E17&gt;=4</formula>
    </cfRule>
  </conditionalFormatting>
  <conditionalFormatting sqref="BP18:BS18">
    <cfRule type="expression" dxfId="4355" priority="29" stopIfTrue="1">
      <formula>$E18&gt;=1</formula>
    </cfRule>
  </conditionalFormatting>
  <conditionalFormatting sqref="BP18:BS18">
    <cfRule type="expression" dxfId="4354" priority="27" stopIfTrue="1">
      <formula>$E18&gt;=3</formula>
    </cfRule>
  </conditionalFormatting>
  <conditionalFormatting sqref="BP18:BS18">
    <cfRule type="expression" dxfId="4353" priority="28" stopIfTrue="1">
      <formula>$E18&gt;=2</formula>
    </cfRule>
  </conditionalFormatting>
  <conditionalFormatting sqref="BP18:BS18">
    <cfRule type="expression" dxfId="4352" priority="26" stopIfTrue="1">
      <formula>$E18&gt;=4</formula>
    </cfRule>
  </conditionalFormatting>
  <conditionalFormatting sqref="BP19:BS19">
    <cfRule type="expression" dxfId="4351" priority="25">
      <formula>$E19=1</formula>
    </cfRule>
  </conditionalFormatting>
  <conditionalFormatting sqref="BP45">
    <cfRule type="expression" dxfId="4350" priority="20" stopIfTrue="1">
      <formula>$E45&gt;=1</formula>
    </cfRule>
  </conditionalFormatting>
  <conditionalFormatting sqref="BP45:BR45">
    <cfRule type="expression" dxfId="4349" priority="18" stopIfTrue="1">
      <formula>$E45&gt;=3</formula>
    </cfRule>
  </conditionalFormatting>
  <conditionalFormatting sqref="BP45:BQ45">
    <cfRule type="expression" dxfId="4348" priority="19" stopIfTrue="1">
      <formula>$E45&gt;=2</formula>
    </cfRule>
  </conditionalFormatting>
  <conditionalFormatting sqref="BP45:BR45">
    <cfRule type="expression" dxfId="4347" priority="17" stopIfTrue="1">
      <formula>$E45&gt;=4</formula>
    </cfRule>
  </conditionalFormatting>
  <conditionalFormatting sqref="BP46">
    <cfRule type="expression" dxfId="4346" priority="16" stopIfTrue="1">
      <formula>$E44&gt;=1</formula>
    </cfRule>
  </conditionalFormatting>
  <conditionalFormatting sqref="BP46:BR46">
    <cfRule type="expression" dxfId="4345" priority="14" stopIfTrue="1">
      <formula>$E44&gt;=3</formula>
    </cfRule>
  </conditionalFormatting>
  <conditionalFormatting sqref="BP46:BQ46">
    <cfRule type="expression" dxfId="4344" priority="15" stopIfTrue="1">
      <formula>$E44&gt;=2</formula>
    </cfRule>
  </conditionalFormatting>
  <conditionalFormatting sqref="BP46:BR46">
    <cfRule type="expression" dxfId="4343" priority="13" stopIfTrue="1">
      <formula>$E44&gt;=4</formula>
    </cfRule>
  </conditionalFormatting>
  <conditionalFormatting sqref="I46">
    <cfRule type="expression" dxfId="4342" priority="462" stopIfTrue="1">
      <formula>$E44&gt;=1</formula>
    </cfRule>
  </conditionalFormatting>
  <conditionalFormatting sqref="I46:K46">
    <cfRule type="expression" dxfId="4341" priority="464" stopIfTrue="1">
      <formula>$E44&gt;=3</formula>
    </cfRule>
  </conditionalFormatting>
  <conditionalFormatting sqref="I46:J46">
    <cfRule type="expression" dxfId="4340" priority="466" stopIfTrue="1">
      <formula>$E44&gt;=2</formula>
    </cfRule>
  </conditionalFormatting>
  <conditionalFormatting sqref="I46:K46">
    <cfRule type="expression" dxfId="4339" priority="468" stopIfTrue="1">
      <formula>$E44&gt;=4</formula>
    </cfRule>
  </conditionalFormatting>
  <conditionalFormatting sqref="I44:K44">
    <cfRule type="expression" dxfId="4338" priority="12" stopIfTrue="1">
      <formula>$E44&gt;=1</formula>
    </cfRule>
  </conditionalFormatting>
  <conditionalFormatting sqref="I44:K44">
    <cfRule type="expression" dxfId="4337" priority="10" stopIfTrue="1">
      <formula>$E44&gt;=3</formula>
    </cfRule>
  </conditionalFormatting>
  <conditionalFormatting sqref="I44:K44">
    <cfRule type="expression" dxfId="4336" priority="11" stopIfTrue="1">
      <formula>$E44&gt;=2</formula>
    </cfRule>
  </conditionalFormatting>
  <conditionalFormatting sqref="I44:K44">
    <cfRule type="expression" dxfId="4335" priority="9" stopIfTrue="1">
      <formula>$E44&gt;=4</formula>
    </cfRule>
  </conditionalFormatting>
  <conditionalFormatting sqref="BP44:BR44">
    <cfRule type="expression" dxfId="4334" priority="4" stopIfTrue="1">
      <formula>$E44&gt;=1</formula>
    </cfRule>
  </conditionalFormatting>
  <conditionalFormatting sqref="BP44:BR44">
    <cfRule type="expression" dxfId="4333" priority="2" stopIfTrue="1">
      <formula>$E44&gt;=3</formula>
    </cfRule>
  </conditionalFormatting>
  <conditionalFormatting sqref="BP44:BR44">
    <cfRule type="expression" dxfId="4332" priority="3" stopIfTrue="1">
      <formula>$E44&gt;=2</formula>
    </cfRule>
  </conditionalFormatting>
  <conditionalFormatting sqref="BP44:BR44">
    <cfRule type="expression" dxfId="4331" priority="1" stopIfTrue="1">
      <formula>$E44&gt;=4</formula>
    </cfRule>
  </conditionalFormatting>
  <hyperlinks>
    <hyperlink ref="E1" r:id="rId1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A1:AV229"/>
  <sheetViews>
    <sheetView windowProtection="1" workbookViewId="0"/>
  </sheetViews>
  <sheetFormatPr defaultColWidth="8.7109375" defaultRowHeight="12.75" x14ac:dyDescent="0.2"/>
  <cols>
    <col min="1" max="1" width="2.28515625" style="2022" customWidth="1"/>
    <col min="2" max="2" width="8.7109375" style="2022"/>
    <col min="3" max="3" width="27.42578125" style="2022" customWidth="1"/>
    <col min="4" max="4" width="13.7109375" style="2022" customWidth="1"/>
    <col min="5" max="5" width="1.140625" style="2022" customWidth="1"/>
    <col min="6" max="15" width="8.7109375" style="2022" customWidth="1"/>
    <col min="16" max="16" width="1.28515625" style="2022" customWidth="1"/>
    <col min="17" max="26" width="8.7109375" style="2022"/>
    <col min="27" max="27" width="0.7109375" style="2022" customWidth="1"/>
    <col min="28" max="37" width="8.7109375" style="2022"/>
    <col min="38" max="38" width="0.7109375" style="2022" customWidth="1"/>
    <col min="39" max="16384" width="8.7109375" style="2022"/>
  </cols>
  <sheetData>
    <row r="1" spans="1:10" x14ac:dyDescent="0.2">
      <c r="A1" s="2168"/>
      <c r="B1" s="2168"/>
      <c r="C1" s="2168"/>
      <c r="D1" s="2168"/>
      <c r="E1" s="2168"/>
      <c r="F1" s="2168"/>
    </row>
    <row r="2" spans="1:10" x14ac:dyDescent="0.2">
      <c r="A2" s="2168"/>
      <c r="B2" s="2168"/>
      <c r="C2" s="2168" t="s">
        <v>2091</v>
      </c>
      <c r="D2" s="2168" t="s">
        <v>2089</v>
      </c>
      <c r="E2" s="2168"/>
      <c r="F2" s="2168"/>
      <c r="H2" s="2022" t="s">
        <v>2092</v>
      </c>
      <c r="J2" s="1475" t="s">
        <v>2093</v>
      </c>
    </row>
    <row r="3" spans="1:10" x14ac:dyDescent="0.2">
      <c r="A3" s="2168"/>
      <c r="B3" s="2168"/>
      <c r="C3" s="90" t="s">
        <v>894</v>
      </c>
      <c r="D3" s="1661">
        <f ca="1">'Air Quality'!N$111/'Air Quality'!$F$111*100</f>
        <v>12.937373195955763</v>
      </c>
      <c r="F3" s="2168"/>
    </row>
    <row r="4" spans="1:10" x14ac:dyDescent="0.2">
      <c r="A4" s="2168"/>
      <c r="C4" s="90" t="s">
        <v>893</v>
      </c>
      <c r="D4" s="1661">
        <f ca="1">'Air Quality'!N$195/'Air Quality'!$F$111*100</f>
        <v>6.6120541275657638</v>
      </c>
      <c r="F4" s="2168"/>
    </row>
    <row r="5" spans="1:10" x14ac:dyDescent="0.2">
      <c r="A5" s="2168"/>
      <c r="B5" s="2168"/>
      <c r="C5" s="2168"/>
      <c r="D5" s="2168"/>
      <c r="E5" s="2168"/>
      <c r="F5" s="2168"/>
    </row>
    <row r="6" spans="1:10" x14ac:dyDescent="0.2">
      <c r="A6" s="2168"/>
      <c r="B6" s="2168"/>
      <c r="C6" s="2168" t="s">
        <v>2090</v>
      </c>
      <c r="D6" s="1426" t="s">
        <v>893</v>
      </c>
      <c r="E6" s="1426" t="s">
        <v>894</v>
      </c>
      <c r="F6" s="2168"/>
    </row>
    <row r="7" spans="1:10" x14ac:dyDescent="0.2">
      <c r="A7" s="2168"/>
      <c r="B7" s="2168"/>
      <c r="C7" s="131" t="s">
        <v>241</v>
      </c>
      <c r="D7" s="2168">
        <v>100</v>
      </c>
      <c r="E7" s="2168"/>
      <c r="F7" s="2168"/>
    </row>
    <row r="8" spans="1:10" x14ac:dyDescent="0.2">
      <c r="A8" s="2168"/>
      <c r="B8" s="2168"/>
      <c r="C8" s="131" t="s">
        <v>2089</v>
      </c>
      <c r="D8" s="1661">
        <f ca="1">D4</f>
        <v>6.6120541275657638</v>
      </c>
      <c r="E8" s="1661">
        <f ca="1">D3-D8</f>
        <v>6.3253190683899989</v>
      </c>
      <c r="F8" s="2168"/>
    </row>
    <row r="9" spans="1:10" x14ac:dyDescent="0.2">
      <c r="A9" s="2168"/>
      <c r="B9" s="2168"/>
      <c r="C9" s="2168"/>
      <c r="D9" s="2168"/>
      <c r="E9" s="2168"/>
      <c r="F9" s="2168"/>
    </row>
    <row r="10" spans="1:10" x14ac:dyDescent="0.2">
      <c r="A10" s="2168"/>
      <c r="B10" s="2168"/>
      <c r="C10" s="2168"/>
      <c r="D10" s="2168"/>
      <c r="E10" s="2168"/>
      <c r="F10" s="2168"/>
    </row>
    <row r="11" spans="1:10" x14ac:dyDescent="0.2">
      <c r="A11" s="2168"/>
      <c r="B11" s="2168"/>
      <c r="C11" s="2168"/>
      <c r="D11" s="2168"/>
      <c r="E11" s="2168"/>
      <c r="F11" s="2168"/>
    </row>
    <row r="12" spans="1:10" x14ac:dyDescent="0.2">
      <c r="A12" s="2168"/>
      <c r="B12" s="2168"/>
      <c r="C12" s="2168"/>
      <c r="D12" s="2168"/>
      <c r="E12" s="2168"/>
      <c r="F12" s="2168"/>
    </row>
    <row r="13" spans="1:10" x14ac:dyDescent="0.2">
      <c r="A13" s="2168"/>
      <c r="B13" s="2168"/>
      <c r="C13" s="2168"/>
      <c r="D13" s="2168"/>
      <c r="E13" s="2168"/>
      <c r="F13" s="2168"/>
    </row>
    <row r="14" spans="1:10" x14ac:dyDescent="0.2">
      <c r="A14" s="2168"/>
      <c r="B14" s="2168"/>
      <c r="C14" s="2168"/>
      <c r="D14" s="2168"/>
      <c r="E14" s="2168"/>
      <c r="F14" s="2168"/>
    </row>
    <row r="15" spans="1:10" x14ac:dyDescent="0.2">
      <c r="A15" s="2168"/>
      <c r="B15" s="2168"/>
      <c r="C15" s="2168"/>
      <c r="D15" s="2168"/>
      <c r="E15" s="2168"/>
      <c r="F15" s="2168"/>
    </row>
    <row r="16" spans="1:10" x14ac:dyDescent="0.2">
      <c r="A16" s="2168"/>
      <c r="B16" s="2168"/>
      <c r="C16" s="2168"/>
      <c r="D16" s="2168"/>
      <c r="E16" s="2168"/>
      <c r="F16" s="2168"/>
    </row>
    <row r="17" spans="1:48" x14ac:dyDescent="0.2">
      <c r="A17" s="2168"/>
      <c r="B17" s="2168"/>
      <c r="C17" s="2168"/>
      <c r="D17" s="2168"/>
      <c r="E17" s="2168"/>
      <c r="F17" s="2168"/>
    </row>
    <row r="18" spans="1:48" x14ac:dyDescent="0.2">
      <c r="A18" s="2168"/>
      <c r="B18" s="2168"/>
      <c r="C18" s="2168"/>
      <c r="D18" s="2168"/>
      <c r="E18" s="2168"/>
      <c r="F18" s="2168"/>
    </row>
    <row r="19" spans="1:48" x14ac:dyDescent="0.2">
      <c r="A19" s="2168"/>
      <c r="B19" s="2168"/>
      <c r="C19" s="2168"/>
      <c r="D19" s="2168"/>
      <c r="E19" s="2168"/>
      <c r="F19" s="2168"/>
    </row>
    <row r="20" spans="1:48" x14ac:dyDescent="0.2">
      <c r="A20" s="2168"/>
      <c r="B20" s="2168"/>
      <c r="C20" s="2168"/>
      <c r="D20" s="2168"/>
      <c r="E20" s="2168"/>
      <c r="F20" s="2168"/>
    </row>
    <row r="21" spans="1:48" x14ac:dyDescent="0.2">
      <c r="A21" s="2168"/>
      <c r="B21" s="2168"/>
      <c r="C21" s="2168"/>
      <c r="D21" s="2168"/>
      <c r="E21" s="2168"/>
      <c r="F21" s="2168"/>
    </row>
    <row r="22" spans="1:48" x14ac:dyDescent="0.2">
      <c r="A22" s="2168"/>
      <c r="B22" s="2168"/>
      <c r="C22" s="2168"/>
      <c r="D22" s="2168"/>
      <c r="E22" s="2168"/>
      <c r="F22" s="2168"/>
    </row>
    <row r="23" spans="1:48" x14ac:dyDescent="0.2">
      <c r="A23" s="2168"/>
      <c r="B23" s="2168"/>
      <c r="C23" s="2168"/>
      <c r="D23" s="2168"/>
      <c r="E23" s="2168"/>
      <c r="F23" s="2168"/>
    </row>
    <row r="24" spans="1:48" x14ac:dyDescent="0.2">
      <c r="A24" s="2168"/>
      <c r="B24" s="2168"/>
      <c r="C24" s="2168"/>
      <c r="D24" s="2168"/>
      <c r="E24" s="2168"/>
      <c r="F24" s="2168"/>
    </row>
    <row r="25" spans="1:48" x14ac:dyDescent="0.2">
      <c r="A25" s="2168"/>
      <c r="B25" s="2168"/>
      <c r="C25" s="2168"/>
      <c r="D25" s="2168"/>
      <c r="E25" s="2168"/>
      <c r="F25" s="2168"/>
    </row>
    <row r="26" spans="1:48" x14ac:dyDescent="0.2">
      <c r="A26" s="2168"/>
      <c r="B26" s="2168"/>
      <c r="C26" s="2168"/>
      <c r="D26" s="2168"/>
      <c r="E26" s="2168"/>
      <c r="F26" s="2168"/>
    </row>
    <row r="27" spans="1:48" x14ac:dyDescent="0.2">
      <c r="A27" s="2168"/>
      <c r="B27" s="2168"/>
      <c r="C27" s="2168"/>
      <c r="D27" s="2168"/>
      <c r="E27" s="2168"/>
      <c r="F27" s="2168"/>
    </row>
    <row r="28" spans="1:48" x14ac:dyDescent="0.2">
      <c r="A28" s="2168"/>
      <c r="B28" s="2168"/>
      <c r="C28" s="2168"/>
      <c r="D28" s="2168"/>
      <c r="E28" s="2168"/>
      <c r="F28" s="2168"/>
    </row>
    <row r="29" spans="1:48" x14ac:dyDescent="0.2">
      <c r="A29" s="2168"/>
      <c r="B29" s="2168"/>
      <c r="C29" s="2168"/>
      <c r="D29" s="2168"/>
      <c r="E29" s="2168"/>
      <c r="F29" s="2168"/>
    </row>
    <row r="30" spans="1:48" x14ac:dyDescent="0.2">
      <c r="A30" s="2168"/>
      <c r="B30" s="2168"/>
      <c r="C30" s="2168"/>
      <c r="D30" s="2168"/>
      <c r="E30" s="2168"/>
      <c r="F30" s="2168"/>
    </row>
    <row r="32" spans="1:48" x14ac:dyDescent="0.2">
      <c r="B32" s="1427" t="s">
        <v>1839</v>
      </c>
      <c r="F32" s="1427" t="s">
        <v>1787</v>
      </c>
      <c r="G32" s="1427" t="s">
        <v>1791</v>
      </c>
      <c r="H32" s="1427"/>
      <c r="I32" s="1427"/>
      <c r="J32" s="1427"/>
      <c r="K32" s="1427"/>
      <c r="L32" s="1427"/>
      <c r="M32" s="1427"/>
      <c r="N32" s="1427"/>
      <c r="O32" s="172" t="s">
        <v>1838</v>
      </c>
      <c r="Q32" s="1427" t="s">
        <v>1794</v>
      </c>
      <c r="R32" s="1427" t="s">
        <v>1788</v>
      </c>
      <c r="S32" s="1427"/>
      <c r="T32" s="1427"/>
      <c r="U32" s="1427"/>
      <c r="V32" s="1427"/>
      <c r="W32" s="1427"/>
      <c r="X32" s="1427"/>
      <c r="Y32" s="1427"/>
      <c r="Z32" s="172" t="s">
        <v>1838</v>
      </c>
      <c r="AB32" s="1427" t="s">
        <v>1795</v>
      </c>
      <c r="AC32" s="1427" t="s">
        <v>1789</v>
      </c>
      <c r="AD32" s="1427"/>
      <c r="AE32" s="1427"/>
      <c r="AF32" s="1427"/>
      <c r="AG32" s="1427"/>
      <c r="AH32" s="1427"/>
      <c r="AI32" s="1427"/>
      <c r="AJ32" s="1427"/>
      <c r="AK32" s="172" t="s">
        <v>1838</v>
      </c>
      <c r="AM32" s="1427" t="s">
        <v>1792</v>
      </c>
      <c r="AN32" s="1427" t="s">
        <v>1790</v>
      </c>
      <c r="AO32" s="1427"/>
      <c r="AP32" s="1427"/>
      <c r="AQ32" s="1427"/>
      <c r="AR32" s="1427"/>
      <c r="AS32" s="1427"/>
      <c r="AT32" s="1427"/>
      <c r="AU32" s="1427"/>
      <c r="AV32" s="172" t="s">
        <v>1838</v>
      </c>
    </row>
    <row r="33" spans="2:47" ht="13.5" thickBot="1" x14ac:dyDescent="0.25">
      <c r="B33" s="1681" t="s">
        <v>69</v>
      </c>
      <c r="C33" s="1681" t="s">
        <v>65</v>
      </c>
      <c r="D33" s="1682" t="s">
        <v>67</v>
      </c>
      <c r="F33" s="1681">
        <v>2010</v>
      </c>
      <c r="G33" s="1681">
        <v>2015</v>
      </c>
      <c r="H33" s="1681">
        <v>2020</v>
      </c>
      <c r="I33" s="1681">
        <v>2025</v>
      </c>
      <c r="J33" s="1681">
        <v>2030</v>
      </c>
      <c r="K33" s="1681">
        <v>2035</v>
      </c>
      <c r="L33" s="1681">
        <v>2040</v>
      </c>
      <c r="M33" s="1681">
        <v>2045</v>
      </c>
      <c r="N33" s="1681">
        <v>2050</v>
      </c>
      <c r="P33" s="1681">
        <v>2007</v>
      </c>
      <c r="Q33" s="1681">
        <v>2010</v>
      </c>
      <c r="R33" s="1681">
        <v>2015</v>
      </c>
      <c r="S33" s="1681">
        <v>2020</v>
      </c>
      <c r="T33" s="1681">
        <v>2025</v>
      </c>
      <c r="U33" s="1681">
        <v>2030</v>
      </c>
      <c r="V33" s="1681">
        <v>2035</v>
      </c>
      <c r="W33" s="1681">
        <v>2040</v>
      </c>
      <c r="X33" s="1681">
        <v>2045</v>
      </c>
      <c r="Y33" s="1681">
        <v>2050</v>
      </c>
      <c r="AA33" s="1681">
        <v>2007</v>
      </c>
      <c r="AB33" s="1681">
        <v>2010</v>
      </c>
      <c r="AC33" s="1681">
        <v>2015</v>
      </c>
      <c r="AD33" s="1681">
        <v>2020</v>
      </c>
      <c r="AE33" s="1681">
        <v>2025</v>
      </c>
      <c r="AF33" s="1681">
        <v>2030</v>
      </c>
      <c r="AG33" s="1681">
        <v>2035</v>
      </c>
      <c r="AH33" s="1681">
        <v>2040</v>
      </c>
      <c r="AI33" s="1681">
        <v>2045</v>
      </c>
      <c r="AJ33" s="1681">
        <v>2050</v>
      </c>
      <c r="AL33" s="1681">
        <v>2007</v>
      </c>
      <c r="AM33" s="1681">
        <v>2010</v>
      </c>
      <c r="AN33" s="1681">
        <v>2015</v>
      </c>
      <c r="AO33" s="1681">
        <v>2020</v>
      </c>
      <c r="AP33" s="1681">
        <v>2025</v>
      </c>
      <c r="AQ33" s="1681">
        <v>2030</v>
      </c>
      <c r="AR33" s="1681">
        <v>2035</v>
      </c>
      <c r="AS33" s="1681">
        <v>2040</v>
      </c>
      <c r="AT33" s="1681">
        <v>2045</v>
      </c>
      <c r="AU33" s="1681">
        <v>2050</v>
      </c>
    </row>
    <row r="34" spans="2:47" ht="13.5" thickTop="1" x14ac:dyDescent="0.2">
      <c r="B34" s="1683" t="s">
        <v>288</v>
      </c>
      <c r="C34" s="1683" t="s">
        <v>1218</v>
      </c>
      <c r="D34" s="1684" t="s">
        <v>1812</v>
      </c>
      <c r="F34" s="1689">
        <f t="shared" ref="F34:N49" ca="1" si="0">IFERROR(INDEX(INDIRECT($B34&amp;".AQ["&amp;F$33&amp;"]"), MATCH($F$32, INDIRECT($B34&amp;".AQ[Vector]"), 0)),0)</f>
        <v>0.10748326511672261</v>
      </c>
      <c r="G34" s="1689">
        <f t="shared" ca="1" si="0"/>
        <v>0.3192937256383081</v>
      </c>
      <c r="H34" s="1689">
        <f t="shared" ca="1" si="0"/>
        <v>0.77148756863689061</v>
      </c>
      <c r="I34" s="1689">
        <f t="shared" ca="1" si="0"/>
        <v>1.0712121571852748</v>
      </c>
      <c r="J34" s="1689">
        <f t="shared" ca="1" si="0"/>
        <v>1.3725579062767459</v>
      </c>
      <c r="K34" s="1689">
        <f t="shared" ca="1" si="0"/>
        <v>1.833137093204156</v>
      </c>
      <c r="L34" s="1689">
        <f t="shared" ca="1" si="0"/>
        <v>2.2937162801315667</v>
      </c>
      <c r="M34" s="1689">
        <f t="shared" ca="1" si="0"/>
        <v>2.7546945824722591</v>
      </c>
      <c r="N34" s="1689">
        <f t="shared" ca="1" si="0"/>
        <v>3.2152737693996696</v>
      </c>
      <c r="P34" s="1689">
        <f t="shared" ref="P34:Y49" ca="1" si="1">IFERROR(INDEX(INDIRECT($B34&amp;".AQ["&amp;P$33&amp;"]"), MATCH($R$32, INDIRECT($B34&amp;".AQ[Vector]"), 0)),0)</f>
        <v>0</v>
      </c>
      <c r="Q34" s="1689">
        <f t="shared" ca="1" si="1"/>
        <v>4.7569003760615676</v>
      </c>
      <c r="R34" s="1689">
        <f t="shared" ca="1" si="1"/>
        <v>13.188127092587154</v>
      </c>
      <c r="S34" s="1689">
        <f t="shared" ca="1" si="1"/>
        <v>28.835803539552014</v>
      </c>
      <c r="T34" s="1689">
        <f t="shared" ca="1" si="1"/>
        <v>43.829695640257732</v>
      </c>
      <c r="U34" s="1689">
        <f t="shared" ca="1" si="1"/>
        <v>55.916444333212361</v>
      </c>
      <c r="V34" s="1689">
        <f t="shared" ca="1" si="1"/>
        <v>74.679915330748571</v>
      </c>
      <c r="W34" s="1689">
        <f t="shared" ca="1" si="1"/>
        <v>93.443386328284802</v>
      </c>
      <c r="X34" s="1689">
        <f t="shared" ca="1" si="1"/>
        <v>112.22311683275129</v>
      </c>
      <c r="Y34" s="1689">
        <f t="shared" ca="1" si="1"/>
        <v>130.9865878302875</v>
      </c>
      <c r="AA34" s="1689">
        <f t="shared" ref="AA34:AJ49" ca="1" si="2">IFERROR(INDEX(INDIRECT($B34&amp;".AQ["&amp;AA$33&amp;"]"), MATCH($AC$32, INDIRECT($B34&amp;".AQ[Vector]"), 0)),0)</f>
        <v>0</v>
      </c>
      <c r="AB34" s="1689">
        <f t="shared" ca="1" si="2"/>
        <v>7.0206089846342565E-2</v>
      </c>
      <c r="AC34" s="1689">
        <f t="shared" ca="1" si="2"/>
        <v>0.24167055814100319</v>
      </c>
      <c r="AD34" s="1689">
        <f t="shared" ca="1" si="2"/>
        <v>0.58320919397249604</v>
      </c>
      <c r="AE34" s="1689">
        <f t="shared" ca="1" si="2"/>
        <v>0.80854827555508058</v>
      </c>
      <c r="AF34" s="1689">
        <f t="shared" ca="1" si="2"/>
        <v>1.0381415763482473</v>
      </c>
      <c r="AG34" s="1689">
        <f t="shared" ca="1" si="2"/>
        <v>1.3865031288652223</v>
      </c>
      <c r="AH34" s="1689">
        <f t="shared" ca="1" si="2"/>
        <v>1.7348646813821977</v>
      </c>
      <c r="AI34" s="1689">
        <f t="shared" ca="1" si="2"/>
        <v>2.0835281069949412</v>
      </c>
      <c r="AJ34" s="1689">
        <f t="shared" ca="1" si="2"/>
        <v>2.4318896595119166</v>
      </c>
      <c r="AL34" s="1689">
        <f t="shared" ref="AL34:AU49" ca="1" si="3">IFERROR(INDEX(INDIRECT($B34&amp;".AQ["&amp;AL$33&amp;"]"), MATCH($AN$32, INDIRECT($B34&amp;".AQ[Vector]"), 0)),0)</f>
        <v>0</v>
      </c>
      <c r="AM34" s="1689">
        <f t="shared" ca="1" si="3"/>
        <v>0</v>
      </c>
      <c r="AN34" s="1689">
        <f t="shared" ca="1" si="3"/>
        <v>0</v>
      </c>
      <c r="AO34" s="1689">
        <f t="shared" ca="1" si="3"/>
        <v>0</v>
      </c>
      <c r="AP34" s="1689">
        <f t="shared" ca="1" si="3"/>
        <v>0</v>
      </c>
      <c r="AQ34" s="1689">
        <f t="shared" ca="1" si="3"/>
        <v>0</v>
      </c>
      <c r="AR34" s="1689">
        <f t="shared" ca="1" si="3"/>
        <v>0</v>
      </c>
      <c r="AS34" s="1689">
        <f t="shared" ca="1" si="3"/>
        <v>0</v>
      </c>
      <c r="AT34" s="1689">
        <f t="shared" ca="1" si="3"/>
        <v>0</v>
      </c>
      <c r="AU34" s="1689">
        <f t="shared" ca="1" si="3"/>
        <v>0</v>
      </c>
    </row>
    <row r="35" spans="2:47" x14ac:dyDescent="0.2">
      <c r="B35" s="1685" t="s">
        <v>352</v>
      </c>
      <c r="C35" s="1685" t="s">
        <v>828</v>
      </c>
      <c r="D35" s="1686" t="s">
        <v>1812</v>
      </c>
      <c r="E35" s="2022">
        <v>4</v>
      </c>
      <c r="F35" s="1691">
        <f t="shared" ca="1" si="0"/>
        <v>0</v>
      </c>
      <c r="G35" s="1691">
        <f t="shared" ca="1" si="0"/>
        <v>0</v>
      </c>
      <c r="H35" s="1691">
        <f t="shared" ca="1" si="0"/>
        <v>1.7167807763999994</v>
      </c>
      <c r="I35" s="1691">
        <f t="shared" ca="1" si="0"/>
        <v>1.1597418000000002</v>
      </c>
      <c r="J35" s="1691">
        <f t="shared" ca="1" si="0"/>
        <v>1.4496772499999999</v>
      </c>
      <c r="K35" s="1691">
        <f t="shared" ca="1" si="0"/>
        <v>2.3194836000000003</v>
      </c>
      <c r="L35" s="1691">
        <f t="shared" ca="1" si="0"/>
        <v>3.4792254000000007</v>
      </c>
      <c r="M35" s="1691">
        <f t="shared" ca="1" si="0"/>
        <v>4.6389672000000006</v>
      </c>
      <c r="N35" s="1691">
        <f t="shared" ca="1" si="0"/>
        <v>5.7987089999999997</v>
      </c>
      <c r="P35" s="1691">
        <f t="shared" ca="1" si="1"/>
        <v>0</v>
      </c>
      <c r="Q35" s="1691">
        <f t="shared" ca="1" si="1"/>
        <v>0</v>
      </c>
      <c r="R35" s="1691">
        <f t="shared" ca="1" si="1"/>
        <v>0</v>
      </c>
      <c r="S35" s="1691">
        <f t="shared" ca="1" si="1"/>
        <v>7.6372705548000086</v>
      </c>
      <c r="T35" s="1691">
        <f t="shared" ca="1" si="1"/>
        <v>14.532274800000001</v>
      </c>
      <c r="U35" s="1691">
        <f t="shared" ca="1" si="1"/>
        <v>18.165343499999999</v>
      </c>
      <c r="V35" s="1691">
        <f t="shared" ca="1" si="1"/>
        <v>29.064549600000003</v>
      </c>
      <c r="W35" s="1691">
        <f t="shared" ca="1" si="1"/>
        <v>43.596824400000003</v>
      </c>
      <c r="X35" s="1691">
        <f t="shared" ca="1" si="1"/>
        <v>58.129099200000006</v>
      </c>
      <c r="Y35" s="1691">
        <f t="shared" ca="1" si="1"/>
        <v>72.661373999999995</v>
      </c>
      <c r="AA35" s="1691">
        <f t="shared" ca="1" si="2"/>
        <v>0</v>
      </c>
      <c r="AB35" s="1691">
        <f t="shared" ca="1" si="2"/>
        <v>0</v>
      </c>
      <c r="AC35" s="1691">
        <f t="shared" ca="1" si="2"/>
        <v>0</v>
      </c>
      <c r="AD35" s="1691">
        <f t="shared" ca="1" si="2"/>
        <v>0.85365053537945679</v>
      </c>
      <c r="AE35" s="1691">
        <f t="shared" ca="1" si="2"/>
        <v>1.7073010707589136</v>
      </c>
      <c r="AF35" s="1691">
        <f t="shared" ca="1" si="2"/>
        <v>2.1341263384486417</v>
      </c>
      <c r="AG35" s="1691">
        <f t="shared" ca="1" si="2"/>
        <v>3.4146021415178271</v>
      </c>
      <c r="AH35" s="1691">
        <f t="shared" ca="1" si="2"/>
        <v>5.1219032122767407</v>
      </c>
      <c r="AI35" s="1691">
        <f t="shared" ca="1" si="2"/>
        <v>6.8292042830356543</v>
      </c>
      <c r="AJ35" s="1691">
        <f t="shared" ca="1" si="2"/>
        <v>8.536505353794567</v>
      </c>
      <c r="AL35" s="1691">
        <f t="shared" ca="1" si="3"/>
        <v>0</v>
      </c>
      <c r="AM35" s="1691">
        <f t="shared" ca="1" si="3"/>
        <v>0</v>
      </c>
      <c r="AN35" s="1691">
        <f t="shared" ca="1" si="3"/>
        <v>0</v>
      </c>
      <c r="AO35" s="1691">
        <f t="shared" ca="1" si="3"/>
        <v>0</v>
      </c>
      <c r="AP35" s="1691">
        <f t="shared" ca="1" si="3"/>
        <v>0</v>
      </c>
      <c r="AQ35" s="1691">
        <f t="shared" ca="1" si="3"/>
        <v>0</v>
      </c>
      <c r="AR35" s="1691">
        <f t="shared" ca="1" si="3"/>
        <v>0</v>
      </c>
      <c r="AS35" s="1691">
        <f t="shared" ca="1" si="3"/>
        <v>0</v>
      </c>
      <c r="AT35" s="1691">
        <f t="shared" ca="1" si="3"/>
        <v>0</v>
      </c>
      <c r="AU35" s="1691">
        <f t="shared" ca="1" si="3"/>
        <v>0</v>
      </c>
    </row>
    <row r="36" spans="2:47" x14ac:dyDescent="0.2">
      <c r="B36" s="1685" t="s">
        <v>2146</v>
      </c>
      <c r="C36" s="1685" t="s">
        <v>1218</v>
      </c>
      <c r="D36" s="1686" t="s">
        <v>1812</v>
      </c>
      <c r="E36" s="2370">
        <v>5</v>
      </c>
      <c r="F36" s="1691">
        <f t="shared" ca="1" si="0"/>
        <v>0</v>
      </c>
      <c r="G36" s="1691">
        <f t="shared" ca="1" si="0"/>
        <v>0</v>
      </c>
      <c r="H36" s="1691">
        <f t="shared" ca="1" si="0"/>
        <v>0</v>
      </c>
      <c r="I36" s="1691">
        <f t="shared" ca="1" si="0"/>
        <v>0.4163387927793713</v>
      </c>
      <c r="J36" s="1691">
        <f t="shared" ca="1" si="0"/>
        <v>1.2594248481575978</v>
      </c>
      <c r="K36" s="1691">
        <f t="shared" ca="1" si="0"/>
        <v>2.3731311188424167</v>
      </c>
      <c r="L36" s="1691">
        <f t="shared" ca="1" si="0"/>
        <v>3.4972458593467195</v>
      </c>
      <c r="M36" s="1691">
        <f t="shared" ca="1" si="0"/>
        <v>4.6109521300315359</v>
      </c>
      <c r="N36" s="1691">
        <f t="shared" ca="1" si="0"/>
        <v>5.724658400716355</v>
      </c>
      <c r="O36" s="2370"/>
      <c r="P36" s="1691">
        <f t="shared" ca="1" si="1"/>
        <v>0</v>
      </c>
      <c r="Q36" s="1691">
        <f t="shared" ca="1" si="1"/>
        <v>0</v>
      </c>
      <c r="R36" s="1691">
        <f t="shared" ca="1" si="1"/>
        <v>0</v>
      </c>
      <c r="S36" s="1691">
        <f t="shared" ca="1" si="1"/>
        <v>0</v>
      </c>
      <c r="T36" s="1691">
        <f t="shared" ca="1" si="1"/>
        <v>18.67588095249959</v>
      </c>
      <c r="U36" s="1691">
        <f t="shared" ca="1" si="1"/>
        <v>56.49453988131124</v>
      </c>
      <c r="V36" s="1691">
        <f t="shared" ca="1" si="1"/>
        <v>106.45252142924767</v>
      </c>
      <c r="W36" s="1691">
        <f t="shared" ca="1" si="1"/>
        <v>156.87740000099657</v>
      </c>
      <c r="X36" s="1691">
        <f t="shared" ca="1" si="1"/>
        <v>206.83538154893287</v>
      </c>
      <c r="Y36" s="1691">
        <f t="shared" ca="1" si="1"/>
        <v>256.79336309686931</v>
      </c>
      <c r="Z36" s="2370"/>
      <c r="AA36" s="1691">
        <f t="shared" ca="1" si="2"/>
        <v>0</v>
      </c>
      <c r="AB36" s="1691">
        <f t="shared" ca="1" si="2"/>
        <v>0</v>
      </c>
      <c r="AC36" s="1691">
        <f t="shared" ca="1" si="2"/>
        <v>0</v>
      </c>
      <c r="AD36" s="1691">
        <f t="shared" ca="1" si="2"/>
        <v>0</v>
      </c>
      <c r="AE36" s="1691">
        <f t="shared" ca="1" si="2"/>
        <v>17.679050538010877</v>
      </c>
      <c r="AF36" s="1691">
        <f t="shared" ca="1" si="2"/>
        <v>53.479127877482888</v>
      </c>
      <c r="AG36" s="1691">
        <f t="shared" ca="1" si="2"/>
        <v>100.77058806666201</v>
      </c>
      <c r="AH36" s="1691">
        <f t="shared" ca="1" si="2"/>
        <v>148.50402451929139</v>
      </c>
      <c r="AI36" s="1691">
        <f t="shared" ca="1" si="2"/>
        <v>195.79548470847041</v>
      </c>
      <c r="AJ36" s="1691">
        <f t="shared" ca="1" si="2"/>
        <v>243.08694489764954</v>
      </c>
      <c r="AK36" s="2370"/>
      <c r="AL36" s="1691">
        <f t="shared" ca="1" si="3"/>
        <v>0</v>
      </c>
      <c r="AM36" s="1691">
        <f t="shared" ca="1" si="3"/>
        <v>0</v>
      </c>
      <c r="AN36" s="1691">
        <f t="shared" ca="1" si="3"/>
        <v>0</v>
      </c>
      <c r="AO36" s="1691">
        <f t="shared" ca="1" si="3"/>
        <v>0</v>
      </c>
      <c r="AP36" s="1691">
        <f t="shared" ca="1" si="3"/>
        <v>0</v>
      </c>
      <c r="AQ36" s="1691">
        <f t="shared" ca="1" si="3"/>
        <v>0</v>
      </c>
      <c r="AR36" s="1691">
        <f t="shared" ca="1" si="3"/>
        <v>0</v>
      </c>
      <c r="AS36" s="1691">
        <f t="shared" ca="1" si="3"/>
        <v>0</v>
      </c>
      <c r="AT36" s="1691">
        <f t="shared" ca="1" si="3"/>
        <v>0</v>
      </c>
      <c r="AU36" s="1691">
        <f t="shared" ca="1" si="3"/>
        <v>0</v>
      </c>
    </row>
    <row r="37" spans="2:47" s="2479" customFormat="1" x14ac:dyDescent="0.2">
      <c r="B37" s="1773" t="s">
        <v>2382</v>
      </c>
      <c r="C37" s="1685" t="s">
        <v>1218</v>
      </c>
      <c r="D37" s="1686" t="s">
        <v>1812</v>
      </c>
      <c r="E37" s="2479">
        <v>5</v>
      </c>
      <c r="F37" s="1691">
        <f t="shared" ca="1" si="0"/>
        <v>7.5762605000079297</v>
      </c>
      <c r="G37" s="1691">
        <f t="shared" ca="1" si="0"/>
        <v>6.6360528436615294</v>
      </c>
      <c r="H37" s="1691">
        <f t="shared" ca="1" si="0"/>
        <v>1.8474406496356015</v>
      </c>
      <c r="I37" s="1691">
        <f t="shared" ca="1" si="0"/>
        <v>0</v>
      </c>
      <c r="J37" s="1691">
        <f t="shared" ca="1" si="0"/>
        <v>0</v>
      </c>
      <c r="K37" s="1691">
        <f t="shared" ca="1" si="0"/>
        <v>0</v>
      </c>
      <c r="L37" s="1691">
        <f t="shared" ca="1" si="0"/>
        <v>0</v>
      </c>
      <c r="M37" s="1691">
        <f t="shared" ca="1" si="0"/>
        <v>0</v>
      </c>
      <c r="N37" s="1691">
        <f t="shared" ca="1" si="0"/>
        <v>0</v>
      </c>
      <c r="P37" s="1691">
        <f t="shared" ca="1" si="1"/>
        <v>0</v>
      </c>
      <c r="Q37" s="1691">
        <f t="shared" ca="1" si="1"/>
        <v>122.18925456645681</v>
      </c>
      <c r="R37" s="1691">
        <f t="shared" ca="1" si="1"/>
        <v>110.22424955207373</v>
      </c>
      <c r="S37" s="1691">
        <f t="shared" ca="1" si="1"/>
        <v>30.152149262758972</v>
      </c>
      <c r="T37" s="1691">
        <f t="shared" ca="1" si="1"/>
        <v>0</v>
      </c>
      <c r="U37" s="1691">
        <f t="shared" ca="1" si="1"/>
        <v>0</v>
      </c>
      <c r="V37" s="1691">
        <f t="shared" ca="1" si="1"/>
        <v>0</v>
      </c>
      <c r="W37" s="1691">
        <f t="shared" ca="1" si="1"/>
        <v>0</v>
      </c>
      <c r="X37" s="1691">
        <f t="shared" ca="1" si="1"/>
        <v>0</v>
      </c>
      <c r="Y37" s="1691">
        <f t="shared" ca="1" si="1"/>
        <v>0</v>
      </c>
      <c r="AA37" s="1691">
        <f t="shared" ca="1" si="2"/>
        <v>0</v>
      </c>
      <c r="AB37" s="1691">
        <f t="shared" ca="1" si="2"/>
        <v>58.689640852101931</v>
      </c>
      <c r="AC37" s="1691">
        <f t="shared" ca="1" si="2"/>
        <v>55.482292391540021</v>
      </c>
      <c r="AD37" s="1691">
        <f t="shared" ca="1" si="2"/>
        <v>16.041736396413249</v>
      </c>
      <c r="AE37" s="1691">
        <f t="shared" ca="1" si="2"/>
        <v>0</v>
      </c>
      <c r="AF37" s="1691">
        <f t="shared" ca="1" si="2"/>
        <v>0</v>
      </c>
      <c r="AG37" s="1691">
        <f t="shared" ca="1" si="2"/>
        <v>0</v>
      </c>
      <c r="AH37" s="1691">
        <f t="shared" ca="1" si="2"/>
        <v>0</v>
      </c>
      <c r="AI37" s="1691">
        <f t="shared" ca="1" si="2"/>
        <v>0</v>
      </c>
      <c r="AJ37" s="1691">
        <f t="shared" ca="1" si="2"/>
        <v>0</v>
      </c>
      <c r="AL37" s="1691">
        <f t="shared" ca="1" si="3"/>
        <v>0</v>
      </c>
      <c r="AM37" s="1691">
        <f t="shared" ca="1" si="3"/>
        <v>0</v>
      </c>
      <c r="AN37" s="1691">
        <f t="shared" ca="1" si="3"/>
        <v>0</v>
      </c>
      <c r="AO37" s="1691">
        <f t="shared" ca="1" si="3"/>
        <v>0</v>
      </c>
      <c r="AP37" s="1691">
        <f t="shared" ca="1" si="3"/>
        <v>0</v>
      </c>
      <c r="AQ37" s="1691">
        <f t="shared" ca="1" si="3"/>
        <v>0</v>
      </c>
      <c r="AR37" s="1691">
        <f t="shared" ca="1" si="3"/>
        <v>0</v>
      </c>
      <c r="AS37" s="1691">
        <f t="shared" ca="1" si="3"/>
        <v>0</v>
      </c>
      <c r="AT37" s="1691">
        <f t="shared" ca="1" si="3"/>
        <v>0</v>
      </c>
      <c r="AU37" s="1691">
        <f t="shared" ca="1" si="3"/>
        <v>0</v>
      </c>
    </row>
    <row r="38" spans="2:47" x14ac:dyDescent="0.2">
      <c r="B38" s="1683" t="s">
        <v>297</v>
      </c>
      <c r="C38" s="1683" t="s">
        <v>796</v>
      </c>
      <c r="D38" s="1684" t="s">
        <v>1812</v>
      </c>
      <c r="F38" s="1689">
        <f t="shared" ca="1" si="0"/>
        <v>0</v>
      </c>
      <c r="G38" s="1689">
        <f t="shared" ca="1" si="0"/>
        <v>0</v>
      </c>
      <c r="H38" s="1689">
        <f t="shared" ca="1" si="0"/>
        <v>0</v>
      </c>
      <c r="I38" s="1689">
        <f t="shared" ca="1" si="0"/>
        <v>0</v>
      </c>
      <c r="J38" s="1689">
        <f t="shared" ca="1" si="0"/>
        <v>0</v>
      </c>
      <c r="K38" s="1689">
        <f t="shared" ca="1" si="0"/>
        <v>0</v>
      </c>
      <c r="L38" s="1689">
        <f t="shared" ca="1" si="0"/>
        <v>0</v>
      </c>
      <c r="M38" s="1689">
        <f t="shared" ca="1" si="0"/>
        <v>0</v>
      </c>
      <c r="N38" s="1689">
        <f t="shared" ca="1" si="0"/>
        <v>0</v>
      </c>
      <c r="P38" s="1689">
        <f t="shared" ca="1" si="1"/>
        <v>0</v>
      </c>
      <c r="Q38" s="1689">
        <f t="shared" ca="1" si="1"/>
        <v>0</v>
      </c>
      <c r="R38" s="1689">
        <f t="shared" ca="1" si="1"/>
        <v>0</v>
      </c>
      <c r="S38" s="1689">
        <f t="shared" ca="1" si="1"/>
        <v>0</v>
      </c>
      <c r="T38" s="1689">
        <f t="shared" ca="1" si="1"/>
        <v>0</v>
      </c>
      <c r="U38" s="1689">
        <f t="shared" ca="1" si="1"/>
        <v>0</v>
      </c>
      <c r="V38" s="1689">
        <f t="shared" ca="1" si="1"/>
        <v>0</v>
      </c>
      <c r="W38" s="1689">
        <f t="shared" ca="1" si="1"/>
        <v>0</v>
      </c>
      <c r="X38" s="1689">
        <f t="shared" ca="1" si="1"/>
        <v>0</v>
      </c>
      <c r="Y38" s="1689">
        <f t="shared" ca="1" si="1"/>
        <v>0</v>
      </c>
      <c r="AA38" s="1689">
        <f t="shared" ca="1" si="2"/>
        <v>0</v>
      </c>
      <c r="AB38" s="1689">
        <f t="shared" ca="1" si="2"/>
        <v>0</v>
      </c>
      <c r="AC38" s="1689">
        <f t="shared" ca="1" si="2"/>
        <v>0</v>
      </c>
      <c r="AD38" s="1689">
        <f t="shared" ca="1" si="2"/>
        <v>0</v>
      </c>
      <c r="AE38" s="1689">
        <f t="shared" ca="1" si="2"/>
        <v>0</v>
      </c>
      <c r="AF38" s="1689">
        <f t="shared" ca="1" si="2"/>
        <v>0</v>
      </c>
      <c r="AG38" s="1689">
        <f t="shared" ca="1" si="2"/>
        <v>0</v>
      </c>
      <c r="AH38" s="1689">
        <f t="shared" ca="1" si="2"/>
        <v>0</v>
      </c>
      <c r="AI38" s="1689">
        <f t="shared" ca="1" si="2"/>
        <v>0</v>
      </c>
      <c r="AJ38" s="1689">
        <f t="shared" ca="1" si="2"/>
        <v>0</v>
      </c>
      <c r="AL38" s="1689">
        <f t="shared" ca="1" si="3"/>
        <v>0</v>
      </c>
      <c r="AM38" s="1689">
        <f t="shared" ca="1" si="3"/>
        <v>0</v>
      </c>
      <c r="AN38" s="1689">
        <f t="shared" ca="1" si="3"/>
        <v>0</v>
      </c>
      <c r="AO38" s="1689">
        <f t="shared" ca="1" si="3"/>
        <v>0</v>
      </c>
      <c r="AP38" s="1689">
        <f t="shared" ca="1" si="3"/>
        <v>0</v>
      </c>
      <c r="AQ38" s="1689">
        <f t="shared" ca="1" si="3"/>
        <v>0</v>
      </c>
      <c r="AR38" s="1689">
        <f t="shared" ca="1" si="3"/>
        <v>0</v>
      </c>
      <c r="AS38" s="1689">
        <f t="shared" ca="1" si="3"/>
        <v>0</v>
      </c>
      <c r="AT38" s="1689">
        <f t="shared" ca="1" si="3"/>
        <v>0</v>
      </c>
      <c r="AU38" s="1689">
        <f t="shared" ca="1" si="3"/>
        <v>0</v>
      </c>
    </row>
    <row r="39" spans="2:47" x14ac:dyDescent="0.2">
      <c r="B39" s="1685" t="s">
        <v>864</v>
      </c>
      <c r="C39" s="1685" t="s">
        <v>354</v>
      </c>
      <c r="D39" s="1686" t="s">
        <v>1812</v>
      </c>
      <c r="E39" s="2022">
        <v>4</v>
      </c>
      <c r="F39" s="1691">
        <f t="shared" ca="1" si="0"/>
        <v>0</v>
      </c>
      <c r="G39" s="1691">
        <f t="shared" ca="1" si="0"/>
        <v>0</v>
      </c>
      <c r="H39" s="1691">
        <f t="shared" ca="1" si="0"/>
        <v>0</v>
      </c>
      <c r="I39" s="1691">
        <f t="shared" ca="1" si="0"/>
        <v>0</v>
      </c>
      <c r="J39" s="1691">
        <f t="shared" ca="1" si="0"/>
        <v>0</v>
      </c>
      <c r="K39" s="1691">
        <f t="shared" ca="1" si="0"/>
        <v>0</v>
      </c>
      <c r="L39" s="1691">
        <f t="shared" ca="1" si="0"/>
        <v>0</v>
      </c>
      <c r="M39" s="1691">
        <f t="shared" ca="1" si="0"/>
        <v>0</v>
      </c>
      <c r="N39" s="1691">
        <f t="shared" ca="1" si="0"/>
        <v>0</v>
      </c>
      <c r="P39" s="1691">
        <f t="shared" ca="1" si="1"/>
        <v>0</v>
      </c>
      <c r="Q39" s="1691">
        <f t="shared" ca="1" si="1"/>
        <v>0</v>
      </c>
      <c r="R39" s="1691">
        <f t="shared" ca="1" si="1"/>
        <v>0</v>
      </c>
      <c r="S39" s="1691">
        <f t="shared" ca="1" si="1"/>
        <v>0</v>
      </c>
      <c r="T39" s="1691">
        <f t="shared" ca="1" si="1"/>
        <v>0</v>
      </c>
      <c r="U39" s="1691">
        <f t="shared" ca="1" si="1"/>
        <v>0</v>
      </c>
      <c r="V39" s="1691">
        <f t="shared" ca="1" si="1"/>
        <v>0</v>
      </c>
      <c r="W39" s="1691">
        <f t="shared" ca="1" si="1"/>
        <v>0</v>
      </c>
      <c r="X39" s="1691">
        <f t="shared" ca="1" si="1"/>
        <v>0</v>
      </c>
      <c r="Y39" s="1691">
        <f t="shared" ca="1" si="1"/>
        <v>0</v>
      </c>
      <c r="AA39" s="1691">
        <f t="shared" ca="1" si="2"/>
        <v>0</v>
      </c>
      <c r="AB39" s="1691">
        <f t="shared" ca="1" si="2"/>
        <v>0</v>
      </c>
      <c r="AC39" s="1691">
        <f t="shared" ca="1" si="2"/>
        <v>0</v>
      </c>
      <c r="AD39" s="1691">
        <f t="shared" ca="1" si="2"/>
        <v>0</v>
      </c>
      <c r="AE39" s="1691">
        <f t="shared" ca="1" si="2"/>
        <v>0</v>
      </c>
      <c r="AF39" s="1691">
        <f t="shared" ca="1" si="2"/>
        <v>0</v>
      </c>
      <c r="AG39" s="1691">
        <f t="shared" ca="1" si="2"/>
        <v>0</v>
      </c>
      <c r="AH39" s="1691">
        <f t="shared" ca="1" si="2"/>
        <v>0</v>
      </c>
      <c r="AI39" s="1691">
        <f t="shared" ca="1" si="2"/>
        <v>0</v>
      </c>
      <c r="AJ39" s="1691">
        <f t="shared" ca="1" si="2"/>
        <v>0</v>
      </c>
      <c r="AL39" s="1691">
        <f t="shared" ca="1" si="3"/>
        <v>0</v>
      </c>
      <c r="AM39" s="1691">
        <f t="shared" ca="1" si="3"/>
        <v>0</v>
      </c>
      <c r="AN39" s="1691">
        <f t="shared" ca="1" si="3"/>
        <v>0</v>
      </c>
      <c r="AO39" s="1691">
        <f t="shared" ca="1" si="3"/>
        <v>0</v>
      </c>
      <c r="AP39" s="1691">
        <f t="shared" ca="1" si="3"/>
        <v>0</v>
      </c>
      <c r="AQ39" s="1691">
        <f t="shared" ca="1" si="3"/>
        <v>0</v>
      </c>
      <c r="AR39" s="1691">
        <f t="shared" ca="1" si="3"/>
        <v>0</v>
      </c>
      <c r="AS39" s="1691">
        <f t="shared" ca="1" si="3"/>
        <v>0</v>
      </c>
      <c r="AT39" s="1691">
        <f t="shared" ca="1" si="3"/>
        <v>0</v>
      </c>
      <c r="AU39" s="1691">
        <f t="shared" ca="1" si="3"/>
        <v>0</v>
      </c>
    </row>
    <row r="40" spans="2:47" x14ac:dyDescent="0.2">
      <c r="B40" s="1773" t="s">
        <v>2425</v>
      </c>
      <c r="C40" s="1685" t="s">
        <v>56</v>
      </c>
      <c r="D40" s="1686" t="s">
        <v>1812</v>
      </c>
      <c r="E40" s="2022">
        <v>4</v>
      </c>
      <c r="F40" s="1691">
        <f t="shared" ca="1" si="0"/>
        <v>0</v>
      </c>
      <c r="G40" s="1691">
        <f t="shared" ca="1" si="0"/>
        <v>0</v>
      </c>
      <c r="H40" s="1691">
        <f t="shared" ca="1" si="0"/>
        <v>0</v>
      </c>
      <c r="I40" s="1691">
        <f t="shared" ca="1" si="0"/>
        <v>0</v>
      </c>
      <c r="J40" s="1691">
        <f t="shared" ca="1" si="0"/>
        <v>0</v>
      </c>
      <c r="K40" s="1691">
        <f t="shared" ca="1" si="0"/>
        <v>0</v>
      </c>
      <c r="L40" s="1691">
        <f t="shared" ca="1" si="0"/>
        <v>0</v>
      </c>
      <c r="M40" s="1691">
        <f t="shared" ca="1" si="0"/>
        <v>0</v>
      </c>
      <c r="N40" s="1691">
        <f t="shared" ca="1" si="0"/>
        <v>0</v>
      </c>
      <c r="P40" s="1691">
        <f t="shared" ca="1" si="1"/>
        <v>0</v>
      </c>
      <c r="Q40" s="1691">
        <f t="shared" ca="1" si="1"/>
        <v>0</v>
      </c>
      <c r="R40" s="1691">
        <f t="shared" ca="1" si="1"/>
        <v>0</v>
      </c>
      <c r="S40" s="1691">
        <f t="shared" ca="1" si="1"/>
        <v>0</v>
      </c>
      <c r="T40" s="1691">
        <f t="shared" ca="1" si="1"/>
        <v>0</v>
      </c>
      <c r="U40" s="1691">
        <f t="shared" ca="1" si="1"/>
        <v>0</v>
      </c>
      <c r="V40" s="1691">
        <f t="shared" ca="1" si="1"/>
        <v>0</v>
      </c>
      <c r="W40" s="1691">
        <f t="shared" ca="1" si="1"/>
        <v>0</v>
      </c>
      <c r="X40" s="1691">
        <f t="shared" ca="1" si="1"/>
        <v>0</v>
      </c>
      <c r="Y40" s="1691">
        <f t="shared" ca="1" si="1"/>
        <v>0</v>
      </c>
      <c r="AA40" s="1691">
        <f t="shared" ca="1" si="2"/>
        <v>0</v>
      </c>
      <c r="AB40" s="1691">
        <f t="shared" ca="1" si="2"/>
        <v>0</v>
      </c>
      <c r="AC40" s="1691">
        <f t="shared" ca="1" si="2"/>
        <v>0</v>
      </c>
      <c r="AD40" s="1691">
        <f t="shared" ca="1" si="2"/>
        <v>0</v>
      </c>
      <c r="AE40" s="1691">
        <f t="shared" ca="1" si="2"/>
        <v>0</v>
      </c>
      <c r="AF40" s="1691">
        <f t="shared" ca="1" si="2"/>
        <v>0</v>
      </c>
      <c r="AG40" s="1691">
        <f t="shared" ca="1" si="2"/>
        <v>0</v>
      </c>
      <c r="AH40" s="1691">
        <f t="shared" ca="1" si="2"/>
        <v>0</v>
      </c>
      <c r="AI40" s="1691">
        <f t="shared" ca="1" si="2"/>
        <v>0</v>
      </c>
      <c r="AJ40" s="1691">
        <f t="shared" ca="1" si="2"/>
        <v>0</v>
      </c>
      <c r="AL40" s="1691">
        <f t="shared" ca="1" si="3"/>
        <v>0</v>
      </c>
      <c r="AM40" s="1691">
        <f t="shared" ca="1" si="3"/>
        <v>0</v>
      </c>
      <c r="AN40" s="1691">
        <f t="shared" ca="1" si="3"/>
        <v>0</v>
      </c>
      <c r="AO40" s="1691">
        <f t="shared" ca="1" si="3"/>
        <v>0</v>
      </c>
      <c r="AP40" s="1691">
        <f t="shared" ca="1" si="3"/>
        <v>0</v>
      </c>
      <c r="AQ40" s="1691">
        <f t="shared" ca="1" si="3"/>
        <v>0</v>
      </c>
      <c r="AR40" s="1691">
        <f t="shared" ca="1" si="3"/>
        <v>0</v>
      </c>
      <c r="AS40" s="1691">
        <f t="shared" ca="1" si="3"/>
        <v>0</v>
      </c>
      <c r="AT40" s="1691">
        <f t="shared" ca="1" si="3"/>
        <v>0</v>
      </c>
      <c r="AU40" s="1691">
        <f t="shared" ca="1" si="3"/>
        <v>0</v>
      </c>
    </row>
    <row r="41" spans="2:47" s="2479" customFormat="1" x14ac:dyDescent="0.2">
      <c r="B41" s="1773" t="s">
        <v>2426</v>
      </c>
      <c r="C41" s="1685" t="s">
        <v>56</v>
      </c>
      <c r="D41" s="1686" t="s">
        <v>1812</v>
      </c>
      <c r="E41" s="2479">
        <v>4</v>
      </c>
      <c r="F41" s="1691">
        <f t="shared" ca="1" si="0"/>
        <v>0</v>
      </c>
      <c r="G41" s="1691">
        <f t="shared" ca="1" si="0"/>
        <v>0</v>
      </c>
      <c r="H41" s="1691">
        <f t="shared" ca="1" si="0"/>
        <v>0</v>
      </c>
      <c r="I41" s="1691">
        <f t="shared" ca="1" si="0"/>
        <v>0</v>
      </c>
      <c r="J41" s="1691">
        <f t="shared" ca="1" si="0"/>
        <v>0</v>
      </c>
      <c r="K41" s="1691">
        <f t="shared" ca="1" si="0"/>
        <v>0</v>
      </c>
      <c r="L41" s="1691">
        <f t="shared" ca="1" si="0"/>
        <v>0</v>
      </c>
      <c r="M41" s="1691">
        <f t="shared" ca="1" si="0"/>
        <v>0</v>
      </c>
      <c r="N41" s="1691">
        <f t="shared" ca="1" si="0"/>
        <v>0</v>
      </c>
      <c r="P41" s="1691">
        <f t="shared" ca="1" si="1"/>
        <v>0</v>
      </c>
      <c r="Q41" s="1691">
        <f t="shared" ca="1" si="1"/>
        <v>0</v>
      </c>
      <c r="R41" s="1691">
        <f t="shared" ca="1" si="1"/>
        <v>0</v>
      </c>
      <c r="S41" s="1691">
        <f t="shared" ca="1" si="1"/>
        <v>0</v>
      </c>
      <c r="T41" s="1691">
        <f t="shared" ca="1" si="1"/>
        <v>0</v>
      </c>
      <c r="U41" s="1691">
        <f t="shared" ca="1" si="1"/>
        <v>0</v>
      </c>
      <c r="V41" s="1691">
        <f t="shared" ca="1" si="1"/>
        <v>0</v>
      </c>
      <c r="W41" s="1691">
        <f t="shared" ca="1" si="1"/>
        <v>0</v>
      </c>
      <c r="X41" s="1691">
        <f t="shared" ca="1" si="1"/>
        <v>0</v>
      </c>
      <c r="Y41" s="1691">
        <f t="shared" ca="1" si="1"/>
        <v>0</v>
      </c>
      <c r="AA41" s="1691">
        <f t="shared" ca="1" si="2"/>
        <v>0</v>
      </c>
      <c r="AB41" s="1691">
        <f t="shared" ca="1" si="2"/>
        <v>0</v>
      </c>
      <c r="AC41" s="1691">
        <f t="shared" ca="1" si="2"/>
        <v>0</v>
      </c>
      <c r="AD41" s="1691">
        <f t="shared" ca="1" si="2"/>
        <v>0</v>
      </c>
      <c r="AE41" s="1691">
        <f t="shared" ca="1" si="2"/>
        <v>0</v>
      </c>
      <c r="AF41" s="1691">
        <f t="shared" ca="1" si="2"/>
        <v>0</v>
      </c>
      <c r="AG41" s="1691">
        <f t="shared" ca="1" si="2"/>
        <v>0</v>
      </c>
      <c r="AH41" s="1691">
        <f t="shared" ca="1" si="2"/>
        <v>0</v>
      </c>
      <c r="AI41" s="1691">
        <f t="shared" ca="1" si="2"/>
        <v>0</v>
      </c>
      <c r="AJ41" s="1691">
        <f t="shared" ca="1" si="2"/>
        <v>0</v>
      </c>
      <c r="AL41" s="1691">
        <f t="shared" ca="1" si="3"/>
        <v>0</v>
      </c>
      <c r="AM41" s="1691">
        <f t="shared" ca="1" si="3"/>
        <v>0</v>
      </c>
      <c r="AN41" s="1691">
        <f t="shared" ca="1" si="3"/>
        <v>0</v>
      </c>
      <c r="AO41" s="1691">
        <f t="shared" ca="1" si="3"/>
        <v>0</v>
      </c>
      <c r="AP41" s="1691">
        <f t="shared" ca="1" si="3"/>
        <v>0</v>
      </c>
      <c r="AQ41" s="1691">
        <f t="shared" ca="1" si="3"/>
        <v>0</v>
      </c>
      <c r="AR41" s="1691">
        <f t="shared" ca="1" si="3"/>
        <v>0</v>
      </c>
      <c r="AS41" s="1691">
        <f t="shared" ca="1" si="3"/>
        <v>0</v>
      </c>
      <c r="AT41" s="1691">
        <f t="shared" ca="1" si="3"/>
        <v>0</v>
      </c>
      <c r="AU41" s="1691">
        <f t="shared" ca="1" si="3"/>
        <v>0</v>
      </c>
    </row>
    <row r="42" spans="2:47" s="2479" customFormat="1" x14ac:dyDescent="0.2">
      <c r="B42" s="1773" t="s">
        <v>2364</v>
      </c>
      <c r="C42" s="1685" t="s">
        <v>56</v>
      </c>
      <c r="D42" s="1686" t="s">
        <v>1812</v>
      </c>
      <c r="E42" s="2479">
        <v>4</v>
      </c>
      <c r="F42" s="1691">
        <f t="shared" ca="1" si="0"/>
        <v>0</v>
      </c>
      <c r="G42" s="1691">
        <f t="shared" ca="1" si="0"/>
        <v>0</v>
      </c>
      <c r="H42" s="1691">
        <f t="shared" ca="1" si="0"/>
        <v>0</v>
      </c>
      <c r="I42" s="1691">
        <f t="shared" ca="1" si="0"/>
        <v>0</v>
      </c>
      <c r="J42" s="1691">
        <f t="shared" ca="1" si="0"/>
        <v>0</v>
      </c>
      <c r="K42" s="1691">
        <f t="shared" ca="1" si="0"/>
        <v>0</v>
      </c>
      <c r="L42" s="1691">
        <f t="shared" ca="1" si="0"/>
        <v>0</v>
      </c>
      <c r="M42" s="1691">
        <f t="shared" ca="1" si="0"/>
        <v>0</v>
      </c>
      <c r="N42" s="1691">
        <f t="shared" ca="1" si="0"/>
        <v>0</v>
      </c>
      <c r="P42" s="1691">
        <f t="shared" ca="1" si="1"/>
        <v>0</v>
      </c>
      <c r="Q42" s="1691">
        <f t="shared" ca="1" si="1"/>
        <v>0</v>
      </c>
      <c r="R42" s="1691">
        <f t="shared" ca="1" si="1"/>
        <v>0</v>
      </c>
      <c r="S42" s="1691">
        <f t="shared" ca="1" si="1"/>
        <v>0</v>
      </c>
      <c r="T42" s="1691">
        <f t="shared" ca="1" si="1"/>
        <v>0</v>
      </c>
      <c r="U42" s="1691">
        <f t="shared" ca="1" si="1"/>
        <v>0</v>
      </c>
      <c r="V42" s="1691">
        <f t="shared" ca="1" si="1"/>
        <v>0</v>
      </c>
      <c r="W42" s="1691">
        <f t="shared" ca="1" si="1"/>
        <v>0</v>
      </c>
      <c r="X42" s="1691">
        <f t="shared" ca="1" si="1"/>
        <v>0</v>
      </c>
      <c r="Y42" s="1691">
        <f t="shared" ca="1" si="1"/>
        <v>0</v>
      </c>
      <c r="AA42" s="1691">
        <f t="shared" ca="1" si="2"/>
        <v>0</v>
      </c>
      <c r="AB42" s="1691">
        <f t="shared" ca="1" si="2"/>
        <v>0</v>
      </c>
      <c r="AC42" s="1691">
        <f t="shared" ca="1" si="2"/>
        <v>0</v>
      </c>
      <c r="AD42" s="1691">
        <f t="shared" ca="1" si="2"/>
        <v>0</v>
      </c>
      <c r="AE42" s="1691">
        <f t="shared" ca="1" si="2"/>
        <v>0</v>
      </c>
      <c r="AF42" s="1691">
        <f t="shared" ca="1" si="2"/>
        <v>0</v>
      </c>
      <c r="AG42" s="1691">
        <f t="shared" ca="1" si="2"/>
        <v>0</v>
      </c>
      <c r="AH42" s="1691">
        <f t="shared" ca="1" si="2"/>
        <v>0</v>
      </c>
      <c r="AI42" s="1691">
        <f t="shared" ca="1" si="2"/>
        <v>0</v>
      </c>
      <c r="AJ42" s="1691">
        <f t="shared" ca="1" si="2"/>
        <v>0</v>
      </c>
      <c r="AL42" s="1691">
        <f t="shared" ca="1" si="3"/>
        <v>0</v>
      </c>
      <c r="AM42" s="1691">
        <f t="shared" ca="1" si="3"/>
        <v>0</v>
      </c>
      <c r="AN42" s="1691">
        <f t="shared" ca="1" si="3"/>
        <v>0</v>
      </c>
      <c r="AO42" s="1691">
        <f t="shared" ca="1" si="3"/>
        <v>0</v>
      </c>
      <c r="AP42" s="1691">
        <f t="shared" ca="1" si="3"/>
        <v>0</v>
      </c>
      <c r="AQ42" s="1691">
        <f t="shared" ca="1" si="3"/>
        <v>0</v>
      </c>
      <c r="AR42" s="1691">
        <f t="shared" ca="1" si="3"/>
        <v>0</v>
      </c>
      <c r="AS42" s="1691">
        <f t="shared" ca="1" si="3"/>
        <v>0</v>
      </c>
      <c r="AT42" s="1691">
        <f t="shared" ca="1" si="3"/>
        <v>0</v>
      </c>
      <c r="AU42" s="1691">
        <f t="shared" ca="1" si="3"/>
        <v>0</v>
      </c>
    </row>
    <row r="43" spans="2:47" s="2479" customFormat="1" x14ac:dyDescent="0.2">
      <c r="B43" s="1773" t="s">
        <v>2376</v>
      </c>
      <c r="C43" s="1685" t="s">
        <v>56</v>
      </c>
      <c r="D43" s="1686" t="s">
        <v>1812</v>
      </c>
      <c r="E43" s="2479">
        <v>4</v>
      </c>
      <c r="F43" s="1691">
        <f t="shared" ca="1" si="0"/>
        <v>0</v>
      </c>
      <c r="G43" s="1691">
        <f t="shared" ca="1" si="0"/>
        <v>0</v>
      </c>
      <c r="H43" s="1691">
        <f t="shared" ca="1" si="0"/>
        <v>0</v>
      </c>
      <c r="I43" s="1691">
        <f t="shared" ca="1" si="0"/>
        <v>0</v>
      </c>
      <c r="J43" s="1691">
        <f t="shared" ca="1" si="0"/>
        <v>0</v>
      </c>
      <c r="K43" s="1691">
        <f t="shared" ca="1" si="0"/>
        <v>0</v>
      </c>
      <c r="L43" s="1691">
        <f t="shared" ca="1" si="0"/>
        <v>0</v>
      </c>
      <c r="M43" s="1691">
        <f t="shared" ca="1" si="0"/>
        <v>0</v>
      </c>
      <c r="N43" s="1691">
        <f t="shared" ca="1" si="0"/>
        <v>0</v>
      </c>
      <c r="P43" s="1691">
        <f t="shared" ca="1" si="1"/>
        <v>0</v>
      </c>
      <c r="Q43" s="1691">
        <f t="shared" ca="1" si="1"/>
        <v>0</v>
      </c>
      <c r="R43" s="1691">
        <f t="shared" ca="1" si="1"/>
        <v>0</v>
      </c>
      <c r="S43" s="1691">
        <f t="shared" ca="1" si="1"/>
        <v>0</v>
      </c>
      <c r="T43" s="1691">
        <f t="shared" ca="1" si="1"/>
        <v>0</v>
      </c>
      <c r="U43" s="1691">
        <f t="shared" ca="1" si="1"/>
        <v>0</v>
      </c>
      <c r="V43" s="1691">
        <f t="shared" ca="1" si="1"/>
        <v>0</v>
      </c>
      <c r="W43" s="1691">
        <f t="shared" ca="1" si="1"/>
        <v>0</v>
      </c>
      <c r="X43" s="1691">
        <f t="shared" ca="1" si="1"/>
        <v>0</v>
      </c>
      <c r="Y43" s="1691">
        <f t="shared" ca="1" si="1"/>
        <v>0</v>
      </c>
      <c r="AA43" s="1691">
        <f t="shared" ca="1" si="2"/>
        <v>0</v>
      </c>
      <c r="AB43" s="1691">
        <f t="shared" ca="1" si="2"/>
        <v>0</v>
      </c>
      <c r="AC43" s="1691">
        <f t="shared" ca="1" si="2"/>
        <v>0</v>
      </c>
      <c r="AD43" s="1691">
        <f t="shared" ca="1" si="2"/>
        <v>0</v>
      </c>
      <c r="AE43" s="1691">
        <f t="shared" ca="1" si="2"/>
        <v>0</v>
      </c>
      <c r="AF43" s="1691">
        <f t="shared" ca="1" si="2"/>
        <v>0</v>
      </c>
      <c r="AG43" s="1691">
        <f t="shared" ca="1" si="2"/>
        <v>0</v>
      </c>
      <c r="AH43" s="1691">
        <f t="shared" ca="1" si="2"/>
        <v>0</v>
      </c>
      <c r="AI43" s="1691">
        <f t="shared" ca="1" si="2"/>
        <v>0</v>
      </c>
      <c r="AJ43" s="1691">
        <f t="shared" ca="1" si="2"/>
        <v>0</v>
      </c>
      <c r="AL43" s="1691">
        <f t="shared" ca="1" si="3"/>
        <v>0</v>
      </c>
      <c r="AM43" s="1691">
        <f t="shared" ca="1" si="3"/>
        <v>0</v>
      </c>
      <c r="AN43" s="1691">
        <f t="shared" ca="1" si="3"/>
        <v>0</v>
      </c>
      <c r="AO43" s="1691">
        <f t="shared" ca="1" si="3"/>
        <v>0</v>
      </c>
      <c r="AP43" s="1691">
        <f t="shared" ca="1" si="3"/>
        <v>0</v>
      </c>
      <c r="AQ43" s="1691">
        <f t="shared" ca="1" si="3"/>
        <v>0</v>
      </c>
      <c r="AR43" s="1691">
        <f t="shared" ca="1" si="3"/>
        <v>0</v>
      </c>
      <c r="AS43" s="1691">
        <f t="shared" ca="1" si="3"/>
        <v>0</v>
      </c>
      <c r="AT43" s="1691">
        <f t="shared" ca="1" si="3"/>
        <v>0</v>
      </c>
      <c r="AU43" s="1691">
        <f t="shared" ca="1" si="3"/>
        <v>0</v>
      </c>
    </row>
    <row r="44" spans="2:47" x14ac:dyDescent="0.2">
      <c r="B44" s="1683" t="s">
        <v>409</v>
      </c>
      <c r="C44" s="1683" t="s">
        <v>793</v>
      </c>
      <c r="D44" s="1684" t="s">
        <v>1812</v>
      </c>
      <c r="E44" s="2022">
        <v>1</v>
      </c>
      <c r="F44" s="1689">
        <f t="shared" ca="1" si="0"/>
        <v>0</v>
      </c>
      <c r="G44" s="1689">
        <f t="shared" ca="1" si="0"/>
        <v>0</v>
      </c>
      <c r="H44" s="1689">
        <f t="shared" ca="1" si="0"/>
        <v>0</v>
      </c>
      <c r="I44" s="1689">
        <f t="shared" ca="1" si="0"/>
        <v>0</v>
      </c>
      <c r="J44" s="1689">
        <f t="shared" ca="1" si="0"/>
        <v>0</v>
      </c>
      <c r="K44" s="1689">
        <f t="shared" ca="1" si="0"/>
        <v>0</v>
      </c>
      <c r="L44" s="1689">
        <f t="shared" ca="1" si="0"/>
        <v>0</v>
      </c>
      <c r="M44" s="1689">
        <f t="shared" ca="1" si="0"/>
        <v>0</v>
      </c>
      <c r="N44" s="1689">
        <f t="shared" ca="1" si="0"/>
        <v>0</v>
      </c>
      <c r="P44" s="1689">
        <f t="shared" ca="1" si="1"/>
        <v>0</v>
      </c>
      <c r="Q44" s="1689">
        <f t="shared" ca="1" si="1"/>
        <v>0</v>
      </c>
      <c r="R44" s="1689">
        <f t="shared" ca="1" si="1"/>
        <v>0</v>
      </c>
      <c r="S44" s="1689">
        <f t="shared" ca="1" si="1"/>
        <v>0</v>
      </c>
      <c r="T44" s="1689">
        <f t="shared" ca="1" si="1"/>
        <v>0</v>
      </c>
      <c r="U44" s="1689">
        <f t="shared" ca="1" si="1"/>
        <v>0</v>
      </c>
      <c r="V44" s="1689">
        <f t="shared" ca="1" si="1"/>
        <v>0</v>
      </c>
      <c r="W44" s="1689">
        <f t="shared" ca="1" si="1"/>
        <v>0</v>
      </c>
      <c r="X44" s="1689">
        <f t="shared" ca="1" si="1"/>
        <v>0</v>
      </c>
      <c r="Y44" s="1689">
        <f t="shared" ca="1" si="1"/>
        <v>0</v>
      </c>
      <c r="AA44" s="1689">
        <f t="shared" ca="1" si="2"/>
        <v>0</v>
      </c>
      <c r="AB44" s="1689">
        <f t="shared" ca="1" si="2"/>
        <v>0</v>
      </c>
      <c r="AC44" s="1689">
        <f t="shared" ca="1" si="2"/>
        <v>0</v>
      </c>
      <c r="AD44" s="1689">
        <f t="shared" ca="1" si="2"/>
        <v>0</v>
      </c>
      <c r="AE44" s="1689">
        <f t="shared" ca="1" si="2"/>
        <v>0</v>
      </c>
      <c r="AF44" s="1689">
        <f t="shared" ca="1" si="2"/>
        <v>0</v>
      </c>
      <c r="AG44" s="1689">
        <f t="shared" ca="1" si="2"/>
        <v>0</v>
      </c>
      <c r="AH44" s="1689">
        <f t="shared" ca="1" si="2"/>
        <v>0</v>
      </c>
      <c r="AI44" s="1689">
        <f t="shared" ca="1" si="2"/>
        <v>0</v>
      </c>
      <c r="AJ44" s="1689">
        <f t="shared" ca="1" si="2"/>
        <v>0</v>
      </c>
      <c r="AL44" s="1689">
        <f t="shared" ca="1" si="3"/>
        <v>0</v>
      </c>
      <c r="AM44" s="1689">
        <f t="shared" ca="1" si="3"/>
        <v>0</v>
      </c>
      <c r="AN44" s="1689">
        <f t="shared" ca="1" si="3"/>
        <v>0</v>
      </c>
      <c r="AO44" s="1689">
        <f t="shared" ca="1" si="3"/>
        <v>0</v>
      </c>
      <c r="AP44" s="1689">
        <f t="shared" ca="1" si="3"/>
        <v>0</v>
      </c>
      <c r="AQ44" s="1689">
        <f t="shared" ca="1" si="3"/>
        <v>0</v>
      </c>
      <c r="AR44" s="1689">
        <f t="shared" ca="1" si="3"/>
        <v>0</v>
      </c>
      <c r="AS44" s="1689">
        <f t="shared" ca="1" si="3"/>
        <v>0</v>
      </c>
      <c r="AT44" s="1689">
        <f t="shared" ca="1" si="3"/>
        <v>0</v>
      </c>
      <c r="AU44" s="1689">
        <f t="shared" ca="1" si="3"/>
        <v>0</v>
      </c>
    </row>
    <row r="45" spans="2:47" x14ac:dyDescent="0.2">
      <c r="B45" s="1685" t="s">
        <v>400</v>
      </c>
      <c r="C45" s="1685" t="s">
        <v>1390</v>
      </c>
      <c r="D45" s="1686" t="s">
        <v>1824</v>
      </c>
      <c r="E45" s="2022">
        <v>4</v>
      </c>
      <c r="F45" s="1691">
        <f t="shared" ca="1" si="0"/>
        <v>0</v>
      </c>
      <c r="G45" s="1691">
        <f t="shared" ca="1" si="0"/>
        <v>0</v>
      </c>
      <c r="H45" s="1691">
        <f t="shared" ca="1" si="0"/>
        <v>0</v>
      </c>
      <c r="I45" s="1691">
        <f t="shared" ca="1" si="0"/>
        <v>0</v>
      </c>
      <c r="J45" s="1691">
        <f t="shared" ca="1" si="0"/>
        <v>0</v>
      </c>
      <c r="K45" s="1691">
        <f t="shared" ca="1" si="0"/>
        <v>0</v>
      </c>
      <c r="L45" s="1691">
        <f t="shared" ca="1" si="0"/>
        <v>0</v>
      </c>
      <c r="M45" s="1691">
        <f t="shared" ca="1" si="0"/>
        <v>0</v>
      </c>
      <c r="N45" s="1691">
        <f t="shared" ca="1" si="0"/>
        <v>0</v>
      </c>
      <c r="P45" s="1691">
        <f t="shared" ca="1" si="1"/>
        <v>0</v>
      </c>
      <c r="Q45" s="1691">
        <f t="shared" ca="1" si="1"/>
        <v>0</v>
      </c>
      <c r="R45" s="1691">
        <f t="shared" ca="1" si="1"/>
        <v>0</v>
      </c>
      <c r="S45" s="1691">
        <f t="shared" ca="1" si="1"/>
        <v>0</v>
      </c>
      <c r="T45" s="1691">
        <f t="shared" ca="1" si="1"/>
        <v>0</v>
      </c>
      <c r="U45" s="1691">
        <f t="shared" ca="1" si="1"/>
        <v>0</v>
      </c>
      <c r="V45" s="1691">
        <f t="shared" ca="1" si="1"/>
        <v>0</v>
      </c>
      <c r="W45" s="1691">
        <f t="shared" ca="1" si="1"/>
        <v>0</v>
      </c>
      <c r="X45" s="1691">
        <f t="shared" ca="1" si="1"/>
        <v>0</v>
      </c>
      <c r="Y45" s="1691">
        <f t="shared" ca="1" si="1"/>
        <v>0</v>
      </c>
      <c r="AA45" s="1691">
        <f t="shared" ca="1" si="2"/>
        <v>0</v>
      </c>
      <c r="AB45" s="1691">
        <f t="shared" ca="1" si="2"/>
        <v>0</v>
      </c>
      <c r="AC45" s="1691">
        <f t="shared" ca="1" si="2"/>
        <v>0</v>
      </c>
      <c r="AD45" s="1691">
        <f t="shared" ca="1" si="2"/>
        <v>0</v>
      </c>
      <c r="AE45" s="1691">
        <f t="shared" ca="1" si="2"/>
        <v>0</v>
      </c>
      <c r="AF45" s="1691">
        <f t="shared" ca="1" si="2"/>
        <v>0</v>
      </c>
      <c r="AG45" s="1691">
        <f t="shared" ca="1" si="2"/>
        <v>0</v>
      </c>
      <c r="AH45" s="1691">
        <f t="shared" ca="1" si="2"/>
        <v>0</v>
      </c>
      <c r="AI45" s="1691">
        <f t="shared" ca="1" si="2"/>
        <v>0</v>
      </c>
      <c r="AJ45" s="1691">
        <f t="shared" ca="1" si="2"/>
        <v>0</v>
      </c>
      <c r="AL45" s="1691">
        <f t="shared" ca="1" si="3"/>
        <v>0</v>
      </c>
      <c r="AM45" s="1691">
        <f t="shared" ca="1" si="3"/>
        <v>0</v>
      </c>
      <c r="AN45" s="1691">
        <f t="shared" ca="1" si="3"/>
        <v>0</v>
      </c>
      <c r="AO45" s="1691">
        <f t="shared" ca="1" si="3"/>
        <v>0</v>
      </c>
      <c r="AP45" s="1691">
        <f t="shared" ca="1" si="3"/>
        <v>0</v>
      </c>
      <c r="AQ45" s="1691">
        <f t="shared" ca="1" si="3"/>
        <v>0</v>
      </c>
      <c r="AR45" s="1691">
        <f t="shared" ca="1" si="3"/>
        <v>0</v>
      </c>
      <c r="AS45" s="1691">
        <f t="shared" ca="1" si="3"/>
        <v>0</v>
      </c>
      <c r="AT45" s="1691">
        <f t="shared" ca="1" si="3"/>
        <v>0</v>
      </c>
      <c r="AU45" s="1691">
        <f t="shared" ca="1" si="3"/>
        <v>0</v>
      </c>
    </row>
    <row r="46" spans="2:47" x14ac:dyDescent="0.2">
      <c r="B46" s="1683" t="s">
        <v>838</v>
      </c>
      <c r="C46" s="1683" t="s">
        <v>839</v>
      </c>
      <c r="D46" s="1684" t="s">
        <v>1824</v>
      </c>
      <c r="E46" s="2022">
        <v>4</v>
      </c>
      <c r="F46" s="1689">
        <f t="shared" ca="1" si="0"/>
        <v>0</v>
      </c>
      <c r="G46" s="1689">
        <f t="shared" ca="1" si="0"/>
        <v>0</v>
      </c>
      <c r="H46" s="1689">
        <f t="shared" ca="1" si="0"/>
        <v>0</v>
      </c>
      <c r="I46" s="1689">
        <f t="shared" ca="1" si="0"/>
        <v>0</v>
      </c>
      <c r="J46" s="1689">
        <f t="shared" ca="1" si="0"/>
        <v>0</v>
      </c>
      <c r="K46" s="1689">
        <f t="shared" ca="1" si="0"/>
        <v>0</v>
      </c>
      <c r="L46" s="1689">
        <f t="shared" ca="1" si="0"/>
        <v>0</v>
      </c>
      <c r="M46" s="1689">
        <f t="shared" ca="1" si="0"/>
        <v>0</v>
      </c>
      <c r="N46" s="1689">
        <f t="shared" ca="1" si="0"/>
        <v>0</v>
      </c>
      <c r="P46" s="1689">
        <f t="shared" ca="1" si="1"/>
        <v>0</v>
      </c>
      <c r="Q46" s="1689">
        <f t="shared" ca="1" si="1"/>
        <v>0</v>
      </c>
      <c r="R46" s="1689">
        <f t="shared" ca="1" si="1"/>
        <v>0</v>
      </c>
      <c r="S46" s="1689">
        <f t="shared" ca="1" si="1"/>
        <v>0</v>
      </c>
      <c r="T46" s="1689">
        <f t="shared" ca="1" si="1"/>
        <v>0</v>
      </c>
      <c r="U46" s="1689">
        <f t="shared" ca="1" si="1"/>
        <v>0</v>
      </c>
      <c r="V46" s="1689">
        <f t="shared" ca="1" si="1"/>
        <v>0</v>
      </c>
      <c r="W46" s="1689">
        <f t="shared" ca="1" si="1"/>
        <v>0</v>
      </c>
      <c r="X46" s="1689">
        <f t="shared" ca="1" si="1"/>
        <v>0</v>
      </c>
      <c r="Y46" s="1689">
        <f t="shared" ca="1" si="1"/>
        <v>0</v>
      </c>
      <c r="AA46" s="1689">
        <f t="shared" ca="1" si="2"/>
        <v>0</v>
      </c>
      <c r="AB46" s="1689">
        <f t="shared" ca="1" si="2"/>
        <v>0</v>
      </c>
      <c r="AC46" s="1689">
        <f t="shared" ca="1" si="2"/>
        <v>0</v>
      </c>
      <c r="AD46" s="1689">
        <f t="shared" ca="1" si="2"/>
        <v>0</v>
      </c>
      <c r="AE46" s="1689">
        <f t="shared" ca="1" si="2"/>
        <v>0</v>
      </c>
      <c r="AF46" s="1689">
        <f t="shared" ca="1" si="2"/>
        <v>0</v>
      </c>
      <c r="AG46" s="1689">
        <f t="shared" ca="1" si="2"/>
        <v>0</v>
      </c>
      <c r="AH46" s="1689">
        <f t="shared" ca="1" si="2"/>
        <v>0</v>
      </c>
      <c r="AI46" s="1689">
        <f t="shared" ca="1" si="2"/>
        <v>0</v>
      </c>
      <c r="AJ46" s="1689">
        <f t="shared" ca="1" si="2"/>
        <v>0</v>
      </c>
      <c r="AL46" s="1689">
        <f t="shared" ca="1" si="3"/>
        <v>0</v>
      </c>
      <c r="AM46" s="1689">
        <f t="shared" ca="1" si="3"/>
        <v>0</v>
      </c>
      <c r="AN46" s="1689">
        <f t="shared" ca="1" si="3"/>
        <v>0</v>
      </c>
      <c r="AO46" s="1689">
        <f t="shared" ca="1" si="3"/>
        <v>0</v>
      </c>
      <c r="AP46" s="1689">
        <f t="shared" ca="1" si="3"/>
        <v>0</v>
      </c>
      <c r="AQ46" s="1689">
        <f t="shared" ca="1" si="3"/>
        <v>0</v>
      </c>
      <c r="AR46" s="1689">
        <f t="shared" ca="1" si="3"/>
        <v>0</v>
      </c>
      <c r="AS46" s="1689">
        <f t="shared" ca="1" si="3"/>
        <v>0</v>
      </c>
      <c r="AT46" s="1689">
        <f t="shared" ca="1" si="3"/>
        <v>0</v>
      </c>
      <c r="AU46" s="1689">
        <f t="shared" ca="1" si="3"/>
        <v>0</v>
      </c>
    </row>
    <row r="47" spans="2:47" x14ac:dyDescent="0.2">
      <c r="B47" s="1685" t="s">
        <v>380</v>
      </c>
      <c r="C47" s="1685" t="s">
        <v>1190</v>
      </c>
      <c r="D47" s="1686" t="s">
        <v>1824</v>
      </c>
      <c r="E47" s="2022">
        <v>4</v>
      </c>
      <c r="F47" s="1691">
        <f t="shared" ca="1" si="0"/>
        <v>212.16079661869858</v>
      </c>
      <c r="G47" s="1691">
        <f t="shared" ca="1" si="0"/>
        <v>0.75535839661323889</v>
      </c>
      <c r="H47" s="1691">
        <f t="shared" ca="1" si="0"/>
        <v>0.9001451685788644</v>
      </c>
      <c r="I47" s="1691">
        <f t="shared" ca="1" si="0"/>
        <v>1.0823576922559295</v>
      </c>
      <c r="J47" s="1691">
        <f t="shared" ca="1" si="0"/>
        <v>1.308292765305529</v>
      </c>
      <c r="K47" s="1691">
        <f t="shared" ca="1" si="0"/>
        <v>1.5919464295118879</v>
      </c>
      <c r="L47" s="1691">
        <f t="shared" ca="1" si="0"/>
        <v>1.9503935529594474</v>
      </c>
      <c r="M47" s="1691">
        <f t="shared" ca="1" si="0"/>
        <v>2.4031256402512677</v>
      </c>
      <c r="N47" s="1691">
        <f t="shared" ca="1" si="0"/>
        <v>2.9759122794337394</v>
      </c>
      <c r="P47" s="1691">
        <f t="shared" ca="1" si="1"/>
        <v>0</v>
      </c>
      <c r="Q47" s="1691">
        <f t="shared" ca="1" si="1"/>
        <v>10262.077411804983</v>
      </c>
      <c r="R47" s="1691">
        <f t="shared" ca="1" si="1"/>
        <v>1.4370370987474772</v>
      </c>
      <c r="S47" s="1691">
        <f t="shared" ca="1" si="1"/>
        <v>1.5085320282344585</v>
      </c>
      <c r="T47" s="1691">
        <f t="shared" ca="1" si="1"/>
        <v>1.5864572061507065</v>
      </c>
      <c r="U47" s="1691">
        <f t="shared" ca="1" si="1"/>
        <v>1.678097395243777</v>
      </c>
      <c r="V47" s="1691">
        <f t="shared" ca="1" si="1"/>
        <v>1.781940722216518</v>
      </c>
      <c r="W47" s="1691">
        <f t="shared" ca="1" si="1"/>
        <v>1.8969559220465657</v>
      </c>
      <c r="X47" s="1691">
        <f t="shared" ca="1" si="1"/>
        <v>2.0250380863181867</v>
      </c>
      <c r="Y47" s="1691">
        <f t="shared" ca="1" si="1"/>
        <v>2.1670932794303268</v>
      </c>
      <c r="AA47" s="1691">
        <f t="shared" ca="1" si="2"/>
        <v>0</v>
      </c>
      <c r="AB47" s="1691">
        <f t="shared" ca="1" si="2"/>
        <v>23.027279033684213</v>
      </c>
      <c r="AC47" s="1691">
        <f t="shared" ca="1" si="2"/>
        <v>2.9268046900357647</v>
      </c>
      <c r="AD47" s="1691">
        <f t="shared" ca="1" si="2"/>
        <v>3.054619224284282</v>
      </c>
      <c r="AE47" s="1691">
        <f t="shared" ca="1" si="2"/>
        <v>3.1998893262097363</v>
      </c>
      <c r="AF47" s="1691">
        <f t="shared" ca="1" si="2"/>
        <v>3.3745896877549786</v>
      </c>
      <c r="AG47" s="1691">
        <f t="shared" ca="1" si="2"/>
        <v>3.5734719954572776</v>
      </c>
      <c r="AH47" s="1691">
        <f t="shared" ca="1" si="2"/>
        <v>3.7929106404208168</v>
      </c>
      <c r="AI47" s="1691">
        <f t="shared" ca="1" si="2"/>
        <v>4.0380315668955173</v>
      </c>
      <c r="AJ47" s="1691">
        <f t="shared" ca="1" si="2"/>
        <v>4.3093285209383936</v>
      </c>
      <c r="AL47" s="1691">
        <f t="shared" ca="1" si="3"/>
        <v>0</v>
      </c>
      <c r="AM47" s="1691">
        <f t="shared" ca="1" si="3"/>
        <v>1.4734246453808979E-3</v>
      </c>
      <c r="AN47" s="1691">
        <f t="shared" ca="1" si="3"/>
        <v>3.5374252962206615E-2</v>
      </c>
      <c r="AO47" s="1691">
        <f t="shared" ca="1" si="3"/>
        <v>3.7718638896130363E-2</v>
      </c>
      <c r="AP47" s="1691">
        <f t="shared" ca="1" si="3"/>
        <v>4.059746234829683E-2</v>
      </c>
      <c r="AQ47" s="1691">
        <f t="shared" ca="1" si="3"/>
        <v>4.3225038913980364E-2</v>
      </c>
      <c r="AR47" s="1691">
        <f t="shared" ca="1" si="3"/>
        <v>4.6144302977280824E-2</v>
      </c>
      <c r="AS47" s="1691">
        <f t="shared" ca="1" si="3"/>
        <v>4.9836935230148767E-2</v>
      </c>
      <c r="AT47" s="1691">
        <f t="shared" ca="1" si="3"/>
        <v>5.4289383118090812E-2</v>
      </c>
      <c r="AU47" s="1691">
        <f t="shared" ca="1" si="3"/>
        <v>5.9763752376079941E-2</v>
      </c>
    </row>
    <row r="48" spans="2:47" x14ac:dyDescent="0.2">
      <c r="B48" s="1683" t="s">
        <v>402</v>
      </c>
      <c r="C48" s="1683" t="s">
        <v>656</v>
      </c>
      <c r="D48" s="1684" t="s">
        <v>1824</v>
      </c>
      <c r="E48" s="2022">
        <v>4</v>
      </c>
      <c r="F48" s="1689">
        <f t="shared" ca="1" si="0"/>
        <v>0.58655781209233648</v>
      </c>
      <c r="G48" s="1689">
        <f t="shared" ca="1" si="0"/>
        <v>0.44382985868478764</v>
      </c>
      <c r="H48" s="1689">
        <f t="shared" ca="1" si="0"/>
        <v>0.31792320198664958</v>
      </c>
      <c r="I48" s="1689">
        <f t="shared" ca="1" si="0"/>
        <v>0.23653382799164632</v>
      </c>
      <c r="J48" s="1689">
        <f t="shared" ca="1" si="0"/>
        <v>0.16380164288142965</v>
      </c>
      <c r="K48" s="1689">
        <f t="shared" ca="1" si="0"/>
        <v>0.12349044318695032</v>
      </c>
      <c r="L48" s="1689">
        <f t="shared" ca="1" si="0"/>
        <v>8.7966405268321279E-2</v>
      </c>
      <c r="M48" s="1689">
        <f t="shared" ca="1" si="0"/>
        <v>5.7634346022615981E-2</v>
      </c>
      <c r="N48" s="1689">
        <f t="shared" ca="1" si="0"/>
        <v>3.289908234690786E-2</v>
      </c>
      <c r="P48" s="1689">
        <f t="shared" ca="1" si="1"/>
        <v>0</v>
      </c>
      <c r="Q48" s="1689">
        <f t="shared" ca="1" si="1"/>
        <v>14.2242855666131</v>
      </c>
      <c r="R48" s="1689">
        <f t="shared" ca="1" si="1"/>
        <v>10.763069765283655</v>
      </c>
      <c r="S48" s="1689">
        <f t="shared" ca="1" si="1"/>
        <v>7.7097778259549088</v>
      </c>
      <c r="T48" s="1689">
        <f t="shared" ca="1" si="1"/>
        <v>5.7360496206087088</v>
      </c>
      <c r="U48" s="1689">
        <f t="shared" ca="1" si="1"/>
        <v>3.9722620628212675</v>
      </c>
      <c r="V48" s="1689">
        <f t="shared" ca="1" si="1"/>
        <v>2.9946976963325702</v>
      </c>
      <c r="W48" s="1689">
        <f t="shared" ca="1" si="1"/>
        <v>2.1332241136497672</v>
      </c>
      <c r="X48" s="1689">
        <f t="shared" ca="1" si="1"/>
        <v>1.3976583030175838</v>
      </c>
      <c r="Y48" s="1689">
        <f t="shared" ca="1" si="1"/>
        <v>0.79781725268074632</v>
      </c>
      <c r="AA48" s="1689">
        <f t="shared" ca="1" si="2"/>
        <v>0</v>
      </c>
      <c r="AB48" s="1689">
        <f t="shared" ca="1" si="2"/>
        <v>0</v>
      </c>
      <c r="AC48" s="1689">
        <f t="shared" ca="1" si="2"/>
        <v>0</v>
      </c>
      <c r="AD48" s="1689">
        <f t="shared" ca="1" si="2"/>
        <v>0</v>
      </c>
      <c r="AE48" s="1689">
        <f t="shared" ca="1" si="2"/>
        <v>0</v>
      </c>
      <c r="AF48" s="1689">
        <f t="shared" ca="1" si="2"/>
        <v>0</v>
      </c>
      <c r="AG48" s="1689">
        <f t="shared" ca="1" si="2"/>
        <v>0</v>
      </c>
      <c r="AH48" s="1689">
        <f t="shared" ca="1" si="2"/>
        <v>0</v>
      </c>
      <c r="AI48" s="1689">
        <f t="shared" ca="1" si="2"/>
        <v>0</v>
      </c>
      <c r="AJ48" s="1689">
        <f t="shared" ca="1" si="2"/>
        <v>0</v>
      </c>
      <c r="AL48" s="1689">
        <f t="shared" ca="1" si="3"/>
        <v>0</v>
      </c>
      <c r="AM48" s="1689">
        <f t="shared" ca="1" si="3"/>
        <v>9.6912443676443534</v>
      </c>
      <c r="AN48" s="1689">
        <f t="shared" ca="1" si="3"/>
        <v>7.9676348759032773</v>
      </c>
      <c r="AO48" s="1689">
        <f t="shared" ca="1" si="3"/>
        <v>6.2501790200907124</v>
      </c>
      <c r="AP48" s="1689">
        <f t="shared" ca="1" si="3"/>
        <v>4.7013171557305782</v>
      </c>
      <c r="AQ48" s="1689">
        <f t="shared" ca="1" si="3"/>
        <v>3.3142169663432255</v>
      </c>
      <c r="AR48" s="1689">
        <f t="shared" ca="1" si="3"/>
        <v>2.5664592611726569</v>
      </c>
      <c r="AS48" s="1689">
        <f t="shared" ca="1" si="3"/>
        <v>1.9008995751642612</v>
      </c>
      <c r="AT48" s="1689">
        <f t="shared" ca="1" si="3"/>
        <v>1.3176860000998616</v>
      </c>
      <c r="AU48" s="1689">
        <f t="shared" ca="1" si="3"/>
        <v>0.81696662776128137</v>
      </c>
    </row>
    <row r="49" spans="2:47" x14ac:dyDescent="0.2">
      <c r="B49" s="1685" t="s">
        <v>1159</v>
      </c>
      <c r="C49" s="1685" t="s">
        <v>1158</v>
      </c>
      <c r="D49" s="1686" t="s">
        <v>1824</v>
      </c>
      <c r="E49" s="2022">
        <v>4</v>
      </c>
      <c r="F49" s="1691">
        <f t="shared" ca="1" si="0"/>
        <v>0</v>
      </c>
      <c r="G49" s="1691">
        <f t="shared" ca="1" si="0"/>
        <v>0</v>
      </c>
      <c r="H49" s="1691">
        <f t="shared" ca="1" si="0"/>
        <v>0</v>
      </c>
      <c r="I49" s="1691">
        <f t="shared" ca="1" si="0"/>
        <v>0</v>
      </c>
      <c r="J49" s="1691">
        <f t="shared" ca="1" si="0"/>
        <v>0</v>
      </c>
      <c r="K49" s="1691">
        <f t="shared" ca="1" si="0"/>
        <v>0</v>
      </c>
      <c r="L49" s="1691">
        <f t="shared" ca="1" si="0"/>
        <v>0</v>
      </c>
      <c r="M49" s="1691">
        <f t="shared" ca="1" si="0"/>
        <v>0</v>
      </c>
      <c r="N49" s="1691">
        <f t="shared" ca="1" si="0"/>
        <v>0</v>
      </c>
      <c r="P49" s="1691">
        <f t="shared" ca="1" si="1"/>
        <v>0</v>
      </c>
      <c r="Q49" s="1691">
        <f t="shared" ca="1" si="1"/>
        <v>0</v>
      </c>
      <c r="R49" s="1691">
        <f t="shared" ca="1" si="1"/>
        <v>0</v>
      </c>
      <c r="S49" s="1691">
        <f t="shared" ca="1" si="1"/>
        <v>0</v>
      </c>
      <c r="T49" s="1691">
        <f t="shared" ca="1" si="1"/>
        <v>0</v>
      </c>
      <c r="U49" s="1691">
        <f t="shared" ca="1" si="1"/>
        <v>0</v>
      </c>
      <c r="V49" s="1691">
        <f t="shared" ca="1" si="1"/>
        <v>0</v>
      </c>
      <c r="W49" s="1691">
        <f t="shared" ca="1" si="1"/>
        <v>0</v>
      </c>
      <c r="X49" s="1691">
        <f t="shared" ca="1" si="1"/>
        <v>0</v>
      </c>
      <c r="Y49" s="1691">
        <f t="shared" ca="1" si="1"/>
        <v>0</v>
      </c>
      <c r="AA49" s="1691">
        <f t="shared" ca="1" si="2"/>
        <v>0</v>
      </c>
      <c r="AB49" s="1691">
        <f t="shared" ca="1" si="2"/>
        <v>0</v>
      </c>
      <c r="AC49" s="1691">
        <f t="shared" ca="1" si="2"/>
        <v>0</v>
      </c>
      <c r="AD49" s="1691">
        <f t="shared" ca="1" si="2"/>
        <v>0</v>
      </c>
      <c r="AE49" s="1691">
        <f t="shared" ca="1" si="2"/>
        <v>0</v>
      </c>
      <c r="AF49" s="1691">
        <f t="shared" ca="1" si="2"/>
        <v>0</v>
      </c>
      <c r="AG49" s="1691">
        <f t="shared" ca="1" si="2"/>
        <v>0</v>
      </c>
      <c r="AH49" s="1691">
        <f t="shared" ca="1" si="2"/>
        <v>0</v>
      </c>
      <c r="AI49" s="1691">
        <f t="shared" ca="1" si="2"/>
        <v>0</v>
      </c>
      <c r="AJ49" s="1691">
        <f t="shared" ca="1" si="2"/>
        <v>0</v>
      </c>
      <c r="AL49" s="1691">
        <f t="shared" ca="1" si="3"/>
        <v>0</v>
      </c>
      <c r="AM49" s="1691">
        <f t="shared" ca="1" si="3"/>
        <v>0</v>
      </c>
      <c r="AN49" s="1691">
        <f t="shared" ca="1" si="3"/>
        <v>0</v>
      </c>
      <c r="AO49" s="1691">
        <f t="shared" ca="1" si="3"/>
        <v>0</v>
      </c>
      <c r="AP49" s="1691">
        <f t="shared" ca="1" si="3"/>
        <v>0</v>
      </c>
      <c r="AQ49" s="1691">
        <f t="shared" ca="1" si="3"/>
        <v>0</v>
      </c>
      <c r="AR49" s="1691">
        <f t="shared" ca="1" si="3"/>
        <v>0</v>
      </c>
      <c r="AS49" s="1691">
        <f t="shared" ca="1" si="3"/>
        <v>0</v>
      </c>
      <c r="AT49" s="1691">
        <f t="shared" ca="1" si="3"/>
        <v>0</v>
      </c>
      <c r="AU49" s="1691">
        <f t="shared" ca="1" si="3"/>
        <v>0</v>
      </c>
    </row>
    <row r="50" spans="2:47" x14ac:dyDescent="0.2">
      <c r="B50" s="1683" t="s">
        <v>1611</v>
      </c>
      <c r="C50" s="1683" t="s">
        <v>43</v>
      </c>
      <c r="D50" s="1684" t="s">
        <v>1812</v>
      </c>
      <c r="E50" s="2022">
        <v>4</v>
      </c>
      <c r="F50" s="1689">
        <f t="shared" ref="F50:N62" ca="1" si="4">IFERROR(INDEX(INDIRECT($B50&amp;".AQ["&amp;F$33&amp;"]"), MATCH($F$32, INDIRECT($B50&amp;".AQ[Vector]"), 0)),0)</f>
        <v>0</v>
      </c>
      <c r="G50" s="1689">
        <f t="shared" ca="1" si="4"/>
        <v>0</v>
      </c>
      <c r="H50" s="1689">
        <f t="shared" ca="1" si="4"/>
        <v>0</v>
      </c>
      <c r="I50" s="1689">
        <f t="shared" ca="1" si="4"/>
        <v>0</v>
      </c>
      <c r="J50" s="1689">
        <f t="shared" ca="1" si="4"/>
        <v>0</v>
      </c>
      <c r="K50" s="1689">
        <f t="shared" ca="1" si="4"/>
        <v>0</v>
      </c>
      <c r="L50" s="1689">
        <f t="shared" ca="1" si="4"/>
        <v>0</v>
      </c>
      <c r="M50" s="1689">
        <f t="shared" ca="1" si="4"/>
        <v>0</v>
      </c>
      <c r="N50" s="1689">
        <f t="shared" ca="1" si="4"/>
        <v>0</v>
      </c>
      <c r="P50" s="1689">
        <f t="shared" ref="P50:Y62" ca="1" si="5">IFERROR(INDEX(INDIRECT($B50&amp;".AQ["&amp;P$33&amp;"]"), MATCH($R$32, INDIRECT($B50&amp;".AQ[Vector]"), 0)),0)</f>
        <v>0</v>
      </c>
      <c r="Q50" s="1689">
        <f t="shared" ca="1" si="5"/>
        <v>0</v>
      </c>
      <c r="R50" s="1689">
        <f t="shared" ca="1" si="5"/>
        <v>0</v>
      </c>
      <c r="S50" s="1689">
        <f t="shared" ca="1" si="5"/>
        <v>0</v>
      </c>
      <c r="T50" s="1689">
        <f t="shared" ca="1" si="5"/>
        <v>0</v>
      </c>
      <c r="U50" s="1689">
        <f t="shared" ca="1" si="5"/>
        <v>0</v>
      </c>
      <c r="V50" s="1689">
        <f t="shared" ca="1" si="5"/>
        <v>0</v>
      </c>
      <c r="W50" s="1689">
        <f t="shared" ca="1" si="5"/>
        <v>0</v>
      </c>
      <c r="X50" s="1689">
        <f t="shared" ca="1" si="5"/>
        <v>0</v>
      </c>
      <c r="Y50" s="1689">
        <f t="shared" ca="1" si="5"/>
        <v>0</v>
      </c>
      <c r="AA50" s="1689">
        <f t="shared" ref="AA50:AJ62" ca="1" si="6">IFERROR(INDEX(INDIRECT($B50&amp;".AQ["&amp;AA$33&amp;"]"), MATCH($AC$32, INDIRECT($B50&amp;".AQ[Vector]"), 0)),0)</f>
        <v>0</v>
      </c>
      <c r="AB50" s="1689">
        <f t="shared" ca="1" si="6"/>
        <v>0</v>
      </c>
      <c r="AC50" s="1689">
        <f t="shared" ca="1" si="6"/>
        <v>0</v>
      </c>
      <c r="AD50" s="1689">
        <f t="shared" ca="1" si="6"/>
        <v>0</v>
      </c>
      <c r="AE50" s="1689">
        <f t="shared" ca="1" si="6"/>
        <v>0</v>
      </c>
      <c r="AF50" s="1689">
        <f t="shared" ca="1" si="6"/>
        <v>0</v>
      </c>
      <c r="AG50" s="1689">
        <f t="shared" ca="1" si="6"/>
        <v>0</v>
      </c>
      <c r="AH50" s="1689">
        <f t="shared" ca="1" si="6"/>
        <v>0</v>
      </c>
      <c r="AI50" s="1689">
        <f t="shared" ca="1" si="6"/>
        <v>0</v>
      </c>
      <c r="AJ50" s="1689">
        <f t="shared" ca="1" si="6"/>
        <v>0</v>
      </c>
      <c r="AL50" s="1689">
        <f t="shared" ref="AL50:AU62" ca="1" si="7">IFERROR(INDEX(INDIRECT($B50&amp;".AQ["&amp;AL$33&amp;"]"), MATCH($AN$32, INDIRECT($B50&amp;".AQ[Vector]"), 0)),0)</f>
        <v>0</v>
      </c>
      <c r="AM50" s="1689">
        <f t="shared" ca="1" si="7"/>
        <v>0</v>
      </c>
      <c r="AN50" s="1689">
        <f t="shared" ca="1" si="7"/>
        <v>0</v>
      </c>
      <c r="AO50" s="1689">
        <f t="shared" ca="1" si="7"/>
        <v>0</v>
      </c>
      <c r="AP50" s="1689">
        <f t="shared" ca="1" si="7"/>
        <v>0</v>
      </c>
      <c r="AQ50" s="1689">
        <f t="shared" ca="1" si="7"/>
        <v>0</v>
      </c>
      <c r="AR50" s="1689">
        <f t="shared" ca="1" si="7"/>
        <v>0</v>
      </c>
      <c r="AS50" s="1689">
        <f t="shared" ca="1" si="7"/>
        <v>0</v>
      </c>
      <c r="AT50" s="1689">
        <f t="shared" ca="1" si="7"/>
        <v>0</v>
      </c>
      <c r="AU50" s="1689">
        <f t="shared" ca="1" si="7"/>
        <v>0</v>
      </c>
    </row>
    <row r="51" spans="2:47" x14ac:dyDescent="0.2">
      <c r="B51" s="1685" t="s">
        <v>1612</v>
      </c>
      <c r="C51" s="1685" t="s">
        <v>1610</v>
      </c>
      <c r="D51" s="1686" t="s">
        <v>1812</v>
      </c>
      <c r="F51" s="1691">
        <f t="shared" ca="1" si="4"/>
        <v>0</v>
      </c>
      <c r="G51" s="1691">
        <f t="shared" ca="1" si="4"/>
        <v>0</v>
      </c>
      <c r="H51" s="1691">
        <f t="shared" ca="1" si="4"/>
        <v>0</v>
      </c>
      <c r="I51" s="1691">
        <f t="shared" ca="1" si="4"/>
        <v>0</v>
      </c>
      <c r="J51" s="1691">
        <f t="shared" ca="1" si="4"/>
        <v>0</v>
      </c>
      <c r="K51" s="1691">
        <f t="shared" ca="1" si="4"/>
        <v>0</v>
      </c>
      <c r="L51" s="1691">
        <f t="shared" ca="1" si="4"/>
        <v>0</v>
      </c>
      <c r="M51" s="1691">
        <f t="shared" ca="1" si="4"/>
        <v>0</v>
      </c>
      <c r="N51" s="1691">
        <f t="shared" ca="1" si="4"/>
        <v>0</v>
      </c>
      <c r="P51" s="1691">
        <f t="shared" ca="1" si="5"/>
        <v>0</v>
      </c>
      <c r="Q51" s="1691">
        <f t="shared" ca="1" si="5"/>
        <v>0</v>
      </c>
      <c r="R51" s="1691">
        <f t="shared" ca="1" si="5"/>
        <v>0</v>
      </c>
      <c r="S51" s="1691">
        <f t="shared" ca="1" si="5"/>
        <v>0</v>
      </c>
      <c r="T51" s="1691">
        <f t="shared" ca="1" si="5"/>
        <v>0</v>
      </c>
      <c r="U51" s="1691">
        <f t="shared" ca="1" si="5"/>
        <v>0</v>
      </c>
      <c r="V51" s="1691">
        <f t="shared" ca="1" si="5"/>
        <v>0</v>
      </c>
      <c r="W51" s="1691">
        <f t="shared" ca="1" si="5"/>
        <v>0</v>
      </c>
      <c r="X51" s="1691">
        <f t="shared" ca="1" si="5"/>
        <v>0</v>
      </c>
      <c r="Y51" s="1691">
        <f t="shared" ca="1" si="5"/>
        <v>0</v>
      </c>
      <c r="AA51" s="1691">
        <f t="shared" ca="1" si="6"/>
        <v>0</v>
      </c>
      <c r="AB51" s="1691">
        <f t="shared" ca="1" si="6"/>
        <v>0</v>
      </c>
      <c r="AC51" s="1691">
        <f t="shared" ca="1" si="6"/>
        <v>0</v>
      </c>
      <c r="AD51" s="1691">
        <f t="shared" ca="1" si="6"/>
        <v>0</v>
      </c>
      <c r="AE51" s="1691">
        <f t="shared" ca="1" si="6"/>
        <v>0</v>
      </c>
      <c r="AF51" s="1691">
        <f t="shared" ca="1" si="6"/>
        <v>0</v>
      </c>
      <c r="AG51" s="1691">
        <f t="shared" ca="1" si="6"/>
        <v>0</v>
      </c>
      <c r="AH51" s="1691">
        <f t="shared" ca="1" si="6"/>
        <v>0</v>
      </c>
      <c r="AI51" s="1691">
        <f t="shared" ca="1" si="6"/>
        <v>0</v>
      </c>
      <c r="AJ51" s="1691">
        <f t="shared" ca="1" si="6"/>
        <v>0</v>
      </c>
      <c r="AL51" s="1691">
        <f t="shared" ca="1" si="7"/>
        <v>0</v>
      </c>
      <c r="AM51" s="1691">
        <f t="shared" ca="1" si="7"/>
        <v>0</v>
      </c>
      <c r="AN51" s="1691">
        <f t="shared" ca="1" si="7"/>
        <v>0</v>
      </c>
      <c r="AO51" s="1691">
        <f t="shared" ca="1" si="7"/>
        <v>0</v>
      </c>
      <c r="AP51" s="1691">
        <f t="shared" ca="1" si="7"/>
        <v>0</v>
      </c>
      <c r="AQ51" s="1691">
        <f t="shared" ca="1" si="7"/>
        <v>0</v>
      </c>
      <c r="AR51" s="1691">
        <f t="shared" ca="1" si="7"/>
        <v>0</v>
      </c>
      <c r="AS51" s="1691">
        <f t="shared" ca="1" si="7"/>
        <v>0</v>
      </c>
      <c r="AT51" s="1691">
        <f t="shared" ca="1" si="7"/>
        <v>0</v>
      </c>
      <c r="AU51" s="1691">
        <f t="shared" ca="1" si="7"/>
        <v>0</v>
      </c>
    </row>
    <row r="52" spans="2:47" x14ac:dyDescent="0.2">
      <c r="B52" s="1683" t="s">
        <v>313</v>
      </c>
      <c r="C52" s="1683" t="s">
        <v>306</v>
      </c>
      <c r="D52" s="1684" t="s">
        <v>1812</v>
      </c>
      <c r="E52" s="2022">
        <v>1</v>
      </c>
      <c r="F52" s="1689">
        <f t="shared" ca="1" si="4"/>
        <v>0</v>
      </c>
      <c r="G52" s="1689">
        <f t="shared" ca="1" si="4"/>
        <v>0</v>
      </c>
      <c r="H52" s="1689">
        <f t="shared" ca="1" si="4"/>
        <v>0</v>
      </c>
      <c r="I52" s="1689">
        <f t="shared" ca="1" si="4"/>
        <v>0</v>
      </c>
      <c r="J52" s="1689">
        <f t="shared" ca="1" si="4"/>
        <v>0</v>
      </c>
      <c r="K52" s="1689">
        <f t="shared" ca="1" si="4"/>
        <v>0</v>
      </c>
      <c r="L52" s="1689">
        <f t="shared" ca="1" si="4"/>
        <v>0</v>
      </c>
      <c r="M52" s="1689">
        <f t="shared" ca="1" si="4"/>
        <v>0</v>
      </c>
      <c r="N52" s="1689">
        <f t="shared" ca="1" si="4"/>
        <v>0</v>
      </c>
      <c r="P52" s="1689">
        <f t="shared" ca="1" si="5"/>
        <v>0</v>
      </c>
      <c r="Q52" s="1689">
        <f t="shared" ca="1" si="5"/>
        <v>0</v>
      </c>
      <c r="R52" s="1689">
        <f t="shared" ca="1" si="5"/>
        <v>0</v>
      </c>
      <c r="S52" s="1689">
        <f t="shared" ca="1" si="5"/>
        <v>0</v>
      </c>
      <c r="T52" s="1689">
        <f t="shared" ca="1" si="5"/>
        <v>0</v>
      </c>
      <c r="U52" s="1689">
        <f t="shared" ca="1" si="5"/>
        <v>0</v>
      </c>
      <c r="V52" s="1689">
        <f t="shared" ca="1" si="5"/>
        <v>0</v>
      </c>
      <c r="W52" s="1689">
        <f t="shared" ca="1" si="5"/>
        <v>0</v>
      </c>
      <c r="X52" s="1689">
        <f t="shared" ca="1" si="5"/>
        <v>0</v>
      </c>
      <c r="Y52" s="1689">
        <f t="shared" ca="1" si="5"/>
        <v>0</v>
      </c>
      <c r="AA52" s="1689">
        <f t="shared" ca="1" si="6"/>
        <v>0</v>
      </c>
      <c r="AB52" s="1689">
        <f t="shared" ca="1" si="6"/>
        <v>0</v>
      </c>
      <c r="AC52" s="1689">
        <f t="shared" ca="1" si="6"/>
        <v>0</v>
      </c>
      <c r="AD52" s="1689">
        <f t="shared" ca="1" si="6"/>
        <v>0</v>
      </c>
      <c r="AE52" s="1689">
        <f t="shared" ca="1" si="6"/>
        <v>0</v>
      </c>
      <c r="AF52" s="1689">
        <f t="shared" ca="1" si="6"/>
        <v>0</v>
      </c>
      <c r="AG52" s="1689">
        <f t="shared" ca="1" si="6"/>
        <v>0</v>
      </c>
      <c r="AH52" s="1689">
        <f t="shared" ca="1" si="6"/>
        <v>0</v>
      </c>
      <c r="AI52" s="1689">
        <f t="shared" ca="1" si="6"/>
        <v>0</v>
      </c>
      <c r="AJ52" s="1689">
        <f t="shared" ca="1" si="6"/>
        <v>0</v>
      </c>
      <c r="AL52" s="1689">
        <f t="shared" ca="1" si="7"/>
        <v>0</v>
      </c>
      <c r="AM52" s="1689">
        <f t="shared" ca="1" si="7"/>
        <v>0</v>
      </c>
      <c r="AN52" s="1689">
        <f t="shared" ca="1" si="7"/>
        <v>0</v>
      </c>
      <c r="AO52" s="1689">
        <f t="shared" ca="1" si="7"/>
        <v>0</v>
      </c>
      <c r="AP52" s="1689">
        <f t="shared" ca="1" si="7"/>
        <v>0</v>
      </c>
      <c r="AQ52" s="1689">
        <f t="shared" ca="1" si="7"/>
        <v>0</v>
      </c>
      <c r="AR52" s="1689">
        <f t="shared" ca="1" si="7"/>
        <v>0</v>
      </c>
      <c r="AS52" s="1689">
        <f t="shared" ca="1" si="7"/>
        <v>0</v>
      </c>
      <c r="AT52" s="1689">
        <f t="shared" ca="1" si="7"/>
        <v>0</v>
      </c>
      <c r="AU52" s="1689">
        <f t="shared" ca="1" si="7"/>
        <v>0</v>
      </c>
    </row>
    <row r="53" spans="2:47" x14ac:dyDescent="0.2">
      <c r="B53" s="1685" t="s">
        <v>321</v>
      </c>
      <c r="C53" s="1685" t="s">
        <v>947</v>
      </c>
      <c r="D53" s="1686" t="s">
        <v>1812</v>
      </c>
      <c r="E53" s="2022">
        <v>4</v>
      </c>
      <c r="F53" s="1691">
        <f t="shared" ca="1" si="4"/>
        <v>0</v>
      </c>
      <c r="G53" s="1691">
        <f t="shared" ca="1" si="4"/>
        <v>0</v>
      </c>
      <c r="H53" s="1691">
        <f t="shared" ca="1" si="4"/>
        <v>0</v>
      </c>
      <c r="I53" s="1691">
        <f t="shared" ca="1" si="4"/>
        <v>0</v>
      </c>
      <c r="J53" s="1691">
        <f t="shared" ca="1" si="4"/>
        <v>0</v>
      </c>
      <c r="K53" s="1691">
        <f t="shared" ca="1" si="4"/>
        <v>0</v>
      </c>
      <c r="L53" s="1691">
        <f t="shared" ca="1" si="4"/>
        <v>0</v>
      </c>
      <c r="M53" s="1691">
        <f t="shared" ca="1" si="4"/>
        <v>0</v>
      </c>
      <c r="N53" s="1691">
        <f t="shared" ca="1" si="4"/>
        <v>0</v>
      </c>
      <c r="P53" s="1691">
        <f t="shared" ca="1" si="5"/>
        <v>0</v>
      </c>
      <c r="Q53" s="1691">
        <f t="shared" ca="1" si="5"/>
        <v>0</v>
      </c>
      <c r="R53" s="1691">
        <f t="shared" ca="1" si="5"/>
        <v>0</v>
      </c>
      <c r="S53" s="1691">
        <f t="shared" ca="1" si="5"/>
        <v>0</v>
      </c>
      <c r="T53" s="1691">
        <f t="shared" ca="1" si="5"/>
        <v>0</v>
      </c>
      <c r="U53" s="1691">
        <f t="shared" ca="1" si="5"/>
        <v>0</v>
      </c>
      <c r="V53" s="1691">
        <f t="shared" ca="1" si="5"/>
        <v>0</v>
      </c>
      <c r="W53" s="1691">
        <f t="shared" ca="1" si="5"/>
        <v>0</v>
      </c>
      <c r="X53" s="1691">
        <f t="shared" ca="1" si="5"/>
        <v>0</v>
      </c>
      <c r="Y53" s="1691">
        <f t="shared" ca="1" si="5"/>
        <v>0</v>
      </c>
      <c r="AA53" s="1691">
        <f t="shared" ca="1" si="6"/>
        <v>0</v>
      </c>
      <c r="AB53" s="1691">
        <f t="shared" ca="1" si="6"/>
        <v>0</v>
      </c>
      <c r="AC53" s="1691">
        <f t="shared" ca="1" si="6"/>
        <v>0</v>
      </c>
      <c r="AD53" s="1691">
        <f t="shared" ca="1" si="6"/>
        <v>0</v>
      </c>
      <c r="AE53" s="1691">
        <f t="shared" ca="1" si="6"/>
        <v>0</v>
      </c>
      <c r="AF53" s="1691">
        <f t="shared" ca="1" si="6"/>
        <v>0</v>
      </c>
      <c r="AG53" s="1691">
        <f t="shared" ca="1" si="6"/>
        <v>0</v>
      </c>
      <c r="AH53" s="1691">
        <f t="shared" ca="1" si="6"/>
        <v>0</v>
      </c>
      <c r="AI53" s="1691">
        <f t="shared" ca="1" si="6"/>
        <v>0</v>
      </c>
      <c r="AJ53" s="1691">
        <f t="shared" ca="1" si="6"/>
        <v>0</v>
      </c>
      <c r="AL53" s="1691">
        <f t="shared" ca="1" si="7"/>
        <v>0</v>
      </c>
      <c r="AM53" s="1691">
        <f t="shared" ca="1" si="7"/>
        <v>0</v>
      </c>
      <c r="AN53" s="1691">
        <f t="shared" ca="1" si="7"/>
        <v>0</v>
      </c>
      <c r="AO53" s="1691">
        <f t="shared" ca="1" si="7"/>
        <v>0</v>
      </c>
      <c r="AP53" s="1691">
        <f t="shared" ca="1" si="7"/>
        <v>0</v>
      </c>
      <c r="AQ53" s="1691">
        <f t="shared" ca="1" si="7"/>
        <v>0</v>
      </c>
      <c r="AR53" s="1691">
        <f t="shared" ca="1" si="7"/>
        <v>0</v>
      </c>
      <c r="AS53" s="1691">
        <f t="shared" ca="1" si="7"/>
        <v>0</v>
      </c>
      <c r="AT53" s="1691">
        <f t="shared" ca="1" si="7"/>
        <v>0</v>
      </c>
      <c r="AU53" s="1691">
        <f t="shared" ca="1" si="7"/>
        <v>0</v>
      </c>
    </row>
    <row r="54" spans="2:47" x14ac:dyDescent="0.2">
      <c r="B54" s="1685" t="s">
        <v>388</v>
      </c>
      <c r="C54" s="1685" t="s">
        <v>583</v>
      </c>
      <c r="D54" s="1686" t="s">
        <v>32</v>
      </c>
      <c r="E54" s="2022">
        <v>1</v>
      </c>
      <c r="F54" s="1691">
        <f t="shared" ca="1" si="4"/>
        <v>0</v>
      </c>
      <c r="G54" s="1691">
        <f t="shared" ca="1" si="4"/>
        <v>0</v>
      </c>
      <c r="H54" s="1691">
        <f t="shared" ca="1" si="4"/>
        <v>0</v>
      </c>
      <c r="I54" s="1691">
        <f t="shared" ca="1" si="4"/>
        <v>0</v>
      </c>
      <c r="J54" s="1691">
        <f t="shared" ca="1" si="4"/>
        <v>0</v>
      </c>
      <c r="K54" s="1691">
        <f t="shared" ca="1" si="4"/>
        <v>0</v>
      </c>
      <c r="L54" s="1691">
        <f t="shared" ca="1" si="4"/>
        <v>0</v>
      </c>
      <c r="M54" s="1691">
        <f t="shared" ca="1" si="4"/>
        <v>0</v>
      </c>
      <c r="N54" s="1691">
        <f t="shared" ca="1" si="4"/>
        <v>0</v>
      </c>
      <c r="P54" s="1691">
        <f t="shared" ca="1" si="5"/>
        <v>0</v>
      </c>
      <c r="Q54" s="1691">
        <f t="shared" ca="1" si="5"/>
        <v>0</v>
      </c>
      <c r="R54" s="1691">
        <f t="shared" ca="1" si="5"/>
        <v>0</v>
      </c>
      <c r="S54" s="1691">
        <f t="shared" ca="1" si="5"/>
        <v>0</v>
      </c>
      <c r="T54" s="1691">
        <f t="shared" ca="1" si="5"/>
        <v>0</v>
      </c>
      <c r="U54" s="1691">
        <f t="shared" ca="1" si="5"/>
        <v>0</v>
      </c>
      <c r="V54" s="1691">
        <f t="shared" ca="1" si="5"/>
        <v>0</v>
      </c>
      <c r="W54" s="1691">
        <f t="shared" ca="1" si="5"/>
        <v>0</v>
      </c>
      <c r="X54" s="1691">
        <f t="shared" ca="1" si="5"/>
        <v>0</v>
      </c>
      <c r="Y54" s="1691">
        <f t="shared" ca="1" si="5"/>
        <v>0</v>
      </c>
      <c r="AA54" s="1691">
        <f t="shared" ca="1" si="6"/>
        <v>0</v>
      </c>
      <c r="AB54" s="1691">
        <f t="shared" ca="1" si="6"/>
        <v>0</v>
      </c>
      <c r="AC54" s="1691">
        <f t="shared" ca="1" si="6"/>
        <v>0</v>
      </c>
      <c r="AD54" s="1691">
        <f t="shared" ca="1" si="6"/>
        <v>0</v>
      </c>
      <c r="AE54" s="1691">
        <f t="shared" ca="1" si="6"/>
        <v>0</v>
      </c>
      <c r="AF54" s="1691">
        <f t="shared" ca="1" si="6"/>
        <v>0</v>
      </c>
      <c r="AG54" s="1691">
        <f t="shared" ca="1" si="6"/>
        <v>0</v>
      </c>
      <c r="AH54" s="1691">
        <f t="shared" ca="1" si="6"/>
        <v>0</v>
      </c>
      <c r="AI54" s="1691">
        <f t="shared" ca="1" si="6"/>
        <v>0</v>
      </c>
      <c r="AJ54" s="1691">
        <f t="shared" ca="1" si="6"/>
        <v>0</v>
      </c>
      <c r="AL54" s="1691">
        <f t="shared" ca="1" si="7"/>
        <v>0</v>
      </c>
      <c r="AM54" s="1691">
        <f t="shared" ca="1" si="7"/>
        <v>0</v>
      </c>
      <c r="AN54" s="1691">
        <f t="shared" ca="1" si="7"/>
        <v>0</v>
      </c>
      <c r="AO54" s="1691">
        <f t="shared" ca="1" si="7"/>
        <v>0</v>
      </c>
      <c r="AP54" s="1691">
        <f t="shared" ca="1" si="7"/>
        <v>0</v>
      </c>
      <c r="AQ54" s="1691">
        <f t="shared" ca="1" si="7"/>
        <v>0</v>
      </c>
      <c r="AR54" s="1691">
        <f t="shared" ca="1" si="7"/>
        <v>0</v>
      </c>
      <c r="AS54" s="1691">
        <f t="shared" ca="1" si="7"/>
        <v>0</v>
      </c>
      <c r="AT54" s="1691">
        <f t="shared" ca="1" si="7"/>
        <v>0</v>
      </c>
      <c r="AU54" s="1691">
        <f t="shared" ca="1" si="7"/>
        <v>0</v>
      </c>
    </row>
    <row r="55" spans="2:47" x14ac:dyDescent="0.2">
      <c r="B55" s="1683" t="s">
        <v>392</v>
      </c>
      <c r="C55" s="1683" t="s">
        <v>394</v>
      </c>
      <c r="D55" s="1684" t="s">
        <v>32</v>
      </c>
      <c r="F55" s="1689">
        <f t="shared" ca="1" si="4"/>
        <v>0.10925186988602936</v>
      </c>
      <c r="G55" s="1689">
        <f t="shared" ca="1" si="4"/>
        <v>0.16597560427965399</v>
      </c>
      <c r="H55" s="1689">
        <f t="shared" ca="1" si="4"/>
        <v>0.2036964155984021</v>
      </c>
      <c r="I55" s="1689">
        <f t="shared" ca="1" si="4"/>
        <v>0.23997765146267264</v>
      </c>
      <c r="J55" s="1689">
        <f t="shared" ca="1" si="4"/>
        <v>0.24677220542860212</v>
      </c>
      <c r="K55" s="1689">
        <f t="shared" ca="1" si="4"/>
        <v>0.24287874475072926</v>
      </c>
      <c r="L55" s="1689">
        <f t="shared" ca="1" si="4"/>
        <v>0.20880306878531074</v>
      </c>
      <c r="M55" s="1689">
        <f t="shared" ca="1" si="4"/>
        <v>0.17069742115540251</v>
      </c>
      <c r="N55" s="1689">
        <f t="shared" ca="1" si="4"/>
        <v>0.12854564575552488</v>
      </c>
      <c r="P55" s="1689">
        <f t="shared" ca="1" si="5"/>
        <v>0</v>
      </c>
      <c r="Q55" s="1689">
        <f t="shared" ca="1" si="5"/>
        <v>2.2397292692115118</v>
      </c>
      <c r="R55" s="1689">
        <f t="shared" ca="1" si="5"/>
        <v>4.2758363514704021</v>
      </c>
      <c r="S55" s="1689">
        <f t="shared" ca="1" si="5"/>
        <v>6.9123420393202357</v>
      </c>
      <c r="T55" s="1689">
        <f t="shared" ca="1" si="5"/>
        <v>9.6760688130718062</v>
      </c>
      <c r="U55" s="1689">
        <f t="shared" ca="1" si="5"/>
        <v>12.040111731695935</v>
      </c>
      <c r="V55" s="1689">
        <f t="shared" ca="1" si="5"/>
        <v>14.592087911578249</v>
      </c>
      <c r="W55" s="1689">
        <f t="shared" ca="1" si="5"/>
        <v>15.541552438100416</v>
      </c>
      <c r="X55" s="1689">
        <f t="shared" ca="1" si="5"/>
        <v>15.296041341969151</v>
      </c>
      <c r="Y55" s="1689">
        <f t="shared" ca="1" si="5"/>
        <v>13.468946789817522</v>
      </c>
      <c r="AA55" s="1689">
        <f t="shared" ca="1" si="6"/>
        <v>0</v>
      </c>
      <c r="AB55" s="1689">
        <f t="shared" ca="1" si="6"/>
        <v>0</v>
      </c>
      <c r="AC55" s="1689">
        <f t="shared" ca="1" si="6"/>
        <v>0</v>
      </c>
      <c r="AD55" s="1689">
        <f t="shared" ca="1" si="6"/>
        <v>0</v>
      </c>
      <c r="AE55" s="1689">
        <f t="shared" ca="1" si="6"/>
        <v>0</v>
      </c>
      <c r="AF55" s="1689">
        <f t="shared" ca="1" si="6"/>
        <v>0</v>
      </c>
      <c r="AG55" s="1689">
        <f t="shared" ca="1" si="6"/>
        <v>0</v>
      </c>
      <c r="AH55" s="1689">
        <f t="shared" ca="1" si="6"/>
        <v>0</v>
      </c>
      <c r="AI55" s="1689">
        <f t="shared" ca="1" si="6"/>
        <v>0</v>
      </c>
      <c r="AJ55" s="1689">
        <f t="shared" ca="1" si="6"/>
        <v>0</v>
      </c>
      <c r="AL55" s="1689">
        <f t="shared" ca="1" si="7"/>
        <v>0</v>
      </c>
      <c r="AM55" s="1689">
        <f t="shared" ca="1" si="7"/>
        <v>0.52761172057402572</v>
      </c>
      <c r="AN55" s="1689">
        <f t="shared" ca="1" si="7"/>
        <v>0.91240759039804997</v>
      </c>
      <c r="AO55" s="1689">
        <f t="shared" ca="1" si="7"/>
        <v>1.3311110035281783</v>
      </c>
      <c r="AP55" s="1689">
        <f t="shared" ca="1" si="7"/>
        <v>1.7627598492806833</v>
      </c>
      <c r="AQ55" s="1689">
        <f t="shared" ca="1" si="7"/>
        <v>2.0780093640701547</v>
      </c>
      <c r="AR55" s="1689">
        <f t="shared" ca="1" si="7"/>
        <v>2.3933181292919512</v>
      </c>
      <c r="AS55" s="1689">
        <f t="shared" ca="1" si="7"/>
        <v>2.4379774350748664</v>
      </c>
      <c r="AT55" s="1689">
        <f t="shared" ca="1" si="7"/>
        <v>2.3219585909567382</v>
      </c>
      <c r="AU55" s="1689">
        <f t="shared" ca="1" si="7"/>
        <v>1.9961449925923327</v>
      </c>
    </row>
    <row r="56" spans="2:47" x14ac:dyDescent="0.2">
      <c r="B56" s="1685" t="s">
        <v>393</v>
      </c>
      <c r="C56" s="1685" t="s">
        <v>395</v>
      </c>
      <c r="D56" s="1686" t="s">
        <v>32</v>
      </c>
      <c r="F56" s="1691">
        <f t="shared" ca="1" si="4"/>
        <v>0.15995150372994366</v>
      </c>
      <c r="G56" s="1691">
        <f t="shared" ca="1" si="4"/>
        <v>0.12219548131422515</v>
      </c>
      <c r="H56" s="1691">
        <f t="shared" ca="1" si="4"/>
        <v>9.0130555523833283E-2</v>
      </c>
      <c r="I56" s="1691">
        <f t="shared" ca="1" si="4"/>
        <v>7.0889041758763746E-2</v>
      </c>
      <c r="J56" s="1691">
        <f t="shared" ca="1" si="4"/>
        <v>5.2590149445865715E-2</v>
      </c>
      <c r="K56" s="1691">
        <f t="shared" ca="1" si="4"/>
        <v>3.981825353464382E-2</v>
      </c>
      <c r="L56" s="1691">
        <f t="shared" ca="1" si="4"/>
        <v>2.8459501576450226E-2</v>
      </c>
      <c r="M56" s="1691">
        <f t="shared" ca="1" si="4"/>
        <v>1.9396683780601203E-2</v>
      </c>
      <c r="N56" s="1691">
        <f t="shared" ca="1" si="4"/>
        <v>1.1987155255896564E-2</v>
      </c>
      <c r="P56" s="1691">
        <f t="shared" ca="1" si="5"/>
        <v>0</v>
      </c>
      <c r="Q56" s="1691">
        <f t="shared" ca="1" si="5"/>
        <v>3.2791023616535848</v>
      </c>
      <c r="R56" s="1691">
        <f t="shared" ca="1" si="5"/>
        <v>3.1479799893268714</v>
      </c>
      <c r="S56" s="1691">
        <f t="shared" ca="1" si="5"/>
        <v>3.0585380019792887</v>
      </c>
      <c r="T56" s="1691">
        <f t="shared" ca="1" si="5"/>
        <v>2.8582963537219697</v>
      </c>
      <c r="U56" s="1691">
        <f t="shared" ca="1" si="5"/>
        <v>2.5658938137504705</v>
      </c>
      <c r="V56" s="1691">
        <f t="shared" ca="1" si="5"/>
        <v>2.3922696762096525</v>
      </c>
      <c r="W56" s="1691">
        <f t="shared" ca="1" si="5"/>
        <v>2.1182870476265658</v>
      </c>
      <c r="X56" s="1691">
        <f t="shared" ca="1" si="5"/>
        <v>1.7381192697402874</v>
      </c>
      <c r="Y56" s="1691">
        <f t="shared" ca="1" si="5"/>
        <v>1.2560079756417029</v>
      </c>
      <c r="AA56" s="1691">
        <f t="shared" ca="1" si="6"/>
        <v>0</v>
      </c>
      <c r="AB56" s="1691">
        <f t="shared" ca="1" si="6"/>
        <v>0</v>
      </c>
      <c r="AC56" s="1691">
        <f t="shared" ca="1" si="6"/>
        <v>0</v>
      </c>
      <c r="AD56" s="1691">
        <f t="shared" ca="1" si="6"/>
        <v>0</v>
      </c>
      <c r="AE56" s="1691">
        <f t="shared" ca="1" si="6"/>
        <v>0</v>
      </c>
      <c r="AF56" s="1691">
        <f t="shared" ca="1" si="6"/>
        <v>0</v>
      </c>
      <c r="AG56" s="1691">
        <f t="shared" ca="1" si="6"/>
        <v>0</v>
      </c>
      <c r="AH56" s="1691">
        <f t="shared" ca="1" si="6"/>
        <v>0</v>
      </c>
      <c r="AI56" s="1691">
        <f t="shared" ca="1" si="6"/>
        <v>0</v>
      </c>
      <c r="AJ56" s="1691">
        <f t="shared" ca="1" si="6"/>
        <v>0</v>
      </c>
      <c r="AL56" s="1691">
        <f t="shared" ca="1" si="7"/>
        <v>0</v>
      </c>
      <c r="AM56" s="1691">
        <f t="shared" ca="1" si="7"/>
        <v>0.77245623511428763</v>
      </c>
      <c r="AN56" s="1691">
        <f t="shared" ca="1" si="7"/>
        <v>0.67173778428056186</v>
      </c>
      <c r="AO56" s="1691">
        <f t="shared" ca="1" si="7"/>
        <v>0.58898323693832855</v>
      </c>
      <c r="AP56" s="1691">
        <f t="shared" ca="1" si="7"/>
        <v>0.52071664092340464</v>
      </c>
      <c r="AQ56" s="1691">
        <f t="shared" ca="1" si="7"/>
        <v>0.44284899434501468</v>
      </c>
      <c r="AR56" s="1691">
        <f t="shared" ca="1" si="7"/>
        <v>0.39236759132221349</v>
      </c>
      <c r="AS56" s="1691">
        <f t="shared" ca="1" si="7"/>
        <v>0.33229215959561781</v>
      </c>
      <c r="AT56" s="1691">
        <f t="shared" ca="1" si="7"/>
        <v>0.26384872270235077</v>
      </c>
      <c r="AU56" s="1691">
        <f t="shared" ca="1" si="7"/>
        <v>0.18614477214570577</v>
      </c>
    </row>
    <row r="57" spans="2:47" x14ac:dyDescent="0.2">
      <c r="B57" s="1683" t="s">
        <v>1813</v>
      </c>
      <c r="C57" s="1683" t="s">
        <v>1815</v>
      </c>
      <c r="D57" s="1684" t="s">
        <v>1823</v>
      </c>
      <c r="E57" s="2022">
        <v>4</v>
      </c>
      <c r="F57" s="1689">
        <f t="shared" ca="1" si="4"/>
        <v>0.80802607846814456</v>
      </c>
      <c r="G57" s="1689">
        <f t="shared" ca="1" si="4"/>
        <v>1.2965979955579507</v>
      </c>
      <c r="H57" s="1689">
        <f t="shared" ca="1" si="4"/>
        <v>1.615312857440782</v>
      </c>
      <c r="I57" s="1689">
        <f t="shared" ca="1" si="4"/>
        <v>2.3224250520887812</v>
      </c>
      <c r="J57" s="1689">
        <f t="shared" ca="1" si="4"/>
        <v>2.9637028910245977</v>
      </c>
      <c r="K57" s="1689">
        <f t="shared" ca="1" si="4"/>
        <v>3.3296275364538448</v>
      </c>
      <c r="L57" s="1689">
        <f t="shared" ca="1" si="4"/>
        <v>3.781789095463596</v>
      </c>
      <c r="M57" s="1689">
        <f t="shared" ca="1" si="4"/>
        <v>4.3659286991215698</v>
      </c>
      <c r="N57" s="1689">
        <f t="shared" ca="1" si="4"/>
        <v>5.0682948112512873</v>
      </c>
      <c r="P57" s="1689">
        <f t="shared" ca="1" si="5"/>
        <v>0</v>
      </c>
      <c r="Q57" s="1689">
        <f t="shared" ca="1" si="5"/>
        <v>7.5869326093346947</v>
      </c>
      <c r="R57" s="1689">
        <f t="shared" ca="1" si="5"/>
        <v>7.7830692346894326</v>
      </c>
      <c r="S57" s="1689">
        <f t="shared" ca="1" si="5"/>
        <v>10.092313536889595</v>
      </c>
      <c r="T57" s="1689">
        <f t="shared" ca="1" si="5"/>
        <v>11.923375679694173</v>
      </c>
      <c r="U57" s="1689">
        <f t="shared" ca="1" si="5"/>
        <v>14.390311746196211</v>
      </c>
      <c r="V57" s="1689">
        <f t="shared" ca="1" si="5"/>
        <v>17.523373684818228</v>
      </c>
      <c r="W57" s="1689">
        <f t="shared" ca="1" si="5"/>
        <v>21.141760425644286</v>
      </c>
      <c r="X57" s="1689">
        <f t="shared" ca="1" si="5"/>
        <v>25.109627567411231</v>
      </c>
      <c r="Y57" s="1689">
        <f t="shared" ca="1" si="5"/>
        <v>29.742456733362072</v>
      </c>
      <c r="AA57" s="1689">
        <f t="shared" ca="1" si="6"/>
        <v>0</v>
      </c>
      <c r="AB57" s="1689">
        <f t="shared" ca="1" si="6"/>
        <v>2.6824777126843444</v>
      </c>
      <c r="AC57" s="1689">
        <f t="shared" ca="1" si="6"/>
        <v>4.0915279505647195</v>
      </c>
      <c r="AD57" s="1689">
        <f t="shared" ca="1" si="6"/>
        <v>5.8030157687667003</v>
      </c>
      <c r="AE57" s="1689">
        <f t="shared" ca="1" si="6"/>
        <v>8.175473517720274</v>
      </c>
      <c r="AF57" s="1689">
        <f t="shared" ca="1" si="6"/>
        <v>10.697690264958069</v>
      </c>
      <c r="AG57" s="1689">
        <f t="shared" ca="1" si="6"/>
        <v>12.184131123126573</v>
      </c>
      <c r="AH57" s="1689">
        <f t="shared" ca="1" si="6"/>
        <v>13.869385880946549</v>
      </c>
      <c r="AI57" s="1689">
        <f t="shared" ca="1" si="6"/>
        <v>16.223966118503583</v>
      </c>
      <c r="AJ57" s="1689">
        <f t="shared" ca="1" si="6"/>
        <v>18.966731271240995</v>
      </c>
      <c r="AL57" s="1689">
        <f t="shared" ca="1" si="7"/>
        <v>0</v>
      </c>
      <c r="AM57" s="1689">
        <f t="shared" ca="1" si="7"/>
        <v>0.27634028073150219</v>
      </c>
      <c r="AN57" s="1689">
        <f t="shared" ca="1" si="7"/>
        <v>0.36491238875355697</v>
      </c>
      <c r="AO57" s="1689">
        <f t="shared" ca="1" si="7"/>
        <v>0.47338671860931159</v>
      </c>
      <c r="AP57" s="1689">
        <f t="shared" ca="1" si="7"/>
        <v>0.64508033162451017</v>
      </c>
      <c r="AQ57" s="1689">
        <f t="shared" ca="1" si="7"/>
        <v>0.81007353898437984</v>
      </c>
      <c r="AR57" s="1689">
        <f t="shared" ca="1" si="7"/>
        <v>0.93688706737734084</v>
      </c>
      <c r="AS57" s="1689">
        <f t="shared" ca="1" si="7"/>
        <v>1.0910304169960214</v>
      </c>
      <c r="AT57" s="1689">
        <f t="shared" ca="1" si="7"/>
        <v>1.2731671874454986</v>
      </c>
      <c r="AU57" s="1689">
        <f t="shared" ca="1" si="7"/>
        <v>1.4914348773700765</v>
      </c>
    </row>
    <row r="58" spans="2:47" x14ac:dyDescent="0.2">
      <c r="B58" s="1685" t="s">
        <v>1814</v>
      </c>
      <c r="C58" s="1685" t="s">
        <v>176</v>
      </c>
      <c r="D58" s="1686" t="s">
        <v>1823</v>
      </c>
      <c r="E58" s="2022">
        <v>4</v>
      </c>
      <c r="F58" s="1691">
        <f t="shared" ca="1" si="4"/>
        <v>74.270095927404782</v>
      </c>
      <c r="G58" s="1691">
        <f t="shared" ca="1" si="4"/>
        <v>25.724761047454187</v>
      </c>
      <c r="H58" s="1691">
        <f t="shared" ca="1" si="4"/>
        <v>26.90849851838091</v>
      </c>
      <c r="I58" s="1691">
        <f t="shared" ca="1" si="4"/>
        <v>26.77053270003233</v>
      </c>
      <c r="J58" s="1691">
        <f t="shared" ca="1" si="4"/>
        <v>26.20513547272845</v>
      </c>
      <c r="K58" s="1691">
        <f t="shared" ca="1" si="4"/>
        <v>25.656095230551134</v>
      </c>
      <c r="L58" s="1691">
        <f t="shared" ca="1" si="4"/>
        <v>25.122883585265498</v>
      </c>
      <c r="M58" s="1691">
        <f t="shared" ca="1" si="4"/>
        <v>24.604991926260837</v>
      </c>
      <c r="N58" s="1691">
        <f t="shared" ca="1" si="4"/>
        <v>27.25478635931897</v>
      </c>
      <c r="P58" s="1691">
        <f t="shared" ca="1" si="5"/>
        <v>0</v>
      </c>
      <c r="Q58" s="1691">
        <f t="shared" ca="1" si="5"/>
        <v>26.350792526412604</v>
      </c>
      <c r="R58" s="1691">
        <f t="shared" ca="1" si="5"/>
        <v>12.817432520465733</v>
      </c>
      <c r="S58" s="1691">
        <f t="shared" ca="1" si="5"/>
        <v>12.766407920449929</v>
      </c>
      <c r="T58" s="1691">
        <f t="shared" ca="1" si="5"/>
        <v>13.239818059816177</v>
      </c>
      <c r="U58" s="1691">
        <f t="shared" ca="1" si="5"/>
        <v>13.126526728494522</v>
      </c>
      <c r="V58" s="1691">
        <f t="shared" ca="1" si="5"/>
        <v>13.015250530448037</v>
      </c>
      <c r="W58" s="1691">
        <f t="shared" ca="1" si="5"/>
        <v>12.905988173496741</v>
      </c>
      <c r="X58" s="1691">
        <f t="shared" ca="1" si="5"/>
        <v>12.79873894300966</v>
      </c>
      <c r="Y58" s="1691">
        <f t="shared" ca="1" si="5"/>
        <v>11.873278551101267</v>
      </c>
      <c r="AA58" s="1691">
        <f t="shared" ca="1" si="6"/>
        <v>0</v>
      </c>
      <c r="AB58" s="1691">
        <f t="shared" ca="1" si="6"/>
        <v>302.06768551178646</v>
      </c>
      <c r="AC58" s="1691">
        <f t="shared" ca="1" si="6"/>
        <v>13.312544294306033</v>
      </c>
      <c r="AD58" s="1691">
        <f t="shared" ca="1" si="6"/>
        <v>13.343876290331433</v>
      </c>
      <c r="AE58" s="1691">
        <f t="shared" ca="1" si="6"/>
        <v>13.838073585055719</v>
      </c>
      <c r="AF58" s="1691">
        <f t="shared" ca="1" si="6"/>
        <v>13.732752523154595</v>
      </c>
      <c r="AG58" s="1691">
        <f t="shared" ca="1" si="6"/>
        <v>13.629806010022794</v>
      </c>
      <c r="AH58" s="1691">
        <f t="shared" ca="1" si="6"/>
        <v>13.529239656263233</v>
      </c>
      <c r="AI58" s="1691">
        <f t="shared" ca="1" si="6"/>
        <v>13.431059882474489</v>
      </c>
      <c r="AJ58" s="1691">
        <f t="shared" ca="1" si="6"/>
        <v>12.413595450524715</v>
      </c>
      <c r="AL58" s="1691">
        <f t="shared" ca="1" si="7"/>
        <v>0</v>
      </c>
      <c r="AM58" s="1691">
        <f t="shared" ca="1" si="7"/>
        <v>0</v>
      </c>
      <c r="AN58" s="1691">
        <f t="shared" ca="1" si="7"/>
        <v>224.90840163955266</v>
      </c>
      <c r="AO58" s="1691">
        <f t="shared" ca="1" si="7"/>
        <v>229.02472381132475</v>
      </c>
      <c r="AP58" s="1691">
        <f t="shared" ca="1" si="7"/>
        <v>222.8803635116293</v>
      </c>
      <c r="AQ58" s="1691">
        <f t="shared" ca="1" si="7"/>
        <v>214.76169234521316</v>
      </c>
      <c r="AR58" s="1691">
        <f t="shared" ca="1" si="7"/>
        <v>206.9693402864404</v>
      </c>
      <c r="AS58" s="1691">
        <f t="shared" ca="1" si="7"/>
        <v>199.49065683948939</v>
      </c>
      <c r="AT58" s="1691">
        <f t="shared" ca="1" si="7"/>
        <v>192.31349861191021</v>
      </c>
      <c r="AU58" s="1691">
        <f t="shared" ca="1" si="7"/>
        <v>242.10822728552893</v>
      </c>
    </row>
    <row r="59" spans="2:47" x14ac:dyDescent="0.2">
      <c r="B59" s="1683" t="s">
        <v>1817</v>
      </c>
      <c r="C59" s="1683" t="s">
        <v>1726</v>
      </c>
      <c r="D59" s="1684" t="s">
        <v>125</v>
      </c>
      <c r="E59" s="2022">
        <v>1</v>
      </c>
      <c r="F59" s="1689">
        <f t="shared" ca="1" si="4"/>
        <v>4.9256572539741263</v>
      </c>
      <c r="G59" s="1689">
        <f t="shared" ca="1" si="4"/>
        <v>3.7079757387776739</v>
      </c>
      <c r="H59" s="1689">
        <f t="shared" ca="1" si="4"/>
        <v>2.9752370223511533</v>
      </c>
      <c r="I59" s="1689">
        <f t="shared" ca="1" si="4"/>
        <v>2.616766601207094</v>
      </c>
      <c r="J59" s="1689">
        <f t="shared" ca="1" si="4"/>
        <v>2.4096050978444619</v>
      </c>
      <c r="K59" s="1689">
        <f t="shared" ca="1" si="4"/>
        <v>2.5128248947666108</v>
      </c>
      <c r="L59" s="1689">
        <f t="shared" ca="1" si="4"/>
        <v>2.5425861479763405</v>
      </c>
      <c r="M59" s="1689">
        <f t="shared" ca="1" si="4"/>
        <v>2.6114008463221472</v>
      </c>
      <c r="N59" s="1689">
        <f t="shared" ca="1" si="4"/>
        <v>2.6966694849416313</v>
      </c>
      <c r="P59" s="1689">
        <f t="shared" ca="1" si="5"/>
        <v>0</v>
      </c>
      <c r="Q59" s="1689">
        <f t="shared" ca="1" si="5"/>
        <v>117.93698335961656</v>
      </c>
      <c r="R59" s="1689">
        <f t="shared" ca="1" si="5"/>
        <v>81.450748938719059</v>
      </c>
      <c r="S59" s="1689">
        <f t="shared" ca="1" si="5"/>
        <v>43.634238809506115</v>
      </c>
      <c r="T59" s="1689">
        <f t="shared" ca="1" si="5"/>
        <v>24.367283684822162</v>
      </c>
      <c r="U59" s="1689">
        <f t="shared" ca="1" si="5"/>
        <v>18.015296722042493</v>
      </c>
      <c r="V59" s="1689">
        <f t="shared" ca="1" si="5"/>
        <v>17.571139077029272</v>
      </c>
      <c r="W59" s="1689">
        <f t="shared" ca="1" si="5"/>
        <v>17.710821897324191</v>
      </c>
      <c r="X59" s="1689">
        <f t="shared" ca="1" si="5"/>
        <v>18.131396627215054</v>
      </c>
      <c r="Y59" s="1689">
        <f t="shared" ca="1" si="5"/>
        <v>18.646972935752565</v>
      </c>
      <c r="AA59" s="1689">
        <f t="shared" ca="1" si="6"/>
        <v>0</v>
      </c>
      <c r="AB59" s="1689">
        <f t="shared" ca="1" si="6"/>
        <v>9.2236143196319592E-2</v>
      </c>
      <c r="AC59" s="1689">
        <f t="shared" ca="1" si="6"/>
        <v>9.0580965735224533E-2</v>
      </c>
      <c r="AD59" s="1689">
        <f t="shared" ca="1" si="6"/>
        <v>8.5835548026836211E-2</v>
      </c>
      <c r="AE59" s="1689">
        <f t="shared" ca="1" si="6"/>
        <v>8.0058836531574709E-2</v>
      </c>
      <c r="AF59" s="1689">
        <f t="shared" ca="1" si="6"/>
        <v>7.403628208138624E-2</v>
      </c>
      <c r="AG59" s="1689">
        <f t="shared" ca="1" si="6"/>
        <v>7.6521774940702267E-2</v>
      </c>
      <c r="AH59" s="1689">
        <f t="shared" ca="1" si="6"/>
        <v>7.8000592888014475E-2</v>
      </c>
      <c r="AI59" s="1689">
        <f t="shared" ca="1" si="6"/>
        <v>8.0603360875394145E-2</v>
      </c>
      <c r="AJ59" s="1689">
        <f t="shared" ca="1" si="6"/>
        <v>8.387498387503517E-2</v>
      </c>
      <c r="AL59" s="1689">
        <f t="shared" ca="1" si="7"/>
        <v>0</v>
      </c>
      <c r="AM59" s="1689">
        <f t="shared" ca="1" si="7"/>
        <v>9.8918465438860359</v>
      </c>
      <c r="AN59" s="1689">
        <f t="shared" ca="1" si="7"/>
        <v>4.6624090716438182</v>
      </c>
      <c r="AO59" s="1689">
        <f t="shared" ca="1" si="7"/>
        <v>3.3840177849729489</v>
      </c>
      <c r="AP59" s="1689">
        <f t="shared" ca="1" si="7"/>
        <v>3.2365814917837152</v>
      </c>
      <c r="AQ59" s="1689">
        <f t="shared" ca="1" si="7"/>
        <v>3.1646659212000445</v>
      </c>
      <c r="AR59" s="1689">
        <f t="shared" ca="1" si="7"/>
        <v>3.2614402284309314</v>
      </c>
      <c r="AS59" s="1689">
        <f t="shared" ca="1" si="7"/>
        <v>3.2399535692136729</v>
      </c>
      <c r="AT59" s="1689">
        <f t="shared" ca="1" si="7"/>
        <v>3.2760142001623516</v>
      </c>
      <c r="AU59" s="1689">
        <f t="shared" ca="1" si="7"/>
        <v>3.3158124671750011</v>
      </c>
    </row>
    <row r="60" spans="2:47" x14ac:dyDescent="0.2">
      <c r="B60" s="1685" t="s">
        <v>1724</v>
      </c>
      <c r="C60" s="1685" t="s">
        <v>1821</v>
      </c>
      <c r="D60" s="1686" t="s">
        <v>125</v>
      </c>
      <c r="E60" s="2022">
        <v>4</v>
      </c>
      <c r="F60" s="1691">
        <f t="shared" ca="1" si="4"/>
        <v>4.9935781345913686</v>
      </c>
      <c r="G60" s="1691">
        <f t="shared" ca="1" si="4"/>
        <v>7.1018409649610783</v>
      </c>
      <c r="H60" s="1691">
        <f t="shared" ca="1" si="4"/>
        <v>6.4746883896688434</v>
      </c>
      <c r="I60" s="1691">
        <f t="shared" ca="1" si="4"/>
        <v>5.2739204675454365</v>
      </c>
      <c r="J60" s="1691">
        <f t="shared" ca="1" si="4"/>
        <v>3.8335998458274196</v>
      </c>
      <c r="K60" s="1691">
        <f t="shared" ca="1" si="4"/>
        <v>2.3261729827770532</v>
      </c>
      <c r="L60" s="1691">
        <f t="shared" ca="1" si="4"/>
        <v>1.1755280325058659</v>
      </c>
      <c r="M60" s="1691">
        <f t="shared" ca="1" si="4"/>
        <v>0.85859168208648373</v>
      </c>
      <c r="N60" s="1691">
        <f t="shared" ca="1" si="4"/>
        <v>0.68463465143726177</v>
      </c>
      <c r="P60" s="1691">
        <f t="shared" ca="1" si="5"/>
        <v>0</v>
      </c>
      <c r="Q60" s="1691">
        <f t="shared" ca="1" si="5"/>
        <v>188.90060155873667</v>
      </c>
      <c r="R60" s="1691">
        <f t="shared" ca="1" si="5"/>
        <v>270.46802588814774</v>
      </c>
      <c r="S60" s="1691">
        <f t="shared" ca="1" si="5"/>
        <v>253.81686558749811</v>
      </c>
      <c r="T60" s="1691">
        <f t="shared" ca="1" si="5"/>
        <v>215.81190413488312</v>
      </c>
      <c r="U60" s="1691">
        <f t="shared" ca="1" si="5"/>
        <v>168.32480290127756</v>
      </c>
      <c r="V60" s="1691">
        <f t="shared" ca="1" si="5"/>
        <v>117.20510201324878</v>
      </c>
      <c r="W60" s="1691">
        <f t="shared" ca="1" si="5"/>
        <v>90.779166606014627</v>
      </c>
      <c r="X60" s="1691">
        <f t="shared" ca="1" si="5"/>
        <v>75.964466771230022</v>
      </c>
      <c r="Y60" s="1691">
        <f t="shared" ca="1" si="5"/>
        <v>60.573503464595518</v>
      </c>
      <c r="AA60" s="1691">
        <f t="shared" ca="1" si="6"/>
        <v>0</v>
      </c>
      <c r="AB60" s="1691">
        <f t="shared" ca="1" si="6"/>
        <v>2.2059902041409201</v>
      </c>
      <c r="AC60" s="1691">
        <f t="shared" ca="1" si="6"/>
        <v>6.405031504849508E-2</v>
      </c>
      <c r="AD60" s="1691">
        <f t="shared" ca="1" si="6"/>
        <v>7.0787716697834235E-2</v>
      </c>
      <c r="AE60" s="1691">
        <f t="shared" ca="1" si="6"/>
        <v>7.3194564165848047E-2</v>
      </c>
      <c r="AF60" s="1691">
        <f t="shared" ca="1" si="6"/>
        <v>7.2825888034553879E-2</v>
      </c>
      <c r="AG60" s="1691">
        <f t="shared" ca="1" si="6"/>
        <v>7.0006843641971142E-2</v>
      </c>
      <c r="AH60" s="1691">
        <f t="shared" ca="1" si="6"/>
        <v>6.3178015466803697E-2</v>
      </c>
      <c r="AI60" s="1691">
        <f t="shared" ca="1" si="6"/>
        <v>5.4226843079146249E-2</v>
      </c>
      <c r="AJ60" s="1691">
        <f t="shared" ca="1" si="6"/>
        <v>4.3240083248669091E-2</v>
      </c>
      <c r="AL60" s="1691">
        <f t="shared" ca="1" si="7"/>
        <v>0</v>
      </c>
      <c r="AM60" s="1691">
        <f t="shared" ca="1" si="7"/>
        <v>19.01160783316524</v>
      </c>
      <c r="AN60" s="1691">
        <f t="shared" ca="1" si="7"/>
        <v>27.256353011835209</v>
      </c>
      <c r="AO60" s="1691">
        <f t="shared" ca="1" si="7"/>
        <v>25.588035971986049</v>
      </c>
      <c r="AP60" s="1691">
        <f t="shared" ca="1" si="7"/>
        <v>21.768454144004867</v>
      </c>
      <c r="AQ60" s="1691">
        <f t="shared" ca="1" si="7"/>
        <v>16.992830505984731</v>
      </c>
      <c r="AR60" s="1691">
        <f t="shared" ca="1" si="7"/>
        <v>11.849688374487679</v>
      </c>
      <c r="AS60" s="1691">
        <f t="shared" ca="1" si="7"/>
        <v>8.9758657466035441</v>
      </c>
      <c r="AT60" s="1691">
        <f t="shared" ca="1" si="7"/>
        <v>7.4804203856731508</v>
      </c>
      <c r="AU60" s="1691">
        <f t="shared" ca="1" si="7"/>
        <v>5.9648318405601133</v>
      </c>
    </row>
    <row r="61" spans="2:47" x14ac:dyDescent="0.2">
      <c r="B61" s="1683" t="s">
        <v>1818</v>
      </c>
      <c r="C61" s="1683" t="s">
        <v>1822</v>
      </c>
      <c r="D61" s="1684" t="s">
        <v>125</v>
      </c>
      <c r="E61" s="2022">
        <v>4</v>
      </c>
      <c r="F61" s="1689">
        <f t="shared" ca="1" si="4"/>
        <v>0</v>
      </c>
      <c r="G61" s="1689">
        <f t="shared" ca="1" si="4"/>
        <v>0</v>
      </c>
      <c r="H61" s="1689">
        <f t="shared" ca="1" si="4"/>
        <v>0</v>
      </c>
      <c r="I61" s="1689">
        <f t="shared" ca="1" si="4"/>
        <v>0</v>
      </c>
      <c r="J61" s="1689">
        <f t="shared" ca="1" si="4"/>
        <v>0</v>
      </c>
      <c r="K61" s="1689">
        <f t="shared" ca="1" si="4"/>
        <v>0</v>
      </c>
      <c r="L61" s="1689">
        <f t="shared" ca="1" si="4"/>
        <v>0</v>
      </c>
      <c r="M61" s="1689">
        <f t="shared" ca="1" si="4"/>
        <v>0</v>
      </c>
      <c r="N61" s="1689">
        <f t="shared" ca="1" si="4"/>
        <v>0</v>
      </c>
      <c r="P61" s="1689">
        <f t="shared" ca="1" si="5"/>
        <v>0</v>
      </c>
      <c r="Q61" s="1689">
        <f t="shared" ca="1" si="5"/>
        <v>0</v>
      </c>
      <c r="R61" s="1689">
        <f t="shared" ca="1" si="5"/>
        <v>0</v>
      </c>
      <c r="S61" s="1689">
        <f t="shared" ca="1" si="5"/>
        <v>0</v>
      </c>
      <c r="T61" s="1689">
        <f t="shared" ca="1" si="5"/>
        <v>0</v>
      </c>
      <c r="U61" s="1689">
        <f t="shared" ca="1" si="5"/>
        <v>0</v>
      </c>
      <c r="V61" s="1689">
        <f t="shared" ca="1" si="5"/>
        <v>0</v>
      </c>
      <c r="W61" s="1689">
        <f t="shared" ca="1" si="5"/>
        <v>0</v>
      </c>
      <c r="X61" s="1689">
        <f t="shared" ca="1" si="5"/>
        <v>0</v>
      </c>
      <c r="Y61" s="1689">
        <f t="shared" ca="1" si="5"/>
        <v>0</v>
      </c>
      <c r="AA61" s="1689">
        <f t="shared" ca="1" si="6"/>
        <v>0</v>
      </c>
      <c r="AB61" s="1689">
        <f t="shared" ca="1" si="6"/>
        <v>0</v>
      </c>
      <c r="AC61" s="1689">
        <f t="shared" ca="1" si="6"/>
        <v>0</v>
      </c>
      <c r="AD61" s="1689">
        <f t="shared" ca="1" si="6"/>
        <v>0</v>
      </c>
      <c r="AE61" s="1689">
        <f t="shared" ca="1" si="6"/>
        <v>0</v>
      </c>
      <c r="AF61" s="1689">
        <f t="shared" ca="1" si="6"/>
        <v>0</v>
      </c>
      <c r="AG61" s="1689">
        <f t="shared" ca="1" si="6"/>
        <v>0</v>
      </c>
      <c r="AH61" s="1689">
        <f t="shared" ca="1" si="6"/>
        <v>0</v>
      </c>
      <c r="AI61" s="1689">
        <f t="shared" ca="1" si="6"/>
        <v>0</v>
      </c>
      <c r="AJ61" s="1689">
        <f t="shared" ca="1" si="6"/>
        <v>0</v>
      </c>
      <c r="AL61" s="1689">
        <f t="shared" ca="1" si="7"/>
        <v>0</v>
      </c>
      <c r="AM61" s="1689">
        <f t="shared" ca="1" si="7"/>
        <v>0</v>
      </c>
      <c r="AN61" s="1689">
        <f t="shared" ca="1" si="7"/>
        <v>0</v>
      </c>
      <c r="AO61" s="1689">
        <f t="shared" ca="1" si="7"/>
        <v>0</v>
      </c>
      <c r="AP61" s="1689">
        <f t="shared" ca="1" si="7"/>
        <v>0</v>
      </c>
      <c r="AQ61" s="1689">
        <f t="shared" ca="1" si="7"/>
        <v>0</v>
      </c>
      <c r="AR61" s="1689">
        <f t="shared" ca="1" si="7"/>
        <v>0</v>
      </c>
      <c r="AS61" s="1689">
        <f t="shared" ca="1" si="7"/>
        <v>0</v>
      </c>
      <c r="AT61" s="1689">
        <f t="shared" ca="1" si="7"/>
        <v>0</v>
      </c>
      <c r="AU61" s="1689">
        <f t="shared" ca="1" si="7"/>
        <v>0</v>
      </c>
    </row>
    <row r="62" spans="2:47" x14ac:dyDescent="0.2">
      <c r="B62" s="1685" t="s">
        <v>1816</v>
      </c>
      <c r="C62" s="1773" t="s">
        <v>1854</v>
      </c>
      <c r="D62" s="1686" t="s">
        <v>125</v>
      </c>
      <c r="E62" s="2022">
        <v>4</v>
      </c>
      <c r="F62" s="1691">
        <f t="shared" ca="1" si="4"/>
        <v>0.96558105210830369</v>
      </c>
      <c r="G62" s="1691">
        <f t="shared" ca="1" si="4"/>
        <v>0.6801613197809584</v>
      </c>
      <c r="H62" s="1691">
        <f t="shared" ca="1" si="4"/>
        <v>0.53022909031521737</v>
      </c>
      <c r="I62" s="1691">
        <f t="shared" ca="1" si="4"/>
        <v>0.4608381044628731</v>
      </c>
      <c r="J62" s="1691">
        <f t="shared" ca="1" si="4"/>
        <v>0.39040337919769696</v>
      </c>
      <c r="K62" s="1691">
        <f t="shared" ca="1" si="4"/>
        <v>0.40191393968619515</v>
      </c>
      <c r="L62" s="1691">
        <f t="shared" ca="1" si="4"/>
        <v>0.41403523409380122</v>
      </c>
      <c r="M62" s="1691">
        <f t="shared" ca="1" si="4"/>
        <v>0.42422711034088922</v>
      </c>
      <c r="N62" s="1691">
        <f t="shared" ca="1" si="4"/>
        <v>0.43245233155743801</v>
      </c>
      <c r="P62" s="1691">
        <f t="shared" ca="1" si="5"/>
        <v>0</v>
      </c>
      <c r="Q62" s="1691">
        <f t="shared" ca="1" si="5"/>
        <v>25.645704042575552</v>
      </c>
      <c r="R62" s="1691">
        <f t="shared" ca="1" si="5"/>
        <v>10.63736952092575</v>
      </c>
      <c r="S62" s="1691">
        <f t="shared" ca="1" si="5"/>
        <v>2.5921148365162039</v>
      </c>
      <c r="T62" s="1691">
        <f t="shared" ca="1" si="5"/>
        <v>1.1942539624960413</v>
      </c>
      <c r="U62" s="1691">
        <f t="shared" ca="1" si="5"/>
        <v>0.92173796640083094</v>
      </c>
      <c r="V62" s="1691">
        <f t="shared" ca="1" si="5"/>
        <v>0.93371015943987934</v>
      </c>
      <c r="W62" s="1691">
        <f t="shared" ca="1" si="5"/>
        <v>0.95147729147740734</v>
      </c>
      <c r="X62" s="1691">
        <f t="shared" ca="1" si="5"/>
        <v>0.96564398321849521</v>
      </c>
      <c r="Y62" s="1691">
        <f t="shared" ca="1" si="5"/>
        <v>0.97612431622505569</v>
      </c>
      <c r="AA62" s="1691">
        <f t="shared" ca="1" si="6"/>
        <v>0</v>
      </c>
      <c r="AB62" s="1691">
        <f t="shared" ca="1" si="6"/>
        <v>2.2093110972268043E-2</v>
      </c>
      <c r="AC62" s="1691">
        <f t="shared" ca="1" si="6"/>
        <v>1.9052737401269029E-2</v>
      </c>
      <c r="AD62" s="1691">
        <f t="shared" ca="1" si="6"/>
        <v>1.656681634329606E-2</v>
      </c>
      <c r="AE62" s="1691">
        <f t="shared" ca="1" si="6"/>
        <v>1.3827568419487466E-2</v>
      </c>
      <c r="AF62" s="1691">
        <f t="shared" ca="1" si="6"/>
        <v>1.110224590385462E-2</v>
      </c>
      <c r="AG62" s="1691">
        <f t="shared" ca="1" si="6"/>
        <v>1.0685438937524156E-2</v>
      </c>
      <c r="AH62" s="1691">
        <f t="shared" ca="1" si="6"/>
        <v>1.0897512135511595E-2</v>
      </c>
      <c r="AI62" s="1691">
        <f t="shared" ca="1" si="6"/>
        <v>1.1068567998347675E-2</v>
      </c>
      <c r="AJ62" s="1691">
        <f t="shared" ca="1" si="6"/>
        <v>1.119762771647563E-2</v>
      </c>
      <c r="AL62" s="1691">
        <f t="shared" ca="1" si="7"/>
        <v>0</v>
      </c>
      <c r="AM62" s="1691">
        <f t="shared" ca="1" si="7"/>
        <v>0.72104568108545231</v>
      </c>
      <c r="AN62" s="1691">
        <f t="shared" ca="1" si="7"/>
        <v>0.18037049211510137</v>
      </c>
      <c r="AO62" s="1691">
        <f t="shared" ca="1" si="7"/>
        <v>2.7184405794911E-2</v>
      </c>
      <c r="AP62" s="1691">
        <f t="shared" ca="1" si="7"/>
        <v>1.5553511267500597E-2</v>
      </c>
      <c r="AQ62" s="1691">
        <f t="shared" ca="1" si="7"/>
        <v>1.2726274096559438E-2</v>
      </c>
      <c r="AR62" s="1691">
        <f t="shared" ca="1" si="7"/>
        <v>1.2949401283202858E-2</v>
      </c>
      <c r="AS62" s="1691">
        <f t="shared" ca="1" si="7"/>
        <v>1.3219859916805382E-2</v>
      </c>
      <c r="AT62" s="1691">
        <f t="shared" ca="1" si="7"/>
        <v>1.3440897369608799E-2</v>
      </c>
      <c r="AU62" s="1691">
        <f t="shared" ca="1" si="7"/>
        <v>1.361133428844708E-2</v>
      </c>
    </row>
    <row r="63" spans="2:47" x14ac:dyDescent="0.2">
      <c r="B63" s="1683" t="s">
        <v>1819</v>
      </c>
      <c r="C63" s="1774" t="s">
        <v>1855</v>
      </c>
      <c r="D63" s="1684" t="s">
        <v>125</v>
      </c>
      <c r="F63" s="1689">
        <f t="shared" ref="F63:N70" ca="1" si="8">IFERROR(INDEX(INDIRECT($B63&amp;".AQ["&amp;F$33&amp;"]"), MATCH($F$32, INDIRECT($B63&amp;".AQ[Vector]"), 0)),0)</f>
        <v>7.8351230977611167E-2</v>
      </c>
      <c r="G63" s="1689">
        <f t="shared" ca="1" si="8"/>
        <v>0.22874283233912657</v>
      </c>
      <c r="H63" s="1689">
        <f t="shared" ca="1" si="8"/>
        <v>0.31964681335012235</v>
      </c>
      <c r="I63" s="1689">
        <f t="shared" ca="1" si="8"/>
        <v>0.3526725009379556</v>
      </c>
      <c r="J63" s="1689">
        <f t="shared" ca="1" si="8"/>
        <v>0.32781989510262932</v>
      </c>
      <c r="K63" s="1689">
        <f t="shared" ca="1" si="8"/>
        <v>0.24508899584413843</v>
      </c>
      <c r="L63" s="1689">
        <f t="shared" ca="1" si="8"/>
        <v>0.12972324553731526</v>
      </c>
      <c r="M63" s="1689">
        <f t="shared" ca="1" si="8"/>
        <v>0.1215616589771476</v>
      </c>
      <c r="N63" s="1689">
        <f t="shared" ca="1" si="8"/>
        <v>0.1379423080591746</v>
      </c>
      <c r="P63" s="1689">
        <f t="shared" ref="P63:Y70" ca="1" si="9">IFERROR(INDEX(INDIRECT($B63&amp;".AQ["&amp;P$33&amp;"]"), MATCH($R$32, INDIRECT($B63&amp;".AQ[Vector]"), 0)),0)</f>
        <v>0</v>
      </c>
      <c r="Q63" s="1689">
        <f t="shared" ca="1" si="9"/>
        <v>3.7487201638161287</v>
      </c>
      <c r="R63" s="1689">
        <f t="shared" ca="1" si="9"/>
        <v>11.151290669080657</v>
      </c>
      <c r="S63" s="1689">
        <f t="shared" ca="1" si="9"/>
        <v>16.240913523963037</v>
      </c>
      <c r="T63" s="1689">
        <f t="shared" ca="1" si="9"/>
        <v>19.052534113171507</v>
      </c>
      <c r="U63" s="1689">
        <f t="shared" ca="1" si="9"/>
        <v>19.586152436706069</v>
      </c>
      <c r="V63" s="1689">
        <f t="shared" ca="1" si="9"/>
        <v>17.841768494566772</v>
      </c>
      <c r="W63" s="1689">
        <f t="shared" ca="1" si="9"/>
        <v>15.678982541699325</v>
      </c>
      <c r="X63" s="1689">
        <f t="shared" ca="1" si="9"/>
        <v>17.504878892709254</v>
      </c>
      <c r="Y63" s="1689">
        <f t="shared" ca="1" si="9"/>
        <v>19.863692360521139</v>
      </c>
      <c r="AA63" s="1689">
        <f t="shared" ref="AA63:AJ70" ca="1" si="10">IFERROR(INDEX(INDIRECT($B63&amp;".AQ["&amp;AA$33&amp;"]"), MATCH($AC$32, INDIRECT($B63&amp;".AQ[Vector]"), 0)),0)</f>
        <v>0</v>
      </c>
      <c r="AB63" s="1689">
        <f t="shared" ca="1" si="10"/>
        <v>2.4539210591579472E-2</v>
      </c>
      <c r="AC63" s="1689">
        <f t="shared" ca="1" si="10"/>
        <v>1.4701745990517267E-3</v>
      </c>
      <c r="AD63" s="1689">
        <f t="shared" ca="1" si="10"/>
        <v>2.5047419094955344E-3</v>
      </c>
      <c r="AE63" s="1689">
        <f t="shared" ca="1" si="10"/>
        <v>3.5393092199393419E-3</v>
      </c>
      <c r="AF63" s="1689">
        <f t="shared" ca="1" si="10"/>
        <v>4.573876530383149E-3</v>
      </c>
      <c r="AG63" s="1689">
        <f t="shared" ca="1" si="10"/>
        <v>5.6084438408269561E-3</v>
      </c>
      <c r="AH63" s="1689">
        <f t="shared" ca="1" si="10"/>
        <v>6.643011151270764E-3</v>
      </c>
      <c r="AI63" s="1689">
        <f t="shared" ca="1" si="10"/>
        <v>7.677578461714572E-3</v>
      </c>
      <c r="AJ63" s="1689">
        <f t="shared" ca="1" si="10"/>
        <v>8.7121457721583799E-3</v>
      </c>
      <c r="AL63" s="1689">
        <f t="shared" ref="AL63:AU70" ca="1" si="11">IFERROR(INDEX(INDIRECT($B63&amp;".AQ["&amp;AL$33&amp;"]"), MATCH($AN$32, INDIRECT($B63&amp;".AQ[Vector]"), 0)),0)</f>
        <v>0</v>
      </c>
      <c r="AM63" s="1689">
        <f t="shared" ca="1" si="11"/>
        <v>0.36861863174959608</v>
      </c>
      <c r="AN63" s="1689">
        <f t="shared" ca="1" si="11"/>
        <v>1.0884372302986216</v>
      </c>
      <c r="AO63" s="1689">
        <f t="shared" ca="1" si="11"/>
        <v>1.5891919484573327</v>
      </c>
      <c r="AP63" s="1689">
        <f t="shared" ca="1" si="11"/>
        <v>1.8708827862257384</v>
      </c>
      <c r="AQ63" s="1689">
        <f t="shared" ca="1" si="11"/>
        <v>1.9335097436038391</v>
      </c>
      <c r="AR63" s="1689">
        <f t="shared" ca="1" si="11"/>
        <v>1.7770728205916295</v>
      </c>
      <c r="AS63" s="1689">
        <f t="shared" ca="1" si="11"/>
        <v>1.6828961583219297</v>
      </c>
      <c r="AT63" s="1689">
        <f t="shared" ca="1" si="11"/>
        <v>1.9449865436343616</v>
      </c>
      <c r="AU63" s="1689">
        <f t="shared" ca="1" si="11"/>
        <v>2.2070769289467935</v>
      </c>
    </row>
    <row r="64" spans="2:47" x14ac:dyDescent="0.2">
      <c r="B64" s="1685" t="s">
        <v>1820</v>
      </c>
      <c r="C64" s="1773" t="s">
        <v>1856</v>
      </c>
      <c r="D64" s="1686" t="s">
        <v>125</v>
      </c>
      <c r="E64" s="2022">
        <v>4</v>
      </c>
      <c r="F64" s="1691">
        <f t="shared" ca="1" si="8"/>
        <v>0</v>
      </c>
      <c r="G64" s="1691">
        <f t="shared" ca="1" si="8"/>
        <v>0</v>
      </c>
      <c r="H64" s="1691">
        <f t="shared" ca="1" si="8"/>
        <v>0</v>
      </c>
      <c r="I64" s="1691">
        <f t="shared" ca="1" si="8"/>
        <v>0</v>
      </c>
      <c r="J64" s="1691">
        <f t="shared" ca="1" si="8"/>
        <v>0</v>
      </c>
      <c r="K64" s="1691">
        <f t="shared" ca="1" si="8"/>
        <v>0</v>
      </c>
      <c r="L64" s="1691">
        <f t="shared" ca="1" si="8"/>
        <v>0</v>
      </c>
      <c r="M64" s="1691">
        <f t="shared" ca="1" si="8"/>
        <v>0</v>
      </c>
      <c r="N64" s="1691">
        <f t="shared" ca="1" si="8"/>
        <v>0</v>
      </c>
      <c r="P64" s="1691">
        <f t="shared" ca="1" si="9"/>
        <v>0</v>
      </c>
      <c r="Q64" s="1691">
        <f t="shared" ca="1" si="9"/>
        <v>0</v>
      </c>
      <c r="R64" s="1691">
        <f t="shared" ca="1" si="9"/>
        <v>0</v>
      </c>
      <c r="S64" s="1691">
        <f t="shared" ca="1" si="9"/>
        <v>0</v>
      </c>
      <c r="T64" s="1691">
        <f t="shared" ca="1" si="9"/>
        <v>0</v>
      </c>
      <c r="U64" s="1691">
        <f t="shared" ca="1" si="9"/>
        <v>0</v>
      </c>
      <c r="V64" s="1691">
        <f t="shared" ca="1" si="9"/>
        <v>0</v>
      </c>
      <c r="W64" s="1691">
        <f t="shared" ca="1" si="9"/>
        <v>0</v>
      </c>
      <c r="X64" s="1691">
        <f t="shared" ca="1" si="9"/>
        <v>0</v>
      </c>
      <c r="Y64" s="1691">
        <f t="shared" ca="1" si="9"/>
        <v>0</v>
      </c>
      <c r="AA64" s="1691">
        <f t="shared" ca="1" si="10"/>
        <v>0</v>
      </c>
      <c r="AB64" s="1691">
        <f t="shared" ca="1" si="10"/>
        <v>0</v>
      </c>
      <c r="AC64" s="1691">
        <f t="shared" ca="1" si="10"/>
        <v>0</v>
      </c>
      <c r="AD64" s="1691">
        <f t="shared" ca="1" si="10"/>
        <v>0</v>
      </c>
      <c r="AE64" s="1691">
        <f t="shared" ca="1" si="10"/>
        <v>0</v>
      </c>
      <c r="AF64" s="1691">
        <f t="shared" ca="1" si="10"/>
        <v>0</v>
      </c>
      <c r="AG64" s="1691">
        <f t="shared" ca="1" si="10"/>
        <v>0</v>
      </c>
      <c r="AH64" s="1691">
        <f t="shared" ca="1" si="10"/>
        <v>0</v>
      </c>
      <c r="AI64" s="1691">
        <f t="shared" ca="1" si="10"/>
        <v>0</v>
      </c>
      <c r="AJ64" s="1691">
        <f t="shared" ca="1" si="10"/>
        <v>0</v>
      </c>
      <c r="AL64" s="1691">
        <f t="shared" ca="1" si="11"/>
        <v>0</v>
      </c>
      <c r="AM64" s="1691">
        <f t="shared" ca="1" si="11"/>
        <v>0</v>
      </c>
      <c r="AN64" s="1691">
        <f t="shared" ca="1" si="11"/>
        <v>0</v>
      </c>
      <c r="AO64" s="1691">
        <f t="shared" ca="1" si="11"/>
        <v>0</v>
      </c>
      <c r="AP64" s="1691">
        <f t="shared" ca="1" si="11"/>
        <v>0</v>
      </c>
      <c r="AQ64" s="1691">
        <f t="shared" ca="1" si="11"/>
        <v>0</v>
      </c>
      <c r="AR64" s="1691">
        <f t="shared" ca="1" si="11"/>
        <v>0</v>
      </c>
      <c r="AS64" s="1691">
        <f t="shared" ca="1" si="11"/>
        <v>0</v>
      </c>
      <c r="AT64" s="1691">
        <f t="shared" ca="1" si="11"/>
        <v>0</v>
      </c>
      <c r="AU64" s="1691">
        <f t="shared" ca="1" si="11"/>
        <v>0</v>
      </c>
    </row>
    <row r="65" spans="2:48" x14ac:dyDescent="0.2">
      <c r="B65" s="1685" t="s">
        <v>405</v>
      </c>
      <c r="C65" s="1685" t="s">
        <v>111</v>
      </c>
      <c r="D65" s="1686" t="s">
        <v>1823</v>
      </c>
      <c r="F65" s="1691">
        <f t="shared" ca="1" si="8"/>
        <v>2.566213145449075E-3</v>
      </c>
      <c r="G65" s="1691">
        <f t="shared" ca="1" si="8"/>
        <v>2.6815410645223718E-3</v>
      </c>
      <c r="H65" s="1691">
        <f t="shared" ca="1" si="8"/>
        <v>2.512811852517751E-3</v>
      </c>
      <c r="I65" s="1691">
        <f t="shared" ca="1" si="8"/>
        <v>2.2849603219874462E-3</v>
      </c>
      <c r="J65" s="1691">
        <f t="shared" ca="1" si="8"/>
        <v>1.9778725879613288E-3</v>
      </c>
      <c r="K65" s="1691">
        <f t="shared" ca="1" si="8"/>
        <v>1.8914071069344542E-3</v>
      </c>
      <c r="L65" s="1691">
        <f t="shared" ca="1" si="8"/>
        <v>1.8767721268840784E-3</v>
      </c>
      <c r="M65" s="1691">
        <f t="shared" ca="1" si="8"/>
        <v>1.8628701111293821E-3</v>
      </c>
      <c r="N65" s="1691">
        <f t="shared" ca="1" si="8"/>
        <v>1.848968095374685E-3</v>
      </c>
      <c r="O65" s="1245"/>
      <c r="P65" s="1691">
        <f t="shared" ca="1" si="9"/>
        <v>0</v>
      </c>
      <c r="Q65" s="1691">
        <f t="shared" ca="1" si="9"/>
        <v>0.16092010120535119</v>
      </c>
      <c r="R65" s="1691">
        <f t="shared" ca="1" si="9"/>
        <v>0.18385790632592625</v>
      </c>
      <c r="S65" s="1691">
        <f t="shared" ca="1" si="9"/>
        <v>0.16822346189425072</v>
      </c>
      <c r="T65" s="1691">
        <f t="shared" ca="1" si="9"/>
        <v>0.13305575812114223</v>
      </c>
      <c r="U65" s="1691">
        <f t="shared" ca="1" si="9"/>
        <v>0.11450346857585954</v>
      </c>
      <c r="V65" s="1691">
        <f t="shared" ca="1" si="9"/>
        <v>0.10949778845777761</v>
      </c>
      <c r="W65" s="1691">
        <f t="shared" ca="1" si="9"/>
        <v>0.10865053672452323</v>
      </c>
      <c r="X65" s="1691">
        <f t="shared" ca="1" si="9"/>
        <v>0.10784571793397124</v>
      </c>
      <c r="Y65" s="1691">
        <f t="shared" ca="1" si="9"/>
        <v>0.10704089914341922</v>
      </c>
      <c r="Z65" s="1245"/>
      <c r="AA65" s="1691">
        <f t="shared" ca="1" si="10"/>
        <v>0</v>
      </c>
      <c r="AB65" s="1691">
        <f t="shared" ca="1" si="10"/>
        <v>7.2801811203589764E-2</v>
      </c>
      <c r="AC65" s="1691">
        <f t="shared" ca="1" si="10"/>
        <v>7.0913385430720385E-2</v>
      </c>
      <c r="AD65" s="1691">
        <f t="shared" ca="1" si="10"/>
        <v>6.6930698302915384E-2</v>
      </c>
      <c r="AE65" s="1691">
        <f t="shared" ca="1" si="10"/>
        <v>6.4766251089684868E-2</v>
      </c>
      <c r="AF65" s="1691">
        <f t="shared" ca="1" si="10"/>
        <v>5.6061976841632014E-2</v>
      </c>
      <c r="AG65" s="1691">
        <f t="shared" ca="1" si="10"/>
        <v>5.3611148702128027E-2</v>
      </c>
      <c r="AH65" s="1691">
        <f t="shared" ca="1" si="10"/>
        <v>5.3196326272384145E-2</v>
      </c>
      <c r="AI65" s="1691">
        <f t="shared" ca="1" si="10"/>
        <v>5.2802279411107246E-2</v>
      </c>
      <c r="AJ65" s="1691">
        <f t="shared" ca="1" si="10"/>
        <v>5.2408232549830319E-2</v>
      </c>
      <c r="AK65" s="1245"/>
      <c r="AL65" s="1691">
        <f t="shared" ca="1" si="11"/>
        <v>0</v>
      </c>
      <c r="AM65" s="1691">
        <f t="shared" ca="1" si="11"/>
        <v>5.9771563418527483E-3</v>
      </c>
      <c r="AN65" s="1691">
        <f t="shared" ca="1" si="11"/>
        <v>5.9807096406481186E-3</v>
      </c>
      <c r="AO65" s="1691">
        <f t="shared" ca="1" si="11"/>
        <v>5.5648782014694883E-3</v>
      </c>
      <c r="AP65" s="1691">
        <f t="shared" ca="1" si="11"/>
        <v>4.7384512363097351E-3</v>
      </c>
      <c r="AQ65" s="1691">
        <f t="shared" ca="1" si="11"/>
        <v>2.7994237709233118E-3</v>
      </c>
      <c r="AR65" s="1691">
        <f t="shared" ca="1" si="11"/>
        <v>2.6770430248508636E-3</v>
      </c>
      <c r="AS65" s="1691">
        <f t="shared" ca="1" si="11"/>
        <v>2.6563290965172701E-3</v>
      </c>
      <c r="AT65" s="1691">
        <f t="shared" ca="1" si="11"/>
        <v>2.6366525846912171E-3</v>
      </c>
      <c r="AU65" s="1691">
        <f t="shared" ca="1" si="11"/>
        <v>2.6169760728651627E-3</v>
      </c>
    </row>
    <row r="66" spans="2:48" x14ac:dyDescent="0.2">
      <c r="B66" s="1683" t="s">
        <v>415</v>
      </c>
      <c r="C66" s="1683" t="s">
        <v>1710</v>
      </c>
      <c r="D66" s="1684" t="s">
        <v>1823</v>
      </c>
      <c r="E66" s="2022">
        <v>4</v>
      </c>
      <c r="F66" s="1689">
        <f t="shared" ca="1" si="8"/>
        <v>2.3517445676866142</v>
      </c>
      <c r="G66" s="1689">
        <f t="shared" ca="1" si="8"/>
        <v>2.3300063898043528</v>
      </c>
      <c r="H66" s="1689">
        <f t="shared" ca="1" si="8"/>
        <v>2.0485173472310345</v>
      </c>
      <c r="I66" s="1689">
        <f t="shared" ca="1" si="8"/>
        <v>1.8203312297993892</v>
      </c>
      <c r="J66" s="1689">
        <f t="shared" ca="1" si="8"/>
        <v>1.6109835983301157</v>
      </c>
      <c r="K66" s="1689">
        <f t="shared" ca="1" si="8"/>
        <v>1.4305998897369454</v>
      </c>
      <c r="L66" s="1689">
        <f t="shared" ca="1" si="8"/>
        <v>1.2527322323029186</v>
      </c>
      <c r="M66" s="1689">
        <f t="shared" ca="1" si="8"/>
        <v>1.0773806260280359</v>
      </c>
      <c r="N66" s="1689">
        <f t="shared" ca="1" si="8"/>
        <v>0.90454507091229708</v>
      </c>
      <c r="O66" s="1245"/>
      <c r="P66" s="1689">
        <f t="shared" ca="1" si="9"/>
        <v>0</v>
      </c>
      <c r="Q66" s="1689">
        <f t="shared" ca="1" si="9"/>
        <v>216.00262250384054</v>
      </c>
      <c r="R66" s="1689">
        <f t="shared" ca="1" si="9"/>
        <v>167.21186653294035</v>
      </c>
      <c r="S66" s="1689">
        <f t="shared" ca="1" si="9"/>
        <v>147.58563535244369</v>
      </c>
      <c r="T66" s="1689">
        <f t="shared" ca="1" si="9"/>
        <v>126.85181284730103</v>
      </c>
      <c r="U66" s="1689">
        <f t="shared" ca="1" si="9"/>
        <v>106.59056041080092</v>
      </c>
      <c r="V66" s="1689">
        <f t="shared" ca="1" si="9"/>
        <v>88.886226463936495</v>
      </c>
      <c r="W66" s="1689">
        <f t="shared" ca="1" si="9"/>
        <v>71.143282409188075</v>
      </c>
      <c r="X66" s="1689">
        <f t="shared" ca="1" si="9"/>
        <v>53.653843047025184</v>
      </c>
      <c r="Y66" s="1689">
        <f t="shared" ca="1" si="9"/>
        <v>36.417908377447866</v>
      </c>
      <c r="Z66" s="1245"/>
      <c r="AA66" s="1689">
        <f t="shared" ca="1" si="10"/>
        <v>0</v>
      </c>
      <c r="AB66" s="1689">
        <f t="shared" ca="1" si="10"/>
        <v>8.0522786032412696</v>
      </c>
      <c r="AC66" s="1689">
        <f t="shared" ca="1" si="10"/>
        <v>2.5629069843191088</v>
      </c>
      <c r="AD66" s="1689">
        <f t="shared" ca="1" si="10"/>
        <v>2.2575431764204805</v>
      </c>
      <c r="AE66" s="1689">
        <f t="shared" ca="1" si="10"/>
        <v>1.9370279588704324</v>
      </c>
      <c r="AF66" s="1689">
        <f t="shared" ca="1" si="10"/>
        <v>1.6391847925030614</v>
      </c>
      <c r="AG66" s="1689">
        <f t="shared" ca="1" si="10"/>
        <v>1.4866015543413187</v>
      </c>
      <c r="AH66" s="1689">
        <f t="shared" ca="1" si="10"/>
        <v>1.2727192486339833</v>
      </c>
      <c r="AI66" s="1689">
        <f t="shared" ca="1" si="10"/>
        <v>1.0620987114414981</v>
      </c>
      <c r="AJ66" s="1689">
        <f t="shared" ca="1" si="10"/>
        <v>0.85473994276386356</v>
      </c>
      <c r="AK66" s="1245"/>
      <c r="AL66" s="1689">
        <f t="shared" ca="1" si="11"/>
        <v>0</v>
      </c>
      <c r="AM66" s="1689">
        <f t="shared" ca="1" si="11"/>
        <v>67.902418425813053</v>
      </c>
      <c r="AN66" s="1689">
        <f t="shared" ca="1" si="11"/>
        <v>67.373730051607282</v>
      </c>
      <c r="AO66" s="1689">
        <f t="shared" ca="1" si="11"/>
        <v>58.729676332880956</v>
      </c>
      <c r="AP66" s="1689">
        <f t="shared" ca="1" si="11"/>
        <v>52.004732326950347</v>
      </c>
      <c r="AQ66" s="1689">
        <f t="shared" ca="1" si="11"/>
        <v>46.738079137635999</v>
      </c>
      <c r="AR66" s="1689">
        <f t="shared" ca="1" si="11"/>
        <v>58.07448856152979</v>
      </c>
      <c r="AS66" s="1689">
        <f t="shared" ca="1" si="11"/>
        <v>58.012743554139789</v>
      </c>
      <c r="AT66" s="1689">
        <f t="shared" ca="1" si="11"/>
        <v>57.955056925172421</v>
      </c>
      <c r="AU66" s="1689">
        <f t="shared" ca="1" si="11"/>
        <v>57.901428674627709</v>
      </c>
    </row>
    <row r="67" spans="2:48" x14ac:dyDescent="0.2">
      <c r="B67" s="1685" t="s">
        <v>439</v>
      </c>
      <c r="C67" s="1685" t="s">
        <v>441</v>
      </c>
      <c r="D67" s="1686" t="s">
        <v>1823</v>
      </c>
      <c r="E67" s="2022">
        <v>2</v>
      </c>
      <c r="F67" s="1691">
        <f t="shared" ca="1" si="8"/>
        <v>0</v>
      </c>
      <c r="G67" s="1691">
        <f t="shared" ca="1" si="8"/>
        <v>0</v>
      </c>
      <c r="H67" s="1691">
        <f t="shared" ca="1" si="8"/>
        <v>0</v>
      </c>
      <c r="I67" s="1691">
        <f t="shared" ca="1" si="8"/>
        <v>0</v>
      </c>
      <c r="J67" s="1691">
        <f t="shared" ca="1" si="8"/>
        <v>0</v>
      </c>
      <c r="K67" s="1691">
        <f t="shared" ca="1" si="8"/>
        <v>0</v>
      </c>
      <c r="L67" s="1691">
        <f t="shared" ca="1" si="8"/>
        <v>0</v>
      </c>
      <c r="M67" s="1691">
        <f t="shared" ca="1" si="8"/>
        <v>0</v>
      </c>
      <c r="N67" s="1691">
        <f t="shared" ca="1" si="8"/>
        <v>0</v>
      </c>
      <c r="O67" s="1245"/>
      <c r="P67" s="1691">
        <f t="shared" ca="1" si="9"/>
        <v>0</v>
      </c>
      <c r="Q67" s="1691">
        <f t="shared" ca="1" si="9"/>
        <v>0</v>
      </c>
      <c r="R67" s="1691">
        <f t="shared" ca="1" si="9"/>
        <v>0</v>
      </c>
      <c r="S67" s="1691">
        <f t="shared" ca="1" si="9"/>
        <v>0</v>
      </c>
      <c r="T67" s="1691">
        <f t="shared" ca="1" si="9"/>
        <v>0</v>
      </c>
      <c r="U67" s="1691">
        <f t="shared" ca="1" si="9"/>
        <v>0</v>
      </c>
      <c r="V67" s="1691">
        <f t="shared" ca="1" si="9"/>
        <v>0</v>
      </c>
      <c r="W67" s="1691">
        <f t="shared" ca="1" si="9"/>
        <v>0</v>
      </c>
      <c r="X67" s="1691">
        <f t="shared" ca="1" si="9"/>
        <v>0</v>
      </c>
      <c r="Y67" s="1691">
        <f t="shared" ca="1" si="9"/>
        <v>0</v>
      </c>
      <c r="Z67" s="1245"/>
      <c r="AA67" s="1691">
        <f t="shared" ca="1" si="10"/>
        <v>0</v>
      </c>
      <c r="AB67" s="1691">
        <f t="shared" ca="1" si="10"/>
        <v>0</v>
      </c>
      <c r="AC67" s="1691">
        <f t="shared" ca="1" si="10"/>
        <v>0</v>
      </c>
      <c r="AD67" s="1691">
        <f t="shared" ca="1" si="10"/>
        <v>0</v>
      </c>
      <c r="AE67" s="1691">
        <f t="shared" ca="1" si="10"/>
        <v>0</v>
      </c>
      <c r="AF67" s="1691">
        <f t="shared" ca="1" si="10"/>
        <v>0</v>
      </c>
      <c r="AG67" s="1691">
        <f t="shared" ca="1" si="10"/>
        <v>0</v>
      </c>
      <c r="AH67" s="1691">
        <f t="shared" ca="1" si="10"/>
        <v>0</v>
      </c>
      <c r="AI67" s="1691">
        <f t="shared" ca="1" si="10"/>
        <v>0</v>
      </c>
      <c r="AJ67" s="1691">
        <f t="shared" ca="1" si="10"/>
        <v>0</v>
      </c>
      <c r="AK67" s="1245"/>
      <c r="AL67" s="1691">
        <f t="shared" ca="1" si="11"/>
        <v>0</v>
      </c>
      <c r="AM67" s="1691">
        <f t="shared" ca="1" si="11"/>
        <v>64.641521601284268</v>
      </c>
      <c r="AN67" s="1691">
        <f t="shared" ca="1" si="11"/>
        <v>58.51195295876019</v>
      </c>
      <c r="AO67" s="1691">
        <f t="shared" ca="1" si="11"/>
        <v>50.578959434795244</v>
      </c>
      <c r="AP67" s="1691">
        <f t="shared" ca="1" si="11"/>
        <v>45.563807860339438</v>
      </c>
      <c r="AQ67" s="1691">
        <f t="shared" ca="1" si="11"/>
        <v>40.718764790773925</v>
      </c>
      <c r="AR67" s="1691">
        <f t="shared" ca="1" si="11"/>
        <v>72.569656964743913</v>
      </c>
      <c r="AS67" s="1691">
        <f t="shared" ca="1" si="11"/>
        <v>103.43132457156186</v>
      </c>
      <c r="AT67" s="1691">
        <f t="shared" ca="1" si="11"/>
        <v>131.33006715943293</v>
      </c>
      <c r="AU67" s="1691">
        <f t="shared" ca="1" si="11"/>
        <v>159.13012752663872</v>
      </c>
    </row>
    <row r="68" spans="2:48" x14ac:dyDescent="0.2">
      <c r="B68" s="1683" t="s">
        <v>440</v>
      </c>
      <c r="C68" s="1683" t="s">
        <v>1701</v>
      </c>
      <c r="D68" s="1684" t="s">
        <v>1823</v>
      </c>
      <c r="F68" s="2186">
        <f t="shared" ca="1" si="8"/>
        <v>0</v>
      </c>
      <c r="G68" s="2186">
        <f t="shared" ca="1" si="8"/>
        <v>0</v>
      </c>
      <c r="H68" s="2186">
        <f t="shared" ca="1" si="8"/>
        <v>0</v>
      </c>
      <c r="I68" s="2186">
        <f t="shared" ca="1" si="8"/>
        <v>0</v>
      </c>
      <c r="J68" s="2186">
        <f t="shared" ca="1" si="8"/>
        <v>0</v>
      </c>
      <c r="K68" s="2186">
        <f t="shared" ca="1" si="8"/>
        <v>0</v>
      </c>
      <c r="L68" s="2186">
        <f t="shared" ca="1" si="8"/>
        <v>0</v>
      </c>
      <c r="M68" s="2186">
        <f t="shared" ca="1" si="8"/>
        <v>0</v>
      </c>
      <c r="N68" s="2186">
        <f t="shared" ca="1" si="8"/>
        <v>0</v>
      </c>
      <c r="O68" s="2187"/>
      <c r="P68" s="2186">
        <f t="shared" ca="1" si="9"/>
        <v>0</v>
      </c>
      <c r="Q68" s="2186">
        <f t="shared" ca="1" si="9"/>
        <v>0</v>
      </c>
      <c r="R68" s="2186">
        <f t="shared" ca="1" si="9"/>
        <v>0</v>
      </c>
      <c r="S68" s="2186">
        <f t="shared" ca="1" si="9"/>
        <v>0</v>
      </c>
      <c r="T68" s="2186">
        <f t="shared" ca="1" si="9"/>
        <v>0</v>
      </c>
      <c r="U68" s="2186">
        <f t="shared" ca="1" si="9"/>
        <v>0</v>
      </c>
      <c r="V68" s="2186">
        <f t="shared" ca="1" si="9"/>
        <v>0</v>
      </c>
      <c r="W68" s="2186">
        <f t="shared" ca="1" si="9"/>
        <v>0</v>
      </c>
      <c r="X68" s="2186">
        <f t="shared" ca="1" si="9"/>
        <v>0</v>
      </c>
      <c r="Y68" s="2186">
        <f t="shared" ca="1" si="9"/>
        <v>0</v>
      </c>
      <c r="Z68" s="2187"/>
      <c r="AA68" s="2186">
        <f t="shared" ca="1" si="10"/>
        <v>0</v>
      </c>
      <c r="AB68" s="2186">
        <f t="shared" ca="1" si="10"/>
        <v>0</v>
      </c>
      <c r="AC68" s="2186">
        <f t="shared" ca="1" si="10"/>
        <v>0</v>
      </c>
      <c r="AD68" s="2186">
        <f t="shared" ca="1" si="10"/>
        <v>0</v>
      </c>
      <c r="AE68" s="2186">
        <f t="shared" ca="1" si="10"/>
        <v>0</v>
      </c>
      <c r="AF68" s="2186">
        <f t="shared" ca="1" si="10"/>
        <v>0</v>
      </c>
      <c r="AG68" s="2186">
        <f t="shared" ca="1" si="10"/>
        <v>0</v>
      </c>
      <c r="AH68" s="2186">
        <f t="shared" ca="1" si="10"/>
        <v>0</v>
      </c>
      <c r="AI68" s="2186">
        <f t="shared" ca="1" si="10"/>
        <v>0</v>
      </c>
      <c r="AJ68" s="2186">
        <f t="shared" ca="1" si="10"/>
        <v>0</v>
      </c>
      <c r="AK68" s="2187"/>
      <c r="AL68" s="2186">
        <f t="shared" ca="1" si="11"/>
        <v>0</v>
      </c>
      <c r="AM68" s="2186">
        <f t="shared" ca="1" si="11"/>
        <v>0</v>
      </c>
      <c r="AN68" s="2186">
        <f t="shared" ca="1" si="11"/>
        <v>0</v>
      </c>
      <c r="AO68" s="2186">
        <f t="shared" ca="1" si="11"/>
        <v>0</v>
      </c>
      <c r="AP68" s="2186">
        <f t="shared" ca="1" si="11"/>
        <v>0</v>
      </c>
      <c r="AQ68" s="2186">
        <f t="shared" ca="1" si="11"/>
        <v>0</v>
      </c>
      <c r="AR68" s="2186">
        <f t="shared" ca="1" si="11"/>
        <v>0</v>
      </c>
      <c r="AS68" s="2186">
        <f t="shared" ca="1" si="11"/>
        <v>0</v>
      </c>
      <c r="AT68" s="2186">
        <f t="shared" ca="1" si="11"/>
        <v>0</v>
      </c>
      <c r="AU68" s="2186">
        <f t="shared" ca="1" si="11"/>
        <v>0</v>
      </c>
    </row>
    <row r="69" spans="2:48" x14ac:dyDescent="0.2">
      <c r="B69" s="1683" t="s">
        <v>1758</v>
      </c>
      <c r="C69" s="1683" t="s">
        <v>1773</v>
      </c>
      <c r="D69" s="1684" t="s">
        <v>1812</v>
      </c>
      <c r="E69" s="2022">
        <v>3</v>
      </c>
      <c r="F69" s="1689">
        <f t="shared" ca="1" si="8"/>
        <v>0</v>
      </c>
      <c r="G69" s="1689">
        <f t="shared" ca="1" si="8"/>
        <v>0</v>
      </c>
      <c r="H69" s="1689">
        <f t="shared" ca="1" si="8"/>
        <v>0</v>
      </c>
      <c r="I69" s="1689">
        <f t="shared" ca="1" si="8"/>
        <v>0</v>
      </c>
      <c r="J69" s="1689">
        <f t="shared" ca="1" si="8"/>
        <v>0</v>
      </c>
      <c r="K69" s="1689">
        <f t="shared" ca="1" si="8"/>
        <v>0</v>
      </c>
      <c r="L69" s="1689">
        <f t="shared" ca="1" si="8"/>
        <v>0</v>
      </c>
      <c r="M69" s="1689">
        <f t="shared" ca="1" si="8"/>
        <v>0</v>
      </c>
      <c r="N69" s="1689">
        <f t="shared" ca="1" si="8"/>
        <v>0</v>
      </c>
      <c r="P69" s="1689">
        <f t="shared" ca="1" si="9"/>
        <v>0</v>
      </c>
      <c r="Q69" s="1689">
        <f t="shared" ca="1" si="9"/>
        <v>0</v>
      </c>
      <c r="R69" s="1689">
        <f t="shared" ca="1" si="9"/>
        <v>0</v>
      </c>
      <c r="S69" s="1689">
        <f t="shared" ca="1" si="9"/>
        <v>0</v>
      </c>
      <c r="T69" s="1689">
        <f t="shared" ca="1" si="9"/>
        <v>0</v>
      </c>
      <c r="U69" s="1689">
        <f t="shared" ca="1" si="9"/>
        <v>0</v>
      </c>
      <c r="V69" s="1689">
        <f t="shared" ca="1" si="9"/>
        <v>0</v>
      </c>
      <c r="W69" s="1689">
        <f t="shared" ca="1" si="9"/>
        <v>0</v>
      </c>
      <c r="X69" s="1689">
        <f t="shared" ca="1" si="9"/>
        <v>0</v>
      </c>
      <c r="Y69" s="1689">
        <f t="shared" ca="1" si="9"/>
        <v>0</v>
      </c>
      <c r="AA69" s="1689">
        <f t="shared" ca="1" si="10"/>
        <v>0</v>
      </c>
      <c r="AB69" s="1689">
        <f t="shared" ca="1" si="10"/>
        <v>0</v>
      </c>
      <c r="AC69" s="1689">
        <f t="shared" ca="1" si="10"/>
        <v>0</v>
      </c>
      <c r="AD69" s="1689">
        <f t="shared" ca="1" si="10"/>
        <v>0</v>
      </c>
      <c r="AE69" s="1689">
        <f t="shared" ca="1" si="10"/>
        <v>0</v>
      </c>
      <c r="AF69" s="1689">
        <f t="shared" ca="1" si="10"/>
        <v>0</v>
      </c>
      <c r="AG69" s="1689">
        <f t="shared" ca="1" si="10"/>
        <v>0</v>
      </c>
      <c r="AH69" s="1689">
        <f t="shared" ca="1" si="10"/>
        <v>0</v>
      </c>
      <c r="AI69" s="1689">
        <f t="shared" ca="1" si="10"/>
        <v>0</v>
      </c>
      <c r="AJ69" s="1689">
        <f t="shared" ca="1" si="10"/>
        <v>0</v>
      </c>
      <c r="AL69" s="1689">
        <f t="shared" ca="1" si="11"/>
        <v>0</v>
      </c>
      <c r="AM69" s="1689">
        <f t="shared" ca="1" si="11"/>
        <v>0</v>
      </c>
      <c r="AN69" s="1689">
        <f t="shared" ca="1" si="11"/>
        <v>0</v>
      </c>
      <c r="AO69" s="1689">
        <f t="shared" ca="1" si="11"/>
        <v>0</v>
      </c>
      <c r="AP69" s="1689">
        <f t="shared" ca="1" si="11"/>
        <v>0</v>
      </c>
      <c r="AQ69" s="1689">
        <f t="shared" ca="1" si="11"/>
        <v>0</v>
      </c>
      <c r="AR69" s="1689">
        <f t="shared" ca="1" si="11"/>
        <v>0</v>
      </c>
      <c r="AS69" s="1689">
        <f t="shared" ca="1" si="11"/>
        <v>0</v>
      </c>
      <c r="AT69" s="1689">
        <f t="shared" ca="1" si="11"/>
        <v>0</v>
      </c>
      <c r="AU69" s="1689">
        <f t="shared" ca="1" si="11"/>
        <v>0</v>
      </c>
    </row>
    <row r="70" spans="2:48" x14ac:dyDescent="0.2">
      <c r="B70" s="1685" t="s">
        <v>1759</v>
      </c>
      <c r="C70" s="1685" t="s">
        <v>1774</v>
      </c>
      <c r="D70" s="1686" t="s">
        <v>1812</v>
      </c>
      <c r="F70" s="1691">
        <f t="shared" ca="1" si="8"/>
        <v>0</v>
      </c>
      <c r="G70" s="1691">
        <f t="shared" ca="1" si="8"/>
        <v>0</v>
      </c>
      <c r="H70" s="1691">
        <f t="shared" ca="1" si="8"/>
        <v>0</v>
      </c>
      <c r="I70" s="1691">
        <f t="shared" ca="1" si="8"/>
        <v>0</v>
      </c>
      <c r="J70" s="1691">
        <f t="shared" ca="1" si="8"/>
        <v>0</v>
      </c>
      <c r="K70" s="1691">
        <f t="shared" ca="1" si="8"/>
        <v>0</v>
      </c>
      <c r="L70" s="1691">
        <f t="shared" ca="1" si="8"/>
        <v>0</v>
      </c>
      <c r="M70" s="1691">
        <f t="shared" ca="1" si="8"/>
        <v>0</v>
      </c>
      <c r="N70" s="1691">
        <f t="shared" ca="1" si="8"/>
        <v>0</v>
      </c>
      <c r="P70" s="1691">
        <f t="shared" ca="1" si="9"/>
        <v>0</v>
      </c>
      <c r="Q70" s="1691">
        <f t="shared" ca="1" si="9"/>
        <v>0</v>
      </c>
      <c r="R70" s="1691">
        <f t="shared" ca="1" si="9"/>
        <v>0</v>
      </c>
      <c r="S70" s="1691">
        <f t="shared" ca="1" si="9"/>
        <v>0</v>
      </c>
      <c r="T70" s="1691">
        <f t="shared" ca="1" si="9"/>
        <v>0</v>
      </c>
      <c r="U70" s="1691">
        <f t="shared" ca="1" si="9"/>
        <v>0</v>
      </c>
      <c r="V70" s="1691">
        <f t="shared" ca="1" si="9"/>
        <v>0</v>
      </c>
      <c r="W70" s="1691">
        <f t="shared" ca="1" si="9"/>
        <v>0</v>
      </c>
      <c r="X70" s="1691">
        <f t="shared" ca="1" si="9"/>
        <v>0</v>
      </c>
      <c r="Y70" s="1691">
        <f t="shared" ca="1" si="9"/>
        <v>0</v>
      </c>
      <c r="AA70" s="1691">
        <f t="shared" ca="1" si="10"/>
        <v>0</v>
      </c>
      <c r="AB70" s="1691">
        <f t="shared" ca="1" si="10"/>
        <v>0</v>
      </c>
      <c r="AC70" s="1691">
        <f t="shared" ca="1" si="10"/>
        <v>0</v>
      </c>
      <c r="AD70" s="1691">
        <f t="shared" ca="1" si="10"/>
        <v>0</v>
      </c>
      <c r="AE70" s="1691">
        <f t="shared" ca="1" si="10"/>
        <v>0</v>
      </c>
      <c r="AF70" s="1691">
        <f t="shared" ca="1" si="10"/>
        <v>0</v>
      </c>
      <c r="AG70" s="1691">
        <f t="shared" ca="1" si="10"/>
        <v>0</v>
      </c>
      <c r="AH70" s="1691">
        <f t="shared" ca="1" si="10"/>
        <v>0</v>
      </c>
      <c r="AI70" s="1691">
        <f t="shared" ca="1" si="10"/>
        <v>0</v>
      </c>
      <c r="AJ70" s="1691">
        <f t="shared" ca="1" si="10"/>
        <v>0</v>
      </c>
      <c r="AL70" s="1691">
        <f t="shared" ca="1" si="11"/>
        <v>0</v>
      </c>
      <c r="AM70" s="1691">
        <f t="shared" ca="1" si="11"/>
        <v>0</v>
      </c>
      <c r="AN70" s="1691">
        <f t="shared" ca="1" si="11"/>
        <v>0</v>
      </c>
      <c r="AO70" s="1691">
        <f t="shared" ca="1" si="11"/>
        <v>0</v>
      </c>
      <c r="AP70" s="1691">
        <f t="shared" ca="1" si="11"/>
        <v>0</v>
      </c>
      <c r="AQ70" s="1691">
        <f t="shared" ca="1" si="11"/>
        <v>0</v>
      </c>
      <c r="AR70" s="1691">
        <f t="shared" ca="1" si="11"/>
        <v>0</v>
      </c>
      <c r="AS70" s="1691">
        <f t="shared" ca="1" si="11"/>
        <v>0</v>
      </c>
      <c r="AT70" s="1691">
        <f t="shared" ca="1" si="11"/>
        <v>0</v>
      </c>
      <c r="AU70" s="1691">
        <f t="shared" ca="1" si="11"/>
        <v>0</v>
      </c>
    </row>
    <row r="71" spans="2:48" x14ac:dyDescent="0.2">
      <c r="D71" s="1733" t="s">
        <v>105</v>
      </c>
      <c r="E71" s="2022">
        <v>4</v>
      </c>
      <c r="F71" s="1732">
        <f t="shared" ref="F71:N71" ca="1" si="12">SUM(F34:F70)</f>
        <v>309.09590202788797</v>
      </c>
      <c r="G71" s="1732">
        <f t="shared" ca="1" si="12"/>
        <v>49.515473739931601</v>
      </c>
      <c r="H71" s="1732">
        <f t="shared" ca="1" si="12"/>
        <v>46.722247186950817</v>
      </c>
      <c r="I71" s="1732">
        <f t="shared" ca="1" si="12"/>
        <v>43.896822579829504</v>
      </c>
      <c r="J71" s="1732">
        <f t="shared" ca="1" si="12"/>
        <v>43.596344820139109</v>
      </c>
      <c r="K71" s="1732">
        <f t="shared" ca="1" si="12"/>
        <v>44.428100559953634</v>
      </c>
      <c r="L71" s="1732">
        <f t="shared" ca="1" si="12"/>
        <v>45.966964413340037</v>
      </c>
      <c r="M71" s="1732">
        <f t="shared" ca="1" si="12"/>
        <v>48.72141342296193</v>
      </c>
      <c r="N71" s="1732">
        <f t="shared" ca="1" si="12"/>
        <v>55.069159318481532</v>
      </c>
      <c r="P71" s="1732">
        <f t="shared" ref="P71:Y71" ca="1" si="13">SUM(P34:P70)</f>
        <v>0</v>
      </c>
      <c r="Q71" s="1732">
        <f t="shared" ca="1" si="13"/>
        <v>10995.099960810518</v>
      </c>
      <c r="R71" s="1732">
        <f t="shared" ca="1" si="13"/>
        <v>704.73996106078391</v>
      </c>
      <c r="S71" s="1732">
        <f t="shared" ca="1" si="13"/>
        <v>572.71112628176081</v>
      </c>
      <c r="T71" s="1732">
        <f t="shared" ca="1" si="13"/>
        <v>509.4687616266159</v>
      </c>
      <c r="U71" s="1732">
        <f t="shared" ca="1" si="13"/>
        <v>491.90258509852947</v>
      </c>
      <c r="V71" s="1732">
        <f t="shared" ca="1" si="13"/>
        <v>505.04405057827853</v>
      </c>
      <c r="W71" s="1732">
        <f t="shared" ca="1" si="13"/>
        <v>546.02776013227378</v>
      </c>
      <c r="X71" s="1732">
        <f t="shared" ca="1" si="13"/>
        <v>601.88089613248212</v>
      </c>
      <c r="Y71" s="1732">
        <f t="shared" ca="1" si="13"/>
        <v>656.33216786287608</v>
      </c>
      <c r="AA71" s="1732">
        <f t="shared" ref="AA71:AJ71" ca="1" si="14">SUM(AA34:AA70)</f>
        <v>0</v>
      </c>
      <c r="AB71" s="1732">
        <f t="shared" ca="1" si="14"/>
        <v>397.00722828344925</v>
      </c>
      <c r="AC71" s="1732">
        <f t="shared" ca="1" si="14"/>
        <v>78.863814447121399</v>
      </c>
      <c r="AD71" s="1732">
        <f t="shared" ca="1" si="14"/>
        <v>42.180276106848474</v>
      </c>
      <c r="AE71" s="1732">
        <f t="shared" ca="1" si="14"/>
        <v>47.580750801607564</v>
      </c>
      <c r="AF71" s="1732">
        <f t="shared" ca="1" si="14"/>
        <v>86.314213330042293</v>
      </c>
      <c r="AG71" s="1732">
        <f t="shared" ca="1" si="14"/>
        <v>136.66213767005618</v>
      </c>
      <c r="AH71" s="1732">
        <f t="shared" ca="1" si="14"/>
        <v>188.03696329712886</v>
      </c>
      <c r="AI71" s="1732">
        <f t="shared" ca="1" si="14"/>
        <v>239.66975200764176</v>
      </c>
      <c r="AJ71" s="1732">
        <f t="shared" ca="1" si="14"/>
        <v>290.79916816958615</v>
      </c>
      <c r="AL71" s="1732">
        <f t="shared" ref="AL71:AU71" ca="1" si="15">SUM(AL34:AL70)</f>
        <v>0</v>
      </c>
      <c r="AM71" s="1732">
        <f t="shared" ca="1" si="15"/>
        <v>173.81216190203503</v>
      </c>
      <c r="AN71" s="1732">
        <f t="shared" ca="1" si="15"/>
        <v>393.93970205775122</v>
      </c>
      <c r="AO71" s="1732">
        <f t="shared" ca="1" si="15"/>
        <v>377.60873318647634</v>
      </c>
      <c r="AP71" s="1732">
        <f t="shared" ca="1" si="15"/>
        <v>355.01558552334473</v>
      </c>
      <c r="AQ71" s="1732">
        <f t="shared" ca="1" si="15"/>
        <v>331.01344204493597</v>
      </c>
      <c r="AR71" s="1732">
        <f t="shared" ca="1" si="15"/>
        <v>360.85249003267381</v>
      </c>
      <c r="AS71" s="1732">
        <f t="shared" ca="1" si="15"/>
        <v>380.66135315040441</v>
      </c>
      <c r="AT71" s="1732">
        <f t="shared" ca="1" si="15"/>
        <v>399.54707126026227</v>
      </c>
      <c r="AU71" s="1732">
        <f t="shared" ca="1" si="15"/>
        <v>475.19418805608404</v>
      </c>
    </row>
    <row r="72" spans="2:48" x14ac:dyDescent="0.2">
      <c r="E72" s="2022">
        <v>4</v>
      </c>
    </row>
    <row r="73" spans="2:48" x14ac:dyDescent="0.2">
      <c r="C73" s="2022" t="s">
        <v>1913</v>
      </c>
      <c r="E73" s="2022">
        <v>3</v>
      </c>
      <c r="F73" s="2022">
        <f>'Air Quality'!F217</f>
        <v>23.635582390199954</v>
      </c>
      <c r="G73" s="2022">
        <f>'Air Quality'!G217</f>
        <v>18.930985722049389</v>
      </c>
      <c r="H73" s="2022">
        <f>'Air Quality'!H217</f>
        <v>17.675334262654488</v>
      </c>
      <c r="I73" s="2022">
        <f t="shared" ref="I73:N73" si="16">H73</f>
        <v>17.675334262654488</v>
      </c>
      <c r="J73" s="2022">
        <f t="shared" si="16"/>
        <v>17.675334262654488</v>
      </c>
      <c r="K73" s="2022">
        <f t="shared" si="16"/>
        <v>17.675334262654488</v>
      </c>
      <c r="L73" s="2022">
        <f t="shared" si="16"/>
        <v>17.675334262654488</v>
      </c>
      <c r="M73" s="2022">
        <f t="shared" si="16"/>
        <v>17.675334262654488</v>
      </c>
      <c r="N73" s="2022">
        <f t="shared" si="16"/>
        <v>17.675334262654488</v>
      </c>
      <c r="P73" s="2022">
        <f>Q73</f>
        <v>140.2494879799527</v>
      </c>
      <c r="Q73" s="2022">
        <f>'Air Quality'!C217</f>
        <v>140.2494879799527</v>
      </c>
      <c r="R73" s="2022">
        <f>'Air Quality'!D217</f>
        <v>87.155058971191906</v>
      </c>
      <c r="S73" s="2022">
        <f>'Air Quality'!E217</f>
        <v>68.744930271148135</v>
      </c>
      <c r="T73" s="2022">
        <f t="shared" ref="T73:Y73" si="17">S73</f>
        <v>68.744930271148135</v>
      </c>
      <c r="U73" s="2022">
        <f t="shared" si="17"/>
        <v>68.744930271148135</v>
      </c>
      <c r="V73" s="2022">
        <f t="shared" si="17"/>
        <v>68.744930271148135</v>
      </c>
      <c r="W73" s="2022">
        <f t="shared" si="17"/>
        <v>68.744930271148135</v>
      </c>
      <c r="X73" s="2022">
        <f t="shared" si="17"/>
        <v>68.744930271148135</v>
      </c>
      <c r="Y73" s="2022">
        <f t="shared" si="17"/>
        <v>68.744930271148135</v>
      </c>
      <c r="AA73" s="2022">
        <f>AB73</f>
        <v>23.684177503132041</v>
      </c>
      <c r="AB73" s="2022">
        <f>'Air Quality'!I217</f>
        <v>23.684177503132041</v>
      </c>
      <c r="AC73" s="2022">
        <f>'Air Quality'!J217</f>
        <v>14.502703277512902</v>
      </c>
      <c r="AD73" s="2022">
        <f>'Air Quality'!K217</f>
        <v>14.503532022535836</v>
      </c>
      <c r="AE73" s="2022">
        <f t="shared" ref="AE73:AJ73" si="18">AD73</f>
        <v>14.503532022535836</v>
      </c>
      <c r="AF73" s="2022">
        <f t="shared" si="18"/>
        <v>14.503532022535836</v>
      </c>
      <c r="AG73" s="2022">
        <f t="shared" si="18"/>
        <v>14.503532022535836</v>
      </c>
      <c r="AH73" s="2022">
        <f t="shared" si="18"/>
        <v>14.503532022535836</v>
      </c>
      <c r="AI73" s="2022">
        <f t="shared" si="18"/>
        <v>14.503532022535836</v>
      </c>
      <c r="AJ73" s="2022">
        <f t="shared" si="18"/>
        <v>14.503532022535836</v>
      </c>
      <c r="AL73" s="2022">
        <f>AM73</f>
        <v>233.01455526265423</v>
      </c>
      <c r="AM73" s="2022">
        <f>'Air Quality'!L217</f>
        <v>233.01455526265423</v>
      </c>
      <c r="AN73" s="2022">
        <f>'Air Quality'!M217</f>
        <v>225.39371528618557</v>
      </c>
      <c r="AO73" s="2022">
        <f>'Air Quality'!N217</f>
        <v>227.40470790015044</v>
      </c>
      <c r="AP73" s="2022">
        <f t="shared" ref="AP73:AU73" si="19">AO73</f>
        <v>227.40470790015044</v>
      </c>
      <c r="AQ73" s="2022">
        <f t="shared" si="19"/>
        <v>227.40470790015044</v>
      </c>
      <c r="AR73" s="2022">
        <f t="shared" si="19"/>
        <v>227.40470790015044</v>
      </c>
      <c r="AS73" s="2022">
        <f t="shared" si="19"/>
        <v>227.40470790015044</v>
      </c>
      <c r="AT73" s="2022">
        <f t="shared" si="19"/>
        <v>227.40470790015044</v>
      </c>
      <c r="AU73" s="2022">
        <f t="shared" si="19"/>
        <v>227.40470790015044</v>
      </c>
    </row>
    <row r="74" spans="2:48" x14ac:dyDescent="0.2">
      <c r="D74" s="2022" t="s">
        <v>105</v>
      </c>
      <c r="F74" s="1245">
        <f t="shared" ref="F74:N74" ca="1" si="20">F73+F71</f>
        <v>332.73148441808792</v>
      </c>
      <c r="G74" s="1245">
        <f t="shared" ca="1" si="20"/>
        <v>68.446459461980993</v>
      </c>
      <c r="H74" s="1245">
        <f t="shared" ca="1" si="20"/>
        <v>64.397581449605298</v>
      </c>
      <c r="I74" s="1245">
        <f t="shared" ca="1" si="20"/>
        <v>61.572156842483992</v>
      </c>
      <c r="J74" s="1245">
        <f t="shared" ca="1" si="20"/>
        <v>61.271679082793597</v>
      </c>
      <c r="K74" s="1245">
        <f t="shared" ca="1" si="20"/>
        <v>62.103434822608122</v>
      </c>
      <c r="L74" s="1245">
        <f t="shared" ca="1" si="20"/>
        <v>63.642298675994525</v>
      </c>
      <c r="M74" s="1245">
        <f t="shared" ca="1" si="20"/>
        <v>66.396747685616418</v>
      </c>
      <c r="N74" s="1245">
        <f t="shared" ca="1" si="20"/>
        <v>72.744493581136027</v>
      </c>
      <c r="O74" s="1245"/>
      <c r="P74" s="1245">
        <f t="shared" ref="P74:Y74" ca="1" si="21">P73+P71</f>
        <v>140.2494879799527</v>
      </c>
      <c r="Q74" s="1245">
        <f t="shared" ca="1" si="21"/>
        <v>11135.34944879047</v>
      </c>
      <c r="R74" s="1245">
        <f t="shared" ca="1" si="21"/>
        <v>791.89502003197583</v>
      </c>
      <c r="S74" s="1245">
        <f t="shared" ca="1" si="21"/>
        <v>641.45605655290899</v>
      </c>
      <c r="T74" s="1245">
        <f t="shared" ca="1" si="21"/>
        <v>578.21369189776408</v>
      </c>
      <c r="U74" s="1245">
        <f t="shared" ca="1" si="21"/>
        <v>560.64751536967765</v>
      </c>
      <c r="V74" s="1245">
        <f t="shared" ca="1" si="21"/>
        <v>573.78898084942671</v>
      </c>
      <c r="W74" s="1245">
        <f t="shared" ca="1" si="21"/>
        <v>614.77269040342196</v>
      </c>
      <c r="X74" s="1245">
        <f t="shared" ca="1" si="21"/>
        <v>670.6258264036303</v>
      </c>
      <c r="Y74" s="1245">
        <f t="shared" ca="1" si="21"/>
        <v>725.07709813402425</v>
      </c>
      <c r="Z74" s="1245"/>
      <c r="AA74" s="1245">
        <f t="shared" ref="AA74:AJ74" ca="1" si="22">AA73+AA71</f>
        <v>23.684177503132041</v>
      </c>
      <c r="AB74" s="1245">
        <f t="shared" ca="1" si="22"/>
        <v>420.6914057865813</v>
      </c>
      <c r="AC74" s="1245">
        <f t="shared" ca="1" si="22"/>
        <v>93.366517724634306</v>
      </c>
      <c r="AD74" s="1245">
        <f t="shared" ca="1" si="22"/>
        <v>56.68380812938431</v>
      </c>
      <c r="AE74" s="1245">
        <f t="shared" ca="1" si="22"/>
        <v>62.084282824143401</v>
      </c>
      <c r="AF74" s="1245">
        <f t="shared" ca="1" si="22"/>
        <v>100.81774535257813</v>
      </c>
      <c r="AG74" s="1245">
        <f t="shared" ca="1" si="22"/>
        <v>151.16566969259202</v>
      </c>
      <c r="AH74" s="1245">
        <f t="shared" ca="1" si="22"/>
        <v>202.5404953196647</v>
      </c>
      <c r="AI74" s="1245">
        <f t="shared" ca="1" si="22"/>
        <v>254.1732840301776</v>
      </c>
      <c r="AJ74" s="1245">
        <f t="shared" ca="1" si="22"/>
        <v>305.30270019212196</v>
      </c>
      <c r="AK74" s="1245"/>
      <c r="AL74" s="1245">
        <f t="shared" ref="AL74:AU74" ca="1" si="23">AL73+AL71</f>
        <v>233.01455526265423</v>
      </c>
      <c r="AM74" s="1245">
        <f t="shared" ca="1" si="23"/>
        <v>406.82671716468928</v>
      </c>
      <c r="AN74" s="1245">
        <f t="shared" ca="1" si="23"/>
        <v>619.33341734393684</v>
      </c>
      <c r="AO74" s="1245">
        <f t="shared" ca="1" si="23"/>
        <v>605.01344108662681</v>
      </c>
      <c r="AP74" s="1245">
        <f t="shared" ca="1" si="23"/>
        <v>582.4202934234952</v>
      </c>
      <c r="AQ74" s="1245">
        <f t="shared" ca="1" si="23"/>
        <v>558.41814994508638</v>
      </c>
      <c r="AR74" s="1245">
        <f t="shared" ca="1" si="23"/>
        <v>588.25719793282428</v>
      </c>
      <c r="AS74" s="1245">
        <f t="shared" ca="1" si="23"/>
        <v>608.06606105055482</v>
      </c>
      <c r="AT74" s="1245">
        <f t="shared" ca="1" si="23"/>
        <v>626.95177916041268</v>
      </c>
      <c r="AU74" s="1245">
        <f t="shared" ca="1" si="23"/>
        <v>702.59889595623451</v>
      </c>
    </row>
    <row r="75" spans="2:48" x14ac:dyDescent="0.2">
      <c r="C75" s="2022" t="s">
        <v>1914</v>
      </c>
      <c r="E75" s="2022">
        <v>4</v>
      </c>
      <c r="F75" s="1245"/>
      <c r="G75" s="1245"/>
      <c r="H75" s="1245"/>
      <c r="I75" s="1245"/>
      <c r="J75" s="1245"/>
      <c r="K75" s="1245"/>
      <c r="L75" s="1245"/>
      <c r="M75" s="1245"/>
      <c r="N75" s="1245"/>
      <c r="O75" s="1245"/>
      <c r="P75" s="1245"/>
      <c r="Q75" s="1245"/>
      <c r="R75" s="1245"/>
      <c r="S75" s="1245"/>
      <c r="T75" s="1245"/>
      <c r="U75" s="1245"/>
      <c r="V75" s="1245"/>
      <c r="W75" s="1245"/>
      <c r="X75" s="1245"/>
      <c r="Y75" s="1245"/>
      <c r="Z75" s="1245"/>
      <c r="AA75" s="1245"/>
      <c r="AB75" s="1245"/>
      <c r="AC75" s="1245"/>
      <c r="AD75" s="1245"/>
      <c r="AE75" s="1245"/>
      <c r="AF75" s="1245"/>
      <c r="AG75" s="1245"/>
      <c r="AH75" s="1245"/>
      <c r="AI75" s="1245"/>
      <c r="AJ75" s="1245"/>
      <c r="AK75" s="1245"/>
      <c r="AL75" s="1245"/>
      <c r="AM75" s="1245"/>
      <c r="AN75" s="1245"/>
      <c r="AO75" s="1245"/>
      <c r="AP75" s="1245"/>
      <c r="AQ75" s="1245"/>
      <c r="AR75" s="1245"/>
      <c r="AS75" s="1245"/>
      <c r="AT75" s="1245"/>
      <c r="AU75" s="1245"/>
      <c r="AV75" s="1245"/>
    </row>
    <row r="76" spans="2:48" x14ac:dyDescent="0.2">
      <c r="B76" s="1427" t="s">
        <v>1840</v>
      </c>
      <c r="E76" s="2022">
        <v>2</v>
      </c>
      <c r="F76" s="1427" t="s">
        <v>1787</v>
      </c>
      <c r="G76" s="1427" t="s">
        <v>1791</v>
      </c>
      <c r="H76" s="1427"/>
      <c r="I76" s="1427"/>
      <c r="J76" s="1427"/>
      <c r="K76" s="1427"/>
      <c r="L76" s="1427"/>
      <c r="M76" s="1427"/>
      <c r="N76" s="1427"/>
      <c r="O76" s="172" t="s">
        <v>1838</v>
      </c>
      <c r="Q76" s="1427" t="s">
        <v>1794</v>
      </c>
      <c r="R76" s="1427" t="s">
        <v>1788</v>
      </c>
      <c r="S76" s="1427"/>
      <c r="T76" s="1427"/>
      <c r="U76" s="1427"/>
      <c r="V76" s="1427"/>
      <c r="W76" s="1427"/>
      <c r="X76" s="1427"/>
      <c r="Y76" s="1427"/>
      <c r="Z76" s="172" t="s">
        <v>1838</v>
      </c>
      <c r="AB76" s="1427" t="s">
        <v>1795</v>
      </c>
      <c r="AC76" s="1427" t="s">
        <v>1789</v>
      </c>
      <c r="AD76" s="1427"/>
      <c r="AE76" s="1427"/>
      <c r="AF76" s="1427"/>
      <c r="AG76" s="1427"/>
      <c r="AH76" s="1427"/>
      <c r="AI76" s="1427"/>
      <c r="AJ76" s="1427"/>
      <c r="AK76" s="172" t="s">
        <v>1838</v>
      </c>
      <c r="AM76" s="1427" t="s">
        <v>1792</v>
      </c>
      <c r="AN76" s="1427" t="s">
        <v>1790</v>
      </c>
      <c r="AO76" s="1427"/>
      <c r="AP76" s="1427"/>
      <c r="AQ76" s="1427"/>
      <c r="AR76" s="1427"/>
      <c r="AS76" s="1427"/>
      <c r="AT76" s="1427"/>
      <c r="AU76" s="1427"/>
      <c r="AV76" s="172" t="s">
        <v>1838</v>
      </c>
    </row>
    <row r="77" spans="2:48" ht="13.5" thickBot="1" x14ac:dyDescent="0.25">
      <c r="D77" s="1682" t="s">
        <v>67</v>
      </c>
      <c r="F77" s="1681">
        <v>2010</v>
      </c>
      <c r="G77" s="1681">
        <v>2015</v>
      </c>
      <c r="H77" s="1681">
        <v>2020</v>
      </c>
      <c r="I77" s="1681">
        <v>2025</v>
      </c>
      <c r="J77" s="1681">
        <v>2030</v>
      </c>
      <c r="K77" s="1681">
        <v>2035</v>
      </c>
      <c r="L77" s="1681">
        <v>2040</v>
      </c>
      <c r="M77" s="1681">
        <v>2045</v>
      </c>
      <c r="N77" s="1681">
        <v>2050</v>
      </c>
      <c r="P77" s="1681">
        <v>2007</v>
      </c>
      <c r="Q77" s="1681">
        <v>2010</v>
      </c>
      <c r="R77" s="1681">
        <v>2015</v>
      </c>
      <c r="S77" s="1681">
        <v>2020</v>
      </c>
      <c r="T77" s="1681">
        <v>2025</v>
      </c>
      <c r="U77" s="1681">
        <v>2030</v>
      </c>
      <c r="V77" s="1681">
        <v>2035</v>
      </c>
      <c r="W77" s="1681">
        <v>2040</v>
      </c>
      <c r="X77" s="1681">
        <v>2045</v>
      </c>
      <c r="Y77" s="1681">
        <v>2050</v>
      </c>
      <c r="AA77" s="1681">
        <v>2007</v>
      </c>
      <c r="AB77" s="1681">
        <v>2010</v>
      </c>
      <c r="AC77" s="1681">
        <v>2015</v>
      </c>
      <c r="AD77" s="1681">
        <v>2020</v>
      </c>
      <c r="AE77" s="1681">
        <v>2025</v>
      </c>
      <c r="AF77" s="1681">
        <v>2030</v>
      </c>
      <c r="AG77" s="1681">
        <v>2035</v>
      </c>
      <c r="AH77" s="1681">
        <v>2040</v>
      </c>
      <c r="AI77" s="1681">
        <v>2045</v>
      </c>
      <c r="AJ77" s="1681">
        <v>2050</v>
      </c>
      <c r="AL77" s="1681">
        <v>2007</v>
      </c>
      <c r="AM77" s="1681">
        <v>2010</v>
      </c>
      <c r="AN77" s="1681">
        <v>2015</v>
      </c>
      <c r="AO77" s="1681">
        <v>2020</v>
      </c>
      <c r="AP77" s="1681">
        <v>2025</v>
      </c>
      <c r="AQ77" s="1681">
        <v>2030</v>
      </c>
      <c r="AR77" s="1681">
        <v>2035</v>
      </c>
      <c r="AS77" s="1681">
        <v>2040</v>
      </c>
      <c r="AT77" s="1681">
        <v>2045</v>
      </c>
      <c r="AU77" s="1681">
        <v>2050</v>
      </c>
    </row>
    <row r="78" spans="2:48" ht="13.5" thickTop="1" x14ac:dyDescent="0.2">
      <c r="D78" s="1684" t="s">
        <v>125</v>
      </c>
      <c r="E78" s="2022">
        <v>1</v>
      </c>
      <c r="F78" s="1689">
        <f t="shared" ref="F78:N83" ca="1" si="24">SUMIF($D$34:$D$70,$D78,F$34:F$70)</f>
        <v>10.96316767165141</v>
      </c>
      <c r="G78" s="1689">
        <f t="shared" ca="1" si="24"/>
        <v>11.718720855858837</v>
      </c>
      <c r="H78" s="1689">
        <f t="shared" ca="1" si="24"/>
        <v>10.299801315685336</v>
      </c>
      <c r="I78" s="1689">
        <f t="shared" ca="1" si="24"/>
        <v>8.7041976741533595</v>
      </c>
      <c r="J78" s="1689">
        <f t="shared" ca="1" si="24"/>
        <v>6.961428217972208</v>
      </c>
      <c r="K78" s="1689">
        <f t="shared" ca="1" si="24"/>
        <v>5.4860008130739972</v>
      </c>
      <c r="L78" s="1689">
        <f t="shared" ca="1" si="24"/>
        <v>4.2618726601133226</v>
      </c>
      <c r="M78" s="1689">
        <f t="shared" ca="1" si="24"/>
        <v>4.0157812977266678</v>
      </c>
      <c r="N78" s="1689">
        <f t="shared" ca="1" si="24"/>
        <v>3.9516987759955056</v>
      </c>
      <c r="P78" s="1689">
        <f t="shared" ref="P78:Y83" ca="1" si="25">SUMIF($D$34:$D$70,$D78,P$34:P$70)</f>
        <v>0</v>
      </c>
      <c r="Q78" s="1689">
        <f t="shared" ca="1" si="25"/>
        <v>336.23200912474493</v>
      </c>
      <c r="R78" s="1689">
        <f t="shared" ca="1" si="25"/>
        <v>373.70743501687321</v>
      </c>
      <c r="S78" s="1689">
        <f t="shared" ca="1" si="25"/>
        <v>316.28413275748346</v>
      </c>
      <c r="T78" s="1689">
        <f t="shared" ca="1" si="25"/>
        <v>260.42597589537286</v>
      </c>
      <c r="U78" s="1689">
        <f t="shared" ca="1" si="25"/>
        <v>206.84799002642694</v>
      </c>
      <c r="V78" s="1689">
        <f t="shared" ca="1" si="25"/>
        <v>153.5517197442847</v>
      </c>
      <c r="W78" s="1689">
        <f t="shared" ca="1" si="25"/>
        <v>125.12044833651555</v>
      </c>
      <c r="X78" s="1689">
        <f t="shared" ca="1" si="25"/>
        <v>112.56638627437283</v>
      </c>
      <c r="Y78" s="1689">
        <f t="shared" ca="1" si="25"/>
        <v>100.06029307709427</v>
      </c>
      <c r="AA78" s="1689">
        <f t="shared" ref="AA78:AJ83" ca="1" si="26">SUMIF($D$34:$D$70,$D78,AA$34:AA$70)</f>
        <v>0</v>
      </c>
      <c r="AB78" s="1689">
        <f t="shared" ca="1" si="26"/>
        <v>2.3448586689010873</v>
      </c>
      <c r="AC78" s="1689">
        <f t="shared" ca="1" si="26"/>
        <v>0.17515419278404037</v>
      </c>
      <c r="AD78" s="1689">
        <f t="shared" ca="1" si="26"/>
        <v>0.17569482297746206</v>
      </c>
      <c r="AE78" s="1689">
        <f t="shared" ca="1" si="26"/>
        <v>0.17062027833684956</v>
      </c>
      <c r="AF78" s="1689">
        <f t="shared" ca="1" si="26"/>
        <v>0.16253829255017788</v>
      </c>
      <c r="AG78" s="1689">
        <f t="shared" ca="1" si="26"/>
        <v>0.16282250136102452</v>
      </c>
      <c r="AH78" s="1689">
        <f t="shared" ca="1" si="26"/>
        <v>0.15871913164160051</v>
      </c>
      <c r="AI78" s="1689">
        <f t="shared" ca="1" si="26"/>
        <v>0.15357635041460266</v>
      </c>
      <c r="AJ78" s="1689">
        <f t="shared" ca="1" si="26"/>
        <v>0.14702484061233825</v>
      </c>
      <c r="AL78" s="1689">
        <f t="shared" ref="AL78:AU83" ca="1" si="27">SUMIF($D$34:$D$70,$D78,AL$34:AL$70)</f>
        <v>0</v>
      </c>
      <c r="AM78" s="1689">
        <f t="shared" ca="1" si="27"/>
        <v>29.993118689886323</v>
      </c>
      <c r="AN78" s="1689">
        <f t="shared" ca="1" si="27"/>
        <v>33.18756980589275</v>
      </c>
      <c r="AO78" s="1689">
        <f t="shared" ca="1" si="27"/>
        <v>30.588430111211245</v>
      </c>
      <c r="AP78" s="1689">
        <f t="shared" ca="1" si="27"/>
        <v>26.891471933281821</v>
      </c>
      <c r="AQ78" s="1689">
        <f t="shared" ca="1" si="27"/>
        <v>22.103732444885171</v>
      </c>
      <c r="AR78" s="1689">
        <f t="shared" ca="1" si="27"/>
        <v>16.901150824793444</v>
      </c>
      <c r="AS78" s="1689">
        <f t="shared" ca="1" si="27"/>
        <v>13.911935334055952</v>
      </c>
      <c r="AT78" s="1689">
        <f t="shared" ca="1" si="27"/>
        <v>12.714862026839473</v>
      </c>
      <c r="AU78" s="1689">
        <f t="shared" ca="1" si="27"/>
        <v>11.501332570970355</v>
      </c>
    </row>
    <row r="79" spans="2:48" x14ac:dyDescent="0.2">
      <c r="D79" s="2027" t="s">
        <v>1912</v>
      </c>
      <c r="F79" s="1689">
        <f t="shared" si="24"/>
        <v>0</v>
      </c>
      <c r="G79" s="1689">
        <f t="shared" si="24"/>
        <v>0</v>
      </c>
      <c r="H79" s="1689">
        <f t="shared" si="24"/>
        <v>0</v>
      </c>
      <c r="I79" s="1689">
        <f t="shared" si="24"/>
        <v>0</v>
      </c>
      <c r="J79" s="1689">
        <f t="shared" si="24"/>
        <v>0</v>
      </c>
      <c r="K79" s="1689">
        <f t="shared" si="24"/>
        <v>0</v>
      </c>
      <c r="L79" s="1689">
        <f t="shared" si="24"/>
        <v>0</v>
      </c>
      <c r="M79" s="1689">
        <f t="shared" si="24"/>
        <v>0</v>
      </c>
      <c r="N79" s="1689">
        <f t="shared" si="24"/>
        <v>0</v>
      </c>
      <c r="P79" s="1689">
        <f t="shared" si="25"/>
        <v>0</v>
      </c>
      <c r="Q79" s="1689">
        <f t="shared" si="25"/>
        <v>0</v>
      </c>
      <c r="R79" s="1689">
        <f t="shared" si="25"/>
        <v>0</v>
      </c>
      <c r="S79" s="1689">
        <f t="shared" si="25"/>
        <v>0</v>
      </c>
      <c r="T79" s="1689">
        <f t="shared" si="25"/>
        <v>0</v>
      </c>
      <c r="U79" s="1689">
        <f t="shared" si="25"/>
        <v>0</v>
      </c>
      <c r="V79" s="1689">
        <f t="shared" si="25"/>
        <v>0</v>
      </c>
      <c r="W79" s="1689">
        <f t="shared" si="25"/>
        <v>0</v>
      </c>
      <c r="X79" s="1689">
        <f t="shared" si="25"/>
        <v>0</v>
      </c>
      <c r="Y79" s="1689">
        <f t="shared" si="25"/>
        <v>0</v>
      </c>
      <c r="AA79" s="1689">
        <f t="shared" si="26"/>
        <v>0</v>
      </c>
      <c r="AB79" s="1689">
        <f t="shared" si="26"/>
        <v>0</v>
      </c>
      <c r="AC79" s="1689">
        <f t="shared" si="26"/>
        <v>0</v>
      </c>
      <c r="AD79" s="1689">
        <f t="shared" si="26"/>
        <v>0</v>
      </c>
      <c r="AE79" s="1689">
        <f t="shared" si="26"/>
        <v>0</v>
      </c>
      <c r="AF79" s="1689">
        <f t="shared" si="26"/>
        <v>0</v>
      </c>
      <c r="AG79" s="1689">
        <f t="shared" si="26"/>
        <v>0</v>
      </c>
      <c r="AH79" s="1689">
        <f t="shared" si="26"/>
        <v>0</v>
      </c>
      <c r="AI79" s="1689">
        <f t="shared" si="26"/>
        <v>0</v>
      </c>
      <c r="AJ79" s="1689">
        <f t="shared" si="26"/>
        <v>0</v>
      </c>
      <c r="AL79" s="1689">
        <f t="shared" si="27"/>
        <v>0</v>
      </c>
      <c r="AM79" s="1689">
        <f t="shared" si="27"/>
        <v>0</v>
      </c>
      <c r="AN79" s="1689">
        <f t="shared" si="27"/>
        <v>0</v>
      </c>
      <c r="AO79" s="1689">
        <f t="shared" si="27"/>
        <v>0</v>
      </c>
      <c r="AP79" s="1689">
        <f t="shared" si="27"/>
        <v>0</v>
      </c>
      <c r="AQ79" s="1689">
        <f t="shared" si="27"/>
        <v>0</v>
      </c>
      <c r="AR79" s="1689">
        <f t="shared" si="27"/>
        <v>0</v>
      </c>
      <c r="AS79" s="1689">
        <f t="shared" si="27"/>
        <v>0</v>
      </c>
      <c r="AT79" s="1689">
        <f t="shared" si="27"/>
        <v>0</v>
      </c>
      <c r="AU79" s="1689">
        <f t="shared" si="27"/>
        <v>0</v>
      </c>
    </row>
    <row r="80" spans="2:48" x14ac:dyDescent="0.2">
      <c r="D80" s="1686" t="s">
        <v>1812</v>
      </c>
      <c r="E80" s="2022">
        <v>1</v>
      </c>
      <c r="F80" s="1691">
        <f t="shared" ca="1" si="24"/>
        <v>7.6837437651246523</v>
      </c>
      <c r="G80" s="1691">
        <f t="shared" ca="1" si="24"/>
        <v>6.9553465692998371</v>
      </c>
      <c r="H80" s="1691">
        <f t="shared" ca="1" si="24"/>
        <v>4.3357089946724914</v>
      </c>
      <c r="I80" s="1691">
        <f t="shared" ca="1" si="24"/>
        <v>2.6472927499646461</v>
      </c>
      <c r="J80" s="1691">
        <f t="shared" ca="1" si="24"/>
        <v>4.0816600044343438</v>
      </c>
      <c r="K80" s="1691">
        <f t="shared" ca="1" si="24"/>
        <v>6.5257518120465727</v>
      </c>
      <c r="L80" s="1691">
        <f t="shared" ca="1" si="24"/>
        <v>9.270187539478286</v>
      </c>
      <c r="M80" s="1691">
        <f t="shared" ca="1" si="24"/>
        <v>12.004613912503796</v>
      </c>
      <c r="N80" s="1691">
        <f t="shared" ca="1" si="24"/>
        <v>14.738641170116026</v>
      </c>
      <c r="P80" s="1691">
        <f t="shared" ca="1" si="25"/>
        <v>0</v>
      </c>
      <c r="Q80" s="1691">
        <f t="shared" ca="1" si="25"/>
        <v>126.94615494251838</v>
      </c>
      <c r="R80" s="1691">
        <f t="shared" ca="1" si="25"/>
        <v>123.41237664466088</v>
      </c>
      <c r="S80" s="1691">
        <f t="shared" ca="1" si="25"/>
        <v>66.625223357110997</v>
      </c>
      <c r="T80" s="1691">
        <f t="shared" ca="1" si="25"/>
        <v>77.037851392757318</v>
      </c>
      <c r="U80" s="1691">
        <f t="shared" ca="1" si="25"/>
        <v>130.57632771452359</v>
      </c>
      <c r="V80" s="1691">
        <f t="shared" ca="1" si="25"/>
        <v>210.19698635999623</v>
      </c>
      <c r="W80" s="1691">
        <f t="shared" ca="1" si="25"/>
        <v>293.91761072928136</v>
      </c>
      <c r="X80" s="1691">
        <f t="shared" ca="1" si="25"/>
        <v>377.18759758168414</v>
      </c>
      <c r="Y80" s="1691">
        <f t="shared" ca="1" si="25"/>
        <v>460.44132492715681</v>
      </c>
      <c r="AA80" s="1691">
        <f t="shared" ca="1" si="26"/>
        <v>0</v>
      </c>
      <c r="AB80" s="1691">
        <f t="shared" ca="1" si="26"/>
        <v>58.759846941948275</v>
      </c>
      <c r="AC80" s="1691">
        <f t="shared" ca="1" si="26"/>
        <v>55.723962949681024</v>
      </c>
      <c r="AD80" s="1691">
        <f t="shared" ca="1" si="26"/>
        <v>17.4785961257652</v>
      </c>
      <c r="AE80" s="1691">
        <f t="shared" ca="1" si="26"/>
        <v>20.194899884324872</v>
      </c>
      <c r="AF80" s="1691">
        <f t="shared" ca="1" si="26"/>
        <v>56.651395792279779</v>
      </c>
      <c r="AG80" s="1691">
        <f t="shared" ca="1" si="26"/>
        <v>105.57169333704506</v>
      </c>
      <c r="AH80" s="1691">
        <f t="shared" ca="1" si="26"/>
        <v>155.36079241295033</v>
      </c>
      <c r="AI80" s="1691">
        <f t="shared" ca="1" si="26"/>
        <v>204.708217098501</v>
      </c>
      <c r="AJ80" s="1691">
        <f t="shared" ca="1" si="26"/>
        <v>254.05533991095604</v>
      </c>
      <c r="AL80" s="1691">
        <f t="shared" ca="1" si="27"/>
        <v>0</v>
      </c>
      <c r="AM80" s="1691">
        <f t="shared" ca="1" si="27"/>
        <v>0</v>
      </c>
      <c r="AN80" s="1691">
        <f t="shared" ca="1" si="27"/>
        <v>0</v>
      </c>
      <c r="AO80" s="1691">
        <f t="shared" ca="1" si="27"/>
        <v>0</v>
      </c>
      <c r="AP80" s="1691">
        <f t="shared" ca="1" si="27"/>
        <v>0</v>
      </c>
      <c r="AQ80" s="1691">
        <f t="shared" ca="1" si="27"/>
        <v>0</v>
      </c>
      <c r="AR80" s="1691">
        <f t="shared" ca="1" si="27"/>
        <v>0</v>
      </c>
      <c r="AS80" s="1691">
        <f t="shared" ca="1" si="27"/>
        <v>0</v>
      </c>
      <c r="AT80" s="1691">
        <f t="shared" ca="1" si="27"/>
        <v>0</v>
      </c>
      <c r="AU80" s="1691">
        <f t="shared" ca="1" si="27"/>
        <v>0</v>
      </c>
    </row>
    <row r="81" spans="2:48" x14ac:dyDescent="0.2">
      <c r="D81" s="1684" t="s">
        <v>1823</v>
      </c>
      <c r="E81" s="2022">
        <v>1</v>
      </c>
      <c r="F81" s="1689">
        <f t="shared" ca="1" si="24"/>
        <v>77.432432786704979</v>
      </c>
      <c r="G81" s="1689">
        <f t="shared" ca="1" si="24"/>
        <v>29.354046973881012</v>
      </c>
      <c r="H81" s="1689">
        <f t="shared" ca="1" si="24"/>
        <v>30.574841534905243</v>
      </c>
      <c r="I81" s="1689">
        <f t="shared" ca="1" si="24"/>
        <v>30.915573942242489</v>
      </c>
      <c r="J81" s="1689">
        <f t="shared" ca="1" si="24"/>
        <v>30.781799834671123</v>
      </c>
      <c r="K81" s="1689">
        <f t="shared" ca="1" si="24"/>
        <v>30.418214063848861</v>
      </c>
      <c r="L81" s="1689">
        <f t="shared" ca="1" si="24"/>
        <v>30.159281685158895</v>
      </c>
      <c r="M81" s="1689">
        <f t="shared" ca="1" si="24"/>
        <v>30.050164121521568</v>
      </c>
      <c r="N81" s="1689">
        <f t="shared" ca="1" si="24"/>
        <v>33.229475209577927</v>
      </c>
      <c r="P81" s="1689">
        <f t="shared" ca="1" si="25"/>
        <v>0</v>
      </c>
      <c r="Q81" s="1689">
        <f t="shared" ca="1" si="25"/>
        <v>250.10126774079319</v>
      </c>
      <c r="R81" s="1689">
        <f t="shared" ca="1" si="25"/>
        <v>187.99622619442144</v>
      </c>
      <c r="S81" s="1689">
        <f t="shared" ca="1" si="25"/>
        <v>170.61258027167747</v>
      </c>
      <c r="T81" s="1689">
        <f t="shared" ca="1" si="25"/>
        <v>152.14806234493253</v>
      </c>
      <c r="U81" s="1689">
        <f t="shared" ca="1" si="25"/>
        <v>134.22190235406751</v>
      </c>
      <c r="V81" s="1689">
        <f t="shared" ca="1" si="25"/>
        <v>119.53434846766054</v>
      </c>
      <c r="W81" s="1689">
        <f t="shared" ca="1" si="25"/>
        <v>105.29968154505363</v>
      </c>
      <c r="X81" s="1689">
        <f t="shared" ca="1" si="25"/>
        <v>91.670055275380037</v>
      </c>
      <c r="Y81" s="1689">
        <f t="shared" ca="1" si="25"/>
        <v>78.140684561054627</v>
      </c>
      <c r="AA81" s="1689">
        <f t="shared" ca="1" si="26"/>
        <v>0</v>
      </c>
      <c r="AB81" s="1689">
        <f t="shared" ca="1" si="26"/>
        <v>312.87524363891566</v>
      </c>
      <c r="AC81" s="1689">
        <f t="shared" ca="1" si="26"/>
        <v>20.037892614620585</v>
      </c>
      <c r="AD81" s="1689">
        <f t="shared" ca="1" si="26"/>
        <v>21.471365933821531</v>
      </c>
      <c r="AE81" s="1689">
        <f t="shared" ca="1" si="26"/>
        <v>24.015341312736112</v>
      </c>
      <c r="AF81" s="1689">
        <f t="shared" ca="1" si="26"/>
        <v>26.12568955745736</v>
      </c>
      <c r="AG81" s="1689">
        <f t="shared" ca="1" si="26"/>
        <v>27.354149836192814</v>
      </c>
      <c r="AH81" s="1689">
        <f t="shared" ca="1" si="26"/>
        <v>28.72454111211615</v>
      </c>
      <c r="AI81" s="1689">
        <f t="shared" ca="1" si="26"/>
        <v>30.769926991830676</v>
      </c>
      <c r="AJ81" s="1689">
        <f t="shared" ca="1" si="26"/>
        <v>32.287474897079406</v>
      </c>
      <c r="AL81" s="1689">
        <f t="shared" ca="1" si="27"/>
        <v>0</v>
      </c>
      <c r="AM81" s="1689">
        <f t="shared" ca="1" si="27"/>
        <v>132.82625746417068</v>
      </c>
      <c r="AN81" s="1689">
        <f t="shared" ca="1" si="27"/>
        <v>351.1649777483143</v>
      </c>
      <c r="AO81" s="1689">
        <f t="shared" ca="1" si="27"/>
        <v>338.81231117581171</v>
      </c>
      <c r="AP81" s="1689">
        <f t="shared" ca="1" si="27"/>
        <v>321.09872248177987</v>
      </c>
      <c r="AQ81" s="1689">
        <f t="shared" ca="1" si="27"/>
        <v>303.03140923637841</v>
      </c>
      <c r="AR81" s="1689">
        <f t="shared" ca="1" si="27"/>
        <v>338.5530499231163</v>
      </c>
      <c r="AS81" s="1689">
        <f t="shared" ca="1" si="27"/>
        <v>362.02841171128358</v>
      </c>
      <c r="AT81" s="1689">
        <f t="shared" ca="1" si="27"/>
        <v>382.87442653654574</v>
      </c>
      <c r="AU81" s="1689">
        <f t="shared" ca="1" si="27"/>
        <v>460.63383534023831</v>
      </c>
    </row>
    <row r="82" spans="2:48" x14ac:dyDescent="0.2">
      <c r="D82" s="1686" t="s">
        <v>32</v>
      </c>
      <c r="F82" s="1691">
        <f t="shared" ca="1" si="24"/>
        <v>0.26920337361597302</v>
      </c>
      <c r="G82" s="1691">
        <f t="shared" ca="1" si="24"/>
        <v>0.28817108559387916</v>
      </c>
      <c r="H82" s="1691">
        <f t="shared" ca="1" si="24"/>
        <v>0.29382697112223538</v>
      </c>
      <c r="I82" s="1691">
        <f t="shared" ca="1" si="24"/>
        <v>0.3108666932214364</v>
      </c>
      <c r="J82" s="1691">
        <f t="shared" ca="1" si="24"/>
        <v>0.29936235487446783</v>
      </c>
      <c r="K82" s="1691">
        <f t="shared" ca="1" si="24"/>
        <v>0.28269699828537309</v>
      </c>
      <c r="L82" s="1691">
        <f t="shared" ca="1" si="24"/>
        <v>0.23726257036176096</v>
      </c>
      <c r="M82" s="1691">
        <f t="shared" ca="1" si="24"/>
        <v>0.1900941049360037</v>
      </c>
      <c r="N82" s="1691">
        <f t="shared" ca="1" si="24"/>
        <v>0.14053280101142143</v>
      </c>
      <c r="P82" s="1691">
        <f t="shared" ca="1" si="25"/>
        <v>0</v>
      </c>
      <c r="Q82" s="1691">
        <f t="shared" ca="1" si="25"/>
        <v>5.5188316308650966</v>
      </c>
      <c r="R82" s="1691">
        <f t="shared" ca="1" si="25"/>
        <v>7.4238163407972735</v>
      </c>
      <c r="S82" s="1691">
        <f t="shared" ca="1" si="25"/>
        <v>9.9708800412995249</v>
      </c>
      <c r="T82" s="1691">
        <f t="shared" ca="1" si="25"/>
        <v>12.534365166793776</v>
      </c>
      <c r="U82" s="1691">
        <f t="shared" ca="1" si="25"/>
        <v>14.606005545446406</v>
      </c>
      <c r="V82" s="1691">
        <f t="shared" ca="1" si="25"/>
        <v>16.984357587787901</v>
      </c>
      <c r="W82" s="1691">
        <f t="shared" ca="1" si="25"/>
        <v>17.65983948572698</v>
      </c>
      <c r="X82" s="1691">
        <f t="shared" ca="1" si="25"/>
        <v>17.034160611709439</v>
      </c>
      <c r="Y82" s="1691">
        <f t="shared" ca="1" si="25"/>
        <v>14.724954765459225</v>
      </c>
      <c r="AA82" s="1691">
        <f t="shared" ca="1" si="26"/>
        <v>0</v>
      </c>
      <c r="AB82" s="1691">
        <f t="shared" ca="1" si="26"/>
        <v>0</v>
      </c>
      <c r="AC82" s="1691">
        <f t="shared" ca="1" si="26"/>
        <v>0</v>
      </c>
      <c r="AD82" s="1691">
        <f t="shared" ca="1" si="26"/>
        <v>0</v>
      </c>
      <c r="AE82" s="1691">
        <f t="shared" ca="1" si="26"/>
        <v>0</v>
      </c>
      <c r="AF82" s="1691">
        <f t="shared" ca="1" si="26"/>
        <v>0</v>
      </c>
      <c r="AG82" s="1691">
        <f t="shared" ca="1" si="26"/>
        <v>0</v>
      </c>
      <c r="AH82" s="1691">
        <f t="shared" ca="1" si="26"/>
        <v>0</v>
      </c>
      <c r="AI82" s="1691">
        <f t="shared" ca="1" si="26"/>
        <v>0</v>
      </c>
      <c r="AJ82" s="1691">
        <f t="shared" ca="1" si="26"/>
        <v>0</v>
      </c>
      <c r="AL82" s="1691">
        <f t="shared" ca="1" si="27"/>
        <v>0</v>
      </c>
      <c r="AM82" s="1691">
        <f t="shared" ca="1" si="27"/>
        <v>1.3000679556883132</v>
      </c>
      <c r="AN82" s="1691">
        <f t="shared" ca="1" si="27"/>
        <v>1.5841453746786118</v>
      </c>
      <c r="AO82" s="1691">
        <f t="shared" ca="1" si="27"/>
        <v>1.9200942404665069</v>
      </c>
      <c r="AP82" s="1691">
        <f t="shared" ca="1" si="27"/>
        <v>2.2834764902040878</v>
      </c>
      <c r="AQ82" s="1691">
        <f t="shared" ca="1" si="27"/>
        <v>2.5208583584151691</v>
      </c>
      <c r="AR82" s="1691">
        <f t="shared" ca="1" si="27"/>
        <v>2.7856857206141648</v>
      </c>
      <c r="AS82" s="1691">
        <f t="shared" ca="1" si="27"/>
        <v>2.7702695946704843</v>
      </c>
      <c r="AT82" s="1691">
        <f t="shared" ca="1" si="27"/>
        <v>2.5858073136590889</v>
      </c>
      <c r="AU82" s="1691">
        <f t="shared" ca="1" si="27"/>
        <v>2.1822897647380386</v>
      </c>
    </row>
    <row r="83" spans="2:48" x14ac:dyDescent="0.2">
      <c r="D83" s="1684" t="s">
        <v>1824</v>
      </c>
      <c r="F83" s="1689">
        <f t="shared" ca="1" si="24"/>
        <v>212.74735443079092</v>
      </c>
      <c r="G83" s="1689">
        <f t="shared" ca="1" si="24"/>
        <v>1.1991882552980266</v>
      </c>
      <c r="H83" s="1689">
        <f t="shared" ca="1" si="24"/>
        <v>1.218068370565514</v>
      </c>
      <c r="I83" s="1689">
        <f t="shared" ca="1" si="24"/>
        <v>1.3188915202475757</v>
      </c>
      <c r="J83" s="1689">
        <f t="shared" ca="1" si="24"/>
        <v>1.4720944081869587</v>
      </c>
      <c r="K83" s="1689">
        <f t="shared" ca="1" si="24"/>
        <v>1.7154368726988383</v>
      </c>
      <c r="L83" s="1689">
        <f t="shared" ca="1" si="24"/>
        <v>2.0383599582277685</v>
      </c>
      <c r="M83" s="1689">
        <f t="shared" ca="1" si="24"/>
        <v>2.4607599862738838</v>
      </c>
      <c r="N83" s="1689">
        <f t="shared" ca="1" si="24"/>
        <v>3.0088113617806473</v>
      </c>
      <c r="P83" s="1689">
        <f t="shared" ca="1" si="25"/>
        <v>0</v>
      </c>
      <c r="Q83" s="1689">
        <f t="shared" ca="1" si="25"/>
        <v>10276.301697371597</v>
      </c>
      <c r="R83" s="1689">
        <f t="shared" ca="1" si="25"/>
        <v>12.200106864031133</v>
      </c>
      <c r="S83" s="1689">
        <f t="shared" ca="1" si="25"/>
        <v>9.2183098541893678</v>
      </c>
      <c r="T83" s="1689">
        <f t="shared" ca="1" si="25"/>
        <v>7.3225068267594153</v>
      </c>
      <c r="U83" s="1689">
        <f t="shared" ca="1" si="25"/>
        <v>5.6503594580650445</v>
      </c>
      <c r="V83" s="1689">
        <f t="shared" ca="1" si="25"/>
        <v>4.776638418549088</v>
      </c>
      <c r="W83" s="1689">
        <f t="shared" ca="1" si="25"/>
        <v>4.0301800356963327</v>
      </c>
      <c r="X83" s="1689">
        <f t="shared" ca="1" si="25"/>
        <v>3.4226963893357705</v>
      </c>
      <c r="Y83" s="1689">
        <f t="shared" ca="1" si="25"/>
        <v>2.9649105321110731</v>
      </c>
      <c r="AA83" s="1689">
        <f t="shared" ca="1" si="26"/>
        <v>0</v>
      </c>
      <c r="AB83" s="1689">
        <f t="shared" ca="1" si="26"/>
        <v>23.027279033684213</v>
      </c>
      <c r="AC83" s="1689">
        <f t="shared" ca="1" si="26"/>
        <v>2.9268046900357647</v>
      </c>
      <c r="AD83" s="1689">
        <f t="shared" ca="1" si="26"/>
        <v>3.054619224284282</v>
      </c>
      <c r="AE83" s="1689">
        <f t="shared" ca="1" si="26"/>
        <v>3.1998893262097363</v>
      </c>
      <c r="AF83" s="1689">
        <f t="shared" ca="1" si="26"/>
        <v>3.3745896877549786</v>
      </c>
      <c r="AG83" s="1689">
        <f t="shared" ca="1" si="26"/>
        <v>3.5734719954572776</v>
      </c>
      <c r="AH83" s="1689">
        <f t="shared" ca="1" si="26"/>
        <v>3.7929106404208168</v>
      </c>
      <c r="AI83" s="1689">
        <f t="shared" ca="1" si="26"/>
        <v>4.0380315668955173</v>
      </c>
      <c r="AJ83" s="1689">
        <f t="shared" ca="1" si="26"/>
        <v>4.3093285209383936</v>
      </c>
      <c r="AL83" s="1689">
        <f t="shared" ca="1" si="27"/>
        <v>0</v>
      </c>
      <c r="AM83" s="1689">
        <f t="shared" ca="1" si="27"/>
        <v>9.6927177922897343</v>
      </c>
      <c r="AN83" s="1689">
        <f t="shared" ca="1" si="27"/>
        <v>8.0030091288654841</v>
      </c>
      <c r="AO83" s="1689">
        <f t="shared" ca="1" si="27"/>
        <v>6.2878976589868429</v>
      </c>
      <c r="AP83" s="1689">
        <f t="shared" ca="1" si="27"/>
        <v>4.7419146180788747</v>
      </c>
      <c r="AQ83" s="1689">
        <f t="shared" ca="1" si="27"/>
        <v>3.357442005257206</v>
      </c>
      <c r="AR83" s="1689">
        <f t="shared" ca="1" si="27"/>
        <v>2.6126035641499379</v>
      </c>
      <c r="AS83" s="1689">
        <f t="shared" ca="1" si="27"/>
        <v>1.9507365103944101</v>
      </c>
      <c r="AT83" s="1689">
        <f t="shared" ca="1" si="27"/>
        <v>1.3719753832179524</v>
      </c>
      <c r="AU83" s="1689">
        <f t="shared" ca="1" si="27"/>
        <v>0.87673038013736126</v>
      </c>
    </row>
    <row r="84" spans="2:48" x14ac:dyDescent="0.2">
      <c r="D84" s="1734" t="s">
        <v>105</v>
      </c>
      <c r="E84" s="1427"/>
      <c r="F84" s="1735">
        <f t="shared" ref="F84:N84" ca="1" si="28">SUM(F78:F83)</f>
        <v>309.09590202788797</v>
      </c>
      <c r="G84" s="1735">
        <f t="shared" ca="1" si="28"/>
        <v>49.515473739931593</v>
      </c>
      <c r="H84" s="1735">
        <f t="shared" ca="1" si="28"/>
        <v>46.722247186950817</v>
      </c>
      <c r="I84" s="1735">
        <f t="shared" ca="1" si="28"/>
        <v>43.896822579829504</v>
      </c>
      <c r="J84" s="1735">
        <f t="shared" ca="1" si="28"/>
        <v>43.596344820139102</v>
      </c>
      <c r="K84" s="1735">
        <f t="shared" ca="1" si="28"/>
        <v>44.428100559953641</v>
      </c>
      <c r="L84" s="1735">
        <f t="shared" ca="1" si="28"/>
        <v>45.96696441334003</v>
      </c>
      <c r="M84" s="1735">
        <f t="shared" ca="1" si="28"/>
        <v>48.721413422961923</v>
      </c>
      <c r="N84" s="1735">
        <f t="shared" ca="1" si="28"/>
        <v>55.069159318481532</v>
      </c>
      <c r="P84" s="1735">
        <f t="shared" ref="P84:Y84" ca="1" si="29">P71</f>
        <v>0</v>
      </c>
      <c r="Q84" s="1735">
        <f t="shared" ca="1" si="29"/>
        <v>10995.099960810518</v>
      </c>
      <c r="R84" s="1735">
        <f t="shared" ca="1" si="29"/>
        <v>704.73996106078391</v>
      </c>
      <c r="S84" s="1735">
        <f t="shared" ca="1" si="29"/>
        <v>572.71112628176081</v>
      </c>
      <c r="T84" s="1735">
        <f t="shared" ca="1" si="29"/>
        <v>509.4687616266159</v>
      </c>
      <c r="U84" s="1735">
        <f t="shared" ca="1" si="29"/>
        <v>491.90258509852947</v>
      </c>
      <c r="V84" s="1735">
        <f t="shared" ca="1" si="29"/>
        <v>505.04405057827853</v>
      </c>
      <c r="W84" s="1735">
        <f t="shared" ca="1" si="29"/>
        <v>546.02776013227378</v>
      </c>
      <c r="X84" s="1735">
        <f t="shared" ca="1" si="29"/>
        <v>601.88089613248212</v>
      </c>
      <c r="Y84" s="1735">
        <f t="shared" ca="1" si="29"/>
        <v>656.33216786287608</v>
      </c>
      <c r="AA84" s="1735">
        <f t="shared" ref="AA84:AJ84" ca="1" si="30">AA71</f>
        <v>0</v>
      </c>
      <c r="AB84" s="1735">
        <f t="shared" ca="1" si="30"/>
        <v>397.00722828344925</v>
      </c>
      <c r="AC84" s="1735">
        <f t="shared" ca="1" si="30"/>
        <v>78.863814447121399</v>
      </c>
      <c r="AD84" s="1735">
        <f t="shared" ca="1" si="30"/>
        <v>42.180276106848474</v>
      </c>
      <c r="AE84" s="1735">
        <f t="shared" ca="1" si="30"/>
        <v>47.580750801607564</v>
      </c>
      <c r="AF84" s="1735">
        <f t="shared" ca="1" si="30"/>
        <v>86.314213330042293</v>
      </c>
      <c r="AG84" s="1735">
        <f t="shared" ca="1" si="30"/>
        <v>136.66213767005618</v>
      </c>
      <c r="AH84" s="1735">
        <f t="shared" ca="1" si="30"/>
        <v>188.03696329712886</v>
      </c>
      <c r="AI84" s="1735">
        <f t="shared" ca="1" si="30"/>
        <v>239.66975200764176</v>
      </c>
      <c r="AJ84" s="1735">
        <f t="shared" ca="1" si="30"/>
        <v>290.79916816958615</v>
      </c>
      <c r="AL84" s="1735">
        <f t="shared" ref="AL84:AU84" ca="1" si="31">AL71</f>
        <v>0</v>
      </c>
      <c r="AM84" s="1735">
        <f t="shared" ca="1" si="31"/>
        <v>173.81216190203503</v>
      </c>
      <c r="AN84" s="1735">
        <f t="shared" ca="1" si="31"/>
        <v>393.93970205775122</v>
      </c>
      <c r="AO84" s="1735">
        <f t="shared" ca="1" si="31"/>
        <v>377.60873318647634</v>
      </c>
      <c r="AP84" s="1735">
        <f t="shared" ca="1" si="31"/>
        <v>355.01558552334473</v>
      </c>
      <c r="AQ84" s="1735">
        <f t="shared" ca="1" si="31"/>
        <v>331.01344204493597</v>
      </c>
      <c r="AR84" s="1735">
        <f t="shared" ca="1" si="31"/>
        <v>360.85249003267381</v>
      </c>
      <c r="AS84" s="1735">
        <f t="shared" ca="1" si="31"/>
        <v>380.66135315040441</v>
      </c>
      <c r="AT84" s="1735">
        <f t="shared" ca="1" si="31"/>
        <v>399.54707126026227</v>
      </c>
      <c r="AU84" s="1735">
        <f t="shared" ca="1" si="31"/>
        <v>475.19418805608404</v>
      </c>
    </row>
    <row r="86" spans="2:48" x14ac:dyDescent="0.2">
      <c r="B86" s="1427" t="s">
        <v>1842</v>
      </c>
      <c r="F86" s="1427" t="s">
        <v>1787</v>
      </c>
      <c r="G86" s="1427" t="s">
        <v>1791</v>
      </c>
      <c r="O86" s="172" t="s">
        <v>1841</v>
      </c>
      <c r="Q86" s="1427" t="s">
        <v>1794</v>
      </c>
      <c r="R86" s="1427" t="s">
        <v>1788</v>
      </c>
      <c r="Z86" s="172" t="s">
        <v>1841</v>
      </c>
      <c r="AB86" s="1427" t="s">
        <v>1795</v>
      </c>
      <c r="AC86" s="1427" t="s">
        <v>1789</v>
      </c>
      <c r="AK86" s="172" t="s">
        <v>1841</v>
      </c>
      <c r="AM86" s="1427" t="s">
        <v>1792</v>
      </c>
      <c r="AN86" s="1427" t="s">
        <v>1790</v>
      </c>
      <c r="AV86" s="172" t="s">
        <v>1841</v>
      </c>
    </row>
    <row r="87" spans="2:48" ht="13.5" thickBot="1" x14ac:dyDescent="0.25">
      <c r="D87" s="1682" t="s">
        <v>67</v>
      </c>
      <c r="F87" s="1681">
        <v>2010</v>
      </c>
      <c r="G87" s="1681">
        <v>2015</v>
      </c>
      <c r="H87" s="1681">
        <v>2020</v>
      </c>
      <c r="I87" s="1681">
        <v>2025</v>
      </c>
      <c r="J87" s="1681">
        <v>2030</v>
      </c>
      <c r="K87" s="1681">
        <v>2035</v>
      </c>
      <c r="L87" s="1681">
        <v>2040</v>
      </c>
      <c r="M87" s="1681">
        <v>2045</v>
      </c>
      <c r="N87" s="1681">
        <v>2050</v>
      </c>
      <c r="P87" s="1681">
        <v>2007</v>
      </c>
      <c r="Q87" s="1681">
        <v>2010</v>
      </c>
      <c r="R87" s="1681">
        <v>2015</v>
      </c>
      <c r="S87" s="1681">
        <v>2020</v>
      </c>
      <c r="T87" s="1681">
        <v>2025</v>
      </c>
      <c r="U87" s="1681">
        <v>2030</v>
      </c>
      <c r="V87" s="1681">
        <v>2035</v>
      </c>
      <c r="W87" s="1681">
        <v>2040</v>
      </c>
      <c r="X87" s="1681">
        <v>2045</v>
      </c>
      <c r="Y87" s="1681">
        <v>2050</v>
      </c>
      <c r="AA87" s="1681">
        <v>2007</v>
      </c>
      <c r="AB87" s="1681">
        <v>2010</v>
      </c>
      <c r="AC87" s="1681">
        <v>2015</v>
      </c>
      <c r="AD87" s="1681">
        <v>2020</v>
      </c>
      <c r="AE87" s="1681">
        <v>2025</v>
      </c>
      <c r="AF87" s="1681">
        <v>2030</v>
      </c>
      <c r="AG87" s="1681">
        <v>2035</v>
      </c>
      <c r="AH87" s="1681">
        <v>2040</v>
      </c>
      <c r="AI87" s="1681">
        <v>2045</v>
      </c>
      <c r="AJ87" s="1681">
        <v>2050</v>
      </c>
      <c r="AL87" s="1681">
        <v>2007</v>
      </c>
      <c r="AM87" s="1681">
        <v>2010</v>
      </c>
      <c r="AN87" s="1681">
        <v>2015</v>
      </c>
      <c r="AO87" s="1681">
        <v>2020</v>
      </c>
      <c r="AP87" s="1681">
        <v>2025</v>
      </c>
      <c r="AQ87" s="1681">
        <v>2030</v>
      </c>
      <c r="AR87" s="1681">
        <v>2035</v>
      </c>
      <c r="AS87" s="1681">
        <v>2040</v>
      </c>
      <c r="AT87" s="1681">
        <v>2045</v>
      </c>
      <c r="AU87" s="1681">
        <v>2050</v>
      </c>
    </row>
    <row r="88" spans="2:48" ht="13.5" thickTop="1" x14ac:dyDescent="0.2">
      <c r="D88" s="1684" t="s">
        <v>125</v>
      </c>
      <c r="F88" s="2028">
        <v>2.1</v>
      </c>
      <c r="G88" s="2028">
        <v>2.1</v>
      </c>
      <c r="H88" s="2028">
        <v>2.1</v>
      </c>
      <c r="I88" s="2028">
        <v>2.1</v>
      </c>
      <c r="J88" s="2028">
        <v>2.1</v>
      </c>
      <c r="K88" s="2028">
        <v>2.1</v>
      </c>
      <c r="L88" s="2028">
        <v>2.1</v>
      </c>
      <c r="M88" s="2028">
        <v>2.1</v>
      </c>
      <c r="N88" s="2028">
        <v>2.1</v>
      </c>
      <c r="O88" s="1330"/>
      <c r="P88" s="2028">
        <v>0.04</v>
      </c>
      <c r="Q88" s="2028">
        <v>0.04</v>
      </c>
      <c r="R88" s="2028">
        <v>0.04</v>
      </c>
      <c r="S88" s="2028">
        <v>0.04</v>
      </c>
      <c r="T88" s="2028">
        <v>0.04</v>
      </c>
      <c r="U88" s="2028">
        <v>0.04</v>
      </c>
      <c r="V88" s="2028">
        <v>0.04</v>
      </c>
      <c r="W88" s="2028">
        <v>0.04</v>
      </c>
      <c r="X88" s="2028">
        <v>0.04</v>
      </c>
      <c r="Y88" s="2028">
        <v>0.04</v>
      </c>
      <c r="Z88" s="1330"/>
      <c r="AA88" s="2028">
        <v>0.06</v>
      </c>
      <c r="AB88" s="2028">
        <v>0.06</v>
      </c>
      <c r="AC88" s="2028">
        <v>0.06</v>
      </c>
      <c r="AD88" s="2028">
        <v>0.06</v>
      </c>
      <c r="AE88" s="2028">
        <v>0.06</v>
      </c>
      <c r="AF88" s="2028">
        <v>0.06</v>
      </c>
      <c r="AG88" s="2028">
        <v>0.06</v>
      </c>
      <c r="AH88" s="2028">
        <v>0.06</v>
      </c>
      <c r="AI88" s="2028">
        <v>0.06</v>
      </c>
      <c r="AJ88" s="2028">
        <v>0.06</v>
      </c>
      <c r="AK88" s="1330"/>
      <c r="AL88" s="2028">
        <v>0</v>
      </c>
      <c r="AM88" s="2028">
        <v>0</v>
      </c>
      <c r="AN88" s="2028">
        <v>0</v>
      </c>
      <c r="AO88" s="2028">
        <v>0</v>
      </c>
      <c r="AP88" s="2028">
        <v>0</v>
      </c>
      <c r="AQ88" s="2028">
        <v>0</v>
      </c>
      <c r="AR88" s="2028">
        <v>0</v>
      </c>
      <c r="AS88" s="2028">
        <v>0</v>
      </c>
      <c r="AT88" s="2028">
        <v>0</v>
      </c>
      <c r="AU88" s="2028">
        <v>0</v>
      </c>
    </row>
    <row r="89" spans="2:48" x14ac:dyDescent="0.2">
      <c r="D89" s="2027" t="s">
        <v>1912</v>
      </c>
      <c r="F89" s="2028">
        <v>2.1</v>
      </c>
      <c r="G89" s="2028">
        <v>2.1</v>
      </c>
      <c r="H89" s="2028">
        <v>2.1</v>
      </c>
      <c r="I89" s="2028">
        <v>2.1</v>
      </c>
      <c r="J89" s="2028">
        <v>2.1</v>
      </c>
      <c r="K89" s="2028">
        <v>2.1</v>
      </c>
      <c r="L89" s="2028">
        <v>2.1</v>
      </c>
      <c r="M89" s="2028">
        <v>2.1</v>
      </c>
      <c r="N89" s="2028">
        <v>2.1</v>
      </c>
      <c r="O89" s="1330"/>
      <c r="P89" s="2028">
        <v>0.04</v>
      </c>
      <c r="Q89" s="2028">
        <v>0.04</v>
      </c>
      <c r="R89" s="2028">
        <v>0.04</v>
      </c>
      <c r="S89" s="2028">
        <v>0.04</v>
      </c>
      <c r="T89" s="2028">
        <v>0.04</v>
      </c>
      <c r="U89" s="2028">
        <v>0.04</v>
      </c>
      <c r="V89" s="2028">
        <v>0.04</v>
      </c>
      <c r="W89" s="2028">
        <v>0.04</v>
      </c>
      <c r="X89" s="2028">
        <v>0.04</v>
      </c>
      <c r="Y89" s="2028">
        <v>0.04</v>
      </c>
      <c r="Z89" s="1330"/>
      <c r="AA89" s="2028">
        <v>0.06</v>
      </c>
      <c r="AB89" s="2028">
        <v>0.06</v>
      </c>
      <c r="AC89" s="2028">
        <v>0.06</v>
      </c>
      <c r="AD89" s="2028">
        <v>0.06</v>
      </c>
      <c r="AE89" s="2028">
        <v>0.06</v>
      </c>
      <c r="AF89" s="2028">
        <v>0.06</v>
      </c>
      <c r="AG89" s="2028">
        <v>0.06</v>
      </c>
      <c r="AH89" s="2028">
        <v>0.06</v>
      </c>
      <c r="AI89" s="2028">
        <v>0.06</v>
      </c>
      <c r="AJ89" s="2028">
        <v>0.06</v>
      </c>
      <c r="AK89" s="1330"/>
      <c r="AL89" s="2028">
        <v>0</v>
      </c>
      <c r="AM89" s="2028">
        <v>0</v>
      </c>
      <c r="AN89" s="2028">
        <v>0</v>
      </c>
      <c r="AO89" s="2028">
        <v>0</v>
      </c>
      <c r="AP89" s="2028">
        <v>0</v>
      </c>
      <c r="AQ89" s="2028">
        <v>0</v>
      </c>
      <c r="AR89" s="2028">
        <v>0</v>
      </c>
      <c r="AS89" s="2028">
        <v>0</v>
      </c>
      <c r="AT89" s="2028">
        <v>0</v>
      </c>
      <c r="AU89" s="2028">
        <v>0</v>
      </c>
    </row>
    <row r="90" spans="2:48" x14ac:dyDescent="0.2">
      <c r="D90" s="1686" t="s">
        <v>1812</v>
      </c>
      <c r="F90" s="2029">
        <v>0.10498580633533096</v>
      </c>
      <c r="G90" s="2029">
        <v>0.10498580633533096</v>
      </c>
      <c r="H90" s="2029">
        <v>0.10498580633533096</v>
      </c>
      <c r="I90" s="2029">
        <v>0.10498580633533096</v>
      </c>
      <c r="J90" s="2029">
        <v>0.10498580633533096</v>
      </c>
      <c r="K90" s="2029">
        <v>0.10498580633533096</v>
      </c>
      <c r="L90" s="2029">
        <v>0.10498580633533096</v>
      </c>
      <c r="M90" s="2029">
        <v>0.10498580633533096</v>
      </c>
      <c r="N90" s="2029">
        <v>0.10498580633533096</v>
      </c>
      <c r="O90" s="1330"/>
      <c r="P90" s="2029">
        <v>0.04</v>
      </c>
      <c r="Q90" s="2029">
        <v>0.04</v>
      </c>
      <c r="R90" s="2029">
        <v>0.04</v>
      </c>
      <c r="S90" s="2029">
        <v>0.04</v>
      </c>
      <c r="T90" s="2029">
        <v>0.04</v>
      </c>
      <c r="U90" s="2029">
        <v>0.04</v>
      </c>
      <c r="V90" s="2029">
        <v>0.04</v>
      </c>
      <c r="W90" s="2029">
        <v>0.04</v>
      </c>
      <c r="X90" s="2029">
        <v>0.04</v>
      </c>
      <c r="Y90" s="2029">
        <v>0.04</v>
      </c>
      <c r="Z90" s="1330"/>
      <c r="AA90" s="2029">
        <v>0.06</v>
      </c>
      <c r="AB90" s="2029">
        <v>0.06</v>
      </c>
      <c r="AC90" s="2029">
        <v>0.06</v>
      </c>
      <c r="AD90" s="2029">
        <v>0.06</v>
      </c>
      <c r="AE90" s="2029">
        <v>0.06</v>
      </c>
      <c r="AF90" s="2029">
        <v>0.06</v>
      </c>
      <c r="AG90" s="2029">
        <v>0.06</v>
      </c>
      <c r="AH90" s="2029">
        <v>0.06</v>
      </c>
      <c r="AI90" s="2029">
        <v>0.06</v>
      </c>
      <c r="AJ90" s="2029">
        <v>0.06</v>
      </c>
      <c r="AK90" s="1330"/>
      <c r="AL90" s="2029">
        <v>0</v>
      </c>
      <c r="AM90" s="2029">
        <v>0</v>
      </c>
      <c r="AN90" s="2029">
        <v>0</v>
      </c>
      <c r="AO90" s="2029">
        <v>0</v>
      </c>
      <c r="AP90" s="2029">
        <v>0</v>
      </c>
      <c r="AQ90" s="2029">
        <v>0</v>
      </c>
      <c r="AR90" s="2029">
        <v>0</v>
      </c>
      <c r="AS90" s="2029">
        <v>0</v>
      </c>
      <c r="AT90" s="2029">
        <v>0</v>
      </c>
      <c r="AU90" s="2029">
        <v>0</v>
      </c>
    </row>
    <row r="91" spans="2:48" x14ac:dyDescent="0.2">
      <c r="D91" s="1684" t="s">
        <v>1823</v>
      </c>
      <c r="F91" s="2028">
        <v>1.0920132474203579</v>
      </c>
      <c r="G91" s="2028">
        <v>1.0920132474203579</v>
      </c>
      <c r="H91" s="2028">
        <v>1.0920132474203579</v>
      </c>
      <c r="I91" s="2028">
        <v>1.0920132474203579</v>
      </c>
      <c r="J91" s="2028">
        <v>1.0920132474203579</v>
      </c>
      <c r="K91" s="2028">
        <v>1.0920132474203579</v>
      </c>
      <c r="L91" s="2028">
        <v>1.0920132474203579</v>
      </c>
      <c r="M91" s="2028">
        <v>1.0920132474203579</v>
      </c>
      <c r="N91" s="2028">
        <v>1.0920132474203579</v>
      </c>
      <c r="O91" s="1330"/>
      <c r="P91" s="2028">
        <v>0.04</v>
      </c>
      <c r="Q91" s="2028">
        <v>0.04</v>
      </c>
      <c r="R91" s="2028">
        <v>0.04</v>
      </c>
      <c r="S91" s="2028">
        <v>0.04</v>
      </c>
      <c r="T91" s="2028">
        <v>0.04</v>
      </c>
      <c r="U91" s="2028">
        <v>0.04</v>
      </c>
      <c r="V91" s="2028">
        <v>0.04</v>
      </c>
      <c r="W91" s="2028">
        <v>0.04</v>
      </c>
      <c r="X91" s="2028">
        <v>0.04</v>
      </c>
      <c r="Y91" s="2028">
        <v>0.04</v>
      </c>
      <c r="Z91" s="1330"/>
      <c r="AA91" s="2028">
        <v>0.06</v>
      </c>
      <c r="AB91" s="2028">
        <v>0.06</v>
      </c>
      <c r="AC91" s="2028">
        <v>0.06</v>
      </c>
      <c r="AD91" s="2028">
        <v>0.06</v>
      </c>
      <c r="AE91" s="2028">
        <v>0.06</v>
      </c>
      <c r="AF91" s="2028">
        <v>0.06</v>
      </c>
      <c r="AG91" s="2028">
        <v>0.06</v>
      </c>
      <c r="AH91" s="2028">
        <v>0.06</v>
      </c>
      <c r="AI91" s="2028">
        <v>0.06</v>
      </c>
      <c r="AJ91" s="2028">
        <v>0.06</v>
      </c>
      <c r="AK91" s="1330"/>
      <c r="AL91" s="2028">
        <v>0</v>
      </c>
      <c r="AM91" s="2028">
        <v>0</v>
      </c>
      <c r="AN91" s="2028">
        <v>0</v>
      </c>
      <c r="AO91" s="2028">
        <v>0</v>
      </c>
      <c r="AP91" s="2028">
        <v>0</v>
      </c>
      <c r="AQ91" s="2028">
        <v>0</v>
      </c>
      <c r="AR91" s="2028">
        <v>0</v>
      </c>
      <c r="AS91" s="2028">
        <v>0</v>
      </c>
      <c r="AT91" s="2028">
        <v>0</v>
      </c>
      <c r="AU91" s="2028">
        <v>0</v>
      </c>
    </row>
    <row r="92" spans="2:48" x14ac:dyDescent="0.2">
      <c r="D92" s="1686" t="s">
        <v>32</v>
      </c>
      <c r="F92" s="2029">
        <v>1.2180056774658676</v>
      </c>
      <c r="G92" s="2029">
        <v>1.2180056774658676</v>
      </c>
      <c r="H92" s="2029">
        <v>1.2180056774658676</v>
      </c>
      <c r="I92" s="2029">
        <v>1.2180056774658676</v>
      </c>
      <c r="J92" s="2029">
        <v>1.2180056774658676</v>
      </c>
      <c r="K92" s="2029">
        <v>1.2180056774658676</v>
      </c>
      <c r="L92" s="2029">
        <v>1.2180056774658676</v>
      </c>
      <c r="M92" s="2029">
        <v>1.2180056774658676</v>
      </c>
      <c r="N92" s="2029">
        <v>1.2180056774658676</v>
      </c>
      <c r="O92" s="1330"/>
      <c r="P92" s="2029">
        <v>0.04</v>
      </c>
      <c r="Q92" s="2029">
        <v>0.04</v>
      </c>
      <c r="R92" s="2029">
        <v>0.04</v>
      </c>
      <c r="S92" s="2029">
        <v>0.04</v>
      </c>
      <c r="T92" s="2029">
        <v>0.04</v>
      </c>
      <c r="U92" s="2029">
        <v>0.04</v>
      </c>
      <c r="V92" s="2029">
        <v>0.04</v>
      </c>
      <c r="W92" s="2029">
        <v>0.04</v>
      </c>
      <c r="X92" s="2029">
        <v>0.04</v>
      </c>
      <c r="Y92" s="2029">
        <v>0.04</v>
      </c>
      <c r="Z92" s="1330"/>
      <c r="AA92" s="2029">
        <v>0.06</v>
      </c>
      <c r="AB92" s="2029">
        <v>0.06</v>
      </c>
      <c r="AC92" s="2029">
        <v>0.06</v>
      </c>
      <c r="AD92" s="2029">
        <v>0.06</v>
      </c>
      <c r="AE92" s="2029">
        <v>0.06</v>
      </c>
      <c r="AF92" s="2029">
        <v>0.06</v>
      </c>
      <c r="AG92" s="2029">
        <v>0.06</v>
      </c>
      <c r="AH92" s="2029">
        <v>0.06</v>
      </c>
      <c r="AI92" s="2029">
        <v>0.06</v>
      </c>
      <c r="AJ92" s="2029">
        <v>0.06</v>
      </c>
      <c r="AK92" s="1330"/>
      <c r="AL92" s="2029">
        <v>0</v>
      </c>
      <c r="AM92" s="2029">
        <v>0</v>
      </c>
      <c r="AN92" s="2029">
        <v>0</v>
      </c>
      <c r="AO92" s="2029">
        <v>0</v>
      </c>
      <c r="AP92" s="2029">
        <v>0</v>
      </c>
      <c r="AQ92" s="2029">
        <v>0</v>
      </c>
      <c r="AR92" s="2029">
        <v>0</v>
      </c>
      <c r="AS92" s="2029">
        <v>0</v>
      </c>
      <c r="AT92" s="2029">
        <v>0</v>
      </c>
      <c r="AU92" s="2029">
        <v>0</v>
      </c>
    </row>
    <row r="93" spans="2:48" x14ac:dyDescent="0.2">
      <c r="D93" s="1684" t="s">
        <v>1824</v>
      </c>
      <c r="F93" s="2028">
        <v>0.65101608615329154</v>
      </c>
      <c r="G93" s="2028">
        <v>0.65101608615329154</v>
      </c>
      <c r="H93" s="2028">
        <v>0.65101608615329154</v>
      </c>
      <c r="I93" s="2028">
        <v>0.65101608615329154</v>
      </c>
      <c r="J93" s="2028">
        <v>0.65101608615329154</v>
      </c>
      <c r="K93" s="2028">
        <v>0.65101608615329154</v>
      </c>
      <c r="L93" s="2028">
        <v>0.65101608615329154</v>
      </c>
      <c r="M93" s="2028">
        <v>0.65101608615329154</v>
      </c>
      <c r="N93" s="2028">
        <v>0.65101608615329154</v>
      </c>
      <c r="O93" s="1330"/>
      <c r="P93" s="2028">
        <v>0.04</v>
      </c>
      <c r="Q93" s="2028">
        <v>0.04</v>
      </c>
      <c r="R93" s="2028">
        <v>0.04</v>
      </c>
      <c r="S93" s="2028">
        <v>0.04</v>
      </c>
      <c r="T93" s="2028">
        <v>0.04</v>
      </c>
      <c r="U93" s="2028">
        <v>0.04</v>
      </c>
      <c r="V93" s="2028">
        <v>0.04</v>
      </c>
      <c r="W93" s="2028">
        <v>0.04</v>
      </c>
      <c r="X93" s="2028">
        <v>0.04</v>
      </c>
      <c r="Y93" s="2028">
        <v>0.04</v>
      </c>
      <c r="Z93" s="1330"/>
      <c r="AA93" s="2028">
        <v>0.06</v>
      </c>
      <c r="AB93" s="2028">
        <v>0.06</v>
      </c>
      <c r="AC93" s="2028">
        <v>0.06</v>
      </c>
      <c r="AD93" s="2028">
        <v>0.06</v>
      </c>
      <c r="AE93" s="2028">
        <v>0.06</v>
      </c>
      <c r="AF93" s="2028">
        <v>0.06</v>
      </c>
      <c r="AG93" s="2028">
        <v>0.06</v>
      </c>
      <c r="AH93" s="2028">
        <v>0.06</v>
      </c>
      <c r="AI93" s="2028">
        <v>0.06</v>
      </c>
      <c r="AJ93" s="2028">
        <v>0.06</v>
      </c>
      <c r="AK93" s="1330"/>
      <c r="AL93" s="2028">
        <v>0</v>
      </c>
      <c r="AM93" s="2028">
        <v>0</v>
      </c>
      <c r="AN93" s="2028">
        <v>0</v>
      </c>
      <c r="AO93" s="2028">
        <v>0</v>
      </c>
      <c r="AP93" s="2028">
        <v>0</v>
      </c>
      <c r="AQ93" s="2028">
        <v>0</v>
      </c>
      <c r="AR93" s="2028">
        <v>0</v>
      </c>
      <c r="AS93" s="2028">
        <v>0</v>
      </c>
      <c r="AT93" s="2028">
        <v>0</v>
      </c>
      <c r="AU93" s="2028">
        <v>0</v>
      </c>
    </row>
    <row r="95" spans="2:48" x14ac:dyDescent="0.2">
      <c r="B95" s="1427" t="s">
        <v>1843</v>
      </c>
      <c r="F95" s="1427" t="s">
        <v>1787</v>
      </c>
      <c r="G95" s="1427" t="s">
        <v>1791</v>
      </c>
      <c r="H95" s="1427"/>
      <c r="I95" s="1427"/>
      <c r="J95" s="1427"/>
      <c r="K95" s="1427"/>
      <c r="L95" s="1427"/>
      <c r="M95" s="1427"/>
      <c r="N95" s="1427"/>
      <c r="O95" s="172" t="s">
        <v>1846</v>
      </c>
      <c r="Q95" s="1427" t="s">
        <v>1794</v>
      </c>
      <c r="R95" s="1427" t="s">
        <v>1788</v>
      </c>
      <c r="S95" s="1427"/>
      <c r="T95" s="1427"/>
      <c r="U95" s="1427"/>
      <c r="V95" s="1427"/>
      <c r="W95" s="1427"/>
      <c r="X95" s="1427"/>
      <c r="Y95" s="1427"/>
      <c r="Z95" s="172" t="s">
        <v>1846</v>
      </c>
      <c r="AB95" s="1427" t="s">
        <v>1795</v>
      </c>
      <c r="AC95" s="1427" t="s">
        <v>1789</v>
      </c>
      <c r="AD95" s="1427"/>
      <c r="AE95" s="1427"/>
      <c r="AF95" s="1427"/>
      <c r="AG95" s="1427"/>
      <c r="AH95" s="1427"/>
      <c r="AI95" s="1427"/>
      <c r="AJ95" s="1427"/>
      <c r="AK95" s="172" t="s">
        <v>1846</v>
      </c>
      <c r="AM95" s="1427" t="s">
        <v>1792</v>
      </c>
      <c r="AN95" s="1427" t="s">
        <v>1790</v>
      </c>
      <c r="AO95" s="1427"/>
      <c r="AP95" s="1427"/>
      <c r="AQ95" s="1427"/>
      <c r="AR95" s="1427"/>
      <c r="AS95" s="1427"/>
      <c r="AT95" s="1427"/>
      <c r="AU95" s="1427"/>
      <c r="AV95" s="172" t="s">
        <v>1846</v>
      </c>
    </row>
    <row r="96" spans="2:48" ht="13.5" thickBot="1" x14ac:dyDescent="0.25">
      <c r="D96" s="1682" t="s">
        <v>67</v>
      </c>
      <c r="F96" s="1681">
        <v>2010</v>
      </c>
      <c r="G96" s="1681">
        <v>2015</v>
      </c>
      <c r="H96" s="1681">
        <v>2020</v>
      </c>
      <c r="I96" s="1681">
        <v>2025</v>
      </c>
      <c r="J96" s="1681">
        <v>2030</v>
      </c>
      <c r="K96" s="1681">
        <v>2035</v>
      </c>
      <c r="L96" s="1681">
        <v>2040</v>
      </c>
      <c r="M96" s="1681">
        <v>2045</v>
      </c>
      <c r="N96" s="1681">
        <v>2050</v>
      </c>
      <c r="P96" s="1681">
        <v>2007</v>
      </c>
      <c r="Q96" s="1681">
        <v>2010</v>
      </c>
      <c r="R96" s="1681">
        <v>2015</v>
      </c>
      <c r="S96" s="1681">
        <v>2020</v>
      </c>
      <c r="T96" s="1681">
        <v>2025</v>
      </c>
      <c r="U96" s="1681">
        <v>2030</v>
      </c>
      <c r="V96" s="1681">
        <v>2035</v>
      </c>
      <c r="W96" s="1681">
        <v>2040</v>
      </c>
      <c r="X96" s="1681">
        <v>2045</v>
      </c>
      <c r="Y96" s="1681">
        <v>2050</v>
      </c>
      <c r="AA96" s="1681">
        <v>2007</v>
      </c>
      <c r="AB96" s="1681">
        <v>2010</v>
      </c>
      <c r="AC96" s="1681">
        <v>2015</v>
      </c>
      <c r="AD96" s="1681">
        <v>2020</v>
      </c>
      <c r="AE96" s="1681">
        <v>2025</v>
      </c>
      <c r="AF96" s="1681">
        <v>2030</v>
      </c>
      <c r="AG96" s="1681">
        <v>2035</v>
      </c>
      <c r="AH96" s="1681">
        <v>2040</v>
      </c>
      <c r="AI96" s="1681">
        <v>2045</v>
      </c>
      <c r="AJ96" s="1681">
        <v>2050</v>
      </c>
      <c r="AL96" s="1681">
        <v>2007</v>
      </c>
      <c r="AM96" s="1681">
        <v>2010</v>
      </c>
      <c r="AN96" s="1681">
        <v>2015</v>
      </c>
      <c r="AO96" s="1681">
        <v>2020</v>
      </c>
      <c r="AP96" s="1681">
        <v>2025</v>
      </c>
      <c r="AQ96" s="1681">
        <v>2030</v>
      </c>
      <c r="AR96" s="1681">
        <v>2035</v>
      </c>
      <c r="AS96" s="1681">
        <v>2040</v>
      </c>
      <c r="AT96" s="1681">
        <v>2045</v>
      </c>
      <c r="AU96" s="1681">
        <v>2050</v>
      </c>
    </row>
    <row r="97" spans="2:47" ht="13.5" thickTop="1" x14ac:dyDescent="0.2">
      <c r="B97" s="1427"/>
      <c r="D97" s="1684" t="s">
        <v>125</v>
      </c>
      <c r="F97" s="1689">
        <f t="shared" ref="F97:AU97" ca="1" si="32">F78*1000*F88</f>
        <v>23022.652110467963</v>
      </c>
      <c r="G97" s="1689">
        <f t="shared" ca="1" si="32"/>
        <v>24609.313797303559</v>
      </c>
      <c r="H97" s="1689">
        <f t="shared" ca="1" si="32"/>
        <v>21629.582762939208</v>
      </c>
      <c r="I97" s="1689">
        <f t="shared" ca="1" si="32"/>
        <v>18278.815115722056</v>
      </c>
      <c r="J97" s="1689">
        <f t="shared" ca="1" si="32"/>
        <v>14618.999257741636</v>
      </c>
      <c r="K97" s="1689">
        <f t="shared" ca="1" si="32"/>
        <v>11520.601707455395</v>
      </c>
      <c r="L97" s="1689">
        <f t="shared" ca="1" si="32"/>
        <v>8949.9325862379774</v>
      </c>
      <c r="M97" s="1689">
        <f t="shared" ca="1" si="32"/>
        <v>8433.1407252260015</v>
      </c>
      <c r="N97" s="1689">
        <f t="shared" ca="1" si="32"/>
        <v>8298.567429590561</v>
      </c>
      <c r="O97" s="2022">
        <f t="shared" si="32"/>
        <v>0</v>
      </c>
      <c r="P97" s="1689">
        <f t="shared" ca="1" si="32"/>
        <v>0</v>
      </c>
      <c r="Q97" s="1689">
        <f t="shared" ca="1" si="32"/>
        <v>13449.280364989798</v>
      </c>
      <c r="R97" s="1689">
        <f t="shared" ca="1" si="32"/>
        <v>14948.297400674928</v>
      </c>
      <c r="S97" s="1689">
        <f t="shared" ca="1" si="32"/>
        <v>12651.365310299339</v>
      </c>
      <c r="T97" s="1689">
        <f t="shared" ca="1" si="32"/>
        <v>10417.039035814914</v>
      </c>
      <c r="U97" s="1689">
        <f t="shared" ca="1" si="32"/>
        <v>8273.9196010570777</v>
      </c>
      <c r="V97" s="1689">
        <f t="shared" ca="1" si="32"/>
        <v>6142.0687897713879</v>
      </c>
      <c r="W97" s="1689">
        <f t="shared" ca="1" si="32"/>
        <v>5004.817933460622</v>
      </c>
      <c r="X97" s="1689">
        <f t="shared" ca="1" si="32"/>
        <v>4502.6554509749139</v>
      </c>
      <c r="Y97" s="1689">
        <f t="shared" ca="1" si="32"/>
        <v>4002.411723083771</v>
      </c>
      <c r="Z97" s="2022">
        <f t="shared" si="32"/>
        <v>0</v>
      </c>
      <c r="AA97" s="1689">
        <f t="shared" ca="1" si="32"/>
        <v>0</v>
      </c>
      <c r="AB97" s="1689">
        <f t="shared" ca="1" si="32"/>
        <v>140.69152013406523</v>
      </c>
      <c r="AC97" s="1689">
        <f t="shared" ca="1" si="32"/>
        <v>10.509251567042421</v>
      </c>
      <c r="AD97" s="1689">
        <f t="shared" ca="1" si="32"/>
        <v>10.541689378647723</v>
      </c>
      <c r="AE97" s="1689">
        <f t="shared" ca="1" si="32"/>
        <v>10.237216700210974</v>
      </c>
      <c r="AF97" s="1689">
        <f t="shared" ca="1" si="32"/>
        <v>9.7522975530106724</v>
      </c>
      <c r="AG97" s="1689">
        <f t="shared" ca="1" si="32"/>
        <v>9.7693500816614716</v>
      </c>
      <c r="AH97" s="1689">
        <f t="shared" ca="1" si="32"/>
        <v>9.5231478984960312</v>
      </c>
      <c r="AI97" s="1689">
        <f t="shared" ca="1" si="32"/>
        <v>9.2145810248761606</v>
      </c>
      <c r="AJ97" s="1689">
        <f t="shared" ca="1" si="32"/>
        <v>8.8214904367402962</v>
      </c>
      <c r="AK97" s="2022">
        <f t="shared" si="32"/>
        <v>0</v>
      </c>
      <c r="AL97" s="1689">
        <f t="shared" ca="1" si="32"/>
        <v>0</v>
      </c>
      <c r="AM97" s="1689">
        <f t="shared" ca="1" si="32"/>
        <v>0</v>
      </c>
      <c r="AN97" s="1689">
        <f t="shared" ca="1" si="32"/>
        <v>0</v>
      </c>
      <c r="AO97" s="1689">
        <f t="shared" ca="1" si="32"/>
        <v>0</v>
      </c>
      <c r="AP97" s="1689">
        <f t="shared" ca="1" si="32"/>
        <v>0</v>
      </c>
      <c r="AQ97" s="1689">
        <f t="shared" ca="1" si="32"/>
        <v>0</v>
      </c>
      <c r="AR97" s="1689">
        <f t="shared" ca="1" si="32"/>
        <v>0</v>
      </c>
      <c r="AS97" s="1689">
        <f t="shared" ca="1" si="32"/>
        <v>0</v>
      </c>
      <c r="AT97" s="1689">
        <f t="shared" ca="1" si="32"/>
        <v>0</v>
      </c>
      <c r="AU97" s="1689">
        <f t="shared" ca="1" si="32"/>
        <v>0</v>
      </c>
    </row>
    <row r="98" spans="2:47" x14ac:dyDescent="0.2">
      <c r="B98" s="1427"/>
      <c r="D98" s="2027" t="s">
        <v>1912</v>
      </c>
      <c r="F98" s="1689">
        <f t="shared" ref="F98:AU98" si="33">F79*1000*F89</f>
        <v>0</v>
      </c>
      <c r="G98" s="1689">
        <f t="shared" si="33"/>
        <v>0</v>
      </c>
      <c r="H98" s="1689">
        <f t="shared" si="33"/>
        <v>0</v>
      </c>
      <c r="I98" s="1689">
        <f t="shared" si="33"/>
        <v>0</v>
      </c>
      <c r="J98" s="1689">
        <f t="shared" si="33"/>
        <v>0</v>
      </c>
      <c r="K98" s="1689">
        <f t="shared" si="33"/>
        <v>0</v>
      </c>
      <c r="L98" s="1689">
        <f t="shared" si="33"/>
        <v>0</v>
      </c>
      <c r="M98" s="1689">
        <f t="shared" si="33"/>
        <v>0</v>
      </c>
      <c r="N98" s="1689">
        <f t="shared" si="33"/>
        <v>0</v>
      </c>
      <c r="O98" s="2022">
        <f t="shared" si="33"/>
        <v>0</v>
      </c>
      <c r="P98" s="1689">
        <f t="shared" si="33"/>
        <v>0</v>
      </c>
      <c r="Q98" s="1689">
        <f t="shared" si="33"/>
        <v>0</v>
      </c>
      <c r="R98" s="1689">
        <f t="shared" si="33"/>
        <v>0</v>
      </c>
      <c r="S98" s="1689">
        <f t="shared" si="33"/>
        <v>0</v>
      </c>
      <c r="T98" s="1689">
        <f t="shared" si="33"/>
        <v>0</v>
      </c>
      <c r="U98" s="1689">
        <f t="shared" si="33"/>
        <v>0</v>
      </c>
      <c r="V98" s="1689">
        <f t="shared" si="33"/>
        <v>0</v>
      </c>
      <c r="W98" s="1689">
        <f t="shared" si="33"/>
        <v>0</v>
      </c>
      <c r="X98" s="1689">
        <f t="shared" si="33"/>
        <v>0</v>
      </c>
      <c r="Y98" s="1689">
        <f t="shared" si="33"/>
        <v>0</v>
      </c>
      <c r="Z98" s="2022">
        <f t="shared" si="33"/>
        <v>0</v>
      </c>
      <c r="AA98" s="1689">
        <f t="shared" si="33"/>
        <v>0</v>
      </c>
      <c r="AB98" s="1689">
        <f t="shared" si="33"/>
        <v>0</v>
      </c>
      <c r="AC98" s="1689">
        <f t="shared" si="33"/>
        <v>0</v>
      </c>
      <c r="AD98" s="1689">
        <f t="shared" si="33"/>
        <v>0</v>
      </c>
      <c r="AE98" s="1689">
        <f t="shared" si="33"/>
        <v>0</v>
      </c>
      <c r="AF98" s="1689">
        <f t="shared" si="33"/>
        <v>0</v>
      </c>
      <c r="AG98" s="1689">
        <f t="shared" si="33"/>
        <v>0</v>
      </c>
      <c r="AH98" s="1689">
        <f t="shared" si="33"/>
        <v>0</v>
      </c>
      <c r="AI98" s="1689">
        <f t="shared" si="33"/>
        <v>0</v>
      </c>
      <c r="AJ98" s="1689">
        <f t="shared" si="33"/>
        <v>0</v>
      </c>
      <c r="AK98" s="2022">
        <f t="shared" si="33"/>
        <v>0</v>
      </c>
      <c r="AL98" s="1689">
        <f t="shared" si="33"/>
        <v>0</v>
      </c>
      <c r="AM98" s="1689">
        <f t="shared" si="33"/>
        <v>0</v>
      </c>
      <c r="AN98" s="1689">
        <f t="shared" si="33"/>
        <v>0</v>
      </c>
      <c r="AO98" s="1689">
        <f t="shared" si="33"/>
        <v>0</v>
      </c>
      <c r="AP98" s="1689">
        <f t="shared" si="33"/>
        <v>0</v>
      </c>
      <c r="AQ98" s="1689">
        <f t="shared" si="33"/>
        <v>0</v>
      </c>
      <c r="AR98" s="1689">
        <f t="shared" si="33"/>
        <v>0</v>
      </c>
      <c r="AS98" s="1689">
        <f t="shared" si="33"/>
        <v>0</v>
      </c>
      <c r="AT98" s="1689">
        <f t="shared" si="33"/>
        <v>0</v>
      </c>
      <c r="AU98" s="1689">
        <f t="shared" si="33"/>
        <v>0</v>
      </c>
    </row>
    <row r="99" spans="2:47" x14ac:dyDescent="0.2">
      <c r="D99" s="1686" t="s">
        <v>1812</v>
      </c>
      <c r="F99" s="1691">
        <f t="shared" ref="F99:AU99" ca="1" si="34">F80*1000*F90</f>
        <v>806.68403485568342</v>
      </c>
      <c r="G99" s="1691">
        <f t="shared" ca="1" si="34"/>
        <v>730.21266791962125</v>
      </c>
      <c r="H99" s="1691">
        <f t="shared" ca="1" si="34"/>
        <v>455.18790484103869</v>
      </c>
      <c r="I99" s="1691">
        <f t="shared" ca="1" si="34"/>
        <v>277.92816396071407</v>
      </c>
      <c r="J99" s="1691">
        <f t="shared" ca="1" si="34"/>
        <v>428.51636675221016</v>
      </c>
      <c r="K99" s="1691">
        <f t="shared" ca="1" si="34"/>
        <v>685.1113159319566</v>
      </c>
      <c r="L99" s="1691">
        <f t="shared" ca="1" si="34"/>
        <v>973.23811371186548</v>
      </c>
      <c r="M99" s="1691">
        <f t="shared" ca="1" si="34"/>
        <v>1260.3140713485432</v>
      </c>
      <c r="N99" s="1691">
        <f t="shared" ca="1" si="34"/>
        <v>1547.3481275317367</v>
      </c>
      <c r="O99" s="2022">
        <f t="shared" si="34"/>
        <v>0</v>
      </c>
      <c r="P99" s="1691">
        <f t="shared" ca="1" si="34"/>
        <v>0</v>
      </c>
      <c r="Q99" s="1691">
        <f t="shared" ca="1" si="34"/>
        <v>5077.8461977007355</v>
      </c>
      <c r="R99" s="1691">
        <f t="shared" ca="1" si="34"/>
        <v>4936.4950657864356</v>
      </c>
      <c r="S99" s="1691">
        <f t="shared" ca="1" si="34"/>
        <v>2665.0089342844399</v>
      </c>
      <c r="T99" s="1691">
        <f t="shared" ca="1" si="34"/>
        <v>3081.5140557102932</v>
      </c>
      <c r="U99" s="1691">
        <f t="shared" ca="1" si="34"/>
        <v>5223.0531085809434</v>
      </c>
      <c r="V99" s="1691">
        <f t="shared" ca="1" si="34"/>
        <v>8407.8794543998483</v>
      </c>
      <c r="W99" s="1691">
        <f t="shared" ca="1" si="34"/>
        <v>11756.704429171255</v>
      </c>
      <c r="X99" s="1691">
        <f t="shared" ca="1" si="34"/>
        <v>15087.503903267365</v>
      </c>
      <c r="Y99" s="1691">
        <f t="shared" ca="1" si="34"/>
        <v>18417.652997086272</v>
      </c>
      <c r="Z99" s="2022">
        <f t="shared" si="34"/>
        <v>0</v>
      </c>
      <c r="AA99" s="1691">
        <f t="shared" ca="1" si="34"/>
        <v>0</v>
      </c>
      <c r="AB99" s="1691">
        <f t="shared" ca="1" si="34"/>
        <v>3525.5908165168967</v>
      </c>
      <c r="AC99" s="1691">
        <f t="shared" ca="1" si="34"/>
        <v>3343.4377769808611</v>
      </c>
      <c r="AD99" s="1691">
        <f t="shared" ca="1" si="34"/>
        <v>1048.7157675459121</v>
      </c>
      <c r="AE99" s="1691">
        <f t="shared" ca="1" si="34"/>
        <v>1211.6939930594924</v>
      </c>
      <c r="AF99" s="1691">
        <f t="shared" ca="1" si="34"/>
        <v>3399.0837475367866</v>
      </c>
      <c r="AG99" s="1691">
        <f t="shared" ca="1" si="34"/>
        <v>6334.3016002227032</v>
      </c>
      <c r="AH99" s="1691">
        <f t="shared" ca="1" si="34"/>
        <v>9321.647544777019</v>
      </c>
      <c r="AI99" s="1691">
        <f t="shared" ca="1" si="34"/>
        <v>12282.493025910058</v>
      </c>
      <c r="AJ99" s="1691">
        <f t="shared" ca="1" si="34"/>
        <v>15243.320394657361</v>
      </c>
      <c r="AK99" s="2022">
        <f t="shared" si="34"/>
        <v>0</v>
      </c>
      <c r="AL99" s="1691">
        <f t="shared" ca="1" si="34"/>
        <v>0</v>
      </c>
      <c r="AM99" s="1691">
        <f t="shared" ca="1" si="34"/>
        <v>0</v>
      </c>
      <c r="AN99" s="1691">
        <f t="shared" ca="1" si="34"/>
        <v>0</v>
      </c>
      <c r="AO99" s="1691">
        <f t="shared" ca="1" si="34"/>
        <v>0</v>
      </c>
      <c r="AP99" s="1691">
        <f t="shared" ca="1" si="34"/>
        <v>0</v>
      </c>
      <c r="AQ99" s="1691">
        <f t="shared" ca="1" si="34"/>
        <v>0</v>
      </c>
      <c r="AR99" s="1691">
        <f t="shared" ca="1" si="34"/>
        <v>0</v>
      </c>
      <c r="AS99" s="1691">
        <f t="shared" ca="1" si="34"/>
        <v>0</v>
      </c>
      <c r="AT99" s="1691">
        <f t="shared" ca="1" si="34"/>
        <v>0</v>
      </c>
      <c r="AU99" s="1691">
        <f t="shared" ca="1" si="34"/>
        <v>0</v>
      </c>
    </row>
    <row r="100" spans="2:47" x14ac:dyDescent="0.2">
      <c r="D100" s="1684" t="s">
        <v>1823</v>
      </c>
      <c r="F100" s="1689">
        <f t="shared" ref="F100:AU100" ca="1" si="35">F81*1000*F91</f>
        <v>84557.242383068282</v>
      </c>
      <c r="G100" s="1689">
        <f t="shared" ca="1" si="35"/>
        <v>32055.008160877536</v>
      </c>
      <c r="H100" s="1689">
        <f t="shared" ca="1" si="35"/>
        <v>33388.131993894713</v>
      </c>
      <c r="I100" s="1689">
        <f t="shared" ca="1" si="35"/>
        <v>33760.216296532417</v>
      </c>
      <c r="J100" s="1689">
        <f t="shared" ca="1" si="35"/>
        <v>33614.133198902644</v>
      </c>
      <c r="K100" s="1689">
        <f t="shared" ca="1" si="35"/>
        <v>33217.092720591194</v>
      </c>
      <c r="L100" s="1689">
        <f t="shared" ca="1" si="35"/>
        <v>32934.335132875691</v>
      </c>
      <c r="M100" s="1689">
        <f t="shared" ca="1" si="35"/>
        <v>32815.177307857492</v>
      </c>
      <c r="N100" s="1689">
        <f t="shared" ca="1" si="35"/>
        <v>36287.027133685471</v>
      </c>
      <c r="O100" s="2022">
        <f t="shared" si="35"/>
        <v>0</v>
      </c>
      <c r="P100" s="1689">
        <f t="shared" ca="1" si="35"/>
        <v>0</v>
      </c>
      <c r="Q100" s="1689">
        <f t="shared" ca="1" si="35"/>
        <v>10004.050709631727</v>
      </c>
      <c r="R100" s="1689">
        <f t="shared" ca="1" si="35"/>
        <v>7519.8490477768573</v>
      </c>
      <c r="S100" s="1689">
        <f t="shared" ca="1" si="35"/>
        <v>6824.5032108670985</v>
      </c>
      <c r="T100" s="1689">
        <f t="shared" ca="1" si="35"/>
        <v>6085.9224937973013</v>
      </c>
      <c r="U100" s="1689">
        <f t="shared" ca="1" si="35"/>
        <v>5368.8760941627006</v>
      </c>
      <c r="V100" s="1689">
        <f t="shared" ca="1" si="35"/>
        <v>4781.3739387064215</v>
      </c>
      <c r="W100" s="1689">
        <f t="shared" ca="1" si="35"/>
        <v>4211.9872618021454</v>
      </c>
      <c r="X100" s="1689">
        <f t="shared" ca="1" si="35"/>
        <v>3666.8022110152015</v>
      </c>
      <c r="Y100" s="1689">
        <f t="shared" ca="1" si="35"/>
        <v>3125.6273824421851</v>
      </c>
      <c r="Z100" s="2022">
        <f t="shared" si="35"/>
        <v>0</v>
      </c>
      <c r="AA100" s="1689">
        <f t="shared" ca="1" si="35"/>
        <v>0</v>
      </c>
      <c r="AB100" s="1689">
        <f t="shared" ca="1" si="35"/>
        <v>18772.514618334939</v>
      </c>
      <c r="AC100" s="1689">
        <f t="shared" ca="1" si="35"/>
        <v>1202.273556877235</v>
      </c>
      <c r="AD100" s="1689">
        <f t="shared" ca="1" si="35"/>
        <v>1288.2819560292917</v>
      </c>
      <c r="AE100" s="1689">
        <f t="shared" ca="1" si="35"/>
        <v>1440.9204787641668</v>
      </c>
      <c r="AF100" s="1689">
        <f t="shared" ca="1" si="35"/>
        <v>1567.5413734474416</v>
      </c>
      <c r="AG100" s="1689">
        <f t="shared" ca="1" si="35"/>
        <v>1641.2489901715687</v>
      </c>
      <c r="AH100" s="1689">
        <f t="shared" ca="1" si="35"/>
        <v>1723.4724667269688</v>
      </c>
      <c r="AI100" s="1689">
        <f t="shared" ca="1" si="35"/>
        <v>1846.1956195098403</v>
      </c>
      <c r="AJ100" s="1689">
        <f t="shared" ca="1" si="35"/>
        <v>1937.2484938247644</v>
      </c>
      <c r="AK100" s="2022">
        <f t="shared" si="35"/>
        <v>0</v>
      </c>
      <c r="AL100" s="1689">
        <f t="shared" ca="1" si="35"/>
        <v>0</v>
      </c>
      <c r="AM100" s="1689">
        <f t="shared" ca="1" si="35"/>
        <v>0</v>
      </c>
      <c r="AN100" s="1689">
        <f t="shared" ca="1" si="35"/>
        <v>0</v>
      </c>
      <c r="AO100" s="1689">
        <f t="shared" ca="1" si="35"/>
        <v>0</v>
      </c>
      <c r="AP100" s="1689">
        <f t="shared" ca="1" si="35"/>
        <v>0</v>
      </c>
      <c r="AQ100" s="1689">
        <f t="shared" ca="1" si="35"/>
        <v>0</v>
      </c>
      <c r="AR100" s="1689">
        <f t="shared" ca="1" si="35"/>
        <v>0</v>
      </c>
      <c r="AS100" s="1689">
        <f t="shared" ca="1" si="35"/>
        <v>0</v>
      </c>
      <c r="AT100" s="1689">
        <f t="shared" ca="1" si="35"/>
        <v>0</v>
      </c>
      <c r="AU100" s="1689">
        <f t="shared" ca="1" si="35"/>
        <v>0</v>
      </c>
    </row>
    <row r="101" spans="2:47" x14ac:dyDescent="0.2">
      <c r="D101" s="1686" t="s">
        <v>32</v>
      </c>
      <c r="F101" s="1691">
        <f t="shared" ref="F101:AU101" ca="1" si="36">F82*1000*F92</f>
        <v>327.89123745722031</v>
      </c>
      <c r="G101" s="1691">
        <f t="shared" ca="1" si="36"/>
        <v>350.99401833484734</v>
      </c>
      <c r="H101" s="1691">
        <f t="shared" ca="1" si="36"/>
        <v>357.88291901948219</v>
      </c>
      <c r="I101" s="1691">
        <f t="shared" ca="1" si="36"/>
        <v>378.63739727874963</v>
      </c>
      <c r="J101" s="1691">
        <f t="shared" ca="1" si="36"/>
        <v>364.62504785665368</v>
      </c>
      <c r="K101" s="1691">
        <f t="shared" ca="1" si="36"/>
        <v>344.32654891414302</v>
      </c>
      <c r="L101" s="1691">
        <f t="shared" ca="1" si="36"/>
        <v>288.98715775076977</v>
      </c>
      <c r="M101" s="1691">
        <f t="shared" ca="1" si="36"/>
        <v>231.53569906484492</v>
      </c>
      <c r="N101" s="1691">
        <f t="shared" ca="1" si="36"/>
        <v>171.16974950209234</v>
      </c>
      <c r="O101" s="2022">
        <f t="shared" si="36"/>
        <v>0</v>
      </c>
      <c r="P101" s="1691">
        <f t="shared" ca="1" si="36"/>
        <v>0</v>
      </c>
      <c r="Q101" s="1691">
        <f t="shared" ca="1" si="36"/>
        <v>220.75326523460387</v>
      </c>
      <c r="R101" s="1691">
        <f t="shared" ca="1" si="36"/>
        <v>296.95265363189094</v>
      </c>
      <c r="S101" s="1691">
        <f t="shared" ca="1" si="36"/>
        <v>398.83520165198098</v>
      </c>
      <c r="T101" s="1691">
        <f t="shared" ca="1" si="36"/>
        <v>501.37460667175105</v>
      </c>
      <c r="U101" s="1691">
        <f t="shared" ca="1" si="36"/>
        <v>584.2402218178562</v>
      </c>
      <c r="V101" s="1691">
        <f t="shared" ca="1" si="36"/>
        <v>679.37430351151602</v>
      </c>
      <c r="W101" s="1691">
        <f t="shared" ca="1" si="36"/>
        <v>706.3935794290793</v>
      </c>
      <c r="X101" s="1691">
        <f t="shared" ca="1" si="36"/>
        <v>681.36642446837755</v>
      </c>
      <c r="Y101" s="1691">
        <f t="shared" ca="1" si="36"/>
        <v>588.99819061836911</v>
      </c>
      <c r="Z101" s="2022">
        <f t="shared" si="36"/>
        <v>0</v>
      </c>
      <c r="AA101" s="1691">
        <f t="shared" ca="1" si="36"/>
        <v>0</v>
      </c>
      <c r="AB101" s="1691">
        <f t="shared" ca="1" si="36"/>
        <v>0</v>
      </c>
      <c r="AC101" s="1691">
        <f t="shared" ca="1" si="36"/>
        <v>0</v>
      </c>
      <c r="AD101" s="1691">
        <f t="shared" ca="1" si="36"/>
        <v>0</v>
      </c>
      <c r="AE101" s="1691">
        <f t="shared" ca="1" si="36"/>
        <v>0</v>
      </c>
      <c r="AF101" s="1691">
        <f t="shared" ca="1" si="36"/>
        <v>0</v>
      </c>
      <c r="AG101" s="1691">
        <f t="shared" ca="1" si="36"/>
        <v>0</v>
      </c>
      <c r="AH101" s="1691">
        <f t="shared" ca="1" si="36"/>
        <v>0</v>
      </c>
      <c r="AI101" s="1691">
        <f t="shared" ca="1" si="36"/>
        <v>0</v>
      </c>
      <c r="AJ101" s="1691">
        <f t="shared" ca="1" si="36"/>
        <v>0</v>
      </c>
      <c r="AK101" s="2022">
        <f t="shared" si="36"/>
        <v>0</v>
      </c>
      <c r="AL101" s="1691">
        <f t="shared" ca="1" si="36"/>
        <v>0</v>
      </c>
      <c r="AM101" s="1691">
        <f t="shared" ca="1" si="36"/>
        <v>0</v>
      </c>
      <c r="AN101" s="1691">
        <f t="shared" ca="1" si="36"/>
        <v>0</v>
      </c>
      <c r="AO101" s="1691">
        <f t="shared" ca="1" si="36"/>
        <v>0</v>
      </c>
      <c r="AP101" s="1691">
        <f t="shared" ca="1" si="36"/>
        <v>0</v>
      </c>
      <c r="AQ101" s="1691">
        <f t="shared" ca="1" si="36"/>
        <v>0</v>
      </c>
      <c r="AR101" s="1691">
        <f t="shared" ca="1" si="36"/>
        <v>0</v>
      </c>
      <c r="AS101" s="1691">
        <f t="shared" ca="1" si="36"/>
        <v>0</v>
      </c>
      <c r="AT101" s="1691">
        <f t="shared" ca="1" si="36"/>
        <v>0</v>
      </c>
      <c r="AU101" s="1691">
        <f t="shared" ca="1" si="36"/>
        <v>0</v>
      </c>
    </row>
    <row r="102" spans="2:47" x14ac:dyDescent="0.2">
      <c r="D102" s="1684" t="s">
        <v>1824</v>
      </c>
      <c r="F102" s="1689">
        <f t="shared" ref="F102:AU102" ca="1" si="37">F83*1000*F93</f>
        <v>138501.95002100064</v>
      </c>
      <c r="G102" s="1689">
        <f t="shared" ca="1" si="37"/>
        <v>780.69084452511549</v>
      </c>
      <c r="H102" s="1689">
        <f t="shared" ca="1" si="37"/>
        <v>792.98210327267805</v>
      </c>
      <c r="I102" s="1689">
        <f t="shared" ca="1" si="37"/>
        <v>858.61959557234138</v>
      </c>
      <c r="J102" s="1689">
        <f t="shared" ca="1" si="37"/>
        <v>958.35714006601972</v>
      </c>
      <c r="K102" s="1689">
        <f t="shared" ca="1" si="37"/>
        <v>1116.77699890744</v>
      </c>
      <c r="L102" s="1689">
        <f t="shared" ca="1" si="37"/>
        <v>1327.0051221770286</v>
      </c>
      <c r="M102" s="1689">
        <f t="shared" ca="1" si="37"/>
        <v>1601.9943352266514</v>
      </c>
      <c r="N102" s="1689">
        <f t="shared" ca="1" si="37"/>
        <v>1958.7845967199926</v>
      </c>
      <c r="O102" s="2022">
        <f t="shared" si="37"/>
        <v>0</v>
      </c>
      <c r="P102" s="1689">
        <f t="shared" ca="1" si="37"/>
        <v>0</v>
      </c>
      <c r="Q102" s="1689">
        <f t="shared" ca="1" si="37"/>
        <v>411052.0678948639</v>
      </c>
      <c r="R102" s="1689">
        <f t="shared" ca="1" si="37"/>
        <v>488.00427456124532</v>
      </c>
      <c r="S102" s="1689">
        <f t="shared" ca="1" si="37"/>
        <v>368.73239416757468</v>
      </c>
      <c r="T102" s="1689">
        <f t="shared" ca="1" si="37"/>
        <v>292.90027307037661</v>
      </c>
      <c r="U102" s="1689">
        <f t="shared" ca="1" si="37"/>
        <v>226.01437832260177</v>
      </c>
      <c r="V102" s="1689">
        <f t="shared" ca="1" si="37"/>
        <v>191.06553674196351</v>
      </c>
      <c r="W102" s="1689">
        <f t="shared" ca="1" si="37"/>
        <v>161.20720142785331</v>
      </c>
      <c r="X102" s="1689">
        <f t="shared" ca="1" si="37"/>
        <v>136.90785557343082</v>
      </c>
      <c r="Y102" s="1689">
        <f t="shared" ca="1" si="37"/>
        <v>118.59642128444294</v>
      </c>
      <c r="Z102" s="2022">
        <f t="shared" si="37"/>
        <v>0</v>
      </c>
      <c r="AA102" s="1689">
        <f t="shared" ca="1" si="37"/>
        <v>0</v>
      </c>
      <c r="AB102" s="1689">
        <f t="shared" ca="1" si="37"/>
        <v>1381.6367420210527</v>
      </c>
      <c r="AC102" s="1689">
        <f t="shared" ca="1" si="37"/>
        <v>175.60828140214588</v>
      </c>
      <c r="AD102" s="1689">
        <f t="shared" ca="1" si="37"/>
        <v>183.27715345705693</v>
      </c>
      <c r="AE102" s="1689">
        <f t="shared" ca="1" si="37"/>
        <v>191.99335957258418</v>
      </c>
      <c r="AF102" s="1689">
        <f t="shared" ca="1" si="37"/>
        <v>202.47538126529869</v>
      </c>
      <c r="AG102" s="1689">
        <f t="shared" ca="1" si="37"/>
        <v>214.40831972743663</v>
      </c>
      <c r="AH102" s="1689">
        <f t="shared" ca="1" si="37"/>
        <v>227.57463842524899</v>
      </c>
      <c r="AI102" s="1689">
        <f t="shared" ca="1" si="37"/>
        <v>242.28189401373103</v>
      </c>
      <c r="AJ102" s="1689">
        <f t="shared" ca="1" si="37"/>
        <v>258.55971125630361</v>
      </c>
      <c r="AK102" s="2022">
        <f t="shared" si="37"/>
        <v>0</v>
      </c>
      <c r="AL102" s="1689">
        <f t="shared" ca="1" si="37"/>
        <v>0</v>
      </c>
      <c r="AM102" s="1689">
        <f t="shared" ca="1" si="37"/>
        <v>0</v>
      </c>
      <c r="AN102" s="1689">
        <f t="shared" ca="1" si="37"/>
        <v>0</v>
      </c>
      <c r="AO102" s="1689">
        <f t="shared" ca="1" si="37"/>
        <v>0</v>
      </c>
      <c r="AP102" s="1689">
        <f t="shared" ca="1" si="37"/>
        <v>0</v>
      </c>
      <c r="AQ102" s="1689">
        <f t="shared" ca="1" si="37"/>
        <v>0</v>
      </c>
      <c r="AR102" s="1689">
        <f t="shared" ca="1" si="37"/>
        <v>0</v>
      </c>
      <c r="AS102" s="1689">
        <f t="shared" ca="1" si="37"/>
        <v>0</v>
      </c>
      <c r="AT102" s="1689">
        <f t="shared" ca="1" si="37"/>
        <v>0</v>
      </c>
      <c r="AU102" s="1689">
        <f t="shared" ca="1" si="37"/>
        <v>0</v>
      </c>
    </row>
    <row r="103" spans="2:47" x14ac:dyDescent="0.2">
      <c r="D103" s="1734" t="s">
        <v>105</v>
      </c>
      <c r="E103" s="1427"/>
      <c r="F103" s="1735">
        <f t="shared" ref="F103:N103" ca="1" si="38">SUM(F97:F102)</f>
        <v>247216.41978684979</v>
      </c>
      <c r="G103" s="1735">
        <f t="shared" ca="1" si="38"/>
        <v>58526.219488960684</v>
      </c>
      <c r="H103" s="1735">
        <f t="shared" ca="1" si="38"/>
        <v>56623.767683967119</v>
      </c>
      <c r="I103" s="1735">
        <f t="shared" ca="1" si="38"/>
        <v>53554.216569066273</v>
      </c>
      <c r="J103" s="1735">
        <f t="shared" ca="1" si="38"/>
        <v>49984.631011319165</v>
      </c>
      <c r="K103" s="1735">
        <f t="shared" ca="1" si="38"/>
        <v>46883.909291800126</v>
      </c>
      <c r="L103" s="1735">
        <f t="shared" ca="1" si="38"/>
        <v>44473.498112753332</v>
      </c>
      <c r="M103" s="1735">
        <f t="shared" ca="1" si="38"/>
        <v>44342.162138723528</v>
      </c>
      <c r="N103" s="1735">
        <f t="shared" ca="1" si="38"/>
        <v>48262.897037029856</v>
      </c>
      <c r="P103" s="1735">
        <f t="shared" ref="P103:Y103" ca="1" si="39">SUM(P97:P102)</f>
        <v>0</v>
      </c>
      <c r="Q103" s="1735">
        <f t="shared" ca="1" si="39"/>
        <v>439803.99843242078</v>
      </c>
      <c r="R103" s="1735">
        <f t="shared" ca="1" si="39"/>
        <v>28189.598442431357</v>
      </c>
      <c r="S103" s="1735">
        <f t="shared" ca="1" si="39"/>
        <v>22908.445051270435</v>
      </c>
      <c r="T103" s="1735">
        <f t="shared" ca="1" si="39"/>
        <v>20378.750465064633</v>
      </c>
      <c r="U103" s="1735">
        <f t="shared" ca="1" si="39"/>
        <v>19676.103403941179</v>
      </c>
      <c r="V103" s="1735">
        <f t="shared" ca="1" si="39"/>
        <v>20201.762023131138</v>
      </c>
      <c r="W103" s="1735">
        <f t="shared" ca="1" si="39"/>
        <v>21841.110405290958</v>
      </c>
      <c r="X103" s="1735">
        <f t="shared" ca="1" si="39"/>
        <v>24075.235845299288</v>
      </c>
      <c r="Y103" s="1735">
        <f t="shared" ca="1" si="39"/>
        <v>26253.286714515038</v>
      </c>
      <c r="AA103" s="1735">
        <f t="shared" ref="AA103:AJ103" ca="1" si="40">SUM(AA97:AA102)</f>
        <v>0</v>
      </c>
      <c r="AB103" s="1735">
        <f t="shared" ca="1" si="40"/>
        <v>23820.433697006953</v>
      </c>
      <c r="AC103" s="1735">
        <f t="shared" ca="1" si="40"/>
        <v>4731.8288668272844</v>
      </c>
      <c r="AD103" s="1735">
        <f t="shared" ca="1" si="40"/>
        <v>2530.8165664109088</v>
      </c>
      <c r="AE103" s="1735">
        <f t="shared" ca="1" si="40"/>
        <v>2854.8450480964543</v>
      </c>
      <c r="AF103" s="1735">
        <f t="shared" ca="1" si="40"/>
        <v>5178.8527998025374</v>
      </c>
      <c r="AG103" s="1735">
        <f t="shared" ca="1" si="40"/>
        <v>8199.7282602033702</v>
      </c>
      <c r="AH103" s="1735">
        <f t="shared" ca="1" si="40"/>
        <v>11282.217797827732</v>
      </c>
      <c r="AI103" s="1735">
        <f t="shared" ca="1" si="40"/>
        <v>14380.185120458507</v>
      </c>
      <c r="AJ103" s="1735">
        <f t="shared" ca="1" si="40"/>
        <v>17447.950090175171</v>
      </c>
      <c r="AL103" s="1735">
        <f t="shared" ref="AL103:AU103" ca="1" si="41">SUM(AL97:AL102)</f>
        <v>0</v>
      </c>
      <c r="AM103" s="1735">
        <f t="shared" ca="1" si="41"/>
        <v>0</v>
      </c>
      <c r="AN103" s="1735">
        <f t="shared" ca="1" si="41"/>
        <v>0</v>
      </c>
      <c r="AO103" s="1735">
        <f t="shared" ca="1" si="41"/>
        <v>0</v>
      </c>
      <c r="AP103" s="1735">
        <f t="shared" ca="1" si="41"/>
        <v>0</v>
      </c>
      <c r="AQ103" s="1735">
        <f t="shared" ca="1" si="41"/>
        <v>0</v>
      </c>
      <c r="AR103" s="1735">
        <f t="shared" ca="1" si="41"/>
        <v>0</v>
      </c>
      <c r="AS103" s="1735">
        <f t="shared" ca="1" si="41"/>
        <v>0</v>
      </c>
      <c r="AT103" s="1735">
        <f t="shared" ca="1" si="41"/>
        <v>0</v>
      </c>
      <c r="AU103" s="1735">
        <f t="shared" ca="1" si="41"/>
        <v>0</v>
      </c>
    </row>
    <row r="104" spans="2:47" x14ac:dyDescent="0.2">
      <c r="F104" s="675"/>
      <c r="G104" s="675"/>
      <c r="H104" s="675"/>
      <c r="I104" s="675"/>
      <c r="J104" s="675"/>
      <c r="K104" s="675"/>
      <c r="L104" s="675"/>
      <c r="M104" s="675"/>
      <c r="N104" s="675"/>
      <c r="O104" s="675"/>
    </row>
    <row r="105" spans="2:47" x14ac:dyDescent="0.2">
      <c r="B105" s="1427" t="s">
        <v>1844</v>
      </c>
      <c r="O105" s="172" t="s">
        <v>1846</v>
      </c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</row>
    <row r="106" spans="2:47" ht="13.5" thickBot="1" x14ac:dyDescent="0.25">
      <c r="D106" s="1682" t="s">
        <v>67</v>
      </c>
      <c r="F106" s="1681">
        <v>2010</v>
      </c>
      <c r="G106" s="1681">
        <v>2015</v>
      </c>
      <c r="H106" s="1681">
        <v>2020</v>
      </c>
      <c r="I106" s="1681">
        <v>2025</v>
      </c>
      <c r="J106" s="1681">
        <v>2030</v>
      </c>
      <c r="K106" s="1681">
        <v>2035</v>
      </c>
      <c r="L106" s="1681">
        <v>2040</v>
      </c>
      <c r="M106" s="1681">
        <v>2045</v>
      </c>
      <c r="N106" s="1681">
        <v>2050</v>
      </c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</row>
    <row r="107" spans="2:47" ht="13.5" thickTop="1" x14ac:dyDescent="0.2">
      <c r="D107" s="1684" t="s">
        <v>1791</v>
      </c>
      <c r="F107" s="1689">
        <f t="shared" ref="F107:N107" ca="1" si="42">F103</f>
        <v>247216.41978684979</v>
      </c>
      <c r="G107" s="1689">
        <f t="shared" ca="1" si="42"/>
        <v>58526.219488960684</v>
      </c>
      <c r="H107" s="1689">
        <f t="shared" ca="1" si="42"/>
        <v>56623.767683967119</v>
      </c>
      <c r="I107" s="1689">
        <f t="shared" ca="1" si="42"/>
        <v>53554.216569066273</v>
      </c>
      <c r="J107" s="1689">
        <f t="shared" ca="1" si="42"/>
        <v>49984.631011319165</v>
      </c>
      <c r="K107" s="1689">
        <f t="shared" ca="1" si="42"/>
        <v>46883.909291800126</v>
      </c>
      <c r="L107" s="1689">
        <f t="shared" ca="1" si="42"/>
        <v>44473.498112753332</v>
      </c>
      <c r="M107" s="1689">
        <f t="shared" ca="1" si="42"/>
        <v>44342.162138723528</v>
      </c>
      <c r="N107" s="1689">
        <f t="shared" ca="1" si="42"/>
        <v>48262.897037029856</v>
      </c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</row>
    <row r="108" spans="2:47" x14ac:dyDescent="0.2">
      <c r="C108" s="1672"/>
      <c r="D108" s="1686" t="s">
        <v>1794</v>
      </c>
      <c r="F108" s="1691">
        <f t="shared" ref="F108:N108" ca="1" si="43">Q103</f>
        <v>439803.99843242078</v>
      </c>
      <c r="G108" s="1691">
        <f t="shared" ca="1" si="43"/>
        <v>28189.598442431357</v>
      </c>
      <c r="H108" s="1691">
        <f t="shared" ca="1" si="43"/>
        <v>22908.445051270435</v>
      </c>
      <c r="I108" s="1691">
        <f t="shared" ca="1" si="43"/>
        <v>20378.750465064633</v>
      </c>
      <c r="J108" s="1691">
        <f t="shared" ca="1" si="43"/>
        <v>19676.103403941179</v>
      </c>
      <c r="K108" s="1691">
        <f t="shared" ca="1" si="43"/>
        <v>20201.762023131138</v>
      </c>
      <c r="L108" s="1691">
        <f t="shared" ca="1" si="43"/>
        <v>21841.110405290958</v>
      </c>
      <c r="M108" s="1691">
        <f t="shared" ca="1" si="43"/>
        <v>24075.235845299288</v>
      </c>
      <c r="N108" s="1691">
        <f t="shared" ca="1" si="43"/>
        <v>26253.286714515038</v>
      </c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</row>
    <row r="109" spans="2:47" x14ac:dyDescent="0.2">
      <c r="D109" s="1684" t="s">
        <v>1795</v>
      </c>
      <c r="F109" s="1689">
        <f t="shared" ref="F109:N109" ca="1" si="44">AB103</f>
        <v>23820.433697006953</v>
      </c>
      <c r="G109" s="1689">
        <f t="shared" ca="1" si="44"/>
        <v>4731.8288668272844</v>
      </c>
      <c r="H109" s="1689">
        <f t="shared" ca="1" si="44"/>
        <v>2530.8165664109088</v>
      </c>
      <c r="I109" s="1689">
        <f t="shared" ca="1" si="44"/>
        <v>2854.8450480964543</v>
      </c>
      <c r="J109" s="1689">
        <f t="shared" ca="1" si="44"/>
        <v>5178.8527998025374</v>
      </c>
      <c r="K109" s="1689">
        <f t="shared" ca="1" si="44"/>
        <v>8199.7282602033702</v>
      </c>
      <c r="L109" s="1689">
        <f t="shared" ca="1" si="44"/>
        <v>11282.217797827732</v>
      </c>
      <c r="M109" s="1689">
        <f t="shared" ca="1" si="44"/>
        <v>14380.185120458507</v>
      </c>
      <c r="N109" s="1689">
        <f t="shared" ca="1" si="44"/>
        <v>17447.950090175171</v>
      </c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</row>
    <row r="110" spans="2:47" x14ac:dyDescent="0.2">
      <c r="B110" s="1427"/>
      <c r="D110" s="2058" t="s">
        <v>1792</v>
      </c>
      <c r="F110" s="1691">
        <f t="shared" ref="F110:N110" ca="1" si="45">AM103</f>
        <v>0</v>
      </c>
      <c r="G110" s="1691">
        <f t="shared" ca="1" si="45"/>
        <v>0</v>
      </c>
      <c r="H110" s="1691">
        <f t="shared" ca="1" si="45"/>
        <v>0</v>
      </c>
      <c r="I110" s="1691">
        <f t="shared" ca="1" si="45"/>
        <v>0</v>
      </c>
      <c r="J110" s="1691">
        <f t="shared" ca="1" si="45"/>
        <v>0</v>
      </c>
      <c r="K110" s="1691">
        <f t="shared" ca="1" si="45"/>
        <v>0</v>
      </c>
      <c r="L110" s="1691">
        <f t="shared" ca="1" si="45"/>
        <v>0</v>
      </c>
      <c r="M110" s="1691">
        <f t="shared" ca="1" si="45"/>
        <v>0</v>
      </c>
      <c r="N110" s="1691">
        <f t="shared" ca="1" si="45"/>
        <v>0</v>
      </c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</row>
    <row r="111" spans="2:47" x14ac:dyDescent="0.2">
      <c r="B111" s="1427"/>
      <c r="D111" s="1684" t="s">
        <v>1845</v>
      </c>
      <c r="F111" s="1689">
        <f t="shared" ref="F111:N111" ca="1" si="46">SUM(F107:F110)</f>
        <v>710840.85191627743</v>
      </c>
      <c r="G111" s="1689">
        <f t="shared" ca="1" si="46"/>
        <v>91447.646798219328</v>
      </c>
      <c r="H111" s="1689">
        <f t="shared" ca="1" si="46"/>
        <v>82063.029301648465</v>
      </c>
      <c r="I111" s="1689">
        <f t="shared" ca="1" si="46"/>
        <v>76787.812082227363</v>
      </c>
      <c r="J111" s="1689">
        <f t="shared" ca="1" si="46"/>
        <v>74839.587215062886</v>
      </c>
      <c r="K111" s="1689">
        <f t="shared" ca="1" si="46"/>
        <v>75285.399575134637</v>
      </c>
      <c r="L111" s="1689">
        <f t="shared" ca="1" si="46"/>
        <v>77596.826315872022</v>
      </c>
      <c r="M111" s="1689">
        <f t="shared" ca="1" si="46"/>
        <v>82797.583104481324</v>
      </c>
      <c r="N111" s="1689">
        <f t="shared" ca="1" si="46"/>
        <v>91964.13384172006</v>
      </c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</row>
    <row r="112" spans="2:47" x14ac:dyDescent="0.2">
      <c r="B112" s="1427"/>
      <c r="G112" s="675"/>
      <c r="H112" s="675"/>
      <c r="I112" s="675"/>
      <c r="J112" s="675"/>
      <c r="K112" s="675"/>
      <c r="L112" s="675"/>
      <c r="M112" s="675"/>
      <c r="N112" s="675"/>
      <c r="O112" s="675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</row>
    <row r="113" spans="2:48" customFormat="1" x14ac:dyDescent="0.2">
      <c r="B113" s="2022"/>
      <c r="C113" s="39" t="s">
        <v>1847</v>
      </c>
      <c r="D113" s="2022" t="s">
        <v>1845</v>
      </c>
      <c r="E113" s="2022"/>
      <c r="F113" s="1736">
        <v>310998.92335487128</v>
      </c>
      <c r="G113" s="1736">
        <v>206943.53075635535</v>
      </c>
      <c r="H113" s="1736">
        <v>174115.98475018272</v>
      </c>
      <c r="I113" s="1736">
        <v>167512.24973631499</v>
      </c>
      <c r="J113" s="1736">
        <v>163385.56063509747</v>
      </c>
      <c r="K113" s="1736">
        <v>167972.12357767895</v>
      </c>
      <c r="L113" s="1736">
        <v>173222.22421443494</v>
      </c>
      <c r="M113" s="1736">
        <v>180380.30927386228</v>
      </c>
      <c r="N113" s="1736">
        <v>188310.65504118972</v>
      </c>
      <c r="O113" s="2022"/>
      <c r="P113" s="2022"/>
      <c r="Q113" s="2022"/>
      <c r="R113" s="2022"/>
      <c r="S113" s="2022"/>
      <c r="T113" s="2022"/>
      <c r="U113" s="2022"/>
      <c r="AR113" s="2022"/>
      <c r="AS113" s="2022"/>
      <c r="AT113" s="2022"/>
      <c r="AU113" s="2022"/>
    </row>
    <row r="114" spans="2:48" s="2168" customFormat="1" x14ac:dyDescent="0.2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</row>
    <row r="115" spans="2:48" s="2168" customFormat="1" x14ac:dyDescent="0.2">
      <c r="B115" s="2168" t="s">
        <v>1959</v>
      </c>
    </row>
    <row r="116" spans="2:48" s="2168" customFormat="1" x14ac:dyDescent="0.2">
      <c r="B116" s="1427" t="s">
        <v>1839</v>
      </c>
      <c r="F116" s="1427" t="s">
        <v>1787</v>
      </c>
      <c r="G116" s="1427" t="s">
        <v>1791</v>
      </c>
      <c r="H116" s="1427"/>
      <c r="I116" s="1427"/>
      <c r="J116" s="1427"/>
      <c r="K116" s="1427"/>
      <c r="L116" s="1427"/>
      <c r="M116" s="1427"/>
      <c r="N116" s="1427"/>
      <c r="O116" s="172" t="s">
        <v>1838</v>
      </c>
      <c r="Q116" s="1427" t="s">
        <v>1794</v>
      </c>
      <c r="R116" s="1427" t="s">
        <v>1788</v>
      </c>
      <c r="S116" s="1427"/>
      <c r="T116" s="1427"/>
      <c r="U116" s="1427"/>
      <c r="V116" s="1427"/>
      <c r="W116" s="1427"/>
      <c r="X116" s="1427"/>
      <c r="Y116" s="1427"/>
      <c r="Z116" s="172" t="s">
        <v>1838</v>
      </c>
      <c r="AB116" s="1427" t="s">
        <v>1795</v>
      </c>
      <c r="AC116" s="1427" t="s">
        <v>1789</v>
      </c>
      <c r="AD116" s="1427"/>
      <c r="AE116" s="1427"/>
      <c r="AF116" s="1427"/>
      <c r="AG116" s="1427"/>
      <c r="AH116" s="1427"/>
      <c r="AI116" s="1427"/>
      <c r="AJ116" s="1427"/>
      <c r="AK116" s="172" t="s">
        <v>1838</v>
      </c>
      <c r="AM116" s="1427" t="s">
        <v>1792</v>
      </c>
      <c r="AN116" s="1427" t="s">
        <v>1790</v>
      </c>
      <c r="AO116" s="1427"/>
      <c r="AP116" s="1427"/>
      <c r="AQ116" s="1427"/>
      <c r="AR116" s="1427"/>
      <c r="AS116" s="1427"/>
      <c r="AT116" s="1427"/>
      <c r="AU116" s="1427"/>
      <c r="AV116" s="172" t="s">
        <v>1838</v>
      </c>
    </row>
    <row r="117" spans="2:48" s="2168" customFormat="1" ht="13.5" thickBot="1" x14ac:dyDescent="0.25">
      <c r="B117" s="1681" t="s">
        <v>69</v>
      </c>
      <c r="C117" s="1681" t="s">
        <v>65</v>
      </c>
      <c r="D117" s="1682" t="s">
        <v>67</v>
      </c>
      <c r="F117" s="1681">
        <v>2010</v>
      </c>
      <c r="G117" s="1681">
        <v>2015</v>
      </c>
      <c r="H117" s="1681">
        <v>2020</v>
      </c>
      <c r="I117" s="1681">
        <v>2025</v>
      </c>
      <c r="J117" s="1681">
        <v>2030</v>
      </c>
      <c r="K117" s="1681">
        <v>2035</v>
      </c>
      <c r="L117" s="1681">
        <v>2040</v>
      </c>
      <c r="M117" s="1681">
        <v>2045</v>
      </c>
      <c r="N117" s="1681">
        <v>2050</v>
      </c>
      <c r="P117" s="1681">
        <v>2007</v>
      </c>
      <c r="Q117" s="1681">
        <v>2010</v>
      </c>
      <c r="R117" s="1681">
        <v>2015</v>
      </c>
      <c r="S117" s="1681">
        <v>2020</v>
      </c>
      <c r="T117" s="1681">
        <v>2025</v>
      </c>
      <c r="U117" s="1681">
        <v>2030</v>
      </c>
      <c r="V117" s="1681">
        <v>2035</v>
      </c>
      <c r="W117" s="1681">
        <v>2040</v>
      </c>
      <c r="X117" s="1681">
        <v>2045</v>
      </c>
      <c r="Y117" s="1681">
        <v>2050</v>
      </c>
      <c r="AA117" s="1681">
        <v>2007</v>
      </c>
      <c r="AB117" s="1681">
        <v>2010</v>
      </c>
      <c r="AC117" s="1681">
        <v>2015</v>
      </c>
      <c r="AD117" s="1681">
        <v>2020</v>
      </c>
      <c r="AE117" s="1681">
        <v>2025</v>
      </c>
      <c r="AF117" s="1681">
        <v>2030</v>
      </c>
      <c r="AG117" s="1681">
        <v>2035</v>
      </c>
      <c r="AH117" s="1681">
        <v>2040</v>
      </c>
      <c r="AI117" s="1681">
        <v>2045</v>
      </c>
      <c r="AJ117" s="1681">
        <v>2050</v>
      </c>
      <c r="AL117" s="1681">
        <v>2007</v>
      </c>
      <c r="AM117" s="1681">
        <v>2010</v>
      </c>
      <c r="AN117" s="1681">
        <v>2015</v>
      </c>
      <c r="AO117" s="1681">
        <v>2020</v>
      </c>
      <c r="AP117" s="1681">
        <v>2025</v>
      </c>
      <c r="AQ117" s="1681">
        <v>2030</v>
      </c>
      <c r="AR117" s="1681">
        <v>2035</v>
      </c>
      <c r="AS117" s="1681">
        <v>2040</v>
      </c>
      <c r="AT117" s="1681">
        <v>2045</v>
      </c>
      <c r="AU117" s="1681">
        <v>2050</v>
      </c>
    </row>
    <row r="118" spans="2:48" s="2168" customFormat="1" ht="13.5" thickTop="1" x14ac:dyDescent="0.2">
      <c r="B118" s="1683" t="s">
        <v>288</v>
      </c>
      <c r="C118" s="1683" t="s">
        <v>1218</v>
      </c>
      <c r="D118" s="1684" t="s">
        <v>1812</v>
      </c>
      <c r="F118" s="2028">
        <v>1</v>
      </c>
      <c r="G118" s="2028">
        <v>1</v>
      </c>
      <c r="H118" s="2028">
        <v>1</v>
      </c>
      <c r="I118" s="2028">
        <f t="shared" ref="I118:M121" si="47">$H118+($N118-$H118)*(I$117-$H$117)/($N$117-$H$117)</f>
        <v>0.875</v>
      </c>
      <c r="J118" s="2028">
        <f t="shared" si="47"/>
        <v>0.75</v>
      </c>
      <c r="K118" s="2028">
        <f t="shared" si="47"/>
        <v>0.625</v>
      </c>
      <c r="L118" s="2028">
        <f t="shared" si="47"/>
        <v>0.5</v>
      </c>
      <c r="M118" s="2028">
        <f t="shared" si="47"/>
        <v>0.375</v>
      </c>
      <c r="N118" s="2169">
        <v>0.25</v>
      </c>
      <c r="P118" s="2028">
        <v>1</v>
      </c>
      <c r="Q118" s="2028">
        <v>1</v>
      </c>
      <c r="R118" s="2028">
        <v>1</v>
      </c>
      <c r="S118" s="2028">
        <v>1</v>
      </c>
      <c r="T118" s="2028">
        <f t="shared" ref="T118:X121" si="48">$S118+($Y118-$S118)*(T$117-$S$117)/($Y$117-$S$117)</f>
        <v>0.91666666666666663</v>
      </c>
      <c r="U118" s="2028">
        <f t="shared" si="48"/>
        <v>0.83333333333333337</v>
      </c>
      <c r="V118" s="2028">
        <f t="shared" si="48"/>
        <v>0.75</v>
      </c>
      <c r="W118" s="2028">
        <f t="shared" si="48"/>
        <v>0.66666666666666674</v>
      </c>
      <c r="X118" s="2028">
        <f t="shared" si="48"/>
        <v>0.58333333333333326</v>
      </c>
      <c r="Y118" s="2169">
        <v>0.5</v>
      </c>
      <c r="AA118" s="2028">
        <v>1</v>
      </c>
      <c r="AB118" s="2028">
        <v>1</v>
      </c>
      <c r="AC118" s="2028">
        <v>1</v>
      </c>
      <c r="AD118" s="2028">
        <v>1</v>
      </c>
      <c r="AE118" s="2028">
        <f t="shared" ref="AE118:AI121" si="49">$AD118+($AJ118-$AD118)*(AE$117-$AD$117)/($AJ$117-$AD$117)</f>
        <v>0.96666666666666667</v>
      </c>
      <c r="AF118" s="2028">
        <f t="shared" si="49"/>
        <v>0.93333333333333335</v>
      </c>
      <c r="AG118" s="2028">
        <f t="shared" si="49"/>
        <v>0.9</v>
      </c>
      <c r="AH118" s="2028">
        <f t="shared" si="49"/>
        <v>0.8666666666666667</v>
      </c>
      <c r="AI118" s="2028">
        <f t="shared" si="49"/>
        <v>0.83333333333333337</v>
      </c>
      <c r="AJ118" s="2169">
        <v>0.8</v>
      </c>
      <c r="AL118" s="2028">
        <v>1</v>
      </c>
      <c r="AM118" s="2028">
        <v>1</v>
      </c>
      <c r="AN118" s="2028">
        <v>1</v>
      </c>
      <c r="AO118" s="2028">
        <v>1</v>
      </c>
      <c r="AP118" s="2028">
        <f t="shared" ref="AP118:AT121" si="50">$AO118+($AU118-$AO118)*(AP$117-$AO$117)/($AU$117-$AO$117)</f>
        <v>0.98333333333333339</v>
      </c>
      <c r="AQ118" s="2028">
        <f t="shared" si="50"/>
        <v>0.96666666666666667</v>
      </c>
      <c r="AR118" s="2028">
        <f t="shared" si="50"/>
        <v>0.95000000000000007</v>
      </c>
      <c r="AS118" s="2028">
        <f t="shared" si="50"/>
        <v>0.93333333333333335</v>
      </c>
      <c r="AT118" s="2028">
        <f t="shared" si="50"/>
        <v>0.91666666666666674</v>
      </c>
      <c r="AU118" s="2169">
        <v>0.9</v>
      </c>
    </row>
    <row r="119" spans="2:48" s="2168" customFormat="1" x14ac:dyDescent="0.2">
      <c r="B119" s="1685" t="s">
        <v>352</v>
      </c>
      <c r="C119" s="1685" t="s">
        <v>828</v>
      </c>
      <c r="D119" s="1686" t="s">
        <v>1812</v>
      </c>
      <c r="F119" s="2029">
        <v>1</v>
      </c>
      <c r="G119" s="2029">
        <v>1</v>
      </c>
      <c r="H119" s="2029">
        <v>1</v>
      </c>
      <c r="I119" s="2029">
        <f t="shared" si="47"/>
        <v>0.875</v>
      </c>
      <c r="J119" s="2029">
        <f t="shared" si="47"/>
        <v>0.75</v>
      </c>
      <c r="K119" s="2029">
        <f t="shared" si="47"/>
        <v>0.625</v>
      </c>
      <c r="L119" s="2029">
        <f t="shared" si="47"/>
        <v>0.5</v>
      </c>
      <c r="M119" s="2029">
        <f t="shared" si="47"/>
        <v>0.375</v>
      </c>
      <c r="N119" s="2169">
        <v>0.25</v>
      </c>
      <c r="P119" s="2029">
        <v>1</v>
      </c>
      <c r="Q119" s="2029">
        <v>1</v>
      </c>
      <c r="R119" s="2029">
        <v>1</v>
      </c>
      <c r="S119" s="2029">
        <v>1</v>
      </c>
      <c r="T119" s="2029">
        <f t="shared" si="48"/>
        <v>0.91666666666666663</v>
      </c>
      <c r="U119" s="2029">
        <f t="shared" si="48"/>
        <v>0.83333333333333337</v>
      </c>
      <c r="V119" s="2029">
        <f t="shared" si="48"/>
        <v>0.75</v>
      </c>
      <c r="W119" s="2029">
        <f t="shared" si="48"/>
        <v>0.66666666666666674</v>
      </c>
      <c r="X119" s="2029">
        <f t="shared" si="48"/>
        <v>0.58333333333333326</v>
      </c>
      <c r="Y119" s="2169">
        <v>0.5</v>
      </c>
      <c r="AA119" s="2029">
        <v>1</v>
      </c>
      <c r="AB119" s="2029">
        <v>1</v>
      </c>
      <c r="AC119" s="2029">
        <v>1</v>
      </c>
      <c r="AD119" s="2029">
        <v>1</v>
      </c>
      <c r="AE119" s="2029">
        <f t="shared" si="49"/>
        <v>0.96666666666666667</v>
      </c>
      <c r="AF119" s="2029">
        <f t="shared" si="49"/>
        <v>0.93333333333333335</v>
      </c>
      <c r="AG119" s="2029">
        <f t="shared" si="49"/>
        <v>0.9</v>
      </c>
      <c r="AH119" s="2029">
        <f t="shared" si="49"/>
        <v>0.8666666666666667</v>
      </c>
      <c r="AI119" s="2029">
        <f t="shared" si="49"/>
        <v>0.83333333333333337</v>
      </c>
      <c r="AJ119" s="2169">
        <v>0.8</v>
      </c>
      <c r="AL119" s="2029">
        <v>1</v>
      </c>
      <c r="AM119" s="2029">
        <v>1</v>
      </c>
      <c r="AN119" s="2029">
        <v>1</v>
      </c>
      <c r="AO119" s="2029">
        <v>1</v>
      </c>
      <c r="AP119" s="2029">
        <f t="shared" si="50"/>
        <v>0.98333333333333339</v>
      </c>
      <c r="AQ119" s="2029">
        <f t="shared" si="50"/>
        <v>0.96666666666666667</v>
      </c>
      <c r="AR119" s="2029">
        <f t="shared" si="50"/>
        <v>0.95000000000000007</v>
      </c>
      <c r="AS119" s="2029">
        <f t="shared" si="50"/>
        <v>0.93333333333333335</v>
      </c>
      <c r="AT119" s="2029">
        <f t="shared" si="50"/>
        <v>0.91666666666666674</v>
      </c>
      <c r="AU119" s="2169">
        <v>0.9</v>
      </c>
    </row>
    <row r="120" spans="2:48" s="2168" customFormat="1" x14ac:dyDescent="0.2">
      <c r="B120" s="1685" t="s">
        <v>2146</v>
      </c>
      <c r="C120" s="1685" t="s">
        <v>1218</v>
      </c>
      <c r="D120" s="1686" t="s">
        <v>1812</v>
      </c>
      <c r="E120" s="2370"/>
      <c r="F120" s="2029">
        <v>1</v>
      </c>
      <c r="G120" s="2029">
        <v>1</v>
      </c>
      <c r="H120" s="2029">
        <v>1</v>
      </c>
      <c r="I120" s="2029">
        <f t="shared" si="47"/>
        <v>0.875</v>
      </c>
      <c r="J120" s="2029">
        <f t="shared" si="47"/>
        <v>0.75</v>
      </c>
      <c r="K120" s="2029">
        <f t="shared" si="47"/>
        <v>0.625</v>
      </c>
      <c r="L120" s="2029">
        <f t="shared" si="47"/>
        <v>0.5</v>
      </c>
      <c r="M120" s="2029">
        <f t="shared" si="47"/>
        <v>0.375</v>
      </c>
      <c r="N120" s="2169">
        <v>0.25</v>
      </c>
      <c r="O120" s="2370"/>
      <c r="P120" s="2029">
        <v>1</v>
      </c>
      <c r="Q120" s="2029">
        <v>1</v>
      </c>
      <c r="R120" s="2029">
        <v>1</v>
      </c>
      <c r="S120" s="2029">
        <v>1</v>
      </c>
      <c r="T120" s="2029">
        <f t="shared" si="48"/>
        <v>0.91666666666666663</v>
      </c>
      <c r="U120" s="2029">
        <f t="shared" si="48"/>
        <v>0.83333333333333337</v>
      </c>
      <c r="V120" s="2029">
        <f t="shared" si="48"/>
        <v>0.75</v>
      </c>
      <c r="W120" s="2029">
        <f t="shared" si="48"/>
        <v>0.66666666666666674</v>
      </c>
      <c r="X120" s="2029">
        <f t="shared" si="48"/>
        <v>0.58333333333333326</v>
      </c>
      <c r="Y120" s="2169">
        <v>0.5</v>
      </c>
      <c r="Z120" s="2370"/>
      <c r="AA120" s="2029">
        <v>1</v>
      </c>
      <c r="AB120" s="2029">
        <v>1</v>
      </c>
      <c r="AC120" s="2029">
        <v>1</v>
      </c>
      <c r="AD120" s="2029">
        <v>1</v>
      </c>
      <c r="AE120" s="2029">
        <f t="shared" si="49"/>
        <v>0.96666666666666667</v>
      </c>
      <c r="AF120" s="2029">
        <f t="shared" si="49"/>
        <v>0.93333333333333335</v>
      </c>
      <c r="AG120" s="2029">
        <f t="shared" si="49"/>
        <v>0.9</v>
      </c>
      <c r="AH120" s="2029">
        <f t="shared" si="49"/>
        <v>0.8666666666666667</v>
      </c>
      <c r="AI120" s="2029">
        <f t="shared" si="49"/>
        <v>0.83333333333333337</v>
      </c>
      <c r="AJ120" s="2169">
        <v>0.8</v>
      </c>
      <c r="AK120" s="2370"/>
      <c r="AL120" s="2029">
        <v>1</v>
      </c>
      <c r="AM120" s="2029">
        <v>1</v>
      </c>
      <c r="AN120" s="2029">
        <v>1</v>
      </c>
      <c r="AO120" s="2029">
        <v>1</v>
      </c>
      <c r="AP120" s="2029">
        <f t="shared" si="50"/>
        <v>1.1499999999999999</v>
      </c>
      <c r="AQ120" s="2029">
        <f t="shared" si="50"/>
        <v>1.3</v>
      </c>
      <c r="AR120" s="2029">
        <f t="shared" si="50"/>
        <v>1.45</v>
      </c>
      <c r="AS120" s="2029">
        <f t="shared" si="50"/>
        <v>1.6</v>
      </c>
      <c r="AT120" s="2029">
        <f t="shared" si="50"/>
        <v>1.75</v>
      </c>
      <c r="AU120" s="2169">
        <v>1.9</v>
      </c>
    </row>
    <row r="121" spans="2:48" s="2479" customFormat="1" x14ac:dyDescent="0.2">
      <c r="B121" s="1773" t="s">
        <v>2382</v>
      </c>
      <c r="C121" s="1685" t="s">
        <v>1218</v>
      </c>
      <c r="D121" s="1686" t="s">
        <v>1812</v>
      </c>
      <c r="F121" s="2029">
        <v>1</v>
      </c>
      <c r="G121" s="2029">
        <v>1</v>
      </c>
      <c r="H121" s="2029">
        <v>1</v>
      </c>
      <c r="I121" s="2029">
        <f t="shared" si="47"/>
        <v>0.875</v>
      </c>
      <c r="J121" s="2029">
        <f t="shared" si="47"/>
        <v>0.75</v>
      </c>
      <c r="K121" s="2029">
        <f t="shared" si="47"/>
        <v>0.625</v>
      </c>
      <c r="L121" s="2029">
        <f t="shared" si="47"/>
        <v>0.5</v>
      </c>
      <c r="M121" s="2029">
        <f t="shared" si="47"/>
        <v>0.375</v>
      </c>
      <c r="N121" s="2169">
        <v>0.25</v>
      </c>
      <c r="P121" s="2029">
        <v>1</v>
      </c>
      <c r="Q121" s="2029">
        <v>1</v>
      </c>
      <c r="R121" s="2029">
        <v>1</v>
      </c>
      <c r="S121" s="2029">
        <v>1</v>
      </c>
      <c r="T121" s="2029">
        <f t="shared" si="48"/>
        <v>0.91666666666666663</v>
      </c>
      <c r="U121" s="2029">
        <f t="shared" si="48"/>
        <v>0.83333333333333337</v>
      </c>
      <c r="V121" s="2029">
        <f t="shared" si="48"/>
        <v>0.75</v>
      </c>
      <c r="W121" s="2029">
        <f t="shared" si="48"/>
        <v>0.66666666666666674</v>
      </c>
      <c r="X121" s="2029">
        <f t="shared" si="48"/>
        <v>0.58333333333333326</v>
      </c>
      <c r="Y121" s="2169">
        <v>0.5</v>
      </c>
      <c r="AA121" s="2029">
        <v>1</v>
      </c>
      <c r="AB121" s="2029">
        <v>1</v>
      </c>
      <c r="AC121" s="2029">
        <v>1</v>
      </c>
      <c r="AD121" s="2029">
        <v>1</v>
      </c>
      <c r="AE121" s="2029">
        <f t="shared" si="49"/>
        <v>0.96666666666666667</v>
      </c>
      <c r="AF121" s="2029">
        <f t="shared" si="49"/>
        <v>0.93333333333333335</v>
      </c>
      <c r="AG121" s="2029">
        <f t="shared" si="49"/>
        <v>0.9</v>
      </c>
      <c r="AH121" s="2029">
        <f t="shared" si="49"/>
        <v>0.8666666666666667</v>
      </c>
      <c r="AI121" s="2029">
        <f t="shared" si="49"/>
        <v>0.83333333333333337</v>
      </c>
      <c r="AJ121" s="2169">
        <v>0.8</v>
      </c>
      <c r="AL121" s="2029">
        <v>1</v>
      </c>
      <c r="AM121" s="2029">
        <v>1</v>
      </c>
      <c r="AN121" s="2029">
        <v>1</v>
      </c>
      <c r="AO121" s="2029">
        <v>1</v>
      </c>
      <c r="AP121" s="2029">
        <f t="shared" si="50"/>
        <v>1.1499999999999999</v>
      </c>
      <c r="AQ121" s="2029">
        <f t="shared" si="50"/>
        <v>1.3</v>
      </c>
      <c r="AR121" s="2029">
        <f t="shared" si="50"/>
        <v>1.45</v>
      </c>
      <c r="AS121" s="2029">
        <f t="shared" si="50"/>
        <v>1.6</v>
      </c>
      <c r="AT121" s="2029">
        <f t="shared" si="50"/>
        <v>1.75</v>
      </c>
      <c r="AU121" s="2169">
        <v>1.9</v>
      </c>
    </row>
    <row r="122" spans="2:48" s="2168" customFormat="1" x14ac:dyDescent="0.2">
      <c r="B122" s="1683" t="s">
        <v>297</v>
      </c>
      <c r="C122" s="1683" t="s">
        <v>796</v>
      </c>
      <c r="D122" s="1684" t="s">
        <v>1812</v>
      </c>
      <c r="F122" s="2170"/>
      <c r="G122" s="2170"/>
      <c r="H122" s="2170"/>
      <c r="I122" s="2170"/>
      <c r="J122" s="2170"/>
      <c r="K122" s="2170"/>
      <c r="L122" s="2170"/>
      <c r="M122" s="2170"/>
      <c r="N122" s="2171"/>
      <c r="O122" s="2172"/>
      <c r="P122" s="2170"/>
      <c r="Q122" s="2170"/>
      <c r="R122" s="2170"/>
      <c r="S122" s="2170"/>
      <c r="T122" s="2170"/>
      <c r="U122" s="2170"/>
      <c r="V122" s="2170"/>
      <c r="W122" s="2170"/>
      <c r="X122" s="2170"/>
      <c r="Y122" s="2171"/>
      <c r="Z122" s="2172"/>
      <c r="AA122" s="2170"/>
      <c r="AB122" s="2170"/>
      <c r="AC122" s="2170"/>
      <c r="AD122" s="2170"/>
      <c r="AE122" s="2170"/>
      <c r="AF122" s="2170"/>
      <c r="AG122" s="2170"/>
      <c r="AH122" s="2170"/>
      <c r="AI122" s="2170"/>
      <c r="AJ122" s="2171"/>
      <c r="AK122" s="2172"/>
      <c r="AL122" s="2170"/>
      <c r="AM122" s="2170"/>
      <c r="AN122" s="2170"/>
      <c r="AO122" s="2170"/>
      <c r="AP122" s="2170"/>
      <c r="AQ122" s="2170"/>
      <c r="AR122" s="2170"/>
      <c r="AS122" s="2170"/>
      <c r="AT122" s="2170"/>
      <c r="AU122" s="2171"/>
    </row>
    <row r="123" spans="2:48" s="2168" customFormat="1" x14ac:dyDescent="0.2">
      <c r="B123" s="1685" t="s">
        <v>864</v>
      </c>
      <c r="C123" s="1685" t="s">
        <v>354</v>
      </c>
      <c r="D123" s="1686" t="s">
        <v>1812</v>
      </c>
      <c r="F123" s="2173"/>
      <c r="G123" s="2173"/>
      <c r="H123" s="2173"/>
      <c r="I123" s="2173"/>
      <c r="J123" s="2173"/>
      <c r="K123" s="2173"/>
      <c r="L123" s="2173"/>
      <c r="M123" s="2173"/>
      <c r="N123" s="2174"/>
      <c r="O123" s="2172"/>
      <c r="P123" s="2173"/>
      <c r="Q123" s="2173"/>
      <c r="R123" s="2173"/>
      <c r="S123" s="2173"/>
      <c r="T123" s="2173"/>
      <c r="U123" s="2173"/>
      <c r="V123" s="2173"/>
      <c r="W123" s="2173"/>
      <c r="X123" s="2173"/>
      <c r="Y123" s="2174"/>
      <c r="Z123" s="2172"/>
      <c r="AA123" s="2173"/>
      <c r="AB123" s="2173"/>
      <c r="AC123" s="2173"/>
      <c r="AD123" s="2173"/>
      <c r="AE123" s="2173"/>
      <c r="AF123" s="2173"/>
      <c r="AG123" s="2173"/>
      <c r="AH123" s="2173"/>
      <c r="AI123" s="2173"/>
      <c r="AJ123" s="2174"/>
      <c r="AK123" s="2172"/>
      <c r="AL123" s="2173"/>
      <c r="AM123" s="2173"/>
      <c r="AN123" s="2173"/>
      <c r="AO123" s="2173"/>
      <c r="AP123" s="2173"/>
      <c r="AQ123" s="2173"/>
      <c r="AR123" s="2173"/>
      <c r="AS123" s="2173"/>
      <c r="AT123" s="2173"/>
      <c r="AU123" s="2174"/>
    </row>
    <row r="124" spans="2:48" s="2168" customFormat="1" x14ac:dyDescent="0.2">
      <c r="B124" s="1773" t="s">
        <v>2425</v>
      </c>
      <c r="C124" s="1685" t="s">
        <v>56</v>
      </c>
      <c r="D124" s="1686" t="s">
        <v>1812</v>
      </c>
      <c r="F124" s="2173"/>
      <c r="G124" s="2173"/>
      <c r="H124" s="2173"/>
      <c r="I124" s="2173"/>
      <c r="J124" s="2173"/>
      <c r="K124" s="2173"/>
      <c r="L124" s="2173"/>
      <c r="M124" s="2173"/>
      <c r="N124" s="2174"/>
      <c r="O124" s="2172"/>
      <c r="P124" s="2173"/>
      <c r="Q124" s="2173"/>
      <c r="R124" s="2173"/>
      <c r="S124" s="2173"/>
      <c r="T124" s="2173"/>
      <c r="U124" s="2173"/>
      <c r="V124" s="2173"/>
      <c r="W124" s="2173"/>
      <c r="X124" s="2173"/>
      <c r="Y124" s="2174"/>
      <c r="Z124" s="2172"/>
      <c r="AA124" s="2173"/>
      <c r="AB124" s="2173"/>
      <c r="AC124" s="2173"/>
      <c r="AD124" s="2173"/>
      <c r="AE124" s="2173"/>
      <c r="AF124" s="2173"/>
      <c r="AG124" s="2173"/>
      <c r="AH124" s="2173"/>
      <c r="AI124" s="2173"/>
      <c r="AJ124" s="2174"/>
      <c r="AK124" s="2172"/>
      <c r="AL124" s="2173"/>
      <c r="AM124" s="2173"/>
      <c r="AN124" s="2173"/>
      <c r="AO124" s="2173"/>
      <c r="AP124" s="2173"/>
      <c r="AQ124" s="2173"/>
      <c r="AR124" s="2173"/>
      <c r="AS124" s="2173"/>
      <c r="AT124" s="2173"/>
      <c r="AU124" s="2174"/>
    </row>
    <row r="125" spans="2:48" s="2479" customFormat="1" x14ac:dyDescent="0.2">
      <c r="B125" s="1773" t="s">
        <v>2426</v>
      </c>
      <c r="C125" s="1685" t="s">
        <v>56</v>
      </c>
      <c r="D125" s="1686" t="s">
        <v>1812</v>
      </c>
      <c r="F125" s="2173"/>
      <c r="G125" s="2173"/>
      <c r="H125" s="2173"/>
      <c r="I125" s="2173"/>
      <c r="J125" s="2173"/>
      <c r="K125" s="2173"/>
      <c r="L125" s="2173"/>
      <c r="M125" s="2173"/>
      <c r="N125" s="2174"/>
      <c r="O125" s="2172"/>
      <c r="P125" s="2173"/>
      <c r="Q125" s="2173"/>
      <c r="R125" s="2173"/>
      <c r="S125" s="2173"/>
      <c r="T125" s="2173"/>
      <c r="U125" s="2173"/>
      <c r="V125" s="2173"/>
      <c r="W125" s="2173"/>
      <c r="X125" s="2173"/>
      <c r="Y125" s="2174"/>
      <c r="Z125" s="2172"/>
      <c r="AA125" s="2173"/>
      <c r="AB125" s="2173"/>
      <c r="AC125" s="2173"/>
      <c r="AD125" s="2173"/>
      <c r="AE125" s="2173"/>
      <c r="AF125" s="2173"/>
      <c r="AG125" s="2173"/>
      <c r="AH125" s="2173"/>
      <c r="AI125" s="2173"/>
      <c r="AJ125" s="2174"/>
      <c r="AK125" s="2172"/>
      <c r="AL125" s="2173"/>
      <c r="AM125" s="2173"/>
      <c r="AN125" s="2173"/>
      <c r="AO125" s="2173"/>
      <c r="AP125" s="2173"/>
      <c r="AQ125" s="2173"/>
      <c r="AR125" s="2173"/>
      <c r="AS125" s="2173"/>
      <c r="AT125" s="2173"/>
      <c r="AU125" s="2174"/>
    </row>
    <row r="126" spans="2:48" s="2479" customFormat="1" x14ac:dyDescent="0.2">
      <c r="B126" s="1773" t="s">
        <v>2364</v>
      </c>
      <c r="C126" s="1685" t="s">
        <v>56</v>
      </c>
      <c r="D126" s="1686" t="s">
        <v>1812</v>
      </c>
      <c r="F126" s="2173"/>
      <c r="G126" s="2173"/>
      <c r="H126" s="2173"/>
      <c r="I126" s="2173"/>
      <c r="J126" s="2173"/>
      <c r="K126" s="2173"/>
      <c r="L126" s="2173"/>
      <c r="M126" s="2173"/>
      <c r="N126" s="2174"/>
      <c r="O126" s="2172"/>
      <c r="P126" s="2173"/>
      <c r="Q126" s="2173"/>
      <c r="R126" s="2173"/>
      <c r="S126" s="2173"/>
      <c r="T126" s="2173"/>
      <c r="U126" s="2173"/>
      <c r="V126" s="2173"/>
      <c r="W126" s="2173"/>
      <c r="X126" s="2173"/>
      <c r="Y126" s="2174"/>
      <c r="Z126" s="2172"/>
      <c r="AA126" s="2173"/>
      <c r="AB126" s="2173"/>
      <c r="AC126" s="2173"/>
      <c r="AD126" s="2173"/>
      <c r="AE126" s="2173"/>
      <c r="AF126" s="2173"/>
      <c r="AG126" s="2173"/>
      <c r="AH126" s="2173"/>
      <c r="AI126" s="2173"/>
      <c r="AJ126" s="2174"/>
      <c r="AK126" s="2172"/>
      <c r="AL126" s="2173"/>
      <c r="AM126" s="2173"/>
      <c r="AN126" s="2173"/>
      <c r="AO126" s="2173"/>
      <c r="AP126" s="2173"/>
      <c r="AQ126" s="2173"/>
      <c r="AR126" s="2173"/>
      <c r="AS126" s="2173"/>
      <c r="AT126" s="2173"/>
      <c r="AU126" s="2174"/>
    </row>
    <row r="127" spans="2:48" s="2479" customFormat="1" x14ac:dyDescent="0.2">
      <c r="B127" s="1773" t="s">
        <v>2376</v>
      </c>
      <c r="C127" s="1685" t="s">
        <v>56</v>
      </c>
      <c r="D127" s="1686" t="s">
        <v>1812</v>
      </c>
      <c r="F127" s="2173"/>
      <c r="G127" s="2173"/>
      <c r="H127" s="2173"/>
      <c r="I127" s="2173"/>
      <c r="J127" s="2173"/>
      <c r="K127" s="2173"/>
      <c r="L127" s="2173"/>
      <c r="M127" s="2173"/>
      <c r="N127" s="2174"/>
      <c r="O127" s="2172"/>
      <c r="P127" s="2173"/>
      <c r="Q127" s="2173"/>
      <c r="R127" s="2173"/>
      <c r="S127" s="2173"/>
      <c r="T127" s="2173"/>
      <c r="U127" s="2173"/>
      <c r="V127" s="2173"/>
      <c r="W127" s="2173"/>
      <c r="X127" s="2173"/>
      <c r="Y127" s="2174"/>
      <c r="Z127" s="2172"/>
      <c r="AA127" s="2173"/>
      <c r="AB127" s="2173"/>
      <c r="AC127" s="2173"/>
      <c r="AD127" s="2173"/>
      <c r="AE127" s="2173"/>
      <c r="AF127" s="2173"/>
      <c r="AG127" s="2173"/>
      <c r="AH127" s="2173"/>
      <c r="AI127" s="2173"/>
      <c r="AJ127" s="2174"/>
      <c r="AK127" s="2172"/>
      <c r="AL127" s="2173"/>
      <c r="AM127" s="2173"/>
      <c r="AN127" s="2173"/>
      <c r="AO127" s="2173"/>
      <c r="AP127" s="2173"/>
      <c r="AQ127" s="2173"/>
      <c r="AR127" s="2173"/>
      <c r="AS127" s="2173"/>
      <c r="AT127" s="2173"/>
      <c r="AU127" s="2174"/>
    </row>
    <row r="128" spans="2:48" s="2168" customFormat="1" x14ac:dyDescent="0.2">
      <c r="B128" s="1683" t="s">
        <v>409</v>
      </c>
      <c r="C128" s="1683" t="s">
        <v>793</v>
      </c>
      <c r="D128" s="1684" t="s">
        <v>1812</v>
      </c>
      <c r="F128" s="2170"/>
      <c r="G128" s="2170"/>
      <c r="H128" s="2170"/>
      <c r="I128" s="2170"/>
      <c r="J128" s="2170"/>
      <c r="K128" s="2170"/>
      <c r="L128" s="2170"/>
      <c r="M128" s="2170"/>
      <c r="N128" s="2171"/>
      <c r="O128" s="2172"/>
      <c r="P128" s="2170"/>
      <c r="Q128" s="2170"/>
      <c r="R128" s="2170"/>
      <c r="S128" s="2170"/>
      <c r="T128" s="2170"/>
      <c r="U128" s="2170"/>
      <c r="V128" s="2170"/>
      <c r="W128" s="2170"/>
      <c r="X128" s="2170"/>
      <c r="Y128" s="2171"/>
      <c r="Z128" s="2172"/>
      <c r="AA128" s="2170"/>
      <c r="AB128" s="2170"/>
      <c r="AC128" s="2170"/>
      <c r="AD128" s="2170"/>
      <c r="AE128" s="2170"/>
      <c r="AF128" s="2170"/>
      <c r="AG128" s="2170"/>
      <c r="AH128" s="2170"/>
      <c r="AI128" s="2170"/>
      <c r="AJ128" s="2171"/>
      <c r="AK128" s="2172"/>
      <c r="AL128" s="2170"/>
      <c r="AM128" s="2170"/>
      <c r="AN128" s="2170"/>
      <c r="AO128" s="2170"/>
      <c r="AP128" s="2170"/>
      <c r="AQ128" s="2170"/>
      <c r="AR128" s="2170"/>
      <c r="AS128" s="2170"/>
      <c r="AT128" s="2170"/>
      <c r="AU128" s="2171"/>
    </row>
    <row r="129" spans="2:47" s="2168" customFormat="1" x14ac:dyDescent="0.2">
      <c r="B129" s="1685" t="s">
        <v>400</v>
      </c>
      <c r="C129" s="1685" t="s">
        <v>1390</v>
      </c>
      <c r="D129" s="1686" t="s">
        <v>1824</v>
      </c>
      <c r="F129" s="2173"/>
      <c r="G129" s="2173"/>
      <c r="H129" s="2173"/>
      <c r="I129" s="2173"/>
      <c r="J129" s="2173"/>
      <c r="K129" s="2173"/>
      <c r="L129" s="2173"/>
      <c r="M129" s="2173"/>
      <c r="N129" s="2174"/>
      <c r="O129" s="2172"/>
      <c r="P129" s="2173"/>
      <c r="Q129" s="2173"/>
      <c r="R129" s="2173"/>
      <c r="S129" s="2173"/>
      <c r="T129" s="2173"/>
      <c r="U129" s="2173"/>
      <c r="V129" s="2173"/>
      <c r="W129" s="2173"/>
      <c r="X129" s="2173"/>
      <c r="Y129" s="2174"/>
      <c r="Z129" s="2172"/>
      <c r="AA129" s="2173"/>
      <c r="AB129" s="2173"/>
      <c r="AC129" s="2173"/>
      <c r="AD129" s="2173"/>
      <c r="AE129" s="2173"/>
      <c r="AF129" s="2173"/>
      <c r="AG129" s="2173"/>
      <c r="AH129" s="2173"/>
      <c r="AI129" s="2173"/>
      <c r="AJ129" s="2174"/>
      <c r="AK129" s="2172"/>
      <c r="AL129" s="2173"/>
      <c r="AM129" s="2173"/>
      <c r="AN129" s="2173"/>
      <c r="AO129" s="2173"/>
      <c r="AP129" s="2173"/>
      <c r="AQ129" s="2173"/>
      <c r="AR129" s="2173"/>
      <c r="AS129" s="2173"/>
      <c r="AT129" s="2173"/>
      <c r="AU129" s="2174"/>
    </row>
    <row r="130" spans="2:47" s="2168" customFormat="1" x14ac:dyDescent="0.2">
      <c r="B130" s="1683" t="s">
        <v>838</v>
      </c>
      <c r="C130" s="1683" t="s">
        <v>839</v>
      </c>
      <c r="D130" s="1684" t="s">
        <v>1824</v>
      </c>
      <c r="F130" s="2170"/>
      <c r="G130" s="2170"/>
      <c r="H130" s="2170"/>
      <c r="I130" s="2170"/>
      <c r="J130" s="2170"/>
      <c r="K130" s="2170"/>
      <c r="L130" s="2170"/>
      <c r="M130" s="2170"/>
      <c r="N130" s="2171"/>
      <c r="O130" s="2172"/>
      <c r="P130" s="2170"/>
      <c r="Q130" s="2170"/>
      <c r="R130" s="2170"/>
      <c r="S130" s="2170"/>
      <c r="T130" s="2170"/>
      <c r="U130" s="2170"/>
      <c r="V130" s="2170"/>
      <c r="W130" s="2170"/>
      <c r="X130" s="2170"/>
      <c r="Y130" s="2171"/>
      <c r="Z130" s="2172"/>
      <c r="AA130" s="2170"/>
      <c r="AB130" s="2170"/>
      <c r="AC130" s="2170"/>
      <c r="AD130" s="2170"/>
      <c r="AE130" s="2170"/>
      <c r="AF130" s="2170"/>
      <c r="AG130" s="2170"/>
      <c r="AH130" s="2170"/>
      <c r="AI130" s="2170"/>
      <c r="AJ130" s="2171"/>
      <c r="AK130" s="2172"/>
      <c r="AL130" s="2170"/>
      <c r="AM130" s="2170"/>
      <c r="AN130" s="2170"/>
      <c r="AO130" s="2170"/>
      <c r="AP130" s="2170"/>
      <c r="AQ130" s="2170"/>
      <c r="AR130" s="2170"/>
      <c r="AS130" s="2170"/>
      <c r="AT130" s="2170"/>
      <c r="AU130" s="2171"/>
    </row>
    <row r="131" spans="2:47" s="2168" customFormat="1" x14ac:dyDescent="0.2">
      <c r="B131" s="1685" t="s">
        <v>380</v>
      </c>
      <c r="C131" s="1685" t="s">
        <v>1190</v>
      </c>
      <c r="D131" s="1686" t="s">
        <v>1824</v>
      </c>
      <c r="F131" s="2029">
        <v>1</v>
      </c>
      <c r="G131" s="2029">
        <v>1</v>
      </c>
      <c r="H131" s="2029">
        <v>1</v>
      </c>
      <c r="I131" s="2029">
        <f t="shared" ref="I131:M132" si="51">$H131+($N131-$H131)*(I$117-$H$117)/($N$117-$H$117)</f>
        <v>0.91666666666666663</v>
      </c>
      <c r="J131" s="2029">
        <f t="shared" si="51"/>
        <v>0.83333333333333337</v>
      </c>
      <c r="K131" s="2029">
        <f t="shared" si="51"/>
        <v>0.75</v>
      </c>
      <c r="L131" s="2029">
        <f t="shared" si="51"/>
        <v>0.66666666666666674</v>
      </c>
      <c r="M131" s="2029">
        <f t="shared" si="51"/>
        <v>0.58333333333333326</v>
      </c>
      <c r="N131" s="2175">
        <v>0.5</v>
      </c>
      <c r="P131" s="2029">
        <v>1</v>
      </c>
      <c r="Q131" s="2029">
        <v>1</v>
      </c>
      <c r="R131" s="2029">
        <v>1</v>
      </c>
      <c r="S131" s="2029">
        <v>1</v>
      </c>
      <c r="T131" s="2029">
        <f t="shared" ref="T131:X132" si="52">$S131+($Y131-$S131)*(T$117-$S$117)/($Y$117-$S$117)</f>
        <v>0.91666666666666663</v>
      </c>
      <c r="U131" s="2029">
        <f t="shared" si="52"/>
        <v>0.83333333333333337</v>
      </c>
      <c r="V131" s="2029">
        <f t="shared" si="52"/>
        <v>0.75</v>
      </c>
      <c r="W131" s="2029">
        <f t="shared" si="52"/>
        <v>0.66666666666666674</v>
      </c>
      <c r="X131" s="2029">
        <f t="shared" si="52"/>
        <v>0.58333333333333326</v>
      </c>
      <c r="Y131" s="2175">
        <v>0.5</v>
      </c>
      <c r="AA131" s="2029">
        <v>1</v>
      </c>
      <c r="AB131" s="2029">
        <v>1</v>
      </c>
      <c r="AC131" s="2029">
        <v>1</v>
      </c>
      <c r="AD131" s="2029">
        <v>1</v>
      </c>
      <c r="AE131" s="2029">
        <f t="shared" ref="AE131:AI132" si="53">$AD131+($AJ131-$AD131)*(AE$117-$AD$117)/($AJ$117-$AD$117)</f>
        <v>0.96666666666666667</v>
      </c>
      <c r="AF131" s="2029">
        <f t="shared" si="53"/>
        <v>0.93333333333333335</v>
      </c>
      <c r="AG131" s="2029">
        <f t="shared" si="53"/>
        <v>0.9</v>
      </c>
      <c r="AH131" s="2029">
        <f t="shared" si="53"/>
        <v>0.8666666666666667</v>
      </c>
      <c r="AI131" s="2029">
        <f t="shared" si="53"/>
        <v>0.83333333333333337</v>
      </c>
      <c r="AJ131" s="2175">
        <v>0.8</v>
      </c>
      <c r="AL131" s="2029">
        <v>1</v>
      </c>
      <c r="AM131" s="2029">
        <v>1</v>
      </c>
      <c r="AN131" s="2029">
        <v>1</v>
      </c>
      <c r="AO131" s="2029">
        <v>1</v>
      </c>
      <c r="AP131" s="2029">
        <f t="shared" ref="AP131:AT132" si="54">$AO131+($AU131-$AO131)*(AP$117-$AO$117)/($AU$117-$AO$117)</f>
        <v>0.91666666666666663</v>
      </c>
      <c r="AQ131" s="2029">
        <f t="shared" si="54"/>
        <v>0.83333333333333337</v>
      </c>
      <c r="AR131" s="2029">
        <f t="shared" si="54"/>
        <v>0.75</v>
      </c>
      <c r="AS131" s="2029">
        <f t="shared" si="54"/>
        <v>0.66666666666666674</v>
      </c>
      <c r="AT131" s="2029">
        <f t="shared" si="54"/>
        <v>0.58333333333333326</v>
      </c>
      <c r="AU131" s="2175">
        <v>0.5</v>
      </c>
    </row>
    <row r="132" spans="2:47" s="2168" customFormat="1" x14ac:dyDescent="0.2">
      <c r="B132" s="1683" t="s">
        <v>402</v>
      </c>
      <c r="C132" s="1683" t="s">
        <v>656</v>
      </c>
      <c r="D132" s="1684" t="s">
        <v>1824</v>
      </c>
      <c r="F132" s="2028">
        <v>1</v>
      </c>
      <c r="G132" s="2028">
        <v>1</v>
      </c>
      <c r="H132" s="2028">
        <v>1</v>
      </c>
      <c r="I132" s="2028">
        <f t="shared" si="51"/>
        <v>0.91666666666666663</v>
      </c>
      <c r="J132" s="2028">
        <f t="shared" si="51"/>
        <v>0.83333333333333337</v>
      </c>
      <c r="K132" s="2028">
        <f t="shared" si="51"/>
        <v>0.75</v>
      </c>
      <c r="L132" s="2028">
        <f t="shared" si="51"/>
        <v>0.66666666666666674</v>
      </c>
      <c r="M132" s="2028">
        <f t="shared" si="51"/>
        <v>0.58333333333333326</v>
      </c>
      <c r="N132" s="2175">
        <v>0.5</v>
      </c>
      <c r="P132" s="2028">
        <v>1</v>
      </c>
      <c r="Q132" s="2028">
        <v>1</v>
      </c>
      <c r="R132" s="2028">
        <v>1</v>
      </c>
      <c r="S132" s="2028">
        <v>1</v>
      </c>
      <c r="T132" s="2028">
        <f t="shared" si="52"/>
        <v>0.91666666666666663</v>
      </c>
      <c r="U132" s="2028">
        <f t="shared" si="52"/>
        <v>0.83333333333333337</v>
      </c>
      <c r="V132" s="2028">
        <f t="shared" si="52"/>
        <v>0.75</v>
      </c>
      <c r="W132" s="2028">
        <f t="shared" si="52"/>
        <v>0.66666666666666674</v>
      </c>
      <c r="X132" s="2028">
        <f t="shared" si="52"/>
        <v>0.58333333333333326</v>
      </c>
      <c r="Y132" s="2175">
        <v>0.5</v>
      </c>
      <c r="AA132" s="2028">
        <v>1</v>
      </c>
      <c r="AB132" s="2028">
        <v>1</v>
      </c>
      <c r="AC132" s="2028">
        <v>1</v>
      </c>
      <c r="AD132" s="2028">
        <v>1</v>
      </c>
      <c r="AE132" s="2028">
        <f t="shared" si="53"/>
        <v>0.8666666666666667</v>
      </c>
      <c r="AF132" s="2028">
        <f t="shared" si="53"/>
        <v>0.73333333333333339</v>
      </c>
      <c r="AG132" s="2028">
        <f t="shared" si="53"/>
        <v>0.6</v>
      </c>
      <c r="AH132" s="2028">
        <f t="shared" si="53"/>
        <v>0.46666666666666667</v>
      </c>
      <c r="AI132" s="2028">
        <f t="shared" si="53"/>
        <v>0.33333333333333337</v>
      </c>
      <c r="AJ132" s="2175">
        <v>0.2</v>
      </c>
      <c r="AL132" s="2028">
        <v>1</v>
      </c>
      <c r="AM132" s="2028">
        <v>1</v>
      </c>
      <c r="AN132" s="2028">
        <v>1</v>
      </c>
      <c r="AO132" s="2028">
        <v>1</v>
      </c>
      <c r="AP132" s="2028">
        <f t="shared" si="54"/>
        <v>0.91666666666666663</v>
      </c>
      <c r="AQ132" s="2028">
        <f t="shared" si="54"/>
        <v>0.83333333333333337</v>
      </c>
      <c r="AR132" s="2028">
        <f t="shared" si="54"/>
        <v>0.75</v>
      </c>
      <c r="AS132" s="2028">
        <f t="shared" si="54"/>
        <v>0.66666666666666674</v>
      </c>
      <c r="AT132" s="2028">
        <f t="shared" si="54"/>
        <v>0.58333333333333326</v>
      </c>
      <c r="AU132" s="2175">
        <v>0.5</v>
      </c>
    </row>
    <row r="133" spans="2:47" s="2168" customFormat="1" x14ac:dyDescent="0.2">
      <c r="B133" s="1685" t="s">
        <v>1159</v>
      </c>
      <c r="C133" s="1685" t="s">
        <v>1158</v>
      </c>
      <c r="D133" s="1686" t="s">
        <v>1824</v>
      </c>
      <c r="F133" s="2173"/>
      <c r="G133" s="2173"/>
      <c r="H133" s="2173"/>
      <c r="I133" s="2173"/>
      <c r="J133" s="2173"/>
      <c r="K133" s="2173"/>
      <c r="L133" s="2173"/>
      <c r="M133" s="2173"/>
      <c r="N133" s="2174"/>
      <c r="O133" s="2172"/>
      <c r="P133" s="2173"/>
      <c r="Q133" s="2173"/>
      <c r="R133" s="2173"/>
      <c r="S133" s="2173"/>
      <c r="T133" s="2173"/>
      <c r="U133" s="2173"/>
      <c r="V133" s="2173"/>
      <c r="W133" s="2173"/>
      <c r="X133" s="2173"/>
      <c r="Y133" s="2174"/>
      <c r="Z133" s="2172"/>
      <c r="AA133" s="2173"/>
      <c r="AB133" s="2173"/>
      <c r="AC133" s="2173"/>
      <c r="AD133" s="2173"/>
      <c r="AE133" s="2173"/>
      <c r="AF133" s="2173"/>
      <c r="AG133" s="2173"/>
      <c r="AH133" s="2173"/>
      <c r="AI133" s="2173"/>
      <c r="AJ133" s="2174"/>
      <c r="AK133" s="2172"/>
      <c r="AL133" s="2173"/>
      <c r="AM133" s="2173"/>
      <c r="AN133" s="2173"/>
      <c r="AO133" s="2173"/>
      <c r="AP133" s="2173"/>
      <c r="AQ133" s="2173"/>
      <c r="AR133" s="2173"/>
      <c r="AS133" s="2173"/>
      <c r="AT133" s="2173"/>
      <c r="AU133" s="2174"/>
    </row>
    <row r="134" spans="2:47" s="2168" customFormat="1" x14ac:dyDescent="0.2">
      <c r="B134" s="1683" t="s">
        <v>1611</v>
      </c>
      <c r="C134" s="1683" t="s">
        <v>43</v>
      </c>
      <c r="D134" s="1684" t="s">
        <v>1812</v>
      </c>
      <c r="F134" s="2170"/>
      <c r="G134" s="2170"/>
      <c r="H134" s="2170"/>
      <c r="I134" s="2170"/>
      <c r="J134" s="2170"/>
      <c r="K134" s="2170"/>
      <c r="L134" s="2170"/>
      <c r="M134" s="2170"/>
      <c r="N134" s="2171"/>
      <c r="O134" s="2172"/>
      <c r="P134" s="2170"/>
      <c r="Q134" s="2170"/>
      <c r="R134" s="2170"/>
      <c r="S134" s="2170"/>
      <c r="T134" s="2170"/>
      <c r="U134" s="2170"/>
      <c r="V134" s="2170"/>
      <c r="W134" s="2170"/>
      <c r="X134" s="2170"/>
      <c r="Y134" s="2171"/>
      <c r="Z134" s="2172"/>
      <c r="AA134" s="2170"/>
      <c r="AB134" s="2170"/>
      <c r="AC134" s="2170"/>
      <c r="AD134" s="2170"/>
      <c r="AE134" s="2170"/>
      <c r="AF134" s="2170"/>
      <c r="AG134" s="2170"/>
      <c r="AH134" s="2170"/>
      <c r="AI134" s="2170"/>
      <c r="AJ134" s="2171"/>
      <c r="AK134" s="2172"/>
      <c r="AL134" s="2170"/>
      <c r="AM134" s="2170"/>
      <c r="AN134" s="2170"/>
      <c r="AO134" s="2170"/>
      <c r="AP134" s="2170"/>
      <c r="AQ134" s="2170"/>
      <c r="AR134" s="2170"/>
      <c r="AS134" s="2170"/>
      <c r="AT134" s="2170"/>
      <c r="AU134" s="2171"/>
    </row>
    <row r="135" spans="2:47" s="2168" customFormat="1" x14ac:dyDescent="0.2">
      <c r="B135" s="1685" t="s">
        <v>1612</v>
      </c>
      <c r="C135" s="1685" t="s">
        <v>1610</v>
      </c>
      <c r="D135" s="1686" t="s">
        <v>1812</v>
      </c>
      <c r="F135" s="2173"/>
      <c r="G135" s="2173"/>
      <c r="H135" s="2173"/>
      <c r="I135" s="2173"/>
      <c r="J135" s="2173"/>
      <c r="K135" s="2173"/>
      <c r="L135" s="2173"/>
      <c r="M135" s="2173"/>
      <c r="N135" s="2174"/>
      <c r="O135" s="2172"/>
      <c r="P135" s="2173"/>
      <c r="Q135" s="2173"/>
      <c r="R135" s="2173"/>
      <c r="S135" s="2173"/>
      <c r="T135" s="2173"/>
      <c r="U135" s="2173"/>
      <c r="V135" s="2173"/>
      <c r="W135" s="2173"/>
      <c r="X135" s="2173"/>
      <c r="Y135" s="2174"/>
      <c r="Z135" s="2172"/>
      <c r="AA135" s="2173"/>
      <c r="AB135" s="2173"/>
      <c r="AC135" s="2173"/>
      <c r="AD135" s="2173"/>
      <c r="AE135" s="2173"/>
      <c r="AF135" s="2173"/>
      <c r="AG135" s="2173"/>
      <c r="AH135" s="2173"/>
      <c r="AI135" s="2173"/>
      <c r="AJ135" s="2174"/>
      <c r="AK135" s="2172"/>
      <c r="AL135" s="2173"/>
      <c r="AM135" s="2173"/>
      <c r="AN135" s="2173"/>
      <c r="AO135" s="2173"/>
      <c r="AP135" s="2173"/>
      <c r="AQ135" s="2173"/>
      <c r="AR135" s="2173"/>
      <c r="AS135" s="2173"/>
      <c r="AT135" s="2173"/>
      <c r="AU135" s="2174"/>
    </row>
    <row r="136" spans="2:47" s="2168" customFormat="1" x14ac:dyDescent="0.2">
      <c r="B136" s="1683" t="s">
        <v>313</v>
      </c>
      <c r="C136" s="1683" t="s">
        <v>306</v>
      </c>
      <c r="D136" s="1684" t="s">
        <v>1812</v>
      </c>
      <c r="F136" s="2170"/>
      <c r="G136" s="2170"/>
      <c r="H136" s="2170"/>
      <c r="I136" s="2170"/>
      <c r="J136" s="2170"/>
      <c r="K136" s="2170"/>
      <c r="L136" s="2170"/>
      <c r="M136" s="2170"/>
      <c r="N136" s="2171"/>
      <c r="O136" s="2172"/>
      <c r="P136" s="2170"/>
      <c r="Q136" s="2170"/>
      <c r="R136" s="2170"/>
      <c r="S136" s="2170"/>
      <c r="T136" s="2170"/>
      <c r="U136" s="2170"/>
      <c r="V136" s="2170"/>
      <c r="W136" s="2170"/>
      <c r="X136" s="2170"/>
      <c r="Y136" s="2171"/>
      <c r="Z136" s="2172"/>
      <c r="AA136" s="2170"/>
      <c r="AB136" s="2170"/>
      <c r="AC136" s="2170"/>
      <c r="AD136" s="2170"/>
      <c r="AE136" s="2170"/>
      <c r="AF136" s="2170"/>
      <c r="AG136" s="2170"/>
      <c r="AH136" s="2170"/>
      <c r="AI136" s="2170"/>
      <c r="AJ136" s="2171"/>
      <c r="AK136" s="2172"/>
      <c r="AL136" s="2170"/>
      <c r="AM136" s="2170"/>
      <c r="AN136" s="2170"/>
      <c r="AO136" s="2170"/>
      <c r="AP136" s="2170"/>
      <c r="AQ136" s="2170"/>
      <c r="AR136" s="2170"/>
      <c r="AS136" s="2170"/>
      <c r="AT136" s="2170"/>
      <c r="AU136" s="2171"/>
    </row>
    <row r="137" spans="2:47" s="2168" customFormat="1" x14ac:dyDescent="0.2">
      <c r="B137" s="1685" t="s">
        <v>321</v>
      </c>
      <c r="C137" s="1685" t="s">
        <v>947</v>
      </c>
      <c r="D137" s="1686" t="s">
        <v>1812</v>
      </c>
      <c r="F137" s="2173"/>
      <c r="G137" s="2173"/>
      <c r="H137" s="2173"/>
      <c r="I137" s="2173"/>
      <c r="J137" s="2173"/>
      <c r="K137" s="2173"/>
      <c r="L137" s="2173"/>
      <c r="M137" s="2173"/>
      <c r="N137" s="2174"/>
      <c r="O137" s="2172"/>
      <c r="P137" s="2173"/>
      <c r="Q137" s="2173"/>
      <c r="R137" s="2173"/>
      <c r="S137" s="2173"/>
      <c r="T137" s="2173"/>
      <c r="U137" s="2173"/>
      <c r="V137" s="2173"/>
      <c r="W137" s="2173"/>
      <c r="X137" s="2173"/>
      <c r="Y137" s="2174"/>
      <c r="Z137" s="2172"/>
      <c r="AA137" s="2173"/>
      <c r="AB137" s="2173"/>
      <c r="AC137" s="2173"/>
      <c r="AD137" s="2173"/>
      <c r="AE137" s="2173"/>
      <c r="AF137" s="2173"/>
      <c r="AG137" s="2173"/>
      <c r="AH137" s="2173"/>
      <c r="AI137" s="2173"/>
      <c r="AJ137" s="2174"/>
      <c r="AK137" s="2172"/>
      <c r="AL137" s="2173"/>
      <c r="AM137" s="2173"/>
      <c r="AN137" s="2173"/>
      <c r="AO137" s="2173"/>
      <c r="AP137" s="2173"/>
      <c r="AQ137" s="2173"/>
      <c r="AR137" s="2173"/>
      <c r="AS137" s="2173"/>
      <c r="AT137" s="2173"/>
      <c r="AU137" s="2174"/>
    </row>
    <row r="138" spans="2:47" s="2168" customFormat="1" x14ac:dyDescent="0.2">
      <c r="B138" s="1773" t="s">
        <v>2427</v>
      </c>
      <c r="C138" s="1685" t="s">
        <v>1478</v>
      </c>
      <c r="D138" s="1686" t="s">
        <v>32</v>
      </c>
      <c r="F138" s="2029">
        <v>1</v>
      </c>
      <c r="G138" s="2029">
        <v>1</v>
      </c>
      <c r="H138" s="2029">
        <v>1</v>
      </c>
      <c r="I138" s="2029">
        <f t="shared" ref="I138:M150" si="55">$H138+($N138-$H138)*(I$117-$H$117)/($N$117-$H$117)</f>
        <v>0.83899999999999997</v>
      </c>
      <c r="J138" s="2029">
        <f t="shared" si="55"/>
        <v>0.67799999999999994</v>
      </c>
      <c r="K138" s="2029">
        <f t="shared" si="55"/>
        <v>0.51700000000000002</v>
      </c>
      <c r="L138" s="2029">
        <f t="shared" si="55"/>
        <v>0.35599999999999998</v>
      </c>
      <c r="M138" s="2029">
        <f t="shared" si="55"/>
        <v>0.19500000000000006</v>
      </c>
      <c r="N138" s="2169">
        <v>3.4000000000000002E-2</v>
      </c>
      <c r="P138" s="2029">
        <v>1</v>
      </c>
      <c r="Q138" s="2029">
        <v>1</v>
      </c>
      <c r="R138" s="2029">
        <v>1</v>
      </c>
      <c r="S138" s="2029">
        <v>1</v>
      </c>
      <c r="T138" s="2029">
        <f t="shared" ref="T138:X150" si="56">$S138+($Y138-$S138)*(T$117-$S$117)/($Y$117-$S$117)</f>
        <v>0.91666666666666663</v>
      </c>
      <c r="U138" s="2029">
        <f t="shared" si="56"/>
        <v>0.83333333333333337</v>
      </c>
      <c r="V138" s="2029">
        <f t="shared" si="56"/>
        <v>0.75</v>
      </c>
      <c r="W138" s="2029">
        <f t="shared" si="56"/>
        <v>0.66666666666666674</v>
      </c>
      <c r="X138" s="2029">
        <f t="shared" si="56"/>
        <v>0.58333333333333326</v>
      </c>
      <c r="Y138" s="2169">
        <v>0.5</v>
      </c>
      <c r="AA138" s="2029">
        <v>1</v>
      </c>
      <c r="AB138" s="2029">
        <v>1</v>
      </c>
      <c r="AC138" s="2029">
        <v>1</v>
      </c>
      <c r="AD138" s="2029">
        <v>1</v>
      </c>
      <c r="AE138" s="2029">
        <f t="shared" ref="AE138:AI150" si="57">$AD138+($AJ138-$AD138)*(AE$117-$AD$117)/($AJ$117-$AD$117)</f>
        <v>0.8833333333333333</v>
      </c>
      <c r="AF138" s="2029">
        <f t="shared" si="57"/>
        <v>0.76666666666666661</v>
      </c>
      <c r="AG138" s="2029">
        <f t="shared" si="57"/>
        <v>0.65</v>
      </c>
      <c r="AH138" s="2029">
        <f t="shared" si="57"/>
        <v>0.53333333333333333</v>
      </c>
      <c r="AI138" s="2029">
        <f t="shared" si="57"/>
        <v>0.41666666666666663</v>
      </c>
      <c r="AJ138" s="2169">
        <v>0.3</v>
      </c>
      <c r="AL138" s="2029">
        <v>1</v>
      </c>
      <c r="AM138" s="2029">
        <v>1</v>
      </c>
      <c r="AN138" s="2029">
        <v>1</v>
      </c>
      <c r="AO138" s="2029">
        <v>1</v>
      </c>
      <c r="AP138" s="2029">
        <f t="shared" ref="AP138:AT151" si="58">$AO138+($AU138-$AO138)*(AP$117-$AO$117)/($AU$117-$AO$117)</f>
        <v>0.91666666666666663</v>
      </c>
      <c r="AQ138" s="2029">
        <f t="shared" si="58"/>
        <v>0.83333333333333337</v>
      </c>
      <c r="AR138" s="2029">
        <f t="shared" si="58"/>
        <v>0.75</v>
      </c>
      <c r="AS138" s="2029">
        <f t="shared" si="58"/>
        <v>0.66666666666666674</v>
      </c>
      <c r="AT138" s="2029">
        <f t="shared" si="58"/>
        <v>0.58333333333333326</v>
      </c>
      <c r="AU138" s="2169">
        <v>0.5</v>
      </c>
    </row>
    <row r="139" spans="2:47" s="2168" customFormat="1" x14ac:dyDescent="0.2">
      <c r="B139" s="1685" t="s">
        <v>388</v>
      </c>
      <c r="C139" s="1685" t="s">
        <v>583</v>
      </c>
      <c r="D139" s="1686" t="s">
        <v>32</v>
      </c>
      <c r="F139" s="2029">
        <v>1</v>
      </c>
      <c r="G139" s="2029">
        <v>1</v>
      </c>
      <c r="H139" s="2029">
        <v>1</v>
      </c>
      <c r="I139" s="2029">
        <f t="shared" si="55"/>
        <v>0.84166666666666667</v>
      </c>
      <c r="J139" s="2029">
        <f t="shared" si="55"/>
        <v>0.68333333333333335</v>
      </c>
      <c r="K139" s="2029">
        <f t="shared" si="55"/>
        <v>0.52500000000000002</v>
      </c>
      <c r="L139" s="2029">
        <f t="shared" si="55"/>
        <v>0.3666666666666667</v>
      </c>
      <c r="M139" s="2029">
        <f t="shared" si="55"/>
        <v>0.20833333333333337</v>
      </c>
      <c r="N139" s="2169">
        <v>0.05</v>
      </c>
      <c r="P139" s="2029">
        <v>1</v>
      </c>
      <c r="Q139" s="2029">
        <v>1</v>
      </c>
      <c r="R139" s="2029">
        <v>1</v>
      </c>
      <c r="S139" s="2029">
        <v>1</v>
      </c>
      <c r="T139" s="2029">
        <f t="shared" si="56"/>
        <v>0.91666666666666663</v>
      </c>
      <c r="U139" s="2029">
        <f t="shared" si="56"/>
        <v>0.83333333333333337</v>
      </c>
      <c r="V139" s="2029">
        <f t="shared" si="56"/>
        <v>0.75</v>
      </c>
      <c r="W139" s="2029">
        <f t="shared" si="56"/>
        <v>0.66666666666666674</v>
      </c>
      <c r="X139" s="2029">
        <f t="shared" si="56"/>
        <v>0.58333333333333326</v>
      </c>
      <c r="Y139" s="2169">
        <v>0.5</v>
      </c>
      <c r="AA139" s="2029">
        <v>1</v>
      </c>
      <c r="AB139" s="2029">
        <v>1</v>
      </c>
      <c r="AC139" s="2029">
        <v>1</v>
      </c>
      <c r="AD139" s="2029">
        <v>1</v>
      </c>
      <c r="AE139" s="2029">
        <f t="shared" si="57"/>
        <v>0.8833333333333333</v>
      </c>
      <c r="AF139" s="2029">
        <f t="shared" si="57"/>
        <v>0.76666666666666661</v>
      </c>
      <c r="AG139" s="2029">
        <f t="shared" si="57"/>
        <v>0.65</v>
      </c>
      <c r="AH139" s="2029">
        <f t="shared" si="57"/>
        <v>0.53333333333333333</v>
      </c>
      <c r="AI139" s="2029">
        <f t="shared" si="57"/>
        <v>0.41666666666666663</v>
      </c>
      <c r="AJ139" s="2169">
        <v>0.3</v>
      </c>
      <c r="AL139" s="2029">
        <v>1</v>
      </c>
      <c r="AM139" s="2029">
        <v>1</v>
      </c>
      <c r="AN139" s="2029">
        <v>1</v>
      </c>
      <c r="AO139" s="2029">
        <v>1</v>
      </c>
      <c r="AP139" s="2029">
        <f t="shared" si="58"/>
        <v>0.91666666666666663</v>
      </c>
      <c r="AQ139" s="2029">
        <f t="shared" si="58"/>
        <v>0.83333333333333337</v>
      </c>
      <c r="AR139" s="2029">
        <f t="shared" si="58"/>
        <v>0.75</v>
      </c>
      <c r="AS139" s="2029">
        <f t="shared" si="58"/>
        <v>0.66666666666666674</v>
      </c>
      <c r="AT139" s="2029">
        <f t="shared" si="58"/>
        <v>0.58333333333333326</v>
      </c>
      <c r="AU139" s="2169">
        <v>0.5</v>
      </c>
    </row>
    <row r="140" spans="2:47" s="2168" customFormat="1" x14ac:dyDescent="0.2">
      <c r="B140" s="1683" t="s">
        <v>392</v>
      </c>
      <c r="C140" s="1683" t="s">
        <v>394</v>
      </c>
      <c r="D140" s="1684" t="s">
        <v>32</v>
      </c>
      <c r="F140" s="2028">
        <v>1</v>
      </c>
      <c r="G140" s="2028">
        <v>1</v>
      </c>
      <c r="H140" s="2028">
        <v>1</v>
      </c>
      <c r="I140" s="2028">
        <f t="shared" si="55"/>
        <v>0.98333333333333339</v>
      </c>
      <c r="J140" s="2028">
        <f t="shared" si="55"/>
        <v>0.96666666666666667</v>
      </c>
      <c r="K140" s="2028">
        <f t="shared" si="55"/>
        <v>0.95000000000000007</v>
      </c>
      <c r="L140" s="2028">
        <f t="shared" si="55"/>
        <v>0.93333333333333335</v>
      </c>
      <c r="M140" s="2028">
        <f t="shared" si="55"/>
        <v>0.91666666666666674</v>
      </c>
      <c r="N140" s="2175">
        <v>0.9</v>
      </c>
      <c r="P140" s="2028">
        <v>1</v>
      </c>
      <c r="Q140" s="2028">
        <v>1</v>
      </c>
      <c r="R140" s="2028">
        <v>1</v>
      </c>
      <c r="S140" s="2028">
        <v>1</v>
      </c>
      <c r="T140" s="2028">
        <f t="shared" si="56"/>
        <v>0.98333333333333339</v>
      </c>
      <c r="U140" s="2028">
        <f t="shared" si="56"/>
        <v>0.96666666666666667</v>
      </c>
      <c r="V140" s="2028">
        <f t="shared" si="56"/>
        <v>0.95000000000000007</v>
      </c>
      <c r="W140" s="2028">
        <f t="shared" si="56"/>
        <v>0.93333333333333335</v>
      </c>
      <c r="X140" s="2028">
        <f t="shared" si="56"/>
        <v>0.91666666666666674</v>
      </c>
      <c r="Y140" s="2175">
        <v>0.9</v>
      </c>
      <c r="AA140" s="2028">
        <v>1</v>
      </c>
      <c r="AB140" s="2028">
        <v>1</v>
      </c>
      <c r="AC140" s="2028">
        <v>1</v>
      </c>
      <c r="AD140" s="2028">
        <v>1</v>
      </c>
      <c r="AE140" s="2028">
        <f t="shared" si="57"/>
        <v>0.98333333333333339</v>
      </c>
      <c r="AF140" s="2028">
        <f t="shared" si="57"/>
        <v>0.96666666666666667</v>
      </c>
      <c r="AG140" s="2028">
        <f t="shared" si="57"/>
        <v>0.95000000000000007</v>
      </c>
      <c r="AH140" s="2028">
        <f t="shared" si="57"/>
        <v>0.93333333333333335</v>
      </c>
      <c r="AI140" s="2028">
        <f t="shared" si="57"/>
        <v>0.91666666666666674</v>
      </c>
      <c r="AJ140" s="2175">
        <v>0.9</v>
      </c>
      <c r="AL140" s="2028">
        <v>1</v>
      </c>
      <c r="AM140" s="2028">
        <v>1</v>
      </c>
      <c r="AN140" s="2028">
        <v>1</v>
      </c>
      <c r="AO140" s="2028">
        <v>1</v>
      </c>
      <c r="AP140" s="2028">
        <f t="shared" si="58"/>
        <v>0.98333333333333339</v>
      </c>
      <c r="AQ140" s="2028">
        <f t="shared" si="58"/>
        <v>0.96666666666666667</v>
      </c>
      <c r="AR140" s="2028">
        <f t="shared" si="58"/>
        <v>0.95000000000000007</v>
      </c>
      <c r="AS140" s="2028">
        <f t="shared" si="58"/>
        <v>0.93333333333333335</v>
      </c>
      <c r="AT140" s="2028">
        <f t="shared" si="58"/>
        <v>0.91666666666666674</v>
      </c>
      <c r="AU140" s="2175">
        <v>0.9</v>
      </c>
    </row>
    <row r="141" spans="2:47" s="2168" customFormat="1" x14ac:dyDescent="0.2">
      <c r="B141" s="1685" t="s">
        <v>393</v>
      </c>
      <c r="C141" s="1685" t="s">
        <v>395</v>
      </c>
      <c r="D141" s="1686" t="s">
        <v>32</v>
      </c>
      <c r="F141" s="2029">
        <v>1</v>
      </c>
      <c r="G141" s="2029">
        <v>1</v>
      </c>
      <c r="H141" s="2029">
        <v>1</v>
      </c>
      <c r="I141" s="2029">
        <f t="shared" si="55"/>
        <v>0.98333333333333339</v>
      </c>
      <c r="J141" s="2029">
        <f t="shared" si="55"/>
        <v>0.96666666666666667</v>
      </c>
      <c r="K141" s="2029">
        <f t="shared" si="55"/>
        <v>0.95000000000000007</v>
      </c>
      <c r="L141" s="2029">
        <f t="shared" si="55"/>
        <v>0.93333333333333335</v>
      </c>
      <c r="M141" s="2029">
        <f t="shared" si="55"/>
        <v>0.91666666666666674</v>
      </c>
      <c r="N141" s="2175">
        <v>0.9</v>
      </c>
      <c r="P141" s="2029">
        <v>1</v>
      </c>
      <c r="Q141" s="2029">
        <v>1</v>
      </c>
      <c r="R141" s="2029">
        <v>1</v>
      </c>
      <c r="S141" s="2029">
        <v>1</v>
      </c>
      <c r="T141" s="2029">
        <f t="shared" si="56"/>
        <v>0.98333333333333339</v>
      </c>
      <c r="U141" s="2029">
        <f t="shared" si="56"/>
        <v>0.96666666666666667</v>
      </c>
      <c r="V141" s="2029">
        <f t="shared" si="56"/>
        <v>0.95000000000000007</v>
      </c>
      <c r="W141" s="2029">
        <f t="shared" si="56"/>
        <v>0.93333333333333335</v>
      </c>
      <c r="X141" s="2029">
        <f t="shared" si="56"/>
        <v>0.91666666666666674</v>
      </c>
      <c r="Y141" s="2175">
        <v>0.9</v>
      </c>
      <c r="AA141" s="2029">
        <v>1</v>
      </c>
      <c r="AB141" s="2029">
        <v>1</v>
      </c>
      <c r="AC141" s="2029">
        <v>1</v>
      </c>
      <c r="AD141" s="2029">
        <v>1</v>
      </c>
      <c r="AE141" s="2029">
        <f t="shared" si="57"/>
        <v>0.98333333333333339</v>
      </c>
      <c r="AF141" s="2029">
        <f t="shared" si="57"/>
        <v>0.96666666666666667</v>
      </c>
      <c r="AG141" s="2029">
        <f t="shared" si="57"/>
        <v>0.95000000000000007</v>
      </c>
      <c r="AH141" s="2029">
        <f t="shared" si="57"/>
        <v>0.93333333333333335</v>
      </c>
      <c r="AI141" s="2029">
        <f t="shared" si="57"/>
        <v>0.91666666666666674</v>
      </c>
      <c r="AJ141" s="2175">
        <v>0.9</v>
      </c>
      <c r="AL141" s="2029">
        <v>1</v>
      </c>
      <c r="AM141" s="2029">
        <v>1</v>
      </c>
      <c r="AN141" s="2029">
        <v>1</v>
      </c>
      <c r="AO141" s="2029">
        <v>1</v>
      </c>
      <c r="AP141" s="2029">
        <f t="shared" si="58"/>
        <v>0.98333333333333339</v>
      </c>
      <c r="AQ141" s="2029">
        <f t="shared" si="58"/>
        <v>0.96666666666666667</v>
      </c>
      <c r="AR141" s="2029">
        <f t="shared" si="58"/>
        <v>0.95000000000000007</v>
      </c>
      <c r="AS141" s="2029">
        <f t="shared" si="58"/>
        <v>0.93333333333333335</v>
      </c>
      <c r="AT141" s="2029">
        <f t="shared" si="58"/>
        <v>0.91666666666666674</v>
      </c>
      <c r="AU141" s="2175">
        <v>0.9</v>
      </c>
    </row>
    <row r="142" spans="2:47" s="2168" customFormat="1" x14ac:dyDescent="0.2">
      <c r="B142" s="1683" t="s">
        <v>1813</v>
      </c>
      <c r="C142" s="1683" t="s">
        <v>1815</v>
      </c>
      <c r="D142" s="1684" t="s">
        <v>1823</v>
      </c>
      <c r="F142" s="2028">
        <v>1</v>
      </c>
      <c r="G142" s="2028">
        <v>1</v>
      </c>
      <c r="H142" s="2028">
        <v>1</v>
      </c>
      <c r="I142" s="2028">
        <f t="shared" si="55"/>
        <v>0.8833333333333333</v>
      </c>
      <c r="J142" s="2028">
        <f t="shared" si="55"/>
        <v>0.76666666666666661</v>
      </c>
      <c r="K142" s="2028">
        <f t="shared" si="55"/>
        <v>0.65</v>
      </c>
      <c r="L142" s="2028">
        <f t="shared" si="55"/>
        <v>0.53333333333333333</v>
      </c>
      <c r="M142" s="2028">
        <f t="shared" si="55"/>
        <v>0.41666666666666663</v>
      </c>
      <c r="N142" s="2169">
        <v>0.3</v>
      </c>
      <c r="P142" s="2028">
        <v>1</v>
      </c>
      <c r="Q142" s="2028">
        <v>1</v>
      </c>
      <c r="R142" s="2028">
        <v>1</v>
      </c>
      <c r="S142" s="2028">
        <v>1</v>
      </c>
      <c r="T142" s="2028">
        <f t="shared" si="56"/>
        <v>0.93333333333333335</v>
      </c>
      <c r="U142" s="2028">
        <f t="shared" si="56"/>
        <v>0.8666666666666667</v>
      </c>
      <c r="V142" s="2028">
        <f t="shared" si="56"/>
        <v>0.8</v>
      </c>
      <c r="W142" s="2028">
        <f t="shared" si="56"/>
        <v>0.73333333333333339</v>
      </c>
      <c r="X142" s="2028">
        <f t="shared" si="56"/>
        <v>0.66666666666666674</v>
      </c>
      <c r="Y142" s="2169">
        <v>0.6</v>
      </c>
      <c r="AA142" s="2028">
        <v>1</v>
      </c>
      <c r="AB142" s="2028">
        <v>1</v>
      </c>
      <c r="AC142" s="2028">
        <v>1</v>
      </c>
      <c r="AD142" s="2028">
        <v>1</v>
      </c>
      <c r="AE142" s="2028">
        <f t="shared" si="57"/>
        <v>0.93333333333333335</v>
      </c>
      <c r="AF142" s="2028">
        <f t="shared" si="57"/>
        <v>0.8666666666666667</v>
      </c>
      <c r="AG142" s="2028">
        <f t="shared" si="57"/>
        <v>0.8</v>
      </c>
      <c r="AH142" s="2028">
        <f t="shared" si="57"/>
        <v>0.73333333333333339</v>
      </c>
      <c r="AI142" s="2028">
        <f t="shared" si="57"/>
        <v>0.66666666666666674</v>
      </c>
      <c r="AJ142" s="2169">
        <v>0.6</v>
      </c>
      <c r="AL142" s="2028">
        <v>1</v>
      </c>
      <c r="AM142" s="2028">
        <v>1</v>
      </c>
      <c r="AN142" s="2028">
        <v>1</v>
      </c>
      <c r="AO142" s="2028">
        <v>1</v>
      </c>
      <c r="AP142" s="2028">
        <f t="shared" si="58"/>
        <v>0.98333333333333339</v>
      </c>
      <c r="AQ142" s="2028">
        <f t="shared" si="58"/>
        <v>0.96666666666666667</v>
      </c>
      <c r="AR142" s="2028">
        <f t="shared" si="58"/>
        <v>0.95000000000000007</v>
      </c>
      <c r="AS142" s="2028">
        <f t="shared" si="58"/>
        <v>0.93333333333333335</v>
      </c>
      <c r="AT142" s="2028">
        <f t="shared" si="58"/>
        <v>0.91666666666666674</v>
      </c>
      <c r="AU142" s="2169">
        <v>0.9</v>
      </c>
    </row>
    <row r="143" spans="2:47" s="2168" customFormat="1" x14ac:dyDescent="0.2">
      <c r="B143" s="1685" t="s">
        <v>1814</v>
      </c>
      <c r="C143" s="1685" t="s">
        <v>176</v>
      </c>
      <c r="D143" s="1686" t="s">
        <v>1823</v>
      </c>
      <c r="F143" s="2029">
        <v>1</v>
      </c>
      <c r="G143" s="2029">
        <v>1</v>
      </c>
      <c r="H143" s="2029">
        <v>1</v>
      </c>
      <c r="I143" s="2029">
        <f t="shared" si="55"/>
        <v>0.875</v>
      </c>
      <c r="J143" s="2029">
        <f t="shared" si="55"/>
        <v>0.75</v>
      </c>
      <c r="K143" s="2029">
        <f t="shared" si="55"/>
        <v>0.625</v>
      </c>
      <c r="L143" s="2029">
        <f t="shared" si="55"/>
        <v>0.5</v>
      </c>
      <c r="M143" s="2029">
        <f t="shared" si="55"/>
        <v>0.375</v>
      </c>
      <c r="N143" s="2169">
        <v>0.25</v>
      </c>
      <c r="P143" s="2029">
        <v>1</v>
      </c>
      <c r="Q143" s="2029">
        <v>1</v>
      </c>
      <c r="R143" s="2029">
        <v>1</v>
      </c>
      <c r="S143" s="2029">
        <v>1</v>
      </c>
      <c r="T143" s="2029">
        <f t="shared" si="56"/>
        <v>0.95833333333333337</v>
      </c>
      <c r="U143" s="2029">
        <f t="shared" si="56"/>
        <v>0.91666666666666663</v>
      </c>
      <c r="V143" s="2029">
        <f t="shared" si="56"/>
        <v>0.875</v>
      </c>
      <c r="W143" s="2029">
        <f t="shared" si="56"/>
        <v>0.83333333333333337</v>
      </c>
      <c r="X143" s="2029">
        <f t="shared" si="56"/>
        <v>0.79166666666666663</v>
      </c>
      <c r="Y143" s="2169">
        <v>0.75</v>
      </c>
      <c r="AA143" s="2029">
        <v>1</v>
      </c>
      <c r="AB143" s="2029">
        <v>1</v>
      </c>
      <c r="AC143" s="2029">
        <v>1</v>
      </c>
      <c r="AD143" s="2029">
        <v>1</v>
      </c>
      <c r="AE143" s="2029">
        <f t="shared" si="57"/>
        <v>0.91666666666666663</v>
      </c>
      <c r="AF143" s="2029">
        <f t="shared" si="57"/>
        <v>0.83333333333333337</v>
      </c>
      <c r="AG143" s="2029">
        <f t="shared" si="57"/>
        <v>0.75</v>
      </c>
      <c r="AH143" s="2029">
        <f t="shared" si="57"/>
        <v>0.66666666666666674</v>
      </c>
      <c r="AI143" s="2029">
        <f t="shared" si="57"/>
        <v>0.58333333333333326</v>
      </c>
      <c r="AJ143" s="2169">
        <v>0.5</v>
      </c>
      <c r="AL143" s="2029">
        <v>1</v>
      </c>
      <c r="AM143" s="2029">
        <v>1</v>
      </c>
      <c r="AN143" s="2029">
        <v>1</v>
      </c>
      <c r="AO143" s="2029">
        <v>1</v>
      </c>
      <c r="AP143" s="2029">
        <f t="shared" si="58"/>
        <v>0.95833333333333337</v>
      </c>
      <c r="AQ143" s="2029">
        <f t="shared" si="58"/>
        <v>0.91666666666666663</v>
      </c>
      <c r="AR143" s="2029">
        <f t="shared" si="58"/>
        <v>0.875</v>
      </c>
      <c r="AS143" s="2029">
        <f t="shared" si="58"/>
        <v>0.83333333333333337</v>
      </c>
      <c r="AT143" s="2029">
        <f t="shared" si="58"/>
        <v>0.79166666666666663</v>
      </c>
      <c r="AU143" s="2169">
        <v>0.75</v>
      </c>
    </row>
    <row r="144" spans="2:47" s="2168" customFormat="1" x14ac:dyDescent="0.2">
      <c r="B144" s="1683" t="s">
        <v>1817</v>
      </c>
      <c r="C144" s="1683" t="s">
        <v>1726</v>
      </c>
      <c r="D144" s="1684" t="s">
        <v>125</v>
      </c>
      <c r="F144" s="2028">
        <v>1</v>
      </c>
      <c r="G144" s="2028">
        <v>1</v>
      </c>
      <c r="H144" s="2028">
        <v>1</v>
      </c>
      <c r="I144" s="2028">
        <f t="shared" si="55"/>
        <v>0.95</v>
      </c>
      <c r="J144" s="2028">
        <f t="shared" si="55"/>
        <v>0.9</v>
      </c>
      <c r="K144" s="2028">
        <f t="shared" si="55"/>
        <v>0.85</v>
      </c>
      <c r="L144" s="2028">
        <f t="shared" si="55"/>
        <v>0.79999999999999993</v>
      </c>
      <c r="M144" s="2028">
        <f t="shared" si="55"/>
        <v>0.75</v>
      </c>
      <c r="N144" s="2176">
        <v>0.7</v>
      </c>
      <c r="P144" s="2028">
        <v>1</v>
      </c>
      <c r="Q144" s="2028">
        <v>1</v>
      </c>
      <c r="R144" s="2028">
        <v>1</v>
      </c>
      <c r="S144" s="2028">
        <v>1</v>
      </c>
      <c r="T144" s="2028">
        <f t="shared" si="56"/>
        <v>0.91666666666666663</v>
      </c>
      <c r="U144" s="2028">
        <f t="shared" si="56"/>
        <v>0.83333333333333337</v>
      </c>
      <c r="V144" s="2028">
        <f t="shared" si="56"/>
        <v>0.75</v>
      </c>
      <c r="W144" s="2028">
        <f t="shared" si="56"/>
        <v>0.66666666666666674</v>
      </c>
      <c r="X144" s="2028">
        <f t="shared" si="56"/>
        <v>0.58333333333333326</v>
      </c>
      <c r="Y144" s="2176">
        <v>0.5</v>
      </c>
      <c r="AA144" s="2028">
        <v>1</v>
      </c>
      <c r="AB144" s="2028">
        <v>1</v>
      </c>
      <c r="AC144" s="2028">
        <v>1</v>
      </c>
      <c r="AD144" s="2028">
        <v>1</v>
      </c>
      <c r="AE144" s="2028">
        <f t="shared" si="57"/>
        <v>0.91666666666666663</v>
      </c>
      <c r="AF144" s="2028">
        <f t="shared" si="57"/>
        <v>0.83333333333333337</v>
      </c>
      <c r="AG144" s="2028">
        <f t="shared" si="57"/>
        <v>0.75</v>
      </c>
      <c r="AH144" s="2028">
        <f t="shared" si="57"/>
        <v>0.66666666666666674</v>
      </c>
      <c r="AI144" s="2028">
        <f t="shared" si="57"/>
        <v>0.58333333333333326</v>
      </c>
      <c r="AJ144" s="2176">
        <v>0.5</v>
      </c>
      <c r="AL144" s="2028">
        <v>1</v>
      </c>
      <c r="AM144" s="2028">
        <v>1</v>
      </c>
      <c r="AN144" s="2028">
        <v>1</v>
      </c>
      <c r="AO144" s="2028">
        <v>1</v>
      </c>
      <c r="AP144" s="2028">
        <f t="shared" si="58"/>
        <v>0.96666666666666667</v>
      </c>
      <c r="AQ144" s="2028">
        <f t="shared" si="58"/>
        <v>0.93333333333333335</v>
      </c>
      <c r="AR144" s="2028">
        <f t="shared" si="58"/>
        <v>0.9</v>
      </c>
      <c r="AS144" s="2028">
        <f t="shared" si="58"/>
        <v>0.8666666666666667</v>
      </c>
      <c r="AT144" s="2028">
        <f t="shared" si="58"/>
        <v>0.83333333333333337</v>
      </c>
      <c r="AU144" s="2176">
        <v>0.8</v>
      </c>
    </row>
    <row r="145" spans="2:48" s="2168" customFormat="1" x14ac:dyDescent="0.2">
      <c r="B145" s="1685" t="s">
        <v>1724</v>
      </c>
      <c r="C145" s="1685" t="s">
        <v>1821</v>
      </c>
      <c r="D145" s="1686" t="s">
        <v>125</v>
      </c>
      <c r="F145" s="2029">
        <v>1</v>
      </c>
      <c r="G145" s="2029">
        <v>1</v>
      </c>
      <c r="H145" s="2029">
        <v>1</v>
      </c>
      <c r="I145" s="2029">
        <f t="shared" si="55"/>
        <v>0.95</v>
      </c>
      <c r="J145" s="2029">
        <f t="shared" si="55"/>
        <v>0.9</v>
      </c>
      <c r="K145" s="2029">
        <f t="shared" si="55"/>
        <v>0.85</v>
      </c>
      <c r="L145" s="2029">
        <f t="shared" si="55"/>
        <v>0.79999999999999993</v>
      </c>
      <c r="M145" s="2029">
        <f t="shared" si="55"/>
        <v>0.75</v>
      </c>
      <c r="N145" s="2177">
        <v>0.7</v>
      </c>
      <c r="P145" s="2029">
        <v>1</v>
      </c>
      <c r="Q145" s="2029">
        <v>1</v>
      </c>
      <c r="R145" s="2029">
        <v>1</v>
      </c>
      <c r="S145" s="2029">
        <v>1</v>
      </c>
      <c r="T145" s="2029">
        <f t="shared" si="56"/>
        <v>0.9</v>
      </c>
      <c r="U145" s="2029">
        <f t="shared" si="56"/>
        <v>0.8</v>
      </c>
      <c r="V145" s="2029">
        <f t="shared" si="56"/>
        <v>0.70000000000000007</v>
      </c>
      <c r="W145" s="2029">
        <f t="shared" si="56"/>
        <v>0.60000000000000009</v>
      </c>
      <c r="X145" s="2029">
        <f t="shared" si="56"/>
        <v>0.50000000000000011</v>
      </c>
      <c r="Y145" s="2177">
        <v>0.40000000000000008</v>
      </c>
      <c r="AA145" s="2029">
        <v>1</v>
      </c>
      <c r="AB145" s="2029">
        <v>1</v>
      </c>
      <c r="AC145" s="2029">
        <v>1</v>
      </c>
      <c r="AD145" s="2029">
        <v>1</v>
      </c>
      <c r="AE145" s="2029">
        <f t="shared" si="57"/>
        <v>0.91666666666666663</v>
      </c>
      <c r="AF145" s="2029">
        <f t="shared" si="57"/>
        <v>0.83333333333333337</v>
      </c>
      <c r="AG145" s="2029">
        <f t="shared" si="57"/>
        <v>0.75</v>
      </c>
      <c r="AH145" s="2029">
        <f t="shared" si="57"/>
        <v>0.66666666666666674</v>
      </c>
      <c r="AI145" s="2029">
        <f t="shared" si="57"/>
        <v>0.58333333333333326</v>
      </c>
      <c r="AJ145" s="2177">
        <v>0.5</v>
      </c>
      <c r="AL145" s="2029">
        <v>1</v>
      </c>
      <c r="AM145" s="2029">
        <v>1</v>
      </c>
      <c r="AN145" s="2029">
        <v>1</v>
      </c>
      <c r="AO145" s="2029">
        <v>1</v>
      </c>
      <c r="AP145" s="2029">
        <f t="shared" si="58"/>
        <v>0.96666666666666667</v>
      </c>
      <c r="AQ145" s="2029">
        <f t="shared" si="58"/>
        <v>0.93333333333333335</v>
      </c>
      <c r="AR145" s="2029">
        <f t="shared" si="58"/>
        <v>0.9</v>
      </c>
      <c r="AS145" s="2029">
        <f t="shared" si="58"/>
        <v>0.8666666666666667</v>
      </c>
      <c r="AT145" s="2029">
        <f t="shared" si="58"/>
        <v>0.83333333333333337</v>
      </c>
      <c r="AU145" s="2177">
        <v>0.8</v>
      </c>
    </row>
    <row r="146" spans="2:48" s="2168" customFormat="1" x14ac:dyDescent="0.2">
      <c r="B146" s="1683" t="s">
        <v>1818</v>
      </c>
      <c r="C146" s="1683" t="s">
        <v>1822</v>
      </c>
      <c r="D146" s="1684" t="s">
        <v>125</v>
      </c>
      <c r="F146" s="2028">
        <v>1</v>
      </c>
      <c r="G146" s="2028">
        <v>1</v>
      </c>
      <c r="H146" s="2028">
        <v>1</v>
      </c>
      <c r="I146" s="2028">
        <f t="shared" si="55"/>
        <v>0.96666666666666667</v>
      </c>
      <c r="J146" s="2028">
        <f t="shared" si="55"/>
        <v>0.93333333333333335</v>
      </c>
      <c r="K146" s="2028">
        <f t="shared" si="55"/>
        <v>0.9</v>
      </c>
      <c r="L146" s="2028">
        <f t="shared" si="55"/>
        <v>0.8666666666666667</v>
      </c>
      <c r="M146" s="2028">
        <f t="shared" si="55"/>
        <v>0.83333333333333337</v>
      </c>
      <c r="N146" s="2177">
        <v>0.8</v>
      </c>
      <c r="P146" s="2028">
        <v>1</v>
      </c>
      <c r="Q146" s="2028">
        <v>1</v>
      </c>
      <c r="R146" s="2028">
        <v>1</v>
      </c>
      <c r="S146" s="2028">
        <v>1</v>
      </c>
      <c r="T146" s="2028">
        <f t="shared" si="56"/>
        <v>0.96666666666666667</v>
      </c>
      <c r="U146" s="2028">
        <f t="shared" si="56"/>
        <v>0.93333333333333335</v>
      </c>
      <c r="V146" s="2028">
        <f t="shared" si="56"/>
        <v>0.9</v>
      </c>
      <c r="W146" s="2028">
        <f t="shared" si="56"/>
        <v>0.8666666666666667</v>
      </c>
      <c r="X146" s="2028">
        <f t="shared" si="56"/>
        <v>0.83333333333333337</v>
      </c>
      <c r="Y146" s="2177">
        <v>0.8</v>
      </c>
      <c r="AA146" s="2028">
        <v>1</v>
      </c>
      <c r="AB146" s="2028">
        <v>1</v>
      </c>
      <c r="AC146" s="2028">
        <v>1</v>
      </c>
      <c r="AD146" s="2028">
        <v>1</v>
      </c>
      <c r="AE146" s="2028">
        <f t="shared" si="57"/>
        <v>0.91666666666666663</v>
      </c>
      <c r="AF146" s="2028">
        <f t="shared" si="57"/>
        <v>0.83333333333333337</v>
      </c>
      <c r="AG146" s="2028">
        <f t="shared" si="57"/>
        <v>0.75</v>
      </c>
      <c r="AH146" s="2028">
        <f t="shared" si="57"/>
        <v>0.66666666666666674</v>
      </c>
      <c r="AI146" s="2028">
        <f t="shared" si="57"/>
        <v>0.58333333333333326</v>
      </c>
      <c r="AJ146" s="2177">
        <v>0.5</v>
      </c>
      <c r="AL146" s="2028">
        <v>1</v>
      </c>
      <c r="AM146" s="2028">
        <v>1</v>
      </c>
      <c r="AN146" s="2028">
        <v>1</v>
      </c>
      <c r="AO146" s="2028">
        <v>1</v>
      </c>
      <c r="AP146" s="2028">
        <f t="shared" si="58"/>
        <v>0.96666666666666667</v>
      </c>
      <c r="AQ146" s="2028">
        <f t="shared" si="58"/>
        <v>0.93333333333333335</v>
      </c>
      <c r="AR146" s="2028">
        <f t="shared" si="58"/>
        <v>0.9</v>
      </c>
      <c r="AS146" s="2028">
        <f t="shared" si="58"/>
        <v>0.8666666666666667</v>
      </c>
      <c r="AT146" s="2028">
        <f t="shared" si="58"/>
        <v>0.83333333333333337</v>
      </c>
      <c r="AU146" s="2177">
        <v>0.8</v>
      </c>
    </row>
    <row r="147" spans="2:48" s="2168" customFormat="1" x14ac:dyDescent="0.2">
      <c r="B147" s="1685" t="s">
        <v>1816</v>
      </c>
      <c r="C147" s="1773" t="s">
        <v>1854</v>
      </c>
      <c r="D147" s="1686" t="s">
        <v>125</v>
      </c>
      <c r="F147" s="2029">
        <v>1</v>
      </c>
      <c r="G147" s="2029">
        <v>1</v>
      </c>
      <c r="H147" s="2029">
        <v>1</v>
      </c>
      <c r="I147" s="2029">
        <f t="shared" si="55"/>
        <v>0.95</v>
      </c>
      <c r="J147" s="2029">
        <f t="shared" si="55"/>
        <v>0.9</v>
      </c>
      <c r="K147" s="2029">
        <f t="shared" si="55"/>
        <v>0.85</v>
      </c>
      <c r="L147" s="2029">
        <f t="shared" si="55"/>
        <v>0.79999999999999993</v>
      </c>
      <c r="M147" s="2029">
        <f t="shared" si="55"/>
        <v>0.75</v>
      </c>
      <c r="N147" s="2178">
        <v>0.7</v>
      </c>
      <c r="P147" s="2029">
        <v>1</v>
      </c>
      <c r="Q147" s="2029">
        <v>1</v>
      </c>
      <c r="R147" s="2029">
        <v>1</v>
      </c>
      <c r="S147" s="2029">
        <v>1</v>
      </c>
      <c r="T147" s="2029">
        <f t="shared" si="56"/>
        <v>0.91666666666666663</v>
      </c>
      <c r="U147" s="2029">
        <f t="shared" si="56"/>
        <v>0.83333333333333337</v>
      </c>
      <c r="V147" s="2029">
        <f t="shared" si="56"/>
        <v>0.75</v>
      </c>
      <c r="W147" s="2029">
        <f t="shared" si="56"/>
        <v>0.66666666666666674</v>
      </c>
      <c r="X147" s="2029">
        <f t="shared" si="56"/>
        <v>0.58333333333333326</v>
      </c>
      <c r="Y147" s="2178">
        <v>0.5</v>
      </c>
      <c r="AA147" s="2029">
        <v>1</v>
      </c>
      <c r="AB147" s="2029">
        <v>1</v>
      </c>
      <c r="AC147" s="2029">
        <v>1</v>
      </c>
      <c r="AD147" s="2029">
        <v>1</v>
      </c>
      <c r="AE147" s="2029">
        <f t="shared" si="57"/>
        <v>0.91666666666666663</v>
      </c>
      <c r="AF147" s="2029">
        <f t="shared" si="57"/>
        <v>0.83333333333333337</v>
      </c>
      <c r="AG147" s="2029">
        <f t="shared" si="57"/>
        <v>0.75</v>
      </c>
      <c r="AH147" s="2029">
        <f t="shared" si="57"/>
        <v>0.66666666666666674</v>
      </c>
      <c r="AI147" s="2029">
        <f t="shared" si="57"/>
        <v>0.58333333333333326</v>
      </c>
      <c r="AJ147" s="2178">
        <v>0.5</v>
      </c>
      <c r="AL147" s="2029">
        <v>1</v>
      </c>
      <c r="AM147" s="2029">
        <v>1</v>
      </c>
      <c r="AN147" s="2029">
        <v>1</v>
      </c>
      <c r="AO147" s="2029">
        <v>1</v>
      </c>
      <c r="AP147" s="2029">
        <f t="shared" si="58"/>
        <v>0.96666666666666667</v>
      </c>
      <c r="AQ147" s="2029">
        <f t="shared" si="58"/>
        <v>0.93333333333333335</v>
      </c>
      <c r="AR147" s="2029">
        <f t="shared" si="58"/>
        <v>0.9</v>
      </c>
      <c r="AS147" s="2029">
        <f t="shared" si="58"/>
        <v>0.8666666666666667</v>
      </c>
      <c r="AT147" s="2029">
        <f t="shared" si="58"/>
        <v>0.83333333333333337</v>
      </c>
      <c r="AU147" s="2178">
        <v>0.8</v>
      </c>
    </row>
    <row r="148" spans="2:48" s="2168" customFormat="1" x14ac:dyDescent="0.2">
      <c r="B148" s="1683" t="s">
        <v>1819</v>
      </c>
      <c r="C148" s="1774" t="s">
        <v>1855</v>
      </c>
      <c r="D148" s="1684" t="s">
        <v>125</v>
      </c>
      <c r="F148" s="2028">
        <v>1</v>
      </c>
      <c r="G148" s="2028">
        <v>1</v>
      </c>
      <c r="H148" s="2028">
        <v>1</v>
      </c>
      <c r="I148" s="2028">
        <f t="shared" si="55"/>
        <v>0.95</v>
      </c>
      <c r="J148" s="2028">
        <f t="shared" si="55"/>
        <v>0.9</v>
      </c>
      <c r="K148" s="2028">
        <f t="shared" si="55"/>
        <v>0.85</v>
      </c>
      <c r="L148" s="2028">
        <f t="shared" si="55"/>
        <v>0.79999999999999993</v>
      </c>
      <c r="M148" s="2028">
        <f t="shared" si="55"/>
        <v>0.75</v>
      </c>
      <c r="N148" s="2177">
        <v>0.7</v>
      </c>
      <c r="P148" s="2028">
        <v>1</v>
      </c>
      <c r="Q148" s="2028">
        <v>1</v>
      </c>
      <c r="R148" s="2028">
        <v>1</v>
      </c>
      <c r="S148" s="2028">
        <v>1</v>
      </c>
      <c r="T148" s="2028">
        <f t="shared" si="56"/>
        <v>0.9</v>
      </c>
      <c r="U148" s="2028">
        <f t="shared" si="56"/>
        <v>0.8</v>
      </c>
      <c r="V148" s="2028">
        <f t="shared" si="56"/>
        <v>0.70000000000000007</v>
      </c>
      <c r="W148" s="2028">
        <f t="shared" si="56"/>
        <v>0.60000000000000009</v>
      </c>
      <c r="X148" s="2028">
        <f t="shared" si="56"/>
        <v>0.50000000000000011</v>
      </c>
      <c r="Y148" s="2177">
        <v>0.40000000000000008</v>
      </c>
      <c r="AA148" s="2028">
        <v>1</v>
      </c>
      <c r="AB148" s="2028">
        <v>1</v>
      </c>
      <c r="AC148" s="2028">
        <v>1</v>
      </c>
      <c r="AD148" s="2028">
        <v>1</v>
      </c>
      <c r="AE148" s="2028">
        <f t="shared" si="57"/>
        <v>0.91666666666666663</v>
      </c>
      <c r="AF148" s="2028">
        <f t="shared" si="57"/>
        <v>0.83333333333333337</v>
      </c>
      <c r="AG148" s="2028">
        <f t="shared" si="57"/>
        <v>0.75</v>
      </c>
      <c r="AH148" s="2028">
        <f t="shared" si="57"/>
        <v>0.66666666666666674</v>
      </c>
      <c r="AI148" s="2028">
        <f t="shared" si="57"/>
        <v>0.58333333333333326</v>
      </c>
      <c r="AJ148" s="2177">
        <v>0.5</v>
      </c>
      <c r="AL148" s="2028">
        <v>1</v>
      </c>
      <c r="AM148" s="2028">
        <v>1</v>
      </c>
      <c r="AN148" s="2028">
        <v>1</v>
      </c>
      <c r="AO148" s="2028">
        <v>1</v>
      </c>
      <c r="AP148" s="2028">
        <f t="shared" si="58"/>
        <v>0.96666666666666667</v>
      </c>
      <c r="AQ148" s="2028">
        <f t="shared" si="58"/>
        <v>0.93333333333333335</v>
      </c>
      <c r="AR148" s="2028">
        <f t="shared" si="58"/>
        <v>0.9</v>
      </c>
      <c r="AS148" s="2028">
        <f t="shared" si="58"/>
        <v>0.8666666666666667</v>
      </c>
      <c r="AT148" s="2028">
        <f t="shared" si="58"/>
        <v>0.83333333333333337</v>
      </c>
      <c r="AU148" s="2177">
        <v>0.8</v>
      </c>
    </row>
    <row r="149" spans="2:48" s="2168" customFormat="1" x14ac:dyDescent="0.2">
      <c r="B149" s="1685" t="s">
        <v>405</v>
      </c>
      <c r="C149" s="1685" t="s">
        <v>111</v>
      </c>
      <c r="D149" s="1686" t="s">
        <v>1823</v>
      </c>
      <c r="F149" s="2029">
        <v>1</v>
      </c>
      <c r="G149" s="2029">
        <v>1</v>
      </c>
      <c r="H149" s="2029">
        <v>1</v>
      </c>
      <c r="I149" s="2029">
        <f t="shared" si="55"/>
        <v>0.875</v>
      </c>
      <c r="J149" s="2029">
        <f t="shared" si="55"/>
        <v>0.75</v>
      </c>
      <c r="K149" s="2029">
        <f t="shared" si="55"/>
        <v>0.625</v>
      </c>
      <c r="L149" s="2029">
        <f t="shared" si="55"/>
        <v>0.5</v>
      </c>
      <c r="M149" s="2029">
        <f t="shared" si="55"/>
        <v>0.375</v>
      </c>
      <c r="N149" s="2169">
        <v>0.25</v>
      </c>
      <c r="P149" s="2029">
        <v>1</v>
      </c>
      <c r="Q149" s="2029">
        <v>1</v>
      </c>
      <c r="R149" s="2029">
        <v>1</v>
      </c>
      <c r="S149" s="2029">
        <v>1</v>
      </c>
      <c r="T149" s="2029">
        <f t="shared" si="56"/>
        <v>0.93333333333333335</v>
      </c>
      <c r="U149" s="2029">
        <f t="shared" si="56"/>
        <v>0.8666666666666667</v>
      </c>
      <c r="V149" s="2029">
        <f t="shared" si="56"/>
        <v>0.8</v>
      </c>
      <c r="W149" s="2029">
        <f t="shared" si="56"/>
        <v>0.73333333333333339</v>
      </c>
      <c r="X149" s="2029">
        <f t="shared" si="56"/>
        <v>0.66666666666666674</v>
      </c>
      <c r="Y149" s="2169">
        <v>0.6</v>
      </c>
      <c r="AA149" s="2029">
        <v>1</v>
      </c>
      <c r="AB149" s="2029">
        <v>1</v>
      </c>
      <c r="AC149" s="2029">
        <v>1</v>
      </c>
      <c r="AD149" s="2029">
        <v>1</v>
      </c>
      <c r="AE149" s="2029">
        <f t="shared" si="57"/>
        <v>0.91666666666666663</v>
      </c>
      <c r="AF149" s="2029">
        <f t="shared" si="57"/>
        <v>0.83333333333333337</v>
      </c>
      <c r="AG149" s="2029">
        <f t="shared" si="57"/>
        <v>0.75</v>
      </c>
      <c r="AH149" s="2029">
        <f t="shared" si="57"/>
        <v>0.66666666666666674</v>
      </c>
      <c r="AI149" s="2029">
        <f t="shared" si="57"/>
        <v>0.58333333333333326</v>
      </c>
      <c r="AJ149" s="2169">
        <v>0.5</v>
      </c>
      <c r="AL149" s="2029">
        <v>1</v>
      </c>
      <c r="AM149" s="2029">
        <v>1</v>
      </c>
      <c r="AN149" s="2029">
        <v>1</v>
      </c>
      <c r="AO149" s="2029">
        <v>1</v>
      </c>
      <c r="AP149" s="2029">
        <f t="shared" si="58"/>
        <v>0.96666666666666667</v>
      </c>
      <c r="AQ149" s="2029">
        <f t="shared" si="58"/>
        <v>0.93333333333333335</v>
      </c>
      <c r="AR149" s="2029">
        <f t="shared" si="58"/>
        <v>0.9</v>
      </c>
      <c r="AS149" s="2029">
        <f t="shared" si="58"/>
        <v>0.8666666666666667</v>
      </c>
      <c r="AT149" s="2029">
        <f t="shared" si="58"/>
        <v>0.83333333333333337</v>
      </c>
      <c r="AU149" s="2169">
        <v>0.8</v>
      </c>
    </row>
    <row r="150" spans="2:48" s="2168" customFormat="1" x14ac:dyDescent="0.2">
      <c r="B150" s="1683" t="s">
        <v>415</v>
      </c>
      <c r="C150" s="1683" t="s">
        <v>1710</v>
      </c>
      <c r="D150" s="1684" t="s">
        <v>1823</v>
      </c>
      <c r="F150" s="2028">
        <v>1</v>
      </c>
      <c r="G150" s="2028">
        <v>1</v>
      </c>
      <c r="H150" s="2028">
        <v>1</v>
      </c>
      <c r="I150" s="2028">
        <f t="shared" si="55"/>
        <v>0.875</v>
      </c>
      <c r="J150" s="2028">
        <f t="shared" si="55"/>
        <v>0.75</v>
      </c>
      <c r="K150" s="2028">
        <f t="shared" si="55"/>
        <v>0.625</v>
      </c>
      <c r="L150" s="2028">
        <f t="shared" si="55"/>
        <v>0.5</v>
      </c>
      <c r="M150" s="2028">
        <f t="shared" si="55"/>
        <v>0.375</v>
      </c>
      <c r="N150" s="2169">
        <v>0.25</v>
      </c>
      <c r="P150" s="2028">
        <v>1</v>
      </c>
      <c r="Q150" s="2028">
        <v>1</v>
      </c>
      <c r="R150" s="2028">
        <v>1</v>
      </c>
      <c r="S150" s="2028">
        <v>1</v>
      </c>
      <c r="T150" s="2028">
        <f t="shared" si="56"/>
        <v>0.96666666666666667</v>
      </c>
      <c r="U150" s="2028">
        <f t="shared" si="56"/>
        <v>0.93333333333333335</v>
      </c>
      <c r="V150" s="2028">
        <f t="shared" si="56"/>
        <v>0.9</v>
      </c>
      <c r="W150" s="2028">
        <f t="shared" si="56"/>
        <v>0.8666666666666667</v>
      </c>
      <c r="X150" s="2028">
        <f t="shared" si="56"/>
        <v>0.83333333333333337</v>
      </c>
      <c r="Y150" s="2169">
        <v>0.8</v>
      </c>
      <c r="AA150" s="2028">
        <v>1</v>
      </c>
      <c r="AB150" s="2028">
        <v>1</v>
      </c>
      <c r="AC150" s="2028">
        <v>1</v>
      </c>
      <c r="AD150" s="2028">
        <v>1</v>
      </c>
      <c r="AE150" s="2028">
        <f t="shared" si="57"/>
        <v>0.91666666666666663</v>
      </c>
      <c r="AF150" s="2028">
        <f t="shared" si="57"/>
        <v>0.83333333333333337</v>
      </c>
      <c r="AG150" s="2028">
        <f t="shared" si="57"/>
        <v>0.75</v>
      </c>
      <c r="AH150" s="2028">
        <f t="shared" si="57"/>
        <v>0.66666666666666674</v>
      </c>
      <c r="AI150" s="2028">
        <f t="shared" si="57"/>
        <v>0.58333333333333326</v>
      </c>
      <c r="AJ150" s="2169">
        <v>0.5</v>
      </c>
      <c r="AL150" s="2028">
        <v>1</v>
      </c>
      <c r="AM150" s="2028">
        <v>1</v>
      </c>
      <c r="AN150" s="2028">
        <v>1</v>
      </c>
      <c r="AO150" s="2028">
        <v>1</v>
      </c>
      <c r="AP150" s="2028">
        <f t="shared" si="58"/>
        <v>0.96666666666666667</v>
      </c>
      <c r="AQ150" s="2028">
        <f t="shared" si="58"/>
        <v>0.93333333333333335</v>
      </c>
      <c r="AR150" s="2028">
        <f t="shared" si="58"/>
        <v>0.9</v>
      </c>
      <c r="AS150" s="2028">
        <f t="shared" si="58"/>
        <v>0.8666666666666667</v>
      </c>
      <c r="AT150" s="2028">
        <f t="shared" si="58"/>
        <v>0.83333333333333337</v>
      </c>
      <c r="AU150" s="2169">
        <v>0.8</v>
      </c>
    </row>
    <row r="151" spans="2:48" s="2168" customFormat="1" x14ac:dyDescent="0.2">
      <c r="B151" s="1685" t="s">
        <v>439</v>
      </c>
      <c r="C151" s="1685" t="s">
        <v>441</v>
      </c>
      <c r="D151" s="1686" t="s">
        <v>1823</v>
      </c>
      <c r="F151" s="2173"/>
      <c r="G151" s="2173"/>
      <c r="H151" s="2173"/>
      <c r="I151" s="2173"/>
      <c r="J151" s="2173"/>
      <c r="K151" s="2173"/>
      <c r="L151" s="2173"/>
      <c r="M151" s="2173"/>
      <c r="N151" s="2174"/>
      <c r="O151" s="2172"/>
      <c r="P151" s="2173"/>
      <c r="Q151" s="2173"/>
      <c r="R151" s="2173"/>
      <c r="S151" s="2173"/>
      <c r="T151" s="2173"/>
      <c r="U151" s="2173"/>
      <c r="V151" s="2173"/>
      <c r="W151" s="2173"/>
      <c r="X151" s="2173"/>
      <c r="Y151" s="2174"/>
      <c r="Z151" s="2172"/>
      <c r="AA151" s="2173"/>
      <c r="AB151" s="2173"/>
      <c r="AC151" s="2173"/>
      <c r="AD151" s="2173"/>
      <c r="AE151" s="2173"/>
      <c r="AF151" s="2173"/>
      <c r="AG151" s="2173"/>
      <c r="AH151" s="2173"/>
      <c r="AI151" s="2173"/>
      <c r="AJ151" s="2174"/>
      <c r="AK151" s="2172"/>
      <c r="AL151" s="2029">
        <v>1</v>
      </c>
      <c r="AM151" s="2029">
        <v>1</v>
      </c>
      <c r="AN151" s="2029">
        <v>1</v>
      </c>
      <c r="AO151" s="2029">
        <v>1</v>
      </c>
      <c r="AP151" s="2029">
        <f t="shared" si="58"/>
        <v>0.93333333333333335</v>
      </c>
      <c r="AQ151" s="2029">
        <f t="shared" si="58"/>
        <v>0.8666666666666667</v>
      </c>
      <c r="AR151" s="2029">
        <f t="shared" si="58"/>
        <v>0.8</v>
      </c>
      <c r="AS151" s="2029">
        <f t="shared" si="58"/>
        <v>0.73333333333333339</v>
      </c>
      <c r="AT151" s="2029">
        <f t="shared" si="58"/>
        <v>0.66666666666666674</v>
      </c>
      <c r="AU151" s="2169">
        <v>0.6</v>
      </c>
    </row>
    <row r="152" spans="2:48" s="2168" customFormat="1" x14ac:dyDescent="0.2">
      <c r="B152" s="1683" t="s">
        <v>440</v>
      </c>
      <c r="C152" s="1683" t="s">
        <v>1701</v>
      </c>
      <c r="D152" s="1684" t="s">
        <v>1823</v>
      </c>
      <c r="F152" s="2170"/>
      <c r="G152" s="2170"/>
      <c r="H152" s="2170"/>
      <c r="I152" s="2170"/>
      <c r="J152" s="2170"/>
      <c r="K152" s="2170"/>
      <c r="L152" s="2170"/>
      <c r="M152" s="2170"/>
      <c r="N152" s="2171"/>
      <c r="O152" s="2172"/>
      <c r="P152" s="2170"/>
      <c r="Q152" s="2170"/>
      <c r="R152" s="2170"/>
      <c r="S152" s="2170"/>
      <c r="T152" s="2170"/>
      <c r="U152" s="2170"/>
      <c r="V152" s="2170"/>
      <c r="W152" s="2170"/>
      <c r="X152" s="2170"/>
      <c r="Y152" s="2171"/>
      <c r="Z152" s="2172"/>
      <c r="AA152" s="2170"/>
      <c r="AB152" s="2170"/>
      <c r="AC152" s="2170"/>
      <c r="AD152" s="2170"/>
      <c r="AE152" s="2170"/>
      <c r="AF152" s="2170"/>
      <c r="AG152" s="2170"/>
      <c r="AH152" s="2170"/>
      <c r="AI152" s="2170"/>
      <c r="AJ152" s="2171"/>
      <c r="AK152" s="2172"/>
      <c r="AL152" s="2170"/>
      <c r="AM152" s="2170"/>
      <c r="AN152" s="2170"/>
      <c r="AO152" s="2170"/>
      <c r="AP152" s="2170"/>
      <c r="AQ152" s="2170"/>
      <c r="AR152" s="2170"/>
      <c r="AS152" s="2170"/>
      <c r="AT152" s="2170"/>
      <c r="AU152" s="2171"/>
    </row>
    <row r="153" spans="2:48" s="2168" customFormat="1" x14ac:dyDescent="0.2">
      <c r="B153" s="1683" t="s">
        <v>1758</v>
      </c>
      <c r="C153" s="1683" t="s">
        <v>1773</v>
      </c>
      <c r="D153" s="1684" t="s">
        <v>1812</v>
      </c>
      <c r="F153" s="2170"/>
      <c r="G153" s="2170"/>
      <c r="H153" s="2170"/>
      <c r="I153" s="2170"/>
      <c r="J153" s="2170"/>
      <c r="K153" s="2170"/>
      <c r="L153" s="2170"/>
      <c r="M153" s="2170"/>
      <c r="N153" s="2171"/>
      <c r="O153" s="2172"/>
      <c r="P153" s="2170"/>
      <c r="Q153" s="2170"/>
      <c r="R153" s="2170"/>
      <c r="S153" s="2170"/>
      <c r="T153" s="2170"/>
      <c r="U153" s="2170"/>
      <c r="V153" s="2170"/>
      <c r="W153" s="2170"/>
      <c r="X153" s="2170"/>
      <c r="Y153" s="2171"/>
      <c r="Z153" s="2172"/>
      <c r="AA153" s="2170"/>
      <c r="AB153" s="2170"/>
      <c r="AC153" s="2170"/>
      <c r="AD153" s="2170"/>
      <c r="AE153" s="2170"/>
      <c r="AF153" s="2170"/>
      <c r="AG153" s="2170"/>
      <c r="AH153" s="2170"/>
      <c r="AI153" s="2170"/>
      <c r="AJ153" s="2171"/>
      <c r="AK153" s="2172"/>
      <c r="AL153" s="2170"/>
      <c r="AM153" s="2170"/>
      <c r="AN153" s="2170"/>
      <c r="AO153" s="2170"/>
      <c r="AP153" s="2170"/>
      <c r="AQ153" s="2170"/>
      <c r="AR153" s="2170"/>
      <c r="AS153" s="2170"/>
      <c r="AT153" s="2170"/>
      <c r="AU153" s="2171"/>
    </row>
    <row r="154" spans="2:48" s="2168" customFormat="1" x14ac:dyDescent="0.2">
      <c r="B154" s="1685" t="s">
        <v>1759</v>
      </c>
      <c r="C154" s="1685" t="s">
        <v>1774</v>
      </c>
      <c r="D154" s="1686" t="s">
        <v>1812</v>
      </c>
      <c r="F154" s="2173"/>
      <c r="G154" s="2173"/>
      <c r="H154" s="2173"/>
      <c r="I154" s="2173"/>
      <c r="J154" s="2173"/>
      <c r="K154" s="2173"/>
      <c r="L154" s="2173"/>
      <c r="M154" s="2173"/>
      <c r="N154" s="2174"/>
      <c r="O154" s="2172"/>
      <c r="P154" s="2173"/>
      <c r="Q154" s="2173"/>
      <c r="R154" s="2173"/>
      <c r="S154" s="2173"/>
      <c r="T154" s="2173"/>
      <c r="U154" s="2173"/>
      <c r="V154" s="2173"/>
      <c r="W154" s="2173"/>
      <c r="X154" s="2173"/>
      <c r="Y154" s="2174"/>
      <c r="Z154" s="2172"/>
      <c r="AA154" s="2173"/>
      <c r="AB154" s="2173"/>
      <c r="AC154" s="2173"/>
      <c r="AD154" s="2173"/>
      <c r="AE154" s="2173"/>
      <c r="AF154" s="2173"/>
      <c r="AG154" s="2173"/>
      <c r="AH154" s="2173"/>
      <c r="AI154" s="2173"/>
      <c r="AJ154" s="2174"/>
      <c r="AK154" s="2172"/>
      <c r="AL154" s="2173"/>
      <c r="AM154" s="2173"/>
      <c r="AN154" s="2173"/>
      <c r="AO154" s="2173"/>
      <c r="AP154" s="2173"/>
      <c r="AQ154" s="2173"/>
      <c r="AR154" s="2173"/>
      <c r="AS154" s="2173"/>
      <c r="AT154" s="2173"/>
      <c r="AU154" s="2174"/>
    </row>
    <row r="155" spans="2:48" s="2168" customFormat="1" x14ac:dyDescent="0.2">
      <c r="D155" s="1733" t="s">
        <v>105</v>
      </c>
      <c r="F155" s="2179">
        <f ca="1">SUMPRODUCT(F118:F154,'Air Quality'!F34:F70)/'Air Quality'!F71</f>
        <v>1</v>
      </c>
      <c r="G155" s="2179">
        <f ca="1">SUMPRODUCT(G118:G154,'Air Quality'!G34:G70)/'Air Quality'!G71</f>
        <v>1</v>
      </c>
      <c r="H155" s="2179">
        <f ca="1">SUMPRODUCT(H118:H154,'Air Quality'!H34:H70)/'Air Quality'!H71</f>
        <v>1</v>
      </c>
      <c r="I155" s="2179">
        <f ca="1">SUMPRODUCT(I118:I154,'Air Quality'!I34:I70)/'Air Quality'!I71</f>
        <v>0.89763389310316977</v>
      </c>
      <c r="J155" s="2179">
        <f ca="1">SUMPRODUCT(J118:J154,'Air Quality'!J34:J70)/'Air Quality'!J71</f>
        <v>0.79340484029338521</v>
      </c>
      <c r="K155" s="2179">
        <f ca="1">SUMPRODUCT(K118:K154,'Air Quality'!K34:K70)/'Air Quality'!K71</f>
        <v>0.68387432149380489</v>
      </c>
      <c r="L155" s="2179">
        <f ca="1">SUMPRODUCT(L118:L154,'Air Quality'!L34:L70)/'Air Quality'!L71</f>
        <v>0.57274380142382719</v>
      </c>
      <c r="M155" s="2179">
        <f ca="1">SUMPRODUCT(M118:M154,'Air Quality'!M34:M70)/'Air Quality'!M71</f>
        <v>0.46626985355457834</v>
      </c>
      <c r="N155" s="2179">
        <f ca="1">SUMPRODUCT(N118:N154,'Air Quality'!N34:N70)/'Air Quality'!N71</f>
        <v>0.3589434593857368</v>
      </c>
      <c r="P155" s="2179" t="e">
        <f ca="1">SUMPRODUCT(P118:P154,'Air Quality'!P34:P70)/'Air Quality'!P71</f>
        <v>#DIV/0!</v>
      </c>
      <c r="Q155" s="2179">
        <f ca="1">SUMPRODUCT(Q118:Q154,'Air Quality'!Q34:Q70)/'Air Quality'!Q71</f>
        <v>1</v>
      </c>
      <c r="R155" s="2179">
        <f ca="1">SUMPRODUCT(R118:R154,'Air Quality'!R34:R70)/'Air Quality'!R71</f>
        <v>1</v>
      </c>
      <c r="S155" s="2179">
        <f ca="1">SUMPRODUCT(S118:S154,'Air Quality'!S34:S70)/'Air Quality'!S71</f>
        <v>1</v>
      </c>
      <c r="T155" s="2179">
        <f ca="1">SUMPRODUCT(T118:T154,'Air Quality'!T34:T70)/'Air Quality'!T71</f>
        <v>0.93359789682166872</v>
      </c>
      <c r="U155" s="2179">
        <f ca="1">SUMPRODUCT(U118:U154,'Air Quality'!U34:U70)/'Air Quality'!U71</f>
        <v>0.86373508379941422</v>
      </c>
      <c r="V155" s="2179">
        <f ca="1">SUMPRODUCT(V118:V154,'Air Quality'!V34:V70)/'Air Quality'!V71</f>
        <v>0.79021183685469087</v>
      </c>
      <c r="W155" s="2179">
        <f ca="1">SUMPRODUCT(W118:W154,'Air Quality'!W34:W70)/'Air Quality'!W71</f>
        <v>0.71142826906331669</v>
      </c>
      <c r="X155" s="2179">
        <f ca="1">SUMPRODUCT(X118:X154,'Air Quality'!X34:X70)/'Air Quality'!X71</f>
        <v>0.62895206604073639</v>
      </c>
      <c r="Y155" s="2179">
        <f ca="1">SUMPRODUCT(Y118:Y154,'Air Quality'!Y34:Y70)/'Air Quality'!Y71</f>
        <v>0.54491227508572249</v>
      </c>
      <c r="AA155" s="2179" t="e">
        <f ca="1">SUMPRODUCT(AA118:AA154,'Air Quality'!AA34:AA70)/'Air Quality'!AA71</f>
        <v>#DIV/0!</v>
      </c>
      <c r="AB155" s="2179">
        <f ca="1">SUMPRODUCT(AB118:AB154,'Air Quality'!AB34:AB70)/'Air Quality'!AB71</f>
        <v>1</v>
      </c>
      <c r="AC155" s="2179">
        <f ca="1">SUMPRODUCT(AC118:AC154,'Air Quality'!AC34:AC70)/'Air Quality'!AC71</f>
        <v>1</v>
      </c>
      <c r="AD155" s="2179">
        <f ca="1">SUMPRODUCT(AD118:AD154,'Air Quality'!AD34:AD70)/'Air Quality'!AD71</f>
        <v>1</v>
      </c>
      <c r="AE155" s="2179">
        <f ca="1">SUMPRODUCT(AE118:AE154,'Air Quality'!AE34:AE70)/'Air Quality'!AE71</f>
        <v>0.95755306621587155</v>
      </c>
      <c r="AF155" s="2179">
        <f ca="1">SUMPRODUCT(AF118:AF154,'Air Quality'!AF34:AF70)/'Air Quality'!AF71</f>
        <v>0.92470548819825349</v>
      </c>
      <c r="AG155" s="2179">
        <f ca="1">SUMPRODUCT(AG118:AG154,'Air Quality'!AG34:AG70)/'Air Quality'!AG71</f>
        <v>0.89261515045269368</v>
      </c>
      <c r="AH155" s="2179">
        <f ca="1">SUMPRODUCT(AH118:AH154,'Air Quality'!AH34:AH70)/'Air Quality'!AH71</f>
        <v>0.86041151440232366</v>
      </c>
      <c r="AI155" s="2179">
        <f ca="1">SUMPRODUCT(AI118:AI154,'Air Quality'!AI34:AI70)/'Air Quality'!AI71</f>
        <v>0.82831128891969852</v>
      </c>
      <c r="AJ155" s="2179">
        <f ca="1">SUMPRODUCT(AJ118:AJ154,'Air Quality'!AJ34:AJ70)/'Air Quality'!AJ71</f>
        <v>0.79689717864931298</v>
      </c>
      <c r="AL155" s="2179" t="e">
        <f ca="1">SUMPRODUCT(AL118:AL154,'Air Quality'!AL34:AL70)/'Air Quality'!AL71</f>
        <v>#DIV/0!</v>
      </c>
      <c r="AM155" s="2179">
        <f ca="1">SUMPRODUCT(AM118:AM154,'Air Quality'!AM34:AM70)/'Air Quality'!AM71</f>
        <v>1</v>
      </c>
      <c r="AN155" s="2179">
        <f ca="1">SUMPRODUCT(AN118:AN154,'Air Quality'!AN34:AN70)/'Air Quality'!AN71</f>
        <v>1</v>
      </c>
      <c r="AO155" s="2179">
        <f ca="1">SUMPRODUCT(AO118:AO154,'Air Quality'!AO34:AO70)/'Air Quality'!AO71</f>
        <v>1</v>
      </c>
      <c r="AP155" s="2179">
        <f ca="1">SUMPRODUCT(AP118:AP154,'Air Quality'!AP34:AP70)/'Air Quality'!AP71</f>
        <v>0.9719146161076625</v>
      </c>
      <c r="AQ155" s="2179">
        <f ca="1">SUMPRODUCT(AQ118:AQ154,'Air Quality'!AQ34:AQ70)/'Air Quality'!AQ71</f>
        <v>0.94508395364123121</v>
      </c>
      <c r="AR155" s="2179">
        <f ca="1">SUMPRODUCT(AR118:AR154,'Air Quality'!AR34:AR70)/'Air Quality'!AR71</f>
        <v>0.90644457182724425</v>
      </c>
      <c r="AS155" s="2179">
        <f ca="1">SUMPRODUCT(AS118:AS154,'Air Quality'!AS34:AS70)/'Air Quality'!AS71</f>
        <v>0.86303530453399013</v>
      </c>
      <c r="AT155" s="2179">
        <f ca="1">SUMPRODUCT(AT118:AT154,'Air Quality'!AT34:AT70)/'Air Quality'!AT71</f>
        <v>0.8163287810365184</v>
      </c>
      <c r="AU155" s="2179">
        <f ca="1">SUMPRODUCT(AU118:AU154,'Air Quality'!AU34:AU70)/'Air Quality'!AU71</f>
        <v>0.78216497958093567</v>
      </c>
    </row>
    <row r="156" spans="2:48" s="2168" customFormat="1" x14ac:dyDescent="0.2"/>
    <row r="157" spans="2:48" s="2168" customFormat="1" x14ac:dyDescent="0.2"/>
    <row r="158" spans="2:48" s="2168" customFormat="1" x14ac:dyDescent="0.2">
      <c r="F158" s="1245"/>
      <c r="G158" s="1245"/>
      <c r="H158" s="1245"/>
      <c r="I158" s="1245"/>
      <c r="J158" s="1245"/>
      <c r="K158" s="1245"/>
      <c r="L158" s="1245"/>
      <c r="M158" s="1245"/>
      <c r="N158" s="1245"/>
      <c r="O158" s="1245"/>
      <c r="P158" s="1245"/>
      <c r="Q158" s="1245"/>
      <c r="R158" s="1245"/>
      <c r="S158" s="1245"/>
      <c r="T158" s="1245"/>
      <c r="U158" s="1245"/>
      <c r="V158" s="1245"/>
      <c r="W158" s="1245"/>
      <c r="X158" s="1245"/>
      <c r="Y158" s="1245"/>
      <c r="Z158" s="1245"/>
      <c r="AA158" s="1245"/>
      <c r="AB158" s="1245"/>
      <c r="AC158" s="1245"/>
      <c r="AD158" s="1245"/>
      <c r="AE158" s="1245"/>
      <c r="AF158" s="1245"/>
      <c r="AG158" s="1245"/>
      <c r="AH158" s="1245"/>
      <c r="AI158" s="1245"/>
      <c r="AJ158" s="1245"/>
      <c r="AK158" s="1245"/>
      <c r="AL158" s="1245"/>
      <c r="AM158" s="1245"/>
      <c r="AN158" s="1245"/>
      <c r="AO158" s="1245"/>
      <c r="AP158" s="1245"/>
      <c r="AQ158" s="1245"/>
      <c r="AR158" s="1245"/>
      <c r="AS158" s="1245"/>
      <c r="AT158" s="1245"/>
      <c r="AU158" s="1245"/>
      <c r="AV158" s="1245"/>
    </row>
    <row r="159" spans="2:48" s="2168" customFormat="1" x14ac:dyDescent="0.2">
      <c r="F159" s="1245"/>
      <c r="G159" s="1245"/>
      <c r="H159" s="1245"/>
      <c r="I159" s="1245"/>
      <c r="J159" s="1245"/>
      <c r="K159" s="1245"/>
      <c r="L159" s="1245"/>
      <c r="M159" s="1245"/>
      <c r="N159" s="1245"/>
      <c r="O159" s="1245"/>
      <c r="P159" s="1245"/>
      <c r="Q159" s="1245"/>
      <c r="R159" s="1245"/>
      <c r="S159" s="1245"/>
      <c r="T159" s="1245"/>
      <c r="U159" s="1245"/>
      <c r="V159" s="1245"/>
      <c r="W159" s="1245"/>
      <c r="X159" s="1245"/>
      <c r="Y159" s="1245"/>
      <c r="Z159" s="1245"/>
      <c r="AA159" s="1245"/>
      <c r="AB159" s="1245"/>
      <c r="AC159" s="1245"/>
      <c r="AD159" s="1245"/>
      <c r="AE159" s="1245"/>
      <c r="AF159" s="1245"/>
      <c r="AG159" s="1245"/>
      <c r="AH159" s="1245"/>
      <c r="AI159" s="1245"/>
      <c r="AJ159" s="1245"/>
      <c r="AK159" s="1245"/>
      <c r="AL159" s="1245"/>
      <c r="AM159" s="1245"/>
      <c r="AN159" s="1245"/>
      <c r="AO159" s="1245"/>
      <c r="AP159" s="1245"/>
      <c r="AQ159" s="1245"/>
      <c r="AR159" s="1245"/>
      <c r="AS159" s="1245"/>
      <c r="AT159" s="1245"/>
      <c r="AU159" s="1245"/>
      <c r="AV159" s="1245"/>
    </row>
    <row r="160" spans="2:48" s="2168" customFormat="1" x14ac:dyDescent="0.2">
      <c r="B160" s="1427" t="s">
        <v>1840</v>
      </c>
      <c r="F160" s="1427" t="s">
        <v>1787</v>
      </c>
      <c r="G160" s="1427" t="s">
        <v>1791</v>
      </c>
      <c r="H160" s="1427"/>
      <c r="I160" s="1427"/>
      <c r="J160" s="1427"/>
      <c r="K160" s="1427"/>
      <c r="L160" s="1427"/>
      <c r="M160" s="1427"/>
      <c r="N160" s="1427"/>
      <c r="O160" s="172" t="s">
        <v>1838</v>
      </c>
      <c r="Q160" s="1427" t="s">
        <v>1794</v>
      </c>
      <c r="R160" s="1427" t="s">
        <v>1788</v>
      </c>
      <c r="S160" s="1427"/>
      <c r="T160" s="1427"/>
      <c r="U160" s="1427"/>
      <c r="V160" s="1427"/>
      <c r="W160" s="1427"/>
      <c r="X160" s="1427"/>
      <c r="Y160" s="1427"/>
      <c r="Z160" s="172" t="s">
        <v>1838</v>
      </c>
      <c r="AB160" s="1427" t="s">
        <v>1795</v>
      </c>
      <c r="AC160" s="1427" t="s">
        <v>1789</v>
      </c>
      <c r="AD160" s="1427"/>
      <c r="AE160" s="1427"/>
      <c r="AF160" s="1427"/>
      <c r="AG160" s="1427"/>
      <c r="AH160" s="1427"/>
      <c r="AI160" s="1427"/>
      <c r="AJ160" s="1427"/>
      <c r="AK160" s="172" t="s">
        <v>1838</v>
      </c>
      <c r="AM160" s="1427" t="s">
        <v>1792</v>
      </c>
      <c r="AN160" s="1427" t="s">
        <v>1790</v>
      </c>
      <c r="AO160" s="1427"/>
      <c r="AP160" s="1427"/>
      <c r="AQ160" s="1427"/>
      <c r="AR160" s="1427"/>
      <c r="AS160" s="1427"/>
      <c r="AT160" s="1427"/>
      <c r="AU160" s="1427"/>
      <c r="AV160" s="172" t="s">
        <v>1838</v>
      </c>
    </row>
    <row r="161" spans="2:48" s="2168" customFormat="1" ht="13.5" thickBot="1" x14ac:dyDescent="0.25">
      <c r="D161" s="1682" t="s">
        <v>67</v>
      </c>
      <c r="F161" s="1681">
        <v>2010</v>
      </c>
      <c r="G161" s="1681">
        <v>2015</v>
      </c>
      <c r="H161" s="1681">
        <v>2020</v>
      </c>
      <c r="I161" s="1681">
        <v>2025</v>
      </c>
      <c r="J161" s="1681">
        <v>2030</v>
      </c>
      <c r="K161" s="1681">
        <v>2035</v>
      </c>
      <c r="L161" s="1681">
        <v>2040</v>
      </c>
      <c r="M161" s="1681">
        <v>2045</v>
      </c>
      <c r="N161" s="1681">
        <v>2050</v>
      </c>
      <c r="P161" s="1681">
        <v>2007</v>
      </c>
      <c r="Q161" s="1681">
        <v>2010</v>
      </c>
      <c r="R161" s="1681">
        <v>2015</v>
      </c>
      <c r="S161" s="1681">
        <v>2020</v>
      </c>
      <c r="T161" s="1681">
        <v>2025</v>
      </c>
      <c r="U161" s="1681">
        <v>2030</v>
      </c>
      <c r="V161" s="1681">
        <v>2035</v>
      </c>
      <c r="W161" s="1681">
        <v>2040</v>
      </c>
      <c r="X161" s="1681">
        <v>2045</v>
      </c>
      <c r="Y161" s="1681">
        <v>2050</v>
      </c>
      <c r="AA161" s="1681">
        <v>2007</v>
      </c>
      <c r="AB161" s="1681">
        <v>2010</v>
      </c>
      <c r="AC161" s="1681">
        <v>2015</v>
      </c>
      <c r="AD161" s="1681">
        <v>2020</v>
      </c>
      <c r="AE161" s="1681">
        <v>2025</v>
      </c>
      <c r="AF161" s="1681">
        <v>2030</v>
      </c>
      <c r="AG161" s="1681">
        <v>2035</v>
      </c>
      <c r="AH161" s="1681">
        <v>2040</v>
      </c>
      <c r="AI161" s="1681">
        <v>2045</v>
      </c>
      <c r="AJ161" s="1681">
        <v>2050</v>
      </c>
      <c r="AL161" s="1681">
        <v>2007</v>
      </c>
      <c r="AM161" s="1681">
        <v>2010</v>
      </c>
      <c r="AN161" s="1681">
        <v>2015</v>
      </c>
      <c r="AO161" s="1681">
        <v>2020</v>
      </c>
      <c r="AP161" s="1681">
        <v>2025</v>
      </c>
      <c r="AQ161" s="1681">
        <v>2030</v>
      </c>
      <c r="AR161" s="1681">
        <v>2035</v>
      </c>
      <c r="AS161" s="1681">
        <v>2040</v>
      </c>
      <c r="AT161" s="1681">
        <v>2045</v>
      </c>
      <c r="AU161" s="1681">
        <v>2050</v>
      </c>
    </row>
    <row r="162" spans="2:48" s="2168" customFormat="1" ht="13.5" thickTop="1" x14ac:dyDescent="0.2">
      <c r="D162" s="1686" t="s">
        <v>125</v>
      </c>
      <c r="F162" s="1691">
        <f t="array" aca="1" ref="F162" ca="1">SUM(IF($D$118:$D$154=$D162,F$118:F$154,0)*'Air Quality'!F$34:F$70)</f>
        <v>6.0375104176772831</v>
      </c>
      <c r="G162" s="1691">
        <f t="array" aca="1" ref="G162" ca="1">SUM(IF($D$118:$D$154=$D162,G$118:G$154,0)*'Air Quality'!G$34:G$70)</f>
        <v>8.0107451170811625</v>
      </c>
      <c r="H162" s="1691">
        <f t="array" aca="1" ref="H162" ca="1">SUM(IF($D$118:$D$154=$D162,H$118:H$154,0)*'Air Quality'!H$34:H$70)</f>
        <v>7.3245642933341824</v>
      </c>
      <c r="I162" s="1691">
        <f t="array" aca="1" ref="I162" ca="1">SUM(IF($D$118:$D$154=$D162,I$118:I$154,0)*'Air Quality'!I$34:I$70)</f>
        <v>5.7907401543733323</v>
      </c>
      <c r="J162" s="1691">
        <f t="array" aca="1" ref="J162" ca="1">SUM(IF($D$118:$D$154=$D162,J$118:J$154,0)*'Air Quality'!J$34:J$70)</f>
        <v>4.1096542540882277</v>
      </c>
      <c r="K162" s="1691">
        <f t="array" aca="1" ref="K162" ca="1">SUM(IF($D$118:$D$154=$D162,K$118:K$154,0)*'Air Quality'!K$34:K$70)</f>
        <v>2.5472952275455882</v>
      </c>
      <c r="L162" s="1691">
        <f t="array" aca="1" ref="L162" ca="1">SUM(IF($D$118:$D$154=$D162,L$118:L$154,0)*'Air Quality'!L$34:L$70)</f>
        <v>1.4030315586491724</v>
      </c>
      <c r="M162" s="1691">
        <f t="array" aca="1" ref="M162" ca="1">SUM(IF($D$118:$D$154=$D162,M$118:M$154,0)*'Air Quality'!M$34:M$70)</f>
        <v>1.0886375977484646</v>
      </c>
      <c r="N162" s="1691">
        <f t="array" aca="1" ref="N162" ca="1">SUM(IF($D$118:$D$154=$D162,N$118:N$154,0)*'Air Quality'!N$34:N$70)</f>
        <v>0.92176573689345587</v>
      </c>
      <c r="P162" s="1691">
        <f t="array" aca="1" ref="P162" ca="1">SUM(IF($D$118:$D$154=$D162,P$118:P$154,0)*'Air Quality'!P$34:P$70)</f>
        <v>0</v>
      </c>
      <c r="Q162" s="1691">
        <f t="array" aca="1" ref="Q162" ca="1">SUM(IF($D$118:$D$154=$D162,Q$118:Q$154,0)*'Air Quality'!Q$34:Q$70)</f>
        <v>218.29502576512834</v>
      </c>
      <c r="R162" s="1691">
        <f t="array" aca="1" ref="R162" ca="1">SUM(IF($D$118:$D$154=$D162,R$118:R$154,0)*'Air Quality'!R$34:R$70)</f>
        <v>292.25668607815413</v>
      </c>
      <c r="S162" s="1691">
        <f t="array" aca="1" ref="S162" ca="1">SUM(IF($D$118:$D$154=$D162,S$118:S$154,0)*'Air Quality'!S$34:S$70)</f>
        <v>272.64989394797738</v>
      </c>
      <c r="T162" s="1691">
        <f t="array" aca="1" ref="T162" ca="1">SUM(IF($D$118:$D$154=$D162,T$118:T$154,0)*'Air Quality'!T$34:T$70)</f>
        <v>216.44684722446291</v>
      </c>
      <c r="U162" s="1691">
        <f t="array" aca="1" ref="U162" ca="1">SUM(IF($D$118:$D$154=$D162,U$118:U$154,0)*'Air Quality'!U$34:U$70)</f>
        <v>157.45275155029381</v>
      </c>
      <c r="V162" s="1691">
        <f t="array" aca="1" ref="V162" ca="1">SUM(IF($D$118:$D$154=$D162,V$118:V$154,0)*'Air Quality'!V$34:V$70)</f>
        <v>102.12549202435756</v>
      </c>
      <c r="W162" s="1691">
        <f t="array" aca="1" ref="W162" ca="1">SUM(IF($D$118:$D$154=$D162,W$118:W$154,0)*'Air Quality'!W$34:W$70)</f>
        <v>71.796713084423061</v>
      </c>
      <c r="X162" s="1691">
        <f t="array" aca="1" ref="X162" ca="1">SUM(IF($D$118:$D$154=$D162,X$118:X$154,0)*'Air Quality'!X$34:X$70)</f>
        <v>55.328488289979987</v>
      </c>
      <c r="Y162" s="1691">
        <f t="array" aca="1" ref="Y162" ca="1">SUM(IF($D$118:$D$154=$D162,Y$118:Y$154,0)*'Air Quality'!Y$34:Y$70)</f>
        <v>40.999497365538375</v>
      </c>
      <c r="AA162" s="1691">
        <f t="array" aca="1" ref="AA162" ca="1">SUM(IF($D$118:$D$154=$D162,AA$118:AA$154,0)*'Air Quality'!AA$34:AA$70)</f>
        <v>0</v>
      </c>
      <c r="AB162" s="1691">
        <f t="array" aca="1" ref="AB162" ca="1">SUM(IF($D$118:$D$154=$D162,AB$118:AB$154,0)*'Air Quality'!AB$34:AB$70)</f>
        <v>2.2526225257047678</v>
      </c>
      <c r="AC162" s="1691">
        <f t="array" aca="1" ref="AC162" ca="1">SUM(IF($D$118:$D$154=$D162,AC$118:AC$154,0)*'Air Quality'!AC$34:AC$70)</f>
        <v>8.4573227048815841E-2</v>
      </c>
      <c r="AD162" s="1691">
        <f t="array" aca="1" ref="AD162" ca="1">SUM(IF($D$118:$D$154=$D162,AD$118:AD$154,0)*'Air Quality'!AD$34:AD$70)</f>
        <v>8.9859274950625831E-2</v>
      </c>
      <c r="AE162" s="1691">
        <f t="array" aca="1" ref="AE162" ca="1">SUM(IF($D$118:$D$154=$D162,AE$118:AE$154,0)*'Air Quality'!AE$34:AE$70)</f>
        <v>8.301465498816861E-2</v>
      </c>
      <c r="AF162" s="1691">
        <f t="array" aca="1" ref="AF162" ca="1">SUM(IF($D$118:$D$154=$D162,AF$118:AF$154,0)*'Air Quality'!AF$34:AF$70)</f>
        <v>7.3751675390659702E-2</v>
      </c>
      <c r="AG162" s="1691">
        <f t="array" aca="1" ref="AG162" ca="1">SUM(IF($D$118:$D$154=$D162,AG$118:AG$154,0)*'Air Quality'!AG$34:AG$70)</f>
        <v>6.4725544815241703E-2</v>
      </c>
      <c r="AH162" s="1691">
        <f t="array" aca="1" ref="AH162" ca="1">SUM(IF($D$118:$D$154=$D162,AH$118:AH$154,0)*'Air Quality'!AH$34:AH$70)</f>
        <v>5.3812359169057376E-2</v>
      </c>
      <c r="AI162" s="1691">
        <f t="array" aca="1" ref="AI162" ca="1">SUM(IF($D$118:$D$154=$D162,AI$118:AI$154,0)*'Air Quality'!AI$34:AI$70)</f>
        <v>4.2567577231204946E-2</v>
      </c>
      <c r="AJ162" s="1691">
        <f t="array" aca="1" ref="AJ162" ca="1">SUM(IF($D$118:$D$154=$D162,AJ$118:AJ$154,0)*'Air Quality'!AJ$34:AJ$70)</f>
        <v>3.1574928368651549E-2</v>
      </c>
      <c r="AL162" s="1691">
        <f t="array" aca="1" ref="AL162" ca="1">SUM(IF($D$118:$D$154=$D162,AL$118:AL$154,0)*'Air Quality'!AL$34:AL$70)</f>
        <v>0</v>
      </c>
      <c r="AM162" s="1691">
        <f t="array" aca="1" ref="AM162" ca="1">SUM(IF($D$118:$D$154=$D162,AM$118:AM$154,0)*'Air Quality'!AM$34:AM$70)</f>
        <v>20.101272146000287</v>
      </c>
      <c r="AN162" s="1691">
        <f t="array" aca="1" ref="AN162" ca="1">SUM(IF($D$118:$D$154=$D162,AN$118:AN$154,0)*'Air Quality'!AN$34:AN$70)</f>
        <v>28.525160734248932</v>
      </c>
      <c r="AO162" s="1691">
        <f t="array" aca="1" ref="AO162" ca="1">SUM(IF($D$118:$D$154=$D162,AO$118:AO$154,0)*'Air Quality'!AO$34:AO$70)</f>
        <v>27.204412326238295</v>
      </c>
      <c r="AP162" s="1691">
        <f t="array" aca="1" ref="AP162" ca="1">SUM(IF($D$118:$D$154=$D162,AP$118:AP$154,0)*'Air Quality'!AP$34:AP$70)</f>
        <v>22.866394093448172</v>
      </c>
      <c r="AQ162" s="1691">
        <f t="array" aca="1" ref="AQ162" ca="1">SUM(IF($D$118:$D$154=$D162,AQ$118:AQ$154,0)*'Air Quality'!AQ$34:AQ$70)</f>
        <v>17.676462088772787</v>
      </c>
      <c r="AR162" s="1691">
        <f t="array" aca="1" ref="AR162" ca="1">SUM(IF($D$118:$D$154=$D162,AR$118:AR$154,0)*'Air Quality'!AR$34:AR$70)</f>
        <v>12.275739536726261</v>
      </c>
      <c r="AS162" s="1691">
        <f t="array" aca="1" ref="AS162" ca="1">SUM(IF($D$118:$D$154=$D162,AS$118:AS$154,0)*'Air Quality'!AS$34:AS$70)</f>
        <v>9.2490508628633084</v>
      </c>
      <c r="AT162" s="1691">
        <f t="array" aca="1" ref="AT162" ca="1">SUM(IF($D$118:$D$154=$D162,AT$118:AT$154,0)*'Air Quality'!AT$34:AT$70)</f>
        <v>7.8657065222309344</v>
      </c>
      <c r="AU162" s="1691">
        <f t="array" aca="1" ref="AU162" ca="1">SUM(IF($D$118:$D$154=$D162,AU$118:AU$154,0)*'Air Quality'!AU$34:AU$70)</f>
        <v>6.5484160830362832</v>
      </c>
    </row>
    <row r="163" spans="2:48" s="2168" customFormat="1" x14ac:dyDescent="0.2">
      <c r="D163" s="2027" t="s">
        <v>1912</v>
      </c>
      <c r="F163" s="1689">
        <f t="array" aca="1" ref="F163" ca="1">SUM(IF($D$118:$D$154=$D163,F$118:F$154,0)*'Air Quality'!F$34:F$70)</f>
        <v>0</v>
      </c>
      <c r="G163" s="1689">
        <f t="array" aca="1" ref="G163" ca="1">SUM(IF($D$118:$D$154=$D163,G$118:G$154,0)*'Air Quality'!G$34:G$70)</f>
        <v>0</v>
      </c>
      <c r="H163" s="1689">
        <f t="array" aca="1" ref="H163" ca="1">SUM(IF($D$118:$D$154=$D163,H$118:H$154,0)*'Air Quality'!H$34:H$70)</f>
        <v>0</v>
      </c>
      <c r="I163" s="1689">
        <f t="array" aca="1" ref="I163" ca="1">SUM(IF($D$118:$D$154=$D163,I$118:I$154,0)*'Air Quality'!I$34:I$70)</f>
        <v>0</v>
      </c>
      <c r="J163" s="1689">
        <f t="array" aca="1" ref="J163" ca="1">SUM(IF($D$118:$D$154=$D163,J$118:J$154,0)*'Air Quality'!J$34:J$70)</f>
        <v>0</v>
      </c>
      <c r="K163" s="1689">
        <f t="array" aca="1" ref="K163" ca="1">SUM(IF($D$118:$D$154=$D163,K$118:K$154,0)*'Air Quality'!K$34:K$70)</f>
        <v>0</v>
      </c>
      <c r="L163" s="1689">
        <f t="array" aca="1" ref="L163" ca="1">SUM(IF($D$118:$D$154=$D163,L$118:L$154,0)*'Air Quality'!L$34:L$70)</f>
        <v>0</v>
      </c>
      <c r="M163" s="1689">
        <f t="array" aca="1" ref="M163" ca="1">SUM(IF($D$118:$D$154=$D163,M$118:M$154,0)*'Air Quality'!M$34:M$70)</f>
        <v>0</v>
      </c>
      <c r="N163" s="1689">
        <f t="array" aca="1" ref="N163" ca="1">SUM(IF($D$118:$D$154=$D163,N$118:N$154,0)*'Air Quality'!N$34:N$70)</f>
        <v>0</v>
      </c>
      <c r="P163" s="1689">
        <f t="array" aca="1" ref="P163" ca="1">SUM(IF($D$118:$D$154=$D163,P$118:P$154,0)*'Air Quality'!P$34:P$70)</f>
        <v>0</v>
      </c>
      <c r="Q163" s="1689">
        <f t="array" aca="1" ref="Q163" ca="1">SUM(IF($D$118:$D$154=$D163,Q$118:Q$154,0)*'Air Quality'!Q$34:Q$70)</f>
        <v>0</v>
      </c>
      <c r="R163" s="1689">
        <f t="array" aca="1" ref="R163" ca="1">SUM(IF($D$118:$D$154=$D163,R$118:R$154,0)*'Air Quality'!R$34:R$70)</f>
        <v>0</v>
      </c>
      <c r="S163" s="1689">
        <f t="array" aca="1" ref="S163" ca="1">SUM(IF($D$118:$D$154=$D163,S$118:S$154,0)*'Air Quality'!S$34:S$70)</f>
        <v>0</v>
      </c>
      <c r="T163" s="1689">
        <f t="array" aca="1" ref="T163" ca="1">SUM(IF($D$118:$D$154=$D163,T$118:T$154,0)*'Air Quality'!T$34:T$70)</f>
        <v>0</v>
      </c>
      <c r="U163" s="1689">
        <f t="array" aca="1" ref="U163" ca="1">SUM(IF($D$118:$D$154=$D163,U$118:U$154,0)*'Air Quality'!U$34:U$70)</f>
        <v>0</v>
      </c>
      <c r="V163" s="1689">
        <f t="array" aca="1" ref="V163" ca="1">SUM(IF($D$118:$D$154=$D163,V$118:V$154,0)*'Air Quality'!V$34:V$70)</f>
        <v>0</v>
      </c>
      <c r="W163" s="1689">
        <f t="array" aca="1" ref="W163" ca="1">SUM(IF($D$118:$D$154=$D163,W$118:W$154,0)*'Air Quality'!W$34:W$70)</f>
        <v>0</v>
      </c>
      <c r="X163" s="1689">
        <f t="array" aca="1" ref="X163" ca="1">SUM(IF($D$118:$D$154=$D163,X$118:X$154,0)*'Air Quality'!X$34:X$70)</f>
        <v>0</v>
      </c>
      <c r="Y163" s="1689">
        <f t="array" aca="1" ref="Y163" ca="1">SUM(IF($D$118:$D$154=$D163,Y$118:Y$154,0)*'Air Quality'!Y$34:Y$70)</f>
        <v>0</v>
      </c>
      <c r="AA163" s="1689">
        <f t="array" aca="1" ref="AA163" ca="1">SUM(IF($D$118:$D$154=$D163,AA$118:AA$154,0)*'Air Quality'!AA$34:AA$70)</f>
        <v>0</v>
      </c>
      <c r="AB163" s="1689">
        <f t="array" aca="1" ref="AB163" ca="1">SUM(IF($D$118:$D$154=$D163,AB$118:AB$154,0)*'Air Quality'!AB$34:AB$70)</f>
        <v>0</v>
      </c>
      <c r="AC163" s="1689">
        <f t="array" aca="1" ref="AC163" ca="1">SUM(IF($D$118:$D$154=$D163,AC$118:AC$154,0)*'Air Quality'!AC$34:AC$70)</f>
        <v>0</v>
      </c>
      <c r="AD163" s="1689">
        <f t="array" aca="1" ref="AD163" ca="1">SUM(IF($D$118:$D$154=$D163,AD$118:AD$154,0)*'Air Quality'!AD$34:AD$70)</f>
        <v>0</v>
      </c>
      <c r="AE163" s="1689">
        <f t="array" aca="1" ref="AE163" ca="1">SUM(IF($D$118:$D$154=$D163,AE$118:AE$154,0)*'Air Quality'!AE$34:AE$70)</f>
        <v>0</v>
      </c>
      <c r="AF163" s="1689">
        <f t="array" aca="1" ref="AF163" ca="1">SUM(IF($D$118:$D$154=$D163,AF$118:AF$154,0)*'Air Quality'!AF$34:AF$70)</f>
        <v>0</v>
      </c>
      <c r="AG163" s="1689">
        <f t="array" aca="1" ref="AG163" ca="1">SUM(IF($D$118:$D$154=$D163,AG$118:AG$154,0)*'Air Quality'!AG$34:AG$70)</f>
        <v>0</v>
      </c>
      <c r="AH163" s="1689">
        <f t="array" aca="1" ref="AH163" ca="1">SUM(IF($D$118:$D$154=$D163,AH$118:AH$154,0)*'Air Quality'!AH$34:AH$70)</f>
        <v>0</v>
      </c>
      <c r="AI163" s="1689">
        <f t="array" aca="1" ref="AI163" ca="1">SUM(IF($D$118:$D$154=$D163,AI$118:AI$154,0)*'Air Quality'!AI$34:AI$70)</f>
        <v>0</v>
      </c>
      <c r="AJ163" s="1689">
        <f t="array" aca="1" ref="AJ163" ca="1">SUM(IF($D$118:$D$154=$D163,AJ$118:AJ$154,0)*'Air Quality'!AJ$34:AJ$70)</f>
        <v>0</v>
      </c>
      <c r="AL163" s="1689">
        <f t="array" aca="1" ref="AL163" ca="1">SUM(IF($D$118:$D$154=$D163,AL$118:AL$154,0)*'Air Quality'!AL$34:AL$70)</f>
        <v>0</v>
      </c>
      <c r="AM163" s="1689">
        <f t="array" aca="1" ref="AM163" ca="1">SUM(IF($D$118:$D$154=$D163,AM$118:AM$154,0)*'Air Quality'!AM$34:AM$70)</f>
        <v>0</v>
      </c>
      <c r="AN163" s="1689">
        <f t="array" aca="1" ref="AN163" ca="1">SUM(IF($D$118:$D$154=$D163,AN$118:AN$154,0)*'Air Quality'!AN$34:AN$70)</f>
        <v>0</v>
      </c>
      <c r="AO163" s="1689">
        <f t="array" aca="1" ref="AO163" ca="1">SUM(IF($D$118:$D$154=$D163,AO$118:AO$154,0)*'Air Quality'!AO$34:AO$70)</f>
        <v>0</v>
      </c>
      <c r="AP163" s="1689">
        <f t="array" aca="1" ref="AP163" ca="1">SUM(IF($D$118:$D$154=$D163,AP$118:AP$154,0)*'Air Quality'!AP$34:AP$70)</f>
        <v>0</v>
      </c>
      <c r="AQ163" s="1689">
        <f t="array" aca="1" ref="AQ163" ca="1">SUM(IF($D$118:$D$154=$D163,AQ$118:AQ$154,0)*'Air Quality'!AQ$34:AQ$70)</f>
        <v>0</v>
      </c>
      <c r="AR163" s="1689">
        <f t="array" aca="1" ref="AR163" ca="1">SUM(IF($D$118:$D$154=$D163,AR$118:AR$154,0)*'Air Quality'!AR$34:AR$70)</f>
        <v>0</v>
      </c>
      <c r="AS163" s="1689">
        <f t="array" aca="1" ref="AS163" ca="1">SUM(IF($D$118:$D$154=$D163,AS$118:AS$154,0)*'Air Quality'!AS$34:AS$70)</f>
        <v>0</v>
      </c>
      <c r="AT163" s="1689">
        <f t="array" aca="1" ref="AT163" ca="1">SUM(IF($D$118:$D$154=$D163,AT$118:AT$154,0)*'Air Quality'!AT$34:AT$70)</f>
        <v>0</v>
      </c>
      <c r="AU163" s="1689">
        <f t="array" aca="1" ref="AU163" ca="1">SUM(IF($D$118:$D$154=$D163,AU$118:AU$154,0)*'Air Quality'!AU$34:AU$70)</f>
        <v>0</v>
      </c>
    </row>
    <row r="164" spans="2:48" s="2168" customFormat="1" x14ac:dyDescent="0.2">
      <c r="D164" s="1686" t="s">
        <v>1812</v>
      </c>
      <c r="F164" s="1691">
        <f t="array" aca="1" ref="F164" ca="1">SUM(IF($D$118:$D$154=$D164,F$118:F$154,0)*'Air Quality'!F$34:F$70)</f>
        <v>7.6837437651246523</v>
      </c>
      <c r="G164" s="1691">
        <f t="array" aca="1" ref="G164" ca="1">SUM(IF($D$118:$D$154=$D164,G$118:G$154,0)*'Air Quality'!G$34:G$70)</f>
        <v>6.9553465692998371</v>
      </c>
      <c r="H164" s="1691">
        <f t="array" aca="1" ref="H164" ca="1">SUM(IF($D$118:$D$154=$D164,H$118:H$154,0)*'Air Quality'!H$34:H$70)</f>
        <v>4.3357089946724914</v>
      </c>
      <c r="I164" s="1691">
        <f t="array" aca="1" ref="I164" ca="1">SUM(IF($D$118:$D$154=$D164,I$118:I$154,0)*'Air Quality'!I$34:I$70)</f>
        <v>2.3163811562190655</v>
      </c>
      <c r="J164" s="1691">
        <f t="array" aca="1" ref="J164" ca="1">SUM(IF($D$118:$D$154=$D164,J$118:J$154,0)*'Air Quality'!J$34:J$70)</f>
        <v>3.0612450033257579</v>
      </c>
      <c r="K164" s="1691">
        <f t="array" aca="1" ref="K164" ca="1">SUM(IF($D$118:$D$154=$D164,K$118:K$154,0)*'Air Quality'!K$34:K$70)</f>
        <v>4.0785948825291083</v>
      </c>
      <c r="L164" s="1691">
        <f t="array" aca="1" ref="L164" ca="1">SUM(IF($D$118:$D$154=$D164,L$118:L$154,0)*'Air Quality'!L$34:L$70)</f>
        <v>4.635093769739143</v>
      </c>
      <c r="M164" s="1691">
        <f t="array" aca="1" ref="M164" ca="1">SUM(IF($D$118:$D$154=$D164,M$118:M$154,0)*'Air Quality'!M$34:M$70)</f>
        <v>4.5017302171889231</v>
      </c>
      <c r="N164" s="1691">
        <f t="array" aca="1" ref="N164" ca="1">SUM(IF($D$118:$D$154=$D164,N$118:N$154,0)*'Air Quality'!N$34:N$70)</f>
        <v>3.6846602925290064</v>
      </c>
      <c r="P164" s="1691">
        <f t="array" aca="1" ref="P164" ca="1">SUM(IF($D$118:$D$154=$D164,P$118:P$154,0)*'Air Quality'!P$34:P$70)</f>
        <v>0</v>
      </c>
      <c r="Q164" s="1691">
        <f t="array" aca="1" ref="Q164" ca="1">SUM(IF($D$118:$D$154=$D164,Q$118:Q$154,0)*'Air Quality'!Q$34:Q$70)</f>
        <v>126.94615494251838</v>
      </c>
      <c r="R164" s="1691">
        <f t="array" aca="1" ref="R164" ca="1">SUM(IF($D$118:$D$154=$D164,R$118:R$154,0)*'Air Quality'!R$34:R$70)</f>
        <v>123.41237664466088</v>
      </c>
      <c r="S164" s="1691">
        <f t="array" aca="1" ref="S164" ca="1">SUM(IF($D$118:$D$154=$D164,S$118:S$154,0)*'Air Quality'!S$34:S$70)</f>
        <v>66.625223357110997</v>
      </c>
      <c r="T164" s="1691">
        <f t="array" aca="1" ref="T164" ca="1">SUM(IF($D$118:$D$154=$D164,T$118:T$154,0)*'Air Quality'!T$34:T$70)</f>
        <v>70.61803044336088</v>
      </c>
      <c r="U164" s="1691">
        <f t="array" aca="1" ref="U164" ca="1">SUM(IF($D$118:$D$154=$D164,U$118:U$154,0)*'Air Quality'!U$34:U$70)</f>
        <v>108.81360642876967</v>
      </c>
      <c r="V164" s="1691">
        <f t="array" aca="1" ref="V164" ca="1">SUM(IF($D$118:$D$154=$D164,V$118:V$154,0)*'Air Quality'!V$34:V$70)</f>
        <v>157.64773976999717</v>
      </c>
      <c r="W164" s="1691">
        <f t="array" aca="1" ref="W164" ca="1">SUM(IF($D$118:$D$154=$D164,W$118:W$154,0)*'Air Quality'!W$34:W$70)</f>
        <v>195.94507381952093</v>
      </c>
      <c r="X164" s="1691">
        <f t="array" aca="1" ref="X164" ca="1">SUM(IF($D$118:$D$154=$D164,X$118:X$154,0)*'Air Quality'!X$34:X$70)</f>
        <v>220.02609858931572</v>
      </c>
      <c r="Y164" s="1691">
        <f t="array" aca="1" ref="Y164" ca="1">SUM(IF($D$118:$D$154=$D164,Y$118:Y$154,0)*'Air Quality'!Y$34:Y$70)</f>
        <v>230.22066246357841</v>
      </c>
      <c r="AA164" s="1691">
        <f t="array" aca="1" ref="AA164" ca="1">SUM(IF($D$118:$D$154=$D164,AA$118:AA$154,0)*'Air Quality'!AA$34:AA$70)</f>
        <v>0</v>
      </c>
      <c r="AB164" s="1691">
        <f t="array" aca="1" ref="AB164" ca="1">SUM(IF($D$118:$D$154=$D164,AB$118:AB$154,0)*'Air Quality'!AB$34:AB$70)</f>
        <v>58.759846941948275</v>
      </c>
      <c r="AC164" s="1691">
        <f t="array" aca="1" ref="AC164" ca="1">SUM(IF($D$118:$D$154=$D164,AC$118:AC$154,0)*'Air Quality'!AC$34:AC$70)</f>
        <v>55.723962949681024</v>
      </c>
      <c r="AD164" s="1691">
        <f t="array" aca="1" ref="AD164" ca="1">SUM(IF($D$118:$D$154=$D164,AD$118:AD$154,0)*'Air Quality'!AD$34:AD$70)</f>
        <v>17.4785961257652</v>
      </c>
      <c r="AE164" s="1691">
        <f t="array" aca="1" ref="AE164" ca="1">SUM(IF($D$118:$D$154=$D164,AE$118:AE$154,0)*'Air Quality'!AE$34:AE$70)</f>
        <v>19.521736554847376</v>
      </c>
      <c r="AF164" s="1691">
        <f t="array" aca="1" ref="AF164" ca="1">SUM(IF($D$118:$D$154=$D164,AF$118:AF$154,0)*'Air Quality'!AF$34:AF$70)</f>
        <v>52.874636072794459</v>
      </c>
      <c r="AG164" s="1691">
        <f t="array" aca="1" ref="AG164" ca="1">SUM(IF($D$118:$D$154=$D164,AG$118:AG$154,0)*'Air Quality'!AG$34:AG$70)</f>
        <v>95.014524003340554</v>
      </c>
      <c r="AH164" s="1691">
        <f t="array" aca="1" ref="AH164" ca="1">SUM(IF($D$118:$D$154=$D164,AH$118:AH$154,0)*'Air Quality'!AH$34:AH$70)</f>
        <v>134.64602009122362</v>
      </c>
      <c r="AI164" s="1691">
        <f t="array" aca="1" ref="AI164" ca="1">SUM(IF($D$118:$D$154=$D164,AI$118:AI$154,0)*'Air Quality'!AI$34:AI$70)</f>
        <v>170.59018091541751</v>
      </c>
      <c r="AJ164" s="1691">
        <f t="array" aca="1" ref="AJ164" ca="1">SUM(IF($D$118:$D$154=$D164,AJ$118:AJ$154,0)*'Air Quality'!AJ$34:AJ$70)</f>
        <v>203.24427192876485</v>
      </c>
      <c r="AL164" s="1691">
        <f t="array" aca="1" ref="AL164" ca="1">SUM(IF($D$118:$D$154=$D164,AL$118:AL$154,0)*'Air Quality'!AL$34:AL$70)</f>
        <v>0</v>
      </c>
      <c r="AM164" s="1691">
        <f t="array" aca="1" ref="AM164" ca="1">SUM(IF($D$118:$D$154=$D164,AM$118:AM$154,0)*'Air Quality'!AM$34:AM$70)</f>
        <v>0</v>
      </c>
      <c r="AN164" s="1691">
        <f t="array" aca="1" ref="AN164" ca="1">SUM(IF($D$118:$D$154=$D164,AN$118:AN$154,0)*'Air Quality'!AN$34:AN$70)</f>
        <v>0</v>
      </c>
      <c r="AO164" s="1691">
        <f t="array" aca="1" ref="AO164" ca="1">SUM(IF($D$118:$D$154=$D164,AO$118:AO$154,0)*'Air Quality'!AO$34:AO$70)</f>
        <v>0</v>
      </c>
      <c r="AP164" s="1691">
        <f t="array" aca="1" ref="AP164" ca="1">SUM(IF($D$118:$D$154=$D164,AP$118:AP$154,0)*'Air Quality'!AP$34:AP$70)</f>
        <v>0</v>
      </c>
      <c r="AQ164" s="1691">
        <f t="array" aca="1" ref="AQ164" ca="1">SUM(IF($D$118:$D$154=$D164,AQ$118:AQ$154,0)*'Air Quality'!AQ$34:AQ$70)</f>
        <v>0</v>
      </c>
      <c r="AR164" s="1691">
        <f t="array" aca="1" ref="AR164" ca="1">SUM(IF($D$118:$D$154=$D164,AR$118:AR$154,0)*'Air Quality'!AR$34:AR$70)</f>
        <v>0</v>
      </c>
      <c r="AS164" s="1691">
        <f t="array" aca="1" ref="AS164" ca="1">SUM(IF($D$118:$D$154=$D164,AS$118:AS$154,0)*'Air Quality'!AS$34:AS$70)</f>
        <v>0</v>
      </c>
      <c r="AT164" s="1691">
        <f t="array" aca="1" ref="AT164" ca="1">SUM(IF($D$118:$D$154=$D164,AT$118:AT$154,0)*'Air Quality'!AT$34:AT$70)</f>
        <v>0</v>
      </c>
      <c r="AU164" s="1691">
        <f t="array" aca="1" ref="AU164" ca="1">SUM(IF($D$118:$D$154=$D164,AU$118:AU$154,0)*'Air Quality'!AU$34:AU$70)</f>
        <v>0</v>
      </c>
    </row>
    <row r="165" spans="2:48" s="2168" customFormat="1" x14ac:dyDescent="0.2">
      <c r="D165" s="1684" t="s">
        <v>1823</v>
      </c>
      <c r="F165" s="1689">
        <f t="array" aca="1" ref="F165" ca="1">SUM(IF($D$118:$D$154=$D165,F$118:F$154,0)*'Air Quality'!F$34:F$70)</f>
        <v>81.550063962210956</v>
      </c>
      <c r="G165" s="1689">
        <f t="array" aca="1" ref="G165" ca="1">SUM(IF($D$118:$D$154=$D165,G$118:G$154,0)*'Air Quality'!G$34:G$70)</f>
        <v>31.765424717100736</v>
      </c>
      <c r="H165" s="1689">
        <f t="array" aca="1" ref="H165" ca="1">SUM(IF($D$118:$D$154=$D165,H$118:H$154,0)*'Air Quality'!H$34:H$70)</f>
        <v>31.934765699815614</v>
      </c>
      <c r="I165" s="1689">
        <f t="array" aca="1" ref="I165" ca="1">SUM(IF($D$118:$D$154=$D165,I$118:I$154,0)*'Air Quality'!I$34:I$70)</f>
        <v>27.531763827440969</v>
      </c>
      <c r="J165" s="1689">
        <f t="array" aca="1" ref="J165" ca="1">SUM(IF($D$118:$D$154=$D165,J$118:J$154,0)*'Air Quality'!J$34:J$70)</f>
        <v>23.107528788997051</v>
      </c>
      <c r="K165" s="1689">
        <f t="array" aca="1" ref="K165" ca="1">SUM(IF($D$118:$D$154=$D165,K$118:K$154,0)*'Air Quality'!K$34:K$70)</f>
        <v>19.142284519614797</v>
      </c>
      <c r="L165" s="1689">
        <f t="array" aca="1" ref="L165" ca="1">SUM(IF($D$118:$D$154=$D165,L$118:L$154,0)*'Air Quality'!L$34:L$70)</f>
        <v>15.297468821678004</v>
      </c>
      <c r="M165" s="1689">
        <f t="array" aca="1" ref="M165" ca="1">SUM(IF($D$118:$D$154=$D165,M$118:M$154,0)*'Air Quality'!M$34:M$70)</f>
        <v>11.63607159769834</v>
      </c>
      <c r="N165" s="1689">
        <f t="array" aca="1" ref="N165" ca="1">SUM(IF($D$118:$D$154=$D165,N$118:N$154,0)*'Air Quality'!N$34:N$70)</f>
        <v>9.0772017887830163</v>
      </c>
      <c r="P165" s="1689">
        <f t="array" aca="1" ref="P165" ca="1">SUM(IF($D$118:$D$154=$D165,P$118:P$154,0)*'Air Quality'!P$34:P$70)</f>
        <v>0</v>
      </c>
      <c r="Q165" s="1689">
        <f t="array" aca="1" ref="Q165" ca="1">SUM(IF($D$118:$D$154=$D165,Q$118:Q$154,0)*'Air Quality'!Q$34:Q$70)</f>
        <v>360.45131849107509</v>
      </c>
      <c r="R165" s="1689">
        <f t="array" aca="1" ref="R165" ca="1">SUM(IF($D$118:$D$154=$D165,R$118:R$154,0)*'Air Quality'!R$34:R$70)</f>
        <v>261.66390589845105</v>
      </c>
      <c r="S165" s="1689">
        <f t="array" aca="1" ref="S165" ca="1">SUM(IF($D$118:$D$154=$D165,S$118:S$154,0)*'Air Quality'!S$34:S$70)</f>
        <v>204.15450554429398</v>
      </c>
      <c r="T165" s="1689">
        <f t="array" aca="1" ref="T165" ca="1">SUM(IF($D$118:$D$154=$D165,T$118:T$154,0)*'Air Quality'!T$34:T$70)</f>
        <v>158.45674818042042</v>
      </c>
      <c r="U165" s="1689">
        <f t="array" aca="1" ref="U165" ca="1">SUM(IF($D$118:$D$154=$D165,U$118:U$154,0)*'Air Quality'!U$34:U$70)</f>
        <v>127.47410454941414</v>
      </c>
      <c r="V165" s="1689">
        <f t="array" aca="1" ref="V165" ca="1">SUM(IF($D$118:$D$154=$D165,V$118:V$154,0)*'Air Quality'!V$34:V$70)</f>
        <v>105.87214916506812</v>
      </c>
      <c r="W165" s="1689">
        <f t="array" aca="1" ref="W165" ca="1">SUM(IF($D$118:$D$154=$D165,W$118:W$154,0)*'Air Quality'!W$34:W$70)</f>
        <v>85.960598056562091</v>
      </c>
      <c r="X165" s="1689">
        <f t="array" aca="1" ref="X165" ca="1">SUM(IF($D$118:$D$154=$D165,X$118:X$154,0)*'Air Quality'!X$34:X$70)</f>
        <v>67.669947976361996</v>
      </c>
      <c r="Y165" s="1689">
        <f t="array" aca="1" ref="Y165" ca="1">SUM(IF($D$118:$D$154=$D165,Y$118:Y$154,0)*'Air Quality'!Y$34:Y$70)</f>
        <v>50.307748073919527</v>
      </c>
      <c r="AA165" s="1689">
        <f t="array" aca="1" ref="AA165" ca="1">SUM(IF($D$118:$D$154=$D165,AA$118:AA$154,0)*'Air Quality'!AA$34:AA$70)</f>
        <v>0</v>
      </c>
      <c r="AB165" s="1689">
        <f t="array" aca="1" ref="AB165" ca="1">SUM(IF($D$118:$D$154=$D165,AB$118:AB$154,0)*'Air Quality'!AB$34:AB$70)</f>
        <v>310.28500206942766</v>
      </c>
      <c r="AC165" s="1689">
        <f t="array" aca="1" ref="AC165" ca="1">SUM(IF($D$118:$D$154=$D165,AC$118:AC$154,0)*'Air Quality'!AC$34:AC$70)</f>
        <v>16.036945629791088</v>
      </c>
      <c r="AD165" s="1689">
        <f t="array" aca="1" ref="AD165" ca="1">SUM(IF($D$118:$D$154=$D165,AD$118:AD$154,0)*'Air Quality'!AD$34:AD$70)</f>
        <v>15.754185713081664</v>
      </c>
      <c r="AE165" s="1689">
        <f t="array" aca="1" ref="AE165" ca="1">SUM(IF($D$118:$D$154=$D165,AE$118:AE$154,0)*'Air Quality'!AE$34:AE$70)</f>
        <v>14.823900638669389</v>
      </c>
      <c r="AF165" s="1689">
        <f t="array" aca="1" ref="AF165" ca="1">SUM(IF($D$118:$D$154=$D165,AF$118:AF$154,0)*'Air Quality'!AF$34:AF$70)</f>
        <v>13.376121396255716</v>
      </c>
      <c r="AG165" s="1689">
        <f t="array" aca="1" ref="AG165" ca="1">SUM(IF($D$118:$D$154=$D165,AG$118:AG$154,0)*'Air Quality'!AG$34:AG$70)</f>
        <v>12.116395666506346</v>
      </c>
      <c r="AH165" s="1689">
        <f t="array" aca="1" ref="AH165" ca="1">SUM(IF($D$118:$D$154=$D165,AH$118:AH$154,0)*'Air Quality'!AH$34:AH$70)</f>
        <v>10.85738652645596</v>
      </c>
      <c r="AI165" s="1689">
        <f t="array" aca="1" ref="AI165" ca="1">SUM(IF($D$118:$D$154=$D165,AI$118:AI$154,0)*'Air Quality'!AI$34:AI$70)</f>
        <v>9.6514174601576617</v>
      </c>
      <c r="AJ165" s="1689">
        <f t="array" aca="1" ref="AJ165" ca="1">SUM(IF($D$118:$D$154=$D165,AJ$118:AJ$154,0)*'Air Quality'!AJ$34:AJ$70)</f>
        <v>7.9436688499091925</v>
      </c>
      <c r="AL165" s="1689">
        <f t="array" aca="1" ref="AL165" ca="1">SUM(IF($D$118:$D$154=$D165,AL$118:AL$154,0)*'Air Quality'!AL$34:AL$70)</f>
        <v>0</v>
      </c>
      <c r="AM165" s="1689">
        <f t="array" aca="1" ref="AM165" ca="1">SUM(IF($D$118:$D$154=$D165,AM$118:AM$154,0)*'Air Quality'!AM$34:AM$70)</f>
        <v>142.44176372732522</v>
      </c>
      <c r="AN165" s="1689">
        <f t="array" aca="1" ref="AN165" ca="1">SUM(IF($D$118:$D$154=$D165,AN$118:AN$154,0)*'Air Quality'!AN$34:AN$70)</f>
        <v>355.46247443120456</v>
      </c>
      <c r="AO165" s="1689">
        <f t="array" aca="1" ref="AO165" ca="1">SUM(IF($D$118:$D$154=$D165,AO$118:AO$154,0)*'Air Quality'!AO$34:AO$70)</f>
        <v>341.72294224217535</v>
      </c>
      <c r="AP165" s="1689">
        <f t="array" aca="1" ref="AP165" ca="1">SUM(IF($D$118:$D$154=$D165,AP$118:AP$154,0)*'Air Quality'!AP$34:AP$70)</f>
        <v>315.06945713795881</v>
      </c>
      <c r="AQ165" s="1689">
        <f t="array" aca="1" ref="AQ165" ca="1">SUM(IF($D$118:$D$154=$D165,AQ$118:AQ$154,0)*'Air Quality'!AQ$34:AQ$70)</f>
        <v>289.41832917079</v>
      </c>
      <c r="AR165" s="1689">
        <f t="array" aca="1" ref="AR165" ca="1">SUM(IF($D$118:$D$154=$D165,AR$118:AR$154,0)*'Air Quality'!AR$34:AR$70)</f>
        <v>309.7998080878898</v>
      </c>
      <c r="AS165" s="1689">
        <f t="array" aca="1" ref="AS165" ca="1">SUM(IF($D$118:$D$154=$D165,AS$118:AS$154,0)*'Air Quality'!AS$34:AS$70)</f>
        <v>315.02089227581831</v>
      </c>
      <c r="AT165" s="1689">
        <f t="array" aca="1" ref="AT165" ca="1">SUM(IF($D$118:$D$154=$D165,AT$118:AT$154,0)*'Air Quality'!AT$34:AT$70)</f>
        <v>314.73234105713249</v>
      </c>
      <c r="AU165" s="1689">
        <f t="array" aca="1" ref="AU165" ca="1">SUM(IF($D$118:$D$154=$D165,AU$118:AU$154,0)*'Air Quality'!AU$34:AU$70)</f>
        <v>362.18557694390097</v>
      </c>
    </row>
    <row r="166" spans="2:48" s="2168" customFormat="1" x14ac:dyDescent="0.2">
      <c r="D166" s="1686" t="s">
        <v>32</v>
      </c>
      <c r="F166" s="1691">
        <f t="array" aca="1" ref="F166" ca="1">SUM(IF($D$118:$D$154=$D166,F$118:F$154,0)*'Air Quality'!F$34:F$70)</f>
        <v>1.0772294520841177</v>
      </c>
      <c r="G166" s="1691">
        <f t="array" aca="1" ref="G166" ca="1">SUM(IF($D$118:$D$154=$D166,G$118:G$154,0)*'Air Quality'!G$34:G$70)</f>
        <v>1.5847690811518298</v>
      </c>
      <c r="H166" s="1691">
        <f t="array" aca="1" ref="H166" ca="1">SUM(IF($D$118:$D$154=$D166,H$118:H$154,0)*'Air Quality'!H$34:H$70)</f>
        <v>1.9091398285630174</v>
      </c>
      <c r="I166" s="1691">
        <f t="array" aca="1" ref="I166" ca="1">SUM(IF($D$118:$D$154=$D166,I$118:I$154,0)*'Air Quality'!I$34:I$70)</f>
        <v>2.5554067155978353</v>
      </c>
      <c r="J166" s="1691">
        <f t="array" aca="1" ref="J166" ca="1">SUM(IF($D$118:$D$154=$D166,J$118:J$154,0)*'Air Quality'!J$34:J$70)</f>
        <v>3.084377612830993</v>
      </c>
      <c r="K166" s="1691">
        <f t="array" aca="1" ref="K166" ca="1">SUM(IF($D$118:$D$154=$D166,K$118:K$154,0)*'Air Quality'!K$34:K$70)</f>
        <v>3.3284848414831973</v>
      </c>
      <c r="L166" s="1691">
        <f t="array" aca="1" ref="L166" ca="1">SUM(IF($D$118:$D$154=$D166,L$118:L$154,0)*'Air Quality'!L$34:L$70)</f>
        <v>3.632793149125324</v>
      </c>
      <c r="M166" s="1691">
        <f t="array" aca="1" ref="M166" ca="1">SUM(IF($D$118:$D$154=$D166,M$118:M$154,0)*'Air Quality'!M$34:M$70)</f>
        <v>4.0554435637343653</v>
      </c>
      <c r="N166" s="1691">
        <f t="array" aca="1" ref="N166" ca="1">SUM(IF($D$118:$D$154=$D166,N$118:N$154,0)*'Air Quality'!N$34:N$70)</f>
        <v>4.5786810521442414</v>
      </c>
      <c r="P166" s="1691">
        <f t="array" aca="1" ref="P166" ca="1">SUM(IF($D$118:$D$154=$D166,P$118:P$154,0)*'Air Quality'!P$34:P$70)</f>
        <v>0</v>
      </c>
      <c r="Q166" s="1691">
        <f t="array" aca="1" ref="Q166" ca="1">SUM(IF($D$118:$D$154=$D166,Q$118:Q$154,0)*'Air Quality'!Q$34:Q$70)</f>
        <v>13.105764240199791</v>
      </c>
      <c r="R166" s="1691">
        <f t="array" aca="1" ref="R166" ca="1">SUM(IF($D$118:$D$154=$D166,R$118:R$154,0)*'Air Quality'!R$34:R$70)</f>
        <v>15.206885575486705</v>
      </c>
      <c r="S166" s="1691">
        <f t="array" aca="1" ref="S166" ca="1">SUM(IF($D$118:$D$154=$D166,S$118:S$154,0)*'Air Quality'!S$34:S$70)</f>
        <v>20.063193578189122</v>
      </c>
      <c r="T166" s="1691">
        <f t="array" aca="1" ref="T166" ca="1">SUM(IF($D$118:$D$154=$D166,T$118:T$154,0)*'Air Quality'!T$34:T$70)</f>
        <v>23.405040578175033</v>
      </c>
      <c r="U166" s="1691">
        <f t="array" aca="1" ref="U166" ca="1">SUM(IF($D$118:$D$154=$D166,U$118:U$154,0)*'Air Quality'!U$34:U$70)</f>
        <v>26.424425151028405</v>
      </c>
      <c r="V166" s="1691">
        <f t="array" aca="1" ref="V166" ca="1">SUM(IF($D$118:$D$154=$D166,V$118:V$154,0)*'Air Quality'!V$34:V$70)</f>
        <v>29.863927126660176</v>
      </c>
      <c r="W166" s="1691">
        <f t="array" aca="1" ref="W166" ca="1">SUM(IF($D$118:$D$154=$D166,W$118:W$154,0)*'Air Quality'!W$34:W$70)</f>
        <v>32.070412600453075</v>
      </c>
      <c r="X166" s="1691">
        <f t="array" aca="1" ref="X166" ca="1">SUM(IF($D$118:$D$154=$D166,X$118:X$154,0)*'Air Quality'!X$34:X$70)</f>
        <v>33.533125383537566</v>
      </c>
      <c r="Y166" s="1691">
        <f t="array" aca="1" ref="Y166" ca="1">SUM(IF($D$118:$D$154=$D166,Y$118:Y$154,0)*'Air Quality'!Y$34:Y$70)</f>
        <v>34.633091633012157</v>
      </c>
      <c r="AA166" s="1691">
        <f t="array" aca="1" ref="AA166" ca="1">SUM(IF($D$118:$D$154=$D166,AA$118:AA$154,0)*'Air Quality'!AA$34:AA$70)</f>
        <v>0</v>
      </c>
      <c r="AB166" s="1691">
        <f t="array" aca="1" ref="AB166" ca="1">SUM(IF($D$118:$D$154=$D166,AB$118:AB$154,0)*'Air Quality'!AB$34:AB$70)</f>
        <v>2.6824777126843444</v>
      </c>
      <c r="AC166" s="1691">
        <f t="array" aca="1" ref="AC166" ca="1">SUM(IF($D$118:$D$154=$D166,AC$118:AC$154,0)*'Air Quality'!AC$34:AC$70)</f>
        <v>4.0915279505647195</v>
      </c>
      <c r="AD166" s="1691">
        <f t="array" aca="1" ref="AD166" ca="1">SUM(IF($D$118:$D$154=$D166,AD$118:AD$154,0)*'Air Quality'!AD$34:AD$70)</f>
        <v>5.8030157687667003</v>
      </c>
      <c r="AE166" s="1691">
        <f t="array" aca="1" ref="AE166" ca="1">SUM(IF($D$118:$D$154=$D166,AE$118:AE$154,0)*'Air Quality'!AE$34:AE$70)</f>
        <v>8.0392156257582705</v>
      </c>
      <c r="AF166" s="1691">
        <f t="array" aca="1" ref="AF166" ca="1">SUM(IF($D$118:$D$154=$D166,AF$118:AF$154,0)*'Air Quality'!AF$34:AF$70)</f>
        <v>10.341100589459467</v>
      </c>
      <c r="AG166" s="1691">
        <f t="array" aca="1" ref="AG166" ca="1">SUM(IF($D$118:$D$154=$D166,AG$118:AG$154,0)*'Air Quality'!AG$34:AG$70)</f>
        <v>11.574924566970244</v>
      </c>
      <c r="AH166" s="1691">
        <f t="array" aca="1" ref="AH166" ca="1">SUM(IF($D$118:$D$154=$D166,AH$118:AH$154,0)*'Air Quality'!AH$34:AH$70)</f>
        <v>12.944760155550112</v>
      </c>
      <c r="AI166" s="1691">
        <f t="array" aca="1" ref="AI166" ca="1">SUM(IF($D$118:$D$154=$D166,AI$118:AI$154,0)*'Air Quality'!AI$34:AI$70)</f>
        <v>14.871968941961619</v>
      </c>
      <c r="AJ166" s="1691">
        <f t="array" aca="1" ref="AJ166" ca="1">SUM(IF($D$118:$D$154=$D166,AJ$118:AJ$154,0)*'Air Quality'!AJ$34:AJ$70)</f>
        <v>17.070058144116896</v>
      </c>
      <c r="AL166" s="1691">
        <f t="array" aca="1" ref="AL166" ca="1">SUM(IF($D$118:$D$154=$D166,AL$118:AL$154,0)*'Air Quality'!AL$34:AL$70)</f>
        <v>0</v>
      </c>
      <c r="AM166" s="1691">
        <f t="array" aca="1" ref="AM166" ca="1">SUM(IF($D$118:$D$154=$D166,AM$118:AM$154,0)*'Air Quality'!AM$34:AM$70)</f>
        <v>1.5764082364198155</v>
      </c>
      <c r="AN166" s="1691">
        <f t="array" aca="1" ref="AN166" ca="1">SUM(IF($D$118:$D$154=$D166,AN$118:AN$154,0)*'Air Quality'!AN$34:AN$70)</f>
        <v>1.9490577634321689</v>
      </c>
      <c r="AO166" s="1691">
        <f t="array" aca="1" ref="AO166" ca="1">SUM(IF($D$118:$D$154=$D166,AO$118:AO$154,0)*'Air Quality'!AO$34:AO$70)</f>
        <v>2.3934809590758186</v>
      </c>
      <c r="AP166" s="1691">
        <f t="array" aca="1" ref="AP166" ca="1">SUM(IF($D$118:$D$154=$D166,AP$118:AP$154,0)*'Air Quality'!AP$34:AP$70)</f>
        <v>2.7622302181794094</v>
      </c>
      <c r="AQ166" s="1691">
        <f t="array" aca="1" ref="AQ166" ca="1">SUM(IF($D$118:$D$154=$D166,AQ$118:AQ$154,0)*'Air Quality'!AQ$34:AQ$70)</f>
        <v>2.9428329189435436</v>
      </c>
      <c r="AR166" s="1691">
        <f t="array" aca="1" ref="AR166" ca="1">SUM(IF($D$118:$D$154=$D166,AR$118:AR$154,0)*'Air Quality'!AR$34:AR$70)</f>
        <v>3.0577805227335402</v>
      </c>
      <c r="AS166" s="1691">
        <f t="array" aca="1" ref="AS166" ca="1">SUM(IF($D$118:$D$154=$D166,AS$118:AS$154,0)*'Air Quality'!AS$34:AS$70)</f>
        <v>2.9537526948687742</v>
      </c>
      <c r="AT166" s="1691">
        <f t="array" aca="1" ref="AT166" ca="1">SUM(IF($D$118:$D$154=$D166,AT$118:AT$154,0)*'Air Quality'!AT$34:AT$70)</f>
        <v>2.7634070956936259</v>
      </c>
      <c r="AU166" s="1691">
        <f t="array" aca="1" ref="AU166" ca="1">SUM(IF($D$118:$D$154=$D166,AU$118:AU$154,0)*'Air Quality'!AU$34:AU$70)</f>
        <v>2.5078941808603705</v>
      </c>
    </row>
    <row r="167" spans="2:48" s="2168" customFormat="1" x14ac:dyDescent="0.2">
      <c r="D167" s="1684" t="s">
        <v>1824</v>
      </c>
      <c r="F167" s="1689">
        <f t="array" aca="1" ref="F167" ca="1">SUM(IF($D$118:$D$154=$D167,F$118:F$154,0)*'Air Quality'!F$34:F$70)</f>
        <v>212.74735443079092</v>
      </c>
      <c r="G167" s="1689">
        <f t="array" aca="1" ref="G167" ca="1">SUM(IF($D$118:$D$154=$D167,G$118:G$154,0)*'Air Quality'!G$34:G$70)</f>
        <v>1.1991882552980266</v>
      </c>
      <c r="H167" s="1689">
        <f t="array" aca="1" ref="H167" ca="1">SUM(IF($D$118:$D$154=$D167,H$118:H$154,0)*'Air Quality'!H$34:H$70)</f>
        <v>1.218068370565514</v>
      </c>
      <c r="I167" s="1689">
        <f t="array" aca="1" ref="I167" ca="1">SUM(IF($D$118:$D$154=$D167,I$118:I$154,0)*'Air Quality'!I$34:I$70)</f>
        <v>1.2089838935602777</v>
      </c>
      <c r="J167" s="1689">
        <f t="array" aca="1" ref="J167" ca="1">SUM(IF($D$118:$D$154=$D167,J$118:J$154,0)*'Air Quality'!J$34:J$70)</f>
        <v>1.2267453401557988</v>
      </c>
      <c r="K167" s="1689">
        <f t="array" aca="1" ref="K167" ca="1">SUM(IF($D$118:$D$154=$D167,K$118:K$154,0)*'Air Quality'!K$34:K$70)</f>
        <v>1.2865776545241288</v>
      </c>
      <c r="L167" s="1689">
        <f t="array" aca="1" ref="L167" ca="1">SUM(IF($D$118:$D$154=$D167,L$118:L$154,0)*'Air Quality'!L$34:L$70)</f>
        <v>1.3589066388185127</v>
      </c>
      <c r="M167" s="1689">
        <f t="array" aca="1" ref="M167" ca="1">SUM(IF($D$118:$D$154=$D167,M$118:M$154,0)*'Air Quality'!M$34:M$70)</f>
        <v>1.4354433253264318</v>
      </c>
      <c r="N167" s="1689">
        <f t="array" aca="1" ref="N167" ca="1">SUM(IF($D$118:$D$154=$D167,N$118:N$154,0)*'Air Quality'!N$34:N$70)</f>
        <v>1.5044056808903237</v>
      </c>
      <c r="P167" s="1689">
        <f t="array" aca="1" ref="P167" ca="1">SUM(IF($D$118:$D$154=$D167,P$118:P$154,0)*'Air Quality'!P$34:P$70)</f>
        <v>0</v>
      </c>
      <c r="Q167" s="1689">
        <f t="array" aca="1" ref="Q167" ca="1">SUM(IF($D$118:$D$154=$D167,Q$118:Q$154,0)*'Air Quality'!Q$34:Q$70)</f>
        <v>10276.301697371597</v>
      </c>
      <c r="R167" s="1689">
        <f t="array" aca="1" ref="R167" ca="1">SUM(IF($D$118:$D$154=$D167,R$118:R$154,0)*'Air Quality'!R$34:R$70)</f>
        <v>12.200106864031133</v>
      </c>
      <c r="S167" s="1689">
        <f t="array" aca="1" ref="S167" ca="1">SUM(IF($D$118:$D$154=$D167,S$118:S$154,0)*'Air Quality'!S$34:S$70)</f>
        <v>9.2183098541893678</v>
      </c>
      <c r="T167" s="1689">
        <f t="array" aca="1" ref="T167" ca="1">SUM(IF($D$118:$D$154=$D167,T$118:T$154,0)*'Air Quality'!T$34:T$70)</f>
        <v>6.7122979245294641</v>
      </c>
      <c r="U167" s="1689">
        <f t="array" aca="1" ref="U167" ca="1">SUM(IF($D$118:$D$154=$D167,U$118:U$154,0)*'Air Quality'!U$34:U$70)</f>
        <v>4.7086328817208702</v>
      </c>
      <c r="V167" s="1689">
        <f t="array" aca="1" ref="V167" ca="1">SUM(IF($D$118:$D$154=$D167,V$118:V$154,0)*'Air Quality'!V$34:V$70)</f>
        <v>3.5824788139118162</v>
      </c>
      <c r="W167" s="1689">
        <f t="array" aca="1" ref="W167" ca="1">SUM(IF($D$118:$D$154=$D167,W$118:W$154,0)*'Air Quality'!W$34:W$70)</f>
        <v>2.6867866904642224</v>
      </c>
      <c r="X167" s="1689">
        <f t="array" aca="1" ref="X167" ca="1">SUM(IF($D$118:$D$154=$D167,X$118:X$154,0)*'Air Quality'!X$34:X$70)</f>
        <v>1.9965728937791991</v>
      </c>
      <c r="Y167" s="1689">
        <f t="array" aca="1" ref="Y167" ca="1">SUM(IF($D$118:$D$154=$D167,Y$118:Y$154,0)*'Air Quality'!Y$34:Y$70)</f>
        <v>1.4824552660555366</v>
      </c>
      <c r="AA167" s="1689">
        <f t="array" aca="1" ref="AA167" ca="1">SUM(IF($D$118:$D$154=$D167,AA$118:AA$154,0)*'Air Quality'!AA$34:AA$70)</f>
        <v>0</v>
      </c>
      <c r="AB167" s="1689">
        <f t="array" aca="1" ref="AB167" ca="1">SUM(IF($D$118:$D$154=$D167,AB$118:AB$154,0)*'Air Quality'!AB$34:AB$70)</f>
        <v>23.027279033684213</v>
      </c>
      <c r="AC167" s="1689">
        <f t="array" aca="1" ref="AC167" ca="1">SUM(IF($D$118:$D$154=$D167,AC$118:AC$154,0)*'Air Quality'!AC$34:AC$70)</f>
        <v>2.9268046900357647</v>
      </c>
      <c r="AD167" s="1689">
        <f t="array" aca="1" ref="AD167" ca="1">SUM(IF($D$118:$D$154=$D167,AD$118:AD$154,0)*'Air Quality'!AD$34:AD$70)</f>
        <v>3.054619224284282</v>
      </c>
      <c r="AE167" s="1689">
        <f t="array" aca="1" ref="AE167" ca="1">SUM(IF($D$118:$D$154=$D167,AE$118:AE$154,0)*'Air Quality'!AE$34:AE$70)</f>
        <v>3.0932263486694116</v>
      </c>
      <c r="AF167" s="1689">
        <f t="array" aca="1" ref="AF167" ca="1">SUM(IF($D$118:$D$154=$D167,AF$118:AF$154,0)*'Air Quality'!AF$34:AF$70)</f>
        <v>3.1496170419046465</v>
      </c>
      <c r="AG167" s="1689">
        <f t="array" aca="1" ref="AG167" ca="1">SUM(IF($D$118:$D$154=$D167,AG$118:AG$154,0)*'Air Quality'!AG$34:AG$70)</f>
        <v>3.2161247959115498</v>
      </c>
      <c r="AH167" s="1689">
        <f t="array" aca="1" ref="AH167" ca="1">SUM(IF($D$118:$D$154=$D167,AH$118:AH$154,0)*'Air Quality'!AH$34:AH$70)</f>
        <v>3.2871892216980414</v>
      </c>
      <c r="AI167" s="1689">
        <f t="array" aca="1" ref="AI167" ca="1">SUM(IF($D$118:$D$154=$D167,AI$118:AI$154,0)*'Air Quality'!AI$34:AI$70)</f>
        <v>3.3650263057462646</v>
      </c>
      <c r="AJ167" s="1689">
        <f t="array" aca="1" ref="AJ167" ca="1">SUM(IF($D$118:$D$154=$D167,AJ$118:AJ$154,0)*'Air Quality'!AJ$34:AJ$70)</f>
        <v>3.4474628167507149</v>
      </c>
      <c r="AL167" s="1689">
        <f t="array" aca="1" ref="AL167" ca="1">SUM(IF($D$118:$D$154=$D167,AL$118:AL$154,0)*'Air Quality'!AL$34:AL$70)</f>
        <v>0</v>
      </c>
      <c r="AM167" s="1689">
        <f t="array" aca="1" ref="AM167" ca="1">SUM(IF($D$118:$D$154=$D167,AM$118:AM$154,0)*'Air Quality'!AM$34:AM$70)</f>
        <v>9.6927177922897343</v>
      </c>
      <c r="AN167" s="1689">
        <f t="array" aca="1" ref="AN167" ca="1">SUM(IF($D$118:$D$154=$D167,AN$118:AN$154,0)*'Air Quality'!AN$34:AN$70)</f>
        <v>8.0030091288654841</v>
      </c>
      <c r="AO167" s="1689">
        <f t="array" aca="1" ref="AO167" ca="1">SUM(IF($D$118:$D$154=$D167,AO$118:AO$154,0)*'Air Quality'!AO$34:AO$70)</f>
        <v>6.2878976589868429</v>
      </c>
      <c r="AP167" s="1689">
        <f t="array" aca="1" ref="AP167" ca="1">SUM(IF($D$118:$D$154=$D167,AP$118:AP$154,0)*'Air Quality'!AP$34:AP$70)</f>
        <v>4.3467550665723014</v>
      </c>
      <c r="AQ167" s="1689">
        <f t="array" aca="1" ref="AQ167" ca="1">SUM(IF($D$118:$D$154=$D167,AQ$118:AQ$154,0)*'Air Quality'!AQ$34:AQ$70)</f>
        <v>2.7978683377143381</v>
      </c>
      <c r="AR167" s="1689">
        <f t="array" aca="1" ref="AR167" ca="1">SUM(IF($D$118:$D$154=$D167,AR$118:AR$154,0)*'Air Quality'!AR$34:AR$70)</f>
        <v>1.9594526731124533</v>
      </c>
      <c r="AS167" s="1689">
        <f t="array" aca="1" ref="AS167" ca="1">SUM(IF($D$118:$D$154=$D167,AS$118:AS$154,0)*'Air Quality'!AS$34:AS$70)</f>
        <v>1.300491006929607</v>
      </c>
      <c r="AT167" s="1689">
        <f t="array" aca="1" ref="AT167" ca="1">SUM(IF($D$118:$D$154=$D167,AT$118:AT$154,0)*'Air Quality'!AT$34:AT$70)</f>
        <v>0.80031897354380543</v>
      </c>
      <c r="AU167" s="1689">
        <f t="array" aca="1" ref="AU167" ca="1">SUM(IF($D$118:$D$154=$D167,AU$118:AU$154,0)*'Air Quality'!AU$34:AU$70)</f>
        <v>0.43836519006868063</v>
      </c>
    </row>
    <row r="168" spans="2:48" s="2168" customFormat="1" x14ac:dyDescent="0.2">
      <c r="D168" s="1734" t="s">
        <v>105</v>
      </c>
      <c r="E168" s="1427"/>
      <c r="F168" s="1735">
        <f t="shared" ref="F168:N168" ca="1" si="59">SUM(F162:F167)</f>
        <v>309.09590202788792</v>
      </c>
      <c r="G168" s="1735">
        <f t="shared" ca="1" si="59"/>
        <v>49.515473739931593</v>
      </c>
      <c r="H168" s="1735">
        <f t="shared" ca="1" si="59"/>
        <v>46.722247186950824</v>
      </c>
      <c r="I168" s="1735">
        <f t="shared" ca="1" si="59"/>
        <v>39.403275747191479</v>
      </c>
      <c r="J168" s="1735">
        <f t="shared" ca="1" si="59"/>
        <v>34.589550999397829</v>
      </c>
      <c r="K168" s="1735">
        <f t="shared" ca="1" si="59"/>
        <v>30.383237125696823</v>
      </c>
      <c r="L168" s="1735">
        <f t="shared" ca="1" si="59"/>
        <v>26.327293938010158</v>
      </c>
      <c r="M168" s="1735">
        <f t="shared" ca="1" si="59"/>
        <v>22.717326301696524</v>
      </c>
      <c r="N168" s="1735">
        <f t="shared" ca="1" si="59"/>
        <v>19.766714551240042</v>
      </c>
      <c r="P168" s="1735">
        <f t="shared" ref="P168:Y168" ca="1" si="60">SUM(P162:P167)</f>
        <v>0</v>
      </c>
      <c r="Q168" s="1735">
        <f t="shared" ca="1" si="60"/>
        <v>10995.099960810518</v>
      </c>
      <c r="R168" s="1735">
        <f t="shared" ca="1" si="60"/>
        <v>704.7399610607838</v>
      </c>
      <c r="S168" s="1735">
        <f t="shared" ca="1" si="60"/>
        <v>572.71112628176081</v>
      </c>
      <c r="T168" s="1735">
        <f t="shared" ca="1" si="60"/>
        <v>475.6389643509487</v>
      </c>
      <c r="U168" s="1735">
        <f t="shared" ca="1" si="60"/>
        <v>424.87352056122694</v>
      </c>
      <c r="V168" s="1735">
        <f t="shared" ca="1" si="60"/>
        <v>399.09178689999482</v>
      </c>
      <c r="W168" s="1735">
        <f t="shared" ca="1" si="60"/>
        <v>388.45958425142339</v>
      </c>
      <c r="X168" s="1735">
        <f t="shared" ca="1" si="60"/>
        <v>378.55423313297445</v>
      </c>
      <c r="Y168" s="1735">
        <f t="shared" ca="1" si="60"/>
        <v>357.64345480210397</v>
      </c>
      <c r="AA168" s="1735">
        <f t="shared" ref="AA168:AJ168" ca="1" si="61">SUM(AA162:AA167)</f>
        <v>0</v>
      </c>
      <c r="AB168" s="1735">
        <f t="shared" ca="1" si="61"/>
        <v>397.00722828344925</v>
      </c>
      <c r="AC168" s="1735">
        <f t="shared" ca="1" si="61"/>
        <v>78.863814447121413</v>
      </c>
      <c r="AD168" s="1735">
        <f t="shared" ca="1" si="61"/>
        <v>42.180276106848467</v>
      </c>
      <c r="AE168" s="1735">
        <f t="shared" ca="1" si="61"/>
        <v>45.561093822932612</v>
      </c>
      <c r="AF168" s="1735">
        <f t="shared" ca="1" si="61"/>
        <v>79.815226775804959</v>
      </c>
      <c r="AG168" s="1735">
        <f t="shared" ca="1" si="61"/>
        <v>121.98669457754394</v>
      </c>
      <c r="AH168" s="1735">
        <f t="shared" ca="1" si="61"/>
        <v>161.7891683540968</v>
      </c>
      <c r="AI168" s="1735">
        <f t="shared" ca="1" si="61"/>
        <v>198.52116120051426</v>
      </c>
      <c r="AJ168" s="1735">
        <f t="shared" ca="1" si="61"/>
        <v>231.7370366679103</v>
      </c>
      <c r="AL168" s="1735">
        <f t="shared" ref="AL168:AU168" ca="1" si="62">SUM(AL162:AL167)</f>
        <v>0</v>
      </c>
      <c r="AM168" s="1735">
        <f t="shared" ca="1" si="62"/>
        <v>173.81216190203506</v>
      </c>
      <c r="AN168" s="1735">
        <f t="shared" ca="1" si="62"/>
        <v>393.93970205775111</v>
      </c>
      <c r="AO168" s="1735">
        <f t="shared" ca="1" si="62"/>
        <v>377.60873318647629</v>
      </c>
      <c r="AP168" s="1735">
        <f t="shared" ca="1" si="62"/>
        <v>345.04483651615868</v>
      </c>
      <c r="AQ168" s="1735">
        <f t="shared" ca="1" si="62"/>
        <v>312.83549251622071</v>
      </c>
      <c r="AR168" s="1735">
        <f t="shared" ca="1" si="62"/>
        <v>327.09278082046205</v>
      </c>
      <c r="AS168" s="1735">
        <f t="shared" ca="1" si="62"/>
        <v>328.52418684048007</v>
      </c>
      <c r="AT168" s="1735">
        <f t="shared" ca="1" si="62"/>
        <v>326.1617736486009</v>
      </c>
      <c r="AU168" s="1735">
        <f t="shared" ca="1" si="62"/>
        <v>371.6802523978663</v>
      </c>
    </row>
    <row r="169" spans="2:48" s="2168" customFormat="1" x14ac:dyDescent="0.2"/>
    <row r="170" spans="2:48" s="2168" customFormat="1" x14ac:dyDescent="0.2">
      <c r="B170" s="1427" t="s">
        <v>1842</v>
      </c>
      <c r="F170" s="1427" t="s">
        <v>1787</v>
      </c>
      <c r="G170" s="1427" t="s">
        <v>1791</v>
      </c>
      <c r="O170" s="172" t="s">
        <v>1841</v>
      </c>
      <c r="Q170" s="1427" t="s">
        <v>1794</v>
      </c>
      <c r="R170" s="1427" t="s">
        <v>1788</v>
      </c>
      <c r="Z170" s="172" t="s">
        <v>1841</v>
      </c>
      <c r="AB170" s="1427" t="s">
        <v>1795</v>
      </c>
      <c r="AC170" s="1427" t="s">
        <v>1789</v>
      </c>
      <c r="AK170" s="172" t="s">
        <v>1841</v>
      </c>
      <c r="AM170" s="1427" t="s">
        <v>1792</v>
      </c>
      <c r="AN170" s="1427" t="s">
        <v>1790</v>
      </c>
      <c r="AV170" s="172" t="s">
        <v>1841</v>
      </c>
    </row>
    <row r="171" spans="2:48" s="2168" customFormat="1" ht="13.5" thickBot="1" x14ac:dyDescent="0.25">
      <c r="D171" s="1682" t="s">
        <v>67</v>
      </c>
      <c r="F171" s="1681">
        <v>2010</v>
      </c>
      <c r="G171" s="1681">
        <v>2015</v>
      </c>
      <c r="H171" s="1681">
        <v>2020</v>
      </c>
      <c r="I171" s="1681">
        <v>2025</v>
      </c>
      <c r="J171" s="1681">
        <v>2030</v>
      </c>
      <c r="K171" s="1681">
        <v>2035</v>
      </c>
      <c r="L171" s="1681">
        <v>2040</v>
      </c>
      <c r="M171" s="1681">
        <v>2045</v>
      </c>
      <c r="N171" s="1681">
        <v>2050</v>
      </c>
      <c r="P171" s="1681">
        <v>2007</v>
      </c>
      <c r="Q171" s="1681">
        <v>2010</v>
      </c>
      <c r="R171" s="1681">
        <v>2015</v>
      </c>
      <c r="S171" s="1681">
        <v>2020</v>
      </c>
      <c r="T171" s="1681">
        <v>2025</v>
      </c>
      <c r="U171" s="1681">
        <v>2030</v>
      </c>
      <c r="V171" s="1681">
        <v>2035</v>
      </c>
      <c r="W171" s="1681">
        <v>2040</v>
      </c>
      <c r="X171" s="1681">
        <v>2045</v>
      </c>
      <c r="Y171" s="1681">
        <v>2050</v>
      </c>
      <c r="AA171" s="1681">
        <v>2007</v>
      </c>
      <c r="AB171" s="1681">
        <v>2010</v>
      </c>
      <c r="AC171" s="1681">
        <v>2015</v>
      </c>
      <c r="AD171" s="1681">
        <v>2020</v>
      </c>
      <c r="AE171" s="1681">
        <v>2025</v>
      </c>
      <c r="AF171" s="1681">
        <v>2030</v>
      </c>
      <c r="AG171" s="1681">
        <v>2035</v>
      </c>
      <c r="AH171" s="1681">
        <v>2040</v>
      </c>
      <c r="AI171" s="1681">
        <v>2045</v>
      </c>
      <c r="AJ171" s="1681">
        <v>2050</v>
      </c>
      <c r="AL171" s="1681">
        <v>2007</v>
      </c>
      <c r="AM171" s="1681">
        <v>2010</v>
      </c>
      <c r="AN171" s="1681">
        <v>2015</v>
      </c>
      <c r="AO171" s="1681">
        <v>2020</v>
      </c>
      <c r="AP171" s="1681">
        <v>2025</v>
      </c>
      <c r="AQ171" s="1681">
        <v>2030</v>
      </c>
      <c r="AR171" s="1681">
        <v>2035</v>
      </c>
      <c r="AS171" s="1681">
        <v>2040</v>
      </c>
      <c r="AT171" s="1681">
        <v>2045</v>
      </c>
      <c r="AU171" s="1681">
        <v>2050</v>
      </c>
    </row>
    <row r="172" spans="2:48" s="2168" customFormat="1" ht="13.5" thickTop="1" x14ac:dyDescent="0.2">
      <c r="D172" s="1684" t="s">
        <v>125</v>
      </c>
      <c r="F172" s="2028">
        <v>2.1</v>
      </c>
      <c r="G172" s="2028">
        <v>2.1</v>
      </c>
      <c r="H172" s="2028">
        <v>2.1</v>
      </c>
      <c r="I172" s="2028">
        <v>2.1</v>
      </c>
      <c r="J172" s="2028">
        <v>2.1</v>
      </c>
      <c r="K172" s="2028">
        <v>2.1</v>
      </c>
      <c r="L172" s="2028">
        <v>2.1</v>
      </c>
      <c r="M172" s="2028">
        <v>2.1</v>
      </c>
      <c r="N172" s="2028">
        <v>2.1</v>
      </c>
      <c r="O172" s="1330"/>
      <c r="P172" s="2028">
        <v>0.04</v>
      </c>
      <c r="Q172" s="2028">
        <v>0.04</v>
      </c>
      <c r="R172" s="2028">
        <v>0.04</v>
      </c>
      <c r="S172" s="2028">
        <v>0.04</v>
      </c>
      <c r="T172" s="2028">
        <v>0.04</v>
      </c>
      <c r="U172" s="2028">
        <v>0.04</v>
      </c>
      <c r="V172" s="2028">
        <v>0.04</v>
      </c>
      <c r="W172" s="2028">
        <v>0.04</v>
      </c>
      <c r="X172" s="2028">
        <v>0.04</v>
      </c>
      <c r="Y172" s="2028">
        <v>0.04</v>
      </c>
      <c r="Z172" s="1330"/>
      <c r="AA172" s="2028">
        <v>0.06</v>
      </c>
      <c r="AB172" s="2028">
        <v>0.06</v>
      </c>
      <c r="AC172" s="2028">
        <v>0.06</v>
      </c>
      <c r="AD172" s="2028">
        <v>0.06</v>
      </c>
      <c r="AE172" s="2028">
        <v>0.06</v>
      </c>
      <c r="AF172" s="2028">
        <v>0.06</v>
      </c>
      <c r="AG172" s="2028">
        <v>0.06</v>
      </c>
      <c r="AH172" s="2028">
        <v>0.06</v>
      </c>
      <c r="AI172" s="2028">
        <v>0.06</v>
      </c>
      <c r="AJ172" s="2028">
        <v>0.06</v>
      </c>
      <c r="AK172" s="1330"/>
      <c r="AL172" s="2028">
        <v>0</v>
      </c>
      <c r="AM172" s="2028">
        <v>0</v>
      </c>
      <c r="AN172" s="2028">
        <v>0</v>
      </c>
      <c r="AO172" s="2028">
        <v>0</v>
      </c>
      <c r="AP172" s="2028">
        <v>0</v>
      </c>
      <c r="AQ172" s="2028">
        <v>0</v>
      </c>
      <c r="AR172" s="2028">
        <v>0</v>
      </c>
      <c r="AS172" s="2028">
        <v>0</v>
      </c>
      <c r="AT172" s="2028">
        <v>0</v>
      </c>
      <c r="AU172" s="2028">
        <v>0</v>
      </c>
    </row>
    <row r="173" spans="2:48" s="2168" customFormat="1" x14ac:dyDescent="0.2">
      <c r="D173" s="2027" t="s">
        <v>1912</v>
      </c>
      <c r="F173" s="2028">
        <v>2.1</v>
      </c>
      <c r="G173" s="2028">
        <v>2.1</v>
      </c>
      <c r="H173" s="2028">
        <v>2.1</v>
      </c>
      <c r="I173" s="2028">
        <v>2.1</v>
      </c>
      <c r="J173" s="2028">
        <v>2.1</v>
      </c>
      <c r="K173" s="2028">
        <v>2.1</v>
      </c>
      <c r="L173" s="2028">
        <v>2.1</v>
      </c>
      <c r="M173" s="2028">
        <v>2.1</v>
      </c>
      <c r="N173" s="2028">
        <v>2.1</v>
      </c>
      <c r="O173" s="1330"/>
      <c r="P173" s="2028">
        <v>0.04</v>
      </c>
      <c r="Q173" s="2028">
        <v>0.04</v>
      </c>
      <c r="R173" s="2028">
        <v>0.04</v>
      </c>
      <c r="S173" s="2028">
        <v>0.04</v>
      </c>
      <c r="T173" s="2028">
        <v>0.04</v>
      </c>
      <c r="U173" s="2028">
        <v>0.04</v>
      </c>
      <c r="V173" s="2028">
        <v>0.04</v>
      </c>
      <c r="W173" s="2028">
        <v>0.04</v>
      </c>
      <c r="X173" s="2028">
        <v>0.04</v>
      </c>
      <c r="Y173" s="2028">
        <v>0.04</v>
      </c>
      <c r="Z173" s="1330"/>
      <c r="AA173" s="2028">
        <v>0.06</v>
      </c>
      <c r="AB173" s="2028">
        <v>0.06</v>
      </c>
      <c r="AC173" s="2028">
        <v>0.06</v>
      </c>
      <c r="AD173" s="2028">
        <v>0.06</v>
      </c>
      <c r="AE173" s="2028">
        <v>0.06</v>
      </c>
      <c r="AF173" s="2028">
        <v>0.06</v>
      </c>
      <c r="AG173" s="2028">
        <v>0.06</v>
      </c>
      <c r="AH173" s="2028">
        <v>0.06</v>
      </c>
      <c r="AI173" s="2028">
        <v>0.06</v>
      </c>
      <c r="AJ173" s="2028">
        <v>0.06</v>
      </c>
      <c r="AK173" s="1330"/>
      <c r="AL173" s="2028">
        <v>0</v>
      </c>
      <c r="AM173" s="2028">
        <v>0</v>
      </c>
      <c r="AN173" s="2028">
        <v>0</v>
      </c>
      <c r="AO173" s="2028">
        <v>0</v>
      </c>
      <c r="AP173" s="2028">
        <v>0</v>
      </c>
      <c r="AQ173" s="2028">
        <v>0</v>
      </c>
      <c r="AR173" s="2028">
        <v>0</v>
      </c>
      <c r="AS173" s="2028">
        <v>0</v>
      </c>
      <c r="AT173" s="2028">
        <v>0</v>
      </c>
      <c r="AU173" s="2028">
        <v>0</v>
      </c>
    </row>
    <row r="174" spans="2:48" s="2168" customFormat="1" x14ac:dyDescent="0.2">
      <c r="D174" s="1686" t="s">
        <v>1812</v>
      </c>
      <c r="F174" s="2029">
        <v>0.10498580633533096</v>
      </c>
      <c r="G174" s="2029">
        <v>0.10498580633533096</v>
      </c>
      <c r="H174" s="2029">
        <v>0.10498580633533096</v>
      </c>
      <c r="I174" s="2029">
        <v>0.10498580633533096</v>
      </c>
      <c r="J174" s="2029">
        <v>0.10498580633533096</v>
      </c>
      <c r="K174" s="2029">
        <v>0.10498580633533096</v>
      </c>
      <c r="L174" s="2029">
        <v>0.10498580633533096</v>
      </c>
      <c r="M174" s="2029">
        <v>0.10498580633533096</v>
      </c>
      <c r="N174" s="2029">
        <v>0.10498580633533096</v>
      </c>
      <c r="O174" s="1330"/>
      <c r="P174" s="2029">
        <v>0.04</v>
      </c>
      <c r="Q174" s="2029">
        <v>0.04</v>
      </c>
      <c r="R174" s="2029">
        <v>0.04</v>
      </c>
      <c r="S174" s="2029">
        <v>0.04</v>
      </c>
      <c r="T174" s="2029">
        <v>0.04</v>
      </c>
      <c r="U174" s="2029">
        <v>0.04</v>
      </c>
      <c r="V174" s="2029">
        <v>0.04</v>
      </c>
      <c r="W174" s="2029">
        <v>0.04</v>
      </c>
      <c r="X174" s="2029">
        <v>0.04</v>
      </c>
      <c r="Y174" s="2029">
        <v>0.04</v>
      </c>
      <c r="Z174" s="1330"/>
      <c r="AA174" s="2029">
        <v>0.06</v>
      </c>
      <c r="AB174" s="2029">
        <v>0.06</v>
      </c>
      <c r="AC174" s="2029">
        <v>0.06</v>
      </c>
      <c r="AD174" s="2029">
        <v>0.06</v>
      </c>
      <c r="AE174" s="2029">
        <v>0.06</v>
      </c>
      <c r="AF174" s="2029">
        <v>0.06</v>
      </c>
      <c r="AG174" s="2029">
        <v>0.06</v>
      </c>
      <c r="AH174" s="2029">
        <v>0.06</v>
      </c>
      <c r="AI174" s="2029">
        <v>0.06</v>
      </c>
      <c r="AJ174" s="2029">
        <v>0.06</v>
      </c>
      <c r="AK174" s="1330"/>
      <c r="AL174" s="2029">
        <v>0</v>
      </c>
      <c r="AM174" s="2029">
        <v>0</v>
      </c>
      <c r="AN174" s="2029">
        <v>0</v>
      </c>
      <c r="AO174" s="2029">
        <v>0</v>
      </c>
      <c r="AP174" s="2029">
        <v>0</v>
      </c>
      <c r="AQ174" s="2029">
        <v>0</v>
      </c>
      <c r="AR174" s="2029">
        <v>0</v>
      </c>
      <c r="AS174" s="2029">
        <v>0</v>
      </c>
      <c r="AT174" s="2029">
        <v>0</v>
      </c>
      <c r="AU174" s="2029">
        <v>0</v>
      </c>
    </row>
    <row r="175" spans="2:48" s="2168" customFormat="1" x14ac:dyDescent="0.2">
      <c r="D175" s="1684" t="s">
        <v>1823</v>
      </c>
      <c r="F175" s="2028">
        <v>1.0920132474203579</v>
      </c>
      <c r="G175" s="2028">
        <v>1.0920132474203579</v>
      </c>
      <c r="H175" s="2028">
        <v>1.0920132474203579</v>
      </c>
      <c r="I175" s="2028">
        <v>1.0920132474203579</v>
      </c>
      <c r="J175" s="2028">
        <v>1.0920132474203579</v>
      </c>
      <c r="K175" s="2028">
        <v>1.0920132474203579</v>
      </c>
      <c r="L175" s="2028">
        <v>1.0920132474203579</v>
      </c>
      <c r="M175" s="2028">
        <v>1.0920132474203579</v>
      </c>
      <c r="N175" s="2028">
        <v>1.0920132474203579</v>
      </c>
      <c r="O175" s="1330"/>
      <c r="P175" s="2028">
        <v>0.04</v>
      </c>
      <c r="Q175" s="2028">
        <v>0.04</v>
      </c>
      <c r="R175" s="2028">
        <v>0.04</v>
      </c>
      <c r="S175" s="2028">
        <v>0.04</v>
      </c>
      <c r="T175" s="2028">
        <v>0.04</v>
      </c>
      <c r="U175" s="2028">
        <v>0.04</v>
      </c>
      <c r="V175" s="2028">
        <v>0.04</v>
      </c>
      <c r="W175" s="2028">
        <v>0.04</v>
      </c>
      <c r="X175" s="2028">
        <v>0.04</v>
      </c>
      <c r="Y175" s="2028">
        <v>0.04</v>
      </c>
      <c r="Z175" s="1330"/>
      <c r="AA175" s="2028">
        <v>0.06</v>
      </c>
      <c r="AB175" s="2028">
        <v>0.06</v>
      </c>
      <c r="AC175" s="2028">
        <v>0.06</v>
      </c>
      <c r="AD175" s="2028">
        <v>0.06</v>
      </c>
      <c r="AE175" s="2028">
        <v>0.06</v>
      </c>
      <c r="AF175" s="2028">
        <v>0.06</v>
      </c>
      <c r="AG175" s="2028">
        <v>0.06</v>
      </c>
      <c r="AH175" s="2028">
        <v>0.06</v>
      </c>
      <c r="AI175" s="2028">
        <v>0.06</v>
      </c>
      <c r="AJ175" s="2028">
        <v>0.06</v>
      </c>
      <c r="AK175" s="1330"/>
      <c r="AL175" s="2028">
        <v>0</v>
      </c>
      <c r="AM175" s="2028">
        <v>0</v>
      </c>
      <c r="AN175" s="2028">
        <v>0</v>
      </c>
      <c r="AO175" s="2028">
        <v>0</v>
      </c>
      <c r="AP175" s="2028">
        <v>0</v>
      </c>
      <c r="AQ175" s="2028">
        <v>0</v>
      </c>
      <c r="AR175" s="2028">
        <v>0</v>
      </c>
      <c r="AS175" s="2028">
        <v>0</v>
      </c>
      <c r="AT175" s="2028">
        <v>0</v>
      </c>
      <c r="AU175" s="2028">
        <v>0</v>
      </c>
    </row>
    <row r="176" spans="2:48" s="2168" customFormat="1" x14ac:dyDescent="0.2">
      <c r="D176" s="1686" t="s">
        <v>32</v>
      </c>
      <c r="F176" s="2029">
        <v>1.2180056774658676</v>
      </c>
      <c r="G176" s="2029">
        <v>1.2180056774658676</v>
      </c>
      <c r="H176" s="2029">
        <v>1.2180056774658676</v>
      </c>
      <c r="I176" s="2029">
        <v>1.2180056774658676</v>
      </c>
      <c r="J176" s="2029">
        <v>1.2180056774658676</v>
      </c>
      <c r="K176" s="2029">
        <v>1.2180056774658676</v>
      </c>
      <c r="L176" s="2029">
        <v>1.2180056774658676</v>
      </c>
      <c r="M176" s="2029">
        <v>1.2180056774658676</v>
      </c>
      <c r="N176" s="2029">
        <v>1.2180056774658676</v>
      </c>
      <c r="O176" s="1330"/>
      <c r="P176" s="2029">
        <v>0.04</v>
      </c>
      <c r="Q176" s="2029">
        <v>0.04</v>
      </c>
      <c r="R176" s="2029">
        <v>0.04</v>
      </c>
      <c r="S176" s="2029">
        <v>0.04</v>
      </c>
      <c r="T176" s="2029">
        <v>0.04</v>
      </c>
      <c r="U176" s="2029">
        <v>0.04</v>
      </c>
      <c r="V176" s="2029">
        <v>0.04</v>
      </c>
      <c r="W176" s="2029">
        <v>0.04</v>
      </c>
      <c r="X176" s="2029">
        <v>0.04</v>
      </c>
      <c r="Y176" s="2029">
        <v>0.04</v>
      </c>
      <c r="Z176" s="1330"/>
      <c r="AA176" s="2029">
        <v>0.06</v>
      </c>
      <c r="AB176" s="2029">
        <v>0.06</v>
      </c>
      <c r="AC176" s="2029">
        <v>0.06</v>
      </c>
      <c r="AD176" s="2029">
        <v>0.06</v>
      </c>
      <c r="AE176" s="2029">
        <v>0.06</v>
      </c>
      <c r="AF176" s="2029">
        <v>0.06</v>
      </c>
      <c r="AG176" s="2029">
        <v>0.06</v>
      </c>
      <c r="AH176" s="2029">
        <v>0.06</v>
      </c>
      <c r="AI176" s="2029">
        <v>0.06</v>
      </c>
      <c r="AJ176" s="2029">
        <v>0.06</v>
      </c>
      <c r="AK176" s="1330"/>
      <c r="AL176" s="2029">
        <v>0</v>
      </c>
      <c r="AM176" s="2029">
        <v>0</v>
      </c>
      <c r="AN176" s="2029">
        <v>0</v>
      </c>
      <c r="AO176" s="2029">
        <v>0</v>
      </c>
      <c r="AP176" s="2029">
        <v>0</v>
      </c>
      <c r="AQ176" s="2029">
        <v>0</v>
      </c>
      <c r="AR176" s="2029">
        <v>0</v>
      </c>
      <c r="AS176" s="2029">
        <v>0</v>
      </c>
      <c r="AT176" s="2029">
        <v>0</v>
      </c>
      <c r="AU176" s="2029">
        <v>0</v>
      </c>
    </row>
    <row r="177" spans="2:48" s="2168" customFormat="1" x14ac:dyDescent="0.2">
      <c r="D177" s="1684" t="s">
        <v>1824</v>
      </c>
      <c r="F177" s="2028">
        <v>0.65101608615329154</v>
      </c>
      <c r="G177" s="2028">
        <v>0.65101608615329154</v>
      </c>
      <c r="H177" s="2028">
        <v>0.65101608615329154</v>
      </c>
      <c r="I177" s="2028">
        <v>0.65101608615329154</v>
      </c>
      <c r="J177" s="2028">
        <v>0.65101608615329154</v>
      </c>
      <c r="K177" s="2028">
        <v>0.65101608615329154</v>
      </c>
      <c r="L177" s="2028">
        <v>0.65101608615329154</v>
      </c>
      <c r="M177" s="2028">
        <v>0.65101608615329154</v>
      </c>
      <c r="N177" s="2028">
        <v>0.65101608615329154</v>
      </c>
      <c r="O177" s="1330"/>
      <c r="P177" s="2028">
        <v>0.04</v>
      </c>
      <c r="Q177" s="2028">
        <v>0.04</v>
      </c>
      <c r="R177" s="2028">
        <v>0.04</v>
      </c>
      <c r="S177" s="2028">
        <v>0.04</v>
      </c>
      <c r="T177" s="2028">
        <v>0.04</v>
      </c>
      <c r="U177" s="2028">
        <v>0.04</v>
      </c>
      <c r="V177" s="2028">
        <v>0.04</v>
      </c>
      <c r="W177" s="2028">
        <v>0.04</v>
      </c>
      <c r="X177" s="2028">
        <v>0.04</v>
      </c>
      <c r="Y177" s="2028">
        <v>0.04</v>
      </c>
      <c r="Z177" s="1330"/>
      <c r="AA177" s="2028">
        <v>0.06</v>
      </c>
      <c r="AB177" s="2028">
        <v>0.06</v>
      </c>
      <c r="AC177" s="2028">
        <v>0.06</v>
      </c>
      <c r="AD177" s="2028">
        <v>0.06</v>
      </c>
      <c r="AE177" s="2028">
        <v>0.06</v>
      </c>
      <c r="AF177" s="2028">
        <v>0.06</v>
      </c>
      <c r="AG177" s="2028">
        <v>0.06</v>
      </c>
      <c r="AH177" s="2028">
        <v>0.06</v>
      </c>
      <c r="AI177" s="2028">
        <v>0.06</v>
      </c>
      <c r="AJ177" s="2028">
        <v>0.06</v>
      </c>
      <c r="AK177" s="1330"/>
      <c r="AL177" s="2028">
        <v>0</v>
      </c>
      <c r="AM177" s="2028">
        <v>0</v>
      </c>
      <c r="AN177" s="2028">
        <v>0</v>
      </c>
      <c r="AO177" s="2028">
        <v>0</v>
      </c>
      <c r="AP177" s="2028">
        <v>0</v>
      </c>
      <c r="AQ177" s="2028">
        <v>0</v>
      </c>
      <c r="AR177" s="2028">
        <v>0</v>
      </c>
      <c r="AS177" s="2028">
        <v>0</v>
      </c>
      <c r="AT177" s="2028">
        <v>0</v>
      </c>
      <c r="AU177" s="2028">
        <v>0</v>
      </c>
    </row>
    <row r="178" spans="2:48" s="2168" customFormat="1" x14ac:dyDescent="0.2"/>
    <row r="179" spans="2:48" s="2168" customFormat="1" x14ac:dyDescent="0.2">
      <c r="B179" s="1427" t="s">
        <v>1843</v>
      </c>
      <c r="F179" s="1427" t="s">
        <v>1787</v>
      </c>
      <c r="G179" s="1427" t="s">
        <v>1791</v>
      </c>
      <c r="H179" s="1427"/>
      <c r="I179" s="1427"/>
      <c r="J179" s="1427"/>
      <c r="K179" s="1427"/>
      <c r="L179" s="1427"/>
      <c r="M179" s="1427"/>
      <c r="N179" s="1427"/>
      <c r="O179" s="172" t="s">
        <v>1846</v>
      </c>
      <c r="Q179" s="1427" t="s">
        <v>1794</v>
      </c>
      <c r="R179" s="1427" t="s">
        <v>1788</v>
      </c>
      <c r="S179" s="1427"/>
      <c r="T179" s="1427"/>
      <c r="U179" s="1427"/>
      <c r="V179" s="1427"/>
      <c r="W179" s="1427"/>
      <c r="X179" s="1427"/>
      <c r="Y179" s="1427"/>
      <c r="Z179" s="172" t="s">
        <v>1846</v>
      </c>
      <c r="AB179" s="1427" t="s">
        <v>1795</v>
      </c>
      <c r="AC179" s="1427" t="s">
        <v>1789</v>
      </c>
      <c r="AD179" s="1427"/>
      <c r="AE179" s="1427"/>
      <c r="AF179" s="1427"/>
      <c r="AG179" s="1427"/>
      <c r="AH179" s="1427"/>
      <c r="AI179" s="1427"/>
      <c r="AJ179" s="1427"/>
      <c r="AK179" s="172" t="s">
        <v>1846</v>
      </c>
      <c r="AM179" s="1427" t="s">
        <v>1792</v>
      </c>
      <c r="AN179" s="1427" t="s">
        <v>1790</v>
      </c>
      <c r="AO179" s="1427"/>
      <c r="AP179" s="1427"/>
      <c r="AQ179" s="1427"/>
      <c r="AR179" s="1427"/>
      <c r="AS179" s="1427"/>
      <c r="AT179" s="1427"/>
      <c r="AU179" s="1427"/>
      <c r="AV179" s="172" t="s">
        <v>1846</v>
      </c>
    </row>
    <row r="180" spans="2:48" s="2168" customFormat="1" ht="13.5" thickBot="1" x14ac:dyDescent="0.25">
      <c r="D180" s="1682" t="s">
        <v>67</v>
      </c>
      <c r="F180" s="1681">
        <v>2010</v>
      </c>
      <c r="G180" s="1681">
        <v>2015</v>
      </c>
      <c r="H180" s="1681">
        <v>2020</v>
      </c>
      <c r="I180" s="1681">
        <v>2025</v>
      </c>
      <c r="J180" s="1681">
        <v>2030</v>
      </c>
      <c r="K180" s="1681">
        <v>2035</v>
      </c>
      <c r="L180" s="1681">
        <v>2040</v>
      </c>
      <c r="M180" s="1681">
        <v>2045</v>
      </c>
      <c r="N180" s="1681">
        <v>2050</v>
      </c>
      <c r="P180" s="1681">
        <v>2007</v>
      </c>
      <c r="Q180" s="1681">
        <v>2010</v>
      </c>
      <c r="R180" s="1681">
        <v>2015</v>
      </c>
      <c r="S180" s="1681">
        <v>2020</v>
      </c>
      <c r="T180" s="1681">
        <v>2025</v>
      </c>
      <c r="U180" s="1681">
        <v>2030</v>
      </c>
      <c r="V180" s="1681">
        <v>2035</v>
      </c>
      <c r="W180" s="1681">
        <v>2040</v>
      </c>
      <c r="X180" s="1681">
        <v>2045</v>
      </c>
      <c r="Y180" s="1681">
        <v>2050</v>
      </c>
      <c r="AA180" s="1681">
        <v>2007</v>
      </c>
      <c r="AB180" s="1681">
        <v>2010</v>
      </c>
      <c r="AC180" s="1681">
        <v>2015</v>
      </c>
      <c r="AD180" s="1681">
        <v>2020</v>
      </c>
      <c r="AE180" s="1681">
        <v>2025</v>
      </c>
      <c r="AF180" s="1681">
        <v>2030</v>
      </c>
      <c r="AG180" s="1681">
        <v>2035</v>
      </c>
      <c r="AH180" s="1681">
        <v>2040</v>
      </c>
      <c r="AI180" s="1681">
        <v>2045</v>
      </c>
      <c r="AJ180" s="1681">
        <v>2050</v>
      </c>
      <c r="AL180" s="1681">
        <v>2007</v>
      </c>
      <c r="AM180" s="1681">
        <v>2010</v>
      </c>
      <c r="AN180" s="1681">
        <v>2015</v>
      </c>
      <c r="AO180" s="1681">
        <v>2020</v>
      </c>
      <c r="AP180" s="1681">
        <v>2025</v>
      </c>
      <c r="AQ180" s="1681">
        <v>2030</v>
      </c>
      <c r="AR180" s="1681">
        <v>2035</v>
      </c>
      <c r="AS180" s="1681">
        <v>2040</v>
      </c>
      <c r="AT180" s="1681">
        <v>2045</v>
      </c>
      <c r="AU180" s="1681">
        <v>2050</v>
      </c>
    </row>
    <row r="181" spans="2:48" s="2168" customFormat="1" ht="13.5" thickTop="1" x14ac:dyDescent="0.2">
      <c r="D181" s="1684" t="s">
        <v>125</v>
      </c>
      <c r="F181" s="1689">
        <f t="shared" ref="F181:N181" ca="1" si="63">F162*1000*F172</f>
        <v>12678.771877122295</v>
      </c>
      <c r="G181" s="1689">
        <f t="shared" ca="1" si="63"/>
        <v>16822.564745870444</v>
      </c>
      <c r="H181" s="1689">
        <f t="shared" ca="1" si="63"/>
        <v>15381.585016001784</v>
      </c>
      <c r="I181" s="1689">
        <f t="shared" ca="1" si="63"/>
        <v>12160.554324183999</v>
      </c>
      <c r="J181" s="1689">
        <f t="shared" ca="1" si="63"/>
        <v>8630.2739335852784</v>
      </c>
      <c r="K181" s="1689">
        <f t="shared" ca="1" si="63"/>
        <v>5349.3199778457356</v>
      </c>
      <c r="L181" s="1689">
        <f t="shared" ca="1" si="63"/>
        <v>2946.3662731632621</v>
      </c>
      <c r="M181" s="1689">
        <f t="shared" ca="1" si="63"/>
        <v>2286.1389552717756</v>
      </c>
      <c r="N181" s="1689">
        <f t="shared" ca="1" si="63"/>
        <v>1935.7080474762572</v>
      </c>
      <c r="O181" s="1245"/>
      <c r="P181" s="1689">
        <f t="shared" ref="P181:Y181" ca="1" si="64">P162*1000*P172</f>
        <v>0</v>
      </c>
      <c r="Q181" s="1689">
        <f t="shared" ca="1" si="64"/>
        <v>8731.8010306051347</v>
      </c>
      <c r="R181" s="1689">
        <f t="shared" ca="1" si="64"/>
        <v>11690.267443126166</v>
      </c>
      <c r="S181" s="1689">
        <f t="shared" ca="1" si="64"/>
        <v>10905.995757919096</v>
      </c>
      <c r="T181" s="1689">
        <f t="shared" ca="1" si="64"/>
        <v>8657.8738889785163</v>
      </c>
      <c r="U181" s="1689">
        <f t="shared" ca="1" si="64"/>
        <v>6298.1100620117531</v>
      </c>
      <c r="V181" s="1689">
        <f t="shared" ca="1" si="64"/>
        <v>4085.0196809743024</v>
      </c>
      <c r="W181" s="1689">
        <f t="shared" ca="1" si="64"/>
        <v>2871.8685233769224</v>
      </c>
      <c r="X181" s="1689">
        <f t="shared" ca="1" si="64"/>
        <v>2213.1395315991995</v>
      </c>
      <c r="Y181" s="1689">
        <f t="shared" ca="1" si="64"/>
        <v>1639.9798946215349</v>
      </c>
      <c r="Z181" s="1245"/>
      <c r="AA181" s="1689">
        <f t="shared" ref="AA181:AU181" ca="1" si="65">AA162*1000*AA172</f>
        <v>0</v>
      </c>
      <c r="AB181" s="1689">
        <f t="shared" ca="1" si="65"/>
        <v>135.15735154228605</v>
      </c>
      <c r="AC181" s="1689">
        <f t="shared" ca="1" si="65"/>
        <v>5.0743936229289499</v>
      </c>
      <c r="AD181" s="1689">
        <f t="shared" ca="1" si="65"/>
        <v>5.3915564970375494</v>
      </c>
      <c r="AE181" s="1689">
        <f t="shared" ca="1" si="65"/>
        <v>4.980879299290117</v>
      </c>
      <c r="AF181" s="1689">
        <f t="shared" ca="1" si="65"/>
        <v>4.4251005234395819</v>
      </c>
      <c r="AG181" s="1689">
        <f t="shared" ca="1" si="65"/>
        <v>3.8835326889145021</v>
      </c>
      <c r="AH181" s="1689">
        <f t="shared" ca="1" si="65"/>
        <v>3.2287415501434422</v>
      </c>
      <c r="AI181" s="1689">
        <f t="shared" ca="1" si="65"/>
        <v>2.5540546338722967</v>
      </c>
      <c r="AJ181" s="1689">
        <f t="shared" ca="1" si="65"/>
        <v>1.8944957021190929</v>
      </c>
      <c r="AK181" s="1245">
        <f t="shared" si="65"/>
        <v>0</v>
      </c>
      <c r="AL181" s="1689">
        <f t="shared" ca="1" si="65"/>
        <v>0</v>
      </c>
      <c r="AM181" s="1689">
        <f t="shared" ca="1" si="65"/>
        <v>0</v>
      </c>
      <c r="AN181" s="1689">
        <f t="shared" ca="1" si="65"/>
        <v>0</v>
      </c>
      <c r="AO181" s="1689">
        <f t="shared" ca="1" si="65"/>
        <v>0</v>
      </c>
      <c r="AP181" s="1689">
        <f t="shared" ca="1" si="65"/>
        <v>0</v>
      </c>
      <c r="AQ181" s="1689">
        <f t="shared" ca="1" si="65"/>
        <v>0</v>
      </c>
      <c r="AR181" s="1689">
        <f t="shared" ca="1" si="65"/>
        <v>0</v>
      </c>
      <c r="AS181" s="1689">
        <f t="shared" ca="1" si="65"/>
        <v>0</v>
      </c>
      <c r="AT181" s="1689">
        <f t="shared" ca="1" si="65"/>
        <v>0</v>
      </c>
      <c r="AU181" s="1689">
        <f t="shared" ca="1" si="65"/>
        <v>0</v>
      </c>
    </row>
    <row r="182" spans="2:48" s="2168" customFormat="1" x14ac:dyDescent="0.2">
      <c r="B182" s="1427"/>
      <c r="D182" s="2027" t="s">
        <v>1912</v>
      </c>
      <c r="F182" s="1689">
        <f t="shared" ref="F182:N182" ca="1" si="66">F163*1000*F173</f>
        <v>0</v>
      </c>
      <c r="G182" s="1689">
        <f t="shared" ca="1" si="66"/>
        <v>0</v>
      </c>
      <c r="H182" s="1689">
        <f t="shared" ca="1" si="66"/>
        <v>0</v>
      </c>
      <c r="I182" s="1689">
        <f t="shared" ca="1" si="66"/>
        <v>0</v>
      </c>
      <c r="J182" s="1689">
        <f t="shared" ca="1" si="66"/>
        <v>0</v>
      </c>
      <c r="K182" s="1689">
        <f t="shared" ca="1" si="66"/>
        <v>0</v>
      </c>
      <c r="L182" s="1689">
        <f t="shared" ca="1" si="66"/>
        <v>0</v>
      </c>
      <c r="M182" s="1689">
        <f t="shared" ca="1" si="66"/>
        <v>0</v>
      </c>
      <c r="N182" s="1689">
        <f t="shared" ca="1" si="66"/>
        <v>0</v>
      </c>
      <c r="O182" s="1245"/>
      <c r="P182" s="1689">
        <f t="shared" ref="P182:Y182" ca="1" si="67">P163*1000*P173</f>
        <v>0</v>
      </c>
      <c r="Q182" s="1689">
        <f t="shared" ca="1" si="67"/>
        <v>0</v>
      </c>
      <c r="R182" s="1689">
        <f t="shared" ca="1" si="67"/>
        <v>0</v>
      </c>
      <c r="S182" s="1689">
        <f t="shared" ca="1" si="67"/>
        <v>0</v>
      </c>
      <c r="T182" s="1689">
        <f t="shared" ca="1" si="67"/>
        <v>0</v>
      </c>
      <c r="U182" s="1689">
        <f t="shared" ca="1" si="67"/>
        <v>0</v>
      </c>
      <c r="V182" s="1689">
        <f t="shared" ca="1" si="67"/>
        <v>0</v>
      </c>
      <c r="W182" s="1689">
        <f t="shared" ca="1" si="67"/>
        <v>0</v>
      </c>
      <c r="X182" s="1689">
        <f t="shared" ca="1" si="67"/>
        <v>0</v>
      </c>
      <c r="Y182" s="1689">
        <f t="shared" ca="1" si="67"/>
        <v>0</v>
      </c>
      <c r="Z182" s="1245"/>
      <c r="AA182" s="1689">
        <f t="shared" ref="AA182:AU182" ca="1" si="68">AA163*1000*AA173</f>
        <v>0</v>
      </c>
      <c r="AB182" s="1689">
        <f t="shared" ca="1" si="68"/>
        <v>0</v>
      </c>
      <c r="AC182" s="1689">
        <f t="shared" ca="1" si="68"/>
        <v>0</v>
      </c>
      <c r="AD182" s="1689">
        <f t="shared" ca="1" si="68"/>
        <v>0</v>
      </c>
      <c r="AE182" s="1689">
        <f t="shared" ca="1" si="68"/>
        <v>0</v>
      </c>
      <c r="AF182" s="1689">
        <f t="shared" ca="1" si="68"/>
        <v>0</v>
      </c>
      <c r="AG182" s="1689">
        <f t="shared" ca="1" si="68"/>
        <v>0</v>
      </c>
      <c r="AH182" s="1689">
        <f t="shared" ca="1" si="68"/>
        <v>0</v>
      </c>
      <c r="AI182" s="1689">
        <f t="shared" ca="1" si="68"/>
        <v>0</v>
      </c>
      <c r="AJ182" s="1689">
        <f t="shared" ca="1" si="68"/>
        <v>0</v>
      </c>
      <c r="AK182" s="1245">
        <f t="shared" si="68"/>
        <v>0</v>
      </c>
      <c r="AL182" s="1689">
        <f t="shared" ca="1" si="68"/>
        <v>0</v>
      </c>
      <c r="AM182" s="1689">
        <f t="shared" ca="1" si="68"/>
        <v>0</v>
      </c>
      <c r="AN182" s="1689">
        <f t="shared" ca="1" si="68"/>
        <v>0</v>
      </c>
      <c r="AO182" s="1689">
        <f t="shared" ca="1" si="68"/>
        <v>0</v>
      </c>
      <c r="AP182" s="1689">
        <f t="shared" ca="1" si="68"/>
        <v>0</v>
      </c>
      <c r="AQ182" s="1689">
        <f t="shared" ca="1" si="68"/>
        <v>0</v>
      </c>
      <c r="AR182" s="1689">
        <f t="shared" ca="1" si="68"/>
        <v>0</v>
      </c>
      <c r="AS182" s="1689">
        <f t="shared" ca="1" si="68"/>
        <v>0</v>
      </c>
      <c r="AT182" s="1689">
        <f t="shared" ca="1" si="68"/>
        <v>0</v>
      </c>
      <c r="AU182" s="1689">
        <f t="shared" ca="1" si="68"/>
        <v>0</v>
      </c>
    </row>
    <row r="183" spans="2:48" s="2168" customFormat="1" x14ac:dyDescent="0.2">
      <c r="D183" s="1686" t="s">
        <v>1812</v>
      </c>
      <c r="F183" s="1691">
        <f t="shared" ref="F183:N183" ca="1" si="69">F164*1000*F174</f>
        <v>806.68403485568342</v>
      </c>
      <c r="G183" s="1691">
        <f t="shared" ca="1" si="69"/>
        <v>730.21266791962125</v>
      </c>
      <c r="H183" s="1691">
        <f t="shared" ca="1" si="69"/>
        <v>455.18790484103869</v>
      </c>
      <c r="I183" s="1691">
        <f t="shared" ca="1" si="69"/>
        <v>243.18714346562481</v>
      </c>
      <c r="J183" s="1691">
        <f t="shared" ca="1" si="69"/>
        <v>321.38727506415756</v>
      </c>
      <c r="K183" s="1691">
        <f t="shared" ca="1" si="69"/>
        <v>428.19457245747287</v>
      </c>
      <c r="L183" s="1691">
        <f t="shared" ca="1" si="69"/>
        <v>486.61905685593274</v>
      </c>
      <c r="M183" s="1691">
        <f t="shared" ca="1" si="69"/>
        <v>472.61777675570369</v>
      </c>
      <c r="N183" s="1691">
        <f t="shared" ca="1" si="69"/>
        <v>386.83703188293418</v>
      </c>
      <c r="O183" s="1245"/>
      <c r="P183" s="1691">
        <f t="shared" ref="P183:Y183" ca="1" si="70">P164*1000*P174</f>
        <v>0</v>
      </c>
      <c r="Q183" s="1691">
        <f t="shared" ca="1" si="70"/>
        <v>5077.8461977007355</v>
      </c>
      <c r="R183" s="1691">
        <f t="shared" ca="1" si="70"/>
        <v>4936.4950657864356</v>
      </c>
      <c r="S183" s="1691">
        <f t="shared" ca="1" si="70"/>
        <v>2665.0089342844399</v>
      </c>
      <c r="T183" s="1691">
        <f t="shared" ca="1" si="70"/>
        <v>2824.7212177344354</v>
      </c>
      <c r="U183" s="1691">
        <f t="shared" ca="1" si="70"/>
        <v>4352.5442571507874</v>
      </c>
      <c r="V183" s="1691">
        <f t="shared" ca="1" si="70"/>
        <v>6305.9095907998862</v>
      </c>
      <c r="W183" s="1691">
        <f t="shared" ca="1" si="70"/>
        <v>7837.8029527808376</v>
      </c>
      <c r="X183" s="1691">
        <f t="shared" ca="1" si="70"/>
        <v>8801.0439435726294</v>
      </c>
      <c r="Y183" s="1691">
        <f t="shared" ca="1" si="70"/>
        <v>9208.826498543136</v>
      </c>
      <c r="Z183" s="1245"/>
      <c r="AA183" s="1691">
        <f t="shared" ref="AA183:AU183" ca="1" si="71">AA164*1000*AA174</f>
        <v>0</v>
      </c>
      <c r="AB183" s="1691">
        <f t="shared" ca="1" si="71"/>
        <v>3525.5908165168967</v>
      </c>
      <c r="AC183" s="1691">
        <f t="shared" ca="1" si="71"/>
        <v>3343.4377769808611</v>
      </c>
      <c r="AD183" s="1691">
        <f t="shared" ca="1" si="71"/>
        <v>1048.7157675459121</v>
      </c>
      <c r="AE183" s="1691">
        <f t="shared" ca="1" si="71"/>
        <v>1171.3041932908425</v>
      </c>
      <c r="AF183" s="1691">
        <f t="shared" ca="1" si="71"/>
        <v>3172.4781643676674</v>
      </c>
      <c r="AG183" s="1691">
        <f t="shared" ca="1" si="71"/>
        <v>5700.8714402004334</v>
      </c>
      <c r="AH183" s="1691">
        <f t="shared" ca="1" si="71"/>
        <v>8078.7612054734163</v>
      </c>
      <c r="AI183" s="1691">
        <f t="shared" ca="1" si="71"/>
        <v>10235.41085492505</v>
      </c>
      <c r="AJ183" s="1691">
        <f t="shared" ca="1" si="71"/>
        <v>12194.65631572589</v>
      </c>
      <c r="AK183" s="1245">
        <f t="shared" si="71"/>
        <v>0</v>
      </c>
      <c r="AL183" s="1691">
        <f t="shared" ca="1" si="71"/>
        <v>0</v>
      </c>
      <c r="AM183" s="1691">
        <f t="shared" ca="1" si="71"/>
        <v>0</v>
      </c>
      <c r="AN183" s="1691">
        <f t="shared" ca="1" si="71"/>
        <v>0</v>
      </c>
      <c r="AO183" s="1691">
        <f t="shared" ca="1" si="71"/>
        <v>0</v>
      </c>
      <c r="AP183" s="1691">
        <f t="shared" ca="1" si="71"/>
        <v>0</v>
      </c>
      <c r="AQ183" s="1691">
        <f t="shared" ca="1" si="71"/>
        <v>0</v>
      </c>
      <c r="AR183" s="1691">
        <f t="shared" ca="1" si="71"/>
        <v>0</v>
      </c>
      <c r="AS183" s="1691">
        <f t="shared" ca="1" si="71"/>
        <v>0</v>
      </c>
      <c r="AT183" s="1691">
        <f t="shared" ca="1" si="71"/>
        <v>0</v>
      </c>
      <c r="AU183" s="1691">
        <f t="shared" ca="1" si="71"/>
        <v>0</v>
      </c>
    </row>
    <row r="184" spans="2:48" s="2168" customFormat="1" x14ac:dyDescent="0.2">
      <c r="D184" s="1684" t="s">
        <v>1823</v>
      </c>
      <c r="F184" s="1689">
        <f t="shared" ref="F184:N184" ca="1" si="72">F165*1000*F175</f>
        <v>89053.75017471188</v>
      </c>
      <c r="G184" s="1689">
        <f t="shared" ca="1" si="72"/>
        <v>34688.264601008079</v>
      </c>
      <c r="H184" s="1689">
        <f t="shared" ca="1" si="72"/>
        <v>34873.187197463907</v>
      </c>
      <c r="I184" s="1689">
        <f t="shared" ca="1" si="72"/>
        <v>30065.050824414153</v>
      </c>
      <c r="J184" s="1689">
        <f t="shared" ca="1" si="72"/>
        <v>25233.727552732078</v>
      </c>
      <c r="K184" s="1689">
        <f t="shared" ca="1" si="72"/>
        <v>20903.628281309</v>
      </c>
      <c r="L184" s="1689">
        <f t="shared" ca="1" si="72"/>
        <v>16705.038605272275</v>
      </c>
      <c r="M184" s="1689">
        <f t="shared" ca="1" si="72"/>
        <v>12706.744332618355</v>
      </c>
      <c r="N184" s="1689">
        <f t="shared" ca="1" si="72"/>
        <v>9912.4246028588241</v>
      </c>
      <c r="O184" s="1245"/>
      <c r="P184" s="1689">
        <f t="shared" ref="P184:Y184" ca="1" si="73">P165*1000*P175</f>
        <v>0</v>
      </c>
      <c r="Q184" s="1689">
        <f t="shared" ca="1" si="73"/>
        <v>14418.052739643002</v>
      </c>
      <c r="R184" s="1689">
        <f t="shared" ca="1" si="73"/>
        <v>10466.556235938042</v>
      </c>
      <c r="S184" s="1689">
        <f t="shared" ca="1" si="73"/>
        <v>8166.1802217717595</v>
      </c>
      <c r="T184" s="1689">
        <f t="shared" ca="1" si="73"/>
        <v>6338.2699272168175</v>
      </c>
      <c r="U184" s="1689">
        <f t="shared" ca="1" si="73"/>
        <v>5098.9641819765657</v>
      </c>
      <c r="V184" s="1689">
        <f t="shared" ca="1" si="73"/>
        <v>4234.8859666027256</v>
      </c>
      <c r="W184" s="1689">
        <f t="shared" ca="1" si="73"/>
        <v>3438.4239222624833</v>
      </c>
      <c r="X184" s="1689">
        <f t="shared" ca="1" si="73"/>
        <v>2706.7979190544797</v>
      </c>
      <c r="Y184" s="1689">
        <f t="shared" ca="1" si="73"/>
        <v>2012.3099229567811</v>
      </c>
      <c r="Z184" s="1245"/>
      <c r="AA184" s="1689">
        <f t="shared" ref="AA184:AU184" ca="1" si="74">AA165*1000*AA175</f>
        <v>0</v>
      </c>
      <c r="AB184" s="1689">
        <f t="shared" ca="1" si="74"/>
        <v>18617.10012416566</v>
      </c>
      <c r="AC184" s="1689">
        <f t="shared" ca="1" si="74"/>
        <v>962.21673778746526</v>
      </c>
      <c r="AD184" s="1689">
        <f t="shared" ca="1" si="74"/>
        <v>945.2511427848998</v>
      </c>
      <c r="AE184" s="1689">
        <f t="shared" ca="1" si="74"/>
        <v>889.43403832016327</v>
      </c>
      <c r="AF184" s="1689">
        <f t="shared" ca="1" si="74"/>
        <v>802.56728377534296</v>
      </c>
      <c r="AG184" s="1689">
        <f t="shared" ca="1" si="74"/>
        <v>726.98373999038063</v>
      </c>
      <c r="AH184" s="1689">
        <f t="shared" ca="1" si="74"/>
        <v>651.44319158735755</v>
      </c>
      <c r="AI184" s="1689">
        <f t="shared" ca="1" si="74"/>
        <v>579.08504760945971</v>
      </c>
      <c r="AJ184" s="1689">
        <f t="shared" ca="1" si="74"/>
        <v>476.62013099455152</v>
      </c>
      <c r="AK184" s="1245">
        <f t="shared" si="74"/>
        <v>0</v>
      </c>
      <c r="AL184" s="1689">
        <f t="shared" ca="1" si="74"/>
        <v>0</v>
      </c>
      <c r="AM184" s="1689">
        <f t="shared" ca="1" si="74"/>
        <v>0</v>
      </c>
      <c r="AN184" s="1689">
        <f t="shared" ca="1" si="74"/>
        <v>0</v>
      </c>
      <c r="AO184" s="1689">
        <f t="shared" ca="1" si="74"/>
        <v>0</v>
      </c>
      <c r="AP184" s="1689">
        <f t="shared" ca="1" si="74"/>
        <v>0</v>
      </c>
      <c r="AQ184" s="1689">
        <f t="shared" ca="1" si="74"/>
        <v>0</v>
      </c>
      <c r="AR184" s="1689">
        <f t="shared" ca="1" si="74"/>
        <v>0</v>
      </c>
      <c r="AS184" s="1689">
        <f t="shared" ca="1" si="74"/>
        <v>0</v>
      </c>
      <c r="AT184" s="1689">
        <f t="shared" ca="1" si="74"/>
        <v>0</v>
      </c>
      <c r="AU184" s="1689">
        <f t="shared" ca="1" si="74"/>
        <v>0</v>
      </c>
    </row>
    <row r="185" spans="2:48" s="2168" customFormat="1" x14ac:dyDescent="0.2">
      <c r="D185" s="1686" t="s">
        <v>32</v>
      </c>
      <c r="F185" s="1691">
        <f t="shared" ref="F185:N185" ca="1" si="75">F166*1000*F176</f>
        <v>1312.071588571901</v>
      </c>
      <c r="G185" s="1691">
        <f t="shared" ca="1" si="75"/>
        <v>1930.257738315295</v>
      </c>
      <c r="H185" s="1691">
        <f t="shared" ca="1" si="75"/>
        <v>2325.3431502659687</v>
      </c>
      <c r="I185" s="1691">
        <f t="shared" ca="1" si="75"/>
        <v>3112.4998878325696</v>
      </c>
      <c r="J185" s="1691">
        <f t="shared" ca="1" si="75"/>
        <v>3756.7894438767689</v>
      </c>
      <c r="K185" s="1691">
        <f t="shared" ca="1" si="75"/>
        <v>4054.1134342856126</v>
      </c>
      <c r="L185" s="1691">
        <f t="shared" ca="1" si="75"/>
        <v>4424.7626806937533</v>
      </c>
      <c r="M185" s="1691">
        <f t="shared" ca="1" si="75"/>
        <v>4939.5532852708684</v>
      </c>
      <c r="N185" s="1691">
        <f t="shared" ca="1" si="75"/>
        <v>5576.8595168170777</v>
      </c>
      <c r="O185" s="1245"/>
      <c r="P185" s="1691">
        <f t="shared" ref="P185:Y185" ca="1" si="76">P166*1000*P176</f>
        <v>0</v>
      </c>
      <c r="Q185" s="1691">
        <f t="shared" ca="1" si="76"/>
        <v>524.2305696079917</v>
      </c>
      <c r="R185" s="1691">
        <f t="shared" ca="1" si="76"/>
        <v>608.27542301946823</v>
      </c>
      <c r="S185" s="1691">
        <f t="shared" ca="1" si="76"/>
        <v>802.52774312756492</v>
      </c>
      <c r="T185" s="1691">
        <f t="shared" ca="1" si="76"/>
        <v>936.20162312700143</v>
      </c>
      <c r="U185" s="1691">
        <f t="shared" ca="1" si="76"/>
        <v>1056.9770060411363</v>
      </c>
      <c r="V185" s="1691">
        <f t="shared" ca="1" si="76"/>
        <v>1194.5570850664071</v>
      </c>
      <c r="W185" s="1691">
        <f t="shared" ca="1" si="76"/>
        <v>1282.8165040181229</v>
      </c>
      <c r="X185" s="1691">
        <f t="shared" ca="1" si="76"/>
        <v>1341.3250153415026</v>
      </c>
      <c r="Y185" s="1691">
        <f t="shared" ca="1" si="76"/>
        <v>1385.3236653204863</v>
      </c>
      <c r="Z185" s="1245"/>
      <c r="AA185" s="1691">
        <f t="shared" ref="AA185:AU185" ca="1" si="77">AA166*1000*AA176</f>
        <v>0</v>
      </c>
      <c r="AB185" s="1691">
        <f t="shared" ca="1" si="77"/>
        <v>160.94866276106066</v>
      </c>
      <c r="AC185" s="1691">
        <f t="shared" ca="1" si="77"/>
        <v>245.49167703388315</v>
      </c>
      <c r="AD185" s="1691">
        <f t="shared" ca="1" si="77"/>
        <v>348.18094612600203</v>
      </c>
      <c r="AE185" s="1691">
        <f t="shared" ca="1" si="77"/>
        <v>482.35293754549616</v>
      </c>
      <c r="AF185" s="1691">
        <f t="shared" ca="1" si="77"/>
        <v>620.466035367568</v>
      </c>
      <c r="AG185" s="1691">
        <f t="shared" ca="1" si="77"/>
        <v>694.49547401821462</v>
      </c>
      <c r="AH185" s="1691">
        <f t="shared" ca="1" si="77"/>
        <v>776.68560933300671</v>
      </c>
      <c r="AI185" s="1691">
        <f t="shared" ca="1" si="77"/>
        <v>892.3181365176971</v>
      </c>
      <c r="AJ185" s="1691">
        <f t="shared" ca="1" si="77"/>
        <v>1024.2034886470137</v>
      </c>
      <c r="AK185" s="1245">
        <f t="shared" si="77"/>
        <v>0</v>
      </c>
      <c r="AL185" s="1691">
        <f t="shared" ca="1" si="77"/>
        <v>0</v>
      </c>
      <c r="AM185" s="1691">
        <f t="shared" ca="1" si="77"/>
        <v>0</v>
      </c>
      <c r="AN185" s="1691">
        <f t="shared" ca="1" si="77"/>
        <v>0</v>
      </c>
      <c r="AO185" s="1691">
        <f t="shared" ca="1" si="77"/>
        <v>0</v>
      </c>
      <c r="AP185" s="1691">
        <f t="shared" ca="1" si="77"/>
        <v>0</v>
      </c>
      <c r="AQ185" s="1691">
        <f t="shared" ca="1" si="77"/>
        <v>0</v>
      </c>
      <c r="AR185" s="1691">
        <f t="shared" ca="1" si="77"/>
        <v>0</v>
      </c>
      <c r="AS185" s="1691">
        <f t="shared" ca="1" si="77"/>
        <v>0</v>
      </c>
      <c r="AT185" s="1691">
        <f t="shared" ca="1" si="77"/>
        <v>0</v>
      </c>
      <c r="AU185" s="1691">
        <f t="shared" ca="1" si="77"/>
        <v>0</v>
      </c>
    </row>
    <row r="186" spans="2:48" s="2168" customFormat="1" x14ac:dyDescent="0.2">
      <c r="D186" s="1684" t="s">
        <v>1824</v>
      </c>
      <c r="F186" s="1689">
        <f t="shared" ref="F186:N186" ca="1" si="78">F167*1000*F177</f>
        <v>138501.95002100064</v>
      </c>
      <c r="G186" s="1689">
        <f t="shared" ca="1" si="78"/>
        <v>780.69084452511549</v>
      </c>
      <c r="H186" s="1689">
        <f t="shared" ca="1" si="78"/>
        <v>792.98210327267805</v>
      </c>
      <c r="I186" s="1689">
        <f t="shared" ca="1" si="78"/>
        <v>787.06796260797955</v>
      </c>
      <c r="J186" s="1689">
        <f t="shared" ca="1" si="78"/>
        <v>798.63095005501646</v>
      </c>
      <c r="K186" s="1689">
        <f t="shared" ca="1" si="78"/>
        <v>837.58274918057998</v>
      </c>
      <c r="L186" s="1689">
        <f t="shared" ca="1" si="78"/>
        <v>884.67008145135264</v>
      </c>
      <c r="M186" s="1689">
        <f t="shared" ca="1" si="78"/>
        <v>934.49669554887976</v>
      </c>
      <c r="N186" s="1689">
        <f t="shared" ca="1" si="78"/>
        <v>979.39229835999629</v>
      </c>
      <c r="O186" s="1245"/>
      <c r="P186" s="1689">
        <f t="shared" ref="P186:Y186" ca="1" si="79">P167*1000*P177</f>
        <v>0</v>
      </c>
      <c r="Q186" s="1689">
        <f t="shared" ca="1" si="79"/>
        <v>411052.0678948639</v>
      </c>
      <c r="R186" s="1689">
        <f t="shared" ca="1" si="79"/>
        <v>488.00427456124532</v>
      </c>
      <c r="S186" s="1689">
        <f t="shared" ca="1" si="79"/>
        <v>368.73239416757468</v>
      </c>
      <c r="T186" s="1689">
        <f t="shared" ca="1" si="79"/>
        <v>268.49191698117858</v>
      </c>
      <c r="U186" s="1689">
        <f t="shared" ca="1" si="79"/>
        <v>188.34531526883481</v>
      </c>
      <c r="V186" s="1689">
        <f t="shared" ca="1" si="79"/>
        <v>143.29915255647265</v>
      </c>
      <c r="W186" s="1689">
        <f t="shared" ca="1" si="79"/>
        <v>107.47146761856889</v>
      </c>
      <c r="X186" s="1689">
        <f t="shared" ca="1" si="79"/>
        <v>79.862915751167961</v>
      </c>
      <c r="Y186" s="1689">
        <f t="shared" ca="1" si="79"/>
        <v>59.29821064222147</v>
      </c>
      <c r="Z186" s="1245"/>
      <c r="AA186" s="1689">
        <f t="shared" ref="AA186:AU186" ca="1" si="80">AA167*1000*AA177</f>
        <v>0</v>
      </c>
      <c r="AB186" s="1689">
        <f t="shared" ca="1" si="80"/>
        <v>1381.6367420210527</v>
      </c>
      <c r="AC186" s="1689">
        <f t="shared" ca="1" si="80"/>
        <v>175.60828140214588</v>
      </c>
      <c r="AD186" s="1689">
        <f t="shared" ca="1" si="80"/>
        <v>183.27715345705693</v>
      </c>
      <c r="AE186" s="1689">
        <f t="shared" ca="1" si="80"/>
        <v>185.59358092016467</v>
      </c>
      <c r="AF186" s="1689">
        <f t="shared" ca="1" si="80"/>
        <v>188.97702251427879</v>
      </c>
      <c r="AG186" s="1689">
        <f t="shared" ca="1" si="80"/>
        <v>192.967487754693</v>
      </c>
      <c r="AH186" s="1689">
        <f t="shared" ca="1" si="80"/>
        <v>197.23135330188248</v>
      </c>
      <c r="AI186" s="1689">
        <f t="shared" ca="1" si="80"/>
        <v>201.90157834477588</v>
      </c>
      <c r="AJ186" s="1689">
        <f t="shared" ca="1" si="80"/>
        <v>206.84776900504289</v>
      </c>
      <c r="AK186" s="1245">
        <f t="shared" si="80"/>
        <v>0</v>
      </c>
      <c r="AL186" s="1689">
        <f t="shared" ca="1" si="80"/>
        <v>0</v>
      </c>
      <c r="AM186" s="1689">
        <f t="shared" ca="1" si="80"/>
        <v>0</v>
      </c>
      <c r="AN186" s="1689">
        <f t="shared" ca="1" si="80"/>
        <v>0</v>
      </c>
      <c r="AO186" s="1689">
        <f t="shared" ca="1" si="80"/>
        <v>0</v>
      </c>
      <c r="AP186" s="1689">
        <f t="shared" ca="1" si="80"/>
        <v>0</v>
      </c>
      <c r="AQ186" s="1689">
        <f t="shared" ca="1" si="80"/>
        <v>0</v>
      </c>
      <c r="AR186" s="1689">
        <f t="shared" ca="1" si="80"/>
        <v>0</v>
      </c>
      <c r="AS186" s="1689">
        <f t="shared" ca="1" si="80"/>
        <v>0</v>
      </c>
      <c r="AT186" s="1689">
        <f t="shared" ca="1" si="80"/>
        <v>0</v>
      </c>
      <c r="AU186" s="1689">
        <f t="shared" ca="1" si="80"/>
        <v>0</v>
      </c>
    </row>
    <row r="187" spans="2:48" s="2168" customFormat="1" x14ac:dyDescent="0.2">
      <c r="D187" s="1734" t="s">
        <v>105</v>
      </c>
      <c r="E187" s="1427"/>
      <c r="F187" s="1735">
        <f t="shared" ref="F187:N187" ca="1" si="81">SUM(F181:F186)</f>
        <v>242353.22769626239</v>
      </c>
      <c r="G187" s="1735">
        <f t="shared" ca="1" si="81"/>
        <v>54951.990597638563</v>
      </c>
      <c r="H187" s="1735">
        <f t="shared" ca="1" si="81"/>
        <v>53828.28537184537</v>
      </c>
      <c r="I187" s="1735">
        <f t="shared" ca="1" si="81"/>
        <v>46368.360142504331</v>
      </c>
      <c r="J187" s="1735">
        <f t="shared" ca="1" si="81"/>
        <v>38740.809155313305</v>
      </c>
      <c r="K187" s="1735">
        <f t="shared" ca="1" si="81"/>
        <v>31572.8390150784</v>
      </c>
      <c r="L187" s="1735">
        <f t="shared" ca="1" si="81"/>
        <v>25447.456697436573</v>
      </c>
      <c r="M187" s="1735">
        <f t="shared" ca="1" si="81"/>
        <v>21339.551045465581</v>
      </c>
      <c r="N187" s="1735">
        <f t="shared" ca="1" si="81"/>
        <v>18791.221497395087</v>
      </c>
      <c r="O187" s="1245"/>
      <c r="P187" s="1735">
        <f t="shared" ref="P187:Y187" ca="1" si="82">SUM(P181:P186)</f>
        <v>0</v>
      </c>
      <c r="Q187" s="1735">
        <f t="shared" ca="1" si="82"/>
        <v>439803.99843242078</v>
      </c>
      <c r="R187" s="1735">
        <f t="shared" ca="1" si="82"/>
        <v>28189.598442431357</v>
      </c>
      <c r="S187" s="1735">
        <f t="shared" ca="1" si="82"/>
        <v>22908.445051270435</v>
      </c>
      <c r="T187" s="1735">
        <f t="shared" ca="1" si="82"/>
        <v>19025.55857403795</v>
      </c>
      <c r="U187" s="1735">
        <f t="shared" ca="1" si="82"/>
        <v>16994.940822449076</v>
      </c>
      <c r="V187" s="1735">
        <f t="shared" ca="1" si="82"/>
        <v>15963.671475999792</v>
      </c>
      <c r="W187" s="1735">
        <f t="shared" ca="1" si="82"/>
        <v>15538.383370056936</v>
      </c>
      <c r="X187" s="1735">
        <f t="shared" ca="1" si="82"/>
        <v>15142.169325318979</v>
      </c>
      <c r="Y187" s="1735">
        <f t="shared" ca="1" si="82"/>
        <v>14305.73819208416</v>
      </c>
      <c r="Z187" s="1245"/>
      <c r="AA187" s="1735">
        <f t="shared" ref="AA187:AJ187" ca="1" si="83">SUM(AA181:AA186)</f>
        <v>0</v>
      </c>
      <c r="AB187" s="1735">
        <f t="shared" ca="1" si="83"/>
        <v>23820.433697006956</v>
      </c>
      <c r="AC187" s="1735">
        <f t="shared" ca="1" si="83"/>
        <v>4731.8288668272844</v>
      </c>
      <c r="AD187" s="1735">
        <f t="shared" ca="1" si="83"/>
        <v>2530.8165664109088</v>
      </c>
      <c r="AE187" s="1735">
        <f t="shared" ca="1" si="83"/>
        <v>2733.665629375957</v>
      </c>
      <c r="AF187" s="1735">
        <f t="shared" ca="1" si="83"/>
        <v>4788.9136065482962</v>
      </c>
      <c r="AG187" s="1735">
        <f t="shared" ca="1" si="83"/>
        <v>7319.2016746526369</v>
      </c>
      <c r="AH187" s="1735">
        <f t="shared" ca="1" si="83"/>
        <v>9707.3501012458055</v>
      </c>
      <c r="AI187" s="1735">
        <f t="shared" ca="1" si="83"/>
        <v>11911.269672030856</v>
      </c>
      <c r="AJ187" s="1735">
        <f t="shared" ca="1" si="83"/>
        <v>13904.222200074617</v>
      </c>
      <c r="AK187" s="1245"/>
      <c r="AL187" s="1735">
        <f t="shared" ref="AL187:AU187" ca="1" si="84">SUM(AL181:AL186)</f>
        <v>0</v>
      </c>
      <c r="AM187" s="1735">
        <f t="shared" ca="1" si="84"/>
        <v>0</v>
      </c>
      <c r="AN187" s="1735">
        <f t="shared" ca="1" si="84"/>
        <v>0</v>
      </c>
      <c r="AO187" s="1735">
        <f t="shared" ca="1" si="84"/>
        <v>0</v>
      </c>
      <c r="AP187" s="1735">
        <f t="shared" ca="1" si="84"/>
        <v>0</v>
      </c>
      <c r="AQ187" s="1735">
        <f t="shared" ca="1" si="84"/>
        <v>0</v>
      </c>
      <c r="AR187" s="1735">
        <f t="shared" ca="1" si="84"/>
        <v>0</v>
      </c>
      <c r="AS187" s="1735">
        <f t="shared" ca="1" si="84"/>
        <v>0</v>
      </c>
      <c r="AT187" s="1735">
        <f t="shared" ca="1" si="84"/>
        <v>0</v>
      </c>
      <c r="AU187" s="1735">
        <f t="shared" ca="1" si="84"/>
        <v>0</v>
      </c>
    </row>
    <row r="188" spans="2:48" s="2168" customFormat="1" x14ac:dyDescent="0.2">
      <c r="F188" s="675"/>
      <c r="G188" s="675"/>
      <c r="H188" s="675"/>
      <c r="I188" s="675"/>
      <c r="J188" s="675"/>
      <c r="K188" s="675"/>
      <c r="L188" s="675"/>
      <c r="M188" s="675"/>
      <c r="N188" s="675"/>
      <c r="O188" s="675"/>
      <c r="Q188" s="675"/>
      <c r="R188" s="675"/>
      <c r="S188" s="675"/>
      <c r="T188" s="675"/>
      <c r="U188" s="675"/>
      <c r="V188" s="675"/>
      <c r="W188" s="675"/>
      <c r="X188" s="675"/>
      <c r="Y188" s="675"/>
      <c r="Z188" s="675"/>
      <c r="AB188" s="675"/>
      <c r="AC188" s="675"/>
      <c r="AD188" s="675"/>
      <c r="AE188" s="675"/>
      <c r="AF188" s="675"/>
      <c r="AG188" s="675"/>
      <c r="AH188" s="675"/>
      <c r="AI188" s="675"/>
      <c r="AJ188" s="675"/>
      <c r="AK188" s="675"/>
      <c r="AM188" s="675"/>
      <c r="AN188" s="675"/>
      <c r="AO188" s="675"/>
      <c r="AP188" s="675"/>
      <c r="AQ188" s="675"/>
      <c r="AR188" s="675"/>
      <c r="AS188" s="675"/>
      <c r="AT188" s="675"/>
      <c r="AU188" s="675"/>
      <c r="AV188" s="675"/>
    </row>
    <row r="189" spans="2:48" s="2168" customFormat="1" x14ac:dyDescent="0.2">
      <c r="B189" s="1427" t="s">
        <v>1844</v>
      </c>
      <c r="N189" s="172" t="s">
        <v>1846</v>
      </c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</row>
    <row r="190" spans="2:48" s="2168" customFormat="1" ht="13.5" thickBot="1" x14ac:dyDescent="0.25">
      <c r="D190" s="1682" t="s">
        <v>67</v>
      </c>
      <c r="F190" s="1681">
        <v>2010</v>
      </c>
      <c r="G190" s="1681">
        <v>2015</v>
      </c>
      <c r="H190" s="1681">
        <v>2020</v>
      </c>
      <c r="I190" s="1681">
        <v>2025</v>
      </c>
      <c r="J190" s="1681">
        <v>2030</v>
      </c>
      <c r="K190" s="1681">
        <v>2035</v>
      </c>
      <c r="L190" s="1681">
        <v>2040</v>
      </c>
      <c r="M190" s="1681">
        <v>2045</v>
      </c>
      <c r="N190" s="1681">
        <v>2050</v>
      </c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</row>
    <row r="191" spans="2:48" s="2168" customFormat="1" ht="13.5" thickTop="1" x14ac:dyDescent="0.2">
      <c r="D191" s="1684" t="s">
        <v>1791</v>
      </c>
      <c r="F191" s="1689">
        <f t="shared" ref="F191:N191" ca="1" si="85">F187</f>
        <v>242353.22769626239</v>
      </c>
      <c r="G191" s="1689">
        <f t="shared" ca="1" si="85"/>
        <v>54951.990597638563</v>
      </c>
      <c r="H191" s="1689">
        <f t="shared" ca="1" si="85"/>
        <v>53828.28537184537</v>
      </c>
      <c r="I191" s="1689">
        <f t="shared" ca="1" si="85"/>
        <v>46368.360142504331</v>
      </c>
      <c r="J191" s="1689">
        <f t="shared" ca="1" si="85"/>
        <v>38740.809155313305</v>
      </c>
      <c r="K191" s="1689">
        <f t="shared" ca="1" si="85"/>
        <v>31572.8390150784</v>
      </c>
      <c r="L191" s="1689">
        <f t="shared" ca="1" si="85"/>
        <v>25447.456697436573</v>
      </c>
      <c r="M191" s="1689">
        <f t="shared" ca="1" si="85"/>
        <v>21339.551045465581</v>
      </c>
      <c r="N191" s="1689">
        <f t="shared" ca="1" si="85"/>
        <v>18791.221497395087</v>
      </c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</row>
    <row r="192" spans="2:48" s="2168" customFormat="1" x14ac:dyDescent="0.2">
      <c r="C192" s="1672"/>
      <c r="D192" s="1686" t="s">
        <v>1794</v>
      </c>
      <c r="F192" s="1691">
        <f t="shared" ref="F192:N192" ca="1" si="86">Q187</f>
        <v>439803.99843242078</v>
      </c>
      <c r="G192" s="1691">
        <f t="shared" ca="1" si="86"/>
        <v>28189.598442431357</v>
      </c>
      <c r="H192" s="1691">
        <f t="shared" ca="1" si="86"/>
        <v>22908.445051270435</v>
      </c>
      <c r="I192" s="1691">
        <f t="shared" ca="1" si="86"/>
        <v>19025.55857403795</v>
      </c>
      <c r="J192" s="1691">
        <f t="shared" ca="1" si="86"/>
        <v>16994.940822449076</v>
      </c>
      <c r="K192" s="1691">
        <f t="shared" ca="1" si="86"/>
        <v>15963.671475999792</v>
      </c>
      <c r="L192" s="1691">
        <f t="shared" ca="1" si="86"/>
        <v>15538.383370056936</v>
      </c>
      <c r="M192" s="1691">
        <f t="shared" ca="1" si="86"/>
        <v>15142.169325318979</v>
      </c>
      <c r="N192" s="1691">
        <f t="shared" ca="1" si="86"/>
        <v>14305.73819208416</v>
      </c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</row>
    <row r="193" spans="2:48" s="2168" customFormat="1" x14ac:dyDescent="0.2">
      <c r="D193" s="1684" t="s">
        <v>1795</v>
      </c>
      <c r="F193" s="1689">
        <f t="shared" ref="F193:N193" ca="1" si="87">AB187</f>
        <v>23820.433697006956</v>
      </c>
      <c r="G193" s="1689">
        <f t="shared" ca="1" si="87"/>
        <v>4731.8288668272844</v>
      </c>
      <c r="H193" s="1689">
        <f t="shared" ca="1" si="87"/>
        <v>2530.8165664109088</v>
      </c>
      <c r="I193" s="1689">
        <f t="shared" ca="1" si="87"/>
        <v>2733.665629375957</v>
      </c>
      <c r="J193" s="1689">
        <f t="shared" ca="1" si="87"/>
        <v>4788.9136065482962</v>
      </c>
      <c r="K193" s="1689">
        <f t="shared" ca="1" si="87"/>
        <v>7319.2016746526369</v>
      </c>
      <c r="L193" s="1689">
        <f t="shared" ca="1" si="87"/>
        <v>9707.3501012458055</v>
      </c>
      <c r="M193" s="1689">
        <f t="shared" ca="1" si="87"/>
        <v>11911.269672030856</v>
      </c>
      <c r="N193" s="1689">
        <f t="shared" ca="1" si="87"/>
        <v>13904.222200074617</v>
      </c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</row>
    <row r="194" spans="2:48" s="2168" customFormat="1" x14ac:dyDescent="0.2">
      <c r="B194" s="1427"/>
      <c r="D194" s="2058" t="s">
        <v>1792</v>
      </c>
      <c r="F194" s="1691">
        <f t="shared" ref="F194:N194" ca="1" si="88">AM187</f>
        <v>0</v>
      </c>
      <c r="G194" s="1691">
        <f t="shared" ca="1" si="88"/>
        <v>0</v>
      </c>
      <c r="H194" s="1691">
        <f t="shared" ca="1" si="88"/>
        <v>0</v>
      </c>
      <c r="I194" s="1691">
        <f t="shared" ca="1" si="88"/>
        <v>0</v>
      </c>
      <c r="J194" s="1691">
        <f t="shared" ca="1" si="88"/>
        <v>0</v>
      </c>
      <c r="K194" s="1691">
        <f t="shared" ca="1" si="88"/>
        <v>0</v>
      </c>
      <c r="L194" s="1691">
        <f t="shared" ca="1" si="88"/>
        <v>0</v>
      </c>
      <c r="M194" s="1691">
        <f t="shared" ca="1" si="88"/>
        <v>0</v>
      </c>
      <c r="N194" s="1691">
        <f t="shared" ca="1" si="88"/>
        <v>0</v>
      </c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</row>
    <row r="195" spans="2:48" s="2168" customFormat="1" x14ac:dyDescent="0.2">
      <c r="B195" s="1427"/>
      <c r="D195" s="1684" t="s">
        <v>1845</v>
      </c>
      <c r="F195" s="1689">
        <f t="shared" ref="F195:N195" ca="1" si="89">SUM(F191:F194)</f>
        <v>705977.65982569009</v>
      </c>
      <c r="G195" s="1689">
        <f t="shared" ca="1" si="89"/>
        <v>87873.417906897215</v>
      </c>
      <c r="H195" s="1689">
        <f t="shared" ca="1" si="89"/>
        <v>79267.546989526716</v>
      </c>
      <c r="I195" s="1689">
        <f t="shared" ca="1" si="89"/>
        <v>68127.584345918236</v>
      </c>
      <c r="J195" s="1689">
        <f t="shared" ca="1" si="89"/>
        <v>60524.663584310678</v>
      </c>
      <c r="K195" s="1689">
        <f t="shared" ca="1" si="89"/>
        <v>54855.712165730831</v>
      </c>
      <c r="L195" s="1689">
        <f t="shared" ca="1" si="89"/>
        <v>50693.190168739318</v>
      </c>
      <c r="M195" s="1689">
        <f t="shared" ca="1" si="89"/>
        <v>48392.990042815421</v>
      </c>
      <c r="N195" s="1689">
        <f t="shared" ca="1" si="89"/>
        <v>47001.181889553867</v>
      </c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</row>
    <row r="196" spans="2:48" s="2168" customFormat="1" x14ac:dyDescent="0.2">
      <c r="B196" s="1427"/>
      <c r="F196" s="675"/>
      <c r="G196" s="675"/>
      <c r="H196" s="675"/>
      <c r="I196" s="675"/>
      <c r="J196" s="675"/>
      <c r="K196" s="675"/>
      <c r="L196" s="675"/>
      <c r="M196" s="675"/>
      <c r="N196" s="675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</row>
    <row r="197" spans="2:48" x14ac:dyDescent="0.2">
      <c r="B197" s="2030"/>
      <c r="C197" s="2180" t="s">
        <v>1847</v>
      </c>
      <c r="D197" s="2030" t="s">
        <v>1845</v>
      </c>
      <c r="E197" s="2030"/>
      <c r="F197" s="1736">
        <v>310998.92335487128</v>
      </c>
      <c r="G197" s="1736">
        <v>206943.53075635535</v>
      </c>
      <c r="H197" s="1736">
        <v>174115.98475018272</v>
      </c>
      <c r="I197" s="1736">
        <v>151123.39982424575</v>
      </c>
      <c r="J197" s="1736">
        <v>130775.28766265792</v>
      </c>
      <c r="K197" s="1736">
        <v>117161.20973031956</v>
      </c>
      <c r="L197" s="1736">
        <v>102670.32660548296</v>
      </c>
      <c r="M197" s="1736">
        <v>87889.974289645732</v>
      </c>
      <c r="N197" s="1736">
        <v>71615.734532984061</v>
      </c>
      <c r="O197" s="2030"/>
      <c r="P197" s="2030"/>
      <c r="Q197" s="2030"/>
      <c r="R197" s="2030"/>
      <c r="S197" s="2030"/>
      <c r="T197" s="2030"/>
      <c r="U197" s="2030"/>
      <c r="V197" s="2030"/>
      <c r="W197" s="2030"/>
      <c r="X197" s="2030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 s="2030"/>
      <c r="AQ197" s="2030"/>
      <c r="AR197" s="2030"/>
      <c r="AS197" s="2030"/>
      <c r="AT197" s="2030"/>
      <c r="AU197" s="2030"/>
    </row>
    <row r="198" spans="2:48" x14ac:dyDescent="0.2">
      <c r="B198" s="2168"/>
      <c r="C198" s="2168"/>
      <c r="D198" s="2168"/>
      <c r="E198" s="2168"/>
      <c r="F198" s="2168"/>
      <c r="G198" s="2168"/>
      <c r="H198" s="2168"/>
      <c r="I198" s="2168"/>
      <c r="J198" s="2168"/>
      <c r="K198" s="2168"/>
      <c r="L198" s="2168"/>
      <c r="M198" s="2168"/>
      <c r="N198" s="2168"/>
      <c r="O198" s="2168"/>
      <c r="P198" s="2168"/>
      <c r="Q198" s="2168"/>
      <c r="R198" s="2168"/>
      <c r="S198" s="2168"/>
      <c r="T198" s="2168"/>
      <c r="U198" s="2168"/>
      <c r="V198" s="2168"/>
      <c r="W198" s="2168"/>
      <c r="X198" s="2168"/>
      <c r="Y198" s="216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 s="2168"/>
      <c r="AR198" s="2168"/>
      <c r="AS198" s="2168"/>
      <c r="AT198" s="2168"/>
      <c r="AU198" s="2168"/>
      <c r="AV198" s="2168"/>
    </row>
    <row r="199" spans="2:48" ht="14.25" x14ac:dyDescent="0.2">
      <c r="B199" s="2031" t="s">
        <v>1915</v>
      </c>
    </row>
    <row r="201" spans="2:48" ht="14.25" x14ac:dyDescent="0.2">
      <c r="B201" s="2032" t="s">
        <v>1916</v>
      </c>
    </row>
    <row r="202" spans="2:48" ht="13.5" thickBot="1" x14ac:dyDescent="0.25"/>
    <row r="203" spans="2:48" ht="14.25" x14ac:dyDescent="0.2">
      <c r="B203" s="2033" t="s">
        <v>1917</v>
      </c>
      <c r="C203" s="2034" t="s">
        <v>1918</v>
      </c>
      <c r="D203" s="2035" t="s">
        <v>1918</v>
      </c>
      <c r="E203" s="2035" t="s">
        <v>1918</v>
      </c>
      <c r="F203" s="2034" t="s">
        <v>1791</v>
      </c>
      <c r="G203" s="2035" t="s">
        <v>1791</v>
      </c>
      <c r="H203" s="2036" t="s">
        <v>1791</v>
      </c>
      <c r="I203" s="2034" t="s">
        <v>1795</v>
      </c>
      <c r="J203" s="2035" t="s">
        <v>1795</v>
      </c>
      <c r="K203" s="2036" t="s">
        <v>1795</v>
      </c>
      <c r="L203" s="2035" t="s">
        <v>1919</v>
      </c>
      <c r="M203" s="2035" t="s">
        <v>1919</v>
      </c>
      <c r="N203" s="2036" t="s">
        <v>1919</v>
      </c>
    </row>
    <row r="204" spans="2:48" ht="15" thickBot="1" x14ac:dyDescent="0.25">
      <c r="B204" s="2037" t="s">
        <v>1920</v>
      </c>
      <c r="C204" s="2038">
        <v>2010</v>
      </c>
      <c r="D204" s="2039">
        <v>2015</v>
      </c>
      <c r="E204" s="2039">
        <v>2020</v>
      </c>
      <c r="F204" s="2038">
        <v>2010</v>
      </c>
      <c r="G204" s="2039">
        <v>2015</v>
      </c>
      <c r="H204" s="2040">
        <v>2020</v>
      </c>
      <c r="I204" s="2038">
        <v>2010</v>
      </c>
      <c r="J204" s="2039">
        <v>2015</v>
      </c>
      <c r="K204" s="2040">
        <v>2020</v>
      </c>
      <c r="L204" s="2039">
        <v>2010</v>
      </c>
      <c r="M204" s="2039">
        <v>2015</v>
      </c>
      <c r="N204" s="2040">
        <v>2020</v>
      </c>
    </row>
    <row r="205" spans="2:48" ht="14.25" x14ac:dyDescent="0.2">
      <c r="B205" s="2023" t="s">
        <v>1921</v>
      </c>
      <c r="C205" s="2041">
        <v>113.00256184083307</v>
      </c>
      <c r="D205" s="2042">
        <v>59.906605921073968</v>
      </c>
      <c r="E205" s="2042">
        <v>42.050415859945218</v>
      </c>
      <c r="F205" s="2041">
        <v>9.7691001319424871</v>
      </c>
      <c r="G205" s="2042">
        <v>5.0054550920803953</v>
      </c>
      <c r="H205" s="2043">
        <v>3.6918649885591042</v>
      </c>
      <c r="I205" s="2041">
        <v>9.302874568991621</v>
      </c>
      <c r="J205" s="2042">
        <v>0.11061288601546358</v>
      </c>
      <c r="K205" s="2043">
        <v>0.11044609200930518</v>
      </c>
      <c r="L205" s="2044">
        <v>30.178168627780128</v>
      </c>
      <c r="M205" s="2044">
        <v>17.849555463796481</v>
      </c>
      <c r="N205" s="2045">
        <v>15.209211368984153</v>
      </c>
    </row>
    <row r="206" spans="2:48" ht="14.25" x14ac:dyDescent="0.2">
      <c r="B206" s="2024" t="s">
        <v>1922</v>
      </c>
      <c r="C206" s="2046">
        <v>0</v>
      </c>
      <c r="D206" s="2047">
        <v>0</v>
      </c>
      <c r="E206" s="2047">
        <v>0</v>
      </c>
      <c r="F206" s="2046">
        <v>0</v>
      </c>
      <c r="G206" s="2047">
        <v>0</v>
      </c>
      <c r="H206" s="2048">
        <v>0</v>
      </c>
      <c r="I206" s="2046">
        <v>0.69986823957978606</v>
      </c>
      <c r="J206" s="2047">
        <v>0.71038631245067219</v>
      </c>
      <c r="K206" s="2048">
        <v>0.71111117182450778</v>
      </c>
      <c r="L206" s="2049">
        <v>0</v>
      </c>
      <c r="M206" s="2049">
        <v>0</v>
      </c>
      <c r="N206" s="2050">
        <v>0</v>
      </c>
    </row>
    <row r="207" spans="2:48" ht="14.25" x14ac:dyDescent="0.2">
      <c r="B207" s="2024" t="s">
        <v>1923</v>
      </c>
      <c r="C207" s="2046">
        <v>24.99339266271517</v>
      </c>
      <c r="D207" s="2047">
        <v>24.99339266271517</v>
      </c>
      <c r="E207" s="2047">
        <v>24.437919880460967</v>
      </c>
      <c r="F207" s="2046">
        <v>1.156526596412947</v>
      </c>
      <c r="G207" s="2047">
        <v>1.156526596412947</v>
      </c>
      <c r="H207" s="2048">
        <v>1.156526596412947</v>
      </c>
      <c r="I207" s="2046">
        <v>5.9884801224494986</v>
      </c>
      <c r="J207" s="2047">
        <v>5.9884801224494986</v>
      </c>
      <c r="K207" s="2048">
        <v>5.9884801224494986</v>
      </c>
      <c r="L207" s="2049">
        <v>1.686751440881912</v>
      </c>
      <c r="M207" s="2049">
        <v>1.686751440881912</v>
      </c>
      <c r="N207" s="2050">
        <v>1.686751440881912</v>
      </c>
    </row>
    <row r="208" spans="2:48" ht="14.25" x14ac:dyDescent="0.2">
      <c r="B208" s="2024" t="s">
        <v>1924</v>
      </c>
      <c r="C208" s="2046">
        <v>0.17633473355206974</v>
      </c>
      <c r="D208" s="2047">
        <v>0.17633473976413572</v>
      </c>
      <c r="E208" s="2047">
        <v>0.17633474511896824</v>
      </c>
      <c r="F208" s="2046">
        <v>0.31944039998063195</v>
      </c>
      <c r="G208" s="2047">
        <v>0.31944040078290276</v>
      </c>
      <c r="H208" s="2048">
        <v>0.31944040004885721</v>
      </c>
      <c r="I208" s="2046">
        <v>6.7849252079930444</v>
      </c>
      <c r="J208" s="2047">
        <v>6.7849251940107305</v>
      </c>
      <c r="K208" s="2048">
        <v>6.7849251990128634</v>
      </c>
      <c r="L208" s="2049">
        <v>8.7873658001534169E-2</v>
      </c>
      <c r="M208" s="2049">
        <v>8.7873669862648163E-2</v>
      </c>
      <c r="N208" s="2050">
        <v>8.7873666866074243E-2</v>
      </c>
    </row>
    <row r="209" spans="2:14" ht="14.25" x14ac:dyDescent="0.2">
      <c r="B209" s="2024" t="s">
        <v>1925</v>
      </c>
      <c r="C209" s="2046">
        <v>0.30089640497502002</v>
      </c>
      <c r="D209" s="2047">
        <v>0.30089640497502002</v>
      </c>
      <c r="E209" s="2047">
        <v>0.30089640497502002</v>
      </c>
      <c r="F209" s="2046">
        <v>4.7658568094970502</v>
      </c>
      <c r="G209" s="2047">
        <v>4.7658568094970502</v>
      </c>
      <c r="H209" s="2048">
        <v>4.7658568094970502</v>
      </c>
      <c r="I209" s="2046">
        <v>0</v>
      </c>
      <c r="J209" s="2047">
        <v>0</v>
      </c>
      <c r="K209" s="2048">
        <v>0</v>
      </c>
      <c r="L209" s="2049">
        <v>1.8053784298501201</v>
      </c>
      <c r="M209" s="2049">
        <v>1.8053784298501201</v>
      </c>
      <c r="N209" s="2050">
        <v>1.8053784298501201</v>
      </c>
    </row>
    <row r="210" spans="2:14" ht="14.25" x14ac:dyDescent="0.2">
      <c r="B210" s="2024" t="s">
        <v>1926</v>
      </c>
      <c r="C210" s="2046">
        <v>0.68479044943508505</v>
      </c>
      <c r="D210" s="2047">
        <v>0.68479044943508505</v>
      </c>
      <c r="E210" s="2047">
        <v>0.68479044943508505</v>
      </c>
      <c r="F210" s="2046">
        <v>5.0129994894991529E-2</v>
      </c>
      <c r="G210" s="2047">
        <v>5.0129994894991529E-2</v>
      </c>
      <c r="H210" s="2048">
        <v>5.0129994894991529E-2</v>
      </c>
      <c r="I210" s="2046">
        <v>0.71799943055967463</v>
      </c>
      <c r="J210" s="2047">
        <v>0.71799943055967463</v>
      </c>
      <c r="K210" s="2048">
        <v>0.71799943055967463</v>
      </c>
      <c r="L210" s="2049">
        <v>0.28302123771893201</v>
      </c>
      <c r="M210" s="2049">
        <v>0.28302123771893201</v>
      </c>
      <c r="N210" s="2050">
        <v>0.28302123771893201</v>
      </c>
    </row>
    <row r="211" spans="2:14" ht="14.25" x14ac:dyDescent="0.2">
      <c r="B211" s="2024" t="s">
        <v>1927</v>
      </c>
      <c r="C211" s="2046">
        <v>0.38686541434451499</v>
      </c>
      <c r="D211" s="2047">
        <v>0.38839231913076799</v>
      </c>
      <c r="E211" s="2047">
        <v>0.38992645711512197</v>
      </c>
      <c r="F211" s="2046">
        <v>0.31001166193487123</v>
      </c>
      <c r="G211" s="2047">
        <v>0.31001178745287894</v>
      </c>
      <c r="H211" s="2048">
        <v>0.31001191356548602</v>
      </c>
      <c r="I211" s="2046">
        <v>0.19002993355841802</v>
      </c>
      <c r="J211" s="2047">
        <v>0.1902993320268645</v>
      </c>
      <c r="K211" s="2048">
        <v>0.19057000667998741</v>
      </c>
      <c r="L211" s="2049">
        <v>2.0059781211879373</v>
      </c>
      <c r="M211" s="2049">
        <v>2.006042464015235</v>
      </c>
      <c r="N211" s="2050">
        <v>2.0061071116450457</v>
      </c>
    </row>
    <row r="212" spans="2:14" ht="14.25" x14ac:dyDescent="0.2">
      <c r="B212" s="2024" t="s">
        <v>1928</v>
      </c>
      <c r="C212" s="2046">
        <v>0.39648707167351499</v>
      </c>
      <c r="D212" s="2047">
        <v>0.39648707167351499</v>
      </c>
      <c r="E212" s="2047">
        <v>0.39648707167351499</v>
      </c>
      <c r="F212" s="2046">
        <v>4.0599685721560004</v>
      </c>
      <c r="G212" s="2047">
        <v>4.0599685721560004</v>
      </c>
      <c r="H212" s="2048">
        <v>4.0599685721560004</v>
      </c>
      <c r="I212" s="2046">
        <v>0</v>
      </c>
      <c r="J212" s="2047">
        <v>0</v>
      </c>
      <c r="K212" s="2048">
        <v>0</v>
      </c>
      <c r="L212" s="2049">
        <v>4.1424773576574498</v>
      </c>
      <c r="M212" s="2049">
        <v>4.1424773576574498</v>
      </c>
      <c r="N212" s="2050">
        <v>4.1424773576574498</v>
      </c>
    </row>
    <row r="213" spans="2:14" ht="14.25" x14ac:dyDescent="0.2">
      <c r="B213" s="2024" t="s">
        <v>1929</v>
      </c>
      <c r="C213" s="2046">
        <v>0.30815940242424245</v>
      </c>
      <c r="D213" s="2047">
        <v>0.30815940242424245</v>
      </c>
      <c r="E213" s="2047">
        <v>0.30815940242424245</v>
      </c>
      <c r="F213" s="2046">
        <v>3.2045482233809728</v>
      </c>
      <c r="G213" s="2047">
        <v>3.2635964687722225</v>
      </c>
      <c r="H213" s="2048">
        <v>3.3215349875200531</v>
      </c>
      <c r="I213" s="2046">
        <v>0</v>
      </c>
      <c r="J213" s="2047">
        <v>0</v>
      </c>
      <c r="K213" s="2048">
        <v>0</v>
      </c>
      <c r="L213" s="2049">
        <v>1.6023153121212119</v>
      </c>
      <c r="M213" s="2049">
        <v>1.6023153121212119</v>
      </c>
      <c r="N213" s="2050">
        <v>1.6023153121212119</v>
      </c>
    </row>
    <row r="214" spans="2:14" ht="14.25" x14ac:dyDescent="0.2">
      <c r="B214" s="2024" t="s">
        <v>1930</v>
      </c>
      <c r="C214" s="2051"/>
      <c r="D214" s="2052"/>
      <c r="E214" s="2052"/>
      <c r="F214" s="2051"/>
      <c r="G214" s="2052"/>
      <c r="H214" s="2053"/>
      <c r="I214" s="2051"/>
      <c r="J214" s="2052"/>
      <c r="K214" s="2053"/>
      <c r="L214" s="2049">
        <v>34.019924632894508</v>
      </c>
      <c r="M214" s="2049">
        <v>33.650427818024227</v>
      </c>
      <c r="N214" s="2050">
        <v>33.35148301235499</v>
      </c>
    </row>
    <row r="215" spans="2:14" ht="14.25" x14ac:dyDescent="0.2">
      <c r="B215" s="2024" t="s">
        <v>1931</v>
      </c>
      <c r="C215" s="2051"/>
      <c r="D215" s="2052"/>
      <c r="E215" s="2052"/>
      <c r="F215" s="2051"/>
      <c r="G215" s="2052"/>
      <c r="H215" s="2053"/>
      <c r="I215" s="2051"/>
      <c r="J215" s="2052"/>
      <c r="K215" s="2053"/>
      <c r="L215" s="2049">
        <v>28.002000003089101</v>
      </c>
      <c r="M215" s="2049">
        <v>28.002000003089101</v>
      </c>
      <c r="N215" s="2050">
        <v>28.002000003089101</v>
      </c>
    </row>
    <row r="216" spans="2:14" ht="15" thickBot="1" x14ac:dyDescent="0.25">
      <c r="B216" s="2024" t="s">
        <v>1932</v>
      </c>
      <c r="C216" s="2051"/>
      <c r="D216" s="2052"/>
      <c r="E216" s="2052"/>
      <c r="F216" s="2051"/>
      <c r="G216" s="2052"/>
      <c r="H216" s="2053"/>
      <c r="I216" s="2051"/>
      <c r="J216" s="2052"/>
      <c r="K216" s="2053"/>
      <c r="L216" s="2049">
        <v>129.20066644147138</v>
      </c>
      <c r="M216" s="2049">
        <v>134.27787208916826</v>
      </c>
      <c r="N216" s="2050">
        <v>139.22808895898146</v>
      </c>
    </row>
    <row r="217" spans="2:14" ht="15" thickBot="1" x14ac:dyDescent="0.25">
      <c r="B217" s="2054" t="s">
        <v>1933</v>
      </c>
      <c r="C217" s="2055">
        <f t="shared" ref="C217:N217" si="90">SUM(C205:C216)</f>
        <v>140.2494879799527</v>
      </c>
      <c r="D217" s="2056">
        <f t="shared" si="90"/>
        <v>87.155058971191906</v>
      </c>
      <c r="E217" s="2056">
        <f t="shared" si="90"/>
        <v>68.744930271148135</v>
      </c>
      <c r="F217" s="2055">
        <f t="shared" si="90"/>
        <v>23.635582390199954</v>
      </c>
      <c r="G217" s="2056">
        <f t="shared" si="90"/>
        <v>18.930985722049389</v>
      </c>
      <c r="H217" s="2057">
        <f t="shared" si="90"/>
        <v>17.675334262654488</v>
      </c>
      <c r="I217" s="2055">
        <f t="shared" si="90"/>
        <v>23.684177503132041</v>
      </c>
      <c r="J217" s="2056">
        <f t="shared" si="90"/>
        <v>14.502703277512902</v>
      </c>
      <c r="K217" s="2057">
        <f t="shared" si="90"/>
        <v>14.503532022535836</v>
      </c>
      <c r="L217" s="2056">
        <f t="shared" si="90"/>
        <v>233.01455526265423</v>
      </c>
      <c r="M217" s="2056">
        <f t="shared" si="90"/>
        <v>225.39371528618557</v>
      </c>
      <c r="N217" s="2057">
        <f t="shared" si="90"/>
        <v>227.40470790015044</v>
      </c>
    </row>
    <row r="222" spans="2:14" x14ac:dyDescent="0.2">
      <c r="B222" s="2022" t="s">
        <v>1934</v>
      </c>
    </row>
    <row r="223" spans="2:14" x14ac:dyDescent="0.2">
      <c r="B223" s="2022" t="s">
        <v>1935</v>
      </c>
    </row>
    <row r="224" spans="2:14" x14ac:dyDescent="0.2">
      <c r="B224" s="2022" t="s">
        <v>1936</v>
      </c>
    </row>
    <row r="226" spans="2:2" x14ac:dyDescent="0.2">
      <c r="B226" s="2022" t="s">
        <v>1937</v>
      </c>
    </row>
    <row r="228" spans="2:2" x14ac:dyDescent="0.2">
      <c r="B228" s="2022" t="s">
        <v>1938</v>
      </c>
    </row>
    <row r="229" spans="2:2" x14ac:dyDescent="0.2">
      <c r="B229" s="131" t="s">
        <v>1939</v>
      </c>
    </row>
  </sheetData>
  <hyperlinks>
    <hyperlink ref="J2" r:id="rId1"/>
  </hyperlinks>
  <pageMargins left="0.7" right="0.7" top="0.75" bottom="0.75" header="0.3" footer="0.3"/>
  <pageSetup paperSize="9" orientation="portrait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A1:CR225"/>
  <sheetViews>
    <sheetView windowProtection="1" topLeftCell="B172" zoomScaleNormal="100" workbookViewId="0">
      <selection activeCell="E172" sqref="E172:M215"/>
    </sheetView>
  </sheetViews>
  <sheetFormatPr defaultColWidth="8.7109375" defaultRowHeight="12.75" x14ac:dyDescent="0.2"/>
  <cols>
    <col min="1" max="1" width="20.7109375" style="1680" customWidth="1"/>
    <col min="2" max="2" width="42.140625" style="1680" customWidth="1"/>
    <col min="3" max="3" width="14.28515625" style="1680" customWidth="1"/>
    <col min="4" max="4" width="2" style="1680" customWidth="1"/>
    <col min="5" max="5" width="31" style="1680" customWidth="1"/>
    <col min="6" max="13" width="9.42578125" style="1680" customWidth="1"/>
    <col min="14" max="14" width="2" style="1680" customWidth="1"/>
    <col min="15" max="23" width="9.42578125" style="1680" customWidth="1"/>
    <col min="24" max="24" width="2.7109375" style="1680" customWidth="1"/>
    <col min="25" max="33" width="9.42578125" style="1680" customWidth="1"/>
    <col min="34" max="34" width="3" style="1680" customWidth="1"/>
    <col min="35" max="43" width="9.42578125" style="1680" customWidth="1"/>
    <col min="44" max="44" width="2.28515625" style="1680" customWidth="1"/>
    <col min="45" max="45" width="9.42578125" style="1680" customWidth="1"/>
    <col min="46" max="46" width="10.42578125" style="1680" customWidth="1"/>
    <col min="47" max="47" width="2.28515625" style="1680" customWidth="1"/>
    <col min="48" max="48" width="6.7109375" style="1680" customWidth="1"/>
    <col min="49" max="49" width="5.28515625" style="1680" customWidth="1"/>
    <col min="50" max="50" width="2.28515625" style="1680" customWidth="1"/>
    <col min="51" max="59" width="9.140625" style="1680" customWidth="1"/>
    <col min="60" max="60" width="2.28515625" style="1680" customWidth="1"/>
    <col min="61" max="69" width="9.42578125" style="1680" customWidth="1"/>
    <col min="70" max="70" width="2.28515625" style="1680" customWidth="1"/>
    <col min="71" max="79" width="9.42578125" style="1680" customWidth="1"/>
    <col min="80" max="80" width="2.28515625" style="1680" customWidth="1"/>
    <col min="81" max="81" width="9.42578125" style="1680" customWidth="1"/>
    <col min="82" max="82" width="10.42578125" style="1680" customWidth="1"/>
    <col min="83" max="83" width="2.28515625" style="1680" customWidth="1"/>
    <col min="84" max="92" width="9.42578125" style="1680" customWidth="1"/>
    <col min="93" max="93" width="2.28515625" style="1680" customWidth="1"/>
    <col min="94" max="94" width="9.42578125" style="1680" customWidth="1"/>
    <col min="95" max="95" width="10.42578125" style="1680" customWidth="1"/>
    <col min="96" max="96" width="3" style="1680" customWidth="1"/>
    <col min="97" max="16384" width="8.7109375" style="1680"/>
  </cols>
  <sheetData>
    <row r="1" spans="1:96" x14ac:dyDescent="0.2">
      <c r="B1" s="1427" t="str">
        <f>Preferences.moneyunits &amp;"/Capita/yr"</f>
        <v>N/Capita/yr</v>
      </c>
      <c r="C1" s="2225"/>
      <c r="E1" s="17" t="s">
        <v>1382</v>
      </c>
      <c r="F1" s="1680" t="s">
        <v>1383</v>
      </c>
      <c r="O1" s="17" t="s">
        <v>1384</v>
      </c>
      <c r="P1" s="1680" t="s">
        <v>1385</v>
      </c>
      <c r="Y1" s="17" t="s">
        <v>1386</v>
      </c>
      <c r="Z1" s="1680" t="s">
        <v>1387</v>
      </c>
      <c r="AI1" s="17" t="s">
        <v>1388</v>
      </c>
      <c r="AS1" s="1680" t="s">
        <v>1826</v>
      </c>
      <c r="AV1" s="1679" t="s">
        <v>1613</v>
      </c>
      <c r="AY1" s="17" t="s">
        <v>1615</v>
      </c>
      <c r="AZ1" s="2127"/>
      <c r="BA1" s="2127"/>
      <c r="BB1" s="2127"/>
      <c r="BC1" s="2127"/>
      <c r="BD1" s="2127"/>
      <c r="BE1" s="2127"/>
      <c r="BF1" s="2127"/>
      <c r="BG1" s="2127"/>
      <c r="BH1" s="2127"/>
      <c r="BI1" s="17" t="s">
        <v>1616</v>
      </c>
      <c r="BS1" s="17" t="s">
        <v>2064</v>
      </c>
      <c r="CC1" s="1680" t="s">
        <v>1825</v>
      </c>
      <c r="CF1" s="1680" t="s">
        <v>1733</v>
      </c>
      <c r="CP1" s="1680" t="s">
        <v>1733</v>
      </c>
    </row>
    <row r="2" spans="1:96" ht="13.5" thickBot="1" x14ac:dyDescent="0.25">
      <c r="A2" s="1681" t="s">
        <v>69</v>
      </c>
      <c r="B2" s="1681" t="s">
        <v>65</v>
      </c>
      <c r="C2" s="1682" t="s">
        <v>67</v>
      </c>
      <c r="E2" s="1696" t="s">
        <v>241</v>
      </c>
      <c r="F2" s="1696" t="s">
        <v>268</v>
      </c>
      <c r="G2" s="1696" t="s">
        <v>269</v>
      </c>
      <c r="H2" s="1696" t="s">
        <v>270</v>
      </c>
      <c r="I2" s="1696" t="s">
        <v>271</v>
      </c>
      <c r="J2" s="1696" t="s">
        <v>272</v>
      </c>
      <c r="K2" s="1696" t="s">
        <v>273</v>
      </c>
      <c r="L2" s="1696" t="s">
        <v>274</v>
      </c>
      <c r="M2" s="1696" t="s">
        <v>275</v>
      </c>
      <c r="N2" s="1427"/>
      <c r="O2" s="1696" t="s">
        <v>241</v>
      </c>
      <c r="P2" s="1696" t="s">
        <v>268</v>
      </c>
      <c r="Q2" s="1696" t="s">
        <v>269</v>
      </c>
      <c r="R2" s="1696" t="s">
        <v>270</v>
      </c>
      <c r="S2" s="1696" t="s">
        <v>271</v>
      </c>
      <c r="T2" s="1696" t="s">
        <v>272</v>
      </c>
      <c r="U2" s="1696" t="s">
        <v>273</v>
      </c>
      <c r="V2" s="1696" t="s">
        <v>274</v>
      </c>
      <c r="W2" s="1696" t="s">
        <v>275</v>
      </c>
      <c r="X2" s="1427"/>
      <c r="Y2" s="1696" t="s">
        <v>241</v>
      </c>
      <c r="Z2" s="1696" t="s">
        <v>268</v>
      </c>
      <c r="AA2" s="1696" t="s">
        <v>269</v>
      </c>
      <c r="AB2" s="1696" t="s">
        <v>270</v>
      </c>
      <c r="AC2" s="1696" t="s">
        <v>271</v>
      </c>
      <c r="AD2" s="1696" t="s">
        <v>272</v>
      </c>
      <c r="AE2" s="1696" t="s">
        <v>273</v>
      </c>
      <c r="AF2" s="1696" t="s">
        <v>274</v>
      </c>
      <c r="AG2" s="1696" t="s">
        <v>275</v>
      </c>
      <c r="AH2" s="1427"/>
      <c r="AI2" s="1696" t="s">
        <v>241</v>
      </c>
      <c r="AJ2" s="1696" t="s">
        <v>268</v>
      </c>
      <c r="AK2" s="1696" t="s">
        <v>269</v>
      </c>
      <c r="AL2" s="1696" t="s">
        <v>270</v>
      </c>
      <c r="AM2" s="1696" t="s">
        <v>271</v>
      </c>
      <c r="AN2" s="1696" t="s">
        <v>272</v>
      </c>
      <c r="AO2" s="1696" t="s">
        <v>273</v>
      </c>
      <c r="AP2" s="1696" t="s">
        <v>274</v>
      </c>
      <c r="AQ2" s="1696" t="s">
        <v>275</v>
      </c>
      <c r="AS2" s="1705" t="s">
        <v>1734</v>
      </c>
      <c r="AT2" s="1705" t="s">
        <v>1389</v>
      </c>
      <c r="AU2" s="1427"/>
      <c r="AV2" s="1696" t="s">
        <v>1614</v>
      </c>
      <c r="AW2" s="1688" t="s">
        <v>1472</v>
      </c>
      <c r="AX2" s="1427"/>
      <c r="AY2" s="1696">
        <v>2010</v>
      </c>
      <c r="AZ2" s="1696">
        <v>2015</v>
      </c>
      <c r="BA2" s="1696">
        <v>2020</v>
      </c>
      <c r="BB2" s="1696">
        <v>2025</v>
      </c>
      <c r="BC2" s="1696">
        <v>2030</v>
      </c>
      <c r="BD2" s="1696">
        <v>2035</v>
      </c>
      <c r="BE2" s="1696">
        <v>2040</v>
      </c>
      <c r="BF2" s="1696">
        <v>2045</v>
      </c>
      <c r="BG2" s="1696">
        <v>2050</v>
      </c>
      <c r="BH2" s="1427"/>
      <c r="BI2" s="1696">
        <v>2010</v>
      </c>
      <c r="BJ2" s="1696">
        <v>2015</v>
      </c>
      <c r="BK2" s="1696">
        <v>2020</v>
      </c>
      <c r="BL2" s="1696">
        <v>2025</v>
      </c>
      <c r="BM2" s="1696">
        <v>2030</v>
      </c>
      <c r="BN2" s="1696">
        <v>2035</v>
      </c>
      <c r="BO2" s="1696">
        <v>2040</v>
      </c>
      <c r="BP2" s="1696">
        <v>2045</v>
      </c>
      <c r="BQ2" s="1696">
        <v>2050</v>
      </c>
      <c r="BR2" s="1427"/>
      <c r="BS2" s="1696" t="s">
        <v>241</v>
      </c>
      <c r="BT2" s="1696" t="s">
        <v>268</v>
      </c>
      <c r="BU2" s="1696" t="s">
        <v>269</v>
      </c>
      <c r="BV2" s="1696" t="s">
        <v>270</v>
      </c>
      <c r="BW2" s="1696" t="s">
        <v>271</v>
      </c>
      <c r="BX2" s="1696" t="s">
        <v>272</v>
      </c>
      <c r="BY2" s="1696" t="s">
        <v>273</v>
      </c>
      <c r="BZ2" s="1696" t="s">
        <v>274</v>
      </c>
      <c r="CA2" s="1696" t="s">
        <v>275</v>
      </c>
      <c r="CB2" s="1426"/>
      <c r="CC2" s="1705" t="s">
        <v>1734</v>
      </c>
      <c r="CD2" s="1705" t="s">
        <v>1389</v>
      </c>
      <c r="CF2" s="1696" t="s">
        <v>241</v>
      </c>
      <c r="CG2" s="1696" t="s">
        <v>268</v>
      </c>
      <c r="CH2" s="1696" t="s">
        <v>269</v>
      </c>
      <c r="CI2" s="1696" t="s">
        <v>270</v>
      </c>
      <c r="CJ2" s="1696" t="s">
        <v>271</v>
      </c>
      <c r="CK2" s="1696" t="s">
        <v>272</v>
      </c>
      <c r="CL2" s="1696" t="s">
        <v>273</v>
      </c>
      <c r="CM2" s="1696" t="s">
        <v>274</v>
      </c>
      <c r="CN2" s="1696" t="s">
        <v>275</v>
      </c>
      <c r="CP2" s="1705" t="s">
        <v>1734</v>
      </c>
      <c r="CQ2" s="1705" t="s">
        <v>1389</v>
      </c>
    </row>
    <row r="3" spans="1:96" ht="13.5" thickTop="1" x14ac:dyDescent="0.2">
      <c r="A3" s="1683" t="s">
        <v>288</v>
      </c>
      <c r="B3" s="1683" t="s">
        <v>2403</v>
      </c>
      <c r="C3" s="1683" t="s">
        <v>4</v>
      </c>
      <c r="E3" s="1689">
        <f ca="1">Costs!E3/('Global assumptions'!$C$7*NAIRA2010_*250)</f>
        <v>0</v>
      </c>
      <c r="F3" s="1689">
        <f ca="1">Costs!F3/('Global assumptions'!$C$7*NAIRA2010_*250)</f>
        <v>5.3053447776247848</v>
      </c>
      <c r="G3" s="1689">
        <f ca="1">Costs!G3/('Global assumptions'!$C$7*NAIRA2010_*250)</f>
        <v>12.299173197519718</v>
      </c>
      <c r="H3" s="1689">
        <f ca="1">Costs!H3/('Global assumptions'!$C$7*NAIRA2010_*250)</f>
        <v>11.388037898753725</v>
      </c>
      <c r="I3" s="1689">
        <f ca="1">Costs!I3/('Global assumptions'!$C$7*NAIRA2010_*250)</f>
        <v>13.157255048509469</v>
      </c>
      <c r="J3" s="1689">
        <f ca="1">Costs!J3/('Global assumptions'!$C$7*NAIRA2010_*250)</f>
        <v>18.580240079898978</v>
      </c>
      <c r="K3" s="1689">
        <f ca="1">Costs!K3/('Global assumptions'!$C$7*NAIRA2010_*250)</f>
        <v>21.242139155281151</v>
      </c>
      <c r="L3" s="1689">
        <f ca="1">Costs!L3/('Global assumptions'!$C$7*NAIRA2010_*250)</f>
        <v>23.913264917233107</v>
      </c>
      <c r="M3" s="1689">
        <f ca="1">Costs!M3/('Global assumptions'!$C$7*NAIRA2010_*250)</f>
        <v>26.568243977687953</v>
      </c>
      <c r="N3" s="675"/>
      <c r="O3" s="1689">
        <f ca="1">Costs!O3/('Global assumptions'!$C$7*NAIRA2010_*250)</f>
        <v>4.0366753742797281E-4</v>
      </c>
      <c r="P3" s="1689">
        <f ca="1">Costs!P3/('Global assumptions'!$C$7*NAIRA2010_*250)</f>
        <v>1.0764467664745941E-3</v>
      </c>
      <c r="Q3" s="1689">
        <f ca="1">Costs!Q3/('Global assumptions'!$C$7*NAIRA2010_*250)</f>
        <v>2.600964499494238E-3</v>
      </c>
      <c r="R3" s="1689">
        <f ca="1">Costs!R3/('Global assumptions'!$C$7*NAIRA2010_*250)</f>
        <v>3.6114789015222635E-3</v>
      </c>
      <c r="S3" s="1689">
        <f ca="1">Costs!S3/('Global assumptions'!$C$7*NAIRA2010_*250)</f>
        <v>4.6273755373826614E-3</v>
      </c>
      <c r="T3" s="1689">
        <f ca="1">Costs!T3/('Global assumptions'!$C$7*NAIRA2010_*250)</f>
        <v>6.180149998022264E-3</v>
      </c>
      <c r="U3" s="1689">
        <f ca="1">Costs!U3/('Global assumptions'!$C$7*NAIRA2010_*250)</f>
        <v>7.7329244586618658E-3</v>
      </c>
      <c r="V3" s="1689">
        <f ca="1">Costs!V3/('Global assumptions'!$C$7*NAIRA2010_*250)</f>
        <v>9.2870444777595606E-3</v>
      </c>
      <c r="W3" s="1689">
        <f ca="1">Costs!W3/('Global assumptions'!$C$7*NAIRA2010_*250)</f>
        <v>1.0839818938399163E-2</v>
      </c>
      <c r="X3" s="675"/>
      <c r="Y3" s="1689">
        <f ca="1">Costs!Y3/('Global assumptions'!$C$7*NAIRA2010_*250)</f>
        <v>0</v>
      </c>
      <c r="Z3" s="1689">
        <f ca="1">Costs!Z3/('Global assumptions'!$C$7*NAIRA2010_*250)</f>
        <v>0</v>
      </c>
      <c r="AA3" s="1689">
        <f ca="1">Costs!AA3/('Global assumptions'!$C$7*NAIRA2010_*250)</f>
        <v>0</v>
      </c>
      <c r="AB3" s="1689">
        <f ca="1">Costs!AB3/('Global assumptions'!$C$7*NAIRA2010_*250)</f>
        <v>0</v>
      </c>
      <c r="AC3" s="1689">
        <f ca="1">Costs!AC3/('Global assumptions'!$C$7*NAIRA2010_*250)</f>
        <v>0</v>
      </c>
      <c r="AD3" s="1689">
        <f ca="1">Costs!AD3/('Global assumptions'!$C$7*NAIRA2010_*250)</f>
        <v>0</v>
      </c>
      <c r="AE3" s="1689">
        <f ca="1">Costs!AE3/('Global assumptions'!$C$7*NAIRA2010_*250)</f>
        <v>0</v>
      </c>
      <c r="AF3" s="1689">
        <f ca="1">Costs!AF3/('Global assumptions'!$C$7*NAIRA2010_*250)</f>
        <v>0</v>
      </c>
      <c r="AG3" s="1689">
        <f ca="1">Costs!AG3/('Global assumptions'!$C$7*NAIRA2010_*250)</f>
        <v>0</v>
      </c>
      <c r="AH3" s="675"/>
      <c r="AI3" s="1689">
        <f ca="1">Costs!AI3/('Global assumptions'!$C$7*NAIRA2010_*250)</f>
        <v>4.0366753742797281E-4</v>
      </c>
      <c r="AJ3" s="1689">
        <f ca="1">Costs!AJ3/('Global assumptions'!$C$7*NAIRA2010_*250)</f>
        <v>5.3064212243912596</v>
      </c>
      <c r="AK3" s="1689">
        <f ca="1">Costs!AK3/('Global assumptions'!$C$7*NAIRA2010_*250)</f>
        <v>12.301774162019212</v>
      </c>
      <c r="AL3" s="1689">
        <f ca="1">Costs!AL3/('Global assumptions'!$C$7*NAIRA2010_*250)</f>
        <v>11.391649377655247</v>
      </c>
      <c r="AM3" s="1689">
        <f ca="1">Costs!AM3/('Global assumptions'!$C$7*NAIRA2010_*250)</f>
        <v>13.161882424046853</v>
      </c>
      <c r="AN3" s="1689">
        <f ca="1">Costs!AN3/('Global assumptions'!$C$7*NAIRA2010_*250)</f>
        <v>18.586420229897001</v>
      </c>
      <c r="AO3" s="1689">
        <f ca="1">Costs!AO3/('Global assumptions'!$C$7*NAIRA2010_*250)</f>
        <v>21.249872079739813</v>
      </c>
      <c r="AP3" s="1689">
        <f ca="1">Costs!AP3/('Global assumptions'!$C$7*NAIRA2010_*250)</f>
        <v>23.922551961710866</v>
      </c>
      <c r="AQ3" s="1689">
        <f ca="1">Costs!AQ3/('Global assumptions'!$C$7*NAIRA2010_*250)</f>
        <v>26.579083796626353</v>
      </c>
      <c r="AS3" s="1706">
        <f ca="1">AVERAGE($AI3:$AQ3)</f>
        <v>14.72222876929156</v>
      </c>
      <c r="AT3" s="1706">
        <f t="shared" ref="AT3:AT42" ca="1" si="0">(SUMPRODUCT(AJ3:AQ3,discount_factors)*5)+AI3</f>
        <v>89.852938245222958</v>
      </c>
      <c r="AU3" s="675"/>
      <c r="AV3" s="1699">
        <f>IFERROR(VLOOKUP($A3,Cost.FinanceCostTable,3,FALSE),'Global assumptions'!$D$35)</f>
        <v>0</v>
      </c>
      <c r="AW3" s="1690">
        <f>IFERROR(VLOOKUP($A3,Cost.FinanceCostTable,4,FALSE),'Global assumptions'!$E$35)</f>
        <v>20</v>
      </c>
      <c r="AX3" s="675"/>
      <c r="AY3" s="1689">
        <f ca="1">Costs!AY3/('Global assumptions'!$C$7*NAIRA2010_*250)</f>
        <v>0</v>
      </c>
      <c r="AZ3" s="1689">
        <f ca="1">Costs!AZ3/('Global assumptions'!$C$7*NAIRA2010_*250)</f>
        <v>1.3263361944061962</v>
      </c>
      <c r="BA3" s="1689">
        <f ca="1">Costs!BA3/('Global assumptions'!$C$7*NAIRA2010_*250)</f>
        <v>3.0747932993799294</v>
      </c>
      <c r="BB3" s="1689">
        <f ca="1">Costs!BB3/('Global assumptions'!$C$7*NAIRA2010_*250)</f>
        <v>2.8470094746884311</v>
      </c>
      <c r="BC3" s="1689">
        <f ca="1">Costs!BC3/('Global assumptions'!$C$7*NAIRA2010_*250)</f>
        <v>3.2893137621273678</v>
      </c>
      <c r="BD3" s="1689">
        <f ca="1">Costs!BD3/('Global assumptions'!$C$7*NAIRA2010_*250)</f>
        <v>4.6450600199747445</v>
      </c>
      <c r="BE3" s="1689">
        <f ca="1">Costs!BE3/('Global assumptions'!$C$7*NAIRA2010_*250)</f>
        <v>5.3105347888202878</v>
      </c>
      <c r="BF3" s="1689">
        <f ca="1">Costs!BF3/('Global assumptions'!$C$7*NAIRA2010_*250)</f>
        <v>5.9783162293082759</v>
      </c>
      <c r="BG3" s="1689">
        <f ca="1">Costs!BG3/('Global assumptions'!$C$7*NAIRA2010_*250)</f>
        <v>6.6420609944219882</v>
      </c>
      <c r="BH3" s="675"/>
      <c r="BI3" s="1689">
        <f ca="1">Costs!BI3/('Global assumptions'!$C$7*NAIRA2010_*250)</f>
        <v>0</v>
      </c>
      <c r="BJ3" s="1689">
        <f ca="1">Costs!BJ3/('Global assumptions'!$C$7*NAIRA2010_*250)</f>
        <v>1.3263361944061962</v>
      </c>
      <c r="BK3" s="1689">
        <f ca="1">Costs!BK3/('Global assumptions'!$C$7*NAIRA2010_*250)</f>
        <v>4.4011294937861258</v>
      </c>
      <c r="BL3" s="1689">
        <f ca="1">Costs!BL3/('Global assumptions'!$C$7*NAIRA2010_*250)</f>
        <v>7.2481389684745574</v>
      </c>
      <c r="BM3" s="1689">
        <f ca="1">Costs!BM3/('Global assumptions'!$C$7*NAIRA2010_*250)</f>
        <v>10.537452730601924</v>
      </c>
      <c r="BN3" s="1689">
        <f ca="1">Costs!BN3/('Global assumptions'!$C$7*NAIRA2010_*250)</f>
        <v>13.856176556170473</v>
      </c>
      <c r="BO3" s="1689">
        <f ca="1">Costs!BO3/('Global assumptions'!$C$7*NAIRA2010_*250)</f>
        <v>16.091918045610832</v>
      </c>
      <c r="BP3" s="1689">
        <f ca="1">Costs!BP3/('Global assumptions'!$C$7*NAIRA2010_*250)</f>
        <v>22.512538562358046</v>
      </c>
      <c r="BQ3" s="1689">
        <f ca="1">Costs!BQ3/('Global assumptions'!$C$7*NAIRA2010_*250)</f>
        <v>22.575972032525296</v>
      </c>
      <c r="BR3" s="675"/>
      <c r="BS3" s="1689">
        <f ca="1">Costs!BS3/('Global assumptions'!$C$7*NAIRA2010_*250)</f>
        <v>4.0366753742797281E-4</v>
      </c>
      <c r="BT3" s="1689">
        <f ca="1">Costs!BT3/('Global assumptions'!$C$7*NAIRA2010_*250)</f>
        <v>1.3274126411726708</v>
      </c>
      <c r="BU3" s="1689">
        <f ca="1">Costs!BU3/('Global assumptions'!$C$7*NAIRA2010_*250)</f>
        <v>4.4037304582856196</v>
      </c>
      <c r="BV3" s="1689">
        <f ca="1">Costs!BV3/('Global assumptions'!$C$7*NAIRA2010_*250)</f>
        <v>7.2517504473760797</v>
      </c>
      <c r="BW3" s="1689">
        <f ca="1">Costs!BW3/('Global assumptions'!$C$7*NAIRA2010_*250)</f>
        <v>10.542080106139307</v>
      </c>
      <c r="BX3" s="1689">
        <f ca="1">Costs!BX3/('Global assumptions'!$C$7*NAIRA2010_*250)</f>
        <v>13.862356706168494</v>
      </c>
      <c r="BY3" s="1689">
        <f ca="1">Costs!BY3/('Global assumptions'!$C$7*NAIRA2010_*250)</f>
        <v>16.099650970069494</v>
      </c>
      <c r="BZ3" s="1689">
        <f ca="1">Costs!BZ3/('Global assumptions'!$C$7*NAIRA2010_*250)</f>
        <v>22.521825606835804</v>
      </c>
      <c r="CA3" s="1689">
        <f ca="1">Costs!CA3/('Global assumptions'!$C$7*NAIRA2010_*250)</f>
        <v>22.586811851463697</v>
      </c>
      <c r="CC3" s="1706">
        <f ca="1">AVERAGE($BS3:$CA3)</f>
        <v>10.955113606116509</v>
      </c>
      <c r="CD3" s="1706">
        <f t="shared" ref="CD3:CD42" ca="1" si="1">(SUMPRODUCT(BT3:CA3,discount_factors)*5)+BS3</f>
        <v>50.518859931718858</v>
      </c>
      <c r="CF3" s="1689">
        <f ca="1">Costs!CF3/('Global assumptions'!$C$7*NAIRA2010_*250)</f>
        <v>0</v>
      </c>
      <c r="CG3" s="1689">
        <f ca="1">Costs!CG3/('Global assumptions'!$C$7*NAIRA2010_*250)</f>
        <v>-3.9790085832185884</v>
      </c>
      <c r="CH3" s="1689">
        <f ca="1">Costs!CH3/('Global assumptions'!$C$7*NAIRA2010_*250)</f>
        <v>-7.8980437037335909</v>
      </c>
      <c r="CI3" s="1689">
        <f ca="1">Costs!CI3/('Global assumptions'!$C$7*NAIRA2010_*250)</f>
        <v>-4.1398989302791671</v>
      </c>
      <c r="CJ3" s="1689">
        <f ca="1">Costs!CJ3/('Global assumptions'!$C$7*NAIRA2010_*250)</f>
        <v>-2.6198023179075451</v>
      </c>
      <c r="CK3" s="1689">
        <f ca="1">Costs!CK3/('Global assumptions'!$C$7*NAIRA2010_*250)</f>
        <v>-4.7240635237285051</v>
      </c>
      <c r="CL3" s="1689">
        <f ca="1">Costs!CL3/('Global assumptions'!$C$7*NAIRA2010_*250)</f>
        <v>-5.1502211096703219</v>
      </c>
      <c r="CM3" s="1689">
        <f ca="1">Costs!CM3/('Global assumptions'!$C$7*NAIRA2010_*250)</f>
        <v>-1.4007263548750626</v>
      </c>
      <c r="CN3" s="1689">
        <f ca="1">Costs!CN3/('Global assumptions'!$C$7*NAIRA2010_*250)</f>
        <v>-3.9922719451626576</v>
      </c>
      <c r="CP3" s="1706">
        <f ca="1">AVERAGE($CF3:$CN3)</f>
        <v>-3.767115163175049</v>
      </c>
      <c r="CQ3" s="1706">
        <f t="shared" ref="CQ3:CQ42" ca="1" si="2">(SUMPRODUCT(CG3:CN3,discount_factors)*5)+CF3</f>
        <v>-39.334078313504108</v>
      </c>
      <c r="CR3" s="1426" t="str">
        <f ca="1">IF(ABS(CD3-CQ3-AT3)&lt;1,"ok","err")</f>
        <v>ok</v>
      </c>
    </row>
    <row r="4" spans="1:96" x14ac:dyDescent="0.2">
      <c r="A4" s="1685" t="s">
        <v>352</v>
      </c>
      <c r="B4" s="1685" t="s">
        <v>2411</v>
      </c>
      <c r="C4" s="1685" t="s">
        <v>4</v>
      </c>
      <c r="E4" s="1691">
        <f ca="1">Costs!E4/('Global assumptions'!$C$7*NAIRA2010_*250)</f>
        <v>0</v>
      </c>
      <c r="F4" s="1691">
        <f ca="1">Costs!F4/('Global assumptions'!$C$7*NAIRA2010_*250)</f>
        <v>0</v>
      </c>
      <c r="G4" s="1691">
        <f ca="1">Costs!G4/('Global assumptions'!$C$7*NAIRA2010_*250)</f>
        <v>2.306671642445559E-2</v>
      </c>
      <c r="H4" s="1691">
        <f ca="1">Costs!H4/('Global assumptions'!$C$7*NAIRA2010_*250)</f>
        <v>2.8833395530569485E-2</v>
      </c>
      <c r="I4" s="1691">
        <f ca="1">Costs!I4/('Global assumptions'!$C$7*NAIRA2010_*250)</f>
        <v>4.6133432848911179E-2</v>
      </c>
      <c r="J4" s="1691">
        <f ca="1">Costs!J4/('Global assumptions'!$C$7*NAIRA2010_*250)</f>
        <v>3.2677848267978753E-2</v>
      </c>
      <c r="K4" s="1691">
        <f ca="1">Costs!K4/('Global assumptions'!$C$7*NAIRA2010_*250)</f>
        <v>3.4600074636683381E-2</v>
      </c>
      <c r="L4" s="1691">
        <f ca="1">Costs!L4/('Global assumptions'!$C$7*NAIRA2010_*250)</f>
        <v>4.036675374279728E-2</v>
      </c>
      <c r="M4" s="1691">
        <f ca="1">Costs!M4/('Global assumptions'!$C$7*NAIRA2010_*250)</f>
        <v>4.6133432848911179E-2</v>
      </c>
      <c r="N4" s="675"/>
      <c r="O4" s="1691">
        <f ca="1">Costs!O4/('Global assumptions'!$C$7*NAIRA2010_*250)</f>
        <v>0</v>
      </c>
      <c r="P4" s="1691">
        <f ca="1">Costs!P4/('Global assumptions'!$C$7*NAIRA2010_*250)</f>
        <v>0</v>
      </c>
      <c r="Q4" s="1691">
        <f ca="1">Costs!Q4/('Global assumptions'!$C$7*NAIRA2010_*250)</f>
        <v>6.7277922904662141E-7</v>
      </c>
      <c r="R4" s="1691">
        <f ca="1">Costs!R4/('Global assumptions'!$C$7*NAIRA2010_*250)</f>
        <v>6.7277922904662141E-7</v>
      </c>
      <c r="S4" s="1691">
        <f ca="1">Costs!S4/('Global assumptions'!$C$7*NAIRA2010_*250)</f>
        <v>3.3638961452331071E-7</v>
      </c>
      <c r="T4" s="1691">
        <f ca="1">Costs!T4/('Global assumptions'!$C$7*NAIRA2010_*250)</f>
        <v>1.009168843569932E-6</v>
      </c>
      <c r="U4" s="1691">
        <f ca="1">Costs!U4/('Global assumptions'!$C$7*NAIRA2010_*250)</f>
        <v>1.3455584580932428E-6</v>
      </c>
      <c r="V4" s="1691">
        <f ca="1">Costs!V4/('Global assumptions'!$C$7*NAIRA2010_*250)</f>
        <v>1.3455584580932428E-6</v>
      </c>
      <c r="W4" s="1691">
        <f ca="1">Costs!W4/('Global assumptions'!$C$7*NAIRA2010_*250)</f>
        <v>1.3455584580932428E-6</v>
      </c>
      <c r="X4" s="675"/>
      <c r="Y4" s="1691">
        <f ca="1">Costs!Y4/('Global assumptions'!$C$7*NAIRA2010_*250)</f>
        <v>0</v>
      </c>
      <c r="Z4" s="1691">
        <f ca="1">Costs!Z4/('Global assumptions'!$C$7*NAIRA2010_*250)</f>
        <v>0</v>
      </c>
      <c r="AA4" s="1691">
        <f ca="1">Costs!AA4/('Global assumptions'!$C$7*NAIRA2010_*250)</f>
        <v>0</v>
      </c>
      <c r="AB4" s="1691">
        <f ca="1">Costs!AB4/('Global assumptions'!$C$7*NAIRA2010_*250)</f>
        <v>0</v>
      </c>
      <c r="AC4" s="1691">
        <f ca="1">Costs!AC4/('Global assumptions'!$C$7*NAIRA2010_*250)</f>
        <v>0</v>
      </c>
      <c r="AD4" s="1691">
        <f ca="1">Costs!AD4/('Global assumptions'!$C$7*NAIRA2010_*250)</f>
        <v>0</v>
      </c>
      <c r="AE4" s="1691">
        <f ca="1">Costs!AE4/('Global assumptions'!$C$7*NAIRA2010_*250)</f>
        <v>0</v>
      </c>
      <c r="AF4" s="1691">
        <f ca="1">Costs!AF4/('Global assumptions'!$C$7*NAIRA2010_*250)</f>
        <v>0</v>
      </c>
      <c r="AG4" s="1691">
        <f ca="1">Costs!AG4/('Global assumptions'!$C$7*NAIRA2010_*250)</f>
        <v>0</v>
      </c>
      <c r="AH4" s="675"/>
      <c r="AI4" s="1691">
        <f ca="1">Costs!AI4/('Global assumptions'!$C$7*NAIRA2010_*250)</f>
        <v>0</v>
      </c>
      <c r="AJ4" s="1691">
        <f ca="1">Costs!AJ4/('Global assumptions'!$C$7*NAIRA2010_*250)</f>
        <v>0</v>
      </c>
      <c r="AK4" s="1691">
        <f ca="1">Costs!AK4/('Global assumptions'!$C$7*NAIRA2010_*250)</f>
        <v>2.3067389203684636E-2</v>
      </c>
      <c r="AL4" s="1691">
        <f ca="1">Costs!AL4/('Global assumptions'!$C$7*NAIRA2010_*250)</f>
        <v>2.8834068309798535E-2</v>
      </c>
      <c r="AM4" s="1691">
        <f ca="1">Costs!AM4/('Global assumptions'!$C$7*NAIRA2010_*250)</f>
        <v>4.6133769238525704E-2</v>
      </c>
      <c r="AN4" s="1691">
        <f ca="1">Costs!AN4/('Global assumptions'!$C$7*NAIRA2010_*250)</f>
        <v>3.267885743682232E-2</v>
      </c>
      <c r="AO4" s="1691">
        <f ca="1">Costs!AO4/('Global assumptions'!$C$7*NAIRA2010_*250)</f>
        <v>3.460142019514148E-2</v>
      </c>
      <c r="AP4" s="1691">
        <f ca="1">Costs!AP4/('Global assumptions'!$C$7*NAIRA2010_*250)</f>
        <v>4.0368099301255372E-2</v>
      </c>
      <c r="AQ4" s="1691">
        <f ca="1">Costs!AQ4/('Global assumptions'!$C$7*NAIRA2010_*250)</f>
        <v>4.6134778407369272E-2</v>
      </c>
      <c r="AS4" s="1707">
        <f t="shared" ref="AS4:AS42" ca="1" si="3">AVERAGE($AI4:$AQ4)</f>
        <v>2.7979820232510815E-2</v>
      </c>
      <c r="AT4" s="1707">
        <f t="shared" ca="1" si="0"/>
        <v>0.15807807001354246</v>
      </c>
      <c r="AU4" s="675"/>
      <c r="AV4" s="1700">
        <f>IFERROR(VLOOKUP($A4,Cost.FinanceCostTable,3,FALSE),'Global assumptions'!$D$35)</f>
        <v>0</v>
      </c>
      <c r="AW4" s="1692">
        <f>IFERROR(VLOOKUP($A4,Cost.FinanceCostTable,4,FALSE),'Global assumptions'!$E$35)</f>
        <v>30</v>
      </c>
      <c r="AX4" s="675"/>
      <c r="AY4" s="1691">
        <f ca="1">Costs!AY4/('Global assumptions'!$C$7*NAIRA2010_*250)</f>
        <v>0</v>
      </c>
      <c r="AZ4" s="1691">
        <f ca="1">Costs!AZ4/('Global assumptions'!$C$7*NAIRA2010_*250)</f>
        <v>0</v>
      </c>
      <c r="BA4" s="1691">
        <f ca="1">Costs!BA4/('Global assumptions'!$C$7*NAIRA2010_*250)</f>
        <v>3.8444527374092651E-3</v>
      </c>
      <c r="BB4" s="1691">
        <f ca="1">Costs!BB4/('Global assumptions'!$C$7*NAIRA2010_*250)</f>
        <v>4.8055659217615815E-3</v>
      </c>
      <c r="BC4" s="1691">
        <f ca="1">Costs!BC4/('Global assumptions'!$C$7*NAIRA2010_*250)</f>
        <v>7.6889054748185302E-3</v>
      </c>
      <c r="BD4" s="1691">
        <f ca="1">Costs!BD4/('Global assumptions'!$C$7*NAIRA2010_*250)</f>
        <v>5.4463080446631252E-3</v>
      </c>
      <c r="BE4" s="1691">
        <f ca="1">Costs!BE4/('Global assumptions'!$C$7*NAIRA2010_*250)</f>
        <v>5.7666791061138974E-3</v>
      </c>
      <c r="BF4" s="1691">
        <f ca="1">Costs!BF4/('Global assumptions'!$C$7*NAIRA2010_*250)</f>
        <v>6.7277922904662134E-3</v>
      </c>
      <c r="BG4" s="1691">
        <f ca="1">Costs!BG4/('Global assumptions'!$C$7*NAIRA2010_*250)</f>
        <v>7.6889054748185302E-3</v>
      </c>
      <c r="BH4" s="675"/>
      <c r="BI4" s="1691">
        <f ca="1">Costs!BI4/('Global assumptions'!$C$7*NAIRA2010_*250)</f>
        <v>0</v>
      </c>
      <c r="BJ4" s="1691">
        <f ca="1">Costs!BJ4/('Global assumptions'!$C$7*NAIRA2010_*250)</f>
        <v>0</v>
      </c>
      <c r="BK4" s="1691">
        <f ca="1">Costs!BK4/('Global assumptions'!$C$7*NAIRA2010_*250)</f>
        <v>3.8444527374092651E-3</v>
      </c>
      <c r="BL4" s="1691">
        <f ca="1">Costs!BL4/('Global assumptions'!$C$7*NAIRA2010_*250)</f>
        <v>8.6500186591708453E-3</v>
      </c>
      <c r="BM4" s="1691">
        <f ca="1">Costs!BM4/('Global assumptions'!$C$7*NAIRA2010_*250)</f>
        <v>1.6338924133989376E-2</v>
      </c>
      <c r="BN4" s="1691">
        <f ca="1">Costs!BN4/('Global assumptions'!$C$7*NAIRA2010_*250)</f>
        <v>2.1785232178652501E-2</v>
      </c>
      <c r="BO4" s="1691">
        <f ca="1">Costs!BO4/('Global assumptions'!$C$7*NAIRA2010_*250)</f>
        <v>2.75519112847664E-2</v>
      </c>
      <c r="BP4" s="1691">
        <f ca="1">Costs!BP4/('Global assumptions'!$C$7*NAIRA2010_*250)</f>
        <v>4.1968609050051141E-2</v>
      </c>
      <c r="BQ4" s="1691">
        <f ca="1">Costs!BQ4/('Global assumptions'!$C$7*NAIRA2010_*250)</f>
        <v>4.5813061787460405E-2</v>
      </c>
      <c r="BR4" s="675"/>
      <c r="BS4" s="1691">
        <f ca="1">Costs!BS4/('Global assumptions'!$C$7*NAIRA2010_*250)</f>
        <v>0</v>
      </c>
      <c r="BT4" s="1691">
        <f ca="1">Costs!BT4/('Global assumptions'!$C$7*NAIRA2010_*250)</f>
        <v>0</v>
      </c>
      <c r="BU4" s="1691">
        <f ca="1">Costs!BU4/('Global assumptions'!$C$7*NAIRA2010_*250)</f>
        <v>3.8451255166383116E-3</v>
      </c>
      <c r="BV4" s="1691">
        <f ca="1">Costs!BV4/('Global assumptions'!$C$7*NAIRA2010_*250)</f>
        <v>8.6506914383998931E-3</v>
      </c>
      <c r="BW4" s="1691">
        <f ca="1">Costs!BW4/('Global assumptions'!$C$7*NAIRA2010_*250)</f>
        <v>1.6339260523603898E-2</v>
      </c>
      <c r="BX4" s="1691">
        <f ca="1">Costs!BX4/('Global assumptions'!$C$7*NAIRA2010_*250)</f>
        <v>2.1786241347496071E-2</v>
      </c>
      <c r="BY4" s="1691">
        <f ca="1">Costs!BY4/('Global assumptions'!$C$7*NAIRA2010_*250)</f>
        <v>2.7553256843224492E-2</v>
      </c>
      <c r="BZ4" s="1691">
        <f ca="1">Costs!BZ4/('Global assumptions'!$C$7*NAIRA2010_*250)</f>
        <v>4.1969954608509233E-2</v>
      </c>
      <c r="CA4" s="1691">
        <f ca="1">Costs!CA4/('Global assumptions'!$C$7*NAIRA2010_*250)</f>
        <v>4.5814407345918504E-2</v>
      </c>
      <c r="CC4" s="1707">
        <f t="shared" ref="CC4:CC42" ca="1" si="4">AVERAGE($BS4:$CA4)</f>
        <v>1.8439881958198932E-2</v>
      </c>
      <c r="CD4" s="1707">
        <f t="shared" ca="1" si="1"/>
        <v>6.8001782085514759E-2</v>
      </c>
      <c r="CF4" s="1691">
        <f ca="1">Costs!CF4/('Global assumptions'!$C$7*NAIRA2010_*250)</f>
        <v>0</v>
      </c>
      <c r="CG4" s="1691">
        <f ca="1">Costs!CG4/('Global assumptions'!$C$7*NAIRA2010_*250)</f>
        <v>0</v>
      </c>
      <c r="CH4" s="1691">
        <f ca="1">Costs!CH4/('Global assumptions'!$C$7*NAIRA2010_*250)</f>
        <v>-1.9222263687046326E-2</v>
      </c>
      <c r="CI4" s="1691">
        <f ca="1">Costs!CI4/('Global assumptions'!$C$7*NAIRA2010_*250)</f>
        <v>-2.018337687139864E-2</v>
      </c>
      <c r="CJ4" s="1691">
        <f ca="1">Costs!CJ4/('Global assumptions'!$C$7*NAIRA2010_*250)</f>
        <v>-2.9794508714921803E-2</v>
      </c>
      <c r="CK4" s="1691">
        <f ca="1">Costs!CK4/('Global assumptions'!$C$7*NAIRA2010_*250)</f>
        <v>-1.089261608932625E-2</v>
      </c>
      <c r="CL4" s="1691">
        <f ca="1">Costs!CL4/('Global assumptions'!$C$7*NAIRA2010_*250)</f>
        <v>-7.0481633519169857E-3</v>
      </c>
      <c r="CM4" s="1691">
        <f ca="1">Costs!CM4/('Global assumptions'!$C$7*NAIRA2010_*250)</f>
        <v>1.6018553072538605E-3</v>
      </c>
      <c r="CN4" s="1691">
        <f ca="1">Costs!CN4/('Global assumptions'!$C$7*NAIRA2010_*250)</f>
        <v>-3.2037106145077206E-4</v>
      </c>
      <c r="CP4" s="1707">
        <f t="shared" ref="CP4:CP42" ca="1" si="5">AVERAGE($CF4:$CN4)</f>
        <v>-9.53993827431188E-3</v>
      </c>
      <c r="CQ4" s="1707">
        <f t="shared" ca="1" si="2"/>
        <v>-9.0076287928027646E-2</v>
      </c>
      <c r="CR4" s="1426" t="str">
        <f t="shared" ref="CR4:CR43" ca="1" si="6">IF(ABS(CD4-CQ4-AT4)&lt;1,"ok","err")</f>
        <v>ok</v>
      </c>
    </row>
    <row r="5" spans="1:96" x14ac:dyDescent="0.2">
      <c r="A5" s="1685" t="s">
        <v>2146</v>
      </c>
      <c r="B5" s="1685" t="s">
        <v>2585</v>
      </c>
      <c r="C5" s="1685" t="s">
        <v>4</v>
      </c>
      <c r="D5" s="2370"/>
      <c r="E5" s="1691">
        <f ca="1">Costs!E5/('Global assumptions'!$C$7*NAIRA2010_*250)</f>
        <v>0</v>
      </c>
      <c r="F5" s="1691">
        <f ca="1">Costs!F5/('Global assumptions'!$C$7*NAIRA2010_*250)</f>
        <v>0</v>
      </c>
      <c r="G5" s="1691">
        <f ca="1">Costs!G5/('Global assumptions'!$C$7*NAIRA2010_*250)</f>
        <v>0</v>
      </c>
      <c r="H5" s="1691">
        <f ca="1">Costs!H5/('Global assumptions'!$C$7*NAIRA2010_*250)</f>
        <v>6.1511243798548243</v>
      </c>
      <c r="I5" s="1691">
        <f ca="1">Costs!I5/('Global assumptions'!$C$7*NAIRA2010_*250)</f>
        <v>18.607151249060841</v>
      </c>
      <c r="J5" s="1691">
        <f ca="1">Costs!J5/('Global assumptions'!$C$7*NAIRA2010_*250)</f>
        <v>35.061408965172504</v>
      </c>
      <c r="K5" s="1691">
        <f ca="1">Costs!K5/('Global assumptions'!$C$7*NAIRA2010_*250)</f>
        <v>51.669444790780524</v>
      </c>
      <c r="L5" s="1691">
        <f ca="1">Costs!L5/('Global assumptions'!$C$7*NAIRA2010_*250)</f>
        <v>68.123702506892172</v>
      </c>
      <c r="M5" s="1691">
        <f ca="1">Costs!M5/('Global assumptions'!$C$7*NAIRA2010_*250)</f>
        <v>84.577960223003828</v>
      </c>
      <c r="N5" s="675"/>
      <c r="O5" s="1691">
        <f ca="1">Costs!O5/('Global assumptions'!$C$7*NAIRA2010_*250)</f>
        <v>0</v>
      </c>
      <c r="P5" s="1691">
        <f ca="1">Costs!P5/('Global assumptions'!$C$7*NAIRA2010_*250)</f>
        <v>0</v>
      </c>
      <c r="Q5" s="1691">
        <f ca="1">Costs!Q5/('Global assumptions'!$C$7*NAIRA2010_*250)</f>
        <v>0</v>
      </c>
      <c r="R5" s="1691">
        <f ca="1">Costs!R5/('Global assumptions'!$C$7*NAIRA2010_*250)</f>
        <v>3.8444527374092649E-4</v>
      </c>
      <c r="S5" s="1691">
        <f ca="1">Costs!S5/('Global assumptions'!$C$7*NAIRA2010_*250)</f>
        <v>1.1629469530663027E-3</v>
      </c>
      <c r="T5" s="1691">
        <f ca="1">Costs!T5/('Global assumptions'!$C$7*NAIRA2010_*250)</f>
        <v>2.1913380603232808E-3</v>
      </c>
      <c r="U5" s="1691">
        <f ca="1">Costs!U5/('Global assumptions'!$C$7*NAIRA2010_*250)</f>
        <v>3.2293402994237825E-3</v>
      </c>
      <c r="V5" s="1691">
        <f ca="1">Costs!V5/('Global assumptions'!$C$7*NAIRA2010_*250)</f>
        <v>4.257731406680761E-3</v>
      </c>
      <c r="W5" s="1691">
        <f ca="1">Costs!W5/('Global assumptions'!$C$7*NAIRA2010_*250)</f>
        <v>5.2861225139377395E-3</v>
      </c>
      <c r="X5" s="675"/>
      <c r="Y5" s="1691">
        <f ca="1">Costs!Y5/('Global assumptions'!$C$7*NAIRA2010_*250)</f>
        <v>0</v>
      </c>
      <c r="Z5" s="1691">
        <f ca="1">Costs!Z5/('Global assumptions'!$C$7*NAIRA2010_*250)</f>
        <v>0</v>
      </c>
      <c r="AA5" s="1691">
        <f ca="1">Costs!AA5/('Global assumptions'!$C$7*NAIRA2010_*250)</f>
        <v>0</v>
      </c>
      <c r="AB5" s="1691">
        <f ca="1">Costs!AB5/('Global assumptions'!$C$7*NAIRA2010_*250)</f>
        <v>0</v>
      </c>
      <c r="AC5" s="1691">
        <f ca="1">Costs!AC5/('Global assumptions'!$C$7*NAIRA2010_*250)</f>
        <v>0</v>
      </c>
      <c r="AD5" s="1691">
        <f ca="1">Costs!AD5/('Global assumptions'!$C$7*NAIRA2010_*250)</f>
        <v>0</v>
      </c>
      <c r="AE5" s="1691">
        <f ca="1">Costs!AE5/('Global assumptions'!$C$7*NAIRA2010_*250)</f>
        <v>0</v>
      </c>
      <c r="AF5" s="1691">
        <f ca="1">Costs!AF5/('Global assumptions'!$C$7*NAIRA2010_*250)</f>
        <v>0</v>
      </c>
      <c r="AG5" s="1691">
        <f ca="1">Costs!AG5/('Global assumptions'!$C$7*NAIRA2010_*250)</f>
        <v>0</v>
      </c>
      <c r="AH5" s="675"/>
      <c r="AI5" s="1691">
        <f ca="1">Costs!AI5/('Global assumptions'!$C$7*NAIRA2010_*250)</f>
        <v>0</v>
      </c>
      <c r="AJ5" s="1691">
        <f ca="1">Costs!AJ5/('Global assumptions'!$C$7*NAIRA2010_*250)</f>
        <v>0</v>
      </c>
      <c r="AK5" s="1691">
        <f ca="1">Costs!AK5/('Global assumptions'!$C$7*NAIRA2010_*250)</f>
        <v>0</v>
      </c>
      <c r="AL5" s="1691">
        <f ca="1">Costs!AL5/('Global assumptions'!$C$7*NAIRA2010_*250)</f>
        <v>6.1515088251285652</v>
      </c>
      <c r="AM5" s="1691">
        <f ca="1">Costs!AM5/('Global assumptions'!$C$7*NAIRA2010_*250)</f>
        <v>18.608314196013907</v>
      </c>
      <c r="AN5" s="1691">
        <f ca="1">Costs!AN5/('Global assumptions'!$C$7*NAIRA2010_*250)</f>
        <v>35.063600303232825</v>
      </c>
      <c r="AO5" s="1691">
        <f ca="1">Costs!AO5/('Global assumptions'!$C$7*NAIRA2010_*250)</f>
        <v>51.672674131079951</v>
      </c>
      <c r="AP5" s="1691">
        <f ca="1">Costs!AP5/('Global assumptions'!$C$7*NAIRA2010_*250)</f>
        <v>68.127960238298854</v>
      </c>
      <c r="AQ5" s="1691">
        <f ca="1">Costs!AQ5/('Global assumptions'!$C$7*NAIRA2010_*250)</f>
        <v>84.583246345517765</v>
      </c>
      <c r="AR5" s="2370"/>
      <c r="AS5" s="1707">
        <f t="shared" ca="1" si="3"/>
        <v>29.356367115474647</v>
      </c>
      <c r="AT5" s="1707">
        <f ca="1">(SUMPRODUCT(AJ5:AQ5,discount_factors)*5)+AI5</f>
        <v>87.054604468828316</v>
      </c>
      <c r="AU5" s="675"/>
      <c r="AV5" s="1700">
        <f>IFERROR(VLOOKUP($A5,Cost.FinanceCostTable,3,FALSE),'Global assumptions'!$D$35)</f>
        <v>0</v>
      </c>
      <c r="AW5" s="1692">
        <f>IFERROR(VLOOKUP($A5,Cost.FinanceCostTable,4,FALSE),'Global assumptions'!$E$35)</f>
        <v>5</v>
      </c>
      <c r="AX5" s="675"/>
      <c r="AY5" s="1691">
        <f ca="1">Costs!AY5/('Global assumptions'!$C$7*NAIRA2010_*250)</f>
        <v>0</v>
      </c>
      <c r="AZ5" s="1691">
        <f ca="1">Costs!AZ5/('Global assumptions'!$C$7*NAIRA2010_*250)</f>
        <v>0</v>
      </c>
      <c r="BA5" s="1691">
        <f ca="1">Costs!BA5/('Global assumptions'!$C$7*NAIRA2010_*250)</f>
        <v>0</v>
      </c>
      <c r="BB5" s="1691">
        <f ca="1">Costs!BB5/('Global assumptions'!$C$7*NAIRA2010_*250)</f>
        <v>6.1511243798548243</v>
      </c>
      <c r="BC5" s="1691">
        <f ca="1">Costs!BC5/('Global assumptions'!$C$7*NAIRA2010_*250)</f>
        <v>18.607151249060841</v>
      </c>
      <c r="BD5" s="1691">
        <f ca="1">Costs!BD5/('Global assumptions'!$C$7*NAIRA2010_*250)</f>
        <v>35.061408965172504</v>
      </c>
      <c r="BE5" s="1691">
        <f ca="1">Costs!BE5/('Global assumptions'!$C$7*NAIRA2010_*250)</f>
        <v>51.669444790780531</v>
      </c>
      <c r="BF5" s="1691">
        <f ca="1">Costs!BF5/('Global assumptions'!$C$7*NAIRA2010_*250)</f>
        <v>68.123702506892172</v>
      </c>
      <c r="BG5" s="1691">
        <f ca="1">Costs!BG5/('Global assumptions'!$C$7*NAIRA2010_*250)</f>
        <v>84.577960223003828</v>
      </c>
      <c r="BH5" s="675"/>
      <c r="BI5" s="1691">
        <f ca="1">Costs!BI5/('Global assumptions'!$C$7*NAIRA2010_*250)</f>
        <v>0</v>
      </c>
      <c r="BJ5" s="1691">
        <f ca="1">Costs!BJ5/('Global assumptions'!$C$7*NAIRA2010_*250)</f>
        <v>0</v>
      </c>
      <c r="BK5" s="1691">
        <f ca="1">Costs!BK5/('Global assumptions'!$C$7*NAIRA2010_*250)</f>
        <v>0</v>
      </c>
      <c r="BL5" s="1691">
        <f ca="1">Costs!BL5/('Global assumptions'!$C$7*NAIRA2010_*250)</f>
        <v>6.1511243798548243</v>
      </c>
      <c r="BM5" s="1691">
        <f ca="1">Costs!BM5/('Global assumptions'!$C$7*NAIRA2010_*250)</f>
        <v>18.607151249060841</v>
      </c>
      <c r="BN5" s="1691">
        <f ca="1">Costs!BN5/('Global assumptions'!$C$7*NAIRA2010_*250)</f>
        <v>35.061408965172504</v>
      </c>
      <c r="BO5" s="1691">
        <f ca="1">Costs!BO5/('Global assumptions'!$C$7*NAIRA2010_*250)</f>
        <v>51.669444790780531</v>
      </c>
      <c r="BP5" s="1691">
        <f ca="1">Costs!BP5/('Global assumptions'!$C$7*NAIRA2010_*250)</f>
        <v>68.123702506892172</v>
      </c>
      <c r="BQ5" s="1691">
        <f ca="1">Costs!BQ5/('Global assumptions'!$C$7*NAIRA2010_*250)</f>
        <v>84.577960223003828</v>
      </c>
      <c r="BR5" s="675"/>
      <c r="BS5" s="1691">
        <f ca="1">Costs!BS5/('Global assumptions'!$C$7*NAIRA2010_*250)</f>
        <v>0</v>
      </c>
      <c r="BT5" s="1691">
        <f ca="1">Costs!BT5/('Global assumptions'!$C$7*NAIRA2010_*250)</f>
        <v>0</v>
      </c>
      <c r="BU5" s="1691">
        <f ca="1">Costs!BU5/('Global assumptions'!$C$7*NAIRA2010_*250)</f>
        <v>0</v>
      </c>
      <c r="BV5" s="1691">
        <f ca="1">Costs!BV5/('Global assumptions'!$C$7*NAIRA2010_*250)</f>
        <v>6.1515088251285652</v>
      </c>
      <c r="BW5" s="1691">
        <f ca="1">Costs!BW5/('Global assumptions'!$C$7*NAIRA2010_*250)</f>
        <v>18.608314196013907</v>
      </c>
      <c r="BX5" s="1691">
        <f ca="1">Costs!BX5/('Global assumptions'!$C$7*NAIRA2010_*250)</f>
        <v>35.063600303232825</v>
      </c>
      <c r="BY5" s="1691">
        <f ca="1">Costs!BY5/('Global assumptions'!$C$7*NAIRA2010_*250)</f>
        <v>51.672674131079958</v>
      </c>
      <c r="BZ5" s="1691">
        <f ca="1">Costs!BZ5/('Global assumptions'!$C$7*NAIRA2010_*250)</f>
        <v>68.127960238298854</v>
      </c>
      <c r="CA5" s="1691">
        <f ca="1">Costs!CA5/('Global assumptions'!$C$7*NAIRA2010_*250)</f>
        <v>84.583246345517765</v>
      </c>
      <c r="CB5" s="2370"/>
      <c r="CC5" s="1707">
        <f t="shared" ca="1" si="4"/>
        <v>29.356367115474654</v>
      </c>
      <c r="CD5" s="1707">
        <f ca="1">(SUMPRODUCT(BT5:CA5,discount_factors)*5)+BS5</f>
        <v>87.05460446882833</v>
      </c>
      <c r="CE5" s="2370"/>
      <c r="CF5" s="1691">
        <f ca="1">Costs!CF5/('Global assumptions'!$C$7*NAIRA2010_*250)</f>
        <v>0</v>
      </c>
      <c r="CG5" s="1691">
        <f ca="1">Costs!CG5/('Global assumptions'!$C$7*NAIRA2010_*250)</f>
        <v>0</v>
      </c>
      <c r="CH5" s="1691">
        <f ca="1">Costs!CH5/('Global assumptions'!$C$7*NAIRA2010_*250)</f>
        <v>0</v>
      </c>
      <c r="CI5" s="1691">
        <f ca="1">Costs!CI5/('Global assumptions'!$C$7*NAIRA2010_*250)</f>
        <v>0</v>
      </c>
      <c r="CJ5" s="1691">
        <f ca="1">Costs!CJ5/('Global assumptions'!$C$7*NAIRA2010_*250)</f>
        <v>0</v>
      </c>
      <c r="CK5" s="1691">
        <f ca="1">Costs!CK5/('Global assumptions'!$C$7*NAIRA2010_*250)</f>
        <v>0</v>
      </c>
      <c r="CL5" s="1691">
        <f ca="1">Costs!CL5/('Global assumptions'!$C$7*NAIRA2010_*250)</f>
        <v>0</v>
      </c>
      <c r="CM5" s="1691">
        <f ca="1">Costs!CM5/('Global assumptions'!$C$7*NAIRA2010_*250)</f>
        <v>0</v>
      </c>
      <c r="CN5" s="1691">
        <f ca="1">Costs!CN5/('Global assumptions'!$C$7*NAIRA2010_*250)</f>
        <v>0</v>
      </c>
      <c r="CO5" s="2370"/>
      <c r="CP5" s="1707">
        <f t="shared" ca="1" si="5"/>
        <v>0</v>
      </c>
      <c r="CQ5" s="1707">
        <f ca="1">(SUMPRODUCT(CG5:CN5,discount_factors)*5)+CF5</f>
        <v>0</v>
      </c>
      <c r="CR5" s="1426" t="str">
        <f ca="1">IF(ABS(CD5-CQ5-AT5)&lt;1,"ok","err")</f>
        <v>ok</v>
      </c>
    </row>
    <row r="6" spans="1:96" x14ac:dyDescent="0.2">
      <c r="A6" s="1683" t="s">
        <v>297</v>
      </c>
      <c r="B6" s="1683" t="s">
        <v>796</v>
      </c>
      <c r="C6" s="1685" t="s">
        <v>4</v>
      </c>
      <c r="E6" s="1689">
        <f ca="1">Costs!E6/('Global assumptions'!$C$7*NAIRA2010_*250)</f>
        <v>0</v>
      </c>
      <c r="F6" s="1689">
        <f ca="1">Costs!F6/('Global assumptions'!$C$7*NAIRA2010_*250)</f>
        <v>0</v>
      </c>
      <c r="G6" s="1689">
        <f ca="1">Costs!G6/('Global assumptions'!$C$7*NAIRA2010_*250)</f>
        <v>0</v>
      </c>
      <c r="H6" s="1689">
        <f ca="1">Costs!H6/('Global assumptions'!$C$7*NAIRA2010_*250)</f>
        <v>11.533358212227794</v>
      </c>
      <c r="I6" s="1689">
        <f ca="1">Costs!I6/('Global assumptions'!$C$7*NAIRA2010_*250)</f>
        <v>10.380022391005014</v>
      </c>
      <c r="J6" s="1689">
        <f ca="1">Costs!J6/('Global assumptions'!$C$7*NAIRA2010_*250)</f>
        <v>20.760044782010034</v>
      </c>
      <c r="K6" s="1689">
        <f ca="1">Costs!K6/('Global assumptions'!$C$7*NAIRA2010_*250)</f>
        <v>39.213417921574496</v>
      </c>
      <c r="L6" s="1689">
        <f ca="1">Costs!L6/('Global assumptions'!$C$7*NAIRA2010_*250)</f>
        <v>76.120164200703442</v>
      </c>
      <c r="M6" s="1689">
        <f ca="1">Costs!M6/('Global assumptions'!$C$7*NAIRA2010_*250)</f>
        <v>147.62698511651578</v>
      </c>
      <c r="N6" s="675"/>
      <c r="O6" s="1689">
        <f ca="1">Costs!O6/('Global assumptions'!$C$7*NAIRA2010_*250)</f>
        <v>0</v>
      </c>
      <c r="P6" s="1689">
        <f ca="1">Costs!P6/('Global assumptions'!$C$7*NAIRA2010_*250)</f>
        <v>0</v>
      </c>
      <c r="Q6" s="1689">
        <f ca="1">Costs!Q6/('Global assumptions'!$C$7*NAIRA2010_*250)</f>
        <v>0</v>
      </c>
      <c r="R6" s="1689">
        <f ca="1">Costs!R6/('Global assumptions'!$C$7*NAIRA2010_*250)</f>
        <v>8.2455822311953933E-2</v>
      </c>
      <c r="S6" s="1689">
        <f ca="1">Costs!S6/('Global assumptions'!$C$7*NAIRA2010_*250)</f>
        <v>0.15666606239271244</v>
      </c>
      <c r="T6" s="1689">
        <f ca="1">Costs!T6/('Global assumptions'!$C$7*NAIRA2010_*250)</f>
        <v>0.30508654255422957</v>
      </c>
      <c r="U6" s="1689">
        <f ca="1">Costs!U6/('Global assumptions'!$C$7*NAIRA2010_*250)</f>
        <v>0.58543633841487286</v>
      </c>
      <c r="V6" s="1689">
        <f ca="1">Costs!V6/('Global assumptions'!$C$7*NAIRA2010_*250)</f>
        <v>1.1296447656737689</v>
      </c>
      <c r="W6" s="1689">
        <f ca="1">Costs!W6/('Global assumptions'!$C$7*NAIRA2010_*250)</f>
        <v>2.1850792912667791</v>
      </c>
      <c r="X6" s="675"/>
      <c r="Y6" s="1689">
        <f ca="1">Costs!Y6/('Global assumptions'!$C$7*NAIRA2010_*250)</f>
        <v>0</v>
      </c>
      <c r="Z6" s="1689">
        <f ca="1">Costs!Z6/('Global assumptions'!$C$7*NAIRA2010_*250)</f>
        <v>0</v>
      </c>
      <c r="AA6" s="1689">
        <f ca="1">Costs!AA6/('Global assumptions'!$C$7*NAIRA2010_*250)</f>
        <v>0</v>
      </c>
      <c r="AB6" s="1689">
        <f ca="1">Costs!AB6/('Global assumptions'!$C$7*NAIRA2010_*250)</f>
        <v>0.82378933257205744</v>
      </c>
      <c r="AC6" s="1689">
        <f ca="1">Costs!AC6/('Global assumptions'!$C$7*NAIRA2010_*250)</f>
        <v>1.5651997318869089</v>
      </c>
      <c r="AD6" s="1689">
        <f ca="1">Costs!AD6/('Global assumptions'!$C$7*NAIRA2010_*250)</f>
        <v>3.0480205305166126</v>
      </c>
      <c r="AE6" s="1689">
        <f ca="1">Costs!AE6/('Global assumptions'!$C$7*NAIRA2010_*250)</f>
        <v>5.848904261261608</v>
      </c>
      <c r="AF6" s="1689">
        <f ca="1">Costs!AF6/('Global assumptions'!$C$7*NAIRA2010_*250)</f>
        <v>11.285913856237189</v>
      </c>
      <c r="AG6" s="1689">
        <f ca="1">Costs!AG6/('Global assumptions'!$C$7*NAIRA2010_*250)</f>
        <v>21.830417313159522</v>
      </c>
      <c r="AH6" s="675"/>
      <c r="AI6" s="1689">
        <f ca="1">Costs!AI6/('Global assumptions'!$C$7*NAIRA2010_*250)</f>
        <v>0</v>
      </c>
      <c r="AJ6" s="1689">
        <f ca="1">Costs!AJ6/('Global assumptions'!$C$7*NAIRA2010_*250)</f>
        <v>0</v>
      </c>
      <c r="AK6" s="1689">
        <f ca="1">Costs!AK6/('Global assumptions'!$C$7*NAIRA2010_*250)</f>
        <v>0</v>
      </c>
      <c r="AL6" s="1689">
        <f ca="1">Costs!AL6/('Global assumptions'!$C$7*NAIRA2010_*250)</f>
        <v>12.439603367111806</v>
      </c>
      <c r="AM6" s="1689">
        <f ca="1">Costs!AM6/('Global assumptions'!$C$7*NAIRA2010_*250)</f>
        <v>12.101888185284635</v>
      </c>
      <c r="AN6" s="1689">
        <f ca="1">Costs!AN6/('Global assumptions'!$C$7*NAIRA2010_*250)</f>
        <v>24.113151855080876</v>
      </c>
      <c r="AO6" s="1689">
        <f ca="1">Costs!AO6/('Global assumptions'!$C$7*NAIRA2010_*250)</f>
        <v>45.647758521250978</v>
      </c>
      <c r="AP6" s="1689">
        <f ca="1">Costs!AP6/('Global assumptions'!$C$7*NAIRA2010_*250)</f>
        <v>88.535722822614403</v>
      </c>
      <c r="AQ6" s="1689">
        <f ca="1">Costs!AQ6/('Global assumptions'!$C$7*NAIRA2010_*250)</f>
        <v>171.64248172094207</v>
      </c>
      <c r="AS6" s="1706">
        <f t="shared" ca="1" si="3"/>
        <v>39.386734052476086</v>
      </c>
      <c r="AT6" s="1706">
        <f t="shared" ca="1" si="0"/>
        <v>106.57228684289657</v>
      </c>
      <c r="AU6" s="675"/>
      <c r="AV6" s="1699">
        <f>IFERROR(VLOOKUP($A6,Cost.FinanceCostTable,3,FALSE),'Global assumptions'!$D$35)</f>
        <v>0</v>
      </c>
      <c r="AW6" s="1690">
        <f>IFERROR(VLOOKUP($A6,Cost.FinanceCostTable,4,FALSE),'Global assumptions'!$E$35)</f>
        <v>30</v>
      </c>
      <c r="AX6" s="675"/>
      <c r="AY6" s="1689">
        <f ca="1">Costs!AY6/('Global assumptions'!$C$7*NAIRA2010_*250)</f>
        <v>0</v>
      </c>
      <c r="AZ6" s="1689">
        <f ca="1">Costs!AZ6/('Global assumptions'!$C$7*NAIRA2010_*250)</f>
        <v>0</v>
      </c>
      <c r="BA6" s="1689">
        <f ca="1">Costs!BA6/('Global assumptions'!$C$7*NAIRA2010_*250)</f>
        <v>0</v>
      </c>
      <c r="BB6" s="1689">
        <f ca="1">Costs!BB6/('Global assumptions'!$C$7*NAIRA2010_*250)</f>
        <v>1.9222263687046324</v>
      </c>
      <c r="BC6" s="1689">
        <f ca="1">Costs!BC6/('Global assumptions'!$C$7*NAIRA2010_*250)</f>
        <v>1.730003731834169</v>
      </c>
      <c r="BD6" s="1689">
        <f ca="1">Costs!BD6/('Global assumptions'!$C$7*NAIRA2010_*250)</f>
        <v>3.4600074636683389</v>
      </c>
      <c r="BE6" s="1689">
        <f ca="1">Costs!BE6/('Global assumptions'!$C$7*NAIRA2010_*250)</f>
        <v>6.5355696535957497</v>
      </c>
      <c r="BF6" s="1689">
        <f ca="1">Costs!BF6/('Global assumptions'!$C$7*NAIRA2010_*250)</f>
        <v>12.686694033450575</v>
      </c>
      <c r="BG6" s="1689">
        <f ca="1">Costs!BG6/('Global assumptions'!$C$7*NAIRA2010_*250)</f>
        <v>24.604497519419297</v>
      </c>
      <c r="BH6" s="675"/>
      <c r="BI6" s="1689">
        <f ca="1">Costs!BI6/('Global assumptions'!$C$7*NAIRA2010_*250)</f>
        <v>0</v>
      </c>
      <c r="BJ6" s="1689">
        <f ca="1">Costs!BJ6/('Global assumptions'!$C$7*NAIRA2010_*250)</f>
        <v>0</v>
      </c>
      <c r="BK6" s="1689">
        <f ca="1">Costs!BK6/('Global assumptions'!$C$7*NAIRA2010_*250)</f>
        <v>0</v>
      </c>
      <c r="BL6" s="1689">
        <f ca="1">Costs!BL6/('Global assumptions'!$C$7*NAIRA2010_*250)</f>
        <v>1.9222263687046324</v>
      </c>
      <c r="BM6" s="1689">
        <f ca="1">Costs!BM6/('Global assumptions'!$C$7*NAIRA2010_*250)</f>
        <v>3.6522301005388016</v>
      </c>
      <c r="BN6" s="1689">
        <f ca="1">Costs!BN6/('Global assumptions'!$C$7*NAIRA2010_*250)</f>
        <v>7.11223756420714</v>
      </c>
      <c r="BO6" s="1689">
        <f ca="1">Costs!BO6/('Global assumptions'!$C$7*NAIRA2010_*250)</f>
        <v>13.647807217802891</v>
      </c>
      <c r="BP6" s="1689">
        <f ca="1">Costs!BP6/('Global assumptions'!$C$7*NAIRA2010_*250)</f>
        <v>28.064504983087634</v>
      </c>
      <c r="BQ6" s="1689">
        <f ca="1">Costs!BQ6/('Global assumptions'!$C$7*NAIRA2010_*250)</f>
        <v>52.669002502506927</v>
      </c>
      <c r="BR6" s="675"/>
      <c r="BS6" s="1689">
        <f ca="1">Costs!BS6/('Global assumptions'!$C$7*NAIRA2010_*250)</f>
        <v>0</v>
      </c>
      <c r="BT6" s="1689">
        <f ca="1">Costs!BT6/('Global assumptions'!$C$7*NAIRA2010_*250)</f>
        <v>0</v>
      </c>
      <c r="BU6" s="1689">
        <f ca="1">Costs!BU6/('Global assumptions'!$C$7*NAIRA2010_*250)</f>
        <v>0</v>
      </c>
      <c r="BV6" s="1689">
        <f ca="1">Costs!BV6/('Global assumptions'!$C$7*NAIRA2010_*250)</f>
        <v>2.8284715235886435</v>
      </c>
      <c r="BW6" s="1689">
        <f ca="1">Costs!BW6/('Global assumptions'!$C$7*NAIRA2010_*250)</f>
        <v>5.3740958948184225</v>
      </c>
      <c r="BX6" s="1689">
        <f ca="1">Costs!BX6/('Global assumptions'!$C$7*NAIRA2010_*250)</f>
        <v>10.465344637277981</v>
      </c>
      <c r="BY6" s="1689">
        <f ca="1">Costs!BY6/('Global assumptions'!$C$7*NAIRA2010_*250)</f>
        <v>20.08214781747937</v>
      </c>
      <c r="BZ6" s="1689">
        <f ca="1">Costs!BZ6/('Global assumptions'!$C$7*NAIRA2010_*250)</f>
        <v>40.480063604998584</v>
      </c>
      <c r="CA6" s="1689">
        <f ca="1">Costs!CA6/('Global assumptions'!$C$7*NAIRA2010_*250)</f>
        <v>76.684499106933231</v>
      </c>
      <c r="CC6" s="1706">
        <f t="shared" ca="1" si="4"/>
        <v>17.323846953899579</v>
      </c>
      <c r="CD6" s="1706">
        <f t="shared" ca="1" si="1"/>
        <v>44.319531247416435</v>
      </c>
      <c r="CF6" s="1689">
        <f ca="1">Costs!CF6/('Global assumptions'!$C$7*NAIRA2010_*250)</f>
        <v>0</v>
      </c>
      <c r="CG6" s="1689">
        <f ca="1">Costs!CG6/('Global assumptions'!$C$7*NAIRA2010_*250)</f>
        <v>0</v>
      </c>
      <c r="CH6" s="1689">
        <f ca="1">Costs!CH6/('Global assumptions'!$C$7*NAIRA2010_*250)</f>
        <v>0</v>
      </c>
      <c r="CI6" s="1689">
        <f ca="1">Costs!CI6/('Global assumptions'!$C$7*NAIRA2010_*250)</f>
        <v>-9.6111318435231627</v>
      </c>
      <c r="CJ6" s="1689">
        <f ca="1">Costs!CJ6/('Global assumptions'!$C$7*NAIRA2010_*250)</f>
        <v>-6.727792290466212</v>
      </c>
      <c r="CK6" s="1689">
        <f ca="1">Costs!CK6/('Global assumptions'!$C$7*NAIRA2010_*250)</f>
        <v>-13.647807217802894</v>
      </c>
      <c r="CL6" s="1689">
        <f ca="1">Costs!CL6/('Global assumptions'!$C$7*NAIRA2010_*250)</f>
        <v>-25.565610703771604</v>
      </c>
      <c r="CM6" s="1689">
        <f ca="1">Costs!CM6/('Global assumptions'!$C$7*NAIRA2010_*250)</f>
        <v>-48.055659217615812</v>
      </c>
      <c r="CN6" s="1689">
        <f ca="1">Costs!CN6/('Global assumptions'!$C$7*NAIRA2010_*250)</f>
        <v>-94.957982614008841</v>
      </c>
      <c r="CP6" s="1706">
        <f t="shared" ca="1" si="5"/>
        <v>-22.0628870985765</v>
      </c>
      <c r="CQ6" s="1706">
        <f t="shared" ca="1" si="2"/>
        <v>-62.252755595480131</v>
      </c>
      <c r="CR6" s="1426" t="str">
        <f t="shared" ca="1" si="6"/>
        <v>ok</v>
      </c>
    </row>
    <row r="7" spans="1:96" x14ac:dyDescent="0.2">
      <c r="A7" s="1685" t="s">
        <v>864</v>
      </c>
      <c r="B7" s="1685" t="s">
        <v>1</v>
      </c>
      <c r="C7" s="1685" t="s">
        <v>4</v>
      </c>
      <c r="E7" s="1691">
        <f ca="1">Costs!E7/('Global assumptions'!$C$7*NAIRA2010_*250)</f>
        <v>0</v>
      </c>
      <c r="F7" s="1691">
        <f ca="1">Costs!F7/('Global assumptions'!$C$7*NAIRA2010_*250)</f>
        <v>0</v>
      </c>
      <c r="G7" s="1691">
        <f ca="1">Costs!G7/('Global assumptions'!$C$7*NAIRA2010_*250)</f>
        <v>0</v>
      </c>
      <c r="H7" s="1691">
        <f ca="1">Costs!H7/('Global assumptions'!$C$7*NAIRA2010_*250)</f>
        <v>16.146701497118912</v>
      </c>
      <c r="I7" s="1691">
        <f ca="1">Costs!I7/('Global assumptions'!$C$7*NAIRA2010_*250)</f>
        <v>32.293402994237823</v>
      </c>
      <c r="J7" s="1691">
        <f ca="1">Costs!J7/('Global assumptions'!$C$7*NAIRA2010_*250)</f>
        <v>48.440104491356735</v>
      </c>
      <c r="K7" s="1691">
        <f ca="1">Costs!K7/('Global assumptions'!$C$7*NAIRA2010_*250)</f>
        <v>64.586805988475646</v>
      </c>
      <c r="L7" s="1691">
        <f ca="1">Costs!L7/('Global assumptions'!$C$7*NAIRA2010_*250)</f>
        <v>80.733507485594558</v>
      </c>
      <c r="M7" s="1691">
        <f ca="1">Costs!M7/('Global assumptions'!$C$7*NAIRA2010_*250)</f>
        <v>96.880208982713469</v>
      </c>
      <c r="N7" s="675"/>
      <c r="O7" s="1691">
        <f ca="1">Costs!O7/('Global assumptions'!$C$7*NAIRA2010_*250)</f>
        <v>0</v>
      </c>
      <c r="P7" s="1691">
        <f ca="1">Costs!P7/('Global assumptions'!$C$7*NAIRA2010_*250)</f>
        <v>0</v>
      </c>
      <c r="Q7" s="1691">
        <f ca="1">Costs!Q7/('Global assumptions'!$C$7*NAIRA2010_*250)</f>
        <v>0.20183376871398642</v>
      </c>
      <c r="R7" s="1691">
        <f ca="1">Costs!R7/('Global assumptions'!$C$7*NAIRA2010_*250)</f>
        <v>0.40366753742797284</v>
      </c>
      <c r="S7" s="1691">
        <f ca="1">Costs!S7/('Global assumptions'!$C$7*NAIRA2010_*250)</f>
        <v>0.60550130614195918</v>
      </c>
      <c r="T7" s="1691">
        <f ca="1">Costs!T7/('Global assumptions'!$C$7*NAIRA2010_*250)</f>
        <v>0.80733507485594569</v>
      </c>
      <c r="U7" s="1691">
        <f ca="1">Costs!U7/('Global assumptions'!$C$7*NAIRA2010_*250)</f>
        <v>0.80733507485594569</v>
      </c>
      <c r="V7" s="1691">
        <f ca="1">Costs!V7/('Global assumptions'!$C$7*NAIRA2010_*250)</f>
        <v>1.009168843569932</v>
      </c>
      <c r="W7" s="1691">
        <f ca="1">Costs!W7/('Global assumptions'!$C$7*NAIRA2010_*250)</f>
        <v>1.2110026122839184</v>
      </c>
      <c r="X7" s="675"/>
      <c r="Y7" s="1691">
        <f ca="1">Costs!Y7/('Global assumptions'!$C$7*NAIRA2010_*250)</f>
        <v>0</v>
      </c>
      <c r="Z7" s="1691">
        <f ca="1">Costs!Z7/('Global assumptions'!$C$7*NAIRA2010_*250)</f>
        <v>0</v>
      </c>
      <c r="AA7" s="1691">
        <f ca="1">Costs!AA7/('Global assumptions'!$C$7*NAIRA2010_*250)</f>
        <v>0</v>
      </c>
      <c r="AB7" s="1691">
        <f ca="1">Costs!AB7/('Global assumptions'!$C$7*NAIRA2010_*250)</f>
        <v>0</v>
      </c>
      <c r="AC7" s="1691">
        <f ca="1">Costs!AC7/('Global assumptions'!$C$7*NAIRA2010_*250)</f>
        <v>0</v>
      </c>
      <c r="AD7" s="1691">
        <f ca="1">Costs!AD7/('Global assumptions'!$C$7*NAIRA2010_*250)</f>
        <v>0</v>
      </c>
      <c r="AE7" s="1691">
        <f ca="1">Costs!AE7/('Global assumptions'!$C$7*NAIRA2010_*250)</f>
        <v>0</v>
      </c>
      <c r="AF7" s="1691">
        <f ca="1">Costs!AF7/('Global assumptions'!$C$7*NAIRA2010_*250)</f>
        <v>0</v>
      </c>
      <c r="AG7" s="1691">
        <f ca="1">Costs!AG7/('Global assumptions'!$C$7*NAIRA2010_*250)</f>
        <v>0</v>
      </c>
      <c r="AH7" s="675"/>
      <c r="AI7" s="1691">
        <f ca="1">Costs!AI7/('Global assumptions'!$C$7*NAIRA2010_*250)</f>
        <v>0</v>
      </c>
      <c r="AJ7" s="1691">
        <f ca="1">Costs!AJ7/('Global assumptions'!$C$7*NAIRA2010_*250)</f>
        <v>0</v>
      </c>
      <c r="AK7" s="1691">
        <f ca="1">Costs!AK7/('Global assumptions'!$C$7*NAIRA2010_*250)</f>
        <v>0.20183376871398642</v>
      </c>
      <c r="AL7" s="1691">
        <f ca="1">Costs!AL7/('Global assumptions'!$C$7*NAIRA2010_*250)</f>
        <v>16.550369034546886</v>
      </c>
      <c r="AM7" s="1691">
        <f ca="1">Costs!AM7/('Global assumptions'!$C$7*NAIRA2010_*250)</f>
        <v>32.898904300379783</v>
      </c>
      <c r="AN7" s="1691">
        <f ca="1">Costs!AN7/('Global assumptions'!$C$7*NAIRA2010_*250)</f>
        <v>49.247439566212684</v>
      </c>
      <c r="AO7" s="1691">
        <f ca="1">Costs!AO7/('Global assumptions'!$C$7*NAIRA2010_*250)</f>
        <v>65.394141063331602</v>
      </c>
      <c r="AP7" s="1691">
        <f ca="1">Costs!AP7/('Global assumptions'!$C$7*NAIRA2010_*250)</f>
        <v>81.742676329164496</v>
      </c>
      <c r="AQ7" s="1691">
        <f ca="1">Costs!AQ7/('Global assumptions'!$C$7*NAIRA2010_*250)</f>
        <v>98.09121159499739</v>
      </c>
      <c r="AS7" s="1707">
        <f t="shared" ca="1" si="3"/>
        <v>38.236286184149648</v>
      </c>
      <c r="AT7" s="1707">
        <f t="shared" ca="1" si="0"/>
        <v>127.23438110551231</v>
      </c>
      <c r="AU7" s="675"/>
      <c r="AV7" s="1700">
        <f>IFERROR(VLOOKUP($A7,Cost.FinanceCostTable,3,FALSE),'Global assumptions'!$D$35)</f>
        <v>0</v>
      </c>
      <c r="AW7" s="1692">
        <f>IFERROR(VLOOKUP($A7,Cost.FinanceCostTable,4,FALSE),'Global assumptions'!$E$35)</f>
        <v>20</v>
      </c>
      <c r="AX7" s="675"/>
      <c r="AY7" s="1691">
        <f ca="1">Costs!AY7/('Global assumptions'!$C$7*NAIRA2010_*250)</f>
        <v>0</v>
      </c>
      <c r="AZ7" s="1691">
        <f ca="1">Costs!AZ7/('Global assumptions'!$C$7*NAIRA2010_*250)</f>
        <v>0</v>
      </c>
      <c r="BA7" s="1691">
        <f ca="1">Costs!BA7/('Global assumptions'!$C$7*NAIRA2010_*250)</f>
        <v>0</v>
      </c>
      <c r="BB7" s="1691">
        <f ca="1">Costs!BB7/('Global assumptions'!$C$7*NAIRA2010_*250)</f>
        <v>4.0366753742797279</v>
      </c>
      <c r="BC7" s="1691">
        <f ca="1">Costs!BC7/('Global assumptions'!$C$7*NAIRA2010_*250)</f>
        <v>8.0733507485594558</v>
      </c>
      <c r="BD7" s="1691">
        <f ca="1">Costs!BD7/('Global assumptions'!$C$7*NAIRA2010_*250)</f>
        <v>12.110026122839184</v>
      </c>
      <c r="BE7" s="1691">
        <f ca="1">Costs!BE7/('Global assumptions'!$C$7*NAIRA2010_*250)</f>
        <v>16.146701497118912</v>
      </c>
      <c r="BF7" s="1691">
        <f ca="1">Costs!BF7/('Global assumptions'!$C$7*NAIRA2010_*250)</f>
        <v>20.183376871398639</v>
      </c>
      <c r="BG7" s="1691">
        <f ca="1">Costs!BG7/('Global assumptions'!$C$7*NAIRA2010_*250)</f>
        <v>24.220052245678367</v>
      </c>
      <c r="BH7" s="675"/>
      <c r="BI7" s="1691">
        <f ca="1">Costs!BI7/('Global assumptions'!$C$7*NAIRA2010_*250)</f>
        <v>0</v>
      </c>
      <c r="BJ7" s="1691">
        <f ca="1">Costs!BJ7/('Global assumptions'!$C$7*NAIRA2010_*250)</f>
        <v>0</v>
      </c>
      <c r="BK7" s="1691">
        <f ca="1">Costs!BK7/('Global assumptions'!$C$7*NAIRA2010_*250)</f>
        <v>0</v>
      </c>
      <c r="BL7" s="1691">
        <f ca="1">Costs!BL7/('Global assumptions'!$C$7*NAIRA2010_*250)</f>
        <v>4.0366753742797279</v>
      </c>
      <c r="BM7" s="1691">
        <f ca="1">Costs!BM7/('Global assumptions'!$C$7*NAIRA2010_*250)</f>
        <v>12.110026122839184</v>
      </c>
      <c r="BN7" s="1691">
        <f ca="1">Costs!BN7/('Global assumptions'!$C$7*NAIRA2010_*250)</f>
        <v>24.220052245678367</v>
      </c>
      <c r="BO7" s="1691">
        <f ca="1">Costs!BO7/('Global assumptions'!$C$7*NAIRA2010_*250)</f>
        <v>40.366753742797279</v>
      </c>
      <c r="BP7" s="1691">
        <f ca="1">Costs!BP7/('Global assumptions'!$C$7*NAIRA2010_*250)</f>
        <v>64.586805988475646</v>
      </c>
      <c r="BQ7" s="1691">
        <f ca="1">Costs!BQ7/('Global assumptions'!$C$7*NAIRA2010_*250)</f>
        <v>72.660156737035109</v>
      </c>
      <c r="BR7" s="675"/>
      <c r="BS7" s="1691">
        <f ca="1">Costs!BS7/('Global assumptions'!$C$7*NAIRA2010_*250)</f>
        <v>0</v>
      </c>
      <c r="BT7" s="1691">
        <f ca="1">Costs!BT7/('Global assumptions'!$C$7*NAIRA2010_*250)</f>
        <v>0</v>
      </c>
      <c r="BU7" s="1691">
        <f ca="1">Costs!BU7/('Global assumptions'!$C$7*NAIRA2010_*250)</f>
        <v>0.20183376871398642</v>
      </c>
      <c r="BV7" s="1691">
        <f ca="1">Costs!BV7/('Global assumptions'!$C$7*NAIRA2010_*250)</f>
        <v>4.4403429117077007</v>
      </c>
      <c r="BW7" s="1691">
        <f ca="1">Costs!BW7/('Global assumptions'!$C$7*NAIRA2010_*250)</f>
        <v>12.715527428981144</v>
      </c>
      <c r="BX7" s="1691">
        <f ca="1">Costs!BX7/('Global assumptions'!$C$7*NAIRA2010_*250)</f>
        <v>25.027387320534316</v>
      </c>
      <c r="BY7" s="1691">
        <f ca="1">Costs!BY7/('Global assumptions'!$C$7*NAIRA2010_*250)</f>
        <v>41.174088817653228</v>
      </c>
      <c r="BZ7" s="1691">
        <f ca="1">Costs!BZ7/('Global assumptions'!$C$7*NAIRA2010_*250)</f>
        <v>65.595974832045584</v>
      </c>
      <c r="CA7" s="1691">
        <f ca="1">Costs!CA7/('Global assumptions'!$C$7*NAIRA2010_*250)</f>
        <v>73.871159349319029</v>
      </c>
      <c r="CC7" s="1707">
        <f t="shared" ca="1" si="4"/>
        <v>24.780701603217224</v>
      </c>
      <c r="CD7" s="1707">
        <f t="shared" ca="1" si="1"/>
        <v>70.466237528868433</v>
      </c>
      <c r="CF7" s="1691">
        <f ca="1">Costs!CF7/('Global assumptions'!$C$7*NAIRA2010_*250)</f>
        <v>0</v>
      </c>
      <c r="CG7" s="1691">
        <f ca="1">Costs!CG7/('Global assumptions'!$C$7*NAIRA2010_*250)</f>
        <v>0</v>
      </c>
      <c r="CH7" s="1691">
        <f ca="1">Costs!CH7/('Global assumptions'!$C$7*NAIRA2010_*250)</f>
        <v>0</v>
      </c>
      <c r="CI7" s="1691">
        <f ca="1">Costs!CI7/('Global assumptions'!$C$7*NAIRA2010_*250)</f>
        <v>-12.110026122839184</v>
      </c>
      <c r="CJ7" s="1691">
        <f ca="1">Costs!CJ7/('Global assumptions'!$C$7*NAIRA2010_*250)</f>
        <v>-20.183376871398639</v>
      </c>
      <c r="CK7" s="1691">
        <f ca="1">Costs!CK7/('Global assumptions'!$C$7*NAIRA2010_*250)</f>
        <v>-24.220052245678367</v>
      </c>
      <c r="CL7" s="1691">
        <f ca="1">Costs!CL7/('Global assumptions'!$C$7*NAIRA2010_*250)</f>
        <v>-24.220052245678367</v>
      </c>
      <c r="CM7" s="1691">
        <f ca="1">Costs!CM7/('Global assumptions'!$C$7*NAIRA2010_*250)</f>
        <v>-16.146701497118912</v>
      </c>
      <c r="CN7" s="1691">
        <f ca="1">Costs!CN7/('Global assumptions'!$C$7*NAIRA2010_*250)</f>
        <v>-24.220052245678367</v>
      </c>
      <c r="CP7" s="1707">
        <f t="shared" ca="1" si="5"/>
        <v>-13.455584580932427</v>
      </c>
      <c r="CQ7" s="1707">
        <f t="shared" ca="1" si="2"/>
        <v>-56.768143576643908</v>
      </c>
      <c r="CR7" s="1426" t="str">
        <f t="shared" ca="1" si="6"/>
        <v>ok</v>
      </c>
    </row>
    <row r="8" spans="1:96" x14ac:dyDescent="0.2">
      <c r="A8" s="1685" t="s">
        <v>2366</v>
      </c>
      <c r="B8" s="1685" t="s">
        <v>2584</v>
      </c>
      <c r="C8" s="1685" t="s">
        <v>4</v>
      </c>
      <c r="E8" s="1691">
        <f ca="1">Costs!E8/('Global assumptions'!$C$7*NAIRA2010_*250)</f>
        <v>0</v>
      </c>
      <c r="F8" s="1691">
        <f ca="1">Costs!F8/('Global assumptions'!$C$7*NAIRA2010_*250)</f>
        <v>0</v>
      </c>
      <c r="G8" s="1691">
        <f ca="1">Costs!G8/('Global assumptions'!$C$7*NAIRA2010_*250)</f>
        <v>3.0909400008770498</v>
      </c>
      <c r="H8" s="1691">
        <f ca="1">Costs!H8/('Global assumptions'!$C$7*NAIRA2010_*250)</f>
        <v>3.0678732844525936</v>
      </c>
      <c r="I8" s="1691">
        <f ca="1">Costs!I8/('Global assumptions'!$C$7*NAIRA2010_*250)</f>
        <v>3.0909400008770507</v>
      </c>
      <c r="J8" s="1691">
        <f ca="1">Costs!J8/('Global assumptions'!$C$7*NAIRA2010_*250)</f>
        <v>3.0678732844525936</v>
      </c>
      <c r="K8" s="1691">
        <f ca="1">Costs!K8/('Global assumptions'!$C$7*NAIRA2010_*250)</f>
        <v>3.090940000877048</v>
      </c>
      <c r="L8" s="1691">
        <f ca="1">Costs!L8/('Global assumptions'!$C$7*NAIRA2010_*250)</f>
        <v>3.0678732844525958</v>
      </c>
      <c r="M8" s="1691">
        <f ca="1">Costs!M8/('Global assumptions'!$C$7*NAIRA2010_*250)</f>
        <v>3.0909400008770453</v>
      </c>
      <c r="N8" s="675"/>
      <c r="O8" s="1691">
        <f ca="1">Costs!O8/('Global assumptions'!$C$7*NAIRA2010_*250)</f>
        <v>3.6522301005388014E-5</v>
      </c>
      <c r="P8" s="1691">
        <f ca="1">Costs!P8/('Global assumptions'!$C$7*NAIRA2010_*250)</f>
        <v>3.6522301005388014E-5</v>
      </c>
      <c r="Q8" s="1691">
        <f ca="1">Costs!Q8/('Global assumptions'!$C$7*NAIRA2010_*250)</f>
        <v>6.2280134346030089E-5</v>
      </c>
      <c r="R8" s="1691">
        <f ca="1">Costs!R8/('Global assumptions'!$C$7*NAIRA2010_*250)</f>
        <v>8.7845745049801703E-5</v>
      </c>
      <c r="S8" s="1691">
        <f ca="1">Costs!S8/('Global assumptions'!$C$7*NAIRA2010_*250)</f>
        <v>1.1360357839044381E-4</v>
      </c>
      <c r="T8" s="1691">
        <f ca="1">Costs!T8/('Global assumptions'!$C$7*NAIRA2010_*250)</f>
        <v>1.3916918909421541E-4</v>
      </c>
      <c r="U8" s="1691">
        <f ca="1">Costs!U8/('Global assumptions'!$C$7*NAIRA2010_*250)</f>
        <v>1.6492702243485745E-4</v>
      </c>
      <c r="V8" s="1691">
        <f ca="1">Costs!V8/('Global assumptions'!$C$7*NAIRA2010_*250)</f>
        <v>1.9049263313862909E-4</v>
      </c>
      <c r="W8" s="1691">
        <f ca="1">Costs!W8/('Global assumptions'!$C$7*NAIRA2010_*250)</f>
        <v>2.1625046647927114E-4</v>
      </c>
      <c r="X8" s="675"/>
      <c r="Y8" s="1691">
        <f ca="1">Costs!Y8/('Global assumptions'!$C$7*NAIRA2010_*250)</f>
        <v>0</v>
      </c>
      <c r="Z8" s="1691">
        <f ca="1">Costs!Z8/('Global assumptions'!$C$7*NAIRA2010_*250)</f>
        <v>0</v>
      </c>
      <c r="AA8" s="1691">
        <f ca="1">Costs!AA8/('Global assumptions'!$C$7*NAIRA2010_*250)</f>
        <v>0</v>
      </c>
      <c r="AB8" s="1691">
        <f ca="1">Costs!AB8/('Global assumptions'!$C$7*NAIRA2010_*250)</f>
        <v>0</v>
      </c>
      <c r="AC8" s="1691">
        <f ca="1">Costs!AC8/('Global assumptions'!$C$7*NAIRA2010_*250)</f>
        <v>0</v>
      </c>
      <c r="AD8" s="1691">
        <f ca="1">Costs!AD8/('Global assumptions'!$C$7*NAIRA2010_*250)</f>
        <v>0</v>
      </c>
      <c r="AE8" s="1691">
        <f ca="1">Costs!AE8/('Global assumptions'!$C$7*NAIRA2010_*250)</f>
        <v>0</v>
      </c>
      <c r="AF8" s="1691">
        <f ca="1">Costs!AF8/('Global assumptions'!$C$7*NAIRA2010_*250)</f>
        <v>0</v>
      </c>
      <c r="AG8" s="1691">
        <f ca="1">Costs!AG8/('Global assumptions'!$C$7*NAIRA2010_*250)</f>
        <v>0</v>
      </c>
      <c r="AH8" s="675"/>
      <c r="AI8" s="1691">
        <f ca="1">Costs!AI8/('Global assumptions'!$C$7*NAIRA2010_*250)</f>
        <v>3.6522301005388014E-5</v>
      </c>
      <c r="AJ8" s="1691">
        <f ca="1">Costs!AJ8/('Global assumptions'!$C$7*NAIRA2010_*250)</f>
        <v>3.6522301005388014E-5</v>
      </c>
      <c r="AK8" s="1691">
        <f ca="1">Costs!AK8/('Global assumptions'!$C$7*NAIRA2010_*250)</f>
        <v>3.091002281011396</v>
      </c>
      <c r="AL8" s="1691">
        <f ca="1">Costs!AL8/('Global assumptions'!$C$7*NAIRA2010_*250)</f>
        <v>3.0679611301976433</v>
      </c>
      <c r="AM8" s="1691">
        <f ca="1">Costs!AM8/('Global assumptions'!$C$7*NAIRA2010_*250)</f>
        <v>3.0910536044554409</v>
      </c>
      <c r="AN8" s="1691">
        <f ca="1">Costs!AN8/('Global assumptions'!$C$7*NAIRA2010_*250)</f>
        <v>3.0680124536416877</v>
      </c>
      <c r="AO8" s="1691">
        <f ca="1">Costs!AO8/('Global assumptions'!$C$7*NAIRA2010_*250)</f>
        <v>3.0911049278994827</v>
      </c>
      <c r="AP8" s="1691">
        <f ca="1">Costs!AP8/('Global assumptions'!$C$7*NAIRA2010_*250)</f>
        <v>3.0680637770857344</v>
      </c>
      <c r="AQ8" s="1691">
        <f ca="1">Costs!AQ8/('Global assumptions'!$C$7*NAIRA2010_*250)</f>
        <v>3.0911562513435249</v>
      </c>
      <c r="AS8" s="1707">
        <f t="shared" ca="1" si="3"/>
        <v>2.3964919411374357</v>
      </c>
      <c r="AT8" s="1707">
        <f t="shared" ca="1" si="0"/>
        <v>15.647267165927657</v>
      </c>
      <c r="AU8" s="675"/>
      <c r="AV8" s="1700">
        <f>IFERROR(VLOOKUP($A8,Cost.FinanceCostTable,3,FALSE),'Global assumptions'!$D$35)</f>
        <v>0</v>
      </c>
      <c r="AW8" s="1692">
        <f>IFERROR(VLOOKUP($A8,Cost.FinanceCostTable,4,FALSE),'Global assumptions'!$E$35)</f>
        <v>5</v>
      </c>
      <c r="AX8" s="675"/>
      <c r="AY8" s="1691">
        <f ca="1">Costs!AY8/('Global assumptions'!$C$7*NAIRA2010_*250)</f>
        <v>0</v>
      </c>
      <c r="AZ8" s="1691">
        <f ca="1">Costs!AZ8/('Global assumptions'!$C$7*NAIRA2010_*250)</f>
        <v>0</v>
      </c>
      <c r="BA8" s="1691">
        <f ca="1">Costs!BA8/('Global assumptions'!$C$7*NAIRA2010_*250)</f>
        <v>3.0909400008770498</v>
      </c>
      <c r="BB8" s="1691">
        <f ca="1">Costs!BB8/('Global assumptions'!$C$7*NAIRA2010_*250)</f>
        <v>3.0678732844525936</v>
      </c>
      <c r="BC8" s="1691">
        <f ca="1">Costs!BC8/('Global assumptions'!$C$7*NAIRA2010_*250)</f>
        <v>3.0909400008770502</v>
      </c>
      <c r="BD8" s="1691">
        <f ca="1">Costs!BD8/('Global assumptions'!$C$7*NAIRA2010_*250)</f>
        <v>3.0678732844525936</v>
      </c>
      <c r="BE8" s="1691">
        <f ca="1">Costs!BE8/('Global assumptions'!$C$7*NAIRA2010_*250)</f>
        <v>3.090940000877048</v>
      </c>
      <c r="BF8" s="1691">
        <f ca="1">Costs!BF8/('Global assumptions'!$C$7*NAIRA2010_*250)</f>
        <v>3.0678732844525958</v>
      </c>
      <c r="BG8" s="1691">
        <f ca="1">Costs!BG8/('Global assumptions'!$C$7*NAIRA2010_*250)</f>
        <v>3.0909400008770449</v>
      </c>
      <c r="BH8" s="675"/>
      <c r="BI8" s="1691">
        <f ca="1">Costs!BI8/('Global assumptions'!$C$7*NAIRA2010_*250)</f>
        <v>0</v>
      </c>
      <c r="BJ8" s="1691">
        <f ca="1">Costs!BJ8/('Global assumptions'!$C$7*NAIRA2010_*250)</f>
        <v>0</v>
      </c>
      <c r="BK8" s="1691">
        <f ca="1">Costs!BK8/('Global assumptions'!$C$7*NAIRA2010_*250)</f>
        <v>3.0909400008770498</v>
      </c>
      <c r="BL8" s="1691">
        <f ca="1">Costs!BL8/('Global assumptions'!$C$7*NAIRA2010_*250)</f>
        <v>3.0678732844525936</v>
      </c>
      <c r="BM8" s="1691">
        <f ca="1">Costs!BM8/('Global assumptions'!$C$7*NAIRA2010_*250)</f>
        <v>3.0909400008770502</v>
      </c>
      <c r="BN8" s="1691">
        <f ca="1">Costs!BN8/('Global assumptions'!$C$7*NAIRA2010_*250)</f>
        <v>3.0678732844525936</v>
      </c>
      <c r="BO8" s="1691">
        <f ca="1">Costs!BO8/('Global assumptions'!$C$7*NAIRA2010_*250)</f>
        <v>3.090940000877048</v>
      </c>
      <c r="BP8" s="1691">
        <f ca="1">Costs!BP8/('Global assumptions'!$C$7*NAIRA2010_*250)</f>
        <v>3.0678732844525958</v>
      </c>
      <c r="BQ8" s="1691">
        <f ca="1">Costs!BQ8/('Global assumptions'!$C$7*NAIRA2010_*250)</f>
        <v>3.0909400008770449</v>
      </c>
      <c r="BR8" s="675"/>
      <c r="BS8" s="1691">
        <f ca="1">Costs!BS8/('Global assumptions'!$C$7*NAIRA2010_*250)</f>
        <v>3.6522301005388014E-5</v>
      </c>
      <c r="BT8" s="1691">
        <f ca="1">Costs!BT8/('Global assumptions'!$C$7*NAIRA2010_*250)</f>
        <v>3.6522301005388014E-5</v>
      </c>
      <c r="BU8" s="1691">
        <f ca="1">Costs!BU8/('Global assumptions'!$C$7*NAIRA2010_*250)</f>
        <v>3.091002281011396</v>
      </c>
      <c r="BV8" s="1691">
        <f ca="1">Costs!BV8/('Global assumptions'!$C$7*NAIRA2010_*250)</f>
        <v>3.0679611301976433</v>
      </c>
      <c r="BW8" s="1691">
        <f ca="1">Costs!BW8/('Global assumptions'!$C$7*NAIRA2010_*250)</f>
        <v>3.0910536044554404</v>
      </c>
      <c r="BX8" s="1691">
        <f ca="1">Costs!BX8/('Global assumptions'!$C$7*NAIRA2010_*250)</f>
        <v>3.0680124536416877</v>
      </c>
      <c r="BY8" s="1691">
        <f ca="1">Costs!BY8/('Global assumptions'!$C$7*NAIRA2010_*250)</f>
        <v>3.0911049278994827</v>
      </c>
      <c r="BZ8" s="1691">
        <f ca="1">Costs!BZ8/('Global assumptions'!$C$7*NAIRA2010_*250)</f>
        <v>3.0680637770857344</v>
      </c>
      <c r="CA8" s="1691">
        <f ca="1">Costs!CA8/('Global assumptions'!$C$7*NAIRA2010_*250)</f>
        <v>3.0911562513435245</v>
      </c>
      <c r="CC8" s="1707">
        <f t="shared" ca="1" si="4"/>
        <v>2.3964919411374357</v>
      </c>
      <c r="CD8" s="1707">
        <f t="shared" ca="1" si="1"/>
        <v>15.647267165927655</v>
      </c>
      <c r="CF8" s="1691">
        <f ca="1">Costs!CF8/('Global assumptions'!$C$7*NAIRA2010_*250)</f>
        <v>0</v>
      </c>
      <c r="CG8" s="1691">
        <f ca="1">Costs!CG8/('Global assumptions'!$C$7*NAIRA2010_*250)</f>
        <v>0</v>
      </c>
      <c r="CH8" s="1691">
        <f ca="1">Costs!CH8/('Global assumptions'!$C$7*NAIRA2010_*250)</f>
        <v>0</v>
      </c>
      <c r="CI8" s="1691">
        <f ca="1">Costs!CI8/('Global assumptions'!$C$7*NAIRA2010_*250)</f>
        <v>0</v>
      </c>
      <c r="CJ8" s="1691">
        <f ca="1">Costs!CJ8/('Global assumptions'!$C$7*NAIRA2010_*250)</f>
        <v>0</v>
      </c>
      <c r="CK8" s="1691">
        <f ca="1">Costs!CK8/('Global assumptions'!$C$7*NAIRA2010_*250)</f>
        <v>0</v>
      </c>
      <c r="CL8" s="1691">
        <f ca="1">Costs!CL8/('Global assumptions'!$C$7*NAIRA2010_*250)</f>
        <v>0</v>
      </c>
      <c r="CM8" s="1691">
        <f ca="1">Costs!CM8/('Global assumptions'!$C$7*NAIRA2010_*250)</f>
        <v>0</v>
      </c>
      <c r="CN8" s="1691">
        <f ca="1">Costs!CN8/('Global assumptions'!$C$7*NAIRA2010_*250)</f>
        <v>0</v>
      </c>
      <c r="CP8" s="1707">
        <f t="shared" ca="1" si="5"/>
        <v>0</v>
      </c>
      <c r="CQ8" s="1707">
        <f t="shared" ca="1" si="2"/>
        <v>0</v>
      </c>
      <c r="CR8" s="1426" t="str">
        <f t="shared" ca="1" si="6"/>
        <v>ok</v>
      </c>
    </row>
    <row r="9" spans="1:96" s="2479" customFormat="1" x14ac:dyDescent="0.2">
      <c r="A9" s="1685" t="s">
        <v>2365</v>
      </c>
      <c r="B9" s="1685" t="s">
        <v>2363</v>
      </c>
      <c r="C9" s="1685" t="s">
        <v>4</v>
      </c>
      <c r="E9" s="1691">
        <f ca="1">Costs!E9/('Global assumptions'!$C$7*NAIRA2010_*250)</f>
        <v>0</v>
      </c>
      <c r="F9" s="1691">
        <f ca="1">Costs!F9/('Global assumptions'!$C$7*NAIRA2010_*250)</f>
        <v>0</v>
      </c>
      <c r="G9" s="1691">
        <f ca="1">Costs!G9/('Global assumptions'!$C$7*NAIRA2010_*250)</f>
        <v>0</v>
      </c>
      <c r="H9" s="1691">
        <f ca="1">Costs!H9/('Global assumptions'!$C$7*NAIRA2010_*250)</f>
        <v>3.0197627044815771</v>
      </c>
      <c r="I9" s="1691">
        <f ca="1">Costs!I9/('Global assumptions'!$C$7*NAIRA2010_*250)</f>
        <v>1.5095737960217963</v>
      </c>
      <c r="J9" s="1691">
        <f ca="1">Costs!J9/('Global assumptions'!$C$7*NAIRA2010_*250)</f>
        <v>1.5095737960218263</v>
      </c>
      <c r="K9" s="1691">
        <f ca="1">Costs!K9/('Global assumptions'!$C$7*NAIRA2010_*250)</f>
        <v>1.5095737960217956</v>
      </c>
      <c r="L9" s="1691">
        <f ca="1">Costs!L9/('Global assumptions'!$C$7*NAIRA2010_*250)</f>
        <v>1.5095737960217965</v>
      </c>
      <c r="M9" s="1691">
        <f ca="1">Costs!M9/('Global assumptions'!$C$7*NAIRA2010_*250)</f>
        <v>1.5095737960217956</v>
      </c>
      <c r="N9" s="675"/>
      <c r="O9" s="1691">
        <f ca="1">Costs!O9/('Global assumptions'!$C$7*NAIRA2010_*250)</f>
        <v>1.476269851165158E-6</v>
      </c>
      <c r="P9" s="1691">
        <f ca="1">Costs!P9/('Global assumptions'!$C$7*NAIRA2010_*250)</f>
        <v>1.476269851165158E-6</v>
      </c>
      <c r="Q9" s="1691">
        <f ca="1">Costs!Q9/('Global assumptions'!$C$7*NAIRA2010_*250)</f>
        <v>1.476269851165158E-6</v>
      </c>
      <c r="R9" s="1691">
        <f ca="1">Costs!R9/('Global assumptions'!$C$7*NAIRA2010_*250)</f>
        <v>2.4124490134776988E-5</v>
      </c>
      <c r="S9" s="1691">
        <f ca="1">Costs!S9/('Global assumptions'!$C$7*NAIRA2010_*250)</f>
        <v>3.5446293604940462E-5</v>
      </c>
      <c r="T9" s="1691">
        <f ca="1">Costs!T9/('Global assumptions'!$C$7*NAIRA2010_*250)</f>
        <v>4.6768097075104164E-5</v>
      </c>
      <c r="U9" s="1691">
        <f ca="1">Costs!U9/('Global assumptions'!$C$7*NAIRA2010_*250)</f>
        <v>5.8089900545267628E-5</v>
      </c>
      <c r="V9" s="1691">
        <f ca="1">Costs!V9/('Global assumptions'!$C$7*NAIRA2010_*250)</f>
        <v>6.941170401543112E-5</v>
      </c>
      <c r="W9" s="1691">
        <f ca="1">Costs!W9/('Global assumptions'!$C$7*NAIRA2010_*250)</f>
        <v>8.0733507485594578E-5</v>
      </c>
      <c r="X9" s="675"/>
      <c r="Y9" s="1691">
        <f ca="1">Costs!Y9/('Global assumptions'!$C$7*NAIRA2010_*250)</f>
        <v>0</v>
      </c>
      <c r="Z9" s="1691">
        <f ca="1">Costs!Z9/('Global assumptions'!$C$7*NAIRA2010_*250)</f>
        <v>0</v>
      </c>
      <c r="AA9" s="1691">
        <f ca="1">Costs!AA9/('Global assumptions'!$C$7*NAIRA2010_*250)</f>
        <v>0</v>
      </c>
      <c r="AB9" s="1691">
        <f ca="1">Costs!AB9/('Global assumptions'!$C$7*NAIRA2010_*250)</f>
        <v>0</v>
      </c>
      <c r="AC9" s="1691">
        <f ca="1">Costs!AC9/('Global assumptions'!$C$7*NAIRA2010_*250)</f>
        <v>0</v>
      </c>
      <c r="AD9" s="1691">
        <f ca="1">Costs!AD9/('Global assumptions'!$C$7*NAIRA2010_*250)</f>
        <v>0</v>
      </c>
      <c r="AE9" s="1691">
        <f ca="1">Costs!AE9/('Global assumptions'!$C$7*NAIRA2010_*250)</f>
        <v>0</v>
      </c>
      <c r="AF9" s="1691">
        <f ca="1">Costs!AF9/('Global assumptions'!$C$7*NAIRA2010_*250)</f>
        <v>0</v>
      </c>
      <c r="AG9" s="1691">
        <f ca="1">Costs!AG9/('Global assumptions'!$C$7*NAIRA2010_*250)</f>
        <v>0</v>
      </c>
      <c r="AH9" s="675"/>
      <c r="AI9" s="1691">
        <f ca="1">Costs!AI9/('Global assumptions'!$C$7*NAIRA2010_*250)</f>
        <v>1.476269851165158E-6</v>
      </c>
      <c r="AJ9" s="1691">
        <f ca="1">Costs!AJ9/('Global assumptions'!$C$7*NAIRA2010_*250)</f>
        <v>1.476269851165158E-6</v>
      </c>
      <c r="AK9" s="1691">
        <f ca="1">Costs!AK9/('Global assumptions'!$C$7*NAIRA2010_*250)</f>
        <v>1.476269851165158E-6</v>
      </c>
      <c r="AL9" s="1691">
        <f ca="1">Costs!AL9/('Global assumptions'!$C$7*NAIRA2010_*250)</f>
        <v>3.019786828971712</v>
      </c>
      <c r="AM9" s="1691">
        <f ca="1">Costs!AM9/('Global assumptions'!$C$7*NAIRA2010_*250)</f>
        <v>1.5096092423154013</v>
      </c>
      <c r="AN9" s="1691">
        <f ca="1">Costs!AN9/('Global assumptions'!$C$7*NAIRA2010_*250)</f>
        <v>1.5096205641189013</v>
      </c>
      <c r="AO9" s="1691">
        <f ca="1">Costs!AO9/('Global assumptions'!$C$7*NAIRA2010_*250)</f>
        <v>1.5096318859223408</v>
      </c>
      <c r="AP9" s="1691">
        <f ca="1">Costs!AP9/('Global assumptions'!$C$7*NAIRA2010_*250)</f>
        <v>1.5096432077258117</v>
      </c>
      <c r="AQ9" s="1691">
        <f ca="1">Costs!AQ9/('Global assumptions'!$C$7*NAIRA2010_*250)</f>
        <v>1.5096545295292811</v>
      </c>
      <c r="AS9" s="1707">
        <f t="shared" ca="1" si="3"/>
        <v>1.1742167430436667</v>
      </c>
      <c r="AT9" s="1707">
        <f ca="1">(SUMPRODUCT(AJ9:AQ9,discount_factors)*5)+AI9</f>
        <v>6.5608020438091046</v>
      </c>
      <c r="AU9" s="675"/>
      <c r="AV9" s="1700">
        <f>IFERROR(VLOOKUP($A9,Cost.FinanceCostTable,3,FALSE),'Global assumptions'!$D$35)</f>
        <v>0</v>
      </c>
      <c r="AW9" s="1692">
        <f>IFERROR(VLOOKUP($A9,Cost.FinanceCostTable,4,FALSE),'Global assumptions'!$E$35)</f>
        <v>5</v>
      </c>
      <c r="AX9" s="675"/>
      <c r="AY9" s="1691">
        <f ca="1">Costs!AY9/('Global assumptions'!$C$7*NAIRA2010_*250)</f>
        <v>0</v>
      </c>
      <c r="AZ9" s="1691">
        <f ca="1">Costs!AZ9/('Global assumptions'!$C$7*NAIRA2010_*250)</f>
        <v>0</v>
      </c>
      <c r="BA9" s="1691">
        <f ca="1">Costs!BA9/('Global assumptions'!$C$7*NAIRA2010_*250)</f>
        <v>0</v>
      </c>
      <c r="BB9" s="1691">
        <f ca="1">Costs!BB9/('Global assumptions'!$C$7*NAIRA2010_*250)</f>
        <v>3.0197627044815767</v>
      </c>
      <c r="BC9" s="1691">
        <f ca="1">Costs!BC9/('Global assumptions'!$C$7*NAIRA2010_*250)</f>
        <v>1.5095737960217965</v>
      </c>
      <c r="BD9" s="1691">
        <f ca="1">Costs!BD9/('Global assumptions'!$C$7*NAIRA2010_*250)</f>
        <v>1.5095737960218263</v>
      </c>
      <c r="BE9" s="1691">
        <f ca="1">Costs!BE9/('Global assumptions'!$C$7*NAIRA2010_*250)</f>
        <v>1.5095737960217956</v>
      </c>
      <c r="BF9" s="1691">
        <f ca="1">Costs!BF9/('Global assumptions'!$C$7*NAIRA2010_*250)</f>
        <v>1.5095737960217965</v>
      </c>
      <c r="BG9" s="1691">
        <f ca="1">Costs!BG9/('Global assumptions'!$C$7*NAIRA2010_*250)</f>
        <v>1.5095737960217956</v>
      </c>
      <c r="BH9" s="675"/>
      <c r="BI9" s="1691">
        <f ca="1">Costs!BI9/('Global assumptions'!$C$7*NAIRA2010_*250)</f>
        <v>0</v>
      </c>
      <c r="BJ9" s="1691">
        <f ca="1">Costs!BJ9/('Global assumptions'!$C$7*NAIRA2010_*250)</f>
        <v>0</v>
      </c>
      <c r="BK9" s="1691">
        <f ca="1">Costs!BK9/('Global assumptions'!$C$7*NAIRA2010_*250)</f>
        <v>0</v>
      </c>
      <c r="BL9" s="1691">
        <f ca="1">Costs!BL9/('Global assumptions'!$C$7*NAIRA2010_*250)</f>
        <v>3.0197627044815767</v>
      </c>
      <c r="BM9" s="1691">
        <f ca="1">Costs!BM9/('Global assumptions'!$C$7*NAIRA2010_*250)</f>
        <v>1.5095737960217965</v>
      </c>
      <c r="BN9" s="1691">
        <f ca="1">Costs!BN9/('Global assumptions'!$C$7*NAIRA2010_*250)</f>
        <v>1.5095737960218263</v>
      </c>
      <c r="BO9" s="1691">
        <f ca="1">Costs!BO9/('Global assumptions'!$C$7*NAIRA2010_*250)</f>
        <v>1.5095737960217956</v>
      </c>
      <c r="BP9" s="1691">
        <f ca="1">Costs!BP9/('Global assumptions'!$C$7*NAIRA2010_*250)</f>
        <v>1.5095737960217965</v>
      </c>
      <c r="BQ9" s="1691">
        <f ca="1">Costs!BQ9/('Global assumptions'!$C$7*NAIRA2010_*250)</f>
        <v>1.5095737960217956</v>
      </c>
      <c r="BR9" s="675"/>
      <c r="BS9" s="1691">
        <f ca="1">Costs!BS9/('Global assumptions'!$C$7*NAIRA2010_*250)</f>
        <v>1.476269851165158E-6</v>
      </c>
      <c r="BT9" s="1691">
        <f ca="1">Costs!BT9/('Global assumptions'!$C$7*NAIRA2010_*250)</f>
        <v>1.476269851165158E-6</v>
      </c>
      <c r="BU9" s="1691">
        <f ca="1">Costs!BU9/('Global assumptions'!$C$7*NAIRA2010_*250)</f>
        <v>1.476269851165158E-6</v>
      </c>
      <c r="BV9" s="1691">
        <f ca="1">Costs!BV9/('Global assumptions'!$C$7*NAIRA2010_*250)</f>
        <v>3.0197868289717116</v>
      </c>
      <c r="BW9" s="1691">
        <f ca="1">Costs!BW9/('Global assumptions'!$C$7*NAIRA2010_*250)</f>
        <v>1.5096092423154015</v>
      </c>
      <c r="BX9" s="1691">
        <f ca="1">Costs!BX9/('Global assumptions'!$C$7*NAIRA2010_*250)</f>
        <v>1.5096205641189013</v>
      </c>
      <c r="BY9" s="1691">
        <f ca="1">Costs!BY9/('Global assumptions'!$C$7*NAIRA2010_*250)</f>
        <v>1.5096318859223408</v>
      </c>
      <c r="BZ9" s="1691">
        <f ca="1">Costs!BZ9/('Global assumptions'!$C$7*NAIRA2010_*250)</f>
        <v>1.5096432077258117</v>
      </c>
      <c r="CA9" s="1691">
        <f ca="1">Costs!CA9/('Global assumptions'!$C$7*NAIRA2010_*250)</f>
        <v>1.5096545295292811</v>
      </c>
      <c r="CC9" s="1707">
        <f t="shared" ca="1" si="4"/>
        <v>1.1742167430436667</v>
      </c>
      <c r="CD9" s="1707">
        <f ca="1">(SUMPRODUCT(BT9:CA9,discount_factors)*5)+BS9</f>
        <v>6.5608020438091046</v>
      </c>
      <c r="CF9" s="1691">
        <f ca="1">Costs!CF9/('Global assumptions'!$C$7*NAIRA2010_*250)</f>
        <v>0</v>
      </c>
      <c r="CG9" s="1691">
        <f ca="1">Costs!CG9/('Global assumptions'!$C$7*NAIRA2010_*250)</f>
        <v>0</v>
      </c>
      <c r="CH9" s="1691">
        <f ca="1">Costs!CH9/('Global assumptions'!$C$7*NAIRA2010_*250)</f>
        <v>0</v>
      </c>
      <c r="CI9" s="1691">
        <f ca="1">Costs!CI9/('Global assumptions'!$C$7*NAIRA2010_*250)</f>
        <v>0</v>
      </c>
      <c r="CJ9" s="1691">
        <f ca="1">Costs!CJ9/('Global assumptions'!$C$7*NAIRA2010_*250)</f>
        <v>0</v>
      </c>
      <c r="CK9" s="1691">
        <f ca="1">Costs!CK9/('Global assumptions'!$C$7*NAIRA2010_*250)</f>
        <v>0</v>
      </c>
      <c r="CL9" s="1691">
        <f ca="1">Costs!CL9/('Global assumptions'!$C$7*NAIRA2010_*250)</f>
        <v>0</v>
      </c>
      <c r="CM9" s="1691">
        <f ca="1">Costs!CM9/('Global assumptions'!$C$7*NAIRA2010_*250)</f>
        <v>0</v>
      </c>
      <c r="CN9" s="1691">
        <f ca="1">Costs!CN9/('Global assumptions'!$C$7*NAIRA2010_*250)</f>
        <v>0</v>
      </c>
      <c r="CP9" s="1707">
        <f t="shared" ca="1" si="5"/>
        <v>0</v>
      </c>
      <c r="CQ9" s="1707">
        <f ca="1">(SUMPRODUCT(CG9:CN9,discount_factors)*5)+CF9</f>
        <v>0</v>
      </c>
      <c r="CR9" s="1426" t="str">
        <f ca="1">IF(ABS(CD9-CQ9-AT9)&lt;1,"ok","err")</f>
        <v>ok</v>
      </c>
    </row>
    <row r="10" spans="1:96" s="2479" customFormat="1" x14ac:dyDescent="0.2">
      <c r="A10" s="1685" t="s">
        <v>2364</v>
      </c>
      <c r="B10" s="1685" t="s">
        <v>2404</v>
      </c>
      <c r="C10" s="1685" t="s">
        <v>4</v>
      </c>
      <c r="E10" s="1691">
        <f ca="1">Costs!E10/('Global assumptions'!$C$7*NAIRA2010_*250)</f>
        <v>0</v>
      </c>
      <c r="F10" s="1691">
        <f ca="1">Costs!F10/('Global assumptions'!$C$7*NAIRA2010_*250)</f>
        <v>0</v>
      </c>
      <c r="G10" s="1691">
        <f ca="1">Costs!G10/('Global assumptions'!$C$7*NAIRA2010_*250)</f>
        <v>13.54016254115543</v>
      </c>
      <c r="H10" s="1691">
        <f ca="1">Costs!H10/('Global assumptions'!$C$7*NAIRA2010_*250)</f>
        <v>22.743782394513211</v>
      </c>
      <c r="I10" s="1691">
        <f ca="1">Costs!I10/('Global assumptions'!$C$7*NAIRA2010_*250)</f>
        <v>34.25407389031654</v>
      </c>
      <c r="J10" s="1691">
        <f ca="1">Costs!J10/('Global assumptions'!$C$7*NAIRA2010_*250)</f>
        <v>57.33232367298438</v>
      </c>
      <c r="K10" s="1691">
        <f ca="1">Costs!K10/('Global assumptions'!$C$7*NAIRA2010_*250)</f>
        <v>34.265607248528802</v>
      </c>
      <c r="L10" s="1691">
        <f ca="1">Costs!L10/('Global assumptions'!$C$7*NAIRA2010_*250)</f>
        <v>59.33912800191198</v>
      </c>
      <c r="M10" s="1691">
        <f ca="1">Costs!M10/('Global assumptions'!$C$7*NAIRA2010_*250)</f>
        <v>82.08291039642522</v>
      </c>
      <c r="N10" s="675"/>
      <c r="O10" s="1691">
        <f ca="1">Costs!O10/('Global assumptions'!$C$7*NAIRA2010_*250)</f>
        <v>0</v>
      </c>
      <c r="P10" s="1691">
        <f ca="1">Costs!P10/('Global assumptions'!$C$7*NAIRA2010_*250)</f>
        <v>0</v>
      </c>
      <c r="Q10" s="1691">
        <f ca="1">Costs!Q10/('Global assumptions'!$C$7*NAIRA2010_*250)</f>
        <v>3.3850406352888576E-4</v>
      </c>
      <c r="R10" s="1691">
        <f ca="1">Costs!R10/('Global assumptions'!$C$7*NAIRA2010_*250)</f>
        <v>9.0709862339171602E-4</v>
      </c>
      <c r="S10" s="1691">
        <f ca="1">Costs!S10/('Global assumptions'!$C$7*NAIRA2010_*250)</f>
        <v>1.7634504706496295E-3</v>
      </c>
      <c r="T10" s="1691">
        <f ca="1">Costs!T10/('Global assumptions'!$C$7*NAIRA2010_*250)</f>
        <v>3.1967585624742391E-3</v>
      </c>
      <c r="U10" s="1691">
        <f ca="1">Costs!U10/('Global assumptions'!$C$7*NAIRA2010_*250)</f>
        <v>4.0533987436874594E-3</v>
      </c>
      <c r="V10" s="1691">
        <f ca="1">Costs!V10/('Global assumptions'!$C$7*NAIRA2010_*250)</f>
        <v>5.1983728802063728E-3</v>
      </c>
      <c r="W10" s="1691">
        <f ca="1">Costs!W10/('Global assumptions'!$C$7*NAIRA2010_*250)</f>
        <v>6.343347016725287E-3</v>
      </c>
      <c r="X10" s="675"/>
      <c r="Y10" s="1691">
        <f ca="1">Costs!Y10/('Global assumptions'!$C$7*NAIRA2010_*250)</f>
        <v>0</v>
      </c>
      <c r="Z10" s="1691">
        <f ca="1">Costs!Z10/('Global assumptions'!$C$7*NAIRA2010_*250)</f>
        <v>0</v>
      </c>
      <c r="AA10" s="1691">
        <f ca="1">Costs!AA10/('Global assumptions'!$C$7*NAIRA2010_*250)</f>
        <v>0</v>
      </c>
      <c r="AB10" s="1691">
        <f ca="1">Costs!AB10/('Global assumptions'!$C$7*NAIRA2010_*250)</f>
        <v>0</v>
      </c>
      <c r="AC10" s="1691">
        <f ca="1">Costs!AC10/('Global assumptions'!$C$7*NAIRA2010_*250)</f>
        <v>0</v>
      </c>
      <c r="AD10" s="1691">
        <f ca="1">Costs!AD10/('Global assumptions'!$C$7*NAIRA2010_*250)</f>
        <v>0</v>
      </c>
      <c r="AE10" s="1691">
        <f ca="1">Costs!AE10/('Global assumptions'!$C$7*NAIRA2010_*250)</f>
        <v>0</v>
      </c>
      <c r="AF10" s="1691">
        <f ca="1">Costs!AF10/('Global assumptions'!$C$7*NAIRA2010_*250)</f>
        <v>0</v>
      </c>
      <c r="AG10" s="1691">
        <f ca="1">Costs!AG10/('Global assumptions'!$C$7*NAIRA2010_*250)</f>
        <v>0</v>
      </c>
      <c r="AH10" s="675"/>
      <c r="AI10" s="1691">
        <f ca="1">Costs!AI10/('Global assumptions'!$C$7*NAIRA2010_*250)</f>
        <v>0</v>
      </c>
      <c r="AJ10" s="1691">
        <f ca="1">Costs!AJ10/('Global assumptions'!$C$7*NAIRA2010_*250)</f>
        <v>0</v>
      </c>
      <c r="AK10" s="1691">
        <f ca="1">Costs!AK10/('Global assumptions'!$C$7*NAIRA2010_*250)</f>
        <v>13.54050104521896</v>
      </c>
      <c r="AL10" s="1691">
        <f ca="1">Costs!AL10/('Global assumptions'!$C$7*NAIRA2010_*250)</f>
        <v>22.744689493136605</v>
      </c>
      <c r="AM10" s="1691">
        <f ca="1">Costs!AM10/('Global assumptions'!$C$7*NAIRA2010_*250)</f>
        <v>34.255837340787188</v>
      </c>
      <c r="AN10" s="1691">
        <f ca="1">Costs!AN10/('Global assumptions'!$C$7*NAIRA2010_*250)</f>
        <v>57.335520431546854</v>
      </c>
      <c r="AO10" s="1691">
        <f ca="1">Costs!AO10/('Global assumptions'!$C$7*NAIRA2010_*250)</f>
        <v>34.269660647272488</v>
      </c>
      <c r="AP10" s="1691">
        <f ca="1">Costs!AP10/('Global assumptions'!$C$7*NAIRA2010_*250)</f>
        <v>59.344326374792189</v>
      </c>
      <c r="AQ10" s="1691">
        <f ca="1">Costs!AQ10/('Global assumptions'!$C$7*NAIRA2010_*250)</f>
        <v>82.089253743441944</v>
      </c>
      <c r="AS10" s="1707">
        <f t="shared" ca="1" si="3"/>
        <v>33.731087675132912</v>
      </c>
      <c r="AT10" s="1707">
        <f ca="1">(SUMPRODUCT(AJ10:AQ10,discount_factors)*5)+AI10</f>
        <v>147.23624500840975</v>
      </c>
      <c r="AU10" s="675"/>
      <c r="AV10" s="1700">
        <f>IFERROR(VLOOKUP($A10,Cost.FinanceCostTable,3,FALSE),'Global assumptions'!$D$35)</f>
        <v>0</v>
      </c>
      <c r="AW10" s="1692">
        <f>IFERROR(VLOOKUP($A10,Cost.FinanceCostTable,4,FALSE),'Global assumptions'!$E$35)</f>
        <v>5</v>
      </c>
      <c r="AX10" s="675"/>
      <c r="AY10" s="1691">
        <f ca="1">Costs!AY10/('Global assumptions'!$C$7*NAIRA2010_*250)</f>
        <v>0</v>
      </c>
      <c r="AZ10" s="1691">
        <f ca="1">Costs!AZ10/('Global assumptions'!$C$7*NAIRA2010_*250)</f>
        <v>0</v>
      </c>
      <c r="BA10" s="1691">
        <f ca="1">Costs!BA10/('Global assumptions'!$C$7*NAIRA2010_*250)</f>
        <v>13.54016254115543</v>
      </c>
      <c r="BB10" s="1691">
        <f ca="1">Costs!BB10/('Global assumptions'!$C$7*NAIRA2010_*250)</f>
        <v>22.743782394513211</v>
      </c>
      <c r="BC10" s="1691">
        <f ca="1">Costs!BC10/('Global assumptions'!$C$7*NAIRA2010_*250)</f>
        <v>34.25407389031654</v>
      </c>
      <c r="BD10" s="1691">
        <f ca="1">Costs!BD10/('Global assumptions'!$C$7*NAIRA2010_*250)</f>
        <v>57.33232367298438</v>
      </c>
      <c r="BE10" s="1691">
        <f ca="1">Costs!BE10/('Global assumptions'!$C$7*NAIRA2010_*250)</f>
        <v>34.265607248528802</v>
      </c>
      <c r="BF10" s="1691">
        <f ca="1">Costs!BF10/('Global assumptions'!$C$7*NAIRA2010_*250)</f>
        <v>59.33912800191198</v>
      </c>
      <c r="BG10" s="1691">
        <f ca="1">Costs!BG10/('Global assumptions'!$C$7*NAIRA2010_*250)</f>
        <v>82.08291039642522</v>
      </c>
      <c r="BH10" s="675"/>
      <c r="BI10" s="1691">
        <f ca="1">Costs!BI10/('Global assumptions'!$C$7*NAIRA2010_*250)</f>
        <v>0</v>
      </c>
      <c r="BJ10" s="1691">
        <f ca="1">Costs!BJ10/('Global assumptions'!$C$7*NAIRA2010_*250)</f>
        <v>0</v>
      </c>
      <c r="BK10" s="1691">
        <f ca="1">Costs!BK10/('Global assumptions'!$C$7*NAIRA2010_*250)</f>
        <v>13.54016254115543</v>
      </c>
      <c r="BL10" s="1691">
        <f ca="1">Costs!BL10/('Global assumptions'!$C$7*NAIRA2010_*250)</f>
        <v>22.743782394513211</v>
      </c>
      <c r="BM10" s="1691">
        <f ca="1">Costs!BM10/('Global assumptions'!$C$7*NAIRA2010_*250)</f>
        <v>34.25407389031654</v>
      </c>
      <c r="BN10" s="1691">
        <f ca="1">Costs!BN10/('Global assumptions'!$C$7*NAIRA2010_*250)</f>
        <v>57.33232367298438</v>
      </c>
      <c r="BO10" s="1691">
        <f ca="1">Costs!BO10/('Global assumptions'!$C$7*NAIRA2010_*250)</f>
        <v>34.265607248528802</v>
      </c>
      <c r="BP10" s="1691">
        <f ca="1">Costs!BP10/('Global assumptions'!$C$7*NAIRA2010_*250)</f>
        <v>59.33912800191198</v>
      </c>
      <c r="BQ10" s="1691">
        <f ca="1">Costs!BQ10/('Global assumptions'!$C$7*NAIRA2010_*250)</f>
        <v>82.08291039642522</v>
      </c>
      <c r="BR10" s="675"/>
      <c r="BS10" s="1691">
        <f ca="1">Costs!BS10/('Global assumptions'!$C$7*NAIRA2010_*250)</f>
        <v>0</v>
      </c>
      <c r="BT10" s="1691">
        <f ca="1">Costs!BT10/('Global assumptions'!$C$7*NAIRA2010_*250)</f>
        <v>0</v>
      </c>
      <c r="BU10" s="1691">
        <f ca="1">Costs!BU10/('Global assumptions'!$C$7*NAIRA2010_*250)</f>
        <v>13.54050104521896</v>
      </c>
      <c r="BV10" s="1691">
        <f ca="1">Costs!BV10/('Global assumptions'!$C$7*NAIRA2010_*250)</f>
        <v>22.744689493136605</v>
      </c>
      <c r="BW10" s="1691">
        <f ca="1">Costs!BW10/('Global assumptions'!$C$7*NAIRA2010_*250)</f>
        <v>34.255837340787188</v>
      </c>
      <c r="BX10" s="1691">
        <f ca="1">Costs!BX10/('Global assumptions'!$C$7*NAIRA2010_*250)</f>
        <v>57.335520431546854</v>
      </c>
      <c r="BY10" s="1691">
        <f ca="1">Costs!BY10/('Global assumptions'!$C$7*NAIRA2010_*250)</f>
        <v>34.269660647272488</v>
      </c>
      <c r="BZ10" s="1691">
        <f ca="1">Costs!BZ10/('Global assumptions'!$C$7*NAIRA2010_*250)</f>
        <v>59.344326374792189</v>
      </c>
      <c r="CA10" s="1691">
        <f ca="1">Costs!CA10/('Global assumptions'!$C$7*NAIRA2010_*250)</f>
        <v>82.089253743441944</v>
      </c>
      <c r="CC10" s="1707">
        <f t="shared" ca="1" si="4"/>
        <v>33.731087675132912</v>
      </c>
      <c r="CD10" s="1707">
        <f ca="1">(SUMPRODUCT(BT10:CA10,discount_factors)*5)+BS10</f>
        <v>147.23624500840975</v>
      </c>
      <c r="CF10" s="1691">
        <f ca="1">Costs!CF10/('Global assumptions'!$C$7*NAIRA2010_*250)</f>
        <v>0</v>
      </c>
      <c r="CG10" s="1691">
        <f ca="1">Costs!CG10/('Global assumptions'!$C$7*NAIRA2010_*250)</f>
        <v>0</v>
      </c>
      <c r="CH10" s="1691">
        <f ca="1">Costs!CH10/('Global assumptions'!$C$7*NAIRA2010_*250)</f>
        <v>0</v>
      </c>
      <c r="CI10" s="1691">
        <f ca="1">Costs!CI10/('Global assumptions'!$C$7*NAIRA2010_*250)</f>
        <v>0</v>
      </c>
      <c r="CJ10" s="1691">
        <f ca="1">Costs!CJ10/('Global assumptions'!$C$7*NAIRA2010_*250)</f>
        <v>0</v>
      </c>
      <c r="CK10" s="1691">
        <f ca="1">Costs!CK10/('Global assumptions'!$C$7*NAIRA2010_*250)</f>
        <v>0</v>
      </c>
      <c r="CL10" s="1691">
        <f ca="1">Costs!CL10/('Global assumptions'!$C$7*NAIRA2010_*250)</f>
        <v>0</v>
      </c>
      <c r="CM10" s="1691">
        <f ca="1">Costs!CM10/('Global assumptions'!$C$7*NAIRA2010_*250)</f>
        <v>0</v>
      </c>
      <c r="CN10" s="1691">
        <f ca="1">Costs!CN10/('Global assumptions'!$C$7*NAIRA2010_*250)</f>
        <v>0</v>
      </c>
      <c r="CP10" s="1707">
        <f t="shared" ca="1" si="5"/>
        <v>0</v>
      </c>
      <c r="CQ10" s="1707">
        <f ca="1">(SUMPRODUCT(CG10:CN10,discount_factors)*5)+CF10</f>
        <v>0</v>
      </c>
      <c r="CR10" s="1426" t="str">
        <f ca="1">IF(ABS(CD10-CQ10-AT10)&lt;1,"ok","err")</f>
        <v>ok</v>
      </c>
    </row>
    <row r="11" spans="1:96" s="2479" customFormat="1" x14ac:dyDescent="0.2">
      <c r="A11" s="1685" t="s">
        <v>2376</v>
      </c>
      <c r="B11" s="1685" t="s">
        <v>1192</v>
      </c>
      <c r="C11" s="1685" t="s">
        <v>4</v>
      </c>
      <c r="E11" s="1691">
        <f ca="1">Costs!E11/('Global assumptions'!$C$7*NAIRA2010_*250)</f>
        <v>0</v>
      </c>
      <c r="F11" s="1691">
        <f ca="1">Costs!F11/('Global assumptions'!$C$7*NAIRA2010_*250)</f>
        <v>0</v>
      </c>
      <c r="G11" s="1691">
        <f ca="1">Costs!G11/('Global assumptions'!$C$7*NAIRA2010_*250)</f>
        <v>19.756642617546209</v>
      </c>
      <c r="H11" s="1691">
        <f ca="1">Costs!H11/('Global assumptions'!$C$7*NAIRA2010_*250)</f>
        <v>19.791242692182898</v>
      </c>
      <c r="I11" s="1691">
        <f ca="1">Costs!I11/('Global assumptions'!$C$7*NAIRA2010_*250)</f>
        <v>19.756642617546216</v>
      </c>
      <c r="J11" s="1691">
        <f ca="1">Costs!J11/('Global assumptions'!$C$7*NAIRA2010_*250)</f>
        <v>19.791242692182891</v>
      </c>
      <c r="K11" s="1691">
        <f ca="1">Costs!K11/('Global assumptions'!$C$7*NAIRA2010_*250)</f>
        <v>19.756642617546209</v>
      </c>
      <c r="L11" s="1691">
        <f ca="1">Costs!L11/('Global assumptions'!$C$7*NAIRA2010_*250)</f>
        <v>39.547885309729118</v>
      </c>
      <c r="M11" s="1691">
        <f ca="1">Costs!M11/('Global assumptions'!$C$7*NAIRA2010_*250)</f>
        <v>59.304527927275309</v>
      </c>
      <c r="N11" s="675"/>
      <c r="O11" s="1691">
        <f ca="1">Costs!O11/('Global assumptions'!$C$7*NAIRA2010_*250)</f>
        <v>0</v>
      </c>
      <c r="P11" s="1691">
        <f ca="1">Costs!P11/('Global assumptions'!$C$7*NAIRA2010_*250)</f>
        <v>0</v>
      </c>
      <c r="Q11" s="1691">
        <f ca="1">Costs!Q11/('Global assumptions'!$C$7*NAIRA2010_*250)</f>
        <v>6.5855475391820694E-4</v>
      </c>
      <c r="R11" s="1691">
        <f ca="1">Costs!R11/('Global assumptions'!$C$7*NAIRA2010_*250)</f>
        <v>1.318262843657637E-3</v>
      </c>
      <c r="S11" s="1691">
        <f ca="1">Costs!S11/('Global assumptions'!$C$7*NAIRA2010_*250)</f>
        <v>1.9768175975758439E-3</v>
      </c>
      <c r="T11" s="1691">
        <f ca="1">Costs!T11/('Global assumptions'!$C$7*NAIRA2010_*250)</f>
        <v>2.6365256873152739E-3</v>
      </c>
      <c r="U11" s="1691">
        <f ca="1">Costs!U11/('Global assumptions'!$C$7*NAIRA2010_*250)</f>
        <v>3.2950804412334809E-3</v>
      </c>
      <c r="V11" s="1691">
        <f ca="1">Costs!V11/('Global assumptions'!$C$7*NAIRA2010_*250)</f>
        <v>3.9547885309729105E-3</v>
      </c>
      <c r="W11" s="1691">
        <f ca="1">Costs!W11/('Global assumptions'!$C$7*NAIRA2010_*250)</f>
        <v>4.6133432848911183E-3</v>
      </c>
      <c r="X11" s="675"/>
      <c r="Y11" s="1691">
        <f ca="1">Costs!Y11/('Global assumptions'!$C$7*NAIRA2010_*250)</f>
        <v>0</v>
      </c>
      <c r="Z11" s="1691">
        <f ca="1">Costs!Z11/('Global assumptions'!$C$7*NAIRA2010_*250)</f>
        <v>0</v>
      </c>
      <c r="AA11" s="1691">
        <f ca="1">Costs!AA11/('Global assumptions'!$C$7*NAIRA2010_*250)</f>
        <v>0</v>
      </c>
      <c r="AB11" s="1691">
        <f ca="1">Costs!AB11/('Global assumptions'!$C$7*NAIRA2010_*250)</f>
        <v>0</v>
      </c>
      <c r="AC11" s="1691">
        <f ca="1">Costs!AC11/('Global assumptions'!$C$7*NAIRA2010_*250)</f>
        <v>0</v>
      </c>
      <c r="AD11" s="1691">
        <f ca="1">Costs!AD11/('Global assumptions'!$C$7*NAIRA2010_*250)</f>
        <v>0</v>
      </c>
      <c r="AE11" s="1691">
        <f ca="1">Costs!AE11/('Global assumptions'!$C$7*NAIRA2010_*250)</f>
        <v>0</v>
      </c>
      <c r="AF11" s="1691">
        <f ca="1">Costs!AF11/('Global assumptions'!$C$7*NAIRA2010_*250)</f>
        <v>0</v>
      </c>
      <c r="AG11" s="1691">
        <f ca="1">Costs!AG11/('Global assumptions'!$C$7*NAIRA2010_*250)</f>
        <v>0</v>
      </c>
      <c r="AH11" s="675"/>
      <c r="AI11" s="1691">
        <f ca="1">Costs!AI11/('Global assumptions'!$C$7*NAIRA2010_*250)</f>
        <v>0</v>
      </c>
      <c r="AJ11" s="1691">
        <f ca="1">Costs!AJ11/('Global assumptions'!$C$7*NAIRA2010_*250)</f>
        <v>0</v>
      </c>
      <c r="AK11" s="1691">
        <f ca="1">Costs!AK11/('Global assumptions'!$C$7*NAIRA2010_*250)</f>
        <v>19.757301172300128</v>
      </c>
      <c r="AL11" s="1691">
        <f ca="1">Costs!AL11/('Global assumptions'!$C$7*NAIRA2010_*250)</f>
        <v>19.792560955026556</v>
      </c>
      <c r="AM11" s="1691">
        <f ca="1">Costs!AM11/('Global assumptions'!$C$7*NAIRA2010_*250)</f>
        <v>19.758619435143792</v>
      </c>
      <c r="AN11" s="1691">
        <f ca="1">Costs!AN11/('Global assumptions'!$C$7*NAIRA2010_*250)</f>
        <v>19.793879217870209</v>
      </c>
      <c r="AO11" s="1691">
        <f ca="1">Costs!AO11/('Global assumptions'!$C$7*NAIRA2010_*250)</f>
        <v>19.759937697987443</v>
      </c>
      <c r="AP11" s="1691">
        <f ca="1">Costs!AP11/('Global assumptions'!$C$7*NAIRA2010_*250)</f>
        <v>39.551840098260087</v>
      </c>
      <c r="AQ11" s="1691">
        <f ca="1">Costs!AQ11/('Global assumptions'!$C$7*NAIRA2010_*250)</f>
        <v>59.309141270560197</v>
      </c>
      <c r="AS11" s="1707">
        <f t="shared" ca="1" si="3"/>
        <v>21.969253316349821</v>
      </c>
      <c r="AT11" s="1707">
        <f ca="1">(SUMPRODUCT(AJ11:AQ11,discount_factors)*5)+AI11</f>
        <v>113.68067503487914</v>
      </c>
      <c r="AU11" s="675"/>
      <c r="AV11" s="1700">
        <f>IFERROR(VLOOKUP($A11,Cost.FinanceCostTable,3,FALSE),'Global assumptions'!$D$35)</f>
        <v>0</v>
      </c>
      <c r="AW11" s="1692">
        <f>IFERROR(VLOOKUP($A11,Cost.FinanceCostTable,4,FALSE),'Global assumptions'!$E$35)</f>
        <v>5</v>
      </c>
      <c r="AX11" s="675"/>
      <c r="AY11" s="1691">
        <f ca="1">Costs!AY11/('Global assumptions'!$C$7*NAIRA2010_*250)</f>
        <v>0</v>
      </c>
      <c r="AZ11" s="1691">
        <f ca="1">Costs!AZ11/('Global assumptions'!$C$7*NAIRA2010_*250)</f>
        <v>0</v>
      </c>
      <c r="BA11" s="1691">
        <f ca="1">Costs!BA11/('Global assumptions'!$C$7*NAIRA2010_*250)</f>
        <v>19.756642617546209</v>
      </c>
      <c r="BB11" s="1691">
        <f ca="1">Costs!BB11/('Global assumptions'!$C$7*NAIRA2010_*250)</f>
        <v>19.791242692182898</v>
      </c>
      <c r="BC11" s="1691">
        <f ca="1">Costs!BC11/('Global assumptions'!$C$7*NAIRA2010_*250)</f>
        <v>19.756642617546216</v>
      </c>
      <c r="BD11" s="1691">
        <f ca="1">Costs!BD11/('Global assumptions'!$C$7*NAIRA2010_*250)</f>
        <v>19.791242692182891</v>
      </c>
      <c r="BE11" s="1691">
        <f ca="1">Costs!BE11/('Global assumptions'!$C$7*NAIRA2010_*250)</f>
        <v>19.756642617546209</v>
      </c>
      <c r="BF11" s="1691">
        <f ca="1">Costs!BF11/('Global assumptions'!$C$7*NAIRA2010_*250)</f>
        <v>39.547885309729118</v>
      </c>
      <c r="BG11" s="1691">
        <f ca="1">Costs!BG11/('Global assumptions'!$C$7*NAIRA2010_*250)</f>
        <v>59.304527927275309</v>
      </c>
      <c r="BH11" s="675"/>
      <c r="BI11" s="1691">
        <f ca="1">Costs!BI11/('Global assumptions'!$C$7*NAIRA2010_*250)</f>
        <v>0</v>
      </c>
      <c r="BJ11" s="1691">
        <f ca="1">Costs!BJ11/('Global assumptions'!$C$7*NAIRA2010_*250)</f>
        <v>0</v>
      </c>
      <c r="BK11" s="1691">
        <f ca="1">Costs!BK11/('Global assumptions'!$C$7*NAIRA2010_*250)</f>
        <v>19.756642617546209</v>
      </c>
      <c r="BL11" s="1691">
        <f ca="1">Costs!BL11/('Global assumptions'!$C$7*NAIRA2010_*250)</f>
        <v>19.791242692182898</v>
      </c>
      <c r="BM11" s="1691">
        <f ca="1">Costs!BM11/('Global assumptions'!$C$7*NAIRA2010_*250)</f>
        <v>19.756642617546216</v>
      </c>
      <c r="BN11" s="1691">
        <f ca="1">Costs!BN11/('Global assumptions'!$C$7*NAIRA2010_*250)</f>
        <v>19.791242692182891</v>
      </c>
      <c r="BO11" s="1691">
        <f ca="1">Costs!BO11/('Global assumptions'!$C$7*NAIRA2010_*250)</f>
        <v>19.756642617546209</v>
      </c>
      <c r="BP11" s="1691">
        <f ca="1">Costs!BP11/('Global assumptions'!$C$7*NAIRA2010_*250)</f>
        <v>39.547885309729118</v>
      </c>
      <c r="BQ11" s="1691">
        <f ca="1">Costs!BQ11/('Global assumptions'!$C$7*NAIRA2010_*250)</f>
        <v>59.304527927275309</v>
      </c>
      <c r="BR11" s="675"/>
      <c r="BS11" s="1691">
        <f ca="1">Costs!BS11/('Global assumptions'!$C$7*NAIRA2010_*250)</f>
        <v>0</v>
      </c>
      <c r="BT11" s="1691">
        <f ca="1">Costs!BT11/('Global assumptions'!$C$7*NAIRA2010_*250)</f>
        <v>0</v>
      </c>
      <c r="BU11" s="1691">
        <f ca="1">Costs!BU11/('Global assumptions'!$C$7*NAIRA2010_*250)</f>
        <v>19.757301172300128</v>
      </c>
      <c r="BV11" s="1691">
        <f ca="1">Costs!BV11/('Global assumptions'!$C$7*NAIRA2010_*250)</f>
        <v>19.792560955026556</v>
      </c>
      <c r="BW11" s="1691">
        <f ca="1">Costs!BW11/('Global assumptions'!$C$7*NAIRA2010_*250)</f>
        <v>19.758619435143792</v>
      </c>
      <c r="BX11" s="1691">
        <f ca="1">Costs!BX11/('Global assumptions'!$C$7*NAIRA2010_*250)</f>
        <v>19.793879217870209</v>
      </c>
      <c r="BY11" s="1691">
        <f ca="1">Costs!BY11/('Global assumptions'!$C$7*NAIRA2010_*250)</f>
        <v>19.759937697987443</v>
      </c>
      <c r="BZ11" s="1691">
        <f ca="1">Costs!BZ11/('Global assumptions'!$C$7*NAIRA2010_*250)</f>
        <v>39.551840098260087</v>
      </c>
      <c r="CA11" s="1691">
        <f ca="1">Costs!CA11/('Global assumptions'!$C$7*NAIRA2010_*250)</f>
        <v>59.309141270560197</v>
      </c>
      <c r="CC11" s="1707">
        <f t="shared" ca="1" si="4"/>
        <v>21.969253316349821</v>
      </c>
      <c r="CD11" s="1707">
        <f ca="1">(SUMPRODUCT(BT11:CA11,discount_factors)*5)+BS11</f>
        <v>113.68067503487914</v>
      </c>
      <c r="CF11" s="1691">
        <f ca="1">Costs!CF11/('Global assumptions'!$C$7*NAIRA2010_*250)</f>
        <v>0</v>
      </c>
      <c r="CG11" s="1691">
        <f ca="1">Costs!CG11/('Global assumptions'!$C$7*NAIRA2010_*250)</f>
        <v>0</v>
      </c>
      <c r="CH11" s="1691">
        <f ca="1">Costs!CH11/('Global assumptions'!$C$7*NAIRA2010_*250)</f>
        <v>0</v>
      </c>
      <c r="CI11" s="1691">
        <f ca="1">Costs!CI11/('Global assumptions'!$C$7*NAIRA2010_*250)</f>
        <v>0</v>
      </c>
      <c r="CJ11" s="1691">
        <f ca="1">Costs!CJ11/('Global assumptions'!$C$7*NAIRA2010_*250)</f>
        <v>0</v>
      </c>
      <c r="CK11" s="1691">
        <f ca="1">Costs!CK11/('Global assumptions'!$C$7*NAIRA2010_*250)</f>
        <v>0</v>
      </c>
      <c r="CL11" s="1691">
        <f ca="1">Costs!CL11/('Global assumptions'!$C$7*NAIRA2010_*250)</f>
        <v>0</v>
      </c>
      <c r="CM11" s="1691">
        <f ca="1">Costs!CM11/('Global assumptions'!$C$7*NAIRA2010_*250)</f>
        <v>0</v>
      </c>
      <c r="CN11" s="1691">
        <f ca="1">Costs!CN11/('Global assumptions'!$C$7*NAIRA2010_*250)</f>
        <v>0</v>
      </c>
      <c r="CP11" s="1707">
        <f t="shared" ca="1" si="5"/>
        <v>0</v>
      </c>
      <c r="CQ11" s="1707">
        <f ca="1">(SUMPRODUCT(CG11:CN11,discount_factors)*5)+CF11</f>
        <v>0</v>
      </c>
      <c r="CR11" s="1426" t="str">
        <f ca="1">IF(ABS(CD11-CQ11-AT11)&lt;1,"ok","err")</f>
        <v>ok</v>
      </c>
    </row>
    <row r="12" spans="1:96" x14ac:dyDescent="0.2">
      <c r="A12" s="1683" t="s">
        <v>409</v>
      </c>
      <c r="B12" s="1683" t="s">
        <v>2371</v>
      </c>
      <c r="C12" s="1683" t="s">
        <v>4</v>
      </c>
      <c r="E12" s="1689">
        <f ca="1">Costs!E12/('Global assumptions'!$C$7*NAIRA2010_*250)</f>
        <v>0</v>
      </c>
      <c r="F12" s="1689">
        <f ca="1">Costs!F12/('Global assumptions'!$C$7*NAIRA2010_*250)</f>
        <v>1.6781036198791441</v>
      </c>
      <c r="G12" s="1689">
        <f ca="1">Costs!G12/('Global assumptions'!$C$7*NAIRA2010_*250)</f>
        <v>35.880277398240672</v>
      </c>
      <c r="H12" s="1689">
        <f ca="1">Costs!H12/('Global assumptions'!$C$7*NAIRA2010_*250)</f>
        <v>23.735651200764803</v>
      </c>
      <c r="I12" s="1689">
        <f ca="1">Costs!I12/('Global assumptions'!$C$7*NAIRA2010_*250)</f>
        <v>23.701051126128117</v>
      </c>
      <c r="J12" s="1689">
        <f ca="1">Costs!J12/('Global assumptions'!$C$7*NAIRA2010_*250)</f>
        <v>20.310243811733148</v>
      </c>
      <c r="K12" s="1689">
        <f ca="1">Costs!K12/('Global assumptions'!$C$7*NAIRA2010_*250)</f>
        <v>24.444952730816812</v>
      </c>
      <c r="L12" s="1689">
        <f ca="1">Costs!L12/('Global assumptions'!$C$7*NAIRA2010_*250)</f>
        <v>65.792041921653478</v>
      </c>
      <c r="M12" s="1689">
        <f ca="1">Costs!M12/('Global assumptions'!$C$7*NAIRA2010_*250)</f>
        <v>112.74434320363278</v>
      </c>
      <c r="N12" s="675"/>
      <c r="O12" s="1689">
        <f ca="1">Costs!O12/('Global assumptions'!$C$7*NAIRA2010_*250)</f>
        <v>8.6500186591708466E-7</v>
      </c>
      <c r="P12" s="1689">
        <f ca="1">Costs!P12/('Global assumptions'!$C$7*NAIRA2010_*250)</f>
        <v>2.8833395530569489E-5</v>
      </c>
      <c r="Q12" s="1689">
        <f ca="1">Costs!Q12/('Global assumptions'!$C$7*NAIRA2010_*250)</f>
        <v>6.268380188345806E-4</v>
      </c>
      <c r="R12" s="1689">
        <f ca="1">Costs!R12/('Global assumptions'!$C$7*NAIRA2010_*250)</f>
        <v>1.022432205513994E-3</v>
      </c>
      <c r="S12" s="1689">
        <f ca="1">Costs!S12/('Global assumptions'!$C$7*NAIRA2010_*250)</f>
        <v>1.4174497242827959E-3</v>
      </c>
      <c r="T12" s="1689">
        <f ca="1">Costs!T12/('Global assumptions'!$C$7*NAIRA2010_*250)</f>
        <v>1.7550887859457648E-3</v>
      </c>
      <c r="U12" s="1689">
        <f ca="1">Costs!U12/('Global assumptions'!$C$7*NAIRA2010_*250)</f>
        <v>2.1336712692621418E-3</v>
      </c>
      <c r="V12" s="1689">
        <f ca="1">Costs!V12/('Global assumptions'!$C$7*NAIRA2010_*250)</f>
        <v>2.6033672824551193E-3</v>
      </c>
      <c r="W12" s="1689">
        <f ca="1">Costs!W12/('Global assumptions'!$C$7*NAIRA2010_*250)</f>
        <v>3.4600074636683383E-3</v>
      </c>
      <c r="X12" s="675"/>
      <c r="Y12" s="1689">
        <f ca="1">Costs!Y12/('Global assumptions'!$C$7*NAIRA2010_*250)</f>
        <v>0</v>
      </c>
      <c r="Z12" s="1689">
        <f ca="1">Costs!Z12/('Global assumptions'!$C$7*NAIRA2010_*250)</f>
        <v>0</v>
      </c>
      <c r="AA12" s="1689">
        <f ca="1">Costs!AA12/('Global assumptions'!$C$7*NAIRA2010_*250)</f>
        <v>0</v>
      </c>
      <c r="AB12" s="1689">
        <f ca="1">Costs!AB12/('Global assumptions'!$C$7*NAIRA2010_*250)</f>
        <v>0</v>
      </c>
      <c r="AC12" s="1689">
        <f ca="1">Costs!AC12/('Global assumptions'!$C$7*NAIRA2010_*250)</f>
        <v>0</v>
      </c>
      <c r="AD12" s="1689">
        <f ca="1">Costs!AD12/('Global assumptions'!$C$7*NAIRA2010_*250)</f>
        <v>0</v>
      </c>
      <c r="AE12" s="1689">
        <f ca="1">Costs!AE12/('Global assumptions'!$C$7*NAIRA2010_*250)</f>
        <v>0</v>
      </c>
      <c r="AF12" s="1689">
        <f ca="1">Costs!AF12/('Global assumptions'!$C$7*NAIRA2010_*250)</f>
        <v>0</v>
      </c>
      <c r="AG12" s="1689">
        <f ca="1">Costs!AG12/('Global assumptions'!$C$7*NAIRA2010_*250)</f>
        <v>0</v>
      </c>
      <c r="AH12" s="675"/>
      <c r="AI12" s="1689">
        <f ca="1">Costs!AI12/('Global assumptions'!$C$7*NAIRA2010_*250)</f>
        <v>8.6500186591708466E-7</v>
      </c>
      <c r="AJ12" s="1689">
        <f ca="1">Costs!AJ12/('Global assumptions'!$C$7*NAIRA2010_*250)</f>
        <v>1.6781324532746746</v>
      </c>
      <c r="AK12" s="1689">
        <f ca="1">Costs!AK12/('Global assumptions'!$C$7*NAIRA2010_*250)</f>
        <v>35.880904236259504</v>
      </c>
      <c r="AL12" s="1689">
        <f ca="1">Costs!AL12/('Global assumptions'!$C$7*NAIRA2010_*250)</f>
        <v>23.736673632970316</v>
      </c>
      <c r="AM12" s="1689">
        <f ca="1">Costs!AM12/('Global assumptions'!$C$7*NAIRA2010_*250)</f>
        <v>23.7024685758524</v>
      </c>
      <c r="AN12" s="1689">
        <f ca="1">Costs!AN12/('Global assumptions'!$C$7*NAIRA2010_*250)</f>
        <v>20.311998900519093</v>
      </c>
      <c r="AO12" s="1689">
        <f ca="1">Costs!AO12/('Global assumptions'!$C$7*NAIRA2010_*250)</f>
        <v>24.447086402086072</v>
      </c>
      <c r="AP12" s="1689">
        <f ca="1">Costs!AP12/('Global assumptions'!$C$7*NAIRA2010_*250)</f>
        <v>65.794645288935939</v>
      </c>
      <c r="AQ12" s="1689">
        <f ca="1">Costs!AQ12/('Global assumptions'!$C$7*NAIRA2010_*250)</f>
        <v>112.74780321109645</v>
      </c>
      <c r="AS12" s="1706">
        <f t="shared" ca="1" si="3"/>
        <v>34.255523729555144</v>
      </c>
      <c r="AT12" s="1706">
        <f t="shared" ca="1" si="0"/>
        <v>177.08706557911728</v>
      </c>
      <c r="AU12" s="675"/>
      <c r="AV12" s="1699">
        <f>IFERROR(VLOOKUP($A12,Cost.FinanceCostTable,3,FALSE),'Global assumptions'!$D$35)</f>
        <v>0</v>
      </c>
      <c r="AW12" s="1690">
        <f>IFERROR(VLOOKUP($A12,Cost.FinanceCostTable,4,FALSE),'Global assumptions'!$E$35)</f>
        <v>25</v>
      </c>
      <c r="AX12" s="675"/>
      <c r="AY12" s="1689">
        <f ca="1">Costs!AY12/('Global assumptions'!$C$7*NAIRA2010_*250)</f>
        <v>0</v>
      </c>
      <c r="AZ12" s="1689">
        <f ca="1">Costs!AZ12/('Global assumptions'!$C$7*NAIRA2010_*250)</f>
        <v>0.33562072397582882</v>
      </c>
      <c r="BA12" s="1689">
        <f ca="1">Costs!BA12/('Global assumptions'!$C$7*NAIRA2010_*250)</f>
        <v>7.1760554796481335</v>
      </c>
      <c r="BB12" s="1689">
        <f ca="1">Costs!BB12/('Global assumptions'!$C$7*NAIRA2010_*250)</f>
        <v>4.74713024015296</v>
      </c>
      <c r="BC12" s="1689">
        <f ca="1">Costs!BC12/('Global assumptions'!$C$7*NAIRA2010_*250)</f>
        <v>4.7402102252256233</v>
      </c>
      <c r="BD12" s="1689">
        <f ca="1">Costs!BD12/('Global assumptions'!$C$7*NAIRA2010_*250)</f>
        <v>4.0620487623466293</v>
      </c>
      <c r="BE12" s="1689">
        <f ca="1">Costs!BE12/('Global assumptions'!$C$7*NAIRA2010_*250)</f>
        <v>4.8889905461633623</v>
      </c>
      <c r="BF12" s="1689">
        <f ca="1">Costs!BF12/('Global assumptions'!$C$7*NAIRA2010_*250)</f>
        <v>13.158408384330695</v>
      </c>
      <c r="BG12" s="1689">
        <f ca="1">Costs!BG12/('Global assumptions'!$C$7*NAIRA2010_*250)</f>
        <v>22.548868640726557</v>
      </c>
      <c r="BH12" s="675"/>
      <c r="BI12" s="1689">
        <f ca="1">Costs!BI12/('Global assumptions'!$C$7*NAIRA2010_*250)</f>
        <v>0</v>
      </c>
      <c r="BJ12" s="1689">
        <f ca="1">Costs!BJ12/('Global assumptions'!$C$7*NAIRA2010_*250)</f>
        <v>0.33562072397582882</v>
      </c>
      <c r="BK12" s="1689">
        <f ca="1">Costs!BK12/('Global assumptions'!$C$7*NAIRA2010_*250)</f>
        <v>7.5116762036239626</v>
      </c>
      <c r="BL12" s="1689">
        <f ca="1">Costs!BL12/('Global assumptions'!$C$7*NAIRA2010_*250)</f>
        <v>12.258806443776923</v>
      </c>
      <c r="BM12" s="1689">
        <f ca="1">Costs!BM12/('Global assumptions'!$C$7*NAIRA2010_*250)</f>
        <v>16.999016669002547</v>
      </c>
      <c r="BN12" s="1689">
        <f ca="1">Costs!BN12/('Global assumptions'!$C$7*NAIRA2010_*250)</f>
        <v>21.061065431349174</v>
      </c>
      <c r="BO12" s="1689">
        <f ca="1">Costs!BO12/('Global assumptions'!$C$7*NAIRA2010_*250)</f>
        <v>25.614435253536708</v>
      </c>
      <c r="BP12" s="1689">
        <f ca="1">Costs!BP12/('Global assumptions'!$C$7*NAIRA2010_*250)</f>
        <v>36.336998383444893</v>
      </c>
      <c r="BQ12" s="1689">
        <f ca="1">Costs!BQ12/('Global assumptions'!$C$7*NAIRA2010_*250)</f>
        <v>54.138736784018498</v>
      </c>
      <c r="BR12" s="675"/>
      <c r="BS12" s="1689">
        <f ca="1">Costs!BS12/('Global assumptions'!$C$7*NAIRA2010_*250)</f>
        <v>8.6500186591708466E-7</v>
      </c>
      <c r="BT12" s="1689">
        <f ca="1">Costs!BT12/('Global assumptions'!$C$7*NAIRA2010_*250)</f>
        <v>0.33564955737135937</v>
      </c>
      <c r="BU12" s="1689">
        <f ca="1">Costs!BU12/('Global assumptions'!$C$7*NAIRA2010_*250)</f>
        <v>7.5123030416427969</v>
      </c>
      <c r="BV12" s="1689">
        <f ca="1">Costs!BV12/('Global assumptions'!$C$7*NAIRA2010_*250)</f>
        <v>12.259828875982437</v>
      </c>
      <c r="BW12" s="1689">
        <f ca="1">Costs!BW12/('Global assumptions'!$C$7*NAIRA2010_*250)</f>
        <v>17.00043411872683</v>
      </c>
      <c r="BX12" s="1689">
        <f ca="1">Costs!BX12/('Global assumptions'!$C$7*NAIRA2010_*250)</f>
        <v>21.062820520135123</v>
      </c>
      <c r="BY12" s="1689">
        <f ca="1">Costs!BY12/('Global assumptions'!$C$7*NAIRA2010_*250)</f>
        <v>25.616568924805971</v>
      </c>
      <c r="BZ12" s="1689">
        <f ca="1">Costs!BZ12/('Global assumptions'!$C$7*NAIRA2010_*250)</f>
        <v>36.339601750727354</v>
      </c>
      <c r="CA12" s="1689">
        <f ca="1">Costs!CA12/('Global assumptions'!$C$7*NAIRA2010_*250)</f>
        <v>54.142196791482164</v>
      </c>
      <c r="CC12" s="1706">
        <f t="shared" ca="1" si="4"/>
        <v>19.363267160652882</v>
      </c>
      <c r="CD12" s="1706">
        <f t="shared" ca="1" si="1"/>
        <v>80.41965211389838</v>
      </c>
      <c r="CF12" s="1689">
        <f ca="1">Costs!CF12/('Global assumptions'!$C$7*NAIRA2010_*250)</f>
        <v>0</v>
      </c>
      <c r="CG12" s="1689">
        <f ca="1">Costs!CG12/('Global assumptions'!$C$7*NAIRA2010_*250)</f>
        <v>-1.3424828959033153</v>
      </c>
      <c r="CH12" s="1689">
        <f ca="1">Costs!CH12/('Global assumptions'!$C$7*NAIRA2010_*250)</f>
        <v>-28.368601194616708</v>
      </c>
      <c r="CI12" s="1689">
        <f ca="1">Costs!CI12/('Global assumptions'!$C$7*NAIRA2010_*250)</f>
        <v>-11.476844756987878</v>
      </c>
      <c r="CJ12" s="1689">
        <f ca="1">Costs!CJ12/('Global assumptions'!$C$7*NAIRA2010_*250)</f>
        <v>-6.7020344571255714</v>
      </c>
      <c r="CK12" s="1689">
        <f ca="1">Costs!CK12/('Global assumptions'!$C$7*NAIRA2010_*250)</f>
        <v>0.75082161961602945</v>
      </c>
      <c r="CL12" s="1689">
        <f ca="1">Costs!CL12/('Global assumptions'!$C$7*NAIRA2010_*250)</f>
        <v>1.1694825227198984</v>
      </c>
      <c r="CM12" s="1689">
        <f ca="1">Costs!CM12/('Global assumptions'!$C$7*NAIRA2010_*250)</f>
        <v>-29.455043538208585</v>
      </c>
      <c r="CN12" s="1689">
        <f ca="1">Costs!CN12/('Global assumptions'!$C$7*NAIRA2010_*250)</f>
        <v>-58.60560641961429</v>
      </c>
      <c r="CP12" s="1706">
        <f t="shared" ca="1" si="5"/>
        <v>-14.892256568902269</v>
      </c>
      <c r="CQ12" s="1706">
        <f t="shared" ca="1" si="2"/>
        <v>-96.667413465218871</v>
      </c>
      <c r="CR12" s="1426" t="str">
        <f t="shared" ca="1" si="6"/>
        <v>ok</v>
      </c>
    </row>
    <row r="13" spans="1:96" x14ac:dyDescent="0.2">
      <c r="A13" s="1685" t="s">
        <v>400</v>
      </c>
      <c r="B13" s="1685" t="s">
        <v>1390</v>
      </c>
      <c r="C13" s="1685" t="s">
        <v>1189</v>
      </c>
      <c r="E13" s="1691">
        <f ca="1">Costs!E13/('Global assumptions'!$C$7*NAIRA2010_*250)</f>
        <v>5.971173185086144</v>
      </c>
      <c r="F13" s="1691">
        <f ca="1">Costs!F13/('Global assumptions'!$C$7*NAIRA2010_*250)</f>
        <v>6.9488790586872087</v>
      </c>
      <c r="G13" s="1691">
        <f ca="1">Costs!G13/('Global assumptions'!$C$7*NAIRA2010_*250)</f>
        <v>11.070815102692857</v>
      </c>
      <c r="H13" s="1691">
        <f ca="1">Costs!H13/('Global assumptions'!$C$7*NAIRA2010_*250)</f>
        <v>8.1966109096204534</v>
      </c>
      <c r="I13" s="1691">
        <f ca="1">Costs!I13/('Global assumptions'!$C$7*NAIRA2010_*250)</f>
        <v>9.1728028641596335</v>
      </c>
      <c r="J13" s="1691">
        <f ca="1">Costs!J13/('Global assumptions'!$C$7*NAIRA2010_*250)</f>
        <v>9.5840810641150433</v>
      </c>
      <c r="K13" s="1691">
        <f ca="1">Costs!K13/('Global assumptions'!$C$7*NAIRA2010_*250)</f>
        <v>10.302431170465461</v>
      </c>
      <c r="L13" s="1691">
        <f ca="1">Costs!L13/('Global assumptions'!$C$7*NAIRA2010_*250)</f>
        <v>10.656001904022245</v>
      </c>
      <c r="M13" s="1691">
        <f ca="1">Costs!M13/('Global assumptions'!$C$7*NAIRA2010_*250)</f>
        <v>8.0766656618173123</v>
      </c>
      <c r="N13" s="675"/>
      <c r="O13" s="1691">
        <f ca="1">Costs!O13/('Global assumptions'!$C$7*NAIRA2010_*250)</f>
        <v>7.9623853313920367</v>
      </c>
      <c r="P13" s="1691">
        <f ca="1">Costs!P13/('Global assumptions'!$C$7*NAIRA2010_*250)</f>
        <v>8.6891904832431059</v>
      </c>
      <c r="Q13" s="1691">
        <f ca="1">Costs!Q13/('Global assumptions'!$C$7*NAIRA2010_*250)</f>
        <v>9.5783979591564581</v>
      </c>
      <c r="R13" s="1691">
        <f ca="1">Costs!R13/('Global assumptions'!$C$7*NAIRA2010_*250)</f>
        <v>11.802229737036544</v>
      </c>
      <c r="S13" s="1691">
        <f ca="1">Costs!S13/('Global assumptions'!$C$7*NAIRA2010_*250)</f>
        <v>12.618185223406785</v>
      </c>
      <c r="T13" s="1691">
        <f ca="1">Costs!T13/('Global assumptions'!$C$7*NAIRA2010_*250)</f>
        <v>13.6962431531338</v>
      </c>
      <c r="U13" s="1691">
        <f ca="1">Costs!U13/('Global assumptions'!$C$7*NAIRA2010_*250)</f>
        <v>14.71383144927364</v>
      </c>
      <c r="V13" s="1691">
        <f ca="1">Costs!V13/('Global assumptions'!$C$7*NAIRA2010_*250)</f>
        <v>15.785544437220031</v>
      </c>
      <c r="W13" s="1691">
        <f ca="1">Costs!W13/('Global assumptions'!$C$7*NAIRA2010_*250)</f>
        <v>16.772155686407622</v>
      </c>
      <c r="X13" s="675"/>
      <c r="Y13" s="1691">
        <f ca="1">Costs!Y13/('Global assumptions'!$C$7*NAIRA2010_*250)</f>
        <v>0</v>
      </c>
      <c r="Z13" s="1691">
        <f ca="1">Costs!Z13/('Global assumptions'!$C$7*NAIRA2010_*250)</f>
        <v>0</v>
      </c>
      <c r="AA13" s="1691">
        <f ca="1">Costs!AA13/('Global assumptions'!$C$7*NAIRA2010_*250)</f>
        <v>0</v>
      </c>
      <c r="AB13" s="1691">
        <f ca="1">Costs!AB13/('Global assumptions'!$C$7*NAIRA2010_*250)</f>
        <v>0</v>
      </c>
      <c r="AC13" s="1691">
        <f ca="1">Costs!AC13/('Global assumptions'!$C$7*NAIRA2010_*250)</f>
        <v>0</v>
      </c>
      <c r="AD13" s="1691">
        <f ca="1">Costs!AD13/('Global assumptions'!$C$7*NAIRA2010_*250)</f>
        <v>0</v>
      </c>
      <c r="AE13" s="1691">
        <f ca="1">Costs!AE13/('Global assumptions'!$C$7*NAIRA2010_*250)</f>
        <v>0</v>
      </c>
      <c r="AF13" s="1691">
        <f ca="1">Costs!AF13/('Global assumptions'!$C$7*NAIRA2010_*250)</f>
        <v>0</v>
      </c>
      <c r="AG13" s="1691">
        <f ca="1">Costs!AG13/('Global assumptions'!$C$7*NAIRA2010_*250)</f>
        <v>0</v>
      </c>
      <c r="AH13" s="675"/>
      <c r="AI13" s="1691">
        <f ca="1">Costs!AI13/('Global assumptions'!$C$7*NAIRA2010_*250)</f>
        <v>13.933558516478181</v>
      </c>
      <c r="AJ13" s="1691">
        <f ca="1">Costs!AJ13/('Global assumptions'!$C$7*NAIRA2010_*250)</f>
        <v>15.638069541930316</v>
      </c>
      <c r="AK13" s="1691">
        <f ca="1">Costs!AK13/('Global assumptions'!$C$7*NAIRA2010_*250)</f>
        <v>20.649213061849313</v>
      </c>
      <c r="AL13" s="1691">
        <f ca="1">Costs!AL13/('Global assumptions'!$C$7*NAIRA2010_*250)</f>
        <v>19.998840646656998</v>
      </c>
      <c r="AM13" s="1691">
        <f ca="1">Costs!AM13/('Global assumptions'!$C$7*NAIRA2010_*250)</f>
        <v>21.790988087566419</v>
      </c>
      <c r="AN13" s="1691">
        <f ca="1">Costs!AN13/('Global assumptions'!$C$7*NAIRA2010_*250)</f>
        <v>23.280324217248843</v>
      </c>
      <c r="AO13" s="1691">
        <f ca="1">Costs!AO13/('Global assumptions'!$C$7*NAIRA2010_*250)</f>
        <v>25.016262619739102</v>
      </c>
      <c r="AP13" s="1691">
        <f ca="1">Costs!AP13/('Global assumptions'!$C$7*NAIRA2010_*250)</f>
        <v>26.441546341242276</v>
      </c>
      <c r="AQ13" s="1691">
        <f ca="1">Costs!AQ13/('Global assumptions'!$C$7*NAIRA2010_*250)</f>
        <v>24.848821348224934</v>
      </c>
      <c r="AS13" s="1707">
        <f t="shared" ca="1" si="3"/>
        <v>21.288624931215153</v>
      </c>
      <c r="AT13" s="1707">
        <f t="shared" ca="1" si="0"/>
        <v>172.16815370142365</v>
      </c>
      <c r="AU13" s="675"/>
      <c r="AV13" s="1700">
        <f>IFERROR(VLOOKUP($A13,Cost.FinanceCostTable,3,FALSE),'Global assumptions'!$D$35)</f>
        <v>0</v>
      </c>
      <c r="AW13" s="1692">
        <f>IFERROR(VLOOKUP($A13,Cost.FinanceCostTable,4,FALSE),'Global assumptions'!$E$35)</f>
        <v>30</v>
      </c>
      <c r="AX13" s="675"/>
      <c r="AY13" s="1691">
        <f ca="1">Costs!AY13/('Global assumptions'!$C$7*NAIRA2010_*250)</f>
        <v>0.59711731850861438</v>
      </c>
      <c r="AZ13" s="1691">
        <f ca="1">Costs!AZ13/('Global assumptions'!$C$7*NAIRA2010_*250)</f>
        <v>1.1581465097812016</v>
      </c>
      <c r="BA13" s="1691">
        <f ca="1">Costs!BA13/('Global assumptions'!$C$7*NAIRA2010_*250)</f>
        <v>1.8451358504488093</v>
      </c>
      <c r="BB13" s="1691">
        <f ca="1">Costs!BB13/('Global assumptions'!$C$7*NAIRA2010_*250)</f>
        <v>1.3661018182700757</v>
      </c>
      <c r="BC13" s="1691">
        <f ca="1">Costs!BC13/('Global assumptions'!$C$7*NAIRA2010_*250)</f>
        <v>1.5288004773599388</v>
      </c>
      <c r="BD13" s="1691">
        <f ca="1">Costs!BD13/('Global assumptions'!$C$7*NAIRA2010_*250)</f>
        <v>1.5973468440191738</v>
      </c>
      <c r="BE13" s="1691">
        <f ca="1">Costs!BE13/('Global assumptions'!$C$7*NAIRA2010_*250)</f>
        <v>1.7170718617442433</v>
      </c>
      <c r="BF13" s="1691">
        <f ca="1">Costs!BF13/('Global assumptions'!$C$7*NAIRA2010_*250)</f>
        <v>1.7760003173370407</v>
      </c>
      <c r="BG13" s="1691">
        <f ca="1">Costs!BG13/('Global assumptions'!$C$7*NAIRA2010_*250)</f>
        <v>1.3461109436362186</v>
      </c>
      <c r="BH13" s="675"/>
      <c r="BI13" s="1691">
        <f ca="1">Costs!BI13/('Global assumptions'!$C$7*NAIRA2010_*250)</f>
        <v>0.59711731850861438</v>
      </c>
      <c r="BJ13" s="1691">
        <f ca="1">Costs!BJ13/('Global assumptions'!$C$7*NAIRA2010_*250)</f>
        <v>1.7552638282898159</v>
      </c>
      <c r="BK13" s="1691">
        <f ca="1">Costs!BK13/('Global assumptions'!$C$7*NAIRA2010_*250)</f>
        <v>3.6003996787386252</v>
      </c>
      <c r="BL13" s="1691">
        <f ca="1">Costs!BL13/('Global assumptions'!$C$7*NAIRA2010_*250)</f>
        <v>4.9665014970087018</v>
      </c>
      <c r="BM13" s="1691">
        <f ca="1">Costs!BM13/('Global assumptions'!$C$7*NAIRA2010_*250)</f>
        <v>6.4953019743686395</v>
      </c>
      <c r="BN13" s="1691">
        <f ca="1">Costs!BN13/('Global assumptions'!$C$7*NAIRA2010_*250)</f>
        <v>8.0926488183878131</v>
      </c>
      <c r="BO13" s="1691">
        <f ca="1">Costs!BO13/('Global assumptions'!$C$7*NAIRA2010_*250)</f>
        <v>9.212603361623442</v>
      </c>
      <c r="BP13" s="1691">
        <f ca="1">Costs!BP13/('Global assumptions'!$C$7*NAIRA2010_*250)</f>
        <v>11.359257646539222</v>
      </c>
      <c r="BQ13" s="1691">
        <f ca="1">Costs!BQ13/('Global assumptions'!$C$7*NAIRA2010_*250)</f>
        <v>10.86023273972663</v>
      </c>
      <c r="BR13" s="675"/>
      <c r="BS13" s="1691">
        <f ca="1">Costs!BS13/('Global assumptions'!$C$7*NAIRA2010_*250)</f>
        <v>8.5595026499006508</v>
      </c>
      <c r="BT13" s="1691">
        <f ca="1">Costs!BT13/('Global assumptions'!$C$7*NAIRA2010_*250)</f>
        <v>10.444454311532921</v>
      </c>
      <c r="BU13" s="1691">
        <f ca="1">Costs!BU13/('Global assumptions'!$C$7*NAIRA2010_*250)</f>
        <v>13.178797637895082</v>
      </c>
      <c r="BV13" s="1691">
        <f ca="1">Costs!BV13/('Global assumptions'!$C$7*NAIRA2010_*250)</f>
        <v>16.768731234045244</v>
      </c>
      <c r="BW13" s="1691">
        <f ca="1">Costs!BW13/('Global assumptions'!$C$7*NAIRA2010_*250)</f>
        <v>19.113487197775424</v>
      </c>
      <c r="BX13" s="1691">
        <f ca="1">Costs!BX13/('Global assumptions'!$C$7*NAIRA2010_*250)</f>
        <v>21.788891971521615</v>
      </c>
      <c r="BY13" s="1691">
        <f ca="1">Costs!BY13/('Global assumptions'!$C$7*NAIRA2010_*250)</f>
        <v>23.926434810897078</v>
      </c>
      <c r="BZ13" s="1691">
        <f ca="1">Costs!BZ13/('Global assumptions'!$C$7*NAIRA2010_*250)</f>
        <v>27.144802083759252</v>
      </c>
      <c r="CA13" s="1691">
        <f ca="1">Costs!CA13/('Global assumptions'!$C$7*NAIRA2010_*250)</f>
        <v>27.632388426134256</v>
      </c>
      <c r="CC13" s="1707">
        <f t="shared" ca="1" si="4"/>
        <v>18.728610035940171</v>
      </c>
      <c r="CD13" s="1707">
        <f t="shared" ca="1" si="1"/>
        <v>130.17961899868277</v>
      </c>
      <c r="CF13" s="1691">
        <f ca="1">Costs!CF13/('Global assumptions'!$C$7*NAIRA2010_*250)</f>
        <v>-5.37405586657753</v>
      </c>
      <c r="CG13" s="1691">
        <f ca="1">Costs!CG13/('Global assumptions'!$C$7*NAIRA2010_*250)</f>
        <v>-5.193615230397393</v>
      </c>
      <c r="CH13" s="1691">
        <f ca="1">Costs!CH13/('Global assumptions'!$C$7*NAIRA2010_*250)</f>
        <v>-7.4704154239542317</v>
      </c>
      <c r="CI13" s="1691">
        <f ca="1">Costs!CI13/('Global assumptions'!$C$7*NAIRA2010_*250)</f>
        <v>-3.2301094126117524</v>
      </c>
      <c r="CJ13" s="1691">
        <f ca="1">Costs!CJ13/('Global assumptions'!$C$7*NAIRA2010_*250)</f>
        <v>-2.6775008897909927</v>
      </c>
      <c r="CK13" s="1691">
        <f ca="1">Costs!CK13/('Global assumptions'!$C$7*NAIRA2010_*250)</f>
        <v>-1.4914322457272298</v>
      </c>
      <c r="CL13" s="1691">
        <f ca="1">Costs!CL13/('Global assumptions'!$C$7*NAIRA2010_*250)</f>
        <v>-1.0898278088420181</v>
      </c>
      <c r="CM13" s="1691">
        <f ca="1">Costs!CM13/('Global assumptions'!$C$7*NAIRA2010_*250)</f>
        <v>0.70325574251697676</v>
      </c>
      <c r="CN13" s="1691">
        <f ca="1">Costs!CN13/('Global assumptions'!$C$7*NAIRA2010_*250)</f>
        <v>2.7835670779093187</v>
      </c>
      <c r="CP13" s="1707">
        <f t="shared" ca="1" si="5"/>
        <v>-2.5600148952749837</v>
      </c>
      <c r="CQ13" s="1707">
        <f t="shared" ca="1" si="2"/>
        <v>-41.988534702740928</v>
      </c>
      <c r="CR13" s="1426" t="str">
        <f t="shared" ca="1" si="6"/>
        <v>ok</v>
      </c>
    </row>
    <row r="14" spans="1:96" x14ac:dyDescent="0.2">
      <c r="A14" s="1683" t="s">
        <v>838</v>
      </c>
      <c r="B14" s="1683" t="s">
        <v>839</v>
      </c>
      <c r="C14" s="1683" t="s">
        <v>1189</v>
      </c>
      <c r="E14" s="1689">
        <f ca="1">Costs!E14/('Global assumptions'!$C$7*NAIRA2010_*250)</f>
        <v>0</v>
      </c>
      <c r="F14" s="1689">
        <f ca="1">Costs!F14/('Global assumptions'!$C$7*NAIRA2010_*250)</f>
        <v>0</v>
      </c>
      <c r="G14" s="1689">
        <f ca="1">Costs!G14/('Global assumptions'!$C$7*NAIRA2010_*250)</f>
        <v>0</v>
      </c>
      <c r="H14" s="1689">
        <f ca="1">Costs!H14/('Global assumptions'!$C$7*NAIRA2010_*250)</f>
        <v>0</v>
      </c>
      <c r="I14" s="1689">
        <f ca="1">Costs!I14/('Global assumptions'!$C$7*NAIRA2010_*250)</f>
        <v>0</v>
      </c>
      <c r="J14" s="1689">
        <f ca="1">Costs!J14/('Global assumptions'!$C$7*NAIRA2010_*250)</f>
        <v>0</v>
      </c>
      <c r="K14" s="1689">
        <f ca="1">Costs!K14/('Global assumptions'!$C$7*NAIRA2010_*250)</f>
        <v>0</v>
      </c>
      <c r="L14" s="1689">
        <f ca="1">Costs!L14/('Global assumptions'!$C$7*NAIRA2010_*250)</f>
        <v>0</v>
      </c>
      <c r="M14" s="1689">
        <f ca="1">Costs!M14/('Global assumptions'!$C$7*NAIRA2010_*250)</f>
        <v>0</v>
      </c>
      <c r="N14" s="675"/>
      <c r="O14" s="1689">
        <f ca="1">Costs!O14/('Global assumptions'!$C$7*NAIRA2010_*250)</f>
        <v>0</v>
      </c>
      <c r="P14" s="1689">
        <f ca="1">Costs!P14/('Global assumptions'!$C$7*NAIRA2010_*250)</f>
        <v>0</v>
      </c>
      <c r="Q14" s="1689">
        <f ca="1">Costs!Q14/('Global assumptions'!$C$7*NAIRA2010_*250)</f>
        <v>0</v>
      </c>
      <c r="R14" s="1689">
        <f ca="1">Costs!R14/('Global assumptions'!$C$7*NAIRA2010_*250)</f>
        <v>0</v>
      </c>
      <c r="S14" s="1689">
        <f ca="1">Costs!S14/('Global assumptions'!$C$7*NAIRA2010_*250)</f>
        <v>0</v>
      </c>
      <c r="T14" s="1689">
        <f ca="1">Costs!T14/('Global assumptions'!$C$7*NAIRA2010_*250)</f>
        <v>0</v>
      </c>
      <c r="U14" s="1689">
        <f ca="1">Costs!U14/('Global assumptions'!$C$7*NAIRA2010_*250)</f>
        <v>0</v>
      </c>
      <c r="V14" s="1689">
        <f ca="1">Costs!V14/('Global assumptions'!$C$7*NAIRA2010_*250)</f>
        <v>0</v>
      </c>
      <c r="W14" s="1689">
        <f ca="1">Costs!W14/('Global assumptions'!$C$7*NAIRA2010_*250)</f>
        <v>0</v>
      </c>
      <c r="X14" s="675"/>
      <c r="Y14" s="1689">
        <f ca="1">Costs!Y14/('Global assumptions'!$C$7*NAIRA2010_*250)</f>
        <v>0</v>
      </c>
      <c r="Z14" s="1689">
        <f ca="1">Costs!Z14/('Global assumptions'!$C$7*NAIRA2010_*250)</f>
        <v>0</v>
      </c>
      <c r="AA14" s="1689">
        <f ca="1">Costs!AA14/('Global assumptions'!$C$7*NAIRA2010_*250)</f>
        <v>0</v>
      </c>
      <c r="AB14" s="1689">
        <f ca="1">Costs!AB14/('Global assumptions'!$C$7*NAIRA2010_*250)</f>
        <v>0</v>
      </c>
      <c r="AC14" s="1689">
        <f ca="1">Costs!AC14/('Global assumptions'!$C$7*NAIRA2010_*250)</f>
        <v>0</v>
      </c>
      <c r="AD14" s="1689">
        <f ca="1">Costs!AD14/('Global assumptions'!$C$7*NAIRA2010_*250)</f>
        <v>0</v>
      </c>
      <c r="AE14" s="1689">
        <f ca="1">Costs!AE14/('Global assumptions'!$C$7*NAIRA2010_*250)</f>
        <v>0</v>
      </c>
      <c r="AF14" s="1689">
        <f ca="1">Costs!AF14/('Global assumptions'!$C$7*NAIRA2010_*250)</f>
        <v>0</v>
      </c>
      <c r="AG14" s="1689">
        <f ca="1">Costs!AG14/('Global assumptions'!$C$7*NAIRA2010_*250)</f>
        <v>0</v>
      </c>
      <c r="AH14" s="675"/>
      <c r="AI14" s="1689">
        <f ca="1">Costs!AI14/('Global assumptions'!$C$7*NAIRA2010_*250)</f>
        <v>0</v>
      </c>
      <c r="AJ14" s="1689">
        <f ca="1">Costs!AJ14/('Global assumptions'!$C$7*NAIRA2010_*250)</f>
        <v>0</v>
      </c>
      <c r="AK14" s="1689">
        <f ca="1">Costs!AK14/('Global assumptions'!$C$7*NAIRA2010_*250)</f>
        <v>0</v>
      </c>
      <c r="AL14" s="1689">
        <f ca="1">Costs!AL14/('Global assumptions'!$C$7*NAIRA2010_*250)</f>
        <v>0</v>
      </c>
      <c r="AM14" s="1689">
        <f ca="1">Costs!AM14/('Global assumptions'!$C$7*NAIRA2010_*250)</f>
        <v>0</v>
      </c>
      <c r="AN14" s="1689">
        <f ca="1">Costs!AN14/('Global assumptions'!$C$7*NAIRA2010_*250)</f>
        <v>0</v>
      </c>
      <c r="AO14" s="1689">
        <f ca="1">Costs!AO14/('Global assumptions'!$C$7*NAIRA2010_*250)</f>
        <v>0</v>
      </c>
      <c r="AP14" s="1689">
        <f ca="1">Costs!AP14/('Global assumptions'!$C$7*NAIRA2010_*250)</f>
        <v>0</v>
      </c>
      <c r="AQ14" s="1689">
        <f ca="1">Costs!AQ14/('Global assumptions'!$C$7*NAIRA2010_*250)</f>
        <v>0</v>
      </c>
      <c r="AS14" s="1706">
        <f t="shared" ca="1" si="3"/>
        <v>0</v>
      </c>
      <c r="AT14" s="1706">
        <f t="shared" ca="1" si="0"/>
        <v>0</v>
      </c>
      <c r="AU14" s="675"/>
      <c r="AV14" s="1699">
        <f>IFERROR(VLOOKUP($A14,Cost.FinanceCostTable,3,FALSE),'Global assumptions'!$D$35)</f>
        <v>0</v>
      </c>
      <c r="AW14" s="1690">
        <f>IFERROR(VLOOKUP($A14,Cost.FinanceCostTable,4,FALSE),'Global assumptions'!$E$35)</f>
        <v>5</v>
      </c>
      <c r="AX14" s="675"/>
      <c r="AY14" s="1689">
        <f ca="1">Costs!AY14/('Global assumptions'!$C$7*NAIRA2010_*250)</f>
        <v>0</v>
      </c>
      <c r="AZ14" s="1689">
        <f ca="1">Costs!AZ14/('Global assumptions'!$C$7*NAIRA2010_*250)</f>
        <v>0</v>
      </c>
      <c r="BA14" s="1689">
        <f ca="1">Costs!BA14/('Global assumptions'!$C$7*NAIRA2010_*250)</f>
        <v>0</v>
      </c>
      <c r="BB14" s="1689">
        <f ca="1">Costs!BB14/('Global assumptions'!$C$7*NAIRA2010_*250)</f>
        <v>0</v>
      </c>
      <c r="BC14" s="1689">
        <f ca="1">Costs!BC14/('Global assumptions'!$C$7*NAIRA2010_*250)</f>
        <v>0</v>
      </c>
      <c r="BD14" s="1689">
        <f ca="1">Costs!BD14/('Global assumptions'!$C$7*NAIRA2010_*250)</f>
        <v>0</v>
      </c>
      <c r="BE14" s="1689">
        <f ca="1">Costs!BE14/('Global assumptions'!$C$7*NAIRA2010_*250)</f>
        <v>0</v>
      </c>
      <c r="BF14" s="1689">
        <f ca="1">Costs!BF14/('Global assumptions'!$C$7*NAIRA2010_*250)</f>
        <v>0</v>
      </c>
      <c r="BG14" s="1689">
        <f ca="1">Costs!BG14/('Global assumptions'!$C$7*NAIRA2010_*250)</f>
        <v>0</v>
      </c>
      <c r="BH14" s="675"/>
      <c r="BI14" s="1689">
        <f ca="1">Costs!BI14/('Global assumptions'!$C$7*NAIRA2010_*250)</f>
        <v>0</v>
      </c>
      <c r="BJ14" s="1689">
        <f ca="1">Costs!BJ14/('Global assumptions'!$C$7*NAIRA2010_*250)</f>
        <v>0</v>
      </c>
      <c r="BK14" s="1689">
        <f ca="1">Costs!BK14/('Global assumptions'!$C$7*NAIRA2010_*250)</f>
        <v>0</v>
      </c>
      <c r="BL14" s="1689">
        <f ca="1">Costs!BL14/('Global assumptions'!$C$7*NAIRA2010_*250)</f>
        <v>0</v>
      </c>
      <c r="BM14" s="1689">
        <f ca="1">Costs!BM14/('Global assumptions'!$C$7*NAIRA2010_*250)</f>
        <v>0</v>
      </c>
      <c r="BN14" s="1689">
        <f ca="1">Costs!BN14/('Global assumptions'!$C$7*NAIRA2010_*250)</f>
        <v>0</v>
      </c>
      <c r="BO14" s="1689">
        <f ca="1">Costs!BO14/('Global assumptions'!$C$7*NAIRA2010_*250)</f>
        <v>0</v>
      </c>
      <c r="BP14" s="1689">
        <f ca="1">Costs!BP14/('Global assumptions'!$C$7*NAIRA2010_*250)</f>
        <v>0</v>
      </c>
      <c r="BQ14" s="1689">
        <f ca="1">Costs!BQ14/('Global assumptions'!$C$7*NAIRA2010_*250)</f>
        <v>0</v>
      </c>
      <c r="BR14" s="675"/>
      <c r="BS14" s="1689">
        <f ca="1">Costs!BS14/('Global assumptions'!$C$7*NAIRA2010_*250)</f>
        <v>0</v>
      </c>
      <c r="BT14" s="1689">
        <f ca="1">Costs!BT14/('Global assumptions'!$C$7*NAIRA2010_*250)</f>
        <v>0</v>
      </c>
      <c r="BU14" s="1689">
        <f ca="1">Costs!BU14/('Global assumptions'!$C$7*NAIRA2010_*250)</f>
        <v>0</v>
      </c>
      <c r="BV14" s="1689">
        <f ca="1">Costs!BV14/('Global assumptions'!$C$7*NAIRA2010_*250)</f>
        <v>0</v>
      </c>
      <c r="BW14" s="1689">
        <f ca="1">Costs!BW14/('Global assumptions'!$C$7*NAIRA2010_*250)</f>
        <v>0</v>
      </c>
      <c r="BX14" s="1689">
        <f ca="1">Costs!BX14/('Global assumptions'!$C$7*NAIRA2010_*250)</f>
        <v>0</v>
      </c>
      <c r="BY14" s="1689">
        <f ca="1">Costs!BY14/('Global assumptions'!$C$7*NAIRA2010_*250)</f>
        <v>0</v>
      </c>
      <c r="BZ14" s="1689">
        <f ca="1">Costs!BZ14/('Global assumptions'!$C$7*NAIRA2010_*250)</f>
        <v>0</v>
      </c>
      <c r="CA14" s="1689">
        <f ca="1">Costs!CA14/('Global assumptions'!$C$7*NAIRA2010_*250)</f>
        <v>0</v>
      </c>
      <c r="CC14" s="1706">
        <f t="shared" ca="1" si="4"/>
        <v>0</v>
      </c>
      <c r="CD14" s="1706">
        <f t="shared" ca="1" si="1"/>
        <v>0</v>
      </c>
      <c r="CF14" s="1689">
        <f ca="1">Costs!CF14/('Global assumptions'!$C$7*NAIRA2010_*250)</f>
        <v>0</v>
      </c>
      <c r="CG14" s="1689">
        <f ca="1">Costs!CG14/('Global assumptions'!$C$7*NAIRA2010_*250)</f>
        <v>0</v>
      </c>
      <c r="CH14" s="1689">
        <f ca="1">Costs!CH14/('Global assumptions'!$C$7*NAIRA2010_*250)</f>
        <v>0</v>
      </c>
      <c r="CI14" s="1689">
        <f ca="1">Costs!CI14/('Global assumptions'!$C$7*NAIRA2010_*250)</f>
        <v>0</v>
      </c>
      <c r="CJ14" s="1689">
        <f ca="1">Costs!CJ14/('Global assumptions'!$C$7*NAIRA2010_*250)</f>
        <v>0</v>
      </c>
      <c r="CK14" s="1689">
        <f ca="1">Costs!CK14/('Global assumptions'!$C$7*NAIRA2010_*250)</f>
        <v>0</v>
      </c>
      <c r="CL14" s="1689">
        <f ca="1">Costs!CL14/('Global assumptions'!$C$7*NAIRA2010_*250)</f>
        <v>0</v>
      </c>
      <c r="CM14" s="1689">
        <f ca="1">Costs!CM14/('Global assumptions'!$C$7*NAIRA2010_*250)</f>
        <v>0</v>
      </c>
      <c r="CN14" s="1689">
        <f ca="1">Costs!CN14/('Global assumptions'!$C$7*NAIRA2010_*250)</f>
        <v>0</v>
      </c>
      <c r="CP14" s="1706">
        <f t="shared" ca="1" si="5"/>
        <v>0</v>
      </c>
      <c r="CQ14" s="1706">
        <f t="shared" ca="1" si="2"/>
        <v>0</v>
      </c>
      <c r="CR14" s="1426" t="str">
        <f t="shared" ca="1" si="6"/>
        <v>ok</v>
      </c>
    </row>
    <row r="15" spans="1:96" x14ac:dyDescent="0.2">
      <c r="A15" s="1685" t="s">
        <v>1768</v>
      </c>
      <c r="B15" s="1685" t="s">
        <v>1190</v>
      </c>
      <c r="C15" s="1685" t="s">
        <v>1189</v>
      </c>
      <c r="E15" s="1691">
        <f ca="1">Costs!E15/('Global assumptions'!$C$7*NAIRA2010_*250)</f>
        <v>0</v>
      </c>
      <c r="F15" s="1691">
        <f ca="1">Costs!F15/('Global assumptions'!$C$7*NAIRA2010_*250)</f>
        <v>0</v>
      </c>
      <c r="G15" s="1691">
        <f ca="1">Costs!G15/('Global assumptions'!$C$7*NAIRA2010_*250)</f>
        <v>0</v>
      </c>
      <c r="H15" s="1691">
        <f ca="1">Costs!H15/('Global assumptions'!$C$7*NAIRA2010_*250)</f>
        <v>0</v>
      </c>
      <c r="I15" s="1691">
        <f ca="1">Costs!I15/('Global assumptions'!$C$7*NAIRA2010_*250)</f>
        <v>0</v>
      </c>
      <c r="J15" s="1691">
        <f ca="1">Costs!J15/('Global assumptions'!$C$7*NAIRA2010_*250)</f>
        <v>0</v>
      </c>
      <c r="K15" s="1691">
        <f ca="1">Costs!K15/('Global assumptions'!$C$7*NAIRA2010_*250)</f>
        <v>0</v>
      </c>
      <c r="L15" s="1691">
        <f ca="1">Costs!L15/('Global assumptions'!$C$7*NAIRA2010_*250)</f>
        <v>0</v>
      </c>
      <c r="M15" s="1691">
        <f ca="1">Costs!M15/('Global assumptions'!$C$7*NAIRA2010_*250)</f>
        <v>0</v>
      </c>
      <c r="N15" s="675"/>
      <c r="O15" s="1691">
        <f ca="1">Costs!O15/('Global assumptions'!$C$7*NAIRA2010_*250)</f>
        <v>0</v>
      </c>
      <c r="P15" s="1691">
        <f ca="1">Costs!P15/('Global assumptions'!$C$7*NAIRA2010_*250)</f>
        <v>0</v>
      </c>
      <c r="Q15" s="1691">
        <f ca="1">Costs!Q15/('Global assumptions'!$C$7*NAIRA2010_*250)</f>
        <v>0</v>
      </c>
      <c r="R15" s="1691">
        <f ca="1">Costs!R15/('Global assumptions'!$C$7*NAIRA2010_*250)</f>
        <v>0</v>
      </c>
      <c r="S15" s="1691">
        <f ca="1">Costs!S15/('Global assumptions'!$C$7*NAIRA2010_*250)</f>
        <v>0</v>
      </c>
      <c r="T15" s="1691">
        <f ca="1">Costs!T15/('Global assumptions'!$C$7*NAIRA2010_*250)</f>
        <v>0</v>
      </c>
      <c r="U15" s="1691">
        <f ca="1">Costs!U15/('Global assumptions'!$C$7*NAIRA2010_*250)</f>
        <v>0</v>
      </c>
      <c r="V15" s="1691">
        <f ca="1">Costs!V15/('Global assumptions'!$C$7*NAIRA2010_*250)</f>
        <v>0</v>
      </c>
      <c r="W15" s="1691">
        <f ca="1">Costs!W15/('Global assumptions'!$C$7*NAIRA2010_*250)</f>
        <v>0</v>
      </c>
      <c r="X15" s="675"/>
      <c r="Y15" s="1691">
        <f ca="1">Costs!Y15/('Global assumptions'!$C$7*NAIRA2010_*250)</f>
        <v>77.092801155060471</v>
      </c>
      <c r="Z15" s="1691">
        <f ca="1">Costs!Z15/('Global assumptions'!$C$7*NAIRA2010_*250)</f>
        <v>85.028618623039392</v>
      </c>
      <c r="AA15" s="1691">
        <f ca="1">Costs!AA15/('Global assumptions'!$C$7*NAIRA2010_*250)</f>
        <v>94.288057491306063</v>
      </c>
      <c r="AB15" s="1691">
        <f ca="1">Costs!AB15/('Global assumptions'!$C$7*NAIRA2010_*250)</f>
        <v>103.90355479405193</v>
      </c>
      <c r="AC15" s="1691">
        <f ca="1">Costs!AC15/('Global assumptions'!$C$7*NAIRA2010_*250)</f>
        <v>113.22663918494293</v>
      </c>
      <c r="AD15" s="1691">
        <f ca="1">Costs!AD15/('Global assumptions'!$C$7*NAIRA2010_*250)</f>
        <v>124.82982640577548</v>
      </c>
      <c r="AE15" s="1691">
        <f ca="1">Costs!AE15/('Global assumptions'!$C$7*NAIRA2010_*250)</f>
        <v>135.70678972378471</v>
      </c>
      <c r="AF15" s="1691">
        <f ca="1">Costs!AF15/('Global assumptions'!$C$7*NAIRA2010_*250)</f>
        <v>147.30235313594079</v>
      </c>
      <c r="AG15" s="1691">
        <f ca="1">Costs!AG15/('Global assumptions'!$C$7*NAIRA2010_*250)</f>
        <v>157.85215508312811</v>
      </c>
      <c r="AH15" s="675"/>
      <c r="AI15" s="1691">
        <f ca="1">Costs!AI15/('Global assumptions'!$C$7*NAIRA2010_*250)</f>
        <v>77.092801155060471</v>
      </c>
      <c r="AJ15" s="1691">
        <f ca="1">Costs!AJ15/('Global assumptions'!$C$7*NAIRA2010_*250)</f>
        <v>85.028618623039392</v>
      </c>
      <c r="AK15" s="1691">
        <f ca="1">Costs!AK15/('Global assumptions'!$C$7*NAIRA2010_*250)</f>
        <v>94.288057491306063</v>
      </c>
      <c r="AL15" s="1691">
        <f ca="1">Costs!AL15/('Global assumptions'!$C$7*NAIRA2010_*250)</f>
        <v>103.90355479405193</v>
      </c>
      <c r="AM15" s="1691">
        <f ca="1">Costs!AM15/('Global assumptions'!$C$7*NAIRA2010_*250)</f>
        <v>113.22663918494293</v>
      </c>
      <c r="AN15" s="1691">
        <f ca="1">Costs!AN15/('Global assumptions'!$C$7*NAIRA2010_*250)</f>
        <v>124.82982640577548</v>
      </c>
      <c r="AO15" s="1691">
        <f ca="1">Costs!AO15/('Global assumptions'!$C$7*NAIRA2010_*250)</f>
        <v>135.70678972378471</v>
      </c>
      <c r="AP15" s="1691">
        <f ca="1">Costs!AP15/('Global assumptions'!$C$7*NAIRA2010_*250)</f>
        <v>147.30235313594079</v>
      </c>
      <c r="AQ15" s="1691">
        <f ca="1">Costs!AQ15/('Global assumptions'!$C$7*NAIRA2010_*250)</f>
        <v>157.85215508312811</v>
      </c>
      <c r="AS15" s="1707">
        <f t="shared" ca="1" si="3"/>
        <v>115.47008839966998</v>
      </c>
      <c r="AT15" s="1707">
        <f t="shared" ca="1" si="0"/>
        <v>897.91239669445815</v>
      </c>
      <c r="AU15" s="675"/>
      <c r="AV15" s="1700">
        <f>IFERROR(VLOOKUP($A15,Cost.FinanceCostTable,3,FALSE),'Global assumptions'!$D$35)</f>
        <v>0</v>
      </c>
      <c r="AW15" s="1692">
        <f>IFERROR(VLOOKUP($A15,Cost.FinanceCostTable,4,FALSE),'Global assumptions'!$E$35)</f>
        <v>5</v>
      </c>
      <c r="AX15" s="675"/>
      <c r="AY15" s="1691">
        <f ca="1">Costs!AY15/('Global assumptions'!$C$7*NAIRA2010_*250)</f>
        <v>0</v>
      </c>
      <c r="AZ15" s="1691">
        <f ca="1">Costs!AZ15/('Global assumptions'!$C$7*NAIRA2010_*250)</f>
        <v>0</v>
      </c>
      <c r="BA15" s="1691">
        <f ca="1">Costs!BA15/('Global assumptions'!$C$7*NAIRA2010_*250)</f>
        <v>0</v>
      </c>
      <c r="BB15" s="1691">
        <f ca="1">Costs!BB15/('Global assumptions'!$C$7*NAIRA2010_*250)</f>
        <v>0</v>
      </c>
      <c r="BC15" s="1691">
        <f ca="1">Costs!BC15/('Global assumptions'!$C$7*NAIRA2010_*250)</f>
        <v>0</v>
      </c>
      <c r="BD15" s="1691">
        <f ca="1">Costs!BD15/('Global assumptions'!$C$7*NAIRA2010_*250)</f>
        <v>0</v>
      </c>
      <c r="BE15" s="1691">
        <f ca="1">Costs!BE15/('Global assumptions'!$C$7*NAIRA2010_*250)</f>
        <v>0</v>
      </c>
      <c r="BF15" s="1691">
        <f ca="1">Costs!BF15/('Global assumptions'!$C$7*NAIRA2010_*250)</f>
        <v>0</v>
      </c>
      <c r="BG15" s="1691">
        <f ca="1">Costs!BG15/('Global assumptions'!$C$7*NAIRA2010_*250)</f>
        <v>0</v>
      </c>
      <c r="BH15" s="675"/>
      <c r="BI15" s="1691">
        <f ca="1">Costs!BI15/('Global assumptions'!$C$7*NAIRA2010_*250)</f>
        <v>0</v>
      </c>
      <c r="BJ15" s="1691">
        <f ca="1">Costs!BJ15/('Global assumptions'!$C$7*NAIRA2010_*250)</f>
        <v>0</v>
      </c>
      <c r="BK15" s="1691">
        <f ca="1">Costs!BK15/('Global assumptions'!$C$7*NAIRA2010_*250)</f>
        <v>0</v>
      </c>
      <c r="BL15" s="1691">
        <f ca="1">Costs!BL15/('Global assumptions'!$C$7*NAIRA2010_*250)</f>
        <v>0</v>
      </c>
      <c r="BM15" s="1691">
        <f ca="1">Costs!BM15/('Global assumptions'!$C$7*NAIRA2010_*250)</f>
        <v>0</v>
      </c>
      <c r="BN15" s="1691">
        <f ca="1">Costs!BN15/('Global assumptions'!$C$7*NAIRA2010_*250)</f>
        <v>0</v>
      </c>
      <c r="BO15" s="1691">
        <f ca="1">Costs!BO15/('Global assumptions'!$C$7*NAIRA2010_*250)</f>
        <v>0</v>
      </c>
      <c r="BP15" s="1691">
        <f ca="1">Costs!BP15/('Global assumptions'!$C$7*NAIRA2010_*250)</f>
        <v>0</v>
      </c>
      <c r="BQ15" s="1691">
        <f ca="1">Costs!BQ15/('Global assumptions'!$C$7*NAIRA2010_*250)</f>
        <v>0</v>
      </c>
      <c r="BR15" s="675"/>
      <c r="BS15" s="1691">
        <f ca="1">Costs!BS15/('Global assumptions'!$C$7*NAIRA2010_*250)</f>
        <v>77.092801155060471</v>
      </c>
      <c r="BT15" s="1691">
        <f ca="1">Costs!BT15/('Global assumptions'!$C$7*NAIRA2010_*250)</f>
        <v>85.028618623039392</v>
      </c>
      <c r="BU15" s="1691">
        <f ca="1">Costs!BU15/('Global assumptions'!$C$7*NAIRA2010_*250)</f>
        <v>94.288057491306063</v>
      </c>
      <c r="BV15" s="1691">
        <f ca="1">Costs!BV15/('Global assumptions'!$C$7*NAIRA2010_*250)</f>
        <v>103.90355479405193</v>
      </c>
      <c r="BW15" s="1691">
        <f ca="1">Costs!BW15/('Global assumptions'!$C$7*NAIRA2010_*250)</f>
        <v>113.22663918494293</v>
      </c>
      <c r="BX15" s="1691">
        <f ca="1">Costs!BX15/('Global assumptions'!$C$7*NAIRA2010_*250)</f>
        <v>124.82982640577548</v>
      </c>
      <c r="BY15" s="1691">
        <f ca="1">Costs!BY15/('Global assumptions'!$C$7*NAIRA2010_*250)</f>
        <v>135.70678972378471</v>
      </c>
      <c r="BZ15" s="1691">
        <f ca="1">Costs!BZ15/('Global assumptions'!$C$7*NAIRA2010_*250)</f>
        <v>147.30235313594079</v>
      </c>
      <c r="CA15" s="1691">
        <f ca="1">Costs!CA15/('Global assumptions'!$C$7*NAIRA2010_*250)</f>
        <v>157.85215508312811</v>
      </c>
      <c r="CC15" s="1707">
        <f t="shared" ca="1" si="4"/>
        <v>115.47008839966998</v>
      </c>
      <c r="CD15" s="1707">
        <f t="shared" ca="1" si="1"/>
        <v>897.91239669445815</v>
      </c>
      <c r="CF15" s="1691">
        <f ca="1">Costs!CF15/('Global assumptions'!$C$7*NAIRA2010_*250)</f>
        <v>0</v>
      </c>
      <c r="CG15" s="1691">
        <f ca="1">Costs!CG15/('Global assumptions'!$C$7*NAIRA2010_*250)</f>
        <v>0</v>
      </c>
      <c r="CH15" s="1691">
        <f ca="1">Costs!CH15/('Global assumptions'!$C$7*NAIRA2010_*250)</f>
        <v>0</v>
      </c>
      <c r="CI15" s="1691">
        <f ca="1">Costs!CI15/('Global assumptions'!$C$7*NAIRA2010_*250)</f>
        <v>0</v>
      </c>
      <c r="CJ15" s="1691">
        <f ca="1">Costs!CJ15/('Global assumptions'!$C$7*NAIRA2010_*250)</f>
        <v>0</v>
      </c>
      <c r="CK15" s="1691">
        <f ca="1">Costs!CK15/('Global assumptions'!$C$7*NAIRA2010_*250)</f>
        <v>0</v>
      </c>
      <c r="CL15" s="1691">
        <f ca="1">Costs!CL15/('Global assumptions'!$C$7*NAIRA2010_*250)</f>
        <v>0</v>
      </c>
      <c r="CM15" s="1691">
        <f ca="1">Costs!CM15/('Global assumptions'!$C$7*NAIRA2010_*250)</f>
        <v>0</v>
      </c>
      <c r="CN15" s="1691">
        <f ca="1">Costs!CN15/('Global assumptions'!$C$7*NAIRA2010_*250)</f>
        <v>0</v>
      </c>
      <c r="CP15" s="1707">
        <f t="shared" ca="1" si="5"/>
        <v>0</v>
      </c>
      <c r="CQ15" s="1707">
        <f t="shared" ca="1" si="2"/>
        <v>0</v>
      </c>
      <c r="CR15" s="1426" t="str">
        <f t="shared" ca="1" si="6"/>
        <v>ok</v>
      </c>
    </row>
    <row r="16" spans="1:96" x14ac:dyDescent="0.2">
      <c r="A16" s="1683" t="s">
        <v>1769</v>
      </c>
      <c r="B16" s="1683" t="s">
        <v>1190</v>
      </c>
      <c r="C16" s="1683" t="s">
        <v>1189</v>
      </c>
      <c r="E16" s="1689">
        <f ca="1">Costs!E16/('Global assumptions'!$C$7*NAIRA2010_*250)</f>
        <v>0</v>
      </c>
      <c r="F16" s="1689">
        <f ca="1">Costs!F16/('Global assumptions'!$C$7*NAIRA2010_*250)</f>
        <v>0</v>
      </c>
      <c r="G16" s="1689">
        <f ca="1">Costs!G16/('Global assumptions'!$C$7*NAIRA2010_*250)</f>
        <v>0</v>
      </c>
      <c r="H16" s="1689">
        <f ca="1">Costs!H16/('Global assumptions'!$C$7*NAIRA2010_*250)</f>
        <v>0</v>
      </c>
      <c r="I16" s="1689">
        <f ca="1">Costs!I16/('Global assumptions'!$C$7*NAIRA2010_*250)</f>
        <v>0</v>
      </c>
      <c r="J16" s="1689">
        <f ca="1">Costs!J16/('Global assumptions'!$C$7*NAIRA2010_*250)</f>
        <v>0</v>
      </c>
      <c r="K16" s="1689">
        <f ca="1">Costs!K16/('Global assumptions'!$C$7*NAIRA2010_*250)</f>
        <v>0</v>
      </c>
      <c r="L16" s="1689">
        <f ca="1">Costs!L16/('Global assumptions'!$C$7*NAIRA2010_*250)</f>
        <v>0</v>
      </c>
      <c r="M16" s="1689">
        <f ca="1">Costs!M16/('Global assumptions'!$C$7*NAIRA2010_*250)</f>
        <v>0</v>
      </c>
      <c r="N16" s="675"/>
      <c r="O16" s="1689">
        <f ca="1">Costs!O16/('Global assumptions'!$C$7*NAIRA2010_*250)</f>
        <v>0</v>
      </c>
      <c r="P16" s="1689">
        <f ca="1">Costs!P16/('Global assumptions'!$C$7*NAIRA2010_*250)</f>
        <v>0</v>
      </c>
      <c r="Q16" s="1689">
        <f ca="1">Costs!Q16/('Global assumptions'!$C$7*NAIRA2010_*250)</f>
        <v>0</v>
      </c>
      <c r="R16" s="1689">
        <f ca="1">Costs!R16/('Global assumptions'!$C$7*NAIRA2010_*250)</f>
        <v>0</v>
      </c>
      <c r="S16" s="1689">
        <f ca="1">Costs!S16/('Global assumptions'!$C$7*NAIRA2010_*250)</f>
        <v>0</v>
      </c>
      <c r="T16" s="1689">
        <f ca="1">Costs!T16/('Global assumptions'!$C$7*NAIRA2010_*250)</f>
        <v>0</v>
      </c>
      <c r="U16" s="1689">
        <f ca="1">Costs!U16/('Global assumptions'!$C$7*NAIRA2010_*250)</f>
        <v>0</v>
      </c>
      <c r="V16" s="1689">
        <f ca="1">Costs!V16/('Global assumptions'!$C$7*NAIRA2010_*250)</f>
        <v>0</v>
      </c>
      <c r="W16" s="1689">
        <f ca="1">Costs!W16/('Global assumptions'!$C$7*NAIRA2010_*250)</f>
        <v>0</v>
      </c>
      <c r="X16" s="675"/>
      <c r="Y16" s="1689">
        <f ca="1">Costs!Y16/('Global assumptions'!$C$7*NAIRA2010_*250)</f>
        <v>0</v>
      </c>
      <c r="Z16" s="1689">
        <f ca="1">Costs!Z16/('Global assumptions'!$C$7*NAIRA2010_*250)</f>
        <v>0</v>
      </c>
      <c r="AA16" s="1689">
        <f ca="1">Costs!AA16/('Global assumptions'!$C$7*NAIRA2010_*250)</f>
        <v>0</v>
      </c>
      <c r="AB16" s="1689">
        <f ca="1">Costs!AB16/('Global assumptions'!$C$7*NAIRA2010_*250)</f>
        <v>0</v>
      </c>
      <c r="AC16" s="1689">
        <f ca="1">Costs!AC16/('Global assumptions'!$C$7*NAIRA2010_*250)</f>
        <v>0</v>
      </c>
      <c r="AD16" s="1689">
        <f ca="1">Costs!AD16/('Global assumptions'!$C$7*NAIRA2010_*250)</f>
        <v>0</v>
      </c>
      <c r="AE16" s="1689">
        <f ca="1">Costs!AE16/('Global assumptions'!$C$7*NAIRA2010_*250)</f>
        <v>0</v>
      </c>
      <c r="AF16" s="1689">
        <f ca="1">Costs!AF16/('Global assumptions'!$C$7*NAIRA2010_*250)</f>
        <v>0</v>
      </c>
      <c r="AG16" s="1689">
        <f ca="1">Costs!AG16/('Global assumptions'!$C$7*NAIRA2010_*250)</f>
        <v>0</v>
      </c>
      <c r="AH16" s="675"/>
      <c r="AI16" s="1689">
        <f ca="1">Costs!AI16/('Global assumptions'!$C$7*NAIRA2010_*250)</f>
        <v>0</v>
      </c>
      <c r="AJ16" s="1689">
        <f ca="1">Costs!AJ16/('Global assumptions'!$C$7*NAIRA2010_*250)</f>
        <v>0</v>
      </c>
      <c r="AK16" s="1689">
        <f ca="1">Costs!AK16/('Global assumptions'!$C$7*NAIRA2010_*250)</f>
        <v>0</v>
      </c>
      <c r="AL16" s="1689">
        <f ca="1">Costs!AL16/('Global assumptions'!$C$7*NAIRA2010_*250)</f>
        <v>0</v>
      </c>
      <c r="AM16" s="1689">
        <f ca="1">Costs!AM16/('Global assumptions'!$C$7*NAIRA2010_*250)</f>
        <v>0</v>
      </c>
      <c r="AN16" s="1689">
        <f ca="1">Costs!AN16/('Global assumptions'!$C$7*NAIRA2010_*250)</f>
        <v>0</v>
      </c>
      <c r="AO16" s="1689">
        <f ca="1">Costs!AO16/('Global assumptions'!$C$7*NAIRA2010_*250)</f>
        <v>0</v>
      </c>
      <c r="AP16" s="1689">
        <f ca="1">Costs!AP16/('Global assumptions'!$C$7*NAIRA2010_*250)</f>
        <v>0</v>
      </c>
      <c r="AQ16" s="1689">
        <f ca="1">Costs!AQ16/('Global assumptions'!$C$7*NAIRA2010_*250)</f>
        <v>0</v>
      </c>
      <c r="AS16" s="1706">
        <f t="shared" ca="1" si="3"/>
        <v>0</v>
      </c>
      <c r="AT16" s="1706">
        <f t="shared" ca="1" si="0"/>
        <v>0</v>
      </c>
      <c r="AU16" s="675"/>
      <c r="AV16" s="1699">
        <f>IFERROR(VLOOKUP($A16,Cost.FinanceCostTable,3,FALSE),'Global assumptions'!$D$35)</f>
        <v>0</v>
      </c>
      <c r="AW16" s="1690">
        <f>IFERROR(VLOOKUP($A16,Cost.FinanceCostTable,4,FALSE),'Global assumptions'!$E$35)</f>
        <v>5</v>
      </c>
      <c r="AX16" s="675"/>
      <c r="AY16" s="1689">
        <f ca="1">Costs!AY16/('Global assumptions'!$C$7*NAIRA2010_*250)</f>
        <v>0</v>
      </c>
      <c r="AZ16" s="1689">
        <f ca="1">Costs!AZ16/('Global assumptions'!$C$7*NAIRA2010_*250)</f>
        <v>0</v>
      </c>
      <c r="BA16" s="1689">
        <f ca="1">Costs!BA16/('Global assumptions'!$C$7*NAIRA2010_*250)</f>
        <v>0</v>
      </c>
      <c r="BB16" s="1689">
        <f ca="1">Costs!BB16/('Global assumptions'!$C$7*NAIRA2010_*250)</f>
        <v>0</v>
      </c>
      <c r="BC16" s="1689">
        <f ca="1">Costs!BC16/('Global assumptions'!$C$7*NAIRA2010_*250)</f>
        <v>0</v>
      </c>
      <c r="BD16" s="1689">
        <f ca="1">Costs!BD16/('Global assumptions'!$C$7*NAIRA2010_*250)</f>
        <v>0</v>
      </c>
      <c r="BE16" s="1689">
        <f ca="1">Costs!BE16/('Global assumptions'!$C$7*NAIRA2010_*250)</f>
        <v>0</v>
      </c>
      <c r="BF16" s="1689">
        <f ca="1">Costs!BF16/('Global assumptions'!$C$7*NAIRA2010_*250)</f>
        <v>0</v>
      </c>
      <c r="BG16" s="1689">
        <f ca="1">Costs!BG16/('Global assumptions'!$C$7*NAIRA2010_*250)</f>
        <v>0</v>
      </c>
      <c r="BH16" s="675"/>
      <c r="BI16" s="1689">
        <f ca="1">Costs!BI16/('Global assumptions'!$C$7*NAIRA2010_*250)</f>
        <v>0</v>
      </c>
      <c r="BJ16" s="1689">
        <f ca="1">Costs!BJ16/('Global assumptions'!$C$7*NAIRA2010_*250)</f>
        <v>0</v>
      </c>
      <c r="BK16" s="1689">
        <f ca="1">Costs!BK16/('Global assumptions'!$C$7*NAIRA2010_*250)</f>
        <v>0</v>
      </c>
      <c r="BL16" s="1689">
        <f ca="1">Costs!BL16/('Global assumptions'!$C$7*NAIRA2010_*250)</f>
        <v>0</v>
      </c>
      <c r="BM16" s="1689">
        <f ca="1">Costs!BM16/('Global assumptions'!$C$7*NAIRA2010_*250)</f>
        <v>0</v>
      </c>
      <c r="BN16" s="1689">
        <f ca="1">Costs!BN16/('Global assumptions'!$C$7*NAIRA2010_*250)</f>
        <v>0</v>
      </c>
      <c r="BO16" s="1689">
        <f ca="1">Costs!BO16/('Global assumptions'!$C$7*NAIRA2010_*250)</f>
        <v>0</v>
      </c>
      <c r="BP16" s="1689">
        <f ca="1">Costs!BP16/('Global assumptions'!$C$7*NAIRA2010_*250)</f>
        <v>0</v>
      </c>
      <c r="BQ16" s="1689">
        <f ca="1">Costs!BQ16/('Global assumptions'!$C$7*NAIRA2010_*250)</f>
        <v>0</v>
      </c>
      <c r="BR16" s="675"/>
      <c r="BS16" s="1689">
        <f ca="1">Costs!BS16/('Global assumptions'!$C$7*NAIRA2010_*250)</f>
        <v>0</v>
      </c>
      <c r="BT16" s="1689">
        <f ca="1">Costs!BT16/('Global assumptions'!$C$7*NAIRA2010_*250)</f>
        <v>0</v>
      </c>
      <c r="BU16" s="1689">
        <f ca="1">Costs!BU16/('Global assumptions'!$C$7*NAIRA2010_*250)</f>
        <v>0</v>
      </c>
      <c r="BV16" s="1689">
        <f ca="1">Costs!BV16/('Global assumptions'!$C$7*NAIRA2010_*250)</f>
        <v>0</v>
      </c>
      <c r="BW16" s="1689">
        <f ca="1">Costs!BW16/('Global assumptions'!$C$7*NAIRA2010_*250)</f>
        <v>0</v>
      </c>
      <c r="BX16" s="1689">
        <f ca="1">Costs!BX16/('Global assumptions'!$C$7*NAIRA2010_*250)</f>
        <v>0</v>
      </c>
      <c r="BY16" s="1689">
        <f ca="1">Costs!BY16/('Global assumptions'!$C$7*NAIRA2010_*250)</f>
        <v>0</v>
      </c>
      <c r="BZ16" s="1689">
        <f ca="1">Costs!BZ16/('Global assumptions'!$C$7*NAIRA2010_*250)</f>
        <v>0</v>
      </c>
      <c r="CA16" s="1689">
        <f ca="1">Costs!CA16/('Global assumptions'!$C$7*NAIRA2010_*250)</f>
        <v>0</v>
      </c>
      <c r="CC16" s="1706">
        <f t="shared" ca="1" si="4"/>
        <v>0</v>
      </c>
      <c r="CD16" s="1706">
        <f t="shared" ca="1" si="1"/>
        <v>0</v>
      </c>
      <c r="CF16" s="1689">
        <f ca="1">Costs!CF16/('Global assumptions'!$C$7*NAIRA2010_*250)</f>
        <v>0</v>
      </c>
      <c r="CG16" s="1689">
        <f ca="1">Costs!CG16/('Global assumptions'!$C$7*NAIRA2010_*250)</f>
        <v>0</v>
      </c>
      <c r="CH16" s="1689">
        <f ca="1">Costs!CH16/('Global assumptions'!$C$7*NAIRA2010_*250)</f>
        <v>0</v>
      </c>
      <c r="CI16" s="1689">
        <f ca="1">Costs!CI16/('Global assumptions'!$C$7*NAIRA2010_*250)</f>
        <v>0</v>
      </c>
      <c r="CJ16" s="1689">
        <f ca="1">Costs!CJ16/('Global assumptions'!$C$7*NAIRA2010_*250)</f>
        <v>0</v>
      </c>
      <c r="CK16" s="1689">
        <f ca="1">Costs!CK16/('Global assumptions'!$C$7*NAIRA2010_*250)</f>
        <v>0</v>
      </c>
      <c r="CL16" s="1689">
        <f ca="1">Costs!CL16/('Global assumptions'!$C$7*NAIRA2010_*250)</f>
        <v>0</v>
      </c>
      <c r="CM16" s="1689">
        <f ca="1">Costs!CM16/('Global assumptions'!$C$7*NAIRA2010_*250)</f>
        <v>0</v>
      </c>
      <c r="CN16" s="1689">
        <f ca="1">Costs!CN16/('Global assumptions'!$C$7*NAIRA2010_*250)</f>
        <v>0</v>
      </c>
      <c r="CP16" s="1706">
        <f t="shared" ca="1" si="5"/>
        <v>0</v>
      </c>
      <c r="CQ16" s="1706">
        <f t="shared" ca="1" si="2"/>
        <v>0</v>
      </c>
      <c r="CR16" s="1426" t="str">
        <f t="shared" ca="1" si="6"/>
        <v>ok</v>
      </c>
    </row>
    <row r="17" spans="1:96" x14ac:dyDescent="0.2">
      <c r="A17" s="1685" t="s">
        <v>1765</v>
      </c>
      <c r="B17" s="1685" t="s">
        <v>1767</v>
      </c>
      <c r="C17" s="1685" t="s">
        <v>1189</v>
      </c>
      <c r="E17" s="1691">
        <f ca="1">Costs!E17/('Global assumptions'!$C$7*NAIRA2010_*250)</f>
        <v>1.5104854805281003</v>
      </c>
      <c r="F17" s="1691">
        <f ca="1">Costs!F17/('Global assumptions'!$C$7*NAIRA2010_*250)</f>
        <v>1.5104854805281003</v>
      </c>
      <c r="G17" s="1691">
        <f ca="1">Costs!G17/('Global assumptions'!$C$7*NAIRA2010_*250)</f>
        <v>1.5104854805281003</v>
      </c>
      <c r="H17" s="1691">
        <f ca="1">Costs!H17/('Global assumptions'!$C$7*NAIRA2010_*250)</f>
        <v>1.5104854805281003</v>
      </c>
      <c r="I17" s="1691">
        <f ca="1">Costs!I17/('Global assumptions'!$C$7*NAIRA2010_*250)</f>
        <v>1.5104854805281003</v>
      </c>
      <c r="J17" s="1691">
        <f ca="1">Costs!J17/('Global assumptions'!$C$7*NAIRA2010_*250)</f>
        <v>1.5104854805281003</v>
      </c>
      <c r="K17" s="1691">
        <f ca="1">Costs!K17/('Global assumptions'!$C$7*NAIRA2010_*250)</f>
        <v>1.5104854805281003</v>
      </c>
      <c r="L17" s="1691">
        <f ca="1">Costs!L17/('Global assumptions'!$C$7*NAIRA2010_*250)</f>
        <v>1.5104854805281003</v>
      </c>
      <c r="M17" s="1691">
        <f ca="1">Costs!M17/('Global assumptions'!$C$7*NAIRA2010_*250)</f>
        <v>1.5104854805281003</v>
      </c>
      <c r="N17" s="675"/>
      <c r="O17" s="1691">
        <f ca="1">Costs!O17/('Global assumptions'!$C$7*NAIRA2010_*250)</f>
        <v>0.52423916077528598</v>
      </c>
      <c r="P17" s="1691">
        <f ca="1">Costs!P17/('Global assumptions'!$C$7*NAIRA2010_*250)</f>
        <v>0.72284753256123413</v>
      </c>
      <c r="Q17" s="1691">
        <f ca="1">Costs!Q17/('Global assumptions'!$C$7*NAIRA2010_*250)</f>
        <v>0.93806562298958596</v>
      </c>
      <c r="R17" s="1691">
        <f ca="1">Costs!R17/('Global assumptions'!$C$7*NAIRA2010_*250)</f>
        <v>0.96186069181287004</v>
      </c>
      <c r="S17" s="1691">
        <f ca="1">Costs!S17/('Global assumptions'!$C$7*NAIRA2010_*250)</f>
        <v>0.99309065149336406</v>
      </c>
      <c r="T17" s="1691">
        <f ca="1">Costs!T17/('Global assumptions'!$C$7*NAIRA2010_*250)</f>
        <v>0.97184829363190683</v>
      </c>
      <c r="U17" s="1691">
        <f ca="1">Costs!U17/('Global assumptions'!$C$7*NAIRA2010_*250)</f>
        <v>0.95101261255338854</v>
      </c>
      <c r="V17" s="1691">
        <f ca="1">Costs!V17/('Global assumptions'!$C$7*NAIRA2010_*250)</f>
        <v>0.93058360825780906</v>
      </c>
      <c r="W17" s="1691">
        <f ca="1">Costs!W17/('Global assumptions'!$C$7*NAIRA2010_*250)</f>
        <v>0.91056128074516851</v>
      </c>
      <c r="X17" s="675"/>
      <c r="Y17" s="1691">
        <f ca="1">Costs!Y17/('Global assumptions'!$C$7*NAIRA2010_*250)</f>
        <v>0</v>
      </c>
      <c r="Z17" s="1691">
        <f ca="1">Costs!Z17/('Global assumptions'!$C$7*NAIRA2010_*250)</f>
        <v>0</v>
      </c>
      <c r="AA17" s="1691">
        <f ca="1">Costs!AA17/('Global assumptions'!$C$7*NAIRA2010_*250)</f>
        <v>0</v>
      </c>
      <c r="AB17" s="1691">
        <f ca="1">Costs!AB17/('Global assumptions'!$C$7*NAIRA2010_*250)</f>
        <v>0</v>
      </c>
      <c r="AC17" s="1691">
        <f ca="1">Costs!AC17/('Global assumptions'!$C$7*NAIRA2010_*250)</f>
        <v>0</v>
      </c>
      <c r="AD17" s="1691">
        <f ca="1">Costs!AD17/('Global assumptions'!$C$7*NAIRA2010_*250)</f>
        <v>0</v>
      </c>
      <c r="AE17" s="1691">
        <f ca="1">Costs!AE17/('Global assumptions'!$C$7*NAIRA2010_*250)</f>
        <v>0</v>
      </c>
      <c r="AF17" s="1691">
        <f ca="1">Costs!AF17/('Global assumptions'!$C$7*NAIRA2010_*250)</f>
        <v>0</v>
      </c>
      <c r="AG17" s="1691">
        <f ca="1">Costs!AG17/('Global assumptions'!$C$7*NAIRA2010_*250)</f>
        <v>0</v>
      </c>
      <c r="AH17" s="675"/>
      <c r="AI17" s="1691">
        <f ca="1">Costs!AI17/('Global assumptions'!$C$7*NAIRA2010_*250)</f>
        <v>2.0347246413033862</v>
      </c>
      <c r="AJ17" s="1691">
        <f ca="1">Costs!AJ17/('Global assumptions'!$C$7*NAIRA2010_*250)</f>
        <v>2.2333330130893341</v>
      </c>
      <c r="AK17" s="1691">
        <f ca="1">Costs!AK17/('Global assumptions'!$C$7*NAIRA2010_*250)</f>
        <v>2.4485511035176866</v>
      </c>
      <c r="AL17" s="1691">
        <f ca="1">Costs!AL17/('Global assumptions'!$C$7*NAIRA2010_*250)</f>
        <v>2.4723461723409703</v>
      </c>
      <c r="AM17" s="1691">
        <f ca="1">Costs!AM17/('Global assumptions'!$C$7*NAIRA2010_*250)</f>
        <v>2.5035761320214642</v>
      </c>
      <c r="AN17" s="1691">
        <f ca="1">Costs!AN17/('Global assumptions'!$C$7*NAIRA2010_*250)</f>
        <v>2.4823337741600069</v>
      </c>
      <c r="AO17" s="1691">
        <f ca="1">Costs!AO17/('Global assumptions'!$C$7*NAIRA2010_*250)</f>
        <v>2.4614980930814889</v>
      </c>
      <c r="AP17" s="1691">
        <f ca="1">Costs!AP17/('Global assumptions'!$C$7*NAIRA2010_*250)</f>
        <v>2.441069088785909</v>
      </c>
      <c r="AQ17" s="1691">
        <f ca="1">Costs!AQ17/('Global assumptions'!$C$7*NAIRA2010_*250)</f>
        <v>2.4210467612732685</v>
      </c>
      <c r="AS17" s="1707">
        <f t="shared" ca="1" si="3"/>
        <v>2.3887198643970571</v>
      </c>
      <c r="AT17" s="1707">
        <f t="shared" ca="1" si="0"/>
        <v>21.478904834320574</v>
      </c>
      <c r="AU17" s="675"/>
      <c r="AV17" s="1700">
        <f>IFERROR(VLOOKUP($A17,Cost.FinanceCostTable,3,FALSE),'Global assumptions'!$D$35)</f>
        <v>0</v>
      </c>
      <c r="AW17" s="1692">
        <f>IFERROR(VLOOKUP($A17,Cost.FinanceCostTable,4,FALSE),'Global assumptions'!$E$35)</f>
        <v>15</v>
      </c>
      <c r="AX17" s="675"/>
      <c r="AY17" s="1691">
        <f ca="1">Costs!AY17/('Global assumptions'!$C$7*NAIRA2010_*250)</f>
        <v>0.30209709610562002</v>
      </c>
      <c r="AZ17" s="1691">
        <f ca="1">Costs!AZ17/('Global assumptions'!$C$7*NAIRA2010_*250)</f>
        <v>0.50349516017603335</v>
      </c>
      <c r="BA17" s="1691">
        <f ca="1">Costs!BA17/('Global assumptions'!$C$7*NAIRA2010_*250)</f>
        <v>0.50349516017603335</v>
      </c>
      <c r="BB17" s="1691">
        <f ca="1">Costs!BB17/('Global assumptions'!$C$7*NAIRA2010_*250)</f>
        <v>0.50349516017603335</v>
      </c>
      <c r="BC17" s="1691">
        <f ca="1">Costs!BC17/('Global assumptions'!$C$7*NAIRA2010_*250)</f>
        <v>0.50349516017603335</v>
      </c>
      <c r="BD17" s="1691">
        <f ca="1">Costs!BD17/('Global assumptions'!$C$7*NAIRA2010_*250)</f>
        <v>0.50349516017603335</v>
      </c>
      <c r="BE17" s="1691">
        <f ca="1">Costs!BE17/('Global assumptions'!$C$7*NAIRA2010_*250)</f>
        <v>0.50349516017603335</v>
      </c>
      <c r="BF17" s="1691">
        <f ca="1">Costs!BF17/('Global assumptions'!$C$7*NAIRA2010_*250)</f>
        <v>0.50349516017603335</v>
      </c>
      <c r="BG17" s="1691">
        <f ca="1">Costs!BG17/('Global assumptions'!$C$7*NAIRA2010_*250)</f>
        <v>0.50349516017603335</v>
      </c>
      <c r="BH17" s="675"/>
      <c r="BI17" s="1691">
        <f ca="1">Costs!BI17/('Global assumptions'!$C$7*NAIRA2010_*250)</f>
        <v>0.30209709610562002</v>
      </c>
      <c r="BJ17" s="1691">
        <f ca="1">Costs!BJ17/('Global assumptions'!$C$7*NAIRA2010_*250)</f>
        <v>0.80559225628165343</v>
      </c>
      <c r="BK17" s="1691">
        <f ca="1">Costs!BK17/('Global assumptions'!$C$7*NAIRA2010_*250)</f>
        <v>1.3090874164576869</v>
      </c>
      <c r="BL17" s="1691">
        <f ca="1">Costs!BL17/('Global assumptions'!$C$7*NAIRA2010_*250)</f>
        <v>1.5104854805281003</v>
      </c>
      <c r="BM17" s="1691">
        <f ca="1">Costs!BM17/('Global assumptions'!$C$7*NAIRA2010_*250)</f>
        <v>1.5104854805281003</v>
      </c>
      <c r="BN17" s="1691">
        <f ca="1">Costs!BN17/('Global assumptions'!$C$7*NAIRA2010_*250)</f>
        <v>1.5104854805281003</v>
      </c>
      <c r="BO17" s="1691">
        <f ca="1">Costs!BO17/('Global assumptions'!$C$7*NAIRA2010_*250)</f>
        <v>1.5104854805281003</v>
      </c>
      <c r="BP17" s="1691">
        <f ca="1">Costs!BP17/('Global assumptions'!$C$7*NAIRA2010_*250)</f>
        <v>1.5104854805281003</v>
      </c>
      <c r="BQ17" s="1691">
        <f ca="1">Costs!BQ17/('Global assumptions'!$C$7*NAIRA2010_*250)</f>
        <v>1.5104854805281003</v>
      </c>
      <c r="BR17" s="675"/>
      <c r="BS17" s="1691">
        <f ca="1">Costs!BS17/('Global assumptions'!$C$7*NAIRA2010_*250)</f>
        <v>0.82633625688090606</v>
      </c>
      <c r="BT17" s="1691">
        <f ca="1">Costs!BT17/('Global assumptions'!$C$7*NAIRA2010_*250)</f>
        <v>1.5284397888428876</v>
      </c>
      <c r="BU17" s="1691">
        <f ca="1">Costs!BU17/('Global assumptions'!$C$7*NAIRA2010_*250)</f>
        <v>2.247153039447273</v>
      </c>
      <c r="BV17" s="1691">
        <f ca="1">Costs!BV17/('Global assumptions'!$C$7*NAIRA2010_*250)</f>
        <v>2.4723461723409703</v>
      </c>
      <c r="BW17" s="1691">
        <f ca="1">Costs!BW17/('Global assumptions'!$C$7*NAIRA2010_*250)</f>
        <v>2.5035761320214642</v>
      </c>
      <c r="BX17" s="1691">
        <f ca="1">Costs!BX17/('Global assumptions'!$C$7*NAIRA2010_*250)</f>
        <v>2.4823337741600069</v>
      </c>
      <c r="BY17" s="1691">
        <f ca="1">Costs!BY17/('Global assumptions'!$C$7*NAIRA2010_*250)</f>
        <v>2.4614980930814889</v>
      </c>
      <c r="BZ17" s="1691">
        <f ca="1">Costs!BZ17/('Global assumptions'!$C$7*NAIRA2010_*250)</f>
        <v>2.441069088785909</v>
      </c>
      <c r="CA17" s="1691">
        <f ca="1">Costs!CA17/('Global assumptions'!$C$7*NAIRA2010_*250)</f>
        <v>2.4210467612732685</v>
      </c>
      <c r="CC17" s="1707">
        <f t="shared" ca="1" si="4"/>
        <v>2.1537554563149079</v>
      </c>
      <c r="CD17" s="1707">
        <f t="shared" ca="1" si="1"/>
        <v>17.693861922293173</v>
      </c>
      <c r="CF17" s="1691">
        <f ca="1">Costs!CF17/('Global assumptions'!$C$7*NAIRA2010_*250)</f>
        <v>-1.2083883844224801</v>
      </c>
      <c r="CG17" s="1691">
        <f ca="1">Costs!CG17/('Global assumptions'!$C$7*NAIRA2010_*250)</f>
        <v>-0.70489322424644674</v>
      </c>
      <c r="CH17" s="1691">
        <f ca="1">Costs!CH17/('Global assumptions'!$C$7*NAIRA2010_*250)</f>
        <v>-0.20139806407041336</v>
      </c>
      <c r="CI17" s="1691">
        <f ca="1">Costs!CI17/('Global assumptions'!$C$7*NAIRA2010_*250)</f>
        <v>0</v>
      </c>
      <c r="CJ17" s="1691">
        <f ca="1">Costs!CJ17/('Global assumptions'!$C$7*NAIRA2010_*250)</f>
        <v>0</v>
      </c>
      <c r="CK17" s="1691">
        <f ca="1">Costs!CK17/('Global assumptions'!$C$7*NAIRA2010_*250)</f>
        <v>0</v>
      </c>
      <c r="CL17" s="1691">
        <f ca="1">Costs!CL17/('Global assumptions'!$C$7*NAIRA2010_*250)</f>
        <v>0</v>
      </c>
      <c r="CM17" s="1691">
        <f ca="1">Costs!CM17/('Global assumptions'!$C$7*NAIRA2010_*250)</f>
        <v>0</v>
      </c>
      <c r="CN17" s="1691">
        <f ca="1">Costs!CN17/('Global assumptions'!$C$7*NAIRA2010_*250)</f>
        <v>0</v>
      </c>
      <c r="CP17" s="1707">
        <f t="shared" ca="1" si="5"/>
        <v>-0.23496440808214888</v>
      </c>
      <c r="CQ17" s="1707">
        <f t="shared" ca="1" si="2"/>
        <v>-3.7850429120274001</v>
      </c>
      <c r="CR17" s="1426" t="str">
        <f t="shared" ca="1" si="6"/>
        <v>ok</v>
      </c>
    </row>
    <row r="18" spans="1:96" x14ac:dyDescent="0.2">
      <c r="A18" s="1683" t="s">
        <v>1766</v>
      </c>
      <c r="B18" s="1683" t="s">
        <v>1362</v>
      </c>
      <c r="C18" s="1683" t="s">
        <v>1189</v>
      </c>
      <c r="E18" s="1689">
        <f ca="1">Costs!E18/('Global assumptions'!$C$7*NAIRA2010_*250)</f>
        <v>8.6398287727331979</v>
      </c>
      <c r="F18" s="1689">
        <f ca="1">Costs!F18/('Global assumptions'!$C$7*NAIRA2010_*250)</f>
        <v>6.8133216822600939</v>
      </c>
      <c r="G18" s="1689">
        <f ca="1">Costs!G18/('Global assumptions'!$C$7*NAIRA2010_*250)</f>
        <v>7.4429927295762397</v>
      </c>
      <c r="H18" s="1689">
        <f ca="1">Costs!H18/('Global assumptions'!$C$7*NAIRA2010_*250)</f>
        <v>7.9799829052829843</v>
      </c>
      <c r="I18" s="1689">
        <f ca="1">Costs!I18/('Global assumptions'!$C$7*NAIRA2010_*250)</f>
        <v>8.5169730809897288</v>
      </c>
      <c r="J18" s="1689">
        <f ca="1">Costs!J18/('Global assumptions'!$C$7*NAIRA2010_*250)</f>
        <v>8.7512367916406326</v>
      </c>
      <c r="K18" s="1689">
        <f ca="1">Costs!K18/('Global assumptions'!$C$7*NAIRA2010_*250)</f>
        <v>8.9855005022915364</v>
      </c>
      <c r="L18" s="1689">
        <f ca="1">Costs!L18/('Global assumptions'!$C$7*NAIRA2010_*250)</f>
        <v>9.2197642129424402</v>
      </c>
      <c r="M18" s="1689">
        <f ca="1">Costs!M18/('Global assumptions'!$C$7*NAIRA2010_*250)</f>
        <v>9.454027923593344</v>
      </c>
      <c r="N18" s="675"/>
      <c r="O18" s="1689">
        <f ca="1">Costs!O18/('Global assumptions'!$C$7*NAIRA2010_*250)</f>
        <v>15.357727419610672</v>
      </c>
      <c r="P18" s="1689">
        <f ca="1">Costs!P18/('Global assumptions'!$C$7*NAIRA2010_*250)</f>
        <v>9.4778684194276792</v>
      </c>
      <c r="Q18" s="1689">
        <f ca="1">Costs!Q18/('Global assumptions'!$C$7*NAIRA2010_*250)</f>
        <v>10.005430648260127</v>
      </c>
      <c r="R18" s="1689">
        <f ca="1">Costs!R18/('Global assumptions'!$C$7*NAIRA2010_*250)</f>
        <v>10.455341336014426</v>
      </c>
      <c r="S18" s="1689">
        <f ca="1">Costs!S18/('Global assumptions'!$C$7*NAIRA2010_*250)</f>
        <v>10.905252023768725</v>
      </c>
      <c r="T18" s="1689">
        <f ca="1">Costs!T18/('Global assumptions'!$C$7*NAIRA2010_*250)</f>
        <v>11.101527024584348</v>
      </c>
      <c r="U18" s="1689">
        <f ca="1">Costs!U18/('Global assumptions'!$C$7*NAIRA2010_*250)</f>
        <v>11.297802025399969</v>
      </c>
      <c r="V18" s="1689">
        <f ca="1">Costs!V18/('Global assumptions'!$C$7*NAIRA2010_*250)</f>
        <v>11.494077026215592</v>
      </c>
      <c r="W18" s="1689">
        <f ca="1">Costs!W18/('Global assumptions'!$C$7*NAIRA2010_*250)</f>
        <v>11.690352027031214</v>
      </c>
      <c r="X18" s="675"/>
      <c r="Y18" s="1689">
        <f ca="1">Costs!Y18/('Global assumptions'!$C$7*NAIRA2010_*250)</f>
        <v>0</v>
      </c>
      <c r="Z18" s="1689">
        <f ca="1">Costs!Z18/('Global assumptions'!$C$7*NAIRA2010_*250)</f>
        <v>0</v>
      </c>
      <c r="AA18" s="1689">
        <f ca="1">Costs!AA18/('Global assumptions'!$C$7*NAIRA2010_*250)</f>
        <v>0</v>
      </c>
      <c r="AB18" s="1689">
        <f ca="1">Costs!AB18/('Global assumptions'!$C$7*NAIRA2010_*250)</f>
        <v>0</v>
      </c>
      <c r="AC18" s="1689">
        <f ca="1">Costs!AC18/('Global assumptions'!$C$7*NAIRA2010_*250)</f>
        <v>0</v>
      </c>
      <c r="AD18" s="1689">
        <f ca="1">Costs!AD18/('Global assumptions'!$C$7*NAIRA2010_*250)</f>
        <v>0</v>
      </c>
      <c r="AE18" s="1689">
        <f ca="1">Costs!AE18/('Global assumptions'!$C$7*NAIRA2010_*250)</f>
        <v>0</v>
      </c>
      <c r="AF18" s="1689">
        <f ca="1">Costs!AF18/('Global assumptions'!$C$7*NAIRA2010_*250)</f>
        <v>0</v>
      </c>
      <c r="AG18" s="1689">
        <f ca="1">Costs!AG18/('Global assumptions'!$C$7*NAIRA2010_*250)</f>
        <v>0</v>
      </c>
      <c r="AH18" s="675"/>
      <c r="AI18" s="1689">
        <f ca="1">Costs!AI18/('Global assumptions'!$C$7*NAIRA2010_*250)</f>
        <v>23.997556192343868</v>
      </c>
      <c r="AJ18" s="1689">
        <f ca="1">Costs!AJ18/('Global assumptions'!$C$7*NAIRA2010_*250)</f>
        <v>16.291190101687771</v>
      </c>
      <c r="AK18" s="1689">
        <f ca="1">Costs!AK18/('Global assumptions'!$C$7*NAIRA2010_*250)</f>
        <v>17.448423377836367</v>
      </c>
      <c r="AL18" s="1689">
        <f ca="1">Costs!AL18/('Global assumptions'!$C$7*NAIRA2010_*250)</f>
        <v>18.435324241297408</v>
      </c>
      <c r="AM18" s="1689">
        <f ca="1">Costs!AM18/('Global assumptions'!$C$7*NAIRA2010_*250)</f>
        <v>19.422225104758454</v>
      </c>
      <c r="AN18" s="1689">
        <f ca="1">Costs!AN18/('Global assumptions'!$C$7*NAIRA2010_*250)</f>
        <v>19.852763816224979</v>
      </c>
      <c r="AO18" s="1689">
        <f ca="1">Costs!AO18/('Global assumptions'!$C$7*NAIRA2010_*250)</f>
        <v>20.283302527691504</v>
      </c>
      <c r="AP18" s="1689">
        <f ca="1">Costs!AP18/('Global assumptions'!$C$7*NAIRA2010_*250)</f>
        <v>20.713841239158032</v>
      </c>
      <c r="AQ18" s="1689">
        <f ca="1">Costs!AQ18/('Global assumptions'!$C$7*NAIRA2010_*250)</f>
        <v>21.144379950624558</v>
      </c>
      <c r="AS18" s="1706">
        <f t="shared" ca="1" si="3"/>
        <v>19.732111839069216</v>
      </c>
      <c r="AT18" s="1706">
        <f t="shared" ca="1" si="0"/>
        <v>169.31411523734684</v>
      </c>
      <c r="AU18" s="675"/>
      <c r="AV18" s="1699">
        <f>IFERROR(VLOOKUP($A18,Cost.FinanceCostTable,3,FALSE),'Global assumptions'!$D$35)</f>
        <v>0</v>
      </c>
      <c r="AW18" s="1690">
        <f>IFERROR(VLOOKUP($A18,Cost.FinanceCostTable,4,FALSE),'Global assumptions'!$E$35)</f>
        <v>15</v>
      </c>
      <c r="AX18" s="675"/>
      <c r="AY18" s="1689">
        <f ca="1">Costs!AY18/('Global assumptions'!$C$7*NAIRA2010_*250)</f>
        <v>1.7279657545466396</v>
      </c>
      <c r="AZ18" s="1689">
        <f ca="1">Costs!AZ18/('Global assumptions'!$C$7*NAIRA2010_*250)</f>
        <v>2.271107227420031</v>
      </c>
      <c r="BA18" s="1689">
        <f ca="1">Costs!BA18/('Global assumptions'!$C$7*NAIRA2010_*250)</f>
        <v>2.4809975765254135</v>
      </c>
      <c r="BB18" s="1689">
        <f ca="1">Costs!BB18/('Global assumptions'!$C$7*NAIRA2010_*250)</f>
        <v>2.6599943017609946</v>
      </c>
      <c r="BC18" s="1689">
        <f ca="1">Costs!BC18/('Global assumptions'!$C$7*NAIRA2010_*250)</f>
        <v>2.8389910269965761</v>
      </c>
      <c r="BD18" s="1689">
        <f ca="1">Costs!BD18/('Global assumptions'!$C$7*NAIRA2010_*250)</f>
        <v>2.9170789305468774</v>
      </c>
      <c r="BE18" s="1689">
        <f ca="1">Costs!BE18/('Global assumptions'!$C$7*NAIRA2010_*250)</f>
        <v>2.9951668340971787</v>
      </c>
      <c r="BF18" s="1689">
        <f ca="1">Costs!BF18/('Global assumptions'!$C$7*NAIRA2010_*250)</f>
        <v>3.0732547376474799</v>
      </c>
      <c r="BG18" s="1689">
        <f ca="1">Costs!BG18/('Global assumptions'!$C$7*NAIRA2010_*250)</f>
        <v>3.1513426411977812</v>
      </c>
      <c r="BH18" s="675"/>
      <c r="BI18" s="1689">
        <f ca="1">Costs!BI18/('Global assumptions'!$C$7*NAIRA2010_*250)</f>
        <v>1.7279657545466396</v>
      </c>
      <c r="BJ18" s="1689">
        <f ca="1">Costs!BJ18/('Global assumptions'!$C$7*NAIRA2010_*250)</f>
        <v>3.9990729819666706</v>
      </c>
      <c r="BK18" s="1689">
        <f ca="1">Costs!BK18/('Global assumptions'!$C$7*NAIRA2010_*250)</f>
        <v>6.4800705584920841</v>
      </c>
      <c r="BL18" s="1689">
        <f ca="1">Costs!BL18/('Global assumptions'!$C$7*NAIRA2010_*250)</f>
        <v>7.4120991057064396</v>
      </c>
      <c r="BM18" s="1689">
        <f ca="1">Costs!BM18/('Global assumptions'!$C$7*NAIRA2010_*250)</f>
        <v>7.9799829052829843</v>
      </c>
      <c r="BN18" s="1689">
        <f ca="1">Costs!BN18/('Global assumptions'!$C$7*NAIRA2010_*250)</f>
        <v>8.4160642593044468</v>
      </c>
      <c r="BO18" s="1689">
        <f ca="1">Costs!BO18/('Global assumptions'!$C$7*NAIRA2010_*250)</f>
        <v>8.7512367916406326</v>
      </c>
      <c r="BP18" s="1689">
        <f ca="1">Costs!BP18/('Global assumptions'!$C$7*NAIRA2010_*250)</f>
        <v>8.9855005022915364</v>
      </c>
      <c r="BQ18" s="1689">
        <f ca="1">Costs!BQ18/('Global assumptions'!$C$7*NAIRA2010_*250)</f>
        <v>9.2197642129424402</v>
      </c>
      <c r="BR18" s="675"/>
      <c r="BS18" s="1689">
        <f ca="1">Costs!BS18/('Global assumptions'!$C$7*NAIRA2010_*250)</f>
        <v>17.08569317415731</v>
      </c>
      <c r="BT18" s="1689">
        <f ca="1">Costs!BT18/('Global assumptions'!$C$7*NAIRA2010_*250)</f>
        <v>13.476941401394349</v>
      </c>
      <c r="BU18" s="1689">
        <f ca="1">Costs!BU18/('Global assumptions'!$C$7*NAIRA2010_*250)</f>
        <v>16.485501206752211</v>
      </c>
      <c r="BV18" s="1689">
        <f ca="1">Costs!BV18/('Global assumptions'!$C$7*NAIRA2010_*250)</f>
        <v>17.867440441720866</v>
      </c>
      <c r="BW18" s="1689">
        <f ca="1">Costs!BW18/('Global assumptions'!$C$7*NAIRA2010_*250)</f>
        <v>18.885234929051709</v>
      </c>
      <c r="BX18" s="1689">
        <f ca="1">Costs!BX18/('Global assumptions'!$C$7*NAIRA2010_*250)</f>
        <v>19.517591283888795</v>
      </c>
      <c r="BY18" s="1689">
        <f ca="1">Costs!BY18/('Global assumptions'!$C$7*NAIRA2010_*250)</f>
        <v>20.0490388170406</v>
      </c>
      <c r="BZ18" s="1689">
        <f ca="1">Costs!BZ18/('Global assumptions'!$C$7*NAIRA2010_*250)</f>
        <v>20.479577528507129</v>
      </c>
      <c r="CA18" s="1689">
        <f ca="1">Costs!CA18/('Global assumptions'!$C$7*NAIRA2010_*250)</f>
        <v>20.910116239973654</v>
      </c>
      <c r="CC18" s="1706">
        <f t="shared" ca="1" si="4"/>
        <v>18.306348335831846</v>
      </c>
      <c r="CD18" s="1706">
        <f t="shared" ca="1" si="1"/>
        <v>150.40038657512656</v>
      </c>
      <c r="CF18" s="1689">
        <f ca="1">Costs!CF18/('Global assumptions'!$C$7*NAIRA2010_*250)</f>
        <v>-6.9118630181865583</v>
      </c>
      <c r="CG18" s="1689">
        <f ca="1">Costs!CG18/('Global assumptions'!$C$7*NAIRA2010_*250)</f>
        <v>-2.8142487002934229</v>
      </c>
      <c r="CH18" s="1689">
        <f ca="1">Costs!CH18/('Global assumptions'!$C$7*NAIRA2010_*250)</f>
        <v>-0.96292217108415623</v>
      </c>
      <c r="CI18" s="1689">
        <f ca="1">Costs!CI18/('Global assumptions'!$C$7*NAIRA2010_*250)</f>
        <v>-0.56788379957654467</v>
      </c>
      <c r="CJ18" s="1689">
        <f ca="1">Costs!CJ18/('Global assumptions'!$C$7*NAIRA2010_*250)</f>
        <v>-0.53699017570674401</v>
      </c>
      <c r="CK18" s="1689">
        <f ca="1">Costs!CK18/('Global assumptions'!$C$7*NAIRA2010_*250)</f>
        <v>-0.33517253233618449</v>
      </c>
      <c r="CL18" s="1689">
        <f ca="1">Costs!CL18/('Global assumptions'!$C$7*NAIRA2010_*250)</f>
        <v>-0.23426371065090393</v>
      </c>
      <c r="CM18" s="1689">
        <f ca="1">Costs!CM18/('Global assumptions'!$C$7*NAIRA2010_*250)</f>
        <v>-0.23426371065090393</v>
      </c>
      <c r="CN18" s="1689">
        <f ca="1">Costs!CN18/('Global assumptions'!$C$7*NAIRA2010_*250)</f>
        <v>-0.23426371065090393</v>
      </c>
      <c r="CP18" s="1706">
        <f t="shared" ca="1" si="5"/>
        <v>-1.425763503237369</v>
      </c>
      <c r="CQ18" s="1706">
        <f t="shared" ca="1" si="2"/>
        <v>-18.913728662220276</v>
      </c>
      <c r="CR18" s="1426" t="str">
        <f t="shared" ca="1" si="6"/>
        <v>ok</v>
      </c>
    </row>
    <row r="19" spans="1:96" x14ac:dyDescent="0.2">
      <c r="A19" s="1683" t="s">
        <v>1611</v>
      </c>
      <c r="B19" s="1683" t="s">
        <v>43</v>
      </c>
      <c r="C19" s="1683" t="s">
        <v>4</v>
      </c>
      <c r="E19" s="1689">
        <f ca="1">Costs!E19/('Global assumptions'!$C$7*NAIRA2010_*250)</f>
        <v>0</v>
      </c>
      <c r="F19" s="1689">
        <f ca="1">Costs!F19/('Global assumptions'!$C$7*NAIRA2010_*250)</f>
        <v>0</v>
      </c>
      <c r="G19" s="1689">
        <f ca="1">Costs!G19/('Global assumptions'!$C$7*NAIRA2010_*250)</f>
        <v>0</v>
      </c>
      <c r="H19" s="1689">
        <f ca="1">Costs!H19/('Global assumptions'!$C$7*NAIRA2010_*250)</f>
        <v>0</v>
      </c>
      <c r="I19" s="1689">
        <f ca="1">Costs!I19/('Global assumptions'!$C$7*NAIRA2010_*250)</f>
        <v>0</v>
      </c>
      <c r="J19" s="1689">
        <f ca="1">Costs!J19/('Global assumptions'!$C$7*NAIRA2010_*250)</f>
        <v>0</v>
      </c>
      <c r="K19" s="1689">
        <f ca="1">Costs!K19/('Global assumptions'!$C$7*NAIRA2010_*250)</f>
        <v>0</v>
      </c>
      <c r="L19" s="1689">
        <f ca="1">Costs!L19/('Global assumptions'!$C$7*NAIRA2010_*250)</f>
        <v>0</v>
      </c>
      <c r="M19" s="1689">
        <f ca="1">Costs!M19/('Global assumptions'!$C$7*NAIRA2010_*250)</f>
        <v>0</v>
      </c>
      <c r="N19" s="675"/>
      <c r="O19" s="1689">
        <f ca="1">Costs!O19/('Global assumptions'!$C$7*NAIRA2010_*250)</f>
        <v>0</v>
      </c>
      <c r="P19" s="1689">
        <f ca="1">Costs!P19/('Global assumptions'!$C$7*NAIRA2010_*250)</f>
        <v>0</v>
      </c>
      <c r="Q19" s="1689">
        <f ca="1">Costs!Q19/('Global assumptions'!$C$7*NAIRA2010_*250)</f>
        <v>0</v>
      </c>
      <c r="R19" s="1689">
        <f ca="1">Costs!R19/('Global assumptions'!$C$7*NAIRA2010_*250)</f>
        <v>0</v>
      </c>
      <c r="S19" s="1689">
        <f ca="1">Costs!S19/('Global assumptions'!$C$7*NAIRA2010_*250)</f>
        <v>0</v>
      </c>
      <c r="T19" s="1689">
        <f ca="1">Costs!T19/('Global assumptions'!$C$7*NAIRA2010_*250)</f>
        <v>0</v>
      </c>
      <c r="U19" s="1689">
        <f ca="1">Costs!U19/('Global assumptions'!$C$7*NAIRA2010_*250)</f>
        <v>0</v>
      </c>
      <c r="V19" s="1689">
        <f ca="1">Costs!V19/('Global assumptions'!$C$7*NAIRA2010_*250)</f>
        <v>0</v>
      </c>
      <c r="W19" s="1689">
        <f ca="1">Costs!W19/('Global assumptions'!$C$7*NAIRA2010_*250)</f>
        <v>0</v>
      </c>
      <c r="X19" s="675"/>
      <c r="Y19" s="1689">
        <f ca="1">Costs!Y19/('Global assumptions'!$C$7*NAIRA2010_*250)</f>
        <v>0</v>
      </c>
      <c r="Z19" s="1689">
        <f ca="1">Costs!Z19/('Global assumptions'!$C$7*NAIRA2010_*250)</f>
        <v>0</v>
      </c>
      <c r="AA19" s="1689">
        <f ca="1">Costs!AA19/('Global assumptions'!$C$7*NAIRA2010_*250)</f>
        <v>0</v>
      </c>
      <c r="AB19" s="1689">
        <f ca="1">Costs!AB19/('Global assumptions'!$C$7*NAIRA2010_*250)</f>
        <v>0</v>
      </c>
      <c r="AC19" s="1689">
        <f ca="1">Costs!AC19/('Global assumptions'!$C$7*NAIRA2010_*250)</f>
        <v>0</v>
      </c>
      <c r="AD19" s="1689">
        <f ca="1">Costs!AD19/('Global assumptions'!$C$7*NAIRA2010_*250)</f>
        <v>0</v>
      </c>
      <c r="AE19" s="1689">
        <f ca="1">Costs!AE19/('Global assumptions'!$C$7*NAIRA2010_*250)</f>
        <v>0</v>
      </c>
      <c r="AF19" s="1689">
        <f ca="1">Costs!AF19/('Global assumptions'!$C$7*NAIRA2010_*250)</f>
        <v>0</v>
      </c>
      <c r="AG19" s="1689">
        <f ca="1">Costs!AG19/('Global assumptions'!$C$7*NAIRA2010_*250)</f>
        <v>0</v>
      </c>
      <c r="AH19" s="675"/>
      <c r="AI19" s="1689">
        <f ca="1">Costs!AI19/('Global assumptions'!$C$7*NAIRA2010_*250)</f>
        <v>0</v>
      </c>
      <c r="AJ19" s="1689">
        <f ca="1">Costs!AJ19/('Global assumptions'!$C$7*NAIRA2010_*250)</f>
        <v>0</v>
      </c>
      <c r="AK19" s="1689">
        <f ca="1">Costs!AK19/('Global assumptions'!$C$7*NAIRA2010_*250)</f>
        <v>0</v>
      </c>
      <c r="AL19" s="1689">
        <f ca="1">Costs!AL19/('Global assumptions'!$C$7*NAIRA2010_*250)</f>
        <v>0</v>
      </c>
      <c r="AM19" s="1689">
        <f ca="1">Costs!AM19/('Global assumptions'!$C$7*NAIRA2010_*250)</f>
        <v>0</v>
      </c>
      <c r="AN19" s="1689">
        <f ca="1">Costs!AN19/('Global assumptions'!$C$7*NAIRA2010_*250)</f>
        <v>0</v>
      </c>
      <c r="AO19" s="1689">
        <f ca="1">Costs!AO19/('Global assumptions'!$C$7*NAIRA2010_*250)</f>
        <v>0</v>
      </c>
      <c r="AP19" s="1689">
        <f ca="1">Costs!AP19/('Global assumptions'!$C$7*NAIRA2010_*250)</f>
        <v>0</v>
      </c>
      <c r="AQ19" s="1689">
        <f ca="1">Costs!AQ19/('Global assumptions'!$C$7*NAIRA2010_*250)</f>
        <v>0</v>
      </c>
      <c r="AS19" s="1706">
        <f t="shared" ca="1" si="3"/>
        <v>0</v>
      </c>
      <c r="AT19" s="1706">
        <f t="shared" ca="1" si="0"/>
        <v>0</v>
      </c>
      <c r="AU19" s="675"/>
      <c r="AV19" s="1699">
        <f>IFERROR(VLOOKUP($A19,Cost.FinanceCostTable,3,FALSE),'Global assumptions'!$D$35)</f>
        <v>0</v>
      </c>
      <c r="AW19" s="1690">
        <f>IFERROR(VLOOKUP($A19,Cost.FinanceCostTable,4,FALSE),'Global assumptions'!$E$35)</f>
        <v>5</v>
      </c>
      <c r="AX19" s="675"/>
      <c r="AY19" s="1689">
        <f ca="1">Costs!AY19/('Global assumptions'!$C$7*NAIRA2010_*250)</f>
        <v>0</v>
      </c>
      <c r="AZ19" s="1689">
        <f ca="1">Costs!AZ19/('Global assumptions'!$C$7*NAIRA2010_*250)</f>
        <v>0</v>
      </c>
      <c r="BA19" s="1689">
        <f ca="1">Costs!BA19/('Global assumptions'!$C$7*NAIRA2010_*250)</f>
        <v>0</v>
      </c>
      <c r="BB19" s="1689">
        <f ca="1">Costs!BB19/('Global assumptions'!$C$7*NAIRA2010_*250)</f>
        <v>0</v>
      </c>
      <c r="BC19" s="1689">
        <f ca="1">Costs!BC19/('Global assumptions'!$C$7*NAIRA2010_*250)</f>
        <v>0</v>
      </c>
      <c r="BD19" s="1689">
        <f ca="1">Costs!BD19/('Global assumptions'!$C$7*NAIRA2010_*250)</f>
        <v>0</v>
      </c>
      <c r="BE19" s="1689">
        <f ca="1">Costs!BE19/('Global assumptions'!$C$7*NAIRA2010_*250)</f>
        <v>0</v>
      </c>
      <c r="BF19" s="1689">
        <f ca="1">Costs!BF19/('Global assumptions'!$C$7*NAIRA2010_*250)</f>
        <v>0</v>
      </c>
      <c r="BG19" s="1689">
        <f ca="1">Costs!BG19/('Global assumptions'!$C$7*NAIRA2010_*250)</f>
        <v>0</v>
      </c>
      <c r="BH19" s="675"/>
      <c r="BI19" s="1689">
        <f ca="1">Costs!BI19/('Global assumptions'!$C$7*NAIRA2010_*250)</f>
        <v>0</v>
      </c>
      <c r="BJ19" s="1689">
        <f ca="1">Costs!BJ19/('Global assumptions'!$C$7*NAIRA2010_*250)</f>
        <v>0</v>
      </c>
      <c r="BK19" s="1689">
        <f ca="1">Costs!BK19/('Global assumptions'!$C$7*NAIRA2010_*250)</f>
        <v>0</v>
      </c>
      <c r="BL19" s="1689">
        <f ca="1">Costs!BL19/('Global assumptions'!$C$7*NAIRA2010_*250)</f>
        <v>0</v>
      </c>
      <c r="BM19" s="1689">
        <f ca="1">Costs!BM19/('Global assumptions'!$C$7*NAIRA2010_*250)</f>
        <v>0</v>
      </c>
      <c r="BN19" s="1689">
        <f ca="1">Costs!BN19/('Global assumptions'!$C$7*NAIRA2010_*250)</f>
        <v>0</v>
      </c>
      <c r="BO19" s="1689">
        <f ca="1">Costs!BO19/('Global assumptions'!$C$7*NAIRA2010_*250)</f>
        <v>0</v>
      </c>
      <c r="BP19" s="1689">
        <f ca="1">Costs!BP19/('Global assumptions'!$C$7*NAIRA2010_*250)</f>
        <v>0</v>
      </c>
      <c r="BQ19" s="1689">
        <f ca="1">Costs!BQ19/('Global assumptions'!$C$7*NAIRA2010_*250)</f>
        <v>0</v>
      </c>
      <c r="BR19" s="675"/>
      <c r="BS19" s="1689">
        <f ca="1">Costs!BS19/('Global assumptions'!$C$7*NAIRA2010_*250)</f>
        <v>0</v>
      </c>
      <c r="BT19" s="1689">
        <f ca="1">Costs!BT19/('Global assumptions'!$C$7*NAIRA2010_*250)</f>
        <v>0</v>
      </c>
      <c r="BU19" s="1689">
        <f ca="1">Costs!BU19/('Global assumptions'!$C$7*NAIRA2010_*250)</f>
        <v>0</v>
      </c>
      <c r="BV19" s="1689">
        <f ca="1">Costs!BV19/('Global assumptions'!$C$7*NAIRA2010_*250)</f>
        <v>0</v>
      </c>
      <c r="BW19" s="1689">
        <f ca="1">Costs!BW19/('Global assumptions'!$C$7*NAIRA2010_*250)</f>
        <v>0</v>
      </c>
      <c r="BX19" s="1689">
        <f ca="1">Costs!BX19/('Global assumptions'!$C$7*NAIRA2010_*250)</f>
        <v>0</v>
      </c>
      <c r="BY19" s="1689">
        <f ca="1">Costs!BY19/('Global assumptions'!$C$7*NAIRA2010_*250)</f>
        <v>0</v>
      </c>
      <c r="BZ19" s="1689">
        <f ca="1">Costs!BZ19/('Global assumptions'!$C$7*NAIRA2010_*250)</f>
        <v>0</v>
      </c>
      <c r="CA19" s="1689">
        <f ca="1">Costs!CA19/('Global assumptions'!$C$7*NAIRA2010_*250)</f>
        <v>0</v>
      </c>
      <c r="CC19" s="1706">
        <f t="shared" ca="1" si="4"/>
        <v>0</v>
      </c>
      <c r="CD19" s="1706">
        <f t="shared" ca="1" si="1"/>
        <v>0</v>
      </c>
      <c r="CF19" s="1689">
        <f ca="1">Costs!CF19/('Global assumptions'!$C$7*NAIRA2010_*250)</f>
        <v>0</v>
      </c>
      <c r="CG19" s="1689">
        <f ca="1">Costs!CG19/('Global assumptions'!$C$7*NAIRA2010_*250)</f>
        <v>0</v>
      </c>
      <c r="CH19" s="1689">
        <f ca="1">Costs!CH19/('Global assumptions'!$C$7*NAIRA2010_*250)</f>
        <v>0</v>
      </c>
      <c r="CI19" s="1689">
        <f ca="1">Costs!CI19/('Global assumptions'!$C$7*NAIRA2010_*250)</f>
        <v>0</v>
      </c>
      <c r="CJ19" s="1689">
        <f ca="1">Costs!CJ19/('Global assumptions'!$C$7*NAIRA2010_*250)</f>
        <v>0</v>
      </c>
      <c r="CK19" s="1689">
        <f ca="1">Costs!CK19/('Global assumptions'!$C$7*NAIRA2010_*250)</f>
        <v>0</v>
      </c>
      <c r="CL19" s="1689">
        <f ca="1">Costs!CL19/('Global assumptions'!$C$7*NAIRA2010_*250)</f>
        <v>0</v>
      </c>
      <c r="CM19" s="1689">
        <f ca="1">Costs!CM19/('Global assumptions'!$C$7*NAIRA2010_*250)</f>
        <v>0</v>
      </c>
      <c r="CN19" s="1689">
        <f ca="1">Costs!CN19/('Global assumptions'!$C$7*NAIRA2010_*250)</f>
        <v>0</v>
      </c>
      <c r="CP19" s="1706">
        <f t="shared" ca="1" si="5"/>
        <v>0</v>
      </c>
      <c r="CQ19" s="1706">
        <f t="shared" ca="1" si="2"/>
        <v>0</v>
      </c>
      <c r="CR19" s="1426" t="str">
        <f t="shared" ca="1" si="6"/>
        <v>ok</v>
      </c>
    </row>
    <row r="20" spans="1:96" x14ac:dyDescent="0.2">
      <c r="A20" s="1685" t="s">
        <v>1612</v>
      </c>
      <c r="B20" s="1685" t="s">
        <v>1610</v>
      </c>
      <c r="C20" s="1685" t="s">
        <v>4</v>
      </c>
      <c r="E20" s="1691">
        <f ca="1">Costs!E20/('Global assumptions'!$C$7*NAIRA2010_*250)</f>
        <v>0</v>
      </c>
      <c r="F20" s="1691">
        <f ca="1">Costs!F20/('Global assumptions'!$C$7*NAIRA2010_*250)</f>
        <v>0</v>
      </c>
      <c r="G20" s="1691">
        <f ca="1">Costs!G20/('Global assumptions'!$C$7*NAIRA2010_*250)</f>
        <v>0</v>
      </c>
      <c r="H20" s="1691">
        <f ca="1">Costs!H20/('Global assumptions'!$C$7*NAIRA2010_*250)</f>
        <v>0</v>
      </c>
      <c r="I20" s="1691">
        <f ca="1">Costs!I20/('Global assumptions'!$C$7*NAIRA2010_*250)</f>
        <v>0</v>
      </c>
      <c r="J20" s="1691">
        <f ca="1">Costs!J20/('Global assumptions'!$C$7*NAIRA2010_*250)</f>
        <v>0</v>
      </c>
      <c r="K20" s="1691">
        <f ca="1">Costs!K20/('Global assumptions'!$C$7*NAIRA2010_*250)</f>
        <v>0</v>
      </c>
      <c r="L20" s="1691">
        <f ca="1">Costs!L20/('Global assumptions'!$C$7*NAIRA2010_*250)</f>
        <v>0</v>
      </c>
      <c r="M20" s="1691">
        <f ca="1">Costs!M20/('Global assumptions'!$C$7*NAIRA2010_*250)</f>
        <v>0</v>
      </c>
      <c r="N20" s="675"/>
      <c r="O20" s="1691">
        <f ca="1">Costs!O20/('Global assumptions'!$C$7*NAIRA2010_*250)</f>
        <v>0</v>
      </c>
      <c r="P20" s="1691">
        <f ca="1">Costs!P20/('Global assumptions'!$C$7*NAIRA2010_*250)</f>
        <v>0</v>
      </c>
      <c r="Q20" s="1691">
        <f ca="1">Costs!Q20/('Global assumptions'!$C$7*NAIRA2010_*250)</f>
        <v>0</v>
      </c>
      <c r="R20" s="1691">
        <f ca="1">Costs!R20/('Global assumptions'!$C$7*NAIRA2010_*250)</f>
        <v>0</v>
      </c>
      <c r="S20" s="1691">
        <f ca="1">Costs!S20/('Global assumptions'!$C$7*NAIRA2010_*250)</f>
        <v>0</v>
      </c>
      <c r="T20" s="1691">
        <f ca="1">Costs!T20/('Global assumptions'!$C$7*NAIRA2010_*250)</f>
        <v>0</v>
      </c>
      <c r="U20" s="1691">
        <f ca="1">Costs!U20/('Global assumptions'!$C$7*NAIRA2010_*250)</f>
        <v>0</v>
      </c>
      <c r="V20" s="1691">
        <f ca="1">Costs!V20/('Global assumptions'!$C$7*NAIRA2010_*250)</f>
        <v>0</v>
      </c>
      <c r="W20" s="1691">
        <f ca="1">Costs!W20/('Global assumptions'!$C$7*NAIRA2010_*250)</f>
        <v>0</v>
      </c>
      <c r="X20" s="675"/>
      <c r="Y20" s="1691">
        <f ca="1">Costs!Y20/('Global assumptions'!$C$7*NAIRA2010_*250)</f>
        <v>0</v>
      </c>
      <c r="Z20" s="1691">
        <f ca="1">Costs!Z20/('Global assumptions'!$C$7*NAIRA2010_*250)</f>
        <v>0</v>
      </c>
      <c r="AA20" s="1691">
        <f ca="1">Costs!AA20/('Global assumptions'!$C$7*NAIRA2010_*250)</f>
        <v>0</v>
      </c>
      <c r="AB20" s="1691">
        <f ca="1">Costs!AB20/('Global assumptions'!$C$7*NAIRA2010_*250)</f>
        <v>0</v>
      </c>
      <c r="AC20" s="1691">
        <f ca="1">Costs!AC20/('Global assumptions'!$C$7*NAIRA2010_*250)</f>
        <v>0</v>
      </c>
      <c r="AD20" s="1691">
        <f ca="1">Costs!AD20/('Global assumptions'!$C$7*NAIRA2010_*250)</f>
        <v>0</v>
      </c>
      <c r="AE20" s="1691">
        <f ca="1">Costs!AE20/('Global assumptions'!$C$7*NAIRA2010_*250)</f>
        <v>0</v>
      </c>
      <c r="AF20" s="1691">
        <f ca="1">Costs!AF20/('Global assumptions'!$C$7*NAIRA2010_*250)</f>
        <v>0</v>
      </c>
      <c r="AG20" s="1691">
        <f ca="1">Costs!AG20/('Global assumptions'!$C$7*NAIRA2010_*250)</f>
        <v>0</v>
      </c>
      <c r="AH20" s="675"/>
      <c r="AI20" s="1691">
        <f ca="1">Costs!AI20/('Global assumptions'!$C$7*NAIRA2010_*250)</f>
        <v>0</v>
      </c>
      <c r="AJ20" s="1691">
        <f ca="1">Costs!AJ20/('Global assumptions'!$C$7*NAIRA2010_*250)</f>
        <v>0</v>
      </c>
      <c r="AK20" s="1691">
        <f ca="1">Costs!AK20/('Global assumptions'!$C$7*NAIRA2010_*250)</f>
        <v>0</v>
      </c>
      <c r="AL20" s="1691">
        <f ca="1">Costs!AL20/('Global assumptions'!$C$7*NAIRA2010_*250)</f>
        <v>0</v>
      </c>
      <c r="AM20" s="1691">
        <f ca="1">Costs!AM20/('Global assumptions'!$C$7*NAIRA2010_*250)</f>
        <v>0</v>
      </c>
      <c r="AN20" s="1691">
        <f ca="1">Costs!AN20/('Global assumptions'!$C$7*NAIRA2010_*250)</f>
        <v>0</v>
      </c>
      <c r="AO20" s="1691">
        <f ca="1">Costs!AO20/('Global assumptions'!$C$7*NAIRA2010_*250)</f>
        <v>0</v>
      </c>
      <c r="AP20" s="1691">
        <f ca="1">Costs!AP20/('Global assumptions'!$C$7*NAIRA2010_*250)</f>
        <v>0</v>
      </c>
      <c r="AQ20" s="1691">
        <f ca="1">Costs!AQ20/('Global assumptions'!$C$7*NAIRA2010_*250)</f>
        <v>0</v>
      </c>
      <c r="AS20" s="1707">
        <f t="shared" ca="1" si="3"/>
        <v>0</v>
      </c>
      <c r="AT20" s="1707">
        <f t="shared" ca="1" si="0"/>
        <v>0</v>
      </c>
      <c r="AU20" s="675"/>
      <c r="AV20" s="1700">
        <f>IFERROR(VLOOKUP($A20,Cost.FinanceCostTable,3,FALSE),'Global assumptions'!$D$35)</f>
        <v>0</v>
      </c>
      <c r="AW20" s="1692">
        <f>IFERROR(VLOOKUP($A20,Cost.FinanceCostTable,4,FALSE),'Global assumptions'!$E$35)</f>
        <v>5</v>
      </c>
      <c r="AX20" s="675"/>
      <c r="AY20" s="1691">
        <f ca="1">Costs!AY20/('Global assumptions'!$C$7*NAIRA2010_*250)</f>
        <v>0</v>
      </c>
      <c r="AZ20" s="1691">
        <f ca="1">Costs!AZ20/('Global assumptions'!$C$7*NAIRA2010_*250)</f>
        <v>0</v>
      </c>
      <c r="BA20" s="1691">
        <f ca="1">Costs!BA20/('Global assumptions'!$C$7*NAIRA2010_*250)</f>
        <v>0</v>
      </c>
      <c r="BB20" s="1691">
        <f ca="1">Costs!BB20/('Global assumptions'!$C$7*NAIRA2010_*250)</f>
        <v>0</v>
      </c>
      <c r="BC20" s="1691">
        <f ca="1">Costs!BC20/('Global assumptions'!$C$7*NAIRA2010_*250)</f>
        <v>0</v>
      </c>
      <c r="BD20" s="1691">
        <f ca="1">Costs!BD20/('Global assumptions'!$C$7*NAIRA2010_*250)</f>
        <v>0</v>
      </c>
      <c r="BE20" s="1691">
        <f ca="1">Costs!BE20/('Global assumptions'!$C$7*NAIRA2010_*250)</f>
        <v>0</v>
      </c>
      <c r="BF20" s="1691">
        <f ca="1">Costs!BF20/('Global assumptions'!$C$7*NAIRA2010_*250)</f>
        <v>0</v>
      </c>
      <c r="BG20" s="1691">
        <f ca="1">Costs!BG20/('Global assumptions'!$C$7*NAIRA2010_*250)</f>
        <v>0</v>
      </c>
      <c r="BH20" s="675"/>
      <c r="BI20" s="1691">
        <f ca="1">Costs!BI20/('Global assumptions'!$C$7*NAIRA2010_*250)</f>
        <v>0</v>
      </c>
      <c r="BJ20" s="1691">
        <f ca="1">Costs!BJ20/('Global assumptions'!$C$7*NAIRA2010_*250)</f>
        <v>0</v>
      </c>
      <c r="BK20" s="1691">
        <f ca="1">Costs!BK20/('Global assumptions'!$C$7*NAIRA2010_*250)</f>
        <v>0</v>
      </c>
      <c r="BL20" s="1691">
        <f ca="1">Costs!BL20/('Global assumptions'!$C$7*NAIRA2010_*250)</f>
        <v>0</v>
      </c>
      <c r="BM20" s="1691">
        <f ca="1">Costs!BM20/('Global assumptions'!$C$7*NAIRA2010_*250)</f>
        <v>0</v>
      </c>
      <c r="BN20" s="1691">
        <f ca="1">Costs!BN20/('Global assumptions'!$C$7*NAIRA2010_*250)</f>
        <v>0</v>
      </c>
      <c r="BO20" s="1691">
        <f ca="1">Costs!BO20/('Global assumptions'!$C$7*NAIRA2010_*250)</f>
        <v>0</v>
      </c>
      <c r="BP20" s="1691">
        <f ca="1">Costs!BP20/('Global assumptions'!$C$7*NAIRA2010_*250)</f>
        <v>0</v>
      </c>
      <c r="BQ20" s="1691">
        <f ca="1">Costs!BQ20/('Global assumptions'!$C$7*NAIRA2010_*250)</f>
        <v>0</v>
      </c>
      <c r="BR20" s="675"/>
      <c r="BS20" s="1691">
        <f ca="1">Costs!BS20/('Global assumptions'!$C$7*NAIRA2010_*250)</f>
        <v>0</v>
      </c>
      <c r="BT20" s="1691">
        <f ca="1">Costs!BT20/('Global assumptions'!$C$7*NAIRA2010_*250)</f>
        <v>0</v>
      </c>
      <c r="BU20" s="1691">
        <f ca="1">Costs!BU20/('Global assumptions'!$C$7*NAIRA2010_*250)</f>
        <v>0</v>
      </c>
      <c r="BV20" s="1691">
        <f ca="1">Costs!BV20/('Global assumptions'!$C$7*NAIRA2010_*250)</f>
        <v>0</v>
      </c>
      <c r="BW20" s="1691">
        <f ca="1">Costs!BW20/('Global assumptions'!$C$7*NAIRA2010_*250)</f>
        <v>0</v>
      </c>
      <c r="BX20" s="1691">
        <f ca="1">Costs!BX20/('Global assumptions'!$C$7*NAIRA2010_*250)</f>
        <v>0</v>
      </c>
      <c r="BY20" s="1691">
        <f ca="1">Costs!BY20/('Global assumptions'!$C$7*NAIRA2010_*250)</f>
        <v>0</v>
      </c>
      <c r="BZ20" s="1691">
        <f ca="1">Costs!BZ20/('Global assumptions'!$C$7*NAIRA2010_*250)</f>
        <v>0</v>
      </c>
      <c r="CA20" s="1691">
        <f ca="1">Costs!CA20/('Global assumptions'!$C$7*NAIRA2010_*250)</f>
        <v>0</v>
      </c>
      <c r="CC20" s="1707">
        <f t="shared" ca="1" si="4"/>
        <v>0</v>
      </c>
      <c r="CD20" s="1707">
        <f t="shared" ca="1" si="1"/>
        <v>0</v>
      </c>
      <c r="CF20" s="1691">
        <f ca="1">Costs!CF20/('Global assumptions'!$C$7*NAIRA2010_*250)</f>
        <v>0</v>
      </c>
      <c r="CG20" s="1691">
        <f ca="1">Costs!CG20/('Global assumptions'!$C$7*NAIRA2010_*250)</f>
        <v>0</v>
      </c>
      <c r="CH20" s="1691">
        <f ca="1">Costs!CH20/('Global assumptions'!$C$7*NAIRA2010_*250)</f>
        <v>0</v>
      </c>
      <c r="CI20" s="1691">
        <f ca="1">Costs!CI20/('Global assumptions'!$C$7*NAIRA2010_*250)</f>
        <v>0</v>
      </c>
      <c r="CJ20" s="1691">
        <f ca="1">Costs!CJ20/('Global assumptions'!$C$7*NAIRA2010_*250)</f>
        <v>0</v>
      </c>
      <c r="CK20" s="1691">
        <f ca="1">Costs!CK20/('Global assumptions'!$C$7*NAIRA2010_*250)</f>
        <v>0</v>
      </c>
      <c r="CL20" s="1691">
        <f ca="1">Costs!CL20/('Global assumptions'!$C$7*NAIRA2010_*250)</f>
        <v>0</v>
      </c>
      <c r="CM20" s="1691">
        <f ca="1">Costs!CM20/('Global assumptions'!$C$7*NAIRA2010_*250)</f>
        <v>0</v>
      </c>
      <c r="CN20" s="1691">
        <f ca="1">Costs!CN20/('Global assumptions'!$C$7*NAIRA2010_*250)</f>
        <v>0</v>
      </c>
      <c r="CP20" s="1707">
        <f t="shared" ca="1" si="5"/>
        <v>0</v>
      </c>
      <c r="CQ20" s="1707">
        <f t="shared" ca="1" si="2"/>
        <v>0</v>
      </c>
      <c r="CR20" s="1426" t="str">
        <f t="shared" ca="1" si="6"/>
        <v>ok</v>
      </c>
    </row>
    <row r="21" spans="1:96" x14ac:dyDescent="0.2">
      <c r="A21" s="1683" t="s">
        <v>313</v>
      </c>
      <c r="B21" s="1683" t="s">
        <v>306</v>
      </c>
      <c r="C21" s="1683" t="s">
        <v>4</v>
      </c>
      <c r="E21" s="1689">
        <f ca="1">Costs!E21/('Global assumptions'!$C$7*NAIRA2010_*250)</f>
        <v>2.1616493825025516</v>
      </c>
      <c r="F21" s="1689">
        <f ca="1">Costs!F21/('Global assumptions'!$C$7*NAIRA2010_*250)</f>
        <v>6.8946038702631958</v>
      </c>
      <c r="G21" s="1689">
        <f ca="1">Costs!G21/('Global assumptions'!$C$7*NAIRA2010_*250)</f>
        <v>11.297718727095894</v>
      </c>
      <c r="H21" s="1689">
        <f ca="1">Costs!H21/('Global assumptions'!$C$7*NAIRA2010_*250)</f>
        <v>16.991367562767017</v>
      </c>
      <c r="I21" s="1689">
        <f ca="1">Costs!I21/('Global assumptions'!$C$7*NAIRA2010_*250)</f>
        <v>24.122018700874435</v>
      </c>
      <c r="J21" s="1689">
        <f ca="1">Costs!J21/('Global assumptions'!$C$7*NAIRA2010_*250)</f>
        <v>25.876561501303804</v>
      </c>
      <c r="K21" s="1689">
        <f ca="1">Costs!K21/('Global assumptions'!$C$7*NAIRA2010_*250)</f>
        <v>32.132074233109833</v>
      </c>
      <c r="L21" s="1689">
        <f ca="1">Costs!L21/('Global assumptions'!$C$7*NAIRA2010_*250)</f>
        <v>39.365115962456926</v>
      </c>
      <c r="M21" s="1689">
        <f ca="1">Costs!M21/('Global assumptions'!$C$7*NAIRA2010_*250)</f>
        <v>-73.97599757546817</v>
      </c>
      <c r="N21" s="675"/>
      <c r="O21" s="1689">
        <f ca="1">Costs!O21/('Global assumptions'!$C$7*NAIRA2010_*250)</f>
        <v>1.0212197332309843</v>
      </c>
      <c r="P21" s="1689">
        <f ca="1">Costs!P21/('Global assumptions'!$C$7*NAIRA2010_*250)</f>
        <v>1.7791957470439961</v>
      </c>
      <c r="Q21" s="1689">
        <f ca="1">Costs!Q21/('Global assumptions'!$C$7*NAIRA2010_*250)</f>
        <v>2.8367530239925576</v>
      </c>
      <c r="R21" s="1689">
        <f ca="1">Costs!R21/('Global assumptions'!$C$7*NAIRA2010_*250)</f>
        <v>4.3870551353836493</v>
      </c>
      <c r="S21" s="1689">
        <f ca="1">Costs!S21/('Global assumptions'!$C$7*NAIRA2010_*250)</f>
        <v>6.4980066043135931</v>
      </c>
      <c r="T21" s="1689">
        <f ca="1">Costs!T21/('Global assumptions'!$C$7*NAIRA2010_*250)</f>
        <v>8.3145370677702743</v>
      </c>
      <c r="U21" s="1689">
        <f ca="1">Costs!U21/('Global assumptions'!$C$7*NAIRA2010_*250)</f>
        <v>10.508785012677418</v>
      </c>
      <c r="V21" s="1689">
        <f ca="1">Costs!V21/('Global assumptions'!$C$7*NAIRA2010_*250)</f>
        <v>13.11631162685606</v>
      </c>
      <c r="W21" s="1689">
        <f ca="1">Costs!W21/('Global assumptions'!$C$7*NAIRA2010_*250)</f>
        <v>0</v>
      </c>
      <c r="X21" s="675"/>
      <c r="Y21" s="1689">
        <f ca="1">Costs!Y21/('Global assumptions'!$C$7*NAIRA2010_*250)</f>
        <v>0</v>
      </c>
      <c r="Z21" s="1689">
        <f ca="1">Costs!Z21/('Global assumptions'!$C$7*NAIRA2010_*250)</f>
        <v>0</v>
      </c>
      <c r="AA21" s="1689">
        <f ca="1">Costs!AA21/('Global assumptions'!$C$7*NAIRA2010_*250)</f>
        <v>0</v>
      </c>
      <c r="AB21" s="1689">
        <f ca="1">Costs!AB21/('Global assumptions'!$C$7*NAIRA2010_*250)</f>
        <v>0</v>
      </c>
      <c r="AC21" s="1689">
        <f ca="1">Costs!AC21/('Global assumptions'!$C$7*NAIRA2010_*250)</f>
        <v>0</v>
      </c>
      <c r="AD21" s="1689">
        <f ca="1">Costs!AD21/('Global assumptions'!$C$7*NAIRA2010_*250)</f>
        <v>0</v>
      </c>
      <c r="AE21" s="1689">
        <f ca="1">Costs!AE21/('Global assumptions'!$C$7*NAIRA2010_*250)</f>
        <v>0</v>
      </c>
      <c r="AF21" s="1689">
        <f ca="1">Costs!AF21/('Global assumptions'!$C$7*NAIRA2010_*250)</f>
        <v>0</v>
      </c>
      <c r="AG21" s="1689">
        <f ca="1">Costs!AG21/('Global assumptions'!$C$7*NAIRA2010_*250)</f>
        <v>0</v>
      </c>
      <c r="AH21" s="675"/>
      <c r="AI21" s="1689">
        <f ca="1">Costs!AI21/('Global assumptions'!$C$7*NAIRA2010_*250)</f>
        <v>3.1828691157335358</v>
      </c>
      <c r="AJ21" s="1689">
        <f ca="1">Costs!AJ21/('Global assumptions'!$C$7*NAIRA2010_*250)</f>
        <v>8.673799617307191</v>
      </c>
      <c r="AK21" s="1689">
        <f ca="1">Costs!AK21/('Global assumptions'!$C$7*NAIRA2010_*250)</f>
        <v>14.13447175108845</v>
      </c>
      <c r="AL21" s="1689">
        <f ca="1">Costs!AL21/('Global assumptions'!$C$7*NAIRA2010_*250)</f>
        <v>21.378422698150668</v>
      </c>
      <c r="AM21" s="1689">
        <f ca="1">Costs!AM21/('Global assumptions'!$C$7*NAIRA2010_*250)</f>
        <v>30.62002530518803</v>
      </c>
      <c r="AN21" s="1689">
        <f ca="1">Costs!AN21/('Global assumptions'!$C$7*NAIRA2010_*250)</f>
        <v>34.191098569074079</v>
      </c>
      <c r="AO21" s="1689">
        <f ca="1">Costs!AO21/('Global assumptions'!$C$7*NAIRA2010_*250)</f>
        <v>42.640859245787254</v>
      </c>
      <c r="AP21" s="1689">
        <f ca="1">Costs!AP21/('Global assumptions'!$C$7*NAIRA2010_*250)</f>
        <v>52.481427589312986</v>
      </c>
      <c r="AQ21" s="1689">
        <f ca="1">Costs!AQ21/('Global assumptions'!$C$7*NAIRA2010_*250)</f>
        <v>-73.97599757546817</v>
      </c>
      <c r="AS21" s="1706">
        <f t="shared" ca="1" si="3"/>
        <v>14.814108479574891</v>
      </c>
      <c r="AT21" s="1706">
        <f t="shared" ca="1" si="0"/>
        <v>130.9015647031182</v>
      </c>
      <c r="AU21" s="675"/>
      <c r="AV21" s="1699">
        <f>IFERROR(VLOOKUP($A21,Cost.FinanceCostTable,3,FALSE),'Global assumptions'!$D$35)</f>
        <v>0</v>
      </c>
      <c r="AW21" s="1690">
        <f>IFERROR(VLOOKUP($A21,Cost.FinanceCostTable,4,FALSE),'Global assumptions'!$E$35)</f>
        <v>20</v>
      </c>
      <c r="AX21" s="675"/>
      <c r="AY21" s="1689">
        <f ca="1">Costs!AY21/('Global assumptions'!$C$7*NAIRA2010_*250)</f>
        <v>0.32424740737538277</v>
      </c>
      <c r="AZ21" s="1689">
        <f ca="1">Costs!AZ21/('Global assumptions'!$C$7*NAIRA2010_*250)</f>
        <v>1.7236509675657989</v>
      </c>
      <c r="BA21" s="1689">
        <f ca="1">Costs!BA21/('Global assumptions'!$C$7*NAIRA2010_*250)</f>
        <v>2.8244296817739736</v>
      </c>
      <c r="BB21" s="1689">
        <f ca="1">Costs!BB21/('Global assumptions'!$C$7*NAIRA2010_*250)</f>
        <v>4.2478418906917543</v>
      </c>
      <c r="BC21" s="1689">
        <f ca="1">Costs!BC21/('Global assumptions'!$C$7*NAIRA2010_*250)</f>
        <v>6.0305046752186096</v>
      </c>
      <c r="BD21" s="1689">
        <f ca="1">Costs!BD21/('Global assumptions'!$C$7*NAIRA2010_*250)</f>
        <v>6.4691403753259511</v>
      </c>
      <c r="BE21" s="1689">
        <f ca="1">Costs!BE21/('Global assumptions'!$C$7*NAIRA2010_*250)</f>
        <v>8.0330185582774583</v>
      </c>
      <c r="BF21" s="1689">
        <f ca="1">Costs!BF21/('Global assumptions'!$C$7*NAIRA2010_*250)</f>
        <v>9.8412789906142315</v>
      </c>
      <c r="BG21" s="1689">
        <f ca="1">Costs!BG21/('Global assumptions'!$C$7*NAIRA2010_*250)</f>
        <v>-18.493999393867043</v>
      </c>
      <c r="BH21" s="675"/>
      <c r="BI21" s="1689">
        <f ca="1">Costs!BI21/('Global assumptions'!$C$7*NAIRA2010_*250)</f>
        <v>0.32424740737538277</v>
      </c>
      <c r="BJ21" s="1689">
        <f ca="1">Costs!BJ21/('Global assumptions'!$C$7*NAIRA2010_*250)</f>
        <v>2.0478983749411817</v>
      </c>
      <c r="BK21" s="1689">
        <f ca="1">Costs!BK21/('Global assumptions'!$C$7*NAIRA2010_*250)</f>
        <v>4.8723280567151557</v>
      </c>
      <c r="BL21" s="1689">
        <f ca="1">Costs!BL21/('Global assumptions'!$C$7*NAIRA2010_*250)</f>
        <v>9.1201699474069109</v>
      </c>
      <c r="BM21" s="1689">
        <f ca="1">Costs!BM21/('Global assumptions'!$C$7*NAIRA2010_*250)</f>
        <v>14.826427215250137</v>
      </c>
      <c r="BN21" s="1689">
        <f ca="1">Costs!BN21/('Global assumptions'!$C$7*NAIRA2010_*250)</f>
        <v>19.571916623010292</v>
      </c>
      <c r="BO21" s="1689">
        <f ca="1">Costs!BO21/('Global assumptions'!$C$7*NAIRA2010_*250)</f>
        <v>24.780505499513772</v>
      </c>
      <c r="BP21" s="1689">
        <f ca="1">Costs!BP21/('Global assumptions'!$C$7*NAIRA2010_*250)</f>
        <v>36.404447274654856</v>
      </c>
      <c r="BQ21" s="1689">
        <f ca="1">Costs!BQ21/('Global assumptions'!$C$7*NAIRA2010_*250)</f>
        <v>5.8494385303505965</v>
      </c>
      <c r="BR21" s="675"/>
      <c r="BS21" s="1689">
        <f ca="1">Costs!BS21/('Global assumptions'!$C$7*NAIRA2010_*250)</f>
        <v>1.345467140606367</v>
      </c>
      <c r="BT21" s="1689">
        <f ca="1">Costs!BT21/('Global assumptions'!$C$7*NAIRA2010_*250)</f>
        <v>3.8270941219851773</v>
      </c>
      <c r="BU21" s="1689">
        <f ca="1">Costs!BU21/('Global assumptions'!$C$7*NAIRA2010_*250)</f>
        <v>7.7090810807077119</v>
      </c>
      <c r="BV21" s="1689">
        <f ca="1">Costs!BV21/('Global assumptions'!$C$7*NAIRA2010_*250)</f>
        <v>13.507225082790558</v>
      </c>
      <c r="BW21" s="1689">
        <f ca="1">Costs!BW21/('Global assumptions'!$C$7*NAIRA2010_*250)</f>
        <v>21.32443381956373</v>
      </c>
      <c r="BX21" s="1689">
        <f ca="1">Costs!BX21/('Global assumptions'!$C$7*NAIRA2010_*250)</f>
        <v>27.886453690780566</v>
      </c>
      <c r="BY21" s="1689">
        <f ca="1">Costs!BY21/('Global assumptions'!$C$7*NAIRA2010_*250)</f>
        <v>35.289290512191187</v>
      </c>
      <c r="BZ21" s="1689">
        <f ca="1">Costs!BZ21/('Global assumptions'!$C$7*NAIRA2010_*250)</f>
        <v>49.520758901510916</v>
      </c>
      <c r="CA21" s="1689">
        <f ca="1">Costs!CA21/('Global assumptions'!$C$7*NAIRA2010_*250)</f>
        <v>5.8494385303505965</v>
      </c>
      <c r="CC21" s="1706">
        <f t="shared" ca="1" si="4"/>
        <v>18.473249208942978</v>
      </c>
      <c r="CD21" s="1706">
        <f t="shared" ca="1" si="1"/>
        <v>96.572705837391538</v>
      </c>
      <c r="CF21" s="1689">
        <f ca="1">Costs!CF21/('Global assumptions'!$C$7*NAIRA2010_*250)</f>
        <v>-1.8374019751271686</v>
      </c>
      <c r="CG21" s="1689">
        <f ca="1">Costs!CG21/('Global assumptions'!$C$7*NAIRA2010_*250)</f>
        <v>-4.8467054953220137</v>
      </c>
      <c r="CH21" s="1689">
        <f ca="1">Costs!CH21/('Global assumptions'!$C$7*NAIRA2010_*250)</f>
        <v>-6.4253906703807377</v>
      </c>
      <c r="CI21" s="1689">
        <f ca="1">Costs!CI21/('Global assumptions'!$C$7*NAIRA2010_*250)</f>
        <v>-7.8711976153601082</v>
      </c>
      <c r="CJ21" s="1689">
        <f ca="1">Costs!CJ21/('Global assumptions'!$C$7*NAIRA2010_*250)</f>
        <v>-9.295591485624298</v>
      </c>
      <c r="CK21" s="1689">
        <f ca="1">Costs!CK21/('Global assumptions'!$C$7*NAIRA2010_*250)</f>
        <v>-6.3046448782935141</v>
      </c>
      <c r="CL21" s="1689">
        <f ca="1">Costs!CL21/('Global assumptions'!$C$7*NAIRA2010_*250)</f>
        <v>-7.3515687335960562</v>
      </c>
      <c r="CM21" s="1689">
        <f ca="1">Costs!CM21/('Global assumptions'!$C$7*NAIRA2010_*250)</f>
        <v>-2.9606686878020652</v>
      </c>
      <c r="CN21" s="1689">
        <f ca="1">Costs!CN21/('Global assumptions'!$C$7*NAIRA2010_*250)</f>
        <v>79.825436105818781</v>
      </c>
      <c r="CP21" s="1706">
        <f t="shared" ca="1" si="5"/>
        <v>3.6591407293680911</v>
      </c>
      <c r="CQ21" s="1706">
        <f t="shared" ca="1" si="2"/>
        <v>-34.328858865726673</v>
      </c>
      <c r="CR21" s="1426" t="str">
        <f t="shared" ca="1" si="6"/>
        <v>ok</v>
      </c>
    </row>
    <row r="22" spans="1:96" x14ac:dyDescent="0.2">
      <c r="A22" s="1685" t="s">
        <v>1713</v>
      </c>
      <c r="B22" s="1685" t="s">
        <v>2172</v>
      </c>
      <c r="C22" s="1685" t="s">
        <v>1974</v>
      </c>
      <c r="E22" s="1691">
        <f ca="1">Costs!E22/('Global assumptions'!$C$7*NAIRA2010_*250)</f>
        <v>0</v>
      </c>
      <c r="F22" s="1691">
        <f ca="1">Costs!F22/('Global assumptions'!$C$7*NAIRA2010_*250)</f>
        <v>0</v>
      </c>
      <c r="G22" s="1691">
        <f ca="1">Costs!G22/('Global assumptions'!$C$7*NAIRA2010_*250)</f>
        <v>0</v>
      </c>
      <c r="H22" s="1691">
        <f ca="1">Costs!H22/('Global assumptions'!$C$7*NAIRA2010_*250)</f>
        <v>0</v>
      </c>
      <c r="I22" s="1691">
        <f ca="1">Costs!I22/('Global assumptions'!$C$7*NAIRA2010_*250)</f>
        <v>0</v>
      </c>
      <c r="J22" s="1691">
        <f ca="1">Costs!J22/('Global assumptions'!$C$7*NAIRA2010_*250)</f>
        <v>0</v>
      </c>
      <c r="K22" s="1691">
        <f ca="1">Costs!K22/('Global assumptions'!$C$7*NAIRA2010_*250)</f>
        <v>0</v>
      </c>
      <c r="L22" s="1691">
        <f ca="1">Costs!L22/('Global assumptions'!$C$7*NAIRA2010_*250)</f>
        <v>0</v>
      </c>
      <c r="M22" s="1691">
        <f ca="1">Costs!M22/('Global assumptions'!$C$7*NAIRA2010_*250)</f>
        <v>0</v>
      </c>
      <c r="N22" s="675"/>
      <c r="O22" s="1691">
        <f ca="1">Costs!O22/('Global assumptions'!$C$7*NAIRA2010_*250)</f>
        <v>0</v>
      </c>
      <c r="P22" s="1691">
        <f ca="1">Costs!P22/('Global assumptions'!$C$7*NAIRA2010_*250)</f>
        <v>0</v>
      </c>
      <c r="Q22" s="1691">
        <f ca="1">Costs!Q22/('Global assumptions'!$C$7*NAIRA2010_*250)</f>
        <v>0</v>
      </c>
      <c r="R22" s="1691">
        <f ca="1">Costs!R22/('Global assumptions'!$C$7*NAIRA2010_*250)</f>
        <v>0</v>
      </c>
      <c r="S22" s="1691">
        <f ca="1">Costs!S22/('Global assumptions'!$C$7*NAIRA2010_*250)</f>
        <v>0</v>
      </c>
      <c r="T22" s="1691">
        <f ca="1">Costs!T22/('Global assumptions'!$C$7*NAIRA2010_*250)</f>
        <v>0</v>
      </c>
      <c r="U22" s="1691">
        <f ca="1">Costs!U22/('Global assumptions'!$C$7*NAIRA2010_*250)</f>
        <v>0</v>
      </c>
      <c r="V22" s="1691">
        <f ca="1">Costs!V22/('Global assumptions'!$C$7*NAIRA2010_*250)</f>
        <v>0</v>
      </c>
      <c r="W22" s="1691">
        <f ca="1">Costs!W22/('Global assumptions'!$C$7*NAIRA2010_*250)</f>
        <v>0</v>
      </c>
      <c r="X22" s="675"/>
      <c r="Y22" s="1691">
        <f ca="1">Costs!Y22/('Global assumptions'!$C$7*NAIRA2010_*250)</f>
        <v>0</v>
      </c>
      <c r="Z22" s="1691">
        <f ca="1">Costs!Z22/('Global assumptions'!$C$7*NAIRA2010_*250)</f>
        <v>0</v>
      </c>
      <c r="AA22" s="1691">
        <f ca="1">Costs!AA22/('Global assumptions'!$C$7*NAIRA2010_*250)</f>
        <v>0</v>
      </c>
      <c r="AB22" s="1691">
        <f ca="1">Costs!AB22/('Global assumptions'!$C$7*NAIRA2010_*250)</f>
        <v>0</v>
      </c>
      <c r="AC22" s="1691">
        <f ca="1">Costs!AC22/('Global assumptions'!$C$7*NAIRA2010_*250)</f>
        <v>0</v>
      </c>
      <c r="AD22" s="1691">
        <f ca="1">Costs!AD22/('Global assumptions'!$C$7*NAIRA2010_*250)</f>
        <v>0</v>
      </c>
      <c r="AE22" s="1691">
        <f ca="1">Costs!AE22/('Global assumptions'!$C$7*NAIRA2010_*250)</f>
        <v>0</v>
      </c>
      <c r="AF22" s="1691">
        <f ca="1">Costs!AF22/('Global assumptions'!$C$7*NAIRA2010_*250)</f>
        <v>0</v>
      </c>
      <c r="AG22" s="1691">
        <f ca="1">Costs!AG22/('Global assumptions'!$C$7*NAIRA2010_*250)</f>
        <v>0</v>
      </c>
      <c r="AH22" s="675"/>
      <c r="AI22" s="1691">
        <f ca="1">Costs!AI22/('Global assumptions'!$C$7*NAIRA2010_*250)</f>
        <v>0</v>
      </c>
      <c r="AJ22" s="1691">
        <f ca="1">Costs!AJ22/('Global assumptions'!$C$7*NAIRA2010_*250)</f>
        <v>0</v>
      </c>
      <c r="AK22" s="1691">
        <f ca="1">Costs!AK22/('Global assumptions'!$C$7*NAIRA2010_*250)</f>
        <v>0</v>
      </c>
      <c r="AL22" s="1691">
        <f ca="1">Costs!AL22/('Global assumptions'!$C$7*NAIRA2010_*250)</f>
        <v>0</v>
      </c>
      <c r="AM22" s="1691">
        <f ca="1">Costs!AM22/('Global assumptions'!$C$7*NAIRA2010_*250)</f>
        <v>0</v>
      </c>
      <c r="AN22" s="1691">
        <f ca="1">Costs!AN22/('Global assumptions'!$C$7*NAIRA2010_*250)</f>
        <v>0</v>
      </c>
      <c r="AO22" s="1691">
        <f ca="1">Costs!AO22/('Global assumptions'!$C$7*NAIRA2010_*250)</f>
        <v>0</v>
      </c>
      <c r="AP22" s="1691">
        <f ca="1">Costs!AP22/('Global assumptions'!$C$7*NAIRA2010_*250)</f>
        <v>0</v>
      </c>
      <c r="AQ22" s="1691">
        <f ca="1">Costs!AQ22/('Global assumptions'!$C$7*NAIRA2010_*250)</f>
        <v>0</v>
      </c>
      <c r="AS22" s="1707">
        <f t="shared" ca="1" si="3"/>
        <v>0</v>
      </c>
      <c r="AT22" s="1707">
        <f t="shared" ca="1" si="0"/>
        <v>0</v>
      </c>
      <c r="AU22" s="675"/>
      <c r="AV22" s="1700">
        <f>IFERROR(VLOOKUP($A22,Cost.FinanceCostTable,3,FALSE),'Global assumptions'!$D$35)</f>
        <v>0</v>
      </c>
      <c r="AW22" s="1692">
        <f>IFERROR(VLOOKUP($A22,Cost.FinanceCostTable,4,FALSE),'Global assumptions'!$E$35)</f>
        <v>15</v>
      </c>
      <c r="AX22" s="675"/>
      <c r="AY22" s="1691">
        <f ca="1">Costs!AY22/('Global assumptions'!$C$7*NAIRA2010_*250)</f>
        <v>0</v>
      </c>
      <c r="AZ22" s="1691">
        <f ca="1">Costs!AZ22/('Global assumptions'!$C$7*NAIRA2010_*250)</f>
        <v>0</v>
      </c>
      <c r="BA22" s="1691">
        <f ca="1">Costs!BA22/('Global assumptions'!$C$7*NAIRA2010_*250)</f>
        <v>0</v>
      </c>
      <c r="BB22" s="1691">
        <f ca="1">Costs!BB22/('Global assumptions'!$C$7*NAIRA2010_*250)</f>
        <v>0</v>
      </c>
      <c r="BC22" s="1691">
        <f ca="1">Costs!BC22/('Global assumptions'!$C$7*NAIRA2010_*250)</f>
        <v>0</v>
      </c>
      <c r="BD22" s="1691">
        <f ca="1">Costs!BD22/('Global assumptions'!$C$7*NAIRA2010_*250)</f>
        <v>0</v>
      </c>
      <c r="BE22" s="1691">
        <f ca="1">Costs!BE22/('Global assumptions'!$C$7*NAIRA2010_*250)</f>
        <v>0</v>
      </c>
      <c r="BF22" s="1691">
        <f ca="1">Costs!BF22/('Global assumptions'!$C$7*NAIRA2010_*250)</f>
        <v>0</v>
      </c>
      <c r="BG22" s="1691">
        <f ca="1">Costs!BG22/('Global assumptions'!$C$7*NAIRA2010_*250)</f>
        <v>0</v>
      </c>
      <c r="BH22" s="675"/>
      <c r="BI22" s="1691">
        <f ca="1">Costs!BI22/('Global assumptions'!$C$7*NAIRA2010_*250)</f>
        <v>0</v>
      </c>
      <c r="BJ22" s="1691">
        <f ca="1">Costs!BJ22/('Global assumptions'!$C$7*NAIRA2010_*250)</f>
        <v>0</v>
      </c>
      <c r="BK22" s="1691">
        <f ca="1">Costs!BK22/('Global assumptions'!$C$7*NAIRA2010_*250)</f>
        <v>0</v>
      </c>
      <c r="BL22" s="1691">
        <f ca="1">Costs!BL22/('Global assumptions'!$C$7*NAIRA2010_*250)</f>
        <v>0</v>
      </c>
      <c r="BM22" s="1691">
        <f ca="1">Costs!BM22/('Global assumptions'!$C$7*NAIRA2010_*250)</f>
        <v>0</v>
      </c>
      <c r="BN22" s="1691">
        <f ca="1">Costs!BN22/('Global assumptions'!$C$7*NAIRA2010_*250)</f>
        <v>0</v>
      </c>
      <c r="BO22" s="1691">
        <f ca="1">Costs!BO22/('Global assumptions'!$C$7*NAIRA2010_*250)</f>
        <v>0</v>
      </c>
      <c r="BP22" s="1691">
        <f ca="1">Costs!BP22/('Global assumptions'!$C$7*NAIRA2010_*250)</f>
        <v>0</v>
      </c>
      <c r="BQ22" s="1691">
        <f ca="1">Costs!BQ22/('Global assumptions'!$C$7*NAIRA2010_*250)</f>
        <v>0</v>
      </c>
      <c r="BR22" s="675"/>
      <c r="BS22" s="1691">
        <f ca="1">Costs!BS22/('Global assumptions'!$C$7*NAIRA2010_*250)</f>
        <v>0</v>
      </c>
      <c r="BT22" s="1691">
        <f ca="1">Costs!BT22/('Global assumptions'!$C$7*NAIRA2010_*250)</f>
        <v>0</v>
      </c>
      <c r="BU22" s="1691">
        <f ca="1">Costs!BU22/('Global assumptions'!$C$7*NAIRA2010_*250)</f>
        <v>0</v>
      </c>
      <c r="BV22" s="1691">
        <f ca="1">Costs!BV22/('Global assumptions'!$C$7*NAIRA2010_*250)</f>
        <v>0</v>
      </c>
      <c r="BW22" s="1691">
        <f ca="1">Costs!BW22/('Global assumptions'!$C$7*NAIRA2010_*250)</f>
        <v>0</v>
      </c>
      <c r="BX22" s="1691">
        <f ca="1">Costs!BX22/('Global assumptions'!$C$7*NAIRA2010_*250)</f>
        <v>0</v>
      </c>
      <c r="BY22" s="1691">
        <f ca="1">Costs!BY22/('Global assumptions'!$C$7*NAIRA2010_*250)</f>
        <v>0</v>
      </c>
      <c r="BZ22" s="1691">
        <f ca="1">Costs!BZ22/('Global assumptions'!$C$7*NAIRA2010_*250)</f>
        <v>0</v>
      </c>
      <c r="CA22" s="1691">
        <f ca="1">Costs!CA22/('Global assumptions'!$C$7*NAIRA2010_*250)</f>
        <v>0</v>
      </c>
      <c r="CC22" s="1707">
        <f t="shared" ca="1" si="4"/>
        <v>0</v>
      </c>
      <c r="CD22" s="1707">
        <f t="shared" ca="1" si="1"/>
        <v>0</v>
      </c>
      <c r="CF22" s="1691">
        <f ca="1">Costs!CF22/('Global assumptions'!$C$7*NAIRA2010_*250)</f>
        <v>0</v>
      </c>
      <c r="CG22" s="1691">
        <f ca="1">Costs!CG22/('Global assumptions'!$C$7*NAIRA2010_*250)</f>
        <v>0</v>
      </c>
      <c r="CH22" s="1691">
        <f ca="1">Costs!CH22/('Global assumptions'!$C$7*NAIRA2010_*250)</f>
        <v>0</v>
      </c>
      <c r="CI22" s="1691">
        <f ca="1">Costs!CI22/('Global assumptions'!$C$7*NAIRA2010_*250)</f>
        <v>0</v>
      </c>
      <c r="CJ22" s="1691">
        <f ca="1">Costs!CJ22/('Global assumptions'!$C$7*NAIRA2010_*250)</f>
        <v>0</v>
      </c>
      <c r="CK22" s="1691">
        <f ca="1">Costs!CK22/('Global assumptions'!$C$7*NAIRA2010_*250)</f>
        <v>0</v>
      </c>
      <c r="CL22" s="1691">
        <f ca="1">Costs!CL22/('Global assumptions'!$C$7*NAIRA2010_*250)</f>
        <v>0</v>
      </c>
      <c r="CM22" s="1691">
        <f ca="1">Costs!CM22/('Global assumptions'!$C$7*NAIRA2010_*250)</f>
        <v>0</v>
      </c>
      <c r="CN22" s="1691">
        <f ca="1">Costs!CN22/('Global assumptions'!$C$7*NAIRA2010_*250)</f>
        <v>0</v>
      </c>
      <c r="CP22" s="1707">
        <f t="shared" ca="1" si="5"/>
        <v>0</v>
      </c>
      <c r="CQ22" s="1707">
        <f t="shared" ca="1" si="2"/>
        <v>0</v>
      </c>
      <c r="CR22" s="1426" t="str">
        <f t="shared" ca="1" si="6"/>
        <v>ok</v>
      </c>
    </row>
    <row r="23" spans="1:96" x14ac:dyDescent="0.2">
      <c r="A23" s="1685" t="s">
        <v>388</v>
      </c>
      <c r="B23" s="1685" t="s">
        <v>2218</v>
      </c>
      <c r="C23" s="1685" t="s">
        <v>1974</v>
      </c>
      <c r="E23" s="1691">
        <f ca="1">Costs!E23/('Global assumptions'!$C$7*NAIRA2010_*250)</f>
        <v>0</v>
      </c>
      <c r="F23" s="1691">
        <f ca="1">Costs!F23/('Global assumptions'!$C$7*NAIRA2010_*250)</f>
        <v>3.1139619391155251</v>
      </c>
      <c r="G23" s="1691">
        <f ca="1">Costs!G23/('Global assumptions'!$C$7*NAIRA2010_*250)</f>
        <v>3.1139619391155278</v>
      </c>
      <c r="H23" s="1691">
        <f ca="1">Costs!H23/('Global assumptions'!$C$7*NAIRA2010_*250)</f>
        <v>3.113961939115562</v>
      </c>
      <c r="I23" s="1691">
        <f ca="1">Costs!I23/('Global assumptions'!$C$7*NAIRA2010_*250)</f>
        <v>3.1139619391154905</v>
      </c>
      <c r="J23" s="1691">
        <f ca="1">Costs!J23/('Global assumptions'!$C$7*NAIRA2010_*250)</f>
        <v>3.1139619391155615</v>
      </c>
      <c r="K23" s="1691">
        <f ca="1">Costs!K23/('Global assumptions'!$C$7*NAIRA2010_*250)</f>
        <v>3.1139619391155251</v>
      </c>
      <c r="L23" s="1691">
        <f ca="1">Costs!L23/('Global assumptions'!$C$7*NAIRA2010_*250)</f>
        <v>3.1139619391155282</v>
      </c>
      <c r="M23" s="1691">
        <f ca="1">Costs!M23/('Global assumptions'!$C$7*NAIRA2010_*250)</f>
        <v>3.1139619391157094</v>
      </c>
      <c r="N23" s="675"/>
      <c r="O23" s="1691">
        <f ca="1">Costs!O23/('Global assumptions'!$C$7*NAIRA2010_*250)</f>
        <v>0</v>
      </c>
      <c r="P23" s="1691">
        <f ca="1">Costs!P23/('Global assumptions'!$C$7*NAIRA2010_*250)</f>
        <v>0</v>
      </c>
      <c r="Q23" s="1691">
        <f ca="1">Costs!Q23/('Global assumptions'!$C$7*NAIRA2010_*250)</f>
        <v>0</v>
      </c>
      <c r="R23" s="1691">
        <f ca="1">Costs!R23/('Global assumptions'!$C$7*NAIRA2010_*250)</f>
        <v>0</v>
      </c>
      <c r="S23" s="1691">
        <f ca="1">Costs!S23/('Global assumptions'!$C$7*NAIRA2010_*250)</f>
        <v>0</v>
      </c>
      <c r="T23" s="1691">
        <f ca="1">Costs!T23/('Global assumptions'!$C$7*NAIRA2010_*250)</f>
        <v>0</v>
      </c>
      <c r="U23" s="1691">
        <f ca="1">Costs!U23/('Global assumptions'!$C$7*NAIRA2010_*250)</f>
        <v>0</v>
      </c>
      <c r="V23" s="1691">
        <f ca="1">Costs!V23/('Global assumptions'!$C$7*NAIRA2010_*250)</f>
        <v>0</v>
      </c>
      <c r="W23" s="1691">
        <f ca="1">Costs!W23/('Global assumptions'!$C$7*NAIRA2010_*250)</f>
        <v>0</v>
      </c>
      <c r="X23" s="675"/>
      <c r="Y23" s="1691">
        <f ca="1">Costs!Y23/('Global assumptions'!$C$7*NAIRA2010_*250)</f>
        <v>0</v>
      </c>
      <c r="Z23" s="1691">
        <f ca="1">Costs!Z23/('Global assumptions'!$C$7*NAIRA2010_*250)</f>
        <v>0</v>
      </c>
      <c r="AA23" s="1691">
        <f ca="1">Costs!AA23/('Global assumptions'!$C$7*NAIRA2010_*250)</f>
        <v>0</v>
      </c>
      <c r="AB23" s="1691">
        <f ca="1">Costs!AB23/('Global assumptions'!$C$7*NAIRA2010_*250)</f>
        <v>0</v>
      </c>
      <c r="AC23" s="1691">
        <f ca="1">Costs!AC23/('Global assumptions'!$C$7*NAIRA2010_*250)</f>
        <v>0</v>
      </c>
      <c r="AD23" s="1691">
        <f ca="1">Costs!AD23/('Global assumptions'!$C$7*NAIRA2010_*250)</f>
        <v>0</v>
      </c>
      <c r="AE23" s="1691">
        <f ca="1">Costs!AE23/('Global assumptions'!$C$7*NAIRA2010_*250)</f>
        <v>0</v>
      </c>
      <c r="AF23" s="1691">
        <f ca="1">Costs!AF23/('Global assumptions'!$C$7*NAIRA2010_*250)</f>
        <v>0</v>
      </c>
      <c r="AG23" s="1691">
        <f ca="1">Costs!AG23/('Global assumptions'!$C$7*NAIRA2010_*250)</f>
        <v>0</v>
      </c>
      <c r="AH23" s="675"/>
      <c r="AI23" s="1691">
        <f ca="1">Costs!AI23/('Global assumptions'!$C$7*NAIRA2010_*250)</f>
        <v>0</v>
      </c>
      <c r="AJ23" s="1691">
        <f ca="1">Costs!AJ23/('Global assumptions'!$C$7*NAIRA2010_*250)</f>
        <v>3.1139619391155251</v>
      </c>
      <c r="AK23" s="1691">
        <f ca="1">Costs!AK23/('Global assumptions'!$C$7*NAIRA2010_*250)</f>
        <v>3.1139619391155278</v>
      </c>
      <c r="AL23" s="1691">
        <f ca="1">Costs!AL23/('Global assumptions'!$C$7*NAIRA2010_*250)</f>
        <v>3.113961939115562</v>
      </c>
      <c r="AM23" s="1691">
        <f ca="1">Costs!AM23/('Global assumptions'!$C$7*NAIRA2010_*250)</f>
        <v>3.1139619391154905</v>
      </c>
      <c r="AN23" s="1691">
        <f ca="1">Costs!AN23/('Global assumptions'!$C$7*NAIRA2010_*250)</f>
        <v>3.1139619391155615</v>
      </c>
      <c r="AO23" s="1691">
        <f ca="1">Costs!AO23/('Global assumptions'!$C$7*NAIRA2010_*250)</f>
        <v>3.1139619391155251</v>
      </c>
      <c r="AP23" s="1691">
        <f ca="1">Costs!AP23/('Global assumptions'!$C$7*NAIRA2010_*250)</f>
        <v>3.1139619391155282</v>
      </c>
      <c r="AQ23" s="1691">
        <f ca="1">Costs!AQ23/('Global assumptions'!$C$7*NAIRA2010_*250)</f>
        <v>3.1139619391157094</v>
      </c>
      <c r="AS23" s="1707">
        <f t="shared" ca="1" si="3"/>
        <v>2.7679661681027148</v>
      </c>
      <c r="AT23" s="1707">
        <f t="shared" ca="1" si="0"/>
        <v>25.475052466548071</v>
      </c>
      <c r="AU23" s="675"/>
      <c r="AV23" s="1700">
        <f>IFERROR(VLOOKUP($A23,Cost.FinanceCostTable,3,FALSE),'Global assumptions'!$D$35)</f>
        <v>0</v>
      </c>
      <c r="AW23" s="1692">
        <f>IFERROR(VLOOKUP($A23,Cost.FinanceCostTable,4,FALSE),'Global assumptions'!$E$35)</f>
        <v>15</v>
      </c>
      <c r="AX23" s="675"/>
      <c r="AY23" s="1691">
        <f ca="1">Costs!AY23/('Global assumptions'!$C$7*NAIRA2010_*250)</f>
        <v>0</v>
      </c>
      <c r="AZ23" s="1691">
        <f ca="1">Costs!AZ23/('Global assumptions'!$C$7*NAIRA2010_*250)</f>
        <v>1.0379873130385084</v>
      </c>
      <c r="BA23" s="1691">
        <f ca="1">Costs!BA23/('Global assumptions'!$C$7*NAIRA2010_*250)</f>
        <v>1.0379873130385093</v>
      </c>
      <c r="BB23" s="1691">
        <f ca="1">Costs!BB23/('Global assumptions'!$C$7*NAIRA2010_*250)</f>
        <v>1.0379873130385209</v>
      </c>
      <c r="BC23" s="1691">
        <f ca="1">Costs!BC23/('Global assumptions'!$C$7*NAIRA2010_*250)</f>
        <v>1.0379873130384969</v>
      </c>
      <c r="BD23" s="1691">
        <f ca="1">Costs!BD23/('Global assumptions'!$C$7*NAIRA2010_*250)</f>
        <v>1.0379873130385204</v>
      </c>
      <c r="BE23" s="1691">
        <f ca="1">Costs!BE23/('Global assumptions'!$C$7*NAIRA2010_*250)</f>
        <v>1.0379873130385084</v>
      </c>
      <c r="BF23" s="1691">
        <f ca="1">Costs!BF23/('Global assumptions'!$C$7*NAIRA2010_*250)</f>
        <v>1.0379873130385093</v>
      </c>
      <c r="BG23" s="1691">
        <f ca="1">Costs!BG23/('Global assumptions'!$C$7*NAIRA2010_*250)</f>
        <v>1.0379873130385699</v>
      </c>
      <c r="BH23" s="675"/>
      <c r="BI23" s="1691">
        <f ca="1">Costs!BI23/('Global assumptions'!$C$7*NAIRA2010_*250)</f>
        <v>0</v>
      </c>
      <c r="BJ23" s="1691">
        <f ca="1">Costs!BJ23/('Global assumptions'!$C$7*NAIRA2010_*250)</f>
        <v>1.0379873130385084</v>
      </c>
      <c r="BK23" s="1691">
        <f ca="1">Costs!BK23/('Global assumptions'!$C$7*NAIRA2010_*250)</f>
        <v>2.0759746260770178</v>
      </c>
      <c r="BL23" s="1691">
        <f ca="1">Costs!BL23/('Global assumptions'!$C$7*NAIRA2010_*250)</f>
        <v>3.1139619391155389</v>
      </c>
      <c r="BM23" s="1691">
        <f ca="1">Costs!BM23/('Global assumptions'!$C$7*NAIRA2010_*250)</f>
        <v>3.1139619391155264</v>
      </c>
      <c r="BN23" s="1691">
        <f ca="1">Costs!BN23/('Global assumptions'!$C$7*NAIRA2010_*250)</f>
        <v>3.1139619391155384</v>
      </c>
      <c r="BO23" s="1691">
        <f ca="1">Costs!BO23/('Global assumptions'!$C$7*NAIRA2010_*250)</f>
        <v>3.1139619391155255</v>
      </c>
      <c r="BP23" s="1691">
        <f ca="1">Costs!BP23/('Global assumptions'!$C$7*NAIRA2010_*250)</f>
        <v>3.1139619391155384</v>
      </c>
      <c r="BQ23" s="1691">
        <f ca="1">Costs!BQ23/('Global assumptions'!$C$7*NAIRA2010_*250)</f>
        <v>3.1139619391155877</v>
      </c>
      <c r="BR23" s="675"/>
      <c r="BS23" s="1691">
        <f ca="1">Costs!BS23/('Global assumptions'!$C$7*NAIRA2010_*250)</f>
        <v>0</v>
      </c>
      <c r="BT23" s="1691">
        <f ca="1">Costs!BT23/('Global assumptions'!$C$7*NAIRA2010_*250)</f>
        <v>1.0379873130385084</v>
      </c>
      <c r="BU23" s="1691">
        <f ca="1">Costs!BU23/('Global assumptions'!$C$7*NAIRA2010_*250)</f>
        <v>2.0759746260770178</v>
      </c>
      <c r="BV23" s="1691">
        <f ca="1">Costs!BV23/('Global assumptions'!$C$7*NAIRA2010_*250)</f>
        <v>3.1139619391155389</v>
      </c>
      <c r="BW23" s="1691">
        <f ca="1">Costs!BW23/('Global assumptions'!$C$7*NAIRA2010_*250)</f>
        <v>3.1139619391155264</v>
      </c>
      <c r="BX23" s="1691">
        <f ca="1">Costs!BX23/('Global assumptions'!$C$7*NAIRA2010_*250)</f>
        <v>3.1139619391155384</v>
      </c>
      <c r="BY23" s="1691">
        <f ca="1">Costs!BY23/('Global assumptions'!$C$7*NAIRA2010_*250)</f>
        <v>3.1139619391155255</v>
      </c>
      <c r="BZ23" s="1691">
        <f ca="1">Costs!BZ23/('Global assumptions'!$C$7*NAIRA2010_*250)</f>
        <v>3.1139619391155384</v>
      </c>
      <c r="CA23" s="1691">
        <f ca="1">Costs!CA23/('Global assumptions'!$C$7*NAIRA2010_*250)</f>
        <v>3.1139619391155877</v>
      </c>
      <c r="CC23" s="1707">
        <f t="shared" ca="1" si="4"/>
        <v>2.4219703970898645</v>
      </c>
      <c r="CD23" s="1707">
        <f t="shared" ca="1" si="1"/>
        <v>17.029022693968223</v>
      </c>
      <c r="CF23" s="1691">
        <f ca="1">Costs!CF23/('Global assumptions'!$C$7*NAIRA2010_*250)</f>
        <v>0</v>
      </c>
      <c r="CG23" s="1691">
        <f ca="1">Costs!CG23/('Global assumptions'!$C$7*NAIRA2010_*250)</f>
        <v>-2.0759746260770164</v>
      </c>
      <c r="CH23" s="1691">
        <f ca="1">Costs!CH23/('Global assumptions'!$C$7*NAIRA2010_*250)</f>
        <v>-1.03798731303851</v>
      </c>
      <c r="CI23" s="1691">
        <f ca="1">Costs!CI23/('Global assumptions'!$C$7*NAIRA2010_*250)</f>
        <v>-2.3464677352351472E-14</v>
      </c>
      <c r="CJ23" s="1691">
        <f ca="1">Costs!CJ23/('Global assumptions'!$C$7*NAIRA2010_*250)</f>
        <v>3.5979171940272254E-14</v>
      </c>
      <c r="CK23" s="1691">
        <f ca="1">Costs!CK23/('Global assumptions'!$C$7*NAIRA2010_*250)</f>
        <v>-2.3073599396478946E-14</v>
      </c>
      <c r="CL23" s="1691">
        <f ca="1">Costs!CL23/('Global assumptions'!$C$7*NAIRA2010_*250)</f>
        <v>0</v>
      </c>
      <c r="CM23" s="1691">
        <f ca="1">Costs!CM23/('Global assumptions'!$C$7*NAIRA2010_*250)</f>
        <v>1.0168026852685637E-14</v>
      </c>
      <c r="CN23" s="1691">
        <f ca="1">Costs!CN23/('Global assumptions'!$C$7*NAIRA2010_*250)</f>
        <v>-1.2201632223222764E-13</v>
      </c>
      <c r="CP23" s="1707">
        <f t="shared" ca="1" si="5"/>
        <v>-0.3459957710128499</v>
      </c>
      <c r="CQ23" s="1707">
        <f t="shared" ca="1" si="2"/>
        <v>-8.4460297725798519</v>
      </c>
      <c r="CR23" s="1426" t="str">
        <f t="shared" ca="1" si="6"/>
        <v>ok</v>
      </c>
    </row>
    <row r="24" spans="1:96" x14ac:dyDescent="0.2">
      <c r="A24" s="1683" t="s">
        <v>392</v>
      </c>
      <c r="B24" s="1683" t="s">
        <v>2217</v>
      </c>
      <c r="C24" s="1683" t="s">
        <v>1974</v>
      </c>
      <c r="E24" s="1689">
        <f ca="1">Costs!E24/('Global assumptions'!$C$7*NAIRA2010_*250)</f>
        <v>0</v>
      </c>
      <c r="F24" s="1689">
        <f ca="1">Costs!F24/('Global assumptions'!$C$7*NAIRA2010_*250)</f>
        <v>0.46037240830709858</v>
      </c>
      <c r="G24" s="1689">
        <f ca="1">Costs!G24/('Global assumptions'!$C$7*NAIRA2010_*250)</f>
        <v>0.72367568365902002</v>
      </c>
      <c r="H24" s="1689">
        <f ca="1">Costs!H24/('Global assumptions'!$C$7*NAIRA2010_*250)</f>
        <v>1.0377450609691206</v>
      </c>
      <c r="I24" s="1689">
        <f ca="1">Costs!I24/('Global assumptions'!$C$7*NAIRA2010_*250)</f>
        <v>1.3397568577913428</v>
      </c>
      <c r="J24" s="1689">
        <f ca="1">Costs!J24/('Global assumptions'!$C$7*NAIRA2010_*250)</f>
        <v>1.881251211300641</v>
      </c>
      <c r="K24" s="1689">
        <f ca="1">Costs!K24/('Global assumptions'!$C$7*NAIRA2010_*250)</f>
        <v>2.203090515970044</v>
      </c>
      <c r="L24" s="1689">
        <f ca="1">Costs!L24/('Global assumptions'!$C$7*NAIRA2010_*250)</f>
        <v>2.7096087389769044</v>
      </c>
      <c r="M24" s="1689">
        <f ca="1">Costs!M24/('Global assumptions'!$C$7*NAIRA2010_*250)</f>
        <v>3.2976989400638654</v>
      </c>
      <c r="N24" s="675"/>
      <c r="O24" s="1689">
        <f ca="1">Costs!O24/('Global assumptions'!$C$7*NAIRA2010_*250)</f>
        <v>0</v>
      </c>
      <c r="P24" s="1689">
        <f ca="1">Costs!P24/('Global assumptions'!$C$7*NAIRA2010_*250)</f>
        <v>0</v>
      </c>
      <c r="Q24" s="1689">
        <f ca="1">Costs!Q24/('Global assumptions'!$C$7*NAIRA2010_*250)</f>
        <v>0</v>
      </c>
      <c r="R24" s="1689">
        <f ca="1">Costs!R24/('Global assumptions'!$C$7*NAIRA2010_*250)</f>
        <v>0</v>
      </c>
      <c r="S24" s="1689">
        <f ca="1">Costs!S24/('Global assumptions'!$C$7*NAIRA2010_*250)</f>
        <v>0</v>
      </c>
      <c r="T24" s="1689">
        <f ca="1">Costs!T24/('Global assumptions'!$C$7*NAIRA2010_*250)</f>
        <v>0</v>
      </c>
      <c r="U24" s="1689">
        <f ca="1">Costs!U24/('Global assumptions'!$C$7*NAIRA2010_*250)</f>
        <v>0</v>
      </c>
      <c r="V24" s="1689">
        <f ca="1">Costs!V24/('Global assumptions'!$C$7*NAIRA2010_*250)</f>
        <v>0</v>
      </c>
      <c r="W24" s="1689">
        <f ca="1">Costs!W24/('Global assumptions'!$C$7*NAIRA2010_*250)</f>
        <v>0</v>
      </c>
      <c r="X24" s="675"/>
      <c r="Y24" s="1689">
        <f ca="1">Costs!Y24/('Global assumptions'!$C$7*NAIRA2010_*250)</f>
        <v>0</v>
      </c>
      <c r="Z24" s="1689">
        <f ca="1">Costs!Z24/('Global assumptions'!$C$7*NAIRA2010_*250)</f>
        <v>0</v>
      </c>
      <c r="AA24" s="1689">
        <f ca="1">Costs!AA24/('Global assumptions'!$C$7*NAIRA2010_*250)</f>
        <v>0</v>
      </c>
      <c r="AB24" s="1689">
        <f ca="1">Costs!AB24/('Global assumptions'!$C$7*NAIRA2010_*250)</f>
        <v>0</v>
      </c>
      <c r="AC24" s="1689">
        <f ca="1">Costs!AC24/('Global assumptions'!$C$7*NAIRA2010_*250)</f>
        <v>0</v>
      </c>
      <c r="AD24" s="1689">
        <f ca="1">Costs!AD24/('Global assumptions'!$C$7*NAIRA2010_*250)</f>
        <v>0</v>
      </c>
      <c r="AE24" s="1689">
        <f ca="1">Costs!AE24/('Global assumptions'!$C$7*NAIRA2010_*250)</f>
        <v>0</v>
      </c>
      <c r="AF24" s="1689">
        <f ca="1">Costs!AF24/('Global assumptions'!$C$7*NAIRA2010_*250)</f>
        <v>0</v>
      </c>
      <c r="AG24" s="1689">
        <f ca="1">Costs!AG24/('Global assumptions'!$C$7*NAIRA2010_*250)</f>
        <v>0</v>
      </c>
      <c r="AH24" s="675"/>
      <c r="AI24" s="1689">
        <f ca="1">Costs!AI24/('Global assumptions'!$C$7*NAIRA2010_*250)</f>
        <v>0</v>
      </c>
      <c r="AJ24" s="1689">
        <f ca="1">Costs!AJ24/('Global assumptions'!$C$7*NAIRA2010_*250)</f>
        <v>0.46037240830709858</v>
      </c>
      <c r="AK24" s="1689">
        <f ca="1">Costs!AK24/('Global assumptions'!$C$7*NAIRA2010_*250)</f>
        <v>0.72367568365902002</v>
      </c>
      <c r="AL24" s="1689">
        <f ca="1">Costs!AL24/('Global assumptions'!$C$7*NAIRA2010_*250)</f>
        <v>1.0377450609691206</v>
      </c>
      <c r="AM24" s="1689">
        <f ca="1">Costs!AM24/('Global assumptions'!$C$7*NAIRA2010_*250)</f>
        <v>1.3397568577913428</v>
      </c>
      <c r="AN24" s="1689">
        <f ca="1">Costs!AN24/('Global assumptions'!$C$7*NAIRA2010_*250)</f>
        <v>1.881251211300641</v>
      </c>
      <c r="AO24" s="1689">
        <f ca="1">Costs!AO24/('Global assumptions'!$C$7*NAIRA2010_*250)</f>
        <v>2.203090515970044</v>
      </c>
      <c r="AP24" s="1689">
        <f ca="1">Costs!AP24/('Global assumptions'!$C$7*NAIRA2010_*250)</f>
        <v>2.7096087389769044</v>
      </c>
      <c r="AQ24" s="1689">
        <f ca="1">Costs!AQ24/('Global assumptions'!$C$7*NAIRA2010_*250)</f>
        <v>3.2976989400638654</v>
      </c>
      <c r="AS24" s="1706">
        <f t="shared" ca="1" si="3"/>
        <v>1.5170221574486709</v>
      </c>
      <c r="AT24" s="1706">
        <f t="shared" ca="1" si="0"/>
        <v>7.9344910188478233</v>
      </c>
      <c r="AU24" s="675"/>
      <c r="AV24" s="1699">
        <f>IFERROR(VLOOKUP($A24,Cost.FinanceCostTable,3,FALSE),'Global assumptions'!$D$35)</f>
        <v>0</v>
      </c>
      <c r="AW24" s="1690">
        <f>IFERROR(VLOOKUP($A24,Cost.FinanceCostTable,4,FALSE),'Global assumptions'!$E$35)</f>
        <v>15</v>
      </c>
      <c r="AX24" s="675"/>
      <c r="AY24" s="1689">
        <f ca="1">Costs!AY24/('Global assumptions'!$C$7*NAIRA2010_*250)</f>
        <v>0</v>
      </c>
      <c r="AZ24" s="1689">
        <f ca="1">Costs!AZ24/('Global assumptions'!$C$7*NAIRA2010_*250)</f>
        <v>0.15345746943569952</v>
      </c>
      <c r="BA24" s="1689">
        <f ca="1">Costs!BA24/('Global assumptions'!$C$7*NAIRA2010_*250)</f>
        <v>0.24122522788634004</v>
      </c>
      <c r="BB24" s="1689">
        <f ca="1">Costs!BB24/('Global assumptions'!$C$7*NAIRA2010_*250)</f>
        <v>0.34591502032304017</v>
      </c>
      <c r="BC24" s="1689">
        <f ca="1">Costs!BC24/('Global assumptions'!$C$7*NAIRA2010_*250)</f>
        <v>0.44658561926378099</v>
      </c>
      <c r="BD24" s="1689">
        <f ca="1">Costs!BD24/('Global assumptions'!$C$7*NAIRA2010_*250)</f>
        <v>0.6270837371002137</v>
      </c>
      <c r="BE24" s="1689">
        <f ca="1">Costs!BE24/('Global assumptions'!$C$7*NAIRA2010_*250)</f>
        <v>0.73436350532334804</v>
      </c>
      <c r="BF24" s="1689">
        <f ca="1">Costs!BF24/('Global assumptions'!$C$7*NAIRA2010_*250)</f>
        <v>0.9032029129923016</v>
      </c>
      <c r="BG24" s="1689">
        <f ca="1">Costs!BG24/('Global assumptions'!$C$7*NAIRA2010_*250)</f>
        <v>1.0992329800212886</v>
      </c>
      <c r="BH24" s="675"/>
      <c r="BI24" s="1689">
        <f ca="1">Costs!BI24/('Global assumptions'!$C$7*NAIRA2010_*250)</f>
        <v>0</v>
      </c>
      <c r="BJ24" s="1689">
        <f ca="1">Costs!BJ24/('Global assumptions'!$C$7*NAIRA2010_*250)</f>
        <v>0.15345746943569952</v>
      </c>
      <c r="BK24" s="1689">
        <f ca="1">Costs!BK24/('Global assumptions'!$C$7*NAIRA2010_*250)</f>
        <v>0.39468269732203959</v>
      </c>
      <c r="BL24" s="1689">
        <f ca="1">Costs!BL24/('Global assumptions'!$C$7*NAIRA2010_*250)</f>
        <v>0.74059771764507976</v>
      </c>
      <c r="BM24" s="1689">
        <f ca="1">Costs!BM24/('Global assumptions'!$C$7*NAIRA2010_*250)</f>
        <v>1.0337258674731613</v>
      </c>
      <c r="BN24" s="1689">
        <f ca="1">Costs!BN24/('Global assumptions'!$C$7*NAIRA2010_*250)</f>
        <v>1.4195843766870349</v>
      </c>
      <c r="BO24" s="1689">
        <f ca="1">Costs!BO24/('Global assumptions'!$C$7*NAIRA2010_*250)</f>
        <v>1.8080328616873429</v>
      </c>
      <c r="BP24" s="1689">
        <f ca="1">Costs!BP24/('Global assumptions'!$C$7*NAIRA2010_*250)</f>
        <v>2.2646501554158633</v>
      </c>
      <c r="BQ24" s="1689">
        <f ca="1">Costs!BQ24/('Global assumptions'!$C$7*NAIRA2010_*250)</f>
        <v>2.7367993983369385</v>
      </c>
      <c r="BR24" s="675"/>
      <c r="BS24" s="1689">
        <f ca="1">Costs!BS24/('Global assumptions'!$C$7*NAIRA2010_*250)</f>
        <v>0</v>
      </c>
      <c r="BT24" s="1689">
        <f ca="1">Costs!BT24/('Global assumptions'!$C$7*NAIRA2010_*250)</f>
        <v>0.15345746943569952</v>
      </c>
      <c r="BU24" s="1689">
        <f ca="1">Costs!BU24/('Global assumptions'!$C$7*NAIRA2010_*250)</f>
        <v>0.39468269732203959</v>
      </c>
      <c r="BV24" s="1689">
        <f ca="1">Costs!BV24/('Global assumptions'!$C$7*NAIRA2010_*250)</f>
        <v>0.74059771764507976</v>
      </c>
      <c r="BW24" s="1689">
        <f ca="1">Costs!BW24/('Global assumptions'!$C$7*NAIRA2010_*250)</f>
        <v>1.0337258674731613</v>
      </c>
      <c r="BX24" s="1689">
        <f ca="1">Costs!BX24/('Global assumptions'!$C$7*NAIRA2010_*250)</f>
        <v>1.4195843766870349</v>
      </c>
      <c r="BY24" s="1689">
        <f ca="1">Costs!BY24/('Global assumptions'!$C$7*NAIRA2010_*250)</f>
        <v>1.8080328616873429</v>
      </c>
      <c r="BZ24" s="1689">
        <f ca="1">Costs!BZ24/('Global assumptions'!$C$7*NAIRA2010_*250)</f>
        <v>2.2646501554158633</v>
      </c>
      <c r="CA24" s="1689">
        <f ca="1">Costs!CA24/('Global assumptions'!$C$7*NAIRA2010_*250)</f>
        <v>2.7367993983369385</v>
      </c>
      <c r="CC24" s="1706">
        <f t="shared" ca="1" si="4"/>
        <v>1.1723922826670177</v>
      </c>
      <c r="CD24" s="1706">
        <f t="shared" ca="1" si="1"/>
        <v>5.2084890443702836</v>
      </c>
      <c r="CF24" s="1689">
        <f ca="1">Costs!CF24/('Global assumptions'!$C$7*NAIRA2010_*250)</f>
        <v>0</v>
      </c>
      <c r="CG24" s="1689">
        <f ca="1">Costs!CG24/('Global assumptions'!$C$7*NAIRA2010_*250)</f>
        <v>-0.30691493887139909</v>
      </c>
      <c r="CH24" s="1689">
        <f ca="1">Costs!CH24/('Global assumptions'!$C$7*NAIRA2010_*250)</f>
        <v>-0.32899298633698049</v>
      </c>
      <c r="CI24" s="1689">
        <f ca="1">Costs!CI24/('Global assumptions'!$C$7*NAIRA2010_*250)</f>
        <v>-0.29714734332404091</v>
      </c>
      <c r="CJ24" s="1689">
        <f ca="1">Costs!CJ24/('Global assumptions'!$C$7*NAIRA2010_*250)</f>
        <v>-0.30603099031818143</v>
      </c>
      <c r="CK24" s="1689">
        <f ca="1">Costs!CK24/('Global assumptions'!$C$7*NAIRA2010_*250)</f>
        <v>-0.46166683461360603</v>
      </c>
      <c r="CL24" s="1689">
        <f ca="1">Costs!CL24/('Global assumptions'!$C$7*NAIRA2010_*250)</f>
        <v>-0.39505765428270123</v>
      </c>
      <c r="CM24" s="1689">
        <f ca="1">Costs!CM24/('Global assumptions'!$C$7*NAIRA2010_*250)</f>
        <v>-0.4449585835610409</v>
      </c>
      <c r="CN24" s="1689">
        <f ca="1">Costs!CN24/('Global assumptions'!$C$7*NAIRA2010_*250)</f>
        <v>-0.56089954172692713</v>
      </c>
      <c r="CP24" s="1706">
        <f t="shared" ca="1" si="5"/>
        <v>-0.34462987478165302</v>
      </c>
      <c r="CQ24" s="1706">
        <f t="shared" ca="1" si="2"/>
        <v>-2.7260019744775397</v>
      </c>
      <c r="CR24" s="1426" t="str">
        <f t="shared" ca="1" si="6"/>
        <v>ok</v>
      </c>
    </row>
    <row r="25" spans="1:96" x14ac:dyDescent="0.2">
      <c r="A25" s="1685" t="s">
        <v>393</v>
      </c>
      <c r="B25" s="1685" t="s">
        <v>2221</v>
      </c>
      <c r="C25" s="1685" t="s">
        <v>1974</v>
      </c>
      <c r="E25" s="1691">
        <f ca="1">Costs!E25/('Global assumptions'!$C$7*NAIRA2010_*250)</f>
        <v>0</v>
      </c>
      <c r="F25" s="1691">
        <f ca="1">Costs!F25/('Global assumptions'!$C$7*NAIRA2010_*250)</f>
        <v>3.9906371403053371</v>
      </c>
      <c r="G25" s="1691">
        <f ca="1">Costs!G25/('Global assumptions'!$C$7*NAIRA2010_*250)</f>
        <v>4.8524293540216759</v>
      </c>
      <c r="H25" s="1691">
        <f ca="1">Costs!H25/('Global assumptions'!$C$7*NAIRA2010_*250)</f>
        <v>6.8012816688089472</v>
      </c>
      <c r="I25" s="1691">
        <f ca="1">Costs!I25/('Global assumptions'!$C$7*NAIRA2010_*250)</f>
        <v>6.3651673919911005</v>
      </c>
      <c r="J25" s="1691">
        <f ca="1">Costs!J25/('Global assumptions'!$C$7*NAIRA2010_*250)</f>
        <v>6.8431222720881788</v>
      </c>
      <c r="K25" s="1691">
        <f ca="1">Costs!K25/('Global assumptions'!$C$7*NAIRA2010_*250)</f>
        <v>2.3333032487403131</v>
      </c>
      <c r="L25" s="1691">
        <f ca="1">Costs!L25/('Global assumptions'!$C$7*NAIRA2010_*250)</f>
        <v>2.1899626016216533</v>
      </c>
      <c r="M25" s="1691">
        <f ca="1">Costs!M25/('Global assumptions'!$C$7*NAIRA2010_*250)</f>
        <v>4.2394324500882439</v>
      </c>
      <c r="N25" s="675"/>
      <c r="O25" s="1691">
        <f ca="1">Costs!O25/('Global assumptions'!$C$7*NAIRA2010_*250)</f>
        <v>0</v>
      </c>
      <c r="P25" s="1691">
        <f ca="1">Costs!P25/('Global assumptions'!$C$7*NAIRA2010_*250)</f>
        <v>0</v>
      </c>
      <c r="Q25" s="1691">
        <f ca="1">Costs!Q25/('Global assumptions'!$C$7*NAIRA2010_*250)</f>
        <v>0</v>
      </c>
      <c r="R25" s="1691">
        <f ca="1">Costs!R25/('Global assumptions'!$C$7*NAIRA2010_*250)</f>
        <v>0</v>
      </c>
      <c r="S25" s="1691">
        <f ca="1">Costs!S25/('Global assumptions'!$C$7*NAIRA2010_*250)</f>
        <v>0</v>
      </c>
      <c r="T25" s="1691">
        <f ca="1">Costs!T25/('Global assumptions'!$C$7*NAIRA2010_*250)</f>
        <v>0</v>
      </c>
      <c r="U25" s="1691">
        <f ca="1">Costs!U25/('Global assumptions'!$C$7*NAIRA2010_*250)</f>
        <v>0</v>
      </c>
      <c r="V25" s="1691">
        <f ca="1">Costs!V25/('Global assumptions'!$C$7*NAIRA2010_*250)</f>
        <v>0</v>
      </c>
      <c r="W25" s="1691">
        <f ca="1">Costs!W25/('Global assumptions'!$C$7*NAIRA2010_*250)</f>
        <v>0</v>
      </c>
      <c r="X25" s="675"/>
      <c r="Y25" s="1691">
        <f ca="1">Costs!Y25/('Global assumptions'!$C$7*NAIRA2010_*250)</f>
        <v>0</v>
      </c>
      <c r="Z25" s="1691">
        <f ca="1">Costs!Z25/('Global assumptions'!$C$7*NAIRA2010_*250)</f>
        <v>0</v>
      </c>
      <c r="AA25" s="1691">
        <f ca="1">Costs!AA25/('Global assumptions'!$C$7*NAIRA2010_*250)</f>
        <v>0</v>
      </c>
      <c r="AB25" s="1691">
        <f ca="1">Costs!AB25/('Global assumptions'!$C$7*NAIRA2010_*250)</f>
        <v>0</v>
      </c>
      <c r="AC25" s="1691">
        <f ca="1">Costs!AC25/('Global assumptions'!$C$7*NAIRA2010_*250)</f>
        <v>0</v>
      </c>
      <c r="AD25" s="1691">
        <f ca="1">Costs!AD25/('Global assumptions'!$C$7*NAIRA2010_*250)</f>
        <v>0</v>
      </c>
      <c r="AE25" s="1691">
        <f ca="1">Costs!AE25/('Global assumptions'!$C$7*NAIRA2010_*250)</f>
        <v>0</v>
      </c>
      <c r="AF25" s="1691">
        <f ca="1">Costs!AF25/('Global assumptions'!$C$7*NAIRA2010_*250)</f>
        <v>0</v>
      </c>
      <c r="AG25" s="1691">
        <f ca="1">Costs!AG25/('Global assumptions'!$C$7*NAIRA2010_*250)</f>
        <v>0</v>
      </c>
      <c r="AH25" s="675"/>
      <c r="AI25" s="1691">
        <f ca="1">Costs!AI25/('Global assumptions'!$C$7*NAIRA2010_*250)</f>
        <v>0</v>
      </c>
      <c r="AJ25" s="1691">
        <f ca="1">Costs!AJ25/('Global assumptions'!$C$7*NAIRA2010_*250)</f>
        <v>3.9906371403053371</v>
      </c>
      <c r="AK25" s="1691">
        <f ca="1">Costs!AK25/('Global assumptions'!$C$7*NAIRA2010_*250)</f>
        <v>4.8524293540216759</v>
      </c>
      <c r="AL25" s="1691">
        <f ca="1">Costs!AL25/('Global assumptions'!$C$7*NAIRA2010_*250)</f>
        <v>6.8012816688089472</v>
      </c>
      <c r="AM25" s="1691">
        <f ca="1">Costs!AM25/('Global assumptions'!$C$7*NAIRA2010_*250)</f>
        <v>6.3651673919911005</v>
      </c>
      <c r="AN25" s="1691">
        <f ca="1">Costs!AN25/('Global assumptions'!$C$7*NAIRA2010_*250)</f>
        <v>6.8431222720881788</v>
      </c>
      <c r="AO25" s="1691">
        <f ca="1">Costs!AO25/('Global assumptions'!$C$7*NAIRA2010_*250)</f>
        <v>2.3333032487403131</v>
      </c>
      <c r="AP25" s="1691">
        <f ca="1">Costs!AP25/('Global assumptions'!$C$7*NAIRA2010_*250)</f>
        <v>2.1899626016216533</v>
      </c>
      <c r="AQ25" s="1691">
        <f ca="1">Costs!AQ25/('Global assumptions'!$C$7*NAIRA2010_*250)</f>
        <v>4.2394324500882439</v>
      </c>
      <c r="AS25" s="1707">
        <f t="shared" ca="1" si="3"/>
        <v>4.1794817919628278</v>
      </c>
      <c r="AT25" s="1707">
        <f t="shared" ca="1" si="0"/>
        <v>39.886805097028017</v>
      </c>
      <c r="AU25" s="675"/>
      <c r="AV25" s="1700">
        <f>IFERROR(VLOOKUP($A25,Cost.FinanceCostTable,3,FALSE),'Global assumptions'!$D$35)</f>
        <v>0</v>
      </c>
      <c r="AW25" s="1692">
        <f>IFERROR(VLOOKUP($A25,Cost.FinanceCostTable,4,FALSE),'Global assumptions'!$E$35)</f>
        <v>5</v>
      </c>
      <c r="AX25" s="675"/>
      <c r="AY25" s="1691">
        <f ca="1">Costs!AY25/('Global assumptions'!$C$7*NAIRA2010_*250)</f>
        <v>0</v>
      </c>
      <c r="AZ25" s="1691">
        <f ca="1">Costs!AZ25/('Global assumptions'!$C$7*NAIRA2010_*250)</f>
        <v>3.9906371403053371</v>
      </c>
      <c r="BA25" s="1691">
        <f ca="1">Costs!BA25/('Global assumptions'!$C$7*NAIRA2010_*250)</f>
        <v>4.8524293540216759</v>
      </c>
      <c r="BB25" s="1691">
        <f ca="1">Costs!BB25/('Global assumptions'!$C$7*NAIRA2010_*250)</f>
        <v>6.8012816688089472</v>
      </c>
      <c r="BC25" s="1691">
        <f ca="1">Costs!BC25/('Global assumptions'!$C$7*NAIRA2010_*250)</f>
        <v>6.3651673919911005</v>
      </c>
      <c r="BD25" s="1691">
        <f ca="1">Costs!BD25/('Global assumptions'!$C$7*NAIRA2010_*250)</f>
        <v>6.8431222720881788</v>
      </c>
      <c r="BE25" s="1691">
        <f ca="1">Costs!BE25/('Global assumptions'!$C$7*NAIRA2010_*250)</f>
        <v>2.3333032487403131</v>
      </c>
      <c r="BF25" s="1691">
        <f ca="1">Costs!BF25/('Global assumptions'!$C$7*NAIRA2010_*250)</f>
        <v>2.1899626016216533</v>
      </c>
      <c r="BG25" s="1691">
        <f ca="1">Costs!BG25/('Global assumptions'!$C$7*NAIRA2010_*250)</f>
        <v>4.2394324500882439</v>
      </c>
      <c r="BH25" s="675"/>
      <c r="BI25" s="1691">
        <f ca="1">Costs!BI25/('Global assumptions'!$C$7*NAIRA2010_*250)</f>
        <v>0</v>
      </c>
      <c r="BJ25" s="1691">
        <f ca="1">Costs!BJ25/('Global assumptions'!$C$7*NAIRA2010_*250)</f>
        <v>3.9906371403053371</v>
      </c>
      <c r="BK25" s="1691">
        <f ca="1">Costs!BK25/('Global assumptions'!$C$7*NAIRA2010_*250)</f>
        <v>4.8524293540216759</v>
      </c>
      <c r="BL25" s="1691">
        <f ca="1">Costs!BL25/('Global assumptions'!$C$7*NAIRA2010_*250)</f>
        <v>6.8012816688089472</v>
      </c>
      <c r="BM25" s="1691">
        <f ca="1">Costs!BM25/('Global assumptions'!$C$7*NAIRA2010_*250)</f>
        <v>6.3651673919911005</v>
      </c>
      <c r="BN25" s="1691">
        <f ca="1">Costs!BN25/('Global assumptions'!$C$7*NAIRA2010_*250)</f>
        <v>6.8431222720881788</v>
      </c>
      <c r="BO25" s="1691">
        <f ca="1">Costs!BO25/('Global assumptions'!$C$7*NAIRA2010_*250)</f>
        <v>2.3333032487403131</v>
      </c>
      <c r="BP25" s="1691">
        <f ca="1">Costs!BP25/('Global assumptions'!$C$7*NAIRA2010_*250)</f>
        <v>2.1899626016216533</v>
      </c>
      <c r="BQ25" s="1691">
        <f ca="1">Costs!BQ25/('Global assumptions'!$C$7*NAIRA2010_*250)</f>
        <v>4.2394324500882439</v>
      </c>
      <c r="BR25" s="675"/>
      <c r="BS25" s="1691">
        <f ca="1">Costs!BS25/('Global assumptions'!$C$7*NAIRA2010_*250)</f>
        <v>0</v>
      </c>
      <c r="BT25" s="1691">
        <f ca="1">Costs!BT25/('Global assumptions'!$C$7*NAIRA2010_*250)</f>
        <v>3.9906371403053371</v>
      </c>
      <c r="BU25" s="1691">
        <f ca="1">Costs!BU25/('Global assumptions'!$C$7*NAIRA2010_*250)</f>
        <v>4.8524293540216759</v>
      </c>
      <c r="BV25" s="1691">
        <f ca="1">Costs!BV25/('Global assumptions'!$C$7*NAIRA2010_*250)</f>
        <v>6.8012816688089472</v>
      </c>
      <c r="BW25" s="1691">
        <f ca="1">Costs!BW25/('Global assumptions'!$C$7*NAIRA2010_*250)</f>
        <v>6.3651673919911005</v>
      </c>
      <c r="BX25" s="1691">
        <f ca="1">Costs!BX25/('Global assumptions'!$C$7*NAIRA2010_*250)</f>
        <v>6.8431222720881788</v>
      </c>
      <c r="BY25" s="1691">
        <f ca="1">Costs!BY25/('Global assumptions'!$C$7*NAIRA2010_*250)</f>
        <v>2.3333032487403131</v>
      </c>
      <c r="BZ25" s="1691">
        <f ca="1">Costs!BZ25/('Global assumptions'!$C$7*NAIRA2010_*250)</f>
        <v>2.1899626016216533</v>
      </c>
      <c r="CA25" s="1691">
        <f ca="1">Costs!CA25/('Global assumptions'!$C$7*NAIRA2010_*250)</f>
        <v>4.2394324500882439</v>
      </c>
      <c r="CC25" s="1707">
        <f t="shared" ca="1" si="4"/>
        <v>4.1794817919628278</v>
      </c>
      <c r="CD25" s="1707">
        <f t="shared" ca="1" si="1"/>
        <v>39.886805097028017</v>
      </c>
      <c r="CF25" s="1691">
        <f ca="1">Costs!CF25/('Global assumptions'!$C$7*NAIRA2010_*250)</f>
        <v>0</v>
      </c>
      <c r="CG25" s="1691">
        <f ca="1">Costs!CG25/('Global assumptions'!$C$7*NAIRA2010_*250)</f>
        <v>0</v>
      </c>
      <c r="CH25" s="1691">
        <f ca="1">Costs!CH25/('Global assumptions'!$C$7*NAIRA2010_*250)</f>
        <v>0</v>
      </c>
      <c r="CI25" s="1691">
        <f ca="1">Costs!CI25/('Global assumptions'!$C$7*NAIRA2010_*250)</f>
        <v>0</v>
      </c>
      <c r="CJ25" s="1691">
        <f ca="1">Costs!CJ25/('Global assumptions'!$C$7*NAIRA2010_*250)</f>
        <v>0</v>
      </c>
      <c r="CK25" s="1691">
        <f ca="1">Costs!CK25/('Global assumptions'!$C$7*NAIRA2010_*250)</f>
        <v>0</v>
      </c>
      <c r="CL25" s="1691">
        <f ca="1">Costs!CL25/('Global assumptions'!$C$7*NAIRA2010_*250)</f>
        <v>0</v>
      </c>
      <c r="CM25" s="1691">
        <f ca="1">Costs!CM25/('Global assumptions'!$C$7*NAIRA2010_*250)</f>
        <v>0</v>
      </c>
      <c r="CN25" s="1691">
        <f ca="1">Costs!CN25/('Global assumptions'!$C$7*NAIRA2010_*250)</f>
        <v>0</v>
      </c>
      <c r="CP25" s="1707">
        <f t="shared" ca="1" si="5"/>
        <v>0</v>
      </c>
      <c r="CQ25" s="1707">
        <f t="shared" ca="1" si="2"/>
        <v>0</v>
      </c>
      <c r="CR25" s="1426" t="str">
        <f t="shared" ca="1" si="6"/>
        <v>ok</v>
      </c>
    </row>
    <row r="26" spans="1:96" x14ac:dyDescent="0.2">
      <c r="A26" s="1683" t="s">
        <v>360</v>
      </c>
      <c r="B26" s="1683" t="s">
        <v>176</v>
      </c>
      <c r="C26" s="1683" t="s">
        <v>33</v>
      </c>
      <c r="E26" s="1689">
        <f ca="1">Costs!E26/('Global assumptions'!$C$7*NAIRA2010_*250)</f>
        <v>1.9629775677211707E-3</v>
      </c>
      <c r="F26" s="1689">
        <f ca="1">Costs!F26/('Global assumptions'!$C$7*NAIRA2010_*250)</f>
        <v>2.1303421746356479E-3</v>
      </c>
      <c r="G26" s="1689">
        <f ca="1">Costs!G26/('Global assumptions'!$C$7*NAIRA2010_*250)</f>
        <v>2.3163952507754648E-3</v>
      </c>
      <c r="H26" s="1689">
        <f ca="1">Costs!H26/('Global assumptions'!$C$7*NAIRA2010_*250)</f>
        <v>2.523445678834195E-3</v>
      </c>
      <c r="I26" s="1689">
        <f ca="1">Costs!I26/('Global assumptions'!$C$7*NAIRA2010_*250)</f>
        <v>2.685369582023857E-3</v>
      </c>
      <c r="J26" s="1689">
        <f ca="1">Costs!J26/('Global assumptions'!$C$7*NAIRA2010_*250)</f>
        <v>2.860253048174749E-3</v>
      </c>
      <c r="K26" s="1689">
        <f ca="1">Costs!K26/('Global assumptions'!$C$7*NAIRA2010_*250)</f>
        <v>3.0492321647616612E-3</v>
      </c>
      <c r="L26" s="1689">
        <f ca="1">Costs!L26/('Global assumptions'!$C$7*NAIRA2010_*250)</f>
        <v>3.2535461206087178E-3</v>
      </c>
      <c r="M26" s="1689">
        <f ca="1">Costs!M26/('Global assumptions'!$C$7*NAIRA2010_*250)</f>
        <v>3.4745466960821279E-3</v>
      </c>
      <c r="N26" s="675"/>
      <c r="O26" s="1689">
        <f ca="1">Costs!O26/('Global assumptions'!$C$7*NAIRA2010_*250)</f>
        <v>0.20695965443782896</v>
      </c>
      <c r="P26" s="1689">
        <f ca="1">Costs!P26/('Global assumptions'!$C$7*NAIRA2010_*250)</f>
        <v>0.21666829505473728</v>
      </c>
      <c r="Q26" s="1689">
        <f ca="1">Costs!Q26/('Global assumptions'!$C$7*NAIRA2010_*250)</f>
        <v>0.2270959355728415</v>
      </c>
      <c r="R26" s="1689">
        <f ca="1">Costs!R26/('Global assumptions'!$C$7*NAIRA2010_*250)</f>
        <v>0.23831795850586129</v>
      </c>
      <c r="S26" s="1689">
        <f ca="1">Costs!S26/('Global assumptions'!$C$7*NAIRA2010_*250)</f>
        <v>0.24697925831841264</v>
      </c>
      <c r="T26" s="1689">
        <f ca="1">Costs!T26/('Global assumptions'!$C$7*NAIRA2010_*250)</f>
        <v>0.25611821166385323</v>
      </c>
      <c r="U26" s="1689">
        <f ca="1">Costs!U26/('Global assumptions'!$C$7*NAIRA2010_*250)</f>
        <v>0.26577074979104454</v>
      </c>
      <c r="V26" s="1689">
        <f ca="1">Costs!V26/('Global assumptions'!$C$7*NAIRA2010_*250)</f>
        <v>0.27597590251390997</v>
      </c>
      <c r="W26" s="1689">
        <f ca="1">Costs!W26/('Global assumptions'!$C$7*NAIRA2010_*250)</f>
        <v>0.28677607857663795</v>
      </c>
      <c r="X26" s="675"/>
      <c r="Y26" s="1689">
        <f ca="1">Costs!Y26/('Global assumptions'!$C$7*NAIRA2010_*250)</f>
        <v>0</v>
      </c>
      <c r="Z26" s="1689">
        <f ca="1">Costs!Z26/('Global assumptions'!$C$7*NAIRA2010_*250)</f>
        <v>0</v>
      </c>
      <c r="AA26" s="1689">
        <f ca="1">Costs!AA26/('Global assumptions'!$C$7*NAIRA2010_*250)</f>
        <v>0</v>
      </c>
      <c r="AB26" s="1689">
        <f ca="1">Costs!AB26/('Global assumptions'!$C$7*NAIRA2010_*250)</f>
        <v>0</v>
      </c>
      <c r="AC26" s="1689">
        <f ca="1">Costs!AC26/('Global assumptions'!$C$7*NAIRA2010_*250)</f>
        <v>0</v>
      </c>
      <c r="AD26" s="1689">
        <f ca="1">Costs!AD26/('Global assumptions'!$C$7*NAIRA2010_*250)</f>
        <v>0</v>
      </c>
      <c r="AE26" s="1689">
        <f ca="1">Costs!AE26/('Global assumptions'!$C$7*NAIRA2010_*250)</f>
        <v>0</v>
      </c>
      <c r="AF26" s="1689">
        <f ca="1">Costs!AF26/('Global assumptions'!$C$7*NAIRA2010_*250)</f>
        <v>0</v>
      </c>
      <c r="AG26" s="1689">
        <f ca="1">Costs!AG26/('Global assumptions'!$C$7*NAIRA2010_*250)</f>
        <v>0</v>
      </c>
      <c r="AH26" s="675"/>
      <c r="AI26" s="1689">
        <f ca="1">Costs!AI26/('Global assumptions'!$C$7*NAIRA2010_*250)</f>
        <v>0.20892263200555011</v>
      </c>
      <c r="AJ26" s="1689">
        <f ca="1">Costs!AJ26/('Global assumptions'!$C$7*NAIRA2010_*250)</f>
        <v>0.21879863722937293</v>
      </c>
      <c r="AK26" s="1689">
        <f ca="1">Costs!AK26/('Global assumptions'!$C$7*NAIRA2010_*250)</f>
        <v>0.22941233082361698</v>
      </c>
      <c r="AL26" s="1689">
        <f ca="1">Costs!AL26/('Global assumptions'!$C$7*NAIRA2010_*250)</f>
        <v>0.24084140418469549</v>
      </c>
      <c r="AM26" s="1689">
        <f ca="1">Costs!AM26/('Global assumptions'!$C$7*NAIRA2010_*250)</f>
        <v>0.2496646279004365</v>
      </c>
      <c r="AN26" s="1689">
        <f ca="1">Costs!AN26/('Global assumptions'!$C$7*NAIRA2010_*250)</f>
        <v>0.25897846471202801</v>
      </c>
      <c r="AO26" s="1689">
        <f ca="1">Costs!AO26/('Global assumptions'!$C$7*NAIRA2010_*250)</f>
        <v>0.26881998195580614</v>
      </c>
      <c r="AP26" s="1689">
        <f ca="1">Costs!AP26/('Global assumptions'!$C$7*NAIRA2010_*250)</f>
        <v>0.27922944863451871</v>
      </c>
      <c r="AQ26" s="1689">
        <f ca="1">Costs!AQ26/('Global assumptions'!$C$7*NAIRA2010_*250)</f>
        <v>0.29025062527272005</v>
      </c>
      <c r="AS26" s="1706">
        <f t="shared" ca="1" si="3"/>
        <v>0.24943535030208278</v>
      </c>
      <c r="AT26" s="1706">
        <f t="shared" ca="1" si="0"/>
        <v>2.1317269737166922</v>
      </c>
      <c r="AU26" s="675"/>
      <c r="AV26" s="1699">
        <f>IFERROR(VLOOKUP($A26,Cost.FinanceCostTable,3,FALSE),'Global assumptions'!$D$35)</f>
        <v>0</v>
      </c>
      <c r="AW26" s="1690">
        <f>IFERROR(VLOOKUP($A26,Cost.FinanceCostTable,4,FALSE),'Global assumptions'!$E$35)</f>
        <v>5</v>
      </c>
      <c r="AX26" s="675"/>
      <c r="AY26" s="1689">
        <f ca="1">Costs!AY26/('Global assumptions'!$C$7*NAIRA2010_*250)</f>
        <v>1.1777865406327023E-3</v>
      </c>
      <c r="AZ26" s="1689">
        <f ca="1">Costs!AZ26/('Global assumptions'!$C$7*NAIRA2010_*250)</f>
        <v>2.1303421746356479E-3</v>
      </c>
      <c r="BA26" s="1689">
        <f ca="1">Costs!BA26/('Global assumptions'!$C$7*NAIRA2010_*250)</f>
        <v>2.3163952507754648E-3</v>
      </c>
      <c r="BB26" s="1689">
        <f ca="1">Costs!BB26/('Global assumptions'!$C$7*NAIRA2010_*250)</f>
        <v>2.523445678834195E-3</v>
      </c>
      <c r="BC26" s="1689">
        <f ca="1">Costs!BC26/('Global assumptions'!$C$7*NAIRA2010_*250)</f>
        <v>2.685369582023857E-3</v>
      </c>
      <c r="BD26" s="1689">
        <f ca="1">Costs!BD26/('Global assumptions'!$C$7*NAIRA2010_*250)</f>
        <v>2.860253048174749E-3</v>
      </c>
      <c r="BE26" s="1689">
        <f ca="1">Costs!BE26/('Global assumptions'!$C$7*NAIRA2010_*250)</f>
        <v>3.0492321647616612E-3</v>
      </c>
      <c r="BF26" s="1689">
        <f ca="1">Costs!BF26/('Global assumptions'!$C$7*NAIRA2010_*250)</f>
        <v>3.2535461206087178E-3</v>
      </c>
      <c r="BG26" s="1689">
        <f ca="1">Costs!BG26/('Global assumptions'!$C$7*NAIRA2010_*250)</f>
        <v>3.4745466960821279E-3</v>
      </c>
      <c r="BH26" s="675"/>
      <c r="BI26" s="1689">
        <f ca="1">Costs!BI26/('Global assumptions'!$C$7*NAIRA2010_*250)</f>
        <v>1.1777865406327023E-3</v>
      </c>
      <c r="BJ26" s="1689">
        <f ca="1">Costs!BJ26/('Global assumptions'!$C$7*NAIRA2010_*250)</f>
        <v>2.1303421746356479E-3</v>
      </c>
      <c r="BK26" s="1689">
        <f ca="1">Costs!BK26/('Global assumptions'!$C$7*NAIRA2010_*250)</f>
        <v>2.3163952507754648E-3</v>
      </c>
      <c r="BL26" s="1689">
        <f ca="1">Costs!BL26/('Global assumptions'!$C$7*NAIRA2010_*250)</f>
        <v>2.523445678834195E-3</v>
      </c>
      <c r="BM26" s="1689">
        <f ca="1">Costs!BM26/('Global assumptions'!$C$7*NAIRA2010_*250)</f>
        <v>2.685369582023857E-3</v>
      </c>
      <c r="BN26" s="1689">
        <f ca="1">Costs!BN26/('Global assumptions'!$C$7*NAIRA2010_*250)</f>
        <v>2.860253048174749E-3</v>
      </c>
      <c r="BO26" s="1689">
        <f ca="1">Costs!BO26/('Global assumptions'!$C$7*NAIRA2010_*250)</f>
        <v>3.0492321647616612E-3</v>
      </c>
      <c r="BP26" s="1689">
        <f ca="1">Costs!BP26/('Global assumptions'!$C$7*NAIRA2010_*250)</f>
        <v>3.2535461206087178E-3</v>
      </c>
      <c r="BQ26" s="1689">
        <f ca="1">Costs!BQ26/('Global assumptions'!$C$7*NAIRA2010_*250)</f>
        <v>3.4745466960821279E-3</v>
      </c>
      <c r="BR26" s="675"/>
      <c r="BS26" s="1689">
        <f ca="1">Costs!BS26/('Global assumptions'!$C$7*NAIRA2010_*250)</f>
        <v>0.20813744097846165</v>
      </c>
      <c r="BT26" s="1689">
        <f ca="1">Costs!BT26/('Global assumptions'!$C$7*NAIRA2010_*250)</f>
        <v>0.21879863722937293</v>
      </c>
      <c r="BU26" s="1689">
        <f ca="1">Costs!BU26/('Global assumptions'!$C$7*NAIRA2010_*250)</f>
        <v>0.22941233082361698</v>
      </c>
      <c r="BV26" s="1689">
        <f ca="1">Costs!BV26/('Global assumptions'!$C$7*NAIRA2010_*250)</f>
        <v>0.24084140418469549</v>
      </c>
      <c r="BW26" s="1689">
        <f ca="1">Costs!BW26/('Global assumptions'!$C$7*NAIRA2010_*250)</f>
        <v>0.2496646279004365</v>
      </c>
      <c r="BX26" s="1689">
        <f ca="1">Costs!BX26/('Global assumptions'!$C$7*NAIRA2010_*250)</f>
        <v>0.25897846471202801</v>
      </c>
      <c r="BY26" s="1689">
        <f ca="1">Costs!BY26/('Global assumptions'!$C$7*NAIRA2010_*250)</f>
        <v>0.26881998195580614</v>
      </c>
      <c r="BZ26" s="1689">
        <f ca="1">Costs!BZ26/('Global assumptions'!$C$7*NAIRA2010_*250)</f>
        <v>0.27922944863451871</v>
      </c>
      <c r="CA26" s="1689">
        <f ca="1">Costs!CA26/('Global assumptions'!$C$7*NAIRA2010_*250)</f>
        <v>0.29025062527272005</v>
      </c>
      <c r="CC26" s="1706">
        <f t="shared" ca="1" si="4"/>
        <v>0.24934810685462849</v>
      </c>
      <c r="CD26" s="1706">
        <f t="shared" ca="1" si="1"/>
        <v>2.1309417826896038</v>
      </c>
      <c r="CF26" s="1689">
        <f ca="1">Costs!CF26/('Global assumptions'!$C$7*NAIRA2010_*250)</f>
        <v>-7.8519102708846827E-4</v>
      </c>
      <c r="CG26" s="1689">
        <f ca="1">Costs!CG26/('Global assumptions'!$C$7*NAIRA2010_*250)</f>
        <v>0</v>
      </c>
      <c r="CH26" s="1689">
        <f ca="1">Costs!CH26/('Global assumptions'!$C$7*NAIRA2010_*250)</f>
        <v>0</v>
      </c>
      <c r="CI26" s="1689">
        <f ca="1">Costs!CI26/('Global assumptions'!$C$7*NAIRA2010_*250)</f>
        <v>0</v>
      </c>
      <c r="CJ26" s="1689">
        <f ca="1">Costs!CJ26/('Global assumptions'!$C$7*NAIRA2010_*250)</f>
        <v>0</v>
      </c>
      <c r="CK26" s="1689">
        <f ca="1">Costs!CK26/('Global assumptions'!$C$7*NAIRA2010_*250)</f>
        <v>0</v>
      </c>
      <c r="CL26" s="1689">
        <f ca="1">Costs!CL26/('Global assumptions'!$C$7*NAIRA2010_*250)</f>
        <v>0</v>
      </c>
      <c r="CM26" s="1689">
        <f ca="1">Costs!CM26/('Global assumptions'!$C$7*NAIRA2010_*250)</f>
        <v>0</v>
      </c>
      <c r="CN26" s="1689">
        <f ca="1">Costs!CN26/('Global assumptions'!$C$7*NAIRA2010_*250)</f>
        <v>0</v>
      </c>
      <c r="CP26" s="1706">
        <f t="shared" ca="1" si="5"/>
        <v>-8.7243447454274253E-5</v>
      </c>
      <c r="CQ26" s="1706">
        <f t="shared" ca="1" si="2"/>
        <v>-7.8519102708846827E-4</v>
      </c>
      <c r="CR26" s="1426" t="str">
        <f t="shared" ca="1" si="6"/>
        <v>ok</v>
      </c>
    </row>
    <row r="27" spans="1:96" x14ac:dyDescent="0.2">
      <c r="A27" s="1685" t="s">
        <v>2592</v>
      </c>
      <c r="B27" s="1685" t="s">
        <v>2591</v>
      </c>
      <c r="C27" s="1685" t="s">
        <v>125</v>
      </c>
      <c r="E27" s="1691">
        <f ca="1">Costs!E27/('Global assumptions'!$C$7*NAIRA2010_*250)</f>
        <v>0</v>
      </c>
      <c r="F27" s="1691">
        <f ca="1">Costs!F27/('Global assumptions'!$C$7*NAIRA2010_*250)</f>
        <v>907.8904208602728</v>
      </c>
      <c r="G27" s="1691">
        <f ca="1">Costs!G27/('Global assumptions'!$C$7*NAIRA2010_*250)</f>
        <v>350.8765027954841</v>
      </c>
      <c r="H27" s="1691">
        <f ca="1">Costs!H27/('Global assumptions'!$C$7*NAIRA2010_*250)</f>
        <v>371.63875917354727</v>
      </c>
      <c r="I27" s="1691">
        <f ca="1">Costs!I27/('Global assumptions'!$C$7*NAIRA2010_*250)</f>
        <v>395.95344978860771</v>
      </c>
      <c r="J27" s="1691">
        <f ca="1">Costs!J27/('Global assumptions'!$C$7*NAIRA2010_*250)</f>
        <v>425.02734784085095</v>
      </c>
      <c r="K27" s="1691">
        <f ca="1">Costs!K27/('Global assumptions'!$C$7*NAIRA2010_*250)</f>
        <v>430.76532473938119</v>
      </c>
      <c r="L27" s="1691">
        <f ca="1">Costs!L27/('Global assumptions'!$C$7*NAIRA2010_*250)</f>
        <v>459.42185603078468</v>
      </c>
      <c r="M27" s="1691">
        <f ca="1">Costs!M27/('Global assumptions'!$C$7*NAIRA2010_*250)</f>
        <v>494.29450056032562</v>
      </c>
      <c r="N27" s="675"/>
      <c r="O27" s="1691">
        <f ca="1">Costs!O27/('Global assumptions'!$C$7*NAIRA2010_*250)</f>
        <v>1683.6863475209821</v>
      </c>
      <c r="P27" s="1691">
        <f ca="1">Costs!P27/('Global assumptions'!$C$7*NAIRA2010_*250)</f>
        <v>14689.171857582496</v>
      </c>
      <c r="Q27" s="1691">
        <f ca="1">Costs!Q27/('Global assumptions'!$C$7*NAIRA2010_*250)</f>
        <v>14646.861324626378</v>
      </c>
      <c r="R27" s="1691">
        <f ca="1">Costs!R27/('Global assumptions'!$C$7*NAIRA2010_*250)</f>
        <v>14921.377321395696</v>
      </c>
      <c r="S27" s="1691">
        <f ca="1">Costs!S27/('Global assumptions'!$C$7*NAIRA2010_*250)</f>
        <v>15460.287192638491</v>
      </c>
      <c r="T27" s="1691">
        <f ca="1">Costs!T27/('Global assumptions'!$C$7*NAIRA2010_*250)</f>
        <v>16246.946370607644</v>
      </c>
      <c r="U27" s="1691">
        <f ca="1">Costs!U27/('Global assumptions'!$C$7*NAIRA2010_*250)</f>
        <v>16870.004174022855</v>
      </c>
      <c r="V27" s="1691">
        <f ca="1">Costs!V27/('Global assumptions'!$C$7*NAIRA2010_*250)</f>
        <v>17717.875953189839</v>
      </c>
      <c r="W27" s="1691">
        <f ca="1">Costs!W27/('Global assumptions'!$C$7*NAIRA2010_*250)</f>
        <v>18809.59041279415</v>
      </c>
      <c r="X27" s="675"/>
      <c r="Y27" s="1691">
        <f ca="1">Costs!Y27/('Global assumptions'!$C$7*NAIRA2010_*250)</f>
        <v>0</v>
      </c>
      <c r="Z27" s="1691">
        <f ca="1">Costs!Z27/('Global assumptions'!$C$7*NAIRA2010_*250)</f>
        <v>0</v>
      </c>
      <c r="AA27" s="1691">
        <f ca="1">Costs!AA27/('Global assumptions'!$C$7*NAIRA2010_*250)</f>
        <v>0</v>
      </c>
      <c r="AB27" s="1691">
        <f ca="1">Costs!AB27/('Global assumptions'!$C$7*NAIRA2010_*250)</f>
        <v>0</v>
      </c>
      <c r="AC27" s="1691">
        <f ca="1">Costs!AC27/('Global assumptions'!$C$7*NAIRA2010_*250)</f>
        <v>0</v>
      </c>
      <c r="AD27" s="1691">
        <f ca="1">Costs!AD27/('Global assumptions'!$C$7*NAIRA2010_*250)</f>
        <v>0</v>
      </c>
      <c r="AE27" s="1691">
        <f ca="1">Costs!AE27/('Global assumptions'!$C$7*NAIRA2010_*250)</f>
        <v>0</v>
      </c>
      <c r="AF27" s="1691">
        <f ca="1">Costs!AF27/('Global assumptions'!$C$7*NAIRA2010_*250)</f>
        <v>0</v>
      </c>
      <c r="AG27" s="1691">
        <f ca="1">Costs!AG27/('Global assumptions'!$C$7*NAIRA2010_*250)</f>
        <v>0</v>
      </c>
      <c r="AH27" s="675"/>
      <c r="AI27" s="1691">
        <f ca="1">Costs!AI27/('Global assumptions'!$C$7*NAIRA2010_*250)</f>
        <v>1683.6863475209821</v>
      </c>
      <c r="AJ27" s="1691">
        <f ca="1">Costs!AJ27/('Global assumptions'!$C$7*NAIRA2010_*250)</f>
        <v>15597.062278442767</v>
      </c>
      <c r="AK27" s="1691">
        <f ca="1">Costs!AK27/('Global assumptions'!$C$7*NAIRA2010_*250)</f>
        <v>14997.737827421863</v>
      </c>
      <c r="AL27" s="1691">
        <f ca="1">Costs!AL27/('Global assumptions'!$C$7*NAIRA2010_*250)</f>
        <v>15293.016080569241</v>
      </c>
      <c r="AM27" s="1691">
        <f ca="1">Costs!AM27/('Global assumptions'!$C$7*NAIRA2010_*250)</f>
        <v>15856.240642427099</v>
      </c>
      <c r="AN27" s="1691">
        <f ca="1">Costs!AN27/('Global assumptions'!$C$7*NAIRA2010_*250)</f>
        <v>16671.973718448495</v>
      </c>
      <c r="AO27" s="1691">
        <f ca="1">Costs!AO27/('Global assumptions'!$C$7*NAIRA2010_*250)</f>
        <v>17300.769498762234</v>
      </c>
      <c r="AP27" s="1691">
        <f ca="1">Costs!AP27/('Global assumptions'!$C$7*NAIRA2010_*250)</f>
        <v>18177.297809220625</v>
      </c>
      <c r="AQ27" s="1691">
        <f ca="1">Costs!AQ27/('Global assumptions'!$C$7*NAIRA2010_*250)</f>
        <v>19303.884913354475</v>
      </c>
      <c r="AS27" s="1707">
        <f t="shared" ca="1" si="3"/>
        <v>14986.852124018644</v>
      </c>
      <c r="AT27" s="1707">
        <f t="shared" ca="1" si="0"/>
        <v>130367.61915998433</v>
      </c>
      <c r="AU27" s="675"/>
      <c r="AV27" s="1700">
        <f>IFERROR(VLOOKUP($A27,Cost.FinanceCostTable,3,FALSE),'Global assumptions'!$D$35)</f>
        <v>0</v>
      </c>
      <c r="AW27" s="1692">
        <f>IFERROR(VLOOKUP($A27,Cost.FinanceCostTable,4,FALSE),'Global assumptions'!$E$35)</f>
        <v>5</v>
      </c>
      <c r="AX27" s="675"/>
      <c r="AY27" s="1691">
        <f ca="1">Costs!AY27/('Global assumptions'!$C$7*NAIRA2010_*250)</f>
        <v>0</v>
      </c>
      <c r="AZ27" s="1691">
        <f ca="1">Costs!AZ27/('Global assumptions'!$C$7*NAIRA2010_*250)</f>
        <v>907.8904208602728</v>
      </c>
      <c r="BA27" s="1691">
        <f ca="1">Costs!BA27/('Global assumptions'!$C$7*NAIRA2010_*250)</f>
        <v>350.8765027954841</v>
      </c>
      <c r="BB27" s="1691">
        <f ca="1">Costs!BB27/('Global assumptions'!$C$7*NAIRA2010_*250)</f>
        <v>371.63875917354727</v>
      </c>
      <c r="BC27" s="1691">
        <f ca="1">Costs!BC27/('Global assumptions'!$C$7*NAIRA2010_*250)</f>
        <v>395.95344978860771</v>
      </c>
      <c r="BD27" s="1691">
        <f ca="1">Costs!BD27/('Global assumptions'!$C$7*NAIRA2010_*250)</f>
        <v>425.02734784085095</v>
      </c>
      <c r="BE27" s="1691">
        <f ca="1">Costs!BE27/('Global assumptions'!$C$7*NAIRA2010_*250)</f>
        <v>430.76532473938113</v>
      </c>
      <c r="BF27" s="1691">
        <f ca="1">Costs!BF27/('Global assumptions'!$C$7*NAIRA2010_*250)</f>
        <v>459.42185603078468</v>
      </c>
      <c r="BG27" s="1691">
        <f ca="1">Costs!BG27/('Global assumptions'!$C$7*NAIRA2010_*250)</f>
        <v>494.29450056032562</v>
      </c>
      <c r="BH27" s="675"/>
      <c r="BI27" s="1691">
        <f ca="1">Costs!BI27/('Global assumptions'!$C$7*NAIRA2010_*250)</f>
        <v>0</v>
      </c>
      <c r="BJ27" s="1691">
        <f ca="1">Costs!BJ27/('Global assumptions'!$C$7*NAIRA2010_*250)</f>
        <v>907.8904208602728</v>
      </c>
      <c r="BK27" s="1691">
        <f ca="1">Costs!BK27/('Global assumptions'!$C$7*NAIRA2010_*250)</f>
        <v>350.8765027954841</v>
      </c>
      <c r="BL27" s="1691">
        <f ca="1">Costs!BL27/('Global assumptions'!$C$7*NAIRA2010_*250)</f>
        <v>371.63875917354727</v>
      </c>
      <c r="BM27" s="1691">
        <f ca="1">Costs!BM27/('Global assumptions'!$C$7*NAIRA2010_*250)</f>
        <v>395.95344978860771</v>
      </c>
      <c r="BN27" s="1691">
        <f ca="1">Costs!BN27/('Global assumptions'!$C$7*NAIRA2010_*250)</f>
        <v>425.02734784085095</v>
      </c>
      <c r="BO27" s="1691">
        <f ca="1">Costs!BO27/('Global assumptions'!$C$7*NAIRA2010_*250)</f>
        <v>430.76532473938113</v>
      </c>
      <c r="BP27" s="1691">
        <f ca="1">Costs!BP27/('Global assumptions'!$C$7*NAIRA2010_*250)</f>
        <v>459.42185603078468</v>
      </c>
      <c r="BQ27" s="1691">
        <f ca="1">Costs!BQ27/('Global assumptions'!$C$7*NAIRA2010_*250)</f>
        <v>494.29450056032562</v>
      </c>
      <c r="BR27" s="675"/>
      <c r="BS27" s="1691">
        <f ca="1">Costs!BS27/('Global assumptions'!$C$7*NAIRA2010_*250)</f>
        <v>1683.6863475209821</v>
      </c>
      <c r="BT27" s="1691">
        <f ca="1">Costs!BT27/('Global assumptions'!$C$7*NAIRA2010_*250)</f>
        <v>15597.062278442767</v>
      </c>
      <c r="BU27" s="1691">
        <f ca="1">Costs!BU27/('Global assumptions'!$C$7*NAIRA2010_*250)</f>
        <v>14997.737827421863</v>
      </c>
      <c r="BV27" s="1691">
        <f ca="1">Costs!BV27/('Global assumptions'!$C$7*NAIRA2010_*250)</f>
        <v>15293.016080569241</v>
      </c>
      <c r="BW27" s="1691">
        <f ca="1">Costs!BW27/('Global assumptions'!$C$7*NAIRA2010_*250)</f>
        <v>15856.240642427099</v>
      </c>
      <c r="BX27" s="1691">
        <f ca="1">Costs!BX27/('Global assumptions'!$C$7*NAIRA2010_*250)</f>
        <v>16671.973718448495</v>
      </c>
      <c r="BY27" s="1691">
        <f ca="1">Costs!BY27/('Global assumptions'!$C$7*NAIRA2010_*250)</f>
        <v>17300.769498762234</v>
      </c>
      <c r="BZ27" s="1691">
        <f ca="1">Costs!BZ27/('Global assumptions'!$C$7*NAIRA2010_*250)</f>
        <v>18177.297809220625</v>
      </c>
      <c r="CA27" s="1691">
        <f ca="1">Costs!CA27/('Global assumptions'!$C$7*NAIRA2010_*250)</f>
        <v>19303.884913354475</v>
      </c>
      <c r="CC27" s="1707">
        <f t="shared" ca="1" si="4"/>
        <v>14986.852124018644</v>
      </c>
      <c r="CD27" s="1707">
        <f t="shared" ca="1" si="1"/>
        <v>130367.61915998433</v>
      </c>
      <c r="CF27" s="1691">
        <f ca="1">Costs!CF27/('Global assumptions'!$C$7*NAIRA2010_*250)</f>
        <v>0</v>
      </c>
      <c r="CG27" s="1691">
        <f ca="1">Costs!CG27/('Global assumptions'!$C$7*NAIRA2010_*250)</f>
        <v>0</v>
      </c>
      <c r="CH27" s="1691">
        <f ca="1">Costs!CH27/('Global assumptions'!$C$7*NAIRA2010_*250)</f>
        <v>0</v>
      </c>
      <c r="CI27" s="1691">
        <f ca="1">Costs!CI27/('Global assumptions'!$C$7*NAIRA2010_*250)</f>
        <v>0</v>
      </c>
      <c r="CJ27" s="1691">
        <f ca="1">Costs!CJ27/('Global assumptions'!$C$7*NAIRA2010_*250)</f>
        <v>0</v>
      </c>
      <c r="CK27" s="1691">
        <f ca="1">Costs!CK27/('Global assumptions'!$C$7*NAIRA2010_*250)</f>
        <v>0</v>
      </c>
      <c r="CL27" s="1691">
        <f ca="1">Costs!CL27/('Global assumptions'!$C$7*NAIRA2010_*250)</f>
        <v>0</v>
      </c>
      <c r="CM27" s="1691">
        <f ca="1">Costs!CM27/('Global assumptions'!$C$7*NAIRA2010_*250)</f>
        <v>0</v>
      </c>
      <c r="CN27" s="1691">
        <f ca="1">Costs!CN27/('Global assumptions'!$C$7*NAIRA2010_*250)</f>
        <v>0</v>
      </c>
      <c r="CP27" s="1707">
        <f t="shared" ca="1" si="5"/>
        <v>0</v>
      </c>
      <c r="CQ27" s="1707">
        <f t="shared" ca="1" si="2"/>
        <v>0</v>
      </c>
      <c r="CR27" s="1426" t="str">
        <f t="shared" ca="1" si="6"/>
        <v>ok</v>
      </c>
    </row>
    <row r="28" spans="1:96" x14ac:dyDescent="0.2">
      <c r="A28" s="1683" t="s">
        <v>1721</v>
      </c>
      <c r="B28" s="1683" t="s">
        <v>1727</v>
      </c>
      <c r="C28" s="1683" t="s">
        <v>125</v>
      </c>
      <c r="E28" s="1689">
        <f ca="1">Costs!E28/('Global assumptions'!$C$7*NAIRA2010_*250)</f>
        <v>0</v>
      </c>
      <c r="F28" s="1689">
        <f ca="1">Costs!F28/('Global assumptions'!$C$7*NAIRA2010_*250)</f>
        <v>158.04367364061503</v>
      </c>
      <c r="G28" s="1689">
        <f ca="1">Costs!G28/('Global assumptions'!$C$7*NAIRA2010_*250)</f>
        <v>228.33970031175582</v>
      </c>
      <c r="H28" s="1689">
        <f ca="1">Costs!H28/('Global assumptions'!$C$7*NAIRA2010_*250)</f>
        <v>314.47012866134821</v>
      </c>
      <c r="I28" s="1689">
        <f ca="1">Costs!I28/('Global assumptions'!$C$7*NAIRA2010_*250)</f>
        <v>418.81777737162008</v>
      </c>
      <c r="J28" s="1689">
        <f ca="1">Costs!J28/('Global assumptions'!$C$7*NAIRA2010_*250)</f>
        <v>544.685083863194</v>
      </c>
      <c r="K28" s="1689">
        <f ca="1">Costs!K28/('Global assumptions'!$C$7*NAIRA2010_*250)</f>
        <v>662.57335121500512</v>
      </c>
      <c r="L28" s="1689">
        <f ca="1">Costs!L28/('Global assumptions'!$C$7*NAIRA2010_*250)</f>
        <v>814.54788827554603</v>
      </c>
      <c r="M28" s="1689">
        <f ca="1">Costs!M28/('Global assumptions'!$C$7*NAIRA2010_*250)</f>
        <v>991.41777279213647</v>
      </c>
      <c r="N28" s="675"/>
      <c r="O28" s="1689">
        <f ca="1">Costs!O28/('Global assumptions'!$C$7*NAIRA2010_*250)</f>
        <v>0</v>
      </c>
      <c r="P28" s="1689">
        <f ca="1">Costs!P28/('Global assumptions'!$C$7*NAIRA2010_*250)</f>
        <v>1147.7037969699338</v>
      </c>
      <c r="Q28" s="1689">
        <f ca="1">Costs!Q28/('Global assumptions'!$C$7*NAIRA2010_*250)</f>
        <v>2412.5867160741254</v>
      </c>
      <c r="R28" s="1689">
        <f ca="1">Costs!R28/('Global assumptions'!$C$7*NAIRA2010_*250)</f>
        <v>3874.03355030077</v>
      </c>
      <c r="S28" s="1689">
        <f ca="1">Costs!S28/('Global assumptions'!$C$7*NAIRA2010_*250)</f>
        <v>5603.3934048563106</v>
      </c>
      <c r="T28" s="1689">
        <f ca="1">Costs!T28/('Global assumptions'!$C$7*NAIRA2010_*250)</f>
        <v>7673.9255048233781</v>
      </c>
      <c r="U28" s="1689">
        <f ca="1">Costs!U28/('Global assumptions'!$C$7*NAIRA2010_*250)</f>
        <v>9920.7224022024238</v>
      </c>
      <c r="V28" s="1689">
        <f ca="1">Costs!V28/('Global assumptions'!$C$7*NAIRA2010_*250)</f>
        <v>12543.706920509445</v>
      </c>
      <c r="W28" s="1689">
        <f ca="1">Costs!W28/('Global assumptions'!$C$7*NAIRA2010_*250)</f>
        <v>15610.578206659447</v>
      </c>
      <c r="X28" s="675"/>
      <c r="Y28" s="1689">
        <f ca="1">Costs!Y28/('Global assumptions'!$C$7*NAIRA2010_*250)</f>
        <v>0</v>
      </c>
      <c r="Z28" s="1689">
        <f ca="1">Costs!Z28/('Global assumptions'!$C$7*NAIRA2010_*250)</f>
        <v>0</v>
      </c>
      <c r="AA28" s="1689">
        <f ca="1">Costs!AA28/('Global assumptions'!$C$7*NAIRA2010_*250)</f>
        <v>0</v>
      </c>
      <c r="AB28" s="1689">
        <f ca="1">Costs!AB28/('Global assumptions'!$C$7*NAIRA2010_*250)</f>
        <v>0</v>
      </c>
      <c r="AC28" s="1689">
        <f ca="1">Costs!AC28/('Global assumptions'!$C$7*NAIRA2010_*250)</f>
        <v>0</v>
      </c>
      <c r="AD28" s="1689">
        <f ca="1">Costs!AD28/('Global assumptions'!$C$7*NAIRA2010_*250)</f>
        <v>0</v>
      </c>
      <c r="AE28" s="1689">
        <f ca="1">Costs!AE28/('Global assumptions'!$C$7*NAIRA2010_*250)</f>
        <v>0</v>
      </c>
      <c r="AF28" s="1689">
        <f ca="1">Costs!AF28/('Global assumptions'!$C$7*NAIRA2010_*250)</f>
        <v>0</v>
      </c>
      <c r="AG28" s="1689">
        <f ca="1">Costs!AG28/('Global assumptions'!$C$7*NAIRA2010_*250)</f>
        <v>0</v>
      </c>
      <c r="AH28" s="675"/>
      <c r="AI28" s="1689">
        <f ca="1">Costs!AI28/('Global assumptions'!$C$7*NAIRA2010_*250)</f>
        <v>0</v>
      </c>
      <c r="AJ28" s="1689">
        <f ca="1">Costs!AJ28/('Global assumptions'!$C$7*NAIRA2010_*250)</f>
        <v>1305.7474706105486</v>
      </c>
      <c r="AK28" s="1689">
        <f ca="1">Costs!AK28/('Global assumptions'!$C$7*NAIRA2010_*250)</f>
        <v>2640.9264163858816</v>
      </c>
      <c r="AL28" s="1689">
        <f ca="1">Costs!AL28/('Global assumptions'!$C$7*NAIRA2010_*250)</f>
        <v>4188.5036789621181</v>
      </c>
      <c r="AM28" s="1689">
        <f ca="1">Costs!AM28/('Global assumptions'!$C$7*NAIRA2010_*250)</f>
        <v>6022.2111822279303</v>
      </c>
      <c r="AN28" s="1689">
        <f ca="1">Costs!AN28/('Global assumptions'!$C$7*NAIRA2010_*250)</f>
        <v>8218.6105886865716</v>
      </c>
      <c r="AO28" s="1689">
        <f ca="1">Costs!AO28/('Global assumptions'!$C$7*NAIRA2010_*250)</f>
        <v>10583.295753417427</v>
      </c>
      <c r="AP28" s="1689">
        <f ca="1">Costs!AP28/('Global assumptions'!$C$7*NAIRA2010_*250)</f>
        <v>13358.25480878499</v>
      </c>
      <c r="AQ28" s="1689">
        <f ca="1">Costs!AQ28/('Global assumptions'!$C$7*NAIRA2010_*250)</f>
        <v>16601.995979451582</v>
      </c>
      <c r="AS28" s="1706">
        <f t="shared" ca="1" si="3"/>
        <v>6991.0606531696722</v>
      </c>
      <c r="AT28" s="1706">
        <f t="shared" ca="1" si="0"/>
        <v>32300.977152815849</v>
      </c>
      <c r="AU28" s="675"/>
      <c r="AV28" s="1699">
        <f>IFERROR(VLOOKUP($A28,Cost.FinanceCostTable,3,FALSE),'Global assumptions'!$D$35)</f>
        <v>0</v>
      </c>
      <c r="AW28" s="1690">
        <f>IFERROR(VLOOKUP($A28,Cost.FinanceCostTable,4,FALSE),'Global assumptions'!$E$35)</f>
        <v>15</v>
      </c>
      <c r="AX28" s="675"/>
      <c r="AY28" s="1689">
        <f ca="1">Costs!AY28/('Global assumptions'!$C$7*NAIRA2010_*250)</f>
        <v>0</v>
      </c>
      <c r="AZ28" s="1689">
        <f ca="1">Costs!AZ28/('Global assumptions'!$C$7*NAIRA2010_*250)</f>
        <v>52.681224546871675</v>
      </c>
      <c r="BA28" s="1689">
        <f ca="1">Costs!BA28/('Global assumptions'!$C$7*NAIRA2010_*250)</f>
        <v>76.113233437251949</v>
      </c>
      <c r="BB28" s="1689">
        <f ca="1">Costs!BB28/('Global assumptions'!$C$7*NAIRA2010_*250)</f>
        <v>104.82337622044942</v>
      </c>
      <c r="BC28" s="1689">
        <f ca="1">Costs!BC28/('Global assumptions'!$C$7*NAIRA2010_*250)</f>
        <v>139.60592579054</v>
      </c>
      <c r="BD28" s="1689">
        <f ca="1">Costs!BD28/('Global assumptions'!$C$7*NAIRA2010_*250)</f>
        <v>181.56169462106467</v>
      </c>
      <c r="BE28" s="1689">
        <f ca="1">Costs!BE28/('Global assumptions'!$C$7*NAIRA2010_*250)</f>
        <v>220.85778373833503</v>
      </c>
      <c r="BF28" s="1689">
        <f ca="1">Costs!BF28/('Global assumptions'!$C$7*NAIRA2010_*250)</f>
        <v>271.51596275851534</v>
      </c>
      <c r="BG28" s="1689">
        <f ca="1">Costs!BG28/('Global assumptions'!$C$7*NAIRA2010_*250)</f>
        <v>330.47259093071216</v>
      </c>
      <c r="BH28" s="675"/>
      <c r="BI28" s="1689">
        <f ca="1">Costs!BI28/('Global assumptions'!$C$7*NAIRA2010_*250)</f>
        <v>0</v>
      </c>
      <c r="BJ28" s="1689">
        <f ca="1">Costs!BJ28/('Global assumptions'!$C$7*NAIRA2010_*250)</f>
        <v>52.681224546871675</v>
      </c>
      <c r="BK28" s="1689">
        <f ca="1">Costs!BK28/('Global assumptions'!$C$7*NAIRA2010_*250)</f>
        <v>128.79445798412362</v>
      </c>
      <c r="BL28" s="1689">
        <f ca="1">Costs!BL28/('Global assumptions'!$C$7*NAIRA2010_*250)</f>
        <v>233.61783420457306</v>
      </c>
      <c r="BM28" s="1689">
        <f ca="1">Costs!BM28/('Global assumptions'!$C$7*NAIRA2010_*250)</f>
        <v>320.54253544824138</v>
      </c>
      <c r="BN28" s="1689">
        <f ca="1">Costs!BN28/('Global assumptions'!$C$7*NAIRA2010_*250)</f>
        <v>425.99099663205408</v>
      </c>
      <c r="BO28" s="1689">
        <f ca="1">Costs!BO28/('Global assumptions'!$C$7*NAIRA2010_*250)</f>
        <v>542.02540414993973</v>
      </c>
      <c r="BP28" s="1689">
        <f ca="1">Costs!BP28/('Global assumptions'!$C$7*NAIRA2010_*250)</f>
        <v>673.93544111791505</v>
      </c>
      <c r="BQ28" s="1689">
        <f ca="1">Costs!BQ28/('Global assumptions'!$C$7*NAIRA2010_*250)</f>
        <v>822.84633742756262</v>
      </c>
      <c r="BR28" s="675"/>
      <c r="BS28" s="1689">
        <f ca="1">Costs!BS28/('Global assumptions'!$C$7*NAIRA2010_*250)</f>
        <v>0</v>
      </c>
      <c r="BT28" s="1689">
        <f ca="1">Costs!BT28/('Global assumptions'!$C$7*NAIRA2010_*250)</f>
        <v>1200.3850215168054</v>
      </c>
      <c r="BU28" s="1689">
        <f ca="1">Costs!BU28/('Global assumptions'!$C$7*NAIRA2010_*250)</f>
        <v>2541.3811740582491</v>
      </c>
      <c r="BV28" s="1689">
        <f ca="1">Costs!BV28/('Global assumptions'!$C$7*NAIRA2010_*250)</f>
        <v>4107.6513845053432</v>
      </c>
      <c r="BW28" s="1689">
        <f ca="1">Costs!BW28/('Global assumptions'!$C$7*NAIRA2010_*250)</f>
        <v>5923.9359403045528</v>
      </c>
      <c r="BX28" s="1689">
        <f ca="1">Costs!BX28/('Global assumptions'!$C$7*NAIRA2010_*250)</f>
        <v>8099.9165014554319</v>
      </c>
      <c r="BY28" s="1689">
        <f ca="1">Costs!BY28/('Global assumptions'!$C$7*NAIRA2010_*250)</f>
        <v>10462.747806352361</v>
      </c>
      <c r="BZ28" s="1689">
        <f ca="1">Costs!BZ28/('Global assumptions'!$C$7*NAIRA2010_*250)</f>
        <v>13217.642361627361</v>
      </c>
      <c r="CA28" s="1689">
        <f ca="1">Costs!CA28/('Global assumptions'!$C$7*NAIRA2010_*250)</f>
        <v>16433.424544087011</v>
      </c>
      <c r="CC28" s="1706">
        <f t="shared" ca="1" si="4"/>
        <v>6887.4538593230136</v>
      </c>
      <c r="CD28" s="1706">
        <f t="shared" ca="1" si="1"/>
        <v>31452.14148494531</v>
      </c>
      <c r="CF28" s="1689">
        <f ca="1">Costs!CF28/('Global assumptions'!$C$7*NAIRA2010_*250)</f>
        <v>0</v>
      </c>
      <c r="CG28" s="1689">
        <f ca="1">Costs!CG28/('Global assumptions'!$C$7*NAIRA2010_*250)</f>
        <v>-105.36244909374335</v>
      </c>
      <c r="CH28" s="1689">
        <f ca="1">Costs!CH28/('Global assumptions'!$C$7*NAIRA2010_*250)</f>
        <v>-99.545242327632209</v>
      </c>
      <c r="CI28" s="1689">
        <f ca="1">Costs!CI28/('Global assumptions'!$C$7*NAIRA2010_*250)</f>
        <v>-80.852294456775169</v>
      </c>
      <c r="CJ28" s="1689">
        <f ca="1">Costs!CJ28/('Global assumptions'!$C$7*NAIRA2010_*250)</f>
        <v>-98.275241923378687</v>
      </c>
      <c r="CK28" s="1689">
        <f ca="1">Costs!CK28/('Global assumptions'!$C$7*NAIRA2010_*250)</f>
        <v>-118.69408723113996</v>
      </c>
      <c r="CL28" s="1689">
        <f ca="1">Costs!CL28/('Global assumptions'!$C$7*NAIRA2010_*250)</f>
        <v>-120.54794706506533</v>
      </c>
      <c r="CM28" s="1689">
        <f ca="1">Costs!CM28/('Global assumptions'!$C$7*NAIRA2010_*250)</f>
        <v>-140.61244715763095</v>
      </c>
      <c r="CN28" s="1689">
        <f ca="1">Costs!CN28/('Global assumptions'!$C$7*NAIRA2010_*250)</f>
        <v>-168.57143536457394</v>
      </c>
      <c r="CP28" s="1706">
        <f t="shared" ca="1" si="5"/>
        <v>-103.60679384665997</v>
      </c>
      <c r="CQ28" s="1706">
        <f t="shared" ca="1" si="2"/>
        <v>-848.83566787053701</v>
      </c>
      <c r="CR28" s="1426" t="str">
        <f t="shared" ca="1" si="6"/>
        <v>ok</v>
      </c>
    </row>
    <row r="29" spans="1:96" x14ac:dyDescent="0.2">
      <c r="A29" s="1685" t="s">
        <v>1722</v>
      </c>
      <c r="B29" s="1685" t="s">
        <v>1728</v>
      </c>
      <c r="C29" s="1685" t="s">
        <v>125</v>
      </c>
      <c r="E29" s="1691">
        <f ca="1">Costs!E29/('Global assumptions'!$C$7*NAIRA2010_*250)</f>
        <v>0</v>
      </c>
      <c r="F29" s="1691">
        <f ca="1">Costs!F29/('Global assumptions'!$C$7*NAIRA2010_*250)</f>
        <v>37.053761216097193</v>
      </c>
      <c r="G29" s="1691">
        <f ca="1">Costs!G29/('Global assumptions'!$C$7*NAIRA2010_*250)</f>
        <v>53.836862105624817</v>
      </c>
      <c r="H29" s="1691">
        <f ca="1">Costs!H29/('Global assumptions'!$C$7*NAIRA2010_*250)</f>
        <v>74.200720987720103</v>
      </c>
      <c r="I29" s="1691">
        <f ca="1">Costs!I29/('Global assumptions'!$C$7*NAIRA2010_*250)</f>
        <v>98.663747823864924</v>
      </c>
      <c r="J29" s="1691">
        <f ca="1">Costs!J29/('Global assumptions'!$C$7*NAIRA2010_*250)</f>
        <v>127.93920136422705</v>
      </c>
      <c r="K29" s="1691">
        <f ca="1">Costs!K29/('Global assumptions'!$C$7*NAIRA2010_*250)</f>
        <v>155.09394365918629</v>
      </c>
      <c r="L29" s="1691">
        <f ca="1">Costs!L29/('Global assumptions'!$C$7*NAIRA2010_*250)</f>
        <v>189.84993628487965</v>
      </c>
      <c r="M29" s="1691">
        <f ca="1">Costs!M29/('Global assumptions'!$C$7*NAIRA2010_*250)</f>
        <v>230.00261914077194</v>
      </c>
      <c r="N29" s="675"/>
      <c r="O29" s="1691">
        <f ca="1">Costs!O29/('Global assumptions'!$C$7*NAIRA2010_*250)</f>
        <v>0</v>
      </c>
      <c r="P29" s="1691">
        <f ca="1">Costs!P29/('Global assumptions'!$C$7*NAIRA2010_*250)</f>
        <v>245.2250271146161</v>
      </c>
      <c r="Q29" s="1691">
        <f ca="1">Costs!Q29/('Global assumptions'!$C$7*NAIRA2010_*250)</f>
        <v>515.42672596857267</v>
      </c>
      <c r="R29" s="1691">
        <f ca="1">Costs!R29/('Global assumptions'!$C$7*NAIRA2010_*250)</f>
        <v>827.74592534390013</v>
      </c>
      <c r="S29" s="1691">
        <f ca="1">Costs!S29/('Global assumptions'!$C$7*NAIRA2010_*250)</f>
        <v>1197.5883074048245</v>
      </c>
      <c r="T29" s="1691">
        <f ca="1">Costs!T29/('Global assumptions'!$C$7*NAIRA2010_*250)</f>
        <v>1640.7758255969695</v>
      </c>
      <c r="U29" s="1691">
        <f ca="1">Costs!U29/('Global assumptions'!$C$7*NAIRA2010_*250)</f>
        <v>2122.2042564295889</v>
      </c>
      <c r="V29" s="1691">
        <f ca="1">Costs!V29/('Global assumptions'!$C$7*NAIRA2010_*250)</f>
        <v>2684.7710799592546</v>
      </c>
      <c r="W29" s="1691">
        <f ca="1">Costs!W29/('Global assumptions'!$C$7*NAIRA2010_*250)</f>
        <v>3343.1373936023188</v>
      </c>
      <c r="X29" s="675"/>
      <c r="Y29" s="1691">
        <f ca="1">Costs!Y29/('Global assumptions'!$C$7*NAIRA2010_*250)</f>
        <v>0</v>
      </c>
      <c r="Z29" s="1691">
        <f ca="1">Costs!Z29/('Global assumptions'!$C$7*NAIRA2010_*250)</f>
        <v>0</v>
      </c>
      <c r="AA29" s="1691">
        <f ca="1">Costs!AA29/('Global assumptions'!$C$7*NAIRA2010_*250)</f>
        <v>0</v>
      </c>
      <c r="AB29" s="1691">
        <f ca="1">Costs!AB29/('Global assumptions'!$C$7*NAIRA2010_*250)</f>
        <v>0</v>
      </c>
      <c r="AC29" s="1691">
        <f ca="1">Costs!AC29/('Global assumptions'!$C$7*NAIRA2010_*250)</f>
        <v>0</v>
      </c>
      <c r="AD29" s="1691">
        <f ca="1">Costs!AD29/('Global assumptions'!$C$7*NAIRA2010_*250)</f>
        <v>0</v>
      </c>
      <c r="AE29" s="1691">
        <f ca="1">Costs!AE29/('Global assumptions'!$C$7*NAIRA2010_*250)</f>
        <v>0</v>
      </c>
      <c r="AF29" s="1691">
        <f ca="1">Costs!AF29/('Global assumptions'!$C$7*NAIRA2010_*250)</f>
        <v>0</v>
      </c>
      <c r="AG29" s="1691">
        <f ca="1">Costs!AG29/('Global assumptions'!$C$7*NAIRA2010_*250)</f>
        <v>0</v>
      </c>
      <c r="AH29" s="675"/>
      <c r="AI29" s="1691">
        <f ca="1">Costs!AI29/('Global assumptions'!$C$7*NAIRA2010_*250)</f>
        <v>0</v>
      </c>
      <c r="AJ29" s="1691">
        <f ca="1">Costs!AJ29/('Global assumptions'!$C$7*NAIRA2010_*250)</f>
        <v>282.27878833071327</v>
      </c>
      <c r="AK29" s="1691">
        <f ca="1">Costs!AK29/('Global assumptions'!$C$7*NAIRA2010_*250)</f>
        <v>569.2635880741974</v>
      </c>
      <c r="AL29" s="1691">
        <f ca="1">Costs!AL29/('Global assumptions'!$C$7*NAIRA2010_*250)</f>
        <v>901.94664633162017</v>
      </c>
      <c r="AM29" s="1691">
        <f ca="1">Costs!AM29/('Global assumptions'!$C$7*NAIRA2010_*250)</f>
        <v>1296.2520552286892</v>
      </c>
      <c r="AN29" s="1691">
        <f ca="1">Costs!AN29/('Global assumptions'!$C$7*NAIRA2010_*250)</f>
        <v>1768.7150269611966</v>
      </c>
      <c r="AO29" s="1691">
        <f ca="1">Costs!AO29/('Global assumptions'!$C$7*NAIRA2010_*250)</f>
        <v>2277.298200088775</v>
      </c>
      <c r="AP29" s="1691">
        <f ca="1">Costs!AP29/('Global assumptions'!$C$7*NAIRA2010_*250)</f>
        <v>2874.6210162441344</v>
      </c>
      <c r="AQ29" s="1691">
        <f ca="1">Costs!AQ29/('Global assumptions'!$C$7*NAIRA2010_*250)</f>
        <v>3573.1400127430907</v>
      </c>
      <c r="AS29" s="1707">
        <f t="shared" ca="1" si="3"/>
        <v>1504.8350371113795</v>
      </c>
      <c r="AT29" s="1707">
        <f t="shared" ca="1" si="0"/>
        <v>6957.8841562612843</v>
      </c>
      <c r="AU29" s="675"/>
      <c r="AV29" s="1700">
        <f>IFERROR(VLOOKUP($A29,Cost.FinanceCostTable,3,FALSE),'Global assumptions'!$D$35)</f>
        <v>0</v>
      </c>
      <c r="AW29" s="1692">
        <f>IFERROR(VLOOKUP($A29,Cost.FinanceCostTable,4,FALSE),'Global assumptions'!$E$35)</f>
        <v>15</v>
      </c>
      <c r="AX29" s="675"/>
      <c r="AY29" s="1691">
        <f ca="1">Costs!AY29/('Global assumptions'!$C$7*NAIRA2010_*250)</f>
        <v>0</v>
      </c>
      <c r="AZ29" s="1691">
        <f ca="1">Costs!AZ29/('Global assumptions'!$C$7*NAIRA2010_*250)</f>
        <v>12.351253738699066</v>
      </c>
      <c r="BA29" s="1691">
        <f ca="1">Costs!BA29/('Global assumptions'!$C$7*NAIRA2010_*250)</f>
        <v>17.945620701874937</v>
      </c>
      <c r="BB29" s="1691">
        <f ca="1">Costs!BB29/('Global assumptions'!$C$7*NAIRA2010_*250)</f>
        <v>24.733573662573367</v>
      </c>
      <c r="BC29" s="1691">
        <f ca="1">Costs!BC29/('Global assumptions'!$C$7*NAIRA2010_*250)</f>
        <v>32.887915941288313</v>
      </c>
      <c r="BD29" s="1691">
        <f ca="1">Costs!BD29/('Global assumptions'!$C$7*NAIRA2010_*250)</f>
        <v>42.646400454742349</v>
      </c>
      <c r="BE29" s="1691">
        <f ca="1">Costs!BE29/('Global assumptions'!$C$7*NAIRA2010_*250)</f>
        <v>51.69798121972876</v>
      </c>
      <c r="BF29" s="1691">
        <f ca="1">Costs!BF29/('Global assumptions'!$C$7*NAIRA2010_*250)</f>
        <v>63.283312094959875</v>
      </c>
      <c r="BG29" s="1691">
        <f ca="1">Costs!BG29/('Global assumptions'!$C$7*NAIRA2010_*250)</f>
        <v>76.667539713590642</v>
      </c>
      <c r="BH29" s="675"/>
      <c r="BI29" s="1691">
        <f ca="1">Costs!BI29/('Global assumptions'!$C$7*NAIRA2010_*250)</f>
        <v>0</v>
      </c>
      <c r="BJ29" s="1691">
        <f ca="1">Costs!BJ29/('Global assumptions'!$C$7*NAIRA2010_*250)</f>
        <v>12.351253738699066</v>
      </c>
      <c r="BK29" s="1691">
        <f ca="1">Costs!BK29/('Global assumptions'!$C$7*NAIRA2010_*250)</f>
        <v>30.296874440574001</v>
      </c>
      <c r="BL29" s="1691">
        <f ca="1">Costs!BL29/('Global assumptions'!$C$7*NAIRA2010_*250)</f>
        <v>55.030448103147371</v>
      </c>
      <c r="BM29" s="1691">
        <f ca="1">Costs!BM29/('Global assumptions'!$C$7*NAIRA2010_*250)</f>
        <v>75.56711030573662</v>
      </c>
      <c r="BN29" s="1691">
        <f ca="1">Costs!BN29/('Global assumptions'!$C$7*NAIRA2010_*250)</f>
        <v>100.26789005860402</v>
      </c>
      <c r="BO29" s="1691">
        <f ca="1">Costs!BO29/('Global assumptions'!$C$7*NAIRA2010_*250)</f>
        <v>127.23229761575942</v>
      </c>
      <c r="BP29" s="1691">
        <f ca="1">Costs!BP29/('Global assumptions'!$C$7*NAIRA2010_*250)</f>
        <v>157.62769376943098</v>
      </c>
      <c r="BQ29" s="1691">
        <f ca="1">Costs!BQ29/('Global assumptions'!$C$7*NAIRA2010_*250)</f>
        <v>191.64883302827928</v>
      </c>
      <c r="BR29" s="675"/>
      <c r="BS29" s="1691">
        <f ca="1">Costs!BS29/('Global assumptions'!$C$7*NAIRA2010_*250)</f>
        <v>0</v>
      </c>
      <c r="BT29" s="1691">
        <f ca="1">Costs!BT29/('Global assumptions'!$C$7*NAIRA2010_*250)</f>
        <v>257.57628085331515</v>
      </c>
      <c r="BU29" s="1691">
        <f ca="1">Costs!BU29/('Global assumptions'!$C$7*NAIRA2010_*250)</f>
        <v>545.72360040914657</v>
      </c>
      <c r="BV29" s="1691">
        <f ca="1">Costs!BV29/('Global assumptions'!$C$7*NAIRA2010_*250)</f>
        <v>882.7763734470476</v>
      </c>
      <c r="BW29" s="1691">
        <f ca="1">Costs!BW29/('Global assumptions'!$C$7*NAIRA2010_*250)</f>
        <v>1273.1554177105611</v>
      </c>
      <c r="BX29" s="1691">
        <f ca="1">Costs!BX29/('Global assumptions'!$C$7*NAIRA2010_*250)</f>
        <v>1741.0437156555736</v>
      </c>
      <c r="BY29" s="1691">
        <f ca="1">Costs!BY29/('Global assumptions'!$C$7*NAIRA2010_*250)</f>
        <v>2249.4365540453482</v>
      </c>
      <c r="BZ29" s="1691">
        <f ca="1">Costs!BZ29/('Global assumptions'!$C$7*NAIRA2010_*250)</f>
        <v>2842.3987737286852</v>
      </c>
      <c r="CA29" s="1691">
        <f ca="1">Costs!CA29/('Global assumptions'!$C$7*NAIRA2010_*250)</f>
        <v>3534.7862266305983</v>
      </c>
      <c r="CC29" s="1707">
        <f t="shared" ca="1" si="4"/>
        <v>1480.7663269422528</v>
      </c>
      <c r="CD29" s="1707">
        <f t="shared" ca="1" si="1"/>
        <v>6758.8068599875642</v>
      </c>
      <c r="CF29" s="1691">
        <f ca="1">Costs!CF29/('Global assumptions'!$C$7*NAIRA2010_*250)</f>
        <v>0</v>
      </c>
      <c r="CG29" s="1691">
        <f ca="1">Costs!CG29/('Global assumptions'!$C$7*NAIRA2010_*250)</f>
        <v>-24.702507477398129</v>
      </c>
      <c r="CH29" s="1691">
        <f ca="1">Costs!CH29/('Global assumptions'!$C$7*NAIRA2010_*250)</f>
        <v>-23.539987665050813</v>
      </c>
      <c r="CI29" s="1691">
        <f ca="1">Costs!CI29/('Global assumptions'!$C$7*NAIRA2010_*250)</f>
        <v>-19.170272884572732</v>
      </c>
      <c r="CJ29" s="1691">
        <f ca="1">Costs!CJ29/('Global assumptions'!$C$7*NAIRA2010_*250)</f>
        <v>-23.096637518128311</v>
      </c>
      <c r="CK29" s="1691">
        <f ca="1">Costs!CK29/('Global assumptions'!$C$7*NAIRA2010_*250)</f>
        <v>-27.671311305623018</v>
      </c>
      <c r="CL29" s="1691">
        <f ca="1">Costs!CL29/('Global assumptions'!$C$7*NAIRA2010_*250)</f>
        <v>-27.861646043426859</v>
      </c>
      <c r="CM29" s="1691">
        <f ca="1">Costs!CM29/('Global assumptions'!$C$7*NAIRA2010_*250)</f>
        <v>-32.222242515448649</v>
      </c>
      <c r="CN29" s="1691">
        <f ca="1">Costs!CN29/('Global assumptions'!$C$7*NAIRA2010_*250)</f>
        <v>-38.353786112492649</v>
      </c>
      <c r="CP29" s="1707">
        <f t="shared" ca="1" si="5"/>
        <v>-24.068710169126796</v>
      </c>
      <c r="CQ29" s="1707">
        <f t="shared" ca="1" si="2"/>
        <v>-199.07729627372112</v>
      </c>
      <c r="CR29" s="1426" t="str">
        <f t="shared" ca="1" si="6"/>
        <v>ok</v>
      </c>
    </row>
    <row r="30" spans="1:96" x14ac:dyDescent="0.2">
      <c r="A30" s="1683" t="s">
        <v>2593</v>
      </c>
      <c r="B30" s="1683" t="s">
        <v>2590</v>
      </c>
      <c r="C30" s="1683" t="s">
        <v>125</v>
      </c>
      <c r="E30" s="1689">
        <f ca="1">Costs!E30/('Global assumptions'!$C$7*NAIRA2010_*250)</f>
        <v>0</v>
      </c>
      <c r="F30" s="1689">
        <f ca="1">Costs!F30/('Global assumptions'!$C$7*NAIRA2010_*250)</f>
        <v>38.833588380265418</v>
      </c>
      <c r="G30" s="1689">
        <f ca="1">Costs!G30/('Global assumptions'!$C$7*NAIRA2010_*250)</f>
        <v>52.30675311073162</v>
      </c>
      <c r="H30" s="1689">
        <f ca="1">Costs!H30/('Global assumptions'!$C$7*NAIRA2010_*250)</f>
        <v>67.57893738038328</v>
      </c>
      <c r="I30" s="1689">
        <f ca="1">Costs!I30/('Global assumptions'!$C$7*NAIRA2010_*250)</f>
        <v>84.533257656377458</v>
      </c>
      <c r="J30" s="1689">
        <f ca="1">Costs!J30/('Global assumptions'!$C$7*NAIRA2010_*250)</f>
        <v>103.13569724103574</v>
      </c>
      <c r="K30" s="1689">
        <f ca="1">Costs!K30/('Global assumptions'!$C$7*NAIRA2010_*250)</f>
        <v>117.01413940133611</v>
      </c>
      <c r="L30" s="1689">
        <f ca="1">Costs!L30/('Global assumptions'!$C$7*NAIRA2010_*250)</f>
        <v>134.06800781018924</v>
      </c>
      <c r="M30" s="1689">
        <f ca="1">Costs!M30/('Global assumptions'!$C$7*NAIRA2010_*250)</f>
        <v>151.4028452328605</v>
      </c>
      <c r="N30" s="675"/>
      <c r="O30" s="1689">
        <f ca="1">Costs!O30/('Global assumptions'!$C$7*NAIRA2010_*250)</f>
        <v>0</v>
      </c>
      <c r="P30" s="1689">
        <f ca="1">Costs!P30/('Global assumptions'!$C$7*NAIRA2010_*250)</f>
        <v>2154.5160510255696</v>
      </c>
      <c r="Q30" s="1689">
        <f ca="1">Costs!Q30/('Global assumptions'!$C$7*NAIRA2010_*250)</f>
        <v>4319.2557329717893</v>
      </c>
      <c r="R30" s="1689">
        <f ca="1">Costs!R30/('Global assumptions'!$C$7*NAIRA2010_*250)</f>
        <v>6596.0168296790243</v>
      </c>
      <c r="S30" s="1689">
        <f ca="1">Costs!S30/('Global assumptions'!$C$7*NAIRA2010_*250)</f>
        <v>9046.6569446539452</v>
      </c>
      <c r="T30" s="1689">
        <f ca="1">Costs!T30/('Global assumptions'!$C$7*NAIRA2010_*250)</f>
        <v>11711.397423625813</v>
      </c>
      <c r="U30" s="1689">
        <f ca="1">Costs!U30/('Global assumptions'!$C$7*NAIRA2010_*250)</f>
        <v>14262.701776090864</v>
      </c>
      <c r="V30" s="1689">
        <f ca="1">Costs!V30/('Global assumptions'!$C$7*NAIRA2010_*250)</f>
        <v>16924.192149155147</v>
      </c>
      <c r="W30" s="1689">
        <f ca="1">Costs!W30/('Global assumptions'!$C$7*NAIRA2010_*250)</f>
        <v>19682.630207874274</v>
      </c>
      <c r="X30" s="675"/>
      <c r="Y30" s="1689">
        <f ca="1">Costs!Y30/('Global assumptions'!$C$7*NAIRA2010_*250)</f>
        <v>0</v>
      </c>
      <c r="Z30" s="1689">
        <f ca="1">Costs!Z30/('Global assumptions'!$C$7*NAIRA2010_*250)</f>
        <v>0</v>
      </c>
      <c r="AA30" s="1689">
        <f ca="1">Costs!AA30/('Global assumptions'!$C$7*NAIRA2010_*250)</f>
        <v>0</v>
      </c>
      <c r="AB30" s="1689">
        <f ca="1">Costs!AB30/('Global assumptions'!$C$7*NAIRA2010_*250)</f>
        <v>0</v>
      </c>
      <c r="AC30" s="1689">
        <f ca="1">Costs!AC30/('Global assumptions'!$C$7*NAIRA2010_*250)</f>
        <v>0</v>
      </c>
      <c r="AD30" s="1689">
        <f ca="1">Costs!AD30/('Global assumptions'!$C$7*NAIRA2010_*250)</f>
        <v>0</v>
      </c>
      <c r="AE30" s="1689">
        <f ca="1">Costs!AE30/('Global assumptions'!$C$7*NAIRA2010_*250)</f>
        <v>0</v>
      </c>
      <c r="AF30" s="1689">
        <f ca="1">Costs!AF30/('Global assumptions'!$C$7*NAIRA2010_*250)</f>
        <v>0</v>
      </c>
      <c r="AG30" s="1689">
        <f ca="1">Costs!AG30/('Global assumptions'!$C$7*NAIRA2010_*250)</f>
        <v>0</v>
      </c>
      <c r="AH30" s="675"/>
      <c r="AI30" s="1689">
        <f ca="1">Costs!AI30/('Global assumptions'!$C$7*NAIRA2010_*250)</f>
        <v>0</v>
      </c>
      <c r="AJ30" s="1689">
        <f ca="1">Costs!AJ30/('Global assumptions'!$C$7*NAIRA2010_*250)</f>
        <v>2193.3496394058348</v>
      </c>
      <c r="AK30" s="1689">
        <f ca="1">Costs!AK30/('Global assumptions'!$C$7*NAIRA2010_*250)</f>
        <v>4371.562486082521</v>
      </c>
      <c r="AL30" s="1689">
        <f ca="1">Costs!AL30/('Global assumptions'!$C$7*NAIRA2010_*250)</f>
        <v>6663.595767059408</v>
      </c>
      <c r="AM30" s="1689">
        <f ca="1">Costs!AM30/('Global assumptions'!$C$7*NAIRA2010_*250)</f>
        <v>9131.190202310323</v>
      </c>
      <c r="AN30" s="1689">
        <f ca="1">Costs!AN30/('Global assumptions'!$C$7*NAIRA2010_*250)</f>
        <v>11814.533120866847</v>
      </c>
      <c r="AO30" s="1689">
        <f ca="1">Costs!AO30/('Global assumptions'!$C$7*NAIRA2010_*250)</f>
        <v>14379.715915492199</v>
      </c>
      <c r="AP30" s="1689">
        <f ca="1">Costs!AP30/('Global assumptions'!$C$7*NAIRA2010_*250)</f>
        <v>17058.260156965334</v>
      </c>
      <c r="AQ30" s="1689">
        <f ca="1">Costs!AQ30/('Global assumptions'!$C$7*NAIRA2010_*250)</f>
        <v>19834.033053107134</v>
      </c>
      <c r="AS30" s="1706">
        <f t="shared" ca="1" si="3"/>
        <v>9494.0267045877335</v>
      </c>
      <c r="AT30" s="1706">
        <f t="shared" ca="1" si="0"/>
        <v>48016.99197668532</v>
      </c>
      <c r="AU30" s="675"/>
      <c r="AV30" s="1699">
        <f>IFERROR(VLOOKUP($A30,Cost.FinanceCostTable,3,FALSE),'Global assumptions'!$D$35)</f>
        <v>0</v>
      </c>
      <c r="AW30" s="1690">
        <f>IFERROR(VLOOKUP($A30,Cost.FinanceCostTable,4,FALSE),'Global assumptions'!$E$35)</f>
        <v>5</v>
      </c>
      <c r="AX30" s="675"/>
      <c r="AY30" s="1689">
        <f ca="1">Costs!AY30/('Global assumptions'!$C$7*NAIRA2010_*250)</f>
        <v>0</v>
      </c>
      <c r="AZ30" s="1689">
        <f ca="1">Costs!AZ30/('Global assumptions'!$C$7*NAIRA2010_*250)</f>
        <v>38.833588380265418</v>
      </c>
      <c r="BA30" s="1689">
        <f ca="1">Costs!BA30/('Global assumptions'!$C$7*NAIRA2010_*250)</f>
        <v>52.306753110731613</v>
      </c>
      <c r="BB30" s="1689">
        <f ca="1">Costs!BB30/('Global assumptions'!$C$7*NAIRA2010_*250)</f>
        <v>67.57893738038328</v>
      </c>
      <c r="BC30" s="1689">
        <f ca="1">Costs!BC30/('Global assumptions'!$C$7*NAIRA2010_*250)</f>
        <v>84.533257656377458</v>
      </c>
      <c r="BD30" s="1689">
        <f ca="1">Costs!BD30/('Global assumptions'!$C$7*NAIRA2010_*250)</f>
        <v>103.13569724103574</v>
      </c>
      <c r="BE30" s="1689">
        <f ca="1">Costs!BE30/('Global assumptions'!$C$7*NAIRA2010_*250)</f>
        <v>117.01413940133611</v>
      </c>
      <c r="BF30" s="1689">
        <f ca="1">Costs!BF30/('Global assumptions'!$C$7*NAIRA2010_*250)</f>
        <v>134.06800781018924</v>
      </c>
      <c r="BG30" s="1689">
        <f ca="1">Costs!BG30/('Global assumptions'!$C$7*NAIRA2010_*250)</f>
        <v>151.4028452328605</v>
      </c>
      <c r="BH30" s="675"/>
      <c r="BI30" s="1689">
        <f ca="1">Costs!BI30/('Global assumptions'!$C$7*NAIRA2010_*250)</f>
        <v>0</v>
      </c>
      <c r="BJ30" s="1689">
        <f ca="1">Costs!BJ30/('Global assumptions'!$C$7*NAIRA2010_*250)</f>
        <v>38.833588380265418</v>
      </c>
      <c r="BK30" s="1689">
        <f ca="1">Costs!BK30/('Global assumptions'!$C$7*NAIRA2010_*250)</f>
        <v>52.306753110731613</v>
      </c>
      <c r="BL30" s="1689">
        <f ca="1">Costs!BL30/('Global assumptions'!$C$7*NAIRA2010_*250)</f>
        <v>67.57893738038328</v>
      </c>
      <c r="BM30" s="1689">
        <f ca="1">Costs!BM30/('Global assumptions'!$C$7*NAIRA2010_*250)</f>
        <v>84.533257656377458</v>
      </c>
      <c r="BN30" s="1689">
        <f ca="1">Costs!BN30/('Global assumptions'!$C$7*NAIRA2010_*250)</f>
        <v>103.13569724103574</v>
      </c>
      <c r="BO30" s="1689">
        <f ca="1">Costs!BO30/('Global assumptions'!$C$7*NAIRA2010_*250)</f>
        <v>117.01413940133611</v>
      </c>
      <c r="BP30" s="1689">
        <f ca="1">Costs!BP30/('Global assumptions'!$C$7*NAIRA2010_*250)</f>
        <v>134.06800781018924</v>
      </c>
      <c r="BQ30" s="1689">
        <f ca="1">Costs!BQ30/('Global assumptions'!$C$7*NAIRA2010_*250)</f>
        <v>151.4028452328605</v>
      </c>
      <c r="BR30" s="675"/>
      <c r="BS30" s="1689">
        <f ca="1">Costs!BS30/('Global assumptions'!$C$7*NAIRA2010_*250)</f>
        <v>0</v>
      </c>
      <c r="BT30" s="1689">
        <f ca="1">Costs!BT30/('Global assumptions'!$C$7*NAIRA2010_*250)</f>
        <v>2193.3496394058348</v>
      </c>
      <c r="BU30" s="1689">
        <f ca="1">Costs!BU30/('Global assumptions'!$C$7*NAIRA2010_*250)</f>
        <v>4371.562486082521</v>
      </c>
      <c r="BV30" s="1689">
        <f ca="1">Costs!BV30/('Global assumptions'!$C$7*NAIRA2010_*250)</f>
        <v>6663.595767059408</v>
      </c>
      <c r="BW30" s="1689">
        <f ca="1">Costs!BW30/('Global assumptions'!$C$7*NAIRA2010_*250)</f>
        <v>9131.190202310323</v>
      </c>
      <c r="BX30" s="1689">
        <f ca="1">Costs!BX30/('Global assumptions'!$C$7*NAIRA2010_*250)</f>
        <v>11814.533120866847</v>
      </c>
      <c r="BY30" s="1689">
        <f ca="1">Costs!BY30/('Global assumptions'!$C$7*NAIRA2010_*250)</f>
        <v>14379.715915492199</v>
      </c>
      <c r="BZ30" s="1689">
        <f ca="1">Costs!BZ30/('Global assumptions'!$C$7*NAIRA2010_*250)</f>
        <v>17058.260156965334</v>
      </c>
      <c r="CA30" s="1689">
        <f ca="1">Costs!CA30/('Global assumptions'!$C$7*NAIRA2010_*250)</f>
        <v>19834.033053107134</v>
      </c>
      <c r="CC30" s="1706">
        <f t="shared" ca="1" si="4"/>
        <v>9494.0267045877335</v>
      </c>
      <c r="CD30" s="1706">
        <f t="shared" ca="1" si="1"/>
        <v>48016.99197668532</v>
      </c>
      <c r="CF30" s="1689">
        <f ca="1">Costs!CF30/('Global assumptions'!$C$7*NAIRA2010_*250)</f>
        <v>0</v>
      </c>
      <c r="CG30" s="1689">
        <f ca="1">Costs!CG30/('Global assumptions'!$C$7*NAIRA2010_*250)</f>
        <v>0</v>
      </c>
      <c r="CH30" s="1689">
        <f ca="1">Costs!CH30/('Global assumptions'!$C$7*NAIRA2010_*250)</f>
        <v>0</v>
      </c>
      <c r="CI30" s="1689">
        <f ca="1">Costs!CI30/('Global assumptions'!$C$7*NAIRA2010_*250)</f>
        <v>0</v>
      </c>
      <c r="CJ30" s="1689">
        <f ca="1">Costs!CJ30/('Global assumptions'!$C$7*NAIRA2010_*250)</f>
        <v>0</v>
      </c>
      <c r="CK30" s="1689">
        <f ca="1">Costs!CK30/('Global assumptions'!$C$7*NAIRA2010_*250)</f>
        <v>0</v>
      </c>
      <c r="CL30" s="1689">
        <f ca="1">Costs!CL30/('Global assumptions'!$C$7*NAIRA2010_*250)</f>
        <v>0</v>
      </c>
      <c r="CM30" s="1689">
        <f ca="1">Costs!CM30/('Global assumptions'!$C$7*NAIRA2010_*250)</f>
        <v>0</v>
      </c>
      <c r="CN30" s="1689">
        <f ca="1">Costs!CN30/('Global assumptions'!$C$7*NAIRA2010_*250)</f>
        <v>0</v>
      </c>
      <c r="CP30" s="1706">
        <f t="shared" ca="1" si="5"/>
        <v>0</v>
      </c>
      <c r="CQ30" s="1706">
        <f t="shared" ca="1" si="2"/>
        <v>0</v>
      </c>
      <c r="CR30" s="1426" t="str">
        <f t="shared" ca="1" si="6"/>
        <v>ok</v>
      </c>
    </row>
    <row r="31" spans="1:96" x14ac:dyDescent="0.2">
      <c r="A31" s="1685" t="s">
        <v>1775</v>
      </c>
      <c r="B31" s="1685" t="s">
        <v>1730</v>
      </c>
      <c r="C31" s="1685" t="s">
        <v>125</v>
      </c>
      <c r="E31" s="1691">
        <f ca="1">Costs!E31/('Global assumptions'!$C$7*NAIRA2010_*250)</f>
        <v>0</v>
      </c>
      <c r="F31" s="1691">
        <f ca="1">Costs!F31/('Global assumptions'!$C$7*NAIRA2010_*250)</f>
        <v>0.13542551764787941</v>
      </c>
      <c r="G31" s="1691">
        <f ca="1">Costs!G31/('Global assumptions'!$C$7*NAIRA2010_*250)</f>
        <v>0.18192629454574605</v>
      </c>
      <c r="H31" s="1691">
        <f ca="1">Costs!H31/('Global assumptions'!$C$7*NAIRA2010_*250)</f>
        <v>0.2383096955487905</v>
      </c>
      <c r="I31" s="1691">
        <f ca="1">Costs!I31/('Global assumptions'!$C$7*NAIRA2010_*250)</f>
        <v>0.30637005567980824</v>
      </c>
      <c r="J31" s="1691">
        <f ca="1">Costs!J31/('Global assumptions'!$C$7*NAIRA2010_*250)</f>
        <v>0.3882026363556399</v>
      </c>
      <c r="K31" s="1691">
        <f ca="1">Costs!K31/('Global assumptions'!$C$7*NAIRA2010_*250)</f>
        <v>0.47105268202131789</v>
      </c>
      <c r="L31" s="1691">
        <f ca="1">Costs!L31/('Global assumptions'!$C$7*NAIRA2010_*250)</f>
        <v>0.57033375664788888</v>
      </c>
      <c r="M31" s="1691">
        <f ca="1">Costs!M31/('Global assumptions'!$C$7*NAIRA2010_*250)</f>
        <v>0.68517851335619806</v>
      </c>
      <c r="N31" s="675"/>
      <c r="O31" s="1691">
        <f ca="1">Costs!O31/('Global assumptions'!$C$7*NAIRA2010_*250)</f>
        <v>0.20000000000000004</v>
      </c>
      <c r="P31" s="1691">
        <f ca="1">Costs!P31/('Global assumptions'!$C$7*NAIRA2010_*250)</f>
        <v>0.28285205322265622</v>
      </c>
      <c r="Q31" s="1691">
        <f ca="1">Costs!Q31/('Global assumptions'!$C$7*NAIRA2010_*250)</f>
        <v>0.38402536325890707</v>
      </c>
      <c r="R31" s="1691">
        <f ca="1">Costs!R31/('Global assumptions'!$C$7*NAIRA2010_*250)</f>
        <v>0.50690435827433855</v>
      </c>
      <c r="S31" s="1691">
        <f ca="1">Costs!S31/('Global assumptions'!$C$7*NAIRA2010_*250)</f>
        <v>0.65544657611615809</v>
      </c>
      <c r="T31" s="1691">
        <f ca="1">Costs!T31/('Global assumptions'!$C$7*NAIRA2010_*250)</f>
        <v>0.83427484424496878</v>
      </c>
      <c r="U31" s="1691">
        <f ca="1">Costs!U31/('Global assumptions'!$C$7*NAIRA2010_*250)</f>
        <v>1.0234520445817112</v>
      </c>
      <c r="V31" s="1691">
        <f ca="1">Costs!V31/('Global assumptions'!$C$7*NAIRA2010_*250)</f>
        <v>1.2429711309603035</v>
      </c>
      <c r="W31" s="1691">
        <f ca="1">Costs!W31/('Global assumptions'!$C$7*NAIRA2010_*250)</f>
        <v>1.4970987977727979</v>
      </c>
      <c r="X31" s="675"/>
      <c r="Y31" s="1691">
        <f ca="1">Costs!Y31/('Global assumptions'!$C$7*NAIRA2010_*250)</f>
        <v>0</v>
      </c>
      <c r="Z31" s="1691">
        <f ca="1">Costs!Z31/('Global assumptions'!$C$7*NAIRA2010_*250)</f>
        <v>0</v>
      </c>
      <c r="AA31" s="1691">
        <f ca="1">Costs!AA31/('Global assumptions'!$C$7*NAIRA2010_*250)</f>
        <v>0</v>
      </c>
      <c r="AB31" s="1691">
        <f ca="1">Costs!AB31/('Global assumptions'!$C$7*NAIRA2010_*250)</f>
        <v>0</v>
      </c>
      <c r="AC31" s="1691">
        <f ca="1">Costs!AC31/('Global assumptions'!$C$7*NAIRA2010_*250)</f>
        <v>0</v>
      </c>
      <c r="AD31" s="1691">
        <f ca="1">Costs!AD31/('Global assumptions'!$C$7*NAIRA2010_*250)</f>
        <v>0</v>
      </c>
      <c r="AE31" s="1691">
        <f ca="1">Costs!AE31/('Global assumptions'!$C$7*NAIRA2010_*250)</f>
        <v>0</v>
      </c>
      <c r="AF31" s="1691">
        <f ca="1">Costs!AF31/('Global assumptions'!$C$7*NAIRA2010_*250)</f>
        <v>0</v>
      </c>
      <c r="AG31" s="1691">
        <f ca="1">Costs!AG31/('Global assumptions'!$C$7*NAIRA2010_*250)</f>
        <v>0</v>
      </c>
      <c r="AH31" s="675"/>
      <c r="AI31" s="1691">
        <f ca="1">Costs!AI31/('Global assumptions'!$C$7*NAIRA2010_*250)</f>
        <v>0.20000000000000004</v>
      </c>
      <c r="AJ31" s="1691">
        <f ca="1">Costs!AJ31/('Global assumptions'!$C$7*NAIRA2010_*250)</f>
        <v>0.41827757087053563</v>
      </c>
      <c r="AK31" s="1691">
        <f ca="1">Costs!AK31/('Global assumptions'!$C$7*NAIRA2010_*250)</f>
        <v>0.56595165780465317</v>
      </c>
      <c r="AL31" s="1691">
        <f ca="1">Costs!AL31/('Global assumptions'!$C$7*NAIRA2010_*250)</f>
        <v>0.74521405382312911</v>
      </c>
      <c r="AM31" s="1691">
        <f ca="1">Costs!AM31/('Global assumptions'!$C$7*NAIRA2010_*250)</f>
        <v>0.96181663179596633</v>
      </c>
      <c r="AN31" s="1691">
        <f ca="1">Costs!AN31/('Global assumptions'!$C$7*NAIRA2010_*250)</f>
        <v>1.2224774806006087</v>
      </c>
      <c r="AO31" s="1691">
        <f ca="1">Costs!AO31/('Global assumptions'!$C$7*NAIRA2010_*250)</f>
        <v>1.4945047266030291</v>
      </c>
      <c r="AP31" s="1691">
        <f ca="1">Costs!AP31/('Global assumptions'!$C$7*NAIRA2010_*250)</f>
        <v>1.8133048876081925</v>
      </c>
      <c r="AQ31" s="1691">
        <f ca="1">Costs!AQ31/('Global assumptions'!$C$7*NAIRA2010_*250)</f>
        <v>2.1822773111289955</v>
      </c>
      <c r="AS31" s="1707">
        <f t="shared" ca="1" si="3"/>
        <v>1.0670915911372343</v>
      </c>
      <c r="AT31" s="1707">
        <f t="shared" ca="1" si="0"/>
        <v>6.1022972593258684</v>
      </c>
      <c r="AU31" s="675"/>
      <c r="AV31" s="1700">
        <f>IFERROR(VLOOKUP($A31,Cost.FinanceCostTable,3,FALSE),'Global assumptions'!$D$35)</f>
        <v>0</v>
      </c>
      <c r="AW31" s="1692">
        <f>IFERROR(VLOOKUP($A31,Cost.FinanceCostTable,4,FALSE),'Global assumptions'!$E$35)</f>
        <v>5</v>
      </c>
      <c r="AX31" s="675"/>
      <c r="AY31" s="1691">
        <f ca="1">Costs!AY31/('Global assumptions'!$C$7*NAIRA2010_*250)</f>
        <v>0</v>
      </c>
      <c r="AZ31" s="1691">
        <f ca="1">Costs!AZ31/('Global assumptions'!$C$7*NAIRA2010_*250)</f>
        <v>0.13542551764787941</v>
      </c>
      <c r="BA31" s="1691">
        <f ca="1">Costs!BA31/('Global assumptions'!$C$7*NAIRA2010_*250)</f>
        <v>0.18192629454574602</v>
      </c>
      <c r="BB31" s="1691">
        <f ca="1">Costs!BB31/('Global assumptions'!$C$7*NAIRA2010_*250)</f>
        <v>0.2383096955487905</v>
      </c>
      <c r="BC31" s="1691">
        <f ca="1">Costs!BC31/('Global assumptions'!$C$7*NAIRA2010_*250)</f>
        <v>0.30637005567980824</v>
      </c>
      <c r="BD31" s="1691">
        <f ca="1">Costs!BD31/('Global assumptions'!$C$7*NAIRA2010_*250)</f>
        <v>0.38820263635563995</v>
      </c>
      <c r="BE31" s="1691">
        <f ca="1">Costs!BE31/('Global assumptions'!$C$7*NAIRA2010_*250)</f>
        <v>0.47105268202131789</v>
      </c>
      <c r="BF31" s="1691">
        <f ca="1">Costs!BF31/('Global assumptions'!$C$7*NAIRA2010_*250)</f>
        <v>0.57033375664788888</v>
      </c>
      <c r="BG31" s="1691">
        <f ca="1">Costs!BG31/('Global assumptions'!$C$7*NAIRA2010_*250)</f>
        <v>0.68517851335619806</v>
      </c>
      <c r="BH31" s="675"/>
      <c r="BI31" s="1691">
        <f ca="1">Costs!BI31/('Global assumptions'!$C$7*NAIRA2010_*250)</f>
        <v>0</v>
      </c>
      <c r="BJ31" s="1691">
        <f ca="1">Costs!BJ31/('Global assumptions'!$C$7*NAIRA2010_*250)</f>
        <v>0.13542551764787941</v>
      </c>
      <c r="BK31" s="1691">
        <f ca="1">Costs!BK31/('Global assumptions'!$C$7*NAIRA2010_*250)</f>
        <v>0.18192629454574602</v>
      </c>
      <c r="BL31" s="1691">
        <f ca="1">Costs!BL31/('Global assumptions'!$C$7*NAIRA2010_*250)</f>
        <v>0.2383096955487905</v>
      </c>
      <c r="BM31" s="1691">
        <f ca="1">Costs!BM31/('Global assumptions'!$C$7*NAIRA2010_*250)</f>
        <v>0.30637005567980824</v>
      </c>
      <c r="BN31" s="1691">
        <f ca="1">Costs!BN31/('Global assumptions'!$C$7*NAIRA2010_*250)</f>
        <v>0.38820263635563995</v>
      </c>
      <c r="BO31" s="1691">
        <f ca="1">Costs!BO31/('Global assumptions'!$C$7*NAIRA2010_*250)</f>
        <v>0.47105268202131789</v>
      </c>
      <c r="BP31" s="1691">
        <f ca="1">Costs!BP31/('Global assumptions'!$C$7*NAIRA2010_*250)</f>
        <v>0.57033375664788888</v>
      </c>
      <c r="BQ31" s="1691">
        <f ca="1">Costs!BQ31/('Global assumptions'!$C$7*NAIRA2010_*250)</f>
        <v>0.68517851335619806</v>
      </c>
      <c r="BR31" s="675"/>
      <c r="BS31" s="1691">
        <f ca="1">Costs!BS31/('Global assumptions'!$C$7*NAIRA2010_*250)</f>
        <v>0.20000000000000004</v>
      </c>
      <c r="BT31" s="1691">
        <f ca="1">Costs!BT31/('Global assumptions'!$C$7*NAIRA2010_*250)</f>
        <v>0.41827757087053563</v>
      </c>
      <c r="BU31" s="1691">
        <f ca="1">Costs!BU31/('Global assumptions'!$C$7*NAIRA2010_*250)</f>
        <v>0.56595165780465317</v>
      </c>
      <c r="BV31" s="1691">
        <f ca="1">Costs!BV31/('Global assumptions'!$C$7*NAIRA2010_*250)</f>
        <v>0.74521405382312911</v>
      </c>
      <c r="BW31" s="1691">
        <f ca="1">Costs!BW31/('Global assumptions'!$C$7*NAIRA2010_*250)</f>
        <v>0.96181663179596633</v>
      </c>
      <c r="BX31" s="1691">
        <f ca="1">Costs!BX31/('Global assumptions'!$C$7*NAIRA2010_*250)</f>
        <v>1.2224774806006089</v>
      </c>
      <c r="BY31" s="1691">
        <f ca="1">Costs!BY31/('Global assumptions'!$C$7*NAIRA2010_*250)</f>
        <v>1.4945047266030291</v>
      </c>
      <c r="BZ31" s="1691">
        <f ca="1">Costs!BZ31/('Global assumptions'!$C$7*NAIRA2010_*250)</f>
        <v>1.8133048876081925</v>
      </c>
      <c r="CA31" s="1691">
        <f ca="1">Costs!CA31/('Global assumptions'!$C$7*NAIRA2010_*250)</f>
        <v>2.1822773111289955</v>
      </c>
      <c r="CC31" s="1707">
        <f t="shared" ca="1" si="4"/>
        <v>1.0670915911372345</v>
      </c>
      <c r="CD31" s="1707">
        <f t="shared" ca="1" si="1"/>
        <v>6.1022972593258684</v>
      </c>
      <c r="CF31" s="1691">
        <f ca="1">Costs!CF31/('Global assumptions'!$C$7*NAIRA2010_*250)</f>
        <v>0</v>
      </c>
      <c r="CG31" s="1691">
        <f ca="1">Costs!CG31/('Global assumptions'!$C$7*NAIRA2010_*250)</f>
        <v>0</v>
      </c>
      <c r="CH31" s="1691">
        <f ca="1">Costs!CH31/('Global assumptions'!$C$7*NAIRA2010_*250)</f>
        <v>0</v>
      </c>
      <c r="CI31" s="1691">
        <f ca="1">Costs!CI31/('Global assumptions'!$C$7*NAIRA2010_*250)</f>
        <v>0</v>
      </c>
      <c r="CJ31" s="1691">
        <f ca="1">Costs!CJ31/('Global assumptions'!$C$7*NAIRA2010_*250)</f>
        <v>0</v>
      </c>
      <c r="CK31" s="1691">
        <f ca="1">Costs!CK31/('Global assumptions'!$C$7*NAIRA2010_*250)</f>
        <v>0</v>
      </c>
      <c r="CL31" s="1691">
        <f ca="1">Costs!CL31/('Global assumptions'!$C$7*NAIRA2010_*250)</f>
        <v>0</v>
      </c>
      <c r="CM31" s="1691">
        <f ca="1">Costs!CM31/('Global assumptions'!$C$7*NAIRA2010_*250)</f>
        <v>0</v>
      </c>
      <c r="CN31" s="1691">
        <f ca="1">Costs!CN31/('Global assumptions'!$C$7*NAIRA2010_*250)</f>
        <v>0</v>
      </c>
      <c r="CP31" s="1707">
        <f t="shared" ca="1" si="5"/>
        <v>0</v>
      </c>
      <c r="CQ31" s="1707">
        <f t="shared" ca="1" si="2"/>
        <v>0</v>
      </c>
      <c r="CR31" s="1426" t="str">
        <f t="shared" ca="1" si="6"/>
        <v>ok</v>
      </c>
    </row>
    <row r="32" spans="1:96" x14ac:dyDescent="0.2">
      <c r="A32" s="1683" t="s">
        <v>1724</v>
      </c>
      <c r="B32" s="1683" t="s">
        <v>19</v>
      </c>
      <c r="C32" s="1683" t="s">
        <v>125</v>
      </c>
      <c r="E32" s="1689">
        <f ca="1">Costs!E32/('Global assumptions'!$C$7*NAIRA2010_*250)</f>
        <v>0</v>
      </c>
      <c r="F32" s="1689">
        <f ca="1">Costs!F32/('Global assumptions'!$C$7*NAIRA2010_*250)</f>
        <v>0</v>
      </c>
      <c r="G32" s="1689">
        <f ca="1">Costs!G32/('Global assumptions'!$C$7*NAIRA2010_*250)</f>
        <v>0.27969594636913758</v>
      </c>
      <c r="H32" s="1689">
        <f ca="1">Costs!H32/('Global assumptions'!$C$7*NAIRA2010_*250)</f>
        <v>0.3848347229011736</v>
      </c>
      <c r="I32" s="1689">
        <f ca="1">Costs!I32/('Global assumptions'!$C$7*NAIRA2010_*250)</f>
        <v>0.49942367110503239</v>
      </c>
      <c r="J32" s="1689">
        <f ca="1">Costs!J32/('Global assumptions'!$C$7*NAIRA2010_*250)</f>
        <v>0.63703067154955739</v>
      </c>
      <c r="K32" s="1689">
        <f ca="1">Costs!K32/('Global assumptions'!$C$7*NAIRA2010_*250)</f>
        <v>0.74385797999406211</v>
      </c>
      <c r="L32" s="1689">
        <f ca="1">Costs!L32/('Global assumptions'!$C$7*NAIRA2010_*250)</f>
        <v>0.90906759798004</v>
      </c>
      <c r="M32" s="1689">
        <f ca="1">Costs!M32/('Global assumptions'!$C$7*NAIRA2010_*250)</f>
        <v>1.1164666455429975</v>
      </c>
      <c r="N32" s="675"/>
      <c r="O32" s="1689">
        <f ca="1">Costs!O32/('Global assumptions'!$C$7*NAIRA2010_*250)</f>
        <v>29.223600000000005</v>
      </c>
      <c r="P32" s="1689">
        <f ca="1">Costs!P32/('Global assumptions'!$C$7*NAIRA2010_*250)</f>
        <v>20.184309362059292</v>
      </c>
      <c r="Q32" s="1689">
        <f ca="1">Costs!Q32/('Global assumptions'!$C$7*NAIRA2010_*250)</f>
        <v>22.157448144652331</v>
      </c>
      <c r="R32" s="1689">
        <f ca="1">Costs!R32/('Global assumptions'!$C$7*NAIRA2010_*250)</f>
        <v>25.413419427889135</v>
      </c>
      <c r="S32" s="1689">
        <f ca="1">Costs!S32/('Global assumptions'!$C$7*NAIRA2010_*250)</f>
        <v>29.508296973565539</v>
      </c>
      <c r="T32" s="1689">
        <f ca="1">Costs!T32/('Global assumptions'!$C$7*NAIRA2010_*250)</f>
        <v>34.41693736277756</v>
      </c>
      <c r="U32" s="1689">
        <f ca="1">Costs!U32/('Global assumptions'!$C$7*NAIRA2010_*250)</f>
        <v>39.238351406563744</v>
      </c>
      <c r="V32" s="1689">
        <f ca="1">Costs!V32/('Global assumptions'!$C$7*NAIRA2010_*250)</f>
        <v>44.755770222215759</v>
      </c>
      <c r="W32" s="1689">
        <f ca="1">Costs!W32/('Global assumptions'!$C$7*NAIRA2010_*250)</f>
        <v>51.042385831025321</v>
      </c>
      <c r="X32" s="675"/>
      <c r="Y32" s="1689">
        <f ca="1">Costs!Y32/('Global assumptions'!$C$7*NAIRA2010_*250)</f>
        <v>0</v>
      </c>
      <c r="Z32" s="1689">
        <f ca="1">Costs!Z32/('Global assumptions'!$C$7*NAIRA2010_*250)</f>
        <v>0</v>
      </c>
      <c r="AA32" s="1689">
        <f ca="1">Costs!AA32/('Global assumptions'!$C$7*NAIRA2010_*250)</f>
        <v>0</v>
      </c>
      <c r="AB32" s="1689">
        <f ca="1">Costs!AB32/('Global assumptions'!$C$7*NAIRA2010_*250)</f>
        <v>0</v>
      </c>
      <c r="AC32" s="1689">
        <f ca="1">Costs!AC32/('Global assumptions'!$C$7*NAIRA2010_*250)</f>
        <v>0</v>
      </c>
      <c r="AD32" s="1689">
        <f ca="1">Costs!AD32/('Global assumptions'!$C$7*NAIRA2010_*250)</f>
        <v>0</v>
      </c>
      <c r="AE32" s="1689">
        <f ca="1">Costs!AE32/('Global assumptions'!$C$7*NAIRA2010_*250)</f>
        <v>0</v>
      </c>
      <c r="AF32" s="1689">
        <f ca="1">Costs!AF32/('Global assumptions'!$C$7*NAIRA2010_*250)</f>
        <v>0</v>
      </c>
      <c r="AG32" s="1689">
        <f ca="1">Costs!AG32/('Global assumptions'!$C$7*NAIRA2010_*250)</f>
        <v>0</v>
      </c>
      <c r="AH32" s="675"/>
      <c r="AI32" s="1689">
        <f ca="1">Costs!AI32/('Global assumptions'!$C$7*NAIRA2010_*250)</f>
        <v>29.223600000000005</v>
      </c>
      <c r="AJ32" s="1689">
        <f ca="1">Costs!AJ32/('Global assumptions'!$C$7*NAIRA2010_*250)</f>
        <v>20.184309362059292</v>
      </c>
      <c r="AK32" s="1689">
        <f ca="1">Costs!AK32/('Global assumptions'!$C$7*NAIRA2010_*250)</f>
        <v>22.437144091021469</v>
      </c>
      <c r="AL32" s="1689">
        <f ca="1">Costs!AL32/('Global assumptions'!$C$7*NAIRA2010_*250)</f>
        <v>25.798254150790306</v>
      </c>
      <c r="AM32" s="1689">
        <f ca="1">Costs!AM32/('Global assumptions'!$C$7*NAIRA2010_*250)</f>
        <v>30.007720644670574</v>
      </c>
      <c r="AN32" s="1689">
        <f ca="1">Costs!AN32/('Global assumptions'!$C$7*NAIRA2010_*250)</f>
        <v>35.05396803432712</v>
      </c>
      <c r="AO32" s="1689">
        <f ca="1">Costs!AO32/('Global assumptions'!$C$7*NAIRA2010_*250)</f>
        <v>39.982209386557813</v>
      </c>
      <c r="AP32" s="1689">
        <f ca="1">Costs!AP32/('Global assumptions'!$C$7*NAIRA2010_*250)</f>
        <v>45.6648378201958</v>
      </c>
      <c r="AQ32" s="1689">
        <f ca="1">Costs!AQ32/('Global assumptions'!$C$7*NAIRA2010_*250)</f>
        <v>52.158852476568313</v>
      </c>
      <c r="AS32" s="1706">
        <f t="shared" ca="1" si="3"/>
        <v>33.390099551798961</v>
      </c>
      <c r="AT32" s="1706">
        <f t="shared" ca="1" si="0"/>
        <v>238.36368703896756</v>
      </c>
      <c r="AU32" s="675"/>
      <c r="AV32" s="1699">
        <f>IFERROR(VLOOKUP($A32,Cost.FinanceCostTable,3,FALSE),'Global assumptions'!$D$35)</f>
        <v>0</v>
      </c>
      <c r="AW32" s="1690">
        <f>IFERROR(VLOOKUP($A32,Cost.FinanceCostTable,4,FALSE),'Global assumptions'!$E$35)</f>
        <v>30</v>
      </c>
      <c r="AX32" s="675"/>
      <c r="AY32" s="1689">
        <f ca="1">Costs!AY32/('Global assumptions'!$C$7*NAIRA2010_*250)</f>
        <v>0</v>
      </c>
      <c r="AZ32" s="1689">
        <f ca="1">Costs!AZ32/('Global assumptions'!$C$7*NAIRA2010_*250)</f>
        <v>0</v>
      </c>
      <c r="BA32" s="1689">
        <f ca="1">Costs!BA32/('Global assumptions'!$C$7*NAIRA2010_*250)</f>
        <v>4.6615991061522928E-2</v>
      </c>
      <c r="BB32" s="1689">
        <f ca="1">Costs!BB32/('Global assumptions'!$C$7*NAIRA2010_*250)</f>
        <v>6.4139120483528933E-2</v>
      </c>
      <c r="BC32" s="1689">
        <f ca="1">Costs!BC32/('Global assumptions'!$C$7*NAIRA2010_*250)</f>
        <v>8.3237278517505384E-2</v>
      </c>
      <c r="BD32" s="1689">
        <f ca="1">Costs!BD32/('Global assumptions'!$C$7*NAIRA2010_*250)</f>
        <v>0.10617177859159291</v>
      </c>
      <c r="BE32" s="1689">
        <f ca="1">Costs!BE32/('Global assumptions'!$C$7*NAIRA2010_*250)</f>
        <v>0.12397632999901036</v>
      </c>
      <c r="BF32" s="1689">
        <f ca="1">Costs!BF32/('Global assumptions'!$C$7*NAIRA2010_*250)</f>
        <v>0.15151126633000664</v>
      </c>
      <c r="BG32" s="1689">
        <f ca="1">Costs!BG32/('Global assumptions'!$C$7*NAIRA2010_*250)</f>
        <v>0.18607777425716626</v>
      </c>
      <c r="BH32" s="675"/>
      <c r="BI32" s="1689">
        <f ca="1">Costs!BI32/('Global assumptions'!$C$7*NAIRA2010_*250)</f>
        <v>0</v>
      </c>
      <c r="BJ32" s="1689">
        <f ca="1">Costs!BJ32/('Global assumptions'!$C$7*NAIRA2010_*250)</f>
        <v>0</v>
      </c>
      <c r="BK32" s="1689">
        <f ca="1">Costs!BK32/('Global assumptions'!$C$7*NAIRA2010_*250)</f>
        <v>4.6615991061522928E-2</v>
      </c>
      <c r="BL32" s="1689">
        <f ca="1">Costs!BL32/('Global assumptions'!$C$7*NAIRA2010_*250)</f>
        <v>0.11075511154505185</v>
      </c>
      <c r="BM32" s="1689">
        <f ca="1">Costs!BM32/('Global assumptions'!$C$7*NAIRA2010_*250)</f>
        <v>0.19399239006255725</v>
      </c>
      <c r="BN32" s="1689">
        <f ca="1">Costs!BN32/('Global assumptions'!$C$7*NAIRA2010_*250)</f>
        <v>0.30016416865415013</v>
      </c>
      <c r="BO32" s="1689">
        <f ca="1">Costs!BO32/('Global assumptions'!$C$7*NAIRA2010_*250)</f>
        <v>0.4241404986531605</v>
      </c>
      <c r="BP32" s="1689">
        <f ca="1">Costs!BP32/('Global assumptions'!$C$7*NAIRA2010_*250)</f>
        <v>0.65888904350067257</v>
      </c>
      <c r="BQ32" s="1689">
        <f ca="1">Costs!BQ32/('Global assumptions'!$C$7*NAIRA2010_*250)</f>
        <v>0.79835082669631596</v>
      </c>
      <c r="BR32" s="675"/>
      <c r="BS32" s="1689">
        <f ca="1">Costs!BS32/('Global assumptions'!$C$7*NAIRA2010_*250)</f>
        <v>29.223600000000005</v>
      </c>
      <c r="BT32" s="1689">
        <f ca="1">Costs!BT32/('Global assumptions'!$C$7*NAIRA2010_*250)</f>
        <v>20.184309362059292</v>
      </c>
      <c r="BU32" s="1689">
        <f ca="1">Costs!BU32/('Global assumptions'!$C$7*NAIRA2010_*250)</f>
        <v>22.204064135713853</v>
      </c>
      <c r="BV32" s="1689">
        <f ca="1">Costs!BV32/('Global assumptions'!$C$7*NAIRA2010_*250)</f>
        <v>25.524174539434188</v>
      </c>
      <c r="BW32" s="1689">
        <f ca="1">Costs!BW32/('Global assumptions'!$C$7*NAIRA2010_*250)</f>
        <v>29.702289363628097</v>
      </c>
      <c r="BX32" s="1689">
        <f ca="1">Costs!BX32/('Global assumptions'!$C$7*NAIRA2010_*250)</f>
        <v>34.717101531431716</v>
      </c>
      <c r="BY32" s="1689">
        <f ca="1">Costs!BY32/('Global assumptions'!$C$7*NAIRA2010_*250)</f>
        <v>39.66249190521691</v>
      </c>
      <c r="BZ32" s="1689">
        <f ca="1">Costs!BZ32/('Global assumptions'!$C$7*NAIRA2010_*250)</f>
        <v>45.414659265716431</v>
      </c>
      <c r="CA32" s="1689">
        <f ca="1">Costs!CA32/('Global assumptions'!$C$7*NAIRA2010_*250)</f>
        <v>51.840736657721635</v>
      </c>
      <c r="CC32" s="1706">
        <f t="shared" ca="1" si="4"/>
        <v>33.16371408454691</v>
      </c>
      <c r="CD32" s="1706">
        <f t="shared" ca="1" si="1"/>
        <v>236.9825759364048</v>
      </c>
      <c r="CF32" s="1689">
        <f ca="1">Costs!CF32/('Global assumptions'!$C$7*NAIRA2010_*250)</f>
        <v>0</v>
      </c>
      <c r="CG32" s="1689">
        <f ca="1">Costs!CG32/('Global assumptions'!$C$7*NAIRA2010_*250)</f>
        <v>0</v>
      </c>
      <c r="CH32" s="1689">
        <f ca="1">Costs!CH32/('Global assumptions'!$C$7*NAIRA2010_*250)</f>
        <v>-0.23307995530761463</v>
      </c>
      <c r="CI32" s="1689">
        <f ca="1">Costs!CI32/('Global assumptions'!$C$7*NAIRA2010_*250)</f>
        <v>-0.2740796113561218</v>
      </c>
      <c r="CJ32" s="1689">
        <f ca="1">Costs!CJ32/('Global assumptions'!$C$7*NAIRA2010_*250)</f>
        <v>-0.30543128104247513</v>
      </c>
      <c r="CK32" s="1689">
        <f ca="1">Costs!CK32/('Global assumptions'!$C$7*NAIRA2010_*250)</f>
        <v>-0.33686650289540726</v>
      </c>
      <c r="CL32" s="1689">
        <f ca="1">Costs!CL32/('Global assumptions'!$C$7*NAIRA2010_*250)</f>
        <v>-0.31971748134090167</v>
      </c>
      <c r="CM32" s="1689">
        <f ca="1">Costs!CM32/('Global assumptions'!$C$7*NAIRA2010_*250)</f>
        <v>-0.25017855447936738</v>
      </c>
      <c r="CN32" s="1689">
        <f ca="1">Costs!CN32/('Global assumptions'!$C$7*NAIRA2010_*250)</f>
        <v>-0.31811581884668161</v>
      </c>
      <c r="CP32" s="1706">
        <f t="shared" ca="1" si="5"/>
        <v>-0.22638546725206327</v>
      </c>
      <c r="CQ32" s="1706">
        <f t="shared" ca="1" si="2"/>
        <v>-1.3811111025627483</v>
      </c>
      <c r="CR32" s="1426" t="str">
        <f t="shared" ca="1" si="6"/>
        <v>ok</v>
      </c>
    </row>
    <row r="33" spans="1:96" x14ac:dyDescent="0.2">
      <c r="A33" s="1685" t="s">
        <v>1725</v>
      </c>
      <c r="B33" s="1685" t="s">
        <v>397</v>
      </c>
      <c r="C33" s="1685" t="s">
        <v>125</v>
      </c>
      <c r="E33" s="1691">
        <f ca="1">Costs!E33/('Global assumptions'!$C$7*NAIRA2010_*250)</f>
        <v>0</v>
      </c>
      <c r="F33" s="1691">
        <f ca="1">Costs!F33/('Global assumptions'!$C$7*NAIRA2010_*250)</f>
        <v>0</v>
      </c>
      <c r="G33" s="1691">
        <f ca="1">Costs!G33/('Global assumptions'!$C$7*NAIRA2010_*250)</f>
        <v>0</v>
      </c>
      <c r="H33" s="1691">
        <f ca="1">Costs!H33/('Global assumptions'!$C$7*NAIRA2010_*250)</f>
        <v>0</v>
      </c>
      <c r="I33" s="1691">
        <f ca="1">Costs!I33/('Global assumptions'!$C$7*NAIRA2010_*250)</f>
        <v>0</v>
      </c>
      <c r="J33" s="1691">
        <f ca="1">Costs!J33/('Global assumptions'!$C$7*NAIRA2010_*250)</f>
        <v>0</v>
      </c>
      <c r="K33" s="1691">
        <f ca="1">Costs!K33/('Global assumptions'!$C$7*NAIRA2010_*250)</f>
        <v>0</v>
      </c>
      <c r="L33" s="1691">
        <f ca="1">Costs!L33/('Global assumptions'!$C$7*NAIRA2010_*250)</f>
        <v>0</v>
      </c>
      <c r="M33" s="1691">
        <f ca="1">Costs!M33/('Global assumptions'!$C$7*NAIRA2010_*250)</f>
        <v>0</v>
      </c>
      <c r="N33" s="675"/>
      <c r="O33" s="1691">
        <f ca="1">Costs!O33/('Global assumptions'!$C$7*NAIRA2010_*250)</f>
        <v>0</v>
      </c>
      <c r="P33" s="1691">
        <f ca="1">Costs!P33/('Global assumptions'!$C$7*NAIRA2010_*250)</f>
        <v>0</v>
      </c>
      <c r="Q33" s="1691">
        <f ca="1">Costs!Q33/('Global assumptions'!$C$7*NAIRA2010_*250)</f>
        <v>0</v>
      </c>
      <c r="R33" s="1691">
        <f ca="1">Costs!R33/('Global assumptions'!$C$7*NAIRA2010_*250)</f>
        <v>0</v>
      </c>
      <c r="S33" s="1691">
        <f ca="1">Costs!S33/('Global assumptions'!$C$7*NAIRA2010_*250)</f>
        <v>0</v>
      </c>
      <c r="T33" s="1691">
        <f ca="1">Costs!T33/('Global assumptions'!$C$7*NAIRA2010_*250)</f>
        <v>0</v>
      </c>
      <c r="U33" s="1691">
        <f ca="1">Costs!U33/('Global assumptions'!$C$7*NAIRA2010_*250)</f>
        <v>0</v>
      </c>
      <c r="V33" s="1691">
        <f ca="1">Costs!V33/('Global assumptions'!$C$7*NAIRA2010_*250)</f>
        <v>0</v>
      </c>
      <c r="W33" s="1691">
        <f ca="1">Costs!W33/('Global assumptions'!$C$7*NAIRA2010_*250)</f>
        <v>0</v>
      </c>
      <c r="X33" s="675"/>
      <c r="Y33" s="1691">
        <f ca="1">Costs!Y33/('Global assumptions'!$C$7*NAIRA2010_*250)</f>
        <v>0</v>
      </c>
      <c r="Z33" s="1691">
        <f ca="1">Costs!Z33/('Global assumptions'!$C$7*NAIRA2010_*250)</f>
        <v>0</v>
      </c>
      <c r="AA33" s="1691">
        <f ca="1">Costs!AA33/('Global assumptions'!$C$7*NAIRA2010_*250)</f>
        <v>0</v>
      </c>
      <c r="AB33" s="1691">
        <f ca="1">Costs!AB33/('Global assumptions'!$C$7*NAIRA2010_*250)</f>
        <v>0</v>
      </c>
      <c r="AC33" s="1691">
        <f ca="1">Costs!AC33/('Global assumptions'!$C$7*NAIRA2010_*250)</f>
        <v>0</v>
      </c>
      <c r="AD33" s="1691">
        <f ca="1">Costs!AD33/('Global assumptions'!$C$7*NAIRA2010_*250)</f>
        <v>0</v>
      </c>
      <c r="AE33" s="1691">
        <f ca="1">Costs!AE33/('Global assumptions'!$C$7*NAIRA2010_*250)</f>
        <v>0</v>
      </c>
      <c r="AF33" s="1691">
        <f ca="1">Costs!AF33/('Global assumptions'!$C$7*NAIRA2010_*250)</f>
        <v>0</v>
      </c>
      <c r="AG33" s="1691">
        <f ca="1">Costs!AG33/('Global assumptions'!$C$7*NAIRA2010_*250)</f>
        <v>0</v>
      </c>
      <c r="AH33" s="675"/>
      <c r="AI33" s="1691">
        <f ca="1">Costs!AI33/('Global assumptions'!$C$7*NAIRA2010_*250)</f>
        <v>0</v>
      </c>
      <c r="AJ33" s="1691">
        <f ca="1">Costs!AJ33/('Global assumptions'!$C$7*NAIRA2010_*250)</f>
        <v>0</v>
      </c>
      <c r="AK33" s="1691">
        <f ca="1">Costs!AK33/('Global assumptions'!$C$7*NAIRA2010_*250)</f>
        <v>0</v>
      </c>
      <c r="AL33" s="1691">
        <f ca="1">Costs!AL33/('Global assumptions'!$C$7*NAIRA2010_*250)</f>
        <v>0</v>
      </c>
      <c r="AM33" s="1691">
        <f ca="1">Costs!AM33/('Global assumptions'!$C$7*NAIRA2010_*250)</f>
        <v>0</v>
      </c>
      <c r="AN33" s="1691">
        <f ca="1">Costs!AN33/('Global assumptions'!$C$7*NAIRA2010_*250)</f>
        <v>0</v>
      </c>
      <c r="AO33" s="1691">
        <f ca="1">Costs!AO33/('Global assumptions'!$C$7*NAIRA2010_*250)</f>
        <v>0</v>
      </c>
      <c r="AP33" s="1691">
        <f ca="1">Costs!AP33/('Global assumptions'!$C$7*NAIRA2010_*250)</f>
        <v>0</v>
      </c>
      <c r="AQ33" s="1691">
        <f ca="1">Costs!AQ33/('Global assumptions'!$C$7*NAIRA2010_*250)</f>
        <v>0</v>
      </c>
      <c r="AS33" s="1707">
        <f t="shared" ca="1" si="3"/>
        <v>0</v>
      </c>
      <c r="AT33" s="1707">
        <f t="shared" ca="1" si="0"/>
        <v>0</v>
      </c>
      <c r="AU33" s="675"/>
      <c r="AV33" s="1700">
        <f>IFERROR(VLOOKUP($A33,Cost.FinanceCostTable,3,FALSE),'Global assumptions'!$D$35)</f>
        <v>0</v>
      </c>
      <c r="AW33" s="1692">
        <f>IFERROR(VLOOKUP($A33,Cost.FinanceCostTable,4,FALSE),'Global assumptions'!$E$35)</f>
        <v>30</v>
      </c>
      <c r="AX33" s="675"/>
      <c r="AY33" s="1691">
        <f ca="1">Costs!AY33/('Global assumptions'!$C$7*NAIRA2010_*250)</f>
        <v>0</v>
      </c>
      <c r="AZ33" s="1691">
        <f ca="1">Costs!AZ33/('Global assumptions'!$C$7*NAIRA2010_*250)</f>
        <v>0</v>
      </c>
      <c r="BA33" s="1691">
        <f ca="1">Costs!BA33/('Global assumptions'!$C$7*NAIRA2010_*250)</f>
        <v>0</v>
      </c>
      <c r="BB33" s="1691">
        <f ca="1">Costs!BB33/('Global assumptions'!$C$7*NAIRA2010_*250)</f>
        <v>0</v>
      </c>
      <c r="BC33" s="1691">
        <f ca="1">Costs!BC33/('Global assumptions'!$C$7*NAIRA2010_*250)</f>
        <v>0</v>
      </c>
      <c r="BD33" s="1691">
        <f ca="1">Costs!BD33/('Global assumptions'!$C$7*NAIRA2010_*250)</f>
        <v>0</v>
      </c>
      <c r="BE33" s="1691">
        <f ca="1">Costs!BE33/('Global assumptions'!$C$7*NAIRA2010_*250)</f>
        <v>0</v>
      </c>
      <c r="BF33" s="1691">
        <f ca="1">Costs!BF33/('Global assumptions'!$C$7*NAIRA2010_*250)</f>
        <v>0</v>
      </c>
      <c r="BG33" s="1691">
        <f ca="1">Costs!BG33/('Global assumptions'!$C$7*NAIRA2010_*250)</f>
        <v>0</v>
      </c>
      <c r="BH33" s="675"/>
      <c r="BI33" s="1691">
        <f ca="1">Costs!BI33/('Global assumptions'!$C$7*NAIRA2010_*250)</f>
        <v>0</v>
      </c>
      <c r="BJ33" s="1691">
        <f ca="1">Costs!BJ33/('Global assumptions'!$C$7*NAIRA2010_*250)</f>
        <v>0</v>
      </c>
      <c r="BK33" s="1691">
        <f ca="1">Costs!BK33/('Global assumptions'!$C$7*NAIRA2010_*250)</f>
        <v>0</v>
      </c>
      <c r="BL33" s="1691">
        <f ca="1">Costs!BL33/('Global assumptions'!$C$7*NAIRA2010_*250)</f>
        <v>0</v>
      </c>
      <c r="BM33" s="1691">
        <f ca="1">Costs!BM33/('Global assumptions'!$C$7*NAIRA2010_*250)</f>
        <v>0</v>
      </c>
      <c r="BN33" s="1691">
        <f ca="1">Costs!BN33/('Global assumptions'!$C$7*NAIRA2010_*250)</f>
        <v>0</v>
      </c>
      <c r="BO33" s="1691">
        <f ca="1">Costs!BO33/('Global assumptions'!$C$7*NAIRA2010_*250)</f>
        <v>0</v>
      </c>
      <c r="BP33" s="1691">
        <f ca="1">Costs!BP33/('Global assumptions'!$C$7*NAIRA2010_*250)</f>
        <v>0</v>
      </c>
      <c r="BQ33" s="1691">
        <f ca="1">Costs!BQ33/('Global assumptions'!$C$7*NAIRA2010_*250)</f>
        <v>0</v>
      </c>
      <c r="BR33" s="675"/>
      <c r="BS33" s="1691">
        <f ca="1">Costs!BS33/('Global assumptions'!$C$7*NAIRA2010_*250)</f>
        <v>0</v>
      </c>
      <c r="BT33" s="1691">
        <f ca="1">Costs!BT33/('Global assumptions'!$C$7*NAIRA2010_*250)</f>
        <v>0</v>
      </c>
      <c r="BU33" s="1691">
        <f ca="1">Costs!BU33/('Global assumptions'!$C$7*NAIRA2010_*250)</f>
        <v>0</v>
      </c>
      <c r="BV33" s="1691">
        <f ca="1">Costs!BV33/('Global assumptions'!$C$7*NAIRA2010_*250)</f>
        <v>0</v>
      </c>
      <c r="BW33" s="1691">
        <f ca="1">Costs!BW33/('Global assumptions'!$C$7*NAIRA2010_*250)</f>
        <v>0</v>
      </c>
      <c r="BX33" s="1691">
        <f ca="1">Costs!BX33/('Global assumptions'!$C$7*NAIRA2010_*250)</f>
        <v>0</v>
      </c>
      <c r="BY33" s="1691">
        <f ca="1">Costs!BY33/('Global assumptions'!$C$7*NAIRA2010_*250)</f>
        <v>0</v>
      </c>
      <c r="BZ33" s="1691">
        <f ca="1">Costs!BZ33/('Global assumptions'!$C$7*NAIRA2010_*250)</f>
        <v>0</v>
      </c>
      <c r="CA33" s="1691">
        <f ca="1">Costs!CA33/('Global assumptions'!$C$7*NAIRA2010_*250)</f>
        <v>0</v>
      </c>
      <c r="CC33" s="1707">
        <f t="shared" ca="1" si="4"/>
        <v>0</v>
      </c>
      <c r="CD33" s="1707">
        <f t="shared" ca="1" si="1"/>
        <v>0</v>
      </c>
      <c r="CF33" s="1691">
        <f ca="1">Costs!CF33/('Global assumptions'!$C$7*NAIRA2010_*250)</f>
        <v>0</v>
      </c>
      <c r="CG33" s="1691">
        <f ca="1">Costs!CG33/('Global assumptions'!$C$7*NAIRA2010_*250)</f>
        <v>0</v>
      </c>
      <c r="CH33" s="1691">
        <f ca="1">Costs!CH33/('Global assumptions'!$C$7*NAIRA2010_*250)</f>
        <v>0</v>
      </c>
      <c r="CI33" s="1691">
        <f ca="1">Costs!CI33/('Global assumptions'!$C$7*NAIRA2010_*250)</f>
        <v>0</v>
      </c>
      <c r="CJ33" s="1691">
        <f ca="1">Costs!CJ33/('Global assumptions'!$C$7*NAIRA2010_*250)</f>
        <v>0</v>
      </c>
      <c r="CK33" s="1691">
        <f ca="1">Costs!CK33/('Global assumptions'!$C$7*NAIRA2010_*250)</f>
        <v>0</v>
      </c>
      <c r="CL33" s="1691">
        <f ca="1">Costs!CL33/('Global assumptions'!$C$7*NAIRA2010_*250)</f>
        <v>0</v>
      </c>
      <c r="CM33" s="1691">
        <f ca="1">Costs!CM33/('Global assumptions'!$C$7*NAIRA2010_*250)</f>
        <v>0</v>
      </c>
      <c r="CN33" s="1691">
        <f ca="1">Costs!CN33/('Global assumptions'!$C$7*NAIRA2010_*250)</f>
        <v>0</v>
      </c>
      <c r="CP33" s="1707">
        <f t="shared" ca="1" si="5"/>
        <v>0</v>
      </c>
      <c r="CQ33" s="1707">
        <f t="shared" ca="1" si="2"/>
        <v>0</v>
      </c>
      <c r="CR33" s="1426" t="str">
        <f t="shared" ca="1" si="6"/>
        <v>ok</v>
      </c>
    </row>
    <row r="34" spans="1:96" x14ac:dyDescent="0.2">
      <c r="A34" s="1683" t="s">
        <v>375</v>
      </c>
      <c r="B34" s="1683" t="s">
        <v>606</v>
      </c>
      <c r="C34" s="1683" t="s">
        <v>125</v>
      </c>
      <c r="E34" s="1689">
        <f ca="1">Costs!E34/('Global assumptions'!$C$7*NAIRA2010_*250)</f>
        <v>0</v>
      </c>
      <c r="F34" s="1689">
        <f ca="1">Costs!F34/('Global assumptions'!$C$7*NAIRA2010_*250)</f>
        <v>20.160707322933241</v>
      </c>
      <c r="G34" s="1689">
        <f ca="1">Costs!G34/('Global assumptions'!$C$7*NAIRA2010_*250)</f>
        <v>23.278602282869684</v>
      </c>
      <c r="H34" s="1689">
        <f ca="1">Costs!H34/('Global assumptions'!$C$7*NAIRA2010_*250)</f>
        <v>26.396497242806145</v>
      </c>
      <c r="I34" s="1689">
        <f ca="1">Costs!I34/('Global assumptions'!$C$7*NAIRA2010_*250)</f>
        <v>18.511542877922434</v>
      </c>
      <c r="J34" s="1689">
        <f ca="1">Costs!J34/('Global assumptions'!$C$7*NAIRA2010_*250)</f>
        <v>28.112011202991297</v>
      </c>
      <c r="K34" s="1689">
        <f ca="1">Costs!K34/('Global assumptions'!$C$7*NAIRA2010_*250)</f>
        <v>14.40637673719144</v>
      </c>
      <c r="L34" s="1689">
        <f ca="1">Costs!L34/('Global assumptions'!$C$7*NAIRA2010_*250)</f>
        <v>28.036546670586866</v>
      </c>
      <c r="M34" s="1689">
        <f ca="1">Costs!M34/('Global assumptions'!$C$7*NAIRA2010_*250)</f>
        <v>13.42123345750003</v>
      </c>
      <c r="N34" s="675"/>
      <c r="O34" s="1689">
        <f ca="1">Costs!O34/('Global assumptions'!$C$7*NAIRA2010_*250)</f>
        <v>4.8128167743835508</v>
      </c>
      <c r="P34" s="1689">
        <f ca="1">Costs!P34/('Global assumptions'!$C$7*NAIRA2010_*250)</f>
        <v>6.077158242921084</v>
      </c>
      <c r="Q34" s="1689">
        <f ca="1">Costs!Q34/('Global assumptions'!$C$7*NAIRA2010_*250)</f>
        <v>7.3414997114586162</v>
      </c>
      <c r="R34" s="1689">
        <f ca="1">Costs!R34/('Global assumptions'!$C$7*NAIRA2010_*250)</f>
        <v>8.6058411799961476</v>
      </c>
      <c r="S34" s="1689">
        <f ca="1">Costs!S34/('Global assumptions'!$C$7*NAIRA2010_*250)</f>
        <v>9.2689799554133856</v>
      </c>
      <c r="T34" s="1689">
        <f ca="1">Costs!T34/('Global assumptions'!$C$7*NAIRA2010_*250)</f>
        <v>10.386965655975917</v>
      </c>
      <c r="U34" s="1689">
        <f ca="1">Costs!U34/('Global assumptions'!$C$7*NAIRA2010_*250)</f>
        <v>10.611037127468158</v>
      </c>
      <c r="V34" s="1689">
        <f ca="1">Costs!V34/('Global assumptions'!$C$7*NAIRA2010_*250)</f>
        <v>11.582667060055689</v>
      </c>
      <c r="W34" s="1689">
        <f ca="1">Costs!W34/('Global assumptions'!$C$7*NAIRA2010_*250)</f>
        <v>11.635618981014609</v>
      </c>
      <c r="X34" s="675"/>
      <c r="Y34" s="1689">
        <f ca="1">Costs!Y34/('Global assumptions'!$C$7*NAIRA2010_*250)</f>
        <v>0</v>
      </c>
      <c r="Z34" s="1689">
        <f ca="1">Costs!Z34/('Global assumptions'!$C$7*NAIRA2010_*250)</f>
        <v>0</v>
      </c>
      <c r="AA34" s="1689">
        <f ca="1">Costs!AA34/('Global assumptions'!$C$7*NAIRA2010_*250)</f>
        <v>0</v>
      </c>
      <c r="AB34" s="1689">
        <f ca="1">Costs!AB34/('Global assumptions'!$C$7*NAIRA2010_*250)</f>
        <v>0</v>
      </c>
      <c r="AC34" s="1689">
        <f ca="1">Costs!AC34/('Global assumptions'!$C$7*NAIRA2010_*250)</f>
        <v>0</v>
      </c>
      <c r="AD34" s="1689">
        <f ca="1">Costs!AD34/('Global assumptions'!$C$7*NAIRA2010_*250)</f>
        <v>0</v>
      </c>
      <c r="AE34" s="1689">
        <f ca="1">Costs!AE34/('Global assumptions'!$C$7*NAIRA2010_*250)</f>
        <v>0</v>
      </c>
      <c r="AF34" s="1689">
        <f ca="1">Costs!AF34/('Global assumptions'!$C$7*NAIRA2010_*250)</f>
        <v>0</v>
      </c>
      <c r="AG34" s="1689">
        <f ca="1">Costs!AG34/('Global assumptions'!$C$7*NAIRA2010_*250)</f>
        <v>0</v>
      </c>
      <c r="AH34" s="675"/>
      <c r="AI34" s="1689">
        <f ca="1">Costs!AI34/('Global assumptions'!$C$7*NAIRA2010_*250)</f>
        <v>4.8128167743835508</v>
      </c>
      <c r="AJ34" s="1689">
        <f ca="1">Costs!AJ34/('Global assumptions'!$C$7*NAIRA2010_*250)</f>
        <v>26.237865565854328</v>
      </c>
      <c r="AK34" s="1689">
        <f ca="1">Costs!AK34/('Global assumptions'!$C$7*NAIRA2010_*250)</f>
        <v>30.620101994328301</v>
      </c>
      <c r="AL34" s="1689">
        <f ca="1">Costs!AL34/('Global assumptions'!$C$7*NAIRA2010_*250)</f>
        <v>35.002338422802289</v>
      </c>
      <c r="AM34" s="1689">
        <f ca="1">Costs!AM34/('Global assumptions'!$C$7*NAIRA2010_*250)</f>
        <v>27.780522833335819</v>
      </c>
      <c r="AN34" s="1689">
        <f ca="1">Costs!AN34/('Global assumptions'!$C$7*NAIRA2010_*250)</f>
        <v>38.498976858967211</v>
      </c>
      <c r="AO34" s="1689">
        <f ca="1">Costs!AO34/('Global assumptions'!$C$7*NAIRA2010_*250)</f>
        <v>25.017413864659598</v>
      </c>
      <c r="AP34" s="1689">
        <f ca="1">Costs!AP34/('Global assumptions'!$C$7*NAIRA2010_*250)</f>
        <v>39.619213730642556</v>
      </c>
      <c r="AQ34" s="1689">
        <f ca="1">Costs!AQ34/('Global assumptions'!$C$7*NAIRA2010_*250)</f>
        <v>25.056852438514639</v>
      </c>
      <c r="AS34" s="1706">
        <f t="shared" ca="1" si="3"/>
        <v>28.07178916483203</v>
      </c>
      <c r="AT34" s="1706">
        <f t="shared" ca="1" si="0"/>
        <v>247.91174634655414</v>
      </c>
      <c r="AU34" s="675"/>
      <c r="AV34" s="1699">
        <f>IFERROR(VLOOKUP($A34,Cost.FinanceCostTable,3,FALSE),'Global assumptions'!$D$35)</f>
        <v>0</v>
      </c>
      <c r="AW34" s="1690">
        <f>IFERROR(VLOOKUP($A34,Cost.FinanceCostTable,4,FALSE),'Global assumptions'!$E$35)</f>
        <v>10</v>
      </c>
      <c r="AX34" s="675"/>
      <c r="AY34" s="1689">
        <f ca="1">Costs!AY34/('Global assumptions'!$C$7*NAIRA2010_*250)</f>
        <v>0</v>
      </c>
      <c r="AZ34" s="1689">
        <f ca="1">Costs!AZ34/('Global assumptions'!$C$7*NAIRA2010_*250)</f>
        <v>10.080353661466621</v>
      </c>
      <c r="BA34" s="1689">
        <f ca="1">Costs!BA34/('Global assumptions'!$C$7*NAIRA2010_*250)</f>
        <v>11.639301141434842</v>
      </c>
      <c r="BB34" s="1689">
        <f ca="1">Costs!BB34/('Global assumptions'!$C$7*NAIRA2010_*250)</f>
        <v>13.198248621403073</v>
      </c>
      <c r="BC34" s="1689">
        <f ca="1">Costs!BC34/('Global assumptions'!$C$7*NAIRA2010_*250)</f>
        <v>9.2557714389612169</v>
      </c>
      <c r="BD34" s="1689">
        <f ca="1">Costs!BD34/('Global assumptions'!$C$7*NAIRA2010_*250)</f>
        <v>14.056005601495649</v>
      </c>
      <c r="BE34" s="1689">
        <f ca="1">Costs!BE34/('Global assumptions'!$C$7*NAIRA2010_*250)</f>
        <v>7.2031883685957201</v>
      </c>
      <c r="BF34" s="1689">
        <f ca="1">Costs!BF34/('Global assumptions'!$C$7*NAIRA2010_*250)</f>
        <v>14.018273335293435</v>
      </c>
      <c r="BG34" s="1689">
        <f ca="1">Costs!BG34/('Global assumptions'!$C$7*NAIRA2010_*250)</f>
        <v>6.7106167287500149</v>
      </c>
      <c r="BH34" s="675"/>
      <c r="BI34" s="1689">
        <f ca="1">Costs!BI34/('Global assumptions'!$C$7*NAIRA2010_*250)</f>
        <v>0</v>
      </c>
      <c r="BJ34" s="1689">
        <f ca="1">Costs!BJ34/('Global assumptions'!$C$7*NAIRA2010_*250)</f>
        <v>10.080353661466621</v>
      </c>
      <c r="BK34" s="1689">
        <f ca="1">Costs!BK34/('Global assumptions'!$C$7*NAIRA2010_*250)</f>
        <v>21.719654802901463</v>
      </c>
      <c r="BL34" s="1689">
        <f ca="1">Costs!BL34/('Global assumptions'!$C$7*NAIRA2010_*250)</f>
        <v>24.837549762837913</v>
      </c>
      <c r="BM34" s="1689">
        <f ca="1">Costs!BM34/('Global assumptions'!$C$7*NAIRA2010_*250)</f>
        <v>22.454020060364289</v>
      </c>
      <c r="BN34" s="1689">
        <f ca="1">Costs!BN34/('Global assumptions'!$C$7*NAIRA2010_*250)</f>
        <v>23.311777040456864</v>
      </c>
      <c r="BO34" s="1689">
        <f ca="1">Costs!BO34/('Global assumptions'!$C$7*NAIRA2010_*250)</f>
        <v>21.259193970091371</v>
      </c>
      <c r="BP34" s="1689">
        <f ca="1">Costs!BP34/('Global assumptions'!$C$7*NAIRA2010_*250)</f>
        <v>21.221461703889155</v>
      </c>
      <c r="BQ34" s="1689">
        <f ca="1">Costs!BQ34/('Global assumptions'!$C$7*NAIRA2010_*250)</f>
        <v>20.728890064043448</v>
      </c>
      <c r="BR34" s="675"/>
      <c r="BS34" s="1689">
        <f ca="1">Costs!BS34/('Global assumptions'!$C$7*NAIRA2010_*250)</f>
        <v>4.8128167743835508</v>
      </c>
      <c r="BT34" s="1689">
        <f ca="1">Costs!BT34/('Global assumptions'!$C$7*NAIRA2010_*250)</f>
        <v>16.157511904387704</v>
      </c>
      <c r="BU34" s="1689">
        <f ca="1">Costs!BU34/('Global assumptions'!$C$7*NAIRA2010_*250)</f>
        <v>29.061154514360084</v>
      </c>
      <c r="BV34" s="1689">
        <f ca="1">Costs!BV34/('Global assumptions'!$C$7*NAIRA2010_*250)</f>
        <v>33.443390942834057</v>
      </c>
      <c r="BW34" s="1689">
        <f ca="1">Costs!BW34/('Global assumptions'!$C$7*NAIRA2010_*250)</f>
        <v>31.723000015777675</v>
      </c>
      <c r="BX34" s="1689">
        <f ca="1">Costs!BX34/('Global assumptions'!$C$7*NAIRA2010_*250)</f>
        <v>33.698742696432781</v>
      </c>
      <c r="BY34" s="1689">
        <f ca="1">Costs!BY34/('Global assumptions'!$C$7*NAIRA2010_*250)</f>
        <v>31.870231097559532</v>
      </c>
      <c r="BZ34" s="1689">
        <f ca="1">Costs!BZ34/('Global assumptions'!$C$7*NAIRA2010_*250)</f>
        <v>32.804128763944846</v>
      </c>
      <c r="CA34" s="1689">
        <f ca="1">Costs!CA34/('Global assumptions'!$C$7*NAIRA2010_*250)</f>
        <v>32.364509045058057</v>
      </c>
      <c r="CC34" s="1706">
        <f t="shared" ca="1" si="4"/>
        <v>27.326165083859809</v>
      </c>
      <c r="CD34" s="1706">
        <f t="shared" ca="1" si="1"/>
        <v>214.29712669176917</v>
      </c>
      <c r="CF34" s="1689">
        <f ca="1">Costs!CF34/('Global assumptions'!$C$7*NAIRA2010_*250)</f>
        <v>0</v>
      </c>
      <c r="CG34" s="1689">
        <f ca="1">Costs!CG34/('Global assumptions'!$C$7*NAIRA2010_*250)</f>
        <v>-10.080353661466621</v>
      </c>
      <c r="CH34" s="1689">
        <f ca="1">Costs!CH34/('Global assumptions'!$C$7*NAIRA2010_*250)</f>
        <v>-1.5589474799682213</v>
      </c>
      <c r="CI34" s="1689">
        <f ca="1">Costs!CI34/('Global assumptions'!$C$7*NAIRA2010_*250)</f>
        <v>-1.5589474799682308</v>
      </c>
      <c r="CJ34" s="1689">
        <f ca="1">Costs!CJ34/('Global assumptions'!$C$7*NAIRA2010_*250)</f>
        <v>3.9424771824418556</v>
      </c>
      <c r="CK34" s="1689">
        <f ca="1">Costs!CK34/('Global assumptions'!$C$7*NAIRA2010_*250)</f>
        <v>-4.8002341625344318</v>
      </c>
      <c r="CL34" s="1689">
        <f ca="1">Costs!CL34/('Global assumptions'!$C$7*NAIRA2010_*250)</f>
        <v>6.8528172328999295</v>
      </c>
      <c r="CM34" s="1689">
        <f ca="1">Costs!CM34/('Global assumptions'!$C$7*NAIRA2010_*250)</f>
        <v>-6.8150849666977109</v>
      </c>
      <c r="CN34" s="1689">
        <f ca="1">Costs!CN34/('Global assumptions'!$C$7*NAIRA2010_*250)</f>
        <v>7.3076566065434188</v>
      </c>
      <c r="CP34" s="1706">
        <f t="shared" ca="1" si="5"/>
        <v>-0.74562408097222344</v>
      </c>
      <c r="CQ34" s="1706">
        <f t="shared" ca="1" si="2"/>
        <v>-33.61461965478496</v>
      </c>
      <c r="CR34" s="1426" t="str">
        <f t="shared" ca="1" si="6"/>
        <v>ok</v>
      </c>
    </row>
    <row r="35" spans="1:96" x14ac:dyDescent="0.2">
      <c r="A35" s="1683" t="s">
        <v>405</v>
      </c>
      <c r="B35" s="1683" t="s">
        <v>111</v>
      </c>
      <c r="C35" s="1683" t="s">
        <v>33</v>
      </c>
      <c r="E35" s="1689">
        <f ca="1">Costs!E35/('Global assumptions'!$C$7*NAIRA2010_*250)</f>
        <v>0</v>
      </c>
      <c r="F35" s="1689">
        <f ca="1">Costs!F35/('Global assumptions'!$C$7*NAIRA2010_*250)</f>
        <v>0.77397143286899894</v>
      </c>
      <c r="G35" s="1689">
        <f ca="1">Costs!G35/('Global assumptions'!$C$7*NAIRA2010_*250)</f>
        <v>0.77397143286899894</v>
      </c>
      <c r="H35" s="1689">
        <f ca="1">Costs!H35/('Global assumptions'!$C$7*NAIRA2010_*250)</f>
        <v>0.7206670549166041</v>
      </c>
      <c r="I35" s="1689">
        <f ca="1">Costs!I35/('Global assumptions'!$C$7*NAIRA2010_*250)</f>
        <v>0.61781718451631085</v>
      </c>
      <c r="J35" s="1689">
        <f ca="1">Costs!J35/('Global assumptions'!$C$7*NAIRA2010_*250)</f>
        <v>0.53478551109517725</v>
      </c>
      <c r="K35" s="1689">
        <f ca="1">Costs!K35/('Global assumptions'!$C$7*NAIRA2010_*250)</f>
        <v>0.51140661058131298</v>
      </c>
      <c r="L35" s="1689">
        <f ca="1">Costs!L35/('Global assumptions'!$C$7*NAIRA2010_*250)</f>
        <v>0.50744954310702461</v>
      </c>
      <c r="M35" s="1689">
        <f ca="1">Costs!M35/('Global assumptions'!$C$7*NAIRA2010_*250)</f>
        <v>0.50369065760252829</v>
      </c>
      <c r="N35" s="675"/>
      <c r="O35" s="1689">
        <f ca="1">Costs!O35/('Global assumptions'!$C$7*NAIRA2010_*250)</f>
        <v>2.1952143487423208</v>
      </c>
      <c r="P35" s="1689">
        <f ca="1">Costs!P35/('Global assumptions'!$C$7*NAIRA2010_*250)</f>
        <v>2.1952143487423208</v>
      </c>
      <c r="Q35" s="1689">
        <f ca="1">Costs!Q35/('Global assumptions'!$C$7*NAIRA2010_*250)</f>
        <v>2.0440271984645322</v>
      </c>
      <c r="R35" s="1689">
        <f ca="1">Costs!R35/('Global assumptions'!$C$7*NAIRA2010_*250)</f>
        <v>1.7523142208523119</v>
      </c>
      <c r="S35" s="1689">
        <f ca="1">Costs!S35/('Global assumptions'!$C$7*NAIRA2010_*250)</f>
        <v>1.5168115741738659</v>
      </c>
      <c r="T35" s="1689">
        <f ca="1">Costs!T35/('Global assumptions'!$C$7*NAIRA2010_*250)</f>
        <v>1.4505020236060724</v>
      </c>
      <c r="U35" s="1689">
        <f ca="1">Costs!U35/('Global assumptions'!$C$7*NAIRA2010_*250)</f>
        <v>1.4392785973533759</v>
      </c>
      <c r="V35" s="1689">
        <f ca="1">Costs!V35/('Global assumptions'!$C$7*NAIRA2010_*250)</f>
        <v>1.4286172744100178</v>
      </c>
      <c r="W35" s="1689">
        <f ca="1">Costs!W35/('Global assumptions'!$C$7*NAIRA2010_*250)</f>
        <v>1.4179559514666595</v>
      </c>
      <c r="X35" s="675"/>
      <c r="Y35" s="1689">
        <f ca="1">Costs!Y35/('Global assumptions'!$C$7*NAIRA2010_*250)</f>
        <v>0</v>
      </c>
      <c r="Z35" s="1689">
        <f ca="1">Costs!Z35/('Global assumptions'!$C$7*NAIRA2010_*250)</f>
        <v>0</v>
      </c>
      <c r="AA35" s="1689">
        <f ca="1">Costs!AA35/('Global assumptions'!$C$7*NAIRA2010_*250)</f>
        <v>0</v>
      </c>
      <c r="AB35" s="1689">
        <f ca="1">Costs!AB35/('Global assumptions'!$C$7*NAIRA2010_*250)</f>
        <v>0</v>
      </c>
      <c r="AC35" s="1689">
        <f ca="1">Costs!AC35/('Global assumptions'!$C$7*NAIRA2010_*250)</f>
        <v>0</v>
      </c>
      <c r="AD35" s="1689">
        <f ca="1">Costs!AD35/('Global assumptions'!$C$7*NAIRA2010_*250)</f>
        <v>0</v>
      </c>
      <c r="AE35" s="1689">
        <f ca="1">Costs!AE35/('Global assumptions'!$C$7*NAIRA2010_*250)</f>
        <v>0</v>
      </c>
      <c r="AF35" s="1689">
        <f ca="1">Costs!AF35/('Global assumptions'!$C$7*NAIRA2010_*250)</f>
        <v>0</v>
      </c>
      <c r="AG35" s="1689">
        <f ca="1">Costs!AG35/('Global assumptions'!$C$7*NAIRA2010_*250)</f>
        <v>0</v>
      </c>
      <c r="AH35" s="675"/>
      <c r="AI35" s="1689">
        <f ca="1">Costs!AI35/('Global assumptions'!$C$7*NAIRA2010_*250)</f>
        <v>2.1952143487423208</v>
      </c>
      <c r="AJ35" s="1689">
        <f ca="1">Costs!AJ35/('Global assumptions'!$C$7*NAIRA2010_*250)</f>
        <v>2.9691857816113196</v>
      </c>
      <c r="AK35" s="1689">
        <f ca="1">Costs!AK35/('Global assumptions'!$C$7*NAIRA2010_*250)</f>
        <v>2.8179986313335315</v>
      </c>
      <c r="AL35" s="1689">
        <f ca="1">Costs!AL35/('Global assumptions'!$C$7*NAIRA2010_*250)</f>
        <v>2.472981275768916</v>
      </c>
      <c r="AM35" s="1689">
        <f ca="1">Costs!AM35/('Global assumptions'!$C$7*NAIRA2010_*250)</f>
        <v>2.1346287586901767</v>
      </c>
      <c r="AN35" s="1689">
        <f ca="1">Costs!AN35/('Global assumptions'!$C$7*NAIRA2010_*250)</f>
        <v>1.9852875347012497</v>
      </c>
      <c r="AO35" s="1689">
        <f ca="1">Costs!AO35/('Global assumptions'!$C$7*NAIRA2010_*250)</f>
        <v>1.9506852079346888</v>
      </c>
      <c r="AP35" s="1689">
        <f ca="1">Costs!AP35/('Global assumptions'!$C$7*NAIRA2010_*250)</f>
        <v>1.9360668175170426</v>
      </c>
      <c r="AQ35" s="1689">
        <f ca="1">Costs!AQ35/('Global assumptions'!$C$7*NAIRA2010_*250)</f>
        <v>1.9216466090691877</v>
      </c>
      <c r="AS35" s="1706">
        <f t="shared" ca="1" si="3"/>
        <v>2.2648549961520481</v>
      </c>
      <c r="AT35" s="1706">
        <f t="shared" ca="1" si="0"/>
        <v>23.755620117385867</v>
      </c>
      <c r="AU35" s="675"/>
      <c r="AV35" s="1699">
        <f>IFERROR(VLOOKUP($A35,Cost.FinanceCostTable,3,FALSE),'Global assumptions'!$D$35)</f>
        <v>0</v>
      </c>
      <c r="AW35" s="1690">
        <f>IFERROR(VLOOKUP($A35,Cost.FinanceCostTable,4,FALSE),'Global assumptions'!$E$35)</f>
        <v>15</v>
      </c>
      <c r="AX35" s="675"/>
      <c r="AY35" s="1689">
        <f ca="1">Costs!AY35/('Global assumptions'!$C$7*NAIRA2010_*250)</f>
        <v>0</v>
      </c>
      <c r="AZ35" s="1689">
        <f ca="1">Costs!AZ35/('Global assumptions'!$C$7*NAIRA2010_*250)</f>
        <v>0.2579904776229997</v>
      </c>
      <c r="BA35" s="1689">
        <f ca="1">Costs!BA35/('Global assumptions'!$C$7*NAIRA2010_*250)</f>
        <v>0.2579904776229997</v>
      </c>
      <c r="BB35" s="1689">
        <f ca="1">Costs!BB35/('Global assumptions'!$C$7*NAIRA2010_*250)</f>
        <v>0.24022235163886801</v>
      </c>
      <c r="BC35" s="1689">
        <f ca="1">Costs!BC35/('Global assumptions'!$C$7*NAIRA2010_*250)</f>
        <v>0.20593906150543695</v>
      </c>
      <c r="BD35" s="1689">
        <f ca="1">Costs!BD35/('Global assumptions'!$C$7*NAIRA2010_*250)</f>
        <v>0.17826183703172577</v>
      </c>
      <c r="BE35" s="1689">
        <f ca="1">Costs!BE35/('Global assumptions'!$C$7*NAIRA2010_*250)</f>
        <v>0.17046887019377097</v>
      </c>
      <c r="BF35" s="1689">
        <f ca="1">Costs!BF35/('Global assumptions'!$C$7*NAIRA2010_*250)</f>
        <v>0.16914984770234154</v>
      </c>
      <c r="BG35" s="1689">
        <f ca="1">Costs!BG35/('Global assumptions'!$C$7*NAIRA2010_*250)</f>
        <v>0.16789688586750939</v>
      </c>
      <c r="BH35" s="675"/>
      <c r="BI35" s="1689">
        <f ca="1">Costs!BI35/('Global assumptions'!$C$7*NAIRA2010_*250)</f>
        <v>0</v>
      </c>
      <c r="BJ35" s="1689">
        <f ca="1">Costs!BJ35/('Global assumptions'!$C$7*NAIRA2010_*250)</f>
        <v>0.2579904776229997</v>
      </c>
      <c r="BK35" s="1689">
        <f ca="1">Costs!BK35/('Global assumptions'!$C$7*NAIRA2010_*250)</f>
        <v>0.51598095524599941</v>
      </c>
      <c r="BL35" s="1689">
        <f ca="1">Costs!BL35/('Global assumptions'!$C$7*NAIRA2010_*250)</f>
        <v>0.75620330688486737</v>
      </c>
      <c r="BM35" s="1689">
        <f ca="1">Costs!BM35/('Global assumptions'!$C$7*NAIRA2010_*250)</f>
        <v>0.70415189076730456</v>
      </c>
      <c r="BN35" s="1689">
        <f ca="1">Costs!BN35/('Global assumptions'!$C$7*NAIRA2010_*250)</f>
        <v>0.62442325017603073</v>
      </c>
      <c r="BO35" s="1689">
        <f ca="1">Costs!BO35/('Global assumptions'!$C$7*NAIRA2010_*250)</f>
        <v>0.55466976873093365</v>
      </c>
      <c r="BP35" s="1689">
        <f ca="1">Costs!BP35/('Global assumptions'!$C$7*NAIRA2010_*250)</f>
        <v>0.51788055492783824</v>
      </c>
      <c r="BQ35" s="1689">
        <f ca="1">Costs!BQ35/('Global assumptions'!$C$7*NAIRA2010_*250)</f>
        <v>0.50751560376362193</v>
      </c>
      <c r="BR35" s="675"/>
      <c r="BS35" s="1689">
        <f ca="1">Costs!BS35/('Global assumptions'!$C$7*NAIRA2010_*250)</f>
        <v>2.1952143487423208</v>
      </c>
      <c r="BT35" s="1689">
        <f ca="1">Costs!BT35/('Global assumptions'!$C$7*NAIRA2010_*250)</f>
        <v>2.4532048263653206</v>
      </c>
      <c r="BU35" s="1689">
        <f ca="1">Costs!BU35/('Global assumptions'!$C$7*NAIRA2010_*250)</f>
        <v>2.5600081537105317</v>
      </c>
      <c r="BV35" s="1689">
        <f ca="1">Costs!BV35/('Global assumptions'!$C$7*NAIRA2010_*250)</f>
        <v>2.5085175277371792</v>
      </c>
      <c r="BW35" s="1689">
        <f ca="1">Costs!BW35/('Global assumptions'!$C$7*NAIRA2010_*250)</f>
        <v>2.2209634649411707</v>
      </c>
      <c r="BX35" s="1689">
        <f ca="1">Costs!BX35/('Global assumptions'!$C$7*NAIRA2010_*250)</f>
        <v>2.0749252737821031</v>
      </c>
      <c r="BY35" s="1689">
        <f ca="1">Costs!BY35/('Global assumptions'!$C$7*NAIRA2010_*250)</f>
        <v>1.9939483660843096</v>
      </c>
      <c r="BZ35" s="1689">
        <f ca="1">Costs!BZ35/('Global assumptions'!$C$7*NAIRA2010_*250)</f>
        <v>1.9464978293378561</v>
      </c>
      <c r="CA35" s="1689">
        <f ca="1">Costs!CA35/('Global assumptions'!$C$7*NAIRA2010_*250)</f>
        <v>1.9254715552302815</v>
      </c>
      <c r="CC35" s="1706">
        <f t="shared" ca="1" si="4"/>
        <v>2.2087501495478969</v>
      </c>
      <c r="CD35" s="1706">
        <f t="shared" ca="1" si="1"/>
        <v>21.820227325196871</v>
      </c>
      <c r="CF35" s="1689">
        <f ca="1">Costs!CF35/('Global assumptions'!$C$7*NAIRA2010_*250)</f>
        <v>0</v>
      </c>
      <c r="CG35" s="1689">
        <f ca="1">Costs!CG35/('Global assumptions'!$C$7*NAIRA2010_*250)</f>
        <v>-0.5159809552459993</v>
      </c>
      <c r="CH35" s="1689">
        <f ca="1">Costs!CH35/('Global assumptions'!$C$7*NAIRA2010_*250)</f>
        <v>-0.25799047762299965</v>
      </c>
      <c r="CI35" s="1689">
        <f ca="1">Costs!CI35/('Global assumptions'!$C$7*NAIRA2010_*250)</f>
        <v>3.5536251968263342E-2</v>
      </c>
      <c r="CJ35" s="1689">
        <f ca="1">Costs!CJ35/('Global assumptions'!$C$7*NAIRA2010_*250)</f>
        <v>8.6334706250993709E-2</v>
      </c>
      <c r="CK35" s="1689">
        <f ca="1">Costs!CK35/('Global assumptions'!$C$7*NAIRA2010_*250)</f>
        <v>8.9637739080853429E-2</v>
      </c>
      <c r="CL35" s="1689">
        <f ca="1">Costs!CL35/('Global assumptions'!$C$7*NAIRA2010_*250)</f>
        <v>4.3263158149620715E-2</v>
      </c>
      <c r="CM35" s="1689">
        <f ca="1">Costs!CM35/('Global assumptions'!$C$7*NAIRA2010_*250)</f>
        <v>1.0431011820813666E-2</v>
      </c>
      <c r="CN35" s="1689">
        <f ca="1">Costs!CN35/('Global assumptions'!$C$7*NAIRA2010_*250)</f>
        <v>3.8249461610936506E-3</v>
      </c>
      <c r="CP35" s="1706">
        <f t="shared" ca="1" si="5"/>
        <v>-5.6104846604151173E-2</v>
      </c>
      <c r="CQ35" s="1706">
        <f t="shared" ca="1" si="2"/>
        <v>-1.9353927921889971</v>
      </c>
      <c r="CR35" s="1426" t="str">
        <f t="shared" ca="1" si="6"/>
        <v>ok</v>
      </c>
    </row>
    <row r="36" spans="1:96" x14ac:dyDescent="0.2">
      <c r="A36" s="1685" t="s">
        <v>1707</v>
      </c>
      <c r="B36" s="1685" t="s">
        <v>1710</v>
      </c>
      <c r="C36" s="1685" t="s">
        <v>1732</v>
      </c>
      <c r="E36" s="1691">
        <f ca="1">Costs!E36/('Global assumptions'!$C$7*NAIRA2010_*250)</f>
        <v>0</v>
      </c>
      <c r="F36" s="1691">
        <f ca="1">Costs!F36/('Global assumptions'!$C$7*NAIRA2010_*250)</f>
        <v>0</v>
      </c>
      <c r="G36" s="1691">
        <f ca="1">Costs!G36/('Global assumptions'!$C$7*NAIRA2010_*250)</f>
        <v>0</v>
      </c>
      <c r="H36" s="1691">
        <f ca="1">Costs!H36/('Global assumptions'!$C$7*NAIRA2010_*250)</f>
        <v>0</v>
      </c>
      <c r="I36" s="1691">
        <f ca="1">Costs!I36/('Global assumptions'!$C$7*NAIRA2010_*250)</f>
        <v>0</v>
      </c>
      <c r="J36" s="1691">
        <f ca="1">Costs!J36/('Global assumptions'!$C$7*NAIRA2010_*250)</f>
        <v>0</v>
      </c>
      <c r="K36" s="1691">
        <f ca="1">Costs!K36/('Global assumptions'!$C$7*NAIRA2010_*250)</f>
        <v>0</v>
      </c>
      <c r="L36" s="1691">
        <f ca="1">Costs!L36/('Global assumptions'!$C$7*NAIRA2010_*250)</f>
        <v>0</v>
      </c>
      <c r="M36" s="1691">
        <f ca="1">Costs!M36/('Global assumptions'!$C$7*NAIRA2010_*250)</f>
        <v>0</v>
      </c>
      <c r="N36" s="675"/>
      <c r="O36" s="1691">
        <f ca="1">Costs!O36/('Global assumptions'!$C$7*NAIRA2010_*250)</f>
        <v>0</v>
      </c>
      <c r="P36" s="1691">
        <f ca="1">Costs!P36/('Global assumptions'!$C$7*NAIRA2010_*250)</f>
        <v>0</v>
      </c>
      <c r="Q36" s="1691">
        <f ca="1">Costs!Q36/('Global assumptions'!$C$7*NAIRA2010_*250)</f>
        <v>0</v>
      </c>
      <c r="R36" s="1691">
        <f ca="1">Costs!R36/('Global assumptions'!$C$7*NAIRA2010_*250)</f>
        <v>0</v>
      </c>
      <c r="S36" s="1691">
        <f ca="1">Costs!S36/('Global assumptions'!$C$7*NAIRA2010_*250)</f>
        <v>0</v>
      </c>
      <c r="T36" s="1691">
        <f ca="1">Costs!T36/('Global assumptions'!$C$7*NAIRA2010_*250)</f>
        <v>0</v>
      </c>
      <c r="U36" s="1691">
        <f ca="1">Costs!U36/('Global assumptions'!$C$7*NAIRA2010_*250)</f>
        <v>0</v>
      </c>
      <c r="V36" s="1691">
        <f ca="1">Costs!V36/('Global assumptions'!$C$7*NAIRA2010_*250)</f>
        <v>0</v>
      </c>
      <c r="W36" s="1691">
        <f ca="1">Costs!W36/('Global assumptions'!$C$7*NAIRA2010_*250)</f>
        <v>0</v>
      </c>
      <c r="X36" s="675"/>
      <c r="Y36" s="1691">
        <f ca="1">Costs!Y36/('Global assumptions'!$C$7*NAIRA2010_*250)</f>
        <v>0.53427271797237252</v>
      </c>
      <c r="Z36" s="1691">
        <f ca="1">Costs!Z36/('Global assumptions'!$C$7*NAIRA2010_*250)</f>
        <v>0.51283575810957871</v>
      </c>
      <c r="AA36" s="1691">
        <f ca="1">Costs!AA36/('Global assumptions'!$C$7*NAIRA2010_*250)</f>
        <v>0.57101428793615761</v>
      </c>
      <c r="AB36" s="1691">
        <f ca="1">Costs!AB36/('Global assumptions'!$C$7*NAIRA2010_*250)</f>
        <v>1.3324905057881269</v>
      </c>
      <c r="AC36" s="1691">
        <f ca="1">Costs!AC36/('Global assumptions'!$C$7*NAIRA2010_*250)</f>
        <v>2.4707507444809127</v>
      </c>
      <c r="AD36" s="1691">
        <f ca="1">Costs!AD36/('Global assumptions'!$C$7*NAIRA2010_*250)</f>
        <v>3.669791546949591</v>
      </c>
      <c r="AE36" s="1691">
        <f ca="1">Costs!AE36/('Global assumptions'!$C$7*NAIRA2010_*250)</f>
        <v>4.8688323494182688</v>
      </c>
      <c r="AF36" s="1691">
        <f ca="1">Costs!AF36/('Global assumptions'!$C$7*NAIRA2010_*250)</f>
        <v>6.067873151886948</v>
      </c>
      <c r="AG36" s="1691">
        <f ca="1">Costs!AG36/('Global assumptions'!$C$7*NAIRA2010_*250)</f>
        <v>7.4461797707689268</v>
      </c>
      <c r="AH36" s="675"/>
      <c r="AI36" s="1691">
        <f ca="1">Costs!AI36/('Global assumptions'!$C$7*NAIRA2010_*250)</f>
        <v>0.53427271797237252</v>
      </c>
      <c r="AJ36" s="1691">
        <f ca="1">Costs!AJ36/('Global assumptions'!$C$7*NAIRA2010_*250)</f>
        <v>0.51283575810957871</v>
      </c>
      <c r="AK36" s="1691">
        <f ca="1">Costs!AK36/('Global assumptions'!$C$7*NAIRA2010_*250)</f>
        <v>0.57101428793615761</v>
      </c>
      <c r="AL36" s="1691">
        <f ca="1">Costs!AL36/('Global assumptions'!$C$7*NAIRA2010_*250)</f>
        <v>1.3324905057881269</v>
      </c>
      <c r="AM36" s="1691">
        <f ca="1">Costs!AM36/('Global assumptions'!$C$7*NAIRA2010_*250)</f>
        <v>2.4707507444809127</v>
      </c>
      <c r="AN36" s="1691">
        <f ca="1">Costs!AN36/('Global assumptions'!$C$7*NAIRA2010_*250)</f>
        <v>3.669791546949591</v>
      </c>
      <c r="AO36" s="1691">
        <f ca="1">Costs!AO36/('Global assumptions'!$C$7*NAIRA2010_*250)</f>
        <v>4.8688323494182688</v>
      </c>
      <c r="AP36" s="1691">
        <f ca="1">Costs!AP36/('Global assumptions'!$C$7*NAIRA2010_*250)</f>
        <v>6.067873151886948</v>
      </c>
      <c r="AQ36" s="1691">
        <f ca="1">Costs!AQ36/('Global assumptions'!$C$7*NAIRA2010_*250)</f>
        <v>7.4461797707689268</v>
      </c>
      <c r="AS36" s="1707">
        <f t="shared" ca="1" si="3"/>
        <v>3.0526712037012098</v>
      </c>
      <c r="AT36" s="1707">
        <f t="shared" ca="1" si="0"/>
        <v>12.834546183533291</v>
      </c>
      <c r="AU36" s="675"/>
      <c r="AV36" s="1700">
        <f>IFERROR(VLOOKUP($A36,Cost.FinanceCostTable,3,FALSE),'Global assumptions'!$D$35)</f>
        <v>0</v>
      </c>
      <c r="AW36" s="1692">
        <f>IFERROR(VLOOKUP($A36,Cost.FinanceCostTable,4,FALSE),'Global assumptions'!$E$35)</f>
        <v>5</v>
      </c>
      <c r="AX36" s="675"/>
      <c r="AY36" s="1691">
        <f ca="1">Costs!AY36/('Global assumptions'!$C$7*NAIRA2010_*250)</f>
        <v>0</v>
      </c>
      <c r="AZ36" s="1691">
        <f ca="1">Costs!AZ36/('Global assumptions'!$C$7*NAIRA2010_*250)</f>
        <v>0</v>
      </c>
      <c r="BA36" s="1691">
        <f ca="1">Costs!BA36/('Global assumptions'!$C$7*NAIRA2010_*250)</f>
        <v>0</v>
      </c>
      <c r="BB36" s="1691">
        <f ca="1">Costs!BB36/('Global assumptions'!$C$7*NAIRA2010_*250)</f>
        <v>0</v>
      </c>
      <c r="BC36" s="1691">
        <f ca="1">Costs!BC36/('Global assumptions'!$C$7*NAIRA2010_*250)</f>
        <v>0</v>
      </c>
      <c r="BD36" s="1691">
        <f ca="1">Costs!BD36/('Global assumptions'!$C$7*NAIRA2010_*250)</f>
        <v>0</v>
      </c>
      <c r="BE36" s="1691">
        <f ca="1">Costs!BE36/('Global assumptions'!$C$7*NAIRA2010_*250)</f>
        <v>0</v>
      </c>
      <c r="BF36" s="1691">
        <f ca="1">Costs!BF36/('Global assumptions'!$C$7*NAIRA2010_*250)</f>
        <v>0</v>
      </c>
      <c r="BG36" s="1691">
        <f ca="1">Costs!BG36/('Global assumptions'!$C$7*NAIRA2010_*250)</f>
        <v>0</v>
      </c>
      <c r="BH36" s="675"/>
      <c r="BI36" s="1691">
        <f ca="1">Costs!BI36/('Global assumptions'!$C$7*NAIRA2010_*250)</f>
        <v>0</v>
      </c>
      <c r="BJ36" s="1691">
        <f ca="1">Costs!BJ36/('Global assumptions'!$C$7*NAIRA2010_*250)</f>
        <v>0</v>
      </c>
      <c r="BK36" s="1691">
        <f ca="1">Costs!BK36/('Global assumptions'!$C$7*NAIRA2010_*250)</f>
        <v>0</v>
      </c>
      <c r="BL36" s="1691">
        <f ca="1">Costs!BL36/('Global assumptions'!$C$7*NAIRA2010_*250)</f>
        <v>0</v>
      </c>
      <c r="BM36" s="1691">
        <f ca="1">Costs!BM36/('Global assumptions'!$C$7*NAIRA2010_*250)</f>
        <v>0</v>
      </c>
      <c r="BN36" s="1691">
        <f ca="1">Costs!BN36/('Global assumptions'!$C$7*NAIRA2010_*250)</f>
        <v>0</v>
      </c>
      <c r="BO36" s="1691">
        <f ca="1">Costs!BO36/('Global assumptions'!$C$7*NAIRA2010_*250)</f>
        <v>0</v>
      </c>
      <c r="BP36" s="1691">
        <f ca="1">Costs!BP36/('Global assumptions'!$C$7*NAIRA2010_*250)</f>
        <v>0</v>
      </c>
      <c r="BQ36" s="1691">
        <f ca="1">Costs!BQ36/('Global assumptions'!$C$7*NAIRA2010_*250)</f>
        <v>0</v>
      </c>
      <c r="BR36" s="675"/>
      <c r="BS36" s="1691">
        <f ca="1">Costs!BS36/('Global assumptions'!$C$7*NAIRA2010_*250)</f>
        <v>0.53427271797237252</v>
      </c>
      <c r="BT36" s="1691">
        <f ca="1">Costs!BT36/('Global assumptions'!$C$7*NAIRA2010_*250)</f>
        <v>0.51283575810957871</v>
      </c>
      <c r="BU36" s="1691">
        <f ca="1">Costs!BU36/('Global assumptions'!$C$7*NAIRA2010_*250)</f>
        <v>0.57101428793615761</v>
      </c>
      <c r="BV36" s="1691">
        <f ca="1">Costs!BV36/('Global assumptions'!$C$7*NAIRA2010_*250)</f>
        <v>1.3324905057881269</v>
      </c>
      <c r="BW36" s="1691">
        <f ca="1">Costs!BW36/('Global assumptions'!$C$7*NAIRA2010_*250)</f>
        <v>2.4707507444809127</v>
      </c>
      <c r="BX36" s="1691">
        <f ca="1">Costs!BX36/('Global assumptions'!$C$7*NAIRA2010_*250)</f>
        <v>3.669791546949591</v>
      </c>
      <c r="BY36" s="1691">
        <f ca="1">Costs!BY36/('Global assumptions'!$C$7*NAIRA2010_*250)</f>
        <v>4.8688323494182688</v>
      </c>
      <c r="BZ36" s="1691">
        <f ca="1">Costs!BZ36/('Global assumptions'!$C$7*NAIRA2010_*250)</f>
        <v>6.067873151886948</v>
      </c>
      <c r="CA36" s="1691">
        <f ca="1">Costs!CA36/('Global assumptions'!$C$7*NAIRA2010_*250)</f>
        <v>7.4461797707689268</v>
      </c>
      <c r="CC36" s="1707">
        <f t="shared" ca="1" si="4"/>
        <v>3.0526712037012098</v>
      </c>
      <c r="CD36" s="1707">
        <f t="shared" ca="1" si="1"/>
        <v>12.834546183533291</v>
      </c>
      <c r="CF36" s="1691">
        <f ca="1">Costs!CF36/('Global assumptions'!$C$7*NAIRA2010_*250)</f>
        <v>0</v>
      </c>
      <c r="CG36" s="1691">
        <f ca="1">Costs!CG36/('Global assumptions'!$C$7*NAIRA2010_*250)</f>
        <v>0</v>
      </c>
      <c r="CH36" s="1691">
        <f ca="1">Costs!CH36/('Global assumptions'!$C$7*NAIRA2010_*250)</f>
        <v>0</v>
      </c>
      <c r="CI36" s="1691">
        <f ca="1">Costs!CI36/('Global assumptions'!$C$7*NAIRA2010_*250)</f>
        <v>0</v>
      </c>
      <c r="CJ36" s="1691">
        <f ca="1">Costs!CJ36/('Global assumptions'!$C$7*NAIRA2010_*250)</f>
        <v>0</v>
      </c>
      <c r="CK36" s="1691">
        <f ca="1">Costs!CK36/('Global assumptions'!$C$7*NAIRA2010_*250)</f>
        <v>0</v>
      </c>
      <c r="CL36" s="1691">
        <f ca="1">Costs!CL36/('Global assumptions'!$C$7*NAIRA2010_*250)</f>
        <v>0</v>
      </c>
      <c r="CM36" s="1691">
        <f ca="1">Costs!CM36/('Global assumptions'!$C$7*NAIRA2010_*250)</f>
        <v>0</v>
      </c>
      <c r="CN36" s="1691">
        <f ca="1">Costs!CN36/('Global assumptions'!$C$7*NAIRA2010_*250)</f>
        <v>0</v>
      </c>
      <c r="CP36" s="1707">
        <f t="shared" ca="1" si="5"/>
        <v>0</v>
      </c>
      <c r="CQ36" s="1707">
        <f t="shared" ca="1" si="2"/>
        <v>0</v>
      </c>
      <c r="CR36" s="1426" t="str">
        <f t="shared" ca="1" si="6"/>
        <v>ok</v>
      </c>
    </row>
    <row r="37" spans="1:96" x14ac:dyDescent="0.2">
      <c r="A37" s="1683" t="s">
        <v>1708</v>
      </c>
      <c r="B37" s="1683" t="s">
        <v>1711</v>
      </c>
      <c r="C37" s="1683" t="s">
        <v>1732</v>
      </c>
      <c r="E37" s="1689">
        <f ca="1">Costs!E37/('Global assumptions'!$C$7*NAIRA2010_*250)</f>
        <v>0</v>
      </c>
      <c r="F37" s="1689">
        <f ca="1">Costs!F37/('Global assumptions'!$C$7*NAIRA2010_*250)</f>
        <v>0</v>
      </c>
      <c r="G37" s="1689">
        <f ca="1">Costs!G37/('Global assumptions'!$C$7*NAIRA2010_*250)</f>
        <v>0</v>
      </c>
      <c r="H37" s="1689">
        <f ca="1">Costs!H37/('Global assumptions'!$C$7*NAIRA2010_*250)</f>
        <v>0</v>
      </c>
      <c r="I37" s="1689">
        <f ca="1">Costs!I37/('Global assumptions'!$C$7*NAIRA2010_*250)</f>
        <v>0</v>
      </c>
      <c r="J37" s="1689">
        <f ca="1">Costs!J37/('Global assumptions'!$C$7*NAIRA2010_*250)</f>
        <v>0</v>
      </c>
      <c r="K37" s="1689">
        <f ca="1">Costs!K37/('Global assumptions'!$C$7*NAIRA2010_*250)</f>
        <v>0</v>
      </c>
      <c r="L37" s="1689">
        <f ca="1">Costs!L37/('Global assumptions'!$C$7*NAIRA2010_*250)</f>
        <v>0</v>
      </c>
      <c r="M37" s="1689">
        <f ca="1">Costs!M37/('Global assumptions'!$C$7*NAIRA2010_*250)</f>
        <v>0</v>
      </c>
      <c r="N37" s="675"/>
      <c r="O37" s="1689">
        <f ca="1">Costs!O37/('Global assumptions'!$C$7*NAIRA2010_*250)</f>
        <v>0</v>
      </c>
      <c r="P37" s="1689">
        <f ca="1">Costs!P37/('Global assumptions'!$C$7*NAIRA2010_*250)</f>
        <v>0</v>
      </c>
      <c r="Q37" s="1689">
        <f ca="1">Costs!Q37/('Global assumptions'!$C$7*NAIRA2010_*250)</f>
        <v>0</v>
      </c>
      <c r="R37" s="1689">
        <f ca="1">Costs!R37/('Global assumptions'!$C$7*NAIRA2010_*250)</f>
        <v>0</v>
      </c>
      <c r="S37" s="1689">
        <f ca="1">Costs!S37/('Global assumptions'!$C$7*NAIRA2010_*250)</f>
        <v>0</v>
      </c>
      <c r="T37" s="1689">
        <f ca="1">Costs!T37/('Global assumptions'!$C$7*NAIRA2010_*250)</f>
        <v>0</v>
      </c>
      <c r="U37" s="1689">
        <f ca="1">Costs!U37/('Global assumptions'!$C$7*NAIRA2010_*250)</f>
        <v>0</v>
      </c>
      <c r="V37" s="1689">
        <f ca="1">Costs!V37/('Global assumptions'!$C$7*NAIRA2010_*250)</f>
        <v>0</v>
      </c>
      <c r="W37" s="1689">
        <f ca="1">Costs!W37/('Global assumptions'!$C$7*NAIRA2010_*250)</f>
        <v>0</v>
      </c>
      <c r="X37" s="675"/>
      <c r="Y37" s="1689">
        <f ca="1">Costs!Y37/('Global assumptions'!$C$7*NAIRA2010_*250)</f>
        <v>304.52060496047369</v>
      </c>
      <c r="Z37" s="1689">
        <f ca="1">Costs!Z37/('Global assumptions'!$C$7*NAIRA2010_*250)</f>
        <v>316.78081550638814</v>
      </c>
      <c r="AA37" s="1689">
        <f ca="1">Costs!AA37/('Global assumptions'!$C$7*NAIRA2010_*250)</f>
        <v>326.69073300907189</v>
      </c>
      <c r="AB37" s="1689">
        <f ca="1">Costs!AB37/('Global assumptions'!$C$7*NAIRA2010_*250)</f>
        <v>336.42550464681403</v>
      </c>
      <c r="AC37" s="1689">
        <f ca="1">Costs!AC37/('Global assumptions'!$C$7*NAIRA2010_*250)</f>
        <v>345.98513041961451</v>
      </c>
      <c r="AD37" s="1689">
        <f ca="1">Costs!AD37/('Global assumptions'!$C$7*NAIRA2010_*250)</f>
        <v>343.45969151144209</v>
      </c>
      <c r="AE37" s="1689">
        <f ca="1">Costs!AE37/('Global assumptions'!$C$7*NAIRA2010_*250)</f>
        <v>340.93425260326973</v>
      </c>
      <c r="AF37" s="1689">
        <f ca="1">Costs!AF37/('Global assumptions'!$C$7*NAIRA2010_*250)</f>
        <v>338.40881369509736</v>
      </c>
      <c r="AG37" s="1689">
        <f ca="1">Costs!AG37/('Global assumptions'!$C$7*NAIRA2010_*250)</f>
        <v>264.59869638333845</v>
      </c>
      <c r="AH37" s="675"/>
      <c r="AI37" s="1689">
        <f ca="1">Costs!AI37/('Global assumptions'!$C$7*NAIRA2010_*250)</f>
        <v>304.52060496047369</v>
      </c>
      <c r="AJ37" s="1689">
        <f ca="1">Costs!AJ37/('Global assumptions'!$C$7*NAIRA2010_*250)</f>
        <v>316.78081550638814</v>
      </c>
      <c r="AK37" s="1689">
        <f ca="1">Costs!AK37/('Global assumptions'!$C$7*NAIRA2010_*250)</f>
        <v>326.69073300907189</v>
      </c>
      <c r="AL37" s="1689">
        <f ca="1">Costs!AL37/('Global assumptions'!$C$7*NAIRA2010_*250)</f>
        <v>336.42550464681403</v>
      </c>
      <c r="AM37" s="1689">
        <f ca="1">Costs!AM37/('Global assumptions'!$C$7*NAIRA2010_*250)</f>
        <v>345.98513041961451</v>
      </c>
      <c r="AN37" s="1689">
        <f ca="1">Costs!AN37/('Global assumptions'!$C$7*NAIRA2010_*250)</f>
        <v>343.45969151144209</v>
      </c>
      <c r="AO37" s="1689">
        <f ca="1">Costs!AO37/('Global assumptions'!$C$7*NAIRA2010_*250)</f>
        <v>340.93425260326973</v>
      </c>
      <c r="AP37" s="1689">
        <f ca="1">Costs!AP37/('Global assumptions'!$C$7*NAIRA2010_*250)</f>
        <v>338.40881369509736</v>
      </c>
      <c r="AQ37" s="1689">
        <f ca="1">Costs!AQ37/('Global assumptions'!$C$7*NAIRA2010_*250)</f>
        <v>264.59869638333845</v>
      </c>
      <c r="AS37" s="1706">
        <f t="shared" ca="1" si="3"/>
        <v>324.20047141505665</v>
      </c>
      <c r="AT37" s="1706">
        <f t="shared" ca="1" si="0"/>
        <v>2973.8522224996318</v>
      </c>
      <c r="AU37" s="675"/>
      <c r="AV37" s="1699">
        <f>IFERROR(VLOOKUP($A37,Cost.FinanceCostTable,3,FALSE),'Global assumptions'!$D$35)</f>
        <v>0</v>
      </c>
      <c r="AW37" s="1690">
        <f>IFERROR(VLOOKUP($A37,Cost.FinanceCostTable,4,FALSE),'Global assumptions'!$E$35)</f>
        <v>5</v>
      </c>
      <c r="AX37" s="675"/>
      <c r="AY37" s="1689">
        <f ca="1">Costs!AY37/('Global assumptions'!$C$7*NAIRA2010_*250)</f>
        <v>0</v>
      </c>
      <c r="AZ37" s="1689">
        <f ca="1">Costs!AZ37/('Global assumptions'!$C$7*NAIRA2010_*250)</f>
        <v>0</v>
      </c>
      <c r="BA37" s="1689">
        <f ca="1">Costs!BA37/('Global assumptions'!$C$7*NAIRA2010_*250)</f>
        <v>0</v>
      </c>
      <c r="BB37" s="1689">
        <f ca="1">Costs!BB37/('Global assumptions'!$C$7*NAIRA2010_*250)</f>
        <v>0</v>
      </c>
      <c r="BC37" s="1689">
        <f ca="1">Costs!BC37/('Global assumptions'!$C$7*NAIRA2010_*250)</f>
        <v>0</v>
      </c>
      <c r="BD37" s="1689">
        <f ca="1">Costs!BD37/('Global assumptions'!$C$7*NAIRA2010_*250)</f>
        <v>0</v>
      </c>
      <c r="BE37" s="1689">
        <f ca="1">Costs!BE37/('Global assumptions'!$C$7*NAIRA2010_*250)</f>
        <v>0</v>
      </c>
      <c r="BF37" s="1689">
        <f ca="1">Costs!BF37/('Global assumptions'!$C$7*NAIRA2010_*250)</f>
        <v>0</v>
      </c>
      <c r="BG37" s="1689">
        <f ca="1">Costs!BG37/('Global assumptions'!$C$7*NAIRA2010_*250)</f>
        <v>0</v>
      </c>
      <c r="BH37" s="675"/>
      <c r="BI37" s="1689">
        <f ca="1">Costs!BI37/('Global assumptions'!$C$7*NAIRA2010_*250)</f>
        <v>0</v>
      </c>
      <c r="BJ37" s="1689">
        <f ca="1">Costs!BJ37/('Global assumptions'!$C$7*NAIRA2010_*250)</f>
        <v>0</v>
      </c>
      <c r="BK37" s="1689">
        <f ca="1">Costs!BK37/('Global assumptions'!$C$7*NAIRA2010_*250)</f>
        <v>0</v>
      </c>
      <c r="BL37" s="1689">
        <f ca="1">Costs!BL37/('Global assumptions'!$C$7*NAIRA2010_*250)</f>
        <v>0</v>
      </c>
      <c r="BM37" s="1689">
        <f ca="1">Costs!BM37/('Global assumptions'!$C$7*NAIRA2010_*250)</f>
        <v>0</v>
      </c>
      <c r="BN37" s="1689">
        <f ca="1">Costs!BN37/('Global assumptions'!$C$7*NAIRA2010_*250)</f>
        <v>0</v>
      </c>
      <c r="BO37" s="1689">
        <f ca="1">Costs!BO37/('Global assumptions'!$C$7*NAIRA2010_*250)</f>
        <v>0</v>
      </c>
      <c r="BP37" s="1689">
        <f ca="1">Costs!BP37/('Global assumptions'!$C$7*NAIRA2010_*250)</f>
        <v>0</v>
      </c>
      <c r="BQ37" s="1689">
        <f ca="1">Costs!BQ37/('Global assumptions'!$C$7*NAIRA2010_*250)</f>
        <v>0</v>
      </c>
      <c r="BR37" s="675"/>
      <c r="BS37" s="1689">
        <f ca="1">Costs!BS37/('Global assumptions'!$C$7*NAIRA2010_*250)</f>
        <v>304.52060496047369</v>
      </c>
      <c r="BT37" s="1689">
        <f ca="1">Costs!BT37/('Global assumptions'!$C$7*NAIRA2010_*250)</f>
        <v>316.78081550638814</v>
      </c>
      <c r="BU37" s="1689">
        <f ca="1">Costs!BU37/('Global assumptions'!$C$7*NAIRA2010_*250)</f>
        <v>326.69073300907189</v>
      </c>
      <c r="BV37" s="1689">
        <f ca="1">Costs!BV37/('Global assumptions'!$C$7*NAIRA2010_*250)</f>
        <v>336.42550464681403</v>
      </c>
      <c r="BW37" s="1689">
        <f ca="1">Costs!BW37/('Global assumptions'!$C$7*NAIRA2010_*250)</f>
        <v>345.98513041961451</v>
      </c>
      <c r="BX37" s="1689">
        <f ca="1">Costs!BX37/('Global assumptions'!$C$7*NAIRA2010_*250)</f>
        <v>343.45969151144209</v>
      </c>
      <c r="BY37" s="1689">
        <f ca="1">Costs!BY37/('Global assumptions'!$C$7*NAIRA2010_*250)</f>
        <v>340.93425260326973</v>
      </c>
      <c r="BZ37" s="1689">
        <f ca="1">Costs!BZ37/('Global assumptions'!$C$7*NAIRA2010_*250)</f>
        <v>338.40881369509736</v>
      </c>
      <c r="CA37" s="1689">
        <f ca="1">Costs!CA37/('Global assumptions'!$C$7*NAIRA2010_*250)</f>
        <v>264.59869638333845</v>
      </c>
      <c r="CC37" s="1706">
        <f t="shared" ca="1" si="4"/>
        <v>324.20047141505665</v>
      </c>
      <c r="CD37" s="1706">
        <f t="shared" ca="1" si="1"/>
        <v>2973.8522224996318</v>
      </c>
      <c r="CF37" s="1689">
        <f ca="1">Costs!CF37/('Global assumptions'!$C$7*NAIRA2010_*250)</f>
        <v>0</v>
      </c>
      <c r="CG37" s="1689">
        <f ca="1">Costs!CG37/('Global assumptions'!$C$7*NAIRA2010_*250)</f>
        <v>0</v>
      </c>
      <c r="CH37" s="1689">
        <f ca="1">Costs!CH37/('Global assumptions'!$C$7*NAIRA2010_*250)</f>
        <v>0</v>
      </c>
      <c r="CI37" s="1689">
        <f ca="1">Costs!CI37/('Global assumptions'!$C$7*NAIRA2010_*250)</f>
        <v>0</v>
      </c>
      <c r="CJ37" s="1689">
        <f ca="1">Costs!CJ37/('Global assumptions'!$C$7*NAIRA2010_*250)</f>
        <v>0</v>
      </c>
      <c r="CK37" s="1689">
        <f ca="1">Costs!CK37/('Global assumptions'!$C$7*NAIRA2010_*250)</f>
        <v>0</v>
      </c>
      <c r="CL37" s="1689">
        <f ca="1">Costs!CL37/('Global assumptions'!$C$7*NAIRA2010_*250)</f>
        <v>0</v>
      </c>
      <c r="CM37" s="1689">
        <f ca="1">Costs!CM37/('Global assumptions'!$C$7*NAIRA2010_*250)</f>
        <v>0</v>
      </c>
      <c r="CN37" s="1689">
        <f ca="1">Costs!CN37/('Global assumptions'!$C$7*NAIRA2010_*250)</f>
        <v>0</v>
      </c>
      <c r="CP37" s="1706">
        <f t="shared" ca="1" si="5"/>
        <v>0</v>
      </c>
      <c r="CQ37" s="1706">
        <f t="shared" ca="1" si="2"/>
        <v>0</v>
      </c>
      <c r="CR37" s="1426" t="str">
        <f t="shared" ca="1" si="6"/>
        <v>ok</v>
      </c>
    </row>
    <row r="38" spans="1:96" x14ac:dyDescent="0.2">
      <c r="A38" s="1685" t="s">
        <v>1709</v>
      </c>
      <c r="B38" s="1685" t="s">
        <v>1712</v>
      </c>
      <c r="C38" s="1685" t="s">
        <v>1732</v>
      </c>
      <c r="E38" s="1691">
        <f ca="1">Costs!E38/('Global assumptions'!$C$7*NAIRA2010_*250)</f>
        <v>0</v>
      </c>
      <c r="F38" s="1691">
        <f ca="1">Costs!F38/('Global assumptions'!$C$7*NAIRA2010_*250)</f>
        <v>0</v>
      </c>
      <c r="G38" s="1691">
        <f ca="1">Costs!G38/('Global assumptions'!$C$7*NAIRA2010_*250)</f>
        <v>0</v>
      </c>
      <c r="H38" s="1691">
        <f ca="1">Costs!H38/('Global assumptions'!$C$7*NAIRA2010_*250)</f>
        <v>0</v>
      </c>
      <c r="I38" s="1691">
        <f ca="1">Costs!I38/('Global assumptions'!$C$7*NAIRA2010_*250)</f>
        <v>0</v>
      </c>
      <c r="J38" s="1691">
        <f ca="1">Costs!J38/('Global assumptions'!$C$7*NAIRA2010_*250)</f>
        <v>0</v>
      </c>
      <c r="K38" s="1691">
        <f ca="1">Costs!K38/('Global assumptions'!$C$7*NAIRA2010_*250)</f>
        <v>0</v>
      </c>
      <c r="L38" s="1691">
        <f ca="1">Costs!L38/('Global assumptions'!$C$7*NAIRA2010_*250)</f>
        <v>0</v>
      </c>
      <c r="M38" s="1691">
        <f ca="1">Costs!M38/('Global assumptions'!$C$7*NAIRA2010_*250)</f>
        <v>0</v>
      </c>
      <c r="N38" s="675"/>
      <c r="O38" s="1691">
        <f ca="1">Costs!O38/('Global assumptions'!$C$7*NAIRA2010_*250)</f>
        <v>0</v>
      </c>
      <c r="P38" s="1691">
        <f ca="1">Costs!P38/('Global assumptions'!$C$7*NAIRA2010_*250)</f>
        <v>0</v>
      </c>
      <c r="Q38" s="1691">
        <f ca="1">Costs!Q38/('Global assumptions'!$C$7*NAIRA2010_*250)</f>
        <v>0</v>
      </c>
      <c r="R38" s="1691">
        <f ca="1">Costs!R38/('Global assumptions'!$C$7*NAIRA2010_*250)</f>
        <v>0</v>
      </c>
      <c r="S38" s="1691">
        <f ca="1">Costs!S38/('Global assumptions'!$C$7*NAIRA2010_*250)</f>
        <v>0</v>
      </c>
      <c r="T38" s="1691">
        <f ca="1">Costs!T38/('Global assumptions'!$C$7*NAIRA2010_*250)</f>
        <v>0</v>
      </c>
      <c r="U38" s="1691">
        <f ca="1">Costs!U38/('Global assumptions'!$C$7*NAIRA2010_*250)</f>
        <v>0</v>
      </c>
      <c r="V38" s="1691">
        <f ca="1">Costs!V38/('Global assumptions'!$C$7*NAIRA2010_*250)</f>
        <v>0</v>
      </c>
      <c r="W38" s="1691">
        <f ca="1">Costs!W38/('Global assumptions'!$C$7*NAIRA2010_*250)</f>
        <v>0</v>
      </c>
      <c r="X38" s="675"/>
      <c r="Y38" s="1691">
        <f ca="1">Costs!Y38/('Global assumptions'!$C$7*NAIRA2010_*250)</f>
        <v>73.247350915145006</v>
      </c>
      <c r="Z38" s="1691">
        <f ca="1">Costs!Z38/('Global assumptions'!$C$7*NAIRA2010_*250)</f>
        <v>81.240151980035733</v>
      </c>
      <c r="AA38" s="1691">
        <f ca="1">Costs!AA38/('Global assumptions'!$C$7*NAIRA2010_*250)</f>
        <v>82.712977248890169</v>
      </c>
      <c r="AB38" s="1691">
        <f ca="1">Costs!AB38/('Global assumptions'!$C$7*NAIRA2010_*250)</f>
        <v>84.184369364258544</v>
      </c>
      <c r="AC38" s="1691">
        <f ca="1">Costs!AC38/('Global assumptions'!$C$7*NAIRA2010_*250)</f>
        <v>85.654328326140813</v>
      </c>
      <c r="AD38" s="1691">
        <f ca="1">Costs!AD38/('Global assumptions'!$C$7*NAIRA2010_*250)</f>
        <v>87.164221210565373</v>
      </c>
      <c r="AE38" s="1691">
        <f ca="1">Costs!AE38/('Global assumptions'!$C$7*NAIRA2010_*250)</f>
        <v>88.674114094989918</v>
      </c>
      <c r="AF38" s="1691">
        <f ca="1">Costs!AF38/('Global assumptions'!$C$7*NAIRA2010_*250)</f>
        <v>90.184006979414463</v>
      </c>
      <c r="AG38" s="1691">
        <f ca="1">Costs!AG38/('Global assumptions'!$C$7*NAIRA2010_*250)</f>
        <v>93.955875431797708</v>
      </c>
      <c r="AH38" s="675"/>
      <c r="AI38" s="1691">
        <f ca="1">Costs!AI38/('Global assumptions'!$C$7*NAIRA2010_*250)</f>
        <v>73.247350915145006</v>
      </c>
      <c r="AJ38" s="1691">
        <f ca="1">Costs!AJ38/('Global assumptions'!$C$7*NAIRA2010_*250)</f>
        <v>81.240151980035733</v>
      </c>
      <c r="AK38" s="1691">
        <f ca="1">Costs!AK38/('Global assumptions'!$C$7*NAIRA2010_*250)</f>
        <v>82.712977248890169</v>
      </c>
      <c r="AL38" s="1691">
        <f ca="1">Costs!AL38/('Global assumptions'!$C$7*NAIRA2010_*250)</f>
        <v>84.184369364258544</v>
      </c>
      <c r="AM38" s="1691">
        <f ca="1">Costs!AM38/('Global assumptions'!$C$7*NAIRA2010_*250)</f>
        <v>85.654328326140813</v>
      </c>
      <c r="AN38" s="1691">
        <f ca="1">Costs!AN38/('Global assumptions'!$C$7*NAIRA2010_*250)</f>
        <v>87.164221210565373</v>
      </c>
      <c r="AO38" s="1691">
        <f ca="1">Costs!AO38/('Global assumptions'!$C$7*NAIRA2010_*250)</f>
        <v>88.674114094989918</v>
      </c>
      <c r="AP38" s="1691">
        <f ca="1">Costs!AP38/('Global assumptions'!$C$7*NAIRA2010_*250)</f>
        <v>90.184006979414463</v>
      </c>
      <c r="AQ38" s="1691">
        <f ca="1">Costs!AQ38/('Global assumptions'!$C$7*NAIRA2010_*250)</f>
        <v>93.955875431797708</v>
      </c>
      <c r="AS38" s="1707">
        <f t="shared" ca="1" si="3"/>
        <v>85.224155061248624</v>
      </c>
      <c r="AT38" s="1707">
        <f t="shared" ca="1" si="0"/>
        <v>757.2958409038024</v>
      </c>
      <c r="AU38" s="675"/>
      <c r="AV38" s="1700">
        <f>IFERROR(VLOOKUP($A38,Cost.FinanceCostTable,3,FALSE),'Global assumptions'!$D$35)</f>
        <v>0</v>
      </c>
      <c r="AW38" s="1692">
        <f>IFERROR(VLOOKUP($A38,Cost.FinanceCostTable,4,FALSE),'Global assumptions'!$E$35)</f>
        <v>5</v>
      </c>
      <c r="AX38" s="675"/>
      <c r="AY38" s="1691">
        <f ca="1">Costs!AY38/('Global assumptions'!$C$7*NAIRA2010_*250)</f>
        <v>0</v>
      </c>
      <c r="AZ38" s="1691">
        <f ca="1">Costs!AZ38/('Global assumptions'!$C$7*NAIRA2010_*250)</f>
        <v>0</v>
      </c>
      <c r="BA38" s="1691">
        <f ca="1">Costs!BA38/('Global assumptions'!$C$7*NAIRA2010_*250)</f>
        <v>0</v>
      </c>
      <c r="BB38" s="1691">
        <f ca="1">Costs!BB38/('Global assumptions'!$C$7*NAIRA2010_*250)</f>
        <v>0</v>
      </c>
      <c r="BC38" s="1691">
        <f ca="1">Costs!BC38/('Global assumptions'!$C$7*NAIRA2010_*250)</f>
        <v>0</v>
      </c>
      <c r="BD38" s="1691">
        <f ca="1">Costs!BD38/('Global assumptions'!$C$7*NAIRA2010_*250)</f>
        <v>0</v>
      </c>
      <c r="BE38" s="1691">
        <f ca="1">Costs!BE38/('Global assumptions'!$C$7*NAIRA2010_*250)</f>
        <v>0</v>
      </c>
      <c r="BF38" s="1691">
        <f ca="1">Costs!BF38/('Global assumptions'!$C$7*NAIRA2010_*250)</f>
        <v>0</v>
      </c>
      <c r="BG38" s="1691">
        <f ca="1">Costs!BG38/('Global assumptions'!$C$7*NAIRA2010_*250)</f>
        <v>0</v>
      </c>
      <c r="BH38" s="675"/>
      <c r="BI38" s="1691">
        <f ca="1">Costs!BI38/('Global assumptions'!$C$7*NAIRA2010_*250)</f>
        <v>0</v>
      </c>
      <c r="BJ38" s="1691">
        <f ca="1">Costs!BJ38/('Global assumptions'!$C$7*NAIRA2010_*250)</f>
        <v>0</v>
      </c>
      <c r="BK38" s="1691">
        <f ca="1">Costs!BK38/('Global assumptions'!$C$7*NAIRA2010_*250)</f>
        <v>0</v>
      </c>
      <c r="BL38" s="1691">
        <f ca="1">Costs!BL38/('Global assumptions'!$C$7*NAIRA2010_*250)</f>
        <v>0</v>
      </c>
      <c r="BM38" s="1691">
        <f ca="1">Costs!BM38/('Global assumptions'!$C$7*NAIRA2010_*250)</f>
        <v>0</v>
      </c>
      <c r="BN38" s="1691">
        <f ca="1">Costs!BN38/('Global assumptions'!$C$7*NAIRA2010_*250)</f>
        <v>0</v>
      </c>
      <c r="BO38" s="1691">
        <f ca="1">Costs!BO38/('Global assumptions'!$C$7*NAIRA2010_*250)</f>
        <v>0</v>
      </c>
      <c r="BP38" s="1691">
        <f ca="1">Costs!BP38/('Global assumptions'!$C$7*NAIRA2010_*250)</f>
        <v>0</v>
      </c>
      <c r="BQ38" s="1691">
        <f ca="1">Costs!BQ38/('Global assumptions'!$C$7*NAIRA2010_*250)</f>
        <v>0</v>
      </c>
      <c r="BR38" s="675"/>
      <c r="BS38" s="1691">
        <f ca="1">Costs!BS38/('Global assumptions'!$C$7*NAIRA2010_*250)</f>
        <v>73.247350915145006</v>
      </c>
      <c r="BT38" s="1691">
        <f ca="1">Costs!BT38/('Global assumptions'!$C$7*NAIRA2010_*250)</f>
        <v>81.240151980035733</v>
      </c>
      <c r="BU38" s="1691">
        <f ca="1">Costs!BU38/('Global assumptions'!$C$7*NAIRA2010_*250)</f>
        <v>82.712977248890169</v>
      </c>
      <c r="BV38" s="1691">
        <f ca="1">Costs!BV38/('Global assumptions'!$C$7*NAIRA2010_*250)</f>
        <v>84.184369364258544</v>
      </c>
      <c r="BW38" s="1691">
        <f ca="1">Costs!BW38/('Global assumptions'!$C$7*NAIRA2010_*250)</f>
        <v>85.654328326140813</v>
      </c>
      <c r="BX38" s="1691">
        <f ca="1">Costs!BX38/('Global assumptions'!$C$7*NAIRA2010_*250)</f>
        <v>87.164221210565373</v>
      </c>
      <c r="BY38" s="1691">
        <f ca="1">Costs!BY38/('Global assumptions'!$C$7*NAIRA2010_*250)</f>
        <v>88.674114094989918</v>
      </c>
      <c r="BZ38" s="1691">
        <f ca="1">Costs!BZ38/('Global assumptions'!$C$7*NAIRA2010_*250)</f>
        <v>90.184006979414463</v>
      </c>
      <c r="CA38" s="1691">
        <f ca="1">Costs!CA38/('Global assumptions'!$C$7*NAIRA2010_*250)</f>
        <v>93.955875431797708</v>
      </c>
      <c r="CC38" s="1707">
        <f t="shared" ca="1" si="4"/>
        <v>85.224155061248624</v>
      </c>
      <c r="CD38" s="1707">
        <f t="shared" ca="1" si="1"/>
        <v>757.2958409038024</v>
      </c>
      <c r="CF38" s="1691">
        <f ca="1">Costs!CF38/('Global assumptions'!$C$7*NAIRA2010_*250)</f>
        <v>0</v>
      </c>
      <c r="CG38" s="1691">
        <f ca="1">Costs!CG38/('Global assumptions'!$C$7*NAIRA2010_*250)</f>
        <v>0</v>
      </c>
      <c r="CH38" s="1691">
        <f ca="1">Costs!CH38/('Global assumptions'!$C$7*NAIRA2010_*250)</f>
        <v>0</v>
      </c>
      <c r="CI38" s="1691">
        <f ca="1">Costs!CI38/('Global assumptions'!$C$7*NAIRA2010_*250)</f>
        <v>0</v>
      </c>
      <c r="CJ38" s="1691">
        <f ca="1">Costs!CJ38/('Global assumptions'!$C$7*NAIRA2010_*250)</f>
        <v>0</v>
      </c>
      <c r="CK38" s="1691">
        <f ca="1">Costs!CK38/('Global assumptions'!$C$7*NAIRA2010_*250)</f>
        <v>0</v>
      </c>
      <c r="CL38" s="1691">
        <f ca="1">Costs!CL38/('Global assumptions'!$C$7*NAIRA2010_*250)</f>
        <v>0</v>
      </c>
      <c r="CM38" s="1691">
        <f ca="1">Costs!CM38/('Global assumptions'!$C$7*NAIRA2010_*250)</f>
        <v>0</v>
      </c>
      <c r="CN38" s="1691">
        <f ca="1">Costs!CN38/('Global assumptions'!$C$7*NAIRA2010_*250)</f>
        <v>0</v>
      </c>
      <c r="CP38" s="1707">
        <f t="shared" ca="1" si="5"/>
        <v>0</v>
      </c>
      <c r="CQ38" s="1707">
        <f t="shared" ca="1" si="2"/>
        <v>0</v>
      </c>
      <c r="CR38" s="1426" t="str">
        <f t="shared" ca="1" si="6"/>
        <v>ok</v>
      </c>
    </row>
    <row r="39" spans="1:96" x14ac:dyDescent="0.2">
      <c r="A39" s="1683" t="s">
        <v>439</v>
      </c>
      <c r="B39" s="1683" t="s">
        <v>441</v>
      </c>
      <c r="C39" s="1683" t="s">
        <v>1732</v>
      </c>
      <c r="E39" s="1689">
        <f ca="1">Costs!E39/('Global assumptions'!$C$7*NAIRA2010_*250)</f>
        <v>0</v>
      </c>
      <c r="F39" s="1689">
        <f ca="1">Costs!F39/('Global assumptions'!$C$7*NAIRA2010_*250)</f>
        <v>0.1821004271876023</v>
      </c>
      <c r="G39" s="1689">
        <f ca="1">Costs!G39/('Global assumptions'!$C$7*NAIRA2010_*250)</f>
        <v>1.5721696472017961</v>
      </c>
      <c r="H39" s="1689">
        <f ca="1">Costs!H39/('Global assumptions'!$C$7*NAIRA2010_*250)</f>
        <v>0.394422009098642</v>
      </c>
      <c r="I39" s="1689">
        <f ca="1">Costs!I39/('Global assumptions'!$C$7*NAIRA2010_*250)</f>
        <v>0.92267464248136266</v>
      </c>
      <c r="J39" s="1689">
        <f ca="1">Costs!J39/('Global assumptions'!$C$7*NAIRA2010_*250)</f>
        <v>1.983677373194378</v>
      </c>
      <c r="K39" s="1689">
        <f ca="1">Costs!K39/('Global assumptions'!$C$7*NAIRA2010_*250)</f>
        <v>2.2054320390011197</v>
      </c>
      <c r="L39" s="1689">
        <f ca="1">Costs!L39/('Global assumptions'!$C$7*NAIRA2010_*250)</f>
        <v>2.3173904843164195</v>
      </c>
      <c r="M39" s="1689">
        <f ca="1">Costs!M39/('Global assumptions'!$C$7*NAIRA2010_*250)</f>
        <v>2.5510485816208637</v>
      </c>
      <c r="N39" s="675"/>
      <c r="O39" s="1689">
        <f ca="1">Costs!O39/('Global assumptions'!$C$7*NAIRA2010_*250)</f>
        <v>0</v>
      </c>
      <c r="P39" s="1689">
        <f ca="1">Costs!P39/('Global assumptions'!$C$7*NAIRA2010_*250)</f>
        <v>4.9803285729784071E-4</v>
      </c>
      <c r="Q39" s="1689">
        <f ca="1">Costs!Q39/('Global assumptions'!$C$7*NAIRA2010_*250)</f>
        <v>1.2364326304032667E-3</v>
      </c>
      <c r="R39" s="1689">
        <f ca="1">Costs!R39/('Global assumptions'!$C$7*NAIRA2010_*250)</f>
        <v>7.3220334489747512E-4</v>
      </c>
      <c r="S39" s="1689">
        <f ca="1">Costs!S39/('Global assumptions'!$C$7*NAIRA2010_*250)</f>
        <v>1.0922356204769257E-3</v>
      </c>
      <c r="T39" s="1689">
        <f ca="1">Costs!T39/('Global assumptions'!$C$7*NAIRA2010_*250)</f>
        <v>1.9466004116275209E-3</v>
      </c>
      <c r="U39" s="1689">
        <f ca="1">Costs!U39/('Global assumptions'!$C$7*NAIRA2010_*250)</f>
        <v>2.7744303529503738E-3</v>
      </c>
      <c r="V39" s="1689">
        <f ca="1">Costs!V39/('Global assumptions'!$C$7*NAIRA2010_*250)</f>
        <v>3.5227831229217694E-3</v>
      </c>
      <c r="W39" s="1689">
        <f ca="1">Costs!W39/('Global assumptions'!$C$7*NAIRA2010_*250)</f>
        <v>4.2684888519754893E-3</v>
      </c>
      <c r="X39" s="675"/>
      <c r="Y39" s="1689">
        <f ca="1">Costs!Y39/('Global assumptions'!$C$7*NAIRA2010_*250)</f>
        <v>0</v>
      </c>
      <c r="Z39" s="1689">
        <f ca="1">Costs!Z39/('Global assumptions'!$C$7*NAIRA2010_*250)</f>
        <v>0</v>
      </c>
      <c r="AA39" s="1689">
        <f ca="1">Costs!AA39/('Global assumptions'!$C$7*NAIRA2010_*250)</f>
        <v>0</v>
      </c>
      <c r="AB39" s="1689">
        <f ca="1">Costs!AB39/('Global assumptions'!$C$7*NAIRA2010_*250)</f>
        <v>0</v>
      </c>
      <c r="AC39" s="1689">
        <f ca="1">Costs!AC39/('Global assumptions'!$C$7*NAIRA2010_*250)</f>
        <v>0</v>
      </c>
      <c r="AD39" s="1689">
        <f ca="1">Costs!AD39/('Global assumptions'!$C$7*NAIRA2010_*250)</f>
        <v>0</v>
      </c>
      <c r="AE39" s="1689">
        <f ca="1">Costs!AE39/('Global assumptions'!$C$7*NAIRA2010_*250)</f>
        <v>0</v>
      </c>
      <c r="AF39" s="1689">
        <f ca="1">Costs!AF39/('Global assumptions'!$C$7*NAIRA2010_*250)</f>
        <v>0</v>
      </c>
      <c r="AG39" s="1689">
        <f ca="1">Costs!AG39/('Global assumptions'!$C$7*NAIRA2010_*250)</f>
        <v>0</v>
      </c>
      <c r="AH39" s="675"/>
      <c r="AI39" s="1689">
        <f ca="1">Costs!AI39/('Global assumptions'!$C$7*NAIRA2010_*250)</f>
        <v>0</v>
      </c>
      <c r="AJ39" s="1689">
        <f ca="1">Costs!AJ39/('Global assumptions'!$C$7*NAIRA2010_*250)</f>
        <v>0.18259846004490013</v>
      </c>
      <c r="AK39" s="1689">
        <f ca="1">Costs!AK39/('Global assumptions'!$C$7*NAIRA2010_*250)</f>
        <v>1.5734060798321992</v>
      </c>
      <c r="AL39" s="1689">
        <f ca="1">Costs!AL39/('Global assumptions'!$C$7*NAIRA2010_*250)</f>
        <v>0.39515421244353949</v>
      </c>
      <c r="AM39" s="1689">
        <f ca="1">Costs!AM39/('Global assumptions'!$C$7*NAIRA2010_*250)</f>
        <v>0.92376687810183966</v>
      </c>
      <c r="AN39" s="1689">
        <f ca="1">Costs!AN39/('Global assumptions'!$C$7*NAIRA2010_*250)</f>
        <v>1.9856239736060055</v>
      </c>
      <c r="AO39" s="1689">
        <f ca="1">Costs!AO39/('Global assumptions'!$C$7*NAIRA2010_*250)</f>
        <v>2.2082064693540699</v>
      </c>
      <c r="AP39" s="1689">
        <f ca="1">Costs!AP39/('Global assumptions'!$C$7*NAIRA2010_*250)</f>
        <v>2.3209132674393413</v>
      </c>
      <c r="AQ39" s="1689">
        <f ca="1">Costs!AQ39/('Global assumptions'!$C$7*NAIRA2010_*250)</f>
        <v>2.5553170704728392</v>
      </c>
      <c r="AS39" s="1706">
        <f t="shared" ca="1" si="3"/>
        <v>1.3494429345883039</v>
      </c>
      <c r="AT39" s="1706">
        <f t="shared" ca="1" si="0"/>
        <v>7.4270940399304211</v>
      </c>
      <c r="AU39" s="675"/>
      <c r="AV39" s="1699">
        <f>IFERROR(VLOOKUP($A39,Cost.FinanceCostTable,3,FALSE),'Global assumptions'!$D$35)</f>
        <v>0</v>
      </c>
      <c r="AW39" s="1690">
        <f>IFERROR(VLOOKUP($A39,Cost.FinanceCostTable,4,FALSE),'Global assumptions'!$E$35)</f>
        <v>15</v>
      </c>
      <c r="AX39" s="675"/>
      <c r="AY39" s="1689">
        <f ca="1">Costs!AY39/('Global assumptions'!$C$7*NAIRA2010_*250)</f>
        <v>0</v>
      </c>
      <c r="AZ39" s="1689">
        <f ca="1">Costs!AZ39/('Global assumptions'!$C$7*NAIRA2010_*250)</f>
        <v>6.0700142395867435E-2</v>
      </c>
      <c r="BA39" s="1689">
        <f ca="1">Costs!BA39/('Global assumptions'!$C$7*NAIRA2010_*250)</f>
        <v>0.5240565490672654</v>
      </c>
      <c r="BB39" s="1689">
        <f ca="1">Costs!BB39/('Global assumptions'!$C$7*NAIRA2010_*250)</f>
        <v>0.13147400303288068</v>
      </c>
      <c r="BC39" s="1689">
        <f ca="1">Costs!BC39/('Global assumptions'!$C$7*NAIRA2010_*250)</f>
        <v>0.3075582141604542</v>
      </c>
      <c r="BD39" s="1689">
        <f ca="1">Costs!BD39/('Global assumptions'!$C$7*NAIRA2010_*250)</f>
        <v>0.66122579106479262</v>
      </c>
      <c r="BE39" s="1689">
        <f ca="1">Costs!BE39/('Global assumptions'!$C$7*NAIRA2010_*250)</f>
        <v>0.73514401300037335</v>
      </c>
      <c r="BF39" s="1689">
        <f ca="1">Costs!BF39/('Global assumptions'!$C$7*NAIRA2010_*250)</f>
        <v>0.77246349477213982</v>
      </c>
      <c r="BG39" s="1689">
        <f ca="1">Costs!BG39/('Global assumptions'!$C$7*NAIRA2010_*250)</f>
        <v>0.85034952720695456</v>
      </c>
      <c r="BH39" s="675"/>
      <c r="BI39" s="1689">
        <f ca="1">Costs!BI39/('Global assumptions'!$C$7*NAIRA2010_*250)</f>
        <v>0</v>
      </c>
      <c r="BJ39" s="1689">
        <f ca="1">Costs!BJ39/('Global assumptions'!$C$7*NAIRA2010_*250)</f>
        <v>6.0700142395867435E-2</v>
      </c>
      <c r="BK39" s="1689">
        <f ca="1">Costs!BK39/('Global assumptions'!$C$7*NAIRA2010_*250)</f>
        <v>0.5847566914631328</v>
      </c>
      <c r="BL39" s="1689">
        <f ca="1">Costs!BL39/('Global assumptions'!$C$7*NAIRA2010_*250)</f>
        <v>0.71623069449601351</v>
      </c>
      <c r="BM39" s="1689">
        <f ca="1">Costs!BM39/('Global assumptions'!$C$7*NAIRA2010_*250)</f>
        <v>0.96308876626060036</v>
      </c>
      <c r="BN39" s="1689">
        <f ca="1">Costs!BN39/('Global assumptions'!$C$7*NAIRA2010_*250)</f>
        <v>1.1002580082581275</v>
      </c>
      <c r="BO39" s="1689">
        <f ca="1">Costs!BO39/('Global assumptions'!$C$7*NAIRA2010_*250)</f>
        <v>1.70392801822562</v>
      </c>
      <c r="BP39" s="1689">
        <f ca="1">Costs!BP39/('Global assumptions'!$C$7*NAIRA2010_*250)</f>
        <v>2.1688332988373058</v>
      </c>
      <c r="BQ39" s="1689">
        <f ca="1">Costs!BQ39/('Global assumptions'!$C$7*NAIRA2010_*250)</f>
        <v>2.3579570349794676</v>
      </c>
      <c r="BR39" s="675"/>
      <c r="BS39" s="1689">
        <f ca="1">Costs!BS39/('Global assumptions'!$C$7*NAIRA2010_*250)</f>
        <v>0</v>
      </c>
      <c r="BT39" s="1689">
        <f ca="1">Costs!BT39/('Global assumptions'!$C$7*NAIRA2010_*250)</f>
        <v>6.1198175253165274E-2</v>
      </c>
      <c r="BU39" s="1689">
        <f ca="1">Costs!BU39/('Global assumptions'!$C$7*NAIRA2010_*250)</f>
        <v>0.5859931240935361</v>
      </c>
      <c r="BV39" s="1689">
        <f ca="1">Costs!BV39/('Global assumptions'!$C$7*NAIRA2010_*250)</f>
        <v>0.71696289784091105</v>
      </c>
      <c r="BW39" s="1689">
        <f ca="1">Costs!BW39/('Global assumptions'!$C$7*NAIRA2010_*250)</f>
        <v>0.96418100188107736</v>
      </c>
      <c r="BX39" s="1689">
        <f ca="1">Costs!BX39/('Global assumptions'!$C$7*NAIRA2010_*250)</f>
        <v>1.102204608669755</v>
      </c>
      <c r="BY39" s="1689">
        <f ca="1">Costs!BY39/('Global assumptions'!$C$7*NAIRA2010_*250)</f>
        <v>1.7067024485785705</v>
      </c>
      <c r="BZ39" s="1689">
        <f ca="1">Costs!BZ39/('Global assumptions'!$C$7*NAIRA2010_*250)</f>
        <v>2.1723560819602277</v>
      </c>
      <c r="CA39" s="1689">
        <f ca="1">Costs!CA39/('Global assumptions'!$C$7*NAIRA2010_*250)</f>
        <v>2.3622255238314431</v>
      </c>
      <c r="CC39" s="1706">
        <f t="shared" ca="1" si="4"/>
        <v>1.074647095789854</v>
      </c>
      <c r="CD39" s="1706">
        <f t="shared" ca="1" si="1"/>
        <v>4.9326982399615007</v>
      </c>
      <c r="CF39" s="1689">
        <f ca="1">Costs!CF39/('Global assumptions'!$C$7*NAIRA2010_*250)</f>
        <v>0</v>
      </c>
      <c r="CG39" s="1689">
        <f ca="1">Costs!CG39/('Global assumptions'!$C$7*NAIRA2010_*250)</f>
        <v>-0.12140028479173484</v>
      </c>
      <c r="CH39" s="1689">
        <f ca="1">Costs!CH39/('Global assumptions'!$C$7*NAIRA2010_*250)</f>
        <v>-0.98741295573866306</v>
      </c>
      <c r="CI39" s="1689">
        <f ca="1">Costs!CI39/('Global assumptions'!$C$7*NAIRA2010_*250)</f>
        <v>0.32180868539737156</v>
      </c>
      <c r="CJ39" s="1689">
        <f ca="1">Costs!CJ39/('Global assumptions'!$C$7*NAIRA2010_*250)</f>
        <v>4.0414123779237685E-2</v>
      </c>
      <c r="CK39" s="1689">
        <f ca="1">Costs!CK39/('Global assumptions'!$C$7*NAIRA2010_*250)</f>
        <v>-0.8834193649362504</v>
      </c>
      <c r="CL39" s="1689">
        <f ca="1">Costs!CL39/('Global assumptions'!$C$7*NAIRA2010_*250)</f>
        <v>-0.50150402077549971</v>
      </c>
      <c r="CM39" s="1689">
        <f ca="1">Costs!CM39/('Global assumptions'!$C$7*NAIRA2010_*250)</f>
        <v>-0.14855718547911376</v>
      </c>
      <c r="CN39" s="1689">
        <f ca="1">Costs!CN39/('Global assumptions'!$C$7*NAIRA2010_*250)</f>
        <v>-0.19309154664139602</v>
      </c>
      <c r="CP39" s="1706">
        <f t="shared" ca="1" si="5"/>
        <v>-0.27479583879844982</v>
      </c>
      <c r="CQ39" s="1706">
        <f t="shared" ca="1" si="2"/>
        <v>-2.4943957999689195</v>
      </c>
      <c r="CR39" s="1426" t="str">
        <f t="shared" ca="1" si="6"/>
        <v>ok</v>
      </c>
    </row>
    <row r="40" spans="1:96" x14ac:dyDescent="0.2">
      <c r="A40" s="1685" t="s">
        <v>1698</v>
      </c>
      <c r="B40" s="1685" t="s">
        <v>1701</v>
      </c>
      <c r="C40" s="1685" t="s">
        <v>1732</v>
      </c>
      <c r="E40" s="1691">
        <f ca="1">Costs!E40/('Global assumptions'!$C$7*NAIRA2010_*250)</f>
        <v>0</v>
      </c>
      <c r="F40" s="1691">
        <f ca="1">Costs!F40/('Global assumptions'!$C$7*NAIRA2010_*250)</f>
        <v>0</v>
      </c>
      <c r="G40" s="1691">
        <f ca="1">Costs!G40/('Global assumptions'!$C$7*NAIRA2010_*250)</f>
        <v>0</v>
      </c>
      <c r="H40" s="1691">
        <f ca="1">Costs!H40/('Global assumptions'!$C$7*NAIRA2010_*250)</f>
        <v>0</v>
      </c>
      <c r="I40" s="1691">
        <f ca="1">Costs!I40/('Global assumptions'!$C$7*NAIRA2010_*250)</f>
        <v>0</v>
      </c>
      <c r="J40" s="1691">
        <f ca="1">Costs!J40/('Global assumptions'!$C$7*NAIRA2010_*250)</f>
        <v>0</v>
      </c>
      <c r="K40" s="1691">
        <f ca="1">Costs!K40/('Global assumptions'!$C$7*NAIRA2010_*250)</f>
        <v>0</v>
      </c>
      <c r="L40" s="1691">
        <f ca="1">Costs!L40/('Global assumptions'!$C$7*NAIRA2010_*250)</f>
        <v>0</v>
      </c>
      <c r="M40" s="1691">
        <f ca="1">Costs!M40/('Global assumptions'!$C$7*NAIRA2010_*250)</f>
        <v>0</v>
      </c>
      <c r="N40" s="675"/>
      <c r="O40" s="1691">
        <f ca="1">Costs!O40/('Global assumptions'!$C$7*NAIRA2010_*250)</f>
        <v>0</v>
      </c>
      <c r="P40" s="1691">
        <f ca="1">Costs!P40/('Global assumptions'!$C$7*NAIRA2010_*250)</f>
        <v>0</v>
      </c>
      <c r="Q40" s="1691">
        <f ca="1">Costs!Q40/('Global assumptions'!$C$7*NAIRA2010_*250)</f>
        <v>0</v>
      </c>
      <c r="R40" s="1691">
        <f ca="1">Costs!R40/('Global assumptions'!$C$7*NAIRA2010_*250)</f>
        <v>0</v>
      </c>
      <c r="S40" s="1691">
        <f ca="1">Costs!S40/('Global assumptions'!$C$7*NAIRA2010_*250)</f>
        <v>0</v>
      </c>
      <c r="T40" s="1691">
        <f ca="1">Costs!T40/('Global assumptions'!$C$7*NAIRA2010_*250)</f>
        <v>0</v>
      </c>
      <c r="U40" s="1691">
        <f ca="1">Costs!U40/('Global assumptions'!$C$7*NAIRA2010_*250)</f>
        <v>0</v>
      </c>
      <c r="V40" s="1691">
        <f ca="1">Costs!V40/('Global assumptions'!$C$7*NAIRA2010_*250)</f>
        <v>0</v>
      </c>
      <c r="W40" s="1691">
        <f ca="1">Costs!W40/('Global assumptions'!$C$7*NAIRA2010_*250)</f>
        <v>0</v>
      </c>
      <c r="X40" s="675"/>
      <c r="Y40" s="1691">
        <f ca="1">Costs!Y40/('Global assumptions'!$C$7*NAIRA2010_*250)</f>
        <v>-0.74229874880403923</v>
      </c>
      <c r="Z40" s="1691">
        <f ca="1">Costs!Z40/('Global assumptions'!$C$7*NAIRA2010_*250)</f>
        <v>-0.76848651449476235</v>
      </c>
      <c r="AA40" s="1691">
        <f ca="1">Costs!AA40/('Global assumptions'!$C$7*NAIRA2010_*250)</f>
        <v>1.019314513971872</v>
      </c>
      <c r="AB40" s="1691">
        <f ca="1">Costs!AB40/('Global assumptions'!$C$7*NAIRA2010_*250)</f>
        <v>7.5754355493672927</v>
      </c>
      <c r="AC40" s="1691">
        <f ca="1">Costs!AC40/('Global assumptions'!$C$7*NAIRA2010_*250)</f>
        <v>17.63201951542667</v>
      </c>
      <c r="AD40" s="1691">
        <f ca="1">Costs!AD40/('Global assumptions'!$C$7*NAIRA2010_*250)</f>
        <v>33.196775790666017</v>
      </c>
      <c r="AE40" s="1691">
        <f ca="1">Costs!AE40/('Global assumptions'!$C$7*NAIRA2010_*250)</f>
        <v>49.760276732968904</v>
      </c>
      <c r="AF40" s="1691">
        <f ca="1">Costs!AF40/('Global assumptions'!$C$7*NAIRA2010_*250)</f>
        <v>66.199726573039143</v>
      </c>
      <c r="AG40" s="1691">
        <f ca="1">Costs!AG40/('Global assumptions'!$C$7*NAIRA2010_*250)</f>
        <v>84.687396268791829</v>
      </c>
      <c r="AH40" s="675"/>
      <c r="AI40" s="1691">
        <f ca="1">Costs!AI40/('Global assumptions'!$C$7*NAIRA2010_*250)</f>
        <v>-0.74229874880403923</v>
      </c>
      <c r="AJ40" s="1691">
        <f ca="1">Costs!AJ40/('Global assumptions'!$C$7*NAIRA2010_*250)</f>
        <v>-0.76848651449476235</v>
      </c>
      <c r="AK40" s="1691">
        <f ca="1">Costs!AK40/('Global assumptions'!$C$7*NAIRA2010_*250)</f>
        <v>1.019314513971872</v>
      </c>
      <c r="AL40" s="1691">
        <f ca="1">Costs!AL40/('Global assumptions'!$C$7*NAIRA2010_*250)</f>
        <v>7.5754355493672927</v>
      </c>
      <c r="AM40" s="1691">
        <f ca="1">Costs!AM40/('Global assumptions'!$C$7*NAIRA2010_*250)</f>
        <v>17.63201951542667</v>
      </c>
      <c r="AN40" s="1691">
        <f ca="1">Costs!AN40/('Global assumptions'!$C$7*NAIRA2010_*250)</f>
        <v>33.196775790666017</v>
      </c>
      <c r="AO40" s="1691">
        <f ca="1">Costs!AO40/('Global assumptions'!$C$7*NAIRA2010_*250)</f>
        <v>49.760276732968904</v>
      </c>
      <c r="AP40" s="1691">
        <f ca="1">Costs!AP40/('Global assumptions'!$C$7*NAIRA2010_*250)</f>
        <v>66.199726573039143</v>
      </c>
      <c r="AQ40" s="1691">
        <f ca="1">Costs!AQ40/('Global assumptions'!$C$7*NAIRA2010_*250)</f>
        <v>84.687396268791829</v>
      </c>
      <c r="AS40" s="1707">
        <f t="shared" ca="1" si="3"/>
        <v>28.72890663121477</v>
      </c>
      <c r="AT40" s="1707">
        <f t="shared" ca="1" si="0"/>
        <v>85.006301199988869</v>
      </c>
      <c r="AU40" s="675"/>
      <c r="AV40" s="1700">
        <f>IFERROR(VLOOKUP($A40,Cost.FinanceCostTable,3,FALSE),'Global assumptions'!$D$35)</f>
        <v>0</v>
      </c>
      <c r="AW40" s="1692">
        <f>IFERROR(VLOOKUP($A40,Cost.FinanceCostTable,4,FALSE),'Global assumptions'!$E$35)</f>
        <v>5</v>
      </c>
      <c r="AX40" s="675"/>
      <c r="AY40" s="1691">
        <f ca="1">Costs!AY40/('Global assumptions'!$C$7*NAIRA2010_*250)</f>
        <v>0</v>
      </c>
      <c r="AZ40" s="1691">
        <f ca="1">Costs!AZ40/('Global assumptions'!$C$7*NAIRA2010_*250)</f>
        <v>0</v>
      </c>
      <c r="BA40" s="1691">
        <f ca="1">Costs!BA40/('Global assumptions'!$C$7*NAIRA2010_*250)</f>
        <v>0</v>
      </c>
      <c r="BB40" s="1691">
        <f ca="1">Costs!BB40/('Global assumptions'!$C$7*NAIRA2010_*250)</f>
        <v>0</v>
      </c>
      <c r="BC40" s="1691">
        <f ca="1">Costs!BC40/('Global assumptions'!$C$7*NAIRA2010_*250)</f>
        <v>0</v>
      </c>
      <c r="BD40" s="1691">
        <f ca="1">Costs!BD40/('Global assumptions'!$C$7*NAIRA2010_*250)</f>
        <v>0</v>
      </c>
      <c r="BE40" s="1691">
        <f ca="1">Costs!BE40/('Global assumptions'!$C$7*NAIRA2010_*250)</f>
        <v>0</v>
      </c>
      <c r="BF40" s="1691">
        <f ca="1">Costs!BF40/('Global assumptions'!$C$7*NAIRA2010_*250)</f>
        <v>0</v>
      </c>
      <c r="BG40" s="1691">
        <f ca="1">Costs!BG40/('Global assumptions'!$C$7*NAIRA2010_*250)</f>
        <v>0</v>
      </c>
      <c r="BH40" s="675"/>
      <c r="BI40" s="1691">
        <f ca="1">Costs!BI40/('Global assumptions'!$C$7*NAIRA2010_*250)</f>
        <v>0</v>
      </c>
      <c r="BJ40" s="1691">
        <f ca="1">Costs!BJ40/('Global assumptions'!$C$7*NAIRA2010_*250)</f>
        <v>0</v>
      </c>
      <c r="BK40" s="1691">
        <f ca="1">Costs!BK40/('Global assumptions'!$C$7*NAIRA2010_*250)</f>
        <v>0</v>
      </c>
      <c r="BL40" s="1691">
        <f ca="1">Costs!BL40/('Global assumptions'!$C$7*NAIRA2010_*250)</f>
        <v>0</v>
      </c>
      <c r="BM40" s="1691">
        <f ca="1">Costs!BM40/('Global assumptions'!$C$7*NAIRA2010_*250)</f>
        <v>0</v>
      </c>
      <c r="BN40" s="1691">
        <f ca="1">Costs!BN40/('Global assumptions'!$C$7*NAIRA2010_*250)</f>
        <v>0</v>
      </c>
      <c r="BO40" s="1691">
        <f ca="1">Costs!BO40/('Global assumptions'!$C$7*NAIRA2010_*250)</f>
        <v>0</v>
      </c>
      <c r="BP40" s="1691">
        <f ca="1">Costs!BP40/('Global assumptions'!$C$7*NAIRA2010_*250)</f>
        <v>0</v>
      </c>
      <c r="BQ40" s="1691">
        <f ca="1">Costs!BQ40/('Global assumptions'!$C$7*NAIRA2010_*250)</f>
        <v>0</v>
      </c>
      <c r="BR40" s="675"/>
      <c r="BS40" s="1691">
        <f ca="1">Costs!BS40/('Global assumptions'!$C$7*NAIRA2010_*250)</f>
        <v>-0.74229874880403923</v>
      </c>
      <c r="BT40" s="1691">
        <f ca="1">Costs!BT40/('Global assumptions'!$C$7*NAIRA2010_*250)</f>
        <v>-0.76848651449476235</v>
      </c>
      <c r="BU40" s="1691">
        <f ca="1">Costs!BU40/('Global assumptions'!$C$7*NAIRA2010_*250)</f>
        <v>1.019314513971872</v>
      </c>
      <c r="BV40" s="1691">
        <f ca="1">Costs!BV40/('Global assumptions'!$C$7*NAIRA2010_*250)</f>
        <v>7.5754355493672927</v>
      </c>
      <c r="BW40" s="1691">
        <f ca="1">Costs!BW40/('Global assumptions'!$C$7*NAIRA2010_*250)</f>
        <v>17.63201951542667</v>
      </c>
      <c r="BX40" s="1691">
        <f ca="1">Costs!BX40/('Global assumptions'!$C$7*NAIRA2010_*250)</f>
        <v>33.196775790666017</v>
      </c>
      <c r="BY40" s="1691">
        <f ca="1">Costs!BY40/('Global assumptions'!$C$7*NAIRA2010_*250)</f>
        <v>49.760276732968904</v>
      </c>
      <c r="BZ40" s="1691">
        <f ca="1">Costs!BZ40/('Global assumptions'!$C$7*NAIRA2010_*250)</f>
        <v>66.199726573039143</v>
      </c>
      <c r="CA40" s="1691">
        <f ca="1">Costs!CA40/('Global assumptions'!$C$7*NAIRA2010_*250)</f>
        <v>84.687396268791829</v>
      </c>
      <c r="CC40" s="1707">
        <f t="shared" ca="1" si="4"/>
        <v>28.72890663121477</v>
      </c>
      <c r="CD40" s="1707">
        <f t="shared" ca="1" si="1"/>
        <v>85.006301199988869</v>
      </c>
      <c r="CF40" s="1691">
        <f ca="1">Costs!CF40/('Global assumptions'!$C$7*NAIRA2010_*250)</f>
        <v>0</v>
      </c>
      <c r="CG40" s="1691">
        <f ca="1">Costs!CG40/('Global assumptions'!$C$7*NAIRA2010_*250)</f>
        <v>0</v>
      </c>
      <c r="CH40" s="1691">
        <f ca="1">Costs!CH40/('Global assumptions'!$C$7*NAIRA2010_*250)</f>
        <v>0</v>
      </c>
      <c r="CI40" s="1691">
        <f ca="1">Costs!CI40/('Global assumptions'!$C$7*NAIRA2010_*250)</f>
        <v>0</v>
      </c>
      <c r="CJ40" s="1691">
        <f ca="1">Costs!CJ40/('Global assumptions'!$C$7*NAIRA2010_*250)</f>
        <v>0</v>
      </c>
      <c r="CK40" s="1691">
        <f ca="1">Costs!CK40/('Global assumptions'!$C$7*NAIRA2010_*250)</f>
        <v>0</v>
      </c>
      <c r="CL40" s="1691">
        <f ca="1">Costs!CL40/('Global assumptions'!$C$7*NAIRA2010_*250)</f>
        <v>0</v>
      </c>
      <c r="CM40" s="1691">
        <f ca="1">Costs!CM40/('Global assumptions'!$C$7*NAIRA2010_*250)</f>
        <v>0</v>
      </c>
      <c r="CN40" s="1691">
        <f ca="1">Costs!CN40/('Global assumptions'!$C$7*NAIRA2010_*250)</f>
        <v>0</v>
      </c>
      <c r="CP40" s="1707">
        <f t="shared" ca="1" si="5"/>
        <v>0</v>
      </c>
      <c r="CQ40" s="1707">
        <f t="shared" ca="1" si="2"/>
        <v>0</v>
      </c>
      <c r="CR40" s="1426" t="str">
        <f t="shared" ca="1" si="6"/>
        <v>ok</v>
      </c>
    </row>
    <row r="41" spans="1:96" x14ac:dyDescent="0.2">
      <c r="A41" s="1683" t="s">
        <v>1699</v>
      </c>
      <c r="B41" s="1683" t="s">
        <v>1702</v>
      </c>
      <c r="C41" s="1683" t="s">
        <v>1732</v>
      </c>
      <c r="E41" s="1689">
        <f ca="1">Costs!E41/('Global assumptions'!$C$7*NAIRA2010_*250)</f>
        <v>0</v>
      </c>
      <c r="F41" s="1689">
        <f ca="1">Costs!F41/('Global assumptions'!$C$7*NAIRA2010_*250)</f>
        <v>0</v>
      </c>
      <c r="G41" s="1689">
        <f ca="1">Costs!G41/('Global assumptions'!$C$7*NAIRA2010_*250)</f>
        <v>0</v>
      </c>
      <c r="H41" s="1689">
        <f ca="1">Costs!H41/('Global assumptions'!$C$7*NAIRA2010_*250)</f>
        <v>0</v>
      </c>
      <c r="I41" s="1689">
        <f ca="1">Costs!I41/('Global assumptions'!$C$7*NAIRA2010_*250)</f>
        <v>0</v>
      </c>
      <c r="J41" s="1689">
        <f ca="1">Costs!J41/('Global assumptions'!$C$7*NAIRA2010_*250)</f>
        <v>0</v>
      </c>
      <c r="K41" s="1689">
        <f ca="1">Costs!K41/('Global assumptions'!$C$7*NAIRA2010_*250)</f>
        <v>0</v>
      </c>
      <c r="L41" s="1689">
        <f ca="1">Costs!L41/('Global assumptions'!$C$7*NAIRA2010_*250)</f>
        <v>0</v>
      </c>
      <c r="M41" s="1689">
        <f ca="1">Costs!M41/('Global assumptions'!$C$7*NAIRA2010_*250)</f>
        <v>0</v>
      </c>
      <c r="N41" s="675"/>
      <c r="O41" s="1689">
        <f ca="1">Costs!O41/('Global assumptions'!$C$7*NAIRA2010_*250)</f>
        <v>0</v>
      </c>
      <c r="P41" s="1689">
        <f ca="1">Costs!P41/('Global assumptions'!$C$7*NAIRA2010_*250)</f>
        <v>0</v>
      </c>
      <c r="Q41" s="1689">
        <f ca="1">Costs!Q41/('Global assumptions'!$C$7*NAIRA2010_*250)</f>
        <v>0</v>
      </c>
      <c r="R41" s="1689">
        <f ca="1">Costs!R41/('Global assumptions'!$C$7*NAIRA2010_*250)</f>
        <v>0</v>
      </c>
      <c r="S41" s="1689">
        <f ca="1">Costs!S41/('Global assumptions'!$C$7*NAIRA2010_*250)</f>
        <v>0</v>
      </c>
      <c r="T41" s="1689">
        <f ca="1">Costs!T41/('Global assumptions'!$C$7*NAIRA2010_*250)</f>
        <v>0</v>
      </c>
      <c r="U41" s="1689">
        <f ca="1">Costs!U41/('Global assumptions'!$C$7*NAIRA2010_*250)</f>
        <v>0</v>
      </c>
      <c r="V41" s="1689">
        <f ca="1">Costs!V41/('Global assumptions'!$C$7*NAIRA2010_*250)</f>
        <v>0</v>
      </c>
      <c r="W41" s="1689">
        <f ca="1">Costs!W41/('Global assumptions'!$C$7*NAIRA2010_*250)</f>
        <v>0</v>
      </c>
      <c r="X41" s="675"/>
      <c r="Y41" s="1689">
        <f ca="1">Costs!Y41/('Global assumptions'!$C$7*NAIRA2010_*250)</f>
        <v>-241.64251496858165</v>
      </c>
      <c r="Z41" s="1689">
        <f ca="1">Costs!Z41/('Global assumptions'!$C$7*NAIRA2010_*250)</f>
        <v>-233.53867790150605</v>
      </c>
      <c r="AA41" s="1689">
        <f ca="1">Costs!AA41/('Global assumptions'!$C$7*NAIRA2010_*250)</f>
        <v>-242.38871039047277</v>
      </c>
      <c r="AB41" s="1689">
        <f ca="1">Costs!AB41/('Global assumptions'!$C$7*NAIRA2010_*250)</f>
        <v>-239.8458633693636</v>
      </c>
      <c r="AC41" s="1689">
        <f ca="1">Costs!AC41/('Global assumptions'!$C$7*NAIRA2010_*250)</f>
        <v>-230.44643352351468</v>
      </c>
      <c r="AD41" s="1689">
        <f ca="1">Costs!AD41/('Global assumptions'!$C$7*NAIRA2010_*250)</f>
        <v>-227.10521574451113</v>
      </c>
      <c r="AE41" s="1689">
        <f ca="1">Costs!AE41/('Global assumptions'!$C$7*NAIRA2010_*250)</f>
        <v>-225.25945163340609</v>
      </c>
      <c r="AF41" s="1689">
        <f ca="1">Costs!AF41/('Global assumptions'!$C$7*NAIRA2010_*250)</f>
        <v>-223.60210003581525</v>
      </c>
      <c r="AG41" s="1689">
        <f ca="1">Costs!AG41/('Global assumptions'!$C$7*NAIRA2010_*250)</f>
        <v>-227.99057737866951</v>
      </c>
      <c r="AH41" s="675"/>
      <c r="AI41" s="1689">
        <f ca="1">Costs!AI41/('Global assumptions'!$C$7*NAIRA2010_*250)</f>
        <v>-241.64251496858165</v>
      </c>
      <c r="AJ41" s="1689">
        <f ca="1">Costs!AJ41/('Global assumptions'!$C$7*NAIRA2010_*250)</f>
        <v>-233.53867790150605</v>
      </c>
      <c r="AK41" s="1689">
        <f ca="1">Costs!AK41/('Global assumptions'!$C$7*NAIRA2010_*250)</f>
        <v>-242.38871039047277</v>
      </c>
      <c r="AL41" s="1689">
        <f ca="1">Costs!AL41/('Global assumptions'!$C$7*NAIRA2010_*250)</f>
        <v>-239.8458633693636</v>
      </c>
      <c r="AM41" s="1689">
        <f ca="1">Costs!AM41/('Global assumptions'!$C$7*NAIRA2010_*250)</f>
        <v>-230.44643352351468</v>
      </c>
      <c r="AN41" s="1689">
        <f ca="1">Costs!AN41/('Global assumptions'!$C$7*NAIRA2010_*250)</f>
        <v>-227.10521574451113</v>
      </c>
      <c r="AO41" s="1689">
        <f ca="1">Costs!AO41/('Global assumptions'!$C$7*NAIRA2010_*250)</f>
        <v>-225.25945163340609</v>
      </c>
      <c r="AP41" s="1689">
        <f ca="1">Costs!AP41/('Global assumptions'!$C$7*NAIRA2010_*250)</f>
        <v>-223.60210003581525</v>
      </c>
      <c r="AQ41" s="1689">
        <f ca="1">Costs!AQ41/('Global assumptions'!$C$7*NAIRA2010_*250)</f>
        <v>-227.99057737866951</v>
      </c>
      <c r="AS41" s="1706">
        <f t="shared" ca="1" si="3"/>
        <v>-232.42439388287119</v>
      </c>
      <c r="AT41" s="1706">
        <f t="shared" ca="1" si="0"/>
        <v>-2165.5334992008843</v>
      </c>
      <c r="AU41" s="675"/>
      <c r="AV41" s="1699">
        <f>IFERROR(VLOOKUP($A41,Cost.FinanceCostTable,3,FALSE),'Global assumptions'!$D$35)</f>
        <v>0</v>
      </c>
      <c r="AW41" s="1690">
        <f>IFERROR(VLOOKUP($A41,Cost.FinanceCostTable,4,FALSE),'Global assumptions'!$E$35)</f>
        <v>5</v>
      </c>
      <c r="AX41" s="675"/>
      <c r="AY41" s="1689">
        <f ca="1">Costs!AY41/('Global assumptions'!$C$7*NAIRA2010_*250)</f>
        <v>0</v>
      </c>
      <c r="AZ41" s="1689">
        <f ca="1">Costs!AZ41/('Global assumptions'!$C$7*NAIRA2010_*250)</f>
        <v>0</v>
      </c>
      <c r="BA41" s="1689">
        <f ca="1">Costs!BA41/('Global assumptions'!$C$7*NAIRA2010_*250)</f>
        <v>0</v>
      </c>
      <c r="BB41" s="1689">
        <f ca="1">Costs!BB41/('Global assumptions'!$C$7*NAIRA2010_*250)</f>
        <v>0</v>
      </c>
      <c r="BC41" s="1689">
        <f ca="1">Costs!BC41/('Global assumptions'!$C$7*NAIRA2010_*250)</f>
        <v>0</v>
      </c>
      <c r="BD41" s="1689">
        <f ca="1">Costs!BD41/('Global assumptions'!$C$7*NAIRA2010_*250)</f>
        <v>0</v>
      </c>
      <c r="BE41" s="1689">
        <f ca="1">Costs!BE41/('Global assumptions'!$C$7*NAIRA2010_*250)</f>
        <v>0</v>
      </c>
      <c r="BF41" s="1689">
        <f ca="1">Costs!BF41/('Global assumptions'!$C$7*NAIRA2010_*250)</f>
        <v>0</v>
      </c>
      <c r="BG41" s="1689">
        <f ca="1">Costs!BG41/('Global assumptions'!$C$7*NAIRA2010_*250)</f>
        <v>0</v>
      </c>
      <c r="BH41" s="675"/>
      <c r="BI41" s="1689">
        <f ca="1">Costs!BI41/('Global assumptions'!$C$7*NAIRA2010_*250)</f>
        <v>0</v>
      </c>
      <c r="BJ41" s="1689">
        <f ca="1">Costs!BJ41/('Global assumptions'!$C$7*NAIRA2010_*250)</f>
        <v>0</v>
      </c>
      <c r="BK41" s="1689">
        <f ca="1">Costs!BK41/('Global assumptions'!$C$7*NAIRA2010_*250)</f>
        <v>0</v>
      </c>
      <c r="BL41" s="1689">
        <f ca="1">Costs!BL41/('Global assumptions'!$C$7*NAIRA2010_*250)</f>
        <v>0</v>
      </c>
      <c r="BM41" s="1689">
        <f ca="1">Costs!BM41/('Global assumptions'!$C$7*NAIRA2010_*250)</f>
        <v>0</v>
      </c>
      <c r="BN41" s="1689">
        <f ca="1">Costs!BN41/('Global assumptions'!$C$7*NAIRA2010_*250)</f>
        <v>0</v>
      </c>
      <c r="BO41" s="1689">
        <f ca="1">Costs!BO41/('Global assumptions'!$C$7*NAIRA2010_*250)</f>
        <v>0</v>
      </c>
      <c r="BP41" s="1689">
        <f ca="1">Costs!BP41/('Global assumptions'!$C$7*NAIRA2010_*250)</f>
        <v>0</v>
      </c>
      <c r="BQ41" s="1689">
        <f ca="1">Costs!BQ41/('Global assumptions'!$C$7*NAIRA2010_*250)</f>
        <v>0</v>
      </c>
      <c r="BR41" s="675"/>
      <c r="BS41" s="1689">
        <f ca="1">Costs!BS41/('Global assumptions'!$C$7*NAIRA2010_*250)</f>
        <v>-241.64251496858165</v>
      </c>
      <c r="BT41" s="1689">
        <f ca="1">Costs!BT41/('Global assumptions'!$C$7*NAIRA2010_*250)</f>
        <v>-233.53867790150605</v>
      </c>
      <c r="BU41" s="1689">
        <f ca="1">Costs!BU41/('Global assumptions'!$C$7*NAIRA2010_*250)</f>
        <v>-242.38871039047277</v>
      </c>
      <c r="BV41" s="1689">
        <f ca="1">Costs!BV41/('Global assumptions'!$C$7*NAIRA2010_*250)</f>
        <v>-239.8458633693636</v>
      </c>
      <c r="BW41" s="1689">
        <f ca="1">Costs!BW41/('Global assumptions'!$C$7*NAIRA2010_*250)</f>
        <v>-230.44643352351468</v>
      </c>
      <c r="BX41" s="1689">
        <f ca="1">Costs!BX41/('Global assumptions'!$C$7*NAIRA2010_*250)</f>
        <v>-227.10521574451113</v>
      </c>
      <c r="BY41" s="1689">
        <f ca="1">Costs!BY41/('Global assumptions'!$C$7*NAIRA2010_*250)</f>
        <v>-225.25945163340609</v>
      </c>
      <c r="BZ41" s="1689">
        <f ca="1">Costs!BZ41/('Global assumptions'!$C$7*NAIRA2010_*250)</f>
        <v>-223.60210003581525</v>
      </c>
      <c r="CA41" s="1689">
        <f ca="1">Costs!CA41/('Global assumptions'!$C$7*NAIRA2010_*250)</f>
        <v>-227.99057737866951</v>
      </c>
      <c r="CC41" s="1706">
        <f t="shared" ca="1" si="4"/>
        <v>-232.42439388287119</v>
      </c>
      <c r="CD41" s="1706">
        <f t="shared" ca="1" si="1"/>
        <v>-2165.5334992008843</v>
      </c>
      <c r="CF41" s="1689">
        <f ca="1">Costs!CF41/('Global assumptions'!$C$7*NAIRA2010_*250)</f>
        <v>0</v>
      </c>
      <c r="CG41" s="1689">
        <f ca="1">Costs!CG41/('Global assumptions'!$C$7*NAIRA2010_*250)</f>
        <v>0</v>
      </c>
      <c r="CH41" s="1689">
        <f ca="1">Costs!CH41/('Global assumptions'!$C$7*NAIRA2010_*250)</f>
        <v>0</v>
      </c>
      <c r="CI41" s="1689">
        <f ca="1">Costs!CI41/('Global assumptions'!$C$7*NAIRA2010_*250)</f>
        <v>0</v>
      </c>
      <c r="CJ41" s="1689">
        <f ca="1">Costs!CJ41/('Global assumptions'!$C$7*NAIRA2010_*250)</f>
        <v>0</v>
      </c>
      <c r="CK41" s="1689">
        <f ca="1">Costs!CK41/('Global assumptions'!$C$7*NAIRA2010_*250)</f>
        <v>0</v>
      </c>
      <c r="CL41" s="1689">
        <f ca="1">Costs!CL41/('Global assumptions'!$C$7*NAIRA2010_*250)</f>
        <v>0</v>
      </c>
      <c r="CM41" s="1689">
        <f ca="1">Costs!CM41/('Global assumptions'!$C$7*NAIRA2010_*250)</f>
        <v>0</v>
      </c>
      <c r="CN41" s="1689">
        <f ca="1">Costs!CN41/('Global assumptions'!$C$7*NAIRA2010_*250)</f>
        <v>0</v>
      </c>
      <c r="CP41" s="1706">
        <f t="shared" ca="1" si="5"/>
        <v>0</v>
      </c>
      <c r="CQ41" s="1706">
        <f t="shared" ca="1" si="2"/>
        <v>0</v>
      </c>
      <c r="CR41" s="1426" t="str">
        <f t="shared" ca="1" si="6"/>
        <v>ok</v>
      </c>
    </row>
    <row r="42" spans="1:96" s="580" customFormat="1" x14ac:dyDescent="0.2">
      <c r="A42" s="2134" t="s">
        <v>1700</v>
      </c>
      <c r="B42" s="2134" t="s">
        <v>1703</v>
      </c>
      <c r="C42" s="2134" t="s">
        <v>1732</v>
      </c>
      <c r="E42" s="2135">
        <f ca="1">Costs!E42/('Global assumptions'!$C$7*NAIRA2010_*250)</f>
        <v>0</v>
      </c>
      <c r="F42" s="2135">
        <f ca="1">Costs!F42/('Global assumptions'!$C$7*NAIRA2010_*250)</f>
        <v>0</v>
      </c>
      <c r="G42" s="2135">
        <f ca="1">Costs!G42/('Global assumptions'!$C$7*NAIRA2010_*250)</f>
        <v>0</v>
      </c>
      <c r="H42" s="2135">
        <f ca="1">Costs!H42/('Global assumptions'!$C$7*NAIRA2010_*250)</f>
        <v>0</v>
      </c>
      <c r="I42" s="2135">
        <f ca="1">Costs!I42/('Global assumptions'!$C$7*NAIRA2010_*250)</f>
        <v>0</v>
      </c>
      <c r="J42" s="2135">
        <f ca="1">Costs!J42/('Global assumptions'!$C$7*NAIRA2010_*250)</f>
        <v>0</v>
      </c>
      <c r="K42" s="2135">
        <f ca="1">Costs!K42/('Global assumptions'!$C$7*NAIRA2010_*250)</f>
        <v>0</v>
      </c>
      <c r="L42" s="2135">
        <f ca="1">Costs!L42/('Global assumptions'!$C$7*NAIRA2010_*250)</f>
        <v>0</v>
      </c>
      <c r="M42" s="2135">
        <f ca="1">Costs!M42/('Global assumptions'!$C$7*NAIRA2010_*250)</f>
        <v>0</v>
      </c>
      <c r="N42" s="2731"/>
      <c r="O42" s="2135">
        <f ca="1">Costs!O42/('Global assumptions'!$C$7*NAIRA2010_*250)</f>
        <v>0</v>
      </c>
      <c r="P42" s="2135">
        <f ca="1">Costs!P42/('Global assumptions'!$C$7*NAIRA2010_*250)</f>
        <v>0</v>
      </c>
      <c r="Q42" s="2135">
        <f ca="1">Costs!Q42/('Global assumptions'!$C$7*NAIRA2010_*250)</f>
        <v>0</v>
      </c>
      <c r="R42" s="2135">
        <f ca="1">Costs!R42/('Global assumptions'!$C$7*NAIRA2010_*250)</f>
        <v>0</v>
      </c>
      <c r="S42" s="2135">
        <f ca="1">Costs!S42/('Global assumptions'!$C$7*NAIRA2010_*250)</f>
        <v>0</v>
      </c>
      <c r="T42" s="2135">
        <f ca="1">Costs!T42/('Global assumptions'!$C$7*NAIRA2010_*250)</f>
        <v>0</v>
      </c>
      <c r="U42" s="2135">
        <f ca="1">Costs!U42/('Global assumptions'!$C$7*NAIRA2010_*250)</f>
        <v>0</v>
      </c>
      <c r="V42" s="2135">
        <f ca="1">Costs!V42/('Global assumptions'!$C$7*NAIRA2010_*250)</f>
        <v>0</v>
      </c>
      <c r="W42" s="2135">
        <f ca="1">Costs!W42/('Global assumptions'!$C$7*NAIRA2010_*250)</f>
        <v>0</v>
      </c>
      <c r="X42" s="2731"/>
      <c r="Y42" s="2135">
        <f ca="1">Costs!Y42/('Global assumptions'!$C$7*NAIRA2010_*250)</f>
        <v>-68.428918767402749</v>
      </c>
      <c r="Z42" s="2135">
        <f ca="1">Costs!Z42/('Global assumptions'!$C$7*NAIRA2010_*250)</f>
        <v>-77.512764262356654</v>
      </c>
      <c r="AA42" s="2135">
        <f ca="1">Costs!AA42/('Global assumptions'!$C$7*NAIRA2010_*250)</f>
        <v>-73.177101411725829</v>
      </c>
      <c r="AB42" s="2135">
        <f ca="1">Costs!AB42/('Global assumptions'!$C$7*NAIRA2010_*250)</f>
        <v>-79.455417770259885</v>
      </c>
      <c r="AC42" s="2135">
        <f ca="1">Costs!AC42/('Global assumptions'!$C$7*NAIRA2010_*250)</f>
        <v>-78.338401870142008</v>
      </c>
      <c r="AD42" s="2135">
        <f ca="1">Costs!AD42/('Global assumptions'!$C$7*NAIRA2010_*250)</f>
        <v>-70.764418816525264</v>
      </c>
      <c r="AE42" s="2135">
        <f ca="1">Costs!AE42/('Global assumptions'!$C$7*NAIRA2010_*250)</f>
        <v>-66.910844551222226</v>
      </c>
      <c r="AF42" s="2135">
        <f ca="1">Costs!AF42/('Global assumptions'!$C$7*NAIRA2010_*250)</f>
        <v>-61.997699687841475</v>
      </c>
      <c r="AG42" s="2135">
        <f ca="1">Costs!AG42/('Global assumptions'!$C$7*NAIRA2010_*250)</f>
        <v>-57.107405863805745</v>
      </c>
      <c r="AH42" s="2731"/>
      <c r="AI42" s="2135">
        <f ca="1">Costs!AI42/('Global assumptions'!$C$7*NAIRA2010_*250)</f>
        <v>-68.428918767402749</v>
      </c>
      <c r="AJ42" s="2135">
        <f ca="1">Costs!AJ42/('Global assumptions'!$C$7*NAIRA2010_*250)</f>
        <v>-77.512764262356654</v>
      </c>
      <c r="AK42" s="2135">
        <f ca="1">Costs!AK42/('Global assumptions'!$C$7*NAIRA2010_*250)</f>
        <v>-73.177101411725829</v>
      </c>
      <c r="AL42" s="2135">
        <f ca="1">Costs!AL42/('Global assumptions'!$C$7*NAIRA2010_*250)</f>
        <v>-79.455417770259885</v>
      </c>
      <c r="AM42" s="2135">
        <f ca="1">Costs!AM42/('Global assumptions'!$C$7*NAIRA2010_*250)</f>
        <v>-78.338401870142008</v>
      </c>
      <c r="AN42" s="2135">
        <f ca="1">Costs!AN42/('Global assumptions'!$C$7*NAIRA2010_*250)</f>
        <v>-70.764418816525264</v>
      </c>
      <c r="AO42" s="2135">
        <f ca="1">Costs!AO42/('Global assumptions'!$C$7*NAIRA2010_*250)</f>
        <v>-66.910844551222226</v>
      </c>
      <c r="AP42" s="2135">
        <f ca="1">Costs!AP42/('Global assumptions'!$C$7*NAIRA2010_*250)</f>
        <v>-61.997699687841475</v>
      </c>
      <c r="AQ42" s="2135">
        <f ca="1">Costs!AQ42/('Global assumptions'!$C$7*NAIRA2010_*250)</f>
        <v>-57.107405863805745</v>
      </c>
      <c r="AS42" s="2732">
        <f t="shared" ca="1" si="3"/>
        <v>-70.41033033347577</v>
      </c>
      <c r="AT42" s="2732">
        <f t="shared" ca="1" si="0"/>
        <v>-682.79731962160804</v>
      </c>
      <c r="AU42" s="2731"/>
      <c r="AV42" s="2735">
        <f>IFERROR(VLOOKUP($A42,Cost.FinanceCostTable,3,FALSE),'Global assumptions'!$D$35)</f>
        <v>0</v>
      </c>
      <c r="AW42" s="2736">
        <f>IFERROR(VLOOKUP($A42,Cost.FinanceCostTable,4,FALSE),'Global assumptions'!$E$35)</f>
        <v>5</v>
      </c>
      <c r="AX42" s="2731"/>
      <c r="AY42" s="2135">
        <f ca="1">Costs!AY42/('Global assumptions'!$C$7*NAIRA2010_*250)</f>
        <v>0</v>
      </c>
      <c r="AZ42" s="2135">
        <f ca="1">Costs!AZ42/('Global assumptions'!$C$7*NAIRA2010_*250)</f>
        <v>0</v>
      </c>
      <c r="BA42" s="2135">
        <f ca="1">Costs!BA42/('Global assumptions'!$C$7*NAIRA2010_*250)</f>
        <v>0</v>
      </c>
      <c r="BB42" s="2135">
        <f ca="1">Costs!BB42/('Global assumptions'!$C$7*NAIRA2010_*250)</f>
        <v>0</v>
      </c>
      <c r="BC42" s="2135">
        <f ca="1">Costs!BC42/('Global assumptions'!$C$7*NAIRA2010_*250)</f>
        <v>0</v>
      </c>
      <c r="BD42" s="2135">
        <f ca="1">Costs!BD42/('Global assumptions'!$C$7*NAIRA2010_*250)</f>
        <v>0</v>
      </c>
      <c r="BE42" s="2135">
        <f ca="1">Costs!BE42/('Global assumptions'!$C$7*NAIRA2010_*250)</f>
        <v>0</v>
      </c>
      <c r="BF42" s="2135">
        <f ca="1">Costs!BF42/('Global assumptions'!$C$7*NAIRA2010_*250)</f>
        <v>0</v>
      </c>
      <c r="BG42" s="2135">
        <f ca="1">Costs!BG42/('Global assumptions'!$C$7*NAIRA2010_*250)</f>
        <v>0</v>
      </c>
      <c r="BH42" s="2731"/>
      <c r="BI42" s="2135">
        <f ca="1">Costs!BI42/('Global assumptions'!$C$7*NAIRA2010_*250)</f>
        <v>0</v>
      </c>
      <c r="BJ42" s="2135">
        <f ca="1">Costs!BJ42/('Global assumptions'!$C$7*NAIRA2010_*250)</f>
        <v>0</v>
      </c>
      <c r="BK42" s="2135">
        <f ca="1">Costs!BK42/('Global assumptions'!$C$7*NAIRA2010_*250)</f>
        <v>0</v>
      </c>
      <c r="BL42" s="2135">
        <f ca="1">Costs!BL42/('Global assumptions'!$C$7*NAIRA2010_*250)</f>
        <v>0</v>
      </c>
      <c r="BM42" s="2135">
        <f ca="1">Costs!BM42/('Global assumptions'!$C$7*NAIRA2010_*250)</f>
        <v>0</v>
      </c>
      <c r="BN42" s="2135">
        <f ca="1">Costs!BN42/('Global assumptions'!$C$7*NAIRA2010_*250)</f>
        <v>0</v>
      </c>
      <c r="BO42" s="2135">
        <f ca="1">Costs!BO42/('Global assumptions'!$C$7*NAIRA2010_*250)</f>
        <v>0</v>
      </c>
      <c r="BP42" s="2135">
        <f ca="1">Costs!BP42/('Global assumptions'!$C$7*NAIRA2010_*250)</f>
        <v>0</v>
      </c>
      <c r="BQ42" s="2135">
        <f ca="1">Costs!BQ42/('Global assumptions'!$C$7*NAIRA2010_*250)</f>
        <v>0</v>
      </c>
      <c r="BR42" s="2731"/>
      <c r="BS42" s="2135">
        <f ca="1">Costs!BS42/('Global assumptions'!$C$7*NAIRA2010_*250)</f>
        <v>-68.428918767402749</v>
      </c>
      <c r="BT42" s="2135">
        <f ca="1">Costs!BT42/('Global assumptions'!$C$7*NAIRA2010_*250)</f>
        <v>-77.512764262356654</v>
      </c>
      <c r="BU42" s="2135">
        <f ca="1">Costs!BU42/('Global assumptions'!$C$7*NAIRA2010_*250)</f>
        <v>-73.177101411725829</v>
      </c>
      <c r="BV42" s="2135">
        <f ca="1">Costs!BV42/('Global assumptions'!$C$7*NAIRA2010_*250)</f>
        <v>-79.455417770259885</v>
      </c>
      <c r="BW42" s="2135">
        <f ca="1">Costs!BW42/('Global assumptions'!$C$7*NAIRA2010_*250)</f>
        <v>-78.338401870142008</v>
      </c>
      <c r="BX42" s="2135">
        <f ca="1">Costs!BX42/('Global assumptions'!$C$7*NAIRA2010_*250)</f>
        <v>-70.764418816525264</v>
      </c>
      <c r="BY42" s="2135">
        <f ca="1">Costs!BY42/('Global assumptions'!$C$7*NAIRA2010_*250)</f>
        <v>-66.910844551222226</v>
      </c>
      <c r="BZ42" s="2135">
        <f ca="1">Costs!BZ42/('Global assumptions'!$C$7*NAIRA2010_*250)</f>
        <v>-61.997699687841475</v>
      </c>
      <c r="CA42" s="2135">
        <f ca="1">Costs!CA42/('Global assumptions'!$C$7*NAIRA2010_*250)</f>
        <v>-57.107405863805745</v>
      </c>
      <c r="CC42" s="2732">
        <f t="shared" ca="1" si="4"/>
        <v>-70.41033033347577</v>
      </c>
      <c r="CD42" s="2732">
        <f t="shared" ca="1" si="1"/>
        <v>-682.79731962160804</v>
      </c>
      <c r="CF42" s="2135">
        <f ca="1">Costs!CF42/('Global assumptions'!$C$7*NAIRA2010_*250)</f>
        <v>0</v>
      </c>
      <c r="CG42" s="2135">
        <f ca="1">Costs!CG42/('Global assumptions'!$C$7*NAIRA2010_*250)</f>
        <v>0</v>
      </c>
      <c r="CH42" s="2135">
        <f ca="1">Costs!CH42/('Global assumptions'!$C$7*NAIRA2010_*250)</f>
        <v>0</v>
      </c>
      <c r="CI42" s="2135">
        <f ca="1">Costs!CI42/('Global assumptions'!$C$7*NAIRA2010_*250)</f>
        <v>0</v>
      </c>
      <c r="CJ42" s="2135">
        <f ca="1">Costs!CJ42/('Global assumptions'!$C$7*NAIRA2010_*250)</f>
        <v>0</v>
      </c>
      <c r="CK42" s="2135">
        <f ca="1">Costs!CK42/('Global assumptions'!$C$7*NAIRA2010_*250)</f>
        <v>0</v>
      </c>
      <c r="CL42" s="2135">
        <f ca="1">Costs!CL42/('Global assumptions'!$C$7*NAIRA2010_*250)</f>
        <v>0</v>
      </c>
      <c r="CM42" s="2135">
        <f ca="1">Costs!CM42/('Global assumptions'!$C$7*NAIRA2010_*250)</f>
        <v>0</v>
      </c>
      <c r="CN42" s="2135">
        <f ca="1">Costs!CN42/('Global assumptions'!$C$7*NAIRA2010_*250)</f>
        <v>0</v>
      </c>
      <c r="CP42" s="2732">
        <f t="shared" ca="1" si="5"/>
        <v>0</v>
      </c>
      <c r="CQ42" s="2732">
        <f t="shared" ca="1" si="2"/>
        <v>0</v>
      </c>
      <c r="CR42" s="1073" t="str">
        <f t="shared" ca="1" si="6"/>
        <v>ok</v>
      </c>
    </row>
    <row r="43" spans="1:96" s="2126" customFormat="1" x14ac:dyDescent="0.2">
      <c r="A43" s="1687" t="s">
        <v>105</v>
      </c>
      <c r="B43" s="1687" t="s">
        <v>105</v>
      </c>
      <c r="C43" s="1695" t="s">
        <v>105</v>
      </c>
      <c r="D43" s="1427"/>
      <c r="E43" s="1693">
        <f ca="1">Costs!E43/('Global assumptions'!$C$7*GBP)</f>
        <v>18.285099798417718</v>
      </c>
      <c r="F43" s="1693">
        <f ca="1">Costs!F43/('Global assumptions'!$C$8*GBP)</f>
        <v>1060.440851893497</v>
      </c>
      <c r="G43" s="1693">
        <f ca="1">Costs!G43/('Global assumptions'!$C$9*GBP)</f>
        <v>653.12158138432312</v>
      </c>
      <c r="H43" s="1693">
        <f ca="1">Costs!H43/('Global assumptions'!$C$10*GBP)</f>
        <v>703.76641159840324</v>
      </c>
      <c r="I43" s="1693">
        <f ca="1">Costs!I43/('Global assumptions'!$C$11*GBP)</f>
        <v>750.49055353418737</v>
      </c>
      <c r="J43" s="1693">
        <f ca="1">Costs!J43/('Global assumptions'!$C$12*GBP)</f>
        <v>817.11866771641871</v>
      </c>
      <c r="K43" s="1693">
        <f ca="1">Costs!K43/('Global assumptions'!$C$13*GBP)</f>
        <v>832.56607612090352</v>
      </c>
      <c r="L43" s="1693">
        <f ca="1">Costs!L43/('Global assumptions'!$C$14*GBP)</f>
        <v>936.82889928435088</v>
      </c>
      <c r="M43" s="1693">
        <f ca="1">Costs!M43/('Global assumptions'!$C$15*GBP)</f>
        <v>984.12219781014539</v>
      </c>
      <c r="N43" s="1711"/>
      <c r="O43" s="1693">
        <f ca="1">Costs!O43/('Global assumptions'!$C$7*GBP)</f>
        <v>1745.190952474665</v>
      </c>
      <c r="P43" s="1693">
        <f ca="1">Costs!P43/('Global assumptions'!$C$8*GBP)</f>
        <v>16162.374879504472</v>
      </c>
      <c r="Q43" s="1693">
        <f ca="1">Costs!Q43/('Global assumptions'!$C$9*GBP)</f>
        <v>17147.188208979391</v>
      </c>
      <c r="R43" s="1693">
        <f ca="1">Costs!R43/('Global assumptions'!$C$10*GBP)</f>
        <v>18148.052473367126</v>
      </c>
      <c r="S43" s="1693">
        <f ca="1">Costs!S43/('Global assumptions'!$C$11*GBP)</f>
        <v>19150.858299617401</v>
      </c>
      <c r="T43" s="1693">
        <f ca="1">Costs!T43/('Global assumptions'!$C$12*GBP)</f>
        <v>20149.261580823251</v>
      </c>
      <c r="U43" s="1693">
        <f ca="1">Costs!U43/('Global assumptions'!$C$13*GBP)</f>
        <v>21137.823884105939</v>
      </c>
      <c r="V43" s="1693">
        <f ca="1">Costs!V43/('Global assumptions'!$C$14*GBP)</f>
        <v>22112.604952290611</v>
      </c>
      <c r="W43" s="1693">
        <f ca="1">Costs!W43/('Global assumptions'!$C$15*GBP)</f>
        <v>23062.454022085902</v>
      </c>
      <c r="X43" s="1711"/>
      <c r="Y43" s="1693">
        <f ca="1">Costs!Y43/('Global assumptions'!$C$7*GBP)</f>
        <v>144.58129726386309</v>
      </c>
      <c r="Z43" s="1693">
        <f ca="1">Costs!Z43/('Global assumptions'!$C$8*GBP)</f>
        <v>151.79533897003634</v>
      </c>
      <c r="AA43" s="1693">
        <f ca="1">Costs!AA43/('Global assumptions'!$C$9*GBP)</f>
        <v>148.20605842724419</v>
      </c>
      <c r="AB43" s="1693">
        <f ca="1">Costs!AB43/('Global assumptions'!$C$10*GBP)</f>
        <v>148.41133409217016</v>
      </c>
      <c r="AC43" s="1693">
        <f ca="1">Costs!AC43/('Global assumptions'!$C$11*GBP)</f>
        <v>157.29686715651272</v>
      </c>
      <c r="AD43" s="1693">
        <f ca="1">Costs!AD43/('Global assumptions'!$C$12*GBP)</f>
        <v>160.46799507283933</v>
      </c>
      <c r="AE43" s="1693">
        <f ca="1">Costs!AE43/('Global assumptions'!$C$13*GBP)</f>
        <v>162.98901123277238</v>
      </c>
      <c r="AF43" s="1693">
        <f ca="1">Costs!AF43/('Global assumptions'!$C$14*GBP)</f>
        <v>165.4237038140383</v>
      </c>
      <c r="AG43" s="1693">
        <f ca="1">Costs!AG43/('Global assumptions'!$C$15*GBP)</f>
        <v>138.37673406277429</v>
      </c>
      <c r="AH43" s="1711"/>
      <c r="AI43" s="1693">
        <f ca="1">Costs!AI43/('Global assumptions'!$C$7*GBP)</f>
        <v>1908.0573495369449</v>
      </c>
      <c r="AJ43" s="1693">
        <f ca="1">Costs!AJ43/('Global assumptions'!$C$8*GBP)</f>
        <v>17374.611070368006</v>
      </c>
      <c r="AK43" s="1693">
        <f ca="1">Costs!AK43/('Global assumptions'!$C$9*GBP)</f>
        <v>17948.515848790958</v>
      </c>
      <c r="AL43" s="1693">
        <f ca="1">Costs!AL43/('Global assumptions'!$C$10*GBP)</f>
        <v>19000.230219057699</v>
      </c>
      <c r="AM43" s="1693">
        <f ca="1">Costs!AM43/('Global assumptions'!$C$11*GBP)</f>
        <v>20058.645720308097</v>
      </c>
      <c r="AN43" s="1693">
        <f ca="1">Costs!AN43/('Global assumptions'!$C$12*GBP)</f>
        <v>21126.848243612509</v>
      </c>
      <c r="AO43" s="1693">
        <f ca="1">Costs!AO43/('Global assumptions'!$C$13*GBP)</f>
        <v>22133.378971459617</v>
      </c>
      <c r="AP43" s="1693">
        <f ca="1">Costs!AP43/('Global assumptions'!$C$14*GBP)</f>
        <v>23214.857555388997</v>
      </c>
      <c r="AQ43" s="1693">
        <f ca="1">Costs!AQ43/('Global assumptions'!$C$15*GBP)</f>
        <v>24184.952953958818</v>
      </c>
      <c r="AR43" s="1711"/>
      <c r="AS43" s="1709">
        <f ca="1">AVERAGE($AI43:$AQ43)</f>
        <v>18550.010881386854</v>
      </c>
      <c r="AT43" s="1709">
        <f ca="1">(SUMPRODUCT(AJ43:AQ43,discount_factors)*5)+AI43</f>
        <v>155085.99054423501</v>
      </c>
      <c r="AU43" s="1711"/>
      <c r="AV43" s="1710"/>
      <c r="AW43" s="1712"/>
      <c r="AX43" s="1711"/>
      <c r="AY43" s="1693">
        <f ca="1">Costs!AY43/('Global assumptions'!$C$7*GBP)</f>
        <v>2.9526053630768896</v>
      </c>
      <c r="AZ43" s="1693">
        <f ca="1">Costs!AZ43/('Global assumptions'!$C$8*GBP)</f>
        <v>914.60669507580872</v>
      </c>
      <c r="BA43" s="1693">
        <f ca="1">Costs!BA43/('Global assumptions'!$C$9*GBP)</f>
        <v>445.53499066547323</v>
      </c>
      <c r="BB43" s="1693">
        <f ca="1">Costs!BB43/('Global assumptions'!$C$10*GBP)</f>
        <v>461.19219700601121</v>
      </c>
      <c r="BC43" s="1693">
        <f ca="1">Costs!BC43/('Global assumptions'!$C$11*GBP)</f>
        <v>474.15159037987991</v>
      </c>
      <c r="BD43" s="1693">
        <f ca="1">Costs!BD43/('Global assumptions'!$C$12*GBP)</f>
        <v>500.98820919996746</v>
      </c>
      <c r="BE43" s="1693">
        <f ca="1">Costs!BE43/('Global assumptions'!$C$13*GBP)</f>
        <v>483.45024661080026</v>
      </c>
      <c r="BF43" s="1693">
        <f ca="1">Costs!BF43/('Global assumptions'!$C$14*GBP)</f>
        <v>525.18962785334304</v>
      </c>
      <c r="BG43" s="1693">
        <f ca="1">Costs!BG43/('Global assumptions'!$C$15*GBP)</f>
        <v>546.22196819000169</v>
      </c>
      <c r="BH43" s="1711"/>
      <c r="BI43" s="1693">
        <f ca="1">Costs!BI43/('Global assumptions'!$C$7*GBP)</f>
        <v>2.9526053630768896</v>
      </c>
      <c r="BJ43" s="1693">
        <f ca="1">Costs!BJ43/('Global assumptions'!$C$8*GBP)</f>
        <v>917.21532699389923</v>
      </c>
      <c r="BK43" s="1693">
        <f ca="1">Costs!BK43/('Global assumptions'!$C$9*GBP)</f>
        <v>513.41546942240052</v>
      </c>
      <c r="BL43" s="1693">
        <f ca="1">Costs!BL43/('Global assumptions'!$C$10*GBP)</f>
        <v>599.62855091094627</v>
      </c>
      <c r="BM43" s="1693">
        <f ca="1">Costs!BM43/('Global assumptions'!$C$11*GBP)</f>
        <v>648.76632167698097</v>
      </c>
      <c r="BN43" s="1693">
        <f ca="1">Costs!BN43/('Global assumptions'!$C$12*GBP)</f>
        <v>707.76197703400521</v>
      </c>
      <c r="BO43" s="1693">
        <f ca="1">Costs!BO43/('Global assumptions'!$C$13*GBP)</f>
        <v>732.32742648757312</v>
      </c>
      <c r="BP43" s="1693">
        <f ca="1">Costs!BP43/('Global assumptions'!$C$14*GBP)</f>
        <v>813.8033679272263</v>
      </c>
      <c r="BQ43" s="1693">
        <f ca="1">Costs!BQ43/('Global assumptions'!$C$15*GBP)</f>
        <v>863.85464777251548</v>
      </c>
      <c r="BR43" s="1711"/>
      <c r="BS43" s="1693">
        <f ca="1">Costs!BS43/('Global assumptions'!$C$7*GBP)</f>
        <v>1892.7248551016046</v>
      </c>
      <c r="BT43" s="1693">
        <f ca="1">Costs!BT43/('Global assumptions'!$C$8*GBP)</f>
        <v>17231.385545468405</v>
      </c>
      <c r="BU43" s="1693">
        <f ca="1">Costs!BU43/('Global assumptions'!$C$9*GBP)</f>
        <v>17808.80973682904</v>
      </c>
      <c r="BV43" s="1693">
        <f ca="1">Costs!BV43/('Global assumptions'!$C$10*GBP)</f>
        <v>18896.092358370246</v>
      </c>
      <c r="BW43" s="1693">
        <f ca="1">Costs!BW43/('Global assumptions'!$C$11*GBP)</f>
        <v>19956.921488450891</v>
      </c>
      <c r="BX43" s="1693">
        <f ca="1">Costs!BX43/('Global assumptions'!$C$12*GBP)</f>
        <v>21017.4915529301</v>
      </c>
      <c r="BY43" s="1693">
        <f ca="1">Costs!BY43/('Global assumptions'!$C$13*GBP)</f>
        <v>22033.140321826289</v>
      </c>
      <c r="BZ43" s="1693">
        <f ca="1">Costs!BZ43/('Global assumptions'!$C$14*GBP)</f>
        <v>23091.832024031875</v>
      </c>
      <c r="CA43" s="1693">
        <f ca="1">Costs!CA43/('Global assumptions'!$C$15*GBP)</f>
        <v>24064.68540392119</v>
      </c>
      <c r="CB43" s="15"/>
      <c r="CC43" s="1709">
        <f ca="1">AVERAGE($BS43:$CA43)</f>
        <v>18443.675920769962</v>
      </c>
      <c r="CD43" s="1709">
        <f ca="1">(SUMPRODUCT(BT43:CA43,discount_factors)*5)+BS43</f>
        <v>154021.19304588917</v>
      </c>
      <c r="CE43" s="1711"/>
      <c r="CF43" s="1693">
        <f ca="1">Costs!CF43/('Global assumptions'!$C$7*GBP)</f>
        <v>-15.332494435340825</v>
      </c>
      <c r="CG43" s="1693">
        <f ca="1">Costs!CG43/('Global assumptions'!$C$8*GBP)</f>
        <v>-143.22552489959762</v>
      </c>
      <c r="CH43" s="1693">
        <f ca="1">Costs!CH43/('Global assumptions'!$C$9*GBP)</f>
        <v>-139.70611196192255</v>
      </c>
      <c r="CI43" s="1693">
        <f ca="1">Costs!CI43/('Global assumptions'!$C$10*GBP)</f>
        <v>-104.13786068745721</v>
      </c>
      <c r="CJ43" s="1693">
        <f ca="1">Costs!CJ43/('Global assumptions'!$C$11*GBP)</f>
        <v>-101.72423185720645</v>
      </c>
      <c r="CK43" s="1693">
        <f ca="1">Costs!CK43/('Global assumptions'!$C$12*GBP)</f>
        <v>-109.35669068241357</v>
      </c>
      <c r="CL43" s="1693">
        <f ca="1">Costs!CL43/('Global assumptions'!$C$13*GBP)</f>
        <v>-100.23864963333013</v>
      </c>
      <c r="CM43" s="1693">
        <f ca="1">Costs!CM43/('Global assumptions'!$C$14*GBP)</f>
        <v>-123.02553135712475</v>
      </c>
      <c r="CN43" s="1693">
        <f ca="1">Costs!CN43/('Global assumptions'!$C$15*GBP)</f>
        <v>-120.26755003762982</v>
      </c>
      <c r="CO43" s="15"/>
      <c r="CP43" s="1709">
        <f ca="1">AVERAGE($CF43:$CN43)</f>
        <v>-106.33496061689144</v>
      </c>
      <c r="CQ43" s="1709">
        <f ca="1">SUM(CQ3:CQ42)</f>
        <v>-1452.6399328133386</v>
      </c>
      <c r="CR43" s="1426" t="str">
        <f t="shared" ca="1" si="6"/>
        <v>err</v>
      </c>
    </row>
    <row r="44" spans="1:96" s="2126" customFormat="1" x14ac:dyDescent="0.2">
      <c r="C44" s="2225"/>
      <c r="D44" s="1427"/>
      <c r="N44" s="1427"/>
      <c r="X44" s="1427"/>
      <c r="AH44" s="1427"/>
      <c r="AT44" s="1427"/>
      <c r="AW44" s="1427"/>
    </row>
    <row r="45" spans="1:96" s="2126" customFormat="1" x14ac:dyDescent="0.2">
      <c r="B45" s="1427" t="s">
        <v>2589</v>
      </c>
      <c r="C45" s="2225"/>
      <c r="E45" s="17" t="s">
        <v>1866</v>
      </c>
      <c r="F45" s="2126" t="s">
        <v>1867</v>
      </c>
      <c r="O45" s="17" t="s">
        <v>1868</v>
      </c>
      <c r="P45" s="2126" t="s">
        <v>1875</v>
      </c>
      <c r="Y45" s="17" t="s">
        <v>1869</v>
      </c>
      <c r="Z45" s="2126" t="s">
        <v>1870</v>
      </c>
      <c r="AI45" s="17" t="s">
        <v>1954</v>
      </c>
      <c r="AS45" s="2126" t="s">
        <v>1826</v>
      </c>
      <c r="AV45" s="2125" t="s">
        <v>1613</v>
      </c>
      <c r="AY45" s="17" t="s">
        <v>1615</v>
      </c>
      <c r="AZ45" s="2127"/>
      <c r="BA45" s="2127"/>
      <c r="BB45" s="2127"/>
      <c r="BC45" s="2127"/>
      <c r="BD45" s="2127"/>
      <c r="BE45" s="2127"/>
      <c r="BF45" s="2127"/>
      <c r="BG45" s="2127"/>
      <c r="BH45" s="2127"/>
      <c r="BI45" s="17" t="s">
        <v>1616</v>
      </c>
      <c r="BR45" s="2357" t="s">
        <v>2064</v>
      </c>
      <c r="BS45" s="17"/>
      <c r="CC45" s="2126" t="s">
        <v>1825</v>
      </c>
      <c r="CF45" s="2126" t="s">
        <v>1733</v>
      </c>
      <c r="CP45" s="2126" t="s">
        <v>1733</v>
      </c>
    </row>
    <row r="46" spans="1:96" s="2126" customFormat="1" ht="13.5" thickBot="1" x14ac:dyDescent="0.25">
      <c r="A46" s="1681" t="s">
        <v>69</v>
      </c>
      <c r="B46" s="1681" t="s">
        <v>65</v>
      </c>
      <c r="C46" s="1682" t="s">
        <v>67</v>
      </c>
      <c r="E46" s="1696" t="s">
        <v>241</v>
      </c>
      <c r="F46" s="1696" t="s">
        <v>268</v>
      </c>
      <c r="G46" s="1696" t="s">
        <v>269</v>
      </c>
      <c r="H46" s="1696" t="s">
        <v>270</v>
      </c>
      <c r="I46" s="1696" t="s">
        <v>271</v>
      </c>
      <c r="J46" s="1696" t="s">
        <v>272</v>
      </c>
      <c r="K46" s="1696" t="s">
        <v>273</v>
      </c>
      <c r="L46" s="1696" t="s">
        <v>274</v>
      </c>
      <c r="M46" s="1696" t="s">
        <v>275</v>
      </c>
      <c r="N46" s="1427"/>
      <c r="O46" s="1696" t="s">
        <v>241</v>
      </c>
      <c r="P46" s="1696" t="s">
        <v>268</v>
      </c>
      <c r="Q46" s="1696" t="s">
        <v>269</v>
      </c>
      <c r="R46" s="1696" t="s">
        <v>270</v>
      </c>
      <c r="S46" s="1696" t="s">
        <v>271</v>
      </c>
      <c r="T46" s="1696" t="s">
        <v>272</v>
      </c>
      <c r="U46" s="1696" t="s">
        <v>273</v>
      </c>
      <c r="V46" s="1696" t="s">
        <v>274</v>
      </c>
      <c r="W46" s="1696" t="s">
        <v>275</v>
      </c>
      <c r="X46" s="1427"/>
      <c r="Y46" s="1696" t="s">
        <v>241</v>
      </c>
      <c r="Z46" s="1696" t="s">
        <v>268</v>
      </c>
      <c r="AA46" s="1696" t="s">
        <v>269</v>
      </c>
      <c r="AB46" s="1696" t="s">
        <v>270</v>
      </c>
      <c r="AC46" s="1696" t="s">
        <v>271</v>
      </c>
      <c r="AD46" s="1696" t="s">
        <v>272</v>
      </c>
      <c r="AE46" s="1696" t="s">
        <v>273</v>
      </c>
      <c r="AF46" s="1696" t="s">
        <v>274</v>
      </c>
      <c r="AG46" s="1696" t="s">
        <v>275</v>
      </c>
      <c r="AH46" s="1427"/>
      <c r="AI46" s="1696" t="s">
        <v>241</v>
      </c>
      <c r="AJ46" s="1696" t="s">
        <v>268</v>
      </c>
      <c r="AK46" s="1696" t="s">
        <v>269</v>
      </c>
      <c r="AL46" s="1696" t="s">
        <v>270</v>
      </c>
      <c r="AM46" s="1696" t="s">
        <v>271</v>
      </c>
      <c r="AN46" s="1696" t="s">
        <v>272</v>
      </c>
      <c r="AO46" s="1696" t="s">
        <v>273</v>
      </c>
      <c r="AP46" s="1696" t="s">
        <v>274</v>
      </c>
      <c r="AQ46" s="1696" t="s">
        <v>275</v>
      </c>
      <c r="AS46" s="1705" t="s">
        <v>1734</v>
      </c>
      <c r="AT46" s="1705" t="s">
        <v>1389</v>
      </c>
      <c r="AU46" s="1427"/>
      <c r="AV46" s="1696" t="s">
        <v>1614</v>
      </c>
      <c r="AW46" s="1688" t="s">
        <v>1472</v>
      </c>
      <c r="AX46" s="1427"/>
      <c r="AY46" s="1696">
        <v>2010</v>
      </c>
      <c r="AZ46" s="1696">
        <v>2015</v>
      </c>
      <c r="BA46" s="1696">
        <v>2020</v>
      </c>
      <c r="BB46" s="1696">
        <v>2025</v>
      </c>
      <c r="BC46" s="1696">
        <v>2030</v>
      </c>
      <c r="BD46" s="1696">
        <v>2035</v>
      </c>
      <c r="BE46" s="1696">
        <v>2040</v>
      </c>
      <c r="BF46" s="1696">
        <v>2045</v>
      </c>
      <c r="BG46" s="1696">
        <v>2050</v>
      </c>
      <c r="BH46" s="1427"/>
      <c r="BI46" s="1696">
        <v>2010</v>
      </c>
      <c r="BJ46" s="1696">
        <v>2015</v>
      </c>
      <c r="BK46" s="1696">
        <v>2020</v>
      </c>
      <c r="BL46" s="1696">
        <v>2025</v>
      </c>
      <c r="BM46" s="1696">
        <v>2030</v>
      </c>
      <c r="BN46" s="1696">
        <v>2035</v>
      </c>
      <c r="BO46" s="1696">
        <v>2040</v>
      </c>
      <c r="BP46" s="1696">
        <v>2045</v>
      </c>
      <c r="BQ46" s="1696">
        <v>2050</v>
      </c>
      <c r="BR46" s="1427"/>
      <c r="BS46" s="1696" t="s">
        <v>241</v>
      </c>
      <c r="BT46" s="1696" t="s">
        <v>268</v>
      </c>
      <c r="BU46" s="1696" t="s">
        <v>269</v>
      </c>
      <c r="BV46" s="1696" t="s">
        <v>270</v>
      </c>
      <c r="BW46" s="1696" t="s">
        <v>271</v>
      </c>
      <c r="BX46" s="1696" t="s">
        <v>272</v>
      </c>
      <c r="BY46" s="1696" t="s">
        <v>273</v>
      </c>
      <c r="BZ46" s="1696" t="s">
        <v>274</v>
      </c>
      <c r="CA46" s="1696" t="s">
        <v>275</v>
      </c>
      <c r="CB46" s="1426"/>
      <c r="CC46" s="1705" t="s">
        <v>1734</v>
      </c>
      <c r="CD46" s="1705" t="s">
        <v>1389</v>
      </c>
      <c r="CF46" s="1696" t="s">
        <v>241</v>
      </c>
      <c r="CG46" s="1696" t="s">
        <v>268</v>
      </c>
      <c r="CH46" s="1696" t="s">
        <v>269</v>
      </c>
      <c r="CI46" s="1696" t="s">
        <v>270</v>
      </c>
      <c r="CJ46" s="1696" t="s">
        <v>271</v>
      </c>
      <c r="CK46" s="1696" t="s">
        <v>272</v>
      </c>
      <c r="CL46" s="1696" t="s">
        <v>273</v>
      </c>
      <c r="CM46" s="1696" t="s">
        <v>274</v>
      </c>
      <c r="CN46" s="1696" t="s">
        <v>275</v>
      </c>
      <c r="CP46" s="1705" t="s">
        <v>1734</v>
      </c>
      <c r="CQ46" s="1705" t="s">
        <v>1389</v>
      </c>
    </row>
    <row r="47" spans="1:96" s="2126" customFormat="1" ht="13.5" thickTop="1" x14ac:dyDescent="0.2">
      <c r="A47" s="1683" t="s">
        <v>288</v>
      </c>
      <c r="B47" s="1683" t="s">
        <v>2403</v>
      </c>
      <c r="C47" s="1683" t="s">
        <v>4</v>
      </c>
      <c r="E47" s="1689">
        <f ca="1">Costs!E47/('Global assumptions'!$C$7*NAIRA2010_*250)</f>
        <v>0</v>
      </c>
      <c r="F47" s="1689">
        <f ca="1">Costs!F47/('Global assumptions'!$C$7*NAIRA2010_*250)</f>
        <v>6.6316809720309813</v>
      </c>
      <c r="G47" s="1689">
        <f ca="1">Costs!G47/('Global assumptions'!$C$7*NAIRA2010_*250)</f>
        <v>15.373966496899648</v>
      </c>
      <c r="H47" s="1689">
        <f ca="1">Costs!H47/('Global assumptions'!$C$7*NAIRA2010_*250)</f>
        <v>14.235047373442155</v>
      </c>
      <c r="I47" s="1689">
        <f ca="1">Costs!I47/('Global assumptions'!$C$7*NAIRA2010_*250)</f>
        <v>16.446568810636837</v>
      </c>
      <c r="J47" s="1689">
        <f ca="1">Costs!J47/('Global assumptions'!$C$7*NAIRA2010_*250)</f>
        <v>23.225300099873721</v>
      </c>
      <c r="K47" s="1689">
        <f ca="1">Costs!K47/('Global assumptions'!$C$7*NAIRA2010_*250)</f>
        <v>26.552673944101439</v>
      </c>
      <c r="L47" s="1689">
        <f ca="1">Costs!L47/('Global assumptions'!$C$7*NAIRA2010_*250)</f>
        <v>29.891581146541387</v>
      </c>
      <c r="M47" s="1689">
        <f ca="1">Costs!M47/('Global assumptions'!$C$7*NAIRA2010_*250)</f>
        <v>33.210304972109938</v>
      </c>
      <c r="N47" s="675"/>
      <c r="O47" s="1689">
        <f ca="1">Costs!O47/('Global assumptions'!$C$7*NAIRA2010_*250)</f>
        <v>4.3826761206465622E-4</v>
      </c>
      <c r="P47" s="1689">
        <f ca="1">Costs!P47/('Global assumptions'!$C$7*NAIRA2010_*250)</f>
        <v>1.1687136321724165E-3</v>
      </c>
      <c r="Q47" s="1689">
        <f ca="1">Costs!Q47/('Global assumptions'!$C$7*NAIRA2010_*250)</f>
        <v>2.8239043137366013E-3</v>
      </c>
      <c r="R47" s="1689">
        <f ca="1">Costs!R47/('Global assumptions'!$C$7*NAIRA2010_*250)</f>
        <v>3.9210342359384575E-3</v>
      </c>
      <c r="S47" s="1689">
        <f ca="1">Costs!S47/('Global assumptions'!$C$7*NAIRA2010_*250)</f>
        <v>5.0240077263011759E-3</v>
      </c>
      <c r="T47" s="1689">
        <f ca="1">Costs!T47/('Global assumptions'!$C$7*NAIRA2010_*250)</f>
        <v>6.7098771407098868E-3</v>
      </c>
      <c r="U47" s="1689">
        <f ca="1">Costs!U47/('Global assumptions'!$C$7*NAIRA2010_*250)</f>
        <v>8.3957465551185977E-3</v>
      </c>
      <c r="V47" s="1689">
        <f ca="1">Costs!V47/('Global assumptions'!$C$7*NAIRA2010_*250)</f>
        <v>1.0083076861567524E-2</v>
      </c>
      <c r="W47" s="1689">
        <f ca="1">Costs!W47/('Global assumptions'!$C$7*NAIRA2010_*250)</f>
        <v>1.1768946275976234E-2</v>
      </c>
      <c r="X47" s="675"/>
      <c r="Y47" s="1689">
        <f ca="1">Costs!Y47/('Global assumptions'!$C$7*NAIRA2010_*250)</f>
        <v>0</v>
      </c>
      <c r="Z47" s="1689">
        <f ca="1">Costs!Z47/('Global assumptions'!$C$7*NAIRA2010_*250)</f>
        <v>0</v>
      </c>
      <c r="AA47" s="1689">
        <f ca="1">Costs!AA47/('Global assumptions'!$C$7*NAIRA2010_*250)</f>
        <v>0</v>
      </c>
      <c r="AB47" s="1689">
        <f ca="1">Costs!AB47/('Global assumptions'!$C$7*NAIRA2010_*250)</f>
        <v>0</v>
      </c>
      <c r="AC47" s="1689">
        <f ca="1">Costs!AC47/('Global assumptions'!$C$7*NAIRA2010_*250)</f>
        <v>0</v>
      </c>
      <c r="AD47" s="1689">
        <f ca="1">Costs!AD47/('Global assumptions'!$C$7*NAIRA2010_*250)</f>
        <v>0</v>
      </c>
      <c r="AE47" s="1689">
        <f ca="1">Costs!AE47/('Global assumptions'!$C$7*NAIRA2010_*250)</f>
        <v>0</v>
      </c>
      <c r="AF47" s="1689">
        <f ca="1">Costs!AF47/('Global assumptions'!$C$7*NAIRA2010_*250)</f>
        <v>0</v>
      </c>
      <c r="AG47" s="1689">
        <f ca="1">Costs!AG47/('Global assumptions'!$C$7*NAIRA2010_*250)</f>
        <v>0</v>
      </c>
      <c r="AH47" s="675"/>
      <c r="AI47" s="1689">
        <f ca="1">Costs!AI47/('Global assumptions'!$C$7*NAIRA2010_*250)</f>
        <v>4.3826761206465622E-4</v>
      </c>
      <c r="AJ47" s="1689">
        <f ca="1">Costs!AJ47/('Global assumptions'!$C$7*NAIRA2010_*250)</f>
        <v>6.632849685663154</v>
      </c>
      <c r="AK47" s="1689">
        <f ca="1">Costs!AK47/('Global assumptions'!$C$7*NAIRA2010_*250)</f>
        <v>15.376790401213384</v>
      </c>
      <c r="AL47" s="1689">
        <f ca="1">Costs!AL47/('Global assumptions'!$C$7*NAIRA2010_*250)</f>
        <v>14.238968407678094</v>
      </c>
      <c r="AM47" s="1689">
        <f ca="1">Costs!AM47/('Global assumptions'!$C$7*NAIRA2010_*250)</f>
        <v>16.451592818363139</v>
      </c>
      <c r="AN47" s="1689">
        <f ca="1">Costs!AN47/('Global assumptions'!$C$7*NAIRA2010_*250)</f>
        <v>23.232009977014432</v>
      </c>
      <c r="AO47" s="1689">
        <f ca="1">Costs!AO47/('Global assumptions'!$C$7*NAIRA2010_*250)</f>
        <v>26.561069690656559</v>
      </c>
      <c r="AP47" s="1689">
        <f ca="1">Costs!AP47/('Global assumptions'!$C$7*NAIRA2010_*250)</f>
        <v>29.901664223402953</v>
      </c>
      <c r="AQ47" s="1689">
        <f ca="1">Costs!AQ47/('Global assumptions'!$C$7*NAIRA2010_*250)</f>
        <v>33.222073918385917</v>
      </c>
      <c r="AS47" s="1706">
        <f ca="1">AVERAGE($AI47:$AQ47)</f>
        <v>18.401939709998853</v>
      </c>
      <c r="AT47" s="1706">
        <f t="shared" ref="AT47:AT86" ca="1" si="7">(SUMPRODUCT(AJ47:AQ47,discount_factors)*5)+AI47</f>
        <v>112.31186917197269</v>
      </c>
      <c r="AU47" s="675"/>
      <c r="AV47" s="1699">
        <f>IFERROR(VLOOKUP($A47,Cost.FinanceCostTable,5,FALSE),'Global assumptions'!$D$35)</f>
        <v>7.0000000000000007E-2</v>
      </c>
      <c r="AW47" s="1690">
        <f>IFERROR(VLOOKUP($A47,Cost.FinanceCostTable,6,FALSE),'Global assumptions'!$E$35)</f>
        <v>20</v>
      </c>
      <c r="AX47" s="675"/>
      <c r="AY47" s="1689">
        <f ca="1">Costs!AY47/('Global assumptions'!$C$7*NAIRA2010_*250)</f>
        <v>0</v>
      </c>
      <c r="AZ47" s="1689">
        <f ca="1">Costs!AZ47/('Global assumptions'!$C$7*NAIRA2010_*250)</f>
        <v>3.1299188477294102</v>
      </c>
      <c r="BA47" s="1689">
        <f ca="1">Costs!BA47/('Global assumptions'!$C$7*NAIRA2010_*250)</f>
        <v>7.255968389605747</v>
      </c>
      <c r="BB47" s="1689">
        <f ca="1">Costs!BB47/('Global assumptions'!$C$7*NAIRA2010_*250)</f>
        <v>6.7184388483652624</v>
      </c>
      <c r="BC47" s="1689">
        <f ca="1">Costs!BC47/('Global assumptions'!$C$7*NAIRA2010_*250)</f>
        <v>7.7621987423689411</v>
      </c>
      <c r="BD47" s="1689">
        <f ca="1">Costs!BD47/('Global assumptions'!$C$7*NAIRA2010_*250)</f>
        <v>10.961520138461047</v>
      </c>
      <c r="BE47" s="1689">
        <f ca="1">Costs!BE47/('Global assumptions'!$C$7*NAIRA2010_*250)</f>
        <v>12.531922899452237</v>
      </c>
      <c r="BF47" s="1689">
        <f ca="1">Costs!BF47/('Global assumptions'!$C$7*NAIRA2010_*250)</f>
        <v>14.107768997569917</v>
      </c>
      <c r="BG47" s="1689">
        <f ca="1">Costs!BG47/('Global assumptions'!$C$7*NAIRA2010_*250)</f>
        <v>15.674089255716245</v>
      </c>
      <c r="BH47" s="675"/>
      <c r="BI47" s="1689">
        <f ca="1">Costs!BI47/('Global assumptions'!$C$7*NAIRA2010_*250)</f>
        <v>0</v>
      </c>
      <c r="BJ47" s="1689">
        <f ca="1">Costs!BJ47/('Global assumptions'!$C$7*NAIRA2010_*250)</f>
        <v>3.1299188477294102</v>
      </c>
      <c r="BK47" s="1689">
        <f ca="1">Costs!BK47/('Global assumptions'!$C$7*NAIRA2010_*250)</f>
        <v>10.385887237335158</v>
      </c>
      <c r="BL47" s="1689">
        <f ca="1">Costs!BL47/('Global assumptions'!$C$7*NAIRA2010_*250)</f>
        <v>17.104326085700418</v>
      </c>
      <c r="BM47" s="1689">
        <f ca="1">Costs!BM47/('Global assumptions'!$C$7*NAIRA2010_*250)</f>
        <v>24.866524828069359</v>
      </c>
      <c r="BN47" s="1689">
        <f ca="1">Costs!BN47/('Global assumptions'!$C$7*NAIRA2010_*250)</f>
        <v>32.698126118801</v>
      </c>
      <c r="BO47" s="1689">
        <f ca="1">Costs!BO47/('Global assumptions'!$C$7*NAIRA2010_*250)</f>
        <v>37.974080628647492</v>
      </c>
      <c r="BP47" s="1689">
        <f ca="1">Costs!BP47/('Global assumptions'!$C$7*NAIRA2010_*250)</f>
        <v>53.125609520221083</v>
      </c>
      <c r="BQ47" s="1689">
        <f ca="1">Costs!BQ47/('Global assumptions'!$C$7*NAIRA2010_*250)</f>
        <v>53.27530129119944</v>
      </c>
      <c r="BR47" s="675"/>
      <c r="BS47" s="1689">
        <f ca="1">Costs!BS47/('Global assumptions'!$C$7*NAIRA2010_*250)</f>
        <v>4.3826761206465622E-4</v>
      </c>
      <c r="BT47" s="1689">
        <f ca="1">Costs!BT47/('Global assumptions'!$C$7*NAIRA2010_*250)</f>
        <v>3.1310875613615825</v>
      </c>
      <c r="BU47" s="1689">
        <f ca="1">Costs!BU47/('Global assumptions'!$C$7*NAIRA2010_*250)</f>
        <v>10.388711141648894</v>
      </c>
      <c r="BV47" s="1689">
        <f ca="1">Costs!BV47/('Global assumptions'!$C$7*NAIRA2010_*250)</f>
        <v>17.108247119936358</v>
      </c>
      <c r="BW47" s="1689">
        <f ca="1">Costs!BW47/('Global assumptions'!$C$7*NAIRA2010_*250)</f>
        <v>24.871548835795661</v>
      </c>
      <c r="BX47" s="1689">
        <f ca="1">Costs!BX47/('Global assumptions'!$C$7*NAIRA2010_*250)</f>
        <v>32.704835995941707</v>
      </c>
      <c r="BY47" s="1689">
        <f ca="1">Costs!BY47/('Global assumptions'!$C$7*NAIRA2010_*250)</f>
        <v>37.982476375202609</v>
      </c>
      <c r="BZ47" s="1689">
        <f ca="1">Costs!BZ47/('Global assumptions'!$C$7*NAIRA2010_*250)</f>
        <v>53.135692597082645</v>
      </c>
      <c r="CA47" s="1689">
        <f ca="1">Costs!CA47/('Global assumptions'!$C$7*NAIRA2010_*250)</f>
        <v>53.287070237475419</v>
      </c>
      <c r="CC47" s="1706">
        <f ca="1">AVERAGE($BS47:$CA47)</f>
        <v>25.84556757022855</v>
      </c>
      <c r="CD47" s="1706">
        <f t="shared" ref="CD47:CD86" ca="1" si="8">(SUMPRODUCT(BT47:CA47,discount_factors)*5)+BS47</f>
        <v>119.18219825216299</v>
      </c>
      <c r="CF47" s="1689">
        <f ca="1">Costs!CF47/('Global assumptions'!$C$7*NAIRA2010_*250)</f>
        <v>0</v>
      </c>
      <c r="CG47" s="1689">
        <f ca="1">Costs!CG47/('Global assumptions'!$C$7*NAIRA2010_*250)</f>
        <v>-3.5017621243015711</v>
      </c>
      <c r="CH47" s="1689">
        <f ca="1">Costs!CH47/('Global assumptions'!$C$7*NAIRA2010_*250)</f>
        <v>-4.9880792595644898</v>
      </c>
      <c r="CI47" s="1689">
        <f ca="1">Costs!CI47/('Global assumptions'!$C$7*NAIRA2010_*250)</f>
        <v>2.8692787122582635</v>
      </c>
      <c r="CJ47" s="1689">
        <f ca="1">Costs!CJ47/('Global assumptions'!$C$7*NAIRA2010_*250)</f>
        <v>8.4199560174325221</v>
      </c>
      <c r="CK47" s="1689">
        <f ca="1">Costs!CK47/('Global assumptions'!$C$7*NAIRA2010_*250)</f>
        <v>9.4728260189272753</v>
      </c>
      <c r="CL47" s="1689">
        <f ca="1">Costs!CL47/('Global assumptions'!$C$7*NAIRA2010_*250)</f>
        <v>11.421406684546048</v>
      </c>
      <c r="CM47" s="1689">
        <f ca="1">Costs!CM47/('Global assumptions'!$C$7*NAIRA2010_*250)</f>
        <v>23.234028373679696</v>
      </c>
      <c r="CN47" s="1689">
        <f ca="1">Costs!CN47/('Global assumptions'!$C$7*NAIRA2010_*250)</f>
        <v>20.064996319089499</v>
      </c>
      <c r="CP47" s="1706">
        <f ca="1">AVERAGE($CF47:$CN47)</f>
        <v>7.443627860229693</v>
      </c>
      <c r="CQ47" s="1706">
        <f t="shared" ref="CQ47:CQ86" ca="1" si="9">(SUMPRODUCT(CG47:CN47,discount_factors)*5)+CF47</f>
        <v>6.8703290801903201</v>
      </c>
      <c r="CR47" s="1426" t="str">
        <f ca="1">IF(ABS(CD47-CQ47-AT47)&lt;1,"ok","err")</f>
        <v>ok</v>
      </c>
    </row>
    <row r="48" spans="1:96" s="2126" customFormat="1" x14ac:dyDescent="0.2">
      <c r="A48" s="1685" t="s">
        <v>352</v>
      </c>
      <c r="B48" s="1685" t="s">
        <v>2411</v>
      </c>
      <c r="C48" s="1685" t="s">
        <v>4</v>
      </c>
      <c r="E48" s="1691">
        <f ca="1">Costs!E48/('Global assumptions'!$C$7*NAIRA2010_*250)</f>
        <v>0</v>
      </c>
      <c r="F48" s="1691">
        <f ca="1">Costs!F48/('Global assumptions'!$C$7*NAIRA2010_*250)</f>
        <v>0</v>
      </c>
      <c r="G48" s="1691">
        <f ca="1">Costs!G48/('Global assumptions'!$C$7*NAIRA2010_*250)</f>
        <v>2.8833395530569485E-2</v>
      </c>
      <c r="H48" s="1691">
        <f ca="1">Costs!H48/('Global assumptions'!$C$7*NAIRA2010_*250)</f>
        <v>3.6041744413211861E-2</v>
      </c>
      <c r="I48" s="1691">
        <f ca="1">Costs!I48/('Global assumptions'!$C$7*NAIRA2010_*250)</f>
        <v>5.7666791061138971E-2</v>
      </c>
      <c r="J48" s="1691">
        <f ca="1">Costs!J48/('Global assumptions'!$C$7*NAIRA2010_*250)</f>
        <v>4.0847310334973443E-2</v>
      </c>
      <c r="K48" s="1691">
        <f ca="1">Costs!K48/('Global assumptions'!$C$7*NAIRA2010_*250)</f>
        <v>4.3250093295854233E-2</v>
      </c>
      <c r="L48" s="1691">
        <f ca="1">Costs!L48/('Global assumptions'!$C$7*NAIRA2010_*250)</f>
        <v>5.0458442178496606E-2</v>
      </c>
      <c r="M48" s="1691">
        <f ca="1">Costs!M48/('Global assumptions'!$C$7*NAIRA2010_*250)</f>
        <v>5.7666791061138971E-2</v>
      </c>
      <c r="N48" s="675"/>
      <c r="O48" s="1691">
        <f ca="1">Costs!O48/('Global assumptions'!$C$7*NAIRA2010_*250)</f>
        <v>0</v>
      </c>
      <c r="P48" s="1691">
        <f ca="1">Costs!P48/('Global assumptions'!$C$7*NAIRA2010_*250)</f>
        <v>0</v>
      </c>
      <c r="Q48" s="1691">
        <f ca="1">Costs!Q48/('Global assumptions'!$C$7*NAIRA2010_*250)</f>
        <v>7.3044602010776037E-7</v>
      </c>
      <c r="R48" s="1691">
        <f ca="1">Costs!R48/('Global assumptions'!$C$7*NAIRA2010_*250)</f>
        <v>7.3044602010776037E-7</v>
      </c>
      <c r="S48" s="1691">
        <f ca="1">Costs!S48/('Global assumptions'!$C$7*NAIRA2010_*250)</f>
        <v>3.6522301005388019E-7</v>
      </c>
      <c r="T48" s="1691">
        <f ca="1">Costs!T48/('Global assumptions'!$C$7*NAIRA2010_*250)</f>
        <v>1.0956690301616404E-6</v>
      </c>
      <c r="U48" s="1691">
        <f ca="1">Costs!U48/('Global assumptions'!$C$7*NAIRA2010_*250)</f>
        <v>1.4608920402155207E-6</v>
      </c>
      <c r="V48" s="1691">
        <f ca="1">Costs!V48/('Global assumptions'!$C$7*NAIRA2010_*250)</f>
        <v>1.4608920402155207E-6</v>
      </c>
      <c r="W48" s="1691">
        <f ca="1">Costs!W48/('Global assumptions'!$C$7*NAIRA2010_*250)</f>
        <v>1.4608920402155207E-6</v>
      </c>
      <c r="X48" s="675"/>
      <c r="Y48" s="1691">
        <f ca="1">Costs!Y48/('Global assumptions'!$C$7*NAIRA2010_*250)</f>
        <v>0</v>
      </c>
      <c r="Z48" s="1691">
        <f ca="1">Costs!Z48/('Global assumptions'!$C$7*NAIRA2010_*250)</f>
        <v>0</v>
      </c>
      <c r="AA48" s="1691">
        <f ca="1">Costs!AA48/('Global assumptions'!$C$7*NAIRA2010_*250)</f>
        <v>0</v>
      </c>
      <c r="AB48" s="1691">
        <f ca="1">Costs!AB48/('Global assumptions'!$C$7*NAIRA2010_*250)</f>
        <v>0</v>
      </c>
      <c r="AC48" s="1691">
        <f ca="1">Costs!AC48/('Global assumptions'!$C$7*NAIRA2010_*250)</f>
        <v>0</v>
      </c>
      <c r="AD48" s="1691">
        <f ca="1">Costs!AD48/('Global assumptions'!$C$7*NAIRA2010_*250)</f>
        <v>0</v>
      </c>
      <c r="AE48" s="1691">
        <f ca="1">Costs!AE48/('Global assumptions'!$C$7*NAIRA2010_*250)</f>
        <v>0</v>
      </c>
      <c r="AF48" s="1691">
        <f ca="1">Costs!AF48/('Global assumptions'!$C$7*NAIRA2010_*250)</f>
        <v>0</v>
      </c>
      <c r="AG48" s="1691">
        <f ca="1">Costs!AG48/('Global assumptions'!$C$7*NAIRA2010_*250)</f>
        <v>0</v>
      </c>
      <c r="AH48" s="675"/>
      <c r="AI48" s="1691">
        <f ca="1">Costs!AI48/('Global assumptions'!$C$7*NAIRA2010_*250)</f>
        <v>0</v>
      </c>
      <c r="AJ48" s="1691">
        <f ca="1">Costs!AJ48/('Global assumptions'!$C$7*NAIRA2010_*250)</f>
        <v>0</v>
      </c>
      <c r="AK48" s="1691">
        <f ca="1">Costs!AK48/('Global assumptions'!$C$7*NAIRA2010_*250)</f>
        <v>2.8834125976589596E-2</v>
      </c>
      <c r="AL48" s="1691">
        <f ca="1">Costs!AL48/('Global assumptions'!$C$7*NAIRA2010_*250)</f>
        <v>3.6042474859231968E-2</v>
      </c>
      <c r="AM48" s="1691">
        <f ca="1">Costs!AM48/('Global assumptions'!$C$7*NAIRA2010_*250)</f>
        <v>5.7667156284149028E-2</v>
      </c>
      <c r="AN48" s="1691">
        <f ca="1">Costs!AN48/('Global assumptions'!$C$7*NAIRA2010_*250)</f>
        <v>4.08484060040036E-2</v>
      </c>
      <c r="AO48" s="1691">
        <f ca="1">Costs!AO48/('Global assumptions'!$C$7*NAIRA2010_*250)</f>
        <v>4.3251554187894448E-2</v>
      </c>
      <c r="AP48" s="1691">
        <f ca="1">Costs!AP48/('Global assumptions'!$C$7*NAIRA2010_*250)</f>
        <v>5.045990307053682E-2</v>
      </c>
      <c r="AQ48" s="1691">
        <f ca="1">Costs!AQ48/('Global assumptions'!$C$7*NAIRA2010_*250)</f>
        <v>5.7668251953179192E-2</v>
      </c>
      <c r="AS48" s="1707">
        <f t="shared" ref="AS48:AS86" ca="1" si="10">AVERAGE($AI48:$AQ48)</f>
        <v>3.4974652481731629E-2</v>
      </c>
      <c r="AT48" s="1707">
        <f t="shared" ca="1" si="7"/>
        <v>0.19759695945591582</v>
      </c>
      <c r="AU48" s="675"/>
      <c r="AV48" s="1699">
        <f>IFERROR(VLOOKUP($A48,Cost.FinanceCostTable,5,FALSE),'Global assumptions'!$D$35)</f>
        <v>7.0000000000000007E-2</v>
      </c>
      <c r="AW48" s="1690">
        <f>IFERROR(VLOOKUP($A48,Cost.FinanceCostTable,6,FALSE),'Global assumptions'!$E$35)</f>
        <v>30</v>
      </c>
      <c r="AX48" s="675"/>
      <c r="AY48" s="1691">
        <f ca="1">Costs!AY48/('Global assumptions'!$C$7*NAIRA2010_*250)</f>
        <v>0</v>
      </c>
      <c r="AZ48" s="1691">
        <f ca="1">Costs!AZ48/('Global assumptions'!$C$7*NAIRA2010_*250)</f>
        <v>0</v>
      </c>
      <c r="BA48" s="1691">
        <f ca="1">Costs!BA48/('Global assumptions'!$C$7*NAIRA2010_*250)</f>
        <v>1.1617898234109714E-2</v>
      </c>
      <c r="BB48" s="1691">
        <f ca="1">Costs!BB48/('Global assumptions'!$C$7*NAIRA2010_*250)</f>
        <v>1.4522372792637142E-2</v>
      </c>
      <c r="BC48" s="1691">
        <f ca="1">Costs!BC48/('Global assumptions'!$C$7*NAIRA2010_*250)</f>
        <v>2.3235796468219428E-2</v>
      </c>
      <c r="BD48" s="1691">
        <f ca="1">Costs!BD48/('Global assumptions'!$C$7*NAIRA2010_*250)</f>
        <v>1.6458689164988761E-2</v>
      </c>
      <c r="BE48" s="1691">
        <f ca="1">Costs!BE48/('Global assumptions'!$C$7*NAIRA2010_*250)</f>
        <v>1.7426847351164572E-2</v>
      </c>
      <c r="BF48" s="1691">
        <f ca="1">Costs!BF48/('Global assumptions'!$C$7*NAIRA2010_*250)</f>
        <v>2.0331321909691998E-2</v>
      </c>
      <c r="BG48" s="1691">
        <f ca="1">Costs!BG48/('Global assumptions'!$C$7*NAIRA2010_*250)</f>
        <v>2.3235796468219428E-2</v>
      </c>
      <c r="BH48" s="675"/>
      <c r="BI48" s="1691">
        <f ca="1">Costs!BI48/('Global assumptions'!$C$7*NAIRA2010_*250)</f>
        <v>0</v>
      </c>
      <c r="BJ48" s="1691">
        <f ca="1">Costs!BJ48/('Global assumptions'!$C$7*NAIRA2010_*250)</f>
        <v>0</v>
      </c>
      <c r="BK48" s="1691">
        <f ca="1">Costs!BK48/('Global assumptions'!$C$7*NAIRA2010_*250)</f>
        <v>1.1617898234109714E-2</v>
      </c>
      <c r="BL48" s="1691">
        <f ca="1">Costs!BL48/('Global assumptions'!$C$7*NAIRA2010_*250)</f>
        <v>2.6140271026746858E-2</v>
      </c>
      <c r="BM48" s="1691">
        <f ca="1">Costs!BM48/('Global assumptions'!$C$7*NAIRA2010_*250)</f>
        <v>4.9376067494966279E-2</v>
      </c>
      <c r="BN48" s="1691">
        <f ca="1">Costs!BN48/('Global assumptions'!$C$7*NAIRA2010_*250)</f>
        <v>6.5834756659955043E-2</v>
      </c>
      <c r="BO48" s="1691">
        <f ca="1">Costs!BO48/('Global assumptions'!$C$7*NAIRA2010_*250)</f>
        <v>8.3261604011119622E-2</v>
      </c>
      <c r="BP48" s="1691">
        <f ca="1">Costs!BP48/('Global assumptions'!$C$7*NAIRA2010_*250)</f>
        <v>0.12682872238903103</v>
      </c>
      <c r="BQ48" s="1691">
        <f ca="1">Costs!BQ48/('Global assumptions'!$C$7*NAIRA2010_*250)</f>
        <v>0.13844662062314075</v>
      </c>
      <c r="BR48" s="675"/>
      <c r="BS48" s="1691">
        <f ca="1">Costs!BS48/('Global assumptions'!$C$7*NAIRA2010_*250)</f>
        <v>0</v>
      </c>
      <c r="BT48" s="1691">
        <f ca="1">Costs!BT48/('Global assumptions'!$C$7*NAIRA2010_*250)</f>
        <v>0</v>
      </c>
      <c r="BU48" s="1691">
        <f ca="1">Costs!BU48/('Global assumptions'!$C$7*NAIRA2010_*250)</f>
        <v>1.1618628680129821E-2</v>
      </c>
      <c r="BV48" s="1691">
        <f ca="1">Costs!BV48/('Global assumptions'!$C$7*NAIRA2010_*250)</f>
        <v>2.6141001472766965E-2</v>
      </c>
      <c r="BW48" s="1691">
        <f ca="1">Costs!BW48/('Global assumptions'!$C$7*NAIRA2010_*250)</f>
        <v>4.9376432717976336E-2</v>
      </c>
      <c r="BX48" s="1691">
        <f ca="1">Costs!BX48/('Global assumptions'!$C$7*NAIRA2010_*250)</f>
        <v>6.58358523289852E-2</v>
      </c>
      <c r="BY48" s="1691">
        <f ca="1">Costs!BY48/('Global assumptions'!$C$7*NAIRA2010_*250)</f>
        <v>8.3263064903159836E-2</v>
      </c>
      <c r="BZ48" s="1691">
        <f ca="1">Costs!BZ48/('Global assumptions'!$C$7*NAIRA2010_*250)</f>
        <v>0.12683018328107126</v>
      </c>
      <c r="CA48" s="1691">
        <f ca="1">Costs!CA48/('Global assumptions'!$C$7*NAIRA2010_*250)</f>
        <v>0.13844808151518098</v>
      </c>
      <c r="CC48" s="1707">
        <f t="shared" ref="CC48:CC86" ca="1" si="11">AVERAGE($BS48:$CA48)</f>
        <v>5.5723693877696712E-2</v>
      </c>
      <c r="CD48" s="1707">
        <f t="shared" ca="1" si="8"/>
        <v>0.20549331205419491</v>
      </c>
      <c r="CF48" s="1691">
        <f ca="1">Costs!CF48/('Global assumptions'!$C$7*NAIRA2010_*250)</f>
        <v>0</v>
      </c>
      <c r="CG48" s="1691">
        <f ca="1">Costs!CG48/('Global assumptions'!$C$7*NAIRA2010_*250)</f>
        <v>0</v>
      </c>
      <c r="CH48" s="1691">
        <f ca="1">Costs!CH48/('Global assumptions'!$C$7*NAIRA2010_*250)</f>
        <v>-1.7215497296459773E-2</v>
      </c>
      <c r="CI48" s="1691">
        <f ca="1">Costs!CI48/('Global assumptions'!$C$7*NAIRA2010_*250)</f>
        <v>-9.9014733864650033E-3</v>
      </c>
      <c r="CJ48" s="1691">
        <f ca="1">Costs!CJ48/('Global assumptions'!$C$7*NAIRA2010_*250)</f>
        <v>-8.2907235661726936E-3</v>
      </c>
      <c r="CK48" s="1691">
        <f ca="1">Costs!CK48/('Global assumptions'!$C$7*NAIRA2010_*250)</f>
        <v>2.4987446324981604E-2</v>
      </c>
      <c r="CL48" s="1691">
        <f ca="1">Costs!CL48/('Global assumptions'!$C$7*NAIRA2010_*250)</f>
        <v>4.0011510715265389E-2</v>
      </c>
      <c r="CM48" s="1691">
        <f ca="1">Costs!CM48/('Global assumptions'!$C$7*NAIRA2010_*250)</f>
        <v>7.6370280210534436E-2</v>
      </c>
      <c r="CN48" s="1691">
        <f ca="1">Costs!CN48/('Global assumptions'!$C$7*NAIRA2010_*250)</f>
        <v>8.077982956200179E-2</v>
      </c>
      <c r="CP48" s="1707">
        <f t="shared" ref="CP48:CP86" ca="1" si="12">AVERAGE($CF48:$CN48)</f>
        <v>2.0749041395965083E-2</v>
      </c>
      <c r="CQ48" s="1707">
        <f t="shared" ca="1" si="9"/>
        <v>7.8963525982791317E-3</v>
      </c>
      <c r="CR48" s="1426" t="str">
        <f t="shared" ref="CR48:CR87" ca="1" si="13">IF(ABS(CD48-CQ48-AT48)&lt;1,"ok","err")</f>
        <v>ok</v>
      </c>
    </row>
    <row r="49" spans="1:96" s="2126" customFormat="1" x14ac:dyDescent="0.2">
      <c r="A49" s="1685" t="s">
        <v>2146</v>
      </c>
      <c r="B49" s="1685" t="s">
        <v>2585</v>
      </c>
      <c r="C49" s="1685" t="s">
        <v>4</v>
      </c>
      <c r="D49" s="2370"/>
      <c r="E49" s="1691">
        <f ca="1">Costs!E49/('Global assumptions'!$C$7*NAIRA2010_*250)</f>
        <v>0</v>
      </c>
      <c r="F49" s="1691">
        <f ca="1">Costs!F49/('Global assumptions'!$C$7*NAIRA2010_*250)</f>
        <v>0</v>
      </c>
      <c r="G49" s="1691">
        <f ca="1">Costs!G49/('Global assumptions'!$C$7*NAIRA2010_*250)</f>
        <v>0</v>
      </c>
      <c r="H49" s="1691">
        <f ca="1">Costs!H49/('Global assumptions'!$C$7*NAIRA2010_*250)</f>
        <v>5.0746776133802295E-4</v>
      </c>
      <c r="I49" s="1691">
        <f ca="1">Costs!I49/('Global assumptions'!$C$7*NAIRA2010_*250)</f>
        <v>1.5350899780475194E-3</v>
      </c>
      <c r="J49" s="1691">
        <f ca="1">Costs!J49/('Global assumptions'!$C$7*NAIRA2010_*250)</f>
        <v>2.8925662396267308E-3</v>
      </c>
      <c r="K49" s="1691">
        <f ca="1">Costs!K49/('Global assumptions'!$C$7*NAIRA2010_*250)</f>
        <v>4.2627291952393931E-3</v>
      </c>
      <c r="L49" s="1691">
        <f ca="1">Costs!L49/('Global assumptions'!$C$7*NAIRA2010_*250)</f>
        <v>5.6202054568186043E-3</v>
      </c>
      <c r="M49" s="1691">
        <f ca="1">Costs!M49/('Global assumptions'!$C$7*NAIRA2010_*250)</f>
        <v>6.9776817183978155E-3</v>
      </c>
      <c r="N49" s="675"/>
      <c r="O49" s="1691">
        <f ca="1">Costs!O49/('Global assumptions'!$C$7*NAIRA2010_*250)</f>
        <v>0</v>
      </c>
      <c r="P49" s="1691">
        <f ca="1">Costs!P49/('Global assumptions'!$C$7*NAIRA2010_*250)</f>
        <v>0</v>
      </c>
      <c r="Q49" s="1691">
        <f ca="1">Costs!Q49/('Global assumptions'!$C$7*NAIRA2010_*250)</f>
        <v>0</v>
      </c>
      <c r="R49" s="1691">
        <f ca="1">Costs!R49/('Global assumptions'!$C$7*NAIRA2010_*250)</f>
        <v>5.0746776133802295E-4</v>
      </c>
      <c r="S49" s="1691">
        <f ca="1">Costs!S49/('Global assumptions'!$C$7*NAIRA2010_*250)</f>
        <v>1.5350899780475194E-3</v>
      </c>
      <c r="T49" s="1691">
        <f ca="1">Costs!T49/('Global assumptions'!$C$7*NAIRA2010_*250)</f>
        <v>2.8925662396267308E-3</v>
      </c>
      <c r="U49" s="1691">
        <f ca="1">Costs!U49/('Global assumptions'!$C$7*NAIRA2010_*250)</f>
        <v>4.2627291952393931E-3</v>
      </c>
      <c r="V49" s="1691">
        <f ca="1">Costs!V49/('Global assumptions'!$C$7*NAIRA2010_*250)</f>
        <v>5.6202054568186043E-3</v>
      </c>
      <c r="W49" s="1691">
        <f ca="1">Costs!W49/('Global assumptions'!$C$7*NAIRA2010_*250)</f>
        <v>6.9776817183978155E-3</v>
      </c>
      <c r="X49" s="675"/>
      <c r="Y49" s="1691">
        <f ca="1">Costs!Y49/('Global assumptions'!$C$7*NAIRA2010_*250)</f>
        <v>0</v>
      </c>
      <c r="Z49" s="1691">
        <f ca="1">Costs!Z49/('Global assumptions'!$C$7*NAIRA2010_*250)</f>
        <v>0</v>
      </c>
      <c r="AA49" s="1691">
        <f ca="1">Costs!AA49/('Global assumptions'!$C$7*NAIRA2010_*250)</f>
        <v>0</v>
      </c>
      <c r="AB49" s="1691">
        <f ca="1">Costs!AB49/('Global assumptions'!$C$7*NAIRA2010_*250)</f>
        <v>0</v>
      </c>
      <c r="AC49" s="1691">
        <f ca="1">Costs!AC49/('Global assumptions'!$C$7*NAIRA2010_*250)</f>
        <v>0</v>
      </c>
      <c r="AD49" s="1691">
        <f ca="1">Costs!AD49/('Global assumptions'!$C$7*NAIRA2010_*250)</f>
        <v>0</v>
      </c>
      <c r="AE49" s="1691">
        <f ca="1">Costs!AE49/('Global assumptions'!$C$7*NAIRA2010_*250)</f>
        <v>0</v>
      </c>
      <c r="AF49" s="1691">
        <f ca="1">Costs!AF49/('Global assumptions'!$C$7*NAIRA2010_*250)</f>
        <v>0</v>
      </c>
      <c r="AG49" s="1691">
        <f ca="1">Costs!AG49/('Global assumptions'!$C$7*NAIRA2010_*250)</f>
        <v>0</v>
      </c>
      <c r="AH49" s="675"/>
      <c r="AI49" s="1691">
        <f ca="1">Costs!AI49/('Global assumptions'!$C$7*NAIRA2010_*250)</f>
        <v>0</v>
      </c>
      <c r="AJ49" s="1691">
        <f ca="1">Costs!AJ49/('Global assumptions'!$C$7*NAIRA2010_*250)</f>
        <v>0</v>
      </c>
      <c r="AK49" s="1691">
        <f ca="1">Costs!AK49/('Global assumptions'!$C$7*NAIRA2010_*250)</f>
        <v>0</v>
      </c>
      <c r="AL49" s="1691">
        <f ca="1">Costs!AL49/('Global assumptions'!$C$7*NAIRA2010_*250)</f>
        <v>1.0149355226760459E-3</v>
      </c>
      <c r="AM49" s="1691">
        <f ca="1">Costs!AM49/('Global assumptions'!$C$7*NAIRA2010_*250)</f>
        <v>3.0701799560950388E-3</v>
      </c>
      <c r="AN49" s="1691">
        <f ca="1">Costs!AN49/('Global assumptions'!$C$7*NAIRA2010_*250)</f>
        <v>5.7851324792534617E-3</v>
      </c>
      <c r="AO49" s="1691">
        <f ca="1">Costs!AO49/('Global assumptions'!$C$7*NAIRA2010_*250)</f>
        <v>8.5254583904787861E-3</v>
      </c>
      <c r="AP49" s="1691">
        <f ca="1">Costs!AP49/('Global assumptions'!$C$7*NAIRA2010_*250)</f>
        <v>1.1240410913637209E-2</v>
      </c>
      <c r="AQ49" s="1691">
        <f ca="1">Costs!AQ49/('Global assumptions'!$C$7*NAIRA2010_*250)</f>
        <v>1.3955363436795631E-2</v>
      </c>
      <c r="AR49" s="2370"/>
      <c r="AS49" s="1707">
        <f t="shared" ca="1" si="10"/>
        <v>4.8434978554373525E-3</v>
      </c>
      <c r="AT49" s="1707">
        <f t="shared" ref="AT49:AT58" ca="1" si="14">(SUMPRODUCT(AJ49:AQ49,discount_factors)*5)+AI49</f>
        <v>1.4363112042853995E-2</v>
      </c>
      <c r="AU49" s="675"/>
      <c r="AV49" s="1699">
        <f>IFERROR(VLOOKUP($A49,Cost.FinanceCostTable,5,FALSE),'Global assumptions'!$D$35)</f>
        <v>0</v>
      </c>
      <c r="AW49" s="1690">
        <f>IFERROR(VLOOKUP($A49,Cost.FinanceCostTable,6,FALSE),'Global assumptions'!$E$35)</f>
        <v>5</v>
      </c>
      <c r="AX49" s="675"/>
      <c r="AY49" s="1691">
        <f ca="1">Costs!AY49/('Global assumptions'!$C$7*NAIRA2010_*250)</f>
        <v>0</v>
      </c>
      <c r="AZ49" s="1691">
        <f ca="1">Costs!AZ49/('Global assumptions'!$C$7*NAIRA2010_*250)</f>
        <v>0</v>
      </c>
      <c r="BA49" s="1691">
        <f ca="1">Costs!BA49/('Global assumptions'!$C$7*NAIRA2010_*250)</f>
        <v>0</v>
      </c>
      <c r="BB49" s="1691">
        <f ca="1">Costs!BB49/('Global assumptions'!$C$7*NAIRA2010_*250)</f>
        <v>2.7858616201984095E-4</v>
      </c>
      <c r="BC49" s="1691">
        <f ca="1">Costs!BC49/('Global assumptions'!$C$7*NAIRA2010_*250)</f>
        <v>8.4272314011001894E-4</v>
      </c>
      <c r="BD49" s="1691">
        <f ca="1">Costs!BD49/('Global assumptions'!$C$7*NAIRA2010_*250)</f>
        <v>1.5879411235130937E-3</v>
      </c>
      <c r="BE49" s="1691">
        <f ca="1">Costs!BE49/('Global assumptions'!$C$7*NAIRA2010_*250)</f>
        <v>2.3401237609666642E-3</v>
      </c>
      <c r="BF49" s="1691">
        <f ca="1">Costs!BF49/('Global assumptions'!$C$7*NAIRA2010_*250)</f>
        <v>3.0853417443697387E-3</v>
      </c>
      <c r="BG49" s="1691">
        <f ca="1">Costs!BG49/('Global assumptions'!$C$7*NAIRA2010_*250)</f>
        <v>3.8305597277728132E-3</v>
      </c>
      <c r="BH49" s="675"/>
      <c r="BI49" s="1691">
        <f ca="1">Costs!BI49/('Global assumptions'!$C$7*NAIRA2010_*250)</f>
        <v>0</v>
      </c>
      <c r="BJ49" s="1691">
        <f ca="1">Costs!BJ49/('Global assumptions'!$C$7*NAIRA2010_*250)</f>
        <v>0</v>
      </c>
      <c r="BK49" s="1691">
        <f ca="1">Costs!BK49/('Global assumptions'!$C$7*NAIRA2010_*250)</f>
        <v>0</v>
      </c>
      <c r="BL49" s="1691">
        <f ca="1">Costs!BL49/('Global assumptions'!$C$7*NAIRA2010_*250)</f>
        <v>2.7858616201984095E-4</v>
      </c>
      <c r="BM49" s="1691">
        <f ca="1">Costs!BM49/('Global assumptions'!$C$7*NAIRA2010_*250)</f>
        <v>1.1213093021298598E-3</v>
      </c>
      <c r="BN49" s="1691">
        <f ca="1">Costs!BN49/('Global assumptions'!$C$7*NAIRA2010_*250)</f>
        <v>2.7092504256429535E-3</v>
      </c>
      <c r="BO49" s="1691">
        <f ca="1">Costs!BO49/('Global assumptions'!$C$7*NAIRA2010_*250)</f>
        <v>4.7707880245897762E-3</v>
      </c>
      <c r="BP49" s="1691">
        <f ca="1">Costs!BP49/('Global assumptions'!$C$7*NAIRA2010_*250)</f>
        <v>7.0134066288494975E-3</v>
      </c>
      <c r="BQ49" s="1691">
        <f ca="1">Costs!BQ49/('Global assumptions'!$C$7*NAIRA2010_*250)</f>
        <v>9.256025233109217E-3</v>
      </c>
      <c r="BR49" s="675"/>
      <c r="BS49" s="1691">
        <f ca="1">Costs!BS49/('Global assumptions'!$C$7*NAIRA2010_*250)</f>
        <v>0</v>
      </c>
      <c r="BT49" s="1691">
        <f ca="1">Costs!BT49/('Global assumptions'!$C$7*NAIRA2010_*250)</f>
        <v>0</v>
      </c>
      <c r="BU49" s="1691">
        <f ca="1">Costs!BU49/('Global assumptions'!$C$7*NAIRA2010_*250)</f>
        <v>0</v>
      </c>
      <c r="BV49" s="1691">
        <f ca="1">Costs!BV49/('Global assumptions'!$C$7*NAIRA2010_*250)</f>
        <v>7.860539233578639E-4</v>
      </c>
      <c r="BW49" s="1691">
        <f ca="1">Costs!BW49/('Global assumptions'!$C$7*NAIRA2010_*250)</f>
        <v>2.656399280177379E-3</v>
      </c>
      <c r="BX49" s="1691">
        <f ca="1">Costs!BX49/('Global assumptions'!$C$7*NAIRA2010_*250)</f>
        <v>5.6018166652696847E-3</v>
      </c>
      <c r="BY49" s="1691">
        <f ca="1">Costs!BY49/('Global assumptions'!$C$7*NAIRA2010_*250)</f>
        <v>9.0335172198291701E-3</v>
      </c>
      <c r="BZ49" s="1691">
        <f ca="1">Costs!BZ49/('Global assumptions'!$C$7*NAIRA2010_*250)</f>
        <v>1.2633612085668102E-2</v>
      </c>
      <c r="CA49" s="1691">
        <f ca="1">Costs!CA49/('Global assumptions'!$C$7*NAIRA2010_*250)</f>
        <v>1.623370695150703E-2</v>
      </c>
      <c r="CB49" s="2370"/>
      <c r="CC49" s="1707">
        <f t="shared" ca="1" si="11"/>
        <v>5.2161229028676913E-3</v>
      </c>
      <c r="CD49" s="1707">
        <f t="shared" ref="CD49:CD58" ca="1" si="15">(SUMPRODUCT(BT49:CA49,discount_factors)*5)+BS49</f>
        <v>1.4672744494959858E-2</v>
      </c>
      <c r="CE49" s="2370"/>
      <c r="CF49" s="1691">
        <f ca="1">Costs!CF49/('Global assumptions'!$C$7*NAIRA2010_*250)</f>
        <v>0</v>
      </c>
      <c r="CG49" s="1691">
        <f ca="1">Costs!CG49/('Global assumptions'!$C$7*NAIRA2010_*250)</f>
        <v>0</v>
      </c>
      <c r="CH49" s="1691">
        <f ca="1">Costs!CH49/('Global assumptions'!$C$7*NAIRA2010_*250)</f>
        <v>0</v>
      </c>
      <c r="CI49" s="1691">
        <f ca="1">Costs!CI49/('Global assumptions'!$C$7*NAIRA2010_*250)</f>
        <v>-2.28881599318182E-4</v>
      </c>
      <c r="CJ49" s="1691">
        <f ca="1">Costs!CJ49/('Global assumptions'!$C$7*NAIRA2010_*250)</f>
        <v>-4.1378067591765961E-4</v>
      </c>
      <c r="CK49" s="1691">
        <f ca="1">Costs!CK49/('Global assumptions'!$C$7*NAIRA2010_*250)</f>
        <v>-1.8331581398377728E-4</v>
      </c>
      <c r="CL49" s="1691">
        <f ca="1">Costs!CL49/('Global assumptions'!$C$7*NAIRA2010_*250)</f>
        <v>5.0805882935038332E-4</v>
      </c>
      <c r="CM49" s="1691">
        <f ca="1">Costs!CM49/('Global assumptions'!$C$7*NAIRA2010_*250)</f>
        <v>1.3932011720308927E-3</v>
      </c>
      <c r="CN49" s="1691">
        <f ca="1">Costs!CN49/('Global assumptions'!$C$7*NAIRA2010_*250)</f>
        <v>2.2783435147114006E-3</v>
      </c>
      <c r="CO49" s="2370"/>
      <c r="CP49" s="1707">
        <f t="shared" ca="1" si="12"/>
        <v>3.7262504743033973E-4</v>
      </c>
      <c r="CQ49" s="1707">
        <f t="shared" ref="CQ49:CQ58" ca="1" si="16">(SUMPRODUCT(CG49:CN49,discount_factors)*5)+CF49</f>
        <v>3.0963245210586387E-4</v>
      </c>
      <c r="CR49" s="1426" t="str">
        <f ca="1">IF(ABS(CD49-CQ49-AT49)&lt;1,"ok","err")</f>
        <v>ok</v>
      </c>
    </row>
    <row r="50" spans="1:96" s="2126" customFormat="1" x14ac:dyDescent="0.2">
      <c r="A50" s="1683" t="s">
        <v>297</v>
      </c>
      <c r="B50" s="1683" t="s">
        <v>796</v>
      </c>
      <c r="C50" s="1683" t="s">
        <v>4</v>
      </c>
      <c r="E50" s="1689">
        <f ca="1">Costs!E50/('Global assumptions'!$C$7*NAIRA2010_*250)</f>
        <v>0</v>
      </c>
      <c r="F50" s="1689">
        <f ca="1">Costs!F50/('Global assumptions'!$C$7*NAIRA2010_*250)</f>
        <v>0</v>
      </c>
      <c r="G50" s="1689">
        <f ca="1">Costs!G50/('Global assumptions'!$C$7*NAIRA2010_*250)</f>
        <v>0</v>
      </c>
      <c r="H50" s="1689">
        <f ca="1">Costs!H50/('Global assumptions'!$C$7*NAIRA2010_*250)</f>
        <v>13.455584580932427</v>
      </c>
      <c r="I50" s="1689">
        <f ca="1">Costs!I50/('Global assumptions'!$C$7*NAIRA2010_*250)</f>
        <v>12.110026122839184</v>
      </c>
      <c r="J50" s="1689">
        <f ca="1">Costs!J50/('Global assumptions'!$C$7*NAIRA2010_*250)</f>
        <v>24.220052245678371</v>
      </c>
      <c r="K50" s="1689">
        <f ca="1">Costs!K50/('Global assumptions'!$C$7*NAIRA2010_*250)</f>
        <v>45.748987575170247</v>
      </c>
      <c r="L50" s="1689">
        <f ca="1">Costs!L50/('Global assumptions'!$C$7*NAIRA2010_*250)</f>
        <v>88.806858234154021</v>
      </c>
      <c r="M50" s="1689">
        <f ca="1">Costs!M50/('Global assumptions'!$C$7*NAIRA2010_*250)</f>
        <v>172.23148263593507</v>
      </c>
      <c r="N50" s="675"/>
      <c r="O50" s="1689">
        <f ca="1">Costs!O50/('Global assumptions'!$C$7*NAIRA2010_*250)</f>
        <v>0</v>
      </c>
      <c r="P50" s="1689">
        <f ca="1">Costs!P50/('Global assumptions'!$C$7*NAIRA2010_*250)</f>
        <v>0</v>
      </c>
      <c r="Q50" s="1689">
        <f ca="1">Costs!Q50/('Global assumptions'!$C$7*NAIRA2010_*250)</f>
        <v>0</v>
      </c>
      <c r="R50" s="1689">
        <f ca="1">Costs!R50/('Global assumptions'!$C$7*NAIRA2010_*250)</f>
        <v>9.8950831227082134E-2</v>
      </c>
      <c r="S50" s="1689">
        <f ca="1">Costs!S50/('Global assumptions'!$C$7*NAIRA2010_*250)</f>
        <v>0.18800657933145601</v>
      </c>
      <c r="T50" s="1689">
        <f ca="1">Costs!T50/('Global assumptions'!$C$7*NAIRA2010_*250)</f>
        <v>0.36611807554020387</v>
      </c>
      <c r="U50" s="1689">
        <f ca="1">Costs!U50/('Global assumptions'!$C$7*NAIRA2010_*250)</f>
        <v>0.70255090171228318</v>
      </c>
      <c r="V50" s="1689">
        <f ca="1">Costs!V50/('Global assumptions'!$C$7*NAIRA2010_*250)</f>
        <v>1.3556263878110253</v>
      </c>
      <c r="W50" s="1689">
        <f ca="1">Costs!W50/('Global assumptions'!$C$7*NAIRA2010_*250)</f>
        <v>2.622197027517676</v>
      </c>
      <c r="X50" s="675"/>
      <c r="Y50" s="1689">
        <f ca="1">Costs!Y50/('Global assumptions'!$C$7*NAIRA2010_*250)</f>
        <v>0</v>
      </c>
      <c r="Z50" s="1689">
        <f ca="1">Costs!Z50/('Global assumptions'!$C$7*NAIRA2010_*250)</f>
        <v>0</v>
      </c>
      <c r="AA50" s="1689">
        <f ca="1">Costs!AA50/('Global assumptions'!$C$7*NAIRA2010_*250)</f>
        <v>0</v>
      </c>
      <c r="AB50" s="1689">
        <f ca="1">Costs!AB50/('Global assumptions'!$C$7*NAIRA2010_*250)</f>
        <v>0.98854719908646893</v>
      </c>
      <c r="AC50" s="1689">
        <f ca="1">Costs!AC50/('Global assumptions'!$C$7*NAIRA2010_*250)</f>
        <v>1.8782396782642907</v>
      </c>
      <c r="AD50" s="1689">
        <f ca="1">Costs!AD50/('Global assumptions'!$C$7*NAIRA2010_*250)</f>
        <v>3.6576246366199352</v>
      </c>
      <c r="AE50" s="1689">
        <f ca="1">Costs!AE50/('Global assumptions'!$C$7*NAIRA2010_*250)</f>
        <v>7.0186851135139294</v>
      </c>
      <c r="AF50" s="1689">
        <f ca="1">Costs!AF50/('Global assumptions'!$C$7*NAIRA2010_*250)</f>
        <v>13.543096627484625</v>
      </c>
      <c r="AG50" s="1689">
        <f ca="1">Costs!AG50/('Global assumptions'!$C$7*NAIRA2010_*250)</f>
        <v>26.196500775791424</v>
      </c>
      <c r="AH50" s="675"/>
      <c r="AI50" s="1689">
        <f ca="1">Costs!AI50/('Global assumptions'!$C$7*NAIRA2010_*250)</f>
        <v>0</v>
      </c>
      <c r="AJ50" s="1689">
        <f ca="1">Costs!AJ50/('Global assumptions'!$C$7*NAIRA2010_*250)</f>
        <v>0</v>
      </c>
      <c r="AK50" s="1689">
        <f ca="1">Costs!AK50/('Global assumptions'!$C$7*NAIRA2010_*250)</f>
        <v>0</v>
      </c>
      <c r="AL50" s="1689">
        <f ca="1">Costs!AL50/('Global assumptions'!$C$7*NAIRA2010_*250)</f>
        <v>14.543082611245978</v>
      </c>
      <c r="AM50" s="1689">
        <f ca="1">Costs!AM50/('Global assumptions'!$C$7*NAIRA2010_*250)</f>
        <v>14.176272380434931</v>
      </c>
      <c r="AN50" s="1689">
        <f ca="1">Costs!AN50/('Global assumptions'!$C$7*NAIRA2010_*250)</f>
        <v>28.243794957838514</v>
      </c>
      <c r="AO50" s="1689">
        <f ca="1">Costs!AO50/('Global assumptions'!$C$7*NAIRA2010_*250)</f>
        <v>53.470223590396458</v>
      </c>
      <c r="AP50" s="1689">
        <f ca="1">Costs!AP50/('Global assumptions'!$C$7*NAIRA2010_*250)</f>
        <v>103.70558124944966</v>
      </c>
      <c r="AQ50" s="1689">
        <f ca="1">Costs!AQ50/('Global assumptions'!$C$7*NAIRA2010_*250)</f>
        <v>201.05018043924417</v>
      </c>
      <c r="AS50" s="1706">
        <f t="shared" ca="1" si="10"/>
        <v>46.132126136512191</v>
      </c>
      <c r="AT50" s="1706">
        <f t="shared" ca="1" si="14"/>
        <v>124.79922152642172</v>
      </c>
      <c r="AU50" s="675"/>
      <c r="AV50" s="1699">
        <f>IFERROR(VLOOKUP($A50,Cost.FinanceCostTable,5,FALSE),'Global assumptions'!$D$35)</f>
        <v>7.0000000000000007E-2</v>
      </c>
      <c r="AW50" s="1690">
        <f>IFERROR(VLOOKUP($A50,Cost.FinanceCostTable,6,FALSE),'Global assumptions'!$E$35)</f>
        <v>30</v>
      </c>
      <c r="AX50" s="675"/>
      <c r="AY50" s="1689">
        <f ca="1">Costs!AY50/('Global assumptions'!$C$7*NAIRA2010_*250)</f>
        <v>0</v>
      </c>
      <c r="AZ50" s="1689">
        <f ca="1">Costs!AZ50/('Global assumptions'!$C$7*NAIRA2010_*250)</f>
        <v>0</v>
      </c>
      <c r="BA50" s="1689">
        <f ca="1">Costs!BA50/('Global assumptions'!$C$7*NAIRA2010_*250)</f>
        <v>0</v>
      </c>
      <c r="BB50" s="1689">
        <f ca="1">Costs!BB50/('Global assumptions'!$C$7*NAIRA2010_*250)</f>
        <v>5.4216858425845338</v>
      </c>
      <c r="BC50" s="1689">
        <f ca="1">Costs!BC50/('Global assumptions'!$C$7*NAIRA2010_*250)</f>
        <v>4.8795172583260786</v>
      </c>
      <c r="BD50" s="1689">
        <f ca="1">Costs!BD50/('Global assumptions'!$C$7*NAIRA2010_*250)</f>
        <v>9.7590345166521626</v>
      </c>
      <c r="BE50" s="1689">
        <f ca="1">Costs!BE50/('Global assumptions'!$C$7*NAIRA2010_*250)</f>
        <v>18.433731864787408</v>
      </c>
      <c r="BF50" s="1689">
        <f ca="1">Costs!BF50/('Global assumptions'!$C$7*NAIRA2010_*250)</f>
        <v>35.783126561057919</v>
      </c>
      <c r="BG50" s="1689">
        <f ca="1">Costs!BG50/('Global assumptions'!$C$7*NAIRA2010_*250)</f>
        <v>69.397578785082032</v>
      </c>
      <c r="BH50" s="675"/>
      <c r="BI50" s="1689">
        <f ca="1">Costs!BI50/('Global assumptions'!$C$7*NAIRA2010_*250)</f>
        <v>0</v>
      </c>
      <c r="BJ50" s="1689">
        <f ca="1">Costs!BJ50/('Global assumptions'!$C$7*NAIRA2010_*250)</f>
        <v>0</v>
      </c>
      <c r="BK50" s="1689">
        <f ca="1">Costs!BK50/('Global assumptions'!$C$7*NAIRA2010_*250)</f>
        <v>0</v>
      </c>
      <c r="BL50" s="1689">
        <f ca="1">Costs!BL50/('Global assumptions'!$C$7*NAIRA2010_*250)</f>
        <v>5.4216858425845338</v>
      </c>
      <c r="BM50" s="1689">
        <f ca="1">Costs!BM50/('Global assumptions'!$C$7*NAIRA2010_*250)</f>
        <v>10.301203100910612</v>
      </c>
      <c r="BN50" s="1689">
        <f ca="1">Costs!BN50/('Global assumptions'!$C$7*NAIRA2010_*250)</f>
        <v>20.060237617562773</v>
      </c>
      <c r="BO50" s="1689">
        <f ca="1">Costs!BO50/('Global assumptions'!$C$7*NAIRA2010_*250)</f>
        <v>38.493969482350181</v>
      </c>
      <c r="BP50" s="1689">
        <f ca="1">Costs!BP50/('Global assumptions'!$C$7*NAIRA2010_*250)</f>
        <v>79.156613301734197</v>
      </c>
      <c r="BQ50" s="1689">
        <f ca="1">Costs!BQ50/('Global assumptions'!$C$7*NAIRA2010_*250)</f>
        <v>148.55419208681619</v>
      </c>
      <c r="BR50" s="675"/>
      <c r="BS50" s="1689">
        <f ca="1">Costs!BS50/('Global assumptions'!$C$7*NAIRA2010_*250)</f>
        <v>0</v>
      </c>
      <c r="BT50" s="1689">
        <f ca="1">Costs!BT50/('Global assumptions'!$C$7*NAIRA2010_*250)</f>
        <v>0</v>
      </c>
      <c r="BU50" s="1689">
        <f ca="1">Costs!BU50/('Global assumptions'!$C$7*NAIRA2010_*250)</f>
        <v>0</v>
      </c>
      <c r="BV50" s="1689">
        <f ca="1">Costs!BV50/('Global assumptions'!$C$7*NAIRA2010_*250)</f>
        <v>6.5091838728980846</v>
      </c>
      <c r="BW50" s="1689">
        <f ca="1">Costs!BW50/('Global assumptions'!$C$7*NAIRA2010_*250)</f>
        <v>12.367449358506359</v>
      </c>
      <c r="BX50" s="1689">
        <f ca="1">Costs!BX50/('Global assumptions'!$C$7*NAIRA2010_*250)</f>
        <v>24.083980329722909</v>
      </c>
      <c r="BY50" s="1689">
        <f ca="1">Costs!BY50/('Global assumptions'!$C$7*NAIRA2010_*250)</f>
        <v>46.215205497576392</v>
      </c>
      <c r="BZ50" s="1689">
        <f ca="1">Costs!BZ50/('Global assumptions'!$C$7*NAIRA2010_*250)</f>
        <v>94.055336317029841</v>
      </c>
      <c r="CA50" s="1689">
        <f ca="1">Costs!CA50/('Global assumptions'!$C$7*NAIRA2010_*250)</f>
        <v>177.37288989012529</v>
      </c>
      <c r="CC50" s="1706">
        <f t="shared" ca="1" si="11"/>
        <v>40.067116140650988</v>
      </c>
      <c r="CD50" s="1706">
        <f t="shared" ca="1" si="15"/>
        <v>102.40643016109438</v>
      </c>
      <c r="CF50" s="1689">
        <f ca="1">Costs!CF50/('Global assumptions'!$C$7*NAIRA2010_*250)</f>
        <v>0</v>
      </c>
      <c r="CG50" s="1689">
        <f ca="1">Costs!CG50/('Global assumptions'!$C$7*NAIRA2010_*250)</f>
        <v>0</v>
      </c>
      <c r="CH50" s="1689">
        <f ca="1">Costs!CH50/('Global assumptions'!$C$7*NAIRA2010_*250)</f>
        <v>0</v>
      </c>
      <c r="CI50" s="1689">
        <f ca="1">Costs!CI50/('Global assumptions'!$C$7*NAIRA2010_*250)</f>
        <v>-8.0338987383478955</v>
      </c>
      <c r="CJ50" s="1689">
        <f ca="1">Costs!CJ50/('Global assumptions'!$C$7*NAIRA2010_*250)</f>
        <v>-1.808823021928571</v>
      </c>
      <c r="CK50" s="1689">
        <f ca="1">Costs!CK50/('Global assumptions'!$C$7*NAIRA2010_*250)</f>
        <v>-4.1598146281155994</v>
      </c>
      <c r="CL50" s="1689">
        <f ca="1">Costs!CL50/('Global assumptions'!$C$7*NAIRA2010_*250)</f>
        <v>-7.255018092820066</v>
      </c>
      <c r="CM50" s="1689">
        <f ca="1">Costs!CM50/('Global assumptions'!$C$7*NAIRA2010_*250)</f>
        <v>-9.6502449324198274</v>
      </c>
      <c r="CN50" s="1689">
        <f ca="1">Costs!CN50/('Global assumptions'!$C$7*NAIRA2010_*250)</f>
        <v>-23.677290549118883</v>
      </c>
      <c r="CP50" s="1706">
        <f t="shared" ca="1" si="12"/>
        <v>-6.0650099958612049</v>
      </c>
      <c r="CQ50" s="1706">
        <f t="shared" ca="1" si="16"/>
        <v>-22.392791365327348</v>
      </c>
      <c r="CR50" s="1426" t="str">
        <f t="shared" ref="CR50:CR58" ca="1" si="17">IF(ABS(CD50-CQ50-AT50)&lt;1,"ok","err")</f>
        <v>ok</v>
      </c>
    </row>
    <row r="51" spans="1:96" s="2126" customFormat="1" x14ac:dyDescent="0.2">
      <c r="A51" s="1685" t="s">
        <v>864</v>
      </c>
      <c r="B51" s="1685" t="s">
        <v>1</v>
      </c>
      <c r="C51" s="1685" t="s">
        <v>4</v>
      </c>
      <c r="E51" s="1691">
        <f ca="1">Costs!E51/('Global assumptions'!$C$7*NAIRA2010_*250)</f>
        <v>0</v>
      </c>
      <c r="F51" s="1691">
        <f ca="1">Costs!F51/('Global assumptions'!$C$7*NAIRA2010_*250)</f>
        <v>0</v>
      </c>
      <c r="G51" s="1691">
        <f ca="1">Costs!G51/('Global assumptions'!$C$7*NAIRA2010_*250)</f>
        <v>0</v>
      </c>
      <c r="H51" s="1691">
        <f ca="1">Costs!H51/('Global assumptions'!$C$7*NAIRA2010_*250)</f>
        <v>20.183376871398639</v>
      </c>
      <c r="I51" s="1691">
        <f ca="1">Costs!I51/('Global assumptions'!$C$7*NAIRA2010_*250)</f>
        <v>40.366753742797279</v>
      </c>
      <c r="J51" s="1691">
        <f ca="1">Costs!J51/('Global assumptions'!$C$7*NAIRA2010_*250)</f>
        <v>60.550130614195922</v>
      </c>
      <c r="K51" s="1691">
        <f ca="1">Costs!K51/('Global assumptions'!$C$7*NAIRA2010_*250)</f>
        <v>80.733507485594558</v>
      </c>
      <c r="L51" s="1691">
        <f ca="1">Costs!L51/('Global assumptions'!$C$7*NAIRA2010_*250)</f>
        <v>100.91688435699321</v>
      </c>
      <c r="M51" s="1691">
        <f ca="1">Costs!M51/('Global assumptions'!$C$7*NAIRA2010_*250)</f>
        <v>121.10026122839184</v>
      </c>
      <c r="N51" s="675"/>
      <c r="O51" s="1691">
        <f ca="1">Costs!O51/('Global assumptions'!$C$7*NAIRA2010_*250)</f>
        <v>0</v>
      </c>
      <c r="P51" s="1691">
        <f ca="1">Costs!P51/('Global assumptions'!$C$7*NAIRA2010_*250)</f>
        <v>0</v>
      </c>
      <c r="Q51" s="1691">
        <f ca="1">Costs!Q51/('Global assumptions'!$C$7*NAIRA2010_*250)</f>
        <v>0.2422005224567837</v>
      </c>
      <c r="R51" s="1691">
        <f ca="1">Costs!R51/('Global assumptions'!$C$7*NAIRA2010_*250)</f>
        <v>0.48440104491356739</v>
      </c>
      <c r="S51" s="1691">
        <f ca="1">Costs!S51/('Global assumptions'!$C$7*NAIRA2010_*250)</f>
        <v>0.72660156737035109</v>
      </c>
      <c r="T51" s="1691">
        <f ca="1">Costs!T51/('Global assumptions'!$C$7*NAIRA2010_*250)</f>
        <v>0.96880208982713478</v>
      </c>
      <c r="U51" s="1691">
        <f ca="1">Costs!U51/('Global assumptions'!$C$7*NAIRA2010_*250)</f>
        <v>0.96880208982713478</v>
      </c>
      <c r="V51" s="1691">
        <f ca="1">Costs!V51/('Global assumptions'!$C$7*NAIRA2010_*250)</f>
        <v>1.2110026122839184</v>
      </c>
      <c r="W51" s="1691">
        <f ca="1">Costs!W51/('Global assumptions'!$C$7*NAIRA2010_*250)</f>
        <v>1.4532031347407022</v>
      </c>
      <c r="X51" s="675"/>
      <c r="Y51" s="1691">
        <f ca="1">Costs!Y51/('Global assumptions'!$C$7*NAIRA2010_*250)</f>
        <v>0</v>
      </c>
      <c r="Z51" s="1691">
        <f ca="1">Costs!Z51/('Global assumptions'!$C$7*NAIRA2010_*250)</f>
        <v>0</v>
      </c>
      <c r="AA51" s="1691">
        <f ca="1">Costs!AA51/('Global assumptions'!$C$7*NAIRA2010_*250)</f>
        <v>0</v>
      </c>
      <c r="AB51" s="1691">
        <f ca="1">Costs!AB51/('Global assumptions'!$C$7*NAIRA2010_*250)</f>
        <v>0</v>
      </c>
      <c r="AC51" s="1691">
        <f ca="1">Costs!AC51/('Global assumptions'!$C$7*NAIRA2010_*250)</f>
        <v>0</v>
      </c>
      <c r="AD51" s="1691">
        <f ca="1">Costs!AD51/('Global assumptions'!$C$7*NAIRA2010_*250)</f>
        <v>0</v>
      </c>
      <c r="AE51" s="1691">
        <f ca="1">Costs!AE51/('Global assumptions'!$C$7*NAIRA2010_*250)</f>
        <v>0</v>
      </c>
      <c r="AF51" s="1691">
        <f ca="1">Costs!AF51/('Global assumptions'!$C$7*NAIRA2010_*250)</f>
        <v>0</v>
      </c>
      <c r="AG51" s="1691">
        <f ca="1">Costs!AG51/('Global assumptions'!$C$7*NAIRA2010_*250)</f>
        <v>0</v>
      </c>
      <c r="AH51" s="675"/>
      <c r="AI51" s="1691">
        <f ca="1">Costs!AI51/('Global assumptions'!$C$7*NAIRA2010_*250)</f>
        <v>0</v>
      </c>
      <c r="AJ51" s="1691">
        <f ca="1">Costs!AJ51/('Global assumptions'!$C$7*NAIRA2010_*250)</f>
        <v>0</v>
      </c>
      <c r="AK51" s="1691">
        <f ca="1">Costs!AK51/('Global assumptions'!$C$7*NAIRA2010_*250)</f>
        <v>0.2422005224567837</v>
      </c>
      <c r="AL51" s="1691">
        <f ca="1">Costs!AL51/('Global assumptions'!$C$7*NAIRA2010_*250)</f>
        <v>20.667777916312208</v>
      </c>
      <c r="AM51" s="1691">
        <f ca="1">Costs!AM51/('Global assumptions'!$C$7*NAIRA2010_*250)</f>
        <v>41.093355310167631</v>
      </c>
      <c r="AN51" s="1691">
        <f ca="1">Costs!AN51/('Global assumptions'!$C$7*NAIRA2010_*250)</f>
        <v>61.518932704023058</v>
      </c>
      <c r="AO51" s="1691">
        <f ca="1">Costs!AO51/('Global assumptions'!$C$7*NAIRA2010_*250)</f>
        <v>81.702309575421694</v>
      </c>
      <c r="AP51" s="1691">
        <f ca="1">Costs!AP51/('Global assumptions'!$C$7*NAIRA2010_*250)</f>
        <v>102.12788696927713</v>
      </c>
      <c r="AQ51" s="1691">
        <f ca="1">Costs!AQ51/('Global assumptions'!$C$7*NAIRA2010_*250)</f>
        <v>122.55346436313255</v>
      </c>
      <c r="AS51" s="1707">
        <f t="shared" ca="1" si="10"/>
        <v>47.767325262310116</v>
      </c>
      <c r="AT51" s="1707">
        <f t="shared" ca="1" si="14"/>
        <v>158.92128532999294</v>
      </c>
      <c r="AU51" s="675"/>
      <c r="AV51" s="1699">
        <f>IFERROR(VLOOKUP($A51,Cost.FinanceCostTable,5,FALSE),'Global assumptions'!$D$35)</f>
        <v>7.0000000000000007E-2</v>
      </c>
      <c r="AW51" s="1690">
        <f>IFERROR(VLOOKUP($A51,Cost.FinanceCostTable,6,FALSE),'Global assumptions'!$E$35)</f>
        <v>20</v>
      </c>
      <c r="AX51" s="675"/>
      <c r="AY51" s="1691">
        <f ca="1">Costs!AY51/('Global assumptions'!$C$7*NAIRA2010_*250)</f>
        <v>0</v>
      </c>
      <c r="AZ51" s="1691">
        <f ca="1">Costs!AZ51/('Global assumptions'!$C$7*NAIRA2010_*250)</f>
        <v>0</v>
      </c>
      <c r="BA51" s="1691">
        <f ca="1">Costs!BA51/('Global assumptions'!$C$7*NAIRA2010_*250)</f>
        <v>0</v>
      </c>
      <c r="BB51" s="1691">
        <f ca="1">Costs!BB51/('Global assumptions'!$C$7*NAIRA2010_*250)</f>
        <v>9.525839971350381</v>
      </c>
      <c r="BC51" s="1691">
        <f ca="1">Costs!BC51/('Global assumptions'!$C$7*NAIRA2010_*250)</f>
        <v>19.051679942700762</v>
      </c>
      <c r="BD51" s="1691">
        <f ca="1">Costs!BD51/('Global assumptions'!$C$7*NAIRA2010_*250)</f>
        <v>28.577519914051141</v>
      </c>
      <c r="BE51" s="1691">
        <f ca="1">Costs!BE51/('Global assumptions'!$C$7*NAIRA2010_*250)</f>
        <v>38.103359885401524</v>
      </c>
      <c r="BF51" s="1691">
        <f ca="1">Costs!BF51/('Global assumptions'!$C$7*NAIRA2010_*250)</f>
        <v>47.62919985675191</v>
      </c>
      <c r="BG51" s="1691">
        <f ca="1">Costs!BG51/('Global assumptions'!$C$7*NAIRA2010_*250)</f>
        <v>57.155039828102282</v>
      </c>
      <c r="BH51" s="675"/>
      <c r="BI51" s="1691">
        <f ca="1">Costs!BI51/('Global assumptions'!$C$7*NAIRA2010_*250)</f>
        <v>0</v>
      </c>
      <c r="BJ51" s="1691">
        <f ca="1">Costs!BJ51/('Global assumptions'!$C$7*NAIRA2010_*250)</f>
        <v>0</v>
      </c>
      <c r="BK51" s="1691">
        <f ca="1">Costs!BK51/('Global assumptions'!$C$7*NAIRA2010_*250)</f>
        <v>0</v>
      </c>
      <c r="BL51" s="1691">
        <f ca="1">Costs!BL51/('Global assumptions'!$C$7*NAIRA2010_*250)</f>
        <v>9.525839971350381</v>
      </c>
      <c r="BM51" s="1691">
        <f ca="1">Costs!BM51/('Global assumptions'!$C$7*NAIRA2010_*250)</f>
        <v>28.577519914051141</v>
      </c>
      <c r="BN51" s="1691">
        <f ca="1">Costs!BN51/('Global assumptions'!$C$7*NAIRA2010_*250)</f>
        <v>57.155039828102282</v>
      </c>
      <c r="BO51" s="1691">
        <f ca="1">Costs!BO51/('Global assumptions'!$C$7*NAIRA2010_*250)</f>
        <v>95.258399713503806</v>
      </c>
      <c r="BP51" s="1691">
        <f ca="1">Costs!BP51/('Global assumptions'!$C$7*NAIRA2010_*250)</f>
        <v>152.4134395416061</v>
      </c>
      <c r="BQ51" s="1691">
        <f ca="1">Costs!BQ51/('Global assumptions'!$C$7*NAIRA2010_*250)</f>
        <v>171.46511948430685</v>
      </c>
      <c r="BR51" s="675"/>
      <c r="BS51" s="1691">
        <f ca="1">Costs!BS51/('Global assumptions'!$C$7*NAIRA2010_*250)</f>
        <v>0</v>
      </c>
      <c r="BT51" s="1691">
        <f ca="1">Costs!BT51/('Global assumptions'!$C$7*NAIRA2010_*250)</f>
        <v>0</v>
      </c>
      <c r="BU51" s="1691">
        <f ca="1">Costs!BU51/('Global assumptions'!$C$7*NAIRA2010_*250)</f>
        <v>0.2422005224567837</v>
      </c>
      <c r="BV51" s="1691">
        <f ca="1">Costs!BV51/('Global assumptions'!$C$7*NAIRA2010_*250)</f>
        <v>10.010241016263949</v>
      </c>
      <c r="BW51" s="1691">
        <f ca="1">Costs!BW51/('Global assumptions'!$C$7*NAIRA2010_*250)</f>
        <v>29.304121481421493</v>
      </c>
      <c r="BX51" s="1691">
        <f ca="1">Costs!BX51/('Global assumptions'!$C$7*NAIRA2010_*250)</f>
        <v>58.123841917929418</v>
      </c>
      <c r="BY51" s="1691">
        <f ca="1">Costs!BY51/('Global assumptions'!$C$7*NAIRA2010_*250)</f>
        <v>96.227201803330942</v>
      </c>
      <c r="BZ51" s="1691">
        <f ca="1">Costs!BZ51/('Global assumptions'!$C$7*NAIRA2010_*250)</f>
        <v>153.62444215389002</v>
      </c>
      <c r="CA51" s="1691">
        <f ca="1">Costs!CA51/('Global assumptions'!$C$7*NAIRA2010_*250)</f>
        <v>172.91832261904756</v>
      </c>
      <c r="CC51" s="1707">
        <f t="shared" ca="1" si="11"/>
        <v>57.827819057148908</v>
      </c>
      <c r="CD51" s="1707">
        <f t="shared" ca="1" si="15"/>
        <v>163.4650561945781</v>
      </c>
      <c r="CF51" s="1691">
        <f ca="1">Costs!CF51/('Global assumptions'!$C$7*NAIRA2010_*250)</f>
        <v>0</v>
      </c>
      <c r="CG51" s="1691">
        <f ca="1">Costs!CG51/('Global assumptions'!$C$7*NAIRA2010_*250)</f>
        <v>0</v>
      </c>
      <c r="CH51" s="1691">
        <f ca="1">Costs!CH51/('Global assumptions'!$C$7*NAIRA2010_*250)</f>
        <v>0</v>
      </c>
      <c r="CI51" s="1691">
        <f ca="1">Costs!CI51/('Global assumptions'!$C$7*NAIRA2010_*250)</f>
        <v>-10.65753690004826</v>
      </c>
      <c r="CJ51" s="1691">
        <f ca="1">Costs!CJ51/('Global assumptions'!$C$7*NAIRA2010_*250)</f>
        <v>-11.78923382874614</v>
      </c>
      <c r="CK51" s="1691">
        <f ca="1">Costs!CK51/('Global assumptions'!$C$7*NAIRA2010_*250)</f>
        <v>-3.3950907860936388</v>
      </c>
      <c r="CL51" s="1691">
        <f ca="1">Costs!CL51/('Global assumptions'!$C$7*NAIRA2010_*250)</f>
        <v>14.524892227909239</v>
      </c>
      <c r="CM51" s="1691">
        <f ca="1">Costs!CM51/('Global assumptions'!$C$7*NAIRA2010_*250)</f>
        <v>51.496555184612895</v>
      </c>
      <c r="CN51" s="1691">
        <f ca="1">Costs!CN51/('Global assumptions'!$C$7*NAIRA2010_*250)</f>
        <v>50.364858255915017</v>
      </c>
      <c r="CP51" s="1707">
        <f t="shared" ca="1" si="12"/>
        <v>10.06049379483879</v>
      </c>
      <c r="CQ51" s="1707">
        <f t="shared" ca="1" si="16"/>
        <v>4.5437708645851416</v>
      </c>
      <c r="CR51" s="1426" t="str">
        <f t="shared" ca="1" si="17"/>
        <v>ok</v>
      </c>
    </row>
    <row r="52" spans="1:96" s="2126" customFormat="1" x14ac:dyDescent="0.2">
      <c r="A52" s="1685" t="s">
        <v>2366</v>
      </c>
      <c r="B52" s="1685" t="s">
        <v>2584</v>
      </c>
      <c r="C52" s="1685" t="s">
        <v>4</v>
      </c>
      <c r="E52" s="1691">
        <f ca="1">Costs!E52/('Global assumptions'!$C$7*NAIRA2010_*250)</f>
        <v>0</v>
      </c>
      <c r="F52" s="1691">
        <f ca="1">Costs!F52/('Global assumptions'!$C$7*NAIRA2010_*250)</f>
        <v>0</v>
      </c>
      <c r="G52" s="1691">
        <f ca="1">Costs!G52/('Global assumptions'!$C$7*NAIRA2010_*250)</f>
        <v>3.6060966676898913</v>
      </c>
      <c r="H52" s="1691">
        <f ca="1">Costs!H52/('Global assumptions'!$C$7*NAIRA2010_*250)</f>
        <v>3.5791854985280258</v>
      </c>
      <c r="I52" s="1691">
        <f ca="1">Costs!I52/('Global assumptions'!$C$7*NAIRA2010_*250)</f>
        <v>3.6060966676898922</v>
      </c>
      <c r="J52" s="1691">
        <f ca="1">Costs!J52/('Global assumptions'!$C$7*NAIRA2010_*250)</f>
        <v>3.5791854985280258</v>
      </c>
      <c r="K52" s="1691">
        <f ca="1">Costs!K52/('Global assumptions'!$C$7*NAIRA2010_*250)</f>
        <v>3.6060966676898891</v>
      </c>
      <c r="L52" s="1691">
        <f ca="1">Costs!L52/('Global assumptions'!$C$7*NAIRA2010_*250)</f>
        <v>3.5791854985280289</v>
      </c>
      <c r="M52" s="1691">
        <f ca="1">Costs!M52/('Global assumptions'!$C$7*NAIRA2010_*250)</f>
        <v>3.6060966676898865</v>
      </c>
      <c r="N52" s="675"/>
      <c r="O52" s="1691">
        <f ca="1">Costs!O52/('Global assumptions'!$C$7*NAIRA2010_*250)</f>
        <v>4.3826761206465621E-5</v>
      </c>
      <c r="P52" s="1691">
        <f ca="1">Costs!P52/('Global assumptions'!$C$7*NAIRA2010_*250)</f>
        <v>4.3826761206465621E-5</v>
      </c>
      <c r="Q52" s="1691">
        <f ca="1">Costs!Q52/('Global assumptions'!$C$7*NAIRA2010_*250)</f>
        <v>7.4736161215236104E-5</v>
      </c>
      <c r="R52" s="1691">
        <f ca="1">Costs!R52/('Global assumptions'!$C$7*NAIRA2010_*250)</f>
        <v>1.0541489405976206E-4</v>
      </c>
      <c r="S52" s="1691">
        <f ca="1">Costs!S52/('Global assumptions'!$C$7*NAIRA2010_*250)</f>
        <v>1.3632429406853255E-4</v>
      </c>
      <c r="T52" s="1691">
        <f ca="1">Costs!T52/('Global assumptions'!$C$7*NAIRA2010_*250)</f>
        <v>1.6700302691305849E-4</v>
      </c>
      <c r="U52" s="1691">
        <f ca="1">Costs!U52/('Global assumptions'!$C$7*NAIRA2010_*250)</f>
        <v>1.9791242692182896E-4</v>
      </c>
      <c r="V52" s="1691">
        <f ca="1">Costs!V52/('Global assumptions'!$C$7*NAIRA2010_*250)</f>
        <v>2.2859115976635495E-4</v>
      </c>
      <c r="W52" s="1691">
        <f ca="1">Costs!W52/('Global assumptions'!$C$7*NAIRA2010_*250)</f>
        <v>2.5950055977512536E-4</v>
      </c>
      <c r="X52" s="675"/>
      <c r="Y52" s="1691">
        <f ca="1">Costs!Y52/('Global assumptions'!$C$7*NAIRA2010_*250)</f>
        <v>0</v>
      </c>
      <c r="Z52" s="1691">
        <f ca="1">Costs!Z52/('Global assumptions'!$C$7*NAIRA2010_*250)</f>
        <v>0</v>
      </c>
      <c r="AA52" s="1691">
        <f ca="1">Costs!AA52/('Global assumptions'!$C$7*NAIRA2010_*250)</f>
        <v>0</v>
      </c>
      <c r="AB52" s="1691">
        <f ca="1">Costs!AB52/('Global assumptions'!$C$7*NAIRA2010_*250)</f>
        <v>0</v>
      </c>
      <c r="AC52" s="1691">
        <f ca="1">Costs!AC52/('Global assumptions'!$C$7*NAIRA2010_*250)</f>
        <v>0</v>
      </c>
      <c r="AD52" s="1691">
        <f ca="1">Costs!AD52/('Global assumptions'!$C$7*NAIRA2010_*250)</f>
        <v>0</v>
      </c>
      <c r="AE52" s="1691">
        <f ca="1">Costs!AE52/('Global assumptions'!$C$7*NAIRA2010_*250)</f>
        <v>0</v>
      </c>
      <c r="AF52" s="1691">
        <f ca="1">Costs!AF52/('Global assumptions'!$C$7*NAIRA2010_*250)</f>
        <v>0</v>
      </c>
      <c r="AG52" s="1691">
        <f ca="1">Costs!AG52/('Global assumptions'!$C$7*NAIRA2010_*250)</f>
        <v>0</v>
      </c>
      <c r="AH52" s="675"/>
      <c r="AI52" s="1691">
        <f ca="1">Costs!AI52/('Global assumptions'!$C$7*NAIRA2010_*250)</f>
        <v>4.3826761206465621E-5</v>
      </c>
      <c r="AJ52" s="1691">
        <f ca="1">Costs!AJ52/('Global assumptions'!$C$7*NAIRA2010_*250)</f>
        <v>4.3826761206465621E-5</v>
      </c>
      <c r="AK52" s="1691">
        <f ca="1">Costs!AK52/('Global assumptions'!$C$7*NAIRA2010_*250)</f>
        <v>3.6061714038511066</v>
      </c>
      <c r="AL52" s="1691">
        <f ca="1">Costs!AL52/('Global assumptions'!$C$7*NAIRA2010_*250)</f>
        <v>3.5792909134220854</v>
      </c>
      <c r="AM52" s="1691">
        <f ca="1">Costs!AM52/('Global assumptions'!$C$7*NAIRA2010_*250)</f>
        <v>3.6062329919839606</v>
      </c>
      <c r="AN52" s="1691">
        <f ca="1">Costs!AN52/('Global assumptions'!$C$7*NAIRA2010_*250)</f>
        <v>3.5793525015549386</v>
      </c>
      <c r="AO52" s="1691">
        <f ca="1">Costs!AO52/('Global assumptions'!$C$7*NAIRA2010_*250)</f>
        <v>3.6062945801168107</v>
      </c>
      <c r="AP52" s="1691">
        <f ca="1">Costs!AP52/('Global assumptions'!$C$7*NAIRA2010_*250)</f>
        <v>3.5794140896877953</v>
      </c>
      <c r="AQ52" s="1691">
        <f ca="1">Costs!AQ52/('Global assumptions'!$C$7*NAIRA2010_*250)</f>
        <v>3.6063561682496617</v>
      </c>
      <c r="AS52" s="1707">
        <f t="shared" ca="1" si="10"/>
        <v>2.7959111447098635</v>
      </c>
      <c r="AT52" s="1707">
        <f t="shared" ca="1" si="14"/>
        <v>18.255167167693365</v>
      </c>
      <c r="AU52" s="675"/>
      <c r="AV52" s="1699">
        <f>IFERROR(VLOOKUP($A52,Cost.FinanceCostTable,5,FALSE),'Global assumptions'!$D$35)</f>
        <v>0</v>
      </c>
      <c r="AW52" s="1690">
        <f>IFERROR(VLOOKUP($A52,Cost.FinanceCostTable,6,FALSE),'Global assumptions'!$E$35)</f>
        <v>5</v>
      </c>
      <c r="AX52" s="675"/>
      <c r="AY52" s="1691">
        <f ca="1">Costs!AY52/('Global assumptions'!$C$7*NAIRA2010_*250)</f>
        <v>0</v>
      </c>
      <c r="AZ52" s="1691">
        <f ca="1">Costs!AZ52/('Global assumptions'!$C$7*NAIRA2010_*250)</f>
        <v>0</v>
      </c>
      <c r="BA52" s="1691">
        <f ca="1">Costs!BA52/('Global assumptions'!$C$7*NAIRA2010_*250)</f>
        <v>1.9796501513228097</v>
      </c>
      <c r="BB52" s="1691">
        <f ca="1">Costs!BB52/('Global assumptions'!$C$7*NAIRA2010_*250)</f>
        <v>1.9648766427308477</v>
      </c>
      <c r="BC52" s="1691">
        <f ca="1">Costs!BC52/('Global assumptions'!$C$7*NAIRA2010_*250)</f>
        <v>1.9796501513228097</v>
      </c>
      <c r="BD52" s="1691">
        <f ca="1">Costs!BD52/('Global assumptions'!$C$7*NAIRA2010_*250)</f>
        <v>1.9648766427308477</v>
      </c>
      <c r="BE52" s="1691">
        <f ca="1">Costs!BE52/('Global assumptions'!$C$7*NAIRA2010_*250)</f>
        <v>1.9796501513228086</v>
      </c>
      <c r="BF52" s="1691">
        <f ca="1">Costs!BF52/('Global assumptions'!$C$7*NAIRA2010_*250)</f>
        <v>1.9648766427308497</v>
      </c>
      <c r="BG52" s="1691">
        <f ca="1">Costs!BG52/('Global assumptions'!$C$7*NAIRA2010_*250)</f>
        <v>1.9796501513228071</v>
      </c>
      <c r="BH52" s="675"/>
      <c r="BI52" s="1691">
        <f ca="1">Costs!BI52/('Global assumptions'!$C$7*NAIRA2010_*250)</f>
        <v>0</v>
      </c>
      <c r="BJ52" s="1691">
        <f ca="1">Costs!BJ52/('Global assumptions'!$C$7*NAIRA2010_*250)</f>
        <v>0</v>
      </c>
      <c r="BK52" s="1691">
        <f ca="1">Costs!BK52/('Global assumptions'!$C$7*NAIRA2010_*250)</f>
        <v>1.9796501513228097</v>
      </c>
      <c r="BL52" s="1691">
        <f ca="1">Costs!BL52/('Global assumptions'!$C$7*NAIRA2010_*250)</f>
        <v>3.9445267940536572</v>
      </c>
      <c r="BM52" s="1691">
        <f ca="1">Costs!BM52/('Global assumptions'!$C$7*NAIRA2010_*250)</f>
        <v>5.924176945376467</v>
      </c>
      <c r="BN52" s="1691">
        <f ca="1">Costs!BN52/('Global assumptions'!$C$7*NAIRA2010_*250)</f>
        <v>5.9094034367845056</v>
      </c>
      <c r="BO52" s="1691">
        <f ca="1">Costs!BO52/('Global assumptions'!$C$7*NAIRA2010_*250)</f>
        <v>5.924176945376467</v>
      </c>
      <c r="BP52" s="1691">
        <f ca="1">Costs!BP52/('Global assumptions'!$C$7*NAIRA2010_*250)</f>
        <v>5.9094034367845056</v>
      </c>
      <c r="BQ52" s="1691">
        <f ca="1">Costs!BQ52/('Global assumptions'!$C$7*NAIRA2010_*250)</f>
        <v>5.9241769453764661</v>
      </c>
      <c r="BR52" s="675"/>
      <c r="BS52" s="1691">
        <f ca="1">Costs!BS52/('Global assumptions'!$C$7*NAIRA2010_*250)</f>
        <v>4.3826761206465621E-5</v>
      </c>
      <c r="BT52" s="1691">
        <f ca="1">Costs!BT52/('Global assumptions'!$C$7*NAIRA2010_*250)</f>
        <v>4.3826761206465621E-5</v>
      </c>
      <c r="BU52" s="1691">
        <f ca="1">Costs!BU52/('Global assumptions'!$C$7*NAIRA2010_*250)</f>
        <v>1.979724887484025</v>
      </c>
      <c r="BV52" s="1691">
        <f ca="1">Costs!BV52/('Global assumptions'!$C$7*NAIRA2010_*250)</f>
        <v>3.9446322089477168</v>
      </c>
      <c r="BW52" s="1691">
        <f ca="1">Costs!BW52/('Global assumptions'!$C$7*NAIRA2010_*250)</f>
        <v>5.9243132696705363</v>
      </c>
      <c r="BX52" s="1691">
        <f ca="1">Costs!BX52/('Global assumptions'!$C$7*NAIRA2010_*250)</f>
        <v>5.9095704398114188</v>
      </c>
      <c r="BY52" s="1691">
        <f ca="1">Costs!BY52/('Global assumptions'!$C$7*NAIRA2010_*250)</f>
        <v>5.9243748578033886</v>
      </c>
      <c r="BZ52" s="1691">
        <f ca="1">Costs!BZ52/('Global assumptions'!$C$7*NAIRA2010_*250)</f>
        <v>5.909632027944272</v>
      </c>
      <c r="CA52" s="1691">
        <f ca="1">Costs!CA52/('Global assumptions'!$C$7*NAIRA2010_*250)</f>
        <v>5.9244364459362409</v>
      </c>
      <c r="CC52" s="1707">
        <f t="shared" ca="1" si="11"/>
        <v>3.9463079767911129</v>
      </c>
      <c r="CD52" s="1707">
        <f t="shared" ca="1" si="15"/>
        <v>20.089774739450895</v>
      </c>
      <c r="CF52" s="1691">
        <f ca="1">Costs!CF52/('Global assumptions'!$C$7*NAIRA2010_*250)</f>
        <v>0</v>
      </c>
      <c r="CG52" s="1691">
        <f ca="1">Costs!CG52/('Global assumptions'!$C$7*NAIRA2010_*250)</f>
        <v>0</v>
      </c>
      <c r="CH52" s="1691">
        <f ca="1">Costs!CH52/('Global assumptions'!$C$7*NAIRA2010_*250)</f>
        <v>-1.6264465163670816</v>
      </c>
      <c r="CI52" s="1691">
        <f ca="1">Costs!CI52/('Global assumptions'!$C$7*NAIRA2010_*250)</f>
        <v>0.36534129552563155</v>
      </c>
      <c r="CJ52" s="1691">
        <f ca="1">Costs!CJ52/('Global assumptions'!$C$7*NAIRA2010_*250)</f>
        <v>2.3180802776865752</v>
      </c>
      <c r="CK52" s="1691">
        <f ca="1">Costs!CK52/('Global assumptions'!$C$7*NAIRA2010_*250)</f>
        <v>2.3302179382564803</v>
      </c>
      <c r="CL52" s="1691">
        <f ca="1">Costs!CL52/('Global assumptions'!$C$7*NAIRA2010_*250)</f>
        <v>2.3180802776865774</v>
      </c>
      <c r="CM52" s="1691">
        <f ca="1">Costs!CM52/('Global assumptions'!$C$7*NAIRA2010_*250)</f>
        <v>2.3302179382564772</v>
      </c>
      <c r="CN52" s="1691">
        <f ca="1">Costs!CN52/('Global assumptions'!$C$7*NAIRA2010_*250)</f>
        <v>2.3180802776865792</v>
      </c>
      <c r="CP52" s="1707">
        <f t="shared" ca="1" si="12"/>
        <v>1.150396832081249</v>
      </c>
      <c r="CQ52" s="1707">
        <f t="shared" ca="1" si="16"/>
        <v>1.8346075717575285</v>
      </c>
      <c r="CR52" s="1426" t="str">
        <f t="shared" ca="1" si="17"/>
        <v>ok</v>
      </c>
    </row>
    <row r="53" spans="1:96" s="2479" customFormat="1" x14ac:dyDescent="0.2">
      <c r="A53" s="1685" t="s">
        <v>2365</v>
      </c>
      <c r="B53" s="1685" t="s">
        <v>2363</v>
      </c>
      <c r="C53" s="1685" t="s">
        <v>4</v>
      </c>
      <c r="E53" s="1691">
        <f ca="1">Costs!E53/('Global assumptions'!$C$7*NAIRA2010_*250)</f>
        <v>0</v>
      </c>
      <c r="F53" s="1691">
        <f ca="1">Costs!F53/('Global assumptions'!$C$7*NAIRA2010_*250)</f>
        <v>0</v>
      </c>
      <c r="G53" s="1691">
        <f ca="1">Costs!G53/('Global assumptions'!$C$7*NAIRA2010_*250)</f>
        <v>0</v>
      </c>
      <c r="H53" s="1691">
        <f ca="1">Costs!H53/('Global assumptions'!$C$7*NAIRA2010_*250)</f>
        <v>3.3972330425417741</v>
      </c>
      <c r="I53" s="1691">
        <f ca="1">Costs!I53/('Global assumptions'!$C$7*NAIRA2010_*250)</f>
        <v>1.6982705205245208</v>
      </c>
      <c r="J53" s="1691">
        <f ca="1">Costs!J53/('Global assumptions'!$C$7*NAIRA2010_*250)</f>
        <v>1.6982705205245545</v>
      </c>
      <c r="K53" s="1691">
        <f ca="1">Costs!K53/('Global assumptions'!$C$7*NAIRA2010_*250)</f>
        <v>1.6982705205245201</v>
      </c>
      <c r="L53" s="1691">
        <f ca="1">Costs!L53/('Global assumptions'!$C$7*NAIRA2010_*250)</f>
        <v>1.6982705205245212</v>
      </c>
      <c r="M53" s="1691">
        <f ca="1">Costs!M53/('Global assumptions'!$C$7*NAIRA2010_*250)</f>
        <v>1.6982705205245201</v>
      </c>
      <c r="N53" s="675"/>
      <c r="O53" s="1691">
        <f ca="1">Costs!O53/('Global assumptions'!$C$7*NAIRA2010_*250)</f>
        <v>1.9683598015535435E-6</v>
      </c>
      <c r="P53" s="1691">
        <f ca="1">Costs!P53/('Global assumptions'!$C$7*NAIRA2010_*250)</f>
        <v>1.9683598015535435E-6</v>
      </c>
      <c r="Q53" s="1691">
        <f ca="1">Costs!Q53/('Global assumptions'!$C$7*NAIRA2010_*250)</f>
        <v>1.9683598015535435E-6</v>
      </c>
      <c r="R53" s="1691">
        <f ca="1">Costs!R53/('Global assumptions'!$C$7*NAIRA2010_*250)</f>
        <v>3.2165986846369312E-5</v>
      </c>
      <c r="S53" s="1691">
        <f ca="1">Costs!S53/('Global assumptions'!$C$7*NAIRA2010_*250)</f>
        <v>4.7261724806587274E-5</v>
      </c>
      <c r="T53" s="1691">
        <f ca="1">Costs!T53/('Global assumptions'!$C$7*NAIRA2010_*250)</f>
        <v>6.2357462766805534E-5</v>
      </c>
      <c r="U53" s="1691">
        <f ca="1">Costs!U53/('Global assumptions'!$C$7*NAIRA2010_*250)</f>
        <v>7.7453200727023495E-5</v>
      </c>
      <c r="V53" s="1691">
        <f ca="1">Costs!V53/('Global assumptions'!$C$7*NAIRA2010_*250)</f>
        <v>9.2548938687241457E-5</v>
      </c>
      <c r="W53" s="1691">
        <f ca="1">Costs!W53/('Global assumptions'!$C$7*NAIRA2010_*250)</f>
        <v>1.0764467664745942E-4</v>
      </c>
      <c r="X53" s="675"/>
      <c r="Y53" s="1691">
        <f ca="1">Costs!Y53/('Global assumptions'!$C$7*NAIRA2010_*250)</f>
        <v>0</v>
      </c>
      <c r="Z53" s="1691">
        <f ca="1">Costs!Z53/('Global assumptions'!$C$7*NAIRA2010_*250)</f>
        <v>0</v>
      </c>
      <c r="AA53" s="1691">
        <f ca="1">Costs!AA53/('Global assumptions'!$C$7*NAIRA2010_*250)</f>
        <v>0</v>
      </c>
      <c r="AB53" s="1691">
        <f ca="1">Costs!AB53/('Global assumptions'!$C$7*NAIRA2010_*250)</f>
        <v>0</v>
      </c>
      <c r="AC53" s="1691">
        <f ca="1">Costs!AC53/('Global assumptions'!$C$7*NAIRA2010_*250)</f>
        <v>0</v>
      </c>
      <c r="AD53" s="1691">
        <f ca="1">Costs!AD53/('Global assumptions'!$C$7*NAIRA2010_*250)</f>
        <v>0</v>
      </c>
      <c r="AE53" s="1691">
        <f ca="1">Costs!AE53/('Global assumptions'!$C$7*NAIRA2010_*250)</f>
        <v>0</v>
      </c>
      <c r="AF53" s="1691">
        <f ca="1">Costs!AF53/('Global assumptions'!$C$7*NAIRA2010_*250)</f>
        <v>0</v>
      </c>
      <c r="AG53" s="1691">
        <f ca="1">Costs!AG53/('Global assumptions'!$C$7*NAIRA2010_*250)</f>
        <v>0</v>
      </c>
      <c r="AH53" s="675"/>
      <c r="AI53" s="1691">
        <f ca="1">Costs!AI53/('Global assumptions'!$C$7*NAIRA2010_*250)</f>
        <v>1.9683598015535435E-6</v>
      </c>
      <c r="AJ53" s="1691">
        <f ca="1">Costs!AJ53/('Global assumptions'!$C$7*NAIRA2010_*250)</f>
        <v>1.9683598015535435E-6</v>
      </c>
      <c r="AK53" s="1691">
        <f ca="1">Costs!AK53/('Global assumptions'!$C$7*NAIRA2010_*250)</f>
        <v>1.9683598015535435E-6</v>
      </c>
      <c r="AL53" s="1691">
        <f ca="1">Costs!AL53/('Global assumptions'!$C$7*NAIRA2010_*250)</f>
        <v>3.3972652085286201</v>
      </c>
      <c r="AM53" s="1691">
        <f ca="1">Costs!AM53/('Global assumptions'!$C$7*NAIRA2010_*250)</f>
        <v>1.6983177822493272</v>
      </c>
      <c r="AN53" s="1691">
        <f ca="1">Costs!AN53/('Global assumptions'!$C$7*NAIRA2010_*250)</f>
        <v>1.6983328779873215</v>
      </c>
      <c r="AO53" s="1691">
        <f ca="1">Costs!AO53/('Global assumptions'!$C$7*NAIRA2010_*250)</f>
        <v>1.6983479737252472</v>
      </c>
      <c r="AP53" s="1691">
        <f ca="1">Costs!AP53/('Global assumptions'!$C$7*NAIRA2010_*250)</f>
        <v>1.6983630694632084</v>
      </c>
      <c r="AQ53" s="1691">
        <f ca="1">Costs!AQ53/('Global assumptions'!$C$7*NAIRA2010_*250)</f>
        <v>1.6983781652011676</v>
      </c>
      <c r="AS53" s="1707">
        <f t="shared" ca="1" si="10"/>
        <v>1.3210012202482553</v>
      </c>
      <c r="AT53" s="1707">
        <f t="shared" ca="1" si="14"/>
        <v>7.380930783423854</v>
      </c>
      <c r="AU53" s="675"/>
      <c r="AV53" s="1699">
        <f>IFERROR(VLOOKUP($A53,Cost.FinanceCostTable,5,FALSE),'Global assumptions'!$D$35)</f>
        <v>0</v>
      </c>
      <c r="AW53" s="1690">
        <f>IFERROR(VLOOKUP($A53,Cost.FinanceCostTable,6,FALSE),'Global assumptions'!$E$35)</f>
        <v>5</v>
      </c>
      <c r="AX53" s="675"/>
      <c r="AY53" s="1691">
        <f ca="1">Costs!AY53/('Global assumptions'!$C$7*NAIRA2010_*250)</f>
        <v>0</v>
      </c>
      <c r="AZ53" s="1691">
        <f ca="1">Costs!AZ53/('Global assumptions'!$C$7*NAIRA2010_*250)</f>
        <v>0</v>
      </c>
      <c r="BA53" s="1691">
        <f ca="1">Costs!BA53/('Global assumptions'!$C$7*NAIRA2010_*250)</f>
        <v>0</v>
      </c>
      <c r="BB53" s="1691">
        <f ca="1">Costs!BB53/('Global assumptions'!$C$7*NAIRA2010_*250)</f>
        <v>1.8649896346386634</v>
      </c>
      <c r="BC53" s="1691">
        <f ca="1">Costs!BC53/('Global assumptions'!$C$7*NAIRA2010_*250)</f>
        <v>0.93230487220886393</v>
      </c>
      <c r="BD53" s="1691">
        <f ca="1">Costs!BD53/('Global assumptions'!$C$7*NAIRA2010_*250)</f>
        <v>0.93230487220888247</v>
      </c>
      <c r="BE53" s="1691">
        <f ca="1">Costs!BE53/('Global assumptions'!$C$7*NAIRA2010_*250)</f>
        <v>0.93230487220886371</v>
      </c>
      <c r="BF53" s="1691">
        <f ca="1">Costs!BF53/('Global assumptions'!$C$7*NAIRA2010_*250)</f>
        <v>0.93230487220886415</v>
      </c>
      <c r="BG53" s="1691">
        <f ca="1">Costs!BG53/('Global assumptions'!$C$7*NAIRA2010_*250)</f>
        <v>0.93230487220886371</v>
      </c>
      <c r="BH53" s="675"/>
      <c r="BI53" s="1691">
        <f ca="1">Costs!BI53/('Global assumptions'!$C$7*NAIRA2010_*250)</f>
        <v>0</v>
      </c>
      <c r="BJ53" s="1691">
        <f ca="1">Costs!BJ53/('Global assumptions'!$C$7*NAIRA2010_*250)</f>
        <v>0</v>
      </c>
      <c r="BK53" s="1691">
        <f ca="1">Costs!BK53/('Global assumptions'!$C$7*NAIRA2010_*250)</f>
        <v>0</v>
      </c>
      <c r="BL53" s="1691">
        <f ca="1">Costs!BL53/('Global assumptions'!$C$7*NAIRA2010_*250)</f>
        <v>1.8649896346386634</v>
      </c>
      <c r="BM53" s="1691">
        <f ca="1">Costs!BM53/('Global assumptions'!$C$7*NAIRA2010_*250)</f>
        <v>2.7972945068475275</v>
      </c>
      <c r="BN53" s="1691">
        <f ca="1">Costs!BN53/('Global assumptions'!$C$7*NAIRA2010_*250)</f>
        <v>3.7295993790564097</v>
      </c>
      <c r="BO53" s="1691">
        <f ca="1">Costs!BO53/('Global assumptions'!$C$7*NAIRA2010_*250)</f>
        <v>2.7969146166266103</v>
      </c>
      <c r="BP53" s="1691">
        <f ca="1">Costs!BP53/('Global assumptions'!$C$7*NAIRA2010_*250)</f>
        <v>2.7969146166266103</v>
      </c>
      <c r="BQ53" s="1691">
        <f ca="1">Costs!BQ53/('Global assumptions'!$C$7*NAIRA2010_*250)</f>
        <v>2.7969146166265912</v>
      </c>
      <c r="BR53" s="675"/>
      <c r="BS53" s="1691">
        <f ca="1">Costs!BS53/('Global assumptions'!$C$7*NAIRA2010_*250)</f>
        <v>1.9683598015535435E-6</v>
      </c>
      <c r="BT53" s="1691">
        <f ca="1">Costs!BT53/('Global assumptions'!$C$7*NAIRA2010_*250)</f>
        <v>1.9683598015535435E-6</v>
      </c>
      <c r="BU53" s="1691">
        <f ca="1">Costs!BU53/('Global assumptions'!$C$7*NAIRA2010_*250)</f>
        <v>1.9683598015535435E-6</v>
      </c>
      <c r="BV53" s="1691">
        <f ca="1">Costs!BV53/('Global assumptions'!$C$7*NAIRA2010_*250)</f>
        <v>1.8650218006255097</v>
      </c>
      <c r="BW53" s="1691">
        <f ca="1">Costs!BW53/('Global assumptions'!$C$7*NAIRA2010_*250)</f>
        <v>2.7973417685723341</v>
      </c>
      <c r="BX53" s="1691">
        <f ca="1">Costs!BX53/('Global assumptions'!$C$7*NAIRA2010_*250)</f>
        <v>3.7296617365191764</v>
      </c>
      <c r="BY53" s="1691">
        <f ca="1">Costs!BY53/('Global assumptions'!$C$7*NAIRA2010_*250)</f>
        <v>2.7969920698273372</v>
      </c>
      <c r="BZ53" s="1691">
        <f ca="1">Costs!BZ53/('Global assumptions'!$C$7*NAIRA2010_*250)</f>
        <v>2.7970071655652973</v>
      </c>
      <c r="CA53" s="1691">
        <f ca="1">Costs!CA53/('Global assumptions'!$C$7*NAIRA2010_*250)</f>
        <v>2.7970222613032387</v>
      </c>
      <c r="CC53" s="1707">
        <f t="shared" ca="1" si="11"/>
        <v>1.8647836341658106</v>
      </c>
      <c r="CD53" s="1707">
        <f t="shared" ca="1" si="15"/>
        <v>8.1217407373138446</v>
      </c>
      <c r="CF53" s="1691">
        <f ca="1">Costs!CF53/('Global assumptions'!$C$7*NAIRA2010_*250)</f>
        <v>0</v>
      </c>
      <c r="CG53" s="1691">
        <f ca="1">Costs!CG53/('Global assumptions'!$C$7*NAIRA2010_*250)</f>
        <v>0</v>
      </c>
      <c r="CH53" s="1691">
        <f ca="1">Costs!CH53/('Global assumptions'!$C$7*NAIRA2010_*250)</f>
        <v>0</v>
      </c>
      <c r="CI53" s="1691">
        <f ca="1">Costs!CI53/('Global assumptions'!$C$7*NAIRA2010_*250)</f>
        <v>-1.5322434079031106</v>
      </c>
      <c r="CJ53" s="1691">
        <f ca="1">Costs!CJ53/('Global assumptions'!$C$7*NAIRA2010_*250)</f>
        <v>1.0990239863230065</v>
      </c>
      <c r="CK53" s="1691">
        <f ca="1">Costs!CK53/('Global assumptions'!$C$7*NAIRA2010_*250)</f>
        <v>2.0313288585318552</v>
      </c>
      <c r="CL53" s="1691">
        <f ca="1">Costs!CL53/('Global assumptions'!$C$7*NAIRA2010_*250)</f>
        <v>1.09864409610209</v>
      </c>
      <c r="CM53" s="1691">
        <f ca="1">Costs!CM53/('Global assumptions'!$C$7*NAIRA2010_*250)</f>
        <v>1.0986440961020889</v>
      </c>
      <c r="CN53" s="1691">
        <f ca="1">Costs!CN53/('Global assumptions'!$C$7*NAIRA2010_*250)</f>
        <v>1.0986440961020711</v>
      </c>
      <c r="CP53" s="1707">
        <f t="shared" ca="1" si="12"/>
        <v>0.54378241391755577</v>
      </c>
      <c r="CQ53" s="1707">
        <f t="shared" ca="1" si="16"/>
        <v>0.74080995388998871</v>
      </c>
      <c r="CR53" s="1426" t="str">
        <f t="shared" ca="1" si="17"/>
        <v>ok</v>
      </c>
    </row>
    <row r="54" spans="1:96" s="2479" customFormat="1" x14ac:dyDescent="0.2">
      <c r="A54" s="1685" t="s">
        <v>2364</v>
      </c>
      <c r="B54" s="1685" t="s">
        <v>2404</v>
      </c>
      <c r="C54" s="1685" t="s">
        <v>4</v>
      </c>
      <c r="E54" s="1691">
        <f ca="1">Costs!E54/('Global assumptions'!$C$7*NAIRA2010_*250)</f>
        <v>0</v>
      </c>
      <c r="F54" s="1691">
        <f ca="1">Costs!F54/('Global assumptions'!$C$7*NAIRA2010_*250)</f>
        <v>0</v>
      </c>
      <c r="G54" s="1691">
        <f ca="1">Costs!G54/('Global assumptions'!$C$7*NAIRA2010_*250)</f>
        <v>15.796856298014669</v>
      </c>
      <c r="H54" s="1691">
        <f ca="1">Costs!H54/('Global assumptions'!$C$7*NAIRA2010_*250)</f>
        <v>26.534412793598747</v>
      </c>
      <c r="I54" s="1691">
        <f ca="1">Costs!I54/('Global assumptions'!$C$7*NAIRA2010_*250)</f>
        <v>39.963086205369294</v>
      </c>
      <c r="J54" s="1691">
        <f ca="1">Costs!J54/('Global assumptions'!$C$7*NAIRA2010_*250)</f>
        <v>66.887710951815109</v>
      </c>
      <c r="K54" s="1691">
        <f ca="1">Costs!K54/('Global assumptions'!$C$7*NAIRA2010_*250)</f>
        <v>39.976541789950268</v>
      </c>
      <c r="L54" s="1691">
        <f ca="1">Costs!L54/('Global assumptions'!$C$7*NAIRA2010_*250)</f>
        <v>69.228982668897316</v>
      </c>
      <c r="M54" s="1691">
        <f ca="1">Costs!M54/('Global assumptions'!$C$7*NAIRA2010_*250)</f>
        <v>95.763395462496078</v>
      </c>
      <c r="N54" s="675"/>
      <c r="O54" s="1691">
        <f ca="1">Costs!O54/('Global assumptions'!$C$7*NAIRA2010_*250)</f>
        <v>0</v>
      </c>
      <c r="P54" s="1691">
        <f ca="1">Costs!P54/('Global assumptions'!$C$7*NAIRA2010_*250)</f>
        <v>0</v>
      </c>
      <c r="Q54" s="1691">
        <f ca="1">Costs!Q54/('Global assumptions'!$C$7*NAIRA2010_*250)</f>
        <v>4.5133875137184768E-4</v>
      </c>
      <c r="R54" s="1691">
        <f ca="1">Costs!R54/('Global assumptions'!$C$7*NAIRA2010_*250)</f>
        <v>1.2094648311889548E-3</v>
      </c>
      <c r="S54" s="1691">
        <f ca="1">Costs!S54/('Global assumptions'!$C$7*NAIRA2010_*250)</f>
        <v>2.3512672941995061E-3</v>
      </c>
      <c r="T54" s="1691">
        <f ca="1">Costs!T54/('Global assumptions'!$C$7*NAIRA2010_*250)</f>
        <v>4.2623447499656525E-3</v>
      </c>
      <c r="U54" s="1691">
        <f ca="1">Costs!U54/('Global assumptions'!$C$7*NAIRA2010_*250)</f>
        <v>5.4045316582499456E-3</v>
      </c>
      <c r="V54" s="1691">
        <f ca="1">Costs!V54/('Global assumptions'!$C$7*NAIRA2010_*250)</f>
        <v>6.9311638402751634E-3</v>
      </c>
      <c r="W54" s="1691">
        <f ca="1">Costs!W54/('Global assumptions'!$C$7*NAIRA2010_*250)</f>
        <v>8.4577960223003821E-3</v>
      </c>
      <c r="X54" s="675"/>
      <c r="Y54" s="1691">
        <f ca="1">Costs!Y54/('Global assumptions'!$C$7*NAIRA2010_*250)</f>
        <v>0</v>
      </c>
      <c r="Z54" s="1691">
        <f ca="1">Costs!Z54/('Global assumptions'!$C$7*NAIRA2010_*250)</f>
        <v>0</v>
      </c>
      <c r="AA54" s="1691">
        <f ca="1">Costs!AA54/('Global assumptions'!$C$7*NAIRA2010_*250)</f>
        <v>0</v>
      </c>
      <c r="AB54" s="1691">
        <f ca="1">Costs!AB54/('Global assumptions'!$C$7*NAIRA2010_*250)</f>
        <v>0</v>
      </c>
      <c r="AC54" s="1691">
        <f ca="1">Costs!AC54/('Global assumptions'!$C$7*NAIRA2010_*250)</f>
        <v>0</v>
      </c>
      <c r="AD54" s="1691">
        <f ca="1">Costs!AD54/('Global assumptions'!$C$7*NAIRA2010_*250)</f>
        <v>0</v>
      </c>
      <c r="AE54" s="1691">
        <f ca="1">Costs!AE54/('Global assumptions'!$C$7*NAIRA2010_*250)</f>
        <v>0</v>
      </c>
      <c r="AF54" s="1691">
        <f ca="1">Costs!AF54/('Global assumptions'!$C$7*NAIRA2010_*250)</f>
        <v>0</v>
      </c>
      <c r="AG54" s="1691">
        <f ca="1">Costs!AG54/('Global assumptions'!$C$7*NAIRA2010_*250)</f>
        <v>0</v>
      </c>
      <c r="AH54" s="675"/>
      <c r="AI54" s="1691">
        <f ca="1">Costs!AI54/('Global assumptions'!$C$7*NAIRA2010_*250)</f>
        <v>0</v>
      </c>
      <c r="AJ54" s="1691">
        <f ca="1">Costs!AJ54/('Global assumptions'!$C$7*NAIRA2010_*250)</f>
        <v>0</v>
      </c>
      <c r="AK54" s="1691">
        <f ca="1">Costs!AK54/('Global assumptions'!$C$7*NAIRA2010_*250)</f>
        <v>15.797307636766041</v>
      </c>
      <c r="AL54" s="1691">
        <f ca="1">Costs!AL54/('Global assumptions'!$C$7*NAIRA2010_*250)</f>
        <v>26.535622258429935</v>
      </c>
      <c r="AM54" s="1691">
        <f ca="1">Costs!AM54/('Global assumptions'!$C$7*NAIRA2010_*250)</f>
        <v>39.965437472663496</v>
      </c>
      <c r="AN54" s="1691">
        <f ca="1">Costs!AN54/('Global assumptions'!$C$7*NAIRA2010_*250)</f>
        <v>66.89197329656507</v>
      </c>
      <c r="AO54" s="1691">
        <f ca="1">Costs!AO54/('Global assumptions'!$C$7*NAIRA2010_*250)</f>
        <v>39.981946321608518</v>
      </c>
      <c r="AP54" s="1691">
        <f ca="1">Costs!AP54/('Global assumptions'!$C$7*NAIRA2010_*250)</f>
        <v>69.235913832737594</v>
      </c>
      <c r="AQ54" s="1691">
        <f ca="1">Costs!AQ54/('Global assumptions'!$C$7*NAIRA2010_*250)</f>
        <v>95.771853258518391</v>
      </c>
      <c r="AS54" s="1707">
        <f t="shared" ca="1" si="10"/>
        <v>39.353339341921</v>
      </c>
      <c r="AT54" s="1707">
        <f t="shared" ca="1" si="14"/>
        <v>171.77700634992055</v>
      </c>
      <c r="AU54" s="675"/>
      <c r="AV54" s="1699">
        <f>IFERROR(VLOOKUP($A54,Cost.FinanceCostTable,5,FALSE),'Global assumptions'!$D$35)</f>
        <v>0</v>
      </c>
      <c r="AW54" s="1690">
        <f>IFERROR(VLOOKUP($A54,Cost.FinanceCostTable,6,FALSE),'Global assumptions'!$E$35)</f>
        <v>5</v>
      </c>
      <c r="AX54" s="675"/>
      <c r="AY54" s="1691">
        <f ca="1">Costs!AY54/('Global assumptions'!$C$7*NAIRA2010_*250)</f>
        <v>0</v>
      </c>
      <c r="AZ54" s="1691">
        <f ca="1">Costs!AZ54/('Global assumptions'!$C$7*NAIRA2010_*250)</f>
        <v>0</v>
      </c>
      <c r="BA54" s="1691">
        <f ca="1">Costs!BA54/('Global assumptions'!$C$7*NAIRA2010_*250)</f>
        <v>8.6720495434812612</v>
      </c>
      <c r="BB54" s="1691">
        <f ca="1">Costs!BB54/('Global assumptions'!$C$7*NAIRA2010_*250)</f>
        <v>14.566679471673805</v>
      </c>
      <c r="BC54" s="1691">
        <f ca="1">Costs!BC54/('Global assumptions'!$C$7*NAIRA2010_*250)</f>
        <v>21.93866025906247</v>
      </c>
      <c r="BD54" s="1691">
        <f ca="1">Costs!BD54/('Global assumptions'!$C$7*NAIRA2010_*250)</f>
        <v>36.719555605319719</v>
      </c>
      <c r="BE54" s="1691">
        <f ca="1">Costs!BE54/('Global assumptions'!$C$7*NAIRA2010_*250)</f>
        <v>21.94604701335847</v>
      </c>
      <c r="BF54" s="1691">
        <f ca="1">Costs!BF54/('Global assumptions'!$C$7*NAIRA2010_*250)</f>
        <v>38.004850852820333</v>
      </c>
      <c r="BG54" s="1691">
        <f ca="1">Costs!BG54/('Global assumptions'!$C$7*NAIRA2010_*250)</f>
        <v>52.571530324494155</v>
      </c>
      <c r="BH54" s="675"/>
      <c r="BI54" s="1691">
        <f ca="1">Costs!BI54/('Global assumptions'!$C$7*NAIRA2010_*250)</f>
        <v>0</v>
      </c>
      <c r="BJ54" s="1691">
        <f ca="1">Costs!BJ54/('Global assumptions'!$C$7*NAIRA2010_*250)</f>
        <v>0</v>
      </c>
      <c r="BK54" s="1691">
        <f ca="1">Costs!BK54/('Global assumptions'!$C$7*NAIRA2010_*250)</f>
        <v>8.6720495434812612</v>
      </c>
      <c r="BL54" s="1691">
        <f ca="1">Costs!BL54/('Global assumptions'!$C$7*NAIRA2010_*250)</f>
        <v>23.238729015155066</v>
      </c>
      <c r="BM54" s="1691">
        <f ca="1">Costs!BM54/('Global assumptions'!$C$7*NAIRA2010_*250)</f>
        <v>45.177389274217532</v>
      </c>
      <c r="BN54" s="1691">
        <f ca="1">Costs!BN54/('Global assumptions'!$C$7*NAIRA2010_*250)</f>
        <v>73.224895336056008</v>
      </c>
      <c r="BO54" s="1691">
        <f ca="1">Costs!BO54/('Global assumptions'!$C$7*NAIRA2010_*250)</f>
        <v>80.604262877740652</v>
      </c>
      <c r="BP54" s="1691">
        <f ca="1">Costs!BP54/('Global assumptions'!$C$7*NAIRA2010_*250)</f>
        <v>96.670453471498533</v>
      </c>
      <c r="BQ54" s="1691">
        <f ca="1">Costs!BQ54/('Global assumptions'!$C$7*NAIRA2010_*250)</f>
        <v>112.52242819067295</v>
      </c>
      <c r="BR54" s="675"/>
      <c r="BS54" s="1691">
        <f ca="1">Costs!BS54/('Global assumptions'!$C$7*NAIRA2010_*250)</f>
        <v>0</v>
      </c>
      <c r="BT54" s="1691">
        <f ca="1">Costs!BT54/('Global assumptions'!$C$7*NAIRA2010_*250)</f>
        <v>0</v>
      </c>
      <c r="BU54" s="1691">
        <f ca="1">Costs!BU54/('Global assumptions'!$C$7*NAIRA2010_*250)</f>
        <v>8.672500882232633</v>
      </c>
      <c r="BV54" s="1691">
        <f ca="1">Costs!BV54/('Global assumptions'!$C$7*NAIRA2010_*250)</f>
        <v>23.239938479986254</v>
      </c>
      <c r="BW54" s="1691">
        <f ca="1">Costs!BW54/('Global assumptions'!$C$7*NAIRA2010_*250)</f>
        <v>45.179740541511727</v>
      </c>
      <c r="BX54" s="1691">
        <f ca="1">Costs!BX54/('Global assumptions'!$C$7*NAIRA2010_*250)</f>
        <v>73.229157680805969</v>
      </c>
      <c r="BY54" s="1691">
        <f ca="1">Costs!BY54/('Global assumptions'!$C$7*NAIRA2010_*250)</f>
        <v>80.609667409398909</v>
      </c>
      <c r="BZ54" s="1691">
        <f ca="1">Costs!BZ54/('Global assumptions'!$C$7*NAIRA2010_*250)</f>
        <v>96.677384635338797</v>
      </c>
      <c r="CA54" s="1691">
        <f ca="1">Costs!CA54/('Global assumptions'!$C$7*NAIRA2010_*250)</f>
        <v>112.53088598669525</v>
      </c>
      <c r="CC54" s="1707">
        <f t="shared" ca="1" si="11"/>
        <v>48.904363957329949</v>
      </c>
      <c r="CD54" s="1707">
        <f t="shared" ca="1" si="15"/>
        <v>182.8951238976839</v>
      </c>
      <c r="CF54" s="1691">
        <f ca="1">Costs!CF54/('Global assumptions'!$C$7*NAIRA2010_*250)</f>
        <v>0</v>
      </c>
      <c r="CG54" s="1691">
        <f ca="1">Costs!CG54/('Global assumptions'!$C$7*NAIRA2010_*250)</f>
        <v>0</v>
      </c>
      <c r="CH54" s="1691">
        <f ca="1">Costs!CH54/('Global assumptions'!$C$7*NAIRA2010_*250)</f>
        <v>-7.1248067545334086</v>
      </c>
      <c r="CI54" s="1691">
        <f ca="1">Costs!CI54/('Global assumptions'!$C$7*NAIRA2010_*250)</f>
        <v>-3.2956837784436805</v>
      </c>
      <c r="CJ54" s="1691">
        <f ca="1">Costs!CJ54/('Global assumptions'!$C$7*NAIRA2010_*250)</f>
        <v>5.2143030688482321</v>
      </c>
      <c r="CK54" s="1691">
        <f ca="1">Costs!CK54/('Global assumptions'!$C$7*NAIRA2010_*250)</f>
        <v>6.3371843842408948</v>
      </c>
      <c r="CL54" s="1691">
        <f ca="1">Costs!CL54/('Global assumptions'!$C$7*NAIRA2010_*250)</f>
        <v>40.627721087790391</v>
      </c>
      <c r="CM54" s="1691">
        <f ca="1">Costs!CM54/('Global assumptions'!$C$7*NAIRA2010_*250)</f>
        <v>27.441470802601216</v>
      </c>
      <c r="CN54" s="1691">
        <f ca="1">Costs!CN54/('Global assumptions'!$C$7*NAIRA2010_*250)</f>
        <v>16.759032728176869</v>
      </c>
      <c r="CP54" s="1707">
        <f t="shared" ca="1" si="12"/>
        <v>9.5510246154089451</v>
      </c>
      <c r="CQ54" s="1707">
        <f t="shared" ca="1" si="16"/>
        <v>11.118117547763305</v>
      </c>
      <c r="CR54" s="1426" t="str">
        <f t="shared" ca="1" si="17"/>
        <v>ok</v>
      </c>
    </row>
    <row r="55" spans="1:96" s="2479" customFormat="1" x14ac:dyDescent="0.2">
      <c r="A55" s="1685" t="s">
        <v>2376</v>
      </c>
      <c r="B55" s="1685" t="s">
        <v>1192</v>
      </c>
      <c r="C55" s="1685" t="s">
        <v>4</v>
      </c>
      <c r="E55" s="1691">
        <f ca="1">Costs!E55/('Global assumptions'!$C$7*NAIRA2010_*250)</f>
        <v>0</v>
      </c>
      <c r="F55" s="1691">
        <f ca="1">Costs!F55/('Global assumptions'!$C$7*NAIRA2010_*250)</f>
        <v>0</v>
      </c>
      <c r="G55" s="1691">
        <f ca="1">Costs!G55/('Global assumptions'!$C$7*NAIRA2010_*250)</f>
        <v>21.951825130606899</v>
      </c>
      <c r="H55" s="1691">
        <f ca="1">Costs!H55/('Global assumptions'!$C$7*NAIRA2010_*250)</f>
        <v>21.990269657980999</v>
      </c>
      <c r="I55" s="1691">
        <f ca="1">Costs!I55/('Global assumptions'!$C$7*NAIRA2010_*250)</f>
        <v>21.951825130606906</v>
      </c>
      <c r="J55" s="1691">
        <f ca="1">Costs!J55/('Global assumptions'!$C$7*NAIRA2010_*250)</f>
        <v>21.990269657980992</v>
      </c>
      <c r="K55" s="1691">
        <f ca="1">Costs!K55/('Global assumptions'!$C$7*NAIRA2010_*250)</f>
        <v>21.951825130606899</v>
      </c>
      <c r="L55" s="1691">
        <f ca="1">Costs!L55/('Global assumptions'!$C$7*NAIRA2010_*250)</f>
        <v>43.942094788587902</v>
      </c>
      <c r="M55" s="1691">
        <f ca="1">Costs!M55/('Global assumptions'!$C$7*NAIRA2010_*250)</f>
        <v>65.893919919194786</v>
      </c>
      <c r="N55" s="675"/>
      <c r="O55" s="1691">
        <f ca="1">Costs!O55/('Global assumptions'!$C$7*NAIRA2010_*250)</f>
        <v>0</v>
      </c>
      <c r="P55" s="1691">
        <f ca="1">Costs!P55/('Global assumptions'!$C$7*NAIRA2010_*250)</f>
        <v>0</v>
      </c>
      <c r="Q55" s="1691">
        <f ca="1">Costs!Q55/('Global assumptions'!$C$7*NAIRA2010_*250)</f>
        <v>7.6831387957124154E-4</v>
      </c>
      <c r="R55" s="1691">
        <f ca="1">Costs!R55/('Global assumptions'!$C$7*NAIRA2010_*250)</f>
        <v>1.5379733176005765E-3</v>
      </c>
      <c r="S55" s="1691">
        <f ca="1">Costs!S55/('Global assumptions'!$C$7*NAIRA2010_*250)</f>
        <v>2.3062871971718181E-3</v>
      </c>
      <c r="T55" s="1691">
        <f ca="1">Costs!T55/('Global assumptions'!$C$7*NAIRA2010_*250)</f>
        <v>3.0759466352011529E-3</v>
      </c>
      <c r="U55" s="1691">
        <f ca="1">Costs!U55/('Global assumptions'!$C$7*NAIRA2010_*250)</f>
        <v>3.8442605147723944E-3</v>
      </c>
      <c r="V55" s="1691">
        <f ca="1">Costs!V55/('Global assumptions'!$C$7*NAIRA2010_*250)</f>
        <v>4.6139199528017292E-3</v>
      </c>
      <c r="W55" s="1691">
        <f ca="1">Costs!W55/('Global assumptions'!$C$7*NAIRA2010_*250)</f>
        <v>5.3822338323729711E-3</v>
      </c>
      <c r="X55" s="675"/>
      <c r="Y55" s="1691">
        <f ca="1">Costs!Y55/('Global assumptions'!$C$7*NAIRA2010_*250)</f>
        <v>0</v>
      </c>
      <c r="Z55" s="1691">
        <f ca="1">Costs!Z55/('Global assumptions'!$C$7*NAIRA2010_*250)</f>
        <v>0</v>
      </c>
      <c r="AA55" s="1691">
        <f ca="1">Costs!AA55/('Global assumptions'!$C$7*NAIRA2010_*250)</f>
        <v>0</v>
      </c>
      <c r="AB55" s="1691">
        <f ca="1">Costs!AB55/('Global assumptions'!$C$7*NAIRA2010_*250)</f>
        <v>0</v>
      </c>
      <c r="AC55" s="1691">
        <f ca="1">Costs!AC55/('Global assumptions'!$C$7*NAIRA2010_*250)</f>
        <v>0</v>
      </c>
      <c r="AD55" s="1691">
        <f ca="1">Costs!AD55/('Global assumptions'!$C$7*NAIRA2010_*250)</f>
        <v>0</v>
      </c>
      <c r="AE55" s="1691">
        <f ca="1">Costs!AE55/('Global assumptions'!$C$7*NAIRA2010_*250)</f>
        <v>0</v>
      </c>
      <c r="AF55" s="1691">
        <f ca="1">Costs!AF55/('Global assumptions'!$C$7*NAIRA2010_*250)</f>
        <v>0</v>
      </c>
      <c r="AG55" s="1691">
        <f ca="1">Costs!AG55/('Global assumptions'!$C$7*NAIRA2010_*250)</f>
        <v>0</v>
      </c>
      <c r="AH55" s="675"/>
      <c r="AI55" s="1691">
        <f ca="1">Costs!AI55/('Global assumptions'!$C$7*NAIRA2010_*250)</f>
        <v>0</v>
      </c>
      <c r="AJ55" s="1691">
        <f ca="1">Costs!AJ55/('Global assumptions'!$C$7*NAIRA2010_*250)</f>
        <v>0</v>
      </c>
      <c r="AK55" s="1691">
        <f ca="1">Costs!AK55/('Global assumptions'!$C$7*NAIRA2010_*250)</f>
        <v>21.952593444486471</v>
      </c>
      <c r="AL55" s="1691">
        <f ca="1">Costs!AL55/('Global assumptions'!$C$7*NAIRA2010_*250)</f>
        <v>21.991807631298599</v>
      </c>
      <c r="AM55" s="1691">
        <f ca="1">Costs!AM55/('Global assumptions'!$C$7*NAIRA2010_*250)</f>
        <v>21.954131417804078</v>
      </c>
      <c r="AN55" s="1691">
        <f ca="1">Costs!AN55/('Global assumptions'!$C$7*NAIRA2010_*250)</f>
        <v>21.993345604616195</v>
      </c>
      <c r="AO55" s="1691">
        <f ca="1">Costs!AO55/('Global assumptions'!$C$7*NAIRA2010_*250)</f>
        <v>21.95566939112167</v>
      </c>
      <c r="AP55" s="1691">
        <f ca="1">Costs!AP55/('Global assumptions'!$C$7*NAIRA2010_*250)</f>
        <v>43.946708708540704</v>
      </c>
      <c r="AQ55" s="1691">
        <f ca="1">Costs!AQ55/('Global assumptions'!$C$7*NAIRA2010_*250)</f>
        <v>65.899302153027165</v>
      </c>
      <c r="AS55" s="1707">
        <f t="shared" ca="1" si="10"/>
        <v>24.410395372321652</v>
      </c>
      <c r="AT55" s="1707">
        <f t="shared" ca="1" si="14"/>
        <v>126.3123299644167</v>
      </c>
      <c r="AU55" s="675"/>
      <c r="AV55" s="1699">
        <f>IFERROR(VLOOKUP($A55,Cost.FinanceCostTable,5,FALSE),'Global assumptions'!$D$35)</f>
        <v>0</v>
      </c>
      <c r="AW55" s="1690">
        <f>IFERROR(VLOOKUP($A55,Cost.FinanceCostTable,6,FALSE),'Global assumptions'!$E$35)</f>
        <v>5</v>
      </c>
      <c r="AX55" s="675"/>
      <c r="AY55" s="1691">
        <f ca="1">Costs!AY55/('Global assumptions'!$C$7*NAIRA2010_*250)</f>
        <v>0</v>
      </c>
      <c r="AZ55" s="1691">
        <f ca="1">Costs!AZ55/('Global assumptions'!$C$7*NAIRA2010_*250)</f>
        <v>0</v>
      </c>
      <c r="BA55" s="1691">
        <f ca="1">Costs!BA55/('Global assumptions'!$C$7*NAIRA2010_*250)</f>
        <v>12.050962008585543</v>
      </c>
      <c r="BB55" s="1691">
        <f ca="1">Costs!BB55/('Global assumptions'!$C$7*NAIRA2010_*250)</f>
        <v>12.072067020859775</v>
      </c>
      <c r="BC55" s="1691">
        <f ca="1">Costs!BC55/('Global assumptions'!$C$7*NAIRA2010_*250)</f>
        <v>12.050962008585545</v>
      </c>
      <c r="BD55" s="1691">
        <f ca="1">Costs!BD55/('Global assumptions'!$C$7*NAIRA2010_*250)</f>
        <v>12.072067020859775</v>
      </c>
      <c r="BE55" s="1691">
        <f ca="1">Costs!BE55/('Global assumptions'!$C$7*NAIRA2010_*250)</f>
        <v>12.050962008585543</v>
      </c>
      <c r="BF55" s="1691">
        <f ca="1">Costs!BF55/('Global assumptions'!$C$7*NAIRA2010_*250)</f>
        <v>24.123029029445323</v>
      </c>
      <c r="BG55" s="1691">
        <f ca="1">Costs!BG55/('Global assumptions'!$C$7*NAIRA2010_*250)</f>
        <v>36.173991038030856</v>
      </c>
      <c r="BH55" s="675"/>
      <c r="BI55" s="1691">
        <f ca="1">Costs!BI55/('Global assumptions'!$C$7*NAIRA2010_*250)</f>
        <v>0</v>
      </c>
      <c r="BJ55" s="1691">
        <f ca="1">Costs!BJ55/('Global assumptions'!$C$7*NAIRA2010_*250)</f>
        <v>0</v>
      </c>
      <c r="BK55" s="1691">
        <f ca="1">Costs!BK55/('Global assumptions'!$C$7*NAIRA2010_*250)</f>
        <v>12.050962008585543</v>
      </c>
      <c r="BL55" s="1691">
        <f ca="1">Costs!BL55/('Global assumptions'!$C$7*NAIRA2010_*250)</f>
        <v>24.12302902944532</v>
      </c>
      <c r="BM55" s="1691">
        <f ca="1">Costs!BM55/('Global assumptions'!$C$7*NAIRA2010_*250)</f>
        <v>36.173991038030863</v>
      </c>
      <c r="BN55" s="1691">
        <f ca="1">Costs!BN55/('Global assumptions'!$C$7*NAIRA2010_*250)</f>
        <v>36.195096050305096</v>
      </c>
      <c r="BO55" s="1691">
        <f ca="1">Costs!BO55/('Global assumptions'!$C$7*NAIRA2010_*250)</f>
        <v>36.173991038030863</v>
      </c>
      <c r="BP55" s="1691">
        <f ca="1">Costs!BP55/('Global assumptions'!$C$7*NAIRA2010_*250)</f>
        <v>48.24605805889064</v>
      </c>
      <c r="BQ55" s="1691">
        <f ca="1">Costs!BQ55/('Global assumptions'!$C$7*NAIRA2010_*250)</f>
        <v>72.347982076061726</v>
      </c>
      <c r="BR55" s="675"/>
      <c r="BS55" s="1691">
        <f ca="1">Costs!BS55/('Global assumptions'!$C$7*NAIRA2010_*250)</f>
        <v>0</v>
      </c>
      <c r="BT55" s="1691">
        <f ca="1">Costs!BT55/('Global assumptions'!$C$7*NAIRA2010_*250)</f>
        <v>0</v>
      </c>
      <c r="BU55" s="1691">
        <f ca="1">Costs!BU55/('Global assumptions'!$C$7*NAIRA2010_*250)</f>
        <v>12.051730322465115</v>
      </c>
      <c r="BV55" s="1691">
        <f ca="1">Costs!BV55/('Global assumptions'!$C$7*NAIRA2010_*250)</f>
        <v>24.12456700276292</v>
      </c>
      <c r="BW55" s="1691">
        <f ca="1">Costs!BW55/('Global assumptions'!$C$7*NAIRA2010_*250)</f>
        <v>36.176297325228035</v>
      </c>
      <c r="BX55" s="1691">
        <f ca="1">Costs!BX55/('Global assumptions'!$C$7*NAIRA2010_*250)</f>
        <v>36.198171996940296</v>
      </c>
      <c r="BY55" s="1691">
        <f ca="1">Costs!BY55/('Global assumptions'!$C$7*NAIRA2010_*250)</f>
        <v>36.177835298545638</v>
      </c>
      <c r="BZ55" s="1691">
        <f ca="1">Costs!BZ55/('Global assumptions'!$C$7*NAIRA2010_*250)</f>
        <v>48.250671978843442</v>
      </c>
      <c r="CA55" s="1691">
        <f ca="1">Costs!CA55/('Global assumptions'!$C$7*NAIRA2010_*250)</f>
        <v>72.353364309894104</v>
      </c>
      <c r="CC55" s="1707">
        <f t="shared" ca="1" si="11"/>
        <v>29.481404248297729</v>
      </c>
      <c r="CD55" s="1707">
        <f t="shared" ca="1" si="15"/>
        <v>133.41970533392148</v>
      </c>
      <c r="CF55" s="1691">
        <f ca="1">Costs!CF55/('Global assumptions'!$C$7*NAIRA2010_*250)</f>
        <v>0</v>
      </c>
      <c r="CG55" s="1691">
        <f ca="1">Costs!CG55/('Global assumptions'!$C$7*NAIRA2010_*250)</f>
        <v>0</v>
      </c>
      <c r="CH55" s="1691">
        <f ca="1">Costs!CH55/('Global assumptions'!$C$7*NAIRA2010_*250)</f>
        <v>-9.9008631220213559</v>
      </c>
      <c r="CI55" s="1691">
        <f ca="1">Costs!CI55/('Global assumptions'!$C$7*NAIRA2010_*250)</f>
        <v>2.132759371464322</v>
      </c>
      <c r="CJ55" s="1691">
        <f ca="1">Costs!CJ55/('Global assumptions'!$C$7*NAIRA2010_*250)</f>
        <v>14.222165907423959</v>
      </c>
      <c r="CK55" s="1691">
        <f ca="1">Costs!CK55/('Global assumptions'!$C$7*NAIRA2010_*250)</f>
        <v>14.204826392324104</v>
      </c>
      <c r="CL55" s="1691">
        <f ca="1">Costs!CL55/('Global assumptions'!$C$7*NAIRA2010_*250)</f>
        <v>14.222165907423966</v>
      </c>
      <c r="CM55" s="1691">
        <f ca="1">Costs!CM55/('Global assumptions'!$C$7*NAIRA2010_*250)</f>
        <v>4.3039632703027362</v>
      </c>
      <c r="CN55" s="1691">
        <f ca="1">Costs!CN55/('Global assumptions'!$C$7*NAIRA2010_*250)</f>
        <v>6.4540621568669421</v>
      </c>
      <c r="CP55" s="1707">
        <f t="shared" ca="1" si="12"/>
        <v>5.0710088759760747</v>
      </c>
      <c r="CQ55" s="1707">
        <f t="shared" ca="1" si="16"/>
        <v>7.1073753695047799</v>
      </c>
      <c r="CR55" s="1426" t="str">
        <f t="shared" ca="1" si="17"/>
        <v>ok</v>
      </c>
    </row>
    <row r="56" spans="1:96" s="2126" customFormat="1" x14ac:dyDescent="0.2">
      <c r="A56" s="1683" t="s">
        <v>409</v>
      </c>
      <c r="B56" s="1683" t="s">
        <v>2371</v>
      </c>
      <c r="C56" s="1683" t="s">
        <v>4</v>
      </c>
      <c r="E56" s="1689">
        <f ca="1">Costs!E56/('Global assumptions'!$C$7*NAIRA2010_*250)</f>
        <v>0</v>
      </c>
      <c r="F56" s="1689">
        <f ca="1">Costs!F56/('Global assumptions'!$C$7*NAIRA2010_*250)</f>
        <v>1.8645595776434936</v>
      </c>
      <c r="G56" s="1689">
        <f ca="1">Costs!G56/('Global assumptions'!$C$7*NAIRA2010_*250)</f>
        <v>39.866974886934081</v>
      </c>
      <c r="H56" s="1689">
        <f ca="1">Costs!H56/('Global assumptions'!$C$7*NAIRA2010_*250)</f>
        <v>26.372945778627557</v>
      </c>
      <c r="I56" s="1689">
        <f ca="1">Costs!I56/('Global assumptions'!$C$7*NAIRA2010_*250)</f>
        <v>26.334501251253464</v>
      </c>
      <c r="J56" s="1689">
        <f ca="1">Costs!J56/('Global assumptions'!$C$7*NAIRA2010_*250)</f>
        <v>22.566937568592387</v>
      </c>
      <c r="K56" s="1689">
        <f ca="1">Costs!K56/('Global assumptions'!$C$7*NAIRA2010_*250)</f>
        <v>27.161058589796458</v>
      </c>
      <c r="L56" s="1689">
        <f ca="1">Costs!L56/('Global assumptions'!$C$7*NAIRA2010_*250)</f>
        <v>73.102268801837198</v>
      </c>
      <c r="M56" s="1689">
        <f ca="1">Costs!M56/('Global assumptions'!$C$7*NAIRA2010_*250)</f>
        <v>125.27149244848087</v>
      </c>
      <c r="N56" s="675"/>
      <c r="O56" s="1689">
        <f ca="1">Costs!O56/('Global assumptions'!$C$7*NAIRA2010_*250)</f>
        <v>1.1533358212227795E-6</v>
      </c>
      <c r="P56" s="1689">
        <f ca="1">Costs!P56/('Global assumptions'!$C$7*NAIRA2010_*250)</f>
        <v>3.8444527374092652E-5</v>
      </c>
      <c r="Q56" s="1689">
        <f ca="1">Costs!Q56/('Global assumptions'!$C$7*NAIRA2010_*250)</f>
        <v>8.3578402511277417E-4</v>
      </c>
      <c r="R56" s="1689">
        <f ca="1">Costs!R56/('Global assumptions'!$C$7*NAIRA2010_*250)</f>
        <v>1.3632429406853254E-3</v>
      </c>
      <c r="S56" s="1689">
        <f ca="1">Costs!S56/('Global assumptions'!$C$7*NAIRA2010_*250)</f>
        <v>1.8899329657103947E-3</v>
      </c>
      <c r="T56" s="1689">
        <f ca="1">Costs!T56/('Global assumptions'!$C$7*NAIRA2010_*250)</f>
        <v>2.3401183812610197E-3</v>
      </c>
      <c r="U56" s="1689">
        <f ca="1">Costs!U56/('Global assumptions'!$C$7*NAIRA2010_*250)</f>
        <v>2.8448950256828561E-3</v>
      </c>
      <c r="V56" s="1689">
        <f ca="1">Costs!V56/('Global assumptions'!$C$7*NAIRA2010_*250)</f>
        <v>3.471156376606826E-3</v>
      </c>
      <c r="W56" s="1689">
        <f ca="1">Costs!W56/('Global assumptions'!$C$7*NAIRA2010_*250)</f>
        <v>4.6133432848911183E-3</v>
      </c>
      <c r="X56" s="675"/>
      <c r="Y56" s="1689">
        <f ca="1">Costs!Y56/('Global assumptions'!$C$7*NAIRA2010_*250)</f>
        <v>0</v>
      </c>
      <c r="Z56" s="1689">
        <f ca="1">Costs!Z56/('Global assumptions'!$C$7*NAIRA2010_*250)</f>
        <v>0</v>
      </c>
      <c r="AA56" s="1689">
        <f ca="1">Costs!AA56/('Global assumptions'!$C$7*NAIRA2010_*250)</f>
        <v>0</v>
      </c>
      <c r="AB56" s="1689">
        <f ca="1">Costs!AB56/('Global assumptions'!$C$7*NAIRA2010_*250)</f>
        <v>0</v>
      </c>
      <c r="AC56" s="1689">
        <f ca="1">Costs!AC56/('Global assumptions'!$C$7*NAIRA2010_*250)</f>
        <v>0</v>
      </c>
      <c r="AD56" s="1689">
        <f ca="1">Costs!AD56/('Global assumptions'!$C$7*NAIRA2010_*250)</f>
        <v>0</v>
      </c>
      <c r="AE56" s="1689">
        <f ca="1">Costs!AE56/('Global assumptions'!$C$7*NAIRA2010_*250)</f>
        <v>0</v>
      </c>
      <c r="AF56" s="1689">
        <f ca="1">Costs!AF56/('Global assumptions'!$C$7*NAIRA2010_*250)</f>
        <v>0</v>
      </c>
      <c r="AG56" s="1689">
        <f ca="1">Costs!AG56/('Global assumptions'!$C$7*NAIRA2010_*250)</f>
        <v>0</v>
      </c>
      <c r="AH56" s="675"/>
      <c r="AI56" s="1689">
        <f ca="1">Costs!AI56/('Global assumptions'!$C$7*NAIRA2010_*250)</f>
        <v>1.1533358212227795E-6</v>
      </c>
      <c r="AJ56" s="1689">
        <f ca="1">Costs!AJ56/('Global assumptions'!$C$7*NAIRA2010_*250)</f>
        <v>1.8645980221708676</v>
      </c>
      <c r="AK56" s="1689">
        <f ca="1">Costs!AK56/('Global assumptions'!$C$7*NAIRA2010_*250)</f>
        <v>39.867810670959187</v>
      </c>
      <c r="AL56" s="1689">
        <f ca="1">Costs!AL56/('Global assumptions'!$C$7*NAIRA2010_*250)</f>
        <v>26.374309021568244</v>
      </c>
      <c r="AM56" s="1689">
        <f ca="1">Costs!AM56/('Global assumptions'!$C$7*NAIRA2010_*250)</f>
        <v>26.336391184219174</v>
      </c>
      <c r="AN56" s="1689">
        <f ca="1">Costs!AN56/('Global assumptions'!$C$7*NAIRA2010_*250)</f>
        <v>22.569277686973646</v>
      </c>
      <c r="AO56" s="1689">
        <f ca="1">Costs!AO56/('Global assumptions'!$C$7*NAIRA2010_*250)</f>
        <v>27.163903484822139</v>
      </c>
      <c r="AP56" s="1689">
        <f ca="1">Costs!AP56/('Global assumptions'!$C$7*NAIRA2010_*250)</f>
        <v>73.105739958213803</v>
      </c>
      <c r="AQ56" s="1689">
        <f ca="1">Costs!AQ56/('Global assumptions'!$C$7*NAIRA2010_*250)</f>
        <v>125.27610579176576</v>
      </c>
      <c r="AS56" s="1706">
        <f t="shared" ca="1" si="10"/>
        <v>38.062015219336523</v>
      </c>
      <c r="AT56" s="1706">
        <f t="shared" ca="1" si="14"/>
        <v>196.76482365876313</v>
      </c>
      <c r="AU56" s="675"/>
      <c r="AV56" s="1699">
        <f>IFERROR(VLOOKUP($A56,Cost.FinanceCostTable,5,FALSE),'Global assumptions'!$D$35)</f>
        <v>7.0000000000000007E-2</v>
      </c>
      <c r="AW56" s="1690">
        <f>IFERROR(VLOOKUP($A56,Cost.FinanceCostTable,6,FALSE),'Global assumptions'!$E$35)</f>
        <v>25</v>
      </c>
      <c r="AX56" s="675"/>
      <c r="AY56" s="1689">
        <f ca="1">Costs!AY56/('Global assumptions'!$C$7*NAIRA2010_*250)</f>
        <v>0</v>
      </c>
      <c r="AZ56" s="1689">
        <f ca="1">Costs!AZ56/('Global assumptions'!$C$7*NAIRA2010_*250)</f>
        <v>0.79999410873167009</v>
      </c>
      <c r="BA56" s="1689">
        <f ca="1">Costs!BA56/('Global assumptions'!$C$7*NAIRA2010_*250)</f>
        <v>17.105028675355506</v>
      </c>
      <c r="BB56" s="1689">
        <f ca="1">Costs!BB56/('Global assumptions'!$C$7*NAIRA2010_*250)</f>
        <v>11.315380589483004</v>
      </c>
      <c r="BC56" s="1689">
        <f ca="1">Costs!BC56/('Global assumptions'!$C$7*NAIRA2010_*250)</f>
        <v>11.298885865591629</v>
      </c>
      <c r="BD56" s="1689">
        <f ca="1">Costs!BD56/('Global assumptions'!$C$7*NAIRA2010_*250)</f>
        <v>9.6824029242369143</v>
      </c>
      <c r="BE56" s="1689">
        <f ca="1">Costs!BE56/('Global assumptions'!$C$7*NAIRA2010_*250)</f>
        <v>11.653522429256183</v>
      </c>
      <c r="BF56" s="1689">
        <f ca="1">Costs!BF56/('Global assumptions'!$C$7*NAIRA2010_*250)</f>
        <v>31.364717479448892</v>
      </c>
      <c r="BG56" s="1689">
        <f ca="1">Costs!BG56/('Global assumptions'!$C$7*NAIRA2010_*250)</f>
        <v>53.748057800044265</v>
      </c>
      <c r="BH56" s="675"/>
      <c r="BI56" s="1689">
        <f ca="1">Costs!BI56/('Global assumptions'!$C$7*NAIRA2010_*250)</f>
        <v>0</v>
      </c>
      <c r="BJ56" s="1689">
        <f ca="1">Costs!BJ56/('Global assumptions'!$C$7*NAIRA2010_*250)</f>
        <v>0.79999410873167009</v>
      </c>
      <c r="BK56" s="1689">
        <f ca="1">Costs!BK56/('Global assumptions'!$C$7*NAIRA2010_*250)</f>
        <v>17.905022784087173</v>
      </c>
      <c r="BL56" s="1689">
        <f ca="1">Costs!BL56/('Global assumptions'!$C$7*NAIRA2010_*250)</f>
        <v>29.220403373570182</v>
      </c>
      <c r="BM56" s="1689">
        <f ca="1">Costs!BM56/('Global assumptions'!$C$7*NAIRA2010_*250)</f>
        <v>40.519289239161807</v>
      </c>
      <c r="BN56" s="1689">
        <f ca="1">Costs!BN56/('Global assumptions'!$C$7*NAIRA2010_*250)</f>
        <v>50.201692163398725</v>
      </c>
      <c r="BO56" s="1689">
        <f ca="1">Costs!BO56/('Global assumptions'!$C$7*NAIRA2010_*250)</f>
        <v>61.055220483923236</v>
      </c>
      <c r="BP56" s="1689">
        <f ca="1">Costs!BP56/('Global assumptions'!$C$7*NAIRA2010_*250)</f>
        <v>86.613795153608251</v>
      </c>
      <c r="BQ56" s="1689">
        <f ca="1">Costs!BQ56/('Global assumptions'!$C$7*NAIRA2010_*250)</f>
        <v>129.04647236416949</v>
      </c>
      <c r="BR56" s="675"/>
      <c r="BS56" s="1689">
        <f ca="1">Costs!BS56/('Global assumptions'!$C$7*NAIRA2010_*250)</f>
        <v>1.1533358212227795E-6</v>
      </c>
      <c r="BT56" s="1689">
        <f ca="1">Costs!BT56/('Global assumptions'!$C$7*NAIRA2010_*250)</f>
        <v>0.80003255325904421</v>
      </c>
      <c r="BU56" s="1689">
        <f ca="1">Costs!BU56/('Global assumptions'!$C$7*NAIRA2010_*250)</f>
        <v>17.905858568112286</v>
      </c>
      <c r="BV56" s="1689">
        <f ca="1">Costs!BV56/('Global assumptions'!$C$7*NAIRA2010_*250)</f>
        <v>29.221766616510866</v>
      </c>
      <c r="BW56" s="1689">
        <f ca="1">Costs!BW56/('Global assumptions'!$C$7*NAIRA2010_*250)</f>
        <v>40.521179172127518</v>
      </c>
      <c r="BX56" s="1689">
        <f ca="1">Costs!BX56/('Global assumptions'!$C$7*NAIRA2010_*250)</f>
        <v>50.20403228177998</v>
      </c>
      <c r="BY56" s="1689">
        <f ca="1">Costs!BY56/('Global assumptions'!$C$7*NAIRA2010_*250)</f>
        <v>61.058065378948918</v>
      </c>
      <c r="BZ56" s="1689">
        <f ca="1">Costs!BZ56/('Global assumptions'!$C$7*NAIRA2010_*250)</f>
        <v>86.617266309984856</v>
      </c>
      <c r="CA56" s="1689">
        <f ca="1">Costs!CA56/('Global assumptions'!$C$7*NAIRA2010_*250)</f>
        <v>129.0510857074544</v>
      </c>
      <c r="CC56" s="1706">
        <f t="shared" ca="1" si="11"/>
        <v>46.153254193501525</v>
      </c>
      <c r="CD56" s="1706">
        <f t="shared" ca="1" si="15"/>
        <v>191.68363237812105</v>
      </c>
      <c r="CF56" s="1689">
        <f ca="1">Costs!CF56/('Global assumptions'!$C$7*NAIRA2010_*250)</f>
        <v>0</v>
      </c>
      <c r="CG56" s="1689">
        <f ca="1">Costs!CG56/('Global assumptions'!$C$7*NAIRA2010_*250)</f>
        <v>-1.0645654689118234</v>
      </c>
      <c r="CH56" s="1689">
        <f ca="1">Costs!CH56/('Global assumptions'!$C$7*NAIRA2010_*250)</f>
        <v>-21.961952102846904</v>
      </c>
      <c r="CI56" s="1689">
        <f ca="1">Costs!CI56/('Global assumptions'!$C$7*NAIRA2010_*250)</f>
        <v>2.8474575949426248</v>
      </c>
      <c r="CJ56" s="1689">
        <f ca="1">Costs!CJ56/('Global assumptions'!$C$7*NAIRA2010_*250)</f>
        <v>14.184787987908342</v>
      </c>
      <c r="CK56" s="1689">
        <f ca="1">Costs!CK56/('Global assumptions'!$C$7*NAIRA2010_*250)</f>
        <v>27.634754594806338</v>
      </c>
      <c r="CL56" s="1689">
        <f ca="1">Costs!CL56/('Global assumptions'!$C$7*NAIRA2010_*250)</f>
        <v>33.894161894126782</v>
      </c>
      <c r="CM56" s="1689">
        <f ca="1">Costs!CM56/('Global assumptions'!$C$7*NAIRA2010_*250)</f>
        <v>13.511526351771051</v>
      </c>
      <c r="CN56" s="1689">
        <f ca="1">Costs!CN56/('Global assumptions'!$C$7*NAIRA2010_*250)</f>
        <v>3.7749799156886268</v>
      </c>
      <c r="CP56" s="1706">
        <f t="shared" ca="1" si="12"/>
        <v>8.0912389741650035</v>
      </c>
      <c r="CQ56" s="1706">
        <f t="shared" ca="1" si="16"/>
        <v>-5.0811912806420887</v>
      </c>
      <c r="CR56" s="1426" t="str">
        <f t="shared" ca="1" si="17"/>
        <v>ok</v>
      </c>
    </row>
    <row r="57" spans="1:96" s="2126" customFormat="1" x14ac:dyDescent="0.2">
      <c r="A57" s="1685" t="s">
        <v>400</v>
      </c>
      <c r="B57" s="1685" t="s">
        <v>1390</v>
      </c>
      <c r="C57" s="1685" t="s">
        <v>1189</v>
      </c>
      <c r="E57" s="1691">
        <f ca="1">Costs!E57/('Global assumptions'!$C$7*NAIRA2010_*250)</f>
        <v>20.234232929034381</v>
      </c>
      <c r="F57" s="1691">
        <f ca="1">Costs!F57/('Global assumptions'!$C$7*NAIRA2010_*250)</f>
        <v>31.445027804071795</v>
      </c>
      <c r="G57" s="1691">
        <f ca="1">Costs!G57/('Global assumptions'!$C$7*NAIRA2010_*250)</f>
        <v>40.757289814529976</v>
      </c>
      <c r="H57" s="1691">
        <f ca="1">Costs!H57/('Global assumptions'!$C$7*NAIRA2010_*250)</f>
        <v>32.582508897900638</v>
      </c>
      <c r="I57" s="1691">
        <f ca="1">Costs!I57/('Global assumptions'!$C$7*NAIRA2010_*250)</f>
        <v>37.379702957093706</v>
      </c>
      <c r="J57" s="1691">
        <f ca="1">Costs!J57/('Global assumptions'!$C$7*NAIRA2010_*250)</f>
        <v>39.579939933456188</v>
      </c>
      <c r="K57" s="1691">
        <f ca="1">Costs!K57/('Global assumptions'!$C$7*NAIRA2010_*250)</f>
        <v>42.758473879381391</v>
      </c>
      <c r="L57" s="1691">
        <f ca="1">Costs!L57/('Global assumptions'!$C$7*NAIRA2010_*250)</f>
        <v>43.368679712793572</v>
      </c>
      <c r="M57" s="1691">
        <f ca="1">Costs!M57/('Global assumptions'!$C$7*NAIRA2010_*250)</f>
        <v>30.033704543419752</v>
      </c>
      <c r="N57" s="675"/>
      <c r="O57" s="1691">
        <f ca="1">Costs!O57/('Global assumptions'!$C$7*NAIRA2010_*250)</f>
        <v>68.781267120310289</v>
      </c>
      <c r="P57" s="1691">
        <f ca="1">Costs!P57/('Global assumptions'!$C$7*NAIRA2010_*250)</f>
        <v>78.392459109819583</v>
      </c>
      <c r="Q57" s="1691">
        <f ca="1">Costs!Q57/('Global assumptions'!$C$7*NAIRA2010_*250)</f>
        <v>90.354286636742643</v>
      </c>
      <c r="R57" s="1691">
        <f ca="1">Costs!R57/('Global assumptions'!$C$7*NAIRA2010_*250)</f>
        <v>113.79700635478201</v>
      </c>
      <c r="S57" s="1691">
        <f ca="1">Costs!S57/('Global assumptions'!$C$7*NAIRA2010_*250)</f>
        <v>123.37856536029</v>
      </c>
      <c r="T57" s="1691">
        <f ca="1">Costs!T57/('Global assumptions'!$C$7*NAIRA2010_*250)</f>
        <v>134.94208322044358</v>
      </c>
      <c r="U57" s="1691">
        <f ca="1">Costs!U57/('Global assumptions'!$C$7*NAIRA2010_*250)</f>
        <v>146.16267222607442</v>
      </c>
      <c r="V57" s="1691">
        <f ca="1">Costs!V57/('Global assumptions'!$C$7*NAIRA2010_*250)</f>
        <v>158.15676577443489</v>
      </c>
      <c r="W57" s="1691">
        <f ca="1">Costs!W57/('Global assumptions'!$C$7*NAIRA2010_*250)</f>
        <v>169.62168426191579</v>
      </c>
      <c r="X57" s="675"/>
      <c r="Y57" s="1691">
        <f ca="1">Costs!Y57/('Global assumptions'!$C$7*NAIRA2010_*250)</f>
        <v>0</v>
      </c>
      <c r="Z57" s="1691">
        <f ca="1">Costs!Z57/('Global assumptions'!$C$7*NAIRA2010_*250)</f>
        <v>0</v>
      </c>
      <c r="AA57" s="1691">
        <f ca="1">Costs!AA57/('Global assumptions'!$C$7*NAIRA2010_*250)</f>
        <v>0</v>
      </c>
      <c r="AB57" s="1691">
        <f ca="1">Costs!AB57/('Global assumptions'!$C$7*NAIRA2010_*250)</f>
        <v>0</v>
      </c>
      <c r="AC57" s="1691">
        <f ca="1">Costs!AC57/('Global assumptions'!$C$7*NAIRA2010_*250)</f>
        <v>0</v>
      </c>
      <c r="AD57" s="1691">
        <f ca="1">Costs!AD57/('Global assumptions'!$C$7*NAIRA2010_*250)</f>
        <v>0</v>
      </c>
      <c r="AE57" s="1691">
        <f ca="1">Costs!AE57/('Global assumptions'!$C$7*NAIRA2010_*250)</f>
        <v>0</v>
      </c>
      <c r="AF57" s="1691">
        <f ca="1">Costs!AF57/('Global assumptions'!$C$7*NAIRA2010_*250)</f>
        <v>0</v>
      </c>
      <c r="AG57" s="1691">
        <f ca="1">Costs!AG57/('Global assumptions'!$C$7*NAIRA2010_*250)</f>
        <v>0</v>
      </c>
      <c r="AH57" s="675"/>
      <c r="AI57" s="1691">
        <f ca="1">Costs!AI57/('Global assumptions'!$C$7*NAIRA2010_*250)</f>
        <v>89.015500049344652</v>
      </c>
      <c r="AJ57" s="1691">
        <f ca="1">Costs!AJ57/('Global assumptions'!$C$7*NAIRA2010_*250)</f>
        <v>109.83748691389138</v>
      </c>
      <c r="AK57" s="1691">
        <f ca="1">Costs!AK57/('Global assumptions'!$C$7*NAIRA2010_*250)</f>
        <v>131.11157645127261</v>
      </c>
      <c r="AL57" s="1691">
        <f ca="1">Costs!AL57/('Global assumptions'!$C$7*NAIRA2010_*250)</f>
        <v>146.37951525268264</v>
      </c>
      <c r="AM57" s="1691">
        <f ca="1">Costs!AM57/('Global assumptions'!$C$7*NAIRA2010_*250)</f>
        <v>160.75826831738371</v>
      </c>
      <c r="AN57" s="1691">
        <f ca="1">Costs!AN57/('Global assumptions'!$C$7*NAIRA2010_*250)</f>
        <v>174.5220231538998</v>
      </c>
      <c r="AO57" s="1691">
        <f ca="1">Costs!AO57/('Global assumptions'!$C$7*NAIRA2010_*250)</f>
        <v>188.92114610545579</v>
      </c>
      <c r="AP57" s="1691">
        <f ca="1">Costs!AP57/('Global assumptions'!$C$7*NAIRA2010_*250)</f>
        <v>201.52544548722847</v>
      </c>
      <c r="AQ57" s="1691">
        <f ca="1">Costs!AQ57/('Global assumptions'!$C$7*NAIRA2010_*250)</f>
        <v>199.65538880533552</v>
      </c>
      <c r="AS57" s="1707">
        <f t="shared" ca="1" si="10"/>
        <v>155.74737228183272</v>
      </c>
      <c r="AT57" s="1707">
        <f t="shared" ca="1" si="14"/>
        <v>1204.506344305343</v>
      </c>
      <c r="AU57" s="675"/>
      <c r="AV57" s="1699">
        <f>IFERROR(VLOOKUP($A57,Cost.FinanceCostTable,5,FALSE),'Global assumptions'!$D$35)</f>
        <v>7.0000000000000007E-2</v>
      </c>
      <c r="AW57" s="1690">
        <f>IFERROR(VLOOKUP($A57,Cost.FinanceCostTable,6,FALSE),'Global assumptions'!$E$35)</f>
        <v>30</v>
      </c>
      <c r="AX57" s="675"/>
      <c r="AY57" s="1691">
        <f ca="1">Costs!AY57/('Global assumptions'!$C$7*NAIRA2010_*250)</f>
        <v>4.8918121786709339</v>
      </c>
      <c r="AZ57" s="1691">
        <f ca="1">Costs!AZ57/('Global assumptions'!$C$7*NAIRA2010_*250)</f>
        <v>12.670208495185204</v>
      </c>
      <c r="BA57" s="1691">
        <f ca="1">Costs!BA57/('Global assumptions'!$C$7*NAIRA2010_*250)</f>
        <v>16.422417015065076</v>
      </c>
      <c r="BB57" s="1691">
        <f ca="1">Costs!BB57/('Global assumptions'!$C$7*NAIRA2010_*250)</f>
        <v>13.128536047252959</v>
      </c>
      <c r="BC57" s="1691">
        <f ca="1">Costs!BC57/('Global assumptions'!$C$7*NAIRA2010_*250)</f>
        <v>15.06147912812915</v>
      </c>
      <c r="BD57" s="1691">
        <f ca="1">Costs!BD57/('Global assumptions'!$C$7*NAIRA2010_*250)</f>
        <v>15.948025052115222</v>
      </c>
      <c r="BE57" s="1691">
        <f ca="1">Costs!BE57/('Global assumptions'!$C$7*NAIRA2010_*250)</f>
        <v>17.228758147815686</v>
      </c>
      <c r="BF57" s="1691">
        <f ca="1">Costs!BF57/('Global assumptions'!$C$7*NAIRA2010_*250)</f>
        <v>17.474629615396623</v>
      </c>
      <c r="BG57" s="1691">
        <f ca="1">Costs!BG57/('Global assumptions'!$C$7*NAIRA2010_*250)</f>
        <v>12.101541166347589</v>
      </c>
      <c r="BH57" s="675"/>
      <c r="BI57" s="1691">
        <f ca="1">Costs!BI57/('Global assumptions'!$C$7*NAIRA2010_*250)</f>
        <v>4.8918121786709339</v>
      </c>
      <c r="BJ57" s="1691">
        <f ca="1">Costs!BJ57/('Global assumptions'!$C$7*NAIRA2010_*250)</f>
        <v>17.562020673856136</v>
      </c>
      <c r="BK57" s="1691">
        <f ca="1">Costs!BK57/('Global assumptions'!$C$7*NAIRA2010_*250)</f>
        <v>33.984437688921211</v>
      </c>
      <c r="BL57" s="1691">
        <f ca="1">Costs!BL57/('Global assumptions'!$C$7*NAIRA2010_*250)</f>
        <v>47.112973736174169</v>
      </c>
      <c r="BM57" s="1691">
        <f ca="1">Costs!BM57/('Global assumptions'!$C$7*NAIRA2010_*250)</f>
        <v>62.174452864303319</v>
      </c>
      <c r="BN57" s="1691">
        <f ca="1">Costs!BN57/('Global assumptions'!$C$7*NAIRA2010_*250)</f>
        <v>78.122477916418546</v>
      </c>
      <c r="BO57" s="1691">
        <f ca="1">Costs!BO57/('Global assumptions'!$C$7*NAIRA2010_*250)</f>
        <v>90.459423885563297</v>
      </c>
      <c r="BP57" s="1691">
        <f ca="1">Costs!BP57/('Global assumptions'!$C$7*NAIRA2010_*250)</f>
        <v>110.32532413390388</v>
      </c>
      <c r="BQ57" s="1691">
        <f ca="1">Costs!BQ57/('Global assumptions'!$C$7*NAIRA2010_*250)</f>
        <v>106.00444828518638</v>
      </c>
      <c r="BR57" s="675"/>
      <c r="BS57" s="1691">
        <f ca="1">Costs!BS57/('Global assumptions'!$C$7*NAIRA2010_*250)</f>
        <v>73.673079298981222</v>
      </c>
      <c r="BT57" s="1691">
        <f ca="1">Costs!BT57/('Global assumptions'!$C$7*NAIRA2010_*250)</f>
        <v>95.954479783675723</v>
      </c>
      <c r="BU57" s="1691">
        <f ca="1">Costs!BU57/('Global assumptions'!$C$7*NAIRA2010_*250)</f>
        <v>124.33872432566385</v>
      </c>
      <c r="BV57" s="1691">
        <f ca="1">Costs!BV57/('Global assumptions'!$C$7*NAIRA2010_*250)</f>
        <v>160.90998009095617</v>
      </c>
      <c r="BW57" s="1691">
        <f ca="1">Costs!BW57/('Global assumptions'!$C$7*NAIRA2010_*250)</f>
        <v>185.55301822459333</v>
      </c>
      <c r="BX57" s="1691">
        <f ca="1">Costs!BX57/('Global assumptions'!$C$7*NAIRA2010_*250)</f>
        <v>213.06456113686212</v>
      </c>
      <c r="BY57" s="1691">
        <f ca="1">Costs!BY57/('Global assumptions'!$C$7*NAIRA2010_*250)</f>
        <v>236.62209611163772</v>
      </c>
      <c r="BZ57" s="1691">
        <f ca="1">Costs!BZ57/('Global assumptions'!$C$7*NAIRA2010_*250)</f>
        <v>268.48208990833876</v>
      </c>
      <c r="CA57" s="1691">
        <f ca="1">Costs!CA57/('Global assumptions'!$C$7*NAIRA2010_*250)</f>
        <v>275.62613254710215</v>
      </c>
      <c r="CC57" s="1707">
        <f t="shared" ca="1" si="11"/>
        <v>181.58046238086791</v>
      </c>
      <c r="CD57" s="1707">
        <f t="shared" ca="1" si="15"/>
        <v>1233.0298220378477</v>
      </c>
      <c r="CF57" s="1691">
        <f ca="1">Costs!CF57/('Global assumptions'!$C$7*NAIRA2010_*250)</f>
        <v>-15.342420750363443</v>
      </c>
      <c r="CG57" s="1691">
        <f ca="1">Costs!CG57/('Global assumptions'!$C$7*NAIRA2010_*250)</f>
        <v>-13.883007130215658</v>
      </c>
      <c r="CH57" s="1691">
        <f ca="1">Costs!CH57/('Global assumptions'!$C$7*NAIRA2010_*250)</f>
        <v>-6.7728521256087628</v>
      </c>
      <c r="CI57" s="1691">
        <f ca="1">Costs!CI57/('Global assumptions'!$C$7*NAIRA2010_*250)</f>
        <v>14.530464838273536</v>
      </c>
      <c r="CJ57" s="1691">
        <f ca="1">Costs!CJ57/('Global assumptions'!$C$7*NAIRA2010_*250)</f>
        <v>24.794749907209617</v>
      </c>
      <c r="CK57" s="1691">
        <f ca="1">Costs!CK57/('Global assumptions'!$C$7*NAIRA2010_*250)</f>
        <v>38.542537982962358</v>
      </c>
      <c r="CL57" s="1691">
        <f ca="1">Costs!CL57/('Global assumptions'!$C$7*NAIRA2010_*250)</f>
        <v>47.700950006181898</v>
      </c>
      <c r="CM57" s="1691">
        <f ca="1">Costs!CM57/('Global assumptions'!$C$7*NAIRA2010_*250)</f>
        <v>66.956644421110298</v>
      </c>
      <c r="CN57" s="1691">
        <f ca="1">Costs!CN57/('Global assumptions'!$C$7*NAIRA2010_*250)</f>
        <v>75.97074374176664</v>
      </c>
      <c r="CP57" s="1707">
        <f t="shared" ca="1" si="12"/>
        <v>25.833090099035164</v>
      </c>
      <c r="CQ57" s="1707">
        <f t="shared" ca="1" si="16"/>
        <v>28.523477732504411</v>
      </c>
      <c r="CR57" s="1426" t="str">
        <f t="shared" ca="1" si="17"/>
        <v>ok</v>
      </c>
    </row>
    <row r="58" spans="1:96" s="2126" customFormat="1" x14ac:dyDescent="0.2">
      <c r="A58" s="1683" t="s">
        <v>838</v>
      </c>
      <c r="B58" s="1683" t="s">
        <v>839</v>
      </c>
      <c r="C58" s="1683" t="s">
        <v>1189</v>
      </c>
      <c r="E58" s="1689">
        <f ca="1">Costs!E58/('Global assumptions'!$C$7*NAIRA2010_*250)</f>
        <v>0</v>
      </c>
      <c r="F58" s="1689">
        <f ca="1">Costs!F58/('Global assumptions'!$C$7*NAIRA2010_*250)</f>
        <v>0</v>
      </c>
      <c r="G58" s="1689">
        <f ca="1">Costs!G58/('Global assumptions'!$C$7*NAIRA2010_*250)</f>
        <v>0</v>
      </c>
      <c r="H58" s="1689">
        <f ca="1">Costs!H58/('Global assumptions'!$C$7*NAIRA2010_*250)</f>
        <v>0</v>
      </c>
      <c r="I58" s="1689">
        <f ca="1">Costs!I58/('Global assumptions'!$C$7*NAIRA2010_*250)</f>
        <v>0</v>
      </c>
      <c r="J58" s="1689">
        <f ca="1">Costs!J58/('Global assumptions'!$C$7*NAIRA2010_*250)</f>
        <v>0</v>
      </c>
      <c r="K58" s="1689">
        <f ca="1">Costs!K58/('Global assumptions'!$C$7*NAIRA2010_*250)</f>
        <v>0</v>
      </c>
      <c r="L58" s="1689">
        <f ca="1">Costs!L58/('Global assumptions'!$C$7*NAIRA2010_*250)</f>
        <v>0</v>
      </c>
      <c r="M58" s="1689">
        <f ca="1">Costs!M58/('Global assumptions'!$C$7*NAIRA2010_*250)</f>
        <v>0</v>
      </c>
      <c r="N58" s="675"/>
      <c r="O58" s="1689">
        <f ca="1">Costs!O58/('Global assumptions'!$C$7*NAIRA2010_*250)</f>
        <v>0</v>
      </c>
      <c r="P58" s="1689">
        <f ca="1">Costs!P58/('Global assumptions'!$C$7*NAIRA2010_*250)</f>
        <v>0</v>
      </c>
      <c r="Q58" s="1689">
        <f ca="1">Costs!Q58/('Global assumptions'!$C$7*NAIRA2010_*250)</f>
        <v>0</v>
      </c>
      <c r="R58" s="1689">
        <f ca="1">Costs!R58/('Global assumptions'!$C$7*NAIRA2010_*250)</f>
        <v>0</v>
      </c>
      <c r="S58" s="1689">
        <f ca="1">Costs!S58/('Global assumptions'!$C$7*NAIRA2010_*250)</f>
        <v>0</v>
      </c>
      <c r="T58" s="1689">
        <f ca="1">Costs!T58/('Global assumptions'!$C$7*NAIRA2010_*250)</f>
        <v>0</v>
      </c>
      <c r="U58" s="1689">
        <f ca="1">Costs!U58/('Global assumptions'!$C$7*NAIRA2010_*250)</f>
        <v>0</v>
      </c>
      <c r="V58" s="1689">
        <f ca="1">Costs!V58/('Global assumptions'!$C$7*NAIRA2010_*250)</f>
        <v>0</v>
      </c>
      <c r="W58" s="1689">
        <f ca="1">Costs!W58/('Global assumptions'!$C$7*NAIRA2010_*250)</f>
        <v>0</v>
      </c>
      <c r="X58" s="675"/>
      <c r="Y58" s="1689">
        <f ca="1">Costs!Y58/('Global assumptions'!$C$7*NAIRA2010_*250)</f>
        <v>0</v>
      </c>
      <c r="Z58" s="1689">
        <f ca="1">Costs!Z58/('Global assumptions'!$C$7*NAIRA2010_*250)</f>
        <v>0</v>
      </c>
      <c r="AA58" s="1689">
        <f ca="1">Costs!AA58/('Global assumptions'!$C$7*NAIRA2010_*250)</f>
        <v>0</v>
      </c>
      <c r="AB58" s="1689">
        <f ca="1">Costs!AB58/('Global assumptions'!$C$7*NAIRA2010_*250)</f>
        <v>0</v>
      </c>
      <c r="AC58" s="1689">
        <f ca="1">Costs!AC58/('Global assumptions'!$C$7*NAIRA2010_*250)</f>
        <v>0</v>
      </c>
      <c r="AD58" s="1689">
        <f ca="1">Costs!AD58/('Global assumptions'!$C$7*NAIRA2010_*250)</f>
        <v>0</v>
      </c>
      <c r="AE58" s="1689">
        <f ca="1">Costs!AE58/('Global assumptions'!$C$7*NAIRA2010_*250)</f>
        <v>0</v>
      </c>
      <c r="AF58" s="1689">
        <f ca="1">Costs!AF58/('Global assumptions'!$C$7*NAIRA2010_*250)</f>
        <v>0</v>
      </c>
      <c r="AG58" s="1689">
        <f ca="1">Costs!AG58/('Global assumptions'!$C$7*NAIRA2010_*250)</f>
        <v>0</v>
      </c>
      <c r="AH58" s="675"/>
      <c r="AI58" s="1689">
        <f ca="1">Costs!AI58/('Global assumptions'!$C$7*NAIRA2010_*250)</f>
        <v>0</v>
      </c>
      <c r="AJ58" s="1689">
        <f ca="1">Costs!AJ58/('Global assumptions'!$C$7*NAIRA2010_*250)</f>
        <v>0</v>
      </c>
      <c r="AK58" s="1689">
        <f ca="1">Costs!AK58/('Global assumptions'!$C$7*NAIRA2010_*250)</f>
        <v>0</v>
      </c>
      <c r="AL58" s="1689">
        <f ca="1">Costs!AL58/('Global assumptions'!$C$7*NAIRA2010_*250)</f>
        <v>0</v>
      </c>
      <c r="AM58" s="1689">
        <f ca="1">Costs!AM58/('Global assumptions'!$C$7*NAIRA2010_*250)</f>
        <v>0</v>
      </c>
      <c r="AN58" s="1689">
        <f ca="1">Costs!AN58/('Global assumptions'!$C$7*NAIRA2010_*250)</f>
        <v>0</v>
      </c>
      <c r="AO58" s="1689">
        <f ca="1">Costs!AO58/('Global assumptions'!$C$7*NAIRA2010_*250)</f>
        <v>0</v>
      </c>
      <c r="AP58" s="1689">
        <f ca="1">Costs!AP58/('Global assumptions'!$C$7*NAIRA2010_*250)</f>
        <v>0</v>
      </c>
      <c r="AQ58" s="1689">
        <f ca="1">Costs!AQ58/('Global assumptions'!$C$7*NAIRA2010_*250)</f>
        <v>0</v>
      </c>
      <c r="AS58" s="1706">
        <f t="shared" ca="1" si="10"/>
        <v>0</v>
      </c>
      <c r="AT58" s="1706">
        <f t="shared" ca="1" si="14"/>
        <v>0</v>
      </c>
      <c r="AU58" s="675"/>
      <c r="AV58" s="1699">
        <f>IFERROR(VLOOKUP($A58,Cost.FinanceCostTable,5,FALSE),'Global assumptions'!$D$35)</f>
        <v>0</v>
      </c>
      <c r="AW58" s="1690">
        <f>IFERROR(VLOOKUP($A58,Cost.FinanceCostTable,6,FALSE),'Global assumptions'!$E$35)</f>
        <v>5</v>
      </c>
      <c r="AX58" s="675"/>
      <c r="AY58" s="1689">
        <f ca="1">Costs!AY58/('Global assumptions'!$C$7*NAIRA2010_*250)</f>
        <v>0</v>
      </c>
      <c r="AZ58" s="1689">
        <f ca="1">Costs!AZ58/('Global assumptions'!$C$7*NAIRA2010_*250)</f>
        <v>0</v>
      </c>
      <c r="BA58" s="1689">
        <f ca="1">Costs!BA58/('Global assumptions'!$C$7*NAIRA2010_*250)</f>
        <v>0</v>
      </c>
      <c r="BB58" s="1689">
        <f ca="1">Costs!BB58/('Global assumptions'!$C$7*NAIRA2010_*250)</f>
        <v>0</v>
      </c>
      <c r="BC58" s="1689">
        <f ca="1">Costs!BC58/('Global assumptions'!$C$7*NAIRA2010_*250)</f>
        <v>0</v>
      </c>
      <c r="BD58" s="1689">
        <f ca="1">Costs!BD58/('Global assumptions'!$C$7*NAIRA2010_*250)</f>
        <v>0</v>
      </c>
      <c r="BE58" s="1689">
        <f ca="1">Costs!BE58/('Global assumptions'!$C$7*NAIRA2010_*250)</f>
        <v>0</v>
      </c>
      <c r="BF58" s="1689">
        <f ca="1">Costs!BF58/('Global assumptions'!$C$7*NAIRA2010_*250)</f>
        <v>0</v>
      </c>
      <c r="BG58" s="1689">
        <f ca="1">Costs!BG58/('Global assumptions'!$C$7*NAIRA2010_*250)</f>
        <v>0</v>
      </c>
      <c r="BH58" s="675"/>
      <c r="BI58" s="1689">
        <f ca="1">Costs!BI58/('Global assumptions'!$C$7*NAIRA2010_*250)</f>
        <v>0</v>
      </c>
      <c r="BJ58" s="1689">
        <f ca="1">Costs!BJ58/('Global assumptions'!$C$7*NAIRA2010_*250)</f>
        <v>0</v>
      </c>
      <c r="BK58" s="1689">
        <f ca="1">Costs!BK58/('Global assumptions'!$C$7*NAIRA2010_*250)</f>
        <v>0</v>
      </c>
      <c r="BL58" s="1689">
        <f ca="1">Costs!BL58/('Global assumptions'!$C$7*NAIRA2010_*250)</f>
        <v>0</v>
      </c>
      <c r="BM58" s="1689">
        <f ca="1">Costs!BM58/('Global assumptions'!$C$7*NAIRA2010_*250)</f>
        <v>0</v>
      </c>
      <c r="BN58" s="1689">
        <f ca="1">Costs!BN58/('Global assumptions'!$C$7*NAIRA2010_*250)</f>
        <v>0</v>
      </c>
      <c r="BO58" s="1689">
        <f ca="1">Costs!BO58/('Global assumptions'!$C$7*NAIRA2010_*250)</f>
        <v>0</v>
      </c>
      <c r="BP58" s="1689">
        <f ca="1">Costs!BP58/('Global assumptions'!$C$7*NAIRA2010_*250)</f>
        <v>0</v>
      </c>
      <c r="BQ58" s="1689">
        <f ca="1">Costs!BQ58/('Global assumptions'!$C$7*NAIRA2010_*250)</f>
        <v>0</v>
      </c>
      <c r="BR58" s="675"/>
      <c r="BS58" s="1689">
        <f ca="1">Costs!BS58/('Global assumptions'!$C$7*NAIRA2010_*250)</f>
        <v>0</v>
      </c>
      <c r="BT58" s="1689">
        <f ca="1">Costs!BT58/('Global assumptions'!$C$7*NAIRA2010_*250)</f>
        <v>0</v>
      </c>
      <c r="BU58" s="1689">
        <f ca="1">Costs!BU58/('Global assumptions'!$C$7*NAIRA2010_*250)</f>
        <v>0</v>
      </c>
      <c r="BV58" s="1689">
        <f ca="1">Costs!BV58/('Global assumptions'!$C$7*NAIRA2010_*250)</f>
        <v>0</v>
      </c>
      <c r="BW58" s="1689">
        <f ca="1">Costs!BW58/('Global assumptions'!$C$7*NAIRA2010_*250)</f>
        <v>0</v>
      </c>
      <c r="BX58" s="1689">
        <f ca="1">Costs!BX58/('Global assumptions'!$C$7*NAIRA2010_*250)</f>
        <v>0</v>
      </c>
      <c r="BY58" s="1689">
        <f ca="1">Costs!BY58/('Global assumptions'!$C$7*NAIRA2010_*250)</f>
        <v>0</v>
      </c>
      <c r="BZ58" s="1689">
        <f ca="1">Costs!BZ58/('Global assumptions'!$C$7*NAIRA2010_*250)</f>
        <v>0</v>
      </c>
      <c r="CA58" s="1689">
        <f ca="1">Costs!CA58/('Global assumptions'!$C$7*NAIRA2010_*250)</f>
        <v>0</v>
      </c>
      <c r="CC58" s="1706">
        <f t="shared" ca="1" si="11"/>
        <v>0</v>
      </c>
      <c r="CD58" s="1706">
        <f t="shared" ca="1" si="15"/>
        <v>0</v>
      </c>
      <c r="CF58" s="1689">
        <f ca="1">Costs!CF58/('Global assumptions'!$C$7*NAIRA2010_*250)</f>
        <v>0</v>
      </c>
      <c r="CG58" s="1689">
        <f ca="1">Costs!CG58/('Global assumptions'!$C$7*NAIRA2010_*250)</f>
        <v>0</v>
      </c>
      <c r="CH58" s="1689">
        <f ca="1">Costs!CH58/('Global assumptions'!$C$7*NAIRA2010_*250)</f>
        <v>0</v>
      </c>
      <c r="CI58" s="1689">
        <f ca="1">Costs!CI58/('Global assumptions'!$C$7*NAIRA2010_*250)</f>
        <v>0</v>
      </c>
      <c r="CJ58" s="1689">
        <f ca="1">Costs!CJ58/('Global assumptions'!$C$7*NAIRA2010_*250)</f>
        <v>0</v>
      </c>
      <c r="CK58" s="1689">
        <f ca="1">Costs!CK58/('Global assumptions'!$C$7*NAIRA2010_*250)</f>
        <v>0</v>
      </c>
      <c r="CL58" s="1689">
        <f ca="1">Costs!CL58/('Global assumptions'!$C$7*NAIRA2010_*250)</f>
        <v>0</v>
      </c>
      <c r="CM58" s="1689">
        <f ca="1">Costs!CM58/('Global assumptions'!$C$7*NAIRA2010_*250)</f>
        <v>0</v>
      </c>
      <c r="CN58" s="1689">
        <f ca="1">Costs!CN58/('Global assumptions'!$C$7*NAIRA2010_*250)</f>
        <v>0</v>
      </c>
      <c r="CP58" s="1706">
        <f t="shared" ca="1" si="12"/>
        <v>0</v>
      </c>
      <c r="CQ58" s="1706">
        <f t="shared" ca="1" si="16"/>
        <v>0</v>
      </c>
      <c r="CR58" s="1426" t="str">
        <f t="shared" ca="1" si="17"/>
        <v>ok</v>
      </c>
    </row>
    <row r="59" spans="1:96" s="2126" customFormat="1" x14ac:dyDescent="0.2">
      <c r="A59" s="1685" t="s">
        <v>1768</v>
      </c>
      <c r="B59" s="1685" t="s">
        <v>1190</v>
      </c>
      <c r="C59" s="1685" t="s">
        <v>1189</v>
      </c>
      <c r="E59" s="1691">
        <f ca="1">Costs!E59/('Global assumptions'!$C$7*NAIRA2010_*250)</f>
        <v>0</v>
      </c>
      <c r="F59" s="1691">
        <f ca="1">Costs!F59/('Global assumptions'!$C$7*NAIRA2010_*250)</f>
        <v>0</v>
      </c>
      <c r="G59" s="1691">
        <f ca="1">Costs!G59/('Global assumptions'!$C$7*NAIRA2010_*250)</f>
        <v>0</v>
      </c>
      <c r="H59" s="1691">
        <f ca="1">Costs!H59/('Global assumptions'!$C$7*NAIRA2010_*250)</f>
        <v>0</v>
      </c>
      <c r="I59" s="1691">
        <f ca="1">Costs!I59/('Global assumptions'!$C$7*NAIRA2010_*250)</f>
        <v>0</v>
      </c>
      <c r="J59" s="1691">
        <f ca="1">Costs!J59/('Global assumptions'!$C$7*NAIRA2010_*250)</f>
        <v>0</v>
      </c>
      <c r="K59" s="1691">
        <f ca="1">Costs!K59/('Global assumptions'!$C$7*NAIRA2010_*250)</f>
        <v>0</v>
      </c>
      <c r="L59" s="1691">
        <f ca="1">Costs!L59/('Global assumptions'!$C$7*NAIRA2010_*250)</f>
        <v>0</v>
      </c>
      <c r="M59" s="1691">
        <f ca="1">Costs!M59/('Global assumptions'!$C$7*NAIRA2010_*250)</f>
        <v>0</v>
      </c>
      <c r="N59" s="675"/>
      <c r="O59" s="1691">
        <f ca="1">Costs!O59/('Global assumptions'!$C$7*NAIRA2010_*250)</f>
        <v>0</v>
      </c>
      <c r="P59" s="1691">
        <f ca="1">Costs!P59/('Global assumptions'!$C$7*NAIRA2010_*250)</f>
        <v>0</v>
      </c>
      <c r="Q59" s="1691">
        <f ca="1">Costs!Q59/('Global assumptions'!$C$7*NAIRA2010_*250)</f>
        <v>0</v>
      </c>
      <c r="R59" s="1691">
        <f ca="1">Costs!R59/('Global assumptions'!$C$7*NAIRA2010_*250)</f>
        <v>0</v>
      </c>
      <c r="S59" s="1691">
        <f ca="1">Costs!S59/('Global assumptions'!$C$7*NAIRA2010_*250)</f>
        <v>0</v>
      </c>
      <c r="T59" s="1691">
        <f ca="1">Costs!T59/('Global assumptions'!$C$7*NAIRA2010_*250)</f>
        <v>0</v>
      </c>
      <c r="U59" s="1691">
        <f ca="1">Costs!U59/('Global assumptions'!$C$7*NAIRA2010_*250)</f>
        <v>0</v>
      </c>
      <c r="V59" s="1691">
        <f ca="1">Costs!V59/('Global assumptions'!$C$7*NAIRA2010_*250)</f>
        <v>0</v>
      </c>
      <c r="W59" s="1691">
        <f ca="1">Costs!W59/('Global assumptions'!$C$7*NAIRA2010_*250)</f>
        <v>0</v>
      </c>
      <c r="X59" s="675"/>
      <c r="Y59" s="1691">
        <f ca="1">Costs!Y59/('Global assumptions'!$C$7*NAIRA2010_*250)</f>
        <v>191.01893957075677</v>
      </c>
      <c r="Z59" s="1691">
        <f ca="1">Costs!Z59/('Global assumptions'!$C$7*NAIRA2010_*250)</f>
        <v>212.59625943952622</v>
      </c>
      <c r="AA59" s="1691">
        <f ca="1">Costs!AA59/('Global assumptions'!$C$7*NAIRA2010_*250)</f>
        <v>239.25908221331562</v>
      </c>
      <c r="AB59" s="1691">
        <f ca="1">Costs!AB59/('Global assumptions'!$C$7*NAIRA2010_*250)</f>
        <v>266.60825077107387</v>
      </c>
      <c r="AC59" s="1691">
        <f ca="1">Costs!AC59/('Global assumptions'!$C$7*NAIRA2010_*250)</f>
        <v>289.3973597326173</v>
      </c>
      <c r="AD59" s="1691">
        <f ca="1">Costs!AD59/('Global assumptions'!$C$7*NAIRA2010_*250)</f>
        <v>316.68361960333107</v>
      </c>
      <c r="AE59" s="1691">
        <f ca="1">Costs!AE59/('Global assumptions'!$C$7*NAIRA2010_*250)</f>
        <v>343.35231122247728</v>
      </c>
      <c r="AF59" s="1691">
        <f ca="1">Costs!AF59/('Global assumptions'!$C$7*NAIRA2010_*250)</f>
        <v>371.94572475556561</v>
      </c>
      <c r="AG59" s="1691">
        <f ca="1">Costs!AG59/('Global assumptions'!$C$7*NAIRA2010_*250)</f>
        <v>399.49534456961578</v>
      </c>
      <c r="AH59" s="675"/>
      <c r="AI59" s="1691">
        <f ca="1">Costs!AI59/('Global assumptions'!$C$7*NAIRA2010_*250)</f>
        <v>191.01893957075677</v>
      </c>
      <c r="AJ59" s="1691">
        <f ca="1">Costs!AJ59/('Global assumptions'!$C$7*NAIRA2010_*250)</f>
        <v>212.59625943952622</v>
      </c>
      <c r="AK59" s="1691">
        <f ca="1">Costs!AK59/('Global assumptions'!$C$7*NAIRA2010_*250)</f>
        <v>239.25908221331562</v>
      </c>
      <c r="AL59" s="1691">
        <f ca="1">Costs!AL59/('Global assumptions'!$C$7*NAIRA2010_*250)</f>
        <v>266.60825077107387</v>
      </c>
      <c r="AM59" s="1691">
        <f ca="1">Costs!AM59/('Global assumptions'!$C$7*NAIRA2010_*250)</f>
        <v>289.3973597326173</v>
      </c>
      <c r="AN59" s="1691">
        <f ca="1">Costs!AN59/('Global assumptions'!$C$7*NAIRA2010_*250)</f>
        <v>316.68361960333107</v>
      </c>
      <c r="AO59" s="1691">
        <f ca="1">Costs!AO59/('Global assumptions'!$C$7*NAIRA2010_*250)</f>
        <v>343.35231122247728</v>
      </c>
      <c r="AP59" s="1691">
        <f ca="1">Costs!AP59/('Global assumptions'!$C$7*NAIRA2010_*250)</f>
        <v>371.94572475556561</v>
      </c>
      <c r="AQ59" s="1691">
        <f ca="1">Costs!AQ59/('Global assumptions'!$C$7*NAIRA2010_*250)</f>
        <v>399.49534456961578</v>
      </c>
      <c r="AS59" s="1707">
        <f t="shared" ca="1" si="10"/>
        <v>292.26187687536435</v>
      </c>
      <c r="AT59" s="1707">
        <f t="shared" ca="1" si="7"/>
        <v>2268.1171996035309</v>
      </c>
      <c r="AU59" s="675"/>
      <c r="AV59" s="1699">
        <f>IFERROR(VLOOKUP($A59,Cost.FinanceCostTable,5,FALSE),'Global assumptions'!$D$35)</f>
        <v>0</v>
      </c>
      <c r="AW59" s="1690">
        <f>IFERROR(VLOOKUP($A59,Cost.FinanceCostTable,6,FALSE),'Global assumptions'!$E$35)</f>
        <v>5</v>
      </c>
      <c r="AX59" s="675"/>
      <c r="AY59" s="1691">
        <f ca="1">Costs!AY59/('Global assumptions'!$C$7*NAIRA2010_*250)</f>
        <v>0</v>
      </c>
      <c r="AZ59" s="1691">
        <f ca="1">Costs!AZ59/('Global assumptions'!$C$7*NAIRA2010_*250)</f>
        <v>0</v>
      </c>
      <c r="BA59" s="1691">
        <f ca="1">Costs!BA59/('Global assumptions'!$C$7*NAIRA2010_*250)</f>
        <v>0</v>
      </c>
      <c r="BB59" s="1691">
        <f ca="1">Costs!BB59/('Global assumptions'!$C$7*NAIRA2010_*250)</f>
        <v>0</v>
      </c>
      <c r="BC59" s="1691">
        <f ca="1">Costs!BC59/('Global assumptions'!$C$7*NAIRA2010_*250)</f>
        <v>0</v>
      </c>
      <c r="BD59" s="1691">
        <f ca="1">Costs!BD59/('Global assumptions'!$C$7*NAIRA2010_*250)</f>
        <v>0</v>
      </c>
      <c r="BE59" s="1691">
        <f ca="1">Costs!BE59/('Global assumptions'!$C$7*NAIRA2010_*250)</f>
        <v>0</v>
      </c>
      <c r="BF59" s="1691">
        <f ca="1">Costs!BF59/('Global assumptions'!$C$7*NAIRA2010_*250)</f>
        <v>0</v>
      </c>
      <c r="BG59" s="1691">
        <f ca="1">Costs!BG59/('Global assumptions'!$C$7*NAIRA2010_*250)</f>
        <v>0</v>
      </c>
      <c r="BH59" s="675"/>
      <c r="BI59" s="1691">
        <f ca="1">Costs!BI59/('Global assumptions'!$C$7*NAIRA2010_*250)</f>
        <v>0</v>
      </c>
      <c r="BJ59" s="1691">
        <f ca="1">Costs!BJ59/('Global assumptions'!$C$7*NAIRA2010_*250)</f>
        <v>0</v>
      </c>
      <c r="BK59" s="1691">
        <f ca="1">Costs!BK59/('Global assumptions'!$C$7*NAIRA2010_*250)</f>
        <v>0</v>
      </c>
      <c r="BL59" s="1691">
        <f ca="1">Costs!BL59/('Global assumptions'!$C$7*NAIRA2010_*250)</f>
        <v>0</v>
      </c>
      <c r="BM59" s="1691">
        <f ca="1">Costs!BM59/('Global assumptions'!$C$7*NAIRA2010_*250)</f>
        <v>0</v>
      </c>
      <c r="BN59" s="1691">
        <f ca="1">Costs!BN59/('Global assumptions'!$C$7*NAIRA2010_*250)</f>
        <v>0</v>
      </c>
      <c r="BO59" s="1691">
        <f ca="1">Costs!BO59/('Global assumptions'!$C$7*NAIRA2010_*250)</f>
        <v>0</v>
      </c>
      <c r="BP59" s="1691">
        <f ca="1">Costs!BP59/('Global assumptions'!$C$7*NAIRA2010_*250)</f>
        <v>0</v>
      </c>
      <c r="BQ59" s="1691">
        <f ca="1">Costs!BQ59/('Global assumptions'!$C$7*NAIRA2010_*250)</f>
        <v>0</v>
      </c>
      <c r="BR59" s="675"/>
      <c r="BS59" s="1691">
        <f ca="1">Costs!BS59/('Global assumptions'!$C$7*NAIRA2010_*250)</f>
        <v>191.01893957075677</v>
      </c>
      <c r="BT59" s="1691">
        <f ca="1">Costs!BT59/('Global assumptions'!$C$7*NAIRA2010_*250)</f>
        <v>212.59625943952622</v>
      </c>
      <c r="BU59" s="1691">
        <f ca="1">Costs!BU59/('Global assumptions'!$C$7*NAIRA2010_*250)</f>
        <v>239.25908221331562</v>
      </c>
      <c r="BV59" s="1691">
        <f ca="1">Costs!BV59/('Global assumptions'!$C$7*NAIRA2010_*250)</f>
        <v>266.60825077107387</v>
      </c>
      <c r="BW59" s="1691">
        <f ca="1">Costs!BW59/('Global assumptions'!$C$7*NAIRA2010_*250)</f>
        <v>289.3973597326173</v>
      </c>
      <c r="BX59" s="1691">
        <f ca="1">Costs!BX59/('Global assumptions'!$C$7*NAIRA2010_*250)</f>
        <v>316.68361960333107</v>
      </c>
      <c r="BY59" s="1691">
        <f ca="1">Costs!BY59/('Global assumptions'!$C$7*NAIRA2010_*250)</f>
        <v>343.35231122247728</v>
      </c>
      <c r="BZ59" s="1691">
        <f ca="1">Costs!BZ59/('Global assumptions'!$C$7*NAIRA2010_*250)</f>
        <v>371.94572475556561</v>
      </c>
      <c r="CA59" s="1691">
        <f ca="1">Costs!CA59/('Global assumptions'!$C$7*NAIRA2010_*250)</f>
        <v>399.49534456961578</v>
      </c>
      <c r="CC59" s="1707">
        <f t="shared" ca="1" si="11"/>
        <v>292.26187687536435</v>
      </c>
      <c r="CD59" s="1707">
        <f t="shared" ca="1" si="8"/>
        <v>2268.1171996035309</v>
      </c>
      <c r="CF59" s="1691">
        <f ca="1">Costs!CF59/('Global assumptions'!$C$7*NAIRA2010_*250)</f>
        <v>0</v>
      </c>
      <c r="CG59" s="1691">
        <f ca="1">Costs!CG59/('Global assumptions'!$C$7*NAIRA2010_*250)</f>
        <v>0</v>
      </c>
      <c r="CH59" s="1691">
        <f ca="1">Costs!CH59/('Global assumptions'!$C$7*NAIRA2010_*250)</f>
        <v>0</v>
      </c>
      <c r="CI59" s="1691">
        <f ca="1">Costs!CI59/('Global assumptions'!$C$7*NAIRA2010_*250)</f>
        <v>0</v>
      </c>
      <c r="CJ59" s="1691">
        <f ca="1">Costs!CJ59/('Global assumptions'!$C$7*NAIRA2010_*250)</f>
        <v>0</v>
      </c>
      <c r="CK59" s="1691">
        <f ca="1">Costs!CK59/('Global assumptions'!$C$7*NAIRA2010_*250)</f>
        <v>0</v>
      </c>
      <c r="CL59" s="1691">
        <f ca="1">Costs!CL59/('Global assumptions'!$C$7*NAIRA2010_*250)</f>
        <v>0</v>
      </c>
      <c r="CM59" s="1691">
        <f ca="1">Costs!CM59/('Global assumptions'!$C$7*NAIRA2010_*250)</f>
        <v>0</v>
      </c>
      <c r="CN59" s="1691">
        <f ca="1">Costs!CN59/('Global assumptions'!$C$7*NAIRA2010_*250)</f>
        <v>0</v>
      </c>
      <c r="CP59" s="1707">
        <f t="shared" ca="1" si="12"/>
        <v>0</v>
      </c>
      <c r="CQ59" s="1707">
        <f t="shared" ca="1" si="9"/>
        <v>0</v>
      </c>
      <c r="CR59" s="1426" t="str">
        <f t="shared" ca="1" si="13"/>
        <v>ok</v>
      </c>
    </row>
    <row r="60" spans="1:96" s="2126" customFormat="1" x14ac:dyDescent="0.2">
      <c r="A60" s="1683" t="s">
        <v>1769</v>
      </c>
      <c r="B60" s="1683" t="s">
        <v>1190</v>
      </c>
      <c r="C60" s="1683" t="s">
        <v>1189</v>
      </c>
      <c r="E60" s="1689">
        <f ca="1">Costs!E60/('Global assumptions'!$C$7*NAIRA2010_*250)</f>
        <v>0</v>
      </c>
      <c r="F60" s="1689">
        <f ca="1">Costs!F60/('Global assumptions'!$C$7*NAIRA2010_*250)</f>
        <v>0</v>
      </c>
      <c r="G60" s="1689">
        <f ca="1">Costs!G60/('Global assumptions'!$C$7*NAIRA2010_*250)</f>
        <v>0</v>
      </c>
      <c r="H60" s="1689">
        <f ca="1">Costs!H60/('Global assumptions'!$C$7*NAIRA2010_*250)</f>
        <v>0</v>
      </c>
      <c r="I60" s="1689">
        <f ca="1">Costs!I60/('Global assumptions'!$C$7*NAIRA2010_*250)</f>
        <v>0</v>
      </c>
      <c r="J60" s="1689">
        <f ca="1">Costs!J60/('Global assumptions'!$C$7*NAIRA2010_*250)</f>
        <v>0</v>
      </c>
      <c r="K60" s="1689">
        <f ca="1">Costs!K60/('Global assumptions'!$C$7*NAIRA2010_*250)</f>
        <v>0</v>
      </c>
      <c r="L60" s="1689">
        <f ca="1">Costs!L60/('Global assumptions'!$C$7*NAIRA2010_*250)</f>
        <v>0</v>
      </c>
      <c r="M60" s="1689">
        <f ca="1">Costs!M60/('Global assumptions'!$C$7*NAIRA2010_*250)</f>
        <v>0</v>
      </c>
      <c r="N60" s="675"/>
      <c r="O60" s="1689">
        <f ca="1">Costs!O60/('Global assumptions'!$C$7*NAIRA2010_*250)</f>
        <v>0</v>
      </c>
      <c r="P60" s="1689">
        <f ca="1">Costs!P60/('Global assumptions'!$C$7*NAIRA2010_*250)</f>
        <v>0</v>
      </c>
      <c r="Q60" s="1689">
        <f ca="1">Costs!Q60/('Global assumptions'!$C$7*NAIRA2010_*250)</f>
        <v>0</v>
      </c>
      <c r="R60" s="1689">
        <f ca="1">Costs!R60/('Global assumptions'!$C$7*NAIRA2010_*250)</f>
        <v>0</v>
      </c>
      <c r="S60" s="1689">
        <f ca="1">Costs!S60/('Global assumptions'!$C$7*NAIRA2010_*250)</f>
        <v>0</v>
      </c>
      <c r="T60" s="1689">
        <f ca="1">Costs!T60/('Global assumptions'!$C$7*NAIRA2010_*250)</f>
        <v>0</v>
      </c>
      <c r="U60" s="1689">
        <f ca="1">Costs!U60/('Global assumptions'!$C$7*NAIRA2010_*250)</f>
        <v>0</v>
      </c>
      <c r="V60" s="1689">
        <f ca="1">Costs!V60/('Global assumptions'!$C$7*NAIRA2010_*250)</f>
        <v>0</v>
      </c>
      <c r="W60" s="1689">
        <f ca="1">Costs!W60/('Global assumptions'!$C$7*NAIRA2010_*250)</f>
        <v>0</v>
      </c>
      <c r="X60" s="675"/>
      <c r="Y60" s="1689">
        <f ca="1">Costs!Y60/('Global assumptions'!$C$7*NAIRA2010_*250)</f>
        <v>0</v>
      </c>
      <c r="Z60" s="1689">
        <f ca="1">Costs!Z60/('Global assumptions'!$C$7*NAIRA2010_*250)</f>
        <v>0</v>
      </c>
      <c r="AA60" s="1689">
        <f ca="1">Costs!AA60/('Global assumptions'!$C$7*NAIRA2010_*250)</f>
        <v>0</v>
      </c>
      <c r="AB60" s="1689">
        <f ca="1">Costs!AB60/('Global assumptions'!$C$7*NAIRA2010_*250)</f>
        <v>0</v>
      </c>
      <c r="AC60" s="1689">
        <f ca="1">Costs!AC60/('Global assumptions'!$C$7*NAIRA2010_*250)</f>
        <v>0</v>
      </c>
      <c r="AD60" s="1689">
        <f ca="1">Costs!AD60/('Global assumptions'!$C$7*NAIRA2010_*250)</f>
        <v>0</v>
      </c>
      <c r="AE60" s="1689">
        <f ca="1">Costs!AE60/('Global assumptions'!$C$7*NAIRA2010_*250)</f>
        <v>0</v>
      </c>
      <c r="AF60" s="1689">
        <f ca="1">Costs!AF60/('Global assumptions'!$C$7*NAIRA2010_*250)</f>
        <v>0</v>
      </c>
      <c r="AG60" s="1689">
        <f ca="1">Costs!AG60/('Global assumptions'!$C$7*NAIRA2010_*250)</f>
        <v>0</v>
      </c>
      <c r="AH60" s="675"/>
      <c r="AI60" s="1689">
        <f ca="1">Costs!AI60/('Global assumptions'!$C$7*NAIRA2010_*250)</f>
        <v>0</v>
      </c>
      <c r="AJ60" s="1689">
        <f ca="1">Costs!AJ60/('Global assumptions'!$C$7*NAIRA2010_*250)</f>
        <v>0</v>
      </c>
      <c r="AK60" s="1689">
        <f ca="1">Costs!AK60/('Global assumptions'!$C$7*NAIRA2010_*250)</f>
        <v>0</v>
      </c>
      <c r="AL60" s="1689">
        <f ca="1">Costs!AL60/('Global assumptions'!$C$7*NAIRA2010_*250)</f>
        <v>0</v>
      </c>
      <c r="AM60" s="1689">
        <f ca="1">Costs!AM60/('Global assumptions'!$C$7*NAIRA2010_*250)</f>
        <v>0</v>
      </c>
      <c r="AN60" s="1689">
        <f ca="1">Costs!AN60/('Global assumptions'!$C$7*NAIRA2010_*250)</f>
        <v>0</v>
      </c>
      <c r="AO60" s="1689">
        <f ca="1">Costs!AO60/('Global assumptions'!$C$7*NAIRA2010_*250)</f>
        <v>0</v>
      </c>
      <c r="AP60" s="1689">
        <f ca="1">Costs!AP60/('Global assumptions'!$C$7*NAIRA2010_*250)</f>
        <v>0</v>
      </c>
      <c r="AQ60" s="1689">
        <f ca="1">Costs!AQ60/('Global assumptions'!$C$7*NAIRA2010_*250)</f>
        <v>0</v>
      </c>
      <c r="AS60" s="1706">
        <f t="shared" ca="1" si="10"/>
        <v>0</v>
      </c>
      <c r="AT60" s="1706">
        <f t="shared" ca="1" si="7"/>
        <v>0</v>
      </c>
      <c r="AU60" s="675"/>
      <c r="AV60" s="1699">
        <f>IFERROR(VLOOKUP($A60,Cost.FinanceCostTable,5,FALSE),'Global assumptions'!$D$35)</f>
        <v>0</v>
      </c>
      <c r="AW60" s="1690">
        <f>IFERROR(VLOOKUP($A60,Cost.FinanceCostTable,6,FALSE),'Global assumptions'!$E$35)</f>
        <v>5</v>
      </c>
      <c r="AX60" s="675"/>
      <c r="AY60" s="1689">
        <f ca="1">Costs!AY60/('Global assumptions'!$C$7*NAIRA2010_*250)</f>
        <v>0</v>
      </c>
      <c r="AZ60" s="1689">
        <f ca="1">Costs!AZ60/('Global assumptions'!$C$7*NAIRA2010_*250)</f>
        <v>0</v>
      </c>
      <c r="BA60" s="1689">
        <f ca="1">Costs!BA60/('Global assumptions'!$C$7*NAIRA2010_*250)</f>
        <v>0</v>
      </c>
      <c r="BB60" s="1689">
        <f ca="1">Costs!BB60/('Global assumptions'!$C$7*NAIRA2010_*250)</f>
        <v>0</v>
      </c>
      <c r="BC60" s="1689">
        <f ca="1">Costs!BC60/('Global assumptions'!$C$7*NAIRA2010_*250)</f>
        <v>0</v>
      </c>
      <c r="BD60" s="1689">
        <f ca="1">Costs!BD60/('Global assumptions'!$C$7*NAIRA2010_*250)</f>
        <v>0</v>
      </c>
      <c r="BE60" s="1689">
        <f ca="1">Costs!BE60/('Global assumptions'!$C$7*NAIRA2010_*250)</f>
        <v>0</v>
      </c>
      <c r="BF60" s="1689">
        <f ca="1">Costs!BF60/('Global assumptions'!$C$7*NAIRA2010_*250)</f>
        <v>0</v>
      </c>
      <c r="BG60" s="1689">
        <f ca="1">Costs!BG60/('Global assumptions'!$C$7*NAIRA2010_*250)</f>
        <v>0</v>
      </c>
      <c r="BH60" s="675"/>
      <c r="BI60" s="1689">
        <f ca="1">Costs!BI60/('Global assumptions'!$C$7*NAIRA2010_*250)</f>
        <v>0</v>
      </c>
      <c r="BJ60" s="1689">
        <f ca="1">Costs!BJ60/('Global assumptions'!$C$7*NAIRA2010_*250)</f>
        <v>0</v>
      </c>
      <c r="BK60" s="1689">
        <f ca="1">Costs!BK60/('Global assumptions'!$C$7*NAIRA2010_*250)</f>
        <v>0</v>
      </c>
      <c r="BL60" s="1689">
        <f ca="1">Costs!BL60/('Global assumptions'!$C$7*NAIRA2010_*250)</f>
        <v>0</v>
      </c>
      <c r="BM60" s="1689">
        <f ca="1">Costs!BM60/('Global assumptions'!$C$7*NAIRA2010_*250)</f>
        <v>0</v>
      </c>
      <c r="BN60" s="1689">
        <f ca="1">Costs!BN60/('Global assumptions'!$C$7*NAIRA2010_*250)</f>
        <v>0</v>
      </c>
      <c r="BO60" s="1689">
        <f ca="1">Costs!BO60/('Global assumptions'!$C$7*NAIRA2010_*250)</f>
        <v>0</v>
      </c>
      <c r="BP60" s="1689">
        <f ca="1">Costs!BP60/('Global assumptions'!$C$7*NAIRA2010_*250)</f>
        <v>0</v>
      </c>
      <c r="BQ60" s="1689">
        <f ca="1">Costs!BQ60/('Global assumptions'!$C$7*NAIRA2010_*250)</f>
        <v>0</v>
      </c>
      <c r="BR60" s="675"/>
      <c r="BS60" s="1689">
        <f ca="1">Costs!BS60/('Global assumptions'!$C$7*NAIRA2010_*250)</f>
        <v>0</v>
      </c>
      <c r="BT60" s="1689">
        <f ca="1">Costs!BT60/('Global assumptions'!$C$7*NAIRA2010_*250)</f>
        <v>0</v>
      </c>
      <c r="BU60" s="1689">
        <f ca="1">Costs!BU60/('Global assumptions'!$C$7*NAIRA2010_*250)</f>
        <v>0</v>
      </c>
      <c r="BV60" s="1689">
        <f ca="1">Costs!BV60/('Global assumptions'!$C$7*NAIRA2010_*250)</f>
        <v>0</v>
      </c>
      <c r="BW60" s="1689">
        <f ca="1">Costs!BW60/('Global assumptions'!$C$7*NAIRA2010_*250)</f>
        <v>0</v>
      </c>
      <c r="BX60" s="1689">
        <f ca="1">Costs!BX60/('Global assumptions'!$C$7*NAIRA2010_*250)</f>
        <v>0</v>
      </c>
      <c r="BY60" s="1689">
        <f ca="1">Costs!BY60/('Global assumptions'!$C$7*NAIRA2010_*250)</f>
        <v>0</v>
      </c>
      <c r="BZ60" s="1689">
        <f ca="1">Costs!BZ60/('Global assumptions'!$C$7*NAIRA2010_*250)</f>
        <v>0</v>
      </c>
      <c r="CA60" s="1689">
        <f ca="1">Costs!CA60/('Global assumptions'!$C$7*NAIRA2010_*250)</f>
        <v>0</v>
      </c>
      <c r="CC60" s="1706">
        <f t="shared" ca="1" si="11"/>
        <v>0</v>
      </c>
      <c r="CD60" s="1706">
        <f t="shared" ca="1" si="8"/>
        <v>0</v>
      </c>
      <c r="CF60" s="1689">
        <f ca="1">Costs!CF60/('Global assumptions'!$C$7*NAIRA2010_*250)</f>
        <v>0</v>
      </c>
      <c r="CG60" s="1689">
        <f ca="1">Costs!CG60/('Global assumptions'!$C$7*NAIRA2010_*250)</f>
        <v>0</v>
      </c>
      <c r="CH60" s="1689">
        <f ca="1">Costs!CH60/('Global assumptions'!$C$7*NAIRA2010_*250)</f>
        <v>0</v>
      </c>
      <c r="CI60" s="1689">
        <f ca="1">Costs!CI60/('Global assumptions'!$C$7*NAIRA2010_*250)</f>
        <v>0</v>
      </c>
      <c r="CJ60" s="1689">
        <f ca="1">Costs!CJ60/('Global assumptions'!$C$7*NAIRA2010_*250)</f>
        <v>0</v>
      </c>
      <c r="CK60" s="1689">
        <f ca="1">Costs!CK60/('Global assumptions'!$C$7*NAIRA2010_*250)</f>
        <v>0</v>
      </c>
      <c r="CL60" s="1689">
        <f ca="1">Costs!CL60/('Global assumptions'!$C$7*NAIRA2010_*250)</f>
        <v>0</v>
      </c>
      <c r="CM60" s="1689">
        <f ca="1">Costs!CM60/('Global assumptions'!$C$7*NAIRA2010_*250)</f>
        <v>0</v>
      </c>
      <c r="CN60" s="1689">
        <f ca="1">Costs!CN60/('Global assumptions'!$C$7*NAIRA2010_*250)</f>
        <v>0</v>
      </c>
      <c r="CP60" s="1706">
        <f t="shared" ca="1" si="12"/>
        <v>0</v>
      </c>
      <c r="CQ60" s="1706">
        <f t="shared" ca="1" si="9"/>
        <v>0</v>
      </c>
      <c r="CR60" s="1426" t="str">
        <f t="shared" ca="1" si="13"/>
        <v>ok</v>
      </c>
    </row>
    <row r="61" spans="1:96" s="2126" customFormat="1" x14ac:dyDescent="0.2">
      <c r="A61" s="1685" t="s">
        <v>1765</v>
      </c>
      <c r="B61" s="1685" t="s">
        <v>1767</v>
      </c>
      <c r="C61" s="1685" t="s">
        <v>1189</v>
      </c>
      <c r="E61" s="1691">
        <f ca="1">Costs!E61/('Global assumptions'!$C$7*NAIRA2010_*250)</f>
        <v>0.52424021483763106</v>
      </c>
      <c r="F61" s="1691">
        <f ca="1">Costs!F61/('Global assumptions'!$C$7*NAIRA2010_*250)</f>
        <v>0.77395875673797687</v>
      </c>
      <c r="G61" s="1691">
        <f ca="1">Costs!G61/('Global assumptions'!$C$7*NAIRA2010_*250)</f>
        <v>1.0524248895458805</v>
      </c>
      <c r="H61" s="1691">
        <f ca="1">Costs!H61/('Global assumptions'!$C$7*NAIRA2010_*250)</f>
        <v>1.1193000542056086</v>
      </c>
      <c r="I61" s="1691">
        <f ca="1">Costs!I61/('Global assumptions'!$C$7*NAIRA2010_*250)</f>
        <v>1.1990432816517638</v>
      </c>
      <c r="J61" s="1691">
        <f ca="1">Costs!J61/('Global assumptions'!$C$7*NAIRA2010_*250)</f>
        <v>1.1892798314718915</v>
      </c>
      <c r="K61" s="1691">
        <f ca="1">Costs!K61/('Global assumptions'!$C$7*NAIRA2010_*250)</f>
        <v>1.1802202441308007</v>
      </c>
      <c r="L61" s="1691">
        <f ca="1">Costs!L61/('Global assumptions'!$C$7*NAIRA2010_*250)</f>
        <v>1.1718645034921304</v>
      </c>
      <c r="M61" s="1691">
        <f ca="1">Costs!M61/('Global assumptions'!$C$7*NAIRA2010_*250)</f>
        <v>1.1642126432081952</v>
      </c>
      <c r="N61" s="675"/>
      <c r="O61" s="1691">
        <f ca="1">Costs!O61/('Global assumptions'!$C$7*NAIRA2010_*250)</f>
        <v>0.52423916077528598</v>
      </c>
      <c r="P61" s="1691">
        <f ca="1">Costs!P61/('Global assumptions'!$C$7*NAIRA2010_*250)</f>
        <v>0.74073607952122256</v>
      </c>
      <c r="Q61" s="1691">
        <f ca="1">Costs!Q61/('Global assumptions'!$C$7*NAIRA2010_*250)</f>
        <v>0.97809097187002414</v>
      </c>
      <c r="R61" s="1691">
        <f ca="1">Costs!R61/('Global assumptions'!$C$7*NAIRA2010_*250)</f>
        <v>1.0169640507796209</v>
      </c>
      <c r="S61" s="1691">
        <f ca="1">Costs!S61/('Global assumptions'!$C$7*NAIRA2010_*250)</f>
        <v>1.0651736368618288</v>
      </c>
      <c r="T61" s="1691">
        <f ca="1">Costs!T61/('Global assumptions'!$C$7*NAIRA2010_*250)</f>
        <v>1.047948874762666</v>
      </c>
      <c r="U61" s="1691">
        <f ca="1">Costs!U61/('Global assumptions'!$C$7*NAIRA2010_*250)</f>
        <v>1.0312348048543856</v>
      </c>
      <c r="V61" s="1691">
        <f ca="1">Costs!V61/('Global assumptions'!$C$7*NAIRA2010_*250)</f>
        <v>1.015031427136988</v>
      </c>
      <c r="W61" s="1691">
        <f ca="1">Costs!W61/('Global assumptions'!$C$7*NAIRA2010_*250)</f>
        <v>0.99933874161047342</v>
      </c>
      <c r="X61" s="675"/>
      <c r="Y61" s="1691">
        <f ca="1">Costs!Y61/('Global assumptions'!$C$7*NAIRA2010_*250)</f>
        <v>0</v>
      </c>
      <c r="Z61" s="1691">
        <f ca="1">Costs!Z61/('Global assumptions'!$C$7*NAIRA2010_*250)</f>
        <v>0</v>
      </c>
      <c r="AA61" s="1691">
        <f ca="1">Costs!AA61/('Global assumptions'!$C$7*NAIRA2010_*250)</f>
        <v>0</v>
      </c>
      <c r="AB61" s="1691">
        <f ca="1">Costs!AB61/('Global assumptions'!$C$7*NAIRA2010_*250)</f>
        <v>0</v>
      </c>
      <c r="AC61" s="1691">
        <f ca="1">Costs!AC61/('Global assumptions'!$C$7*NAIRA2010_*250)</f>
        <v>0</v>
      </c>
      <c r="AD61" s="1691">
        <f ca="1">Costs!AD61/('Global assumptions'!$C$7*NAIRA2010_*250)</f>
        <v>0</v>
      </c>
      <c r="AE61" s="1691">
        <f ca="1">Costs!AE61/('Global assumptions'!$C$7*NAIRA2010_*250)</f>
        <v>0</v>
      </c>
      <c r="AF61" s="1691">
        <f ca="1">Costs!AF61/('Global assumptions'!$C$7*NAIRA2010_*250)</f>
        <v>0</v>
      </c>
      <c r="AG61" s="1691">
        <f ca="1">Costs!AG61/('Global assumptions'!$C$7*NAIRA2010_*250)</f>
        <v>0</v>
      </c>
      <c r="AH61" s="675"/>
      <c r="AI61" s="1691">
        <f ca="1">Costs!AI61/('Global assumptions'!$C$7*NAIRA2010_*250)</f>
        <v>1.0484793756129169</v>
      </c>
      <c r="AJ61" s="1691">
        <f ca="1">Costs!AJ61/('Global assumptions'!$C$7*NAIRA2010_*250)</f>
        <v>1.5146948362591994</v>
      </c>
      <c r="AK61" s="1691">
        <f ca="1">Costs!AK61/('Global assumptions'!$C$7*NAIRA2010_*250)</f>
        <v>2.0305158614159047</v>
      </c>
      <c r="AL61" s="1691">
        <f ca="1">Costs!AL61/('Global assumptions'!$C$7*NAIRA2010_*250)</f>
        <v>2.1362641049852296</v>
      </c>
      <c r="AM61" s="1691">
        <f ca="1">Costs!AM61/('Global assumptions'!$C$7*NAIRA2010_*250)</f>
        <v>2.2642169185135925</v>
      </c>
      <c r="AN61" s="1691">
        <f ca="1">Costs!AN61/('Global assumptions'!$C$7*NAIRA2010_*250)</f>
        <v>2.2372287062345575</v>
      </c>
      <c r="AO61" s="1691">
        <f ca="1">Costs!AO61/('Global assumptions'!$C$7*NAIRA2010_*250)</f>
        <v>2.2114550489851861</v>
      </c>
      <c r="AP61" s="1691">
        <f ca="1">Costs!AP61/('Global assumptions'!$C$7*NAIRA2010_*250)</f>
        <v>2.1868959306291185</v>
      </c>
      <c r="AQ61" s="1691">
        <f ca="1">Costs!AQ61/('Global assumptions'!$C$7*NAIRA2010_*250)</f>
        <v>2.1635513848186685</v>
      </c>
      <c r="AS61" s="1707">
        <f t="shared" ca="1" si="10"/>
        <v>1.9770335741615972</v>
      </c>
      <c r="AT61" s="1707">
        <f t="shared" ca="1" si="7"/>
        <v>16.57305834401506</v>
      </c>
      <c r="AU61" s="675"/>
      <c r="AV61" s="1699">
        <f>IFERROR(VLOOKUP($A61,Cost.FinanceCostTable,5,FALSE),'Global assumptions'!$D$35)</f>
        <v>7.0000000000000007E-2</v>
      </c>
      <c r="AW61" s="1690">
        <f>IFERROR(VLOOKUP($A61,Cost.FinanceCostTable,6,FALSE),'Global assumptions'!$E$35)</f>
        <v>15</v>
      </c>
      <c r="AX61" s="675"/>
      <c r="AY61" s="1691">
        <f ca="1">Costs!AY61/('Global assumptions'!$C$7*NAIRA2010_*250)</f>
        <v>0.17267627292381824</v>
      </c>
      <c r="AZ61" s="1691">
        <f ca="1">Costs!AZ61/('Global assumptions'!$C$7*NAIRA2010_*250)</f>
        <v>0.4248825561505189</v>
      </c>
      <c r="BA61" s="1691">
        <f ca="1">Costs!BA61/('Global assumptions'!$C$7*NAIRA2010_*250)</f>
        <v>0.57775297886844112</v>
      </c>
      <c r="BB61" s="1691">
        <f ca="1">Costs!BB61/('Global assumptions'!$C$7*NAIRA2010_*250)</f>
        <v>0.61446564689660532</v>
      </c>
      <c r="BC61" s="1691">
        <f ca="1">Costs!BC61/('Global assumptions'!$C$7*NAIRA2010_*250)</f>
        <v>0.65824253554609335</v>
      </c>
      <c r="BD61" s="1691">
        <f ca="1">Costs!BD61/('Global assumptions'!$C$7*NAIRA2010_*250)</f>
        <v>0.65288266380466342</v>
      </c>
      <c r="BE61" s="1691">
        <f ca="1">Costs!BE61/('Global assumptions'!$C$7*NAIRA2010_*250)</f>
        <v>0.64790919384435797</v>
      </c>
      <c r="BF61" s="1691">
        <f ca="1">Costs!BF61/('Global assumptions'!$C$7*NAIRA2010_*250)</f>
        <v>0.64332211680674922</v>
      </c>
      <c r="BG61" s="1691">
        <f ca="1">Costs!BG61/('Global assumptions'!$C$7*NAIRA2010_*250)</f>
        <v>0.63912145116605312</v>
      </c>
      <c r="BH61" s="675"/>
      <c r="BI61" s="1691">
        <f ca="1">Costs!BI61/('Global assumptions'!$C$7*NAIRA2010_*250)</f>
        <v>0.17267627292381824</v>
      </c>
      <c r="BJ61" s="1691">
        <f ca="1">Costs!BJ61/('Global assumptions'!$C$7*NAIRA2010_*250)</f>
        <v>0.59755882907433722</v>
      </c>
      <c r="BK61" s="1691">
        <f ca="1">Costs!BK61/('Global assumptions'!$C$7*NAIRA2010_*250)</f>
        <v>1.1753118079427785</v>
      </c>
      <c r="BL61" s="1691">
        <f ca="1">Costs!BL61/('Global assumptions'!$C$7*NAIRA2010_*250)</f>
        <v>1.6171011819155654</v>
      </c>
      <c r="BM61" s="1691">
        <f ca="1">Costs!BM61/('Global assumptions'!$C$7*NAIRA2010_*250)</f>
        <v>1.8504611613111399</v>
      </c>
      <c r="BN61" s="1691">
        <f ca="1">Costs!BN61/('Global assumptions'!$C$7*NAIRA2010_*250)</f>
        <v>1.9255908462473619</v>
      </c>
      <c r="BO61" s="1691">
        <f ca="1">Costs!BO61/('Global assumptions'!$C$7*NAIRA2010_*250)</f>
        <v>1.9590343931951146</v>
      </c>
      <c r="BP61" s="1691">
        <f ca="1">Costs!BP61/('Global assumptions'!$C$7*NAIRA2010_*250)</f>
        <v>1.9441139744557705</v>
      </c>
      <c r="BQ61" s="1691">
        <f ca="1">Costs!BQ61/('Global assumptions'!$C$7*NAIRA2010_*250)</f>
        <v>1.9303527618171603</v>
      </c>
      <c r="BR61" s="675"/>
      <c r="BS61" s="1691">
        <f ca="1">Costs!BS61/('Global assumptions'!$C$7*NAIRA2010_*250)</f>
        <v>0.69691543369910414</v>
      </c>
      <c r="BT61" s="1691">
        <f ca="1">Costs!BT61/('Global assumptions'!$C$7*NAIRA2010_*250)</f>
        <v>1.3382949085955598</v>
      </c>
      <c r="BU61" s="1691">
        <f ca="1">Costs!BU61/('Global assumptions'!$C$7*NAIRA2010_*250)</f>
        <v>2.1534027798128026</v>
      </c>
      <c r="BV61" s="1691">
        <f ca="1">Costs!BV61/('Global assumptions'!$C$7*NAIRA2010_*250)</f>
        <v>2.6340652326951863</v>
      </c>
      <c r="BW61" s="1691">
        <f ca="1">Costs!BW61/('Global assumptions'!$C$7*NAIRA2010_*250)</f>
        <v>2.9156347981729689</v>
      </c>
      <c r="BX61" s="1691">
        <f ca="1">Costs!BX61/('Global assumptions'!$C$7*NAIRA2010_*250)</f>
        <v>2.9735397210100278</v>
      </c>
      <c r="BY61" s="1691">
        <f ca="1">Costs!BY61/('Global assumptions'!$C$7*NAIRA2010_*250)</f>
        <v>2.9902691980495</v>
      </c>
      <c r="BZ61" s="1691">
        <f ca="1">Costs!BZ61/('Global assumptions'!$C$7*NAIRA2010_*250)</f>
        <v>2.9591454015927585</v>
      </c>
      <c r="CA61" s="1691">
        <f ca="1">Costs!CA61/('Global assumptions'!$C$7*NAIRA2010_*250)</f>
        <v>2.9296915034276338</v>
      </c>
      <c r="CC61" s="1707">
        <f t="shared" ca="1" si="11"/>
        <v>2.3989954418950603</v>
      </c>
      <c r="CD61" s="1707">
        <f t="shared" ca="1" si="8"/>
        <v>17.907915846286365</v>
      </c>
      <c r="CF61" s="1691">
        <f ca="1">Costs!CF61/('Global assumptions'!$C$7*NAIRA2010_*250)</f>
        <v>-0.35156394191381279</v>
      </c>
      <c r="CG61" s="1691">
        <f ca="1">Costs!CG61/('Global assumptions'!$C$7*NAIRA2010_*250)</f>
        <v>-0.17639992766363963</v>
      </c>
      <c r="CH61" s="1691">
        <f ca="1">Costs!CH61/('Global assumptions'!$C$7*NAIRA2010_*250)</f>
        <v>0.12288691839689773</v>
      </c>
      <c r="CI61" s="1691">
        <f ca="1">Costs!CI61/('Global assumptions'!$C$7*NAIRA2010_*250)</f>
        <v>0.49780112770995666</v>
      </c>
      <c r="CJ61" s="1691">
        <f ca="1">Costs!CJ61/('Global assumptions'!$C$7*NAIRA2010_*250)</f>
        <v>0.65141787965937614</v>
      </c>
      <c r="CK61" s="1691">
        <f ca="1">Costs!CK61/('Global assumptions'!$C$7*NAIRA2010_*250)</f>
        <v>0.73631101477547034</v>
      </c>
      <c r="CL61" s="1691">
        <f ca="1">Costs!CL61/('Global assumptions'!$C$7*NAIRA2010_*250)</f>
        <v>0.7788141490643139</v>
      </c>
      <c r="CM61" s="1691">
        <f ca="1">Costs!CM61/('Global assumptions'!$C$7*NAIRA2010_*250)</f>
        <v>0.77224947096364005</v>
      </c>
      <c r="CN61" s="1691">
        <f ca="1">Costs!CN61/('Global assumptions'!$C$7*NAIRA2010_*250)</f>
        <v>0.76614011860896514</v>
      </c>
      <c r="CP61" s="1707">
        <f t="shared" ca="1" si="12"/>
        <v>0.42196186773346306</v>
      </c>
      <c r="CQ61" s="1707">
        <f t="shared" ca="1" si="9"/>
        <v>1.334857502271301</v>
      </c>
      <c r="CR61" s="1426" t="str">
        <f t="shared" ca="1" si="13"/>
        <v>ok</v>
      </c>
    </row>
    <row r="62" spans="1:96" s="2126" customFormat="1" x14ac:dyDescent="0.2">
      <c r="A62" s="1683" t="s">
        <v>1766</v>
      </c>
      <c r="B62" s="1683" t="s">
        <v>1362</v>
      </c>
      <c r="C62" s="1683" t="s">
        <v>1189</v>
      </c>
      <c r="E62" s="1689">
        <f ca="1">Costs!E62/('Global assumptions'!$C$7*NAIRA2010_*250)</f>
        <v>10.417984275103418</v>
      </c>
      <c r="F62" s="1689">
        <f ca="1">Costs!F62/('Global assumptions'!$C$7*NAIRA2010_*250)</f>
        <v>7.6944382125681514</v>
      </c>
      <c r="G62" s="1689">
        <f ca="1">Costs!G62/('Global assumptions'!$C$7*NAIRA2010_*250)</f>
        <v>8.324109259884299</v>
      </c>
      <c r="H62" s="1689">
        <f ca="1">Costs!H62/('Global assumptions'!$C$7*NAIRA2010_*250)</f>
        <v>8.8610994355910417</v>
      </c>
      <c r="I62" s="1689">
        <f ca="1">Costs!I62/('Global assumptions'!$C$7*NAIRA2010_*250)</f>
        <v>9.3980896112977863</v>
      </c>
      <c r="J62" s="1689">
        <f ca="1">Costs!J62/('Global assumptions'!$C$7*NAIRA2010_*250)</f>
        <v>9.6323533219486901</v>
      </c>
      <c r="K62" s="1689">
        <f ca="1">Costs!K62/('Global assumptions'!$C$7*NAIRA2010_*250)</f>
        <v>9.8666170325995939</v>
      </c>
      <c r="L62" s="1689">
        <f ca="1">Costs!L62/('Global assumptions'!$C$7*NAIRA2010_*250)</f>
        <v>10.100880743250498</v>
      </c>
      <c r="M62" s="1689">
        <f ca="1">Costs!M62/('Global assumptions'!$C$7*NAIRA2010_*250)</f>
        <v>10.335144453901401</v>
      </c>
      <c r="N62" s="675"/>
      <c r="O62" s="1689">
        <f ca="1">Costs!O62/('Global assumptions'!$C$7*NAIRA2010_*250)</f>
        <v>20.023807082640378</v>
      </c>
      <c r="P62" s="1689">
        <f ca="1">Costs!P62/('Global assumptions'!$C$7*NAIRA2010_*250)</f>
        <v>13.91089785088707</v>
      </c>
      <c r="Q62" s="1689">
        <f ca="1">Costs!Q62/('Global assumptions'!$C$7*NAIRA2010_*250)</f>
        <v>14.766059205688052</v>
      </c>
      <c r="R62" s="1689">
        <f ca="1">Costs!R62/('Global assumptions'!$C$7*NAIRA2010_*250)</f>
        <v>15.495349917289778</v>
      </c>
      <c r="S62" s="1689">
        <f ca="1">Costs!S62/('Global assumptions'!$C$7*NAIRA2010_*250)</f>
        <v>16.224640628891503</v>
      </c>
      <c r="T62" s="1689">
        <f ca="1">Costs!T62/('Global assumptions'!$C$7*NAIRA2010_*250)</f>
        <v>16.542796073761988</v>
      </c>
      <c r="U62" s="1689">
        <f ca="1">Costs!U62/('Global assumptions'!$C$7*NAIRA2010_*250)</f>
        <v>16.860951518632472</v>
      </c>
      <c r="V62" s="1689">
        <f ca="1">Costs!V62/('Global assumptions'!$C$7*NAIRA2010_*250)</f>
        <v>17.179106963502957</v>
      </c>
      <c r="W62" s="1689">
        <f ca="1">Costs!W62/('Global assumptions'!$C$7*NAIRA2010_*250)</f>
        <v>17.497262408373441</v>
      </c>
      <c r="X62" s="675"/>
      <c r="Y62" s="1689">
        <f ca="1">Costs!Y62/('Global assumptions'!$C$7*NAIRA2010_*250)</f>
        <v>0</v>
      </c>
      <c r="Z62" s="1689">
        <f ca="1">Costs!Z62/('Global assumptions'!$C$7*NAIRA2010_*250)</f>
        <v>0</v>
      </c>
      <c r="AA62" s="1689">
        <f ca="1">Costs!AA62/('Global assumptions'!$C$7*NAIRA2010_*250)</f>
        <v>0</v>
      </c>
      <c r="AB62" s="1689">
        <f ca="1">Costs!AB62/('Global assumptions'!$C$7*NAIRA2010_*250)</f>
        <v>0</v>
      </c>
      <c r="AC62" s="1689">
        <f ca="1">Costs!AC62/('Global assumptions'!$C$7*NAIRA2010_*250)</f>
        <v>0</v>
      </c>
      <c r="AD62" s="1689">
        <f ca="1">Costs!AD62/('Global assumptions'!$C$7*NAIRA2010_*250)</f>
        <v>0</v>
      </c>
      <c r="AE62" s="1689">
        <f ca="1">Costs!AE62/('Global assumptions'!$C$7*NAIRA2010_*250)</f>
        <v>0</v>
      </c>
      <c r="AF62" s="1689">
        <f ca="1">Costs!AF62/('Global assumptions'!$C$7*NAIRA2010_*250)</f>
        <v>0</v>
      </c>
      <c r="AG62" s="1689">
        <f ca="1">Costs!AG62/('Global assumptions'!$C$7*NAIRA2010_*250)</f>
        <v>0</v>
      </c>
      <c r="AH62" s="675"/>
      <c r="AI62" s="1689">
        <f ca="1">Costs!AI62/('Global assumptions'!$C$7*NAIRA2010_*250)</f>
        <v>30.441791357743792</v>
      </c>
      <c r="AJ62" s="1689">
        <f ca="1">Costs!AJ62/('Global assumptions'!$C$7*NAIRA2010_*250)</f>
        <v>21.605336063455219</v>
      </c>
      <c r="AK62" s="1689">
        <f ca="1">Costs!AK62/('Global assumptions'!$C$7*NAIRA2010_*250)</f>
        <v>23.090168465572351</v>
      </c>
      <c r="AL62" s="1689">
        <f ca="1">Costs!AL62/('Global assumptions'!$C$7*NAIRA2010_*250)</f>
        <v>24.356449352880819</v>
      </c>
      <c r="AM62" s="1689">
        <f ca="1">Costs!AM62/('Global assumptions'!$C$7*NAIRA2010_*250)</f>
        <v>25.622730240189291</v>
      </c>
      <c r="AN62" s="1689">
        <f ca="1">Costs!AN62/('Global assumptions'!$C$7*NAIRA2010_*250)</f>
        <v>26.17514939571068</v>
      </c>
      <c r="AO62" s="1689">
        <f ca="1">Costs!AO62/('Global assumptions'!$C$7*NAIRA2010_*250)</f>
        <v>26.727568551232068</v>
      </c>
      <c r="AP62" s="1689">
        <f ca="1">Costs!AP62/('Global assumptions'!$C$7*NAIRA2010_*250)</f>
        <v>27.279987706753456</v>
      </c>
      <c r="AQ62" s="1689">
        <f ca="1">Costs!AQ62/('Global assumptions'!$C$7*NAIRA2010_*250)</f>
        <v>27.832406862274844</v>
      </c>
      <c r="AS62" s="1706">
        <f t="shared" ca="1" si="10"/>
        <v>25.9035097773125</v>
      </c>
      <c r="AT62" s="1706">
        <f t="shared" ca="1" si="7"/>
        <v>222.64122798129483</v>
      </c>
      <c r="AU62" s="675"/>
      <c r="AV62" s="1699">
        <f>IFERROR(VLOOKUP($A62,Cost.FinanceCostTable,5,FALSE),'Global assumptions'!$D$35)</f>
        <v>7.0000000000000007E-2</v>
      </c>
      <c r="AW62" s="1690">
        <f>IFERROR(VLOOKUP($A62,Cost.FinanceCostTable,6,FALSE),'Global assumptions'!$E$35)</f>
        <v>15</v>
      </c>
      <c r="AX62" s="675"/>
      <c r="AY62" s="1689">
        <f ca="1">Costs!AY62/('Global assumptions'!$C$7*NAIRA2010_*250)</f>
        <v>3.4315160208779028</v>
      </c>
      <c r="AZ62" s="1689">
        <f ca="1">Costs!AZ62/('Global assumptions'!$C$7*NAIRA2010_*250)</f>
        <v>4.2240397791700186</v>
      </c>
      <c r="BA62" s="1689">
        <f ca="1">Costs!BA62/('Global assumptions'!$C$7*NAIRA2010_*250)</f>
        <v>4.5697122607958498</v>
      </c>
      <c r="BB62" s="1689">
        <f ca="1">Costs!BB62/('Global assumptions'!$C$7*NAIRA2010_*250)</f>
        <v>4.8645054348450971</v>
      </c>
      <c r="BC62" s="1689">
        <f ca="1">Costs!BC62/('Global assumptions'!$C$7*NAIRA2010_*250)</f>
        <v>5.1592986088943444</v>
      </c>
      <c r="BD62" s="1689">
        <f ca="1">Costs!BD62/('Global assumptions'!$C$7*NAIRA2010_*250)</f>
        <v>5.2879030898542503</v>
      </c>
      <c r="BE62" s="1689">
        <f ca="1">Costs!BE62/('Global assumptions'!$C$7*NAIRA2010_*250)</f>
        <v>5.4165075708141561</v>
      </c>
      <c r="BF62" s="1689">
        <f ca="1">Costs!BF62/('Global assumptions'!$C$7*NAIRA2010_*250)</f>
        <v>5.5451120517740629</v>
      </c>
      <c r="BG62" s="1689">
        <f ca="1">Costs!BG62/('Global assumptions'!$C$7*NAIRA2010_*250)</f>
        <v>5.6737165327339678</v>
      </c>
      <c r="BH62" s="675"/>
      <c r="BI62" s="1689">
        <f ca="1">Costs!BI62/('Global assumptions'!$C$7*NAIRA2010_*250)</f>
        <v>3.4315160208779028</v>
      </c>
      <c r="BJ62" s="1689">
        <f ca="1">Costs!BJ62/('Global assumptions'!$C$7*NAIRA2010_*250)</f>
        <v>7.6555558000479218</v>
      </c>
      <c r="BK62" s="1689">
        <f ca="1">Costs!BK62/('Global assumptions'!$C$7*NAIRA2010_*250)</f>
        <v>12.225268060843771</v>
      </c>
      <c r="BL62" s="1689">
        <f ca="1">Costs!BL62/('Global assumptions'!$C$7*NAIRA2010_*250)</f>
        <v>13.658257474810965</v>
      </c>
      <c r="BM62" s="1689">
        <f ca="1">Costs!BM62/('Global assumptions'!$C$7*NAIRA2010_*250)</f>
        <v>14.593516304535289</v>
      </c>
      <c r="BN62" s="1689">
        <f ca="1">Costs!BN62/('Global assumptions'!$C$7*NAIRA2010_*250)</f>
        <v>15.311707133593691</v>
      </c>
      <c r="BO62" s="1689">
        <f ca="1">Costs!BO62/('Global assumptions'!$C$7*NAIRA2010_*250)</f>
        <v>15.863709269562753</v>
      </c>
      <c r="BP62" s="1689">
        <f ca="1">Costs!BP62/('Global assumptions'!$C$7*NAIRA2010_*250)</f>
        <v>16.24952271244247</v>
      </c>
      <c r="BQ62" s="1689">
        <f ca="1">Costs!BQ62/('Global assumptions'!$C$7*NAIRA2010_*250)</f>
        <v>16.635336155322186</v>
      </c>
      <c r="BR62" s="675"/>
      <c r="BS62" s="1689">
        <f ca="1">Costs!BS62/('Global assumptions'!$C$7*NAIRA2010_*250)</f>
        <v>23.455323103518278</v>
      </c>
      <c r="BT62" s="1689">
        <f ca="1">Costs!BT62/('Global assumptions'!$C$7*NAIRA2010_*250)</f>
        <v>21.566453650934992</v>
      </c>
      <c r="BU62" s="1689">
        <f ca="1">Costs!BU62/('Global assumptions'!$C$7*NAIRA2010_*250)</f>
        <v>26.991327266531822</v>
      </c>
      <c r="BV62" s="1689">
        <f ca="1">Costs!BV62/('Global assumptions'!$C$7*NAIRA2010_*250)</f>
        <v>29.153607392100742</v>
      </c>
      <c r="BW62" s="1689">
        <f ca="1">Costs!BW62/('Global assumptions'!$C$7*NAIRA2010_*250)</f>
        <v>30.818156933426796</v>
      </c>
      <c r="BX62" s="1689">
        <f ca="1">Costs!BX62/('Global assumptions'!$C$7*NAIRA2010_*250)</f>
        <v>31.854503207355677</v>
      </c>
      <c r="BY62" s="1689">
        <f ca="1">Costs!BY62/('Global assumptions'!$C$7*NAIRA2010_*250)</f>
        <v>32.724660788195223</v>
      </c>
      <c r="BZ62" s="1689">
        <f ca="1">Costs!BZ62/('Global assumptions'!$C$7*NAIRA2010_*250)</f>
        <v>33.42862967594543</v>
      </c>
      <c r="CA62" s="1689">
        <f ca="1">Costs!CA62/('Global assumptions'!$C$7*NAIRA2010_*250)</f>
        <v>34.13259856369563</v>
      </c>
      <c r="CC62" s="1706">
        <f t="shared" ca="1" si="11"/>
        <v>29.347251175744955</v>
      </c>
      <c r="CD62" s="1706">
        <f t="shared" ca="1" si="8"/>
        <v>239.86012748261774</v>
      </c>
      <c r="CF62" s="1689">
        <f ca="1">Costs!CF62/('Global assumptions'!$C$7*NAIRA2010_*250)</f>
        <v>-6.9864682542255148</v>
      </c>
      <c r="CG62" s="1689">
        <f ca="1">Costs!CG62/('Global assumptions'!$C$7*NAIRA2010_*250)</f>
        <v>-3.8882412520229212E-2</v>
      </c>
      <c r="CH62" s="1689">
        <f ca="1">Costs!CH62/('Global assumptions'!$C$7*NAIRA2010_*250)</f>
        <v>3.9011588009594727</v>
      </c>
      <c r="CI62" s="1689">
        <f ca="1">Costs!CI62/('Global assumptions'!$C$7*NAIRA2010_*250)</f>
        <v>4.797158039219922</v>
      </c>
      <c r="CJ62" s="1689">
        <f ca="1">Costs!CJ62/('Global assumptions'!$C$7*NAIRA2010_*250)</f>
        <v>5.1954266932375024</v>
      </c>
      <c r="CK62" s="1689">
        <f ca="1">Costs!CK62/('Global assumptions'!$C$7*NAIRA2010_*250)</f>
        <v>5.679353811645</v>
      </c>
      <c r="CL62" s="1689">
        <f ca="1">Costs!CL62/('Global assumptions'!$C$7*NAIRA2010_*250)</f>
        <v>5.997092236963157</v>
      </c>
      <c r="CM62" s="1689">
        <f ca="1">Costs!CM62/('Global assumptions'!$C$7*NAIRA2010_*250)</f>
        <v>6.1486419691919716</v>
      </c>
      <c r="CN62" s="1689">
        <f ca="1">Costs!CN62/('Global assumptions'!$C$7*NAIRA2010_*250)</f>
        <v>6.3001917014207827</v>
      </c>
      <c r="CP62" s="1706">
        <f t="shared" ca="1" si="12"/>
        <v>3.4437413984324512</v>
      </c>
      <c r="CQ62" s="1706">
        <f t="shared" ca="1" si="9"/>
        <v>17.218899501322944</v>
      </c>
      <c r="CR62" s="1426" t="str">
        <f t="shared" ca="1" si="13"/>
        <v>ok</v>
      </c>
    </row>
    <row r="63" spans="1:96" s="2126" customFormat="1" x14ac:dyDescent="0.2">
      <c r="A63" s="1683" t="s">
        <v>1611</v>
      </c>
      <c r="B63" s="1683" t="s">
        <v>43</v>
      </c>
      <c r="C63" s="1683" t="s">
        <v>4</v>
      </c>
      <c r="E63" s="1689">
        <f ca="1">Costs!E63/('Global assumptions'!$C$7*NAIRA2010_*250)</f>
        <v>0</v>
      </c>
      <c r="F63" s="1689">
        <f ca="1">Costs!F63/('Global assumptions'!$C$7*NAIRA2010_*250)</f>
        <v>0</v>
      </c>
      <c r="G63" s="1689">
        <f ca="1">Costs!G63/('Global assumptions'!$C$7*NAIRA2010_*250)</f>
        <v>0</v>
      </c>
      <c r="H63" s="1689">
        <f ca="1">Costs!H63/('Global assumptions'!$C$7*NAIRA2010_*250)</f>
        <v>0</v>
      </c>
      <c r="I63" s="1689">
        <f ca="1">Costs!I63/('Global assumptions'!$C$7*NAIRA2010_*250)</f>
        <v>0</v>
      </c>
      <c r="J63" s="1689">
        <f ca="1">Costs!J63/('Global assumptions'!$C$7*NAIRA2010_*250)</f>
        <v>0</v>
      </c>
      <c r="K63" s="1689">
        <f ca="1">Costs!K63/('Global assumptions'!$C$7*NAIRA2010_*250)</f>
        <v>0</v>
      </c>
      <c r="L63" s="1689">
        <f ca="1">Costs!L63/('Global assumptions'!$C$7*NAIRA2010_*250)</f>
        <v>0</v>
      </c>
      <c r="M63" s="1689">
        <f ca="1">Costs!M63/('Global assumptions'!$C$7*NAIRA2010_*250)</f>
        <v>0</v>
      </c>
      <c r="N63" s="675"/>
      <c r="O63" s="1689">
        <f ca="1">Costs!O63/('Global assumptions'!$C$7*NAIRA2010_*250)</f>
        <v>0</v>
      </c>
      <c r="P63" s="1689">
        <f ca="1">Costs!P63/('Global assumptions'!$C$7*NAIRA2010_*250)</f>
        <v>0</v>
      </c>
      <c r="Q63" s="1689">
        <f ca="1">Costs!Q63/('Global assumptions'!$C$7*NAIRA2010_*250)</f>
        <v>0</v>
      </c>
      <c r="R63" s="1689">
        <f ca="1">Costs!R63/('Global assumptions'!$C$7*NAIRA2010_*250)</f>
        <v>0</v>
      </c>
      <c r="S63" s="1689">
        <f ca="1">Costs!S63/('Global assumptions'!$C$7*NAIRA2010_*250)</f>
        <v>0</v>
      </c>
      <c r="T63" s="1689">
        <f ca="1">Costs!T63/('Global assumptions'!$C$7*NAIRA2010_*250)</f>
        <v>0</v>
      </c>
      <c r="U63" s="1689">
        <f ca="1">Costs!U63/('Global assumptions'!$C$7*NAIRA2010_*250)</f>
        <v>0</v>
      </c>
      <c r="V63" s="1689">
        <f ca="1">Costs!V63/('Global assumptions'!$C$7*NAIRA2010_*250)</f>
        <v>0</v>
      </c>
      <c r="W63" s="1689">
        <f ca="1">Costs!W63/('Global assumptions'!$C$7*NAIRA2010_*250)</f>
        <v>0</v>
      </c>
      <c r="X63" s="675"/>
      <c r="Y63" s="1689">
        <f ca="1">Costs!Y63/('Global assumptions'!$C$7*NAIRA2010_*250)</f>
        <v>0</v>
      </c>
      <c r="Z63" s="1689">
        <f ca="1">Costs!Z63/('Global assumptions'!$C$7*NAIRA2010_*250)</f>
        <v>0</v>
      </c>
      <c r="AA63" s="1689">
        <f ca="1">Costs!AA63/('Global assumptions'!$C$7*NAIRA2010_*250)</f>
        <v>0</v>
      </c>
      <c r="AB63" s="1689">
        <f ca="1">Costs!AB63/('Global assumptions'!$C$7*NAIRA2010_*250)</f>
        <v>0</v>
      </c>
      <c r="AC63" s="1689">
        <f ca="1">Costs!AC63/('Global assumptions'!$C$7*NAIRA2010_*250)</f>
        <v>0</v>
      </c>
      <c r="AD63" s="1689">
        <f ca="1">Costs!AD63/('Global assumptions'!$C$7*NAIRA2010_*250)</f>
        <v>0</v>
      </c>
      <c r="AE63" s="1689">
        <f ca="1">Costs!AE63/('Global assumptions'!$C$7*NAIRA2010_*250)</f>
        <v>0</v>
      </c>
      <c r="AF63" s="1689">
        <f ca="1">Costs!AF63/('Global assumptions'!$C$7*NAIRA2010_*250)</f>
        <v>0</v>
      </c>
      <c r="AG63" s="1689">
        <f ca="1">Costs!AG63/('Global assumptions'!$C$7*NAIRA2010_*250)</f>
        <v>0</v>
      </c>
      <c r="AH63" s="675"/>
      <c r="AI63" s="1689">
        <f ca="1">Costs!AI63/('Global assumptions'!$C$7*NAIRA2010_*250)</f>
        <v>0</v>
      </c>
      <c r="AJ63" s="1689">
        <f ca="1">Costs!AJ63/('Global assumptions'!$C$7*NAIRA2010_*250)</f>
        <v>0</v>
      </c>
      <c r="AK63" s="1689">
        <f ca="1">Costs!AK63/('Global assumptions'!$C$7*NAIRA2010_*250)</f>
        <v>0</v>
      </c>
      <c r="AL63" s="1689">
        <f ca="1">Costs!AL63/('Global assumptions'!$C$7*NAIRA2010_*250)</f>
        <v>0</v>
      </c>
      <c r="AM63" s="1689">
        <f ca="1">Costs!AM63/('Global assumptions'!$C$7*NAIRA2010_*250)</f>
        <v>0</v>
      </c>
      <c r="AN63" s="1689">
        <f ca="1">Costs!AN63/('Global assumptions'!$C$7*NAIRA2010_*250)</f>
        <v>0</v>
      </c>
      <c r="AO63" s="1689">
        <f ca="1">Costs!AO63/('Global assumptions'!$C$7*NAIRA2010_*250)</f>
        <v>0</v>
      </c>
      <c r="AP63" s="1689">
        <f ca="1">Costs!AP63/('Global assumptions'!$C$7*NAIRA2010_*250)</f>
        <v>0</v>
      </c>
      <c r="AQ63" s="1689">
        <f ca="1">Costs!AQ63/('Global assumptions'!$C$7*NAIRA2010_*250)</f>
        <v>0</v>
      </c>
      <c r="AS63" s="1706">
        <f t="shared" ca="1" si="10"/>
        <v>0</v>
      </c>
      <c r="AT63" s="1706">
        <f t="shared" ca="1" si="7"/>
        <v>0</v>
      </c>
      <c r="AU63" s="675"/>
      <c r="AV63" s="1699">
        <f>IFERROR(VLOOKUP($A63,Cost.FinanceCostTable,5,FALSE),'Global assumptions'!$D$35)</f>
        <v>0</v>
      </c>
      <c r="AW63" s="1690">
        <f>IFERROR(VLOOKUP($A63,Cost.FinanceCostTable,6,FALSE),'Global assumptions'!$E$35)</f>
        <v>5</v>
      </c>
      <c r="AX63" s="675"/>
      <c r="AY63" s="1689">
        <f ca="1">Costs!AY63/('Global assumptions'!$C$7*NAIRA2010_*250)</f>
        <v>0</v>
      </c>
      <c r="AZ63" s="1689">
        <f ca="1">Costs!AZ63/('Global assumptions'!$C$7*NAIRA2010_*250)</f>
        <v>0</v>
      </c>
      <c r="BA63" s="1689">
        <f ca="1">Costs!BA63/('Global assumptions'!$C$7*NAIRA2010_*250)</f>
        <v>0</v>
      </c>
      <c r="BB63" s="1689">
        <f ca="1">Costs!BB63/('Global assumptions'!$C$7*NAIRA2010_*250)</f>
        <v>0</v>
      </c>
      <c r="BC63" s="1689">
        <f ca="1">Costs!BC63/('Global assumptions'!$C$7*NAIRA2010_*250)</f>
        <v>0</v>
      </c>
      <c r="BD63" s="1689">
        <f ca="1">Costs!BD63/('Global assumptions'!$C$7*NAIRA2010_*250)</f>
        <v>0</v>
      </c>
      <c r="BE63" s="1689">
        <f ca="1">Costs!BE63/('Global assumptions'!$C$7*NAIRA2010_*250)</f>
        <v>0</v>
      </c>
      <c r="BF63" s="1689">
        <f ca="1">Costs!BF63/('Global assumptions'!$C$7*NAIRA2010_*250)</f>
        <v>0</v>
      </c>
      <c r="BG63" s="1689">
        <f ca="1">Costs!BG63/('Global assumptions'!$C$7*NAIRA2010_*250)</f>
        <v>0</v>
      </c>
      <c r="BH63" s="675"/>
      <c r="BI63" s="1689">
        <f ca="1">Costs!BI63/('Global assumptions'!$C$7*NAIRA2010_*250)</f>
        <v>0</v>
      </c>
      <c r="BJ63" s="1689">
        <f ca="1">Costs!BJ63/('Global assumptions'!$C$7*NAIRA2010_*250)</f>
        <v>0</v>
      </c>
      <c r="BK63" s="1689">
        <f ca="1">Costs!BK63/('Global assumptions'!$C$7*NAIRA2010_*250)</f>
        <v>0</v>
      </c>
      <c r="BL63" s="1689">
        <f ca="1">Costs!BL63/('Global assumptions'!$C$7*NAIRA2010_*250)</f>
        <v>0</v>
      </c>
      <c r="BM63" s="1689">
        <f ca="1">Costs!BM63/('Global assumptions'!$C$7*NAIRA2010_*250)</f>
        <v>0</v>
      </c>
      <c r="BN63" s="1689">
        <f ca="1">Costs!BN63/('Global assumptions'!$C$7*NAIRA2010_*250)</f>
        <v>0</v>
      </c>
      <c r="BO63" s="1689">
        <f ca="1">Costs!BO63/('Global assumptions'!$C$7*NAIRA2010_*250)</f>
        <v>0</v>
      </c>
      <c r="BP63" s="1689">
        <f ca="1">Costs!BP63/('Global assumptions'!$C$7*NAIRA2010_*250)</f>
        <v>0</v>
      </c>
      <c r="BQ63" s="1689">
        <f ca="1">Costs!BQ63/('Global assumptions'!$C$7*NAIRA2010_*250)</f>
        <v>0</v>
      </c>
      <c r="BR63" s="675"/>
      <c r="BS63" s="1689">
        <f ca="1">Costs!BS63/('Global assumptions'!$C$7*NAIRA2010_*250)</f>
        <v>0</v>
      </c>
      <c r="BT63" s="1689">
        <f ca="1">Costs!BT63/('Global assumptions'!$C$7*NAIRA2010_*250)</f>
        <v>0</v>
      </c>
      <c r="BU63" s="1689">
        <f ca="1">Costs!BU63/('Global assumptions'!$C$7*NAIRA2010_*250)</f>
        <v>0</v>
      </c>
      <c r="BV63" s="1689">
        <f ca="1">Costs!BV63/('Global assumptions'!$C$7*NAIRA2010_*250)</f>
        <v>0</v>
      </c>
      <c r="BW63" s="1689">
        <f ca="1">Costs!BW63/('Global assumptions'!$C$7*NAIRA2010_*250)</f>
        <v>0</v>
      </c>
      <c r="BX63" s="1689">
        <f ca="1">Costs!BX63/('Global assumptions'!$C$7*NAIRA2010_*250)</f>
        <v>0</v>
      </c>
      <c r="BY63" s="1689">
        <f ca="1">Costs!BY63/('Global assumptions'!$C$7*NAIRA2010_*250)</f>
        <v>0</v>
      </c>
      <c r="BZ63" s="1689">
        <f ca="1">Costs!BZ63/('Global assumptions'!$C$7*NAIRA2010_*250)</f>
        <v>0</v>
      </c>
      <c r="CA63" s="1689">
        <f ca="1">Costs!CA63/('Global assumptions'!$C$7*NAIRA2010_*250)</f>
        <v>0</v>
      </c>
      <c r="CC63" s="1706">
        <f t="shared" ca="1" si="11"/>
        <v>0</v>
      </c>
      <c r="CD63" s="1706">
        <f t="shared" ca="1" si="8"/>
        <v>0</v>
      </c>
      <c r="CF63" s="1689">
        <f ca="1">Costs!CF63/('Global assumptions'!$C$7*NAIRA2010_*250)</f>
        <v>0</v>
      </c>
      <c r="CG63" s="1689">
        <f ca="1">Costs!CG63/('Global assumptions'!$C$7*NAIRA2010_*250)</f>
        <v>0</v>
      </c>
      <c r="CH63" s="1689">
        <f ca="1">Costs!CH63/('Global assumptions'!$C$7*NAIRA2010_*250)</f>
        <v>0</v>
      </c>
      <c r="CI63" s="1689">
        <f ca="1">Costs!CI63/('Global assumptions'!$C$7*NAIRA2010_*250)</f>
        <v>0</v>
      </c>
      <c r="CJ63" s="1689">
        <f ca="1">Costs!CJ63/('Global assumptions'!$C$7*NAIRA2010_*250)</f>
        <v>0</v>
      </c>
      <c r="CK63" s="1689">
        <f ca="1">Costs!CK63/('Global assumptions'!$C$7*NAIRA2010_*250)</f>
        <v>0</v>
      </c>
      <c r="CL63" s="1689">
        <f ca="1">Costs!CL63/('Global assumptions'!$C$7*NAIRA2010_*250)</f>
        <v>0</v>
      </c>
      <c r="CM63" s="1689">
        <f ca="1">Costs!CM63/('Global assumptions'!$C$7*NAIRA2010_*250)</f>
        <v>0</v>
      </c>
      <c r="CN63" s="1689">
        <f ca="1">Costs!CN63/('Global assumptions'!$C$7*NAIRA2010_*250)</f>
        <v>0</v>
      </c>
      <c r="CP63" s="1706">
        <f t="shared" ca="1" si="12"/>
        <v>0</v>
      </c>
      <c r="CQ63" s="1706">
        <f t="shared" ca="1" si="9"/>
        <v>0</v>
      </c>
      <c r="CR63" s="1426" t="str">
        <f t="shared" ca="1" si="13"/>
        <v>ok</v>
      </c>
    </row>
    <row r="64" spans="1:96" s="2126" customFormat="1" x14ac:dyDescent="0.2">
      <c r="A64" s="1685" t="s">
        <v>1612</v>
      </c>
      <c r="B64" s="1685" t="s">
        <v>1610</v>
      </c>
      <c r="C64" s="1685" t="s">
        <v>4</v>
      </c>
      <c r="E64" s="1691">
        <f ca="1">Costs!E64/('Global assumptions'!$C$7*NAIRA2010_*250)</f>
        <v>0</v>
      </c>
      <c r="F64" s="1691">
        <f ca="1">Costs!F64/('Global assumptions'!$C$7*NAIRA2010_*250)</f>
        <v>0</v>
      </c>
      <c r="G64" s="1691">
        <f ca="1">Costs!G64/('Global assumptions'!$C$7*NAIRA2010_*250)</f>
        <v>0</v>
      </c>
      <c r="H64" s="1691">
        <f ca="1">Costs!H64/('Global assumptions'!$C$7*NAIRA2010_*250)</f>
        <v>0</v>
      </c>
      <c r="I64" s="1691">
        <f ca="1">Costs!I64/('Global assumptions'!$C$7*NAIRA2010_*250)</f>
        <v>0</v>
      </c>
      <c r="J64" s="1691">
        <f ca="1">Costs!J64/('Global assumptions'!$C$7*NAIRA2010_*250)</f>
        <v>0</v>
      </c>
      <c r="K64" s="1691">
        <f ca="1">Costs!K64/('Global assumptions'!$C$7*NAIRA2010_*250)</f>
        <v>0</v>
      </c>
      <c r="L64" s="1691">
        <f ca="1">Costs!L64/('Global assumptions'!$C$7*NAIRA2010_*250)</f>
        <v>0</v>
      </c>
      <c r="M64" s="1691">
        <f ca="1">Costs!M64/('Global assumptions'!$C$7*NAIRA2010_*250)</f>
        <v>0</v>
      </c>
      <c r="N64" s="675"/>
      <c r="O64" s="1691">
        <f ca="1">Costs!O64/('Global assumptions'!$C$7*NAIRA2010_*250)</f>
        <v>0</v>
      </c>
      <c r="P64" s="1691">
        <f ca="1">Costs!P64/('Global assumptions'!$C$7*NAIRA2010_*250)</f>
        <v>0</v>
      </c>
      <c r="Q64" s="1691">
        <f ca="1">Costs!Q64/('Global assumptions'!$C$7*NAIRA2010_*250)</f>
        <v>0</v>
      </c>
      <c r="R64" s="1691">
        <f ca="1">Costs!R64/('Global assumptions'!$C$7*NAIRA2010_*250)</f>
        <v>0</v>
      </c>
      <c r="S64" s="1691">
        <f ca="1">Costs!S64/('Global assumptions'!$C$7*NAIRA2010_*250)</f>
        <v>0</v>
      </c>
      <c r="T64" s="1691">
        <f ca="1">Costs!T64/('Global assumptions'!$C$7*NAIRA2010_*250)</f>
        <v>0</v>
      </c>
      <c r="U64" s="1691">
        <f ca="1">Costs!U64/('Global assumptions'!$C$7*NAIRA2010_*250)</f>
        <v>0</v>
      </c>
      <c r="V64" s="1691">
        <f ca="1">Costs!V64/('Global assumptions'!$C$7*NAIRA2010_*250)</f>
        <v>0</v>
      </c>
      <c r="W64" s="1691">
        <f ca="1">Costs!W64/('Global assumptions'!$C$7*NAIRA2010_*250)</f>
        <v>0</v>
      </c>
      <c r="X64" s="675"/>
      <c r="Y64" s="1691">
        <f ca="1">Costs!Y64/('Global assumptions'!$C$7*NAIRA2010_*250)</f>
        <v>0</v>
      </c>
      <c r="Z64" s="1691">
        <f ca="1">Costs!Z64/('Global assumptions'!$C$7*NAIRA2010_*250)</f>
        <v>0</v>
      </c>
      <c r="AA64" s="1691">
        <f ca="1">Costs!AA64/('Global assumptions'!$C$7*NAIRA2010_*250)</f>
        <v>0</v>
      </c>
      <c r="AB64" s="1691">
        <f ca="1">Costs!AB64/('Global assumptions'!$C$7*NAIRA2010_*250)</f>
        <v>0</v>
      </c>
      <c r="AC64" s="1691">
        <f ca="1">Costs!AC64/('Global assumptions'!$C$7*NAIRA2010_*250)</f>
        <v>0</v>
      </c>
      <c r="AD64" s="1691">
        <f ca="1">Costs!AD64/('Global assumptions'!$C$7*NAIRA2010_*250)</f>
        <v>0</v>
      </c>
      <c r="AE64" s="1691">
        <f ca="1">Costs!AE64/('Global assumptions'!$C$7*NAIRA2010_*250)</f>
        <v>0</v>
      </c>
      <c r="AF64" s="1691">
        <f ca="1">Costs!AF64/('Global assumptions'!$C$7*NAIRA2010_*250)</f>
        <v>0</v>
      </c>
      <c r="AG64" s="1691">
        <f ca="1">Costs!AG64/('Global assumptions'!$C$7*NAIRA2010_*250)</f>
        <v>0</v>
      </c>
      <c r="AH64" s="675"/>
      <c r="AI64" s="1691">
        <f ca="1">Costs!AI64/('Global assumptions'!$C$7*NAIRA2010_*250)</f>
        <v>0</v>
      </c>
      <c r="AJ64" s="1691">
        <f ca="1">Costs!AJ64/('Global assumptions'!$C$7*NAIRA2010_*250)</f>
        <v>0</v>
      </c>
      <c r="AK64" s="1691">
        <f ca="1">Costs!AK64/('Global assumptions'!$C$7*NAIRA2010_*250)</f>
        <v>0</v>
      </c>
      <c r="AL64" s="1691">
        <f ca="1">Costs!AL64/('Global assumptions'!$C$7*NAIRA2010_*250)</f>
        <v>0</v>
      </c>
      <c r="AM64" s="1691">
        <f ca="1">Costs!AM64/('Global assumptions'!$C$7*NAIRA2010_*250)</f>
        <v>0</v>
      </c>
      <c r="AN64" s="1691">
        <f ca="1">Costs!AN64/('Global assumptions'!$C$7*NAIRA2010_*250)</f>
        <v>0</v>
      </c>
      <c r="AO64" s="1691">
        <f ca="1">Costs!AO64/('Global assumptions'!$C$7*NAIRA2010_*250)</f>
        <v>0</v>
      </c>
      <c r="AP64" s="1691">
        <f ca="1">Costs!AP64/('Global assumptions'!$C$7*NAIRA2010_*250)</f>
        <v>0</v>
      </c>
      <c r="AQ64" s="1691">
        <f ca="1">Costs!AQ64/('Global assumptions'!$C$7*NAIRA2010_*250)</f>
        <v>0</v>
      </c>
      <c r="AS64" s="1707">
        <f t="shared" ca="1" si="10"/>
        <v>0</v>
      </c>
      <c r="AT64" s="1707">
        <f t="shared" ca="1" si="7"/>
        <v>0</v>
      </c>
      <c r="AU64" s="675"/>
      <c r="AV64" s="1699">
        <f>IFERROR(VLOOKUP($A64,Cost.FinanceCostTable,5,FALSE),'Global assumptions'!$D$35)</f>
        <v>0</v>
      </c>
      <c r="AW64" s="1690">
        <f>IFERROR(VLOOKUP($A64,Cost.FinanceCostTable,6,FALSE),'Global assumptions'!$E$35)</f>
        <v>5</v>
      </c>
      <c r="AX64" s="675"/>
      <c r="AY64" s="1691">
        <f ca="1">Costs!AY64/('Global assumptions'!$C$7*NAIRA2010_*250)</f>
        <v>0</v>
      </c>
      <c r="AZ64" s="1691">
        <f ca="1">Costs!AZ64/('Global assumptions'!$C$7*NAIRA2010_*250)</f>
        <v>0</v>
      </c>
      <c r="BA64" s="1691">
        <f ca="1">Costs!BA64/('Global assumptions'!$C$7*NAIRA2010_*250)</f>
        <v>0</v>
      </c>
      <c r="BB64" s="1691">
        <f ca="1">Costs!BB64/('Global assumptions'!$C$7*NAIRA2010_*250)</f>
        <v>0</v>
      </c>
      <c r="BC64" s="1691">
        <f ca="1">Costs!BC64/('Global assumptions'!$C$7*NAIRA2010_*250)</f>
        <v>0</v>
      </c>
      <c r="BD64" s="1691">
        <f ca="1">Costs!BD64/('Global assumptions'!$C$7*NAIRA2010_*250)</f>
        <v>0</v>
      </c>
      <c r="BE64" s="1691">
        <f ca="1">Costs!BE64/('Global assumptions'!$C$7*NAIRA2010_*250)</f>
        <v>0</v>
      </c>
      <c r="BF64" s="1691">
        <f ca="1">Costs!BF64/('Global assumptions'!$C$7*NAIRA2010_*250)</f>
        <v>0</v>
      </c>
      <c r="BG64" s="1691">
        <f ca="1">Costs!BG64/('Global assumptions'!$C$7*NAIRA2010_*250)</f>
        <v>0</v>
      </c>
      <c r="BH64" s="675"/>
      <c r="BI64" s="1691">
        <f ca="1">Costs!BI64/('Global assumptions'!$C$7*NAIRA2010_*250)</f>
        <v>0</v>
      </c>
      <c r="BJ64" s="1691">
        <f ca="1">Costs!BJ64/('Global assumptions'!$C$7*NAIRA2010_*250)</f>
        <v>0</v>
      </c>
      <c r="BK64" s="1691">
        <f ca="1">Costs!BK64/('Global assumptions'!$C$7*NAIRA2010_*250)</f>
        <v>0</v>
      </c>
      <c r="BL64" s="1691">
        <f ca="1">Costs!BL64/('Global assumptions'!$C$7*NAIRA2010_*250)</f>
        <v>0</v>
      </c>
      <c r="BM64" s="1691">
        <f ca="1">Costs!BM64/('Global assumptions'!$C$7*NAIRA2010_*250)</f>
        <v>0</v>
      </c>
      <c r="BN64" s="1691">
        <f ca="1">Costs!BN64/('Global assumptions'!$C$7*NAIRA2010_*250)</f>
        <v>0</v>
      </c>
      <c r="BO64" s="1691">
        <f ca="1">Costs!BO64/('Global assumptions'!$C$7*NAIRA2010_*250)</f>
        <v>0</v>
      </c>
      <c r="BP64" s="1691">
        <f ca="1">Costs!BP64/('Global assumptions'!$C$7*NAIRA2010_*250)</f>
        <v>0</v>
      </c>
      <c r="BQ64" s="1691">
        <f ca="1">Costs!BQ64/('Global assumptions'!$C$7*NAIRA2010_*250)</f>
        <v>0</v>
      </c>
      <c r="BR64" s="675"/>
      <c r="BS64" s="1691">
        <f ca="1">Costs!BS64/('Global assumptions'!$C$7*NAIRA2010_*250)</f>
        <v>0</v>
      </c>
      <c r="BT64" s="1691">
        <f ca="1">Costs!BT64/('Global assumptions'!$C$7*NAIRA2010_*250)</f>
        <v>0</v>
      </c>
      <c r="BU64" s="1691">
        <f ca="1">Costs!BU64/('Global assumptions'!$C$7*NAIRA2010_*250)</f>
        <v>0</v>
      </c>
      <c r="BV64" s="1691">
        <f ca="1">Costs!BV64/('Global assumptions'!$C$7*NAIRA2010_*250)</f>
        <v>0</v>
      </c>
      <c r="BW64" s="1691">
        <f ca="1">Costs!BW64/('Global assumptions'!$C$7*NAIRA2010_*250)</f>
        <v>0</v>
      </c>
      <c r="BX64" s="1691">
        <f ca="1">Costs!BX64/('Global assumptions'!$C$7*NAIRA2010_*250)</f>
        <v>0</v>
      </c>
      <c r="BY64" s="1691">
        <f ca="1">Costs!BY64/('Global assumptions'!$C$7*NAIRA2010_*250)</f>
        <v>0</v>
      </c>
      <c r="BZ64" s="1691">
        <f ca="1">Costs!BZ64/('Global assumptions'!$C$7*NAIRA2010_*250)</f>
        <v>0</v>
      </c>
      <c r="CA64" s="1691">
        <f ca="1">Costs!CA64/('Global assumptions'!$C$7*NAIRA2010_*250)</f>
        <v>0</v>
      </c>
      <c r="CC64" s="1707">
        <f t="shared" ca="1" si="11"/>
        <v>0</v>
      </c>
      <c r="CD64" s="1707">
        <f t="shared" ca="1" si="8"/>
        <v>0</v>
      </c>
      <c r="CF64" s="1691">
        <f ca="1">Costs!CF64/('Global assumptions'!$C$7*NAIRA2010_*250)</f>
        <v>0</v>
      </c>
      <c r="CG64" s="1691">
        <f ca="1">Costs!CG64/('Global assumptions'!$C$7*NAIRA2010_*250)</f>
        <v>0</v>
      </c>
      <c r="CH64" s="1691">
        <f ca="1">Costs!CH64/('Global assumptions'!$C$7*NAIRA2010_*250)</f>
        <v>0</v>
      </c>
      <c r="CI64" s="1691">
        <f ca="1">Costs!CI64/('Global assumptions'!$C$7*NAIRA2010_*250)</f>
        <v>0</v>
      </c>
      <c r="CJ64" s="1691">
        <f ca="1">Costs!CJ64/('Global assumptions'!$C$7*NAIRA2010_*250)</f>
        <v>0</v>
      </c>
      <c r="CK64" s="1691">
        <f ca="1">Costs!CK64/('Global assumptions'!$C$7*NAIRA2010_*250)</f>
        <v>0</v>
      </c>
      <c r="CL64" s="1691">
        <f ca="1">Costs!CL64/('Global assumptions'!$C$7*NAIRA2010_*250)</f>
        <v>0</v>
      </c>
      <c r="CM64" s="1691">
        <f ca="1">Costs!CM64/('Global assumptions'!$C$7*NAIRA2010_*250)</f>
        <v>0</v>
      </c>
      <c r="CN64" s="1691">
        <f ca="1">Costs!CN64/('Global assumptions'!$C$7*NAIRA2010_*250)</f>
        <v>0</v>
      </c>
      <c r="CP64" s="1707">
        <f t="shared" ca="1" si="12"/>
        <v>0</v>
      </c>
      <c r="CQ64" s="1707">
        <f t="shared" ca="1" si="9"/>
        <v>0</v>
      </c>
      <c r="CR64" s="1426" t="str">
        <f t="shared" ca="1" si="13"/>
        <v>ok</v>
      </c>
    </row>
    <row r="65" spans="1:96" s="2126" customFormat="1" x14ac:dyDescent="0.2">
      <c r="A65" s="1683" t="s">
        <v>313</v>
      </c>
      <c r="B65" s="1683" t="s">
        <v>306</v>
      </c>
      <c r="C65" s="1683" t="s">
        <v>4</v>
      </c>
      <c r="E65" s="1689">
        <f ca="1">Costs!E65/('Global assumptions'!$C$7*NAIRA2010_*250)</f>
        <v>2.6675673230882553</v>
      </c>
      <c r="F65" s="1689">
        <f ca="1">Costs!F65/('Global assumptions'!$C$7*NAIRA2010_*250)</f>
        <v>8.5082345633035175</v>
      </c>
      <c r="G65" s="1689">
        <f ca="1">Costs!G65/('Global assumptions'!$C$7*NAIRA2010_*250)</f>
        <v>13.941865663224721</v>
      </c>
      <c r="H65" s="1689">
        <f ca="1">Costs!H65/('Global assumptions'!$C$7*NAIRA2010_*250)</f>
        <v>20.968070609372059</v>
      </c>
      <c r="I65" s="1689">
        <f ca="1">Costs!I65/('Global assumptions'!$C$7*NAIRA2010_*250)</f>
        <v>29.767597545759951</v>
      </c>
      <c r="J65" s="1689">
        <f ca="1">Costs!J65/('Global assumptions'!$C$7*NAIRA2010_*250)</f>
        <v>31.932778022885543</v>
      </c>
      <c r="K65" s="1689">
        <f ca="1">Costs!K65/('Global assumptions'!$C$7*NAIRA2010_*250)</f>
        <v>39.652346925965333</v>
      </c>
      <c r="L65" s="1689">
        <f ca="1">Costs!L65/('Global assumptions'!$C$7*NAIRA2010_*250)</f>
        <v>48.578228208989387</v>
      </c>
      <c r="M65" s="1689">
        <f ca="1">Costs!M65/('Global assumptions'!$C$7*NAIRA2010_*250)</f>
        <v>-91.289528922918151</v>
      </c>
      <c r="N65" s="675"/>
      <c r="O65" s="1689">
        <f ca="1">Costs!O65/('Global assumptions'!$C$7*NAIRA2010_*250)</f>
        <v>3.0636591996929528</v>
      </c>
      <c r="P65" s="1689">
        <f ca="1">Costs!P65/('Global assumptions'!$C$7*NAIRA2010_*250)</f>
        <v>5.3375872411319882</v>
      </c>
      <c r="Q65" s="1689">
        <f ca="1">Costs!Q65/('Global assumptions'!$C$7*NAIRA2010_*250)</f>
        <v>8.5102590719776714</v>
      </c>
      <c r="R65" s="1689">
        <f ca="1">Costs!R65/('Global assumptions'!$C$7*NAIRA2010_*250)</f>
        <v>13.161165406150946</v>
      </c>
      <c r="S65" s="1689">
        <f ca="1">Costs!S65/('Global assumptions'!$C$7*NAIRA2010_*250)</f>
        <v>19.494019812940781</v>
      </c>
      <c r="T65" s="1689">
        <f ca="1">Costs!T65/('Global assumptions'!$C$7*NAIRA2010_*250)</f>
        <v>24.943611203310827</v>
      </c>
      <c r="U65" s="1689">
        <f ca="1">Costs!U65/('Global assumptions'!$C$7*NAIRA2010_*250)</f>
        <v>31.526355038032253</v>
      </c>
      <c r="V65" s="1689">
        <f ca="1">Costs!V65/('Global assumptions'!$C$7*NAIRA2010_*250)</f>
        <v>39.34893488056818</v>
      </c>
      <c r="W65" s="1689">
        <f ca="1">Costs!W65/('Global assumptions'!$C$7*NAIRA2010_*250)</f>
        <v>0</v>
      </c>
      <c r="X65" s="675"/>
      <c r="Y65" s="1689">
        <f ca="1">Costs!Y65/('Global assumptions'!$C$7*NAIRA2010_*250)</f>
        <v>0</v>
      </c>
      <c r="Z65" s="1689">
        <f ca="1">Costs!Z65/('Global assumptions'!$C$7*NAIRA2010_*250)</f>
        <v>0</v>
      </c>
      <c r="AA65" s="1689">
        <f ca="1">Costs!AA65/('Global assumptions'!$C$7*NAIRA2010_*250)</f>
        <v>0</v>
      </c>
      <c r="AB65" s="1689">
        <f ca="1">Costs!AB65/('Global assumptions'!$C$7*NAIRA2010_*250)</f>
        <v>0</v>
      </c>
      <c r="AC65" s="1689">
        <f ca="1">Costs!AC65/('Global assumptions'!$C$7*NAIRA2010_*250)</f>
        <v>0</v>
      </c>
      <c r="AD65" s="1689">
        <f ca="1">Costs!AD65/('Global assumptions'!$C$7*NAIRA2010_*250)</f>
        <v>0</v>
      </c>
      <c r="AE65" s="1689">
        <f ca="1">Costs!AE65/('Global assumptions'!$C$7*NAIRA2010_*250)</f>
        <v>0</v>
      </c>
      <c r="AF65" s="1689">
        <f ca="1">Costs!AF65/('Global assumptions'!$C$7*NAIRA2010_*250)</f>
        <v>0</v>
      </c>
      <c r="AG65" s="1689">
        <f ca="1">Costs!AG65/('Global assumptions'!$C$7*NAIRA2010_*250)</f>
        <v>0</v>
      </c>
      <c r="AH65" s="675"/>
      <c r="AI65" s="1689">
        <f ca="1">Costs!AI65/('Global assumptions'!$C$7*NAIRA2010_*250)</f>
        <v>5.731226522781208</v>
      </c>
      <c r="AJ65" s="1689">
        <f ca="1">Costs!AJ65/('Global assumptions'!$C$7*NAIRA2010_*250)</f>
        <v>13.845821804435504</v>
      </c>
      <c r="AK65" s="1689">
        <f ca="1">Costs!AK65/('Global assumptions'!$C$7*NAIRA2010_*250)</f>
        <v>22.452124735202389</v>
      </c>
      <c r="AL65" s="1689">
        <f ca="1">Costs!AL65/('Global assumptions'!$C$7*NAIRA2010_*250)</f>
        <v>34.129236015523006</v>
      </c>
      <c r="AM65" s="1689">
        <f ca="1">Costs!AM65/('Global assumptions'!$C$7*NAIRA2010_*250)</f>
        <v>49.261617358700732</v>
      </c>
      <c r="AN65" s="1689">
        <f ca="1">Costs!AN65/('Global assumptions'!$C$7*NAIRA2010_*250)</f>
        <v>56.876389226196366</v>
      </c>
      <c r="AO65" s="1689">
        <f ca="1">Costs!AO65/('Global assumptions'!$C$7*NAIRA2010_*250)</f>
        <v>71.178701963997582</v>
      </c>
      <c r="AP65" s="1689">
        <f ca="1">Costs!AP65/('Global assumptions'!$C$7*NAIRA2010_*250)</f>
        <v>87.927163089557581</v>
      </c>
      <c r="AQ65" s="1689">
        <f ca="1">Costs!AQ65/('Global assumptions'!$C$7*NAIRA2010_*250)</f>
        <v>-91.289528922918151</v>
      </c>
      <c r="AS65" s="1706">
        <f t="shared" ca="1" si="10"/>
        <v>27.790305754830687</v>
      </c>
      <c r="AT65" s="1706">
        <f t="shared" ca="1" si="7"/>
        <v>218.37397425786926</v>
      </c>
      <c r="AU65" s="675"/>
      <c r="AV65" s="1699">
        <f>IFERROR(VLOOKUP($A65,Cost.FinanceCostTable,5,FALSE),'Global assumptions'!$D$35)</f>
        <v>7.0000000000000007E-2</v>
      </c>
      <c r="AW65" s="1690">
        <f>IFERROR(VLOOKUP($A65,Cost.FinanceCostTable,6,FALSE),'Global assumptions'!$E$35)</f>
        <v>20</v>
      </c>
      <c r="AX65" s="675"/>
      <c r="AY65" s="1689">
        <f ca="1">Costs!AY65/('Global assumptions'!$C$7*NAIRA2010_*250)</f>
        <v>0.75539845273021522</v>
      </c>
      <c r="AZ65" s="1689">
        <f ca="1">Costs!AZ65/('Global assumptions'!$C$7*NAIRA2010_*250)</f>
        <v>4.0155857667005517</v>
      </c>
      <c r="BA65" s="1689">
        <f ca="1">Costs!BA65/('Global assumptions'!$C$7*NAIRA2010_*250)</f>
        <v>6.5800674513560864</v>
      </c>
      <c r="BB65" s="1689">
        <f ca="1">Costs!BB65/('Global assumptions'!$C$7*NAIRA2010_*250)</f>
        <v>9.8961876600489944</v>
      </c>
      <c r="BC65" s="1689">
        <f ca="1">Costs!BC65/('Global assumptions'!$C$7*NAIRA2010_*250)</f>
        <v>14.049253123460195</v>
      </c>
      <c r="BD65" s="1689">
        <f ca="1">Costs!BD65/('Global assumptions'!$C$7*NAIRA2010_*250)</f>
        <v>15.071141723450515</v>
      </c>
      <c r="BE65" s="1689">
        <f ca="1">Costs!BE65/('Global assumptions'!$C$7*NAIRA2010_*250)</f>
        <v>18.714505194642296</v>
      </c>
      <c r="BF65" s="1689">
        <f ca="1">Costs!BF65/('Global assumptions'!$C$7*NAIRA2010_*250)</f>
        <v>22.92720544035032</v>
      </c>
      <c r="BG65" s="1689">
        <f ca="1">Costs!BG65/('Global assumptions'!$C$7*NAIRA2010_*250)</f>
        <v>-43.085428623789035</v>
      </c>
      <c r="BH65" s="675"/>
      <c r="BI65" s="1689">
        <f ca="1">Costs!BI65/('Global assumptions'!$C$7*NAIRA2010_*250)</f>
        <v>0.75539845273021522</v>
      </c>
      <c r="BJ65" s="1689">
        <f ca="1">Costs!BJ65/('Global assumptions'!$C$7*NAIRA2010_*250)</f>
        <v>4.7709842194307672</v>
      </c>
      <c r="BK65" s="1689">
        <f ca="1">Costs!BK65/('Global assumptions'!$C$7*NAIRA2010_*250)</f>
        <v>11.351051670786854</v>
      </c>
      <c r="BL65" s="1689">
        <f ca="1">Costs!BL65/('Global assumptions'!$C$7*NAIRA2010_*250)</f>
        <v>21.247239330835846</v>
      </c>
      <c r="BM65" s="1689">
        <f ca="1">Costs!BM65/('Global assumptions'!$C$7*NAIRA2010_*250)</f>
        <v>34.541094001565824</v>
      </c>
      <c r="BN65" s="1689">
        <f ca="1">Costs!BN65/('Global assumptions'!$C$7*NAIRA2010_*250)</f>
        <v>45.596649958315787</v>
      </c>
      <c r="BO65" s="1689">
        <f ca="1">Costs!BO65/('Global assumptions'!$C$7*NAIRA2010_*250)</f>
        <v>57.731087701602</v>
      </c>
      <c r="BP65" s="1689">
        <f ca="1">Costs!BP65/('Global assumptions'!$C$7*NAIRA2010_*250)</f>
        <v>84.811358605363523</v>
      </c>
      <c r="BQ65" s="1689">
        <f ca="1">Costs!BQ65/('Global assumptions'!$C$7*NAIRA2010_*250)</f>
        <v>13.627423734654096</v>
      </c>
      <c r="BR65" s="675"/>
      <c r="BS65" s="1689">
        <f ca="1">Costs!BS65/('Global assumptions'!$C$7*NAIRA2010_*250)</f>
        <v>3.8190576524231683</v>
      </c>
      <c r="BT65" s="1689">
        <f ca="1">Costs!BT65/('Global assumptions'!$C$7*NAIRA2010_*250)</f>
        <v>10.108571460562755</v>
      </c>
      <c r="BU65" s="1689">
        <f ca="1">Costs!BU65/('Global assumptions'!$C$7*NAIRA2010_*250)</f>
        <v>19.861310742764527</v>
      </c>
      <c r="BV65" s="1689">
        <f ca="1">Costs!BV65/('Global assumptions'!$C$7*NAIRA2010_*250)</f>
        <v>34.408404736986789</v>
      </c>
      <c r="BW65" s="1689">
        <f ca="1">Costs!BW65/('Global assumptions'!$C$7*NAIRA2010_*250)</f>
        <v>54.035113814506609</v>
      </c>
      <c r="BX65" s="1689">
        <f ca="1">Costs!BX65/('Global assumptions'!$C$7*NAIRA2010_*250)</f>
        <v>70.540261161626617</v>
      </c>
      <c r="BY65" s="1689">
        <f ca="1">Costs!BY65/('Global assumptions'!$C$7*NAIRA2010_*250)</f>
        <v>89.257442739634257</v>
      </c>
      <c r="BZ65" s="1689">
        <f ca="1">Costs!BZ65/('Global assumptions'!$C$7*NAIRA2010_*250)</f>
        <v>124.16029348593169</v>
      </c>
      <c r="CA65" s="1689">
        <f ca="1">Costs!CA65/('Global assumptions'!$C$7*NAIRA2010_*250)</f>
        <v>13.627423734654096</v>
      </c>
      <c r="CC65" s="1706">
        <f t="shared" ca="1" si="11"/>
        <v>46.646431058787833</v>
      </c>
      <c r="CD65" s="1706">
        <f t="shared" ca="1" si="8"/>
        <v>246.55833594805426</v>
      </c>
      <c r="CF65" s="1689">
        <f ca="1">Costs!CF65/('Global assumptions'!$C$7*NAIRA2010_*250)</f>
        <v>-1.9121688703580402</v>
      </c>
      <c r="CG65" s="1689">
        <f ca="1">Costs!CG65/('Global assumptions'!$C$7*NAIRA2010_*250)</f>
        <v>-3.7372503438727493</v>
      </c>
      <c r="CH65" s="1689">
        <f ca="1">Costs!CH65/('Global assumptions'!$C$7*NAIRA2010_*250)</f>
        <v>-2.5908139924378668</v>
      </c>
      <c r="CI65" s="1689">
        <f ca="1">Costs!CI65/('Global assumptions'!$C$7*NAIRA2010_*250)</f>
        <v>0.27916872146378663</v>
      </c>
      <c r="CJ65" s="1689">
        <f ca="1">Costs!CJ65/('Global assumptions'!$C$7*NAIRA2010_*250)</f>
        <v>4.7734964558058763</v>
      </c>
      <c r="CK65" s="1689">
        <f ca="1">Costs!CK65/('Global assumptions'!$C$7*NAIRA2010_*250)</f>
        <v>13.663871935430244</v>
      </c>
      <c r="CL65" s="1689">
        <f ca="1">Costs!CL65/('Global assumptions'!$C$7*NAIRA2010_*250)</f>
        <v>18.078740775636668</v>
      </c>
      <c r="CM65" s="1689">
        <f ca="1">Costs!CM65/('Global assumptions'!$C$7*NAIRA2010_*250)</f>
        <v>36.233130396374129</v>
      </c>
      <c r="CN65" s="1689">
        <f ca="1">Costs!CN65/('Global assumptions'!$C$7*NAIRA2010_*250)</f>
        <v>104.91695265757225</v>
      </c>
      <c r="CP65" s="1706">
        <f t="shared" ca="1" si="12"/>
        <v>18.856125303957143</v>
      </c>
      <c r="CQ65" s="1706">
        <f t="shared" ca="1" si="9"/>
        <v>28.18436169018501</v>
      </c>
      <c r="CR65" s="1426" t="str">
        <f t="shared" ca="1" si="13"/>
        <v>ok</v>
      </c>
    </row>
    <row r="66" spans="1:96" s="2126" customFormat="1" x14ac:dyDescent="0.2">
      <c r="A66" s="1685" t="s">
        <v>1713</v>
      </c>
      <c r="B66" s="1685" t="s">
        <v>2172</v>
      </c>
      <c r="C66" s="1685" t="s">
        <v>1974</v>
      </c>
      <c r="E66" s="1691">
        <f ca="1">Costs!E66/('Global assumptions'!$C$7*NAIRA2010_*250)</f>
        <v>0</v>
      </c>
      <c r="F66" s="1691">
        <f ca="1">Costs!F66/('Global assumptions'!$C$7*NAIRA2010_*250)</f>
        <v>0</v>
      </c>
      <c r="G66" s="1691">
        <f ca="1">Costs!G66/('Global assumptions'!$C$7*NAIRA2010_*250)</f>
        <v>0</v>
      </c>
      <c r="H66" s="1691">
        <f ca="1">Costs!H66/('Global assumptions'!$C$7*NAIRA2010_*250)</f>
        <v>0</v>
      </c>
      <c r="I66" s="1691">
        <f ca="1">Costs!I66/('Global assumptions'!$C$7*NAIRA2010_*250)</f>
        <v>0</v>
      </c>
      <c r="J66" s="1691">
        <f ca="1">Costs!J66/('Global assumptions'!$C$7*NAIRA2010_*250)</f>
        <v>0</v>
      </c>
      <c r="K66" s="1691">
        <f ca="1">Costs!K66/('Global assumptions'!$C$7*NAIRA2010_*250)</f>
        <v>0</v>
      </c>
      <c r="L66" s="1691">
        <f ca="1">Costs!L66/('Global assumptions'!$C$7*NAIRA2010_*250)</f>
        <v>0</v>
      </c>
      <c r="M66" s="1691">
        <f ca="1">Costs!M66/('Global assumptions'!$C$7*NAIRA2010_*250)</f>
        <v>0</v>
      </c>
      <c r="N66" s="675"/>
      <c r="O66" s="1691">
        <f ca="1">Costs!O66/('Global assumptions'!$C$7*NAIRA2010_*250)</f>
        <v>0</v>
      </c>
      <c r="P66" s="1691">
        <f ca="1">Costs!P66/('Global assumptions'!$C$7*NAIRA2010_*250)</f>
        <v>0</v>
      </c>
      <c r="Q66" s="1691">
        <f ca="1">Costs!Q66/('Global assumptions'!$C$7*NAIRA2010_*250)</f>
        <v>0</v>
      </c>
      <c r="R66" s="1691">
        <f ca="1">Costs!R66/('Global assumptions'!$C$7*NAIRA2010_*250)</f>
        <v>0</v>
      </c>
      <c r="S66" s="1691">
        <f ca="1">Costs!S66/('Global assumptions'!$C$7*NAIRA2010_*250)</f>
        <v>0</v>
      </c>
      <c r="T66" s="1691">
        <f ca="1">Costs!T66/('Global assumptions'!$C$7*NAIRA2010_*250)</f>
        <v>0</v>
      </c>
      <c r="U66" s="1691">
        <f ca="1">Costs!U66/('Global assumptions'!$C$7*NAIRA2010_*250)</f>
        <v>0</v>
      </c>
      <c r="V66" s="1691">
        <f ca="1">Costs!V66/('Global assumptions'!$C$7*NAIRA2010_*250)</f>
        <v>0</v>
      </c>
      <c r="W66" s="1691">
        <f ca="1">Costs!W66/('Global assumptions'!$C$7*NAIRA2010_*250)</f>
        <v>0</v>
      </c>
      <c r="X66" s="675"/>
      <c r="Y66" s="1691">
        <f ca="1">Costs!Y66/('Global assumptions'!$C$7*NAIRA2010_*250)</f>
        <v>0</v>
      </c>
      <c r="Z66" s="1691">
        <f ca="1">Costs!Z66/('Global assumptions'!$C$7*NAIRA2010_*250)</f>
        <v>0</v>
      </c>
      <c r="AA66" s="1691">
        <f ca="1">Costs!AA66/('Global assumptions'!$C$7*NAIRA2010_*250)</f>
        <v>0</v>
      </c>
      <c r="AB66" s="1691">
        <f ca="1">Costs!AB66/('Global assumptions'!$C$7*NAIRA2010_*250)</f>
        <v>0</v>
      </c>
      <c r="AC66" s="1691">
        <f ca="1">Costs!AC66/('Global assumptions'!$C$7*NAIRA2010_*250)</f>
        <v>0</v>
      </c>
      <c r="AD66" s="1691">
        <f ca="1">Costs!AD66/('Global assumptions'!$C$7*NAIRA2010_*250)</f>
        <v>0</v>
      </c>
      <c r="AE66" s="1691">
        <f ca="1">Costs!AE66/('Global assumptions'!$C$7*NAIRA2010_*250)</f>
        <v>0</v>
      </c>
      <c r="AF66" s="1691">
        <f ca="1">Costs!AF66/('Global assumptions'!$C$7*NAIRA2010_*250)</f>
        <v>0</v>
      </c>
      <c r="AG66" s="1691">
        <f ca="1">Costs!AG66/('Global assumptions'!$C$7*NAIRA2010_*250)</f>
        <v>0</v>
      </c>
      <c r="AH66" s="675"/>
      <c r="AI66" s="1691">
        <f ca="1">Costs!AI66/('Global assumptions'!$C$7*NAIRA2010_*250)</f>
        <v>0</v>
      </c>
      <c r="AJ66" s="1691">
        <f ca="1">Costs!AJ66/('Global assumptions'!$C$7*NAIRA2010_*250)</f>
        <v>0</v>
      </c>
      <c r="AK66" s="1691">
        <f ca="1">Costs!AK66/('Global assumptions'!$C$7*NAIRA2010_*250)</f>
        <v>0</v>
      </c>
      <c r="AL66" s="1691">
        <f ca="1">Costs!AL66/('Global assumptions'!$C$7*NAIRA2010_*250)</f>
        <v>0</v>
      </c>
      <c r="AM66" s="1691">
        <f ca="1">Costs!AM66/('Global assumptions'!$C$7*NAIRA2010_*250)</f>
        <v>0</v>
      </c>
      <c r="AN66" s="1691">
        <f ca="1">Costs!AN66/('Global assumptions'!$C$7*NAIRA2010_*250)</f>
        <v>0</v>
      </c>
      <c r="AO66" s="1691">
        <f ca="1">Costs!AO66/('Global assumptions'!$C$7*NAIRA2010_*250)</f>
        <v>0</v>
      </c>
      <c r="AP66" s="1691">
        <f ca="1">Costs!AP66/('Global assumptions'!$C$7*NAIRA2010_*250)</f>
        <v>0</v>
      </c>
      <c r="AQ66" s="1691">
        <f ca="1">Costs!AQ66/('Global assumptions'!$C$7*NAIRA2010_*250)</f>
        <v>0</v>
      </c>
      <c r="AS66" s="1707">
        <f t="shared" ca="1" si="10"/>
        <v>0</v>
      </c>
      <c r="AT66" s="1707">
        <f t="shared" ca="1" si="7"/>
        <v>0</v>
      </c>
      <c r="AU66" s="675"/>
      <c r="AV66" s="1699">
        <f>IFERROR(VLOOKUP($A66,Cost.FinanceCostTable,5,FALSE),'Global assumptions'!$D$35)</f>
        <v>7.0000000000000007E-2</v>
      </c>
      <c r="AW66" s="1690">
        <f>IFERROR(VLOOKUP($A66,Cost.FinanceCostTable,6,FALSE),'Global assumptions'!$E$35)</f>
        <v>15</v>
      </c>
      <c r="AX66" s="675"/>
      <c r="AY66" s="1691">
        <f ca="1">Costs!AY66/('Global assumptions'!$C$7*NAIRA2010_*250)</f>
        <v>0</v>
      </c>
      <c r="AZ66" s="1691">
        <f ca="1">Costs!AZ66/('Global assumptions'!$C$7*NAIRA2010_*250)</f>
        <v>0</v>
      </c>
      <c r="BA66" s="1691">
        <f ca="1">Costs!BA66/('Global assumptions'!$C$7*NAIRA2010_*250)</f>
        <v>0</v>
      </c>
      <c r="BB66" s="1691">
        <f ca="1">Costs!BB66/('Global assumptions'!$C$7*NAIRA2010_*250)</f>
        <v>0</v>
      </c>
      <c r="BC66" s="1691">
        <f ca="1">Costs!BC66/('Global assumptions'!$C$7*NAIRA2010_*250)</f>
        <v>0</v>
      </c>
      <c r="BD66" s="1691">
        <f ca="1">Costs!BD66/('Global assumptions'!$C$7*NAIRA2010_*250)</f>
        <v>0</v>
      </c>
      <c r="BE66" s="1691">
        <f ca="1">Costs!BE66/('Global assumptions'!$C$7*NAIRA2010_*250)</f>
        <v>0</v>
      </c>
      <c r="BF66" s="1691">
        <f ca="1">Costs!BF66/('Global assumptions'!$C$7*NAIRA2010_*250)</f>
        <v>0</v>
      </c>
      <c r="BG66" s="1691">
        <f ca="1">Costs!BG66/('Global assumptions'!$C$7*NAIRA2010_*250)</f>
        <v>0</v>
      </c>
      <c r="BH66" s="675"/>
      <c r="BI66" s="1691">
        <f ca="1">Costs!BI66/('Global assumptions'!$C$7*NAIRA2010_*250)</f>
        <v>0</v>
      </c>
      <c r="BJ66" s="1691">
        <f ca="1">Costs!BJ66/('Global assumptions'!$C$7*NAIRA2010_*250)</f>
        <v>0</v>
      </c>
      <c r="BK66" s="1691">
        <f ca="1">Costs!BK66/('Global assumptions'!$C$7*NAIRA2010_*250)</f>
        <v>0</v>
      </c>
      <c r="BL66" s="1691">
        <f ca="1">Costs!BL66/('Global assumptions'!$C$7*NAIRA2010_*250)</f>
        <v>0</v>
      </c>
      <c r="BM66" s="1691">
        <f ca="1">Costs!BM66/('Global assumptions'!$C$7*NAIRA2010_*250)</f>
        <v>0</v>
      </c>
      <c r="BN66" s="1691">
        <f ca="1">Costs!BN66/('Global assumptions'!$C$7*NAIRA2010_*250)</f>
        <v>0</v>
      </c>
      <c r="BO66" s="1691">
        <f ca="1">Costs!BO66/('Global assumptions'!$C$7*NAIRA2010_*250)</f>
        <v>0</v>
      </c>
      <c r="BP66" s="1691">
        <f ca="1">Costs!BP66/('Global assumptions'!$C$7*NAIRA2010_*250)</f>
        <v>0</v>
      </c>
      <c r="BQ66" s="1691">
        <f ca="1">Costs!BQ66/('Global assumptions'!$C$7*NAIRA2010_*250)</f>
        <v>0</v>
      </c>
      <c r="BR66" s="675"/>
      <c r="BS66" s="1691">
        <f ca="1">Costs!BS66/('Global assumptions'!$C$7*NAIRA2010_*250)</f>
        <v>0</v>
      </c>
      <c r="BT66" s="1691">
        <f ca="1">Costs!BT66/('Global assumptions'!$C$7*NAIRA2010_*250)</f>
        <v>0</v>
      </c>
      <c r="BU66" s="1691">
        <f ca="1">Costs!BU66/('Global assumptions'!$C$7*NAIRA2010_*250)</f>
        <v>0</v>
      </c>
      <c r="BV66" s="1691">
        <f ca="1">Costs!BV66/('Global assumptions'!$C$7*NAIRA2010_*250)</f>
        <v>0</v>
      </c>
      <c r="BW66" s="1691">
        <f ca="1">Costs!BW66/('Global assumptions'!$C$7*NAIRA2010_*250)</f>
        <v>0</v>
      </c>
      <c r="BX66" s="1691">
        <f ca="1">Costs!BX66/('Global assumptions'!$C$7*NAIRA2010_*250)</f>
        <v>0</v>
      </c>
      <c r="BY66" s="1691">
        <f ca="1">Costs!BY66/('Global assumptions'!$C$7*NAIRA2010_*250)</f>
        <v>0</v>
      </c>
      <c r="BZ66" s="1691">
        <f ca="1">Costs!BZ66/('Global assumptions'!$C$7*NAIRA2010_*250)</f>
        <v>0</v>
      </c>
      <c r="CA66" s="1691">
        <f ca="1">Costs!CA66/('Global assumptions'!$C$7*NAIRA2010_*250)</f>
        <v>0</v>
      </c>
      <c r="CC66" s="1707">
        <f t="shared" ca="1" si="11"/>
        <v>0</v>
      </c>
      <c r="CD66" s="1707">
        <f t="shared" ca="1" si="8"/>
        <v>0</v>
      </c>
      <c r="CF66" s="1691">
        <f ca="1">Costs!CF66/('Global assumptions'!$C$7*NAIRA2010_*250)</f>
        <v>0</v>
      </c>
      <c r="CG66" s="1691">
        <f ca="1">Costs!CG66/('Global assumptions'!$C$7*NAIRA2010_*250)</f>
        <v>0</v>
      </c>
      <c r="CH66" s="1691">
        <f ca="1">Costs!CH66/('Global assumptions'!$C$7*NAIRA2010_*250)</f>
        <v>0</v>
      </c>
      <c r="CI66" s="1691">
        <f ca="1">Costs!CI66/('Global assumptions'!$C$7*NAIRA2010_*250)</f>
        <v>0</v>
      </c>
      <c r="CJ66" s="1691">
        <f ca="1">Costs!CJ66/('Global assumptions'!$C$7*NAIRA2010_*250)</f>
        <v>0</v>
      </c>
      <c r="CK66" s="1691">
        <f ca="1">Costs!CK66/('Global assumptions'!$C$7*NAIRA2010_*250)</f>
        <v>0</v>
      </c>
      <c r="CL66" s="1691">
        <f ca="1">Costs!CL66/('Global assumptions'!$C$7*NAIRA2010_*250)</f>
        <v>0</v>
      </c>
      <c r="CM66" s="1691">
        <f ca="1">Costs!CM66/('Global assumptions'!$C$7*NAIRA2010_*250)</f>
        <v>0</v>
      </c>
      <c r="CN66" s="1691">
        <f ca="1">Costs!CN66/('Global assumptions'!$C$7*NAIRA2010_*250)</f>
        <v>0</v>
      </c>
      <c r="CP66" s="1707">
        <f t="shared" ca="1" si="12"/>
        <v>0</v>
      </c>
      <c r="CQ66" s="1707">
        <f t="shared" ca="1" si="9"/>
        <v>0</v>
      </c>
      <c r="CR66" s="1426" t="str">
        <f t="shared" ca="1" si="13"/>
        <v>ok</v>
      </c>
    </row>
    <row r="67" spans="1:96" s="2126" customFormat="1" x14ac:dyDescent="0.2">
      <c r="A67" s="1685" t="s">
        <v>388</v>
      </c>
      <c r="B67" s="1685" t="s">
        <v>2218</v>
      </c>
      <c r="C67" s="1685" t="s">
        <v>1974</v>
      </c>
      <c r="E67" s="1691">
        <f ca="1">Costs!E67/('Global assumptions'!$C$7*NAIRA2010_*250)</f>
        <v>0</v>
      </c>
      <c r="F67" s="1691">
        <f ca="1">Costs!F67/('Global assumptions'!$C$7*NAIRA2010_*250)</f>
        <v>4.2038486178059591</v>
      </c>
      <c r="G67" s="1691">
        <f ca="1">Costs!G67/('Global assumptions'!$C$7*NAIRA2010_*250)</f>
        <v>4.2038486178059626</v>
      </c>
      <c r="H67" s="1691">
        <f ca="1">Costs!H67/('Global assumptions'!$C$7*NAIRA2010_*250)</f>
        <v>4.2038486178060088</v>
      </c>
      <c r="I67" s="1691">
        <f ca="1">Costs!I67/('Global assumptions'!$C$7*NAIRA2010_*250)</f>
        <v>4.203848617805912</v>
      </c>
      <c r="J67" s="1691">
        <f ca="1">Costs!J67/('Global assumptions'!$C$7*NAIRA2010_*250)</f>
        <v>4.2038486178060079</v>
      </c>
      <c r="K67" s="1691">
        <f ca="1">Costs!K67/('Global assumptions'!$C$7*NAIRA2010_*250)</f>
        <v>4.2038486178059591</v>
      </c>
      <c r="L67" s="1691">
        <f ca="1">Costs!L67/('Global assumptions'!$C$7*NAIRA2010_*250)</f>
        <v>4.2038486178059626</v>
      </c>
      <c r="M67" s="1691">
        <f ca="1">Costs!M67/('Global assumptions'!$C$7*NAIRA2010_*250)</f>
        <v>4.2038486178062078</v>
      </c>
      <c r="N67" s="675"/>
      <c r="O67" s="1691">
        <f ca="1">Costs!O67/('Global assumptions'!$C$7*NAIRA2010_*250)</f>
        <v>0</v>
      </c>
      <c r="P67" s="1691">
        <f ca="1">Costs!P67/('Global assumptions'!$C$7*NAIRA2010_*250)</f>
        <v>0</v>
      </c>
      <c r="Q67" s="1691">
        <f ca="1">Costs!Q67/('Global assumptions'!$C$7*NAIRA2010_*250)</f>
        <v>0</v>
      </c>
      <c r="R67" s="1691">
        <f ca="1">Costs!R67/('Global assumptions'!$C$7*NAIRA2010_*250)</f>
        <v>0</v>
      </c>
      <c r="S67" s="1691">
        <f ca="1">Costs!S67/('Global assumptions'!$C$7*NAIRA2010_*250)</f>
        <v>0</v>
      </c>
      <c r="T67" s="1691">
        <f ca="1">Costs!T67/('Global assumptions'!$C$7*NAIRA2010_*250)</f>
        <v>0</v>
      </c>
      <c r="U67" s="1691">
        <f ca="1">Costs!U67/('Global assumptions'!$C$7*NAIRA2010_*250)</f>
        <v>0</v>
      </c>
      <c r="V67" s="1691">
        <f ca="1">Costs!V67/('Global assumptions'!$C$7*NAIRA2010_*250)</f>
        <v>0</v>
      </c>
      <c r="W67" s="1691">
        <f ca="1">Costs!W67/('Global assumptions'!$C$7*NAIRA2010_*250)</f>
        <v>0</v>
      </c>
      <c r="X67" s="675"/>
      <c r="Y67" s="1691">
        <f ca="1">Costs!Y67/('Global assumptions'!$C$7*NAIRA2010_*250)</f>
        <v>0</v>
      </c>
      <c r="Z67" s="1691">
        <f ca="1">Costs!Z67/('Global assumptions'!$C$7*NAIRA2010_*250)</f>
        <v>0</v>
      </c>
      <c r="AA67" s="1691">
        <f ca="1">Costs!AA67/('Global assumptions'!$C$7*NAIRA2010_*250)</f>
        <v>0</v>
      </c>
      <c r="AB67" s="1691">
        <f ca="1">Costs!AB67/('Global assumptions'!$C$7*NAIRA2010_*250)</f>
        <v>0</v>
      </c>
      <c r="AC67" s="1691">
        <f ca="1">Costs!AC67/('Global assumptions'!$C$7*NAIRA2010_*250)</f>
        <v>0</v>
      </c>
      <c r="AD67" s="1691">
        <f ca="1">Costs!AD67/('Global assumptions'!$C$7*NAIRA2010_*250)</f>
        <v>0</v>
      </c>
      <c r="AE67" s="1691">
        <f ca="1">Costs!AE67/('Global assumptions'!$C$7*NAIRA2010_*250)</f>
        <v>0</v>
      </c>
      <c r="AF67" s="1691">
        <f ca="1">Costs!AF67/('Global assumptions'!$C$7*NAIRA2010_*250)</f>
        <v>0</v>
      </c>
      <c r="AG67" s="1691">
        <f ca="1">Costs!AG67/('Global assumptions'!$C$7*NAIRA2010_*250)</f>
        <v>0</v>
      </c>
      <c r="AH67" s="675"/>
      <c r="AI67" s="1691">
        <f ca="1">Costs!AI67/('Global assumptions'!$C$7*NAIRA2010_*250)</f>
        <v>0</v>
      </c>
      <c r="AJ67" s="1691">
        <f ca="1">Costs!AJ67/('Global assumptions'!$C$7*NAIRA2010_*250)</f>
        <v>4.2038486178059591</v>
      </c>
      <c r="AK67" s="1691">
        <f ca="1">Costs!AK67/('Global assumptions'!$C$7*NAIRA2010_*250)</f>
        <v>4.2038486178059626</v>
      </c>
      <c r="AL67" s="1691">
        <f ca="1">Costs!AL67/('Global assumptions'!$C$7*NAIRA2010_*250)</f>
        <v>4.2038486178060088</v>
      </c>
      <c r="AM67" s="1691">
        <f ca="1">Costs!AM67/('Global assumptions'!$C$7*NAIRA2010_*250)</f>
        <v>4.203848617805912</v>
      </c>
      <c r="AN67" s="1691">
        <f ca="1">Costs!AN67/('Global assumptions'!$C$7*NAIRA2010_*250)</f>
        <v>4.2038486178060079</v>
      </c>
      <c r="AO67" s="1691">
        <f ca="1">Costs!AO67/('Global assumptions'!$C$7*NAIRA2010_*250)</f>
        <v>4.2038486178059591</v>
      </c>
      <c r="AP67" s="1691">
        <f ca="1">Costs!AP67/('Global assumptions'!$C$7*NAIRA2010_*250)</f>
        <v>4.2038486178059626</v>
      </c>
      <c r="AQ67" s="1691">
        <f ca="1">Costs!AQ67/('Global assumptions'!$C$7*NAIRA2010_*250)</f>
        <v>4.2038486178062078</v>
      </c>
      <c r="AS67" s="1707">
        <f t="shared" ca="1" si="10"/>
        <v>3.7367543269386641</v>
      </c>
      <c r="AT67" s="1707">
        <f t="shared" ca="1" si="7"/>
        <v>34.391320829839898</v>
      </c>
      <c r="AU67" s="675"/>
      <c r="AV67" s="1699">
        <f>IFERROR(VLOOKUP($A67,Cost.FinanceCostTable,5,FALSE),'Global assumptions'!$D$35)</f>
        <v>7.0000000000000007E-2</v>
      </c>
      <c r="AW67" s="1690">
        <f>IFERROR(VLOOKUP($A67,Cost.FinanceCostTable,6,FALSE),'Global assumptions'!$E$35)</f>
        <v>15</v>
      </c>
      <c r="AX67" s="675"/>
      <c r="AY67" s="1691">
        <f ca="1">Costs!AY67/('Global assumptions'!$C$7*NAIRA2010_*250)</f>
        <v>0</v>
      </c>
      <c r="AZ67" s="1691">
        <f ca="1">Costs!AZ67/('Global assumptions'!$C$7*NAIRA2010_*250)</f>
        <v>2.3077999064592518</v>
      </c>
      <c r="BA67" s="1691">
        <f ca="1">Costs!BA67/('Global assumptions'!$C$7*NAIRA2010_*250)</f>
        <v>2.307799906459254</v>
      </c>
      <c r="BB67" s="1691">
        <f ca="1">Costs!BB67/('Global assumptions'!$C$7*NAIRA2010_*250)</f>
        <v>2.3077999064592793</v>
      </c>
      <c r="BC67" s="1691">
        <f ca="1">Costs!BC67/('Global assumptions'!$C$7*NAIRA2010_*250)</f>
        <v>2.3077999064592261</v>
      </c>
      <c r="BD67" s="1691">
        <f ca="1">Costs!BD67/('Global assumptions'!$C$7*NAIRA2010_*250)</f>
        <v>2.3077999064592789</v>
      </c>
      <c r="BE67" s="1691">
        <f ca="1">Costs!BE67/('Global assumptions'!$C$7*NAIRA2010_*250)</f>
        <v>2.3077999064592518</v>
      </c>
      <c r="BF67" s="1691">
        <f ca="1">Costs!BF67/('Global assumptions'!$C$7*NAIRA2010_*250)</f>
        <v>2.307799906459254</v>
      </c>
      <c r="BG67" s="1691">
        <f ca="1">Costs!BG67/('Global assumptions'!$C$7*NAIRA2010_*250)</f>
        <v>2.3077999064593886</v>
      </c>
      <c r="BH67" s="675"/>
      <c r="BI67" s="1691">
        <f ca="1">Costs!BI67/('Global assumptions'!$C$7*NAIRA2010_*250)</f>
        <v>0</v>
      </c>
      <c r="BJ67" s="1691">
        <f ca="1">Costs!BJ67/('Global assumptions'!$C$7*NAIRA2010_*250)</f>
        <v>2.3077999064592518</v>
      </c>
      <c r="BK67" s="1691">
        <f ca="1">Costs!BK67/('Global assumptions'!$C$7*NAIRA2010_*250)</f>
        <v>4.6155998129185054</v>
      </c>
      <c r="BL67" s="1691">
        <f ca="1">Costs!BL67/('Global assumptions'!$C$7*NAIRA2010_*250)</f>
        <v>6.9233997193777856</v>
      </c>
      <c r="BM67" s="1691">
        <f ca="1">Costs!BM67/('Global assumptions'!$C$7*NAIRA2010_*250)</f>
        <v>6.9233997193777599</v>
      </c>
      <c r="BN67" s="1691">
        <f ca="1">Costs!BN67/('Global assumptions'!$C$7*NAIRA2010_*250)</f>
        <v>6.9233997193777839</v>
      </c>
      <c r="BO67" s="1691">
        <f ca="1">Costs!BO67/('Global assumptions'!$C$7*NAIRA2010_*250)</f>
        <v>6.9233997193777563</v>
      </c>
      <c r="BP67" s="1691">
        <f ca="1">Costs!BP67/('Global assumptions'!$C$7*NAIRA2010_*250)</f>
        <v>6.9233997193777848</v>
      </c>
      <c r="BQ67" s="1691">
        <f ca="1">Costs!BQ67/('Global assumptions'!$C$7*NAIRA2010_*250)</f>
        <v>6.923399719377894</v>
      </c>
      <c r="BR67" s="675"/>
      <c r="BS67" s="1691">
        <f ca="1">Costs!BS67/('Global assumptions'!$C$7*NAIRA2010_*250)</f>
        <v>0</v>
      </c>
      <c r="BT67" s="1691">
        <f ca="1">Costs!BT67/('Global assumptions'!$C$7*NAIRA2010_*250)</f>
        <v>2.3077999064592518</v>
      </c>
      <c r="BU67" s="1691">
        <f ca="1">Costs!BU67/('Global assumptions'!$C$7*NAIRA2010_*250)</f>
        <v>4.6155998129185054</v>
      </c>
      <c r="BV67" s="1691">
        <f ca="1">Costs!BV67/('Global assumptions'!$C$7*NAIRA2010_*250)</f>
        <v>6.9233997193777856</v>
      </c>
      <c r="BW67" s="1691">
        <f ca="1">Costs!BW67/('Global assumptions'!$C$7*NAIRA2010_*250)</f>
        <v>6.9233997193777599</v>
      </c>
      <c r="BX67" s="1691">
        <f ca="1">Costs!BX67/('Global assumptions'!$C$7*NAIRA2010_*250)</f>
        <v>6.9233997193777839</v>
      </c>
      <c r="BY67" s="1691">
        <f ca="1">Costs!BY67/('Global assumptions'!$C$7*NAIRA2010_*250)</f>
        <v>6.9233997193777563</v>
      </c>
      <c r="BZ67" s="1691">
        <f ca="1">Costs!BZ67/('Global assumptions'!$C$7*NAIRA2010_*250)</f>
        <v>6.9233997193777848</v>
      </c>
      <c r="CA67" s="1691">
        <f ca="1">Costs!CA67/('Global assumptions'!$C$7*NAIRA2010_*250)</f>
        <v>6.923399719377894</v>
      </c>
      <c r="CC67" s="1707">
        <f t="shared" ca="1" si="11"/>
        <v>5.3848664484049458</v>
      </c>
      <c r="CD67" s="1707">
        <f t="shared" ca="1" si="8"/>
        <v>37.861326903110573</v>
      </c>
      <c r="CF67" s="1691">
        <f ca="1">Costs!CF67/('Global assumptions'!$C$7*NAIRA2010_*250)</f>
        <v>0</v>
      </c>
      <c r="CG67" s="1691">
        <f ca="1">Costs!CG67/('Global assumptions'!$C$7*NAIRA2010_*250)</f>
        <v>-1.896048711346707</v>
      </c>
      <c r="CH67" s="1691">
        <f ca="1">Costs!CH67/('Global assumptions'!$C$7*NAIRA2010_*250)</f>
        <v>0.41175119511254321</v>
      </c>
      <c r="CI67" s="1691">
        <f ca="1">Costs!CI67/('Global assumptions'!$C$7*NAIRA2010_*250)</f>
        <v>2.7195511015717768</v>
      </c>
      <c r="CJ67" s="1691">
        <f ca="1">Costs!CJ67/('Global assumptions'!$C$7*NAIRA2010_*250)</f>
        <v>2.7195511015718479</v>
      </c>
      <c r="CK67" s="1691">
        <f ca="1">Costs!CK67/('Global assumptions'!$C$7*NAIRA2010_*250)</f>
        <v>2.7195511015717759</v>
      </c>
      <c r="CL67" s="1691">
        <f ca="1">Costs!CL67/('Global assumptions'!$C$7*NAIRA2010_*250)</f>
        <v>2.7195511015717981</v>
      </c>
      <c r="CM67" s="1691">
        <f ca="1">Costs!CM67/('Global assumptions'!$C$7*NAIRA2010_*250)</f>
        <v>2.7195511015718221</v>
      </c>
      <c r="CN67" s="1691">
        <f ca="1">Costs!CN67/('Global assumptions'!$C$7*NAIRA2010_*250)</f>
        <v>2.7195511015716871</v>
      </c>
      <c r="CP67" s="1707">
        <f t="shared" ca="1" si="12"/>
        <v>1.6481121214662826</v>
      </c>
      <c r="CQ67" s="1707">
        <f t="shared" ca="1" si="9"/>
        <v>3.4700060732706772</v>
      </c>
      <c r="CR67" s="1426" t="str">
        <f t="shared" ca="1" si="13"/>
        <v>ok</v>
      </c>
    </row>
    <row r="68" spans="1:96" s="2126" customFormat="1" x14ac:dyDescent="0.2">
      <c r="A68" s="1683" t="s">
        <v>392</v>
      </c>
      <c r="B68" s="1683" t="s">
        <v>2217</v>
      </c>
      <c r="C68" s="1683" t="s">
        <v>1974</v>
      </c>
      <c r="E68" s="1689">
        <f ca="1">Costs!E68/('Global assumptions'!$C$7*NAIRA2010_*250)</f>
        <v>0</v>
      </c>
      <c r="F68" s="1689">
        <f ca="1">Costs!F68/('Global assumptions'!$C$7*NAIRA2010_*250)</f>
        <v>0.89833060546593668</v>
      </c>
      <c r="G68" s="1689">
        <f ca="1">Costs!G68/('Global assumptions'!$C$7*NAIRA2010_*250)</f>
        <v>1.4118797258079727</v>
      </c>
      <c r="H68" s="1689">
        <f ca="1">Costs!H68/('Global assumptions'!$C$7*NAIRA2010_*250)</f>
        <v>2.0242623327350615</v>
      </c>
      <c r="I68" s="1689">
        <f ca="1">Costs!I68/('Global assumptions'!$C$7*NAIRA2010_*250)</f>
        <v>2.6130170266075585</v>
      </c>
      <c r="J68" s="1689">
        <f ca="1">Costs!J68/('Global assumptions'!$C$7*NAIRA2010_*250)</f>
        <v>3.6688416351689761</v>
      </c>
      <c r="K68" s="1689">
        <f ca="1">Costs!K68/('Global assumptions'!$C$7*NAIRA2010_*250)</f>
        <v>4.2961367203037959</v>
      </c>
      <c r="L68" s="1689">
        <f ca="1">Costs!L68/('Global assumptions'!$C$7*NAIRA2010_*250)</f>
        <v>5.2835921698143702</v>
      </c>
      <c r="M68" s="1689">
        <f ca="1">Costs!M68/('Global assumptions'!$C$7*NAIRA2010_*250)</f>
        <v>6.7602828271309239</v>
      </c>
      <c r="N68" s="675"/>
      <c r="O68" s="1689">
        <f ca="1">Costs!O68/('Global assumptions'!$C$7*NAIRA2010_*250)</f>
        <v>0</v>
      </c>
      <c r="P68" s="1689">
        <f ca="1">Costs!P68/('Global assumptions'!$C$7*NAIRA2010_*250)</f>
        <v>0</v>
      </c>
      <c r="Q68" s="1689">
        <f ca="1">Costs!Q68/('Global assumptions'!$C$7*NAIRA2010_*250)</f>
        <v>0</v>
      </c>
      <c r="R68" s="1689">
        <f ca="1">Costs!R68/('Global assumptions'!$C$7*NAIRA2010_*250)</f>
        <v>0</v>
      </c>
      <c r="S68" s="1689">
        <f ca="1">Costs!S68/('Global assumptions'!$C$7*NAIRA2010_*250)</f>
        <v>0</v>
      </c>
      <c r="T68" s="1689">
        <f ca="1">Costs!T68/('Global assumptions'!$C$7*NAIRA2010_*250)</f>
        <v>0</v>
      </c>
      <c r="U68" s="1689">
        <f ca="1">Costs!U68/('Global assumptions'!$C$7*NAIRA2010_*250)</f>
        <v>0</v>
      </c>
      <c r="V68" s="1689">
        <f ca="1">Costs!V68/('Global assumptions'!$C$7*NAIRA2010_*250)</f>
        <v>0</v>
      </c>
      <c r="W68" s="1689">
        <f ca="1">Costs!W68/('Global assumptions'!$C$7*NAIRA2010_*250)</f>
        <v>0</v>
      </c>
      <c r="X68" s="675"/>
      <c r="Y68" s="1689">
        <f ca="1">Costs!Y68/('Global assumptions'!$C$7*NAIRA2010_*250)</f>
        <v>0</v>
      </c>
      <c r="Z68" s="1689">
        <f ca="1">Costs!Z68/('Global assumptions'!$C$7*NAIRA2010_*250)</f>
        <v>0</v>
      </c>
      <c r="AA68" s="1689">
        <f ca="1">Costs!AA68/('Global assumptions'!$C$7*NAIRA2010_*250)</f>
        <v>0</v>
      </c>
      <c r="AB68" s="1689">
        <f ca="1">Costs!AB68/('Global assumptions'!$C$7*NAIRA2010_*250)</f>
        <v>0</v>
      </c>
      <c r="AC68" s="1689">
        <f ca="1">Costs!AC68/('Global assumptions'!$C$7*NAIRA2010_*250)</f>
        <v>0</v>
      </c>
      <c r="AD68" s="1689">
        <f ca="1">Costs!AD68/('Global assumptions'!$C$7*NAIRA2010_*250)</f>
        <v>0</v>
      </c>
      <c r="AE68" s="1689">
        <f ca="1">Costs!AE68/('Global assumptions'!$C$7*NAIRA2010_*250)</f>
        <v>0</v>
      </c>
      <c r="AF68" s="1689">
        <f ca="1">Costs!AF68/('Global assumptions'!$C$7*NAIRA2010_*250)</f>
        <v>0</v>
      </c>
      <c r="AG68" s="1689">
        <f ca="1">Costs!AG68/('Global assumptions'!$C$7*NAIRA2010_*250)</f>
        <v>0</v>
      </c>
      <c r="AH68" s="675"/>
      <c r="AI68" s="1689">
        <f ca="1">Costs!AI68/('Global assumptions'!$C$7*NAIRA2010_*250)</f>
        <v>0</v>
      </c>
      <c r="AJ68" s="1689">
        <f ca="1">Costs!AJ68/('Global assumptions'!$C$7*NAIRA2010_*250)</f>
        <v>0.89833060546593668</v>
      </c>
      <c r="AK68" s="1689">
        <f ca="1">Costs!AK68/('Global assumptions'!$C$7*NAIRA2010_*250)</f>
        <v>1.4118797258079727</v>
      </c>
      <c r="AL68" s="1689">
        <f ca="1">Costs!AL68/('Global assumptions'!$C$7*NAIRA2010_*250)</f>
        <v>2.0242623327350615</v>
      </c>
      <c r="AM68" s="1689">
        <f ca="1">Costs!AM68/('Global assumptions'!$C$7*NAIRA2010_*250)</f>
        <v>2.6130170266075585</v>
      </c>
      <c r="AN68" s="1689">
        <f ca="1">Costs!AN68/('Global assumptions'!$C$7*NAIRA2010_*250)</f>
        <v>3.6688416351689761</v>
      </c>
      <c r="AO68" s="1689">
        <f ca="1">Costs!AO68/('Global assumptions'!$C$7*NAIRA2010_*250)</f>
        <v>4.2961367203037959</v>
      </c>
      <c r="AP68" s="1689">
        <f ca="1">Costs!AP68/('Global assumptions'!$C$7*NAIRA2010_*250)</f>
        <v>5.2835921698143702</v>
      </c>
      <c r="AQ68" s="1689">
        <f ca="1">Costs!AQ68/('Global assumptions'!$C$7*NAIRA2010_*250)</f>
        <v>6.7602828271309239</v>
      </c>
      <c r="AS68" s="1706">
        <f t="shared" ca="1" si="10"/>
        <v>2.9951492270038438</v>
      </c>
      <c r="AT68" s="1706">
        <f t="shared" ca="1" si="7"/>
        <v>15.547154116862444</v>
      </c>
      <c r="AU68" s="675"/>
      <c r="AV68" s="1699">
        <f>IFERROR(VLOOKUP($A68,Cost.FinanceCostTable,5,FALSE),'Global assumptions'!$D$35)</f>
        <v>7.0000000000000007E-2</v>
      </c>
      <c r="AW68" s="1690">
        <f>IFERROR(VLOOKUP($A68,Cost.FinanceCostTable,6,FALSE),'Global assumptions'!$E$35)</f>
        <v>15</v>
      </c>
      <c r="AX68" s="675"/>
      <c r="AY68" s="1689">
        <f ca="1">Costs!AY68/('Global assumptions'!$C$7*NAIRA2010_*250)</f>
        <v>0</v>
      </c>
      <c r="AZ68" s="1689">
        <f ca="1">Costs!AZ68/('Global assumptions'!$C$7*NAIRA2010_*250)</f>
        <v>0.49315935842280245</v>
      </c>
      <c r="BA68" s="1689">
        <f ca="1">Costs!BA68/('Global assumptions'!$C$7*NAIRA2010_*250)</f>
        <v>0.77508402309023194</v>
      </c>
      <c r="BB68" s="1689">
        <f ca="1">Costs!BB68/('Global assumptions'!$C$7*NAIRA2010_*250)</f>
        <v>1.1112656155951508</v>
      </c>
      <c r="BC68" s="1689">
        <f ca="1">Costs!BC68/('Global assumptions'!$C$7*NAIRA2010_*250)</f>
        <v>1.4344761188685846</v>
      </c>
      <c r="BD68" s="1689">
        <f ca="1">Costs!BD68/('Global assumptions'!$C$7*NAIRA2010_*250)</f>
        <v>2.0140954521040251</v>
      </c>
      <c r="BE68" s="1689">
        <f ca="1">Costs!BE68/('Global assumptions'!$C$7*NAIRA2010_*250)</f>
        <v>2.3584635943498422</v>
      </c>
      <c r="BF68" s="1689">
        <f ca="1">Costs!BF68/('Global assumptions'!$C$7*NAIRA2010_*250)</f>
        <v>2.9005500967897286</v>
      </c>
      <c r="BG68" s="1689">
        <f ca="1">Costs!BG68/('Global assumptions'!$C$7*NAIRA2010_*250)</f>
        <v>3.711213579387497</v>
      </c>
      <c r="BH68" s="675"/>
      <c r="BI68" s="1689">
        <f ca="1">Costs!BI68/('Global assumptions'!$C$7*NAIRA2010_*250)</f>
        <v>0</v>
      </c>
      <c r="BJ68" s="1689">
        <f ca="1">Costs!BJ68/('Global assumptions'!$C$7*NAIRA2010_*250)</f>
        <v>0.49315935842280245</v>
      </c>
      <c r="BK68" s="1689">
        <f ca="1">Costs!BK68/('Global assumptions'!$C$7*NAIRA2010_*250)</f>
        <v>1.2682433815130345</v>
      </c>
      <c r="BL68" s="1689">
        <f ca="1">Costs!BL68/('Global assumptions'!$C$7*NAIRA2010_*250)</f>
        <v>2.3795089971081849</v>
      </c>
      <c r="BM68" s="1689">
        <f ca="1">Costs!BM68/('Global assumptions'!$C$7*NAIRA2010_*250)</f>
        <v>3.3208257575539673</v>
      </c>
      <c r="BN68" s="1689">
        <f ca="1">Costs!BN68/('Global assumptions'!$C$7*NAIRA2010_*250)</f>
        <v>4.5598371865677603</v>
      </c>
      <c r="BO68" s="1689">
        <f ca="1">Costs!BO68/('Global assumptions'!$C$7*NAIRA2010_*250)</f>
        <v>5.8070351653224517</v>
      </c>
      <c r="BP68" s="1689">
        <f ca="1">Costs!BP68/('Global assumptions'!$C$7*NAIRA2010_*250)</f>
        <v>7.2731091432435955</v>
      </c>
      <c r="BQ68" s="1689">
        <f ca="1">Costs!BQ68/('Global assumptions'!$C$7*NAIRA2010_*250)</f>
        <v>8.9702272705270669</v>
      </c>
      <c r="BR68" s="675"/>
      <c r="BS68" s="1689">
        <f ca="1">Costs!BS68/('Global assumptions'!$C$7*NAIRA2010_*250)</f>
        <v>0</v>
      </c>
      <c r="BT68" s="1689">
        <f ca="1">Costs!BT68/('Global assumptions'!$C$7*NAIRA2010_*250)</f>
        <v>0.49315935842280245</v>
      </c>
      <c r="BU68" s="1689">
        <f ca="1">Costs!BU68/('Global assumptions'!$C$7*NAIRA2010_*250)</f>
        <v>1.2682433815130345</v>
      </c>
      <c r="BV68" s="1689">
        <f ca="1">Costs!BV68/('Global assumptions'!$C$7*NAIRA2010_*250)</f>
        <v>2.3795089971081849</v>
      </c>
      <c r="BW68" s="1689">
        <f ca="1">Costs!BW68/('Global assumptions'!$C$7*NAIRA2010_*250)</f>
        <v>3.3208257575539673</v>
      </c>
      <c r="BX68" s="1689">
        <f ca="1">Costs!BX68/('Global assumptions'!$C$7*NAIRA2010_*250)</f>
        <v>4.5598371865677603</v>
      </c>
      <c r="BY68" s="1689">
        <f ca="1">Costs!BY68/('Global assumptions'!$C$7*NAIRA2010_*250)</f>
        <v>5.8070351653224517</v>
      </c>
      <c r="BZ68" s="1689">
        <f ca="1">Costs!BZ68/('Global assumptions'!$C$7*NAIRA2010_*250)</f>
        <v>7.2731091432435955</v>
      </c>
      <c r="CA68" s="1689">
        <f ca="1">Costs!CA68/('Global assumptions'!$C$7*NAIRA2010_*250)</f>
        <v>8.9702272705270669</v>
      </c>
      <c r="CC68" s="1706">
        <f t="shared" ca="1" si="11"/>
        <v>3.7857718066954291</v>
      </c>
      <c r="CD68" s="1706">
        <f t="shared" ca="1" si="8"/>
        <v>16.770702888158478</v>
      </c>
      <c r="CF68" s="1689">
        <f ca="1">Costs!CF68/('Global assumptions'!$C$7*NAIRA2010_*250)</f>
        <v>0</v>
      </c>
      <c r="CG68" s="1689">
        <f ca="1">Costs!CG68/('Global assumptions'!$C$7*NAIRA2010_*250)</f>
        <v>-0.40517124704313418</v>
      </c>
      <c r="CH68" s="1689">
        <f ca="1">Costs!CH68/('Global assumptions'!$C$7*NAIRA2010_*250)</f>
        <v>-0.1436363442949383</v>
      </c>
      <c r="CI68" s="1689">
        <f ca="1">Costs!CI68/('Global assumptions'!$C$7*NAIRA2010_*250)</f>
        <v>0.35524666437312341</v>
      </c>
      <c r="CJ68" s="1689">
        <f ca="1">Costs!CJ68/('Global assumptions'!$C$7*NAIRA2010_*250)</f>
        <v>0.70780873094640884</v>
      </c>
      <c r="CK68" s="1689">
        <f ca="1">Costs!CK68/('Global assumptions'!$C$7*NAIRA2010_*250)</f>
        <v>0.89099555139878428</v>
      </c>
      <c r="CL68" s="1689">
        <f ca="1">Costs!CL68/('Global assumptions'!$C$7*NAIRA2010_*250)</f>
        <v>1.5108984450186558</v>
      </c>
      <c r="CM68" s="1689">
        <f ca="1">Costs!CM68/('Global assumptions'!$C$7*NAIRA2010_*250)</f>
        <v>1.9895169734292248</v>
      </c>
      <c r="CN68" s="1689">
        <f ca="1">Costs!CN68/('Global assumptions'!$C$7*NAIRA2010_*250)</f>
        <v>2.2099444433961435</v>
      </c>
      <c r="CP68" s="1706">
        <f t="shared" ca="1" si="12"/>
        <v>0.79062257969158523</v>
      </c>
      <c r="CQ68" s="1706">
        <f t="shared" ca="1" si="9"/>
        <v>1.2235487712960373</v>
      </c>
      <c r="CR68" s="1426" t="str">
        <f t="shared" ca="1" si="13"/>
        <v>ok</v>
      </c>
    </row>
    <row r="69" spans="1:96" s="2126" customFormat="1" x14ac:dyDescent="0.2">
      <c r="A69" s="1685" t="s">
        <v>393</v>
      </c>
      <c r="B69" s="1685" t="s">
        <v>2221</v>
      </c>
      <c r="C69" s="1685" t="s">
        <v>1974</v>
      </c>
      <c r="E69" s="1691">
        <f ca="1">Costs!E69/('Global assumptions'!$C$7*NAIRA2010_*250)</f>
        <v>0</v>
      </c>
      <c r="F69" s="1691">
        <f ca="1">Costs!F69/('Global assumptions'!$C$7*NAIRA2010_*250)</f>
        <v>5.3873601394122055</v>
      </c>
      <c r="G69" s="1691">
        <f ca="1">Costs!G69/('Global assumptions'!$C$7*NAIRA2010_*250)</f>
        <v>6.5507796279292627</v>
      </c>
      <c r="H69" s="1691">
        <f ca="1">Costs!H69/('Global assumptions'!$C$7*NAIRA2010_*250)</f>
        <v>9.1817302528920788</v>
      </c>
      <c r="I69" s="1691">
        <f ca="1">Costs!I69/('Global assumptions'!$C$7*NAIRA2010_*250)</f>
        <v>8.5929759791879849</v>
      </c>
      <c r="J69" s="1691">
        <f ca="1">Costs!J69/('Global assumptions'!$C$7*NAIRA2010_*250)</f>
        <v>9.2382150673190413</v>
      </c>
      <c r="K69" s="1691">
        <f ca="1">Costs!K69/('Global assumptions'!$C$7*NAIRA2010_*250)</f>
        <v>3.1499593857994226</v>
      </c>
      <c r="L69" s="1691">
        <f ca="1">Costs!L69/('Global assumptions'!$C$7*NAIRA2010_*250)</f>
        <v>2.956449512189232</v>
      </c>
      <c r="M69" s="1691">
        <f ca="1">Costs!M69/('Global assumptions'!$C$7*NAIRA2010_*250)</f>
        <v>5.7232338076191294</v>
      </c>
      <c r="N69" s="675"/>
      <c r="O69" s="1691">
        <f ca="1">Costs!O69/('Global assumptions'!$C$7*NAIRA2010_*250)</f>
        <v>0</v>
      </c>
      <c r="P69" s="1691">
        <f ca="1">Costs!P69/('Global assumptions'!$C$7*NAIRA2010_*250)</f>
        <v>0</v>
      </c>
      <c r="Q69" s="1691">
        <f ca="1">Costs!Q69/('Global assumptions'!$C$7*NAIRA2010_*250)</f>
        <v>0</v>
      </c>
      <c r="R69" s="1691">
        <f ca="1">Costs!R69/('Global assumptions'!$C$7*NAIRA2010_*250)</f>
        <v>0</v>
      </c>
      <c r="S69" s="1691">
        <f ca="1">Costs!S69/('Global assumptions'!$C$7*NAIRA2010_*250)</f>
        <v>0</v>
      </c>
      <c r="T69" s="1691">
        <f ca="1">Costs!T69/('Global assumptions'!$C$7*NAIRA2010_*250)</f>
        <v>0</v>
      </c>
      <c r="U69" s="1691">
        <f ca="1">Costs!U69/('Global assumptions'!$C$7*NAIRA2010_*250)</f>
        <v>0</v>
      </c>
      <c r="V69" s="1691">
        <f ca="1">Costs!V69/('Global assumptions'!$C$7*NAIRA2010_*250)</f>
        <v>0</v>
      </c>
      <c r="W69" s="1691">
        <f ca="1">Costs!W69/('Global assumptions'!$C$7*NAIRA2010_*250)</f>
        <v>0</v>
      </c>
      <c r="X69" s="675"/>
      <c r="Y69" s="1691">
        <f ca="1">Costs!Y69/('Global assumptions'!$C$7*NAIRA2010_*250)</f>
        <v>0</v>
      </c>
      <c r="Z69" s="1691">
        <f ca="1">Costs!Z69/('Global assumptions'!$C$7*NAIRA2010_*250)</f>
        <v>0</v>
      </c>
      <c r="AA69" s="1691">
        <f ca="1">Costs!AA69/('Global assumptions'!$C$7*NAIRA2010_*250)</f>
        <v>0</v>
      </c>
      <c r="AB69" s="1691">
        <f ca="1">Costs!AB69/('Global assumptions'!$C$7*NAIRA2010_*250)</f>
        <v>0</v>
      </c>
      <c r="AC69" s="1691">
        <f ca="1">Costs!AC69/('Global assumptions'!$C$7*NAIRA2010_*250)</f>
        <v>0</v>
      </c>
      <c r="AD69" s="1691">
        <f ca="1">Costs!AD69/('Global assumptions'!$C$7*NAIRA2010_*250)</f>
        <v>0</v>
      </c>
      <c r="AE69" s="1691">
        <f ca="1">Costs!AE69/('Global assumptions'!$C$7*NAIRA2010_*250)</f>
        <v>0</v>
      </c>
      <c r="AF69" s="1691">
        <f ca="1">Costs!AF69/('Global assumptions'!$C$7*NAIRA2010_*250)</f>
        <v>0</v>
      </c>
      <c r="AG69" s="1691">
        <f ca="1">Costs!AG69/('Global assumptions'!$C$7*NAIRA2010_*250)</f>
        <v>0</v>
      </c>
      <c r="AH69" s="675"/>
      <c r="AI69" s="1691">
        <f ca="1">Costs!AI69/('Global assumptions'!$C$7*NAIRA2010_*250)</f>
        <v>0</v>
      </c>
      <c r="AJ69" s="1691">
        <f ca="1">Costs!AJ69/('Global assumptions'!$C$7*NAIRA2010_*250)</f>
        <v>5.3873601394122055</v>
      </c>
      <c r="AK69" s="1691">
        <f ca="1">Costs!AK69/('Global assumptions'!$C$7*NAIRA2010_*250)</f>
        <v>6.5507796279292627</v>
      </c>
      <c r="AL69" s="1691">
        <f ca="1">Costs!AL69/('Global assumptions'!$C$7*NAIRA2010_*250)</f>
        <v>9.1817302528920788</v>
      </c>
      <c r="AM69" s="1691">
        <f ca="1">Costs!AM69/('Global assumptions'!$C$7*NAIRA2010_*250)</f>
        <v>8.5929759791879849</v>
      </c>
      <c r="AN69" s="1691">
        <f ca="1">Costs!AN69/('Global assumptions'!$C$7*NAIRA2010_*250)</f>
        <v>9.2382150673190413</v>
      </c>
      <c r="AO69" s="1691">
        <f ca="1">Costs!AO69/('Global assumptions'!$C$7*NAIRA2010_*250)</f>
        <v>3.1499593857994226</v>
      </c>
      <c r="AP69" s="1691">
        <f ca="1">Costs!AP69/('Global assumptions'!$C$7*NAIRA2010_*250)</f>
        <v>2.956449512189232</v>
      </c>
      <c r="AQ69" s="1691">
        <f ca="1">Costs!AQ69/('Global assumptions'!$C$7*NAIRA2010_*250)</f>
        <v>5.7232338076191294</v>
      </c>
      <c r="AS69" s="1707">
        <f t="shared" ca="1" si="10"/>
        <v>5.6423004191498167</v>
      </c>
      <c r="AT69" s="1707">
        <f t="shared" ca="1" si="7"/>
        <v>53.847186880987827</v>
      </c>
      <c r="AU69" s="675"/>
      <c r="AV69" s="1699">
        <f>IFERROR(VLOOKUP($A69,Cost.FinanceCostTable,5,FALSE),'Global assumptions'!$D$35)</f>
        <v>0</v>
      </c>
      <c r="AW69" s="1690">
        <f>IFERROR(VLOOKUP($A69,Cost.FinanceCostTable,6,FALSE),'Global assumptions'!$E$35)</f>
        <v>5</v>
      </c>
      <c r="AX69" s="675"/>
      <c r="AY69" s="1691">
        <f ca="1">Costs!AY69/('Global assumptions'!$C$7*NAIRA2010_*250)</f>
        <v>0</v>
      </c>
      <c r="AZ69" s="1691">
        <f ca="1">Costs!AZ69/('Global assumptions'!$C$7*NAIRA2010_*250)</f>
        <v>2.9575159231796264</v>
      </c>
      <c r="BA69" s="1691">
        <f ca="1">Costs!BA69/('Global assumptions'!$C$7*NAIRA2010_*250)</f>
        <v>3.5962019537374634</v>
      </c>
      <c r="BB69" s="1691">
        <f ca="1">Costs!BB69/('Global assumptions'!$C$7*NAIRA2010_*250)</f>
        <v>5.0405231361108198</v>
      </c>
      <c r="BC69" s="1691">
        <f ca="1">Costs!BC69/('Global assumptions'!$C$7*NAIRA2010_*250)</f>
        <v>4.7173128634985453</v>
      </c>
      <c r="BD69" s="1691">
        <f ca="1">Costs!BD69/('Global assumptions'!$C$7*NAIRA2010_*250)</f>
        <v>5.0715317811173897</v>
      </c>
      <c r="BE69" s="1691">
        <f ca="1">Costs!BE69/('Global assumptions'!$C$7*NAIRA2010_*250)</f>
        <v>1.7292430429363037</v>
      </c>
      <c r="BF69" s="1691">
        <f ca="1">Costs!BF69/('Global assumptions'!$C$7*NAIRA2010_*250)</f>
        <v>1.6230113231914529</v>
      </c>
      <c r="BG69" s="1691">
        <f ca="1">Costs!BG69/('Global assumptions'!$C$7*NAIRA2010_*250)</f>
        <v>3.1419015399182753</v>
      </c>
      <c r="BH69" s="675"/>
      <c r="BI69" s="1691">
        <f ca="1">Costs!BI69/('Global assumptions'!$C$7*NAIRA2010_*250)</f>
        <v>0</v>
      </c>
      <c r="BJ69" s="1691">
        <f ca="1">Costs!BJ69/('Global assumptions'!$C$7*NAIRA2010_*250)</f>
        <v>2.9575159231796264</v>
      </c>
      <c r="BK69" s="1691">
        <f ca="1">Costs!BK69/('Global assumptions'!$C$7*NAIRA2010_*250)</f>
        <v>6.5537178769170907</v>
      </c>
      <c r="BL69" s="1691">
        <f ca="1">Costs!BL69/('Global assumptions'!$C$7*NAIRA2010_*250)</f>
        <v>11.594241013027911</v>
      </c>
      <c r="BM69" s="1691">
        <f ca="1">Costs!BM69/('Global assumptions'!$C$7*NAIRA2010_*250)</f>
        <v>13.354037953346829</v>
      </c>
      <c r="BN69" s="1691">
        <f ca="1">Costs!BN69/('Global assumptions'!$C$7*NAIRA2010_*250)</f>
        <v>14.829367780726754</v>
      </c>
      <c r="BO69" s="1691">
        <f ca="1">Costs!BO69/('Global assumptions'!$C$7*NAIRA2010_*250)</f>
        <v>11.518087687552239</v>
      </c>
      <c r="BP69" s="1691">
        <f ca="1">Costs!BP69/('Global assumptions'!$C$7*NAIRA2010_*250)</f>
        <v>8.4237861472451456</v>
      </c>
      <c r="BQ69" s="1691">
        <f ca="1">Costs!BQ69/('Global assumptions'!$C$7*NAIRA2010_*250)</f>
        <v>6.494155906046033</v>
      </c>
      <c r="BR69" s="675"/>
      <c r="BS69" s="1691">
        <f ca="1">Costs!BS69/('Global assumptions'!$C$7*NAIRA2010_*250)</f>
        <v>0</v>
      </c>
      <c r="BT69" s="1691">
        <f ca="1">Costs!BT69/('Global assumptions'!$C$7*NAIRA2010_*250)</f>
        <v>2.9575159231796264</v>
      </c>
      <c r="BU69" s="1691">
        <f ca="1">Costs!BU69/('Global assumptions'!$C$7*NAIRA2010_*250)</f>
        <v>6.5537178769170907</v>
      </c>
      <c r="BV69" s="1691">
        <f ca="1">Costs!BV69/('Global assumptions'!$C$7*NAIRA2010_*250)</f>
        <v>11.594241013027911</v>
      </c>
      <c r="BW69" s="1691">
        <f ca="1">Costs!BW69/('Global assumptions'!$C$7*NAIRA2010_*250)</f>
        <v>13.354037953346829</v>
      </c>
      <c r="BX69" s="1691">
        <f ca="1">Costs!BX69/('Global assumptions'!$C$7*NAIRA2010_*250)</f>
        <v>14.829367780726754</v>
      </c>
      <c r="BY69" s="1691">
        <f ca="1">Costs!BY69/('Global assumptions'!$C$7*NAIRA2010_*250)</f>
        <v>11.518087687552239</v>
      </c>
      <c r="BZ69" s="1691">
        <f ca="1">Costs!BZ69/('Global assumptions'!$C$7*NAIRA2010_*250)</f>
        <v>8.4237861472451456</v>
      </c>
      <c r="CA69" s="1691">
        <f ca="1">Costs!CA69/('Global assumptions'!$C$7*NAIRA2010_*250)</f>
        <v>6.494155906046033</v>
      </c>
      <c r="CC69" s="1707">
        <f t="shared" ca="1" si="11"/>
        <v>8.4138789208935165</v>
      </c>
      <c r="CD69" s="1707">
        <f t="shared" ca="1" si="8"/>
        <v>59.229116494533031</v>
      </c>
      <c r="CF69" s="1691">
        <f ca="1">Costs!CF69/('Global assumptions'!$C$7*NAIRA2010_*250)</f>
        <v>0</v>
      </c>
      <c r="CG69" s="1691">
        <f ca="1">Costs!CG69/('Global assumptions'!$C$7*NAIRA2010_*250)</f>
        <v>-2.4298442162325786</v>
      </c>
      <c r="CH69" s="1691">
        <f ca="1">Costs!CH69/('Global assumptions'!$C$7*NAIRA2010_*250)</f>
        <v>2.9382489878279627E-3</v>
      </c>
      <c r="CI69" s="1691">
        <f ca="1">Costs!CI69/('Global assumptions'!$C$7*NAIRA2010_*250)</f>
        <v>2.4125107601358313</v>
      </c>
      <c r="CJ69" s="1691">
        <f ca="1">Costs!CJ69/('Global assumptions'!$C$7*NAIRA2010_*250)</f>
        <v>4.7610619741588431</v>
      </c>
      <c r="CK69" s="1691">
        <f ca="1">Costs!CK69/('Global assumptions'!$C$7*NAIRA2010_*250)</f>
        <v>5.5911527134077126</v>
      </c>
      <c r="CL69" s="1691">
        <f ca="1">Costs!CL69/('Global assumptions'!$C$7*NAIRA2010_*250)</f>
        <v>8.3681283017528152</v>
      </c>
      <c r="CM69" s="1691">
        <f ca="1">Costs!CM69/('Global assumptions'!$C$7*NAIRA2010_*250)</f>
        <v>5.4673366350559149</v>
      </c>
      <c r="CN69" s="1691">
        <f ca="1">Costs!CN69/('Global assumptions'!$C$7*NAIRA2010_*250)</f>
        <v>0.77092209842690285</v>
      </c>
      <c r="CP69" s="1707">
        <f t="shared" ca="1" si="12"/>
        <v>2.7715785017436967</v>
      </c>
      <c r="CQ69" s="1707">
        <f t="shared" ca="1" si="9"/>
        <v>5.3819296135451928</v>
      </c>
      <c r="CR69" s="1426" t="str">
        <f t="shared" ca="1" si="13"/>
        <v>ok</v>
      </c>
    </row>
    <row r="70" spans="1:96" s="2126" customFormat="1" x14ac:dyDescent="0.2">
      <c r="A70" s="1683" t="s">
        <v>360</v>
      </c>
      <c r="B70" s="1683" t="s">
        <v>176</v>
      </c>
      <c r="C70" s="1683" t="s">
        <v>33</v>
      </c>
      <c r="E70" s="1689">
        <f ca="1">Costs!E70/('Global assumptions'!$C$7*NAIRA2010_*250)</f>
        <v>0.11578296020275372</v>
      </c>
      <c r="F70" s="1689">
        <f ca="1">Costs!F70/('Global assumptions'!$C$7*NAIRA2010_*250)</f>
        <v>0.12565468260059259</v>
      </c>
      <c r="G70" s="1689">
        <f ca="1">Costs!G70/('Global assumptions'!$C$7*NAIRA2010_*250)</f>
        <v>0.13662871320823952</v>
      </c>
      <c r="H70" s="1689">
        <f ca="1">Costs!H70/('Global assumptions'!$C$7*NAIRA2010_*250)</f>
        <v>0.14884123762323692</v>
      </c>
      <c r="I70" s="1689">
        <f ca="1">Costs!I70/('Global assumptions'!$C$7*NAIRA2010_*250)</f>
        <v>0.1583920491797072</v>
      </c>
      <c r="J70" s="1689">
        <f ca="1">Costs!J70/('Global assumptions'!$C$7*NAIRA2010_*250)</f>
        <v>0.16870725895817396</v>
      </c>
      <c r="K70" s="1689">
        <f ca="1">Costs!K70/('Global assumptions'!$C$7*NAIRA2010_*250)</f>
        <v>0.17985387718485868</v>
      </c>
      <c r="L70" s="1689">
        <f ca="1">Costs!L70/('Global assumptions'!$C$7*NAIRA2010_*250)</f>
        <v>0.19190499534723751</v>
      </c>
      <c r="M70" s="1689">
        <f ca="1">Costs!M70/('Global assumptions'!$C$7*NAIRA2010_*250)</f>
        <v>0.20494034595724417</v>
      </c>
      <c r="N70" s="675"/>
      <c r="O70" s="1689">
        <f ca="1">Costs!O70/('Global assumptions'!$C$7*NAIRA2010_*250)</f>
        <v>12.207170284257945</v>
      </c>
      <c r="P70" s="1689">
        <f ca="1">Costs!P70/('Global assumptions'!$C$7*NAIRA2010_*250)</f>
        <v>12.779818269978589</v>
      </c>
      <c r="Q70" s="1689">
        <f ca="1">Costs!Q70/('Global assumptions'!$C$7*NAIRA2010_*250)</f>
        <v>13.394875266538101</v>
      </c>
      <c r="R70" s="1689">
        <f ca="1">Costs!R70/('Global assumptions'!$C$7*NAIRA2010_*250)</f>
        <v>14.056787585870719</v>
      </c>
      <c r="S70" s="1689">
        <f ca="1">Costs!S70/('Global assumptions'!$C$7*NAIRA2010_*250)</f>
        <v>14.567659919814373</v>
      </c>
      <c r="T70" s="1689">
        <f ca="1">Costs!T70/('Global assumptions'!$C$7*NAIRA2010_*250)</f>
        <v>15.10670585130628</v>
      </c>
      <c r="U70" s="1689">
        <f ca="1">Costs!U70/('Global assumptions'!$C$7*NAIRA2010_*250)</f>
        <v>15.676044725175107</v>
      </c>
      <c r="V70" s="1689">
        <f ca="1">Costs!V70/('Global assumptions'!$C$7*NAIRA2010_*250)</f>
        <v>16.277978649945457</v>
      </c>
      <c r="W70" s="1689">
        <f ca="1">Costs!W70/('Global assumptions'!$C$7*NAIRA2010_*250)</f>
        <v>16.915009034712028</v>
      </c>
      <c r="X70" s="675"/>
      <c r="Y70" s="1689">
        <f ca="1">Costs!Y70/('Global assumptions'!$C$7*NAIRA2010_*250)</f>
        <v>0</v>
      </c>
      <c r="Z70" s="1689">
        <f ca="1">Costs!Z70/('Global assumptions'!$C$7*NAIRA2010_*250)</f>
        <v>0</v>
      </c>
      <c r="AA70" s="1689">
        <f ca="1">Costs!AA70/('Global assumptions'!$C$7*NAIRA2010_*250)</f>
        <v>0</v>
      </c>
      <c r="AB70" s="1689">
        <f ca="1">Costs!AB70/('Global assumptions'!$C$7*NAIRA2010_*250)</f>
        <v>0</v>
      </c>
      <c r="AC70" s="1689">
        <f ca="1">Costs!AC70/('Global assumptions'!$C$7*NAIRA2010_*250)</f>
        <v>0</v>
      </c>
      <c r="AD70" s="1689">
        <f ca="1">Costs!AD70/('Global assumptions'!$C$7*NAIRA2010_*250)</f>
        <v>0</v>
      </c>
      <c r="AE70" s="1689">
        <f ca="1">Costs!AE70/('Global assumptions'!$C$7*NAIRA2010_*250)</f>
        <v>0</v>
      </c>
      <c r="AF70" s="1689">
        <f ca="1">Costs!AF70/('Global assumptions'!$C$7*NAIRA2010_*250)</f>
        <v>0</v>
      </c>
      <c r="AG70" s="1689">
        <f ca="1">Costs!AG70/('Global assumptions'!$C$7*NAIRA2010_*250)</f>
        <v>0</v>
      </c>
      <c r="AH70" s="675"/>
      <c r="AI70" s="1689">
        <f ca="1">Costs!AI70/('Global assumptions'!$C$7*NAIRA2010_*250)</f>
        <v>12.322953244460699</v>
      </c>
      <c r="AJ70" s="1689">
        <f ca="1">Costs!AJ70/('Global assumptions'!$C$7*NAIRA2010_*250)</f>
        <v>12.905472952579183</v>
      </c>
      <c r="AK70" s="1689">
        <f ca="1">Costs!AK70/('Global assumptions'!$C$7*NAIRA2010_*250)</f>
        <v>13.53150397974634</v>
      </c>
      <c r="AL70" s="1689">
        <f ca="1">Costs!AL70/('Global assumptions'!$C$7*NAIRA2010_*250)</f>
        <v>14.205628823493955</v>
      </c>
      <c r="AM70" s="1689">
        <f ca="1">Costs!AM70/('Global assumptions'!$C$7*NAIRA2010_*250)</f>
        <v>14.72605196899408</v>
      </c>
      <c r="AN70" s="1689">
        <f ca="1">Costs!AN70/('Global assumptions'!$C$7*NAIRA2010_*250)</f>
        <v>15.275413110264456</v>
      </c>
      <c r="AO70" s="1689">
        <f ca="1">Costs!AO70/('Global assumptions'!$C$7*NAIRA2010_*250)</f>
        <v>15.855898602359966</v>
      </c>
      <c r="AP70" s="1689">
        <f ca="1">Costs!AP70/('Global assumptions'!$C$7*NAIRA2010_*250)</f>
        <v>16.469883645292697</v>
      </c>
      <c r="AQ70" s="1689">
        <f ca="1">Costs!AQ70/('Global assumptions'!$C$7*NAIRA2010_*250)</f>
        <v>17.119949380669272</v>
      </c>
      <c r="AS70" s="1706">
        <f t="shared" ca="1" si="10"/>
        <v>14.712528411984515</v>
      </c>
      <c r="AT70" s="1706">
        <f t="shared" ca="1" si="7"/>
        <v>125.73636266638962</v>
      </c>
      <c r="AU70" s="675"/>
      <c r="AV70" s="1699">
        <f>IFERROR(VLOOKUP($A70,Cost.FinanceCostTable,5,FALSE),'Global assumptions'!$D$35)</f>
        <v>0</v>
      </c>
      <c r="AW70" s="1690">
        <f>IFERROR(VLOOKUP($A70,Cost.FinanceCostTable,6,FALSE),'Global assumptions'!$E$35)</f>
        <v>5</v>
      </c>
      <c r="AX70" s="675"/>
      <c r="AY70" s="1689">
        <f ca="1">Costs!AY70/('Global assumptions'!$C$7*NAIRA2010_*250)</f>
        <v>3.8137039986698762E-2</v>
      </c>
      <c r="AZ70" s="1689">
        <f ca="1">Costs!AZ70/('Global assumptions'!$C$7*NAIRA2010_*250)</f>
        <v>6.8981043590280802E-2</v>
      </c>
      <c r="BA70" s="1689">
        <f ca="1">Costs!BA70/('Global assumptions'!$C$7*NAIRA2010_*250)</f>
        <v>7.5005491450400558E-2</v>
      </c>
      <c r="BB70" s="1689">
        <f ca="1">Costs!BB70/('Global assumptions'!$C$7*NAIRA2010_*250)</f>
        <v>8.1709839124383177E-2</v>
      </c>
      <c r="BC70" s="1689">
        <f ca="1">Costs!BC70/('Global assumptions'!$C$7*NAIRA2010_*250)</f>
        <v>8.6952977976546622E-2</v>
      </c>
      <c r="BD70" s="1689">
        <f ca="1">Costs!BD70/('Global assumptions'!$C$7*NAIRA2010_*250)</f>
        <v>9.2615750908241173E-2</v>
      </c>
      <c r="BE70" s="1689">
        <f ca="1">Costs!BE70/('Global assumptions'!$C$7*NAIRA2010_*250)</f>
        <v>9.8734944732662394E-2</v>
      </c>
      <c r="BF70" s="1689">
        <f ca="1">Costs!BF70/('Global assumptions'!$C$7*NAIRA2010_*250)</f>
        <v>0.10535068471199174</v>
      </c>
      <c r="BG70" s="1689">
        <f ca="1">Costs!BG70/('Global assumptions'!$C$7*NAIRA2010_*250)</f>
        <v>0.11250674185235034</v>
      </c>
      <c r="BH70" s="675"/>
      <c r="BI70" s="1689">
        <f ca="1">Costs!BI70/('Global assumptions'!$C$7*NAIRA2010_*250)</f>
        <v>3.8137039986698762E-2</v>
      </c>
      <c r="BJ70" s="1689">
        <f ca="1">Costs!BJ70/('Global assumptions'!$C$7*NAIRA2010_*250)</f>
        <v>0.10711808357697958</v>
      </c>
      <c r="BK70" s="1689">
        <f ca="1">Costs!BK70/('Global assumptions'!$C$7*NAIRA2010_*250)</f>
        <v>0.18212357502738016</v>
      </c>
      <c r="BL70" s="1689">
        <f ca="1">Costs!BL70/('Global assumptions'!$C$7*NAIRA2010_*250)</f>
        <v>0.22569637416506458</v>
      </c>
      <c r="BM70" s="1689">
        <f ca="1">Costs!BM70/('Global assumptions'!$C$7*NAIRA2010_*250)</f>
        <v>0.24366830855133034</v>
      </c>
      <c r="BN70" s="1689">
        <f ca="1">Costs!BN70/('Global assumptions'!$C$7*NAIRA2010_*250)</f>
        <v>0.26127856800917099</v>
      </c>
      <c r="BO70" s="1689">
        <f ca="1">Costs!BO70/('Global assumptions'!$C$7*NAIRA2010_*250)</f>
        <v>0.27830367361745018</v>
      </c>
      <c r="BP70" s="1689">
        <f ca="1">Costs!BP70/('Global assumptions'!$C$7*NAIRA2010_*250)</f>
        <v>0.29670138035289534</v>
      </c>
      <c r="BQ70" s="1689">
        <f ca="1">Costs!BQ70/('Global assumptions'!$C$7*NAIRA2010_*250)</f>
        <v>0.31659237129700446</v>
      </c>
      <c r="BR70" s="675"/>
      <c r="BS70" s="1689">
        <f ca="1">Costs!BS70/('Global assumptions'!$C$7*NAIRA2010_*250)</f>
        <v>12.245307324244644</v>
      </c>
      <c r="BT70" s="1689">
        <f ca="1">Costs!BT70/('Global assumptions'!$C$7*NAIRA2010_*250)</f>
        <v>12.886936353555569</v>
      </c>
      <c r="BU70" s="1689">
        <f ca="1">Costs!BU70/('Global assumptions'!$C$7*NAIRA2010_*250)</f>
        <v>13.576998841565482</v>
      </c>
      <c r="BV70" s="1689">
        <f ca="1">Costs!BV70/('Global assumptions'!$C$7*NAIRA2010_*250)</f>
        <v>14.282483960035782</v>
      </c>
      <c r="BW70" s="1689">
        <f ca="1">Costs!BW70/('Global assumptions'!$C$7*NAIRA2010_*250)</f>
        <v>14.811328228365705</v>
      </c>
      <c r="BX70" s="1689">
        <f ca="1">Costs!BX70/('Global assumptions'!$C$7*NAIRA2010_*250)</f>
        <v>15.367984419315452</v>
      </c>
      <c r="BY70" s="1689">
        <f ca="1">Costs!BY70/('Global assumptions'!$C$7*NAIRA2010_*250)</f>
        <v>15.954348398792558</v>
      </c>
      <c r="BZ70" s="1689">
        <f ca="1">Costs!BZ70/('Global assumptions'!$C$7*NAIRA2010_*250)</f>
        <v>16.574680030298353</v>
      </c>
      <c r="CA70" s="1689">
        <f ca="1">Costs!CA70/('Global assumptions'!$C$7*NAIRA2010_*250)</f>
        <v>17.231601406009034</v>
      </c>
      <c r="CC70" s="1706">
        <f t="shared" ca="1" si="11"/>
        <v>14.770185440242509</v>
      </c>
      <c r="CD70" s="1706">
        <f t="shared" ca="1" si="8"/>
        <v>125.96487921179794</v>
      </c>
      <c r="CF70" s="1689">
        <f ca="1">Costs!CF70/('Global assumptions'!$C$7*NAIRA2010_*250)</f>
        <v>-7.7645920216054959E-2</v>
      </c>
      <c r="CG70" s="1689">
        <f ca="1">Costs!CG70/('Global assumptions'!$C$7*NAIRA2010_*250)</f>
        <v>-1.8536599023613026E-2</v>
      </c>
      <c r="CH70" s="1689">
        <f ca="1">Costs!CH70/('Global assumptions'!$C$7*NAIRA2010_*250)</f>
        <v>4.5494861819140642E-2</v>
      </c>
      <c r="CI70" s="1689">
        <f ca="1">Costs!CI70/('Global assumptions'!$C$7*NAIRA2010_*250)</f>
        <v>7.6855136541827643E-2</v>
      </c>
      <c r="CJ70" s="1689">
        <f ca="1">Costs!CJ70/('Global assumptions'!$C$7*NAIRA2010_*250)</f>
        <v>8.5276259371623128E-2</v>
      </c>
      <c r="CK70" s="1689">
        <f ca="1">Costs!CK70/('Global assumptions'!$C$7*NAIRA2010_*250)</f>
        <v>9.2571309050997003E-2</v>
      </c>
      <c r="CL70" s="1689">
        <f ca="1">Costs!CL70/('Global assumptions'!$C$7*NAIRA2010_*250)</f>
        <v>9.8449796432591483E-2</v>
      </c>
      <c r="CM70" s="1689">
        <f ca="1">Costs!CM70/('Global assumptions'!$C$7*NAIRA2010_*250)</f>
        <v>0.10479638500565783</v>
      </c>
      <c r="CN70" s="1689">
        <f ca="1">Costs!CN70/('Global assumptions'!$C$7*NAIRA2010_*250)</f>
        <v>0.11165202533976032</v>
      </c>
      <c r="CP70" s="1706">
        <f t="shared" ca="1" si="12"/>
        <v>5.7657028257992238E-2</v>
      </c>
      <c r="CQ70" s="1706">
        <f t="shared" ca="1" si="9"/>
        <v>0.22851654540833646</v>
      </c>
      <c r="CR70" s="1426" t="str">
        <f t="shared" ca="1" si="13"/>
        <v>ok</v>
      </c>
    </row>
    <row r="71" spans="1:96" s="2126" customFormat="1" x14ac:dyDescent="0.2">
      <c r="A71" s="1685" t="s">
        <v>2592</v>
      </c>
      <c r="B71" s="1685" t="s">
        <v>2591</v>
      </c>
      <c r="C71" s="1685" t="s">
        <v>125</v>
      </c>
      <c r="E71" s="1691">
        <f ca="1">Costs!E71/('Global assumptions'!$C$7*NAIRA2010_*250)</f>
        <v>0</v>
      </c>
      <c r="F71" s="1691">
        <f ca="1">Costs!F71/('Global assumptions'!$C$7*NAIRA2010_*250)</f>
        <v>1132.7168770762521</v>
      </c>
      <c r="G71" s="1691">
        <f ca="1">Costs!G71/('Global assumptions'!$C$7*NAIRA2010_*250)</f>
        <v>436.37987317698872</v>
      </c>
      <c r="H71" s="1691">
        <f ca="1">Costs!H71/('Global assumptions'!$C$7*NAIRA2010_*250)</f>
        <v>462.25661326793272</v>
      </c>
      <c r="I71" s="1691">
        <f ca="1">Costs!I71/('Global assumptions'!$C$7*NAIRA2010_*250)</f>
        <v>492.56574897923065</v>
      </c>
      <c r="J71" s="1691">
        <f ca="1">Costs!J71/('Global assumptions'!$C$7*NAIRA2010_*250)</f>
        <v>528.81387318571967</v>
      </c>
      <c r="K71" s="1691">
        <f ca="1">Costs!K71/('Global assumptions'!$C$7*NAIRA2010_*250)</f>
        <v>536.02185326343363</v>
      </c>
      <c r="L71" s="1691">
        <f ca="1">Costs!L71/('Global assumptions'!$C$7*NAIRA2010_*250)</f>
        <v>571.78960480850878</v>
      </c>
      <c r="M71" s="1691">
        <f ca="1">Costs!M71/('Global assumptions'!$C$7*NAIRA2010_*250)</f>
        <v>615.31658526616116</v>
      </c>
      <c r="N71" s="675"/>
      <c r="O71" s="1691">
        <f ca="1">Costs!O71/('Global assumptions'!$C$7*NAIRA2010_*250)</f>
        <v>1683.6863475209821</v>
      </c>
      <c r="P71" s="1691">
        <f ca="1">Costs!P71/('Global assumptions'!$C$7*NAIRA2010_*250)</f>
        <v>14689.171857582496</v>
      </c>
      <c r="Q71" s="1691">
        <f ca="1">Costs!Q71/('Global assumptions'!$C$7*NAIRA2010_*250)</f>
        <v>14646.861324626378</v>
      </c>
      <c r="R71" s="1691">
        <f ca="1">Costs!R71/('Global assumptions'!$C$7*NAIRA2010_*250)</f>
        <v>14921.377321395696</v>
      </c>
      <c r="S71" s="1691">
        <f ca="1">Costs!S71/('Global assumptions'!$C$7*NAIRA2010_*250)</f>
        <v>15460.287192638491</v>
      </c>
      <c r="T71" s="1691">
        <f ca="1">Costs!T71/('Global assumptions'!$C$7*NAIRA2010_*250)</f>
        <v>16246.946370607644</v>
      </c>
      <c r="U71" s="1691">
        <f ca="1">Costs!U71/('Global assumptions'!$C$7*NAIRA2010_*250)</f>
        <v>16870.004174022855</v>
      </c>
      <c r="V71" s="1691">
        <f ca="1">Costs!V71/('Global assumptions'!$C$7*NAIRA2010_*250)</f>
        <v>17717.875953189839</v>
      </c>
      <c r="W71" s="1691">
        <f ca="1">Costs!W71/('Global assumptions'!$C$7*NAIRA2010_*250)</f>
        <v>18809.59041279415</v>
      </c>
      <c r="X71" s="675"/>
      <c r="Y71" s="1691">
        <f ca="1">Costs!Y71/('Global assumptions'!$C$7*NAIRA2010_*250)</f>
        <v>0</v>
      </c>
      <c r="Z71" s="1691">
        <f ca="1">Costs!Z71/('Global assumptions'!$C$7*NAIRA2010_*250)</f>
        <v>0</v>
      </c>
      <c r="AA71" s="1691">
        <f ca="1">Costs!AA71/('Global assumptions'!$C$7*NAIRA2010_*250)</f>
        <v>0</v>
      </c>
      <c r="AB71" s="1691">
        <f ca="1">Costs!AB71/('Global assumptions'!$C$7*NAIRA2010_*250)</f>
        <v>0</v>
      </c>
      <c r="AC71" s="1691">
        <f ca="1">Costs!AC71/('Global assumptions'!$C$7*NAIRA2010_*250)</f>
        <v>0</v>
      </c>
      <c r="AD71" s="1691">
        <f ca="1">Costs!AD71/('Global assumptions'!$C$7*NAIRA2010_*250)</f>
        <v>0</v>
      </c>
      <c r="AE71" s="1691">
        <f ca="1">Costs!AE71/('Global assumptions'!$C$7*NAIRA2010_*250)</f>
        <v>0</v>
      </c>
      <c r="AF71" s="1691">
        <f ca="1">Costs!AF71/('Global assumptions'!$C$7*NAIRA2010_*250)</f>
        <v>0</v>
      </c>
      <c r="AG71" s="1691">
        <f ca="1">Costs!AG71/('Global assumptions'!$C$7*NAIRA2010_*250)</f>
        <v>0</v>
      </c>
      <c r="AH71" s="675"/>
      <c r="AI71" s="1691">
        <f ca="1">Costs!AI71/('Global assumptions'!$C$7*NAIRA2010_*250)</f>
        <v>1683.6863475209821</v>
      </c>
      <c r="AJ71" s="1691">
        <f ca="1">Costs!AJ71/('Global assumptions'!$C$7*NAIRA2010_*250)</f>
        <v>15821.888734658747</v>
      </c>
      <c r="AK71" s="1691">
        <f ca="1">Costs!AK71/('Global assumptions'!$C$7*NAIRA2010_*250)</f>
        <v>15083.241197803367</v>
      </c>
      <c r="AL71" s="1691">
        <f ca="1">Costs!AL71/('Global assumptions'!$C$7*NAIRA2010_*250)</f>
        <v>15383.633934663629</v>
      </c>
      <c r="AM71" s="1691">
        <f ca="1">Costs!AM71/('Global assumptions'!$C$7*NAIRA2010_*250)</f>
        <v>15952.852941617723</v>
      </c>
      <c r="AN71" s="1691">
        <f ca="1">Costs!AN71/('Global assumptions'!$C$7*NAIRA2010_*250)</f>
        <v>16775.760243793364</v>
      </c>
      <c r="AO71" s="1691">
        <f ca="1">Costs!AO71/('Global assumptions'!$C$7*NAIRA2010_*250)</f>
        <v>17406.026027286287</v>
      </c>
      <c r="AP71" s="1691">
        <f ca="1">Costs!AP71/('Global assumptions'!$C$7*NAIRA2010_*250)</f>
        <v>18289.665557998349</v>
      </c>
      <c r="AQ71" s="1691">
        <f ca="1">Costs!AQ71/('Global assumptions'!$C$7*NAIRA2010_*250)</f>
        <v>19424.906998060313</v>
      </c>
      <c r="AS71" s="1707">
        <f t="shared" ca="1" si="10"/>
        <v>15091.29577593364</v>
      </c>
      <c r="AT71" s="1707">
        <f t="shared" ca="1" si="7"/>
        <v>131542.34711205747</v>
      </c>
      <c r="AU71" s="675"/>
      <c r="AV71" s="1699">
        <f>IFERROR(VLOOKUP($A71,Cost.FinanceCostTable,5,FALSE),'Global assumptions'!$D$35)</f>
        <v>0</v>
      </c>
      <c r="AW71" s="1690">
        <f>IFERROR(VLOOKUP($A71,Cost.FinanceCostTable,6,FALSE),'Global assumptions'!$E$35)</f>
        <v>5</v>
      </c>
      <c r="AX71" s="675"/>
      <c r="AY71" s="1691">
        <f ca="1">Costs!AY71/('Global assumptions'!$C$7*NAIRA2010_*250)</f>
        <v>0</v>
      </c>
      <c r="AZ71" s="1691">
        <f ca="1">Costs!AZ71/('Global assumptions'!$C$7*NAIRA2010_*250)</f>
        <v>621.83112205541636</v>
      </c>
      <c r="BA71" s="1691">
        <f ca="1">Costs!BA71/('Global assumptions'!$C$7*NAIRA2010_*250)</f>
        <v>239.56082201270155</v>
      </c>
      <c r="BB71" s="1691">
        <f ca="1">Costs!BB71/('Global assumptions'!$C$7*NAIRA2010_*250)</f>
        <v>253.766456846555</v>
      </c>
      <c r="BC71" s="1691">
        <f ca="1">Costs!BC71/('Global assumptions'!$C$7*NAIRA2010_*250)</f>
        <v>270.40535774872416</v>
      </c>
      <c r="BD71" s="1691">
        <f ca="1">Costs!BD71/('Global assumptions'!$C$7*NAIRA2010_*250)</f>
        <v>290.30460371555881</v>
      </c>
      <c r="BE71" s="1691">
        <f ca="1">Costs!BE71/('Global assumptions'!$C$7*NAIRA2010_*250)</f>
        <v>294.26159105298348</v>
      </c>
      <c r="BF71" s="1691">
        <f ca="1">Costs!BF71/('Global assumptions'!$C$7*NAIRA2010_*250)</f>
        <v>313.89712533943532</v>
      </c>
      <c r="BG71" s="1691">
        <f ca="1">Costs!BG71/('Global assumptions'!$C$7*NAIRA2010_*250)</f>
        <v>337.79226775801527</v>
      </c>
      <c r="BH71" s="675"/>
      <c r="BI71" s="1691">
        <f ca="1">Costs!BI71/('Global assumptions'!$C$7*NAIRA2010_*250)</f>
        <v>0</v>
      </c>
      <c r="BJ71" s="1691">
        <f ca="1">Costs!BJ71/('Global assumptions'!$C$7*NAIRA2010_*250)</f>
        <v>621.83112205541636</v>
      </c>
      <c r="BK71" s="1691">
        <f ca="1">Costs!BK71/('Global assumptions'!$C$7*NAIRA2010_*250)</f>
        <v>861.39194406811782</v>
      </c>
      <c r="BL71" s="1691">
        <f ca="1">Costs!BL71/('Global assumptions'!$C$7*NAIRA2010_*250)</f>
        <v>1115.1584009146727</v>
      </c>
      <c r="BM71" s="1691">
        <f ca="1">Costs!BM71/('Global assumptions'!$C$7*NAIRA2010_*250)</f>
        <v>763.73263660798068</v>
      </c>
      <c r="BN71" s="1691">
        <f ca="1">Costs!BN71/('Global assumptions'!$C$7*NAIRA2010_*250)</f>
        <v>814.47641831083797</v>
      </c>
      <c r="BO71" s="1691">
        <f ca="1">Costs!BO71/('Global assumptions'!$C$7*NAIRA2010_*250)</f>
        <v>854.97155251726656</v>
      </c>
      <c r="BP71" s="1691">
        <f ca="1">Costs!BP71/('Global assumptions'!$C$7*NAIRA2010_*250)</f>
        <v>898.46332010797767</v>
      </c>
      <c r="BQ71" s="1691">
        <f ca="1">Costs!BQ71/('Global assumptions'!$C$7*NAIRA2010_*250)</f>
        <v>945.95098415043412</v>
      </c>
      <c r="BR71" s="675"/>
      <c r="BS71" s="1691">
        <f ca="1">Costs!BS71/('Global assumptions'!$C$7*NAIRA2010_*250)</f>
        <v>1683.6863475209821</v>
      </c>
      <c r="BT71" s="1691">
        <f ca="1">Costs!BT71/('Global assumptions'!$C$7*NAIRA2010_*250)</f>
        <v>15311.002979637913</v>
      </c>
      <c r="BU71" s="1691">
        <f ca="1">Costs!BU71/('Global assumptions'!$C$7*NAIRA2010_*250)</f>
        <v>15508.253268694496</v>
      </c>
      <c r="BV71" s="1691">
        <f ca="1">Costs!BV71/('Global assumptions'!$C$7*NAIRA2010_*250)</f>
        <v>16036.535722310367</v>
      </c>
      <c r="BW71" s="1691">
        <f ca="1">Costs!BW71/('Global assumptions'!$C$7*NAIRA2010_*250)</f>
        <v>16224.019829246472</v>
      </c>
      <c r="BX71" s="1691">
        <f ca="1">Costs!BX71/('Global assumptions'!$C$7*NAIRA2010_*250)</f>
        <v>17061.422788918484</v>
      </c>
      <c r="BY71" s="1691">
        <f ca="1">Costs!BY71/('Global assumptions'!$C$7*NAIRA2010_*250)</f>
        <v>17724.97572654012</v>
      </c>
      <c r="BZ71" s="1691">
        <f ca="1">Costs!BZ71/('Global assumptions'!$C$7*NAIRA2010_*250)</f>
        <v>18616.339273297817</v>
      </c>
      <c r="CA71" s="1691">
        <f ca="1">Costs!CA71/('Global assumptions'!$C$7*NAIRA2010_*250)</f>
        <v>19755.541396944587</v>
      </c>
      <c r="CC71" s="1707">
        <f t="shared" ca="1" si="11"/>
        <v>15324.641925901245</v>
      </c>
      <c r="CD71" s="1707">
        <f t="shared" ca="1" si="8"/>
        <v>132133.04596244922</v>
      </c>
      <c r="CF71" s="1691">
        <f ca="1">Costs!CF71/('Global assumptions'!$C$7*NAIRA2010_*250)</f>
        <v>0</v>
      </c>
      <c r="CG71" s="1691">
        <f ca="1">Costs!CG71/('Global assumptions'!$C$7*NAIRA2010_*250)</f>
        <v>-510.88575502083592</v>
      </c>
      <c r="CH71" s="1691">
        <f ca="1">Costs!CH71/('Global assumptions'!$C$7*NAIRA2010_*250)</f>
        <v>425.01207089112916</v>
      </c>
      <c r="CI71" s="1691">
        <f ca="1">Costs!CI71/('Global assumptions'!$C$7*NAIRA2010_*250)</f>
        <v>652.9017876467401</v>
      </c>
      <c r="CJ71" s="1691">
        <f ca="1">Costs!CJ71/('Global assumptions'!$C$7*NAIRA2010_*250)</f>
        <v>271.16688762874998</v>
      </c>
      <c r="CK71" s="1691">
        <f ca="1">Costs!CK71/('Global assumptions'!$C$7*NAIRA2010_*250)</f>
        <v>285.66254512511836</v>
      </c>
      <c r="CL71" s="1691">
        <f ca="1">Costs!CL71/('Global assumptions'!$C$7*NAIRA2010_*250)</f>
        <v>318.94969925383299</v>
      </c>
      <c r="CM71" s="1691">
        <f ca="1">Costs!CM71/('Global assumptions'!$C$7*NAIRA2010_*250)</f>
        <v>326.67371529946888</v>
      </c>
      <c r="CN71" s="1691">
        <f ca="1">Costs!CN71/('Global assumptions'!$C$7*NAIRA2010_*250)</f>
        <v>330.63439888427291</v>
      </c>
      <c r="CP71" s="1707">
        <f t="shared" ca="1" si="12"/>
        <v>233.34614996760845</v>
      </c>
      <c r="CQ71" s="1707">
        <f t="shared" ca="1" si="9"/>
        <v>590.69885039174937</v>
      </c>
      <c r="CR71" s="1426" t="str">
        <f t="shared" ca="1" si="13"/>
        <v>ok</v>
      </c>
    </row>
    <row r="72" spans="1:96" s="2126" customFormat="1" x14ac:dyDescent="0.2">
      <c r="A72" s="1683" t="s">
        <v>1721</v>
      </c>
      <c r="B72" s="1683" t="s">
        <v>1727</v>
      </c>
      <c r="C72" s="1683" t="s">
        <v>125</v>
      </c>
      <c r="E72" s="1689">
        <f ca="1">Costs!E72/('Global assumptions'!$C$7*NAIRA2010_*250)</f>
        <v>0</v>
      </c>
      <c r="F72" s="1689">
        <f ca="1">Costs!F72/('Global assumptions'!$C$7*NAIRA2010_*250)</f>
        <v>201.27306172606174</v>
      </c>
      <c r="G72" s="1689">
        <f ca="1">Costs!G72/('Global assumptions'!$C$7*NAIRA2010_*250)</f>
        <v>291.14937276831813</v>
      </c>
      <c r="H72" s="1689">
        <f ca="1">Costs!H72/('Global assumptions'!$C$7*NAIRA2010_*250)</f>
        <v>401.03763648035505</v>
      </c>
      <c r="I72" s="1689">
        <f ca="1">Costs!I72/('Global assumptions'!$C$7*NAIRA2010_*250)</f>
        <v>533.9254831661292</v>
      </c>
      <c r="J72" s="1689">
        <f ca="1">Costs!J72/('Global assumptions'!$C$7*NAIRA2010_*250)</f>
        <v>693.9474854547924</v>
      </c>
      <c r="K72" s="1689">
        <f ca="1">Costs!K72/('Global assumptions'!$C$7*NAIRA2010_*250)</f>
        <v>843.51628548405574</v>
      </c>
      <c r="L72" s="1689">
        <f ca="1">Costs!L72/('Global assumptions'!$C$7*NAIRA2010_*250)</f>
        <v>1036.0394806079055</v>
      </c>
      <c r="M72" s="1689">
        <f ca="1">Costs!M72/('Global assumptions'!$C$7*NAIRA2010_*250)</f>
        <v>1259.7541617897039</v>
      </c>
      <c r="N72" s="675"/>
      <c r="O72" s="1689">
        <f ca="1">Costs!O72/('Global assumptions'!$C$7*NAIRA2010_*250)</f>
        <v>0</v>
      </c>
      <c r="P72" s="1689">
        <f ca="1">Costs!P72/('Global assumptions'!$C$7*NAIRA2010_*250)</f>
        <v>1147.7037969699338</v>
      </c>
      <c r="Q72" s="1689">
        <f ca="1">Costs!Q72/('Global assumptions'!$C$7*NAIRA2010_*250)</f>
        <v>2412.5867160741254</v>
      </c>
      <c r="R72" s="1689">
        <f ca="1">Costs!R72/('Global assumptions'!$C$7*NAIRA2010_*250)</f>
        <v>3874.03355030077</v>
      </c>
      <c r="S72" s="1689">
        <f ca="1">Costs!S72/('Global assumptions'!$C$7*NAIRA2010_*250)</f>
        <v>5603.3934048563106</v>
      </c>
      <c r="T72" s="1689">
        <f ca="1">Costs!T72/('Global assumptions'!$C$7*NAIRA2010_*250)</f>
        <v>7673.9255048233781</v>
      </c>
      <c r="U72" s="1689">
        <f ca="1">Costs!U72/('Global assumptions'!$C$7*NAIRA2010_*250)</f>
        <v>9920.7224022024238</v>
      </c>
      <c r="V72" s="1689">
        <f ca="1">Costs!V72/('Global assumptions'!$C$7*NAIRA2010_*250)</f>
        <v>12543.706920509445</v>
      </c>
      <c r="W72" s="1689">
        <f ca="1">Costs!W72/('Global assumptions'!$C$7*NAIRA2010_*250)</f>
        <v>15610.578206659447</v>
      </c>
      <c r="X72" s="675"/>
      <c r="Y72" s="1689">
        <f ca="1">Costs!Y72/('Global assumptions'!$C$7*NAIRA2010_*250)</f>
        <v>0</v>
      </c>
      <c r="Z72" s="1689">
        <f ca="1">Costs!Z72/('Global assumptions'!$C$7*NAIRA2010_*250)</f>
        <v>0</v>
      </c>
      <c r="AA72" s="1689">
        <f ca="1">Costs!AA72/('Global assumptions'!$C$7*NAIRA2010_*250)</f>
        <v>0</v>
      </c>
      <c r="AB72" s="1689">
        <f ca="1">Costs!AB72/('Global assumptions'!$C$7*NAIRA2010_*250)</f>
        <v>0</v>
      </c>
      <c r="AC72" s="1689">
        <f ca="1">Costs!AC72/('Global assumptions'!$C$7*NAIRA2010_*250)</f>
        <v>0</v>
      </c>
      <c r="AD72" s="1689">
        <f ca="1">Costs!AD72/('Global assumptions'!$C$7*NAIRA2010_*250)</f>
        <v>0</v>
      </c>
      <c r="AE72" s="1689">
        <f ca="1">Costs!AE72/('Global assumptions'!$C$7*NAIRA2010_*250)</f>
        <v>0</v>
      </c>
      <c r="AF72" s="1689">
        <f ca="1">Costs!AF72/('Global assumptions'!$C$7*NAIRA2010_*250)</f>
        <v>0</v>
      </c>
      <c r="AG72" s="1689">
        <f ca="1">Costs!AG72/('Global assumptions'!$C$7*NAIRA2010_*250)</f>
        <v>0</v>
      </c>
      <c r="AH72" s="675"/>
      <c r="AI72" s="1689">
        <f ca="1">Costs!AI72/('Global assumptions'!$C$7*NAIRA2010_*250)</f>
        <v>0</v>
      </c>
      <c r="AJ72" s="1689">
        <f ca="1">Costs!AJ72/('Global assumptions'!$C$7*NAIRA2010_*250)</f>
        <v>1348.9768586959954</v>
      </c>
      <c r="AK72" s="1689">
        <f ca="1">Costs!AK72/('Global assumptions'!$C$7*NAIRA2010_*250)</f>
        <v>2703.7360888424437</v>
      </c>
      <c r="AL72" s="1689">
        <f ca="1">Costs!AL72/('Global assumptions'!$C$7*NAIRA2010_*250)</f>
        <v>4275.0711867811251</v>
      </c>
      <c r="AM72" s="1689">
        <f ca="1">Costs!AM72/('Global assumptions'!$C$7*NAIRA2010_*250)</f>
        <v>6137.3188880224398</v>
      </c>
      <c r="AN72" s="1689">
        <f ca="1">Costs!AN72/('Global assumptions'!$C$7*NAIRA2010_*250)</f>
        <v>8367.8729902781706</v>
      </c>
      <c r="AO72" s="1689">
        <f ca="1">Costs!AO72/('Global assumptions'!$C$7*NAIRA2010_*250)</f>
        <v>10764.238687686478</v>
      </c>
      <c r="AP72" s="1689">
        <f ca="1">Costs!AP72/('Global assumptions'!$C$7*NAIRA2010_*250)</f>
        <v>13579.746401117351</v>
      </c>
      <c r="AQ72" s="1689">
        <f ca="1">Costs!AQ72/('Global assumptions'!$C$7*NAIRA2010_*250)</f>
        <v>16870.332368449152</v>
      </c>
      <c r="AS72" s="1706">
        <f t="shared" ca="1" si="10"/>
        <v>7116.3659410970176</v>
      </c>
      <c r="AT72" s="1706">
        <f t="shared" ca="1" si="7"/>
        <v>32978.124438296349</v>
      </c>
      <c r="AU72" s="675"/>
      <c r="AV72" s="1699">
        <f>IFERROR(VLOOKUP($A72,Cost.FinanceCostTable,5,FALSE),'Global assumptions'!$D$35)</f>
        <v>7.0000000000000007E-2</v>
      </c>
      <c r="AW72" s="1690">
        <f>IFERROR(VLOOKUP($A72,Cost.FinanceCostTable,6,FALSE),'Global assumptions'!$E$35)</f>
        <v>15</v>
      </c>
      <c r="AX72" s="675"/>
      <c r="AY72" s="1689">
        <f ca="1">Costs!AY72/('Global assumptions'!$C$7*NAIRA2010_*250)</f>
        <v>0</v>
      </c>
      <c r="AZ72" s="1689">
        <f ca="1">Costs!AZ72/('Global assumptions'!$C$7*NAIRA2010_*250)</f>
        <v>110.49350137317737</v>
      </c>
      <c r="BA72" s="1689">
        <f ca="1">Costs!BA72/('Global assumptions'!$C$7*NAIRA2010_*250)</f>
        <v>159.8331805751547</v>
      </c>
      <c r="BB72" s="1689">
        <f ca="1">Costs!BB72/('Global assumptions'!$C$7*NAIRA2010_*250)</f>
        <v>220.15888394169636</v>
      </c>
      <c r="BC72" s="1689">
        <f ca="1">Costs!BC72/('Global assumptions'!$C$7*NAIRA2010_*250)</f>
        <v>293.11074021264375</v>
      </c>
      <c r="BD72" s="1689">
        <f ca="1">Costs!BD72/('Global assumptions'!$C$7*NAIRA2010_*250)</f>
        <v>380.95851863858064</v>
      </c>
      <c r="BE72" s="1689">
        <f ca="1">Costs!BE72/('Global assumptions'!$C$7*NAIRA2010_*250)</f>
        <v>463.067769969545</v>
      </c>
      <c r="BF72" s="1689">
        <f ca="1">Costs!BF72/('Global assumptions'!$C$7*NAIRA2010_*250)</f>
        <v>568.75782974385368</v>
      </c>
      <c r="BG72" s="1689">
        <f ca="1">Costs!BG72/('Global assumptions'!$C$7*NAIRA2010_*250)</f>
        <v>691.57117704615814</v>
      </c>
      <c r="BH72" s="675"/>
      <c r="BI72" s="1689">
        <f ca="1">Costs!BI72/('Global assumptions'!$C$7*NAIRA2010_*250)</f>
        <v>0</v>
      </c>
      <c r="BJ72" s="1689">
        <f ca="1">Costs!BJ72/('Global assumptions'!$C$7*NAIRA2010_*250)</f>
        <v>110.49350137317737</v>
      </c>
      <c r="BK72" s="1689">
        <f ca="1">Costs!BK72/('Global assumptions'!$C$7*NAIRA2010_*250)</f>
        <v>270.32668194833207</v>
      </c>
      <c r="BL72" s="1689">
        <f ca="1">Costs!BL72/('Global assumptions'!$C$7*NAIRA2010_*250)</f>
        <v>490.48556589002845</v>
      </c>
      <c r="BM72" s="1689">
        <f ca="1">Costs!BM72/('Global assumptions'!$C$7*NAIRA2010_*250)</f>
        <v>673.10280472949478</v>
      </c>
      <c r="BN72" s="1689">
        <f ca="1">Costs!BN72/('Global assumptions'!$C$7*NAIRA2010_*250)</f>
        <v>894.22814279292072</v>
      </c>
      <c r="BO72" s="1689">
        <f ca="1">Costs!BO72/('Global assumptions'!$C$7*NAIRA2010_*250)</f>
        <v>1137.1370288207693</v>
      </c>
      <c r="BP72" s="1689">
        <f ca="1">Costs!BP72/('Global assumptions'!$C$7*NAIRA2010_*250)</f>
        <v>1412.784118351979</v>
      </c>
      <c r="BQ72" s="1689">
        <f ca="1">Costs!BQ72/('Global assumptions'!$C$7*NAIRA2010_*250)</f>
        <v>1723.3967767595568</v>
      </c>
      <c r="BR72" s="675"/>
      <c r="BS72" s="1689">
        <f ca="1">Costs!BS72/('Global assumptions'!$C$7*NAIRA2010_*250)</f>
        <v>0</v>
      </c>
      <c r="BT72" s="1689">
        <f ca="1">Costs!BT72/('Global assumptions'!$C$7*NAIRA2010_*250)</f>
        <v>1258.197298343111</v>
      </c>
      <c r="BU72" s="1689">
        <f ca="1">Costs!BU72/('Global assumptions'!$C$7*NAIRA2010_*250)</f>
        <v>2682.9133980224574</v>
      </c>
      <c r="BV72" s="1689">
        <f ca="1">Costs!BV72/('Global assumptions'!$C$7*NAIRA2010_*250)</f>
        <v>4364.5191161907987</v>
      </c>
      <c r="BW72" s="1689">
        <f ca="1">Costs!BW72/('Global assumptions'!$C$7*NAIRA2010_*250)</f>
        <v>6276.4962095858054</v>
      </c>
      <c r="BX72" s="1689">
        <f ca="1">Costs!BX72/('Global assumptions'!$C$7*NAIRA2010_*250)</f>
        <v>8568.1536476163001</v>
      </c>
      <c r="BY72" s="1689">
        <f ca="1">Costs!BY72/('Global assumptions'!$C$7*NAIRA2010_*250)</f>
        <v>11057.859431023193</v>
      </c>
      <c r="BZ72" s="1689">
        <f ca="1">Costs!BZ72/('Global assumptions'!$C$7*NAIRA2010_*250)</f>
        <v>13956.491038861424</v>
      </c>
      <c r="CA72" s="1689">
        <f ca="1">Costs!CA72/('Global assumptions'!$C$7*NAIRA2010_*250)</f>
        <v>17333.974983419004</v>
      </c>
      <c r="CC72" s="1706">
        <f t="shared" ca="1" si="11"/>
        <v>7277.6227914513438</v>
      </c>
      <c r="CD72" s="1706">
        <f t="shared" ca="1" si="8"/>
        <v>33235.191542289984</v>
      </c>
      <c r="CF72" s="1689">
        <f ca="1">Costs!CF72/('Global assumptions'!$C$7*NAIRA2010_*250)</f>
        <v>0</v>
      </c>
      <c r="CG72" s="1689">
        <f ca="1">Costs!CG72/('Global assumptions'!$C$7*NAIRA2010_*250)</f>
        <v>-90.779560352884374</v>
      </c>
      <c r="CH72" s="1689">
        <f ca="1">Costs!CH72/('Global assumptions'!$C$7*NAIRA2010_*250)</f>
        <v>-20.822690819986075</v>
      </c>
      <c r="CI72" s="1689">
        <f ca="1">Costs!CI72/('Global assumptions'!$C$7*NAIRA2010_*250)</f>
        <v>89.447929409673407</v>
      </c>
      <c r="CJ72" s="1689">
        <f ca="1">Costs!CJ72/('Global assumptions'!$C$7*NAIRA2010_*250)</f>
        <v>139.17732156336561</v>
      </c>
      <c r="CK72" s="1689">
        <f ca="1">Costs!CK72/('Global assumptions'!$C$7*NAIRA2010_*250)</f>
        <v>200.28065733812832</v>
      </c>
      <c r="CL72" s="1689">
        <f ca="1">Costs!CL72/('Global assumptions'!$C$7*NAIRA2010_*250)</f>
        <v>293.62074333671364</v>
      </c>
      <c r="CM72" s="1689">
        <f ca="1">Costs!CM72/('Global assumptions'!$C$7*NAIRA2010_*250)</f>
        <v>376.74463774407366</v>
      </c>
      <c r="CN72" s="1689">
        <f ca="1">Costs!CN72/('Global assumptions'!$C$7*NAIRA2010_*250)</f>
        <v>463.64261496985279</v>
      </c>
      <c r="CP72" s="1706">
        <f t="shared" ca="1" si="12"/>
        <v>161.25685035432633</v>
      </c>
      <c r="CQ72" s="1706">
        <f t="shared" ca="1" si="9"/>
        <v>257.0671039936276</v>
      </c>
      <c r="CR72" s="1426" t="str">
        <f t="shared" ca="1" si="13"/>
        <v>ok</v>
      </c>
    </row>
    <row r="73" spans="1:96" s="2126" customFormat="1" x14ac:dyDescent="0.2">
      <c r="A73" s="1685" t="s">
        <v>1722</v>
      </c>
      <c r="B73" s="1685" t="s">
        <v>1728</v>
      </c>
      <c r="C73" s="1685" t="s">
        <v>125</v>
      </c>
      <c r="E73" s="1691">
        <f ca="1">Costs!E73/('Global assumptions'!$C$7*NAIRA2010_*250)</f>
        <v>0</v>
      </c>
      <c r="F73" s="1691">
        <f ca="1">Costs!F73/('Global assumptions'!$C$7*NAIRA2010_*250)</f>
        <v>49.405014954796258</v>
      </c>
      <c r="G73" s="1691">
        <f ca="1">Costs!G73/('Global assumptions'!$C$7*NAIRA2010_*250)</f>
        <v>71.782482807499747</v>
      </c>
      <c r="H73" s="1691">
        <f ca="1">Costs!H73/('Global assumptions'!$C$7*NAIRA2010_*250)</f>
        <v>98.934294650293452</v>
      </c>
      <c r="I73" s="1691">
        <f ca="1">Costs!I73/('Global assumptions'!$C$7*NAIRA2010_*250)</f>
        <v>131.55166376515322</v>
      </c>
      <c r="J73" s="1691">
        <f ca="1">Costs!J73/('Global assumptions'!$C$7*NAIRA2010_*250)</f>
        <v>170.58560181896939</v>
      </c>
      <c r="K73" s="1691">
        <f ca="1">Costs!K73/('Global assumptions'!$C$7*NAIRA2010_*250)</f>
        <v>206.79192487891507</v>
      </c>
      <c r="L73" s="1691">
        <f ca="1">Costs!L73/('Global assumptions'!$C$7*NAIRA2010_*250)</f>
        <v>253.1332483798395</v>
      </c>
      <c r="M73" s="1691">
        <f ca="1">Costs!M73/('Global assumptions'!$C$7*NAIRA2010_*250)</f>
        <v>209.2248028264336</v>
      </c>
      <c r="N73" s="675"/>
      <c r="O73" s="1691">
        <f ca="1">Costs!O73/('Global assumptions'!$C$7*NAIRA2010_*250)</f>
        <v>0</v>
      </c>
      <c r="P73" s="1691">
        <f ca="1">Costs!P73/('Global assumptions'!$C$7*NAIRA2010_*250)</f>
        <v>245.2250271146161</v>
      </c>
      <c r="Q73" s="1691">
        <f ca="1">Costs!Q73/('Global assumptions'!$C$7*NAIRA2010_*250)</f>
        <v>515.42672596857267</v>
      </c>
      <c r="R73" s="1691">
        <f ca="1">Costs!R73/('Global assumptions'!$C$7*NAIRA2010_*250)</f>
        <v>827.74592534390013</v>
      </c>
      <c r="S73" s="1691">
        <f ca="1">Costs!S73/('Global assumptions'!$C$7*NAIRA2010_*250)</f>
        <v>1197.5883074048245</v>
      </c>
      <c r="T73" s="1691">
        <f ca="1">Costs!T73/('Global assumptions'!$C$7*NAIRA2010_*250)</f>
        <v>1640.7758255969695</v>
      </c>
      <c r="U73" s="1691">
        <f ca="1">Costs!U73/('Global assumptions'!$C$7*NAIRA2010_*250)</f>
        <v>2122.2042564295889</v>
      </c>
      <c r="V73" s="1691">
        <f ca="1">Costs!V73/('Global assumptions'!$C$7*NAIRA2010_*250)</f>
        <v>2684.7710799592546</v>
      </c>
      <c r="W73" s="1691">
        <f ca="1">Costs!W73/('Global assumptions'!$C$7*NAIRA2010_*250)</f>
        <v>3343.1373936023188</v>
      </c>
      <c r="X73" s="675"/>
      <c r="Y73" s="1691">
        <f ca="1">Costs!Y73/('Global assumptions'!$C$7*NAIRA2010_*250)</f>
        <v>0</v>
      </c>
      <c r="Z73" s="1691">
        <f ca="1">Costs!Z73/('Global assumptions'!$C$7*NAIRA2010_*250)</f>
        <v>0</v>
      </c>
      <c r="AA73" s="1691">
        <f ca="1">Costs!AA73/('Global assumptions'!$C$7*NAIRA2010_*250)</f>
        <v>0</v>
      </c>
      <c r="AB73" s="1691">
        <f ca="1">Costs!AB73/('Global assumptions'!$C$7*NAIRA2010_*250)</f>
        <v>0</v>
      </c>
      <c r="AC73" s="1691">
        <f ca="1">Costs!AC73/('Global assumptions'!$C$7*NAIRA2010_*250)</f>
        <v>0</v>
      </c>
      <c r="AD73" s="1691">
        <f ca="1">Costs!AD73/('Global assumptions'!$C$7*NAIRA2010_*250)</f>
        <v>0</v>
      </c>
      <c r="AE73" s="1691">
        <f ca="1">Costs!AE73/('Global assumptions'!$C$7*NAIRA2010_*250)</f>
        <v>0</v>
      </c>
      <c r="AF73" s="1691">
        <f ca="1">Costs!AF73/('Global assumptions'!$C$7*NAIRA2010_*250)</f>
        <v>0</v>
      </c>
      <c r="AG73" s="1691">
        <f ca="1">Costs!AG73/('Global assumptions'!$C$7*NAIRA2010_*250)</f>
        <v>0</v>
      </c>
      <c r="AH73" s="675"/>
      <c r="AI73" s="1691">
        <f ca="1">Costs!AI73/('Global assumptions'!$C$7*NAIRA2010_*250)</f>
        <v>0</v>
      </c>
      <c r="AJ73" s="1691">
        <f ca="1">Costs!AJ73/('Global assumptions'!$C$7*NAIRA2010_*250)</f>
        <v>294.63004206941235</v>
      </c>
      <c r="AK73" s="1691">
        <f ca="1">Costs!AK73/('Global assumptions'!$C$7*NAIRA2010_*250)</f>
        <v>587.20920877607239</v>
      </c>
      <c r="AL73" s="1691">
        <f ca="1">Costs!AL73/('Global assumptions'!$C$7*NAIRA2010_*250)</f>
        <v>926.68021999419352</v>
      </c>
      <c r="AM73" s="1691">
        <f ca="1">Costs!AM73/('Global assumptions'!$C$7*NAIRA2010_*250)</f>
        <v>1329.1399711699776</v>
      </c>
      <c r="AN73" s="1691">
        <f ca="1">Costs!AN73/('Global assumptions'!$C$7*NAIRA2010_*250)</f>
        <v>1811.3614274159388</v>
      </c>
      <c r="AO73" s="1691">
        <f ca="1">Costs!AO73/('Global assumptions'!$C$7*NAIRA2010_*250)</f>
        <v>2328.9961813085042</v>
      </c>
      <c r="AP73" s="1691">
        <f ca="1">Costs!AP73/('Global assumptions'!$C$7*NAIRA2010_*250)</f>
        <v>2937.9043283390938</v>
      </c>
      <c r="AQ73" s="1691">
        <f ca="1">Costs!AQ73/('Global assumptions'!$C$7*NAIRA2010_*250)</f>
        <v>3552.3621964287522</v>
      </c>
      <c r="AS73" s="1707">
        <f t="shared" ca="1" si="10"/>
        <v>1529.8092861668827</v>
      </c>
      <c r="AT73" s="1707">
        <f t="shared" ca="1" si="7"/>
        <v>7130.5780240862268</v>
      </c>
      <c r="AU73" s="675"/>
      <c r="AV73" s="1699">
        <f>IFERROR(VLOOKUP($A73,Cost.FinanceCostTable,5,FALSE),'Global assumptions'!$D$35)</f>
        <v>7.0000000000000007E-2</v>
      </c>
      <c r="AW73" s="1690">
        <f>IFERROR(VLOOKUP($A73,Cost.FinanceCostTable,6,FALSE),'Global assumptions'!$E$35)</f>
        <v>15</v>
      </c>
      <c r="AX73" s="675"/>
      <c r="AY73" s="1691">
        <f ca="1">Costs!AY73/('Global assumptions'!$C$7*NAIRA2010_*250)</f>
        <v>0</v>
      </c>
      <c r="AZ73" s="1691">
        <f ca="1">Costs!AZ73/('Global assumptions'!$C$7*NAIRA2010_*250)</f>
        <v>27.122025376547356</v>
      </c>
      <c r="BA73" s="1691">
        <f ca="1">Costs!BA73/('Global assumptions'!$C$7*NAIRA2010_*250)</f>
        <v>39.406653799779448</v>
      </c>
      <c r="BB73" s="1691">
        <f ca="1">Costs!BB73/('Global assumptions'!$C$7*NAIRA2010_*250)</f>
        <v>54.312268755938845</v>
      </c>
      <c r="BC73" s="1691">
        <f ca="1">Costs!BC73/('Global assumptions'!$C$7*NAIRA2010_*250)</f>
        <v>72.218327759440001</v>
      </c>
      <c r="BD73" s="1691">
        <f ca="1">Costs!BD73/('Global assumptions'!$C$7*NAIRA2010_*250)</f>
        <v>93.64691065554544</v>
      </c>
      <c r="BE73" s="1691">
        <f ca="1">Costs!BE73/('Global assumptions'!$C$7*NAIRA2010_*250)</f>
        <v>113.5232089163961</v>
      </c>
      <c r="BF73" s="1691">
        <f ca="1">Costs!BF73/('Global assumptions'!$C$7*NAIRA2010_*250)</f>
        <v>138.96335002605576</v>
      </c>
      <c r="BG73" s="1691">
        <f ca="1">Costs!BG73/('Global assumptions'!$C$7*NAIRA2010_*250)</f>
        <v>114.85879352235187</v>
      </c>
      <c r="BH73" s="675"/>
      <c r="BI73" s="1691">
        <f ca="1">Costs!BI73/('Global assumptions'!$C$7*NAIRA2010_*250)</f>
        <v>0</v>
      </c>
      <c r="BJ73" s="1691">
        <f ca="1">Costs!BJ73/('Global assumptions'!$C$7*NAIRA2010_*250)</f>
        <v>27.122025376547356</v>
      </c>
      <c r="BK73" s="1691">
        <f ca="1">Costs!BK73/('Global assumptions'!$C$7*NAIRA2010_*250)</f>
        <v>66.528679176326804</v>
      </c>
      <c r="BL73" s="1691">
        <f ca="1">Costs!BL73/('Global assumptions'!$C$7*NAIRA2010_*250)</f>
        <v>120.84094793226565</v>
      </c>
      <c r="BM73" s="1691">
        <f ca="1">Costs!BM73/('Global assumptions'!$C$7*NAIRA2010_*250)</f>
        <v>165.93725031515831</v>
      </c>
      <c r="BN73" s="1691">
        <f ca="1">Costs!BN73/('Global assumptions'!$C$7*NAIRA2010_*250)</f>
        <v>220.17750717092429</v>
      </c>
      <c r="BO73" s="1691">
        <f ca="1">Costs!BO73/('Global assumptions'!$C$7*NAIRA2010_*250)</f>
        <v>279.38844733138154</v>
      </c>
      <c r="BP73" s="1691">
        <f ca="1">Costs!BP73/('Global assumptions'!$C$7*NAIRA2010_*250)</f>
        <v>346.13346959799725</v>
      </c>
      <c r="BQ73" s="1691">
        <f ca="1">Costs!BQ73/('Global assumptions'!$C$7*NAIRA2010_*250)</f>
        <v>367.34535246480374</v>
      </c>
      <c r="BR73" s="675"/>
      <c r="BS73" s="1691">
        <f ca="1">Costs!BS73/('Global assumptions'!$C$7*NAIRA2010_*250)</f>
        <v>0</v>
      </c>
      <c r="BT73" s="1691">
        <f ca="1">Costs!BT73/('Global assumptions'!$C$7*NAIRA2010_*250)</f>
        <v>272.34705249116342</v>
      </c>
      <c r="BU73" s="1691">
        <f ca="1">Costs!BU73/('Global assumptions'!$C$7*NAIRA2010_*250)</f>
        <v>581.95540514489949</v>
      </c>
      <c r="BV73" s="1691">
        <f ca="1">Costs!BV73/('Global assumptions'!$C$7*NAIRA2010_*250)</f>
        <v>948.58687327616587</v>
      </c>
      <c r="BW73" s="1691">
        <f ca="1">Costs!BW73/('Global assumptions'!$C$7*NAIRA2010_*250)</f>
        <v>1363.5255577199828</v>
      </c>
      <c r="BX73" s="1691">
        <f ca="1">Costs!BX73/('Global assumptions'!$C$7*NAIRA2010_*250)</f>
        <v>1860.9533327678937</v>
      </c>
      <c r="BY73" s="1691">
        <f ca="1">Costs!BY73/('Global assumptions'!$C$7*NAIRA2010_*250)</f>
        <v>2401.5927037609708</v>
      </c>
      <c r="BZ73" s="1691">
        <f ca="1">Costs!BZ73/('Global assumptions'!$C$7*NAIRA2010_*250)</f>
        <v>3030.9045495572518</v>
      </c>
      <c r="CA73" s="1691">
        <f ca="1">Costs!CA73/('Global assumptions'!$C$7*NAIRA2010_*250)</f>
        <v>3710.4827460671222</v>
      </c>
      <c r="CC73" s="1707">
        <f t="shared" ca="1" si="11"/>
        <v>1574.4831356428278</v>
      </c>
      <c r="CD73" s="1707">
        <f t="shared" ca="1" si="8"/>
        <v>7203.4362241807503</v>
      </c>
      <c r="CF73" s="1691">
        <f ca="1">Costs!CF73/('Global assumptions'!$C$7*NAIRA2010_*250)</f>
        <v>0</v>
      </c>
      <c r="CG73" s="1691">
        <f ca="1">Costs!CG73/('Global assumptions'!$C$7*NAIRA2010_*250)</f>
        <v>-22.282989578248905</v>
      </c>
      <c r="CH73" s="1691">
        <f ca="1">Costs!CH73/('Global assumptions'!$C$7*NAIRA2010_*250)</f>
        <v>-5.2538036311729446</v>
      </c>
      <c r="CI73" s="1691">
        <f ca="1">Costs!CI73/('Global assumptions'!$C$7*NAIRA2010_*250)</f>
        <v>21.90665328197219</v>
      </c>
      <c r="CJ73" s="1691">
        <f ca="1">Costs!CJ73/('Global assumptions'!$C$7*NAIRA2010_*250)</f>
        <v>34.385586550005087</v>
      </c>
      <c r="CK73" s="1691">
        <f ca="1">Costs!CK73/('Global assumptions'!$C$7*NAIRA2010_*250)</f>
        <v>49.591905351954892</v>
      </c>
      <c r="CL73" s="1691">
        <f ca="1">Costs!CL73/('Global assumptions'!$C$7*NAIRA2010_*250)</f>
        <v>72.596522452466445</v>
      </c>
      <c r="CM73" s="1691">
        <f ca="1">Costs!CM73/('Global assumptions'!$C$7*NAIRA2010_*250)</f>
        <v>93.000221218157748</v>
      </c>
      <c r="CN73" s="1691">
        <f ca="1">Costs!CN73/('Global assumptions'!$C$7*NAIRA2010_*250)</f>
        <v>158.12054963837014</v>
      </c>
      <c r="CP73" s="1707">
        <f t="shared" ca="1" si="12"/>
        <v>44.673849475944962</v>
      </c>
      <c r="CQ73" s="1707">
        <f t="shared" ca="1" si="9"/>
        <v>72.858200094522701</v>
      </c>
      <c r="CR73" s="1426" t="str">
        <f t="shared" ca="1" si="13"/>
        <v>ok</v>
      </c>
    </row>
    <row r="74" spans="1:96" s="2126" customFormat="1" x14ac:dyDescent="0.2">
      <c r="A74" s="1683" t="s">
        <v>2593</v>
      </c>
      <c r="B74" s="1683" t="s">
        <v>2590</v>
      </c>
      <c r="C74" s="1683" t="s">
        <v>125</v>
      </c>
      <c r="E74" s="1689">
        <f ca="1">Costs!E74/('Global assumptions'!$C$7*NAIRA2010_*250)</f>
        <v>0</v>
      </c>
      <c r="F74" s="1689">
        <f ca="1">Costs!F74/('Global assumptions'!$C$7*NAIRA2010_*250)</f>
        <v>48.359249251288794</v>
      </c>
      <c r="G74" s="1689">
        <f ca="1">Costs!G74/('Global assumptions'!$C$7*NAIRA2010_*250)</f>
        <v>65.120154042240387</v>
      </c>
      <c r="H74" s="1689">
        <f ca="1">Costs!H74/('Global assumptions'!$C$7*NAIRA2010_*250)</f>
        <v>84.129855093072578</v>
      </c>
      <c r="I74" s="1689">
        <f ca="1">Costs!I74/('Global assumptions'!$C$7*NAIRA2010_*250)</f>
        <v>105.24340236138622</v>
      </c>
      <c r="J74" s="1689">
        <f ca="1">Costs!J74/('Global assumptions'!$C$7*NAIRA2010_*250)</f>
        <v>128.41961212703779</v>
      </c>
      <c r="K74" s="1689">
        <f ca="1">Costs!K74/('Global assumptions'!$C$7*NAIRA2010_*250)</f>
        <v>145.7219032905511</v>
      </c>
      <c r="L74" s="1689">
        <f ca="1">Costs!L74/('Global assumptions'!$C$7*NAIRA2010_*250)</f>
        <v>166.99107026360628</v>
      </c>
      <c r="M74" s="1689">
        <f ca="1">Costs!M74/('Global assumptions'!$C$7*NAIRA2010_*250)</f>
        <v>188.62106327540437</v>
      </c>
      <c r="N74" s="675"/>
      <c r="O74" s="1689">
        <f ca="1">Costs!O74/('Global assumptions'!$C$7*NAIRA2010_*250)</f>
        <v>0</v>
      </c>
      <c r="P74" s="1689">
        <f ca="1">Costs!P74/('Global assumptions'!$C$7*NAIRA2010_*250)</f>
        <v>2154.5160510255696</v>
      </c>
      <c r="Q74" s="1689">
        <f ca="1">Costs!Q74/('Global assumptions'!$C$7*NAIRA2010_*250)</f>
        <v>4319.2557329717893</v>
      </c>
      <c r="R74" s="1689">
        <f ca="1">Costs!R74/('Global assumptions'!$C$7*NAIRA2010_*250)</f>
        <v>6596.0168296790243</v>
      </c>
      <c r="S74" s="1689">
        <f ca="1">Costs!S74/('Global assumptions'!$C$7*NAIRA2010_*250)</f>
        <v>9046.6569446539452</v>
      </c>
      <c r="T74" s="1689">
        <f ca="1">Costs!T74/('Global assumptions'!$C$7*NAIRA2010_*250)</f>
        <v>11711.397423625813</v>
      </c>
      <c r="U74" s="1689">
        <f ca="1">Costs!U74/('Global assumptions'!$C$7*NAIRA2010_*250)</f>
        <v>14262.701776090864</v>
      </c>
      <c r="V74" s="1689">
        <f ca="1">Costs!V74/('Global assumptions'!$C$7*NAIRA2010_*250)</f>
        <v>16924.192149155147</v>
      </c>
      <c r="W74" s="1689">
        <f ca="1">Costs!W74/('Global assumptions'!$C$7*NAIRA2010_*250)</f>
        <v>19682.630207874274</v>
      </c>
      <c r="X74" s="675"/>
      <c r="Y74" s="1689">
        <f ca="1">Costs!Y74/('Global assumptions'!$C$7*NAIRA2010_*250)</f>
        <v>0</v>
      </c>
      <c r="Z74" s="1689">
        <f ca="1">Costs!Z74/('Global assumptions'!$C$7*NAIRA2010_*250)</f>
        <v>0</v>
      </c>
      <c r="AA74" s="1689">
        <f ca="1">Costs!AA74/('Global assumptions'!$C$7*NAIRA2010_*250)</f>
        <v>0</v>
      </c>
      <c r="AB74" s="1689">
        <f ca="1">Costs!AB74/('Global assumptions'!$C$7*NAIRA2010_*250)</f>
        <v>0</v>
      </c>
      <c r="AC74" s="1689">
        <f ca="1">Costs!AC74/('Global assumptions'!$C$7*NAIRA2010_*250)</f>
        <v>0</v>
      </c>
      <c r="AD74" s="1689">
        <f ca="1">Costs!AD74/('Global assumptions'!$C$7*NAIRA2010_*250)</f>
        <v>0</v>
      </c>
      <c r="AE74" s="1689">
        <f ca="1">Costs!AE74/('Global assumptions'!$C$7*NAIRA2010_*250)</f>
        <v>0</v>
      </c>
      <c r="AF74" s="1689">
        <f ca="1">Costs!AF74/('Global assumptions'!$C$7*NAIRA2010_*250)</f>
        <v>0</v>
      </c>
      <c r="AG74" s="1689">
        <f ca="1">Costs!AG74/('Global assumptions'!$C$7*NAIRA2010_*250)</f>
        <v>0</v>
      </c>
      <c r="AH74" s="675"/>
      <c r="AI74" s="1689">
        <f ca="1">Costs!AI74/('Global assumptions'!$C$7*NAIRA2010_*250)</f>
        <v>0</v>
      </c>
      <c r="AJ74" s="1689">
        <f ca="1">Costs!AJ74/('Global assumptions'!$C$7*NAIRA2010_*250)</f>
        <v>2202.8753002768585</v>
      </c>
      <c r="AK74" s="1689">
        <f ca="1">Costs!AK74/('Global assumptions'!$C$7*NAIRA2010_*250)</f>
        <v>4384.37588701403</v>
      </c>
      <c r="AL74" s="1689">
        <f ca="1">Costs!AL74/('Global assumptions'!$C$7*NAIRA2010_*250)</f>
        <v>6680.1466847720967</v>
      </c>
      <c r="AM74" s="1689">
        <f ca="1">Costs!AM74/('Global assumptions'!$C$7*NAIRA2010_*250)</f>
        <v>9151.9003470153311</v>
      </c>
      <c r="AN74" s="1689">
        <f ca="1">Costs!AN74/('Global assumptions'!$C$7*NAIRA2010_*250)</f>
        <v>11839.817035752851</v>
      </c>
      <c r="AO74" s="1689">
        <f ca="1">Costs!AO74/('Global assumptions'!$C$7*NAIRA2010_*250)</f>
        <v>14408.423679381414</v>
      </c>
      <c r="AP74" s="1689">
        <f ca="1">Costs!AP74/('Global assumptions'!$C$7*NAIRA2010_*250)</f>
        <v>17091.183219418755</v>
      </c>
      <c r="AQ74" s="1689">
        <f ca="1">Costs!AQ74/('Global assumptions'!$C$7*NAIRA2010_*250)</f>
        <v>19871.251271149678</v>
      </c>
      <c r="AS74" s="1706">
        <f t="shared" ca="1" si="10"/>
        <v>9514.4414916423339</v>
      </c>
      <c r="AT74" s="1706">
        <f t="shared" ca="1" si="7"/>
        <v>48142.436186269471</v>
      </c>
      <c r="AU74" s="675"/>
      <c r="AV74" s="1699">
        <f>IFERROR(VLOOKUP($A74,Cost.FinanceCostTable,5,FALSE),'Global assumptions'!$D$35)</f>
        <v>0</v>
      </c>
      <c r="AW74" s="1690">
        <f>IFERROR(VLOOKUP($A74,Cost.FinanceCostTable,6,FALSE),'Global assumptions'!$E$35)</f>
        <v>5</v>
      </c>
      <c r="AX74" s="675"/>
      <c r="AY74" s="1689">
        <f ca="1">Costs!AY74/('Global assumptions'!$C$7*NAIRA2010_*250)</f>
        <v>0</v>
      </c>
      <c r="AZ74" s="1689">
        <f ca="1">Costs!AZ74/('Global assumptions'!$C$7*NAIRA2010_*250)</f>
        <v>26.547928111838427</v>
      </c>
      <c r="BA74" s="1689">
        <f ca="1">Costs!BA74/('Global assumptions'!$C$7*NAIRA2010_*250)</f>
        <v>35.749214367697576</v>
      </c>
      <c r="BB74" s="1689">
        <f ca="1">Costs!BB74/('Global assumptions'!$C$7*NAIRA2010_*250)</f>
        <v>46.185029330469838</v>
      </c>
      <c r="BC74" s="1689">
        <f ca="1">Costs!BC74/('Global assumptions'!$C$7*NAIRA2010_*250)</f>
        <v>57.77579932262713</v>
      </c>
      <c r="BD74" s="1689">
        <f ca="1">Costs!BD74/('Global assumptions'!$C$7*NAIRA2010_*250)</f>
        <v>70.498915588684724</v>
      </c>
      <c r="BE74" s="1689">
        <f ca="1">Costs!BE74/('Global assumptions'!$C$7*NAIRA2010_*250)</f>
        <v>79.997408412512158</v>
      </c>
      <c r="BF74" s="1689">
        <f ca="1">Costs!BF74/('Global assumptions'!$C$7*NAIRA2010_*250)</f>
        <v>91.673609440060318</v>
      </c>
      <c r="BG74" s="1689">
        <f ca="1">Costs!BG74/('Global assumptions'!$C$7*NAIRA2010_*250)</f>
        <v>103.54789426513915</v>
      </c>
      <c r="BH74" s="675"/>
      <c r="BI74" s="1689">
        <f ca="1">Costs!BI74/('Global assumptions'!$C$7*NAIRA2010_*250)</f>
        <v>0</v>
      </c>
      <c r="BJ74" s="1689">
        <f ca="1">Costs!BJ74/('Global assumptions'!$C$7*NAIRA2010_*250)</f>
        <v>26.547928111838427</v>
      </c>
      <c r="BK74" s="1689">
        <f ca="1">Costs!BK74/('Global assumptions'!$C$7*NAIRA2010_*250)</f>
        <v>62.297142479536006</v>
      </c>
      <c r="BL74" s="1689">
        <f ca="1">Costs!BL74/('Global assumptions'!$C$7*NAIRA2010_*250)</f>
        <v>108.48217181000585</v>
      </c>
      <c r="BM74" s="1689">
        <f ca="1">Costs!BM74/('Global assumptions'!$C$7*NAIRA2010_*250)</f>
        <v>139.71004302079456</v>
      </c>
      <c r="BN74" s="1689">
        <f ca="1">Costs!BN74/('Global assumptions'!$C$7*NAIRA2010_*250)</f>
        <v>174.45974424178166</v>
      </c>
      <c r="BO74" s="1689">
        <f ca="1">Costs!BO74/('Global assumptions'!$C$7*NAIRA2010_*250)</f>
        <v>208.27212332382396</v>
      </c>
      <c r="BP74" s="1689">
        <f ca="1">Costs!BP74/('Global assumptions'!$C$7*NAIRA2010_*250)</f>
        <v>242.16993344125723</v>
      </c>
      <c r="BQ74" s="1689">
        <f ca="1">Costs!BQ74/('Global assumptions'!$C$7*NAIRA2010_*250)</f>
        <v>275.21891211771162</v>
      </c>
      <c r="BR74" s="675"/>
      <c r="BS74" s="1689">
        <f ca="1">Costs!BS74/('Global assumptions'!$C$7*NAIRA2010_*250)</f>
        <v>0</v>
      </c>
      <c r="BT74" s="1689">
        <f ca="1">Costs!BT74/('Global assumptions'!$C$7*NAIRA2010_*250)</f>
        <v>2181.0639791374078</v>
      </c>
      <c r="BU74" s="1689">
        <f ca="1">Costs!BU74/('Global assumptions'!$C$7*NAIRA2010_*250)</f>
        <v>4381.5528754513252</v>
      </c>
      <c r="BV74" s="1689">
        <f ca="1">Costs!BV74/('Global assumptions'!$C$7*NAIRA2010_*250)</f>
        <v>6704.4990014890309</v>
      </c>
      <c r="BW74" s="1689">
        <f ca="1">Costs!BW74/('Global assumptions'!$C$7*NAIRA2010_*250)</f>
        <v>9186.3669876747408</v>
      </c>
      <c r="BX74" s="1689">
        <f ca="1">Costs!BX74/('Global assumptions'!$C$7*NAIRA2010_*250)</f>
        <v>11885.857167867594</v>
      </c>
      <c r="BY74" s="1689">
        <f ca="1">Costs!BY74/('Global assumptions'!$C$7*NAIRA2010_*250)</f>
        <v>14470.973899414686</v>
      </c>
      <c r="BZ74" s="1689">
        <f ca="1">Costs!BZ74/('Global assumptions'!$C$7*NAIRA2010_*250)</f>
        <v>17166.362082596403</v>
      </c>
      <c r="CA74" s="1689">
        <f ca="1">Costs!CA74/('Global assumptions'!$C$7*NAIRA2010_*250)</f>
        <v>19957.849119991984</v>
      </c>
      <c r="CC74" s="1706">
        <f t="shared" ca="1" si="11"/>
        <v>9548.2805681803511</v>
      </c>
      <c r="CD74" s="1706">
        <f t="shared" ca="1" si="8"/>
        <v>48200.259769299388</v>
      </c>
      <c r="CF74" s="1689">
        <f ca="1">Costs!CF74/('Global assumptions'!$C$7*NAIRA2010_*250)</f>
        <v>0</v>
      </c>
      <c r="CG74" s="1689">
        <f ca="1">Costs!CG74/('Global assumptions'!$C$7*NAIRA2010_*250)</f>
        <v>-21.811321139450371</v>
      </c>
      <c r="CH74" s="1689">
        <f ca="1">Costs!CH74/('Global assumptions'!$C$7*NAIRA2010_*250)</f>
        <v>-2.8230115627043717</v>
      </c>
      <c r="CI74" s="1689">
        <f ca="1">Costs!CI74/('Global assumptions'!$C$7*NAIRA2010_*250)</f>
        <v>24.352316716933277</v>
      </c>
      <c r="CJ74" s="1689">
        <f ca="1">Costs!CJ74/('Global assumptions'!$C$7*NAIRA2010_*250)</f>
        <v>34.466640659408341</v>
      </c>
      <c r="CK74" s="1689">
        <f ca="1">Costs!CK74/('Global assumptions'!$C$7*NAIRA2010_*250)</f>
        <v>46.040132114743862</v>
      </c>
      <c r="CL74" s="1689">
        <f ca="1">Costs!CL74/('Global assumptions'!$C$7*NAIRA2010_*250)</f>
        <v>62.550220033272872</v>
      </c>
      <c r="CM74" s="1689">
        <f ca="1">Costs!CM74/('Global assumptions'!$C$7*NAIRA2010_*250)</f>
        <v>75.178863177650939</v>
      </c>
      <c r="CN74" s="1689">
        <f ca="1">Costs!CN74/('Global assumptions'!$C$7*NAIRA2010_*250)</f>
        <v>86.597848842307243</v>
      </c>
      <c r="CP74" s="1706">
        <f t="shared" ca="1" si="12"/>
        <v>33.839076538017977</v>
      </c>
      <c r="CQ74" s="1706">
        <f t="shared" ca="1" si="9"/>
        <v>57.823583029928152</v>
      </c>
      <c r="CR74" s="1426" t="str">
        <f t="shared" ca="1" si="13"/>
        <v>ok</v>
      </c>
    </row>
    <row r="75" spans="1:96" s="2126" customFormat="1" x14ac:dyDescent="0.2">
      <c r="A75" s="1685" t="s">
        <v>1775</v>
      </c>
      <c r="B75" s="1685" t="s">
        <v>1730</v>
      </c>
      <c r="C75" s="1685" t="s">
        <v>125</v>
      </c>
      <c r="E75" s="1691">
        <f ca="1">Costs!E75/('Global assumptions'!$C$7*NAIRA2010_*250)</f>
        <v>0</v>
      </c>
      <c r="F75" s="1691">
        <f ca="1">Costs!F75/('Global assumptions'!$C$7*NAIRA2010_*250)</f>
        <v>0.16251062117745529</v>
      </c>
      <c r="G75" s="1691">
        <f ca="1">Costs!G75/('Global assumptions'!$C$7*NAIRA2010_*250)</f>
        <v>0.21831155345489525</v>
      </c>
      <c r="H75" s="1691">
        <f ca="1">Costs!H75/('Global assumptions'!$C$7*NAIRA2010_*250)</f>
        <v>0.28597163465854858</v>
      </c>
      <c r="I75" s="1691">
        <f ca="1">Costs!I75/('Global assumptions'!$C$7*NAIRA2010_*250)</f>
        <v>0.36764406681576989</v>
      </c>
      <c r="J75" s="1691">
        <f ca="1">Costs!J75/('Global assumptions'!$C$7*NAIRA2010_*250)</f>
        <v>0.46584316362676786</v>
      </c>
      <c r="K75" s="1691">
        <f ca="1">Costs!K75/('Global assumptions'!$C$7*NAIRA2010_*250)</f>
        <v>0.56526321842558147</v>
      </c>
      <c r="L75" s="1691">
        <f ca="1">Costs!L75/('Global assumptions'!$C$7*NAIRA2010_*250)</f>
        <v>0.68440050797746665</v>
      </c>
      <c r="M75" s="1691">
        <f ca="1">Costs!M75/('Global assumptions'!$C$7*NAIRA2010_*250)</f>
        <v>0.82221421602743772</v>
      </c>
      <c r="N75" s="675"/>
      <c r="O75" s="1691">
        <f ca="1">Costs!O75/('Global assumptions'!$C$7*NAIRA2010_*250)</f>
        <v>0.25000000000000006</v>
      </c>
      <c r="P75" s="1691">
        <f ca="1">Costs!P75/('Global assumptions'!$C$7*NAIRA2010_*250)</f>
        <v>0.35356506652832026</v>
      </c>
      <c r="Q75" s="1691">
        <f ca="1">Costs!Q75/('Global assumptions'!$C$7*NAIRA2010_*250)</f>
        <v>0.48003170407363394</v>
      </c>
      <c r="R75" s="1691">
        <f ca="1">Costs!R75/('Global assumptions'!$C$7*NAIRA2010_*250)</f>
        <v>0.63363044784292322</v>
      </c>
      <c r="S75" s="1691">
        <f ca="1">Costs!S75/('Global assumptions'!$C$7*NAIRA2010_*250)</f>
        <v>0.81930822014519755</v>
      </c>
      <c r="T75" s="1691">
        <f ca="1">Costs!T75/('Global assumptions'!$C$7*NAIRA2010_*250)</f>
        <v>1.042843555306211</v>
      </c>
      <c r="U75" s="1691">
        <f ca="1">Costs!U75/('Global assumptions'!$C$7*NAIRA2010_*250)</f>
        <v>1.2793150557271391</v>
      </c>
      <c r="V75" s="1691">
        <f ca="1">Costs!V75/('Global assumptions'!$C$7*NAIRA2010_*250)</f>
        <v>1.5537139137003795</v>
      </c>
      <c r="W75" s="1691">
        <f ca="1">Costs!W75/('Global assumptions'!$C$7*NAIRA2010_*250)</f>
        <v>1.8713734972159972</v>
      </c>
      <c r="X75" s="675"/>
      <c r="Y75" s="1691">
        <f ca="1">Costs!Y75/('Global assumptions'!$C$7*NAIRA2010_*250)</f>
        <v>0</v>
      </c>
      <c r="Z75" s="1691">
        <f ca="1">Costs!Z75/('Global assumptions'!$C$7*NAIRA2010_*250)</f>
        <v>0</v>
      </c>
      <c r="AA75" s="1691">
        <f ca="1">Costs!AA75/('Global assumptions'!$C$7*NAIRA2010_*250)</f>
        <v>0</v>
      </c>
      <c r="AB75" s="1691">
        <f ca="1">Costs!AB75/('Global assumptions'!$C$7*NAIRA2010_*250)</f>
        <v>0</v>
      </c>
      <c r="AC75" s="1691">
        <f ca="1">Costs!AC75/('Global assumptions'!$C$7*NAIRA2010_*250)</f>
        <v>0</v>
      </c>
      <c r="AD75" s="1691">
        <f ca="1">Costs!AD75/('Global assumptions'!$C$7*NAIRA2010_*250)</f>
        <v>0</v>
      </c>
      <c r="AE75" s="1691">
        <f ca="1">Costs!AE75/('Global assumptions'!$C$7*NAIRA2010_*250)</f>
        <v>0</v>
      </c>
      <c r="AF75" s="1691">
        <f ca="1">Costs!AF75/('Global assumptions'!$C$7*NAIRA2010_*250)</f>
        <v>0</v>
      </c>
      <c r="AG75" s="1691">
        <f ca="1">Costs!AG75/('Global assumptions'!$C$7*NAIRA2010_*250)</f>
        <v>0</v>
      </c>
      <c r="AH75" s="675"/>
      <c r="AI75" s="1691">
        <f ca="1">Costs!AI75/('Global assumptions'!$C$7*NAIRA2010_*250)</f>
        <v>0.25000000000000006</v>
      </c>
      <c r="AJ75" s="1691">
        <f ca="1">Costs!AJ75/('Global assumptions'!$C$7*NAIRA2010_*250)</f>
        <v>0.51607568770577561</v>
      </c>
      <c r="AK75" s="1691">
        <f ca="1">Costs!AK75/('Global assumptions'!$C$7*NAIRA2010_*250)</f>
        <v>0.69834325752852922</v>
      </c>
      <c r="AL75" s="1691">
        <f ca="1">Costs!AL75/('Global assumptions'!$C$7*NAIRA2010_*250)</f>
        <v>0.91960208250147191</v>
      </c>
      <c r="AM75" s="1691">
        <f ca="1">Costs!AM75/('Global assumptions'!$C$7*NAIRA2010_*250)</f>
        <v>1.1869522869609674</v>
      </c>
      <c r="AN75" s="1691">
        <f ca="1">Costs!AN75/('Global assumptions'!$C$7*NAIRA2010_*250)</f>
        <v>1.5086867189329789</v>
      </c>
      <c r="AO75" s="1691">
        <f ca="1">Costs!AO75/('Global assumptions'!$C$7*NAIRA2010_*250)</f>
        <v>1.8445782741527206</v>
      </c>
      <c r="AP75" s="1691">
        <f ca="1">Costs!AP75/('Global assumptions'!$C$7*NAIRA2010_*250)</f>
        <v>2.2381144216778464</v>
      </c>
      <c r="AQ75" s="1691">
        <f ca="1">Costs!AQ75/('Global assumptions'!$C$7*NAIRA2010_*250)</f>
        <v>2.6935877132434349</v>
      </c>
      <c r="AS75" s="1707">
        <f t="shared" ca="1" si="10"/>
        <v>1.3173267158559694</v>
      </c>
      <c r="AT75" s="1707">
        <f t="shared" ca="1" si="7"/>
        <v>7.5336076354973827</v>
      </c>
      <c r="AU75" s="675"/>
      <c r="AV75" s="1699">
        <f>IFERROR(VLOOKUP($A75,Cost.FinanceCostTable,5,FALSE),'Global assumptions'!$D$35)</f>
        <v>7.0000000000000007E-2</v>
      </c>
      <c r="AW75" s="1690">
        <f>IFERROR(VLOOKUP($A75,Cost.FinanceCostTable,6,FALSE),'Global assumptions'!$E$35)</f>
        <v>5</v>
      </c>
      <c r="AX75" s="675"/>
      <c r="AY75" s="1691">
        <f ca="1">Costs!AY75/('Global assumptions'!$C$7*NAIRA2010_*250)</f>
        <v>0</v>
      </c>
      <c r="AZ75" s="1691">
        <f ca="1">Costs!AZ75/('Global assumptions'!$C$7*NAIRA2010_*250)</f>
        <v>0.19817414126534322</v>
      </c>
      <c r="BA75" s="1691">
        <f ca="1">Costs!BA75/('Global assumptions'!$C$7*NAIRA2010_*250)</f>
        <v>0.26622078188344783</v>
      </c>
      <c r="BB75" s="1691">
        <f ca="1">Costs!BB75/('Global assumptions'!$C$7*NAIRA2010_*250)</f>
        <v>0.34872910283704162</v>
      </c>
      <c r="BC75" s="1691">
        <f ca="1">Costs!BC75/('Global assumptions'!$C$7*NAIRA2010_*250)</f>
        <v>0.44832483381474525</v>
      </c>
      <c r="BD75" s="1691">
        <f ca="1">Costs!BD75/('Global assumptions'!$C$7*NAIRA2010_*250)</f>
        <v>0.56807406338849531</v>
      </c>
      <c r="BE75" s="1691">
        <f ca="1">Costs!BE75/('Global assumptions'!$C$7*NAIRA2010_*250)</f>
        <v>0.68931219441990599</v>
      </c>
      <c r="BF75" s="1691">
        <f ca="1">Costs!BF75/('Global assumptions'!$C$7*NAIRA2010_*250)</f>
        <v>0.83459457583326768</v>
      </c>
      <c r="BG75" s="1691">
        <f ca="1">Costs!BG75/('Global assumptions'!$C$7*NAIRA2010_*250)</f>
        <v>1.0026519806325089</v>
      </c>
      <c r="BH75" s="675"/>
      <c r="BI75" s="1691">
        <f ca="1">Costs!BI75/('Global assumptions'!$C$7*NAIRA2010_*250)</f>
        <v>0</v>
      </c>
      <c r="BJ75" s="1691">
        <f ca="1">Costs!BJ75/('Global assumptions'!$C$7*NAIRA2010_*250)</f>
        <v>0.19817414126534322</v>
      </c>
      <c r="BK75" s="1691">
        <f ca="1">Costs!BK75/('Global assumptions'!$C$7*NAIRA2010_*250)</f>
        <v>0.26622078188344783</v>
      </c>
      <c r="BL75" s="1691">
        <f ca="1">Costs!BL75/('Global assumptions'!$C$7*NAIRA2010_*250)</f>
        <v>0.34872910283704162</v>
      </c>
      <c r="BM75" s="1691">
        <f ca="1">Costs!BM75/('Global assumptions'!$C$7*NAIRA2010_*250)</f>
        <v>0.44832483381474525</v>
      </c>
      <c r="BN75" s="1691">
        <f ca="1">Costs!BN75/('Global assumptions'!$C$7*NAIRA2010_*250)</f>
        <v>0.56807406338849531</v>
      </c>
      <c r="BO75" s="1691">
        <f ca="1">Costs!BO75/('Global assumptions'!$C$7*NAIRA2010_*250)</f>
        <v>0.68931219441990599</v>
      </c>
      <c r="BP75" s="1691">
        <f ca="1">Costs!BP75/('Global assumptions'!$C$7*NAIRA2010_*250)</f>
        <v>0.83459457583326768</v>
      </c>
      <c r="BQ75" s="1691">
        <f ca="1">Costs!BQ75/('Global assumptions'!$C$7*NAIRA2010_*250)</f>
        <v>1.0026519806325089</v>
      </c>
      <c r="BR75" s="675"/>
      <c r="BS75" s="1691">
        <f ca="1">Costs!BS75/('Global assumptions'!$C$7*NAIRA2010_*250)</f>
        <v>0.25000000000000006</v>
      </c>
      <c r="BT75" s="1691">
        <f ca="1">Costs!BT75/('Global assumptions'!$C$7*NAIRA2010_*250)</f>
        <v>0.55173920779366348</v>
      </c>
      <c r="BU75" s="1691">
        <f ca="1">Costs!BU75/('Global assumptions'!$C$7*NAIRA2010_*250)</f>
        <v>0.74625248595708171</v>
      </c>
      <c r="BV75" s="1691">
        <f ca="1">Costs!BV75/('Global assumptions'!$C$7*NAIRA2010_*250)</f>
        <v>0.98235955067996494</v>
      </c>
      <c r="BW75" s="1691">
        <f ca="1">Costs!BW75/('Global assumptions'!$C$7*NAIRA2010_*250)</f>
        <v>1.2676330539599427</v>
      </c>
      <c r="BX75" s="1691">
        <f ca="1">Costs!BX75/('Global assumptions'!$C$7*NAIRA2010_*250)</f>
        <v>1.6109176186947063</v>
      </c>
      <c r="BY75" s="1691">
        <f ca="1">Costs!BY75/('Global assumptions'!$C$7*NAIRA2010_*250)</f>
        <v>1.9686272501470448</v>
      </c>
      <c r="BZ75" s="1691">
        <f ca="1">Costs!BZ75/('Global assumptions'!$C$7*NAIRA2010_*250)</f>
        <v>2.3883084895336473</v>
      </c>
      <c r="CA75" s="1691">
        <f ca="1">Costs!CA75/('Global assumptions'!$C$7*NAIRA2010_*250)</f>
        <v>2.8740254778485061</v>
      </c>
      <c r="CC75" s="1707">
        <f t="shared" ca="1" si="11"/>
        <v>1.4044292371793954</v>
      </c>
      <c r="CD75" s="1707">
        <f t="shared" ca="1" si="8"/>
        <v>8.0300848029251117</v>
      </c>
      <c r="CF75" s="1691">
        <f ca="1">Costs!CF75/('Global assumptions'!$C$7*NAIRA2010_*250)</f>
        <v>0</v>
      </c>
      <c r="CG75" s="1691">
        <f ca="1">Costs!CG75/('Global assumptions'!$C$7*NAIRA2010_*250)</f>
        <v>3.5663520087887923E-2</v>
      </c>
      <c r="CH75" s="1691">
        <f ca="1">Costs!CH75/('Global assumptions'!$C$7*NAIRA2010_*250)</f>
        <v>4.7909228428552574E-2</v>
      </c>
      <c r="CI75" s="1691">
        <f ca="1">Costs!CI75/('Global assumptions'!$C$7*NAIRA2010_*250)</f>
        <v>6.2757468178493078E-2</v>
      </c>
      <c r="CJ75" s="1691">
        <f ca="1">Costs!CJ75/('Global assumptions'!$C$7*NAIRA2010_*250)</f>
        <v>8.0680766998975362E-2</v>
      </c>
      <c r="CK75" s="1691">
        <f ca="1">Costs!CK75/('Global assumptions'!$C$7*NAIRA2010_*250)</f>
        <v>0.10223089976172747</v>
      </c>
      <c r="CL75" s="1691">
        <f ca="1">Costs!CL75/('Global assumptions'!$C$7*NAIRA2010_*250)</f>
        <v>0.12404897599432449</v>
      </c>
      <c r="CM75" s="1691">
        <f ca="1">Costs!CM75/('Global assumptions'!$C$7*NAIRA2010_*250)</f>
        <v>0.15019406785580103</v>
      </c>
      <c r="CN75" s="1691">
        <f ca="1">Costs!CN75/('Global assumptions'!$C$7*NAIRA2010_*250)</f>
        <v>0.18043776460507119</v>
      </c>
      <c r="CP75" s="1707">
        <f t="shared" ca="1" si="12"/>
        <v>8.7102521323425913E-2</v>
      </c>
      <c r="CQ75" s="1707">
        <f t="shared" ca="1" si="9"/>
        <v>0.49647716742772913</v>
      </c>
      <c r="CR75" s="1426" t="str">
        <f t="shared" ca="1" si="13"/>
        <v>ok</v>
      </c>
    </row>
    <row r="76" spans="1:96" s="2126" customFormat="1" x14ac:dyDescent="0.2">
      <c r="A76" s="1683" t="s">
        <v>1724</v>
      </c>
      <c r="B76" s="1683" t="s">
        <v>19</v>
      </c>
      <c r="C76" s="1683" t="s">
        <v>125</v>
      </c>
      <c r="E76" s="1689">
        <f ca="1">Costs!E76/('Global assumptions'!$C$7*NAIRA2010_*250)</f>
        <v>0</v>
      </c>
      <c r="F76" s="1689">
        <f ca="1">Costs!F76/('Global assumptions'!$C$7*NAIRA2010_*250)</f>
        <v>0</v>
      </c>
      <c r="G76" s="1689">
        <f ca="1">Costs!G76/('Global assumptions'!$C$7*NAIRA2010_*250)</f>
        <v>0.27969594636913758</v>
      </c>
      <c r="H76" s="1689">
        <f ca="1">Costs!H76/('Global assumptions'!$C$7*NAIRA2010_*250)</f>
        <v>0.3848347229011736</v>
      </c>
      <c r="I76" s="1689">
        <f ca="1">Costs!I76/('Global assumptions'!$C$7*NAIRA2010_*250)</f>
        <v>0.49942367110503239</v>
      </c>
      <c r="J76" s="1689">
        <f ca="1">Costs!J76/('Global assumptions'!$C$7*NAIRA2010_*250)</f>
        <v>0.63703067154955739</v>
      </c>
      <c r="K76" s="1689">
        <f ca="1">Costs!K76/('Global assumptions'!$C$7*NAIRA2010_*250)</f>
        <v>0.74385797999406211</v>
      </c>
      <c r="L76" s="1689">
        <f ca="1">Costs!L76/('Global assumptions'!$C$7*NAIRA2010_*250)</f>
        <v>0.90906759798004</v>
      </c>
      <c r="M76" s="1689">
        <f ca="1">Costs!M76/('Global assumptions'!$C$7*NAIRA2010_*250)</f>
        <v>1.1164666455429975</v>
      </c>
      <c r="N76" s="675"/>
      <c r="O76" s="1689">
        <f ca="1">Costs!O76/('Global assumptions'!$C$7*NAIRA2010_*250)</f>
        <v>29.223600000000005</v>
      </c>
      <c r="P76" s="1689">
        <f ca="1">Costs!P76/('Global assumptions'!$C$7*NAIRA2010_*250)</f>
        <v>20.184309362059292</v>
      </c>
      <c r="Q76" s="1689">
        <f ca="1">Costs!Q76/('Global assumptions'!$C$7*NAIRA2010_*250)</f>
        <v>22.157448144652331</v>
      </c>
      <c r="R76" s="1689">
        <f ca="1">Costs!R76/('Global assumptions'!$C$7*NAIRA2010_*250)</f>
        <v>25.413419427889135</v>
      </c>
      <c r="S76" s="1689">
        <f ca="1">Costs!S76/('Global assumptions'!$C$7*NAIRA2010_*250)</f>
        <v>29.508296973565539</v>
      </c>
      <c r="T76" s="1689">
        <f ca="1">Costs!T76/('Global assumptions'!$C$7*NAIRA2010_*250)</f>
        <v>34.41693736277756</v>
      </c>
      <c r="U76" s="1689">
        <f ca="1">Costs!U76/('Global assumptions'!$C$7*NAIRA2010_*250)</f>
        <v>39.238351406563744</v>
      </c>
      <c r="V76" s="1689">
        <f ca="1">Costs!V76/('Global assumptions'!$C$7*NAIRA2010_*250)</f>
        <v>44.755770222215759</v>
      </c>
      <c r="W76" s="1689">
        <f ca="1">Costs!W76/('Global assumptions'!$C$7*NAIRA2010_*250)</f>
        <v>51.042385831025321</v>
      </c>
      <c r="X76" s="675"/>
      <c r="Y76" s="1689">
        <f ca="1">Costs!Y76/('Global assumptions'!$C$7*NAIRA2010_*250)</f>
        <v>0</v>
      </c>
      <c r="Z76" s="1689">
        <f ca="1">Costs!Z76/('Global assumptions'!$C$7*NAIRA2010_*250)</f>
        <v>0</v>
      </c>
      <c r="AA76" s="1689">
        <f ca="1">Costs!AA76/('Global assumptions'!$C$7*NAIRA2010_*250)</f>
        <v>0</v>
      </c>
      <c r="AB76" s="1689">
        <f ca="1">Costs!AB76/('Global assumptions'!$C$7*NAIRA2010_*250)</f>
        <v>0</v>
      </c>
      <c r="AC76" s="1689">
        <f ca="1">Costs!AC76/('Global assumptions'!$C$7*NAIRA2010_*250)</f>
        <v>0</v>
      </c>
      <c r="AD76" s="1689">
        <f ca="1">Costs!AD76/('Global assumptions'!$C$7*NAIRA2010_*250)</f>
        <v>0</v>
      </c>
      <c r="AE76" s="1689">
        <f ca="1">Costs!AE76/('Global assumptions'!$C$7*NAIRA2010_*250)</f>
        <v>0</v>
      </c>
      <c r="AF76" s="1689">
        <f ca="1">Costs!AF76/('Global assumptions'!$C$7*NAIRA2010_*250)</f>
        <v>0</v>
      </c>
      <c r="AG76" s="1689">
        <f ca="1">Costs!AG76/('Global assumptions'!$C$7*NAIRA2010_*250)</f>
        <v>0</v>
      </c>
      <c r="AH76" s="675"/>
      <c r="AI76" s="1689">
        <f ca="1">Costs!AI76/('Global assumptions'!$C$7*NAIRA2010_*250)</f>
        <v>29.223600000000005</v>
      </c>
      <c r="AJ76" s="1689">
        <f ca="1">Costs!AJ76/('Global assumptions'!$C$7*NAIRA2010_*250)</f>
        <v>20.184309362059292</v>
      </c>
      <c r="AK76" s="1689">
        <f ca="1">Costs!AK76/('Global assumptions'!$C$7*NAIRA2010_*250)</f>
        <v>22.437144091021469</v>
      </c>
      <c r="AL76" s="1689">
        <f ca="1">Costs!AL76/('Global assumptions'!$C$7*NAIRA2010_*250)</f>
        <v>25.798254150790306</v>
      </c>
      <c r="AM76" s="1689">
        <f ca="1">Costs!AM76/('Global assumptions'!$C$7*NAIRA2010_*250)</f>
        <v>30.007720644670574</v>
      </c>
      <c r="AN76" s="1689">
        <f ca="1">Costs!AN76/('Global assumptions'!$C$7*NAIRA2010_*250)</f>
        <v>35.05396803432712</v>
      </c>
      <c r="AO76" s="1689">
        <f ca="1">Costs!AO76/('Global assumptions'!$C$7*NAIRA2010_*250)</f>
        <v>39.982209386557813</v>
      </c>
      <c r="AP76" s="1689">
        <f ca="1">Costs!AP76/('Global assumptions'!$C$7*NAIRA2010_*250)</f>
        <v>45.6648378201958</v>
      </c>
      <c r="AQ76" s="1689">
        <f ca="1">Costs!AQ76/('Global assumptions'!$C$7*NAIRA2010_*250)</f>
        <v>52.158852476568313</v>
      </c>
      <c r="AS76" s="1706">
        <f t="shared" ca="1" si="10"/>
        <v>33.390099551798961</v>
      </c>
      <c r="AT76" s="1706">
        <f t="shared" ca="1" si="7"/>
        <v>238.36368703896756</v>
      </c>
      <c r="AU76" s="675"/>
      <c r="AV76" s="1699">
        <f>IFERROR(VLOOKUP($A76,Cost.FinanceCostTable,5,FALSE),'Global assumptions'!$D$35)</f>
        <v>7.0000000000000007E-2</v>
      </c>
      <c r="AW76" s="1690">
        <f>IFERROR(VLOOKUP($A76,Cost.FinanceCostTable,6,FALSE),'Global assumptions'!$E$35)</f>
        <v>30</v>
      </c>
      <c r="AX76" s="675"/>
      <c r="AY76" s="1689">
        <f ca="1">Costs!AY76/('Global assumptions'!$C$7*NAIRA2010_*250)</f>
        <v>0</v>
      </c>
      <c r="AZ76" s="1689">
        <f ca="1">Costs!AZ76/('Global assumptions'!$C$7*NAIRA2010_*250)</f>
        <v>0</v>
      </c>
      <c r="BA76" s="1689">
        <f ca="1">Costs!BA76/('Global assumptions'!$C$7*NAIRA2010_*250)</f>
        <v>0.11269845197262719</v>
      </c>
      <c r="BB76" s="1689">
        <f ca="1">Costs!BB76/('Global assumptions'!$C$7*NAIRA2010_*250)</f>
        <v>0.15506223132400321</v>
      </c>
      <c r="BC76" s="1689">
        <f ca="1">Costs!BC76/('Global assumptions'!$C$7*NAIRA2010_*250)</f>
        <v>0.20123378741335313</v>
      </c>
      <c r="BD76" s="1689">
        <f ca="1">Costs!BD76/('Global assumptions'!$C$7*NAIRA2010_*250)</f>
        <v>0.2566800537322339</v>
      </c>
      <c r="BE76" s="1689">
        <f ca="1">Costs!BE76/('Global assumptions'!$C$7*NAIRA2010_*250)</f>
        <v>0.29972419665380789</v>
      </c>
      <c r="BF76" s="1689">
        <f ca="1">Costs!BF76/('Global assumptions'!$C$7*NAIRA2010_*250)</f>
        <v>0.36629244134848055</v>
      </c>
      <c r="BG76" s="1689">
        <f ca="1">Costs!BG76/('Global assumptions'!$C$7*NAIRA2010_*250)</f>
        <v>0.44986015802212381</v>
      </c>
      <c r="BH76" s="675"/>
      <c r="BI76" s="1689">
        <f ca="1">Costs!BI76/('Global assumptions'!$C$7*NAIRA2010_*250)</f>
        <v>0</v>
      </c>
      <c r="BJ76" s="1689">
        <f ca="1">Costs!BJ76/('Global assumptions'!$C$7*NAIRA2010_*250)</f>
        <v>0</v>
      </c>
      <c r="BK76" s="1689">
        <f ca="1">Costs!BK76/('Global assumptions'!$C$7*NAIRA2010_*250)</f>
        <v>0.11269845197262719</v>
      </c>
      <c r="BL76" s="1689">
        <f ca="1">Costs!BL76/('Global assumptions'!$C$7*NAIRA2010_*250)</f>
        <v>0.26776068329663044</v>
      </c>
      <c r="BM76" s="1689">
        <f ca="1">Costs!BM76/('Global assumptions'!$C$7*NAIRA2010_*250)</f>
        <v>0.46899447070998357</v>
      </c>
      <c r="BN76" s="1689">
        <f ca="1">Costs!BN76/('Global assumptions'!$C$7*NAIRA2010_*250)</f>
        <v>0.72567452444221736</v>
      </c>
      <c r="BO76" s="1689">
        <f ca="1">Costs!BO76/('Global assumptions'!$C$7*NAIRA2010_*250)</f>
        <v>1.0253987210960254</v>
      </c>
      <c r="BP76" s="1689">
        <f ca="1">Costs!BP76/('Global assumptions'!$C$7*NAIRA2010_*250)</f>
        <v>1.5929249498578593</v>
      </c>
      <c r="BQ76" s="1689">
        <f ca="1">Costs!BQ76/('Global assumptions'!$C$7*NAIRA2010_*250)</f>
        <v>1.9300866559073555</v>
      </c>
      <c r="BR76" s="675"/>
      <c r="BS76" s="1689">
        <f ca="1">Costs!BS76/('Global assumptions'!$C$7*NAIRA2010_*250)</f>
        <v>29.223600000000005</v>
      </c>
      <c r="BT76" s="1689">
        <f ca="1">Costs!BT76/('Global assumptions'!$C$7*NAIRA2010_*250)</f>
        <v>20.184309362059292</v>
      </c>
      <c r="BU76" s="1689">
        <f ca="1">Costs!BU76/('Global assumptions'!$C$7*NAIRA2010_*250)</f>
        <v>22.270146596624958</v>
      </c>
      <c r="BV76" s="1689">
        <f ca="1">Costs!BV76/('Global assumptions'!$C$7*NAIRA2010_*250)</f>
        <v>25.681180111185764</v>
      </c>
      <c r="BW76" s="1689">
        <f ca="1">Costs!BW76/('Global assumptions'!$C$7*NAIRA2010_*250)</f>
        <v>29.977291444275522</v>
      </c>
      <c r="BX76" s="1689">
        <f ca="1">Costs!BX76/('Global assumptions'!$C$7*NAIRA2010_*250)</f>
        <v>35.142611887219779</v>
      </c>
      <c r="BY76" s="1689">
        <f ca="1">Costs!BY76/('Global assumptions'!$C$7*NAIRA2010_*250)</f>
        <v>40.263750127659769</v>
      </c>
      <c r="BZ76" s="1689">
        <f ca="1">Costs!BZ76/('Global assumptions'!$C$7*NAIRA2010_*250)</f>
        <v>46.348695172073612</v>
      </c>
      <c r="CA76" s="1689">
        <f ca="1">Costs!CA76/('Global assumptions'!$C$7*NAIRA2010_*250)</f>
        <v>52.972472486932674</v>
      </c>
      <c r="CC76" s="1706">
        <f t="shared" ca="1" si="11"/>
        <v>33.562673020892376</v>
      </c>
      <c r="CD76" s="1706">
        <f t="shared" ca="1" si="8"/>
        <v>238.3431032819056</v>
      </c>
      <c r="CF76" s="1689">
        <f ca="1">Costs!CF76/('Global assumptions'!$C$7*NAIRA2010_*250)</f>
        <v>0</v>
      </c>
      <c r="CG76" s="1689">
        <f ca="1">Costs!CG76/('Global assumptions'!$C$7*NAIRA2010_*250)</f>
        <v>0</v>
      </c>
      <c r="CH76" s="1689">
        <f ca="1">Costs!CH76/('Global assumptions'!$C$7*NAIRA2010_*250)</f>
        <v>-0.16699749439651038</v>
      </c>
      <c r="CI76" s="1689">
        <f ca="1">Costs!CI76/('Global assumptions'!$C$7*NAIRA2010_*250)</f>
        <v>-0.1170740396045432</v>
      </c>
      <c r="CJ76" s="1689">
        <f ca="1">Costs!CJ76/('Global assumptions'!$C$7*NAIRA2010_*250)</f>
        <v>-3.0429200395048799E-2</v>
      </c>
      <c r="CK76" s="1689">
        <f ca="1">Costs!CK76/('Global assumptions'!$C$7*NAIRA2010_*250)</f>
        <v>8.8643852892660052E-2</v>
      </c>
      <c r="CL76" s="1689">
        <f ca="1">Costs!CL76/('Global assumptions'!$C$7*NAIRA2010_*250)</f>
        <v>0.28154074110196314</v>
      </c>
      <c r="CM76" s="1689">
        <f ca="1">Costs!CM76/('Global assumptions'!$C$7*NAIRA2010_*250)</f>
        <v>0.68385735187781926</v>
      </c>
      <c r="CN76" s="1689">
        <f ca="1">Costs!CN76/('Global assumptions'!$C$7*NAIRA2010_*250)</f>
        <v>0.81362001036435805</v>
      </c>
      <c r="CP76" s="1706">
        <f t="shared" ca="1" si="12"/>
        <v>0.1725734690934109</v>
      </c>
      <c r="CQ76" s="1706">
        <f t="shared" ca="1" si="9"/>
        <v>-2.058375706194486E-2</v>
      </c>
      <c r="CR76" s="1426" t="str">
        <f t="shared" ca="1" si="13"/>
        <v>ok</v>
      </c>
    </row>
    <row r="77" spans="1:96" s="2126" customFormat="1" x14ac:dyDescent="0.2">
      <c r="A77" s="1685" t="s">
        <v>1725</v>
      </c>
      <c r="B77" s="1685" t="s">
        <v>397</v>
      </c>
      <c r="C77" s="1685" t="s">
        <v>125</v>
      </c>
      <c r="E77" s="1691">
        <f ca="1">Costs!E77/('Global assumptions'!$C$7*NAIRA2010_*250)</f>
        <v>0</v>
      </c>
      <c r="F77" s="1691">
        <f ca="1">Costs!F77/('Global assumptions'!$C$7*NAIRA2010_*250)</f>
        <v>0</v>
      </c>
      <c r="G77" s="1691">
        <f ca="1">Costs!G77/('Global assumptions'!$C$7*NAIRA2010_*250)</f>
        <v>0</v>
      </c>
      <c r="H77" s="1691">
        <f ca="1">Costs!H77/('Global assumptions'!$C$7*NAIRA2010_*250)</f>
        <v>0</v>
      </c>
      <c r="I77" s="1691">
        <f ca="1">Costs!I77/('Global assumptions'!$C$7*NAIRA2010_*250)</f>
        <v>0</v>
      </c>
      <c r="J77" s="1691">
        <f ca="1">Costs!J77/('Global assumptions'!$C$7*NAIRA2010_*250)</f>
        <v>0</v>
      </c>
      <c r="K77" s="1691">
        <f ca="1">Costs!K77/('Global assumptions'!$C$7*NAIRA2010_*250)</f>
        <v>0</v>
      </c>
      <c r="L77" s="1691">
        <f ca="1">Costs!L77/('Global assumptions'!$C$7*NAIRA2010_*250)</f>
        <v>0</v>
      </c>
      <c r="M77" s="1691">
        <f ca="1">Costs!M77/('Global assumptions'!$C$7*NAIRA2010_*250)</f>
        <v>0</v>
      </c>
      <c r="N77" s="675"/>
      <c r="O77" s="1691">
        <f ca="1">Costs!O77/('Global assumptions'!$C$7*NAIRA2010_*250)</f>
        <v>0</v>
      </c>
      <c r="P77" s="1691">
        <f ca="1">Costs!P77/('Global assumptions'!$C$7*NAIRA2010_*250)</f>
        <v>0</v>
      </c>
      <c r="Q77" s="1691">
        <f ca="1">Costs!Q77/('Global assumptions'!$C$7*NAIRA2010_*250)</f>
        <v>0</v>
      </c>
      <c r="R77" s="1691">
        <f ca="1">Costs!R77/('Global assumptions'!$C$7*NAIRA2010_*250)</f>
        <v>0</v>
      </c>
      <c r="S77" s="1691">
        <f ca="1">Costs!S77/('Global assumptions'!$C$7*NAIRA2010_*250)</f>
        <v>0</v>
      </c>
      <c r="T77" s="1691">
        <f ca="1">Costs!T77/('Global assumptions'!$C$7*NAIRA2010_*250)</f>
        <v>0</v>
      </c>
      <c r="U77" s="1691">
        <f ca="1">Costs!U77/('Global assumptions'!$C$7*NAIRA2010_*250)</f>
        <v>0</v>
      </c>
      <c r="V77" s="1691">
        <f ca="1">Costs!V77/('Global assumptions'!$C$7*NAIRA2010_*250)</f>
        <v>0</v>
      </c>
      <c r="W77" s="1691">
        <f ca="1">Costs!W77/('Global assumptions'!$C$7*NAIRA2010_*250)</f>
        <v>0</v>
      </c>
      <c r="X77" s="675"/>
      <c r="Y77" s="1691">
        <f ca="1">Costs!Y77/('Global assumptions'!$C$7*NAIRA2010_*250)</f>
        <v>0</v>
      </c>
      <c r="Z77" s="1691">
        <f ca="1">Costs!Z77/('Global assumptions'!$C$7*NAIRA2010_*250)</f>
        <v>0</v>
      </c>
      <c r="AA77" s="1691">
        <f ca="1">Costs!AA77/('Global assumptions'!$C$7*NAIRA2010_*250)</f>
        <v>0</v>
      </c>
      <c r="AB77" s="1691">
        <f ca="1">Costs!AB77/('Global assumptions'!$C$7*NAIRA2010_*250)</f>
        <v>0</v>
      </c>
      <c r="AC77" s="1691">
        <f ca="1">Costs!AC77/('Global assumptions'!$C$7*NAIRA2010_*250)</f>
        <v>0</v>
      </c>
      <c r="AD77" s="1691">
        <f ca="1">Costs!AD77/('Global assumptions'!$C$7*NAIRA2010_*250)</f>
        <v>0</v>
      </c>
      <c r="AE77" s="1691">
        <f ca="1">Costs!AE77/('Global assumptions'!$C$7*NAIRA2010_*250)</f>
        <v>0</v>
      </c>
      <c r="AF77" s="1691">
        <f ca="1">Costs!AF77/('Global assumptions'!$C$7*NAIRA2010_*250)</f>
        <v>0</v>
      </c>
      <c r="AG77" s="1691">
        <f ca="1">Costs!AG77/('Global assumptions'!$C$7*NAIRA2010_*250)</f>
        <v>0</v>
      </c>
      <c r="AH77" s="675"/>
      <c r="AI77" s="1691">
        <f ca="1">Costs!AI77/('Global assumptions'!$C$7*NAIRA2010_*250)</f>
        <v>0</v>
      </c>
      <c r="AJ77" s="1691">
        <f ca="1">Costs!AJ77/('Global assumptions'!$C$7*NAIRA2010_*250)</f>
        <v>0</v>
      </c>
      <c r="AK77" s="1691">
        <f ca="1">Costs!AK77/('Global assumptions'!$C$7*NAIRA2010_*250)</f>
        <v>0</v>
      </c>
      <c r="AL77" s="1691">
        <f ca="1">Costs!AL77/('Global assumptions'!$C$7*NAIRA2010_*250)</f>
        <v>0</v>
      </c>
      <c r="AM77" s="1691">
        <f ca="1">Costs!AM77/('Global assumptions'!$C$7*NAIRA2010_*250)</f>
        <v>0</v>
      </c>
      <c r="AN77" s="1691">
        <f ca="1">Costs!AN77/('Global assumptions'!$C$7*NAIRA2010_*250)</f>
        <v>0</v>
      </c>
      <c r="AO77" s="1691">
        <f ca="1">Costs!AO77/('Global assumptions'!$C$7*NAIRA2010_*250)</f>
        <v>0</v>
      </c>
      <c r="AP77" s="1691">
        <f ca="1">Costs!AP77/('Global assumptions'!$C$7*NAIRA2010_*250)</f>
        <v>0</v>
      </c>
      <c r="AQ77" s="1691">
        <f ca="1">Costs!AQ77/('Global assumptions'!$C$7*NAIRA2010_*250)</f>
        <v>0</v>
      </c>
      <c r="AS77" s="1707">
        <f t="shared" ca="1" si="10"/>
        <v>0</v>
      </c>
      <c r="AT77" s="1707">
        <f t="shared" ca="1" si="7"/>
        <v>0</v>
      </c>
      <c r="AU77" s="675"/>
      <c r="AV77" s="1699">
        <f>IFERROR(VLOOKUP($A77,Cost.FinanceCostTable,5,FALSE),'Global assumptions'!$D$35)</f>
        <v>7.0000000000000007E-2</v>
      </c>
      <c r="AW77" s="1690">
        <f>IFERROR(VLOOKUP($A77,Cost.FinanceCostTable,6,FALSE),'Global assumptions'!$E$35)</f>
        <v>30</v>
      </c>
      <c r="AX77" s="675"/>
      <c r="AY77" s="1691">
        <f ca="1">Costs!AY77/('Global assumptions'!$C$7*NAIRA2010_*250)</f>
        <v>0</v>
      </c>
      <c r="AZ77" s="1691">
        <f ca="1">Costs!AZ77/('Global assumptions'!$C$7*NAIRA2010_*250)</f>
        <v>0</v>
      </c>
      <c r="BA77" s="1691">
        <f ca="1">Costs!BA77/('Global assumptions'!$C$7*NAIRA2010_*250)</f>
        <v>0</v>
      </c>
      <c r="BB77" s="1691">
        <f ca="1">Costs!BB77/('Global assumptions'!$C$7*NAIRA2010_*250)</f>
        <v>0</v>
      </c>
      <c r="BC77" s="1691">
        <f ca="1">Costs!BC77/('Global assumptions'!$C$7*NAIRA2010_*250)</f>
        <v>0</v>
      </c>
      <c r="BD77" s="1691">
        <f ca="1">Costs!BD77/('Global assumptions'!$C$7*NAIRA2010_*250)</f>
        <v>0</v>
      </c>
      <c r="BE77" s="1691">
        <f ca="1">Costs!BE77/('Global assumptions'!$C$7*NAIRA2010_*250)</f>
        <v>0</v>
      </c>
      <c r="BF77" s="1691">
        <f ca="1">Costs!BF77/('Global assumptions'!$C$7*NAIRA2010_*250)</f>
        <v>0</v>
      </c>
      <c r="BG77" s="1691">
        <f ca="1">Costs!BG77/('Global assumptions'!$C$7*NAIRA2010_*250)</f>
        <v>0</v>
      </c>
      <c r="BH77" s="675"/>
      <c r="BI77" s="1691">
        <f ca="1">Costs!BI77/('Global assumptions'!$C$7*NAIRA2010_*250)</f>
        <v>0</v>
      </c>
      <c r="BJ77" s="1691">
        <f ca="1">Costs!BJ77/('Global assumptions'!$C$7*NAIRA2010_*250)</f>
        <v>0</v>
      </c>
      <c r="BK77" s="1691">
        <f ca="1">Costs!BK77/('Global assumptions'!$C$7*NAIRA2010_*250)</f>
        <v>0</v>
      </c>
      <c r="BL77" s="1691">
        <f ca="1">Costs!BL77/('Global assumptions'!$C$7*NAIRA2010_*250)</f>
        <v>0</v>
      </c>
      <c r="BM77" s="1691">
        <f ca="1">Costs!BM77/('Global assumptions'!$C$7*NAIRA2010_*250)</f>
        <v>0</v>
      </c>
      <c r="BN77" s="1691">
        <f ca="1">Costs!BN77/('Global assumptions'!$C$7*NAIRA2010_*250)</f>
        <v>0</v>
      </c>
      <c r="BO77" s="1691">
        <f ca="1">Costs!BO77/('Global assumptions'!$C$7*NAIRA2010_*250)</f>
        <v>0</v>
      </c>
      <c r="BP77" s="1691">
        <f ca="1">Costs!BP77/('Global assumptions'!$C$7*NAIRA2010_*250)</f>
        <v>0</v>
      </c>
      <c r="BQ77" s="1691">
        <f ca="1">Costs!BQ77/('Global assumptions'!$C$7*NAIRA2010_*250)</f>
        <v>0</v>
      </c>
      <c r="BR77" s="675"/>
      <c r="BS77" s="1691">
        <f ca="1">Costs!BS77/('Global assumptions'!$C$7*NAIRA2010_*250)</f>
        <v>0</v>
      </c>
      <c r="BT77" s="1691">
        <f ca="1">Costs!BT77/('Global assumptions'!$C$7*NAIRA2010_*250)</f>
        <v>0</v>
      </c>
      <c r="BU77" s="1691">
        <f ca="1">Costs!BU77/('Global assumptions'!$C$7*NAIRA2010_*250)</f>
        <v>0</v>
      </c>
      <c r="BV77" s="1691">
        <f ca="1">Costs!BV77/('Global assumptions'!$C$7*NAIRA2010_*250)</f>
        <v>0</v>
      </c>
      <c r="BW77" s="1691">
        <f ca="1">Costs!BW77/('Global assumptions'!$C$7*NAIRA2010_*250)</f>
        <v>0</v>
      </c>
      <c r="BX77" s="1691">
        <f ca="1">Costs!BX77/('Global assumptions'!$C$7*NAIRA2010_*250)</f>
        <v>0</v>
      </c>
      <c r="BY77" s="1691">
        <f ca="1">Costs!BY77/('Global assumptions'!$C$7*NAIRA2010_*250)</f>
        <v>0</v>
      </c>
      <c r="BZ77" s="1691">
        <f ca="1">Costs!BZ77/('Global assumptions'!$C$7*NAIRA2010_*250)</f>
        <v>0</v>
      </c>
      <c r="CA77" s="1691">
        <f ca="1">Costs!CA77/('Global assumptions'!$C$7*NAIRA2010_*250)</f>
        <v>0</v>
      </c>
      <c r="CC77" s="1707">
        <f t="shared" ca="1" si="11"/>
        <v>0</v>
      </c>
      <c r="CD77" s="1707">
        <f t="shared" ca="1" si="8"/>
        <v>0</v>
      </c>
      <c r="CF77" s="1691">
        <f ca="1">Costs!CF77/('Global assumptions'!$C$7*NAIRA2010_*250)</f>
        <v>0</v>
      </c>
      <c r="CG77" s="1691">
        <f ca="1">Costs!CG77/('Global assumptions'!$C$7*NAIRA2010_*250)</f>
        <v>0</v>
      </c>
      <c r="CH77" s="1691">
        <f ca="1">Costs!CH77/('Global assumptions'!$C$7*NAIRA2010_*250)</f>
        <v>0</v>
      </c>
      <c r="CI77" s="1691">
        <f ca="1">Costs!CI77/('Global assumptions'!$C$7*NAIRA2010_*250)</f>
        <v>0</v>
      </c>
      <c r="CJ77" s="1691">
        <f ca="1">Costs!CJ77/('Global assumptions'!$C$7*NAIRA2010_*250)</f>
        <v>0</v>
      </c>
      <c r="CK77" s="1691">
        <f ca="1">Costs!CK77/('Global assumptions'!$C$7*NAIRA2010_*250)</f>
        <v>0</v>
      </c>
      <c r="CL77" s="1691">
        <f ca="1">Costs!CL77/('Global assumptions'!$C$7*NAIRA2010_*250)</f>
        <v>0</v>
      </c>
      <c r="CM77" s="1691">
        <f ca="1">Costs!CM77/('Global assumptions'!$C$7*NAIRA2010_*250)</f>
        <v>0</v>
      </c>
      <c r="CN77" s="1691">
        <f ca="1">Costs!CN77/('Global assumptions'!$C$7*NAIRA2010_*250)</f>
        <v>0</v>
      </c>
      <c r="CP77" s="1707">
        <f t="shared" ca="1" si="12"/>
        <v>0</v>
      </c>
      <c r="CQ77" s="1707">
        <f t="shared" ca="1" si="9"/>
        <v>0</v>
      </c>
      <c r="CR77" s="1426" t="str">
        <f t="shared" ca="1" si="13"/>
        <v>ok</v>
      </c>
    </row>
    <row r="78" spans="1:96" s="2126" customFormat="1" x14ac:dyDescent="0.2">
      <c r="A78" s="1683" t="s">
        <v>375</v>
      </c>
      <c r="B78" s="1683" t="s">
        <v>606</v>
      </c>
      <c r="C78" s="1683" t="s">
        <v>125</v>
      </c>
      <c r="E78" s="1689">
        <f ca="1">Costs!E78/('Global assumptions'!$C$7*NAIRA2010_*250)</f>
        <v>0</v>
      </c>
      <c r="F78" s="1689">
        <f ca="1">Costs!F78/('Global assumptions'!$C$7*NAIRA2010_*250)</f>
        <v>20.160707322933241</v>
      </c>
      <c r="G78" s="1689">
        <f ca="1">Costs!G78/('Global assumptions'!$C$7*NAIRA2010_*250)</f>
        <v>23.278602282869684</v>
      </c>
      <c r="H78" s="1689">
        <f ca="1">Costs!H78/('Global assumptions'!$C$7*NAIRA2010_*250)</f>
        <v>26.396497242806145</v>
      </c>
      <c r="I78" s="1689">
        <f ca="1">Costs!I78/('Global assumptions'!$C$7*NAIRA2010_*250)</f>
        <v>18.511542877922434</v>
      </c>
      <c r="J78" s="1689">
        <f ca="1">Costs!J78/('Global assumptions'!$C$7*NAIRA2010_*250)</f>
        <v>28.112011202991297</v>
      </c>
      <c r="K78" s="1689">
        <f ca="1">Costs!K78/('Global assumptions'!$C$7*NAIRA2010_*250)</f>
        <v>14.40637673719144</v>
      </c>
      <c r="L78" s="1689">
        <f ca="1">Costs!L78/('Global assumptions'!$C$7*NAIRA2010_*250)</f>
        <v>28.036546670586866</v>
      </c>
      <c r="M78" s="1689">
        <f ca="1">Costs!M78/('Global assumptions'!$C$7*NAIRA2010_*250)</f>
        <v>13.42123345750003</v>
      </c>
      <c r="N78" s="675"/>
      <c r="O78" s="1689">
        <f ca="1">Costs!O78/('Global assumptions'!$C$7*NAIRA2010_*250)</f>
        <v>4.8128167743835508</v>
      </c>
      <c r="P78" s="1689">
        <f ca="1">Costs!P78/('Global assumptions'!$C$7*NAIRA2010_*250)</f>
        <v>6.077158242921084</v>
      </c>
      <c r="Q78" s="1689">
        <f ca="1">Costs!Q78/('Global assumptions'!$C$7*NAIRA2010_*250)</f>
        <v>7.3414997114586162</v>
      </c>
      <c r="R78" s="1689">
        <f ca="1">Costs!R78/('Global assumptions'!$C$7*NAIRA2010_*250)</f>
        <v>8.6058411799961476</v>
      </c>
      <c r="S78" s="1689">
        <f ca="1">Costs!S78/('Global assumptions'!$C$7*NAIRA2010_*250)</f>
        <v>9.2689799554133856</v>
      </c>
      <c r="T78" s="1689">
        <f ca="1">Costs!T78/('Global assumptions'!$C$7*NAIRA2010_*250)</f>
        <v>10.386965655975917</v>
      </c>
      <c r="U78" s="1689">
        <f ca="1">Costs!U78/('Global assumptions'!$C$7*NAIRA2010_*250)</f>
        <v>10.611037127468158</v>
      </c>
      <c r="V78" s="1689">
        <f ca="1">Costs!V78/('Global assumptions'!$C$7*NAIRA2010_*250)</f>
        <v>11.582667060055689</v>
      </c>
      <c r="W78" s="1689">
        <f ca="1">Costs!W78/('Global assumptions'!$C$7*NAIRA2010_*250)</f>
        <v>11.635618981014609</v>
      </c>
      <c r="X78" s="675"/>
      <c r="Y78" s="1689">
        <f ca="1">Costs!Y78/('Global assumptions'!$C$7*NAIRA2010_*250)</f>
        <v>0</v>
      </c>
      <c r="Z78" s="1689">
        <f ca="1">Costs!Z78/('Global assumptions'!$C$7*NAIRA2010_*250)</f>
        <v>0</v>
      </c>
      <c r="AA78" s="1689">
        <f ca="1">Costs!AA78/('Global assumptions'!$C$7*NAIRA2010_*250)</f>
        <v>0</v>
      </c>
      <c r="AB78" s="1689">
        <f ca="1">Costs!AB78/('Global assumptions'!$C$7*NAIRA2010_*250)</f>
        <v>0</v>
      </c>
      <c r="AC78" s="1689">
        <f ca="1">Costs!AC78/('Global assumptions'!$C$7*NAIRA2010_*250)</f>
        <v>0</v>
      </c>
      <c r="AD78" s="1689">
        <f ca="1">Costs!AD78/('Global assumptions'!$C$7*NAIRA2010_*250)</f>
        <v>0</v>
      </c>
      <c r="AE78" s="1689">
        <f ca="1">Costs!AE78/('Global assumptions'!$C$7*NAIRA2010_*250)</f>
        <v>0</v>
      </c>
      <c r="AF78" s="1689">
        <f ca="1">Costs!AF78/('Global assumptions'!$C$7*NAIRA2010_*250)</f>
        <v>0</v>
      </c>
      <c r="AG78" s="1689">
        <f ca="1">Costs!AG78/('Global assumptions'!$C$7*NAIRA2010_*250)</f>
        <v>0</v>
      </c>
      <c r="AH78" s="675"/>
      <c r="AI78" s="1689">
        <f ca="1">Costs!AI78/('Global assumptions'!$C$7*NAIRA2010_*250)</f>
        <v>4.8128167743835508</v>
      </c>
      <c r="AJ78" s="1689">
        <f ca="1">Costs!AJ78/('Global assumptions'!$C$7*NAIRA2010_*250)</f>
        <v>26.237865565854328</v>
      </c>
      <c r="AK78" s="1689">
        <f ca="1">Costs!AK78/('Global assumptions'!$C$7*NAIRA2010_*250)</f>
        <v>30.620101994328301</v>
      </c>
      <c r="AL78" s="1689">
        <f ca="1">Costs!AL78/('Global assumptions'!$C$7*NAIRA2010_*250)</f>
        <v>35.002338422802289</v>
      </c>
      <c r="AM78" s="1689">
        <f ca="1">Costs!AM78/('Global assumptions'!$C$7*NAIRA2010_*250)</f>
        <v>27.780522833335819</v>
      </c>
      <c r="AN78" s="1689">
        <f ca="1">Costs!AN78/('Global assumptions'!$C$7*NAIRA2010_*250)</f>
        <v>38.498976858967211</v>
      </c>
      <c r="AO78" s="1689">
        <f ca="1">Costs!AO78/('Global assumptions'!$C$7*NAIRA2010_*250)</f>
        <v>25.017413864659598</v>
      </c>
      <c r="AP78" s="1689">
        <f ca="1">Costs!AP78/('Global assumptions'!$C$7*NAIRA2010_*250)</f>
        <v>39.619213730642556</v>
      </c>
      <c r="AQ78" s="1689">
        <f ca="1">Costs!AQ78/('Global assumptions'!$C$7*NAIRA2010_*250)</f>
        <v>25.056852438514639</v>
      </c>
      <c r="AS78" s="1706">
        <f t="shared" ca="1" si="10"/>
        <v>28.07178916483203</v>
      </c>
      <c r="AT78" s="1706">
        <f t="shared" ca="1" si="7"/>
        <v>247.91174634655414</v>
      </c>
      <c r="AU78" s="675"/>
      <c r="AV78" s="1699">
        <f>IFERROR(VLOOKUP($A78,Cost.FinanceCostTable,5,FALSE),'Global assumptions'!$D$35)</f>
        <v>7.0000000000000007E-2</v>
      </c>
      <c r="AW78" s="1690">
        <f>IFERROR(VLOOKUP($A78,Cost.FinanceCostTable,6,FALSE),'Global assumptions'!$E$35)</f>
        <v>10</v>
      </c>
      <c r="AX78" s="675"/>
      <c r="AY78" s="1689">
        <f ca="1">Costs!AY78/('Global assumptions'!$C$7*NAIRA2010_*250)</f>
        <v>0</v>
      </c>
      <c r="AZ78" s="1689">
        <f ca="1">Costs!AZ78/('Global assumptions'!$C$7*NAIRA2010_*250)</f>
        <v>14.352155809282648</v>
      </c>
      <c r="BA78" s="1689">
        <f ca="1">Costs!BA78/('Global assumptions'!$C$7*NAIRA2010_*250)</f>
        <v>16.571746300092585</v>
      </c>
      <c r="BB78" s="1689">
        <f ca="1">Costs!BB78/('Global assumptions'!$C$7*NAIRA2010_*250)</f>
        <v>18.791336790902538</v>
      </c>
      <c r="BC78" s="1689">
        <f ca="1">Costs!BC78/('Global assumptions'!$C$7*NAIRA2010_*250)</f>
        <v>13.178136232945652</v>
      </c>
      <c r="BD78" s="1689">
        <f ca="1">Costs!BD78/('Global assumptions'!$C$7*NAIRA2010_*250)</f>
        <v>20.012589758628003</v>
      </c>
      <c r="BE78" s="1689">
        <f ca="1">Costs!BE78/('Global assumptions'!$C$7*NAIRA2010_*250)</f>
        <v>10.255719715954589</v>
      </c>
      <c r="BF78" s="1689">
        <f ca="1">Costs!BF78/('Global assumptions'!$C$7*NAIRA2010_*250)</f>
        <v>19.958867500286853</v>
      </c>
      <c r="BG78" s="1689">
        <f ca="1">Costs!BG78/('Global assumptions'!$C$7*NAIRA2010_*250)</f>
        <v>9.5544085159990466</v>
      </c>
      <c r="BH78" s="675"/>
      <c r="BI78" s="1689">
        <f ca="1">Costs!BI78/('Global assumptions'!$C$7*NAIRA2010_*250)</f>
        <v>0</v>
      </c>
      <c r="BJ78" s="1689">
        <f ca="1">Costs!BJ78/('Global assumptions'!$C$7*NAIRA2010_*250)</f>
        <v>14.352155809282648</v>
      </c>
      <c r="BK78" s="1689">
        <f ca="1">Costs!BK78/('Global assumptions'!$C$7*NAIRA2010_*250)</f>
        <v>30.923902109375231</v>
      </c>
      <c r="BL78" s="1689">
        <f ca="1">Costs!BL78/('Global assumptions'!$C$7*NAIRA2010_*250)</f>
        <v>35.363083090995126</v>
      </c>
      <c r="BM78" s="1689">
        <f ca="1">Costs!BM78/('Global assumptions'!$C$7*NAIRA2010_*250)</f>
        <v>31.969473023848192</v>
      </c>
      <c r="BN78" s="1689">
        <f ca="1">Costs!BN78/('Global assumptions'!$C$7*NAIRA2010_*250)</f>
        <v>33.190725991573657</v>
      </c>
      <c r="BO78" s="1689">
        <f ca="1">Costs!BO78/('Global assumptions'!$C$7*NAIRA2010_*250)</f>
        <v>30.268309474582598</v>
      </c>
      <c r="BP78" s="1689">
        <f ca="1">Costs!BP78/('Global assumptions'!$C$7*NAIRA2010_*250)</f>
        <v>30.214587216241441</v>
      </c>
      <c r="BQ78" s="1689">
        <f ca="1">Costs!BQ78/('Global assumptions'!$C$7*NAIRA2010_*250)</f>
        <v>29.5132760162859</v>
      </c>
      <c r="BR78" s="675"/>
      <c r="BS78" s="1689">
        <f ca="1">Costs!BS78/('Global assumptions'!$C$7*NAIRA2010_*250)</f>
        <v>4.8128167743835508</v>
      </c>
      <c r="BT78" s="1689">
        <f ca="1">Costs!BT78/('Global assumptions'!$C$7*NAIRA2010_*250)</f>
        <v>20.429314052203733</v>
      </c>
      <c r="BU78" s="1689">
        <f ca="1">Costs!BU78/('Global assumptions'!$C$7*NAIRA2010_*250)</f>
        <v>38.265401820833844</v>
      </c>
      <c r="BV78" s="1689">
        <f ca="1">Costs!BV78/('Global assumptions'!$C$7*NAIRA2010_*250)</f>
        <v>43.968924270991266</v>
      </c>
      <c r="BW78" s="1689">
        <f ca="1">Costs!BW78/('Global assumptions'!$C$7*NAIRA2010_*250)</f>
        <v>41.238452979261574</v>
      </c>
      <c r="BX78" s="1689">
        <f ca="1">Costs!BX78/('Global assumptions'!$C$7*NAIRA2010_*250)</f>
        <v>43.577691647549571</v>
      </c>
      <c r="BY78" s="1689">
        <f ca="1">Costs!BY78/('Global assumptions'!$C$7*NAIRA2010_*250)</f>
        <v>40.879346602050752</v>
      </c>
      <c r="BZ78" s="1689">
        <f ca="1">Costs!BZ78/('Global assumptions'!$C$7*NAIRA2010_*250)</f>
        <v>41.797254276297132</v>
      </c>
      <c r="CA78" s="1689">
        <f ca="1">Costs!CA78/('Global assumptions'!$C$7*NAIRA2010_*250)</f>
        <v>41.148894997300509</v>
      </c>
      <c r="CC78" s="1706">
        <f t="shared" ca="1" si="11"/>
        <v>35.124233046763543</v>
      </c>
      <c r="CD78" s="1706">
        <f t="shared" ca="1" si="8"/>
        <v>276.20953723251716</v>
      </c>
      <c r="CF78" s="1689">
        <f ca="1">Costs!CF78/('Global assumptions'!$C$7*NAIRA2010_*250)</f>
        <v>0</v>
      </c>
      <c r="CG78" s="1689">
        <f ca="1">Costs!CG78/('Global assumptions'!$C$7*NAIRA2010_*250)</f>
        <v>-5.8085515136505945</v>
      </c>
      <c r="CH78" s="1689">
        <f ca="1">Costs!CH78/('Global assumptions'!$C$7*NAIRA2010_*250)</f>
        <v>7.6452998265055454</v>
      </c>
      <c r="CI78" s="1689">
        <f ca="1">Costs!CI78/('Global assumptions'!$C$7*NAIRA2010_*250)</f>
        <v>8.9665858481889789</v>
      </c>
      <c r="CJ78" s="1689">
        <f ca="1">Costs!CJ78/('Global assumptions'!$C$7*NAIRA2010_*250)</f>
        <v>13.457930145925756</v>
      </c>
      <c r="CK78" s="1689">
        <f ca="1">Costs!CK78/('Global assumptions'!$C$7*NAIRA2010_*250)</f>
        <v>5.0787147885823591</v>
      </c>
      <c r="CL78" s="1689">
        <f ca="1">Costs!CL78/('Global assumptions'!$C$7*NAIRA2010_*250)</f>
        <v>15.861932737391156</v>
      </c>
      <c r="CM78" s="1689">
        <f ca="1">Costs!CM78/('Global assumptions'!$C$7*NAIRA2010_*250)</f>
        <v>2.1780405456545764</v>
      </c>
      <c r="CN78" s="1689">
        <f ca="1">Costs!CN78/('Global assumptions'!$C$7*NAIRA2010_*250)</f>
        <v>16.092042558785867</v>
      </c>
      <c r="CP78" s="1706">
        <f t="shared" ca="1" si="12"/>
        <v>7.0524438819315156</v>
      </c>
      <c r="CQ78" s="1706">
        <f t="shared" ca="1" si="9"/>
        <v>28.297790885963103</v>
      </c>
      <c r="CR78" s="1426" t="str">
        <f t="shared" ca="1" si="13"/>
        <v>ok</v>
      </c>
    </row>
    <row r="79" spans="1:96" s="2126" customFormat="1" x14ac:dyDescent="0.2">
      <c r="A79" s="1683" t="s">
        <v>405</v>
      </c>
      <c r="B79" s="1683" t="s">
        <v>111</v>
      </c>
      <c r="C79" s="1683" t="s">
        <v>33</v>
      </c>
      <c r="E79" s="1689">
        <f ca="1">Costs!E79/('Global assumptions'!$C$7*NAIRA2010_*250)</f>
        <v>0</v>
      </c>
      <c r="F79" s="1689">
        <f ca="1">Costs!F79/('Global assumptions'!$C$7*NAIRA2010_*250)</f>
        <v>1.0684799576359658</v>
      </c>
      <c r="G79" s="1689">
        <f ca="1">Costs!G79/('Global assumptions'!$C$7*NAIRA2010_*250)</f>
        <v>1.0684799576359658</v>
      </c>
      <c r="H79" s="1689">
        <f ca="1">Costs!H79/('Global assumptions'!$C$7*NAIRA2010_*250)</f>
        <v>0.99489241024385644</v>
      </c>
      <c r="I79" s="1689">
        <f ca="1">Costs!I79/('Global assumptions'!$C$7*NAIRA2010_*250)</f>
        <v>0.8529065170942699</v>
      </c>
      <c r="J79" s="1689">
        <f ca="1">Costs!J79/('Global assumptions'!$C$7*NAIRA2010_*250)</f>
        <v>0.73827996224767489</v>
      </c>
      <c r="K79" s="1689">
        <f ca="1">Costs!K79/('Global assumptions'!$C$7*NAIRA2010_*250)</f>
        <v>0.70600501569308116</v>
      </c>
      <c r="L79" s="1689">
        <f ca="1">Costs!L79/('Global assumptions'!$C$7*NAIRA2010_*250)</f>
        <v>0.70054222067541827</v>
      </c>
      <c r="M79" s="1689">
        <f ca="1">Costs!M79/('Global assumptions'!$C$7*NAIRA2010_*250)</f>
        <v>0.69535301904078572</v>
      </c>
      <c r="N79" s="675"/>
      <c r="O79" s="1689">
        <f ca="1">Costs!O79/('Global assumptions'!$C$7*NAIRA2010_*250)</f>
        <v>2.3345154349250596</v>
      </c>
      <c r="P79" s="1689">
        <f ca="1">Costs!P79/('Global assumptions'!$C$7*NAIRA2010_*250)</f>
        <v>2.3345154349250596</v>
      </c>
      <c r="Q79" s="1689">
        <f ca="1">Costs!Q79/('Global assumptions'!$C$7*NAIRA2010_*250)</f>
        <v>2.1737344450923159</v>
      </c>
      <c r="R79" s="1689">
        <f ca="1">Costs!R79/('Global assumptions'!$C$7*NAIRA2010_*250)</f>
        <v>1.8635103208769117</v>
      </c>
      <c r="S79" s="1689">
        <f ca="1">Costs!S79/('Global assumptions'!$C$7*NAIRA2010_*250)</f>
        <v>1.6130634504145727</v>
      </c>
      <c r="T79" s="1689">
        <f ca="1">Costs!T79/('Global assumptions'!$C$7*NAIRA2010_*250)</f>
        <v>1.5425461137489549</v>
      </c>
      <c r="U79" s="1689">
        <f ca="1">Costs!U79/('Global assumptions'!$C$7*NAIRA2010_*250)</f>
        <v>1.5306104857613396</v>
      </c>
      <c r="V79" s="1689">
        <f ca="1">Costs!V79/('Global assumptions'!$C$7*NAIRA2010_*250)</f>
        <v>1.519272630311256</v>
      </c>
      <c r="W79" s="1689">
        <f ca="1">Costs!W79/('Global assumptions'!$C$7*NAIRA2010_*250)</f>
        <v>1.507934774861172</v>
      </c>
      <c r="X79" s="675"/>
      <c r="Y79" s="1689">
        <f ca="1">Costs!Y79/('Global assumptions'!$C$7*NAIRA2010_*250)</f>
        <v>0</v>
      </c>
      <c r="Z79" s="1689">
        <f ca="1">Costs!Z79/('Global assumptions'!$C$7*NAIRA2010_*250)</f>
        <v>0</v>
      </c>
      <c r="AA79" s="1689">
        <f ca="1">Costs!AA79/('Global assumptions'!$C$7*NAIRA2010_*250)</f>
        <v>0</v>
      </c>
      <c r="AB79" s="1689">
        <f ca="1">Costs!AB79/('Global assumptions'!$C$7*NAIRA2010_*250)</f>
        <v>0</v>
      </c>
      <c r="AC79" s="1689">
        <f ca="1">Costs!AC79/('Global assumptions'!$C$7*NAIRA2010_*250)</f>
        <v>0</v>
      </c>
      <c r="AD79" s="1689">
        <f ca="1">Costs!AD79/('Global assumptions'!$C$7*NAIRA2010_*250)</f>
        <v>0</v>
      </c>
      <c r="AE79" s="1689">
        <f ca="1">Costs!AE79/('Global assumptions'!$C$7*NAIRA2010_*250)</f>
        <v>0</v>
      </c>
      <c r="AF79" s="1689">
        <f ca="1">Costs!AF79/('Global assumptions'!$C$7*NAIRA2010_*250)</f>
        <v>0</v>
      </c>
      <c r="AG79" s="1689">
        <f ca="1">Costs!AG79/('Global assumptions'!$C$7*NAIRA2010_*250)</f>
        <v>0</v>
      </c>
      <c r="AH79" s="675"/>
      <c r="AI79" s="1689">
        <f ca="1">Costs!AI79/('Global assumptions'!$C$7*NAIRA2010_*250)</f>
        <v>2.3345154349250596</v>
      </c>
      <c r="AJ79" s="1689">
        <f ca="1">Costs!AJ79/('Global assumptions'!$C$7*NAIRA2010_*250)</f>
        <v>3.4029953925610257</v>
      </c>
      <c r="AK79" s="1689">
        <f ca="1">Costs!AK79/('Global assumptions'!$C$7*NAIRA2010_*250)</f>
        <v>3.242214402728282</v>
      </c>
      <c r="AL79" s="1689">
        <f ca="1">Costs!AL79/('Global assumptions'!$C$7*NAIRA2010_*250)</f>
        <v>2.8584027311207678</v>
      </c>
      <c r="AM79" s="1689">
        <f ca="1">Costs!AM79/('Global assumptions'!$C$7*NAIRA2010_*250)</f>
        <v>2.4659699675088427</v>
      </c>
      <c r="AN79" s="1689">
        <f ca="1">Costs!AN79/('Global assumptions'!$C$7*NAIRA2010_*250)</f>
        <v>2.2808260759966297</v>
      </c>
      <c r="AO79" s="1689">
        <f ca="1">Costs!AO79/('Global assumptions'!$C$7*NAIRA2010_*250)</f>
        <v>2.2366155014544207</v>
      </c>
      <c r="AP79" s="1689">
        <f ca="1">Costs!AP79/('Global assumptions'!$C$7*NAIRA2010_*250)</f>
        <v>2.2198148509866744</v>
      </c>
      <c r="AQ79" s="1689">
        <f ca="1">Costs!AQ79/('Global assumptions'!$C$7*NAIRA2010_*250)</f>
        <v>2.2032877939019579</v>
      </c>
      <c r="AS79" s="1706">
        <f t="shared" ca="1" si="10"/>
        <v>2.5827380167981837</v>
      </c>
      <c r="AT79" s="1706">
        <f t="shared" ca="1" si="7"/>
        <v>27.11559172168619</v>
      </c>
      <c r="AU79" s="675"/>
      <c r="AV79" s="1699">
        <f>IFERROR(VLOOKUP($A79,Cost.FinanceCostTable,5,FALSE),'Global assumptions'!$D$35)</f>
        <v>7.0000000000000007E-2</v>
      </c>
      <c r="AW79" s="1690">
        <f>IFERROR(VLOOKUP($A79,Cost.FinanceCostTable,6,FALSE),'Global assumptions'!$E$35)</f>
        <v>15</v>
      </c>
      <c r="AX79" s="675"/>
      <c r="AY79" s="1689">
        <f ca="1">Costs!AY79/('Global assumptions'!$C$7*NAIRA2010_*250)</f>
        <v>0</v>
      </c>
      <c r="AZ79" s="1689">
        <f ca="1">Costs!AZ79/('Global assumptions'!$C$7*NAIRA2010_*250)</f>
        <v>0.58656677974594118</v>
      </c>
      <c r="BA79" s="1689">
        <f ca="1">Costs!BA79/('Global assumptions'!$C$7*NAIRA2010_*250)</f>
        <v>0.58656677974594118</v>
      </c>
      <c r="BB79" s="1689">
        <f ca="1">Costs!BB79/('Global assumptions'!$C$7*NAIRA2010_*250)</f>
        <v>0.54616919400302033</v>
      </c>
      <c r="BC79" s="1689">
        <f ca="1">Costs!BC79/('Global assumptions'!$C$7*NAIRA2010_*250)</f>
        <v>0.46822275474703995</v>
      </c>
      <c r="BD79" s="1689">
        <f ca="1">Costs!BD79/('Global assumptions'!$C$7*NAIRA2010_*250)</f>
        <v>0.40529585689628372</v>
      </c>
      <c r="BE79" s="1689">
        <f ca="1">Costs!BE79/('Global assumptions'!$C$7*NAIRA2010_*250)</f>
        <v>0.38757777867525045</v>
      </c>
      <c r="BF79" s="1689">
        <f ca="1">Costs!BF79/('Global assumptions'!$C$7*NAIRA2010_*250)</f>
        <v>0.38457885103133627</v>
      </c>
      <c r="BG79" s="1689">
        <f ca="1">Costs!BG79/('Global assumptions'!$C$7*NAIRA2010_*250)</f>
        <v>0.38173011880147462</v>
      </c>
      <c r="BH79" s="675"/>
      <c r="BI79" s="1689">
        <f ca="1">Costs!BI79/('Global assumptions'!$C$7*NAIRA2010_*250)</f>
        <v>0</v>
      </c>
      <c r="BJ79" s="1689">
        <f ca="1">Costs!BJ79/('Global assumptions'!$C$7*NAIRA2010_*250)</f>
        <v>0.58656677974594118</v>
      </c>
      <c r="BK79" s="1689">
        <f ca="1">Costs!BK79/('Global assumptions'!$C$7*NAIRA2010_*250)</f>
        <v>1.1731335594918824</v>
      </c>
      <c r="BL79" s="1689">
        <f ca="1">Costs!BL79/('Global assumptions'!$C$7*NAIRA2010_*250)</f>
        <v>1.7193027534949026</v>
      </c>
      <c r="BM79" s="1689">
        <f ca="1">Costs!BM79/('Global assumptions'!$C$7*NAIRA2010_*250)</f>
        <v>1.6009587284960014</v>
      </c>
      <c r="BN79" s="1689">
        <f ca="1">Costs!BN79/('Global assumptions'!$C$7*NAIRA2010_*250)</f>
        <v>1.419687805646344</v>
      </c>
      <c r="BO79" s="1689">
        <f ca="1">Costs!BO79/('Global assumptions'!$C$7*NAIRA2010_*250)</f>
        <v>1.2610963903185741</v>
      </c>
      <c r="BP79" s="1689">
        <f ca="1">Costs!BP79/('Global assumptions'!$C$7*NAIRA2010_*250)</f>
        <v>1.1774524866028704</v>
      </c>
      <c r="BQ79" s="1689">
        <f ca="1">Costs!BQ79/('Global assumptions'!$C$7*NAIRA2010_*250)</f>
        <v>1.1538867485080615</v>
      </c>
      <c r="BR79" s="675"/>
      <c r="BS79" s="1689">
        <f ca="1">Costs!BS79/('Global assumptions'!$C$7*NAIRA2010_*250)</f>
        <v>2.3345154349250596</v>
      </c>
      <c r="BT79" s="1689">
        <f ca="1">Costs!BT79/('Global assumptions'!$C$7*NAIRA2010_*250)</f>
        <v>2.9210822146710007</v>
      </c>
      <c r="BU79" s="1689">
        <f ca="1">Costs!BU79/('Global assumptions'!$C$7*NAIRA2010_*250)</f>
        <v>3.3468680045841985</v>
      </c>
      <c r="BV79" s="1689">
        <f ca="1">Costs!BV79/('Global assumptions'!$C$7*NAIRA2010_*250)</f>
        <v>3.5828130743718143</v>
      </c>
      <c r="BW79" s="1689">
        <f ca="1">Costs!BW79/('Global assumptions'!$C$7*NAIRA2010_*250)</f>
        <v>3.2140221789105738</v>
      </c>
      <c r="BX79" s="1689">
        <f ca="1">Costs!BX79/('Global assumptions'!$C$7*NAIRA2010_*250)</f>
        <v>2.9622339193952989</v>
      </c>
      <c r="BY79" s="1689">
        <f ca="1">Costs!BY79/('Global assumptions'!$C$7*NAIRA2010_*250)</f>
        <v>2.791706876079914</v>
      </c>
      <c r="BZ79" s="1689">
        <f ca="1">Costs!BZ79/('Global assumptions'!$C$7*NAIRA2010_*250)</f>
        <v>2.6967251169141266</v>
      </c>
      <c r="CA79" s="1689">
        <f ca="1">Costs!CA79/('Global assumptions'!$C$7*NAIRA2010_*250)</f>
        <v>2.6618215233692335</v>
      </c>
      <c r="CC79" s="1706">
        <f t="shared" ca="1" si="11"/>
        <v>2.9457542603579139</v>
      </c>
      <c r="CD79" s="1706">
        <f t="shared" ca="1" si="8"/>
        <v>27.933399320759577</v>
      </c>
      <c r="CF79" s="1689">
        <f ca="1">Costs!CF79/('Global assumptions'!$C$7*NAIRA2010_*250)</f>
        <v>0</v>
      </c>
      <c r="CG79" s="1689">
        <f ca="1">Costs!CG79/('Global assumptions'!$C$7*NAIRA2010_*250)</f>
        <v>-0.48191317789002469</v>
      </c>
      <c r="CH79" s="1689">
        <f ca="1">Costs!CH79/('Global assumptions'!$C$7*NAIRA2010_*250)</f>
        <v>0.10465360185591646</v>
      </c>
      <c r="CI79" s="1689">
        <f ca="1">Costs!CI79/('Global assumptions'!$C$7*NAIRA2010_*250)</f>
        <v>0.72441034325104625</v>
      </c>
      <c r="CJ79" s="1689">
        <f ca="1">Costs!CJ79/('Global assumptions'!$C$7*NAIRA2010_*250)</f>
        <v>0.7480522114017315</v>
      </c>
      <c r="CK79" s="1689">
        <f ca="1">Costs!CK79/('Global assumptions'!$C$7*NAIRA2010_*250)</f>
        <v>0.68140784339866922</v>
      </c>
      <c r="CL79" s="1689">
        <f ca="1">Costs!CL79/('Global assumptions'!$C$7*NAIRA2010_*250)</f>
        <v>0.55509137462549296</v>
      </c>
      <c r="CM79" s="1689">
        <f ca="1">Costs!CM79/('Global assumptions'!$C$7*NAIRA2010_*250)</f>
        <v>0.47691026592745217</v>
      </c>
      <c r="CN79" s="1689">
        <f ca="1">Costs!CN79/('Global assumptions'!$C$7*NAIRA2010_*250)</f>
        <v>0.45853372946727572</v>
      </c>
      <c r="CP79" s="1706">
        <f t="shared" ca="1" si="12"/>
        <v>0.36301624355972884</v>
      </c>
      <c r="CQ79" s="1706">
        <f t="shared" ca="1" si="9"/>
        <v>0.81780759907338751</v>
      </c>
      <c r="CR79" s="1426" t="str">
        <f t="shared" ca="1" si="13"/>
        <v>ok</v>
      </c>
    </row>
    <row r="80" spans="1:96" s="2126" customFormat="1" x14ac:dyDescent="0.2">
      <c r="A80" s="1685" t="s">
        <v>1707</v>
      </c>
      <c r="B80" s="1685" t="s">
        <v>1710</v>
      </c>
      <c r="C80" s="1685" t="s">
        <v>1732</v>
      </c>
      <c r="E80" s="1691">
        <f ca="1">Costs!E80/('Global assumptions'!$C$7*NAIRA2010_*250)</f>
        <v>0</v>
      </c>
      <c r="F80" s="1691">
        <f ca="1">Costs!F80/('Global assumptions'!$C$7*NAIRA2010_*250)</f>
        <v>0</v>
      </c>
      <c r="G80" s="1691">
        <f ca="1">Costs!G80/('Global assumptions'!$C$7*NAIRA2010_*250)</f>
        <v>0</v>
      </c>
      <c r="H80" s="1691">
        <f ca="1">Costs!H80/('Global assumptions'!$C$7*NAIRA2010_*250)</f>
        <v>0</v>
      </c>
      <c r="I80" s="1691">
        <f ca="1">Costs!I80/('Global assumptions'!$C$7*NAIRA2010_*250)</f>
        <v>0</v>
      </c>
      <c r="J80" s="1691">
        <f ca="1">Costs!J80/('Global assumptions'!$C$7*NAIRA2010_*250)</f>
        <v>0</v>
      </c>
      <c r="K80" s="1691">
        <f ca="1">Costs!K80/('Global assumptions'!$C$7*NAIRA2010_*250)</f>
        <v>0</v>
      </c>
      <c r="L80" s="1691">
        <f ca="1">Costs!L80/('Global assumptions'!$C$7*NAIRA2010_*250)</f>
        <v>0</v>
      </c>
      <c r="M80" s="1691">
        <f ca="1">Costs!M80/('Global assumptions'!$C$7*NAIRA2010_*250)</f>
        <v>0</v>
      </c>
      <c r="N80" s="675"/>
      <c r="O80" s="1691">
        <f ca="1">Costs!O80/('Global assumptions'!$C$7*NAIRA2010_*250)</f>
        <v>0</v>
      </c>
      <c r="P80" s="1691">
        <f ca="1">Costs!P80/('Global assumptions'!$C$7*NAIRA2010_*250)</f>
        <v>0</v>
      </c>
      <c r="Q80" s="1691">
        <f ca="1">Costs!Q80/('Global assumptions'!$C$7*NAIRA2010_*250)</f>
        <v>0</v>
      </c>
      <c r="R80" s="1691">
        <f ca="1">Costs!R80/('Global assumptions'!$C$7*NAIRA2010_*250)</f>
        <v>0</v>
      </c>
      <c r="S80" s="1691">
        <f ca="1">Costs!S80/('Global assumptions'!$C$7*NAIRA2010_*250)</f>
        <v>0</v>
      </c>
      <c r="T80" s="1691">
        <f ca="1">Costs!T80/('Global assumptions'!$C$7*NAIRA2010_*250)</f>
        <v>0</v>
      </c>
      <c r="U80" s="1691">
        <f ca="1">Costs!U80/('Global assumptions'!$C$7*NAIRA2010_*250)</f>
        <v>0</v>
      </c>
      <c r="V80" s="1691">
        <f ca="1">Costs!V80/('Global assumptions'!$C$7*NAIRA2010_*250)</f>
        <v>0</v>
      </c>
      <c r="W80" s="1691">
        <f ca="1">Costs!W80/('Global assumptions'!$C$7*NAIRA2010_*250)</f>
        <v>0</v>
      </c>
      <c r="X80" s="675"/>
      <c r="Y80" s="1691">
        <f ca="1">Costs!Y80/('Global assumptions'!$C$7*NAIRA2010_*250)</f>
        <v>0.53427271797237252</v>
      </c>
      <c r="Z80" s="1691">
        <f ca="1">Costs!Z80/('Global assumptions'!$C$7*NAIRA2010_*250)</f>
        <v>0.55488496547094113</v>
      </c>
      <c r="AA80" s="1691">
        <f ca="1">Costs!AA80/('Global assumptions'!$C$7*NAIRA2010_*250)</f>
        <v>0.66873816632329897</v>
      </c>
      <c r="AB80" s="1691">
        <f ca="1">Costs!AB80/('Global assumptions'!$C$7*NAIRA2010_*250)</f>
        <v>1.6901589269790678</v>
      </c>
      <c r="AC80" s="1691">
        <f ca="1">Costs!AC80/('Global assumptions'!$C$7*NAIRA2010_*250)</f>
        <v>3.3972822736612551</v>
      </c>
      <c r="AD80" s="1691">
        <f ca="1">Costs!AD80/('Global assumptions'!$C$7*NAIRA2010_*250)</f>
        <v>5.0459633770556875</v>
      </c>
      <c r="AE80" s="1691">
        <f ca="1">Costs!AE80/('Global assumptions'!$C$7*NAIRA2010_*250)</f>
        <v>6.6946444804501208</v>
      </c>
      <c r="AF80" s="1691">
        <f ca="1">Costs!AF80/('Global assumptions'!$C$7*NAIRA2010_*250)</f>
        <v>8.3433255838445533</v>
      </c>
      <c r="AG80" s="1691">
        <f ca="1">Costs!AG80/('Global assumptions'!$C$7*NAIRA2010_*250)</f>
        <v>10.238497184807274</v>
      </c>
      <c r="AH80" s="675"/>
      <c r="AI80" s="1691">
        <f ca="1">Costs!AI80/('Global assumptions'!$C$7*NAIRA2010_*250)</f>
        <v>0.53427271797237252</v>
      </c>
      <c r="AJ80" s="1691">
        <f ca="1">Costs!AJ80/('Global assumptions'!$C$7*NAIRA2010_*250)</f>
        <v>0.55488496547094113</v>
      </c>
      <c r="AK80" s="1691">
        <f ca="1">Costs!AK80/('Global assumptions'!$C$7*NAIRA2010_*250)</f>
        <v>0.66873816632329897</v>
      </c>
      <c r="AL80" s="1691">
        <f ca="1">Costs!AL80/('Global assumptions'!$C$7*NAIRA2010_*250)</f>
        <v>1.6901589269790678</v>
      </c>
      <c r="AM80" s="1691">
        <f ca="1">Costs!AM80/('Global assumptions'!$C$7*NAIRA2010_*250)</f>
        <v>3.3972822736612551</v>
      </c>
      <c r="AN80" s="1691">
        <f ca="1">Costs!AN80/('Global assumptions'!$C$7*NAIRA2010_*250)</f>
        <v>5.0459633770556875</v>
      </c>
      <c r="AO80" s="1691">
        <f ca="1">Costs!AO80/('Global assumptions'!$C$7*NAIRA2010_*250)</f>
        <v>6.6946444804501208</v>
      </c>
      <c r="AP80" s="1691">
        <f ca="1">Costs!AP80/('Global assumptions'!$C$7*NAIRA2010_*250)</f>
        <v>8.3433255838445533</v>
      </c>
      <c r="AQ80" s="1691">
        <f ca="1">Costs!AQ80/('Global assumptions'!$C$7*NAIRA2010_*250)</f>
        <v>10.238497184807274</v>
      </c>
      <c r="AS80" s="1707">
        <f t="shared" ca="1" si="10"/>
        <v>4.1297519640627307</v>
      </c>
      <c r="AT80" s="1707">
        <f t="shared" ca="1" si="7"/>
        <v>16.586251882452054</v>
      </c>
      <c r="AU80" s="675"/>
      <c r="AV80" s="1699">
        <f>IFERROR(VLOOKUP($A80,Cost.FinanceCostTable,5,FALSE),'Global assumptions'!$D$35)</f>
        <v>0</v>
      </c>
      <c r="AW80" s="1690">
        <f>IFERROR(VLOOKUP($A80,Cost.FinanceCostTable,6,FALSE),'Global assumptions'!$E$35)</f>
        <v>5</v>
      </c>
      <c r="AX80" s="675"/>
      <c r="AY80" s="1691">
        <f ca="1">Costs!AY80/('Global assumptions'!$C$7*NAIRA2010_*250)</f>
        <v>0</v>
      </c>
      <c r="AZ80" s="1691">
        <f ca="1">Costs!AZ80/('Global assumptions'!$C$7*NAIRA2010_*250)</f>
        <v>0</v>
      </c>
      <c r="BA80" s="1691">
        <f ca="1">Costs!BA80/('Global assumptions'!$C$7*NAIRA2010_*250)</f>
        <v>0</v>
      </c>
      <c r="BB80" s="1691">
        <f ca="1">Costs!BB80/('Global assumptions'!$C$7*NAIRA2010_*250)</f>
        <v>0</v>
      </c>
      <c r="BC80" s="1691">
        <f ca="1">Costs!BC80/('Global assumptions'!$C$7*NAIRA2010_*250)</f>
        <v>0</v>
      </c>
      <c r="BD80" s="1691">
        <f ca="1">Costs!BD80/('Global assumptions'!$C$7*NAIRA2010_*250)</f>
        <v>0</v>
      </c>
      <c r="BE80" s="1691">
        <f ca="1">Costs!BE80/('Global assumptions'!$C$7*NAIRA2010_*250)</f>
        <v>0</v>
      </c>
      <c r="BF80" s="1691">
        <f ca="1">Costs!BF80/('Global assumptions'!$C$7*NAIRA2010_*250)</f>
        <v>0</v>
      </c>
      <c r="BG80" s="1691">
        <f ca="1">Costs!BG80/('Global assumptions'!$C$7*NAIRA2010_*250)</f>
        <v>0</v>
      </c>
      <c r="BH80" s="675"/>
      <c r="BI80" s="1691">
        <f ca="1">Costs!BI80/('Global assumptions'!$C$7*NAIRA2010_*250)</f>
        <v>0</v>
      </c>
      <c r="BJ80" s="1691">
        <f ca="1">Costs!BJ80/('Global assumptions'!$C$7*NAIRA2010_*250)</f>
        <v>0</v>
      </c>
      <c r="BK80" s="1691">
        <f ca="1">Costs!BK80/('Global assumptions'!$C$7*NAIRA2010_*250)</f>
        <v>0</v>
      </c>
      <c r="BL80" s="1691">
        <f ca="1">Costs!BL80/('Global assumptions'!$C$7*NAIRA2010_*250)</f>
        <v>0</v>
      </c>
      <c r="BM80" s="1691">
        <f ca="1">Costs!BM80/('Global assumptions'!$C$7*NAIRA2010_*250)</f>
        <v>0</v>
      </c>
      <c r="BN80" s="1691">
        <f ca="1">Costs!BN80/('Global assumptions'!$C$7*NAIRA2010_*250)</f>
        <v>0</v>
      </c>
      <c r="BO80" s="1691">
        <f ca="1">Costs!BO80/('Global assumptions'!$C$7*NAIRA2010_*250)</f>
        <v>0</v>
      </c>
      <c r="BP80" s="1691">
        <f ca="1">Costs!BP80/('Global assumptions'!$C$7*NAIRA2010_*250)</f>
        <v>0</v>
      </c>
      <c r="BQ80" s="1691">
        <f ca="1">Costs!BQ80/('Global assumptions'!$C$7*NAIRA2010_*250)</f>
        <v>0</v>
      </c>
      <c r="BR80" s="675"/>
      <c r="BS80" s="1691">
        <f ca="1">Costs!BS80/('Global assumptions'!$C$7*NAIRA2010_*250)</f>
        <v>0.53427271797237252</v>
      </c>
      <c r="BT80" s="1691">
        <f ca="1">Costs!BT80/('Global assumptions'!$C$7*NAIRA2010_*250)</f>
        <v>0.55488496547094113</v>
      </c>
      <c r="BU80" s="1691">
        <f ca="1">Costs!BU80/('Global assumptions'!$C$7*NAIRA2010_*250)</f>
        <v>0.66873816632329897</v>
      </c>
      <c r="BV80" s="1691">
        <f ca="1">Costs!BV80/('Global assumptions'!$C$7*NAIRA2010_*250)</f>
        <v>1.6901589269790678</v>
      </c>
      <c r="BW80" s="1691">
        <f ca="1">Costs!BW80/('Global assumptions'!$C$7*NAIRA2010_*250)</f>
        <v>3.3972822736612551</v>
      </c>
      <c r="BX80" s="1691">
        <f ca="1">Costs!BX80/('Global assumptions'!$C$7*NAIRA2010_*250)</f>
        <v>5.0459633770556875</v>
      </c>
      <c r="BY80" s="1691">
        <f ca="1">Costs!BY80/('Global assumptions'!$C$7*NAIRA2010_*250)</f>
        <v>6.6946444804501208</v>
      </c>
      <c r="BZ80" s="1691">
        <f ca="1">Costs!BZ80/('Global assumptions'!$C$7*NAIRA2010_*250)</f>
        <v>8.3433255838445533</v>
      </c>
      <c r="CA80" s="1691">
        <f ca="1">Costs!CA80/('Global assumptions'!$C$7*NAIRA2010_*250)</f>
        <v>10.238497184807274</v>
      </c>
      <c r="CC80" s="1707">
        <f t="shared" ca="1" si="11"/>
        <v>4.1297519640627307</v>
      </c>
      <c r="CD80" s="1707">
        <f t="shared" ca="1" si="8"/>
        <v>16.586251882452054</v>
      </c>
      <c r="CF80" s="1691">
        <f ca="1">Costs!CF80/('Global assumptions'!$C$7*NAIRA2010_*250)</f>
        <v>0</v>
      </c>
      <c r="CG80" s="1691">
        <f ca="1">Costs!CG80/('Global assumptions'!$C$7*NAIRA2010_*250)</f>
        <v>0</v>
      </c>
      <c r="CH80" s="1691">
        <f ca="1">Costs!CH80/('Global assumptions'!$C$7*NAIRA2010_*250)</f>
        <v>0</v>
      </c>
      <c r="CI80" s="1691">
        <f ca="1">Costs!CI80/('Global assumptions'!$C$7*NAIRA2010_*250)</f>
        <v>0</v>
      </c>
      <c r="CJ80" s="1691">
        <f ca="1">Costs!CJ80/('Global assumptions'!$C$7*NAIRA2010_*250)</f>
        <v>0</v>
      </c>
      <c r="CK80" s="1691">
        <f ca="1">Costs!CK80/('Global assumptions'!$C$7*NAIRA2010_*250)</f>
        <v>0</v>
      </c>
      <c r="CL80" s="1691">
        <f ca="1">Costs!CL80/('Global assumptions'!$C$7*NAIRA2010_*250)</f>
        <v>0</v>
      </c>
      <c r="CM80" s="1691">
        <f ca="1">Costs!CM80/('Global assumptions'!$C$7*NAIRA2010_*250)</f>
        <v>0</v>
      </c>
      <c r="CN80" s="1691">
        <f ca="1">Costs!CN80/('Global assumptions'!$C$7*NAIRA2010_*250)</f>
        <v>0</v>
      </c>
      <c r="CP80" s="1707">
        <f t="shared" ca="1" si="12"/>
        <v>0</v>
      </c>
      <c r="CQ80" s="1707">
        <f t="shared" ca="1" si="9"/>
        <v>0</v>
      </c>
      <c r="CR80" s="1426" t="str">
        <f t="shared" ca="1" si="13"/>
        <v>ok</v>
      </c>
    </row>
    <row r="81" spans="1:96" s="2126" customFormat="1" x14ac:dyDescent="0.2">
      <c r="A81" s="1683" t="s">
        <v>1708</v>
      </c>
      <c r="B81" s="1683" t="s">
        <v>1711</v>
      </c>
      <c r="C81" s="1683" t="s">
        <v>1732</v>
      </c>
      <c r="E81" s="1689">
        <f ca="1">Costs!E81/('Global assumptions'!$C$7*NAIRA2010_*250)</f>
        <v>0</v>
      </c>
      <c r="F81" s="1689">
        <f ca="1">Costs!F81/('Global assumptions'!$C$7*NAIRA2010_*250)</f>
        <v>0</v>
      </c>
      <c r="G81" s="1689">
        <f ca="1">Costs!G81/('Global assumptions'!$C$7*NAIRA2010_*250)</f>
        <v>0</v>
      </c>
      <c r="H81" s="1689">
        <f ca="1">Costs!H81/('Global assumptions'!$C$7*NAIRA2010_*250)</f>
        <v>0</v>
      </c>
      <c r="I81" s="1689">
        <f ca="1">Costs!I81/('Global assumptions'!$C$7*NAIRA2010_*250)</f>
        <v>0</v>
      </c>
      <c r="J81" s="1689">
        <f ca="1">Costs!J81/('Global assumptions'!$C$7*NAIRA2010_*250)</f>
        <v>0</v>
      </c>
      <c r="K81" s="1689">
        <f ca="1">Costs!K81/('Global assumptions'!$C$7*NAIRA2010_*250)</f>
        <v>0</v>
      </c>
      <c r="L81" s="1689">
        <f ca="1">Costs!L81/('Global assumptions'!$C$7*NAIRA2010_*250)</f>
        <v>0</v>
      </c>
      <c r="M81" s="1689">
        <f ca="1">Costs!M81/('Global assumptions'!$C$7*NAIRA2010_*250)</f>
        <v>0</v>
      </c>
      <c r="N81" s="675"/>
      <c r="O81" s="1689">
        <f ca="1">Costs!O81/('Global assumptions'!$C$7*NAIRA2010_*250)</f>
        <v>0</v>
      </c>
      <c r="P81" s="1689">
        <f ca="1">Costs!P81/('Global assumptions'!$C$7*NAIRA2010_*250)</f>
        <v>0</v>
      </c>
      <c r="Q81" s="1689">
        <f ca="1">Costs!Q81/('Global assumptions'!$C$7*NAIRA2010_*250)</f>
        <v>0</v>
      </c>
      <c r="R81" s="1689">
        <f ca="1">Costs!R81/('Global assumptions'!$C$7*NAIRA2010_*250)</f>
        <v>0</v>
      </c>
      <c r="S81" s="1689">
        <f ca="1">Costs!S81/('Global assumptions'!$C$7*NAIRA2010_*250)</f>
        <v>0</v>
      </c>
      <c r="T81" s="1689">
        <f ca="1">Costs!T81/('Global assumptions'!$C$7*NAIRA2010_*250)</f>
        <v>0</v>
      </c>
      <c r="U81" s="1689">
        <f ca="1">Costs!U81/('Global assumptions'!$C$7*NAIRA2010_*250)</f>
        <v>0</v>
      </c>
      <c r="V81" s="1689">
        <f ca="1">Costs!V81/('Global assumptions'!$C$7*NAIRA2010_*250)</f>
        <v>0</v>
      </c>
      <c r="W81" s="1689">
        <f ca="1">Costs!W81/('Global assumptions'!$C$7*NAIRA2010_*250)</f>
        <v>0</v>
      </c>
      <c r="X81" s="675"/>
      <c r="Y81" s="1689">
        <f ca="1">Costs!Y81/('Global assumptions'!$C$7*NAIRA2010_*250)</f>
        <v>304.52060496047369</v>
      </c>
      <c r="Z81" s="1689">
        <f ca="1">Costs!Z81/('Global assumptions'!$C$7*NAIRA2010_*250)</f>
        <v>346.17890004252246</v>
      </c>
      <c r="AA81" s="1689">
        <f ca="1">Costs!AA81/('Global assumptions'!$C$7*NAIRA2010_*250)</f>
        <v>385.06692944511008</v>
      </c>
      <c r="AB81" s="1689">
        <f ca="1">Costs!AB81/('Global assumptions'!$C$7*NAIRA2010_*250)</f>
        <v>423.35984034652557</v>
      </c>
      <c r="AC81" s="1689">
        <f ca="1">Costs!AC81/('Global assumptions'!$C$7*NAIRA2010_*250)</f>
        <v>461.05763274676889</v>
      </c>
      <c r="AD81" s="1689">
        <f ca="1">Costs!AD81/('Global assumptions'!$C$7*NAIRA2010_*250)</f>
        <v>457.6922485661355</v>
      </c>
      <c r="AE81" s="1689">
        <f ca="1">Costs!AE81/('Global assumptions'!$C$7*NAIRA2010_*250)</f>
        <v>454.32686438550218</v>
      </c>
      <c r="AF81" s="1689">
        <f ca="1">Costs!AF81/('Global assumptions'!$C$7*NAIRA2010_*250)</f>
        <v>450.96148020486885</v>
      </c>
      <c r="AG81" s="1689">
        <f ca="1">Costs!AG81/('Global assumptions'!$C$7*NAIRA2010_*250)</f>
        <v>458.63774039778656</v>
      </c>
      <c r="AH81" s="675"/>
      <c r="AI81" s="1689">
        <f ca="1">Costs!AI81/('Global assumptions'!$C$7*NAIRA2010_*250)</f>
        <v>304.52060496047369</v>
      </c>
      <c r="AJ81" s="1689">
        <f ca="1">Costs!AJ81/('Global assumptions'!$C$7*NAIRA2010_*250)</f>
        <v>346.17890004252246</v>
      </c>
      <c r="AK81" s="1689">
        <f ca="1">Costs!AK81/('Global assumptions'!$C$7*NAIRA2010_*250)</f>
        <v>385.06692944511008</v>
      </c>
      <c r="AL81" s="1689">
        <f ca="1">Costs!AL81/('Global assumptions'!$C$7*NAIRA2010_*250)</f>
        <v>423.35984034652557</v>
      </c>
      <c r="AM81" s="1689">
        <f ca="1">Costs!AM81/('Global assumptions'!$C$7*NAIRA2010_*250)</f>
        <v>461.05763274676889</v>
      </c>
      <c r="AN81" s="1689">
        <f ca="1">Costs!AN81/('Global assumptions'!$C$7*NAIRA2010_*250)</f>
        <v>457.6922485661355</v>
      </c>
      <c r="AO81" s="1689">
        <f ca="1">Costs!AO81/('Global assumptions'!$C$7*NAIRA2010_*250)</f>
        <v>454.32686438550218</v>
      </c>
      <c r="AP81" s="1689">
        <f ca="1">Costs!AP81/('Global assumptions'!$C$7*NAIRA2010_*250)</f>
        <v>450.96148020486885</v>
      </c>
      <c r="AQ81" s="1689">
        <f ca="1">Costs!AQ81/('Global assumptions'!$C$7*NAIRA2010_*250)</f>
        <v>458.63774039778656</v>
      </c>
      <c r="AS81" s="1706">
        <f t="shared" ca="1" si="10"/>
        <v>415.7558045661882</v>
      </c>
      <c r="AT81" s="1706">
        <f t="shared" ca="1" si="7"/>
        <v>3521.6353609352223</v>
      </c>
      <c r="AU81" s="675"/>
      <c r="AV81" s="1699">
        <f>IFERROR(VLOOKUP($A81,Cost.FinanceCostTable,5,FALSE),'Global assumptions'!$D$35)</f>
        <v>0</v>
      </c>
      <c r="AW81" s="1690">
        <f>IFERROR(VLOOKUP($A81,Cost.FinanceCostTable,6,FALSE),'Global assumptions'!$E$35)</f>
        <v>5</v>
      </c>
      <c r="AX81" s="675"/>
      <c r="AY81" s="1689">
        <f ca="1">Costs!AY81/('Global assumptions'!$C$7*NAIRA2010_*250)</f>
        <v>0</v>
      </c>
      <c r="AZ81" s="1689">
        <f ca="1">Costs!AZ81/('Global assumptions'!$C$7*NAIRA2010_*250)</f>
        <v>0</v>
      </c>
      <c r="BA81" s="1689">
        <f ca="1">Costs!BA81/('Global assumptions'!$C$7*NAIRA2010_*250)</f>
        <v>0</v>
      </c>
      <c r="BB81" s="1689">
        <f ca="1">Costs!BB81/('Global assumptions'!$C$7*NAIRA2010_*250)</f>
        <v>0</v>
      </c>
      <c r="BC81" s="1689">
        <f ca="1">Costs!BC81/('Global assumptions'!$C$7*NAIRA2010_*250)</f>
        <v>0</v>
      </c>
      <c r="BD81" s="1689">
        <f ca="1">Costs!BD81/('Global assumptions'!$C$7*NAIRA2010_*250)</f>
        <v>0</v>
      </c>
      <c r="BE81" s="1689">
        <f ca="1">Costs!BE81/('Global assumptions'!$C$7*NAIRA2010_*250)</f>
        <v>0</v>
      </c>
      <c r="BF81" s="1689">
        <f ca="1">Costs!BF81/('Global assumptions'!$C$7*NAIRA2010_*250)</f>
        <v>0</v>
      </c>
      <c r="BG81" s="1689">
        <f ca="1">Costs!BG81/('Global assumptions'!$C$7*NAIRA2010_*250)</f>
        <v>0</v>
      </c>
      <c r="BH81" s="675"/>
      <c r="BI81" s="1689">
        <f ca="1">Costs!BI81/('Global assumptions'!$C$7*NAIRA2010_*250)</f>
        <v>0</v>
      </c>
      <c r="BJ81" s="1689">
        <f ca="1">Costs!BJ81/('Global assumptions'!$C$7*NAIRA2010_*250)</f>
        <v>0</v>
      </c>
      <c r="BK81" s="1689">
        <f ca="1">Costs!BK81/('Global assumptions'!$C$7*NAIRA2010_*250)</f>
        <v>0</v>
      </c>
      <c r="BL81" s="1689">
        <f ca="1">Costs!BL81/('Global assumptions'!$C$7*NAIRA2010_*250)</f>
        <v>0</v>
      </c>
      <c r="BM81" s="1689">
        <f ca="1">Costs!BM81/('Global assumptions'!$C$7*NAIRA2010_*250)</f>
        <v>0</v>
      </c>
      <c r="BN81" s="1689">
        <f ca="1">Costs!BN81/('Global assumptions'!$C$7*NAIRA2010_*250)</f>
        <v>0</v>
      </c>
      <c r="BO81" s="1689">
        <f ca="1">Costs!BO81/('Global assumptions'!$C$7*NAIRA2010_*250)</f>
        <v>0</v>
      </c>
      <c r="BP81" s="1689">
        <f ca="1">Costs!BP81/('Global assumptions'!$C$7*NAIRA2010_*250)</f>
        <v>0</v>
      </c>
      <c r="BQ81" s="1689">
        <f ca="1">Costs!BQ81/('Global assumptions'!$C$7*NAIRA2010_*250)</f>
        <v>0</v>
      </c>
      <c r="BR81" s="675"/>
      <c r="BS81" s="1689">
        <f ca="1">Costs!BS81/('Global assumptions'!$C$7*NAIRA2010_*250)</f>
        <v>304.52060496047369</v>
      </c>
      <c r="BT81" s="1689">
        <f ca="1">Costs!BT81/('Global assumptions'!$C$7*NAIRA2010_*250)</f>
        <v>346.17890004252246</v>
      </c>
      <c r="BU81" s="1689">
        <f ca="1">Costs!BU81/('Global assumptions'!$C$7*NAIRA2010_*250)</f>
        <v>385.06692944511008</v>
      </c>
      <c r="BV81" s="1689">
        <f ca="1">Costs!BV81/('Global assumptions'!$C$7*NAIRA2010_*250)</f>
        <v>423.35984034652557</v>
      </c>
      <c r="BW81" s="1689">
        <f ca="1">Costs!BW81/('Global assumptions'!$C$7*NAIRA2010_*250)</f>
        <v>461.05763274676889</v>
      </c>
      <c r="BX81" s="1689">
        <f ca="1">Costs!BX81/('Global assumptions'!$C$7*NAIRA2010_*250)</f>
        <v>457.6922485661355</v>
      </c>
      <c r="BY81" s="1689">
        <f ca="1">Costs!BY81/('Global assumptions'!$C$7*NAIRA2010_*250)</f>
        <v>454.32686438550218</v>
      </c>
      <c r="BZ81" s="1689">
        <f ca="1">Costs!BZ81/('Global assumptions'!$C$7*NAIRA2010_*250)</f>
        <v>450.96148020486885</v>
      </c>
      <c r="CA81" s="1689">
        <f ca="1">Costs!CA81/('Global assumptions'!$C$7*NAIRA2010_*250)</f>
        <v>458.63774039778656</v>
      </c>
      <c r="CC81" s="1706">
        <f t="shared" ca="1" si="11"/>
        <v>415.7558045661882</v>
      </c>
      <c r="CD81" s="1706">
        <f t="shared" ca="1" si="8"/>
        <v>3521.6353609352223</v>
      </c>
      <c r="CF81" s="1689">
        <f ca="1">Costs!CF81/('Global assumptions'!$C$7*NAIRA2010_*250)</f>
        <v>0</v>
      </c>
      <c r="CG81" s="1689">
        <f ca="1">Costs!CG81/('Global assumptions'!$C$7*NAIRA2010_*250)</f>
        <v>0</v>
      </c>
      <c r="CH81" s="1689">
        <f ca="1">Costs!CH81/('Global assumptions'!$C$7*NAIRA2010_*250)</f>
        <v>0</v>
      </c>
      <c r="CI81" s="1689">
        <f ca="1">Costs!CI81/('Global assumptions'!$C$7*NAIRA2010_*250)</f>
        <v>0</v>
      </c>
      <c r="CJ81" s="1689">
        <f ca="1">Costs!CJ81/('Global assumptions'!$C$7*NAIRA2010_*250)</f>
        <v>0</v>
      </c>
      <c r="CK81" s="1689">
        <f ca="1">Costs!CK81/('Global assumptions'!$C$7*NAIRA2010_*250)</f>
        <v>0</v>
      </c>
      <c r="CL81" s="1689">
        <f ca="1">Costs!CL81/('Global assumptions'!$C$7*NAIRA2010_*250)</f>
        <v>0</v>
      </c>
      <c r="CM81" s="1689">
        <f ca="1">Costs!CM81/('Global assumptions'!$C$7*NAIRA2010_*250)</f>
        <v>0</v>
      </c>
      <c r="CN81" s="1689">
        <f ca="1">Costs!CN81/('Global assumptions'!$C$7*NAIRA2010_*250)</f>
        <v>0</v>
      </c>
      <c r="CP81" s="1706">
        <f t="shared" ca="1" si="12"/>
        <v>0</v>
      </c>
      <c r="CQ81" s="1706">
        <f t="shared" ca="1" si="9"/>
        <v>0</v>
      </c>
      <c r="CR81" s="1426" t="str">
        <f t="shared" ca="1" si="13"/>
        <v>ok</v>
      </c>
    </row>
    <row r="82" spans="1:96" s="2126" customFormat="1" x14ac:dyDescent="0.2">
      <c r="A82" s="1685" t="s">
        <v>1709</v>
      </c>
      <c r="B82" s="1685" t="s">
        <v>1712</v>
      </c>
      <c r="C82" s="1685" t="s">
        <v>1732</v>
      </c>
      <c r="E82" s="1691">
        <f ca="1">Costs!E82/('Global assumptions'!$C$7*NAIRA2010_*250)</f>
        <v>0</v>
      </c>
      <c r="F82" s="1691">
        <f ca="1">Costs!F82/('Global assumptions'!$C$7*NAIRA2010_*250)</f>
        <v>0</v>
      </c>
      <c r="G82" s="1691">
        <f ca="1">Costs!G82/('Global assumptions'!$C$7*NAIRA2010_*250)</f>
        <v>0</v>
      </c>
      <c r="H82" s="1691">
        <f ca="1">Costs!H82/('Global assumptions'!$C$7*NAIRA2010_*250)</f>
        <v>0</v>
      </c>
      <c r="I82" s="1691">
        <f ca="1">Costs!I82/('Global assumptions'!$C$7*NAIRA2010_*250)</f>
        <v>0</v>
      </c>
      <c r="J82" s="1691">
        <f ca="1">Costs!J82/('Global assumptions'!$C$7*NAIRA2010_*250)</f>
        <v>0</v>
      </c>
      <c r="K82" s="1691">
        <f ca="1">Costs!K82/('Global assumptions'!$C$7*NAIRA2010_*250)</f>
        <v>0</v>
      </c>
      <c r="L82" s="1691">
        <f ca="1">Costs!L82/('Global assumptions'!$C$7*NAIRA2010_*250)</f>
        <v>0</v>
      </c>
      <c r="M82" s="1691">
        <f ca="1">Costs!M82/('Global assumptions'!$C$7*NAIRA2010_*250)</f>
        <v>0</v>
      </c>
      <c r="N82" s="675"/>
      <c r="O82" s="1691">
        <f ca="1">Costs!O82/('Global assumptions'!$C$7*NAIRA2010_*250)</f>
        <v>0</v>
      </c>
      <c r="P82" s="1691">
        <f ca="1">Costs!P82/('Global assumptions'!$C$7*NAIRA2010_*250)</f>
        <v>0</v>
      </c>
      <c r="Q82" s="1691">
        <f ca="1">Costs!Q82/('Global assumptions'!$C$7*NAIRA2010_*250)</f>
        <v>0</v>
      </c>
      <c r="R82" s="1691">
        <f ca="1">Costs!R82/('Global assumptions'!$C$7*NAIRA2010_*250)</f>
        <v>0</v>
      </c>
      <c r="S82" s="1691">
        <f ca="1">Costs!S82/('Global assumptions'!$C$7*NAIRA2010_*250)</f>
        <v>0</v>
      </c>
      <c r="T82" s="1691">
        <f ca="1">Costs!T82/('Global assumptions'!$C$7*NAIRA2010_*250)</f>
        <v>0</v>
      </c>
      <c r="U82" s="1691">
        <f ca="1">Costs!U82/('Global assumptions'!$C$7*NAIRA2010_*250)</f>
        <v>0</v>
      </c>
      <c r="V82" s="1691">
        <f ca="1">Costs!V82/('Global assumptions'!$C$7*NAIRA2010_*250)</f>
        <v>0</v>
      </c>
      <c r="W82" s="1691">
        <f ca="1">Costs!W82/('Global assumptions'!$C$7*NAIRA2010_*250)</f>
        <v>0</v>
      </c>
      <c r="X82" s="675"/>
      <c r="Y82" s="1691">
        <f ca="1">Costs!Y82/('Global assumptions'!$C$7*NAIRA2010_*250)</f>
        <v>73.247350915145006</v>
      </c>
      <c r="Z82" s="1691">
        <f ca="1">Costs!Z82/('Global assumptions'!$C$7*NAIRA2010_*250)</f>
        <v>92.507464434600607</v>
      </c>
      <c r="AA82" s="1691">
        <f ca="1">Costs!AA82/('Global assumptions'!$C$7*NAIRA2010_*250)</f>
        <v>105.66701684813786</v>
      </c>
      <c r="AB82" s="1691">
        <f ca="1">Costs!AB82/('Global assumptions'!$C$7*NAIRA2010_*250)</f>
        <v>119.24455079830696</v>
      </c>
      <c r="AC82" s="1691">
        <f ca="1">Costs!AC82/('Global assumptions'!$C$7*NAIRA2010_*250)</f>
        <v>133.24006628510793</v>
      </c>
      <c r="AD82" s="1691">
        <f ca="1">Costs!AD82/('Global assumptions'!$C$7*NAIRA2010_*250)</f>
        <v>135.58878854976834</v>
      </c>
      <c r="AE82" s="1691">
        <f ca="1">Costs!AE82/('Global assumptions'!$C$7*NAIRA2010_*250)</f>
        <v>137.93751081442875</v>
      </c>
      <c r="AF82" s="1691">
        <f ca="1">Costs!AF82/('Global assumptions'!$C$7*NAIRA2010_*250)</f>
        <v>140.28623307908916</v>
      </c>
      <c r="AG82" s="1691">
        <f ca="1">Costs!AG82/('Global assumptions'!$C$7*NAIRA2010_*250)</f>
        <v>146.15358400501864</v>
      </c>
      <c r="AH82" s="675"/>
      <c r="AI82" s="1691">
        <f ca="1">Costs!AI82/('Global assumptions'!$C$7*NAIRA2010_*250)</f>
        <v>73.247350915145006</v>
      </c>
      <c r="AJ82" s="1691">
        <f ca="1">Costs!AJ82/('Global assumptions'!$C$7*NAIRA2010_*250)</f>
        <v>92.507464434600607</v>
      </c>
      <c r="AK82" s="1691">
        <f ca="1">Costs!AK82/('Global assumptions'!$C$7*NAIRA2010_*250)</f>
        <v>105.66701684813786</v>
      </c>
      <c r="AL82" s="1691">
        <f ca="1">Costs!AL82/('Global assumptions'!$C$7*NAIRA2010_*250)</f>
        <v>119.24455079830696</v>
      </c>
      <c r="AM82" s="1691">
        <f ca="1">Costs!AM82/('Global assumptions'!$C$7*NAIRA2010_*250)</f>
        <v>133.24006628510793</v>
      </c>
      <c r="AN82" s="1691">
        <f ca="1">Costs!AN82/('Global assumptions'!$C$7*NAIRA2010_*250)</f>
        <v>135.58878854976834</v>
      </c>
      <c r="AO82" s="1691">
        <f ca="1">Costs!AO82/('Global assumptions'!$C$7*NAIRA2010_*250)</f>
        <v>137.93751081442875</v>
      </c>
      <c r="AP82" s="1691">
        <f ca="1">Costs!AP82/('Global assumptions'!$C$7*NAIRA2010_*250)</f>
        <v>140.28623307908916</v>
      </c>
      <c r="AQ82" s="1691">
        <f ca="1">Costs!AQ82/('Global assumptions'!$C$7*NAIRA2010_*250)</f>
        <v>146.15358400501864</v>
      </c>
      <c r="AS82" s="1707">
        <f t="shared" ca="1" si="10"/>
        <v>120.43028508106701</v>
      </c>
      <c r="AT82" s="1707">
        <f t="shared" ca="1" si="7"/>
        <v>973.83386263775867</v>
      </c>
      <c r="AU82" s="675"/>
      <c r="AV82" s="1699">
        <f>IFERROR(VLOOKUP($A82,Cost.FinanceCostTable,5,FALSE),'Global assumptions'!$D$35)</f>
        <v>0</v>
      </c>
      <c r="AW82" s="1690">
        <f>IFERROR(VLOOKUP($A82,Cost.FinanceCostTable,6,FALSE),'Global assumptions'!$E$35)</f>
        <v>5</v>
      </c>
      <c r="AX82" s="675"/>
      <c r="AY82" s="1691">
        <f ca="1">Costs!AY82/('Global assumptions'!$C$7*NAIRA2010_*250)</f>
        <v>0</v>
      </c>
      <c r="AZ82" s="1691">
        <f ca="1">Costs!AZ82/('Global assumptions'!$C$7*NAIRA2010_*250)</f>
        <v>0</v>
      </c>
      <c r="BA82" s="1691">
        <f ca="1">Costs!BA82/('Global assumptions'!$C$7*NAIRA2010_*250)</f>
        <v>0</v>
      </c>
      <c r="BB82" s="1691">
        <f ca="1">Costs!BB82/('Global assumptions'!$C$7*NAIRA2010_*250)</f>
        <v>0</v>
      </c>
      <c r="BC82" s="1691">
        <f ca="1">Costs!BC82/('Global assumptions'!$C$7*NAIRA2010_*250)</f>
        <v>0</v>
      </c>
      <c r="BD82" s="1691">
        <f ca="1">Costs!BD82/('Global assumptions'!$C$7*NAIRA2010_*250)</f>
        <v>0</v>
      </c>
      <c r="BE82" s="1691">
        <f ca="1">Costs!BE82/('Global assumptions'!$C$7*NAIRA2010_*250)</f>
        <v>0</v>
      </c>
      <c r="BF82" s="1691">
        <f ca="1">Costs!BF82/('Global assumptions'!$C$7*NAIRA2010_*250)</f>
        <v>0</v>
      </c>
      <c r="BG82" s="1691">
        <f ca="1">Costs!BG82/('Global assumptions'!$C$7*NAIRA2010_*250)</f>
        <v>0</v>
      </c>
      <c r="BH82" s="675"/>
      <c r="BI82" s="1691">
        <f ca="1">Costs!BI82/('Global assumptions'!$C$7*NAIRA2010_*250)</f>
        <v>0</v>
      </c>
      <c r="BJ82" s="1691">
        <f ca="1">Costs!BJ82/('Global assumptions'!$C$7*NAIRA2010_*250)</f>
        <v>0</v>
      </c>
      <c r="BK82" s="1691">
        <f ca="1">Costs!BK82/('Global assumptions'!$C$7*NAIRA2010_*250)</f>
        <v>0</v>
      </c>
      <c r="BL82" s="1691">
        <f ca="1">Costs!BL82/('Global assumptions'!$C$7*NAIRA2010_*250)</f>
        <v>0</v>
      </c>
      <c r="BM82" s="1691">
        <f ca="1">Costs!BM82/('Global assumptions'!$C$7*NAIRA2010_*250)</f>
        <v>0</v>
      </c>
      <c r="BN82" s="1691">
        <f ca="1">Costs!BN82/('Global assumptions'!$C$7*NAIRA2010_*250)</f>
        <v>0</v>
      </c>
      <c r="BO82" s="1691">
        <f ca="1">Costs!BO82/('Global assumptions'!$C$7*NAIRA2010_*250)</f>
        <v>0</v>
      </c>
      <c r="BP82" s="1691">
        <f ca="1">Costs!BP82/('Global assumptions'!$C$7*NAIRA2010_*250)</f>
        <v>0</v>
      </c>
      <c r="BQ82" s="1691">
        <f ca="1">Costs!BQ82/('Global assumptions'!$C$7*NAIRA2010_*250)</f>
        <v>0</v>
      </c>
      <c r="BR82" s="675"/>
      <c r="BS82" s="1691">
        <f ca="1">Costs!BS82/('Global assumptions'!$C$7*NAIRA2010_*250)</f>
        <v>73.247350915145006</v>
      </c>
      <c r="BT82" s="1691">
        <f ca="1">Costs!BT82/('Global assumptions'!$C$7*NAIRA2010_*250)</f>
        <v>92.507464434600607</v>
      </c>
      <c r="BU82" s="1691">
        <f ca="1">Costs!BU82/('Global assumptions'!$C$7*NAIRA2010_*250)</f>
        <v>105.66701684813786</v>
      </c>
      <c r="BV82" s="1691">
        <f ca="1">Costs!BV82/('Global assumptions'!$C$7*NAIRA2010_*250)</f>
        <v>119.24455079830696</v>
      </c>
      <c r="BW82" s="1691">
        <f ca="1">Costs!BW82/('Global assumptions'!$C$7*NAIRA2010_*250)</f>
        <v>133.24006628510793</v>
      </c>
      <c r="BX82" s="1691">
        <f ca="1">Costs!BX82/('Global assumptions'!$C$7*NAIRA2010_*250)</f>
        <v>135.58878854976834</v>
      </c>
      <c r="BY82" s="1691">
        <f ca="1">Costs!BY82/('Global assumptions'!$C$7*NAIRA2010_*250)</f>
        <v>137.93751081442875</v>
      </c>
      <c r="BZ82" s="1691">
        <f ca="1">Costs!BZ82/('Global assumptions'!$C$7*NAIRA2010_*250)</f>
        <v>140.28623307908916</v>
      </c>
      <c r="CA82" s="1691">
        <f ca="1">Costs!CA82/('Global assumptions'!$C$7*NAIRA2010_*250)</f>
        <v>146.15358400501864</v>
      </c>
      <c r="CC82" s="1707">
        <f t="shared" ca="1" si="11"/>
        <v>120.43028508106701</v>
      </c>
      <c r="CD82" s="1707">
        <f t="shared" ca="1" si="8"/>
        <v>973.83386263775867</v>
      </c>
      <c r="CF82" s="1691">
        <f ca="1">Costs!CF82/('Global assumptions'!$C$7*NAIRA2010_*250)</f>
        <v>0</v>
      </c>
      <c r="CG82" s="1691">
        <f ca="1">Costs!CG82/('Global assumptions'!$C$7*NAIRA2010_*250)</f>
        <v>0</v>
      </c>
      <c r="CH82" s="1691">
        <f ca="1">Costs!CH82/('Global assumptions'!$C$7*NAIRA2010_*250)</f>
        <v>0</v>
      </c>
      <c r="CI82" s="1691">
        <f ca="1">Costs!CI82/('Global assumptions'!$C$7*NAIRA2010_*250)</f>
        <v>0</v>
      </c>
      <c r="CJ82" s="1691">
        <f ca="1">Costs!CJ82/('Global assumptions'!$C$7*NAIRA2010_*250)</f>
        <v>0</v>
      </c>
      <c r="CK82" s="1691">
        <f ca="1">Costs!CK82/('Global assumptions'!$C$7*NAIRA2010_*250)</f>
        <v>0</v>
      </c>
      <c r="CL82" s="1691">
        <f ca="1">Costs!CL82/('Global assumptions'!$C$7*NAIRA2010_*250)</f>
        <v>0</v>
      </c>
      <c r="CM82" s="1691">
        <f ca="1">Costs!CM82/('Global assumptions'!$C$7*NAIRA2010_*250)</f>
        <v>0</v>
      </c>
      <c r="CN82" s="1691">
        <f ca="1">Costs!CN82/('Global assumptions'!$C$7*NAIRA2010_*250)</f>
        <v>0</v>
      </c>
      <c r="CP82" s="1707">
        <f t="shared" ca="1" si="12"/>
        <v>0</v>
      </c>
      <c r="CQ82" s="1707">
        <f t="shared" ca="1" si="9"/>
        <v>0</v>
      </c>
      <c r="CR82" s="1426" t="str">
        <f t="shared" ca="1" si="13"/>
        <v>ok</v>
      </c>
    </row>
    <row r="83" spans="1:96" s="2126" customFormat="1" x14ac:dyDescent="0.2">
      <c r="A83" s="1683" t="s">
        <v>439</v>
      </c>
      <c r="B83" s="1683" t="s">
        <v>441</v>
      </c>
      <c r="C83" s="1683" t="s">
        <v>1732</v>
      </c>
      <c r="E83" s="1689">
        <f ca="1">Costs!E83/('Global assumptions'!$C$7*NAIRA2010_*250)</f>
        <v>0</v>
      </c>
      <c r="F83" s="1689">
        <f ca="1">Costs!F83/('Global assumptions'!$C$7*NAIRA2010_*250)</f>
        <v>0.1821004271876023</v>
      </c>
      <c r="G83" s="1689">
        <f ca="1">Costs!G83/('Global assumptions'!$C$7*NAIRA2010_*250)</f>
        <v>1.7097344913319532</v>
      </c>
      <c r="H83" s="1689">
        <f ca="1">Costs!H83/('Global assumptions'!$C$7*NAIRA2010_*250)</f>
        <v>0.46344586069090432</v>
      </c>
      <c r="I83" s="1689">
        <f ca="1">Costs!I83/('Global assumptions'!$C$7*NAIRA2010_*250)</f>
        <v>1.1648767361327206</v>
      </c>
      <c r="J83" s="1689">
        <f ca="1">Costs!J83/('Global assumptions'!$C$7*NAIRA2010_*250)</f>
        <v>2.6779644538124101</v>
      </c>
      <c r="K83" s="1689">
        <f ca="1">Costs!K83/('Global assumptions'!$C$7*NAIRA2010_*250)</f>
        <v>3.1703085560641098</v>
      </c>
      <c r="L83" s="1689">
        <f ca="1">Costs!L83/('Global assumptions'!$C$7*NAIRA2010_*250)</f>
        <v>3.5340204885825401</v>
      </c>
      <c r="M83" s="1689">
        <f ca="1">Costs!M83/('Global assumptions'!$C$7*NAIRA2010_*250)</f>
        <v>4.1135658378636428</v>
      </c>
      <c r="N83" s="675"/>
      <c r="O83" s="1689">
        <f ca="1">Costs!O83/('Global assumptions'!$C$7*NAIRA2010_*250)</f>
        <v>9.7044114802170508E-4</v>
      </c>
      <c r="P83" s="1689">
        <f ca="1">Costs!P83/('Global assumptions'!$C$7*NAIRA2010_*250)</f>
        <v>8.4665585740632929E-4</v>
      </c>
      <c r="Q83" s="1689">
        <f ca="1">Costs!Q83/('Global assumptions'!$C$7*NAIRA2010_*250)</f>
        <v>2.1019354716855531E-3</v>
      </c>
      <c r="R83" s="1689">
        <f ca="1">Costs!R83/('Global assumptions'!$C$7*NAIRA2010_*250)</f>
        <v>1.2447456863257076E-3</v>
      </c>
      <c r="S83" s="1689">
        <f ca="1">Costs!S83/('Global assumptions'!$C$7*NAIRA2010_*250)</f>
        <v>1.8568005548107737E-3</v>
      </c>
      <c r="T83" s="1689">
        <f ca="1">Costs!T83/('Global assumptions'!$C$7*NAIRA2010_*250)</f>
        <v>3.3092206997667852E-3</v>
      </c>
      <c r="U83" s="1689">
        <f ca="1">Costs!U83/('Global assumptions'!$C$7*NAIRA2010_*250)</f>
        <v>4.7165316000156356E-3</v>
      </c>
      <c r="V83" s="1689">
        <f ca="1">Costs!V83/('Global assumptions'!$C$7*NAIRA2010_*250)</f>
        <v>5.988731308967008E-3</v>
      </c>
      <c r="W83" s="1689">
        <f ca="1">Costs!W83/('Global assumptions'!$C$7*NAIRA2010_*250)</f>
        <v>7.2564310483583319E-3</v>
      </c>
      <c r="X83" s="675"/>
      <c r="Y83" s="1689">
        <f ca="1">Costs!Y83/('Global assumptions'!$C$7*NAIRA2010_*250)</f>
        <v>0</v>
      </c>
      <c r="Z83" s="1689">
        <f ca="1">Costs!Z83/('Global assumptions'!$C$7*NAIRA2010_*250)</f>
        <v>0</v>
      </c>
      <c r="AA83" s="1689">
        <f ca="1">Costs!AA83/('Global assumptions'!$C$7*NAIRA2010_*250)</f>
        <v>0</v>
      </c>
      <c r="AB83" s="1689">
        <f ca="1">Costs!AB83/('Global assumptions'!$C$7*NAIRA2010_*250)</f>
        <v>0</v>
      </c>
      <c r="AC83" s="1689">
        <f ca="1">Costs!AC83/('Global assumptions'!$C$7*NAIRA2010_*250)</f>
        <v>0</v>
      </c>
      <c r="AD83" s="1689">
        <f ca="1">Costs!AD83/('Global assumptions'!$C$7*NAIRA2010_*250)</f>
        <v>0</v>
      </c>
      <c r="AE83" s="1689">
        <f ca="1">Costs!AE83/('Global assumptions'!$C$7*NAIRA2010_*250)</f>
        <v>0</v>
      </c>
      <c r="AF83" s="1689">
        <f ca="1">Costs!AF83/('Global assumptions'!$C$7*NAIRA2010_*250)</f>
        <v>0</v>
      </c>
      <c r="AG83" s="1689">
        <f ca="1">Costs!AG83/('Global assumptions'!$C$7*NAIRA2010_*250)</f>
        <v>0</v>
      </c>
      <c r="AH83" s="675"/>
      <c r="AI83" s="1689">
        <f ca="1">Costs!AI83/('Global assumptions'!$C$7*NAIRA2010_*250)</f>
        <v>9.7044114802170508E-4</v>
      </c>
      <c r="AJ83" s="1689">
        <f ca="1">Costs!AJ83/('Global assumptions'!$C$7*NAIRA2010_*250)</f>
        <v>0.18294708304500862</v>
      </c>
      <c r="AK83" s="1689">
        <f ca="1">Costs!AK83/('Global assumptions'!$C$7*NAIRA2010_*250)</f>
        <v>1.7118364268036388</v>
      </c>
      <c r="AL83" s="1689">
        <f ca="1">Costs!AL83/('Global assumptions'!$C$7*NAIRA2010_*250)</f>
        <v>0.46469060637723003</v>
      </c>
      <c r="AM83" s="1689">
        <f ca="1">Costs!AM83/('Global assumptions'!$C$7*NAIRA2010_*250)</f>
        <v>1.1667335366875313</v>
      </c>
      <c r="AN83" s="1689">
        <f ca="1">Costs!AN83/('Global assumptions'!$C$7*NAIRA2010_*250)</f>
        <v>2.6812736745121768</v>
      </c>
      <c r="AO83" s="1689">
        <f ca="1">Costs!AO83/('Global assumptions'!$C$7*NAIRA2010_*250)</f>
        <v>3.1750250876641251</v>
      </c>
      <c r="AP83" s="1689">
        <f ca="1">Costs!AP83/('Global assumptions'!$C$7*NAIRA2010_*250)</f>
        <v>3.5400092198915067</v>
      </c>
      <c r="AQ83" s="1689">
        <f ca="1">Costs!AQ83/('Global assumptions'!$C$7*NAIRA2010_*250)</f>
        <v>4.1208222689120007</v>
      </c>
      <c r="AS83" s="1706">
        <f t="shared" ca="1" si="10"/>
        <v>1.8938120383379156</v>
      </c>
      <c r="AT83" s="1706">
        <f t="shared" ca="1" si="7"/>
        <v>9.1929920658890811</v>
      </c>
      <c r="AU83" s="675"/>
      <c r="AV83" s="1699">
        <f>IFERROR(VLOOKUP($A83,Cost.FinanceCostTable,5,FALSE),'Global assumptions'!$D$35)</f>
        <v>7.0000000000000007E-2</v>
      </c>
      <c r="AW83" s="1690">
        <f>IFERROR(VLOOKUP($A83,Cost.FinanceCostTable,6,FALSE),'Global assumptions'!$E$35)</f>
        <v>15</v>
      </c>
      <c r="AX83" s="675"/>
      <c r="AY83" s="1689">
        <f ca="1">Costs!AY83/('Global assumptions'!$C$7*NAIRA2010_*250)</f>
        <v>0</v>
      </c>
      <c r="AZ83" s="1689">
        <f ca="1">Costs!AZ83/('Global assumptions'!$C$7*NAIRA2010_*250)</f>
        <v>9.9968240304778827E-2</v>
      </c>
      <c r="BA83" s="1689">
        <f ca="1">Costs!BA83/('Global assumptions'!$C$7*NAIRA2010_*250)</f>
        <v>0.9385982840707906</v>
      </c>
      <c r="BB83" s="1689">
        <f ca="1">Costs!BB83/('Global assumptions'!$C$7*NAIRA2010_*250)</f>
        <v>0.25441932171896403</v>
      </c>
      <c r="BC83" s="1689">
        <f ca="1">Costs!BC83/('Global assumptions'!$C$7*NAIRA2010_*250)</f>
        <v>0.6394860203331274</v>
      </c>
      <c r="BD83" s="1689">
        <f ca="1">Costs!BD83/('Global assumptions'!$C$7*NAIRA2010_*250)</f>
        <v>1.4701305108448479</v>
      </c>
      <c r="BE83" s="1689">
        <f ca="1">Costs!BE83/('Global assumptions'!$C$7*NAIRA2010_*250)</f>
        <v>1.7404141904972443</v>
      </c>
      <c r="BF83" s="1689">
        <f ca="1">Costs!BF83/('Global assumptions'!$C$7*NAIRA2010_*250)</f>
        <v>1.9400822661479387</v>
      </c>
      <c r="BG83" s="1689">
        <f ca="1">Costs!BG83/('Global assumptions'!$C$7*NAIRA2010_*250)</f>
        <v>2.2582370867556008</v>
      </c>
      <c r="BH83" s="675"/>
      <c r="BI83" s="1689">
        <f ca="1">Costs!BI83/('Global assumptions'!$C$7*NAIRA2010_*250)</f>
        <v>0</v>
      </c>
      <c r="BJ83" s="1689">
        <f ca="1">Costs!BJ83/('Global assumptions'!$C$7*NAIRA2010_*250)</f>
        <v>9.9968240304778827E-2</v>
      </c>
      <c r="BK83" s="1689">
        <f ca="1">Costs!BK83/('Global assumptions'!$C$7*NAIRA2010_*250)</f>
        <v>1.0385665243755693</v>
      </c>
      <c r="BL83" s="1689">
        <f ca="1">Costs!BL83/('Global assumptions'!$C$7*NAIRA2010_*250)</f>
        <v>1.2929858460945334</v>
      </c>
      <c r="BM83" s="1689">
        <f ca="1">Costs!BM83/('Global assumptions'!$C$7*NAIRA2010_*250)</f>
        <v>1.8325036261228822</v>
      </c>
      <c r="BN83" s="1689">
        <f ca="1">Costs!BN83/('Global assumptions'!$C$7*NAIRA2010_*250)</f>
        <v>2.3640358528969392</v>
      </c>
      <c r="BO83" s="1689">
        <f ca="1">Costs!BO83/('Global assumptions'!$C$7*NAIRA2010_*250)</f>
        <v>3.8500307216752199</v>
      </c>
      <c r="BP83" s="1689">
        <f ca="1">Costs!BP83/('Global assumptions'!$C$7*NAIRA2010_*250)</f>
        <v>5.1506269674900311</v>
      </c>
      <c r="BQ83" s="1689">
        <f ca="1">Costs!BQ83/('Global assumptions'!$C$7*NAIRA2010_*250)</f>
        <v>5.938733543400784</v>
      </c>
      <c r="BR83" s="675"/>
      <c r="BS83" s="1689">
        <f ca="1">Costs!BS83/('Global assumptions'!$C$7*NAIRA2010_*250)</f>
        <v>9.7044114802170508E-4</v>
      </c>
      <c r="BT83" s="1689">
        <f ca="1">Costs!BT83/('Global assumptions'!$C$7*NAIRA2010_*250)</f>
        <v>0.10081489616218514</v>
      </c>
      <c r="BU83" s="1689">
        <f ca="1">Costs!BU83/('Global assumptions'!$C$7*NAIRA2010_*250)</f>
        <v>1.0406684598472551</v>
      </c>
      <c r="BV83" s="1689">
        <f ca="1">Costs!BV83/('Global assumptions'!$C$7*NAIRA2010_*250)</f>
        <v>1.294230591780859</v>
      </c>
      <c r="BW83" s="1689">
        <f ca="1">Costs!BW83/('Global assumptions'!$C$7*NAIRA2010_*250)</f>
        <v>1.8343604266776927</v>
      </c>
      <c r="BX83" s="1689">
        <f ca="1">Costs!BX83/('Global assumptions'!$C$7*NAIRA2010_*250)</f>
        <v>2.3673450735967059</v>
      </c>
      <c r="BY83" s="1689">
        <f ca="1">Costs!BY83/('Global assumptions'!$C$7*NAIRA2010_*250)</f>
        <v>3.854747253275236</v>
      </c>
      <c r="BZ83" s="1689">
        <f ca="1">Costs!BZ83/('Global assumptions'!$C$7*NAIRA2010_*250)</f>
        <v>5.1566156987989977</v>
      </c>
      <c r="CA83" s="1689">
        <f ca="1">Costs!CA83/('Global assumptions'!$C$7*NAIRA2010_*250)</f>
        <v>5.9459899744491418</v>
      </c>
      <c r="CC83" s="1706">
        <f t="shared" ca="1" si="11"/>
        <v>2.3995269795262328</v>
      </c>
      <c r="CD83" s="1706">
        <f t="shared" ca="1" si="8"/>
        <v>9.9719351340013809</v>
      </c>
      <c r="CF83" s="1689">
        <f ca="1">Costs!CF83/('Global assumptions'!$C$7*NAIRA2010_*250)</f>
        <v>0</v>
      </c>
      <c r="CG83" s="1689">
        <f ca="1">Costs!CG83/('Global assumptions'!$C$7*NAIRA2010_*250)</f>
        <v>-8.2132186882823477E-2</v>
      </c>
      <c r="CH83" s="1689">
        <f ca="1">Costs!CH83/('Global assumptions'!$C$7*NAIRA2010_*250)</f>
        <v>-0.67116796695638381</v>
      </c>
      <c r="CI83" s="1689">
        <f ca="1">Costs!CI83/('Global assumptions'!$C$7*NAIRA2010_*250)</f>
        <v>0.82953998540362894</v>
      </c>
      <c r="CJ83" s="1689">
        <f ca="1">Costs!CJ83/('Global assumptions'!$C$7*NAIRA2010_*250)</f>
        <v>0.66762688999016162</v>
      </c>
      <c r="CK83" s="1689">
        <f ca="1">Costs!CK83/('Global assumptions'!$C$7*NAIRA2010_*250)</f>
        <v>-0.31392860091547098</v>
      </c>
      <c r="CL83" s="1689">
        <f ca="1">Costs!CL83/('Global assumptions'!$C$7*NAIRA2010_*250)</f>
        <v>0.67972216561111032</v>
      </c>
      <c r="CM83" s="1689">
        <f ca="1">Costs!CM83/('Global assumptions'!$C$7*NAIRA2010_*250)</f>
        <v>1.616606478907491</v>
      </c>
      <c r="CN83" s="1689">
        <f ca="1">Costs!CN83/('Global assumptions'!$C$7*NAIRA2010_*250)</f>
        <v>1.8251677055371407</v>
      </c>
      <c r="CP83" s="1706">
        <f t="shared" ca="1" si="12"/>
        <v>0.50571494118831717</v>
      </c>
      <c r="CQ83" s="1706">
        <f t="shared" ca="1" si="9"/>
        <v>0.77894306811230085</v>
      </c>
      <c r="CR83" s="1426" t="str">
        <f t="shared" ca="1" si="13"/>
        <v>ok</v>
      </c>
    </row>
    <row r="84" spans="1:96" s="2126" customFormat="1" x14ac:dyDescent="0.2">
      <c r="A84" s="1685" t="s">
        <v>1698</v>
      </c>
      <c r="B84" s="1685" t="s">
        <v>1701</v>
      </c>
      <c r="C84" s="1685" t="s">
        <v>1732</v>
      </c>
      <c r="E84" s="1691">
        <f ca="1">Costs!E84/('Global assumptions'!$C$7*NAIRA2010_*250)</f>
        <v>0</v>
      </c>
      <c r="F84" s="1691">
        <f ca="1">Costs!F84/('Global assumptions'!$C$7*NAIRA2010_*250)</f>
        <v>0</v>
      </c>
      <c r="G84" s="1691">
        <f ca="1">Costs!G84/('Global assumptions'!$C$7*NAIRA2010_*250)</f>
        <v>0</v>
      </c>
      <c r="H84" s="1691">
        <f ca="1">Costs!H84/('Global assumptions'!$C$7*NAIRA2010_*250)</f>
        <v>0</v>
      </c>
      <c r="I84" s="1691">
        <f ca="1">Costs!I84/('Global assumptions'!$C$7*NAIRA2010_*250)</f>
        <v>0</v>
      </c>
      <c r="J84" s="1691">
        <f ca="1">Costs!J84/('Global assumptions'!$C$7*NAIRA2010_*250)</f>
        <v>0</v>
      </c>
      <c r="K84" s="1691">
        <f ca="1">Costs!K84/('Global assumptions'!$C$7*NAIRA2010_*250)</f>
        <v>0</v>
      </c>
      <c r="L84" s="1691">
        <f ca="1">Costs!L84/('Global assumptions'!$C$7*NAIRA2010_*250)</f>
        <v>0</v>
      </c>
      <c r="M84" s="1691">
        <f ca="1">Costs!M84/('Global assumptions'!$C$7*NAIRA2010_*250)</f>
        <v>0</v>
      </c>
      <c r="N84" s="675"/>
      <c r="O84" s="1691">
        <f ca="1">Costs!O84/('Global assumptions'!$C$7*NAIRA2010_*250)</f>
        <v>0</v>
      </c>
      <c r="P84" s="1691">
        <f ca="1">Costs!P84/('Global assumptions'!$C$7*NAIRA2010_*250)</f>
        <v>0</v>
      </c>
      <c r="Q84" s="1691">
        <f ca="1">Costs!Q84/('Global assumptions'!$C$7*NAIRA2010_*250)</f>
        <v>0</v>
      </c>
      <c r="R84" s="1691">
        <f ca="1">Costs!R84/('Global assumptions'!$C$7*NAIRA2010_*250)</f>
        <v>0</v>
      </c>
      <c r="S84" s="1691">
        <f ca="1">Costs!S84/('Global assumptions'!$C$7*NAIRA2010_*250)</f>
        <v>0</v>
      </c>
      <c r="T84" s="1691">
        <f ca="1">Costs!T84/('Global assumptions'!$C$7*NAIRA2010_*250)</f>
        <v>0</v>
      </c>
      <c r="U84" s="1691">
        <f ca="1">Costs!U84/('Global assumptions'!$C$7*NAIRA2010_*250)</f>
        <v>0</v>
      </c>
      <c r="V84" s="1691">
        <f ca="1">Costs!V84/('Global assumptions'!$C$7*NAIRA2010_*250)</f>
        <v>0</v>
      </c>
      <c r="W84" s="1691">
        <f ca="1">Costs!W84/('Global assumptions'!$C$7*NAIRA2010_*250)</f>
        <v>0</v>
      </c>
      <c r="X84" s="675"/>
      <c r="Y84" s="1691">
        <f ca="1">Costs!Y84/('Global assumptions'!$C$7*NAIRA2010_*250)</f>
        <v>-0.74229874880403923</v>
      </c>
      <c r="Z84" s="1691">
        <f ca="1">Costs!Z84/('Global assumptions'!$C$7*NAIRA2010_*250)</f>
        <v>-0.8314974264512881</v>
      </c>
      <c r="AA84" s="1691">
        <f ca="1">Costs!AA84/('Global assumptions'!$C$7*NAIRA2010_*250)</f>
        <v>1.1937608802119621</v>
      </c>
      <c r="AB84" s="1691">
        <f ca="1">Costs!AB84/('Global assumptions'!$C$7*NAIRA2010_*250)</f>
        <v>9.608841461834448</v>
      </c>
      <c r="AC84" s="1691">
        <f ca="1">Costs!AC84/('Global assumptions'!$C$7*NAIRA2010_*250)</f>
        <v>24.244026833711668</v>
      </c>
      <c r="AD84" s="1691">
        <f ca="1">Costs!AD84/('Global assumptions'!$C$7*NAIRA2010_*250)</f>
        <v>45.645566712165781</v>
      </c>
      <c r="AE84" s="1691">
        <f ca="1">Costs!AE84/('Global assumptions'!$C$7*NAIRA2010_*250)</f>
        <v>68.420380507832235</v>
      </c>
      <c r="AF84" s="1691">
        <f ca="1">Costs!AF84/('Global assumptions'!$C$7*NAIRA2010_*250)</f>
        <v>91.024624037928831</v>
      </c>
      <c r="AG84" s="1691">
        <f ca="1">Costs!AG84/('Global assumptions'!$C$7*NAIRA2010_*250)</f>
        <v>116.4451698695888</v>
      </c>
      <c r="AH84" s="675"/>
      <c r="AI84" s="1691">
        <f ca="1">Costs!AI84/('Global assumptions'!$C$7*NAIRA2010_*250)</f>
        <v>-0.74229874880403923</v>
      </c>
      <c r="AJ84" s="1691">
        <f ca="1">Costs!AJ84/('Global assumptions'!$C$7*NAIRA2010_*250)</f>
        <v>-0.8314974264512881</v>
      </c>
      <c r="AK84" s="1691">
        <f ca="1">Costs!AK84/('Global assumptions'!$C$7*NAIRA2010_*250)</f>
        <v>1.1937608802119621</v>
      </c>
      <c r="AL84" s="1691">
        <f ca="1">Costs!AL84/('Global assumptions'!$C$7*NAIRA2010_*250)</f>
        <v>9.608841461834448</v>
      </c>
      <c r="AM84" s="1691">
        <f ca="1">Costs!AM84/('Global assumptions'!$C$7*NAIRA2010_*250)</f>
        <v>24.244026833711668</v>
      </c>
      <c r="AN84" s="1691">
        <f ca="1">Costs!AN84/('Global assumptions'!$C$7*NAIRA2010_*250)</f>
        <v>45.645566712165781</v>
      </c>
      <c r="AO84" s="1691">
        <f ca="1">Costs!AO84/('Global assumptions'!$C$7*NAIRA2010_*250)</f>
        <v>68.420380507832235</v>
      </c>
      <c r="AP84" s="1691">
        <f ca="1">Costs!AP84/('Global assumptions'!$C$7*NAIRA2010_*250)</f>
        <v>91.024624037928831</v>
      </c>
      <c r="AQ84" s="1691">
        <f ca="1">Costs!AQ84/('Global assumptions'!$C$7*NAIRA2010_*250)</f>
        <v>116.4451698695888</v>
      </c>
      <c r="AS84" s="1707">
        <f t="shared" ca="1" si="10"/>
        <v>39.445397125335376</v>
      </c>
      <c r="AT84" s="1707">
        <f t="shared" ca="1" si="7"/>
        <v>116.49411766825983</v>
      </c>
      <c r="AU84" s="675"/>
      <c r="AV84" s="1699">
        <f>IFERROR(VLOOKUP($A84,Cost.FinanceCostTable,5,FALSE),'Global assumptions'!$D$35)</f>
        <v>0</v>
      </c>
      <c r="AW84" s="1690">
        <f>IFERROR(VLOOKUP($A84,Cost.FinanceCostTable,6,FALSE),'Global assumptions'!$E$35)</f>
        <v>5</v>
      </c>
      <c r="AX84" s="675"/>
      <c r="AY84" s="1691">
        <f ca="1">Costs!AY84/('Global assumptions'!$C$7*NAIRA2010_*250)</f>
        <v>0</v>
      </c>
      <c r="AZ84" s="1691">
        <f ca="1">Costs!AZ84/('Global assumptions'!$C$7*NAIRA2010_*250)</f>
        <v>0</v>
      </c>
      <c r="BA84" s="1691">
        <f ca="1">Costs!BA84/('Global assumptions'!$C$7*NAIRA2010_*250)</f>
        <v>0</v>
      </c>
      <c r="BB84" s="1691">
        <f ca="1">Costs!BB84/('Global assumptions'!$C$7*NAIRA2010_*250)</f>
        <v>0</v>
      </c>
      <c r="BC84" s="1691">
        <f ca="1">Costs!BC84/('Global assumptions'!$C$7*NAIRA2010_*250)</f>
        <v>0</v>
      </c>
      <c r="BD84" s="1691">
        <f ca="1">Costs!BD84/('Global assumptions'!$C$7*NAIRA2010_*250)</f>
        <v>0</v>
      </c>
      <c r="BE84" s="1691">
        <f ca="1">Costs!BE84/('Global assumptions'!$C$7*NAIRA2010_*250)</f>
        <v>0</v>
      </c>
      <c r="BF84" s="1691">
        <f ca="1">Costs!BF84/('Global assumptions'!$C$7*NAIRA2010_*250)</f>
        <v>0</v>
      </c>
      <c r="BG84" s="1691">
        <f ca="1">Costs!BG84/('Global assumptions'!$C$7*NAIRA2010_*250)</f>
        <v>0</v>
      </c>
      <c r="BH84" s="675"/>
      <c r="BI84" s="1691">
        <f ca="1">Costs!BI84/('Global assumptions'!$C$7*NAIRA2010_*250)</f>
        <v>0</v>
      </c>
      <c r="BJ84" s="1691">
        <f ca="1">Costs!BJ84/('Global assumptions'!$C$7*NAIRA2010_*250)</f>
        <v>0</v>
      </c>
      <c r="BK84" s="1691">
        <f ca="1">Costs!BK84/('Global assumptions'!$C$7*NAIRA2010_*250)</f>
        <v>0</v>
      </c>
      <c r="BL84" s="1691">
        <f ca="1">Costs!BL84/('Global assumptions'!$C$7*NAIRA2010_*250)</f>
        <v>0</v>
      </c>
      <c r="BM84" s="1691">
        <f ca="1">Costs!BM84/('Global assumptions'!$C$7*NAIRA2010_*250)</f>
        <v>0</v>
      </c>
      <c r="BN84" s="1691">
        <f ca="1">Costs!BN84/('Global assumptions'!$C$7*NAIRA2010_*250)</f>
        <v>0</v>
      </c>
      <c r="BO84" s="1691">
        <f ca="1">Costs!BO84/('Global assumptions'!$C$7*NAIRA2010_*250)</f>
        <v>0</v>
      </c>
      <c r="BP84" s="1691">
        <f ca="1">Costs!BP84/('Global assumptions'!$C$7*NAIRA2010_*250)</f>
        <v>0</v>
      </c>
      <c r="BQ84" s="1691">
        <f ca="1">Costs!BQ84/('Global assumptions'!$C$7*NAIRA2010_*250)</f>
        <v>0</v>
      </c>
      <c r="BR84" s="675"/>
      <c r="BS84" s="1691">
        <f ca="1">Costs!BS84/('Global assumptions'!$C$7*NAIRA2010_*250)</f>
        <v>-0.74229874880403923</v>
      </c>
      <c r="BT84" s="1691">
        <f ca="1">Costs!BT84/('Global assumptions'!$C$7*NAIRA2010_*250)</f>
        <v>-0.8314974264512881</v>
      </c>
      <c r="BU84" s="1691">
        <f ca="1">Costs!BU84/('Global assumptions'!$C$7*NAIRA2010_*250)</f>
        <v>1.1937608802119621</v>
      </c>
      <c r="BV84" s="1691">
        <f ca="1">Costs!BV84/('Global assumptions'!$C$7*NAIRA2010_*250)</f>
        <v>9.608841461834448</v>
      </c>
      <c r="BW84" s="1691">
        <f ca="1">Costs!BW84/('Global assumptions'!$C$7*NAIRA2010_*250)</f>
        <v>24.244026833711668</v>
      </c>
      <c r="BX84" s="1691">
        <f ca="1">Costs!BX84/('Global assumptions'!$C$7*NAIRA2010_*250)</f>
        <v>45.645566712165781</v>
      </c>
      <c r="BY84" s="1691">
        <f ca="1">Costs!BY84/('Global assumptions'!$C$7*NAIRA2010_*250)</f>
        <v>68.420380507832235</v>
      </c>
      <c r="BZ84" s="1691">
        <f ca="1">Costs!BZ84/('Global assumptions'!$C$7*NAIRA2010_*250)</f>
        <v>91.024624037928831</v>
      </c>
      <c r="CA84" s="1691">
        <f ca="1">Costs!CA84/('Global assumptions'!$C$7*NAIRA2010_*250)</f>
        <v>116.4451698695888</v>
      </c>
      <c r="CC84" s="1707">
        <f t="shared" ca="1" si="11"/>
        <v>39.445397125335376</v>
      </c>
      <c r="CD84" s="1707">
        <f t="shared" ca="1" si="8"/>
        <v>116.49411766825983</v>
      </c>
      <c r="CF84" s="1691">
        <f ca="1">Costs!CF84/('Global assumptions'!$C$7*NAIRA2010_*250)</f>
        <v>0</v>
      </c>
      <c r="CG84" s="1691">
        <f ca="1">Costs!CG84/('Global assumptions'!$C$7*NAIRA2010_*250)</f>
        <v>0</v>
      </c>
      <c r="CH84" s="1691">
        <f ca="1">Costs!CH84/('Global assumptions'!$C$7*NAIRA2010_*250)</f>
        <v>0</v>
      </c>
      <c r="CI84" s="1691">
        <f ca="1">Costs!CI84/('Global assumptions'!$C$7*NAIRA2010_*250)</f>
        <v>0</v>
      </c>
      <c r="CJ84" s="1691">
        <f ca="1">Costs!CJ84/('Global assumptions'!$C$7*NAIRA2010_*250)</f>
        <v>0</v>
      </c>
      <c r="CK84" s="1691">
        <f ca="1">Costs!CK84/('Global assumptions'!$C$7*NAIRA2010_*250)</f>
        <v>0</v>
      </c>
      <c r="CL84" s="1691">
        <f ca="1">Costs!CL84/('Global assumptions'!$C$7*NAIRA2010_*250)</f>
        <v>0</v>
      </c>
      <c r="CM84" s="1691">
        <f ca="1">Costs!CM84/('Global assumptions'!$C$7*NAIRA2010_*250)</f>
        <v>0</v>
      </c>
      <c r="CN84" s="1691">
        <f ca="1">Costs!CN84/('Global assumptions'!$C$7*NAIRA2010_*250)</f>
        <v>0</v>
      </c>
      <c r="CP84" s="1707">
        <f t="shared" ca="1" si="12"/>
        <v>0</v>
      </c>
      <c r="CQ84" s="1707">
        <f t="shared" ca="1" si="9"/>
        <v>0</v>
      </c>
      <c r="CR84" s="1426" t="str">
        <f t="shared" ca="1" si="13"/>
        <v>ok</v>
      </c>
    </row>
    <row r="85" spans="1:96" s="2126" customFormat="1" x14ac:dyDescent="0.2">
      <c r="A85" s="1683" t="s">
        <v>1699</v>
      </c>
      <c r="B85" s="1683" t="s">
        <v>1702</v>
      </c>
      <c r="C85" s="1683" t="s">
        <v>1732</v>
      </c>
      <c r="E85" s="1689">
        <f ca="1">Costs!E85/('Global assumptions'!$C$7*NAIRA2010_*250)</f>
        <v>0</v>
      </c>
      <c r="F85" s="1689">
        <f ca="1">Costs!F85/('Global assumptions'!$C$7*NAIRA2010_*250)</f>
        <v>0</v>
      </c>
      <c r="G85" s="1689">
        <f ca="1">Costs!G85/('Global assumptions'!$C$7*NAIRA2010_*250)</f>
        <v>0</v>
      </c>
      <c r="H85" s="1689">
        <f ca="1">Costs!H85/('Global assumptions'!$C$7*NAIRA2010_*250)</f>
        <v>0</v>
      </c>
      <c r="I85" s="1689">
        <f ca="1">Costs!I85/('Global assumptions'!$C$7*NAIRA2010_*250)</f>
        <v>0</v>
      </c>
      <c r="J85" s="1689">
        <f ca="1">Costs!J85/('Global assumptions'!$C$7*NAIRA2010_*250)</f>
        <v>0</v>
      </c>
      <c r="K85" s="1689">
        <f ca="1">Costs!K85/('Global assumptions'!$C$7*NAIRA2010_*250)</f>
        <v>0</v>
      </c>
      <c r="L85" s="1689">
        <f ca="1">Costs!L85/('Global assumptions'!$C$7*NAIRA2010_*250)</f>
        <v>0</v>
      </c>
      <c r="M85" s="1689">
        <f ca="1">Costs!M85/('Global assumptions'!$C$7*NAIRA2010_*250)</f>
        <v>0</v>
      </c>
      <c r="N85" s="675"/>
      <c r="O85" s="1689">
        <f ca="1">Costs!O85/('Global assumptions'!$C$7*NAIRA2010_*250)</f>
        <v>0</v>
      </c>
      <c r="P85" s="1689">
        <f ca="1">Costs!P85/('Global assumptions'!$C$7*NAIRA2010_*250)</f>
        <v>0</v>
      </c>
      <c r="Q85" s="1689">
        <f ca="1">Costs!Q85/('Global assumptions'!$C$7*NAIRA2010_*250)</f>
        <v>0</v>
      </c>
      <c r="R85" s="1689">
        <f ca="1">Costs!R85/('Global assumptions'!$C$7*NAIRA2010_*250)</f>
        <v>0</v>
      </c>
      <c r="S85" s="1689">
        <f ca="1">Costs!S85/('Global assumptions'!$C$7*NAIRA2010_*250)</f>
        <v>0</v>
      </c>
      <c r="T85" s="1689">
        <f ca="1">Costs!T85/('Global assumptions'!$C$7*NAIRA2010_*250)</f>
        <v>0</v>
      </c>
      <c r="U85" s="1689">
        <f ca="1">Costs!U85/('Global assumptions'!$C$7*NAIRA2010_*250)</f>
        <v>0</v>
      </c>
      <c r="V85" s="1689">
        <f ca="1">Costs!V85/('Global assumptions'!$C$7*NAIRA2010_*250)</f>
        <v>0</v>
      </c>
      <c r="W85" s="1689">
        <f ca="1">Costs!W85/('Global assumptions'!$C$7*NAIRA2010_*250)</f>
        <v>0</v>
      </c>
      <c r="X85" s="675"/>
      <c r="Y85" s="1689">
        <f ca="1">Costs!Y85/('Global assumptions'!$C$7*NAIRA2010_*250)</f>
        <v>-241.64251496858165</v>
      </c>
      <c r="Z85" s="1689">
        <f ca="1">Costs!Z85/('Global assumptions'!$C$7*NAIRA2010_*250)</f>
        <v>-272.8106549250698</v>
      </c>
      <c r="AA85" s="1689">
        <f ca="1">Costs!AA85/('Global assumptions'!$C$7*NAIRA2010_*250)</f>
        <v>-326.22181986978831</v>
      </c>
      <c r="AB85" s="1689">
        <f ca="1">Costs!AB85/('Global assumptions'!$C$7*NAIRA2010_*250)</f>
        <v>-367.90943169394365</v>
      </c>
      <c r="AC85" s="1689">
        <f ca="1">Costs!AC85/('Global assumptions'!$C$7*NAIRA2010_*250)</f>
        <v>-399.44048477409211</v>
      </c>
      <c r="AD85" s="1689">
        <f ca="1">Costs!AD85/('Global assumptions'!$C$7*NAIRA2010_*250)</f>
        <v>-393.64904062381919</v>
      </c>
      <c r="AE85" s="1689">
        <f ca="1">Costs!AE85/('Global assumptions'!$C$7*NAIRA2010_*250)</f>
        <v>-390.44971616457048</v>
      </c>
      <c r="AF85" s="1689">
        <f ca="1">Costs!AF85/('Global assumptions'!$C$7*NAIRA2010_*250)</f>
        <v>-387.57697339541306</v>
      </c>
      <c r="AG85" s="1689">
        <f ca="1">Costs!AG85/('Global assumptions'!$C$7*NAIRA2010_*250)</f>
        <v>-395.18366745636041</v>
      </c>
      <c r="AH85" s="675"/>
      <c r="AI85" s="1689">
        <f ca="1">Costs!AI85/('Global assumptions'!$C$7*NAIRA2010_*250)</f>
        <v>-241.64251496858165</v>
      </c>
      <c r="AJ85" s="1689">
        <f ca="1">Costs!AJ85/('Global assumptions'!$C$7*NAIRA2010_*250)</f>
        <v>-272.8106549250698</v>
      </c>
      <c r="AK85" s="1689">
        <f ca="1">Costs!AK85/('Global assumptions'!$C$7*NAIRA2010_*250)</f>
        <v>-326.22181986978831</v>
      </c>
      <c r="AL85" s="1689">
        <f ca="1">Costs!AL85/('Global assumptions'!$C$7*NAIRA2010_*250)</f>
        <v>-367.90943169394365</v>
      </c>
      <c r="AM85" s="1689">
        <f ca="1">Costs!AM85/('Global assumptions'!$C$7*NAIRA2010_*250)</f>
        <v>-399.44048477409211</v>
      </c>
      <c r="AN85" s="1689">
        <f ca="1">Costs!AN85/('Global assumptions'!$C$7*NAIRA2010_*250)</f>
        <v>-393.64904062381919</v>
      </c>
      <c r="AO85" s="1689">
        <f ca="1">Costs!AO85/('Global assumptions'!$C$7*NAIRA2010_*250)</f>
        <v>-390.44971616457048</v>
      </c>
      <c r="AP85" s="1689">
        <f ca="1">Costs!AP85/('Global assumptions'!$C$7*NAIRA2010_*250)</f>
        <v>-387.57697339541306</v>
      </c>
      <c r="AQ85" s="1689">
        <f ca="1">Costs!AQ85/('Global assumptions'!$C$7*NAIRA2010_*250)</f>
        <v>-395.18366745636041</v>
      </c>
      <c r="AS85" s="1706">
        <f t="shared" ca="1" si="10"/>
        <v>-352.76492265240427</v>
      </c>
      <c r="AT85" s="1706">
        <f t="shared" ca="1" si="7"/>
        <v>-2928.3195709700426</v>
      </c>
      <c r="AU85" s="675"/>
      <c r="AV85" s="1699">
        <f>IFERROR(VLOOKUP($A85,Cost.FinanceCostTable,5,FALSE),'Global assumptions'!$D$35)</f>
        <v>0</v>
      </c>
      <c r="AW85" s="1690">
        <f>IFERROR(VLOOKUP($A85,Cost.FinanceCostTable,6,FALSE),'Global assumptions'!$E$35)</f>
        <v>5</v>
      </c>
      <c r="AX85" s="675"/>
      <c r="AY85" s="1689">
        <f ca="1">Costs!AY85/('Global assumptions'!$C$7*NAIRA2010_*250)</f>
        <v>0</v>
      </c>
      <c r="AZ85" s="1689">
        <f ca="1">Costs!AZ85/('Global assumptions'!$C$7*NAIRA2010_*250)</f>
        <v>0</v>
      </c>
      <c r="BA85" s="1689">
        <f ca="1">Costs!BA85/('Global assumptions'!$C$7*NAIRA2010_*250)</f>
        <v>0</v>
      </c>
      <c r="BB85" s="1689">
        <f ca="1">Costs!BB85/('Global assumptions'!$C$7*NAIRA2010_*250)</f>
        <v>0</v>
      </c>
      <c r="BC85" s="1689">
        <f ca="1">Costs!BC85/('Global assumptions'!$C$7*NAIRA2010_*250)</f>
        <v>0</v>
      </c>
      <c r="BD85" s="1689">
        <f ca="1">Costs!BD85/('Global assumptions'!$C$7*NAIRA2010_*250)</f>
        <v>0</v>
      </c>
      <c r="BE85" s="1689">
        <f ca="1">Costs!BE85/('Global assumptions'!$C$7*NAIRA2010_*250)</f>
        <v>0</v>
      </c>
      <c r="BF85" s="1689">
        <f ca="1">Costs!BF85/('Global assumptions'!$C$7*NAIRA2010_*250)</f>
        <v>0</v>
      </c>
      <c r="BG85" s="1689">
        <f ca="1">Costs!BG85/('Global assumptions'!$C$7*NAIRA2010_*250)</f>
        <v>0</v>
      </c>
      <c r="BH85" s="675"/>
      <c r="BI85" s="1689">
        <f ca="1">Costs!BI85/('Global assumptions'!$C$7*NAIRA2010_*250)</f>
        <v>0</v>
      </c>
      <c r="BJ85" s="1689">
        <f ca="1">Costs!BJ85/('Global assumptions'!$C$7*NAIRA2010_*250)</f>
        <v>0</v>
      </c>
      <c r="BK85" s="1689">
        <f ca="1">Costs!BK85/('Global assumptions'!$C$7*NAIRA2010_*250)</f>
        <v>0</v>
      </c>
      <c r="BL85" s="1689">
        <f ca="1">Costs!BL85/('Global assumptions'!$C$7*NAIRA2010_*250)</f>
        <v>0</v>
      </c>
      <c r="BM85" s="1689">
        <f ca="1">Costs!BM85/('Global assumptions'!$C$7*NAIRA2010_*250)</f>
        <v>0</v>
      </c>
      <c r="BN85" s="1689">
        <f ca="1">Costs!BN85/('Global assumptions'!$C$7*NAIRA2010_*250)</f>
        <v>0</v>
      </c>
      <c r="BO85" s="1689">
        <f ca="1">Costs!BO85/('Global assumptions'!$C$7*NAIRA2010_*250)</f>
        <v>0</v>
      </c>
      <c r="BP85" s="1689">
        <f ca="1">Costs!BP85/('Global assumptions'!$C$7*NAIRA2010_*250)</f>
        <v>0</v>
      </c>
      <c r="BQ85" s="1689">
        <f ca="1">Costs!BQ85/('Global assumptions'!$C$7*NAIRA2010_*250)</f>
        <v>0</v>
      </c>
      <c r="BR85" s="675"/>
      <c r="BS85" s="1689">
        <f ca="1">Costs!BS85/('Global assumptions'!$C$7*NAIRA2010_*250)</f>
        <v>-241.64251496858165</v>
      </c>
      <c r="BT85" s="1689">
        <f ca="1">Costs!BT85/('Global assumptions'!$C$7*NAIRA2010_*250)</f>
        <v>-272.8106549250698</v>
      </c>
      <c r="BU85" s="1689">
        <f ca="1">Costs!BU85/('Global assumptions'!$C$7*NAIRA2010_*250)</f>
        <v>-326.22181986978831</v>
      </c>
      <c r="BV85" s="1689">
        <f ca="1">Costs!BV85/('Global assumptions'!$C$7*NAIRA2010_*250)</f>
        <v>-367.90943169394365</v>
      </c>
      <c r="BW85" s="1689">
        <f ca="1">Costs!BW85/('Global assumptions'!$C$7*NAIRA2010_*250)</f>
        <v>-399.44048477409211</v>
      </c>
      <c r="BX85" s="1689">
        <f ca="1">Costs!BX85/('Global assumptions'!$C$7*NAIRA2010_*250)</f>
        <v>-393.64904062381919</v>
      </c>
      <c r="BY85" s="1689">
        <f ca="1">Costs!BY85/('Global assumptions'!$C$7*NAIRA2010_*250)</f>
        <v>-390.44971616457048</v>
      </c>
      <c r="BZ85" s="1689">
        <f ca="1">Costs!BZ85/('Global assumptions'!$C$7*NAIRA2010_*250)</f>
        <v>-387.57697339541306</v>
      </c>
      <c r="CA85" s="1689">
        <f ca="1">Costs!CA85/('Global assumptions'!$C$7*NAIRA2010_*250)</f>
        <v>-395.18366745636041</v>
      </c>
      <c r="CC85" s="1706">
        <f t="shared" ca="1" si="11"/>
        <v>-352.76492265240427</v>
      </c>
      <c r="CD85" s="1706">
        <f t="shared" ca="1" si="8"/>
        <v>-2928.3195709700426</v>
      </c>
      <c r="CF85" s="1689">
        <f ca="1">Costs!CF85/('Global assumptions'!$C$7*NAIRA2010_*250)</f>
        <v>0</v>
      </c>
      <c r="CG85" s="1689">
        <f ca="1">Costs!CG85/('Global assumptions'!$C$7*NAIRA2010_*250)</f>
        <v>0</v>
      </c>
      <c r="CH85" s="1689">
        <f ca="1">Costs!CH85/('Global assumptions'!$C$7*NAIRA2010_*250)</f>
        <v>0</v>
      </c>
      <c r="CI85" s="1689">
        <f ca="1">Costs!CI85/('Global assumptions'!$C$7*NAIRA2010_*250)</f>
        <v>0</v>
      </c>
      <c r="CJ85" s="1689">
        <f ca="1">Costs!CJ85/('Global assumptions'!$C$7*NAIRA2010_*250)</f>
        <v>0</v>
      </c>
      <c r="CK85" s="1689">
        <f ca="1">Costs!CK85/('Global assumptions'!$C$7*NAIRA2010_*250)</f>
        <v>0</v>
      </c>
      <c r="CL85" s="1689">
        <f ca="1">Costs!CL85/('Global assumptions'!$C$7*NAIRA2010_*250)</f>
        <v>0</v>
      </c>
      <c r="CM85" s="1689">
        <f ca="1">Costs!CM85/('Global assumptions'!$C$7*NAIRA2010_*250)</f>
        <v>0</v>
      </c>
      <c r="CN85" s="1689">
        <f ca="1">Costs!CN85/('Global assumptions'!$C$7*NAIRA2010_*250)</f>
        <v>0</v>
      </c>
      <c r="CP85" s="1706">
        <f t="shared" ca="1" si="12"/>
        <v>0</v>
      </c>
      <c r="CQ85" s="1706">
        <f t="shared" ca="1" si="9"/>
        <v>0</v>
      </c>
      <c r="CR85" s="1426" t="str">
        <f t="shared" ca="1" si="13"/>
        <v>ok</v>
      </c>
    </row>
    <row r="86" spans="1:96" s="580" customFormat="1" x14ac:dyDescent="0.2">
      <c r="A86" s="2134" t="s">
        <v>1700</v>
      </c>
      <c r="B86" s="2134" t="s">
        <v>1703</v>
      </c>
      <c r="C86" s="2134" t="s">
        <v>1732</v>
      </c>
      <c r="E86" s="2135">
        <f ca="1">Costs!E86/('Global assumptions'!$C$7*NAIRA2010_*250)</f>
        <v>0</v>
      </c>
      <c r="F86" s="2135">
        <f ca="1">Costs!F86/('Global assumptions'!$C$7*NAIRA2010_*250)</f>
        <v>0</v>
      </c>
      <c r="G86" s="2135">
        <f ca="1">Costs!G86/('Global assumptions'!$C$7*NAIRA2010_*250)</f>
        <v>0</v>
      </c>
      <c r="H86" s="2135">
        <f ca="1">Costs!H86/('Global assumptions'!$C$7*NAIRA2010_*250)</f>
        <v>0</v>
      </c>
      <c r="I86" s="2135">
        <f ca="1">Costs!I86/('Global assumptions'!$C$7*NAIRA2010_*250)</f>
        <v>0</v>
      </c>
      <c r="J86" s="2135">
        <f ca="1">Costs!J86/('Global assumptions'!$C$7*NAIRA2010_*250)</f>
        <v>0</v>
      </c>
      <c r="K86" s="2135">
        <f ca="1">Costs!K86/('Global assumptions'!$C$7*NAIRA2010_*250)</f>
        <v>0</v>
      </c>
      <c r="L86" s="2135">
        <f ca="1">Costs!L86/('Global assumptions'!$C$7*NAIRA2010_*250)</f>
        <v>0</v>
      </c>
      <c r="M86" s="2135">
        <f ca="1">Costs!M86/('Global assumptions'!$C$7*NAIRA2010_*250)</f>
        <v>0</v>
      </c>
      <c r="N86" s="2731"/>
      <c r="O86" s="2135">
        <f ca="1">Costs!O86/('Global assumptions'!$C$7*NAIRA2010_*250)</f>
        <v>0</v>
      </c>
      <c r="P86" s="2135">
        <f ca="1">Costs!P86/('Global assumptions'!$C$7*NAIRA2010_*250)</f>
        <v>0</v>
      </c>
      <c r="Q86" s="2135">
        <f ca="1">Costs!Q86/('Global assumptions'!$C$7*NAIRA2010_*250)</f>
        <v>0</v>
      </c>
      <c r="R86" s="2135">
        <f ca="1">Costs!R86/('Global assumptions'!$C$7*NAIRA2010_*250)</f>
        <v>0</v>
      </c>
      <c r="S86" s="2135">
        <f ca="1">Costs!S86/('Global assumptions'!$C$7*NAIRA2010_*250)</f>
        <v>0</v>
      </c>
      <c r="T86" s="2135">
        <f ca="1">Costs!T86/('Global assumptions'!$C$7*NAIRA2010_*250)</f>
        <v>0</v>
      </c>
      <c r="U86" s="2135">
        <f ca="1">Costs!U86/('Global assumptions'!$C$7*NAIRA2010_*250)</f>
        <v>0</v>
      </c>
      <c r="V86" s="2135">
        <f ca="1">Costs!V86/('Global assumptions'!$C$7*NAIRA2010_*250)</f>
        <v>0</v>
      </c>
      <c r="W86" s="2135">
        <f ca="1">Costs!W86/('Global assumptions'!$C$7*NAIRA2010_*250)</f>
        <v>0</v>
      </c>
      <c r="X86" s="2731"/>
      <c r="Y86" s="2135">
        <f ca="1">Costs!Y86/('Global assumptions'!$C$7*NAIRA2010_*250)</f>
        <v>-68.428918767402749</v>
      </c>
      <c r="Z86" s="2135">
        <f ca="1">Costs!Z86/('Global assumptions'!$C$7*NAIRA2010_*250)</f>
        <v>-88.460894807887257</v>
      </c>
      <c r="AA86" s="2135">
        <f ca="1">Costs!AA86/('Global assumptions'!$C$7*NAIRA2010_*250)</f>
        <v>-93.732466976817364</v>
      </c>
      <c r="AB86" s="2135">
        <f ca="1">Costs!AB86/('Global assumptions'!$C$7*NAIRA2010_*250)</f>
        <v>-112.74679393098333</v>
      </c>
      <c r="AC86" s="2135">
        <f ca="1">Costs!AC86/('Global assumptions'!$C$7*NAIRA2010_*250)</f>
        <v>-121.85973624244312</v>
      </c>
      <c r="AD86" s="2135">
        <f ca="1">Costs!AD86/('Global assumptions'!$C$7*NAIRA2010_*250)</f>
        <v>-112.79347312553416</v>
      </c>
      <c r="AE86" s="2135">
        <f ca="1">Costs!AE86/('Global assumptions'!$C$7*NAIRA2010_*250)</f>
        <v>-104.0835359685679</v>
      </c>
      <c r="AF86" s="2135">
        <f ca="1">Costs!AF86/('Global assumptions'!$C$7*NAIRA2010_*250)</f>
        <v>-96.440866181086733</v>
      </c>
      <c r="AG86" s="2135">
        <f ca="1">Costs!AG86/('Global assumptions'!$C$7*NAIRA2010_*250)</f>
        <v>-88.833742454808927</v>
      </c>
      <c r="AH86" s="2731"/>
      <c r="AI86" s="2135">
        <f ca="1">Costs!AI86/('Global assumptions'!$C$7*NAIRA2010_*250)</f>
        <v>-68.428918767402749</v>
      </c>
      <c r="AJ86" s="2135">
        <f ca="1">Costs!AJ86/('Global assumptions'!$C$7*NAIRA2010_*250)</f>
        <v>-88.460894807887257</v>
      </c>
      <c r="AK86" s="2135">
        <f ca="1">Costs!AK86/('Global assumptions'!$C$7*NAIRA2010_*250)</f>
        <v>-93.732466976817364</v>
      </c>
      <c r="AL86" s="2135">
        <f ca="1">Costs!AL86/('Global assumptions'!$C$7*NAIRA2010_*250)</f>
        <v>-112.74679393098333</v>
      </c>
      <c r="AM86" s="2135">
        <f ca="1">Costs!AM86/('Global assumptions'!$C$7*NAIRA2010_*250)</f>
        <v>-121.85973624244312</v>
      </c>
      <c r="AN86" s="2135">
        <f ca="1">Costs!AN86/('Global assumptions'!$C$7*NAIRA2010_*250)</f>
        <v>-112.79347312553416</v>
      </c>
      <c r="AO86" s="2135">
        <f ca="1">Costs!AO86/('Global assumptions'!$C$7*NAIRA2010_*250)</f>
        <v>-104.0835359685679</v>
      </c>
      <c r="AP86" s="2135">
        <f ca="1">Costs!AP86/('Global assumptions'!$C$7*NAIRA2010_*250)</f>
        <v>-96.440866181086733</v>
      </c>
      <c r="AQ86" s="2135">
        <f ca="1">Costs!AQ86/('Global assumptions'!$C$7*NAIRA2010_*250)</f>
        <v>-88.833742454808927</v>
      </c>
      <c r="AS86" s="2732">
        <f t="shared" ca="1" si="10"/>
        <v>-98.597825383947935</v>
      </c>
      <c r="AT86" s="2732">
        <f t="shared" ca="1" si="7"/>
        <v>-873.93129494833363</v>
      </c>
      <c r="AU86" s="2731"/>
      <c r="AV86" s="2738">
        <f>IFERROR(VLOOKUP($A86,Cost.FinanceCostTable,5,FALSE),'Global assumptions'!$D$35)</f>
        <v>0</v>
      </c>
      <c r="AW86" s="2739">
        <f>IFERROR(VLOOKUP($A86,Cost.FinanceCostTable,6,FALSE),'Global assumptions'!$E$35)</f>
        <v>5</v>
      </c>
      <c r="AX86" s="2731"/>
      <c r="AY86" s="2135">
        <f ca="1">Costs!AY86/('Global assumptions'!$C$7*NAIRA2010_*250)</f>
        <v>0</v>
      </c>
      <c r="AZ86" s="2135">
        <f ca="1">Costs!AZ86/('Global assumptions'!$C$7*NAIRA2010_*250)</f>
        <v>0</v>
      </c>
      <c r="BA86" s="2135">
        <f ca="1">Costs!BA86/('Global assumptions'!$C$7*NAIRA2010_*250)</f>
        <v>0</v>
      </c>
      <c r="BB86" s="2135">
        <f ca="1">Costs!BB86/('Global assumptions'!$C$7*NAIRA2010_*250)</f>
        <v>0</v>
      </c>
      <c r="BC86" s="2135">
        <f ca="1">Costs!BC86/('Global assumptions'!$C$7*NAIRA2010_*250)</f>
        <v>0</v>
      </c>
      <c r="BD86" s="2135">
        <f ca="1">Costs!BD86/('Global assumptions'!$C$7*NAIRA2010_*250)</f>
        <v>0</v>
      </c>
      <c r="BE86" s="2135">
        <f ca="1">Costs!BE86/('Global assumptions'!$C$7*NAIRA2010_*250)</f>
        <v>0</v>
      </c>
      <c r="BF86" s="2135">
        <f ca="1">Costs!BF86/('Global assumptions'!$C$7*NAIRA2010_*250)</f>
        <v>0</v>
      </c>
      <c r="BG86" s="2135">
        <f ca="1">Costs!BG86/('Global assumptions'!$C$7*NAIRA2010_*250)</f>
        <v>0</v>
      </c>
      <c r="BH86" s="2731"/>
      <c r="BI86" s="2135">
        <f ca="1">Costs!BI86/('Global assumptions'!$C$7*NAIRA2010_*250)</f>
        <v>0</v>
      </c>
      <c r="BJ86" s="2135">
        <f ca="1">Costs!BJ86/('Global assumptions'!$C$7*NAIRA2010_*250)</f>
        <v>0</v>
      </c>
      <c r="BK86" s="2135">
        <f ca="1">Costs!BK86/('Global assumptions'!$C$7*NAIRA2010_*250)</f>
        <v>0</v>
      </c>
      <c r="BL86" s="2135">
        <f ca="1">Costs!BL86/('Global assumptions'!$C$7*NAIRA2010_*250)</f>
        <v>0</v>
      </c>
      <c r="BM86" s="2135">
        <f ca="1">Costs!BM86/('Global assumptions'!$C$7*NAIRA2010_*250)</f>
        <v>0</v>
      </c>
      <c r="BN86" s="2135">
        <f ca="1">Costs!BN86/('Global assumptions'!$C$7*NAIRA2010_*250)</f>
        <v>0</v>
      </c>
      <c r="BO86" s="2135">
        <f ca="1">Costs!BO86/('Global assumptions'!$C$7*NAIRA2010_*250)</f>
        <v>0</v>
      </c>
      <c r="BP86" s="2135">
        <f ca="1">Costs!BP86/('Global assumptions'!$C$7*NAIRA2010_*250)</f>
        <v>0</v>
      </c>
      <c r="BQ86" s="2135">
        <f ca="1">Costs!BQ86/('Global assumptions'!$C$7*NAIRA2010_*250)</f>
        <v>0</v>
      </c>
      <c r="BR86" s="2731"/>
      <c r="BS86" s="2135">
        <f ca="1">Costs!BS86/('Global assumptions'!$C$7*NAIRA2010_*250)</f>
        <v>-68.428918767402749</v>
      </c>
      <c r="BT86" s="2135">
        <f ca="1">Costs!BT86/('Global assumptions'!$C$7*NAIRA2010_*250)</f>
        <v>-88.460894807887257</v>
      </c>
      <c r="BU86" s="2135">
        <f ca="1">Costs!BU86/('Global assumptions'!$C$7*NAIRA2010_*250)</f>
        <v>-93.732466976817364</v>
      </c>
      <c r="BV86" s="2135">
        <f ca="1">Costs!BV86/('Global assumptions'!$C$7*NAIRA2010_*250)</f>
        <v>-112.74679393098333</v>
      </c>
      <c r="BW86" s="2135">
        <f ca="1">Costs!BW86/('Global assumptions'!$C$7*NAIRA2010_*250)</f>
        <v>-121.85973624244312</v>
      </c>
      <c r="BX86" s="2135">
        <f ca="1">Costs!BX86/('Global assumptions'!$C$7*NAIRA2010_*250)</f>
        <v>-112.79347312553416</v>
      </c>
      <c r="BY86" s="2135">
        <f ca="1">Costs!BY86/('Global assumptions'!$C$7*NAIRA2010_*250)</f>
        <v>-104.0835359685679</v>
      </c>
      <c r="BZ86" s="2135">
        <f ca="1">Costs!BZ86/('Global assumptions'!$C$7*NAIRA2010_*250)</f>
        <v>-96.440866181086733</v>
      </c>
      <c r="CA86" s="2135">
        <f ca="1">Costs!CA86/('Global assumptions'!$C$7*NAIRA2010_*250)</f>
        <v>-88.833742454808927</v>
      </c>
      <c r="CC86" s="2732">
        <f t="shared" ca="1" si="11"/>
        <v>-98.597825383947935</v>
      </c>
      <c r="CD86" s="2732">
        <f t="shared" ca="1" si="8"/>
        <v>-873.93129494833363</v>
      </c>
      <c r="CF86" s="2135">
        <f ca="1">Costs!CF86/('Global assumptions'!$C$7*NAIRA2010_*250)</f>
        <v>0</v>
      </c>
      <c r="CG86" s="2135">
        <f ca="1">Costs!CG86/('Global assumptions'!$C$7*NAIRA2010_*250)</f>
        <v>0</v>
      </c>
      <c r="CH86" s="2135">
        <f ca="1">Costs!CH86/('Global assumptions'!$C$7*NAIRA2010_*250)</f>
        <v>0</v>
      </c>
      <c r="CI86" s="2135">
        <f ca="1">Costs!CI86/('Global assumptions'!$C$7*NAIRA2010_*250)</f>
        <v>0</v>
      </c>
      <c r="CJ86" s="2135">
        <f ca="1">Costs!CJ86/('Global assumptions'!$C$7*NAIRA2010_*250)</f>
        <v>0</v>
      </c>
      <c r="CK86" s="2135">
        <f ca="1">Costs!CK86/('Global assumptions'!$C$7*NAIRA2010_*250)</f>
        <v>0</v>
      </c>
      <c r="CL86" s="2135">
        <f ca="1">Costs!CL86/('Global assumptions'!$C$7*NAIRA2010_*250)</f>
        <v>0</v>
      </c>
      <c r="CM86" s="2135">
        <f ca="1">Costs!CM86/('Global assumptions'!$C$7*NAIRA2010_*250)</f>
        <v>0</v>
      </c>
      <c r="CN86" s="2135">
        <f ca="1">Costs!CN86/('Global assumptions'!$C$7*NAIRA2010_*250)</f>
        <v>0</v>
      </c>
      <c r="CP86" s="2732">
        <f t="shared" ca="1" si="12"/>
        <v>0</v>
      </c>
      <c r="CQ86" s="2732">
        <f t="shared" ca="1" si="9"/>
        <v>0</v>
      </c>
      <c r="CR86" s="1073" t="str">
        <f t="shared" ca="1" si="13"/>
        <v>ok</v>
      </c>
    </row>
    <row r="87" spans="1:96" x14ac:dyDescent="0.2">
      <c r="A87" s="1687" t="s">
        <v>105</v>
      </c>
      <c r="B87" s="1687" t="s">
        <v>105</v>
      </c>
      <c r="C87" s="1695" t="s">
        <v>105</v>
      </c>
      <c r="D87" s="1427"/>
      <c r="E87" s="1693">
        <f ca="1">Costs!E87/('Global assumptions'!$C$7*GBP)</f>
        <v>33.959807702266438</v>
      </c>
      <c r="F87" s="1693">
        <f ca="1">Costs!F87/('Global assumptions'!$C$8*GBP)</f>
        <v>1344.2195999119888</v>
      </c>
      <c r="G87" s="1693">
        <f ca="1">Costs!G87/('Global assumptions'!$C$9*GBP)</f>
        <v>831.1873548026457</v>
      </c>
      <c r="H87" s="1693">
        <f ca="1">Costs!H87/('Global assumptions'!$C$10*GBP)</f>
        <v>886.39089471082343</v>
      </c>
      <c r="I87" s="1693">
        <f ca="1">Costs!I87/('Global assumptions'!$C$11*GBP)</f>
        <v>940.14172668089282</v>
      </c>
      <c r="J87" s="1693">
        <f ca="1">Costs!J87/('Global assumptions'!$C$12*GBP)</f>
        <v>1013.392617643565</v>
      </c>
      <c r="K87" s="1693">
        <f ca="1">Costs!K87/('Global assumptions'!$C$13*GBP)</f>
        <v>1028.0929725893996</v>
      </c>
      <c r="L87" s="1693">
        <f ca="1">Costs!L87/('Global assumptions'!$C$14*GBP)</f>
        <v>1145.555647756752</v>
      </c>
      <c r="M87" s="1693">
        <f ca="1">Costs!M87/('Global assumptions'!$C$15*GBP)</f>
        <v>1153.8561745933628</v>
      </c>
      <c r="N87" s="1711"/>
      <c r="O87" s="1693">
        <f ca="1">Costs!O87/('Global assumptions'!$C$7*GBP)</f>
        <v>1824.9088782351839</v>
      </c>
      <c r="P87" s="1693">
        <f ca="1">Costs!P87/('Global assumptions'!$C$8*GBP)</f>
        <v>16242.3514957603</v>
      </c>
      <c r="Q87" s="1693">
        <f ca="1">Costs!Q87/('Global assumptions'!$C$9*GBP)</f>
        <v>17228.968308400883</v>
      </c>
      <c r="R87" s="1693">
        <f ca="1">Costs!R87/('Global assumptions'!$C$10*GBP)</f>
        <v>18237.826427270822</v>
      </c>
      <c r="S87" s="1693">
        <f ca="1">Costs!S87/('Global assumptions'!$C$11*GBP)</f>
        <v>19238.666559093439</v>
      </c>
      <c r="T87" s="1693">
        <f ca="1">Costs!T87/('Global assumptions'!$C$12*GBP)</f>
        <v>20234.90100764723</v>
      </c>
      <c r="U87" s="1693">
        <f ca="1">Costs!U87/('Global assumptions'!$C$13*GBP)</f>
        <v>21222.904634188901</v>
      </c>
      <c r="V87" s="1693">
        <f ca="1">Costs!V87/('Global assumptions'!$C$14*GBP)</f>
        <v>22197.214211233266</v>
      </c>
      <c r="W87" s="1693">
        <f ca="1">Costs!W87/('Global assumptions'!$C$15*GBP)</f>
        <v>23133.201552041326</v>
      </c>
      <c r="X87" s="1711"/>
      <c r="Y87" s="1693">
        <f ca="1">Costs!Y87/('Global assumptions'!$C$7*GBP)</f>
        <v>258.50743567955936</v>
      </c>
      <c r="Z87" s="1693">
        <f ca="1">Costs!Z87/('Global assumptions'!$C$8*GBP)</f>
        <v>256.08304626185446</v>
      </c>
      <c r="AA87" s="1693">
        <f ca="1">Costs!AA87/('Global assumptions'!$C$9*GBP)</f>
        <v>243.65675073618377</v>
      </c>
      <c r="AB87" s="1693">
        <f ca="1">Costs!AB87/('Global assumptions'!$C$10*GBP)</f>
        <v>235.3410173148377</v>
      </c>
      <c r="AC87" s="1693">
        <f ca="1">Costs!AC87/('Global assumptions'!$C$11*GBP)</f>
        <v>239.17396218979772</v>
      </c>
      <c r="AD87" s="1693">
        <f ca="1">Costs!AD87/('Global assumptions'!$C$12*GBP)</f>
        <v>246.97146915600263</v>
      </c>
      <c r="AE87" s="1693">
        <f ca="1">Costs!AE87/('Global assumptions'!$C$13*GBP)</f>
        <v>255.61390353414512</v>
      </c>
      <c r="AF87" s="1693">
        <f ca="1">Costs!AF87/('Global assumptions'!$C$14*GBP)</f>
        <v>261.99132584854459</v>
      </c>
      <c r="AG87" s="1693">
        <f ca="1">Costs!AG87/('Global assumptions'!$C$15*GBP)</f>
        <v>269.78156467410275</v>
      </c>
      <c r="AH87" s="1711"/>
      <c r="AI87" s="1693">
        <f ca="1">Costs!AI87/('Global assumptions'!$C$7*GBP)</f>
        <v>2117.3761216170096</v>
      </c>
      <c r="AJ87" s="1693">
        <f ca="1">Costs!AJ87/('Global assumptions'!$C$8*GBP)</f>
        <v>17842.654141934145</v>
      </c>
      <c r="AK87" s="1693">
        <f ca="1">Costs!AK87/('Global assumptions'!$C$9*GBP)</f>
        <v>18303.812413939704</v>
      </c>
      <c r="AL87" s="1693">
        <f ca="1">Costs!AL87/('Global assumptions'!$C$10*GBP)</f>
        <v>19359.558339296484</v>
      </c>
      <c r="AM87" s="1693">
        <f ca="1">Costs!AM87/('Global assumptions'!$C$11*GBP)</f>
        <v>20417.982247964137</v>
      </c>
      <c r="AN87" s="1693">
        <f ca="1">Costs!AN87/('Global assumptions'!$C$12*GBP)</f>
        <v>21495.26509444679</v>
      </c>
      <c r="AO87" s="1693">
        <f ca="1">Costs!AO87/('Global assumptions'!$C$13*GBP)</f>
        <v>22506.611510312454</v>
      </c>
      <c r="AP87" s="1693">
        <f ca="1">Costs!AP87/('Global assumptions'!$C$14*GBP)</f>
        <v>23604.761184838568</v>
      </c>
      <c r="AQ87" s="1693">
        <f ca="1">Costs!AQ87/('Global assumptions'!$C$15*GBP)</f>
        <v>24556.839291308788</v>
      </c>
      <c r="AR87" s="1711"/>
      <c r="AS87" s="1709">
        <f ca="1">AVERAGE($AI87:$AQ87)</f>
        <v>18911.651149517565</v>
      </c>
      <c r="AT87" s="1709">
        <f ca="1">(SUMPRODUCT(AJ87:AQ87,discount_factors)*5)+AI87</f>
        <v>158583.10675945654</v>
      </c>
      <c r="AU87" s="1711"/>
      <c r="AV87" s="1710"/>
      <c r="AW87" s="1712"/>
      <c r="AX87" s="1711"/>
      <c r="AY87" s="1693">
        <f ca="1">Costs!AY87/('Global assumptions'!$C$7*GBP)</f>
        <v>9.2895399651895687</v>
      </c>
      <c r="AZ87" s="1693">
        <f ca="1">Costs!AZ87/('Global assumptions'!$C$8*GBP)</f>
        <v>735.65271861196902</v>
      </c>
      <c r="BA87" s="1693">
        <f ca="1">Costs!BA87/('Global assumptions'!$C$9*GBP)</f>
        <v>449.19300190558675</v>
      </c>
      <c r="BB87" s="1693">
        <f ca="1">Costs!BB87/('Global assumptions'!$C$10*GBP)</f>
        <v>479.89296945873514</v>
      </c>
      <c r="BC87" s="1693">
        <f ca="1">Costs!BC87/('Global assumptions'!$C$11*GBP)</f>
        <v>507.64679341791458</v>
      </c>
      <c r="BD87" s="1693">
        <f ca="1">Costs!BD87/('Global assumptions'!$C$12*GBP)</f>
        <v>547.61901582971279</v>
      </c>
      <c r="BE87" s="1693">
        <f ca="1">Costs!BE87/('Global assumptions'!$C$13*GBP)</f>
        <v>552.23687426444394</v>
      </c>
      <c r="BF87" s="1693">
        <f ca="1">Costs!BF87/('Global assumptions'!$C$14*GBP)</f>
        <v>612.50829753236303</v>
      </c>
      <c r="BG87" s="1693">
        <f ca="1">Costs!BG87/('Global assumptions'!$C$15*GBP)</f>
        <v>614.66031638209984</v>
      </c>
      <c r="BH87" s="1711"/>
      <c r="BI87" s="1693">
        <f ca="1">Costs!BI87/('Global assumptions'!$C$7*GBP)</f>
        <v>9.2895399651895687</v>
      </c>
      <c r="BJ87" s="1693">
        <f ca="1">Costs!BJ87/('Global assumptions'!$C$8*GBP)</f>
        <v>743.86331834012174</v>
      </c>
      <c r="BK87" s="1693">
        <f ca="1">Costs!BK87/('Global assumptions'!$C$9*GBP)</f>
        <v>1106.504971893527</v>
      </c>
      <c r="BL87" s="1693">
        <f ca="1">Costs!BL87/('Global assumptions'!$C$10*GBP)</f>
        <v>1445.2737446433305</v>
      </c>
      <c r="BM87" s="1693">
        <f ca="1">Costs!BM87/('Global assumptions'!$C$11*GBP)</f>
        <v>1287.7890638497804</v>
      </c>
      <c r="BN87" s="1693">
        <f ca="1">Costs!BN87/('Global assumptions'!$C$12*GBP)</f>
        <v>1396.1494071710933</v>
      </c>
      <c r="BO87" s="1693">
        <f ca="1">Costs!BO87/('Global assumptions'!$C$13*GBP)</f>
        <v>1497.7606647033247</v>
      </c>
      <c r="BP87" s="1693">
        <f ca="1">Costs!BP87/('Global assumptions'!$C$14*GBP)</f>
        <v>1637.1329223356456</v>
      </c>
      <c r="BQ87" s="1693">
        <f ca="1">Costs!BQ87/('Global assumptions'!$C$15*GBP)</f>
        <v>1686.6353346632905</v>
      </c>
      <c r="BR87" s="1711"/>
      <c r="BS87" s="1693">
        <f ca="1">Costs!BS87/('Global assumptions'!$C$7*GBP)</f>
        <v>2092.7058538799324</v>
      </c>
      <c r="BT87" s="1693">
        <f ca="1">Costs!BT87/('Global assumptions'!$C$8*GBP)</f>
        <v>17242.29786036228</v>
      </c>
      <c r="BU87" s="1693">
        <f ca="1">Costs!BU87/('Global assumptions'!$C$9*GBP)</f>
        <v>18579.130031030589</v>
      </c>
      <c r="BV87" s="1693">
        <f ca="1">Costs!BV87/('Global assumptions'!$C$10*GBP)</f>
        <v>19918.441189228983</v>
      </c>
      <c r="BW87" s="1693">
        <f ca="1">Costs!BW87/('Global assumptions'!$C$11*GBP)</f>
        <v>20765.629585133018</v>
      </c>
      <c r="BX87" s="1693">
        <f ca="1">Costs!BX87/('Global assumptions'!$C$12*GBP)</f>
        <v>21878.021883974325</v>
      </c>
      <c r="BY87" s="1693">
        <f ca="1">Costs!BY87/('Global assumptions'!$C$13*GBP)</f>
        <v>22976.27920242638</v>
      </c>
      <c r="BZ87" s="1693">
        <f ca="1">Costs!BZ87/('Global assumptions'!$C$14*GBP)</f>
        <v>24096.338459417464</v>
      </c>
      <c r="CA87" s="1693">
        <f ca="1">Costs!CA87/('Global assumptions'!$C$15*GBP)</f>
        <v>25089.618451378716</v>
      </c>
      <c r="CB87" s="15"/>
      <c r="CC87" s="1709">
        <f ca="1">AVERAGE($BS87:$CA87)</f>
        <v>19182.051390759076</v>
      </c>
      <c r="CD87" s="1709">
        <f ca="1">(SUMPRODUCT(BT87:CA87,discount_factors)*5)+BS87</f>
        <v>158698.95518462095</v>
      </c>
      <c r="CE87" s="1711"/>
      <c r="CF87" s="1693">
        <f ca="1">Costs!CF87/('Global assumptions'!$C$7*GBP)</f>
        <v>-24.67026773707687</v>
      </c>
      <c r="CG87" s="1693">
        <f ca="1">Costs!CG87/('Global assumptions'!$C$8*GBP)</f>
        <v>-600.35628157186693</v>
      </c>
      <c r="CH87" s="1693">
        <f ca="1">Costs!CH87/('Global assumptions'!$C$9*GBP)</f>
        <v>275.31761709088124</v>
      </c>
      <c r="CI87" s="1693">
        <f ca="1">Costs!CI87/('Global assumptions'!$C$10*GBP)</f>
        <v>558.88284993250704</v>
      </c>
      <c r="CJ87" s="1693">
        <f ca="1">Costs!CJ87/('Global assumptions'!$C$11*GBP)</f>
        <v>347.64733716888765</v>
      </c>
      <c r="CK87" s="1693">
        <f ca="1">Costs!CK87/('Global assumptions'!$C$12*GBP)</f>
        <v>382.75678952752838</v>
      </c>
      <c r="CL87" s="1693">
        <f ca="1">Costs!CL87/('Global assumptions'!$C$13*GBP)</f>
        <v>469.66769211392517</v>
      </c>
      <c r="CM87" s="1693">
        <f ca="1">Costs!CM87/('Global assumptions'!$C$14*GBP)</f>
        <v>491.57727457889359</v>
      </c>
      <c r="CN87" s="1693">
        <f ca="1">Costs!CN87/('Global assumptions'!$C$15*GBP)</f>
        <v>532.77916006992791</v>
      </c>
      <c r="CO87" s="15"/>
      <c r="CP87" s="1709">
        <f ca="1">AVERAGE($CF87:$CN87)</f>
        <v>270.40024124151188</v>
      </c>
      <c r="CQ87" s="1709">
        <f ca="1">SUM(CQ47:CQ86)</f>
        <v>1099.1330036299182</v>
      </c>
      <c r="CR87" s="1426" t="str">
        <f t="shared" ca="1" si="13"/>
        <v>err</v>
      </c>
    </row>
    <row r="88" spans="1:96" x14ac:dyDescent="0.2">
      <c r="C88" s="2225"/>
      <c r="D88" s="1427"/>
      <c r="N88" s="1427"/>
      <c r="X88" s="1427"/>
      <c r="AH88" s="1427"/>
      <c r="AT88" s="1427"/>
      <c r="AW88" s="1427"/>
      <c r="CF88" s="1426" t="str">
        <f t="shared" ref="CF88:CN88" ca="1" si="18">IF(ROUND(BS43-CF43-AI43,0)=0,"ok",BS43-CF43-AI43)</f>
        <v>ok</v>
      </c>
      <c r="CG88" s="1426" t="str">
        <f t="shared" ca="1" si="18"/>
        <v>ok</v>
      </c>
      <c r="CH88" s="1426" t="str">
        <f t="shared" ca="1" si="18"/>
        <v>ok</v>
      </c>
      <c r="CI88" s="1426" t="str">
        <f t="shared" ca="1" si="18"/>
        <v>ok</v>
      </c>
      <c r="CJ88" s="1426" t="str">
        <f t="shared" ca="1" si="18"/>
        <v>ok</v>
      </c>
      <c r="CK88" s="1426" t="str">
        <f t="shared" ca="1" si="18"/>
        <v>ok</v>
      </c>
      <c r="CL88" s="1426" t="str">
        <f t="shared" ca="1" si="18"/>
        <v>ok</v>
      </c>
      <c r="CM88" s="1426" t="str">
        <f t="shared" ca="1" si="18"/>
        <v>ok</v>
      </c>
      <c r="CN88" s="1426" t="str">
        <f t="shared" ca="1" si="18"/>
        <v>ok</v>
      </c>
      <c r="CP88" s="1426" t="str">
        <f ca="1">IF(ROUND(CC43-CP43-AS43,0)=0,"ok",CC43-CP43-AS43)</f>
        <v>ok</v>
      </c>
      <c r="CQ88" s="1426">
        <f ca="1">IF(ROUND(CD43-CQ43-AT43,0)=0,"ok",CD43-CQ43-AT43)</f>
        <v>387.84243446748587</v>
      </c>
    </row>
    <row r="89" spans="1:96" x14ac:dyDescent="0.2">
      <c r="C89" s="2225"/>
      <c r="D89" s="1427"/>
      <c r="N89" s="1427"/>
      <c r="X89" s="1427"/>
      <c r="AH89" s="1427"/>
      <c r="AT89" s="1427"/>
      <c r="AW89" s="1427"/>
    </row>
    <row r="90" spans="1:96" x14ac:dyDescent="0.2">
      <c r="B90" s="1427" t="s">
        <v>2589</v>
      </c>
      <c r="C90" s="2225"/>
      <c r="E90" s="17" t="s">
        <v>1391</v>
      </c>
      <c r="F90" s="1680" t="s">
        <v>1392</v>
      </c>
      <c r="O90" s="17" t="s">
        <v>1393</v>
      </c>
      <c r="P90" s="1680" t="s">
        <v>1394</v>
      </c>
      <c r="Y90" s="17" t="s">
        <v>1395</v>
      </c>
      <c r="Z90" s="1680" t="s">
        <v>1396</v>
      </c>
      <c r="AI90" s="17" t="s">
        <v>1397</v>
      </c>
      <c r="AS90" s="1680" t="s">
        <v>1826</v>
      </c>
      <c r="AV90" s="1679" t="s">
        <v>1613</v>
      </c>
      <c r="AY90" s="17" t="s">
        <v>1615</v>
      </c>
      <c r="BI90" s="17" t="s">
        <v>1616</v>
      </c>
      <c r="BR90" s="2357" t="s">
        <v>2064</v>
      </c>
      <c r="BS90" s="17"/>
      <c r="CC90" s="1680" t="s">
        <v>1825</v>
      </c>
      <c r="CF90" s="1680" t="s">
        <v>1733</v>
      </c>
      <c r="CP90" s="1680" t="s">
        <v>1733</v>
      </c>
    </row>
    <row r="91" spans="1:96" ht="13.5" thickBot="1" x14ac:dyDescent="0.25">
      <c r="A91" s="1681" t="s">
        <v>69</v>
      </c>
      <c r="B91" s="1681" t="s">
        <v>65</v>
      </c>
      <c r="C91" s="1682" t="s">
        <v>67</v>
      </c>
      <c r="E91" s="1696" t="s">
        <v>241</v>
      </c>
      <c r="F91" s="1696" t="s">
        <v>268</v>
      </c>
      <c r="G91" s="1696" t="s">
        <v>269</v>
      </c>
      <c r="H91" s="1696" t="s">
        <v>270</v>
      </c>
      <c r="I91" s="1696" t="s">
        <v>271</v>
      </c>
      <c r="J91" s="1696" t="s">
        <v>272</v>
      </c>
      <c r="K91" s="1696" t="s">
        <v>273</v>
      </c>
      <c r="L91" s="1696" t="s">
        <v>274</v>
      </c>
      <c r="M91" s="1696" t="s">
        <v>275</v>
      </c>
      <c r="N91" s="1427"/>
      <c r="O91" s="1696" t="s">
        <v>241</v>
      </c>
      <c r="P91" s="1696" t="s">
        <v>268</v>
      </c>
      <c r="Q91" s="1696" t="s">
        <v>269</v>
      </c>
      <c r="R91" s="1696" t="s">
        <v>270</v>
      </c>
      <c r="S91" s="1696" t="s">
        <v>271</v>
      </c>
      <c r="T91" s="1696" t="s">
        <v>272</v>
      </c>
      <c r="U91" s="1696" t="s">
        <v>273</v>
      </c>
      <c r="V91" s="1696" t="s">
        <v>274</v>
      </c>
      <c r="W91" s="1696" t="s">
        <v>275</v>
      </c>
      <c r="X91" s="1427"/>
      <c r="Y91" s="1696" t="s">
        <v>241</v>
      </c>
      <c r="Z91" s="1696" t="s">
        <v>268</v>
      </c>
      <c r="AA91" s="1696" t="s">
        <v>269</v>
      </c>
      <c r="AB91" s="1696" t="s">
        <v>270</v>
      </c>
      <c r="AC91" s="1696" t="s">
        <v>271</v>
      </c>
      <c r="AD91" s="1696" t="s">
        <v>272</v>
      </c>
      <c r="AE91" s="1696" t="s">
        <v>273</v>
      </c>
      <c r="AF91" s="1696" t="s">
        <v>274</v>
      </c>
      <c r="AG91" s="1696" t="s">
        <v>275</v>
      </c>
      <c r="AH91" s="1427"/>
      <c r="AI91" s="1696" t="s">
        <v>241</v>
      </c>
      <c r="AJ91" s="1696" t="s">
        <v>268</v>
      </c>
      <c r="AK91" s="1696" t="s">
        <v>269</v>
      </c>
      <c r="AL91" s="1696" t="s">
        <v>270</v>
      </c>
      <c r="AM91" s="1696" t="s">
        <v>271</v>
      </c>
      <c r="AN91" s="1696" t="s">
        <v>272</v>
      </c>
      <c r="AO91" s="1696" t="s">
        <v>273</v>
      </c>
      <c r="AP91" s="1696" t="s">
        <v>274</v>
      </c>
      <c r="AQ91" s="1696" t="s">
        <v>275</v>
      </c>
      <c r="AS91" s="1705" t="s">
        <v>1734</v>
      </c>
      <c r="AT91" s="1705" t="s">
        <v>1389</v>
      </c>
      <c r="AU91" s="1427"/>
      <c r="AV91" s="1696" t="s">
        <v>1614</v>
      </c>
      <c r="AW91" s="1688" t="s">
        <v>1472</v>
      </c>
      <c r="AX91" s="1427"/>
      <c r="AY91" s="1696">
        <v>2010</v>
      </c>
      <c r="AZ91" s="1696">
        <v>2015</v>
      </c>
      <c r="BA91" s="1696">
        <v>2020</v>
      </c>
      <c r="BB91" s="1696">
        <v>2025</v>
      </c>
      <c r="BC91" s="1696">
        <v>2030</v>
      </c>
      <c r="BD91" s="1696">
        <v>2035</v>
      </c>
      <c r="BE91" s="1696">
        <v>2040</v>
      </c>
      <c r="BF91" s="1696">
        <v>2045</v>
      </c>
      <c r="BG91" s="1696">
        <v>2050</v>
      </c>
      <c r="BH91" s="1427"/>
      <c r="BI91" s="1696">
        <v>2010</v>
      </c>
      <c r="BJ91" s="1696">
        <v>2015</v>
      </c>
      <c r="BK91" s="1696">
        <v>2020</v>
      </c>
      <c r="BL91" s="1696">
        <v>2025</v>
      </c>
      <c r="BM91" s="1696">
        <v>2030</v>
      </c>
      <c r="BN91" s="1696">
        <v>2035</v>
      </c>
      <c r="BO91" s="1696">
        <v>2040</v>
      </c>
      <c r="BP91" s="1696">
        <v>2045</v>
      </c>
      <c r="BQ91" s="1696">
        <v>2050</v>
      </c>
      <c r="BR91" s="1427"/>
      <c r="BS91" s="1696" t="s">
        <v>241</v>
      </c>
      <c r="BT91" s="1696" t="s">
        <v>268</v>
      </c>
      <c r="BU91" s="1696" t="s">
        <v>269</v>
      </c>
      <c r="BV91" s="1696" t="s">
        <v>270</v>
      </c>
      <c r="BW91" s="1696" t="s">
        <v>271</v>
      </c>
      <c r="BX91" s="1696" t="s">
        <v>272</v>
      </c>
      <c r="BY91" s="1696" t="s">
        <v>273</v>
      </c>
      <c r="BZ91" s="1696" t="s">
        <v>274</v>
      </c>
      <c r="CA91" s="1696" t="s">
        <v>275</v>
      </c>
      <c r="CB91" s="1426"/>
      <c r="CC91" s="1705" t="s">
        <v>1734</v>
      </c>
      <c r="CD91" s="1705" t="s">
        <v>1389</v>
      </c>
      <c r="CF91" s="1696" t="s">
        <v>241</v>
      </c>
      <c r="CG91" s="1696" t="s">
        <v>268</v>
      </c>
      <c r="CH91" s="1696" t="s">
        <v>269</v>
      </c>
      <c r="CI91" s="1696" t="s">
        <v>270</v>
      </c>
      <c r="CJ91" s="1696" t="s">
        <v>271</v>
      </c>
      <c r="CK91" s="1696" t="s">
        <v>272</v>
      </c>
      <c r="CL91" s="1696" t="s">
        <v>273</v>
      </c>
      <c r="CM91" s="1696" t="s">
        <v>274</v>
      </c>
      <c r="CN91" s="1696" t="s">
        <v>275</v>
      </c>
      <c r="CP91" s="1705" t="s">
        <v>1734</v>
      </c>
      <c r="CQ91" s="1705" t="s">
        <v>1389</v>
      </c>
    </row>
    <row r="92" spans="1:96" ht="13.5" thickTop="1" x14ac:dyDescent="0.2">
      <c r="A92" s="1683" t="s">
        <v>288</v>
      </c>
      <c r="B92" s="1683" t="s">
        <v>2403</v>
      </c>
      <c r="C92" s="1683" t="s">
        <v>4</v>
      </c>
      <c r="E92" s="1689">
        <f ca="1">Costs!E92/('Global assumptions'!$C$7*NAIRA2010_*250)</f>
        <v>0</v>
      </c>
      <c r="F92" s="1689">
        <f ca="1">Costs!F92/('Global assumptions'!$C$7*NAIRA2010_*250)</f>
        <v>7.5159051016351128</v>
      </c>
      <c r="G92" s="1689">
        <f ca="1">Costs!G92/('Global assumptions'!$C$7*NAIRA2010_*250)</f>
        <v>17.423828696486268</v>
      </c>
      <c r="H92" s="1689">
        <f ca="1">Costs!H92/('Global assumptions'!$C$7*NAIRA2010_*250)</f>
        <v>16.133053689901111</v>
      </c>
      <c r="I92" s="1689">
        <f ca="1">Costs!I92/('Global assumptions'!$C$7*NAIRA2010_*250)</f>
        <v>18.639444652055083</v>
      </c>
      <c r="J92" s="1689">
        <f ca="1">Costs!J92/('Global assumptions'!$C$7*NAIRA2010_*250)</f>
        <v>26.322006779856885</v>
      </c>
      <c r="K92" s="1689">
        <f ca="1">Costs!K92/('Global assumptions'!$C$7*NAIRA2010_*250)</f>
        <v>30.093030469981631</v>
      </c>
      <c r="L92" s="1689">
        <f ca="1">Costs!L92/('Global assumptions'!$C$7*NAIRA2010_*250)</f>
        <v>33.877125299413571</v>
      </c>
      <c r="M92" s="1689">
        <f ca="1">Costs!M92/('Global assumptions'!$C$7*NAIRA2010_*250)</f>
        <v>37.638345635057931</v>
      </c>
      <c r="N92" s="675"/>
      <c r="O92" s="1689">
        <f ca="1">Costs!O92/('Global assumptions'!$C$7*NAIRA2010_*250)</f>
        <v>7.4966828379480666E-4</v>
      </c>
      <c r="P92" s="1689">
        <f ca="1">Costs!P92/('Global assumptions'!$C$7*NAIRA2010_*250)</f>
        <v>1.9991154234528176E-3</v>
      </c>
      <c r="Q92" s="1689">
        <f ca="1">Costs!Q92/('Global assumptions'!$C$7*NAIRA2010_*250)</f>
        <v>4.8303626419178699E-3</v>
      </c>
      <c r="R92" s="1689">
        <f ca="1">Costs!R92/('Global assumptions'!$C$7*NAIRA2010_*250)</f>
        <v>6.7070322456842038E-3</v>
      </c>
      <c r="S92" s="1689">
        <f ca="1">Costs!S92/('Global assumptions'!$C$7*NAIRA2010_*250)</f>
        <v>8.593697426567801E-3</v>
      </c>
      <c r="T92" s="1689">
        <f ca="1">Costs!T92/('Global assumptions'!$C$7*NAIRA2010_*250)</f>
        <v>1.1477421424898489E-2</v>
      </c>
      <c r="U92" s="1689">
        <f ca="1">Costs!U92/('Global assumptions'!$C$7*NAIRA2010_*250)</f>
        <v>1.436114542322918E-2</v>
      </c>
      <c r="V92" s="1689">
        <f ca="1">Costs!V92/('Global assumptions'!$C$7*NAIRA2010_*250)</f>
        <v>1.7247368315839184E-2</v>
      </c>
      <c r="W92" s="1689">
        <f ca="1">Costs!W92/('Global assumptions'!$C$7*NAIRA2010_*250)</f>
        <v>2.0131092314169874E-2</v>
      </c>
      <c r="X92" s="675"/>
      <c r="Y92" s="1689">
        <f ca="1">Costs!Y92/('Global assumptions'!$C$7*NAIRA2010_*250)</f>
        <v>0</v>
      </c>
      <c r="Z92" s="1689">
        <f ca="1">Costs!Z92/('Global assumptions'!$C$7*NAIRA2010_*250)</f>
        <v>0</v>
      </c>
      <c r="AA92" s="1689">
        <f ca="1">Costs!AA92/('Global assumptions'!$C$7*NAIRA2010_*250)</f>
        <v>0</v>
      </c>
      <c r="AB92" s="1689">
        <f ca="1">Costs!AB92/('Global assumptions'!$C$7*NAIRA2010_*250)</f>
        <v>0</v>
      </c>
      <c r="AC92" s="1689">
        <f ca="1">Costs!AC92/('Global assumptions'!$C$7*NAIRA2010_*250)</f>
        <v>0</v>
      </c>
      <c r="AD92" s="1689">
        <f ca="1">Costs!AD92/('Global assumptions'!$C$7*NAIRA2010_*250)</f>
        <v>0</v>
      </c>
      <c r="AE92" s="1689">
        <f ca="1">Costs!AE92/('Global assumptions'!$C$7*NAIRA2010_*250)</f>
        <v>0</v>
      </c>
      <c r="AF92" s="1689">
        <f ca="1">Costs!AF92/('Global assumptions'!$C$7*NAIRA2010_*250)</f>
        <v>0</v>
      </c>
      <c r="AG92" s="1689">
        <f ca="1">Costs!AG92/('Global assumptions'!$C$7*NAIRA2010_*250)</f>
        <v>0</v>
      </c>
      <c r="AH92" s="675"/>
      <c r="AI92" s="1689">
        <f ca="1">Costs!AI92/('Global assumptions'!$C$7*NAIRA2010_*250)</f>
        <v>7.4966828379480666E-4</v>
      </c>
      <c r="AJ92" s="1689">
        <f ca="1">Costs!AJ92/('Global assumptions'!$C$7*NAIRA2010_*250)</f>
        <v>7.5179042170585655</v>
      </c>
      <c r="AK92" s="1689">
        <f ca="1">Costs!AK92/('Global assumptions'!$C$7*NAIRA2010_*250)</f>
        <v>17.428659059128186</v>
      </c>
      <c r="AL92" s="1689">
        <f ca="1">Costs!AL92/('Global assumptions'!$C$7*NAIRA2010_*250)</f>
        <v>16.139760722146793</v>
      </c>
      <c r="AM92" s="1689">
        <f ca="1">Costs!AM92/('Global assumptions'!$C$7*NAIRA2010_*250)</f>
        <v>18.648038349481652</v>
      </c>
      <c r="AN92" s="1689">
        <f ca="1">Costs!AN92/('Global assumptions'!$C$7*NAIRA2010_*250)</f>
        <v>26.333484201281784</v>
      </c>
      <c r="AO92" s="1689">
        <f ca="1">Costs!AO92/('Global assumptions'!$C$7*NAIRA2010_*250)</f>
        <v>30.107391615404861</v>
      </c>
      <c r="AP92" s="1689">
        <f ca="1">Costs!AP92/('Global assumptions'!$C$7*NAIRA2010_*250)</f>
        <v>33.894372667729414</v>
      </c>
      <c r="AQ92" s="1689">
        <f ca="1">Costs!AQ92/('Global assumptions'!$C$7*NAIRA2010_*250)</f>
        <v>37.658476727372104</v>
      </c>
      <c r="AS92" s="1706">
        <f ca="1">AVERAGE($AI92:$AQ92)</f>
        <v>20.858759691987458</v>
      </c>
      <c r="AT92" s="1706">
        <f t="shared" ref="AT92:AT131" ca="1" si="19">(SUMPRODUCT(AJ92:AQ92,discount_factors)*5)+AI92</f>
        <v>127.3032012443972</v>
      </c>
      <c r="AU92" s="675"/>
      <c r="AV92" s="1699">
        <f>IFERROR(VLOOKUP($A92,Cost.FinanceCostTable,7,FALSE),'Global assumptions'!$D$35)</f>
        <v>0.1</v>
      </c>
      <c r="AW92" s="1690">
        <f>IFERROR(VLOOKUP($A92,Cost.FinanceCostTable,8,FALSE),'Global assumptions'!$E$35)</f>
        <v>20</v>
      </c>
      <c r="AX92" s="675"/>
      <c r="AY92" s="1689">
        <f ca="1">Costs!AY92/('Global assumptions'!$C$7*NAIRA2010_*250)</f>
        <v>0</v>
      </c>
      <c r="AZ92" s="1689">
        <f ca="1">Costs!AZ92/('Global assumptions'!$C$7*NAIRA2010_*250)</f>
        <v>4.4140769653206151</v>
      </c>
      <c r="BA92" s="1689">
        <f ca="1">Costs!BA92/('Global assumptions'!$C$7*NAIRA2010_*250)</f>
        <v>10.232981903951963</v>
      </c>
      <c r="BB92" s="1689">
        <f ca="1">Costs!BB92/('Global assumptions'!$C$7*NAIRA2010_*250)</f>
        <v>9.4749121642555973</v>
      </c>
      <c r="BC92" s="1689">
        <f ca="1">Costs!BC92/('Global assumptions'!$C$7*NAIRA2010_*250)</f>
        <v>10.946910873995128</v>
      </c>
      <c r="BD92" s="1689">
        <f ca="1">Costs!BD92/('Global assumptions'!$C$7*NAIRA2010_*250)</f>
        <v>15.45886519811198</v>
      </c>
      <c r="BE92" s="1689">
        <f ca="1">Costs!BE92/('Global assumptions'!$C$7*NAIRA2010_*250)</f>
        <v>17.67358033636415</v>
      </c>
      <c r="BF92" s="1689">
        <f ca="1">Costs!BF92/('Global assumptions'!$C$7*NAIRA2010_*250)</f>
        <v>19.895972130208182</v>
      </c>
      <c r="BG92" s="1689">
        <f ca="1">Costs!BG92/('Global assumptions'!$C$7*NAIRA2010_*250)</f>
        <v>22.104929776766458</v>
      </c>
      <c r="BH92" s="675"/>
      <c r="BI92" s="1689">
        <f ca="1">Costs!BI92/('Global assumptions'!$C$7*NAIRA2010_*250)</f>
        <v>0</v>
      </c>
      <c r="BJ92" s="1689">
        <f ca="1">Costs!BJ92/('Global assumptions'!$C$7*NAIRA2010_*250)</f>
        <v>4.4140769653206151</v>
      </c>
      <c r="BK92" s="1689">
        <f ca="1">Costs!BK92/('Global assumptions'!$C$7*NAIRA2010_*250)</f>
        <v>14.647058869272579</v>
      </c>
      <c r="BL92" s="1689">
        <f ca="1">Costs!BL92/('Global assumptions'!$C$7*NAIRA2010_*250)</f>
        <v>24.121971033528176</v>
      </c>
      <c r="BM92" s="1689">
        <f ca="1">Costs!BM92/('Global assumptions'!$C$7*NAIRA2010_*250)</f>
        <v>35.068881907523298</v>
      </c>
      <c r="BN92" s="1689">
        <f ca="1">Costs!BN92/('Global assumptions'!$C$7*NAIRA2010_*250)</f>
        <v>46.113670140314667</v>
      </c>
      <c r="BO92" s="1689">
        <f ca="1">Costs!BO92/('Global assumptions'!$C$7*NAIRA2010_*250)</f>
        <v>53.554268572726848</v>
      </c>
      <c r="BP92" s="1689">
        <f ca="1">Costs!BP92/('Global assumptions'!$C$7*NAIRA2010_*250)</f>
        <v>74.922239412674557</v>
      </c>
      <c r="BQ92" s="1689">
        <f ca="1">Costs!BQ92/('Global assumptions'!$C$7*NAIRA2010_*250)</f>
        <v>75.133347441450766</v>
      </c>
      <c r="BR92" s="675"/>
      <c r="BS92" s="1689">
        <f ca="1">Costs!BS92/('Global assumptions'!$C$7*NAIRA2010_*250)</f>
        <v>7.4966828379480666E-4</v>
      </c>
      <c r="BT92" s="1689">
        <f ca="1">Costs!BT92/('Global assumptions'!$C$7*NAIRA2010_*250)</f>
        <v>4.4160760807440678</v>
      </c>
      <c r="BU92" s="1689">
        <f ca="1">Costs!BU92/('Global assumptions'!$C$7*NAIRA2010_*250)</f>
        <v>14.651889231914497</v>
      </c>
      <c r="BV92" s="1689">
        <f ca="1">Costs!BV92/('Global assumptions'!$C$7*NAIRA2010_*250)</f>
        <v>24.128678065773858</v>
      </c>
      <c r="BW92" s="1689">
        <f ca="1">Costs!BW92/('Global assumptions'!$C$7*NAIRA2010_*250)</f>
        <v>35.077475604949868</v>
      </c>
      <c r="BX92" s="1689">
        <f ca="1">Costs!BX92/('Global assumptions'!$C$7*NAIRA2010_*250)</f>
        <v>46.125147561739567</v>
      </c>
      <c r="BY92" s="1689">
        <f ca="1">Costs!BY92/('Global assumptions'!$C$7*NAIRA2010_*250)</f>
        <v>53.568629718150078</v>
      </c>
      <c r="BZ92" s="1689">
        <f ca="1">Costs!BZ92/('Global assumptions'!$C$7*NAIRA2010_*250)</f>
        <v>74.939486780990393</v>
      </c>
      <c r="CA92" s="1689">
        <f ca="1">Costs!CA92/('Global assumptions'!$C$7*NAIRA2010_*250)</f>
        <v>75.15347853376494</v>
      </c>
      <c r="CC92" s="1706">
        <f ca="1">AVERAGE($BS92:$CA92)</f>
        <v>36.451290138479003</v>
      </c>
      <c r="CD92" s="1706">
        <f t="shared" ref="CD92:CD131" ca="1" si="20">(SUMPRODUCT(BT92:CA92,discount_factors)*5)+BS92</f>
        <v>168.08938150430663</v>
      </c>
      <c r="CF92" s="1689">
        <f ca="1">Costs!CF92/('Global assumptions'!$C$7*NAIRA2010_*250)</f>
        <v>0</v>
      </c>
      <c r="CG92" s="1689">
        <f ca="1">Costs!CG92/('Global assumptions'!$C$7*NAIRA2010_*250)</f>
        <v>-3.1018281363144977</v>
      </c>
      <c r="CH92" s="1689">
        <f ca="1">Costs!CH92/('Global assumptions'!$C$7*NAIRA2010_*250)</f>
        <v>-2.7767698272136889</v>
      </c>
      <c r="CI92" s="1689">
        <f ca="1">Costs!CI92/('Global assumptions'!$C$7*NAIRA2010_*250)</f>
        <v>7.9889173436270653</v>
      </c>
      <c r="CJ92" s="1689">
        <f ca="1">Costs!CJ92/('Global assumptions'!$C$7*NAIRA2010_*250)</f>
        <v>16.429437255468216</v>
      </c>
      <c r="CK92" s="1689">
        <f ca="1">Costs!CK92/('Global assumptions'!$C$7*NAIRA2010_*250)</f>
        <v>19.791663360457786</v>
      </c>
      <c r="CL92" s="1689">
        <f ca="1">Costs!CL92/('Global assumptions'!$C$7*NAIRA2010_*250)</f>
        <v>23.461238102745213</v>
      </c>
      <c r="CM92" s="1689">
        <f ca="1">Costs!CM92/('Global assumptions'!$C$7*NAIRA2010_*250)</f>
        <v>41.045114113260986</v>
      </c>
      <c r="CN92" s="1689">
        <f ca="1">Costs!CN92/('Global assumptions'!$C$7*NAIRA2010_*250)</f>
        <v>37.495001806392835</v>
      </c>
      <c r="CP92" s="1706">
        <f ca="1">AVERAGE($CF92:$CN92)</f>
        <v>15.592530446491544</v>
      </c>
      <c r="CQ92" s="1706">
        <f t="shared" ref="CQ92:CQ131" ca="1" si="21">(SUMPRODUCT(CG92:CN92,discount_factors)*5)+CF92</f>
        <v>40.786180259909422</v>
      </c>
      <c r="CR92" s="1426" t="str">
        <f ca="1">IF(ABS(CD92-CQ92-AT92)&lt;1,"ok","err")</f>
        <v>ok</v>
      </c>
    </row>
    <row r="93" spans="1:96" x14ac:dyDescent="0.2">
      <c r="A93" s="1685" t="s">
        <v>352</v>
      </c>
      <c r="B93" s="1685" t="s">
        <v>2411</v>
      </c>
      <c r="C93" s="1685" t="s">
        <v>4</v>
      </c>
      <c r="E93" s="1691">
        <f ca="1">Costs!E93/('Global assumptions'!$C$7*NAIRA2010_*250)</f>
        <v>0</v>
      </c>
      <c r="F93" s="1691">
        <f ca="1">Costs!F93/('Global assumptions'!$C$7*NAIRA2010_*250)</f>
        <v>0</v>
      </c>
      <c r="G93" s="1691">
        <f ca="1">Costs!G93/('Global assumptions'!$C$7*NAIRA2010_*250)</f>
        <v>3.2677848267978753E-2</v>
      </c>
      <c r="H93" s="1691">
        <f ca="1">Costs!H93/('Global assumptions'!$C$7*NAIRA2010_*250)</f>
        <v>4.0847310334973443E-2</v>
      </c>
      <c r="I93" s="1691">
        <f ca="1">Costs!I93/('Global assumptions'!$C$7*NAIRA2010_*250)</f>
        <v>6.5355696535957505E-2</v>
      </c>
      <c r="J93" s="1691">
        <f ca="1">Costs!J93/('Global assumptions'!$C$7*NAIRA2010_*250)</f>
        <v>4.6293618379636567E-2</v>
      </c>
      <c r="K93" s="1691">
        <f ca="1">Costs!K93/('Global assumptions'!$C$7*NAIRA2010_*250)</f>
        <v>4.9016772401968126E-2</v>
      </c>
      <c r="L93" s="1691">
        <f ca="1">Costs!L93/('Global assumptions'!$C$7*NAIRA2010_*250)</f>
        <v>5.7186234468962815E-2</v>
      </c>
      <c r="M93" s="1691">
        <f ca="1">Costs!M93/('Global assumptions'!$C$7*NAIRA2010_*250)</f>
        <v>6.5355696535957505E-2</v>
      </c>
      <c r="N93" s="675"/>
      <c r="O93" s="1691">
        <f ca="1">Costs!O93/('Global assumptions'!$C$7*NAIRA2010_*250)</f>
        <v>0</v>
      </c>
      <c r="P93" s="1691">
        <f ca="1">Costs!P93/('Global assumptions'!$C$7*NAIRA2010_*250)</f>
        <v>0</v>
      </c>
      <c r="Q93" s="1691">
        <f ca="1">Costs!Q93/('Global assumptions'!$C$7*NAIRA2010_*250)</f>
        <v>1.249447139658011E-6</v>
      </c>
      <c r="R93" s="1691">
        <f ca="1">Costs!R93/('Global assumptions'!$C$7*NAIRA2010_*250)</f>
        <v>1.249447139658011E-6</v>
      </c>
      <c r="S93" s="1691">
        <f ca="1">Costs!S93/('Global assumptions'!$C$7*NAIRA2010_*250)</f>
        <v>6.2472356982900552E-7</v>
      </c>
      <c r="T93" s="1691">
        <f ca="1">Costs!T93/('Global assumptions'!$C$7*NAIRA2010_*250)</f>
        <v>1.8741707094870166E-6</v>
      </c>
      <c r="U93" s="1691">
        <f ca="1">Costs!U93/('Global assumptions'!$C$7*NAIRA2010_*250)</f>
        <v>2.4988942793160221E-6</v>
      </c>
      <c r="V93" s="1691">
        <f ca="1">Costs!V93/('Global assumptions'!$C$7*NAIRA2010_*250)</f>
        <v>2.4988942793160221E-6</v>
      </c>
      <c r="W93" s="1691">
        <f ca="1">Costs!W93/('Global assumptions'!$C$7*NAIRA2010_*250)</f>
        <v>2.4988942793160221E-6</v>
      </c>
      <c r="X93" s="675"/>
      <c r="Y93" s="1691">
        <f ca="1">Costs!Y93/('Global assumptions'!$C$7*NAIRA2010_*250)</f>
        <v>0</v>
      </c>
      <c r="Z93" s="1691">
        <f ca="1">Costs!Z93/('Global assumptions'!$C$7*NAIRA2010_*250)</f>
        <v>0</v>
      </c>
      <c r="AA93" s="1691">
        <f ca="1">Costs!AA93/('Global assumptions'!$C$7*NAIRA2010_*250)</f>
        <v>0</v>
      </c>
      <c r="AB93" s="1691">
        <f ca="1">Costs!AB93/('Global assumptions'!$C$7*NAIRA2010_*250)</f>
        <v>0</v>
      </c>
      <c r="AC93" s="1691">
        <f ca="1">Costs!AC93/('Global assumptions'!$C$7*NAIRA2010_*250)</f>
        <v>0</v>
      </c>
      <c r="AD93" s="1691">
        <f ca="1">Costs!AD93/('Global assumptions'!$C$7*NAIRA2010_*250)</f>
        <v>0</v>
      </c>
      <c r="AE93" s="1691">
        <f ca="1">Costs!AE93/('Global assumptions'!$C$7*NAIRA2010_*250)</f>
        <v>0</v>
      </c>
      <c r="AF93" s="1691">
        <f ca="1">Costs!AF93/('Global assumptions'!$C$7*NAIRA2010_*250)</f>
        <v>0</v>
      </c>
      <c r="AG93" s="1691">
        <f ca="1">Costs!AG93/('Global assumptions'!$C$7*NAIRA2010_*250)</f>
        <v>0</v>
      </c>
      <c r="AH93" s="675"/>
      <c r="AI93" s="1691">
        <f ca="1">Costs!AI93/('Global assumptions'!$C$7*NAIRA2010_*250)</f>
        <v>0</v>
      </c>
      <c r="AJ93" s="1691">
        <f ca="1">Costs!AJ93/('Global assumptions'!$C$7*NAIRA2010_*250)</f>
        <v>0</v>
      </c>
      <c r="AK93" s="1691">
        <f ca="1">Costs!AK93/('Global assumptions'!$C$7*NAIRA2010_*250)</f>
        <v>3.2679097715118413E-2</v>
      </c>
      <c r="AL93" s="1691">
        <f ca="1">Costs!AL93/('Global assumptions'!$C$7*NAIRA2010_*250)</f>
        <v>4.0848559782113096E-2</v>
      </c>
      <c r="AM93" s="1691">
        <f ca="1">Costs!AM93/('Global assumptions'!$C$7*NAIRA2010_*250)</f>
        <v>6.5356321259527339E-2</v>
      </c>
      <c r="AN93" s="1691">
        <f ca="1">Costs!AN93/('Global assumptions'!$C$7*NAIRA2010_*250)</f>
        <v>4.6295492550346054E-2</v>
      </c>
      <c r="AO93" s="1691">
        <f ca="1">Costs!AO93/('Global assumptions'!$C$7*NAIRA2010_*250)</f>
        <v>4.9019271296247446E-2</v>
      </c>
      <c r="AP93" s="1691">
        <f ca="1">Costs!AP93/('Global assumptions'!$C$7*NAIRA2010_*250)</f>
        <v>5.7188733363242129E-2</v>
      </c>
      <c r="AQ93" s="1691">
        <f ca="1">Costs!AQ93/('Global assumptions'!$C$7*NAIRA2010_*250)</f>
        <v>6.5358195430236826E-2</v>
      </c>
      <c r="AS93" s="1707">
        <f t="shared" ref="AS93:AS131" ca="1" si="22">AVERAGE($AI93:$AQ93)</f>
        <v>3.9638407932981262E-2</v>
      </c>
      <c r="AT93" s="1707">
        <f t="shared" ca="1" si="19"/>
        <v>0.22394561645088465</v>
      </c>
      <c r="AU93" s="675"/>
      <c r="AV93" s="1699">
        <f>IFERROR(VLOOKUP($A93,Cost.FinanceCostTable,7,FALSE),'Global assumptions'!$D$35)</f>
        <v>0.1</v>
      </c>
      <c r="AW93" s="1690">
        <f>IFERROR(VLOOKUP($A93,Cost.FinanceCostTable,8,FALSE),'Global assumptions'!$E$35)</f>
        <v>30</v>
      </c>
      <c r="AX93" s="675"/>
      <c r="AY93" s="1691">
        <f ca="1">Costs!AY93/('Global assumptions'!$C$7*NAIRA2010_*250)</f>
        <v>0</v>
      </c>
      <c r="AZ93" s="1691">
        <f ca="1">Costs!AZ93/('Global assumptions'!$C$7*NAIRA2010_*250)</f>
        <v>0</v>
      </c>
      <c r="BA93" s="1691">
        <f ca="1">Costs!BA93/('Global assumptions'!$C$7*NAIRA2010_*250)</f>
        <v>1.7332207893904109E-2</v>
      </c>
      <c r="BB93" s="1691">
        <f ca="1">Costs!BB93/('Global assumptions'!$C$7*NAIRA2010_*250)</f>
        <v>2.1665259867380136E-2</v>
      </c>
      <c r="BC93" s="1691">
        <f ca="1">Costs!BC93/('Global assumptions'!$C$7*NAIRA2010_*250)</f>
        <v>3.4664415787808218E-2</v>
      </c>
      <c r="BD93" s="1691">
        <f ca="1">Costs!BD93/('Global assumptions'!$C$7*NAIRA2010_*250)</f>
        <v>2.4553961183030815E-2</v>
      </c>
      <c r="BE93" s="1691">
        <f ca="1">Costs!BE93/('Global assumptions'!$C$7*NAIRA2010_*250)</f>
        <v>2.5998311840856166E-2</v>
      </c>
      <c r="BF93" s="1691">
        <f ca="1">Costs!BF93/('Global assumptions'!$C$7*NAIRA2010_*250)</f>
        <v>3.0331363814332185E-2</v>
      </c>
      <c r="BG93" s="1691">
        <f ca="1">Costs!BG93/('Global assumptions'!$C$7*NAIRA2010_*250)</f>
        <v>3.4664415787808218E-2</v>
      </c>
      <c r="BH93" s="675"/>
      <c r="BI93" s="1691">
        <f ca="1">Costs!BI93/('Global assumptions'!$C$7*NAIRA2010_*250)</f>
        <v>0</v>
      </c>
      <c r="BJ93" s="1691">
        <f ca="1">Costs!BJ93/('Global assumptions'!$C$7*NAIRA2010_*250)</f>
        <v>0</v>
      </c>
      <c r="BK93" s="1691">
        <f ca="1">Costs!BK93/('Global assumptions'!$C$7*NAIRA2010_*250)</f>
        <v>1.7332207893904109E-2</v>
      </c>
      <c r="BL93" s="1691">
        <f ca="1">Costs!BL93/('Global assumptions'!$C$7*NAIRA2010_*250)</f>
        <v>3.8997467761284238E-2</v>
      </c>
      <c r="BM93" s="1691">
        <f ca="1">Costs!BM93/('Global assumptions'!$C$7*NAIRA2010_*250)</f>
        <v>7.3661883549092463E-2</v>
      </c>
      <c r="BN93" s="1691">
        <f ca="1">Costs!BN93/('Global assumptions'!$C$7*NAIRA2010_*250)</f>
        <v>9.8215844732123275E-2</v>
      </c>
      <c r="BO93" s="1691">
        <f ca="1">Costs!BO93/('Global assumptions'!$C$7*NAIRA2010_*250)</f>
        <v>0.12421415657297943</v>
      </c>
      <c r="BP93" s="1691">
        <f ca="1">Costs!BP93/('Global assumptions'!$C$7*NAIRA2010_*250)</f>
        <v>0.18920993617511983</v>
      </c>
      <c r="BQ93" s="1691">
        <f ca="1">Costs!BQ93/('Global assumptions'!$C$7*NAIRA2010_*250)</f>
        <v>0.20654214406902396</v>
      </c>
      <c r="BR93" s="675"/>
      <c r="BS93" s="1691">
        <f ca="1">Costs!BS93/('Global assumptions'!$C$7*NAIRA2010_*250)</f>
        <v>0</v>
      </c>
      <c r="BT93" s="1691">
        <f ca="1">Costs!BT93/('Global assumptions'!$C$7*NAIRA2010_*250)</f>
        <v>0</v>
      </c>
      <c r="BU93" s="1691">
        <f ca="1">Costs!BU93/('Global assumptions'!$C$7*NAIRA2010_*250)</f>
        <v>1.7333457341043766E-2</v>
      </c>
      <c r="BV93" s="1691">
        <f ca="1">Costs!BV93/('Global assumptions'!$C$7*NAIRA2010_*250)</f>
        <v>3.8998717208423898E-2</v>
      </c>
      <c r="BW93" s="1691">
        <f ca="1">Costs!BW93/('Global assumptions'!$C$7*NAIRA2010_*250)</f>
        <v>7.3662508272662283E-2</v>
      </c>
      <c r="BX93" s="1691">
        <f ca="1">Costs!BX93/('Global assumptions'!$C$7*NAIRA2010_*250)</f>
        <v>9.8217718902832762E-2</v>
      </c>
      <c r="BY93" s="1691">
        <f ca="1">Costs!BY93/('Global assumptions'!$C$7*NAIRA2010_*250)</f>
        <v>0.12421665546725875</v>
      </c>
      <c r="BZ93" s="1691">
        <f ca="1">Costs!BZ93/('Global assumptions'!$C$7*NAIRA2010_*250)</f>
        <v>0.18921243506939914</v>
      </c>
      <c r="CA93" s="1691">
        <f ca="1">Costs!CA93/('Global assumptions'!$C$7*NAIRA2010_*250)</f>
        <v>0.20654464296330327</v>
      </c>
      <c r="CC93" s="1707">
        <f t="shared" ref="CC93:CC131" ca="1" si="23">AVERAGE($BS93:$CA93)</f>
        <v>8.3131792802769333E-2</v>
      </c>
      <c r="CD93" s="1707">
        <f t="shared" ca="1" si="20"/>
        <v>0.30656692616642206</v>
      </c>
      <c r="CF93" s="1691">
        <f ca="1">Costs!CF93/('Global assumptions'!$C$7*NAIRA2010_*250)</f>
        <v>0</v>
      </c>
      <c r="CG93" s="1691">
        <f ca="1">Costs!CG93/('Global assumptions'!$C$7*NAIRA2010_*250)</f>
        <v>0</v>
      </c>
      <c r="CH93" s="1691">
        <f ca="1">Costs!CH93/('Global assumptions'!$C$7*NAIRA2010_*250)</f>
        <v>-1.5345640374074642E-2</v>
      </c>
      <c r="CI93" s="1691">
        <f ca="1">Costs!CI93/('Global assumptions'!$C$7*NAIRA2010_*250)</f>
        <v>-1.8498425736891994E-3</v>
      </c>
      <c r="CJ93" s="1691">
        <f ca="1">Costs!CJ93/('Global assumptions'!$C$7*NAIRA2010_*250)</f>
        <v>8.3061870131349563E-3</v>
      </c>
      <c r="CK93" s="1691">
        <f ca="1">Costs!CK93/('Global assumptions'!$C$7*NAIRA2010_*250)</f>
        <v>5.1922226352486708E-2</v>
      </c>
      <c r="CL93" s="1691">
        <f ca="1">Costs!CL93/('Global assumptions'!$C$7*NAIRA2010_*250)</f>
        <v>7.5197384171011308E-2</v>
      </c>
      <c r="CM93" s="1691">
        <f ca="1">Costs!CM93/('Global assumptions'!$C$7*NAIRA2010_*250)</f>
        <v>0.13202370170615702</v>
      </c>
      <c r="CN93" s="1691">
        <f ca="1">Costs!CN93/('Global assumptions'!$C$7*NAIRA2010_*250)</f>
        <v>0.14118644753306644</v>
      </c>
      <c r="CP93" s="1707">
        <f t="shared" ref="CP93:CP131" ca="1" si="24">AVERAGE($CF93:$CN93)</f>
        <v>4.3493384869788071E-2</v>
      </c>
      <c r="CQ93" s="1707">
        <f t="shared" ca="1" si="21"/>
        <v>8.2621309715537397E-2</v>
      </c>
      <c r="CR93" s="1426" t="str">
        <f t="shared" ref="CR93:CR132" ca="1" si="25">IF(ABS(CD93-CQ93-AT93)&lt;1,"ok","err")</f>
        <v>ok</v>
      </c>
    </row>
    <row r="94" spans="1:96" x14ac:dyDescent="0.2">
      <c r="A94" s="1685" t="s">
        <v>2146</v>
      </c>
      <c r="B94" s="1685" t="s">
        <v>2585</v>
      </c>
      <c r="C94" s="1685" t="s">
        <v>4</v>
      </c>
      <c r="D94" s="2370"/>
      <c r="E94" s="1691">
        <f ca="1">Costs!E94/('Global assumptions'!$C$7*NAIRA2010_*250)</f>
        <v>0</v>
      </c>
      <c r="F94" s="1691">
        <f ca="1">Costs!F94/('Global assumptions'!$C$7*NAIRA2010_*250)</f>
        <v>0</v>
      </c>
      <c r="G94" s="1691">
        <f ca="1">Costs!G94/('Global assumptions'!$C$7*NAIRA2010_*250)</f>
        <v>0</v>
      </c>
      <c r="H94" s="1691">
        <f ca="1">Costs!H94/('Global assumptions'!$C$7*NAIRA2010_*250)</f>
        <v>8.3040179128040119</v>
      </c>
      <c r="I94" s="1691">
        <f ca="1">Costs!I94/('Global assumptions'!$C$7*NAIRA2010_*250)</f>
        <v>25.119654186232136</v>
      </c>
      <c r="J94" s="1691">
        <f ca="1">Costs!J94/('Global assumptions'!$C$7*NAIRA2010_*250)</f>
        <v>47.332902102982878</v>
      </c>
      <c r="K94" s="1691">
        <f ca="1">Costs!K94/('Global assumptions'!$C$7*NAIRA2010_*250)</f>
        <v>69.753750467553715</v>
      </c>
      <c r="L94" s="1691">
        <f ca="1">Costs!L94/('Global assumptions'!$C$7*NAIRA2010_*250)</f>
        <v>91.966998384304432</v>
      </c>
      <c r="M94" s="1691">
        <f ca="1">Costs!M94/('Global assumptions'!$C$7*NAIRA2010_*250)</f>
        <v>114.18024630105516</v>
      </c>
      <c r="N94" s="675"/>
      <c r="O94" s="1691">
        <f ca="1">Costs!O94/('Global assumptions'!$C$7*NAIRA2010_*250)</f>
        <v>0</v>
      </c>
      <c r="P94" s="1691">
        <f ca="1">Costs!P94/('Global assumptions'!$C$7*NAIRA2010_*250)</f>
        <v>0</v>
      </c>
      <c r="Q94" s="1691">
        <f ca="1">Costs!Q94/('Global assumptions'!$C$7*NAIRA2010_*250)</f>
        <v>0</v>
      </c>
      <c r="R94" s="1691">
        <f ca="1">Costs!R94/('Global assumptions'!$C$7*NAIRA2010_*250)</f>
        <v>5.6385306815335883E-4</v>
      </c>
      <c r="S94" s="1691">
        <f ca="1">Costs!S94/('Global assumptions'!$C$7*NAIRA2010_*250)</f>
        <v>1.7056555311639105E-3</v>
      </c>
      <c r="T94" s="1691">
        <f ca="1">Costs!T94/('Global assumptions'!$C$7*NAIRA2010_*250)</f>
        <v>3.2139624884741456E-3</v>
      </c>
      <c r="U94" s="1691">
        <f ca="1">Costs!U94/('Global assumptions'!$C$7*NAIRA2010_*250)</f>
        <v>4.7363657724882142E-3</v>
      </c>
      <c r="V94" s="1691">
        <f ca="1">Costs!V94/('Global assumptions'!$C$7*NAIRA2010_*250)</f>
        <v>6.2446727297984488E-3</v>
      </c>
      <c r="W94" s="1691">
        <f ca="1">Costs!W94/('Global assumptions'!$C$7*NAIRA2010_*250)</f>
        <v>7.7529796871086843E-3</v>
      </c>
      <c r="X94" s="675"/>
      <c r="Y94" s="1691">
        <f ca="1">Costs!Y94/('Global assumptions'!$C$7*NAIRA2010_*250)</f>
        <v>0</v>
      </c>
      <c r="Z94" s="1691">
        <f ca="1">Costs!Z94/('Global assumptions'!$C$7*NAIRA2010_*250)</f>
        <v>0</v>
      </c>
      <c r="AA94" s="1691">
        <f ca="1">Costs!AA94/('Global assumptions'!$C$7*NAIRA2010_*250)</f>
        <v>0</v>
      </c>
      <c r="AB94" s="1691">
        <f ca="1">Costs!AB94/('Global assumptions'!$C$7*NAIRA2010_*250)</f>
        <v>0</v>
      </c>
      <c r="AC94" s="1691">
        <f ca="1">Costs!AC94/('Global assumptions'!$C$7*NAIRA2010_*250)</f>
        <v>0</v>
      </c>
      <c r="AD94" s="1691">
        <f ca="1">Costs!AD94/('Global assumptions'!$C$7*NAIRA2010_*250)</f>
        <v>0</v>
      </c>
      <c r="AE94" s="1691">
        <f ca="1">Costs!AE94/('Global assumptions'!$C$7*NAIRA2010_*250)</f>
        <v>0</v>
      </c>
      <c r="AF94" s="1691">
        <f ca="1">Costs!AF94/('Global assumptions'!$C$7*NAIRA2010_*250)</f>
        <v>0</v>
      </c>
      <c r="AG94" s="1691">
        <f ca="1">Costs!AG94/('Global assumptions'!$C$7*NAIRA2010_*250)</f>
        <v>0</v>
      </c>
      <c r="AH94" s="675"/>
      <c r="AI94" s="1691">
        <f ca="1">Costs!AI94/('Global assumptions'!$C$7*NAIRA2010_*250)</f>
        <v>0</v>
      </c>
      <c r="AJ94" s="1691">
        <f ca="1">Costs!AJ94/('Global assumptions'!$C$7*NAIRA2010_*250)</f>
        <v>0</v>
      </c>
      <c r="AK94" s="1691">
        <f ca="1">Costs!AK94/('Global assumptions'!$C$7*NAIRA2010_*250)</f>
        <v>0</v>
      </c>
      <c r="AL94" s="1691">
        <f ca="1">Costs!AL94/('Global assumptions'!$C$7*NAIRA2010_*250)</f>
        <v>8.3045817658721663</v>
      </c>
      <c r="AM94" s="1691">
        <f ca="1">Costs!AM94/('Global assumptions'!$C$7*NAIRA2010_*250)</f>
        <v>25.121359841763301</v>
      </c>
      <c r="AN94" s="1691">
        <f ca="1">Costs!AN94/('Global assumptions'!$C$7*NAIRA2010_*250)</f>
        <v>47.336116065471352</v>
      </c>
      <c r="AO94" s="1691">
        <f ca="1">Costs!AO94/('Global assumptions'!$C$7*NAIRA2010_*250)</f>
        <v>69.758486833326202</v>
      </c>
      <c r="AP94" s="1691">
        <f ca="1">Costs!AP94/('Global assumptions'!$C$7*NAIRA2010_*250)</f>
        <v>91.973243057034239</v>
      </c>
      <c r="AQ94" s="1691">
        <f ca="1">Costs!AQ94/('Global assumptions'!$C$7*NAIRA2010_*250)</f>
        <v>114.18799928074228</v>
      </c>
      <c r="AR94" s="2370"/>
      <c r="AS94" s="1707">
        <f t="shared" ca="1" si="22"/>
        <v>39.631309649356616</v>
      </c>
      <c r="AT94" s="1707">
        <f t="shared" ref="AT94:AT101" ca="1" si="26">(SUMPRODUCT(AJ94:AQ94,discount_factors)*5)+AI94</f>
        <v>117.52435076640498</v>
      </c>
      <c r="AU94" s="675"/>
      <c r="AV94" s="1699">
        <f>IFERROR(VLOOKUP($A94,Cost.FinanceCostTable,7,FALSE),'Global assumptions'!$D$35)</f>
        <v>0</v>
      </c>
      <c r="AW94" s="1690">
        <f>IFERROR(VLOOKUP($A94,Cost.FinanceCostTable,8,FALSE),'Global assumptions'!$E$35)</f>
        <v>5</v>
      </c>
      <c r="AX94" s="675"/>
      <c r="AY94" s="1691">
        <f ca="1">Costs!AY94/('Global assumptions'!$C$7*NAIRA2010_*250)</f>
        <v>0</v>
      </c>
      <c r="AZ94" s="1691">
        <f ca="1">Costs!AZ94/('Global assumptions'!$C$7*NAIRA2010_*250)</f>
        <v>0</v>
      </c>
      <c r="BA94" s="1691">
        <f ca="1">Costs!BA94/('Global assumptions'!$C$7*NAIRA2010_*250)</f>
        <v>0</v>
      </c>
      <c r="BB94" s="1691">
        <f ca="1">Costs!BB94/('Global assumptions'!$C$7*NAIRA2010_*250)</f>
        <v>5.4588029916836849</v>
      </c>
      <c r="BC94" s="1691">
        <f ca="1">Costs!BC94/('Global assumptions'!$C$7*NAIRA2010_*250)</f>
        <v>16.51287904984315</v>
      </c>
      <c r="BD94" s="1691">
        <f ca="1">Costs!BD94/('Global assumptions'!$C$7*NAIRA2010_*250)</f>
        <v>31.115177052597012</v>
      </c>
      <c r="BE94" s="1691">
        <f ca="1">Costs!BE94/('Global assumptions'!$C$7*NAIRA2010_*250)</f>
        <v>45.853945130142961</v>
      </c>
      <c r="BF94" s="1691">
        <f ca="1">Costs!BF94/('Global assumptions'!$C$7*NAIRA2010_*250)</f>
        <v>60.456243132896809</v>
      </c>
      <c r="BG94" s="1691">
        <f ca="1">Costs!BG94/('Global assumptions'!$C$7*NAIRA2010_*250)</f>
        <v>75.058541135650685</v>
      </c>
      <c r="BH94" s="675"/>
      <c r="BI94" s="1691">
        <f ca="1">Costs!BI94/('Global assumptions'!$C$7*NAIRA2010_*250)</f>
        <v>0</v>
      </c>
      <c r="BJ94" s="1691">
        <f ca="1">Costs!BJ94/('Global assumptions'!$C$7*NAIRA2010_*250)</f>
        <v>0</v>
      </c>
      <c r="BK94" s="1691">
        <f ca="1">Costs!BK94/('Global assumptions'!$C$7*NAIRA2010_*250)</f>
        <v>0</v>
      </c>
      <c r="BL94" s="1691">
        <f ca="1">Costs!BL94/('Global assumptions'!$C$7*NAIRA2010_*250)</f>
        <v>5.4588029916836849</v>
      </c>
      <c r="BM94" s="1691">
        <f ca="1">Costs!BM94/('Global assumptions'!$C$7*NAIRA2010_*250)</f>
        <v>21.971682041526833</v>
      </c>
      <c r="BN94" s="1691">
        <f ca="1">Costs!BN94/('Global assumptions'!$C$7*NAIRA2010_*250)</f>
        <v>53.086859094123845</v>
      </c>
      <c r="BO94" s="1691">
        <f ca="1">Costs!BO94/('Global assumptions'!$C$7*NAIRA2010_*250)</f>
        <v>93.482001232583116</v>
      </c>
      <c r="BP94" s="1691">
        <f ca="1">Costs!BP94/('Global assumptions'!$C$7*NAIRA2010_*250)</f>
        <v>137.42536531563678</v>
      </c>
      <c r="BQ94" s="1691">
        <f ca="1">Costs!BQ94/('Global assumptions'!$C$7*NAIRA2010_*250)</f>
        <v>181.36872939869048</v>
      </c>
      <c r="BR94" s="675"/>
      <c r="BS94" s="1691">
        <f ca="1">Costs!BS94/('Global assumptions'!$C$7*NAIRA2010_*250)</f>
        <v>0</v>
      </c>
      <c r="BT94" s="1691">
        <f ca="1">Costs!BT94/('Global assumptions'!$C$7*NAIRA2010_*250)</f>
        <v>0</v>
      </c>
      <c r="BU94" s="1691">
        <f ca="1">Costs!BU94/('Global assumptions'!$C$7*NAIRA2010_*250)</f>
        <v>0</v>
      </c>
      <c r="BV94" s="1691">
        <f ca="1">Costs!BV94/('Global assumptions'!$C$7*NAIRA2010_*250)</f>
        <v>5.4593668447518384</v>
      </c>
      <c r="BW94" s="1691">
        <f ca="1">Costs!BW94/('Global assumptions'!$C$7*NAIRA2010_*250)</f>
        <v>21.973387697057998</v>
      </c>
      <c r="BX94" s="1691">
        <f ca="1">Costs!BX94/('Global assumptions'!$C$7*NAIRA2010_*250)</f>
        <v>53.090073056612319</v>
      </c>
      <c r="BY94" s="1691">
        <f ca="1">Costs!BY94/('Global assumptions'!$C$7*NAIRA2010_*250)</f>
        <v>93.486737598355603</v>
      </c>
      <c r="BZ94" s="1691">
        <f ca="1">Costs!BZ94/('Global assumptions'!$C$7*NAIRA2010_*250)</f>
        <v>137.4316099883666</v>
      </c>
      <c r="CA94" s="1691">
        <f ca="1">Costs!CA94/('Global assumptions'!$C$7*NAIRA2010_*250)</f>
        <v>181.37648237837757</v>
      </c>
      <c r="CB94" s="2370"/>
      <c r="CC94" s="1707">
        <f t="shared" ca="1" si="23"/>
        <v>54.757517507057997</v>
      </c>
      <c r="CD94" s="1707">
        <f t="shared" ref="CD94:CD101" ca="1" si="27">(SUMPRODUCT(BT94:CA94,discount_factors)*5)+BS94</f>
        <v>146.79532082364767</v>
      </c>
      <c r="CE94" s="2370"/>
      <c r="CF94" s="1691">
        <f ca="1">Costs!CF94/('Global assumptions'!$C$7*NAIRA2010_*250)</f>
        <v>0</v>
      </c>
      <c r="CG94" s="1691">
        <f ca="1">Costs!CG94/('Global assumptions'!$C$7*NAIRA2010_*250)</f>
        <v>0</v>
      </c>
      <c r="CH94" s="1691">
        <f ca="1">Costs!CH94/('Global assumptions'!$C$7*NAIRA2010_*250)</f>
        <v>0</v>
      </c>
      <c r="CI94" s="1691">
        <f ca="1">Costs!CI94/('Global assumptions'!$C$7*NAIRA2010_*250)</f>
        <v>-2.845214921120327</v>
      </c>
      <c r="CJ94" s="1691">
        <f ca="1">Costs!CJ94/('Global assumptions'!$C$7*NAIRA2010_*250)</f>
        <v>-3.1479721447053031</v>
      </c>
      <c r="CK94" s="1691">
        <f ca="1">Costs!CK94/('Global assumptions'!$C$7*NAIRA2010_*250)</f>
        <v>5.7539569911409707</v>
      </c>
      <c r="CL94" s="1691">
        <f ca="1">Costs!CL94/('Global assumptions'!$C$7*NAIRA2010_*250)</f>
        <v>23.728250765029394</v>
      </c>
      <c r="CM94" s="1691">
        <f ca="1">Costs!CM94/('Global assumptions'!$C$7*NAIRA2010_*250)</f>
        <v>45.458366931332357</v>
      </c>
      <c r="CN94" s="1691">
        <f ca="1">Costs!CN94/('Global assumptions'!$C$7*NAIRA2010_*250)</f>
        <v>67.188483097635299</v>
      </c>
      <c r="CO94" s="2370"/>
      <c r="CP94" s="1707">
        <f t="shared" ca="1" si="24"/>
        <v>15.126207857701376</v>
      </c>
      <c r="CQ94" s="1707">
        <f t="shared" ref="CQ94:CQ101" ca="1" si="28">(SUMPRODUCT(CG94:CN94,discount_factors)*5)+CF94</f>
        <v>29.270970057242653</v>
      </c>
      <c r="CR94" s="1426" t="str">
        <f ca="1">IF(ABS(CD94-CQ94-AT94)&lt;1,"ok","err")</f>
        <v>ok</v>
      </c>
    </row>
    <row r="95" spans="1:96" x14ac:dyDescent="0.2">
      <c r="A95" s="1683" t="s">
        <v>297</v>
      </c>
      <c r="B95" s="1683" t="s">
        <v>796</v>
      </c>
      <c r="C95" s="1683" t="s">
        <v>4</v>
      </c>
      <c r="E95" s="1689">
        <f ca="1">Costs!E95/('Global assumptions'!$C$7*NAIRA2010_*250)</f>
        <v>0</v>
      </c>
      <c r="F95" s="1689">
        <f ca="1">Costs!F95/('Global assumptions'!$C$7*NAIRA2010_*250)</f>
        <v>0</v>
      </c>
      <c r="G95" s="1689">
        <f ca="1">Costs!G95/('Global assumptions'!$C$7*NAIRA2010_*250)</f>
        <v>0</v>
      </c>
      <c r="H95" s="1689">
        <f ca="1">Costs!H95/('Global assumptions'!$C$7*NAIRA2010_*250)</f>
        <v>15.377810949637059</v>
      </c>
      <c r="I95" s="1689">
        <f ca="1">Costs!I95/('Global assumptions'!$C$7*NAIRA2010_*250)</f>
        <v>13.840029854673352</v>
      </c>
      <c r="J95" s="1689">
        <f ca="1">Costs!J95/('Global assumptions'!$C$7*NAIRA2010_*250)</f>
        <v>27.680059709346711</v>
      </c>
      <c r="K95" s="1689">
        <f ca="1">Costs!K95/('Global assumptions'!$C$7*NAIRA2010_*250)</f>
        <v>52.284557228765998</v>
      </c>
      <c r="L95" s="1689">
        <f ca="1">Costs!L95/('Global assumptions'!$C$7*NAIRA2010_*250)</f>
        <v>101.4935522676046</v>
      </c>
      <c r="M95" s="1689">
        <f ca="1">Costs!M95/('Global assumptions'!$C$7*NAIRA2010_*250)</f>
        <v>196.83598015535438</v>
      </c>
      <c r="N95" s="675"/>
      <c r="O95" s="1689">
        <f ca="1">Costs!O95/('Global assumptions'!$C$7*NAIRA2010_*250)</f>
        <v>0</v>
      </c>
      <c r="P95" s="1689">
        <f ca="1">Costs!P95/('Global assumptions'!$C$7*NAIRA2010_*250)</f>
        <v>0</v>
      </c>
      <c r="Q95" s="1689">
        <f ca="1">Costs!Q95/('Global assumptions'!$C$7*NAIRA2010_*250)</f>
        <v>0</v>
      </c>
      <c r="R95" s="1689">
        <f ca="1">Costs!R95/('Global assumptions'!$C$7*NAIRA2010_*250)</f>
        <v>0.12368373346793089</v>
      </c>
      <c r="S95" s="1689">
        <f ca="1">Costs!S95/('Global assumptions'!$C$7*NAIRA2010_*250)</f>
        <v>0.23499909358906865</v>
      </c>
      <c r="T95" s="1689">
        <f ca="1">Costs!T95/('Global assumptions'!$C$7*NAIRA2010_*250)</f>
        <v>0.45762981383134432</v>
      </c>
      <c r="U95" s="1689">
        <f ca="1">Costs!U95/('Global assumptions'!$C$7*NAIRA2010_*250)</f>
        <v>0.8781545076223094</v>
      </c>
      <c r="V95" s="1689">
        <f ca="1">Costs!V95/('Global assumptions'!$C$7*NAIRA2010_*250)</f>
        <v>1.6944671485106533</v>
      </c>
      <c r="W95" s="1689">
        <f ca="1">Costs!W95/('Global assumptions'!$C$7*NAIRA2010_*250)</f>
        <v>3.2776189369001685</v>
      </c>
      <c r="X95" s="675"/>
      <c r="Y95" s="1689">
        <f ca="1">Costs!Y95/('Global assumptions'!$C$7*NAIRA2010_*250)</f>
        <v>0</v>
      </c>
      <c r="Z95" s="1689">
        <f ca="1">Costs!Z95/('Global assumptions'!$C$7*NAIRA2010_*250)</f>
        <v>0</v>
      </c>
      <c r="AA95" s="1689">
        <f ca="1">Costs!AA95/('Global assumptions'!$C$7*NAIRA2010_*250)</f>
        <v>0</v>
      </c>
      <c r="AB95" s="1689">
        <f ca="1">Costs!AB95/('Global assumptions'!$C$7*NAIRA2010_*250)</f>
        <v>1.2356839988580861</v>
      </c>
      <c r="AC95" s="1689">
        <f ca="1">Costs!AC95/('Global assumptions'!$C$7*NAIRA2010_*250)</f>
        <v>2.3477995978303632</v>
      </c>
      <c r="AD95" s="1689">
        <f ca="1">Costs!AD95/('Global assumptions'!$C$7*NAIRA2010_*250)</f>
        <v>4.5720307957749196</v>
      </c>
      <c r="AE95" s="1689">
        <f ca="1">Costs!AE95/('Global assumptions'!$C$7*NAIRA2010_*250)</f>
        <v>8.7733563918924116</v>
      </c>
      <c r="AF95" s="1689">
        <f ca="1">Costs!AF95/('Global assumptions'!$C$7*NAIRA2010_*250)</f>
        <v>16.92887078435578</v>
      </c>
      <c r="AG95" s="1689">
        <f ca="1">Costs!AG95/('Global assumptions'!$C$7*NAIRA2010_*250)</f>
        <v>32.745625969739287</v>
      </c>
      <c r="AH95" s="675"/>
      <c r="AI95" s="1689">
        <f ca="1">Costs!AI95/('Global assumptions'!$C$7*NAIRA2010_*250)</f>
        <v>0</v>
      </c>
      <c r="AJ95" s="1689">
        <f ca="1">Costs!AJ95/('Global assumptions'!$C$7*NAIRA2010_*250)</f>
        <v>0</v>
      </c>
      <c r="AK95" s="1689">
        <f ca="1">Costs!AK95/('Global assumptions'!$C$7*NAIRA2010_*250)</f>
        <v>0</v>
      </c>
      <c r="AL95" s="1689">
        <f ca="1">Costs!AL95/('Global assumptions'!$C$7*NAIRA2010_*250)</f>
        <v>16.737178681963076</v>
      </c>
      <c r="AM95" s="1689">
        <f ca="1">Costs!AM95/('Global assumptions'!$C$7*NAIRA2010_*250)</f>
        <v>16.422828546092784</v>
      </c>
      <c r="AN95" s="1689">
        <f ca="1">Costs!AN95/('Global assumptions'!$C$7*NAIRA2010_*250)</f>
        <v>32.709720318952975</v>
      </c>
      <c r="AO95" s="1689">
        <f ca="1">Costs!AO95/('Global assumptions'!$C$7*NAIRA2010_*250)</f>
        <v>61.936068128280723</v>
      </c>
      <c r="AP95" s="1689">
        <f ca="1">Costs!AP95/('Global assumptions'!$C$7*NAIRA2010_*250)</f>
        <v>120.11689020047102</v>
      </c>
      <c r="AQ95" s="1689">
        <f ca="1">Costs!AQ95/('Global assumptions'!$C$7*NAIRA2010_*250)</f>
        <v>232.85922506199381</v>
      </c>
      <c r="AS95" s="1706">
        <f t="shared" ca="1" si="22"/>
        <v>53.420212326417158</v>
      </c>
      <c r="AT95" s="1706">
        <f t="shared" ca="1" si="26"/>
        <v>144.42052105682501</v>
      </c>
      <c r="AU95" s="675"/>
      <c r="AV95" s="1699">
        <f>IFERROR(VLOOKUP($A95,Cost.FinanceCostTable,7,FALSE),'Global assumptions'!$D$35)</f>
        <v>0.1</v>
      </c>
      <c r="AW95" s="1690">
        <f>IFERROR(VLOOKUP($A95,Cost.FinanceCostTable,8,FALSE),'Global assumptions'!$E$35)</f>
        <v>30</v>
      </c>
      <c r="AX95" s="675"/>
      <c r="AY95" s="1689">
        <f ca="1">Costs!AY95/('Global assumptions'!$C$7*NAIRA2010_*250)</f>
        <v>0</v>
      </c>
      <c r="AZ95" s="1689">
        <f ca="1">Costs!AZ95/('Global assumptions'!$C$7*NAIRA2010_*250)</f>
        <v>0</v>
      </c>
      <c r="BA95" s="1689">
        <f ca="1">Costs!BA95/('Global assumptions'!$C$7*NAIRA2010_*250)</f>
        <v>0</v>
      </c>
      <c r="BB95" s="1689">
        <f ca="1">Costs!BB95/('Global assumptions'!$C$7*NAIRA2010_*250)</f>
        <v>8.1563331265431103</v>
      </c>
      <c r="BC95" s="1689">
        <f ca="1">Costs!BC95/('Global assumptions'!$C$7*NAIRA2010_*250)</f>
        <v>7.3406998138887962</v>
      </c>
      <c r="BD95" s="1689">
        <f ca="1">Costs!BD95/('Global assumptions'!$C$7*NAIRA2010_*250)</f>
        <v>14.6813996277776</v>
      </c>
      <c r="BE95" s="1689">
        <f ca="1">Costs!BE95/('Global assumptions'!$C$7*NAIRA2010_*250)</f>
        <v>27.731532630246569</v>
      </c>
      <c r="BF95" s="1689">
        <f ca="1">Costs!BF95/('Global assumptions'!$C$7*NAIRA2010_*250)</f>
        <v>53.831798635184519</v>
      </c>
      <c r="BG95" s="1689">
        <f ca="1">Costs!BG95/('Global assumptions'!$C$7*NAIRA2010_*250)</f>
        <v>104.4010640197518</v>
      </c>
      <c r="BH95" s="675"/>
      <c r="BI95" s="1689">
        <f ca="1">Costs!BI95/('Global assumptions'!$C$7*NAIRA2010_*250)</f>
        <v>0</v>
      </c>
      <c r="BJ95" s="1689">
        <f ca="1">Costs!BJ95/('Global assumptions'!$C$7*NAIRA2010_*250)</f>
        <v>0</v>
      </c>
      <c r="BK95" s="1689">
        <f ca="1">Costs!BK95/('Global assumptions'!$C$7*NAIRA2010_*250)</f>
        <v>0</v>
      </c>
      <c r="BL95" s="1689">
        <f ca="1">Costs!BL95/('Global assumptions'!$C$7*NAIRA2010_*250)</f>
        <v>8.1563331265431103</v>
      </c>
      <c r="BM95" s="1689">
        <f ca="1">Costs!BM95/('Global assumptions'!$C$7*NAIRA2010_*250)</f>
        <v>15.497032940431906</v>
      </c>
      <c r="BN95" s="1689">
        <f ca="1">Costs!BN95/('Global assumptions'!$C$7*NAIRA2010_*250)</f>
        <v>30.178432568209505</v>
      </c>
      <c r="BO95" s="1689">
        <f ca="1">Costs!BO95/('Global assumptions'!$C$7*NAIRA2010_*250)</f>
        <v>57.909965198456078</v>
      </c>
      <c r="BP95" s="1689">
        <f ca="1">Costs!BP95/('Global assumptions'!$C$7*NAIRA2010_*250)</f>
        <v>119.08246364752938</v>
      </c>
      <c r="BQ95" s="1689">
        <f ca="1">Costs!BQ95/('Global assumptions'!$C$7*NAIRA2010_*250)</f>
        <v>223.48352766728121</v>
      </c>
      <c r="BR95" s="675"/>
      <c r="BS95" s="1689">
        <f ca="1">Costs!BS95/('Global assumptions'!$C$7*NAIRA2010_*250)</f>
        <v>0</v>
      </c>
      <c r="BT95" s="1689">
        <f ca="1">Costs!BT95/('Global assumptions'!$C$7*NAIRA2010_*250)</f>
        <v>0</v>
      </c>
      <c r="BU95" s="1689">
        <f ca="1">Costs!BU95/('Global assumptions'!$C$7*NAIRA2010_*250)</f>
        <v>0</v>
      </c>
      <c r="BV95" s="1689">
        <f ca="1">Costs!BV95/('Global assumptions'!$C$7*NAIRA2010_*250)</f>
        <v>9.5157008588691276</v>
      </c>
      <c r="BW95" s="1689">
        <f ca="1">Costs!BW95/('Global assumptions'!$C$7*NAIRA2010_*250)</f>
        <v>18.079831631851338</v>
      </c>
      <c r="BX95" s="1689">
        <f ca="1">Costs!BX95/('Global assumptions'!$C$7*NAIRA2010_*250)</f>
        <v>35.208093177815769</v>
      </c>
      <c r="BY95" s="1689">
        <f ca="1">Costs!BY95/('Global assumptions'!$C$7*NAIRA2010_*250)</f>
        <v>67.561476097970797</v>
      </c>
      <c r="BZ95" s="1689">
        <f ca="1">Costs!BZ95/('Global assumptions'!$C$7*NAIRA2010_*250)</f>
        <v>137.70580158039581</v>
      </c>
      <c r="CA95" s="1689">
        <f ca="1">Costs!CA95/('Global assumptions'!$C$7*NAIRA2010_*250)</f>
        <v>259.50677257392067</v>
      </c>
      <c r="CC95" s="1706">
        <f t="shared" ca="1" si="23"/>
        <v>58.61974176898039</v>
      </c>
      <c r="CD95" s="1706">
        <f t="shared" ca="1" si="27"/>
        <v>149.80225958599621</v>
      </c>
      <c r="CF95" s="1689">
        <f ca="1">Costs!CF95/('Global assumptions'!$C$7*NAIRA2010_*250)</f>
        <v>0</v>
      </c>
      <c r="CG95" s="1689">
        <f ca="1">Costs!CG95/('Global assumptions'!$C$7*NAIRA2010_*250)</f>
        <v>0</v>
      </c>
      <c r="CH95" s="1689">
        <f ca="1">Costs!CH95/('Global assumptions'!$C$7*NAIRA2010_*250)</f>
        <v>0</v>
      </c>
      <c r="CI95" s="1689">
        <f ca="1">Costs!CI95/('Global assumptions'!$C$7*NAIRA2010_*250)</f>
        <v>-7.2214778230939496</v>
      </c>
      <c r="CJ95" s="1689">
        <f ca="1">Costs!CJ95/('Global assumptions'!$C$7*NAIRA2010_*250)</f>
        <v>1.6570030857585543</v>
      </c>
      <c r="CK95" s="1689">
        <f ca="1">Costs!CK95/('Global assumptions'!$C$7*NAIRA2010_*250)</f>
        <v>2.4983728588627949</v>
      </c>
      <c r="CL95" s="1689">
        <f ca="1">Costs!CL95/('Global assumptions'!$C$7*NAIRA2010_*250)</f>
        <v>5.6254079696900794</v>
      </c>
      <c r="CM95" s="1689">
        <f ca="1">Costs!CM95/('Global assumptions'!$C$7*NAIRA2010_*250)</f>
        <v>17.588911379924788</v>
      </c>
      <c r="CN95" s="1689">
        <f ca="1">Costs!CN95/('Global assumptions'!$C$7*NAIRA2010_*250)</f>
        <v>26.647547511926842</v>
      </c>
      <c r="CP95" s="1706">
        <f t="shared" ca="1" si="24"/>
        <v>5.1995294425632341</v>
      </c>
      <c r="CQ95" s="1706">
        <f t="shared" ca="1" si="28"/>
        <v>5.3817385291712219</v>
      </c>
      <c r="CR95" s="1426" t="str">
        <f t="shared" ref="CR95:CR101" ca="1" si="29">IF(ABS(CD95-CQ95-AT95)&lt;1,"ok","err")</f>
        <v>ok</v>
      </c>
    </row>
    <row r="96" spans="1:96" x14ac:dyDescent="0.2">
      <c r="A96" s="1685" t="s">
        <v>864</v>
      </c>
      <c r="B96" s="1685" t="s">
        <v>1</v>
      </c>
      <c r="C96" s="1685" t="s">
        <v>4</v>
      </c>
      <c r="E96" s="1691">
        <f ca="1">Costs!E96/('Global assumptions'!$C$7*NAIRA2010_*250)</f>
        <v>0</v>
      </c>
      <c r="F96" s="1691">
        <f ca="1">Costs!F96/('Global assumptions'!$C$7*NAIRA2010_*250)</f>
        <v>0</v>
      </c>
      <c r="G96" s="1691">
        <f ca="1">Costs!G96/('Global assumptions'!$C$7*NAIRA2010_*250)</f>
        <v>0</v>
      </c>
      <c r="H96" s="1691">
        <f ca="1">Costs!H96/('Global assumptions'!$C$7*NAIRA2010_*250)</f>
        <v>24.220052245678367</v>
      </c>
      <c r="I96" s="1691">
        <f ca="1">Costs!I96/('Global assumptions'!$C$7*NAIRA2010_*250)</f>
        <v>48.440104491356735</v>
      </c>
      <c r="J96" s="1691">
        <f ca="1">Costs!J96/('Global assumptions'!$C$7*NAIRA2010_*250)</f>
        <v>72.660156737035109</v>
      </c>
      <c r="K96" s="1691">
        <f ca="1">Costs!K96/('Global assumptions'!$C$7*NAIRA2010_*250)</f>
        <v>96.880208982713469</v>
      </c>
      <c r="L96" s="1691">
        <f ca="1">Costs!L96/('Global assumptions'!$C$7*NAIRA2010_*250)</f>
        <v>121.10026122839184</v>
      </c>
      <c r="M96" s="1691">
        <f ca="1">Costs!M96/('Global assumptions'!$C$7*NAIRA2010_*250)</f>
        <v>145.32031347407022</v>
      </c>
      <c r="N96" s="675"/>
      <c r="O96" s="1691">
        <f ca="1">Costs!O96/('Global assumptions'!$C$7*NAIRA2010_*250)</f>
        <v>0</v>
      </c>
      <c r="P96" s="1691">
        <f ca="1">Costs!P96/('Global assumptions'!$C$7*NAIRA2010_*250)</f>
        <v>0</v>
      </c>
      <c r="Q96" s="1691">
        <f ca="1">Costs!Q96/('Global assumptions'!$C$7*NAIRA2010_*250)</f>
        <v>0.282567276199581</v>
      </c>
      <c r="R96" s="1691">
        <f ca="1">Costs!R96/('Global assumptions'!$C$7*NAIRA2010_*250)</f>
        <v>0.56513455239916199</v>
      </c>
      <c r="S96" s="1691">
        <f ca="1">Costs!S96/('Global assumptions'!$C$7*NAIRA2010_*250)</f>
        <v>0.84770182859874288</v>
      </c>
      <c r="T96" s="1691">
        <f ca="1">Costs!T96/('Global assumptions'!$C$7*NAIRA2010_*250)</f>
        <v>1.130269104798324</v>
      </c>
      <c r="U96" s="1691">
        <f ca="1">Costs!U96/('Global assumptions'!$C$7*NAIRA2010_*250)</f>
        <v>1.130269104798324</v>
      </c>
      <c r="V96" s="1691">
        <f ca="1">Costs!V96/('Global assumptions'!$C$7*NAIRA2010_*250)</f>
        <v>1.4128363809979048</v>
      </c>
      <c r="W96" s="1691">
        <f ca="1">Costs!W96/('Global assumptions'!$C$7*NAIRA2010_*250)</f>
        <v>1.6954036571974858</v>
      </c>
      <c r="X96" s="675"/>
      <c r="Y96" s="1691">
        <f ca="1">Costs!Y96/('Global assumptions'!$C$7*NAIRA2010_*250)</f>
        <v>0</v>
      </c>
      <c r="Z96" s="1691">
        <f ca="1">Costs!Z96/('Global assumptions'!$C$7*NAIRA2010_*250)</f>
        <v>0</v>
      </c>
      <c r="AA96" s="1691">
        <f ca="1">Costs!AA96/('Global assumptions'!$C$7*NAIRA2010_*250)</f>
        <v>0</v>
      </c>
      <c r="AB96" s="1691">
        <f ca="1">Costs!AB96/('Global assumptions'!$C$7*NAIRA2010_*250)</f>
        <v>0</v>
      </c>
      <c r="AC96" s="1691">
        <f ca="1">Costs!AC96/('Global assumptions'!$C$7*NAIRA2010_*250)</f>
        <v>0</v>
      </c>
      <c r="AD96" s="1691">
        <f ca="1">Costs!AD96/('Global assumptions'!$C$7*NAIRA2010_*250)</f>
        <v>0</v>
      </c>
      <c r="AE96" s="1691">
        <f ca="1">Costs!AE96/('Global assumptions'!$C$7*NAIRA2010_*250)</f>
        <v>0</v>
      </c>
      <c r="AF96" s="1691">
        <f ca="1">Costs!AF96/('Global assumptions'!$C$7*NAIRA2010_*250)</f>
        <v>0</v>
      </c>
      <c r="AG96" s="1691">
        <f ca="1">Costs!AG96/('Global assumptions'!$C$7*NAIRA2010_*250)</f>
        <v>0</v>
      </c>
      <c r="AH96" s="675"/>
      <c r="AI96" s="1691">
        <f ca="1">Costs!AI96/('Global assumptions'!$C$7*NAIRA2010_*250)</f>
        <v>0</v>
      </c>
      <c r="AJ96" s="1691">
        <f ca="1">Costs!AJ96/('Global assumptions'!$C$7*NAIRA2010_*250)</f>
        <v>0</v>
      </c>
      <c r="AK96" s="1691">
        <f ca="1">Costs!AK96/('Global assumptions'!$C$7*NAIRA2010_*250)</f>
        <v>0.282567276199581</v>
      </c>
      <c r="AL96" s="1691">
        <f ca="1">Costs!AL96/('Global assumptions'!$C$7*NAIRA2010_*250)</f>
        <v>24.785186798077532</v>
      </c>
      <c r="AM96" s="1691">
        <f ca="1">Costs!AM96/('Global assumptions'!$C$7*NAIRA2010_*250)</f>
        <v>49.287806319955479</v>
      </c>
      <c r="AN96" s="1691">
        <f ca="1">Costs!AN96/('Global assumptions'!$C$7*NAIRA2010_*250)</f>
        <v>73.790425841833425</v>
      </c>
      <c r="AO96" s="1691">
        <f ca="1">Costs!AO96/('Global assumptions'!$C$7*NAIRA2010_*250)</f>
        <v>98.0104780875118</v>
      </c>
      <c r="AP96" s="1691">
        <f ca="1">Costs!AP96/('Global assumptions'!$C$7*NAIRA2010_*250)</f>
        <v>122.51309760938975</v>
      </c>
      <c r="AQ96" s="1691">
        <f ca="1">Costs!AQ96/('Global assumptions'!$C$7*NAIRA2010_*250)</f>
        <v>147.01571713126771</v>
      </c>
      <c r="AS96" s="1707">
        <f t="shared" ca="1" si="22"/>
        <v>57.298364340470584</v>
      </c>
      <c r="AT96" s="1707">
        <f t="shared" ca="1" si="26"/>
        <v>190.60818955447354</v>
      </c>
      <c r="AU96" s="675"/>
      <c r="AV96" s="1699">
        <f>IFERROR(VLOOKUP($A96,Cost.FinanceCostTable,7,FALSE),'Global assumptions'!$D$35)</f>
        <v>0.1</v>
      </c>
      <c r="AW96" s="1690">
        <f>IFERROR(VLOOKUP($A96,Cost.FinanceCostTable,8,FALSE),'Global assumptions'!$E$35)</f>
        <v>20</v>
      </c>
      <c r="AX96" s="675"/>
      <c r="AY96" s="1691">
        <f ca="1">Costs!AY96/('Global assumptions'!$C$7*NAIRA2010_*250)</f>
        <v>0</v>
      </c>
      <c r="AZ96" s="1691">
        <f ca="1">Costs!AZ96/('Global assumptions'!$C$7*NAIRA2010_*250)</f>
        <v>0</v>
      </c>
      <c r="BA96" s="1691">
        <f ca="1">Costs!BA96/('Global assumptions'!$C$7*NAIRA2010_*250)</f>
        <v>0</v>
      </c>
      <c r="BB96" s="1691">
        <f ca="1">Costs!BB96/('Global assumptions'!$C$7*NAIRA2010_*250)</f>
        <v>14.224391243744179</v>
      </c>
      <c r="BC96" s="1691">
        <f ca="1">Costs!BC96/('Global assumptions'!$C$7*NAIRA2010_*250)</f>
        <v>28.448782487488359</v>
      </c>
      <c r="BD96" s="1691">
        <f ca="1">Costs!BD96/('Global assumptions'!$C$7*NAIRA2010_*250)</f>
        <v>42.673173731232545</v>
      </c>
      <c r="BE96" s="1691">
        <f ca="1">Costs!BE96/('Global assumptions'!$C$7*NAIRA2010_*250)</f>
        <v>56.897564974976717</v>
      </c>
      <c r="BF96" s="1691">
        <f ca="1">Costs!BF96/('Global assumptions'!$C$7*NAIRA2010_*250)</f>
        <v>71.121956218720911</v>
      </c>
      <c r="BG96" s="1691">
        <f ca="1">Costs!BG96/('Global assumptions'!$C$7*NAIRA2010_*250)</f>
        <v>85.34634746246509</v>
      </c>
      <c r="BH96" s="675"/>
      <c r="BI96" s="1691">
        <f ca="1">Costs!BI96/('Global assumptions'!$C$7*NAIRA2010_*250)</f>
        <v>0</v>
      </c>
      <c r="BJ96" s="1691">
        <f ca="1">Costs!BJ96/('Global assumptions'!$C$7*NAIRA2010_*250)</f>
        <v>0</v>
      </c>
      <c r="BK96" s="1691">
        <f ca="1">Costs!BK96/('Global assumptions'!$C$7*NAIRA2010_*250)</f>
        <v>0</v>
      </c>
      <c r="BL96" s="1691">
        <f ca="1">Costs!BL96/('Global assumptions'!$C$7*NAIRA2010_*250)</f>
        <v>14.224391243744179</v>
      </c>
      <c r="BM96" s="1691">
        <f ca="1">Costs!BM96/('Global assumptions'!$C$7*NAIRA2010_*250)</f>
        <v>42.673173731232538</v>
      </c>
      <c r="BN96" s="1691">
        <f ca="1">Costs!BN96/('Global assumptions'!$C$7*NAIRA2010_*250)</f>
        <v>85.346347462465076</v>
      </c>
      <c r="BO96" s="1691">
        <f ca="1">Costs!BO96/('Global assumptions'!$C$7*NAIRA2010_*250)</f>
        <v>142.24391243744179</v>
      </c>
      <c r="BP96" s="1691">
        <f ca="1">Costs!BP96/('Global assumptions'!$C$7*NAIRA2010_*250)</f>
        <v>227.59025989990687</v>
      </c>
      <c r="BQ96" s="1691">
        <f ca="1">Costs!BQ96/('Global assumptions'!$C$7*NAIRA2010_*250)</f>
        <v>256.03904238739528</v>
      </c>
      <c r="BR96" s="675"/>
      <c r="BS96" s="1691">
        <f ca="1">Costs!BS96/('Global assumptions'!$C$7*NAIRA2010_*250)</f>
        <v>0</v>
      </c>
      <c r="BT96" s="1691">
        <f ca="1">Costs!BT96/('Global assumptions'!$C$7*NAIRA2010_*250)</f>
        <v>0</v>
      </c>
      <c r="BU96" s="1691">
        <f ca="1">Costs!BU96/('Global assumptions'!$C$7*NAIRA2010_*250)</f>
        <v>0.282567276199581</v>
      </c>
      <c r="BV96" s="1691">
        <f ca="1">Costs!BV96/('Global assumptions'!$C$7*NAIRA2010_*250)</f>
        <v>14.789525796143343</v>
      </c>
      <c r="BW96" s="1691">
        <f ca="1">Costs!BW96/('Global assumptions'!$C$7*NAIRA2010_*250)</f>
        <v>43.520875559831282</v>
      </c>
      <c r="BX96" s="1691">
        <f ca="1">Costs!BX96/('Global assumptions'!$C$7*NAIRA2010_*250)</f>
        <v>86.476616567263406</v>
      </c>
      <c r="BY96" s="1691">
        <f ca="1">Costs!BY96/('Global assumptions'!$C$7*NAIRA2010_*250)</f>
        <v>143.37418154224014</v>
      </c>
      <c r="BZ96" s="1691">
        <f ca="1">Costs!BZ96/('Global assumptions'!$C$7*NAIRA2010_*250)</f>
        <v>229.00309628090477</v>
      </c>
      <c r="CA96" s="1691">
        <f ca="1">Costs!CA96/('Global assumptions'!$C$7*NAIRA2010_*250)</f>
        <v>257.73444604459274</v>
      </c>
      <c r="CC96" s="1707">
        <f t="shared" ca="1" si="23"/>
        <v>86.131256563019477</v>
      </c>
      <c r="CD96" s="1707">
        <f t="shared" ca="1" si="27"/>
        <v>243.13921285491577</v>
      </c>
      <c r="CF96" s="1691">
        <f ca="1">Costs!CF96/('Global assumptions'!$C$7*NAIRA2010_*250)</f>
        <v>0</v>
      </c>
      <c r="CG96" s="1691">
        <f ca="1">Costs!CG96/('Global assumptions'!$C$7*NAIRA2010_*250)</f>
        <v>0</v>
      </c>
      <c r="CH96" s="1691">
        <f ca="1">Costs!CH96/('Global assumptions'!$C$7*NAIRA2010_*250)</f>
        <v>0</v>
      </c>
      <c r="CI96" s="1691">
        <f ca="1">Costs!CI96/('Global assumptions'!$C$7*NAIRA2010_*250)</f>
        <v>-9.9956610019341898</v>
      </c>
      <c r="CJ96" s="1691">
        <f ca="1">Costs!CJ96/('Global assumptions'!$C$7*NAIRA2010_*250)</f>
        <v>-5.7669307601241986</v>
      </c>
      <c r="CK96" s="1691">
        <f ca="1">Costs!CK96/('Global assumptions'!$C$7*NAIRA2010_*250)</f>
        <v>12.686190725429972</v>
      </c>
      <c r="CL96" s="1691">
        <f ca="1">Costs!CL96/('Global assumptions'!$C$7*NAIRA2010_*250)</f>
        <v>45.363703454728324</v>
      </c>
      <c r="CM96" s="1691">
        <f ca="1">Costs!CM96/('Global assumptions'!$C$7*NAIRA2010_*250)</f>
        <v>106.48999867151504</v>
      </c>
      <c r="CN96" s="1691">
        <f ca="1">Costs!CN96/('Global assumptions'!$C$7*NAIRA2010_*250)</f>
        <v>110.71872891332505</v>
      </c>
      <c r="CP96" s="1707">
        <f t="shared" ca="1" si="24"/>
        <v>28.832892222548892</v>
      </c>
      <c r="CQ96" s="1707">
        <f t="shared" ca="1" si="28"/>
        <v>52.53102330044225</v>
      </c>
      <c r="CR96" s="1426" t="str">
        <f t="shared" ca="1" si="29"/>
        <v>ok</v>
      </c>
    </row>
    <row r="97" spans="1:96" x14ac:dyDescent="0.2">
      <c r="A97" s="1685" t="s">
        <v>2366</v>
      </c>
      <c r="B97" s="1685" t="s">
        <v>2584</v>
      </c>
      <c r="C97" s="1685" t="s">
        <v>4</v>
      </c>
      <c r="E97" s="1691">
        <f ca="1">Costs!E97/('Global assumptions'!$C$7*NAIRA2010_*250)</f>
        <v>0</v>
      </c>
      <c r="F97" s="1691">
        <f ca="1">Costs!F97/('Global assumptions'!$C$7*NAIRA2010_*250)</f>
        <v>0</v>
      </c>
      <c r="G97" s="1691">
        <f ca="1">Costs!G97/('Global assumptions'!$C$7*NAIRA2010_*250)</f>
        <v>4.1212533345027325</v>
      </c>
      <c r="H97" s="1691">
        <f ca="1">Costs!H97/('Global assumptions'!$C$7*NAIRA2010_*250)</f>
        <v>4.0904977126034581</v>
      </c>
      <c r="I97" s="1691">
        <f ca="1">Costs!I97/('Global assumptions'!$C$7*NAIRA2010_*250)</f>
        <v>4.1212533345027333</v>
      </c>
      <c r="J97" s="1691">
        <f ca="1">Costs!J97/('Global assumptions'!$C$7*NAIRA2010_*250)</f>
        <v>4.0904977126034581</v>
      </c>
      <c r="K97" s="1691">
        <f ca="1">Costs!K97/('Global assumptions'!$C$7*NAIRA2010_*250)</f>
        <v>4.1212533345027307</v>
      </c>
      <c r="L97" s="1691">
        <f ca="1">Costs!L97/('Global assumptions'!$C$7*NAIRA2010_*250)</f>
        <v>4.0904977126034607</v>
      </c>
      <c r="M97" s="1691">
        <f ca="1">Costs!M97/('Global assumptions'!$C$7*NAIRA2010_*250)</f>
        <v>4.1212533345027271</v>
      </c>
      <c r="N97" s="675"/>
      <c r="O97" s="1691">
        <f ca="1">Costs!O97/('Global assumptions'!$C$7*NAIRA2010_*250)</f>
        <v>5.1131221407543221E-5</v>
      </c>
      <c r="P97" s="1691">
        <f ca="1">Costs!P97/('Global assumptions'!$C$7*NAIRA2010_*250)</f>
        <v>5.1131221407543221E-5</v>
      </c>
      <c r="Q97" s="1691">
        <f ca="1">Costs!Q97/('Global assumptions'!$C$7*NAIRA2010_*250)</f>
        <v>8.7192188084442133E-5</v>
      </c>
      <c r="R97" s="1691">
        <f ca="1">Costs!R97/('Global assumptions'!$C$7*NAIRA2010_*250)</f>
        <v>1.2298404306972238E-4</v>
      </c>
      <c r="S97" s="1691">
        <f ca="1">Costs!S97/('Global assumptions'!$C$7*NAIRA2010_*250)</f>
        <v>1.5904500974662131E-4</v>
      </c>
      <c r="T97" s="1691">
        <f ca="1">Costs!T97/('Global assumptions'!$C$7*NAIRA2010_*250)</f>
        <v>1.9483686473190158E-4</v>
      </c>
      <c r="U97" s="1691">
        <f ca="1">Costs!U97/('Global assumptions'!$C$7*NAIRA2010_*250)</f>
        <v>2.3089783140880046E-4</v>
      </c>
      <c r="V97" s="1691">
        <f ca="1">Costs!V97/('Global assumptions'!$C$7*NAIRA2010_*250)</f>
        <v>2.6668968639408075E-4</v>
      </c>
      <c r="W97" s="1691">
        <f ca="1">Costs!W97/('Global assumptions'!$C$7*NAIRA2010_*250)</f>
        <v>3.0275065307097963E-4</v>
      </c>
      <c r="X97" s="675"/>
      <c r="Y97" s="1691">
        <f ca="1">Costs!Y97/('Global assumptions'!$C$7*NAIRA2010_*250)</f>
        <v>0</v>
      </c>
      <c r="Z97" s="1691">
        <f ca="1">Costs!Z97/('Global assumptions'!$C$7*NAIRA2010_*250)</f>
        <v>0</v>
      </c>
      <c r="AA97" s="1691">
        <f ca="1">Costs!AA97/('Global assumptions'!$C$7*NAIRA2010_*250)</f>
        <v>0</v>
      </c>
      <c r="AB97" s="1691">
        <f ca="1">Costs!AB97/('Global assumptions'!$C$7*NAIRA2010_*250)</f>
        <v>0</v>
      </c>
      <c r="AC97" s="1691">
        <f ca="1">Costs!AC97/('Global assumptions'!$C$7*NAIRA2010_*250)</f>
        <v>0</v>
      </c>
      <c r="AD97" s="1691">
        <f ca="1">Costs!AD97/('Global assumptions'!$C$7*NAIRA2010_*250)</f>
        <v>0</v>
      </c>
      <c r="AE97" s="1691">
        <f ca="1">Costs!AE97/('Global assumptions'!$C$7*NAIRA2010_*250)</f>
        <v>0</v>
      </c>
      <c r="AF97" s="1691">
        <f ca="1">Costs!AF97/('Global assumptions'!$C$7*NAIRA2010_*250)</f>
        <v>0</v>
      </c>
      <c r="AG97" s="1691">
        <f ca="1">Costs!AG97/('Global assumptions'!$C$7*NAIRA2010_*250)</f>
        <v>0</v>
      </c>
      <c r="AH97" s="675"/>
      <c r="AI97" s="1691">
        <f ca="1">Costs!AI97/('Global assumptions'!$C$7*NAIRA2010_*250)</f>
        <v>5.1131221407543221E-5</v>
      </c>
      <c r="AJ97" s="1691">
        <f ca="1">Costs!AJ97/('Global assumptions'!$C$7*NAIRA2010_*250)</f>
        <v>5.1131221407543221E-5</v>
      </c>
      <c r="AK97" s="1691">
        <f ca="1">Costs!AK97/('Global assumptions'!$C$7*NAIRA2010_*250)</f>
        <v>4.1213405266908172</v>
      </c>
      <c r="AL97" s="1691">
        <f ca="1">Costs!AL97/('Global assumptions'!$C$7*NAIRA2010_*250)</f>
        <v>4.0906206966465275</v>
      </c>
      <c r="AM97" s="1691">
        <f ca="1">Costs!AM97/('Global assumptions'!$C$7*NAIRA2010_*250)</f>
        <v>4.1214123795124804</v>
      </c>
      <c r="AN97" s="1691">
        <f ca="1">Costs!AN97/('Global assumptions'!$C$7*NAIRA2010_*250)</f>
        <v>4.0906925494681898</v>
      </c>
      <c r="AO97" s="1691">
        <f ca="1">Costs!AO97/('Global assumptions'!$C$7*NAIRA2010_*250)</f>
        <v>4.1214842323341392</v>
      </c>
      <c r="AP97" s="1691">
        <f ca="1">Costs!AP97/('Global assumptions'!$C$7*NAIRA2010_*250)</f>
        <v>4.0907644022898548</v>
      </c>
      <c r="AQ97" s="1691">
        <f ca="1">Costs!AQ97/('Global assumptions'!$C$7*NAIRA2010_*250)</f>
        <v>4.121556085155798</v>
      </c>
      <c r="AS97" s="1707">
        <f t="shared" ca="1" si="22"/>
        <v>3.1953303482822917</v>
      </c>
      <c r="AT97" s="1707">
        <f t="shared" ca="1" si="26"/>
        <v>20.863067169459082</v>
      </c>
      <c r="AU97" s="675"/>
      <c r="AV97" s="1699">
        <f>IFERROR(VLOOKUP($A97,Cost.FinanceCostTable,7,FALSE),'Global assumptions'!$D$35)</f>
        <v>0</v>
      </c>
      <c r="AW97" s="1690">
        <f>IFERROR(VLOOKUP($A97,Cost.FinanceCostTable,8,FALSE),'Global assumptions'!$E$35)</f>
        <v>5</v>
      </c>
      <c r="AX97" s="675"/>
      <c r="AY97" s="1691">
        <f ca="1">Costs!AY97/('Global assumptions'!$C$7*NAIRA2010_*250)</f>
        <v>0</v>
      </c>
      <c r="AZ97" s="1691">
        <f ca="1">Costs!AZ97/('Global assumptions'!$C$7*NAIRA2010_*250)</f>
        <v>0</v>
      </c>
      <c r="BA97" s="1691">
        <f ca="1">Costs!BA97/('Global assumptions'!$C$7*NAIRA2010_*250)</f>
        <v>2.7091837069837559</v>
      </c>
      <c r="BB97" s="1691">
        <f ca="1">Costs!BB97/('Global assumptions'!$C$7*NAIRA2010_*250)</f>
        <v>2.6889659181256675</v>
      </c>
      <c r="BC97" s="1691">
        <f ca="1">Costs!BC97/('Global assumptions'!$C$7*NAIRA2010_*250)</f>
        <v>2.7091837069837559</v>
      </c>
      <c r="BD97" s="1691">
        <f ca="1">Costs!BD97/('Global assumptions'!$C$7*NAIRA2010_*250)</f>
        <v>2.6889659181256675</v>
      </c>
      <c r="BE97" s="1691">
        <f ca="1">Costs!BE97/('Global assumptions'!$C$7*NAIRA2010_*250)</f>
        <v>2.7091837069837545</v>
      </c>
      <c r="BF97" s="1691">
        <f ca="1">Costs!BF97/('Global assumptions'!$C$7*NAIRA2010_*250)</f>
        <v>2.6889659181256693</v>
      </c>
      <c r="BG97" s="1691">
        <f ca="1">Costs!BG97/('Global assumptions'!$C$7*NAIRA2010_*250)</f>
        <v>2.7091837069837519</v>
      </c>
      <c r="BH97" s="675"/>
      <c r="BI97" s="1691">
        <f ca="1">Costs!BI97/('Global assumptions'!$C$7*NAIRA2010_*250)</f>
        <v>0</v>
      </c>
      <c r="BJ97" s="1691">
        <f ca="1">Costs!BJ97/('Global assumptions'!$C$7*NAIRA2010_*250)</f>
        <v>0</v>
      </c>
      <c r="BK97" s="1691">
        <f ca="1">Costs!BK97/('Global assumptions'!$C$7*NAIRA2010_*250)</f>
        <v>2.7091837069837559</v>
      </c>
      <c r="BL97" s="1691">
        <f ca="1">Costs!BL97/('Global assumptions'!$C$7*NAIRA2010_*250)</f>
        <v>5.398149625109423</v>
      </c>
      <c r="BM97" s="1691">
        <f ca="1">Costs!BM97/('Global assumptions'!$C$7*NAIRA2010_*250)</f>
        <v>8.1073333320931784</v>
      </c>
      <c r="BN97" s="1691">
        <f ca="1">Costs!BN97/('Global assumptions'!$C$7*NAIRA2010_*250)</f>
        <v>8.0871155432350914</v>
      </c>
      <c r="BO97" s="1691">
        <f ca="1">Costs!BO97/('Global assumptions'!$C$7*NAIRA2010_*250)</f>
        <v>8.1073333320931766</v>
      </c>
      <c r="BP97" s="1691">
        <f ca="1">Costs!BP97/('Global assumptions'!$C$7*NAIRA2010_*250)</f>
        <v>8.0871155432350914</v>
      </c>
      <c r="BQ97" s="1691">
        <f ca="1">Costs!BQ97/('Global assumptions'!$C$7*NAIRA2010_*250)</f>
        <v>8.1073333320931766</v>
      </c>
      <c r="BR97" s="675"/>
      <c r="BS97" s="1691">
        <f ca="1">Costs!BS97/('Global assumptions'!$C$7*NAIRA2010_*250)</f>
        <v>5.1131221407543221E-5</v>
      </c>
      <c r="BT97" s="1691">
        <f ca="1">Costs!BT97/('Global assumptions'!$C$7*NAIRA2010_*250)</f>
        <v>5.1131221407543221E-5</v>
      </c>
      <c r="BU97" s="1691">
        <f ca="1">Costs!BU97/('Global assumptions'!$C$7*NAIRA2010_*250)</f>
        <v>2.7092708991718402</v>
      </c>
      <c r="BV97" s="1691">
        <f ca="1">Costs!BV97/('Global assumptions'!$C$7*NAIRA2010_*250)</f>
        <v>5.3982726091524933</v>
      </c>
      <c r="BW97" s="1691">
        <f ca="1">Costs!BW97/('Global assumptions'!$C$7*NAIRA2010_*250)</f>
        <v>8.1074923771029255</v>
      </c>
      <c r="BX97" s="1691">
        <f ca="1">Costs!BX97/('Global assumptions'!$C$7*NAIRA2010_*250)</f>
        <v>8.0873103800998241</v>
      </c>
      <c r="BY97" s="1691">
        <f ca="1">Costs!BY97/('Global assumptions'!$C$7*NAIRA2010_*250)</f>
        <v>8.107564229924586</v>
      </c>
      <c r="BZ97" s="1691">
        <f ca="1">Costs!BZ97/('Global assumptions'!$C$7*NAIRA2010_*250)</f>
        <v>8.0873822329214864</v>
      </c>
      <c r="CA97" s="1691">
        <f ca="1">Costs!CA97/('Global assumptions'!$C$7*NAIRA2010_*250)</f>
        <v>8.1076360827462466</v>
      </c>
      <c r="CC97" s="1707">
        <f t="shared" ca="1" si="23"/>
        <v>5.4005590081735795</v>
      </c>
      <c r="CD97" s="1707">
        <f t="shared" ca="1" si="27"/>
        <v>27.493025402917048</v>
      </c>
      <c r="CF97" s="1691">
        <f ca="1">Costs!CF97/('Global assumptions'!$C$7*NAIRA2010_*250)</f>
        <v>0</v>
      </c>
      <c r="CG97" s="1691">
        <f ca="1">Costs!CG97/('Global assumptions'!$C$7*NAIRA2010_*250)</f>
        <v>0</v>
      </c>
      <c r="CH97" s="1691">
        <f ca="1">Costs!CH97/('Global assumptions'!$C$7*NAIRA2010_*250)</f>
        <v>-1.412069627518977</v>
      </c>
      <c r="CI97" s="1691">
        <f ca="1">Costs!CI97/('Global assumptions'!$C$7*NAIRA2010_*250)</f>
        <v>1.3076519125059654</v>
      </c>
      <c r="CJ97" s="1691">
        <f ca="1">Costs!CJ97/('Global assumptions'!$C$7*NAIRA2010_*250)</f>
        <v>3.9860799975904455</v>
      </c>
      <c r="CK97" s="1691">
        <f ca="1">Costs!CK97/('Global assumptions'!$C$7*NAIRA2010_*250)</f>
        <v>3.9966178306316338</v>
      </c>
      <c r="CL97" s="1691">
        <f ca="1">Costs!CL97/('Global assumptions'!$C$7*NAIRA2010_*250)</f>
        <v>3.9860799975904468</v>
      </c>
      <c r="CM97" s="1691">
        <f ca="1">Costs!CM97/('Global assumptions'!$C$7*NAIRA2010_*250)</f>
        <v>3.9966178306316307</v>
      </c>
      <c r="CN97" s="1691">
        <f ca="1">Costs!CN97/('Global assumptions'!$C$7*NAIRA2010_*250)</f>
        <v>3.9860799975904486</v>
      </c>
      <c r="CP97" s="1707">
        <f t="shared" ca="1" si="24"/>
        <v>2.2052286598912882</v>
      </c>
      <c r="CQ97" s="1707">
        <f t="shared" ca="1" si="28"/>
        <v>6.6299582334579661</v>
      </c>
      <c r="CR97" s="1426" t="str">
        <f t="shared" ref="CR97" ca="1" si="30">IF(ABS(CD97-CQ97-AT97)&lt;1,"ok","err")</f>
        <v>ok</v>
      </c>
    </row>
    <row r="98" spans="1:96" s="2479" customFormat="1" x14ac:dyDescent="0.2">
      <c r="A98" s="1685" t="s">
        <v>2365</v>
      </c>
      <c r="B98" s="1685" t="s">
        <v>2363</v>
      </c>
      <c r="C98" s="1685" t="s">
        <v>4</v>
      </c>
      <c r="E98" s="1691">
        <f ca="1">Costs!E97/('Global assumptions'!$C$7*NAIRA2010_*250)</f>
        <v>0</v>
      </c>
      <c r="F98" s="1691">
        <f ca="1">Costs!F97/('Global assumptions'!$C$7*NAIRA2010_*250)</f>
        <v>0</v>
      </c>
      <c r="G98" s="1691">
        <f ca="1">Costs!G97/('Global assumptions'!$C$7*NAIRA2010_*250)</f>
        <v>4.1212533345027325</v>
      </c>
      <c r="H98" s="1691">
        <f ca="1">Costs!H97/('Global assumptions'!$C$7*NAIRA2010_*250)</f>
        <v>4.0904977126034581</v>
      </c>
      <c r="I98" s="1691">
        <f ca="1">Costs!I97/('Global assumptions'!$C$7*NAIRA2010_*250)</f>
        <v>4.1212533345027333</v>
      </c>
      <c r="J98" s="1691">
        <f ca="1">Costs!J97/('Global assumptions'!$C$7*NAIRA2010_*250)</f>
        <v>4.0904977126034581</v>
      </c>
      <c r="K98" s="1691">
        <f ca="1">Costs!K97/('Global assumptions'!$C$7*NAIRA2010_*250)</f>
        <v>4.1212533345027307</v>
      </c>
      <c r="L98" s="1691">
        <f ca="1">Costs!L97/('Global assumptions'!$C$7*NAIRA2010_*250)</f>
        <v>4.0904977126034607</v>
      </c>
      <c r="M98" s="1691">
        <f ca="1">Costs!M97/('Global assumptions'!$C$7*NAIRA2010_*250)</f>
        <v>4.1212533345027271</v>
      </c>
      <c r="N98" s="675"/>
      <c r="O98" s="1691">
        <f ca="1">Costs!O97/('Global assumptions'!$C$7*NAIRA2010_*250)</f>
        <v>5.1131221407543221E-5</v>
      </c>
      <c r="P98" s="1691">
        <f ca="1">Costs!P97/('Global assumptions'!$C$7*NAIRA2010_*250)</f>
        <v>5.1131221407543221E-5</v>
      </c>
      <c r="Q98" s="1691">
        <f ca="1">Costs!Q97/('Global assumptions'!$C$7*NAIRA2010_*250)</f>
        <v>8.7192188084442133E-5</v>
      </c>
      <c r="R98" s="1691">
        <f ca="1">Costs!R97/('Global assumptions'!$C$7*NAIRA2010_*250)</f>
        <v>1.2298404306972238E-4</v>
      </c>
      <c r="S98" s="1691">
        <f ca="1">Costs!S97/('Global assumptions'!$C$7*NAIRA2010_*250)</f>
        <v>1.5904500974662131E-4</v>
      </c>
      <c r="T98" s="1691">
        <f ca="1">Costs!T97/('Global assumptions'!$C$7*NAIRA2010_*250)</f>
        <v>1.9483686473190158E-4</v>
      </c>
      <c r="U98" s="1691">
        <f ca="1">Costs!U97/('Global assumptions'!$C$7*NAIRA2010_*250)</f>
        <v>2.3089783140880046E-4</v>
      </c>
      <c r="V98" s="1691">
        <f ca="1">Costs!V97/('Global assumptions'!$C$7*NAIRA2010_*250)</f>
        <v>2.6668968639408075E-4</v>
      </c>
      <c r="W98" s="1691">
        <f ca="1">Costs!W97/('Global assumptions'!$C$7*NAIRA2010_*250)</f>
        <v>3.0275065307097963E-4</v>
      </c>
      <c r="X98" s="675"/>
      <c r="Y98" s="1691">
        <f ca="1">Costs!Y97/('Global assumptions'!$C$7*NAIRA2010_*250)</f>
        <v>0</v>
      </c>
      <c r="Z98" s="1691">
        <f ca="1">Costs!Z97/('Global assumptions'!$C$7*NAIRA2010_*250)</f>
        <v>0</v>
      </c>
      <c r="AA98" s="1691">
        <f ca="1">Costs!AA97/('Global assumptions'!$C$7*NAIRA2010_*250)</f>
        <v>0</v>
      </c>
      <c r="AB98" s="1691">
        <f ca="1">Costs!AB97/('Global assumptions'!$C$7*NAIRA2010_*250)</f>
        <v>0</v>
      </c>
      <c r="AC98" s="1691">
        <f ca="1">Costs!AC97/('Global assumptions'!$C$7*NAIRA2010_*250)</f>
        <v>0</v>
      </c>
      <c r="AD98" s="1691">
        <f ca="1">Costs!AD97/('Global assumptions'!$C$7*NAIRA2010_*250)</f>
        <v>0</v>
      </c>
      <c r="AE98" s="1691">
        <f ca="1">Costs!AE97/('Global assumptions'!$C$7*NAIRA2010_*250)</f>
        <v>0</v>
      </c>
      <c r="AF98" s="1691">
        <f ca="1">Costs!AF97/('Global assumptions'!$C$7*NAIRA2010_*250)</f>
        <v>0</v>
      </c>
      <c r="AG98" s="1691">
        <f ca="1">Costs!AG97/('Global assumptions'!$C$7*NAIRA2010_*250)</f>
        <v>0</v>
      </c>
      <c r="AH98" s="675"/>
      <c r="AI98" s="1691">
        <f ca="1">Costs!AI97/('Global assumptions'!$C$7*NAIRA2010_*250)</f>
        <v>5.1131221407543221E-5</v>
      </c>
      <c r="AJ98" s="1691">
        <f ca="1">Costs!AJ97/('Global assumptions'!$C$7*NAIRA2010_*250)</f>
        <v>5.1131221407543221E-5</v>
      </c>
      <c r="AK98" s="1691">
        <f ca="1">Costs!AK97/('Global assumptions'!$C$7*NAIRA2010_*250)</f>
        <v>4.1213405266908172</v>
      </c>
      <c r="AL98" s="1691">
        <f ca="1">Costs!AL97/('Global assumptions'!$C$7*NAIRA2010_*250)</f>
        <v>4.0906206966465275</v>
      </c>
      <c r="AM98" s="1691">
        <f ca="1">Costs!AM97/('Global assumptions'!$C$7*NAIRA2010_*250)</f>
        <v>4.1214123795124804</v>
      </c>
      <c r="AN98" s="1691">
        <f ca="1">Costs!AN97/('Global assumptions'!$C$7*NAIRA2010_*250)</f>
        <v>4.0906925494681898</v>
      </c>
      <c r="AO98" s="1691">
        <f ca="1">Costs!AO97/('Global assumptions'!$C$7*NAIRA2010_*250)</f>
        <v>4.1214842323341392</v>
      </c>
      <c r="AP98" s="1691">
        <f ca="1">Costs!AP97/('Global assumptions'!$C$7*NAIRA2010_*250)</f>
        <v>4.0907644022898548</v>
      </c>
      <c r="AQ98" s="1691">
        <f ca="1">Costs!AQ97/('Global assumptions'!$C$7*NAIRA2010_*250)</f>
        <v>4.121556085155798</v>
      </c>
      <c r="AS98" s="1707">
        <f t="shared" ca="1" si="22"/>
        <v>3.1953303482822917</v>
      </c>
      <c r="AT98" s="1707">
        <f t="shared" ca="1" si="26"/>
        <v>20.863067169459082</v>
      </c>
      <c r="AU98" s="675"/>
      <c r="AV98" s="1699">
        <f>IFERROR(VLOOKUP($A98,Cost.FinanceCostTable,7,FALSE),'Global assumptions'!$D$35)</f>
        <v>0</v>
      </c>
      <c r="AW98" s="1690">
        <f>IFERROR(VLOOKUP($A98,Cost.FinanceCostTable,8,FALSE),'Global assumptions'!$E$35)</f>
        <v>5</v>
      </c>
      <c r="AX98" s="675"/>
      <c r="AY98" s="1691">
        <f ca="1">Costs!AY97/('Global assumptions'!$C$7*NAIRA2010_*250)</f>
        <v>0</v>
      </c>
      <c r="AZ98" s="1691">
        <f ca="1">Costs!AZ97/('Global assumptions'!$C$7*NAIRA2010_*250)</f>
        <v>0</v>
      </c>
      <c r="BA98" s="1691">
        <f ca="1">Costs!BA97/('Global assumptions'!$C$7*NAIRA2010_*250)</f>
        <v>2.7091837069837559</v>
      </c>
      <c r="BB98" s="1691">
        <f ca="1">Costs!BB97/('Global assumptions'!$C$7*NAIRA2010_*250)</f>
        <v>2.6889659181256675</v>
      </c>
      <c r="BC98" s="1691">
        <f ca="1">Costs!BC97/('Global assumptions'!$C$7*NAIRA2010_*250)</f>
        <v>2.7091837069837559</v>
      </c>
      <c r="BD98" s="1691">
        <f ca="1">Costs!BD97/('Global assumptions'!$C$7*NAIRA2010_*250)</f>
        <v>2.6889659181256675</v>
      </c>
      <c r="BE98" s="1691">
        <f ca="1">Costs!BE97/('Global assumptions'!$C$7*NAIRA2010_*250)</f>
        <v>2.7091837069837545</v>
      </c>
      <c r="BF98" s="1691">
        <f ca="1">Costs!BF97/('Global assumptions'!$C$7*NAIRA2010_*250)</f>
        <v>2.6889659181256693</v>
      </c>
      <c r="BG98" s="1691">
        <f ca="1">Costs!BG97/('Global assumptions'!$C$7*NAIRA2010_*250)</f>
        <v>2.7091837069837519</v>
      </c>
      <c r="BH98" s="675"/>
      <c r="BI98" s="1691">
        <f ca="1">Costs!BI97/('Global assumptions'!$C$7*NAIRA2010_*250)</f>
        <v>0</v>
      </c>
      <c r="BJ98" s="1691">
        <f ca="1">Costs!BJ97/('Global assumptions'!$C$7*NAIRA2010_*250)</f>
        <v>0</v>
      </c>
      <c r="BK98" s="1691">
        <f ca="1">Costs!BK97/('Global assumptions'!$C$7*NAIRA2010_*250)</f>
        <v>2.7091837069837559</v>
      </c>
      <c r="BL98" s="1691">
        <f ca="1">Costs!BL97/('Global assumptions'!$C$7*NAIRA2010_*250)</f>
        <v>5.398149625109423</v>
      </c>
      <c r="BM98" s="1691">
        <f ca="1">Costs!BM97/('Global assumptions'!$C$7*NAIRA2010_*250)</f>
        <v>8.1073333320931784</v>
      </c>
      <c r="BN98" s="1691">
        <f ca="1">Costs!BN97/('Global assumptions'!$C$7*NAIRA2010_*250)</f>
        <v>8.0871155432350914</v>
      </c>
      <c r="BO98" s="1691">
        <f ca="1">Costs!BO97/('Global assumptions'!$C$7*NAIRA2010_*250)</f>
        <v>8.1073333320931766</v>
      </c>
      <c r="BP98" s="1691">
        <f ca="1">Costs!BP97/('Global assumptions'!$C$7*NAIRA2010_*250)</f>
        <v>8.0871155432350914</v>
      </c>
      <c r="BQ98" s="1691">
        <f ca="1">Costs!BQ97/('Global assumptions'!$C$7*NAIRA2010_*250)</f>
        <v>8.1073333320931766</v>
      </c>
      <c r="BR98" s="675"/>
      <c r="BS98" s="1691">
        <f ca="1">Costs!BS97/('Global assumptions'!$C$7*NAIRA2010_*250)</f>
        <v>5.1131221407543221E-5</v>
      </c>
      <c r="BT98" s="1691">
        <f ca="1">Costs!BT97/('Global assumptions'!$C$7*NAIRA2010_*250)</f>
        <v>5.1131221407543221E-5</v>
      </c>
      <c r="BU98" s="1691">
        <f ca="1">Costs!BU97/('Global assumptions'!$C$7*NAIRA2010_*250)</f>
        <v>2.7092708991718402</v>
      </c>
      <c r="BV98" s="1691">
        <f ca="1">Costs!BV97/('Global assumptions'!$C$7*NAIRA2010_*250)</f>
        <v>5.3982726091524933</v>
      </c>
      <c r="BW98" s="1691">
        <f ca="1">Costs!BW97/('Global assumptions'!$C$7*NAIRA2010_*250)</f>
        <v>8.1074923771029255</v>
      </c>
      <c r="BX98" s="1691">
        <f ca="1">Costs!BX97/('Global assumptions'!$C$7*NAIRA2010_*250)</f>
        <v>8.0873103800998241</v>
      </c>
      <c r="BY98" s="1691">
        <f ca="1">Costs!BY97/('Global assumptions'!$C$7*NAIRA2010_*250)</f>
        <v>8.107564229924586</v>
      </c>
      <c r="BZ98" s="1691">
        <f ca="1">Costs!BZ97/('Global assumptions'!$C$7*NAIRA2010_*250)</f>
        <v>8.0873822329214864</v>
      </c>
      <c r="CA98" s="1691">
        <f ca="1">Costs!CA97/('Global assumptions'!$C$7*NAIRA2010_*250)</f>
        <v>8.1076360827462466</v>
      </c>
      <c r="CC98" s="1707">
        <f t="shared" ca="1" si="23"/>
        <v>5.4005590081735795</v>
      </c>
      <c r="CD98" s="1707">
        <f t="shared" ca="1" si="27"/>
        <v>27.493025402917048</v>
      </c>
      <c r="CF98" s="1691">
        <f ca="1">Costs!CF97/('Global assumptions'!$C$7*NAIRA2010_*250)</f>
        <v>0</v>
      </c>
      <c r="CG98" s="1691">
        <f ca="1">Costs!CG97/('Global assumptions'!$C$7*NAIRA2010_*250)</f>
        <v>0</v>
      </c>
      <c r="CH98" s="1691">
        <f ca="1">Costs!CH97/('Global assumptions'!$C$7*NAIRA2010_*250)</f>
        <v>-1.412069627518977</v>
      </c>
      <c r="CI98" s="1691">
        <f ca="1">Costs!CI97/('Global assumptions'!$C$7*NAIRA2010_*250)</f>
        <v>1.3076519125059654</v>
      </c>
      <c r="CJ98" s="1691">
        <f ca="1">Costs!CJ97/('Global assumptions'!$C$7*NAIRA2010_*250)</f>
        <v>3.9860799975904455</v>
      </c>
      <c r="CK98" s="1691">
        <f ca="1">Costs!CK97/('Global assumptions'!$C$7*NAIRA2010_*250)</f>
        <v>3.9966178306316338</v>
      </c>
      <c r="CL98" s="1691">
        <f ca="1">Costs!CL97/('Global assumptions'!$C$7*NAIRA2010_*250)</f>
        <v>3.9860799975904468</v>
      </c>
      <c r="CM98" s="1691">
        <f ca="1">Costs!CM97/('Global assumptions'!$C$7*NAIRA2010_*250)</f>
        <v>3.9966178306316307</v>
      </c>
      <c r="CN98" s="1691">
        <f ca="1">Costs!CN97/('Global assumptions'!$C$7*NAIRA2010_*250)</f>
        <v>3.9860799975904486</v>
      </c>
      <c r="CP98" s="1707">
        <f t="shared" ca="1" si="24"/>
        <v>2.2052286598912882</v>
      </c>
      <c r="CQ98" s="1707">
        <f t="shared" ca="1" si="28"/>
        <v>6.6299582334579661</v>
      </c>
      <c r="CR98" s="1426" t="str">
        <f t="shared" ca="1" si="29"/>
        <v>ok</v>
      </c>
    </row>
    <row r="99" spans="1:96" s="2479" customFormat="1" x14ac:dyDescent="0.2">
      <c r="A99" s="1685" t="s">
        <v>2364</v>
      </c>
      <c r="B99" s="1685" t="s">
        <v>2404</v>
      </c>
      <c r="C99" s="1685" t="s">
        <v>4</v>
      </c>
      <c r="E99" s="1691">
        <f ca="1">Costs!E98/('Global assumptions'!$C$7*NAIRA2010_*250)</f>
        <v>0</v>
      </c>
      <c r="F99" s="1691">
        <f ca="1">Costs!F98/('Global assumptions'!$C$7*NAIRA2010_*250)</f>
        <v>0</v>
      </c>
      <c r="G99" s="1691">
        <f ca="1">Costs!G98/('Global assumptions'!$C$7*NAIRA2010_*250)</f>
        <v>0</v>
      </c>
      <c r="H99" s="1691">
        <f ca="1">Costs!H98/('Global assumptions'!$C$7*NAIRA2010_*250)</f>
        <v>3.774703380601971</v>
      </c>
      <c r="I99" s="1691">
        <f ca="1">Costs!I98/('Global assumptions'!$C$7*NAIRA2010_*250)</f>
        <v>1.8869672450272454</v>
      </c>
      <c r="J99" s="1691">
        <f ca="1">Costs!J98/('Global assumptions'!$C$7*NAIRA2010_*250)</f>
        <v>1.886967245027283</v>
      </c>
      <c r="K99" s="1691">
        <f ca="1">Costs!K98/('Global assumptions'!$C$7*NAIRA2010_*250)</f>
        <v>1.8869672450272446</v>
      </c>
      <c r="L99" s="1691">
        <f ca="1">Costs!L98/('Global assumptions'!$C$7*NAIRA2010_*250)</f>
        <v>1.8869672450272454</v>
      </c>
      <c r="M99" s="1691">
        <f ca="1">Costs!M98/('Global assumptions'!$C$7*NAIRA2010_*250)</f>
        <v>1.8869672450272446</v>
      </c>
      <c r="N99" s="675"/>
      <c r="O99" s="1691">
        <f ca="1">Costs!O98/('Global assumptions'!$C$7*NAIRA2010_*250)</f>
        <v>2.4604497519419294E-6</v>
      </c>
      <c r="P99" s="1691">
        <f ca="1">Costs!P98/('Global assumptions'!$C$7*NAIRA2010_*250)</f>
        <v>2.4604497519419294E-6</v>
      </c>
      <c r="Q99" s="1691">
        <f ca="1">Costs!Q98/('Global assumptions'!$C$7*NAIRA2010_*250)</f>
        <v>2.4604497519419294E-6</v>
      </c>
      <c r="R99" s="1691">
        <f ca="1">Costs!R98/('Global assumptions'!$C$7*NAIRA2010_*250)</f>
        <v>4.020748355796164E-5</v>
      </c>
      <c r="S99" s="1691">
        <f ca="1">Costs!S98/('Global assumptions'!$C$7*NAIRA2010_*250)</f>
        <v>5.9077156008234092E-5</v>
      </c>
      <c r="T99" s="1691">
        <f ca="1">Costs!T98/('Global assumptions'!$C$7*NAIRA2010_*250)</f>
        <v>7.7946828458506917E-5</v>
      </c>
      <c r="U99" s="1691">
        <f ca="1">Costs!U98/('Global assumptions'!$C$7*NAIRA2010_*250)</f>
        <v>9.6816500908779369E-5</v>
      </c>
      <c r="V99" s="1691">
        <f ca="1">Costs!V98/('Global assumptions'!$C$7*NAIRA2010_*250)</f>
        <v>1.1568617335905184E-4</v>
      </c>
      <c r="W99" s="1691">
        <f ca="1">Costs!W98/('Global assumptions'!$C$7*NAIRA2010_*250)</f>
        <v>1.3455584580932426E-4</v>
      </c>
      <c r="X99" s="675"/>
      <c r="Y99" s="1691">
        <f ca="1">Costs!Y98/('Global assumptions'!$C$7*NAIRA2010_*250)</f>
        <v>0</v>
      </c>
      <c r="Z99" s="1691">
        <f ca="1">Costs!Z98/('Global assumptions'!$C$7*NAIRA2010_*250)</f>
        <v>0</v>
      </c>
      <c r="AA99" s="1691">
        <f ca="1">Costs!AA98/('Global assumptions'!$C$7*NAIRA2010_*250)</f>
        <v>0</v>
      </c>
      <c r="AB99" s="1691">
        <f ca="1">Costs!AB98/('Global assumptions'!$C$7*NAIRA2010_*250)</f>
        <v>0</v>
      </c>
      <c r="AC99" s="1691">
        <f ca="1">Costs!AC98/('Global assumptions'!$C$7*NAIRA2010_*250)</f>
        <v>0</v>
      </c>
      <c r="AD99" s="1691">
        <f ca="1">Costs!AD98/('Global assumptions'!$C$7*NAIRA2010_*250)</f>
        <v>0</v>
      </c>
      <c r="AE99" s="1691">
        <f ca="1">Costs!AE98/('Global assumptions'!$C$7*NAIRA2010_*250)</f>
        <v>0</v>
      </c>
      <c r="AF99" s="1691">
        <f ca="1">Costs!AF98/('Global assumptions'!$C$7*NAIRA2010_*250)</f>
        <v>0</v>
      </c>
      <c r="AG99" s="1691">
        <f ca="1">Costs!AG98/('Global assumptions'!$C$7*NAIRA2010_*250)</f>
        <v>0</v>
      </c>
      <c r="AH99" s="675"/>
      <c r="AI99" s="1691">
        <f ca="1">Costs!AI98/('Global assumptions'!$C$7*NAIRA2010_*250)</f>
        <v>2.4604497519419294E-6</v>
      </c>
      <c r="AJ99" s="1691">
        <f ca="1">Costs!AJ98/('Global assumptions'!$C$7*NAIRA2010_*250)</f>
        <v>2.4604497519419294E-6</v>
      </c>
      <c r="AK99" s="1691">
        <f ca="1">Costs!AK98/('Global assumptions'!$C$7*NAIRA2010_*250)</f>
        <v>2.4604497519419294E-6</v>
      </c>
      <c r="AL99" s="1691">
        <f ca="1">Costs!AL98/('Global assumptions'!$C$7*NAIRA2010_*250)</f>
        <v>3.7747435880855291</v>
      </c>
      <c r="AM99" s="1691">
        <f ca="1">Costs!AM98/('Global assumptions'!$C$7*NAIRA2010_*250)</f>
        <v>1.8870263221832535</v>
      </c>
      <c r="AN99" s="1691">
        <f ca="1">Costs!AN98/('Global assumptions'!$C$7*NAIRA2010_*250)</f>
        <v>1.8870451918557416</v>
      </c>
      <c r="AO99" s="1691">
        <f ca="1">Costs!AO98/('Global assumptions'!$C$7*NAIRA2010_*250)</f>
        <v>1.8870640615281535</v>
      </c>
      <c r="AP99" s="1691">
        <f ca="1">Costs!AP98/('Global assumptions'!$C$7*NAIRA2010_*250)</f>
        <v>1.8870829312006043</v>
      </c>
      <c r="AQ99" s="1691">
        <f ca="1">Costs!AQ98/('Global assumptions'!$C$7*NAIRA2010_*250)</f>
        <v>1.887101800873054</v>
      </c>
      <c r="AS99" s="1707">
        <f t="shared" ca="1" si="22"/>
        <v>1.4677856974528436</v>
      </c>
      <c r="AT99" s="1707">
        <f t="shared" ca="1" si="26"/>
        <v>8.201059523038607</v>
      </c>
      <c r="AU99" s="675"/>
      <c r="AV99" s="1699">
        <f>IFERROR(VLOOKUP($A99,Cost.FinanceCostTable,7,FALSE),'Global assumptions'!$D$35)</f>
        <v>0</v>
      </c>
      <c r="AW99" s="1690">
        <f>IFERROR(VLOOKUP($A99,Cost.FinanceCostTable,8,FALSE),'Global assumptions'!$E$35)</f>
        <v>5</v>
      </c>
      <c r="AX99" s="675"/>
      <c r="AY99" s="1691">
        <f ca="1">Costs!AY98/('Global assumptions'!$C$7*NAIRA2010_*250)</f>
        <v>0</v>
      </c>
      <c r="AZ99" s="1691">
        <f ca="1">Costs!AZ98/('Global assumptions'!$C$7*NAIRA2010_*250)</f>
        <v>0</v>
      </c>
      <c r="BA99" s="1691">
        <f ca="1">Costs!BA98/('Global assumptions'!$C$7*NAIRA2010_*250)</f>
        <v>0</v>
      </c>
      <c r="BB99" s="1691">
        <f ca="1">Costs!BB98/('Global assumptions'!$C$7*NAIRA2010_*250)</f>
        <v>2.4813725503863666</v>
      </c>
      <c r="BC99" s="1691">
        <f ca="1">Costs!BC98/('Global assumptions'!$C$7*NAIRA2010_*250)</f>
        <v>1.2404335528324575</v>
      </c>
      <c r="BD99" s="1691">
        <f ca="1">Costs!BD98/('Global assumptions'!$C$7*NAIRA2010_*250)</f>
        <v>1.2404335528324824</v>
      </c>
      <c r="BE99" s="1691">
        <f ca="1">Costs!BE98/('Global assumptions'!$C$7*NAIRA2010_*250)</f>
        <v>1.2404335528324573</v>
      </c>
      <c r="BF99" s="1691">
        <f ca="1">Costs!BF98/('Global assumptions'!$C$7*NAIRA2010_*250)</f>
        <v>1.2404335528324575</v>
      </c>
      <c r="BG99" s="1691">
        <f ca="1">Costs!BG98/('Global assumptions'!$C$7*NAIRA2010_*250)</f>
        <v>1.2404335528324573</v>
      </c>
      <c r="BH99" s="675"/>
      <c r="BI99" s="1691">
        <f ca="1">Costs!BI98/('Global assumptions'!$C$7*NAIRA2010_*250)</f>
        <v>0</v>
      </c>
      <c r="BJ99" s="1691">
        <f ca="1">Costs!BJ98/('Global assumptions'!$C$7*NAIRA2010_*250)</f>
        <v>0</v>
      </c>
      <c r="BK99" s="1691">
        <f ca="1">Costs!BK98/('Global assumptions'!$C$7*NAIRA2010_*250)</f>
        <v>0</v>
      </c>
      <c r="BL99" s="1691">
        <f ca="1">Costs!BL98/('Global assumptions'!$C$7*NAIRA2010_*250)</f>
        <v>2.4813725503863666</v>
      </c>
      <c r="BM99" s="1691">
        <f ca="1">Costs!BM98/('Global assumptions'!$C$7*NAIRA2010_*250)</f>
        <v>3.7218061032188237</v>
      </c>
      <c r="BN99" s="1691">
        <f ca="1">Costs!BN98/('Global assumptions'!$C$7*NAIRA2010_*250)</f>
        <v>4.962239656051306</v>
      </c>
      <c r="BO99" s="1691">
        <f ca="1">Costs!BO98/('Global assumptions'!$C$7*NAIRA2010_*250)</f>
        <v>3.7213006584973973</v>
      </c>
      <c r="BP99" s="1691">
        <f ca="1">Costs!BP98/('Global assumptions'!$C$7*NAIRA2010_*250)</f>
        <v>3.7213006584973973</v>
      </c>
      <c r="BQ99" s="1691">
        <f ca="1">Costs!BQ98/('Global assumptions'!$C$7*NAIRA2010_*250)</f>
        <v>3.7213006584973716</v>
      </c>
      <c r="BR99" s="675"/>
      <c r="BS99" s="1691">
        <f ca="1">Costs!BS98/('Global assumptions'!$C$7*NAIRA2010_*250)</f>
        <v>2.4604497519419294E-6</v>
      </c>
      <c r="BT99" s="1691">
        <f ca="1">Costs!BT98/('Global assumptions'!$C$7*NAIRA2010_*250)</f>
        <v>2.4604497519419294E-6</v>
      </c>
      <c r="BU99" s="1691">
        <f ca="1">Costs!BU98/('Global assumptions'!$C$7*NAIRA2010_*250)</f>
        <v>2.4604497519419294E-6</v>
      </c>
      <c r="BV99" s="1691">
        <f ca="1">Costs!BV98/('Global assumptions'!$C$7*NAIRA2010_*250)</f>
        <v>2.4814127578699243</v>
      </c>
      <c r="BW99" s="1691">
        <f ca="1">Costs!BW98/('Global assumptions'!$C$7*NAIRA2010_*250)</f>
        <v>3.7218651803748326</v>
      </c>
      <c r="BX99" s="1691">
        <f ca="1">Costs!BX98/('Global assumptions'!$C$7*NAIRA2010_*250)</f>
        <v>4.9623176028797644</v>
      </c>
      <c r="BY99" s="1691">
        <f ca="1">Costs!BY98/('Global assumptions'!$C$7*NAIRA2010_*250)</f>
        <v>3.7213974749983061</v>
      </c>
      <c r="BZ99" s="1691">
        <f ca="1">Costs!BZ98/('Global assumptions'!$C$7*NAIRA2010_*250)</f>
        <v>3.7214163446707564</v>
      </c>
      <c r="CA99" s="1691">
        <f ca="1">Costs!CA98/('Global assumptions'!$C$7*NAIRA2010_*250)</f>
        <v>3.721435214343181</v>
      </c>
      <c r="CC99" s="1707">
        <f t="shared" ca="1" si="23"/>
        <v>2.4810946618317802</v>
      </c>
      <c r="CD99" s="1707">
        <f t="shared" ca="1" si="27"/>
        <v>10.805978104727693</v>
      </c>
      <c r="CF99" s="1691">
        <f ca="1">Costs!CF98/('Global assumptions'!$C$7*NAIRA2010_*250)</f>
        <v>0</v>
      </c>
      <c r="CG99" s="1691">
        <f ca="1">Costs!CG98/('Global assumptions'!$C$7*NAIRA2010_*250)</f>
        <v>0</v>
      </c>
      <c r="CH99" s="1691">
        <f ca="1">Costs!CH98/('Global assumptions'!$C$7*NAIRA2010_*250)</f>
        <v>0</v>
      </c>
      <c r="CI99" s="1691">
        <f ca="1">Costs!CI98/('Global assumptions'!$C$7*NAIRA2010_*250)</f>
        <v>-1.2933308302156048</v>
      </c>
      <c r="CJ99" s="1691">
        <f ca="1">Costs!CJ98/('Global assumptions'!$C$7*NAIRA2010_*250)</f>
        <v>1.8348388581915784</v>
      </c>
      <c r="CK99" s="1691">
        <f ca="1">Costs!CK98/('Global assumptions'!$C$7*NAIRA2010_*250)</f>
        <v>3.0752724110240233</v>
      </c>
      <c r="CL99" s="1691">
        <f ca="1">Costs!CL98/('Global assumptions'!$C$7*NAIRA2010_*250)</f>
        <v>1.8343334134701528</v>
      </c>
      <c r="CM99" s="1691">
        <f ca="1">Costs!CM98/('Global assumptions'!$C$7*NAIRA2010_*250)</f>
        <v>1.8343334134701519</v>
      </c>
      <c r="CN99" s="1691">
        <f ca="1">Costs!CN98/('Global assumptions'!$C$7*NAIRA2010_*250)</f>
        <v>1.8343334134701268</v>
      </c>
      <c r="CP99" s="1707">
        <f t="shared" ca="1" si="24"/>
        <v>1.0133089643789364</v>
      </c>
      <c r="CQ99" s="1707">
        <f t="shared" ca="1" si="28"/>
        <v>2.6049185816890845</v>
      </c>
      <c r="CR99" s="1426" t="str">
        <f t="shared" ca="1" si="29"/>
        <v>ok</v>
      </c>
    </row>
    <row r="100" spans="1:96" s="2479" customFormat="1" x14ac:dyDescent="0.2">
      <c r="A100" s="1685" t="s">
        <v>2376</v>
      </c>
      <c r="B100" s="1685" t="s">
        <v>1192</v>
      </c>
      <c r="C100" s="1685" t="s">
        <v>4</v>
      </c>
      <c r="E100" s="1691">
        <f ca="1">Costs!E99/('Global assumptions'!$C$7*NAIRA2010_*250)</f>
        <v>0</v>
      </c>
      <c r="F100" s="1691">
        <f ca="1">Costs!F99/('Global assumptions'!$C$7*NAIRA2010_*250)</f>
        <v>0</v>
      </c>
      <c r="G100" s="1691">
        <f ca="1">Costs!G99/('Global assumptions'!$C$7*NAIRA2010_*250)</f>
        <v>18.053550054873909</v>
      </c>
      <c r="H100" s="1691">
        <f ca="1">Costs!H99/('Global assumptions'!$C$7*NAIRA2010_*250)</f>
        <v>30.32504319268428</v>
      </c>
      <c r="I100" s="1691">
        <f ca="1">Costs!I99/('Global assumptions'!$C$7*NAIRA2010_*250)</f>
        <v>45.672098520422047</v>
      </c>
      <c r="J100" s="1691">
        <f ca="1">Costs!J99/('Global assumptions'!$C$7*NAIRA2010_*250)</f>
        <v>76.44309823064583</v>
      </c>
      <c r="K100" s="1691">
        <f ca="1">Costs!K99/('Global assumptions'!$C$7*NAIRA2010_*250)</f>
        <v>45.687476331371734</v>
      </c>
      <c r="L100" s="1691">
        <f ca="1">Costs!L99/('Global assumptions'!$C$7*NAIRA2010_*250)</f>
        <v>79.118837335882631</v>
      </c>
      <c r="M100" s="1691">
        <f ca="1">Costs!M99/('Global assumptions'!$C$7*NAIRA2010_*250)</f>
        <v>109.44388052856696</v>
      </c>
      <c r="N100" s="675"/>
      <c r="O100" s="1691">
        <f ca="1">Costs!O99/('Global assumptions'!$C$7*NAIRA2010_*250)</f>
        <v>0</v>
      </c>
      <c r="P100" s="1691">
        <f ca="1">Costs!P99/('Global assumptions'!$C$7*NAIRA2010_*250)</f>
        <v>0</v>
      </c>
      <c r="Q100" s="1691">
        <f ca="1">Costs!Q99/('Global assumptions'!$C$7*NAIRA2010_*250)</f>
        <v>5.19039564077625E-4</v>
      </c>
      <c r="R100" s="1691">
        <f ca="1">Costs!R99/('Global assumptions'!$C$7*NAIRA2010_*250)</f>
        <v>1.3908845558672984E-3</v>
      </c>
      <c r="S100" s="1691">
        <f ca="1">Costs!S99/('Global assumptions'!$C$7*NAIRA2010_*250)</f>
        <v>2.7039573883294323E-3</v>
      </c>
      <c r="T100" s="1691">
        <f ca="1">Costs!T99/('Global assumptions'!$C$7*NAIRA2010_*250)</f>
        <v>4.901696462460501E-3</v>
      </c>
      <c r="U100" s="1691">
        <f ca="1">Costs!U99/('Global assumptions'!$C$7*NAIRA2010_*250)</f>
        <v>6.2152114069874385E-3</v>
      </c>
      <c r="V100" s="1691">
        <f ca="1">Costs!V99/('Global assumptions'!$C$7*NAIRA2010_*250)</f>
        <v>7.9708384163164406E-3</v>
      </c>
      <c r="W100" s="1691">
        <f ca="1">Costs!W99/('Global assumptions'!$C$7*NAIRA2010_*250)</f>
        <v>9.7264654256454426E-3</v>
      </c>
      <c r="X100" s="675"/>
      <c r="Y100" s="1691">
        <f ca="1">Costs!Y99/('Global assumptions'!$C$7*NAIRA2010_*250)</f>
        <v>0</v>
      </c>
      <c r="Z100" s="1691">
        <f ca="1">Costs!Z99/('Global assumptions'!$C$7*NAIRA2010_*250)</f>
        <v>0</v>
      </c>
      <c r="AA100" s="1691">
        <f ca="1">Costs!AA99/('Global assumptions'!$C$7*NAIRA2010_*250)</f>
        <v>0</v>
      </c>
      <c r="AB100" s="1691">
        <f ca="1">Costs!AB99/('Global assumptions'!$C$7*NAIRA2010_*250)</f>
        <v>0</v>
      </c>
      <c r="AC100" s="1691">
        <f ca="1">Costs!AC99/('Global assumptions'!$C$7*NAIRA2010_*250)</f>
        <v>0</v>
      </c>
      <c r="AD100" s="1691">
        <f ca="1">Costs!AD99/('Global assumptions'!$C$7*NAIRA2010_*250)</f>
        <v>0</v>
      </c>
      <c r="AE100" s="1691">
        <f ca="1">Costs!AE99/('Global assumptions'!$C$7*NAIRA2010_*250)</f>
        <v>0</v>
      </c>
      <c r="AF100" s="1691">
        <f ca="1">Costs!AF99/('Global assumptions'!$C$7*NAIRA2010_*250)</f>
        <v>0</v>
      </c>
      <c r="AG100" s="1691">
        <f ca="1">Costs!AG99/('Global assumptions'!$C$7*NAIRA2010_*250)</f>
        <v>0</v>
      </c>
      <c r="AH100" s="675"/>
      <c r="AI100" s="1691">
        <f ca="1">Costs!AI99/('Global assumptions'!$C$7*NAIRA2010_*250)</f>
        <v>0</v>
      </c>
      <c r="AJ100" s="1691">
        <f ca="1">Costs!AJ99/('Global assumptions'!$C$7*NAIRA2010_*250)</f>
        <v>0</v>
      </c>
      <c r="AK100" s="1691">
        <f ca="1">Costs!AK99/('Global assumptions'!$C$7*NAIRA2010_*250)</f>
        <v>18.054069094437985</v>
      </c>
      <c r="AL100" s="1691">
        <f ca="1">Costs!AL99/('Global assumptions'!$C$7*NAIRA2010_*250)</f>
        <v>30.326434077240148</v>
      </c>
      <c r="AM100" s="1691">
        <f ca="1">Costs!AM99/('Global assumptions'!$C$7*NAIRA2010_*250)</f>
        <v>45.674802477810381</v>
      </c>
      <c r="AN100" s="1691">
        <f ca="1">Costs!AN99/('Global assumptions'!$C$7*NAIRA2010_*250)</f>
        <v>76.447999927108299</v>
      </c>
      <c r="AO100" s="1691">
        <f ca="1">Costs!AO99/('Global assumptions'!$C$7*NAIRA2010_*250)</f>
        <v>45.693691542778723</v>
      </c>
      <c r="AP100" s="1691">
        <f ca="1">Costs!AP99/('Global assumptions'!$C$7*NAIRA2010_*250)</f>
        <v>79.126808174298958</v>
      </c>
      <c r="AQ100" s="1691">
        <f ca="1">Costs!AQ99/('Global assumptions'!$C$7*NAIRA2010_*250)</f>
        <v>109.45360699399261</v>
      </c>
      <c r="AS100" s="1707">
        <f t="shared" ca="1" si="22"/>
        <v>44.975268031963004</v>
      </c>
      <c r="AT100" s="1707">
        <f t="shared" ca="1" si="26"/>
        <v>196.31665795267739</v>
      </c>
      <c r="AU100" s="675"/>
      <c r="AV100" s="1699">
        <f>IFERROR(VLOOKUP($A100,Cost.FinanceCostTable,7,FALSE),'Global assumptions'!$D$35)</f>
        <v>0</v>
      </c>
      <c r="AW100" s="1690">
        <f>IFERROR(VLOOKUP($A100,Cost.FinanceCostTable,8,FALSE),'Global assumptions'!$E$35)</f>
        <v>5</v>
      </c>
      <c r="AX100" s="675"/>
      <c r="AY100" s="1691">
        <f ca="1">Costs!AY99/('Global assumptions'!$C$7*NAIRA2010_*250)</f>
        <v>0</v>
      </c>
      <c r="AZ100" s="1691">
        <f ca="1">Costs!AZ99/('Global assumptions'!$C$7*NAIRA2010_*250)</f>
        <v>0</v>
      </c>
      <c r="BA100" s="1691">
        <f ca="1">Costs!BA99/('Global assumptions'!$C$7*NAIRA2010_*250)</f>
        <v>11.867842059697495</v>
      </c>
      <c r="BB100" s="1691">
        <f ca="1">Costs!BB99/('Global assumptions'!$C$7*NAIRA2010_*250)</f>
        <v>19.934739814074497</v>
      </c>
      <c r="BC100" s="1691">
        <f ca="1">Costs!BC99/('Global assumptions'!$C$7*NAIRA2010_*250)</f>
        <v>30.023416454260257</v>
      </c>
      <c r="BD100" s="1691">
        <f ca="1">Costs!BD99/('Global assumptions'!$C$7*NAIRA2010_*250)</f>
        <v>50.251314206777053</v>
      </c>
      <c r="BE100" s="1691">
        <f ca="1">Costs!BE99/('Global assumptions'!$C$7*NAIRA2010_*250)</f>
        <v>30.033525348689334</v>
      </c>
      <c r="BF100" s="1691">
        <f ca="1">Costs!BF99/('Global assumptions'!$C$7*NAIRA2010_*250)</f>
        <v>52.01026183743064</v>
      </c>
      <c r="BG100" s="1691">
        <f ca="1">Costs!BG99/('Global assumptions'!$C$7*NAIRA2010_*250)</f>
        <v>71.94500165150518</v>
      </c>
      <c r="BH100" s="675"/>
      <c r="BI100" s="1691">
        <f ca="1">Costs!BI99/('Global assumptions'!$C$7*NAIRA2010_*250)</f>
        <v>0</v>
      </c>
      <c r="BJ100" s="1691">
        <f ca="1">Costs!BJ99/('Global assumptions'!$C$7*NAIRA2010_*250)</f>
        <v>0</v>
      </c>
      <c r="BK100" s="1691">
        <f ca="1">Costs!BK99/('Global assumptions'!$C$7*NAIRA2010_*250)</f>
        <v>11.867842059697495</v>
      </c>
      <c r="BL100" s="1691">
        <f ca="1">Costs!BL99/('Global assumptions'!$C$7*NAIRA2010_*250)</f>
        <v>31.802581873771988</v>
      </c>
      <c r="BM100" s="1691">
        <f ca="1">Costs!BM99/('Global assumptions'!$C$7*NAIRA2010_*250)</f>
        <v>61.825998328032242</v>
      </c>
      <c r="BN100" s="1691">
        <f ca="1">Costs!BN99/('Global assumptions'!$C$7*NAIRA2010_*250)</f>
        <v>100.2094704751118</v>
      </c>
      <c r="BO100" s="1691">
        <f ca="1">Costs!BO99/('Global assumptions'!$C$7*NAIRA2010_*250)</f>
        <v>110.30825600972666</v>
      </c>
      <c r="BP100" s="1691">
        <f ca="1">Costs!BP99/('Global assumptions'!$C$7*NAIRA2010_*250)</f>
        <v>132.29510139289704</v>
      </c>
      <c r="BQ100" s="1691">
        <f ca="1">Costs!BQ99/('Global assumptions'!$C$7*NAIRA2010_*250)</f>
        <v>153.98878883762515</v>
      </c>
      <c r="BR100" s="675"/>
      <c r="BS100" s="1691">
        <f ca="1">Costs!BS99/('Global assumptions'!$C$7*NAIRA2010_*250)</f>
        <v>0</v>
      </c>
      <c r="BT100" s="1691">
        <f ca="1">Costs!BT99/('Global assumptions'!$C$7*NAIRA2010_*250)</f>
        <v>0</v>
      </c>
      <c r="BU100" s="1691">
        <f ca="1">Costs!BU99/('Global assumptions'!$C$7*NAIRA2010_*250)</f>
        <v>11.868361099261573</v>
      </c>
      <c r="BV100" s="1691">
        <f ca="1">Costs!BV99/('Global assumptions'!$C$7*NAIRA2010_*250)</f>
        <v>31.803972758327856</v>
      </c>
      <c r="BW100" s="1691">
        <f ca="1">Costs!BW99/('Global assumptions'!$C$7*NAIRA2010_*250)</f>
        <v>61.828702285420569</v>
      </c>
      <c r="BX100" s="1691">
        <f ca="1">Costs!BX99/('Global assumptions'!$C$7*NAIRA2010_*250)</f>
        <v>100.21437217157425</v>
      </c>
      <c r="BY100" s="1691">
        <f ca="1">Costs!BY99/('Global assumptions'!$C$7*NAIRA2010_*250)</f>
        <v>110.31447122113364</v>
      </c>
      <c r="BZ100" s="1691">
        <f ca="1">Costs!BZ99/('Global assumptions'!$C$7*NAIRA2010_*250)</f>
        <v>132.30307223131334</v>
      </c>
      <c r="CA100" s="1691">
        <f ca="1">Costs!CA99/('Global assumptions'!$C$7*NAIRA2010_*250)</f>
        <v>153.99851530305079</v>
      </c>
      <c r="CC100" s="1707">
        <f t="shared" ca="1" si="23"/>
        <v>66.925718563342443</v>
      </c>
      <c r="CD100" s="1707">
        <f t="shared" ca="1" si="27"/>
        <v>250.29255237064933</v>
      </c>
      <c r="CF100" s="1691">
        <f ca="1">Costs!CF99/('Global assumptions'!$C$7*NAIRA2010_*250)</f>
        <v>0</v>
      </c>
      <c r="CG100" s="1691">
        <f ca="1">Costs!CG99/('Global assumptions'!$C$7*NAIRA2010_*250)</f>
        <v>0</v>
      </c>
      <c r="CH100" s="1691">
        <f ca="1">Costs!CH99/('Global assumptions'!$C$7*NAIRA2010_*250)</f>
        <v>-6.1857079951764131</v>
      </c>
      <c r="CI100" s="1691">
        <f ca="1">Costs!CI99/('Global assumptions'!$C$7*NAIRA2010_*250)</f>
        <v>1.4775386810877076</v>
      </c>
      <c r="CJ100" s="1691">
        <f ca="1">Costs!CJ99/('Global assumptions'!$C$7*NAIRA2010_*250)</f>
        <v>16.153899807610195</v>
      </c>
      <c r="CK100" s="1691">
        <f ca="1">Costs!CK99/('Global assumptions'!$C$7*NAIRA2010_*250)</f>
        <v>23.766372244465966</v>
      </c>
      <c r="CL100" s="1691">
        <f ca="1">Costs!CL99/('Global assumptions'!$C$7*NAIRA2010_*250)</f>
        <v>64.620779678354921</v>
      </c>
      <c r="CM100" s="1691">
        <f ca="1">Costs!CM99/('Global assumptions'!$C$7*NAIRA2010_*250)</f>
        <v>53.176264057014393</v>
      </c>
      <c r="CN100" s="1691">
        <f ca="1">Costs!CN99/('Global assumptions'!$C$7*NAIRA2010_*250)</f>
        <v>44.544908309058187</v>
      </c>
      <c r="CP100" s="1707">
        <f t="shared" ca="1" si="24"/>
        <v>21.950450531379445</v>
      </c>
      <c r="CQ100" s="1707">
        <f t="shared" ca="1" si="28"/>
        <v>53.975894417971958</v>
      </c>
      <c r="CR100" s="1426" t="str">
        <f t="shared" ca="1" si="29"/>
        <v>ok</v>
      </c>
    </row>
    <row r="101" spans="1:96" x14ac:dyDescent="0.2">
      <c r="A101" s="1683" t="s">
        <v>409</v>
      </c>
      <c r="B101" s="1683" t="s">
        <v>2371</v>
      </c>
      <c r="C101" s="1683" t="s">
        <v>4</v>
      </c>
      <c r="E101" s="1689">
        <f ca="1">Costs!E100/('Global assumptions'!$C$7*NAIRA2010_*250)</f>
        <v>0</v>
      </c>
      <c r="F101" s="1689">
        <f ca="1">Costs!F100/('Global assumptions'!$C$7*NAIRA2010_*250)</f>
        <v>0</v>
      </c>
      <c r="G101" s="1689">
        <f ca="1">Costs!G100/('Global assumptions'!$C$7*NAIRA2010_*250)</f>
        <v>24.147007643667589</v>
      </c>
      <c r="H101" s="1689">
        <f ca="1">Costs!H100/('Global assumptions'!$C$7*NAIRA2010_*250)</f>
        <v>24.189296623779097</v>
      </c>
      <c r="I101" s="1689">
        <f ca="1">Costs!I100/('Global assumptions'!$C$7*NAIRA2010_*250)</f>
        <v>24.147007643667596</v>
      </c>
      <c r="J101" s="1689">
        <f ca="1">Costs!J100/('Global assumptions'!$C$7*NAIRA2010_*250)</f>
        <v>24.189296623779089</v>
      </c>
      <c r="K101" s="1689">
        <f ca="1">Costs!K100/('Global assumptions'!$C$7*NAIRA2010_*250)</f>
        <v>24.147007643667589</v>
      </c>
      <c r="L101" s="1689">
        <f ca="1">Costs!L100/('Global assumptions'!$C$7*NAIRA2010_*250)</f>
        <v>48.336304267446693</v>
      </c>
      <c r="M101" s="1689">
        <f ca="1">Costs!M100/('Global assumptions'!$C$7*NAIRA2010_*250)</f>
        <v>72.483311911114271</v>
      </c>
      <c r="N101" s="675"/>
      <c r="O101" s="1689">
        <f ca="1">Costs!O100/('Global assumptions'!$C$7*NAIRA2010_*250)</f>
        <v>0</v>
      </c>
      <c r="P101" s="1689">
        <f ca="1">Costs!P100/('Global assumptions'!$C$7*NAIRA2010_*250)</f>
        <v>0</v>
      </c>
      <c r="Q101" s="1689">
        <f ca="1">Costs!Q100/('Global assumptions'!$C$7*NAIRA2010_*250)</f>
        <v>8.7807300522427614E-4</v>
      </c>
      <c r="R101" s="1689">
        <f ca="1">Costs!R100/('Global assumptions'!$C$7*NAIRA2010_*250)</f>
        <v>1.757683791543516E-3</v>
      </c>
      <c r="S101" s="1689">
        <f ca="1">Costs!S100/('Global assumptions'!$C$7*NAIRA2010_*250)</f>
        <v>2.6357567967677919E-3</v>
      </c>
      <c r="T101" s="1689">
        <f ca="1">Costs!T100/('Global assumptions'!$C$7*NAIRA2010_*250)</f>
        <v>3.5153675830870319E-3</v>
      </c>
      <c r="U101" s="1689">
        <f ca="1">Costs!U100/('Global assumptions'!$C$7*NAIRA2010_*250)</f>
        <v>4.3934405883113078E-3</v>
      </c>
      <c r="V101" s="1689">
        <f ca="1">Costs!V100/('Global assumptions'!$C$7*NAIRA2010_*250)</f>
        <v>5.2730513746305479E-3</v>
      </c>
      <c r="W101" s="1689">
        <f ca="1">Costs!W100/('Global assumptions'!$C$7*NAIRA2010_*250)</f>
        <v>6.1511243798548238E-3</v>
      </c>
      <c r="X101" s="675"/>
      <c r="Y101" s="1689">
        <f ca="1">Costs!Y100/('Global assumptions'!$C$7*NAIRA2010_*250)</f>
        <v>0</v>
      </c>
      <c r="Z101" s="1689">
        <f ca="1">Costs!Z100/('Global assumptions'!$C$7*NAIRA2010_*250)</f>
        <v>0</v>
      </c>
      <c r="AA101" s="1689">
        <f ca="1">Costs!AA100/('Global assumptions'!$C$7*NAIRA2010_*250)</f>
        <v>0</v>
      </c>
      <c r="AB101" s="1689">
        <f ca="1">Costs!AB100/('Global assumptions'!$C$7*NAIRA2010_*250)</f>
        <v>0</v>
      </c>
      <c r="AC101" s="1689">
        <f ca="1">Costs!AC100/('Global assumptions'!$C$7*NAIRA2010_*250)</f>
        <v>0</v>
      </c>
      <c r="AD101" s="1689">
        <f ca="1">Costs!AD100/('Global assumptions'!$C$7*NAIRA2010_*250)</f>
        <v>0</v>
      </c>
      <c r="AE101" s="1689">
        <f ca="1">Costs!AE100/('Global assumptions'!$C$7*NAIRA2010_*250)</f>
        <v>0</v>
      </c>
      <c r="AF101" s="1689">
        <f ca="1">Costs!AF100/('Global assumptions'!$C$7*NAIRA2010_*250)</f>
        <v>0</v>
      </c>
      <c r="AG101" s="1689">
        <f ca="1">Costs!AG100/('Global assumptions'!$C$7*NAIRA2010_*250)</f>
        <v>0</v>
      </c>
      <c r="AH101" s="675"/>
      <c r="AI101" s="1689">
        <f ca="1">Costs!AI100/('Global assumptions'!$C$7*NAIRA2010_*250)</f>
        <v>0</v>
      </c>
      <c r="AJ101" s="1689">
        <f ca="1">Costs!AJ100/('Global assumptions'!$C$7*NAIRA2010_*250)</f>
        <v>0</v>
      </c>
      <c r="AK101" s="1689">
        <f ca="1">Costs!AK100/('Global assumptions'!$C$7*NAIRA2010_*250)</f>
        <v>24.147885716672814</v>
      </c>
      <c r="AL101" s="1689">
        <f ca="1">Costs!AL100/('Global assumptions'!$C$7*NAIRA2010_*250)</f>
        <v>24.191054307570642</v>
      </c>
      <c r="AM101" s="1689">
        <f ca="1">Costs!AM100/('Global assumptions'!$C$7*NAIRA2010_*250)</f>
        <v>24.149643400464363</v>
      </c>
      <c r="AN101" s="1689">
        <f ca="1">Costs!AN100/('Global assumptions'!$C$7*NAIRA2010_*250)</f>
        <v>24.192811991362177</v>
      </c>
      <c r="AO101" s="1689">
        <f ca="1">Costs!AO100/('Global assumptions'!$C$7*NAIRA2010_*250)</f>
        <v>24.151401084255902</v>
      </c>
      <c r="AP101" s="1689">
        <f ca="1">Costs!AP100/('Global assumptions'!$C$7*NAIRA2010_*250)</f>
        <v>48.341577318821322</v>
      </c>
      <c r="AQ101" s="1689">
        <f ca="1">Costs!AQ100/('Global assumptions'!$C$7*NAIRA2010_*250)</f>
        <v>72.489463035494126</v>
      </c>
      <c r="AS101" s="1706">
        <f t="shared" ca="1" si="22"/>
        <v>26.851537428293486</v>
      </c>
      <c r="AT101" s="1706">
        <f t="shared" ca="1" si="26"/>
        <v>138.94398489395425</v>
      </c>
      <c r="AU101" s="675"/>
      <c r="AV101" s="1699">
        <f>IFERROR(VLOOKUP($A101,Cost.FinanceCostTable,7,FALSE),'Global assumptions'!$D$35)</f>
        <v>0.1</v>
      </c>
      <c r="AW101" s="1690">
        <f>IFERROR(VLOOKUP($A101,Cost.FinanceCostTable,8,FALSE),'Global assumptions'!$E$35)</f>
        <v>25</v>
      </c>
      <c r="AX101" s="675"/>
      <c r="AY101" s="1689">
        <f ca="1">Costs!AY100/('Global assumptions'!$C$7*NAIRA2010_*250)</f>
        <v>0</v>
      </c>
      <c r="AZ101" s="1689">
        <f ca="1">Costs!AZ100/('Global assumptions'!$C$7*NAIRA2010_*250)</f>
        <v>0</v>
      </c>
      <c r="BA101" s="1689">
        <f ca="1">Costs!BA100/('Global assumptions'!$C$7*NAIRA2010_*250)</f>
        <v>15.873491477206121</v>
      </c>
      <c r="BB101" s="1689">
        <f ca="1">Costs!BB100/('Global assumptions'!$C$7*NAIRA2010_*250)</f>
        <v>15.901290936885998</v>
      </c>
      <c r="BC101" s="1689">
        <f ca="1">Costs!BC100/('Global assumptions'!$C$7*NAIRA2010_*250)</f>
        <v>15.873491477206128</v>
      </c>
      <c r="BD101" s="1689">
        <f ca="1">Costs!BD100/('Global assumptions'!$C$7*NAIRA2010_*250)</f>
        <v>15.901290936885992</v>
      </c>
      <c r="BE101" s="1689">
        <f ca="1">Costs!BE100/('Global assumptions'!$C$7*NAIRA2010_*250)</f>
        <v>15.873491477206121</v>
      </c>
      <c r="BF101" s="1689">
        <f ca="1">Costs!BF100/('Global assumptions'!$C$7*NAIRA2010_*250)</f>
        <v>31.774782414092126</v>
      </c>
      <c r="BG101" s="1689">
        <f ca="1">Costs!BG100/('Global assumptions'!$C$7*NAIRA2010_*250)</f>
        <v>47.648273891298238</v>
      </c>
      <c r="BH101" s="675"/>
      <c r="BI101" s="1689">
        <f ca="1">Costs!BI100/('Global assumptions'!$C$7*NAIRA2010_*250)</f>
        <v>0</v>
      </c>
      <c r="BJ101" s="1689">
        <f ca="1">Costs!BJ100/('Global assumptions'!$C$7*NAIRA2010_*250)</f>
        <v>0</v>
      </c>
      <c r="BK101" s="1689">
        <f ca="1">Costs!BK100/('Global assumptions'!$C$7*NAIRA2010_*250)</f>
        <v>15.873491477206121</v>
      </c>
      <c r="BL101" s="1689">
        <f ca="1">Costs!BL100/('Global assumptions'!$C$7*NAIRA2010_*250)</f>
        <v>31.774782414092119</v>
      </c>
      <c r="BM101" s="1689">
        <f ca="1">Costs!BM100/('Global assumptions'!$C$7*NAIRA2010_*250)</f>
        <v>47.648273891298253</v>
      </c>
      <c r="BN101" s="1689">
        <f ca="1">Costs!BN100/('Global assumptions'!$C$7*NAIRA2010_*250)</f>
        <v>47.676073350978122</v>
      </c>
      <c r="BO101" s="1689">
        <f ca="1">Costs!BO100/('Global assumptions'!$C$7*NAIRA2010_*250)</f>
        <v>47.648273891298238</v>
      </c>
      <c r="BP101" s="1689">
        <f ca="1">Costs!BP100/('Global assumptions'!$C$7*NAIRA2010_*250)</f>
        <v>63.549564828184238</v>
      </c>
      <c r="BQ101" s="1689">
        <f ca="1">Costs!BQ100/('Global assumptions'!$C$7*NAIRA2010_*250)</f>
        <v>95.296547782596477</v>
      </c>
      <c r="BR101" s="675"/>
      <c r="BS101" s="1689">
        <f ca="1">Costs!BS100/('Global assumptions'!$C$7*NAIRA2010_*250)</f>
        <v>0</v>
      </c>
      <c r="BT101" s="1689">
        <f ca="1">Costs!BT100/('Global assumptions'!$C$7*NAIRA2010_*250)</f>
        <v>0</v>
      </c>
      <c r="BU101" s="1689">
        <f ca="1">Costs!BU100/('Global assumptions'!$C$7*NAIRA2010_*250)</f>
        <v>15.874369550211346</v>
      </c>
      <c r="BV101" s="1689">
        <f ca="1">Costs!BV100/('Global assumptions'!$C$7*NAIRA2010_*250)</f>
        <v>31.776540097883661</v>
      </c>
      <c r="BW101" s="1689">
        <f ca="1">Costs!BW100/('Global assumptions'!$C$7*NAIRA2010_*250)</f>
        <v>47.650909648095016</v>
      </c>
      <c r="BX101" s="1689">
        <f ca="1">Costs!BX100/('Global assumptions'!$C$7*NAIRA2010_*250)</f>
        <v>47.679588718561206</v>
      </c>
      <c r="BY101" s="1689">
        <f ca="1">Costs!BY100/('Global assumptions'!$C$7*NAIRA2010_*250)</f>
        <v>47.652667331886548</v>
      </c>
      <c r="BZ101" s="1689">
        <f ca="1">Costs!BZ100/('Global assumptions'!$C$7*NAIRA2010_*250)</f>
        <v>63.554837879558868</v>
      </c>
      <c r="CA101" s="1689">
        <f ca="1">Costs!CA100/('Global assumptions'!$C$7*NAIRA2010_*250)</f>
        <v>95.302698906976332</v>
      </c>
      <c r="CC101" s="1706">
        <f t="shared" ca="1" si="23"/>
        <v>38.832401348130333</v>
      </c>
      <c r="CD101" s="1706">
        <f t="shared" ca="1" si="27"/>
        <v>175.73832444193334</v>
      </c>
      <c r="CF101" s="1689">
        <f ca="1">Costs!CF100/('Global assumptions'!$C$7*NAIRA2010_*250)</f>
        <v>0</v>
      </c>
      <c r="CG101" s="1689">
        <f ca="1">Costs!CG100/('Global assumptions'!$C$7*NAIRA2010_*250)</f>
        <v>0</v>
      </c>
      <c r="CH101" s="1689">
        <f ca="1">Costs!CH100/('Global assumptions'!$C$7*NAIRA2010_*250)</f>
        <v>-8.2735161664614694</v>
      </c>
      <c r="CI101" s="1689">
        <f ca="1">Costs!CI100/('Global assumptions'!$C$7*NAIRA2010_*250)</f>
        <v>7.5854857903130215</v>
      </c>
      <c r="CJ101" s="1689">
        <f ca="1">Costs!CJ100/('Global assumptions'!$C$7*NAIRA2010_*250)</f>
        <v>23.501266247630653</v>
      </c>
      <c r="CK101" s="1689">
        <f ca="1">Costs!CK100/('Global assumptions'!$C$7*NAIRA2010_*250)</f>
        <v>23.486776727199032</v>
      </c>
      <c r="CL101" s="1689">
        <f ca="1">Costs!CL100/('Global assumptions'!$C$7*NAIRA2010_*250)</f>
        <v>23.501266247630646</v>
      </c>
      <c r="CM101" s="1689">
        <f ca="1">Costs!CM100/('Global assumptions'!$C$7*NAIRA2010_*250)</f>
        <v>15.213260560737544</v>
      </c>
      <c r="CN101" s="1689">
        <f ca="1">Costs!CN100/('Global assumptions'!$C$7*NAIRA2010_*250)</f>
        <v>22.813235871482206</v>
      </c>
      <c r="CP101" s="1706">
        <f t="shared" ca="1" si="24"/>
        <v>11.980863919836846</v>
      </c>
      <c r="CQ101" s="1706">
        <f t="shared" ca="1" si="28"/>
        <v>36.794339547979114</v>
      </c>
      <c r="CR101" s="1426" t="str">
        <f t="shared" ca="1" si="29"/>
        <v>ok</v>
      </c>
    </row>
    <row r="102" spans="1:96" x14ac:dyDescent="0.2">
      <c r="A102" s="1685" t="s">
        <v>400</v>
      </c>
      <c r="B102" s="1685" t="s">
        <v>1390</v>
      </c>
      <c r="C102" s="1685" t="s">
        <v>1189</v>
      </c>
      <c r="E102" s="1691">
        <f ca="1">Costs!E101/('Global assumptions'!$C$7*NAIRA2010_*250)</f>
        <v>0</v>
      </c>
      <c r="F102" s="1691">
        <f ca="1">Costs!F101/('Global assumptions'!$C$7*NAIRA2010_*250)</f>
        <v>2.051015535407843</v>
      </c>
      <c r="G102" s="1691">
        <f ca="1">Costs!G101/('Global assumptions'!$C$7*NAIRA2010_*250)</f>
        <v>43.853672375627482</v>
      </c>
      <c r="H102" s="1691">
        <f ca="1">Costs!H101/('Global assumptions'!$C$7*NAIRA2010_*250)</f>
        <v>29.010240356490314</v>
      </c>
      <c r="I102" s="1691">
        <f ca="1">Costs!I101/('Global assumptions'!$C$7*NAIRA2010_*250)</f>
        <v>28.96795137637881</v>
      </c>
      <c r="J102" s="1691">
        <f ca="1">Costs!J101/('Global assumptions'!$C$7*NAIRA2010_*250)</f>
        <v>24.823631325451625</v>
      </c>
      <c r="K102" s="1691">
        <f ca="1">Costs!K101/('Global assumptions'!$C$7*NAIRA2010_*250)</f>
        <v>29.877164448776103</v>
      </c>
      <c r="L102" s="1691">
        <f ca="1">Costs!L101/('Global assumptions'!$C$7*NAIRA2010_*250)</f>
        <v>80.412495682020918</v>
      </c>
      <c r="M102" s="1691">
        <f ca="1">Costs!M101/('Global assumptions'!$C$7*NAIRA2010_*250)</f>
        <v>137.79864169332893</v>
      </c>
      <c r="N102" s="675"/>
      <c r="O102" s="1691">
        <f ca="1">Costs!O101/('Global assumptions'!$C$7*NAIRA2010_*250)</f>
        <v>1.3455584580932428E-6</v>
      </c>
      <c r="P102" s="1691">
        <f ca="1">Costs!P101/('Global assumptions'!$C$7*NAIRA2010_*250)</f>
        <v>4.4851948603108093E-5</v>
      </c>
      <c r="Q102" s="1691">
        <f ca="1">Costs!Q101/('Global assumptions'!$C$7*NAIRA2010_*250)</f>
        <v>9.7508136263156988E-4</v>
      </c>
      <c r="R102" s="1691">
        <f ca="1">Costs!R101/('Global assumptions'!$C$7*NAIRA2010_*250)</f>
        <v>1.5904500974662128E-3</v>
      </c>
      <c r="S102" s="1691">
        <f ca="1">Costs!S101/('Global assumptions'!$C$7*NAIRA2010_*250)</f>
        <v>2.2049217933287936E-3</v>
      </c>
      <c r="T102" s="1691">
        <f ca="1">Costs!T101/('Global assumptions'!$C$7*NAIRA2010_*250)</f>
        <v>2.7301381114711895E-3</v>
      </c>
      <c r="U102" s="1691">
        <f ca="1">Costs!U101/('Global assumptions'!$C$7*NAIRA2010_*250)</f>
        <v>3.3190441966299989E-3</v>
      </c>
      <c r="V102" s="1691">
        <f ca="1">Costs!V101/('Global assumptions'!$C$7*NAIRA2010_*250)</f>
        <v>4.0496824393746302E-3</v>
      </c>
      <c r="W102" s="1691">
        <f ca="1">Costs!W101/('Global assumptions'!$C$7*NAIRA2010_*250)</f>
        <v>5.3822338323729711E-3</v>
      </c>
      <c r="X102" s="675"/>
      <c r="Y102" s="1691">
        <f ca="1">Costs!Y101/('Global assumptions'!$C$7*NAIRA2010_*250)</f>
        <v>0</v>
      </c>
      <c r="Z102" s="1691">
        <f ca="1">Costs!Z101/('Global assumptions'!$C$7*NAIRA2010_*250)</f>
        <v>0</v>
      </c>
      <c r="AA102" s="1691">
        <f ca="1">Costs!AA101/('Global assumptions'!$C$7*NAIRA2010_*250)</f>
        <v>0</v>
      </c>
      <c r="AB102" s="1691">
        <f ca="1">Costs!AB101/('Global assumptions'!$C$7*NAIRA2010_*250)</f>
        <v>0</v>
      </c>
      <c r="AC102" s="1691">
        <f ca="1">Costs!AC101/('Global assumptions'!$C$7*NAIRA2010_*250)</f>
        <v>0</v>
      </c>
      <c r="AD102" s="1691">
        <f ca="1">Costs!AD101/('Global assumptions'!$C$7*NAIRA2010_*250)</f>
        <v>0</v>
      </c>
      <c r="AE102" s="1691">
        <f ca="1">Costs!AE101/('Global assumptions'!$C$7*NAIRA2010_*250)</f>
        <v>0</v>
      </c>
      <c r="AF102" s="1691">
        <f ca="1">Costs!AF101/('Global assumptions'!$C$7*NAIRA2010_*250)</f>
        <v>0</v>
      </c>
      <c r="AG102" s="1691">
        <f ca="1">Costs!AG101/('Global assumptions'!$C$7*NAIRA2010_*250)</f>
        <v>0</v>
      </c>
      <c r="AH102" s="675"/>
      <c r="AI102" s="1691">
        <f ca="1">Costs!AI101/('Global assumptions'!$C$7*NAIRA2010_*250)</f>
        <v>1.3455584580932428E-6</v>
      </c>
      <c r="AJ102" s="1691">
        <f ca="1">Costs!AJ101/('Global assumptions'!$C$7*NAIRA2010_*250)</f>
        <v>2.0510603873564461</v>
      </c>
      <c r="AK102" s="1691">
        <f ca="1">Costs!AK101/('Global assumptions'!$C$7*NAIRA2010_*250)</f>
        <v>43.854647456990115</v>
      </c>
      <c r="AL102" s="1691">
        <f ca="1">Costs!AL101/('Global assumptions'!$C$7*NAIRA2010_*250)</f>
        <v>29.011830806587778</v>
      </c>
      <c r="AM102" s="1691">
        <f ca="1">Costs!AM101/('Global assumptions'!$C$7*NAIRA2010_*250)</f>
        <v>28.970156298172139</v>
      </c>
      <c r="AN102" s="1691">
        <f ca="1">Costs!AN101/('Global assumptions'!$C$7*NAIRA2010_*250)</f>
        <v>24.826361463563096</v>
      </c>
      <c r="AO102" s="1691">
        <f ca="1">Costs!AO101/('Global assumptions'!$C$7*NAIRA2010_*250)</f>
        <v>29.880483492972733</v>
      </c>
      <c r="AP102" s="1691">
        <f ca="1">Costs!AP101/('Global assumptions'!$C$7*NAIRA2010_*250)</f>
        <v>80.416545364460291</v>
      </c>
      <c r="AQ102" s="1691">
        <f ca="1">Costs!AQ101/('Global assumptions'!$C$7*NAIRA2010_*250)</f>
        <v>137.80402392716132</v>
      </c>
      <c r="AS102" s="1707">
        <f t="shared" ca="1" si="22"/>
        <v>41.868345615869153</v>
      </c>
      <c r="AT102" s="1707">
        <f t="shared" ca="1" si="19"/>
        <v>216.44187300853699</v>
      </c>
      <c r="AU102" s="675"/>
      <c r="AV102" s="1699">
        <f>IFERROR(VLOOKUP($A102,Cost.FinanceCostTable,7,FALSE),'Global assumptions'!$D$35)</f>
        <v>0.1</v>
      </c>
      <c r="AW102" s="1690">
        <f>IFERROR(VLOOKUP($A102,Cost.FinanceCostTable,8,FALSE),'Global assumptions'!$E$35)</f>
        <v>30</v>
      </c>
      <c r="AX102" s="675"/>
      <c r="AY102" s="1691">
        <f ca="1">Costs!AY101/('Global assumptions'!$C$7*NAIRA2010_*250)</f>
        <v>0</v>
      </c>
      <c r="AZ102" s="1691">
        <f ca="1">Costs!AZ101/('Global assumptions'!$C$7*NAIRA2010_*250)</f>
        <v>1.1297821378383275</v>
      </c>
      <c r="BA102" s="1691">
        <f ca="1">Costs!BA101/('Global assumptions'!$C$7*NAIRA2010_*250)</f>
        <v>24.156372720378258</v>
      </c>
      <c r="BB102" s="1691">
        <f ca="1">Costs!BB101/('Global assumptions'!$C$7*NAIRA2010_*250)</f>
        <v>15.980011269218405</v>
      </c>
      <c r="BC102" s="1691">
        <f ca="1">Costs!BC101/('Global assumptions'!$C$7*NAIRA2010_*250)</f>
        <v>15.956716792149575</v>
      </c>
      <c r="BD102" s="1691">
        <f ca="1">Costs!BD101/('Global assumptions'!$C$7*NAIRA2010_*250)</f>
        <v>13.673858039404086</v>
      </c>
      <c r="BE102" s="1691">
        <f ca="1">Costs!BE101/('Global assumptions'!$C$7*NAIRA2010_*250)</f>
        <v>16.45754804912945</v>
      </c>
      <c r="BF102" s="1691">
        <f ca="1">Costs!BF101/('Global assumptions'!$C$7*NAIRA2010_*250)</f>
        <v>44.294448146383097</v>
      </c>
      <c r="BG102" s="1691">
        <f ca="1">Costs!BG101/('Global assumptions'!$C$7*NAIRA2010_*250)</f>
        <v>75.905053528787406</v>
      </c>
      <c r="BH102" s="675"/>
      <c r="BI102" s="1691">
        <f ca="1">Costs!BI101/('Global assumptions'!$C$7*NAIRA2010_*250)</f>
        <v>0</v>
      </c>
      <c r="BJ102" s="1691">
        <f ca="1">Costs!BJ101/('Global assumptions'!$C$7*NAIRA2010_*250)</f>
        <v>1.1297821378383275</v>
      </c>
      <c r="BK102" s="1691">
        <f ca="1">Costs!BK101/('Global assumptions'!$C$7*NAIRA2010_*250)</f>
        <v>25.286154858216584</v>
      </c>
      <c r="BL102" s="1691">
        <f ca="1">Costs!BL101/('Global assumptions'!$C$7*NAIRA2010_*250)</f>
        <v>41.266166127434992</v>
      </c>
      <c r="BM102" s="1691">
        <f ca="1">Costs!BM101/('Global assumptions'!$C$7*NAIRA2010_*250)</f>
        <v>57.222882919584563</v>
      </c>
      <c r="BN102" s="1691">
        <f ca="1">Costs!BN101/('Global assumptions'!$C$7*NAIRA2010_*250)</f>
        <v>70.896740958988644</v>
      </c>
      <c r="BO102" s="1691">
        <f ca="1">Costs!BO101/('Global assumptions'!$C$7*NAIRA2010_*250)</f>
        <v>86.224506870279782</v>
      </c>
      <c r="BP102" s="1691">
        <f ca="1">Costs!BP101/('Global assumptions'!$C$7*NAIRA2010_*250)</f>
        <v>122.31929908843421</v>
      </c>
      <c r="BQ102" s="1691">
        <f ca="1">Costs!BQ101/('Global assumptions'!$C$7*NAIRA2010_*250)</f>
        <v>182.24434134800319</v>
      </c>
      <c r="BR102" s="675"/>
      <c r="BS102" s="1691">
        <f ca="1">Costs!BS101/('Global assumptions'!$C$7*NAIRA2010_*250)</f>
        <v>1.3455584580932428E-6</v>
      </c>
      <c r="BT102" s="1691">
        <f ca="1">Costs!BT101/('Global assumptions'!$C$7*NAIRA2010_*250)</f>
        <v>1.1298269897869306</v>
      </c>
      <c r="BU102" s="1691">
        <f ca="1">Costs!BU101/('Global assumptions'!$C$7*NAIRA2010_*250)</f>
        <v>25.287129939579216</v>
      </c>
      <c r="BV102" s="1691">
        <f ca="1">Costs!BV101/('Global assumptions'!$C$7*NAIRA2010_*250)</f>
        <v>41.267756577532452</v>
      </c>
      <c r="BW102" s="1691">
        <f ca="1">Costs!BW101/('Global assumptions'!$C$7*NAIRA2010_*250)</f>
        <v>57.225087841377892</v>
      </c>
      <c r="BX102" s="1691">
        <f ca="1">Costs!BX101/('Global assumptions'!$C$7*NAIRA2010_*250)</f>
        <v>70.899471097100118</v>
      </c>
      <c r="BY102" s="1691">
        <f ca="1">Costs!BY101/('Global assumptions'!$C$7*NAIRA2010_*250)</f>
        <v>86.227825914476412</v>
      </c>
      <c r="BZ102" s="1691">
        <f ca="1">Costs!BZ101/('Global assumptions'!$C$7*NAIRA2010_*250)</f>
        <v>122.32334877087358</v>
      </c>
      <c r="CA102" s="1691">
        <f ca="1">Costs!CA101/('Global assumptions'!$C$7*NAIRA2010_*250)</f>
        <v>182.24972358183555</v>
      </c>
      <c r="CC102" s="1707">
        <f t="shared" ca="1" si="23"/>
        <v>65.178908006457846</v>
      </c>
      <c r="CD102" s="1707">
        <f t="shared" ca="1" si="20"/>
        <v>270.7008349249225</v>
      </c>
      <c r="CF102" s="1691">
        <f ca="1">Costs!CF101/('Global assumptions'!$C$7*NAIRA2010_*250)</f>
        <v>0</v>
      </c>
      <c r="CG102" s="1691">
        <f ca="1">Costs!CG101/('Global assumptions'!$C$7*NAIRA2010_*250)</f>
        <v>-0.92123339756951528</v>
      </c>
      <c r="CH102" s="1691">
        <f ca="1">Costs!CH101/('Global assumptions'!$C$7*NAIRA2010_*250)</f>
        <v>-18.567517517410899</v>
      </c>
      <c r="CI102" s="1691">
        <f ca="1">Costs!CI101/('Global assumptions'!$C$7*NAIRA2010_*250)</f>
        <v>12.255925770944677</v>
      </c>
      <c r="CJ102" s="1691">
        <f ca="1">Costs!CJ101/('Global assumptions'!$C$7*NAIRA2010_*250)</f>
        <v>28.254931543205757</v>
      </c>
      <c r="CK102" s="1691">
        <f ca="1">Costs!CK101/('Global assumptions'!$C$7*NAIRA2010_*250)</f>
        <v>46.073109633537022</v>
      </c>
      <c r="CL102" s="1691">
        <f ca="1">Costs!CL101/('Global assumptions'!$C$7*NAIRA2010_*250)</f>
        <v>56.347342421503683</v>
      </c>
      <c r="CM102" s="1691">
        <f ca="1">Costs!CM101/('Global assumptions'!$C$7*NAIRA2010_*250)</f>
        <v>41.906803406413289</v>
      </c>
      <c r="CN102" s="1691">
        <f ca="1">Costs!CN101/('Global assumptions'!$C$7*NAIRA2010_*250)</f>
        <v>44.44569965467425</v>
      </c>
      <c r="CP102" s="1707">
        <f t="shared" ca="1" si="24"/>
        <v>23.310562390588697</v>
      </c>
      <c r="CQ102" s="1707">
        <f t="shared" ca="1" si="21"/>
        <v>54.258961916385559</v>
      </c>
      <c r="CR102" s="1426" t="str">
        <f t="shared" ca="1" si="25"/>
        <v>ok</v>
      </c>
    </row>
    <row r="103" spans="1:96" x14ac:dyDescent="0.2">
      <c r="A103" s="1683" t="s">
        <v>838</v>
      </c>
      <c r="B103" s="1683" t="s">
        <v>839</v>
      </c>
      <c r="C103" s="1683" t="s">
        <v>1189</v>
      </c>
      <c r="E103" s="1689">
        <f ca="1">Costs!E102/('Global assumptions'!$C$7*NAIRA2010_*250)</f>
        <v>58.758773539187544</v>
      </c>
      <c r="F103" s="1689">
        <f ca="1">Costs!F102/('Global assumptions'!$C$7*NAIRA2010_*250)</f>
        <v>82.228752037398948</v>
      </c>
      <c r="G103" s="1689">
        <f ca="1">Costs!G102/('Global assumptions'!$C$7*NAIRA2010_*250)</f>
        <v>105.24813285735091</v>
      </c>
      <c r="H103" s="1689">
        <f ca="1">Costs!H102/('Global assumptions'!$C$7*NAIRA2010_*250)</f>
        <v>88.945617961832909</v>
      </c>
      <c r="I103" s="1689">
        <f ca="1">Costs!I102/('Global assumptions'!$C$7*NAIRA2010_*250)</f>
        <v>99.189891793270917</v>
      </c>
      <c r="J103" s="1689">
        <f ca="1">Costs!J102/('Global assumptions'!$C$7*NAIRA2010_*250)</f>
        <v>107.66975131913135</v>
      </c>
      <c r="K103" s="1689">
        <f ca="1">Costs!K102/('Global assumptions'!$C$7*NAIRA2010_*250)</f>
        <v>116.37723204892714</v>
      </c>
      <c r="L103" s="1689">
        <f ca="1">Costs!L102/('Global assumptions'!$C$7*NAIRA2010_*250)</f>
        <v>121.05700176880643</v>
      </c>
      <c r="M103" s="1689">
        <f ca="1">Costs!M102/('Global assumptions'!$C$7*NAIRA2010_*250)</f>
        <v>91.264194993875606</v>
      </c>
      <c r="N103" s="675"/>
      <c r="O103" s="1689">
        <f ca="1">Costs!O102/('Global assumptions'!$C$7*NAIRA2010_*250)</f>
        <v>181.54807038153368</v>
      </c>
      <c r="P103" s="1689">
        <f ca="1">Costs!P102/('Global assumptions'!$C$7*NAIRA2010_*250)</f>
        <v>207.69335948164979</v>
      </c>
      <c r="Q103" s="1689">
        <f ca="1">Costs!Q102/('Global assumptions'!$C$7*NAIRA2010_*250)</f>
        <v>240.17878491955912</v>
      </c>
      <c r="R103" s="1689">
        <f ca="1">Costs!R102/('Global assumptions'!$C$7*NAIRA2010_*250)</f>
        <v>302.98112689478012</v>
      </c>
      <c r="S103" s="1689">
        <f ca="1">Costs!S102/('Global assumptions'!$C$7*NAIRA2010_*250)</f>
        <v>328.79173666328546</v>
      </c>
      <c r="T103" s="1689">
        <f ca="1">Costs!T102/('Global assumptions'!$C$7*NAIRA2010_*250)</f>
        <v>359.77656050395836</v>
      </c>
      <c r="U103" s="1689">
        <f ca="1">Costs!U102/('Global assumptions'!$C$7*NAIRA2010_*250)</f>
        <v>389.88544342221513</v>
      </c>
      <c r="V103" s="1689">
        <f ca="1">Costs!V102/('Global assumptions'!$C$7*NAIRA2010_*250)</f>
        <v>422.09422960564092</v>
      </c>
      <c r="W103" s="1689">
        <f ca="1">Costs!W102/('Global assumptions'!$C$7*NAIRA2010_*250)</f>
        <v>452.91792828871075</v>
      </c>
      <c r="X103" s="675"/>
      <c r="Y103" s="1689">
        <f ca="1">Costs!Y102/('Global assumptions'!$C$7*NAIRA2010_*250)</f>
        <v>0</v>
      </c>
      <c r="Z103" s="1689">
        <f ca="1">Costs!Z102/('Global assumptions'!$C$7*NAIRA2010_*250)</f>
        <v>0</v>
      </c>
      <c r="AA103" s="1689">
        <f ca="1">Costs!AA102/('Global assumptions'!$C$7*NAIRA2010_*250)</f>
        <v>0</v>
      </c>
      <c r="AB103" s="1689">
        <f ca="1">Costs!AB102/('Global assumptions'!$C$7*NAIRA2010_*250)</f>
        <v>0</v>
      </c>
      <c r="AC103" s="1689">
        <f ca="1">Costs!AC102/('Global assumptions'!$C$7*NAIRA2010_*250)</f>
        <v>0</v>
      </c>
      <c r="AD103" s="1689">
        <f ca="1">Costs!AD102/('Global assumptions'!$C$7*NAIRA2010_*250)</f>
        <v>0</v>
      </c>
      <c r="AE103" s="1689">
        <f ca="1">Costs!AE102/('Global assumptions'!$C$7*NAIRA2010_*250)</f>
        <v>0</v>
      </c>
      <c r="AF103" s="1689">
        <f ca="1">Costs!AF102/('Global assumptions'!$C$7*NAIRA2010_*250)</f>
        <v>0</v>
      </c>
      <c r="AG103" s="1689">
        <f ca="1">Costs!AG102/('Global assumptions'!$C$7*NAIRA2010_*250)</f>
        <v>0</v>
      </c>
      <c r="AH103" s="675"/>
      <c r="AI103" s="1689">
        <f ca="1">Costs!AI102/('Global assumptions'!$C$7*NAIRA2010_*250)</f>
        <v>240.30684392072124</v>
      </c>
      <c r="AJ103" s="1689">
        <f ca="1">Costs!AJ102/('Global assumptions'!$C$7*NAIRA2010_*250)</f>
        <v>289.92211151904871</v>
      </c>
      <c r="AK103" s="1689">
        <f ca="1">Costs!AK102/('Global assumptions'!$C$7*NAIRA2010_*250)</f>
        <v>345.42691777691005</v>
      </c>
      <c r="AL103" s="1689">
        <f ca="1">Costs!AL102/('Global assumptions'!$C$7*NAIRA2010_*250)</f>
        <v>391.92674485661303</v>
      </c>
      <c r="AM103" s="1689">
        <f ca="1">Costs!AM102/('Global assumptions'!$C$7*NAIRA2010_*250)</f>
        <v>427.98162845655634</v>
      </c>
      <c r="AN103" s="1689">
        <f ca="1">Costs!AN102/('Global assumptions'!$C$7*NAIRA2010_*250)</f>
        <v>467.44631182308967</v>
      </c>
      <c r="AO103" s="1689">
        <f ca="1">Costs!AO102/('Global assumptions'!$C$7*NAIRA2010_*250)</f>
        <v>506.26267547114224</v>
      </c>
      <c r="AP103" s="1689">
        <f ca="1">Costs!AP102/('Global assumptions'!$C$7*NAIRA2010_*250)</f>
        <v>543.15123137444732</v>
      </c>
      <c r="AQ103" s="1689">
        <f ca="1">Costs!AQ102/('Global assumptions'!$C$7*NAIRA2010_*250)</f>
        <v>544.1821232825863</v>
      </c>
      <c r="AS103" s="1706">
        <f t="shared" ca="1" si="22"/>
        <v>417.4007320534572</v>
      </c>
      <c r="AT103" s="1706">
        <f t="shared" ca="1" si="19"/>
        <v>3204.5542438264124</v>
      </c>
      <c r="AU103" s="675"/>
      <c r="AV103" s="1699">
        <f>IFERROR(VLOOKUP($A103,Cost.FinanceCostTable,7,FALSE),'Global assumptions'!$D$35)</f>
        <v>0</v>
      </c>
      <c r="AW103" s="1690">
        <f>IFERROR(VLOOKUP($A103,Cost.FinanceCostTable,8,FALSE),'Global assumptions'!$E$35)</f>
        <v>5</v>
      </c>
      <c r="AX103" s="675"/>
      <c r="AY103" s="1689">
        <f ca="1">Costs!AY102/('Global assumptions'!$C$7*NAIRA2010_*250)</f>
        <v>18.699259575851318</v>
      </c>
      <c r="AZ103" s="1689">
        <f ca="1">Costs!AZ102/('Global assumptions'!$C$7*NAIRA2010_*250)</f>
        <v>43.6138210043976</v>
      </c>
      <c r="BA103" s="1689">
        <f ca="1">Costs!BA102/('Global assumptions'!$C$7*NAIRA2010_*250)</f>
        <v>55.823214067505617</v>
      </c>
      <c r="BB103" s="1689">
        <f ca="1">Costs!BB102/('Global assumptions'!$C$7*NAIRA2010_*250)</f>
        <v>47.17642144378604</v>
      </c>
      <c r="BC103" s="1689">
        <f ca="1">Costs!BC102/('Global assumptions'!$C$7*NAIRA2010_*250)</f>
        <v>52.609945778451404</v>
      </c>
      <c r="BD103" s="1689">
        <f ca="1">Costs!BD102/('Global assumptions'!$C$7*NAIRA2010_*250)</f>
        <v>57.107631397407459</v>
      </c>
      <c r="BE103" s="1689">
        <f ca="1">Costs!BE102/('Global assumptions'!$C$7*NAIRA2010_*250)</f>
        <v>61.726046447362627</v>
      </c>
      <c r="BF103" s="1689">
        <f ca="1">Costs!BF102/('Global assumptions'!$C$7*NAIRA2010_*250)</f>
        <v>64.208178716763811</v>
      </c>
      <c r="BG103" s="1689">
        <f ca="1">Costs!BG102/('Global assumptions'!$C$7*NAIRA2010_*250)</f>
        <v>48.40618598666061</v>
      </c>
      <c r="BH103" s="675"/>
      <c r="BI103" s="1689">
        <f ca="1">Costs!BI102/('Global assumptions'!$C$7*NAIRA2010_*250)</f>
        <v>18.699259575851318</v>
      </c>
      <c r="BJ103" s="1689">
        <f ca="1">Costs!BJ102/('Global assumptions'!$C$7*NAIRA2010_*250)</f>
        <v>62.313080580248922</v>
      </c>
      <c r="BK103" s="1689">
        <f ca="1">Costs!BK102/('Global assumptions'!$C$7*NAIRA2010_*250)</f>
        <v>118.13629464775454</v>
      </c>
      <c r="BL103" s="1689">
        <f ca="1">Costs!BL102/('Global assumptions'!$C$7*NAIRA2010_*250)</f>
        <v>165.31271609154058</v>
      </c>
      <c r="BM103" s="1689">
        <f ca="1">Costs!BM102/('Global assumptions'!$C$7*NAIRA2010_*250)</f>
        <v>217.922661869992</v>
      </c>
      <c r="BN103" s="1689">
        <f ca="1">Costs!BN102/('Global assumptions'!$C$7*NAIRA2010_*250)</f>
        <v>275.03029326739943</v>
      </c>
      <c r="BO103" s="1689">
        <f ca="1">Costs!BO102/('Global assumptions'!$C$7*NAIRA2010_*250)</f>
        <v>318.05708013891069</v>
      </c>
      <c r="BP103" s="1689">
        <f ca="1">Costs!BP102/('Global assumptions'!$C$7*NAIRA2010_*250)</f>
        <v>391.2613836297283</v>
      </c>
      <c r="BQ103" s="1689">
        <f ca="1">Costs!BQ102/('Global assumptions'!$C$7*NAIRA2010_*250)</f>
        <v>383.84435554888336</v>
      </c>
      <c r="BR103" s="675"/>
      <c r="BS103" s="1689">
        <f ca="1">Costs!BS102/('Global assumptions'!$C$7*NAIRA2010_*250)</f>
        <v>200.24732995738498</v>
      </c>
      <c r="BT103" s="1689">
        <f ca="1">Costs!BT102/('Global assumptions'!$C$7*NAIRA2010_*250)</f>
        <v>270.00644006189867</v>
      </c>
      <c r="BU103" s="1689">
        <f ca="1">Costs!BU102/('Global assumptions'!$C$7*NAIRA2010_*250)</f>
        <v>358.31507956731366</v>
      </c>
      <c r="BV103" s="1689">
        <f ca="1">Costs!BV102/('Global assumptions'!$C$7*NAIRA2010_*250)</f>
        <v>468.29384298632073</v>
      </c>
      <c r="BW103" s="1689">
        <f ca="1">Costs!BW102/('Global assumptions'!$C$7*NAIRA2010_*250)</f>
        <v>546.7143985332774</v>
      </c>
      <c r="BX103" s="1689">
        <f ca="1">Costs!BX102/('Global assumptions'!$C$7*NAIRA2010_*250)</f>
        <v>634.80685377135785</v>
      </c>
      <c r="BY103" s="1689">
        <f ca="1">Costs!BY102/('Global assumptions'!$C$7*NAIRA2010_*250)</f>
        <v>707.94252356112588</v>
      </c>
      <c r="BZ103" s="1689">
        <f ca="1">Costs!BZ102/('Global assumptions'!$C$7*NAIRA2010_*250)</f>
        <v>813.35561323536922</v>
      </c>
      <c r="CA103" s="1689">
        <f ca="1">Costs!CA102/('Global assumptions'!$C$7*NAIRA2010_*250)</f>
        <v>836.76228383759405</v>
      </c>
      <c r="CC103" s="1706">
        <f t="shared" ca="1" si="23"/>
        <v>537.38270727907138</v>
      </c>
      <c r="CD103" s="1706">
        <f t="shared" ca="1" si="20"/>
        <v>3571.3552787207732</v>
      </c>
      <c r="CF103" s="1689">
        <f ca="1">Costs!CF102/('Global assumptions'!$C$7*NAIRA2010_*250)</f>
        <v>-40.059513963336222</v>
      </c>
      <c r="CG103" s="1689">
        <f ca="1">Costs!CG102/('Global assumptions'!$C$7*NAIRA2010_*250)</f>
        <v>-19.915671457150022</v>
      </c>
      <c r="CH103" s="1689">
        <f ca="1">Costs!CH102/('Global assumptions'!$C$7*NAIRA2010_*250)</f>
        <v>12.888161790403618</v>
      </c>
      <c r="CI103" s="1689">
        <f ca="1">Costs!CI102/('Global assumptions'!$C$7*NAIRA2010_*250)</f>
        <v>76.367098129707657</v>
      </c>
      <c r="CJ103" s="1689">
        <f ca="1">Costs!CJ102/('Global assumptions'!$C$7*NAIRA2010_*250)</f>
        <v>118.73277007672107</v>
      </c>
      <c r="CK103" s="1689">
        <f ca="1">Costs!CK102/('Global assumptions'!$C$7*NAIRA2010_*250)</f>
        <v>167.36054194826809</v>
      </c>
      <c r="CL103" s="1689">
        <f ca="1">Costs!CL102/('Global assumptions'!$C$7*NAIRA2010_*250)</f>
        <v>201.67984808998358</v>
      </c>
      <c r="CM103" s="1689">
        <f ca="1">Costs!CM102/('Global assumptions'!$C$7*NAIRA2010_*250)</f>
        <v>270.2043818609219</v>
      </c>
      <c r="CN103" s="1689">
        <f ca="1">Costs!CN102/('Global assumptions'!$C$7*NAIRA2010_*250)</f>
        <v>292.58016055500775</v>
      </c>
      <c r="CP103" s="1706">
        <f t="shared" ca="1" si="24"/>
        <v>119.98197522561415</v>
      </c>
      <c r="CQ103" s="1706">
        <f t="shared" ca="1" si="21"/>
        <v>366.80103489436107</v>
      </c>
      <c r="CR103" s="1426" t="str">
        <f t="shared" ca="1" si="25"/>
        <v>ok</v>
      </c>
    </row>
    <row r="104" spans="1:96" x14ac:dyDescent="0.2">
      <c r="A104" s="1685" t="s">
        <v>1768</v>
      </c>
      <c r="B104" s="1685" t="s">
        <v>1190</v>
      </c>
      <c r="C104" s="1685" t="s">
        <v>1189</v>
      </c>
      <c r="E104" s="1691">
        <f ca="1">Costs!E103/('Global assumptions'!$C$7*NAIRA2010_*250)</f>
        <v>0</v>
      </c>
      <c r="F104" s="1691">
        <f ca="1">Costs!F103/('Global assumptions'!$C$7*NAIRA2010_*250)</f>
        <v>0</v>
      </c>
      <c r="G104" s="1691">
        <f ca="1">Costs!G103/('Global assumptions'!$C$7*NAIRA2010_*250)</f>
        <v>0</v>
      </c>
      <c r="H104" s="1691">
        <f ca="1">Costs!H103/('Global assumptions'!$C$7*NAIRA2010_*250)</f>
        <v>0</v>
      </c>
      <c r="I104" s="1691">
        <f ca="1">Costs!I103/('Global assumptions'!$C$7*NAIRA2010_*250)</f>
        <v>0</v>
      </c>
      <c r="J104" s="1691">
        <f ca="1">Costs!J103/('Global assumptions'!$C$7*NAIRA2010_*250)</f>
        <v>0</v>
      </c>
      <c r="K104" s="1691">
        <f ca="1">Costs!K103/('Global assumptions'!$C$7*NAIRA2010_*250)</f>
        <v>0</v>
      </c>
      <c r="L104" s="1691">
        <f ca="1">Costs!L103/('Global assumptions'!$C$7*NAIRA2010_*250)</f>
        <v>0</v>
      </c>
      <c r="M104" s="1691">
        <f ca="1">Costs!M103/('Global assumptions'!$C$7*NAIRA2010_*250)</f>
        <v>0</v>
      </c>
      <c r="N104" s="675"/>
      <c r="O104" s="1691">
        <f ca="1">Costs!O103/('Global assumptions'!$C$7*NAIRA2010_*250)</f>
        <v>0</v>
      </c>
      <c r="P104" s="1691">
        <f ca="1">Costs!P103/('Global assumptions'!$C$7*NAIRA2010_*250)</f>
        <v>0</v>
      </c>
      <c r="Q104" s="1691">
        <f ca="1">Costs!Q103/('Global assumptions'!$C$7*NAIRA2010_*250)</f>
        <v>0</v>
      </c>
      <c r="R104" s="1691">
        <f ca="1">Costs!R103/('Global assumptions'!$C$7*NAIRA2010_*250)</f>
        <v>0</v>
      </c>
      <c r="S104" s="1691">
        <f ca="1">Costs!S103/('Global assumptions'!$C$7*NAIRA2010_*250)</f>
        <v>0</v>
      </c>
      <c r="T104" s="1691">
        <f ca="1">Costs!T103/('Global assumptions'!$C$7*NAIRA2010_*250)</f>
        <v>0</v>
      </c>
      <c r="U104" s="1691">
        <f ca="1">Costs!U103/('Global assumptions'!$C$7*NAIRA2010_*250)</f>
        <v>0</v>
      </c>
      <c r="V104" s="1691">
        <f ca="1">Costs!V103/('Global assumptions'!$C$7*NAIRA2010_*250)</f>
        <v>0</v>
      </c>
      <c r="W104" s="1691">
        <f ca="1">Costs!W103/('Global assumptions'!$C$7*NAIRA2010_*250)</f>
        <v>0</v>
      </c>
      <c r="X104" s="675"/>
      <c r="Y104" s="1691">
        <f ca="1">Costs!Y103/('Global assumptions'!$C$7*NAIRA2010_*250)</f>
        <v>0</v>
      </c>
      <c r="Z104" s="1691">
        <f ca="1">Costs!Z103/('Global assumptions'!$C$7*NAIRA2010_*250)</f>
        <v>0</v>
      </c>
      <c r="AA104" s="1691">
        <f ca="1">Costs!AA103/('Global assumptions'!$C$7*NAIRA2010_*250)</f>
        <v>0</v>
      </c>
      <c r="AB104" s="1691">
        <f ca="1">Costs!AB103/('Global assumptions'!$C$7*NAIRA2010_*250)</f>
        <v>0</v>
      </c>
      <c r="AC104" s="1691">
        <f ca="1">Costs!AC103/('Global assumptions'!$C$7*NAIRA2010_*250)</f>
        <v>0</v>
      </c>
      <c r="AD104" s="1691">
        <f ca="1">Costs!AD103/('Global assumptions'!$C$7*NAIRA2010_*250)</f>
        <v>0</v>
      </c>
      <c r="AE104" s="1691">
        <f ca="1">Costs!AE103/('Global assumptions'!$C$7*NAIRA2010_*250)</f>
        <v>0</v>
      </c>
      <c r="AF104" s="1691">
        <f ca="1">Costs!AF103/('Global assumptions'!$C$7*NAIRA2010_*250)</f>
        <v>0</v>
      </c>
      <c r="AG104" s="1691">
        <f ca="1">Costs!AG103/('Global assumptions'!$C$7*NAIRA2010_*250)</f>
        <v>0</v>
      </c>
      <c r="AH104" s="675"/>
      <c r="AI104" s="1691">
        <f ca="1">Costs!AI103/('Global assumptions'!$C$7*NAIRA2010_*250)</f>
        <v>0</v>
      </c>
      <c r="AJ104" s="1691">
        <f ca="1">Costs!AJ103/('Global assumptions'!$C$7*NAIRA2010_*250)</f>
        <v>0</v>
      </c>
      <c r="AK104" s="1691">
        <f ca="1">Costs!AK103/('Global assumptions'!$C$7*NAIRA2010_*250)</f>
        <v>0</v>
      </c>
      <c r="AL104" s="1691">
        <f ca="1">Costs!AL103/('Global assumptions'!$C$7*NAIRA2010_*250)</f>
        <v>0</v>
      </c>
      <c r="AM104" s="1691">
        <f ca="1">Costs!AM103/('Global assumptions'!$C$7*NAIRA2010_*250)</f>
        <v>0</v>
      </c>
      <c r="AN104" s="1691">
        <f ca="1">Costs!AN103/('Global assumptions'!$C$7*NAIRA2010_*250)</f>
        <v>0</v>
      </c>
      <c r="AO104" s="1691">
        <f ca="1">Costs!AO103/('Global assumptions'!$C$7*NAIRA2010_*250)</f>
        <v>0</v>
      </c>
      <c r="AP104" s="1691">
        <f ca="1">Costs!AP103/('Global assumptions'!$C$7*NAIRA2010_*250)</f>
        <v>0</v>
      </c>
      <c r="AQ104" s="1691">
        <f ca="1">Costs!AQ103/('Global assumptions'!$C$7*NAIRA2010_*250)</f>
        <v>0</v>
      </c>
      <c r="AS104" s="1707">
        <f t="shared" ca="1" si="22"/>
        <v>0</v>
      </c>
      <c r="AT104" s="1707">
        <f t="shared" ca="1" si="19"/>
        <v>0</v>
      </c>
      <c r="AU104" s="675"/>
      <c r="AV104" s="1699">
        <f>IFERROR(VLOOKUP($A104,Cost.FinanceCostTable,7,FALSE),'Global assumptions'!$D$35)</f>
        <v>0</v>
      </c>
      <c r="AW104" s="1690">
        <f>IFERROR(VLOOKUP($A104,Cost.FinanceCostTable,8,FALSE),'Global assumptions'!$E$35)</f>
        <v>5</v>
      </c>
      <c r="AX104" s="675"/>
      <c r="AY104" s="1691">
        <f ca="1">Costs!AY103/('Global assumptions'!$C$7*NAIRA2010_*250)</f>
        <v>0</v>
      </c>
      <c r="AZ104" s="1691">
        <f ca="1">Costs!AZ103/('Global assumptions'!$C$7*NAIRA2010_*250)</f>
        <v>0</v>
      </c>
      <c r="BA104" s="1691">
        <f ca="1">Costs!BA103/('Global assumptions'!$C$7*NAIRA2010_*250)</f>
        <v>0</v>
      </c>
      <c r="BB104" s="1691">
        <f ca="1">Costs!BB103/('Global assumptions'!$C$7*NAIRA2010_*250)</f>
        <v>0</v>
      </c>
      <c r="BC104" s="1691">
        <f ca="1">Costs!BC103/('Global assumptions'!$C$7*NAIRA2010_*250)</f>
        <v>0</v>
      </c>
      <c r="BD104" s="1691">
        <f ca="1">Costs!BD103/('Global assumptions'!$C$7*NAIRA2010_*250)</f>
        <v>0</v>
      </c>
      <c r="BE104" s="1691">
        <f ca="1">Costs!BE103/('Global assumptions'!$C$7*NAIRA2010_*250)</f>
        <v>0</v>
      </c>
      <c r="BF104" s="1691">
        <f ca="1">Costs!BF103/('Global assumptions'!$C$7*NAIRA2010_*250)</f>
        <v>0</v>
      </c>
      <c r="BG104" s="1691">
        <f ca="1">Costs!BG103/('Global assumptions'!$C$7*NAIRA2010_*250)</f>
        <v>0</v>
      </c>
      <c r="BH104" s="675"/>
      <c r="BI104" s="1691">
        <f ca="1">Costs!BI103/('Global assumptions'!$C$7*NAIRA2010_*250)</f>
        <v>0</v>
      </c>
      <c r="BJ104" s="1691">
        <f ca="1">Costs!BJ103/('Global assumptions'!$C$7*NAIRA2010_*250)</f>
        <v>0</v>
      </c>
      <c r="BK104" s="1691">
        <f ca="1">Costs!BK103/('Global assumptions'!$C$7*NAIRA2010_*250)</f>
        <v>0</v>
      </c>
      <c r="BL104" s="1691">
        <f ca="1">Costs!BL103/('Global assumptions'!$C$7*NAIRA2010_*250)</f>
        <v>0</v>
      </c>
      <c r="BM104" s="1691">
        <f ca="1">Costs!BM103/('Global assumptions'!$C$7*NAIRA2010_*250)</f>
        <v>0</v>
      </c>
      <c r="BN104" s="1691">
        <f ca="1">Costs!BN103/('Global assumptions'!$C$7*NAIRA2010_*250)</f>
        <v>0</v>
      </c>
      <c r="BO104" s="1691">
        <f ca="1">Costs!BO103/('Global assumptions'!$C$7*NAIRA2010_*250)</f>
        <v>0</v>
      </c>
      <c r="BP104" s="1691">
        <f ca="1">Costs!BP103/('Global assumptions'!$C$7*NAIRA2010_*250)</f>
        <v>0</v>
      </c>
      <c r="BQ104" s="1691">
        <f ca="1">Costs!BQ103/('Global assumptions'!$C$7*NAIRA2010_*250)</f>
        <v>0</v>
      </c>
      <c r="BR104" s="675"/>
      <c r="BS104" s="1691">
        <f ca="1">Costs!BS103/('Global assumptions'!$C$7*NAIRA2010_*250)</f>
        <v>0</v>
      </c>
      <c r="BT104" s="1691">
        <f ca="1">Costs!BT103/('Global assumptions'!$C$7*NAIRA2010_*250)</f>
        <v>0</v>
      </c>
      <c r="BU104" s="1691">
        <f ca="1">Costs!BU103/('Global assumptions'!$C$7*NAIRA2010_*250)</f>
        <v>0</v>
      </c>
      <c r="BV104" s="1691">
        <f ca="1">Costs!BV103/('Global assumptions'!$C$7*NAIRA2010_*250)</f>
        <v>0</v>
      </c>
      <c r="BW104" s="1691">
        <f ca="1">Costs!BW103/('Global assumptions'!$C$7*NAIRA2010_*250)</f>
        <v>0</v>
      </c>
      <c r="BX104" s="1691">
        <f ca="1">Costs!BX103/('Global assumptions'!$C$7*NAIRA2010_*250)</f>
        <v>0</v>
      </c>
      <c r="BY104" s="1691">
        <f ca="1">Costs!BY103/('Global assumptions'!$C$7*NAIRA2010_*250)</f>
        <v>0</v>
      </c>
      <c r="BZ104" s="1691">
        <f ca="1">Costs!BZ103/('Global assumptions'!$C$7*NAIRA2010_*250)</f>
        <v>0</v>
      </c>
      <c r="CA104" s="1691">
        <f ca="1">Costs!CA103/('Global assumptions'!$C$7*NAIRA2010_*250)</f>
        <v>0</v>
      </c>
      <c r="CC104" s="1707">
        <f t="shared" ca="1" si="23"/>
        <v>0</v>
      </c>
      <c r="CD104" s="1707">
        <f t="shared" ca="1" si="20"/>
        <v>0</v>
      </c>
      <c r="CF104" s="1691">
        <f ca="1">Costs!CF103/('Global assumptions'!$C$7*NAIRA2010_*250)</f>
        <v>0</v>
      </c>
      <c r="CG104" s="1691">
        <f ca="1">Costs!CG103/('Global assumptions'!$C$7*NAIRA2010_*250)</f>
        <v>0</v>
      </c>
      <c r="CH104" s="1691">
        <f ca="1">Costs!CH103/('Global assumptions'!$C$7*NAIRA2010_*250)</f>
        <v>0</v>
      </c>
      <c r="CI104" s="1691">
        <f ca="1">Costs!CI103/('Global assumptions'!$C$7*NAIRA2010_*250)</f>
        <v>0</v>
      </c>
      <c r="CJ104" s="1691">
        <f ca="1">Costs!CJ103/('Global assumptions'!$C$7*NAIRA2010_*250)</f>
        <v>0</v>
      </c>
      <c r="CK104" s="1691">
        <f ca="1">Costs!CK103/('Global assumptions'!$C$7*NAIRA2010_*250)</f>
        <v>0</v>
      </c>
      <c r="CL104" s="1691">
        <f ca="1">Costs!CL103/('Global assumptions'!$C$7*NAIRA2010_*250)</f>
        <v>0</v>
      </c>
      <c r="CM104" s="1691">
        <f ca="1">Costs!CM103/('Global assumptions'!$C$7*NAIRA2010_*250)</f>
        <v>0</v>
      </c>
      <c r="CN104" s="1691">
        <f ca="1">Costs!CN103/('Global assumptions'!$C$7*NAIRA2010_*250)</f>
        <v>0</v>
      </c>
      <c r="CP104" s="1707">
        <f t="shared" ca="1" si="24"/>
        <v>0</v>
      </c>
      <c r="CQ104" s="1707">
        <f t="shared" ca="1" si="21"/>
        <v>0</v>
      </c>
      <c r="CR104" s="1426" t="str">
        <f t="shared" ca="1" si="25"/>
        <v>ok</v>
      </c>
    </row>
    <row r="105" spans="1:96" x14ac:dyDescent="0.2">
      <c r="A105" s="1683" t="s">
        <v>1769</v>
      </c>
      <c r="B105" s="1683" t="s">
        <v>1190</v>
      </c>
      <c r="C105" s="1683" t="s">
        <v>1189</v>
      </c>
      <c r="E105" s="1689">
        <f ca="1">Costs!E104/('Global assumptions'!$C$7*NAIRA2010_*250)</f>
        <v>0</v>
      </c>
      <c r="F105" s="1689">
        <f ca="1">Costs!F104/('Global assumptions'!$C$7*NAIRA2010_*250)</f>
        <v>0</v>
      </c>
      <c r="G105" s="1689">
        <f ca="1">Costs!G104/('Global assumptions'!$C$7*NAIRA2010_*250)</f>
        <v>0</v>
      </c>
      <c r="H105" s="1689">
        <f ca="1">Costs!H104/('Global assumptions'!$C$7*NAIRA2010_*250)</f>
        <v>0</v>
      </c>
      <c r="I105" s="1689">
        <f ca="1">Costs!I104/('Global assumptions'!$C$7*NAIRA2010_*250)</f>
        <v>0</v>
      </c>
      <c r="J105" s="1689">
        <f ca="1">Costs!J104/('Global assumptions'!$C$7*NAIRA2010_*250)</f>
        <v>0</v>
      </c>
      <c r="K105" s="1689">
        <f ca="1">Costs!K104/('Global assumptions'!$C$7*NAIRA2010_*250)</f>
        <v>0</v>
      </c>
      <c r="L105" s="1689">
        <f ca="1">Costs!L104/('Global assumptions'!$C$7*NAIRA2010_*250)</f>
        <v>0</v>
      </c>
      <c r="M105" s="1689">
        <f ca="1">Costs!M104/('Global assumptions'!$C$7*NAIRA2010_*250)</f>
        <v>0</v>
      </c>
      <c r="N105" s="675"/>
      <c r="O105" s="1689">
        <f ca="1">Costs!O104/('Global assumptions'!$C$7*NAIRA2010_*250)</f>
        <v>0</v>
      </c>
      <c r="P105" s="1689">
        <f ca="1">Costs!P104/('Global assumptions'!$C$7*NAIRA2010_*250)</f>
        <v>0</v>
      </c>
      <c r="Q105" s="1689">
        <f ca="1">Costs!Q104/('Global assumptions'!$C$7*NAIRA2010_*250)</f>
        <v>0</v>
      </c>
      <c r="R105" s="1689">
        <f ca="1">Costs!R104/('Global assumptions'!$C$7*NAIRA2010_*250)</f>
        <v>0</v>
      </c>
      <c r="S105" s="1689">
        <f ca="1">Costs!S104/('Global assumptions'!$C$7*NAIRA2010_*250)</f>
        <v>0</v>
      </c>
      <c r="T105" s="1689">
        <f ca="1">Costs!T104/('Global assumptions'!$C$7*NAIRA2010_*250)</f>
        <v>0</v>
      </c>
      <c r="U105" s="1689">
        <f ca="1">Costs!U104/('Global assumptions'!$C$7*NAIRA2010_*250)</f>
        <v>0</v>
      </c>
      <c r="V105" s="1689">
        <f ca="1">Costs!V104/('Global assumptions'!$C$7*NAIRA2010_*250)</f>
        <v>0</v>
      </c>
      <c r="W105" s="1689">
        <f ca="1">Costs!W104/('Global assumptions'!$C$7*NAIRA2010_*250)</f>
        <v>0</v>
      </c>
      <c r="X105" s="675"/>
      <c r="Y105" s="1689">
        <f ca="1">Costs!Y104/('Global assumptions'!$C$7*NAIRA2010_*250)</f>
        <v>393.92171824874561</v>
      </c>
      <c r="Z105" s="1689">
        <f ca="1">Costs!Z104/('Global assumptions'!$C$7*NAIRA2010_*250)</f>
        <v>433.55785511542445</v>
      </c>
      <c r="AA105" s="1689">
        <f ca="1">Costs!AA104/('Global assumptions'!$C$7*NAIRA2010_*250)</f>
        <v>480.63155651929071</v>
      </c>
      <c r="AB105" s="1689">
        <f ca="1">Costs!AB104/('Global assumptions'!$C$7*NAIRA2010_*250)</f>
        <v>529.26695462718908</v>
      </c>
      <c r="AC105" s="1689">
        <f ca="1">Costs!AC104/('Global assumptions'!$C$7*NAIRA2010_*250)</f>
        <v>573.38093153638749</v>
      </c>
      <c r="AD105" s="1689">
        <f ca="1">Costs!AD104/('Global assumptions'!$C$7*NAIRA2010_*250)</f>
        <v>624.86938772233668</v>
      </c>
      <c r="AE105" s="1689">
        <f ca="1">Costs!AE104/('Global assumptions'!$C$7*NAIRA2010_*250)</f>
        <v>676.35616493519922</v>
      </c>
      <c r="AF105" s="1689">
        <f ca="1">Costs!AF104/('Global assumptions'!$C$7*NAIRA2010_*250)</f>
        <v>731.6051976898674</v>
      </c>
      <c r="AG105" s="1689">
        <f ca="1">Costs!AG104/('Global assumptions'!$C$7*NAIRA2010_*250)</f>
        <v>786.37081316878334</v>
      </c>
      <c r="AH105" s="675"/>
      <c r="AI105" s="1689">
        <f ca="1">Costs!AI104/('Global assumptions'!$C$7*NAIRA2010_*250)</f>
        <v>393.92171824874561</v>
      </c>
      <c r="AJ105" s="1689">
        <f ca="1">Costs!AJ104/('Global assumptions'!$C$7*NAIRA2010_*250)</f>
        <v>433.55785511542445</v>
      </c>
      <c r="AK105" s="1689">
        <f ca="1">Costs!AK104/('Global assumptions'!$C$7*NAIRA2010_*250)</f>
        <v>480.63155651929071</v>
      </c>
      <c r="AL105" s="1689">
        <f ca="1">Costs!AL104/('Global assumptions'!$C$7*NAIRA2010_*250)</f>
        <v>529.26695462718908</v>
      </c>
      <c r="AM105" s="1689">
        <f ca="1">Costs!AM104/('Global assumptions'!$C$7*NAIRA2010_*250)</f>
        <v>573.38093153638749</v>
      </c>
      <c r="AN105" s="1689">
        <f ca="1">Costs!AN104/('Global assumptions'!$C$7*NAIRA2010_*250)</f>
        <v>624.86938772233668</v>
      </c>
      <c r="AO105" s="1689">
        <f ca="1">Costs!AO104/('Global assumptions'!$C$7*NAIRA2010_*250)</f>
        <v>676.35616493519922</v>
      </c>
      <c r="AP105" s="1689">
        <f ca="1">Costs!AP104/('Global assumptions'!$C$7*NAIRA2010_*250)</f>
        <v>731.6051976898674</v>
      </c>
      <c r="AQ105" s="1689">
        <f ca="1">Costs!AQ104/('Global assumptions'!$C$7*NAIRA2010_*250)</f>
        <v>786.37081316878334</v>
      </c>
      <c r="AS105" s="1706">
        <f t="shared" ca="1" si="22"/>
        <v>581.10673106258048</v>
      </c>
      <c r="AT105" s="1706">
        <f t="shared" ca="1" si="19"/>
        <v>4556.7978078944707</v>
      </c>
      <c r="AU105" s="675"/>
      <c r="AV105" s="1699">
        <f>IFERROR(VLOOKUP($A105,Cost.FinanceCostTable,7,FALSE),'Global assumptions'!$D$35)</f>
        <v>0</v>
      </c>
      <c r="AW105" s="1690">
        <f>IFERROR(VLOOKUP($A105,Cost.FinanceCostTable,8,FALSE),'Global assumptions'!$E$35)</f>
        <v>5</v>
      </c>
      <c r="AX105" s="675"/>
      <c r="AY105" s="1689">
        <f ca="1">Costs!AY104/('Global assumptions'!$C$7*NAIRA2010_*250)</f>
        <v>0</v>
      </c>
      <c r="AZ105" s="1689">
        <f ca="1">Costs!AZ104/('Global assumptions'!$C$7*NAIRA2010_*250)</f>
        <v>0</v>
      </c>
      <c r="BA105" s="1689">
        <f ca="1">Costs!BA104/('Global assumptions'!$C$7*NAIRA2010_*250)</f>
        <v>0</v>
      </c>
      <c r="BB105" s="1689">
        <f ca="1">Costs!BB104/('Global assumptions'!$C$7*NAIRA2010_*250)</f>
        <v>0</v>
      </c>
      <c r="BC105" s="1689">
        <f ca="1">Costs!BC104/('Global assumptions'!$C$7*NAIRA2010_*250)</f>
        <v>0</v>
      </c>
      <c r="BD105" s="1689">
        <f ca="1">Costs!BD104/('Global assumptions'!$C$7*NAIRA2010_*250)</f>
        <v>0</v>
      </c>
      <c r="BE105" s="1689">
        <f ca="1">Costs!BE104/('Global assumptions'!$C$7*NAIRA2010_*250)</f>
        <v>0</v>
      </c>
      <c r="BF105" s="1689">
        <f ca="1">Costs!BF104/('Global assumptions'!$C$7*NAIRA2010_*250)</f>
        <v>0</v>
      </c>
      <c r="BG105" s="1689">
        <f ca="1">Costs!BG104/('Global assumptions'!$C$7*NAIRA2010_*250)</f>
        <v>0</v>
      </c>
      <c r="BH105" s="675"/>
      <c r="BI105" s="1689">
        <f ca="1">Costs!BI104/('Global assumptions'!$C$7*NAIRA2010_*250)</f>
        <v>0</v>
      </c>
      <c r="BJ105" s="1689">
        <f ca="1">Costs!BJ104/('Global assumptions'!$C$7*NAIRA2010_*250)</f>
        <v>0</v>
      </c>
      <c r="BK105" s="1689">
        <f ca="1">Costs!BK104/('Global assumptions'!$C$7*NAIRA2010_*250)</f>
        <v>0</v>
      </c>
      <c r="BL105" s="1689">
        <f ca="1">Costs!BL104/('Global assumptions'!$C$7*NAIRA2010_*250)</f>
        <v>0</v>
      </c>
      <c r="BM105" s="1689">
        <f ca="1">Costs!BM104/('Global assumptions'!$C$7*NAIRA2010_*250)</f>
        <v>0</v>
      </c>
      <c r="BN105" s="1689">
        <f ca="1">Costs!BN104/('Global assumptions'!$C$7*NAIRA2010_*250)</f>
        <v>0</v>
      </c>
      <c r="BO105" s="1689">
        <f ca="1">Costs!BO104/('Global assumptions'!$C$7*NAIRA2010_*250)</f>
        <v>0</v>
      </c>
      <c r="BP105" s="1689">
        <f ca="1">Costs!BP104/('Global assumptions'!$C$7*NAIRA2010_*250)</f>
        <v>0</v>
      </c>
      <c r="BQ105" s="1689">
        <f ca="1">Costs!BQ104/('Global assumptions'!$C$7*NAIRA2010_*250)</f>
        <v>0</v>
      </c>
      <c r="BR105" s="675"/>
      <c r="BS105" s="1689">
        <f ca="1">Costs!BS104/('Global assumptions'!$C$7*NAIRA2010_*250)</f>
        <v>393.92171824874561</v>
      </c>
      <c r="BT105" s="1689">
        <f ca="1">Costs!BT104/('Global assumptions'!$C$7*NAIRA2010_*250)</f>
        <v>433.55785511542445</v>
      </c>
      <c r="BU105" s="1689">
        <f ca="1">Costs!BU104/('Global assumptions'!$C$7*NAIRA2010_*250)</f>
        <v>480.63155651929071</v>
      </c>
      <c r="BV105" s="1689">
        <f ca="1">Costs!BV104/('Global assumptions'!$C$7*NAIRA2010_*250)</f>
        <v>529.26695462718908</v>
      </c>
      <c r="BW105" s="1689">
        <f ca="1">Costs!BW104/('Global assumptions'!$C$7*NAIRA2010_*250)</f>
        <v>573.38093153638749</v>
      </c>
      <c r="BX105" s="1689">
        <f ca="1">Costs!BX104/('Global assumptions'!$C$7*NAIRA2010_*250)</f>
        <v>624.86938772233668</v>
      </c>
      <c r="BY105" s="1689">
        <f ca="1">Costs!BY104/('Global assumptions'!$C$7*NAIRA2010_*250)</f>
        <v>676.35616493519922</v>
      </c>
      <c r="BZ105" s="1689">
        <f ca="1">Costs!BZ104/('Global assumptions'!$C$7*NAIRA2010_*250)</f>
        <v>731.6051976898674</v>
      </c>
      <c r="CA105" s="1689">
        <f ca="1">Costs!CA104/('Global assumptions'!$C$7*NAIRA2010_*250)</f>
        <v>786.37081316878334</v>
      </c>
      <c r="CC105" s="1706">
        <f t="shared" ca="1" si="23"/>
        <v>581.10673106258048</v>
      </c>
      <c r="CD105" s="1706">
        <f t="shared" ca="1" si="20"/>
        <v>4556.7978078944707</v>
      </c>
      <c r="CF105" s="1689">
        <f ca="1">Costs!CF104/('Global assumptions'!$C$7*NAIRA2010_*250)</f>
        <v>0</v>
      </c>
      <c r="CG105" s="1689">
        <f ca="1">Costs!CG104/('Global assumptions'!$C$7*NAIRA2010_*250)</f>
        <v>0</v>
      </c>
      <c r="CH105" s="1689">
        <f ca="1">Costs!CH104/('Global assumptions'!$C$7*NAIRA2010_*250)</f>
        <v>0</v>
      </c>
      <c r="CI105" s="1689">
        <f ca="1">Costs!CI104/('Global assumptions'!$C$7*NAIRA2010_*250)</f>
        <v>0</v>
      </c>
      <c r="CJ105" s="1689">
        <f ca="1">Costs!CJ104/('Global assumptions'!$C$7*NAIRA2010_*250)</f>
        <v>0</v>
      </c>
      <c r="CK105" s="1689">
        <f ca="1">Costs!CK104/('Global assumptions'!$C$7*NAIRA2010_*250)</f>
        <v>0</v>
      </c>
      <c r="CL105" s="1689">
        <f ca="1">Costs!CL104/('Global assumptions'!$C$7*NAIRA2010_*250)</f>
        <v>0</v>
      </c>
      <c r="CM105" s="1689">
        <f ca="1">Costs!CM104/('Global assumptions'!$C$7*NAIRA2010_*250)</f>
        <v>0</v>
      </c>
      <c r="CN105" s="1689">
        <f ca="1">Costs!CN104/('Global assumptions'!$C$7*NAIRA2010_*250)</f>
        <v>0</v>
      </c>
      <c r="CP105" s="1706">
        <f t="shared" ca="1" si="24"/>
        <v>0</v>
      </c>
      <c r="CQ105" s="1706">
        <f t="shared" ca="1" si="21"/>
        <v>0</v>
      </c>
      <c r="CR105" s="1426" t="str">
        <f t="shared" ca="1" si="25"/>
        <v>ok</v>
      </c>
    </row>
    <row r="106" spans="1:96" x14ac:dyDescent="0.2">
      <c r="A106" s="1685" t="s">
        <v>1765</v>
      </c>
      <c r="B106" s="1685" t="s">
        <v>1767</v>
      </c>
      <c r="C106" s="1685" t="s">
        <v>1189</v>
      </c>
      <c r="E106" s="1691">
        <f ca="1">Costs!E105/('Global assumptions'!$C$7*NAIRA2010_*250)</f>
        <v>0</v>
      </c>
      <c r="F106" s="1691">
        <f ca="1">Costs!F105/('Global assumptions'!$C$7*NAIRA2010_*250)</f>
        <v>0</v>
      </c>
      <c r="G106" s="1691">
        <f ca="1">Costs!G105/('Global assumptions'!$C$7*NAIRA2010_*250)</f>
        <v>0</v>
      </c>
      <c r="H106" s="1691">
        <f ca="1">Costs!H105/('Global assumptions'!$C$7*NAIRA2010_*250)</f>
        <v>0</v>
      </c>
      <c r="I106" s="1691">
        <f ca="1">Costs!I105/('Global assumptions'!$C$7*NAIRA2010_*250)</f>
        <v>0</v>
      </c>
      <c r="J106" s="1691">
        <f ca="1">Costs!J105/('Global assumptions'!$C$7*NAIRA2010_*250)</f>
        <v>0</v>
      </c>
      <c r="K106" s="1691">
        <f ca="1">Costs!K105/('Global assumptions'!$C$7*NAIRA2010_*250)</f>
        <v>0</v>
      </c>
      <c r="L106" s="1691">
        <f ca="1">Costs!L105/('Global assumptions'!$C$7*NAIRA2010_*250)</f>
        <v>0</v>
      </c>
      <c r="M106" s="1691">
        <f ca="1">Costs!M105/('Global assumptions'!$C$7*NAIRA2010_*250)</f>
        <v>0</v>
      </c>
      <c r="N106" s="675"/>
      <c r="O106" s="1691">
        <f ca="1">Costs!O105/('Global assumptions'!$C$7*NAIRA2010_*250)</f>
        <v>0</v>
      </c>
      <c r="P106" s="1691">
        <f ca="1">Costs!P105/('Global assumptions'!$C$7*NAIRA2010_*250)</f>
        <v>0</v>
      </c>
      <c r="Q106" s="1691">
        <f ca="1">Costs!Q105/('Global assumptions'!$C$7*NAIRA2010_*250)</f>
        <v>0</v>
      </c>
      <c r="R106" s="1691">
        <f ca="1">Costs!R105/('Global assumptions'!$C$7*NAIRA2010_*250)</f>
        <v>0</v>
      </c>
      <c r="S106" s="1691">
        <f ca="1">Costs!S105/('Global assumptions'!$C$7*NAIRA2010_*250)</f>
        <v>0</v>
      </c>
      <c r="T106" s="1691">
        <f ca="1">Costs!T105/('Global assumptions'!$C$7*NAIRA2010_*250)</f>
        <v>0</v>
      </c>
      <c r="U106" s="1691">
        <f ca="1">Costs!U105/('Global assumptions'!$C$7*NAIRA2010_*250)</f>
        <v>0</v>
      </c>
      <c r="V106" s="1691">
        <f ca="1">Costs!V105/('Global assumptions'!$C$7*NAIRA2010_*250)</f>
        <v>0</v>
      </c>
      <c r="W106" s="1691">
        <f ca="1">Costs!W105/('Global assumptions'!$C$7*NAIRA2010_*250)</f>
        <v>0</v>
      </c>
      <c r="X106" s="675"/>
      <c r="Y106" s="1691">
        <f ca="1">Costs!Y105/('Global assumptions'!$C$7*NAIRA2010_*250)</f>
        <v>0</v>
      </c>
      <c r="Z106" s="1691">
        <f ca="1">Costs!Z105/('Global assumptions'!$C$7*NAIRA2010_*250)</f>
        <v>0</v>
      </c>
      <c r="AA106" s="1691">
        <f ca="1">Costs!AA105/('Global assumptions'!$C$7*NAIRA2010_*250)</f>
        <v>0</v>
      </c>
      <c r="AB106" s="1691">
        <f ca="1">Costs!AB105/('Global assumptions'!$C$7*NAIRA2010_*250)</f>
        <v>0</v>
      </c>
      <c r="AC106" s="1691">
        <f ca="1">Costs!AC105/('Global assumptions'!$C$7*NAIRA2010_*250)</f>
        <v>0</v>
      </c>
      <c r="AD106" s="1691">
        <f ca="1">Costs!AD105/('Global assumptions'!$C$7*NAIRA2010_*250)</f>
        <v>0</v>
      </c>
      <c r="AE106" s="1691">
        <f ca="1">Costs!AE105/('Global assumptions'!$C$7*NAIRA2010_*250)</f>
        <v>0</v>
      </c>
      <c r="AF106" s="1691">
        <f ca="1">Costs!AF105/('Global assumptions'!$C$7*NAIRA2010_*250)</f>
        <v>0</v>
      </c>
      <c r="AG106" s="1691">
        <f ca="1">Costs!AG105/('Global assumptions'!$C$7*NAIRA2010_*250)</f>
        <v>0</v>
      </c>
      <c r="AH106" s="675"/>
      <c r="AI106" s="1691">
        <f ca="1">Costs!AI105/('Global assumptions'!$C$7*NAIRA2010_*250)</f>
        <v>0</v>
      </c>
      <c r="AJ106" s="1691">
        <f ca="1">Costs!AJ105/('Global assumptions'!$C$7*NAIRA2010_*250)</f>
        <v>0</v>
      </c>
      <c r="AK106" s="1691">
        <f ca="1">Costs!AK105/('Global assumptions'!$C$7*NAIRA2010_*250)</f>
        <v>0</v>
      </c>
      <c r="AL106" s="1691">
        <f ca="1">Costs!AL105/('Global assumptions'!$C$7*NAIRA2010_*250)</f>
        <v>0</v>
      </c>
      <c r="AM106" s="1691">
        <f ca="1">Costs!AM105/('Global assumptions'!$C$7*NAIRA2010_*250)</f>
        <v>0</v>
      </c>
      <c r="AN106" s="1691">
        <f ca="1">Costs!AN105/('Global assumptions'!$C$7*NAIRA2010_*250)</f>
        <v>0</v>
      </c>
      <c r="AO106" s="1691">
        <f ca="1">Costs!AO105/('Global assumptions'!$C$7*NAIRA2010_*250)</f>
        <v>0</v>
      </c>
      <c r="AP106" s="1691">
        <f ca="1">Costs!AP105/('Global assumptions'!$C$7*NAIRA2010_*250)</f>
        <v>0</v>
      </c>
      <c r="AQ106" s="1691">
        <f ca="1">Costs!AQ105/('Global assumptions'!$C$7*NAIRA2010_*250)</f>
        <v>0</v>
      </c>
      <c r="AS106" s="1707">
        <f t="shared" ca="1" si="22"/>
        <v>0</v>
      </c>
      <c r="AT106" s="1707">
        <f t="shared" ca="1" si="19"/>
        <v>0</v>
      </c>
      <c r="AU106" s="675"/>
      <c r="AV106" s="1699">
        <f>IFERROR(VLOOKUP($A106,Cost.FinanceCostTable,7,FALSE),'Global assumptions'!$D$35)</f>
        <v>0.1</v>
      </c>
      <c r="AW106" s="1690">
        <f>IFERROR(VLOOKUP($A106,Cost.FinanceCostTable,8,FALSE),'Global assumptions'!$E$35)</f>
        <v>15</v>
      </c>
      <c r="AX106" s="675"/>
      <c r="AY106" s="1691">
        <f ca="1">Costs!AY105/('Global assumptions'!$C$7*NAIRA2010_*250)</f>
        <v>0</v>
      </c>
      <c r="AZ106" s="1691">
        <f ca="1">Costs!AZ105/('Global assumptions'!$C$7*NAIRA2010_*250)</f>
        <v>0</v>
      </c>
      <c r="BA106" s="1691">
        <f ca="1">Costs!BA105/('Global assumptions'!$C$7*NAIRA2010_*250)</f>
        <v>0</v>
      </c>
      <c r="BB106" s="1691">
        <f ca="1">Costs!BB105/('Global assumptions'!$C$7*NAIRA2010_*250)</f>
        <v>0</v>
      </c>
      <c r="BC106" s="1691">
        <f ca="1">Costs!BC105/('Global assumptions'!$C$7*NAIRA2010_*250)</f>
        <v>0</v>
      </c>
      <c r="BD106" s="1691">
        <f ca="1">Costs!BD105/('Global assumptions'!$C$7*NAIRA2010_*250)</f>
        <v>0</v>
      </c>
      <c r="BE106" s="1691">
        <f ca="1">Costs!BE105/('Global assumptions'!$C$7*NAIRA2010_*250)</f>
        <v>0</v>
      </c>
      <c r="BF106" s="1691">
        <f ca="1">Costs!BF105/('Global assumptions'!$C$7*NAIRA2010_*250)</f>
        <v>0</v>
      </c>
      <c r="BG106" s="1691">
        <f ca="1">Costs!BG105/('Global assumptions'!$C$7*NAIRA2010_*250)</f>
        <v>0</v>
      </c>
      <c r="BH106" s="675"/>
      <c r="BI106" s="1691">
        <f ca="1">Costs!BI105/('Global assumptions'!$C$7*NAIRA2010_*250)</f>
        <v>0</v>
      </c>
      <c r="BJ106" s="1691">
        <f ca="1">Costs!BJ105/('Global assumptions'!$C$7*NAIRA2010_*250)</f>
        <v>0</v>
      </c>
      <c r="BK106" s="1691">
        <f ca="1">Costs!BK105/('Global assumptions'!$C$7*NAIRA2010_*250)</f>
        <v>0</v>
      </c>
      <c r="BL106" s="1691">
        <f ca="1">Costs!BL105/('Global assumptions'!$C$7*NAIRA2010_*250)</f>
        <v>0</v>
      </c>
      <c r="BM106" s="1691">
        <f ca="1">Costs!BM105/('Global assumptions'!$C$7*NAIRA2010_*250)</f>
        <v>0</v>
      </c>
      <c r="BN106" s="1691">
        <f ca="1">Costs!BN105/('Global assumptions'!$C$7*NAIRA2010_*250)</f>
        <v>0</v>
      </c>
      <c r="BO106" s="1691">
        <f ca="1">Costs!BO105/('Global assumptions'!$C$7*NAIRA2010_*250)</f>
        <v>0</v>
      </c>
      <c r="BP106" s="1691">
        <f ca="1">Costs!BP105/('Global assumptions'!$C$7*NAIRA2010_*250)</f>
        <v>0</v>
      </c>
      <c r="BQ106" s="1691">
        <f ca="1">Costs!BQ105/('Global assumptions'!$C$7*NAIRA2010_*250)</f>
        <v>0</v>
      </c>
      <c r="BR106" s="675"/>
      <c r="BS106" s="1691">
        <f ca="1">Costs!BS105/('Global assumptions'!$C$7*NAIRA2010_*250)</f>
        <v>0</v>
      </c>
      <c r="BT106" s="1691">
        <f ca="1">Costs!BT105/('Global assumptions'!$C$7*NAIRA2010_*250)</f>
        <v>0</v>
      </c>
      <c r="BU106" s="1691">
        <f ca="1">Costs!BU105/('Global assumptions'!$C$7*NAIRA2010_*250)</f>
        <v>0</v>
      </c>
      <c r="BV106" s="1691">
        <f ca="1">Costs!BV105/('Global assumptions'!$C$7*NAIRA2010_*250)</f>
        <v>0</v>
      </c>
      <c r="BW106" s="1691">
        <f ca="1">Costs!BW105/('Global assumptions'!$C$7*NAIRA2010_*250)</f>
        <v>0</v>
      </c>
      <c r="BX106" s="1691">
        <f ca="1">Costs!BX105/('Global assumptions'!$C$7*NAIRA2010_*250)</f>
        <v>0</v>
      </c>
      <c r="BY106" s="1691">
        <f ca="1">Costs!BY105/('Global assumptions'!$C$7*NAIRA2010_*250)</f>
        <v>0</v>
      </c>
      <c r="BZ106" s="1691">
        <f ca="1">Costs!BZ105/('Global assumptions'!$C$7*NAIRA2010_*250)</f>
        <v>0</v>
      </c>
      <c r="CA106" s="1691">
        <f ca="1">Costs!CA105/('Global assumptions'!$C$7*NAIRA2010_*250)</f>
        <v>0</v>
      </c>
      <c r="CC106" s="1707">
        <f t="shared" ca="1" si="23"/>
        <v>0</v>
      </c>
      <c r="CD106" s="1707">
        <f t="shared" ca="1" si="20"/>
        <v>0</v>
      </c>
      <c r="CF106" s="1691">
        <f ca="1">Costs!CF105/('Global assumptions'!$C$7*NAIRA2010_*250)</f>
        <v>0</v>
      </c>
      <c r="CG106" s="1691">
        <f ca="1">Costs!CG105/('Global assumptions'!$C$7*NAIRA2010_*250)</f>
        <v>0</v>
      </c>
      <c r="CH106" s="1691">
        <f ca="1">Costs!CH105/('Global assumptions'!$C$7*NAIRA2010_*250)</f>
        <v>0</v>
      </c>
      <c r="CI106" s="1691">
        <f ca="1">Costs!CI105/('Global assumptions'!$C$7*NAIRA2010_*250)</f>
        <v>0</v>
      </c>
      <c r="CJ106" s="1691">
        <f ca="1">Costs!CJ105/('Global assumptions'!$C$7*NAIRA2010_*250)</f>
        <v>0</v>
      </c>
      <c r="CK106" s="1691">
        <f ca="1">Costs!CK105/('Global assumptions'!$C$7*NAIRA2010_*250)</f>
        <v>0</v>
      </c>
      <c r="CL106" s="1691">
        <f ca="1">Costs!CL105/('Global assumptions'!$C$7*NAIRA2010_*250)</f>
        <v>0</v>
      </c>
      <c r="CM106" s="1691">
        <f ca="1">Costs!CM105/('Global assumptions'!$C$7*NAIRA2010_*250)</f>
        <v>0</v>
      </c>
      <c r="CN106" s="1691">
        <f ca="1">Costs!CN105/('Global assumptions'!$C$7*NAIRA2010_*250)</f>
        <v>0</v>
      </c>
      <c r="CP106" s="1707">
        <f t="shared" ca="1" si="24"/>
        <v>0</v>
      </c>
      <c r="CQ106" s="1707">
        <f t="shared" ca="1" si="21"/>
        <v>0</v>
      </c>
      <c r="CR106" s="1426" t="str">
        <f t="shared" ca="1" si="25"/>
        <v>ok</v>
      </c>
    </row>
    <row r="107" spans="1:96" x14ac:dyDescent="0.2">
      <c r="A107" s="1683" t="s">
        <v>1766</v>
      </c>
      <c r="B107" s="1683" t="s">
        <v>1362</v>
      </c>
      <c r="C107" s="1683" t="s">
        <v>1189</v>
      </c>
      <c r="E107" s="1689">
        <f ca="1">Costs!E106/('Global assumptions'!$C$7*NAIRA2010_*250)</f>
        <v>0.52423921229095261</v>
      </c>
      <c r="F107" s="1689">
        <f ca="1">Costs!F106/('Global assumptions'!$C$7*NAIRA2010_*250)</f>
        <v>0.68594351347568339</v>
      </c>
      <c r="G107" s="1689">
        <f ca="1">Costs!G106/('Global assumptions'!$C$7*NAIRA2010_*250)</f>
        <v>0.85451840056639339</v>
      </c>
      <c r="H107" s="1689">
        <f ca="1">Costs!H106/('Global assumptions'!$C$7*NAIRA2010_*250)</f>
        <v>0.84677887958556186</v>
      </c>
      <c r="I107" s="1689">
        <f ca="1">Costs!I106/('Global assumptions'!$C$7*NAIRA2010_*250)</f>
        <v>0.84157443587179803</v>
      </c>
      <c r="J107" s="1689">
        <f ca="1">Costs!J106/('Global assumptions'!$C$7*NAIRA2010_*250)</f>
        <v>0.8121017667868774</v>
      </c>
      <c r="K107" s="1689">
        <f ca="1">Costs!K106/('Global assumptions'!$C$7*NAIRA2010_*250)</f>
        <v>0.78277958621475408</v>
      </c>
      <c r="L107" s="1689">
        <f ca="1">Costs!L106/('Global assumptions'!$C$7*NAIRA2010_*250)</f>
        <v>0.7528509302083618</v>
      </c>
      <c r="M107" s="1689">
        <f ca="1">Costs!M106/('Global assumptions'!$C$7*NAIRA2010_*250)</f>
        <v>0.7237233578572303</v>
      </c>
      <c r="N107" s="675"/>
      <c r="O107" s="1689">
        <f ca="1">Costs!O106/('Global assumptions'!$C$7*NAIRA2010_*250)</f>
        <v>0.52424021483763106</v>
      </c>
      <c r="P107" s="1689">
        <f ca="1">Costs!P106/('Global assumptions'!$C$7*NAIRA2010_*250)</f>
        <v>0.77395875673797687</v>
      </c>
      <c r="Q107" s="1689">
        <f ca="1">Costs!Q106/('Global assumptions'!$C$7*NAIRA2010_*250)</f>
        <v>1.0524248895458805</v>
      </c>
      <c r="R107" s="1689">
        <f ca="1">Costs!R106/('Global assumptions'!$C$7*NAIRA2010_*250)</f>
        <v>1.1193000542056086</v>
      </c>
      <c r="S107" s="1689">
        <f ca="1">Costs!S106/('Global assumptions'!$C$7*NAIRA2010_*250)</f>
        <v>1.1990432816517638</v>
      </c>
      <c r="T107" s="1689">
        <f ca="1">Costs!T106/('Global assumptions'!$C$7*NAIRA2010_*250)</f>
        <v>1.1892798314718915</v>
      </c>
      <c r="U107" s="1689">
        <f ca="1">Costs!U106/('Global assumptions'!$C$7*NAIRA2010_*250)</f>
        <v>1.1802202441308007</v>
      </c>
      <c r="V107" s="1689">
        <f ca="1">Costs!V106/('Global assumptions'!$C$7*NAIRA2010_*250)</f>
        <v>1.1718645034921304</v>
      </c>
      <c r="W107" s="1689">
        <f ca="1">Costs!W106/('Global assumptions'!$C$7*NAIRA2010_*250)</f>
        <v>1.1642126432081952</v>
      </c>
      <c r="X107" s="675"/>
      <c r="Y107" s="1689">
        <f ca="1">Costs!Y106/('Global assumptions'!$C$7*NAIRA2010_*250)</f>
        <v>0</v>
      </c>
      <c r="Z107" s="1689">
        <f ca="1">Costs!Z106/('Global assumptions'!$C$7*NAIRA2010_*250)</f>
        <v>0</v>
      </c>
      <c r="AA107" s="1689">
        <f ca="1">Costs!AA106/('Global assumptions'!$C$7*NAIRA2010_*250)</f>
        <v>0</v>
      </c>
      <c r="AB107" s="1689">
        <f ca="1">Costs!AB106/('Global assumptions'!$C$7*NAIRA2010_*250)</f>
        <v>0</v>
      </c>
      <c r="AC107" s="1689">
        <f ca="1">Costs!AC106/('Global assumptions'!$C$7*NAIRA2010_*250)</f>
        <v>0</v>
      </c>
      <c r="AD107" s="1689">
        <f ca="1">Costs!AD106/('Global assumptions'!$C$7*NAIRA2010_*250)</f>
        <v>0</v>
      </c>
      <c r="AE107" s="1689">
        <f ca="1">Costs!AE106/('Global assumptions'!$C$7*NAIRA2010_*250)</f>
        <v>0</v>
      </c>
      <c r="AF107" s="1689">
        <f ca="1">Costs!AF106/('Global assumptions'!$C$7*NAIRA2010_*250)</f>
        <v>0</v>
      </c>
      <c r="AG107" s="1689">
        <f ca="1">Costs!AG106/('Global assumptions'!$C$7*NAIRA2010_*250)</f>
        <v>0</v>
      </c>
      <c r="AH107" s="675"/>
      <c r="AI107" s="1689">
        <f ca="1">Costs!AI106/('Global assumptions'!$C$7*NAIRA2010_*250)</f>
        <v>1.0484794271285836</v>
      </c>
      <c r="AJ107" s="1689">
        <f ca="1">Costs!AJ106/('Global assumptions'!$C$7*NAIRA2010_*250)</f>
        <v>1.4599022702136601</v>
      </c>
      <c r="AK107" s="1689">
        <f ca="1">Costs!AK106/('Global assumptions'!$C$7*NAIRA2010_*250)</f>
        <v>1.9069432901122738</v>
      </c>
      <c r="AL107" s="1689">
        <f ca="1">Costs!AL106/('Global assumptions'!$C$7*NAIRA2010_*250)</f>
        <v>1.9660789337911704</v>
      </c>
      <c r="AM107" s="1689">
        <f ca="1">Costs!AM106/('Global assumptions'!$C$7*NAIRA2010_*250)</f>
        <v>2.040617717523562</v>
      </c>
      <c r="AN107" s="1689">
        <f ca="1">Costs!AN106/('Global assumptions'!$C$7*NAIRA2010_*250)</f>
        <v>2.001381598258769</v>
      </c>
      <c r="AO107" s="1689">
        <f ca="1">Costs!AO106/('Global assumptions'!$C$7*NAIRA2010_*250)</f>
        <v>1.9629998303455545</v>
      </c>
      <c r="AP107" s="1689">
        <f ca="1">Costs!AP106/('Global assumptions'!$C$7*NAIRA2010_*250)</f>
        <v>1.9247154337004924</v>
      </c>
      <c r="AQ107" s="1689">
        <f ca="1">Costs!AQ106/('Global assumptions'!$C$7*NAIRA2010_*250)</f>
        <v>1.8879360010654254</v>
      </c>
      <c r="AS107" s="1706">
        <f t="shared" ca="1" si="22"/>
        <v>1.7998949446821659</v>
      </c>
      <c r="AT107" s="1706">
        <f t="shared" ca="1" si="19"/>
        <v>15.491246978546052</v>
      </c>
      <c r="AU107" s="675"/>
      <c r="AV107" s="1699">
        <f>IFERROR(VLOOKUP($A107,Cost.FinanceCostTable,7,FALSE),'Global assumptions'!$D$35)</f>
        <v>0.1</v>
      </c>
      <c r="AW107" s="1690">
        <f>IFERROR(VLOOKUP($A107,Cost.FinanceCostTable,8,FALSE),'Global assumptions'!$E$35)</f>
        <v>15</v>
      </c>
      <c r="AX107" s="675"/>
      <c r="AY107" s="1689">
        <f ca="1">Costs!AY106/('Global assumptions'!$C$7*NAIRA2010_*250)</f>
        <v>0.20677112769705744</v>
      </c>
      <c r="AZ107" s="1689">
        <f ca="1">Costs!AZ106/('Global assumptions'!$C$7*NAIRA2010_*250)</f>
        <v>0.45091792224021104</v>
      </c>
      <c r="BA107" s="1689">
        <f ca="1">Costs!BA106/('Global assumptions'!$C$7*NAIRA2010_*250)</f>
        <v>0.56173380771110093</v>
      </c>
      <c r="BB107" s="1689">
        <f ca="1">Costs!BB106/('Global assumptions'!$C$7*NAIRA2010_*250)</f>
        <v>0.55664608743785604</v>
      </c>
      <c r="BC107" s="1689">
        <f ca="1">Costs!BC106/('Global assumptions'!$C$7*NAIRA2010_*250)</f>
        <v>0.55322484807962458</v>
      </c>
      <c r="BD107" s="1689">
        <f ca="1">Costs!BD106/('Global assumptions'!$C$7*NAIRA2010_*250)</f>
        <v>0.53385043248189357</v>
      </c>
      <c r="BE107" s="1689">
        <f ca="1">Costs!BE106/('Global assumptions'!$C$7*NAIRA2010_*250)</f>
        <v>0.51457494334994058</v>
      </c>
      <c r="BF107" s="1689">
        <f ca="1">Costs!BF106/('Global assumptions'!$C$7*NAIRA2010_*250)</f>
        <v>0.49490077613832412</v>
      </c>
      <c r="BG107" s="1689">
        <f ca="1">Costs!BG106/('Global assumptions'!$C$7*NAIRA2010_*250)</f>
        <v>0.47575321639550677</v>
      </c>
      <c r="BH107" s="675"/>
      <c r="BI107" s="1689">
        <f ca="1">Costs!BI106/('Global assumptions'!$C$7*NAIRA2010_*250)</f>
        <v>0.20677112769705744</v>
      </c>
      <c r="BJ107" s="1689">
        <f ca="1">Costs!BJ106/('Global assumptions'!$C$7*NAIRA2010_*250)</f>
        <v>0.65768904993726851</v>
      </c>
      <c r="BK107" s="1689">
        <f ca="1">Costs!BK106/('Global assumptions'!$C$7*NAIRA2010_*250)</f>
        <v>1.2194228576483692</v>
      </c>
      <c r="BL107" s="1689">
        <f ca="1">Costs!BL106/('Global assumptions'!$C$7*NAIRA2010_*250)</f>
        <v>1.5692978173891681</v>
      </c>
      <c r="BM107" s="1689">
        <f ca="1">Costs!BM106/('Global assumptions'!$C$7*NAIRA2010_*250)</f>
        <v>1.6716047432285817</v>
      </c>
      <c r="BN107" s="1689">
        <f ca="1">Costs!BN106/('Global assumptions'!$C$7*NAIRA2010_*250)</f>
        <v>1.6437213679993741</v>
      </c>
      <c r="BO107" s="1689">
        <f ca="1">Costs!BO106/('Global assumptions'!$C$7*NAIRA2010_*250)</f>
        <v>1.6016502239114587</v>
      </c>
      <c r="BP107" s="1689">
        <f ca="1">Costs!BP106/('Global assumptions'!$C$7*NAIRA2010_*250)</f>
        <v>1.5433261519701582</v>
      </c>
      <c r="BQ107" s="1689">
        <f ca="1">Costs!BQ106/('Global assumptions'!$C$7*NAIRA2010_*250)</f>
        <v>1.4852289358837714</v>
      </c>
      <c r="BR107" s="675"/>
      <c r="BS107" s="1689">
        <f ca="1">Costs!BS106/('Global assumptions'!$C$7*NAIRA2010_*250)</f>
        <v>0.73101134253468847</v>
      </c>
      <c r="BT107" s="1689">
        <f ca="1">Costs!BT106/('Global assumptions'!$C$7*NAIRA2010_*250)</f>
        <v>1.4316478066752454</v>
      </c>
      <c r="BU107" s="1689">
        <f ca="1">Costs!BU106/('Global assumptions'!$C$7*NAIRA2010_*250)</f>
        <v>2.2718477471942498</v>
      </c>
      <c r="BV107" s="1689">
        <f ca="1">Costs!BV106/('Global assumptions'!$C$7*NAIRA2010_*250)</f>
        <v>2.6885978715947769</v>
      </c>
      <c r="BW107" s="1689">
        <f ca="1">Costs!BW106/('Global assumptions'!$C$7*NAIRA2010_*250)</f>
        <v>2.8706480248803454</v>
      </c>
      <c r="BX107" s="1689">
        <f ca="1">Costs!BX106/('Global assumptions'!$C$7*NAIRA2010_*250)</f>
        <v>2.8330011994712656</v>
      </c>
      <c r="BY107" s="1689">
        <f ca="1">Costs!BY106/('Global assumptions'!$C$7*NAIRA2010_*250)</f>
        <v>2.7818704680422592</v>
      </c>
      <c r="BZ107" s="1689">
        <f ca="1">Costs!BZ106/('Global assumptions'!$C$7*NAIRA2010_*250)</f>
        <v>2.7151906554622887</v>
      </c>
      <c r="CA107" s="1689">
        <f ca="1">Costs!CA106/('Global assumptions'!$C$7*NAIRA2010_*250)</f>
        <v>2.6494415790919668</v>
      </c>
      <c r="CC107" s="1706">
        <f t="shared" ca="1" si="23"/>
        <v>2.3303618549941207</v>
      </c>
      <c r="CD107" s="1706">
        <f t="shared" ca="1" si="20"/>
        <v>18.247378885351559</v>
      </c>
      <c r="CF107" s="1689">
        <f ca="1">Costs!CF106/('Global assumptions'!$C$7*NAIRA2010_*250)</f>
        <v>-0.31746808459389519</v>
      </c>
      <c r="CG107" s="1689">
        <f ca="1">Costs!CG106/('Global assumptions'!$C$7*NAIRA2010_*250)</f>
        <v>-2.8254463538414838E-2</v>
      </c>
      <c r="CH107" s="1689">
        <f ca="1">Costs!CH106/('Global assumptions'!$C$7*NAIRA2010_*250)</f>
        <v>0.36490445708197594</v>
      </c>
      <c r="CI107" s="1689">
        <f ca="1">Costs!CI106/('Global assumptions'!$C$7*NAIRA2010_*250)</f>
        <v>0.7225189378036061</v>
      </c>
      <c r="CJ107" s="1689">
        <f ca="1">Costs!CJ106/('Global assumptions'!$C$7*NAIRA2010_*250)</f>
        <v>0.83003030735678363</v>
      </c>
      <c r="CK107" s="1689">
        <f ca="1">Costs!CK106/('Global assumptions'!$C$7*NAIRA2010_*250)</f>
        <v>0.83161960121249667</v>
      </c>
      <c r="CL107" s="1689">
        <f ca="1">Costs!CL106/('Global assumptions'!$C$7*NAIRA2010_*250)</f>
        <v>0.81887063769670465</v>
      </c>
      <c r="CM107" s="1689">
        <f ca="1">Costs!CM106/('Global assumptions'!$C$7*NAIRA2010_*250)</f>
        <v>0.79047522176179641</v>
      </c>
      <c r="CN107" s="1689">
        <f ca="1">Costs!CN106/('Global assumptions'!$C$7*NAIRA2010_*250)</f>
        <v>0.76150557802654095</v>
      </c>
      <c r="CP107" s="1706">
        <f t="shared" ca="1" si="24"/>
        <v>0.53046691031195492</v>
      </c>
      <c r="CQ107" s="1706">
        <f t="shared" ca="1" si="21"/>
        <v>2.7561319068055088</v>
      </c>
      <c r="CR107" s="1426" t="str">
        <f t="shared" ca="1" si="25"/>
        <v>ok</v>
      </c>
    </row>
    <row r="108" spans="1:96" x14ac:dyDescent="0.2">
      <c r="A108" s="1683" t="s">
        <v>1611</v>
      </c>
      <c r="B108" s="1683" t="s">
        <v>43</v>
      </c>
      <c r="C108" s="1683" t="s">
        <v>4</v>
      </c>
      <c r="E108" s="1689">
        <f ca="1">Costs!E107/('Global assumptions'!$C$7*NAIRA2010_*250)</f>
        <v>13.720273065219541</v>
      </c>
      <c r="F108" s="1689">
        <f ca="1">Costs!F107/('Global assumptions'!$C$7*NAIRA2010_*250)</f>
        <v>9.3307974831402589</v>
      </c>
      <c r="G108" s="1689">
        <f ca="1">Costs!G107/('Global assumptions'!$C$7*NAIRA2010_*250)</f>
        <v>9.9604685304564065</v>
      </c>
      <c r="H108" s="1689">
        <f ca="1">Costs!H107/('Global assumptions'!$C$7*NAIRA2010_*250)</f>
        <v>10.497458706163151</v>
      </c>
      <c r="I108" s="1689">
        <f ca="1">Costs!I107/('Global assumptions'!$C$7*NAIRA2010_*250)</f>
        <v>11.034448881869896</v>
      </c>
      <c r="J108" s="1689">
        <f ca="1">Costs!J107/('Global assumptions'!$C$7*NAIRA2010_*250)</f>
        <v>11.268712592520799</v>
      </c>
      <c r="K108" s="1689">
        <f ca="1">Costs!K107/('Global assumptions'!$C$7*NAIRA2010_*250)</f>
        <v>11.502976303171703</v>
      </c>
      <c r="L108" s="1689">
        <f ca="1">Costs!L107/('Global assumptions'!$C$7*NAIRA2010_*250)</f>
        <v>11.737240013822607</v>
      </c>
      <c r="M108" s="1689">
        <f ca="1">Costs!M107/('Global assumptions'!$C$7*NAIRA2010_*250)</f>
        <v>11.971503724473511</v>
      </c>
      <c r="N108" s="675"/>
      <c r="O108" s="1689">
        <f ca="1">Costs!O107/('Global assumptions'!$C$7*NAIRA2010_*250)</f>
        <v>28.689383599695539</v>
      </c>
      <c r="P108" s="1689">
        <f ca="1">Costs!P107/('Global assumptions'!$C$7*NAIRA2010_*250)</f>
        <v>22.143666795025933</v>
      </c>
      <c r="Q108" s="1689">
        <f ca="1">Costs!Q107/('Global assumptions'!$C$7*NAIRA2010_*250)</f>
        <v>23.607226526625624</v>
      </c>
      <c r="R108" s="1689">
        <f ca="1">Costs!R107/('Global assumptions'!$C$7*NAIRA2010_*250)</f>
        <v>24.855365853944001</v>
      </c>
      <c r="S108" s="1689">
        <f ca="1">Costs!S107/('Global assumptions'!$C$7*NAIRA2010_*250)</f>
        <v>26.103505181262381</v>
      </c>
      <c r="T108" s="1689">
        <f ca="1">Costs!T107/('Global assumptions'!$C$7*NAIRA2010_*250)</f>
        <v>26.648010022234754</v>
      </c>
      <c r="U108" s="1689">
        <f ca="1">Costs!U107/('Global assumptions'!$C$7*NAIRA2010_*250)</f>
        <v>27.192514863207123</v>
      </c>
      <c r="V108" s="1689">
        <f ca="1">Costs!V107/('Global assumptions'!$C$7*NAIRA2010_*250)</f>
        <v>27.737019704179495</v>
      </c>
      <c r="W108" s="1689">
        <f ca="1">Costs!W107/('Global assumptions'!$C$7*NAIRA2010_*250)</f>
        <v>28.281524545151868</v>
      </c>
      <c r="X108" s="675"/>
      <c r="Y108" s="1689">
        <f ca="1">Costs!Y107/('Global assumptions'!$C$7*NAIRA2010_*250)</f>
        <v>0</v>
      </c>
      <c r="Z108" s="1689">
        <f ca="1">Costs!Z107/('Global assumptions'!$C$7*NAIRA2010_*250)</f>
        <v>0</v>
      </c>
      <c r="AA108" s="1689">
        <f ca="1">Costs!AA107/('Global assumptions'!$C$7*NAIRA2010_*250)</f>
        <v>0</v>
      </c>
      <c r="AB108" s="1689">
        <f ca="1">Costs!AB107/('Global assumptions'!$C$7*NAIRA2010_*250)</f>
        <v>0</v>
      </c>
      <c r="AC108" s="1689">
        <f ca="1">Costs!AC107/('Global assumptions'!$C$7*NAIRA2010_*250)</f>
        <v>0</v>
      </c>
      <c r="AD108" s="1689">
        <f ca="1">Costs!AD107/('Global assumptions'!$C$7*NAIRA2010_*250)</f>
        <v>0</v>
      </c>
      <c r="AE108" s="1689">
        <f ca="1">Costs!AE107/('Global assumptions'!$C$7*NAIRA2010_*250)</f>
        <v>0</v>
      </c>
      <c r="AF108" s="1689">
        <f ca="1">Costs!AF107/('Global assumptions'!$C$7*NAIRA2010_*250)</f>
        <v>0</v>
      </c>
      <c r="AG108" s="1689">
        <f ca="1">Costs!AG107/('Global assumptions'!$C$7*NAIRA2010_*250)</f>
        <v>0</v>
      </c>
      <c r="AH108" s="675"/>
      <c r="AI108" s="1689">
        <f ca="1">Costs!AI107/('Global assumptions'!$C$7*NAIRA2010_*250)</f>
        <v>42.409656664915076</v>
      </c>
      <c r="AJ108" s="1689">
        <f ca="1">Costs!AJ107/('Global assumptions'!$C$7*NAIRA2010_*250)</f>
        <v>31.474464278166192</v>
      </c>
      <c r="AK108" s="1689">
        <f ca="1">Costs!AK107/('Global assumptions'!$C$7*NAIRA2010_*250)</f>
        <v>33.567695057082034</v>
      </c>
      <c r="AL108" s="1689">
        <f ca="1">Costs!AL107/('Global assumptions'!$C$7*NAIRA2010_*250)</f>
        <v>35.352824560107152</v>
      </c>
      <c r="AM108" s="1689">
        <f ca="1">Costs!AM107/('Global assumptions'!$C$7*NAIRA2010_*250)</f>
        <v>37.137954063132277</v>
      </c>
      <c r="AN108" s="1689">
        <f ca="1">Costs!AN107/('Global assumptions'!$C$7*NAIRA2010_*250)</f>
        <v>37.91672261475555</v>
      </c>
      <c r="AO108" s="1689">
        <f ca="1">Costs!AO107/('Global assumptions'!$C$7*NAIRA2010_*250)</f>
        <v>38.695491166378829</v>
      </c>
      <c r="AP108" s="1689">
        <f ca="1">Costs!AP107/('Global assumptions'!$C$7*NAIRA2010_*250)</f>
        <v>39.474259718002102</v>
      </c>
      <c r="AQ108" s="1689">
        <f ca="1">Costs!AQ107/('Global assumptions'!$C$7*NAIRA2010_*250)</f>
        <v>40.253028269625375</v>
      </c>
      <c r="AS108" s="1706">
        <f t="shared" ca="1" si="22"/>
        <v>37.364677376907167</v>
      </c>
      <c r="AT108" s="1706">
        <f t="shared" ca="1" si="19"/>
        <v>321.67729450576968</v>
      </c>
      <c r="AU108" s="675"/>
      <c r="AV108" s="1699">
        <f>IFERROR(VLOOKUP($A108,Cost.FinanceCostTable,7,FALSE),'Global assumptions'!$D$35)</f>
        <v>0</v>
      </c>
      <c r="AW108" s="1690">
        <f>IFERROR(VLOOKUP($A108,Cost.FinanceCostTable,8,FALSE),'Global assumptions'!$E$35)</f>
        <v>5</v>
      </c>
      <c r="AX108" s="675"/>
      <c r="AY108" s="1689">
        <f ca="1">Costs!AY107/('Global assumptions'!$C$7*NAIRA2010_*250)</f>
        <v>5.4115683594314898</v>
      </c>
      <c r="AZ108" s="1689">
        <f ca="1">Costs!AZ107/('Global assumptions'!$C$7*NAIRA2010_*250)</f>
        <v>6.1337759323981835</v>
      </c>
      <c r="BA108" s="1689">
        <f ca="1">Costs!BA107/('Global assumptions'!$C$7*NAIRA2010_*250)</f>
        <v>6.5477020863345903</v>
      </c>
      <c r="BB108" s="1689">
        <f ca="1">Costs!BB107/('Global assumptions'!$C$7*NAIRA2010_*250)</f>
        <v>6.9007027190924859</v>
      </c>
      <c r="BC108" s="1689">
        <f ca="1">Costs!BC107/('Global assumptions'!$C$7*NAIRA2010_*250)</f>
        <v>7.2537033518503824</v>
      </c>
      <c r="BD108" s="1689">
        <f ca="1">Costs!BD107/('Global assumptions'!$C$7*NAIRA2010_*250)</f>
        <v>7.4077010259850073</v>
      </c>
      <c r="BE108" s="1689">
        <f ca="1">Costs!BE107/('Global assumptions'!$C$7*NAIRA2010_*250)</f>
        <v>7.5616987001196323</v>
      </c>
      <c r="BF108" s="1689">
        <f ca="1">Costs!BF107/('Global assumptions'!$C$7*NAIRA2010_*250)</f>
        <v>7.7156963742542555</v>
      </c>
      <c r="BG108" s="1689">
        <f ca="1">Costs!BG107/('Global assumptions'!$C$7*NAIRA2010_*250)</f>
        <v>7.8696940483888804</v>
      </c>
      <c r="BH108" s="675"/>
      <c r="BI108" s="1689">
        <f ca="1">Costs!BI107/('Global assumptions'!$C$7*NAIRA2010_*250)</f>
        <v>5.4115683594314898</v>
      </c>
      <c r="BJ108" s="1689">
        <f ca="1">Costs!BJ107/('Global assumptions'!$C$7*NAIRA2010_*250)</f>
        <v>11.545344291829675</v>
      </c>
      <c r="BK108" s="1689">
        <f ca="1">Costs!BK107/('Global assumptions'!$C$7*NAIRA2010_*250)</f>
        <v>18.093046378164264</v>
      </c>
      <c r="BL108" s="1689">
        <f ca="1">Costs!BL107/('Global assumptions'!$C$7*NAIRA2010_*250)</f>
        <v>19.582180737825261</v>
      </c>
      <c r="BM108" s="1689">
        <f ca="1">Costs!BM107/('Global assumptions'!$C$7*NAIRA2010_*250)</f>
        <v>20.702108157277458</v>
      </c>
      <c r="BN108" s="1689">
        <f ca="1">Costs!BN107/('Global assumptions'!$C$7*NAIRA2010_*250)</f>
        <v>21.562107096927875</v>
      </c>
      <c r="BO108" s="1689">
        <f ca="1">Costs!BO107/('Global assumptions'!$C$7*NAIRA2010_*250)</f>
        <v>22.223103077955024</v>
      </c>
      <c r="BP108" s="1689">
        <f ca="1">Costs!BP107/('Global assumptions'!$C$7*NAIRA2010_*250)</f>
        <v>22.685096100358894</v>
      </c>
      <c r="BQ108" s="1689">
        <f ca="1">Costs!BQ107/('Global assumptions'!$C$7*NAIRA2010_*250)</f>
        <v>23.147089122762768</v>
      </c>
      <c r="BR108" s="675"/>
      <c r="BS108" s="1689">
        <f ca="1">Costs!BS107/('Global assumptions'!$C$7*NAIRA2010_*250)</f>
        <v>34.10095195912703</v>
      </c>
      <c r="BT108" s="1689">
        <f ca="1">Costs!BT107/('Global assumptions'!$C$7*NAIRA2010_*250)</f>
        <v>33.689011086855608</v>
      </c>
      <c r="BU108" s="1689">
        <f ca="1">Costs!BU107/('Global assumptions'!$C$7*NAIRA2010_*250)</f>
        <v>41.700272904789891</v>
      </c>
      <c r="BV108" s="1689">
        <f ca="1">Costs!BV107/('Global assumptions'!$C$7*NAIRA2010_*250)</f>
        <v>44.437546591769255</v>
      </c>
      <c r="BW108" s="1689">
        <f ca="1">Costs!BW107/('Global assumptions'!$C$7*NAIRA2010_*250)</f>
        <v>46.805613338539843</v>
      </c>
      <c r="BX108" s="1689">
        <f ca="1">Costs!BX107/('Global assumptions'!$C$7*NAIRA2010_*250)</f>
        <v>48.210117119162625</v>
      </c>
      <c r="BY108" s="1689">
        <f ca="1">Costs!BY107/('Global assumptions'!$C$7*NAIRA2010_*250)</f>
        <v>49.415617941162147</v>
      </c>
      <c r="BZ108" s="1689">
        <f ca="1">Costs!BZ107/('Global assumptions'!$C$7*NAIRA2010_*250)</f>
        <v>50.422115804538393</v>
      </c>
      <c r="CA108" s="1689">
        <f ca="1">Costs!CA107/('Global assumptions'!$C$7*NAIRA2010_*250)</f>
        <v>51.428613667914632</v>
      </c>
      <c r="CC108" s="1706">
        <f t="shared" ca="1" si="23"/>
        <v>44.467762268206606</v>
      </c>
      <c r="CD108" s="1706">
        <f t="shared" ca="1" si="20"/>
        <v>366.89121996164693</v>
      </c>
      <c r="CF108" s="1689">
        <f ca="1">Costs!CF107/('Global assumptions'!$C$7*NAIRA2010_*250)</f>
        <v>-8.3087047057880508</v>
      </c>
      <c r="CG108" s="1689">
        <f ca="1">Costs!CG107/('Global assumptions'!$C$7*NAIRA2010_*250)</f>
        <v>2.2145468086894144</v>
      </c>
      <c r="CH108" s="1689">
        <f ca="1">Costs!CH107/('Global assumptions'!$C$7*NAIRA2010_*250)</f>
        <v>8.1325778477078554</v>
      </c>
      <c r="CI108" s="1689">
        <f ca="1">Costs!CI107/('Global assumptions'!$C$7*NAIRA2010_*250)</f>
        <v>9.0847220316621105</v>
      </c>
      <c r="CJ108" s="1689">
        <f ca="1">Costs!CJ107/('Global assumptions'!$C$7*NAIRA2010_*250)</f>
        <v>9.6676592754075639</v>
      </c>
      <c r="CK108" s="1689">
        <f ca="1">Costs!CK107/('Global assumptions'!$C$7*NAIRA2010_*250)</f>
        <v>10.293394504407077</v>
      </c>
      <c r="CL108" s="1689">
        <f ca="1">Costs!CL107/('Global assumptions'!$C$7*NAIRA2010_*250)</f>
        <v>10.720126774783321</v>
      </c>
      <c r="CM108" s="1689">
        <f ca="1">Costs!CM107/('Global assumptions'!$C$7*NAIRA2010_*250)</f>
        <v>10.947856086536289</v>
      </c>
      <c r="CN108" s="1689">
        <f ca="1">Costs!CN107/('Global assumptions'!$C$7*NAIRA2010_*250)</f>
        <v>11.175585398289256</v>
      </c>
      <c r="CP108" s="1706">
        <f t="shared" ca="1" si="24"/>
        <v>7.1030848912994271</v>
      </c>
      <c r="CQ108" s="1706">
        <f t="shared" ca="1" si="21"/>
        <v>45.213925455877259</v>
      </c>
      <c r="CR108" s="1426" t="str">
        <f t="shared" ca="1" si="25"/>
        <v>ok</v>
      </c>
    </row>
    <row r="109" spans="1:96" x14ac:dyDescent="0.2">
      <c r="A109" s="1685" t="s">
        <v>1612</v>
      </c>
      <c r="B109" s="1685" t="s">
        <v>1610</v>
      </c>
      <c r="C109" s="1685" t="s">
        <v>4</v>
      </c>
      <c r="E109" s="1691">
        <f ca="1">Costs!E108/('Global assumptions'!$C$7*NAIRA2010_*250)</f>
        <v>0</v>
      </c>
      <c r="F109" s="1691">
        <f ca="1">Costs!F108/('Global assumptions'!$C$7*NAIRA2010_*250)</f>
        <v>0</v>
      </c>
      <c r="G109" s="1691">
        <f ca="1">Costs!G108/('Global assumptions'!$C$7*NAIRA2010_*250)</f>
        <v>0</v>
      </c>
      <c r="H109" s="1691">
        <f ca="1">Costs!H108/('Global assumptions'!$C$7*NAIRA2010_*250)</f>
        <v>0</v>
      </c>
      <c r="I109" s="1691">
        <f ca="1">Costs!I108/('Global assumptions'!$C$7*NAIRA2010_*250)</f>
        <v>0</v>
      </c>
      <c r="J109" s="1691">
        <f ca="1">Costs!J108/('Global assumptions'!$C$7*NAIRA2010_*250)</f>
        <v>0</v>
      </c>
      <c r="K109" s="1691">
        <f ca="1">Costs!K108/('Global assumptions'!$C$7*NAIRA2010_*250)</f>
        <v>0</v>
      </c>
      <c r="L109" s="1691">
        <f ca="1">Costs!L108/('Global assumptions'!$C$7*NAIRA2010_*250)</f>
        <v>0</v>
      </c>
      <c r="M109" s="1691">
        <f ca="1">Costs!M108/('Global assumptions'!$C$7*NAIRA2010_*250)</f>
        <v>0</v>
      </c>
      <c r="N109" s="675"/>
      <c r="O109" s="1691">
        <f ca="1">Costs!O108/('Global assumptions'!$C$7*NAIRA2010_*250)</f>
        <v>0</v>
      </c>
      <c r="P109" s="1691">
        <f ca="1">Costs!P108/('Global assumptions'!$C$7*NAIRA2010_*250)</f>
        <v>0</v>
      </c>
      <c r="Q109" s="1691">
        <f ca="1">Costs!Q108/('Global assumptions'!$C$7*NAIRA2010_*250)</f>
        <v>0</v>
      </c>
      <c r="R109" s="1691">
        <f ca="1">Costs!R108/('Global assumptions'!$C$7*NAIRA2010_*250)</f>
        <v>0</v>
      </c>
      <c r="S109" s="1691">
        <f ca="1">Costs!S108/('Global assumptions'!$C$7*NAIRA2010_*250)</f>
        <v>0</v>
      </c>
      <c r="T109" s="1691">
        <f ca="1">Costs!T108/('Global assumptions'!$C$7*NAIRA2010_*250)</f>
        <v>0</v>
      </c>
      <c r="U109" s="1691">
        <f ca="1">Costs!U108/('Global assumptions'!$C$7*NAIRA2010_*250)</f>
        <v>0</v>
      </c>
      <c r="V109" s="1691">
        <f ca="1">Costs!V108/('Global assumptions'!$C$7*NAIRA2010_*250)</f>
        <v>0</v>
      </c>
      <c r="W109" s="1691">
        <f ca="1">Costs!W108/('Global assumptions'!$C$7*NAIRA2010_*250)</f>
        <v>0</v>
      </c>
      <c r="X109" s="675"/>
      <c r="Y109" s="1691">
        <f ca="1">Costs!Y108/('Global assumptions'!$C$7*NAIRA2010_*250)</f>
        <v>0</v>
      </c>
      <c r="Z109" s="1691">
        <f ca="1">Costs!Z108/('Global assumptions'!$C$7*NAIRA2010_*250)</f>
        <v>0</v>
      </c>
      <c r="AA109" s="1691">
        <f ca="1">Costs!AA108/('Global assumptions'!$C$7*NAIRA2010_*250)</f>
        <v>0</v>
      </c>
      <c r="AB109" s="1691">
        <f ca="1">Costs!AB108/('Global assumptions'!$C$7*NAIRA2010_*250)</f>
        <v>0</v>
      </c>
      <c r="AC109" s="1691">
        <f ca="1">Costs!AC108/('Global assumptions'!$C$7*NAIRA2010_*250)</f>
        <v>0</v>
      </c>
      <c r="AD109" s="1691">
        <f ca="1">Costs!AD108/('Global assumptions'!$C$7*NAIRA2010_*250)</f>
        <v>0</v>
      </c>
      <c r="AE109" s="1691">
        <f ca="1">Costs!AE108/('Global assumptions'!$C$7*NAIRA2010_*250)</f>
        <v>0</v>
      </c>
      <c r="AF109" s="1691">
        <f ca="1">Costs!AF108/('Global assumptions'!$C$7*NAIRA2010_*250)</f>
        <v>0</v>
      </c>
      <c r="AG109" s="1691">
        <f ca="1">Costs!AG108/('Global assumptions'!$C$7*NAIRA2010_*250)</f>
        <v>0</v>
      </c>
      <c r="AH109" s="675"/>
      <c r="AI109" s="1691">
        <f ca="1">Costs!AI108/('Global assumptions'!$C$7*NAIRA2010_*250)</f>
        <v>0</v>
      </c>
      <c r="AJ109" s="1691">
        <f ca="1">Costs!AJ108/('Global assumptions'!$C$7*NAIRA2010_*250)</f>
        <v>0</v>
      </c>
      <c r="AK109" s="1691">
        <f ca="1">Costs!AK108/('Global assumptions'!$C$7*NAIRA2010_*250)</f>
        <v>0</v>
      </c>
      <c r="AL109" s="1691">
        <f ca="1">Costs!AL108/('Global assumptions'!$C$7*NAIRA2010_*250)</f>
        <v>0</v>
      </c>
      <c r="AM109" s="1691">
        <f ca="1">Costs!AM108/('Global assumptions'!$C$7*NAIRA2010_*250)</f>
        <v>0</v>
      </c>
      <c r="AN109" s="1691">
        <f ca="1">Costs!AN108/('Global assumptions'!$C$7*NAIRA2010_*250)</f>
        <v>0</v>
      </c>
      <c r="AO109" s="1691">
        <f ca="1">Costs!AO108/('Global assumptions'!$C$7*NAIRA2010_*250)</f>
        <v>0</v>
      </c>
      <c r="AP109" s="1691">
        <f ca="1">Costs!AP108/('Global assumptions'!$C$7*NAIRA2010_*250)</f>
        <v>0</v>
      </c>
      <c r="AQ109" s="1691">
        <f ca="1">Costs!AQ108/('Global assumptions'!$C$7*NAIRA2010_*250)</f>
        <v>0</v>
      </c>
      <c r="AS109" s="1707">
        <f t="shared" ca="1" si="22"/>
        <v>0</v>
      </c>
      <c r="AT109" s="1707">
        <f t="shared" ca="1" si="19"/>
        <v>0</v>
      </c>
      <c r="AU109" s="675"/>
      <c r="AV109" s="1699">
        <f>IFERROR(VLOOKUP($A109,Cost.FinanceCostTable,7,FALSE),'Global assumptions'!$D$35)</f>
        <v>0</v>
      </c>
      <c r="AW109" s="1690">
        <f>IFERROR(VLOOKUP($A109,Cost.FinanceCostTable,8,FALSE),'Global assumptions'!$E$35)</f>
        <v>5</v>
      </c>
      <c r="AX109" s="675"/>
      <c r="AY109" s="1691">
        <f ca="1">Costs!AY108/('Global assumptions'!$C$7*NAIRA2010_*250)</f>
        <v>0</v>
      </c>
      <c r="AZ109" s="1691">
        <f ca="1">Costs!AZ108/('Global assumptions'!$C$7*NAIRA2010_*250)</f>
        <v>0</v>
      </c>
      <c r="BA109" s="1691">
        <f ca="1">Costs!BA108/('Global assumptions'!$C$7*NAIRA2010_*250)</f>
        <v>0</v>
      </c>
      <c r="BB109" s="1691">
        <f ca="1">Costs!BB108/('Global assumptions'!$C$7*NAIRA2010_*250)</f>
        <v>0</v>
      </c>
      <c r="BC109" s="1691">
        <f ca="1">Costs!BC108/('Global assumptions'!$C$7*NAIRA2010_*250)</f>
        <v>0</v>
      </c>
      <c r="BD109" s="1691">
        <f ca="1">Costs!BD108/('Global assumptions'!$C$7*NAIRA2010_*250)</f>
        <v>0</v>
      </c>
      <c r="BE109" s="1691">
        <f ca="1">Costs!BE108/('Global assumptions'!$C$7*NAIRA2010_*250)</f>
        <v>0</v>
      </c>
      <c r="BF109" s="1691">
        <f ca="1">Costs!BF108/('Global assumptions'!$C$7*NAIRA2010_*250)</f>
        <v>0</v>
      </c>
      <c r="BG109" s="1691">
        <f ca="1">Costs!BG108/('Global assumptions'!$C$7*NAIRA2010_*250)</f>
        <v>0</v>
      </c>
      <c r="BH109" s="675"/>
      <c r="BI109" s="1691">
        <f ca="1">Costs!BI108/('Global assumptions'!$C$7*NAIRA2010_*250)</f>
        <v>0</v>
      </c>
      <c r="BJ109" s="1691">
        <f ca="1">Costs!BJ108/('Global assumptions'!$C$7*NAIRA2010_*250)</f>
        <v>0</v>
      </c>
      <c r="BK109" s="1691">
        <f ca="1">Costs!BK108/('Global assumptions'!$C$7*NAIRA2010_*250)</f>
        <v>0</v>
      </c>
      <c r="BL109" s="1691">
        <f ca="1">Costs!BL108/('Global assumptions'!$C$7*NAIRA2010_*250)</f>
        <v>0</v>
      </c>
      <c r="BM109" s="1691">
        <f ca="1">Costs!BM108/('Global assumptions'!$C$7*NAIRA2010_*250)</f>
        <v>0</v>
      </c>
      <c r="BN109" s="1691">
        <f ca="1">Costs!BN108/('Global assumptions'!$C$7*NAIRA2010_*250)</f>
        <v>0</v>
      </c>
      <c r="BO109" s="1691">
        <f ca="1">Costs!BO108/('Global assumptions'!$C$7*NAIRA2010_*250)</f>
        <v>0</v>
      </c>
      <c r="BP109" s="1691">
        <f ca="1">Costs!BP108/('Global assumptions'!$C$7*NAIRA2010_*250)</f>
        <v>0</v>
      </c>
      <c r="BQ109" s="1691">
        <f ca="1">Costs!BQ108/('Global assumptions'!$C$7*NAIRA2010_*250)</f>
        <v>0</v>
      </c>
      <c r="BR109" s="675"/>
      <c r="BS109" s="1691">
        <f ca="1">Costs!BS108/('Global assumptions'!$C$7*NAIRA2010_*250)</f>
        <v>0</v>
      </c>
      <c r="BT109" s="1691">
        <f ca="1">Costs!BT108/('Global assumptions'!$C$7*NAIRA2010_*250)</f>
        <v>0</v>
      </c>
      <c r="BU109" s="1691">
        <f ca="1">Costs!BU108/('Global assumptions'!$C$7*NAIRA2010_*250)</f>
        <v>0</v>
      </c>
      <c r="BV109" s="1691">
        <f ca="1">Costs!BV108/('Global assumptions'!$C$7*NAIRA2010_*250)</f>
        <v>0</v>
      </c>
      <c r="BW109" s="1691">
        <f ca="1">Costs!BW108/('Global assumptions'!$C$7*NAIRA2010_*250)</f>
        <v>0</v>
      </c>
      <c r="BX109" s="1691">
        <f ca="1">Costs!BX108/('Global assumptions'!$C$7*NAIRA2010_*250)</f>
        <v>0</v>
      </c>
      <c r="BY109" s="1691">
        <f ca="1">Costs!BY108/('Global assumptions'!$C$7*NAIRA2010_*250)</f>
        <v>0</v>
      </c>
      <c r="BZ109" s="1691">
        <f ca="1">Costs!BZ108/('Global assumptions'!$C$7*NAIRA2010_*250)</f>
        <v>0</v>
      </c>
      <c r="CA109" s="1691">
        <f ca="1">Costs!CA108/('Global assumptions'!$C$7*NAIRA2010_*250)</f>
        <v>0</v>
      </c>
      <c r="CC109" s="1707">
        <f t="shared" ca="1" si="23"/>
        <v>0</v>
      </c>
      <c r="CD109" s="1707">
        <f t="shared" ca="1" si="20"/>
        <v>0</v>
      </c>
      <c r="CF109" s="1691">
        <f ca="1">Costs!CF108/('Global assumptions'!$C$7*NAIRA2010_*250)</f>
        <v>0</v>
      </c>
      <c r="CG109" s="1691">
        <f ca="1">Costs!CG108/('Global assumptions'!$C$7*NAIRA2010_*250)</f>
        <v>0</v>
      </c>
      <c r="CH109" s="1691">
        <f ca="1">Costs!CH108/('Global assumptions'!$C$7*NAIRA2010_*250)</f>
        <v>0</v>
      </c>
      <c r="CI109" s="1691">
        <f ca="1">Costs!CI108/('Global assumptions'!$C$7*NAIRA2010_*250)</f>
        <v>0</v>
      </c>
      <c r="CJ109" s="1691">
        <f ca="1">Costs!CJ108/('Global assumptions'!$C$7*NAIRA2010_*250)</f>
        <v>0</v>
      </c>
      <c r="CK109" s="1691">
        <f ca="1">Costs!CK108/('Global assumptions'!$C$7*NAIRA2010_*250)</f>
        <v>0</v>
      </c>
      <c r="CL109" s="1691">
        <f ca="1">Costs!CL108/('Global assumptions'!$C$7*NAIRA2010_*250)</f>
        <v>0</v>
      </c>
      <c r="CM109" s="1691">
        <f ca="1">Costs!CM108/('Global assumptions'!$C$7*NAIRA2010_*250)</f>
        <v>0</v>
      </c>
      <c r="CN109" s="1691">
        <f ca="1">Costs!CN108/('Global assumptions'!$C$7*NAIRA2010_*250)</f>
        <v>0</v>
      </c>
      <c r="CP109" s="1707">
        <f t="shared" ca="1" si="24"/>
        <v>0</v>
      </c>
      <c r="CQ109" s="1707">
        <f t="shared" ca="1" si="21"/>
        <v>0</v>
      </c>
      <c r="CR109" s="1426" t="str">
        <f t="shared" ca="1" si="25"/>
        <v>ok</v>
      </c>
    </row>
    <row r="110" spans="1:96" x14ac:dyDescent="0.2">
      <c r="A110" s="1683" t="s">
        <v>313</v>
      </c>
      <c r="B110" s="1683" t="s">
        <v>306</v>
      </c>
      <c r="C110" s="1683" t="s">
        <v>4</v>
      </c>
      <c r="E110" s="1689">
        <f ca="1">Costs!E109/('Global assumptions'!$C$7*NAIRA2010_*250)</f>
        <v>0</v>
      </c>
      <c r="F110" s="1689">
        <f ca="1">Costs!F109/('Global assumptions'!$C$7*NAIRA2010_*250)</f>
        <v>0</v>
      </c>
      <c r="G110" s="1689">
        <f ca="1">Costs!G109/('Global assumptions'!$C$7*NAIRA2010_*250)</f>
        <v>0</v>
      </c>
      <c r="H110" s="1689">
        <f ca="1">Costs!H109/('Global assumptions'!$C$7*NAIRA2010_*250)</f>
        <v>0</v>
      </c>
      <c r="I110" s="1689">
        <f ca="1">Costs!I109/('Global assumptions'!$C$7*NAIRA2010_*250)</f>
        <v>0</v>
      </c>
      <c r="J110" s="1689">
        <f ca="1">Costs!J109/('Global assumptions'!$C$7*NAIRA2010_*250)</f>
        <v>0</v>
      </c>
      <c r="K110" s="1689">
        <f ca="1">Costs!K109/('Global assumptions'!$C$7*NAIRA2010_*250)</f>
        <v>0</v>
      </c>
      <c r="L110" s="1689">
        <f ca="1">Costs!L109/('Global assumptions'!$C$7*NAIRA2010_*250)</f>
        <v>0</v>
      </c>
      <c r="M110" s="1689">
        <f ca="1">Costs!M109/('Global assumptions'!$C$7*NAIRA2010_*250)</f>
        <v>0</v>
      </c>
      <c r="N110" s="675"/>
      <c r="O110" s="1689">
        <f ca="1">Costs!O109/('Global assumptions'!$C$7*NAIRA2010_*250)</f>
        <v>0</v>
      </c>
      <c r="P110" s="1689">
        <f ca="1">Costs!P109/('Global assumptions'!$C$7*NAIRA2010_*250)</f>
        <v>0</v>
      </c>
      <c r="Q110" s="1689">
        <f ca="1">Costs!Q109/('Global assumptions'!$C$7*NAIRA2010_*250)</f>
        <v>0</v>
      </c>
      <c r="R110" s="1689">
        <f ca="1">Costs!R109/('Global assumptions'!$C$7*NAIRA2010_*250)</f>
        <v>0</v>
      </c>
      <c r="S110" s="1689">
        <f ca="1">Costs!S109/('Global assumptions'!$C$7*NAIRA2010_*250)</f>
        <v>0</v>
      </c>
      <c r="T110" s="1689">
        <f ca="1">Costs!T109/('Global assumptions'!$C$7*NAIRA2010_*250)</f>
        <v>0</v>
      </c>
      <c r="U110" s="1689">
        <f ca="1">Costs!U109/('Global assumptions'!$C$7*NAIRA2010_*250)</f>
        <v>0</v>
      </c>
      <c r="V110" s="1689">
        <f ca="1">Costs!V109/('Global assumptions'!$C$7*NAIRA2010_*250)</f>
        <v>0</v>
      </c>
      <c r="W110" s="1689">
        <f ca="1">Costs!W109/('Global assumptions'!$C$7*NAIRA2010_*250)</f>
        <v>0</v>
      </c>
      <c r="X110" s="675"/>
      <c r="Y110" s="1689">
        <f ca="1">Costs!Y109/('Global assumptions'!$C$7*NAIRA2010_*250)</f>
        <v>0</v>
      </c>
      <c r="Z110" s="1689">
        <f ca="1">Costs!Z109/('Global assumptions'!$C$7*NAIRA2010_*250)</f>
        <v>0</v>
      </c>
      <c r="AA110" s="1689">
        <f ca="1">Costs!AA109/('Global assumptions'!$C$7*NAIRA2010_*250)</f>
        <v>0</v>
      </c>
      <c r="AB110" s="1689">
        <f ca="1">Costs!AB109/('Global assumptions'!$C$7*NAIRA2010_*250)</f>
        <v>0</v>
      </c>
      <c r="AC110" s="1689">
        <f ca="1">Costs!AC109/('Global assumptions'!$C$7*NAIRA2010_*250)</f>
        <v>0</v>
      </c>
      <c r="AD110" s="1689">
        <f ca="1">Costs!AD109/('Global assumptions'!$C$7*NAIRA2010_*250)</f>
        <v>0</v>
      </c>
      <c r="AE110" s="1689">
        <f ca="1">Costs!AE109/('Global assumptions'!$C$7*NAIRA2010_*250)</f>
        <v>0</v>
      </c>
      <c r="AF110" s="1689">
        <f ca="1">Costs!AF109/('Global assumptions'!$C$7*NAIRA2010_*250)</f>
        <v>0</v>
      </c>
      <c r="AG110" s="1689">
        <f ca="1">Costs!AG109/('Global assumptions'!$C$7*NAIRA2010_*250)</f>
        <v>0</v>
      </c>
      <c r="AH110" s="675"/>
      <c r="AI110" s="1689">
        <f ca="1">Costs!AI109/('Global assumptions'!$C$7*NAIRA2010_*250)</f>
        <v>0</v>
      </c>
      <c r="AJ110" s="1689">
        <f ca="1">Costs!AJ109/('Global assumptions'!$C$7*NAIRA2010_*250)</f>
        <v>0</v>
      </c>
      <c r="AK110" s="1689">
        <f ca="1">Costs!AK109/('Global assumptions'!$C$7*NAIRA2010_*250)</f>
        <v>0</v>
      </c>
      <c r="AL110" s="1689">
        <f ca="1">Costs!AL109/('Global assumptions'!$C$7*NAIRA2010_*250)</f>
        <v>0</v>
      </c>
      <c r="AM110" s="1689">
        <f ca="1">Costs!AM109/('Global assumptions'!$C$7*NAIRA2010_*250)</f>
        <v>0</v>
      </c>
      <c r="AN110" s="1689">
        <f ca="1">Costs!AN109/('Global assumptions'!$C$7*NAIRA2010_*250)</f>
        <v>0</v>
      </c>
      <c r="AO110" s="1689">
        <f ca="1">Costs!AO109/('Global assumptions'!$C$7*NAIRA2010_*250)</f>
        <v>0</v>
      </c>
      <c r="AP110" s="1689">
        <f ca="1">Costs!AP109/('Global assumptions'!$C$7*NAIRA2010_*250)</f>
        <v>0</v>
      </c>
      <c r="AQ110" s="1689">
        <f ca="1">Costs!AQ109/('Global assumptions'!$C$7*NAIRA2010_*250)</f>
        <v>0</v>
      </c>
      <c r="AS110" s="1706">
        <f t="shared" ca="1" si="22"/>
        <v>0</v>
      </c>
      <c r="AT110" s="1706">
        <f t="shared" ca="1" si="19"/>
        <v>0</v>
      </c>
      <c r="AU110" s="675"/>
      <c r="AV110" s="1699">
        <f>IFERROR(VLOOKUP($A110,Cost.FinanceCostTable,7,FALSE),'Global assumptions'!$D$35)</f>
        <v>0.1</v>
      </c>
      <c r="AW110" s="1690">
        <f>IFERROR(VLOOKUP($A110,Cost.FinanceCostTable,8,FALSE),'Global assumptions'!$E$35)</f>
        <v>20</v>
      </c>
      <c r="AX110" s="675"/>
      <c r="AY110" s="1689">
        <f ca="1">Costs!AY109/('Global assumptions'!$C$7*NAIRA2010_*250)</f>
        <v>0</v>
      </c>
      <c r="AZ110" s="1689">
        <f ca="1">Costs!AZ109/('Global assumptions'!$C$7*NAIRA2010_*250)</f>
        <v>0</v>
      </c>
      <c r="BA110" s="1689">
        <f ca="1">Costs!BA109/('Global assumptions'!$C$7*NAIRA2010_*250)</f>
        <v>0</v>
      </c>
      <c r="BB110" s="1689">
        <f ca="1">Costs!BB109/('Global assumptions'!$C$7*NAIRA2010_*250)</f>
        <v>0</v>
      </c>
      <c r="BC110" s="1689">
        <f ca="1">Costs!BC109/('Global assumptions'!$C$7*NAIRA2010_*250)</f>
        <v>0</v>
      </c>
      <c r="BD110" s="1689">
        <f ca="1">Costs!BD109/('Global assumptions'!$C$7*NAIRA2010_*250)</f>
        <v>0</v>
      </c>
      <c r="BE110" s="1689">
        <f ca="1">Costs!BE109/('Global assumptions'!$C$7*NAIRA2010_*250)</f>
        <v>0</v>
      </c>
      <c r="BF110" s="1689">
        <f ca="1">Costs!BF109/('Global assumptions'!$C$7*NAIRA2010_*250)</f>
        <v>0</v>
      </c>
      <c r="BG110" s="1689">
        <f ca="1">Costs!BG109/('Global assumptions'!$C$7*NAIRA2010_*250)</f>
        <v>0</v>
      </c>
      <c r="BH110" s="675"/>
      <c r="BI110" s="1689">
        <f ca="1">Costs!BI109/('Global assumptions'!$C$7*NAIRA2010_*250)</f>
        <v>0</v>
      </c>
      <c r="BJ110" s="1689">
        <f ca="1">Costs!BJ109/('Global assumptions'!$C$7*NAIRA2010_*250)</f>
        <v>0</v>
      </c>
      <c r="BK110" s="1689">
        <f ca="1">Costs!BK109/('Global assumptions'!$C$7*NAIRA2010_*250)</f>
        <v>0</v>
      </c>
      <c r="BL110" s="1689">
        <f ca="1">Costs!BL109/('Global assumptions'!$C$7*NAIRA2010_*250)</f>
        <v>0</v>
      </c>
      <c r="BM110" s="1689">
        <f ca="1">Costs!BM109/('Global assumptions'!$C$7*NAIRA2010_*250)</f>
        <v>0</v>
      </c>
      <c r="BN110" s="1689">
        <f ca="1">Costs!BN109/('Global assumptions'!$C$7*NAIRA2010_*250)</f>
        <v>0</v>
      </c>
      <c r="BO110" s="1689">
        <f ca="1">Costs!BO109/('Global assumptions'!$C$7*NAIRA2010_*250)</f>
        <v>0</v>
      </c>
      <c r="BP110" s="1689">
        <f ca="1">Costs!BP109/('Global assumptions'!$C$7*NAIRA2010_*250)</f>
        <v>0</v>
      </c>
      <c r="BQ110" s="1689">
        <f ca="1">Costs!BQ109/('Global assumptions'!$C$7*NAIRA2010_*250)</f>
        <v>0</v>
      </c>
      <c r="BR110" s="675"/>
      <c r="BS110" s="1689">
        <f ca="1">Costs!BS109/('Global assumptions'!$C$7*NAIRA2010_*250)</f>
        <v>0</v>
      </c>
      <c r="BT110" s="1689">
        <f ca="1">Costs!BT109/('Global assumptions'!$C$7*NAIRA2010_*250)</f>
        <v>0</v>
      </c>
      <c r="BU110" s="1689">
        <f ca="1">Costs!BU109/('Global assumptions'!$C$7*NAIRA2010_*250)</f>
        <v>0</v>
      </c>
      <c r="BV110" s="1689">
        <f ca="1">Costs!BV109/('Global assumptions'!$C$7*NAIRA2010_*250)</f>
        <v>0</v>
      </c>
      <c r="BW110" s="1689">
        <f ca="1">Costs!BW109/('Global assumptions'!$C$7*NAIRA2010_*250)</f>
        <v>0</v>
      </c>
      <c r="BX110" s="1689">
        <f ca="1">Costs!BX109/('Global assumptions'!$C$7*NAIRA2010_*250)</f>
        <v>0</v>
      </c>
      <c r="BY110" s="1689">
        <f ca="1">Costs!BY109/('Global assumptions'!$C$7*NAIRA2010_*250)</f>
        <v>0</v>
      </c>
      <c r="BZ110" s="1689">
        <f ca="1">Costs!BZ109/('Global assumptions'!$C$7*NAIRA2010_*250)</f>
        <v>0</v>
      </c>
      <c r="CA110" s="1689">
        <f ca="1">Costs!CA109/('Global assumptions'!$C$7*NAIRA2010_*250)</f>
        <v>0</v>
      </c>
      <c r="CC110" s="1706">
        <f t="shared" ca="1" si="23"/>
        <v>0</v>
      </c>
      <c r="CD110" s="1706">
        <f t="shared" ca="1" si="20"/>
        <v>0</v>
      </c>
      <c r="CF110" s="1689">
        <f ca="1">Costs!CF109/('Global assumptions'!$C$7*NAIRA2010_*250)</f>
        <v>0</v>
      </c>
      <c r="CG110" s="1689">
        <f ca="1">Costs!CG109/('Global assumptions'!$C$7*NAIRA2010_*250)</f>
        <v>0</v>
      </c>
      <c r="CH110" s="1689">
        <f ca="1">Costs!CH109/('Global assumptions'!$C$7*NAIRA2010_*250)</f>
        <v>0</v>
      </c>
      <c r="CI110" s="1689">
        <f ca="1">Costs!CI109/('Global assumptions'!$C$7*NAIRA2010_*250)</f>
        <v>0</v>
      </c>
      <c r="CJ110" s="1689">
        <f ca="1">Costs!CJ109/('Global assumptions'!$C$7*NAIRA2010_*250)</f>
        <v>0</v>
      </c>
      <c r="CK110" s="1689">
        <f ca="1">Costs!CK109/('Global assumptions'!$C$7*NAIRA2010_*250)</f>
        <v>0</v>
      </c>
      <c r="CL110" s="1689">
        <f ca="1">Costs!CL109/('Global assumptions'!$C$7*NAIRA2010_*250)</f>
        <v>0</v>
      </c>
      <c r="CM110" s="1689">
        <f ca="1">Costs!CM109/('Global assumptions'!$C$7*NAIRA2010_*250)</f>
        <v>0</v>
      </c>
      <c r="CN110" s="1689">
        <f ca="1">Costs!CN109/('Global assumptions'!$C$7*NAIRA2010_*250)</f>
        <v>0</v>
      </c>
      <c r="CP110" s="1706">
        <f t="shared" ca="1" si="24"/>
        <v>0</v>
      </c>
      <c r="CQ110" s="1706">
        <f t="shared" ca="1" si="21"/>
        <v>0</v>
      </c>
      <c r="CR110" s="1426" t="str">
        <f t="shared" ca="1" si="25"/>
        <v>ok</v>
      </c>
    </row>
    <row r="111" spans="1:96" x14ac:dyDescent="0.2">
      <c r="A111" s="1685" t="s">
        <v>1713</v>
      </c>
      <c r="B111" s="1685" t="s">
        <v>2172</v>
      </c>
      <c r="C111" s="1685" t="s">
        <v>1974</v>
      </c>
      <c r="E111" s="1691">
        <f ca="1">Costs!E110/('Global assumptions'!$C$7*NAIRA2010_*250)</f>
        <v>19.408851902469713</v>
      </c>
      <c r="F111" s="1691">
        <f ca="1">Costs!F110/('Global assumptions'!$C$7*NAIRA2010_*250)</f>
        <v>79.544658481919541</v>
      </c>
      <c r="G111" s="1691">
        <f ca="1">Costs!G110/('Global assumptions'!$C$7*NAIRA2010_*250)</f>
        <v>130.34442510144149</v>
      </c>
      <c r="H111" s="1691">
        <f ca="1">Costs!H110/('Global assumptions'!$C$7*NAIRA2010_*250)</f>
        <v>196.03338427468969</v>
      </c>
      <c r="I111" s="1691">
        <f ca="1">Costs!I110/('Global assumptions'!$C$7*NAIRA2010_*250)</f>
        <v>278.30137533083325</v>
      </c>
      <c r="J111" s="1691">
        <f ca="1">Costs!J110/('Global assumptions'!$C$7*NAIRA2010_*250)</f>
        <v>298.54394625706357</v>
      </c>
      <c r="K111" s="1691">
        <f ca="1">Costs!K110/('Global assumptions'!$C$7*NAIRA2010_*250)</f>
        <v>370.71526070008093</v>
      </c>
      <c r="L111" s="1691">
        <f ca="1">Costs!L110/('Global assumptions'!$C$7*NAIRA2010_*250)</f>
        <v>454.16455597111212</v>
      </c>
      <c r="M111" s="1691">
        <f ca="1">Costs!M110/('Global assumptions'!$C$7*NAIRA2010_*250)</f>
        <v>-853.47839755952384</v>
      </c>
      <c r="N111" s="675"/>
      <c r="O111" s="1691">
        <f ca="1">Costs!O110/('Global assumptions'!$C$7*NAIRA2010_*250)</f>
        <v>0.61273183993859059</v>
      </c>
      <c r="P111" s="1691">
        <f ca="1">Costs!P110/('Global assumptions'!$C$7*NAIRA2010_*250)</f>
        <v>5.3375872411319882</v>
      </c>
      <c r="Q111" s="1691">
        <f ca="1">Costs!Q110/('Global assumptions'!$C$7*NAIRA2010_*250)</f>
        <v>8.5102590719776714</v>
      </c>
      <c r="R111" s="1691">
        <f ca="1">Costs!R110/('Global assumptions'!$C$7*NAIRA2010_*250)</f>
        <v>13.161165406150946</v>
      </c>
      <c r="S111" s="1691">
        <f ca="1">Costs!S110/('Global assumptions'!$C$7*NAIRA2010_*250)</f>
        <v>19.494019812940781</v>
      </c>
      <c r="T111" s="1691">
        <f ca="1">Costs!T110/('Global assumptions'!$C$7*NAIRA2010_*250)</f>
        <v>24.943611203310827</v>
      </c>
      <c r="U111" s="1691">
        <f ca="1">Costs!U110/('Global assumptions'!$C$7*NAIRA2010_*250)</f>
        <v>31.526355038032253</v>
      </c>
      <c r="V111" s="1691">
        <f ca="1">Costs!V110/('Global assumptions'!$C$7*NAIRA2010_*250)</f>
        <v>39.34893488056818</v>
      </c>
      <c r="W111" s="1691">
        <f ca="1">Costs!W110/('Global assumptions'!$C$7*NAIRA2010_*250)</f>
        <v>0</v>
      </c>
      <c r="X111" s="675"/>
      <c r="Y111" s="1691">
        <f ca="1">Costs!Y110/('Global assumptions'!$C$7*NAIRA2010_*250)</f>
        <v>0</v>
      </c>
      <c r="Z111" s="1691">
        <f ca="1">Costs!Z110/('Global assumptions'!$C$7*NAIRA2010_*250)</f>
        <v>0</v>
      </c>
      <c r="AA111" s="1691">
        <f ca="1">Costs!AA110/('Global assumptions'!$C$7*NAIRA2010_*250)</f>
        <v>0</v>
      </c>
      <c r="AB111" s="1691">
        <f ca="1">Costs!AB110/('Global assumptions'!$C$7*NAIRA2010_*250)</f>
        <v>0</v>
      </c>
      <c r="AC111" s="1691">
        <f ca="1">Costs!AC110/('Global assumptions'!$C$7*NAIRA2010_*250)</f>
        <v>0</v>
      </c>
      <c r="AD111" s="1691">
        <f ca="1">Costs!AD110/('Global assumptions'!$C$7*NAIRA2010_*250)</f>
        <v>0</v>
      </c>
      <c r="AE111" s="1691">
        <f ca="1">Costs!AE110/('Global assumptions'!$C$7*NAIRA2010_*250)</f>
        <v>0</v>
      </c>
      <c r="AF111" s="1691">
        <f ca="1">Costs!AF110/('Global assumptions'!$C$7*NAIRA2010_*250)</f>
        <v>0</v>
      </c>
      <c r="AG111" s="1691">
        <f ca="1">Costs!AG110/('Global assumptions'!$C$7*NAIRA2010_*250)</f>
        <v>0</v>
      </c>
      <c r="AH111" s="675"/>
      <c r="AI111" s="1691">
        <f ca="1">Costs!AI110/('Global assumptions'!$C$7*NAIRA2010_*250)</f>
        <v>20.021583742408307</v>
      </c>
      <c r="AJ111" s="1691">
        <f ca="1">Costs!AJ110/('Global assumptions'!$C$7*NAIRA2010_*250)</f>
        <v>84.882245723051525</v>
      </c>
      <c r="AK111" s="1691">
        <f ca="1">Costs!AK110/('Global assumptions'!$C$7*NAIRA2010_*250)</f>
        <v>138.85468417341914</v>
      </c>
      <c r="AL111" s="1691">
        <f ca="1">Costs!AL110/('Global assumptions'!$C$7*NAIRA2010_*250)</f>
        <v>209.19454968084065</v>
      </c>
      <c r="AM111" s="1691">
        <f ca="1">Costs!AM110/('Global assumptions'!$C$7*NAIRA2010_*250)</f>
        <v>297.79539514377404</v>
      </c>
      <c r="AN111" s="1691">
        <f ca="1">Costs!AN110/('Global assumptions'!$C$7*NAIRA2010_*250)</f>
        <v>323.48755746037443</v>
      </c>
      <c r="AO111" s="1691">
        <f ca="1">Costs!AO110/('Global assumptions'!$C$7*NAIRA2010_*250)</f>
        <v>402.24161573811318</v>
      </c>
      <c r="AP111" s="1691">
        <f ca="1">Costs!AP110/('Global assumptions'!$C$7*NAIRA2010_*250)</f>
        <v>493.51349085168027</v>
      </c>
      <c r="AQ111" s="1691">
        <f ca="1">Costs!AQ110/('Global assumptions'!$C$7*NAIRA2010_*250)</f>
        <v>-853.47839755952384</v>
      </c>
      <c r="AS111" s="1707">
        <f t="shared" ca="1" si="22"/>
        <v>124.05696943934865</v>
      </c>
      <c r="AT111" s="1707">
        <f t="shared" ca="1" si="19"/>
        <v>1227.4966739336014</v>
      </c>
      <c r="AU111" s="675"/>
      <c r="AV111" s="1699">
        <f>IFERROR(VLOOKUP($A111,Cost.FinanceCostTable,7,FALSE),'Global assumptions'!$D$35)</f>
        <v>0.1</v>
      </c>
      <c r="AW111" s="1690">
        <f>IFERROR(VLOOKUP($A111,Cost.FinanceCostTable,8,FALSE),'Global assumptions'!$E$35)</f>
        <v>15</v>
      </c>
      <c r="AX111" s="675"/>
      <c r="AY111" s="1691">
        <f ca="1">Costs!AY110/('Global assumptions'!$C$7*NAIRA2010_*250)</f>
        <v>6.8392693851900113</v>
      </c>
      <c r="AZ111" s="1691">
        <f ca="1">Costs!AZ110/('Global assumptions'!$C$7*NAIRA2010_*250)</f>
        <v>46.716428689732851</v>
      </c>
      <c r="BA111" s="1691">
        <f ca="1">Costs!BA110/('Global assumptions'!$C$7*NAIRA2010_*250)</f>
        <v>76.551036318042577</v>
      </c>
      <c r="BB111" s="1691">
        <f ca="1">Costs!BB110/('Global assumptions'!$C$7*NAIRA2010_*250)</f>
        <v>115.13003879898666</v>
      </c>
      <c r="BC111" s="1691">
        <f ca="1">Costs!BC110/('Global assumptions'!$C$7*NAIRA2010_*250)</f>
        <v>163.44587560021552</v>
      </c>
      <c r="BD111" s="1691">
        <f ca="1">Costs!BD110/('Global assumptions'!$C$7*NAIRA2010_*250)</f>
        <v>175.33429952734883</v>
      </c>
      <c r="BE111" s="1691">
        <f ca="1">Costs!BE110/('Global assumptions'!$C$7*NAIRA2010_*250)</f>
        <v>217.72037709644002</v>
      </c>
      <c r="BF111" s="1691">
        <f ca="1">Costs!BF110/('Global assumptions'!$C$7*NAIRA2010_*250)</f>
        <v>266.7299916467835</v>
      </c>
      <c r="BG111" s="1691">
        <f ca="1">Costs!BG110/('Global assumptions'!$C$7*NAIRA2010_*250)</f>
        <v>-501.24626164407658</v>
      </c>
      <c r="BH111" s="675"/>
      <c r="BI111" s="1691">
        <f ca="1">Costs!BI110/('Global assumptions'!$C$7*NAIRA2010_*250)</f>
        <v>6.8392693851900113</v>
      </c>
      <c r="BJ111" s="1691">
        <f ca="1">Costs!BJ110/('Global assumptions'!$C$7*NAIRA2010_*250)</f>
        <v>53.555698074922866</v>
      </c>
      <c r="BK111" s="1691">
        <f ca="1">Costs!BK110/('Global assumptions'!$C$7*NAIRA2010_*250)</f>
        <v>130.10673439296542</v>
      </c>
      <c r="BL111" s="1691">
        <f ca="1">Costs!BL110/('Global assumptions'!$C$7*NAIRA2010_*250)</f>
        <v>245.23677319195212</v>
      </c>
      <c r="BM111" s="1691">
        <f ca="1">Costs!BM110/('Global assumptions'!$C$7*NAIRA2010_*250)</f>
        <v>401.84337940697759</v>
      </c>
      <c r="BN111" s="1691">
        <f ca="1">Costs!BN110/('Global assumptions'!$C$7*NAIRA2010_*250)</f>
        <v>530.46125024459354</v>
      </c>
      <c r="BO111" s="1691">
        <f ca="1">Costs!BO110/('Global assumptions'!$C$7*NAIRA2010_*250)</f>
        <v>671.63059102299098</v>
      </c>
      <c r="BP111" s="1691">
        <f ca="1">Costs!BP110/('Global assumptions'!$C$7*NAIRA2010_*250)</f>
        <v>986.67641947100344</v>
      </c>
      <c r="BQ111" s="1691">
        <f ca="1">Costs!BQ110/('Global assumptions'!$C$7*NAIRA2010_*250)</f>
        <v>158.53840662649571</v>
      </c>
      <c r="BR111" s="675"/>
      <c r="BS111" s="1691">
        <f ca="1">Costs!BS110/('Global assumptions'!$C$7*NAIRA2010_*250)</f>
        <v>7.4520012251286021</v>
      </c>
      <c r="BT111" s="1691">
        <f ca="1">Costs!BT110/('Global assumptions'!$C$7*NAIRA2010_*250)</f>
        <v>58.89328531605485</v>
      </c>
      <c r="BU111" s="1691">
        <f ca="1">Costs!BU110/('Global assumptions'!$C$7*NAIRA2010_*250)</f>
        <v>138.61699346494308</v>
      </c>
      <c r="BV111" s="1691">
        <f ca="1">Costs!BV110/('Global assumptions'!$C$7*NAIRA2010_*250)</f>
        <v>258.39793859810305</v>
      </c>
      <c r="BW111" s="1691">
        <f ca="1">Costs!BW110/('Global assumptions'!$C$7*NAIRA2010_*250)</f>
        <v>421.33739921991838</v>
      </c>
      <c r="BX111" s="1691">
        <f ca="1">Costs!BX110/('Global assumptions'!$C$7*NAIRA2010_*250)</f>
        <v>555.4048614479043</v>
      </c>
      <c r="BY111" s="1691">
        <f ca="1">Costs!BY110/('Global assumptions'!$C$7*NAIRA2010_*250)</f>
        <v>703.15694606102329</v>
      </c>
      <c r="BZ111" s="1691">
        <f ca="1">Costs!BZ110/('Global assumptions'!$C$7*NAIRA2010_*250)</f>
        <v>1026.0253543515717</v>
      </c>
      <c r="CA111" s="1691">
        <f ca="1">Costs!CA110/('Global assumptions'!$C$7*NAIRA2010_*250)</f>
        <v>158.53840662649571</v>
      </c>
      <c r="CC111" s="1707">
        <f t="shared" ca="1" si="23"/>
        <v>369.75813181234918</v>
      </c>
      <c r="CD111" s="1707">
        <f t="shared" ca="1" si="20"/>
        <v>1825.1469979816454</v>
      </c>
      <c r="CF111" s="1691">
        <f ca="1">Costs!CF110/('Global assumptions'!$C$7*NAIRA2010_*250)</f>
        <v>-12.569582517279704</v>
      </c>
      <c r="CG111" s="1691">
        <f ca="1">Costs!CG110/('Global assumptions'!$C$7*NAIRA2010_*250)</f>
        <v>-25.988960406996679</v>
      </c>
      <c r="CH111" s="1691">
        <f ca="1">Costs!CH110/('Global assumptions'!$C$7*NAIRA2010_*250)</f>
        <v>-0.23769070847604185</v>
      </c>
      <c r="CI111" s="1691">
        <f ca="1">Costs!CI110/('Global assumptions'!$C$7*NAIRA2010_*250)</f>
        <v>49.203388917262409</v>
      </c>
      <c r="CJ111" s="1691">
        <f ca="1">Costs!CJ110/('Global assumptions'!$C$7*NAIRA2010_*250)</f>
        <v>123.54200407614431</v>
      </c>
      <c r="CK111" s="1691">
        <f ca="1">Costs!CK110/('Global assumptions'!$C$7*NAIRA2010_*250)</f>
        <v>231.91730398752995</v>
      </c>
      <c r="CL111" s="1691">
        <f ca="1">Costs!CL110/('Global assumptions'!$C$7*NAIRA2010_*250)</f>
        <v>300.91533032291005</v>
      </c>
      <c r="CM111" s="1691">
        <f ca="1">Costs!CM110/('Global assumptions'!$C$7*NAIRA2010_*250)</f>
        <v>532.51186349989132</v>
      </c>
      <c r="CN111" s="1691">
        <f ca="1">Costs!CN110/('Global assumptions'!$C$7*NAIRA2010_*250)</f>
        <v>1012.0168041860195</v>
      </c>
      <c r="CP111" s="1707">
        <f t="shared" ca="1" si="24"/>
        <v>245.70116237300056</v>
      </c>
      <c r="CQ111" s="1707">
        <f t="shared" ca="1" si="21"/>
        <v>597.65032404804367</v>
      </c>
      <c r="CR111" s="1426" t="str">
        <f t="shared" ca="1" si="25"/>
        <v>ok</v>
      </c>
    </row>
    <row r="112" spans="1:96" x14ac:dyDescent="0.2">
      <c r="A112" s="1685" t="s">
        <v>388</v>
      </c>
      <c r="B112" s="1685" t="s">
        <v>2218</v>
      </c>
      <c r="C112" s="1685" t="s">
        <v>1974</v>
      </c>
      <c r="E112" s="1691">
        <f ca="1">Costs!E111/('Global assumptions'!$C$7*NAIRA2010_*250)</f>
        <v>0</v>
      </c>
      <c r="F112" s="1691">
        <f ca="1">Costs!F111/('Global assumptions'!$C$7*NAIRA2010_*250)</f>
        <v>0</v>
      </c>
      <c r="G112" s="1691">
        <f ca="1">Costs!G111/('Global assumptions'!$C$7*NAIRA2010_*250)</f>
        <v>0</v>
      </c>
      <c r="H112" s="1691">
        <f ca="1">Costs!H111/('Global assumptions'!$C$7*NAIRA2010_*250)</f>
        <v>0</v>
      </c>
      <c r="I112" s="1691">
        <f ca="1">Costs!I111/('Global assumptions'!$C$7*NAIRA2010_*250)</f>
        <v>0</v>
      </c>
      <c r="J112" s="1691">
        <f ca="1">Costs!J111/('Global assumptions'!$C$7*NAIRA2010_*250)</f>
        <v>0</v>
      </c>
      <c r="K112" s="1691">
        <f ca="1">Costs!K111/('Global assumptions'!$C$7*NAIRA2010_*250)</f>
        <v>0</v>
      </c>
      <c r="L112" s="1691">
        <f ca="1">Costs!L111/('Global assumptions'!$C$7*NAIRA2010_*250)</f>
        <v>0</v>
      </c>
      <c r="M112" s="1691">
        <f ca="1">Costs!M111/('Global assumptions'!$C$7*NAIRA2010_*250)</f>
        <v>0</v>
      </c>
      <c r="N112" s="675"/>
      <c r="O112" s="1691">
        <f ca="1">Costs!O111/('Global assumptions'!$C$7*NAIRA2010_*250)</f>
        <v>0</v>
      </c>
      <c r="P112" s="1691">
        <f ca="1">Costs!P111/('Global assumptions'!$C$7*NAIRA2010_*250)</f>
        <v>0</v>
      </c>
      <c r="Q112" s="1691">
        <f ca="1">Costs!Q111/('Global assumptions'!$C$7*NAIRA2010_*250)</f>
        <v>0</v>
      </c>
      <c r="R112" s="1691">
        <f ca="1">Costs!R111/('Global assumptions'!$C$7*NAIRA2010_*250)</f>
        <v>0</v>
      </c>
      <c r="S112" s="1691">
        <f ca="1">Costs!S111/('Global assumptions'!$C$7*NAIRA2010_*250)</f>
        <v>0</v>
      </c>
      <c r="T112" s="1691">
        <f ca="1">Costs!T111/('Global assumptions'!$C$7*NAIRA2010_*250)</f>
        <v>0</v>
      </c>
      <c r="U112" s="1691">
        <f ca="1">Costs!U111/('Global assumptions'!$C$7*NAIRA2010_*250)</f>
        <v>0</v>
      </c>
      <c r="V112" s="1691">
        <f ca="1">Costs!V111/('Global assumptions'!$C$7*NAIRA2010_*250)</f>
        <v>0</v>
      </c>
      <c r="W112" s="1691">
        <f ca="1">Costs!W111/('Global assumptions'!$C$7*NAIRA2010_*250)</f>
        <v>0</v>
      </c>
      <c r="X112" s="675"/>
      <c r="Y112" s="1691">
        <f ca="1">Costs!Y111/('Global assumptions'!$C$7*NAIRA2010_*250)</f>
        <v>0</v>
      </c>
      <c r="Z112" s="1691">
        <f ca="1">Costs!Z111/('Global assumptions'!$C$7*NAIRA2010_*250)</f>
        <v>0</v>
      </c>
      <c r="AA112" s="1691">
        <f ca="1">Costs!AA111/('Global assumptions'!$C$7*NAIRA2010_*250)</f>
        <v>0</v>
      </c>
      <c r="AB112" s="1691">
        <f ca="1">Costs!AB111/('Global assumptions'!$C$7*NAIRA2010_*250)</f>
        <v>0</v>
      </c>
      <c r="AC112" s="1691">
        <f ca="1">Costs!AC111/('Global assumptions'!$C$7*NAIRA2010_*250)</f>
        <v>0</v>
      </c>
      <c r="AD112" s="1691">
        <f ca="1">Costs!AD111/('Global assumptions'!$C$7*NAIRA2010_*250)</f>
        <v>0</v>
      </c>
      <c r="AE112" s="1691">
        <f ca="1">Costs!AE111/('Global assumptions'!$C$7*NAIRA2010_*250)</f>
        <v>0</v>
      </c>
      <c r="AF112" s="1691">
        <f ca="1">Costs!AF111/('Global assumptions'!$C$7*NAIRA2010_*250)</f>
        <v>0</v>
      </c>
      <c r="AG112" s="1691">
        <f ca="1">Costs!AG111/('Global assumptions'!$C$7*NAIRA2010_*250)</f>
        <v>0</v>
      </c>
      <c r="AH112" s="675"/>
      <c r="AI112" s="1691">
        <f ca="1">Costs!AI111/('Global assumptions'!$C$7*NAIRA2010_*250)</f>
        <v>0</v>
      </c>
      <c r="AJ112" s="1691">
        <f ca="1">Costs!AJ111/('Global assumptions'!$C$7*NAIRA2010_*250)</f>
        <v>0</v>
      </c>
      <c r="AK112" s="1691">
        <f ca="1">Costs!AK111/('Global assumptions'!$C$7*NAIRA2010_*250)</f>
        <v>0</v>
      </c>
      <c r="AL112" s="1691">
        <f ca="1">Costs!AL111/('Global assumptions'!$C$7*NAIRA2010_*250)</f>
        <v>0</v>
      </c>
      <c r="AM112" s="1691">
        <f ca="1">Costs!AM111/('Global assumptions'!$C$7*NAIRA2010_*250)</f>
        <v>0</v>
      </c>
      <c r="AN112" s="1691">
        <f ca="1">Costs!AN111/('Global assumptions'!$C$7*NAIRA2010_*250)</f>
        <v>0</v>
      </c>
      <c r="AO112" s="1691">
        <f ca="1">Costs!AO111/('Global assumptions'!$C$7*NAIRA2010_*250)</f>
        <v>0</v>
      </c>
      <c r="AP112" s="1691">
        <f ca="1">Costs!AP111/('Global assumptions'!$C$7*NAIRA2010_*250)</f>
        <v>0</v>
      </c>
      <c r="AQ112" s="1691">
        <f ca="1">Costs!AQ111/('Global assumptions'!$C$7*NAIRA2010_*250)</f>
        <v>0</v>
      </c>
      <c r="AS112" s="1707">
        <f t="shared" ca="1" si="22"/>
        <v>0</v>
      </c>
      <c r="AT112" s="1707">
        <f t="shared" ca="1" si="19"/>
        <v>0</v>
      </c>
      <c r="AU112" s="675"/>
      <c r="AV112" s="1699">
        <f>IFERROR(VLOOKUP($A112,Cost.FinanceCostTable,7,FALSE),'Global assumptions'!$D$35)</f>
        <v>0.1</v>
      </c>
      <c r="AW112" s="1690">
        <f>IFERROR(VLOOKUP($A112,Cost.FinanceCostTable,8,FALSE),'Global assumptions'!$E$35)</f>
        <v>15</v>
      </c>
      <c r="AX112" s="675"/>
      <c r="AY112" s="1691">
        <f ca="1">Costs!AY111/('Global assumptions'!$C$7*NAIRA2010_*250)</f>
        <v>0</v>
      </c>
      <c r="AZ112" s="1691">
        <f ca="1">Costs!AZ111/('Global assumptions'!$C$7*NAIRA2010_*250)</f>
        <v>0</v>
      </c>
      <c r="BA112" s="1691">
        <f ca="1">Costs!BA111/('Global assumptions'!$C$7*NAIRA2010_*250)</f>
        <v>0</v>
      </c>
      <c r="BB112" s="1691">
        <f ca="1">Costs!BB111/('Global assumptions'!$C$7*NAIRA2010_*250)</f>
        <v>0</v>
      </c>
      <c r="BC112" s="1691">
        <f ca="1">Costs!BC111/('Global assumptions'!$C$7*NAIRA2010_*250)</f>
        <v>0</v>
      </c>
      <c r="BD112" s="1691">
        <f ca="1">Costs!BD111/('Global assumptions'!$C$7*NAIRA2010_*250)</f>
        <v>0</v>
      </c>
      <c r="BE112" s="1691">
        <f ca="1">Costs!BE111/('Global assumptions'!$C$7*NAIRA2010_*250)</f>
        <v>0</v>
      </c>
      <c r="BF112" s="1691">
        <f ca="1">Costs!BF111/('Global assumptions'!$C$7*NAIRA2010_*250)</f>
        <v>0</v>
      </c>
      <c r="BG112" s="1691">
        <f ca="1">Costs!BG111/('Global assumptions'!$C$7*NAIRA2010_*250)</f>
        <v>0</v>
      </c>
      <c r="BH112" s="675"/>
      <c r="BI112" s="1691">
        <f ca="1">Costs!BI111/('Global assumptions'!$C$7*NAIRA2010_*250)</f>
        <v>0</v>
      </c>
      <c r="BJ112" s="1691">
        <f ca="1">Costs!BJ111/('Global assumptions'!$C$7*NAIRA2010_*250)</f>
        <v>0</v>
      </c>
      <c r="BK112" s="1691">
        <f ca="1">Costs!BK111/('Global assumptions'!$C$7*NAIRA2010_*250)</f>
        <v>0</v>
      </c>
      <c r="BL112" s="1691">
        <f ca="1">Costs!BL111/('Global assumptions'!$C$7*NAIRA2010_*250)</f>
        <v>0</v>
      </c>
      <c r="BM112" s="1691">
        <f ca="1">Costs!BM111/('Global assumptions'!$C$7*NAIRA2010_*250)</f>
        <v>0</v>
      </c>
      <c r="BN112" s="1691">
        <f ca="1">Costs!BN111/('Global assumptions'!$C$7*NAIRA2010_*250)</f>
        <v>0</v>
      </c>
      <c r="BO112" s="1691">
        <f ca="1">Costs!BO111/('Global assumptions'!$C$7*NAIRA2010_*250)</f>
        <v>0</v>
      </c>
      <c r="BP112" s="1691">
        <f ca="1">Costs!BP111/('Global assumptions'!$C$7*NAIRA2010_*250)</f>
        <v>0</v>
      </c>
      <c r="BQ112" s="1691">
        <f ca="1">Costs!BQ111/('Global assumptions'!$C$7*NAIRA2010_*250)</f>
        <v>0</v>
      </c>
      <c r="BR112" s="675"/>
      <c r="BS112" s="1691">
        <f ca="1">Costs!BS111/('Global assumptions'!$C$7*NAIRA2010_*250)</f>
        <v>0</v>
      </c>
      <c r="BT112" s="1691">
        <f ca="1">Costs!BT111/('Global assumptions'!$C$7*NAIRA2010_*250)</f>
        <v>0</v>
      </c>
      <c r="BU112" s="1691">
        <f ca="1">Costs!BU111/('Global assumptions'!$C$7*NAIRA2010_*250)</f>
        <v>0</v>
      </c>
      <c r="BV112" s="1691">
        <f ca="1">Costs!BV111/('Global assumptions'!$C$7*NAIRA2010_*250)</f>
        <v>0</v>
      </c>
      <c r="BW112" s="1691">
        <f ca="1">Costs!BW111/('Global assumptions'!$C$7*NAIRA2010_*250)</f>
        <v>0</v>
      </c>
      <c r="BX112" s="1691">
        <f ca="1">Costs!BX111/('Global assumptions'!$C$7*NAIRA2010_*250)</f>
        <v>0</v>
      </c>
      <c r="BY112" s="1691">
        <f ca="1">Costs!BY111/('Global assumptions'!$C$7*NAIRA2010_*250)</f>
        <v>0</v>
      </c>
      <c r="BZ112" s="1691">
        <f ca="1">Costs!BZ111/('Global assumptions'!$C$7*NAIRA2010_*250)</f>
        <v>0</v>
      </c>
      <c r="CA112" s="1691">
        <f ca="1">Costs!CA111/('Global assumptions'!$C$7*NAIRA2010_*250)</f>
        <v>0</v>
      </c>
      <c r="CC112" s="1707">
        <f t="shared" ca="1" si="23"/>
        <v>0</v>
      </c>
      <c r="CD112" s="1707">
        <f t="shared" ca="1" si="20"/>
        <v>0</v>
      </c>
      <c r="CF112" s="1691">
        <f ca="1">Costs!CF111/('Global assumptions'!$C$7*NAIRA2010_*250)</f>
        <v>0</v>
      </c>
      <c r="CG112" s="1691">
        <f ca="1">Costs!CG111/('Global assumptions'!$C$7*NAIRA2010_*250)</f>
        <v>0</v>
      </c>
      <c r="CH112" s="1691">
        <f ca="1">Costs!CH111/('Global assumptions'!$C$7*NAIRA2010_*250)</f>
        <v>0</v>
      </c>
      <c r="CI112" s="1691">
        <f ca="1">Costs!CI111/('Global assumptions'!$C$7*NAIRA2010_*250)</f>
        <v>0</v>
      </c>
      <c r="CJ112" s="1691">
        <f ca="1">Costs!CJ111/('Global assumptions'!$C$7*NAIRA2010_*250)</f>
        <v>0</v>
      </c>
      <c r="CK112" s="1691">
        <f ca="1">Costs!CK111/('Global assumptions'!$C$7*NAIRA2010_*250)</f>
        <v>0</v>
      </c>
      <c r="CL112" s="1691">
        <f ca="1">Costs!CL111/('Global assumptions'!$C$7*NAIRA2010_*250)</f>
        <v>0</v>
      </c>
      <c r="CM112" s="1691">
        <f ca="1">Costs!CM111/('Global assumptions'!$C$7*NAIRA2010_*250)</f>
        <v>0</v>
      </c>
      <c r="CN112" s="1691">
        <f ca="1">Costs!CN111/('Global assumptions'!$C$7*NAIRA2010_*250)</f>
        <v>0</v>
      </c>
      <c r="CP112" s="1707">
        <f t="shared" ca="1" si="24"/>
        <v>0</v>
      </c>
      <c r="CQ112" s="1707">
        <f t="shared" ca="1" si="21"/>
        <v>0</v>
      </c>
      <c r="CR112" s="1426" t="str">
        <f t="shared" ca="1" si="25"/>
        <v>ok</v>
      </c>
    </row>
    <row r="113" spans="1:96" x14ac:dyDescent="0.2">
      <c r="A113" s="1683" t="s">
        <v>392</v>
      </c>
      <c r="B113" s="1683" t="s">
        <v>2217</v>
      </c>
      <c r="C113" s="1683" t="s">
        <v>1974</v>
      </c>
      <c r="E113" s="1689">
        <f ca="1">Costs!E112/('Global assumptions'!$C$7*NAIRA2010_*250)</f>
        <v>0</v>
      </c>
      <c r="F113" s="1689">
        <f ca="1">Costs!F112/('Global assumptions'!$C$7*NAIRA2010_*250)</f>
        <v>6.2279238782310502</v>
      </c>
      <c r="G113" s="1689">
        <f ca="1">Costs!G112/('Global assumptions'!$C$7*NAIRA2010_*250)</f>
        <v>6.2279238782310555</v>
      </c>
      <c r="H113" s="1689">
        <f ca="1">Costs!H112/('Global assumptions'!$C$7*NAIRA2010_*250)</f>
        <v>6.2279238782311239</v>
      </c>
      <c r="I113" s="1689">
        <f ca="1">Costs!I112/('Global assumptions'!$C$7*NAIRA2010_*250)</f>
        <v>6.2279238782309809</v>
      </c>
      <c r="J113" s="1689">
        <f ca="1">Costs!J112/('Global assumptions'!$C$7*NAIRA2010_*250)</f>
        <v>6.227923878231123</v>
      </c>
      <c r="K113" s="1689">
        <f ca="1">Costs!K112/('Global assumptions'!$C$7*NAIRA2010_*250)</f>
        <v>6.2279238782310502</v>
      </c>
      <c r="L113" s="1689">
        <f ca="1">Costs!L112/('Global assumptions'!$C$7*NAIRA2010_*250)</f>
        <v>6.2279238782310564</v>
      </c>
      <c r="M113" s="1689">
        <f ca="1">Costs!M112/('Global assumptions'!$C$7*NAIRA2010_*250)</f>
        <v>6.2279238782314188</v>
      </c>
      <c r="N113" s="675"/>
      <c r="O113" s="1689">
        <f ca="1">Costs!O112/('Global assumptions'!$C$7*NAIRA2010_*250)</f>
        <v>0</v>
      </c>
      <c r="P113" s="1689">
        <f ca="1">Costs!P112/('Global assumptions'!$C$7*NAIRA2010_*250)</f>
        <v>0</v>
      </c>
      <c r="Q113" s="1689">
        <f ca="1">Costs!Q112/('Global assumptions'!$C$7*NAIRA2010_*250)</f>
        <v>0</v>
      </c>
      <c r="R113" s="1689">
        <f ca="1">Costs!R112/('Global assumptions'!$C$7*NAIRA2010_*250)</f>
        <v>0</v>
      </c>
      <c r="S113" s="1689">
        <f ca="1">Costs!S112/('Global assumptions'!$C$7*NAIRA2010_*250)</f>
        <v>0</v>
      </c>
      <c r="T113" s="1689">
        <f ca="1">Costs!T112/('Global assumptions'!$C$7*NAIRA2010_*250)</f>
        <v>0</v>
      </c>
      <c r="U113" s="1689">
        <f ca="1">Costs!U112/('Global assumptions'!$C$7*NAIRA2010_*250)</f>
        <v>0</v>
      </c>
      <c r="V113" s="1689">
        <f ca="1">Costs!V112/('Global assumptions'!$C$7*NAIRA2010_*250)</f>
        <v>0</v>
      </c>
      <c r="W113" s="1689">
        <f ca="1">Costs!W112/('Global assumptions'!$C$7*NAIRA2010_*250)</f>
        <v>0</v>
      </c>
      <c r="X113" s="675"/>
      <c r="Y113" s="1689">
        <f ca="1">Costs!Y112/('Global assumptions'!$C$7*NAIRA2010_*250)</f>
        <v>0</v>
      </c>
      <c r="Z113" s="1689">
        <f ca="1">Costs!Z112/('Global assumptions'!$C$7*NAIRA2010_*250)</f>
        <v>0</v>
      </c>
      <c r="AA113" s="1689">
        <f ca="1">Costs!AA112/('Global assumptions'!$C$7*NAIRA2010_*250)</f>
        <v>0</v>
      </c>
      <c r="AB113" s="1689">
        <f ca="1">Costs!AB112/('Global assumptions'!$C$7*NAIRA2010_*250)</f>
        <v>0</v>
      </c>
      <c r="AC113" s="1689">
        <f ca="1">Costs!AC112/('Global assumptions'!$C$7*NAIRA2010_*250)</f>
        <v>0</v>
      </c>
      <c r="AD113" s="1689">
        <f ca="1">Costs!AD112/('Global assumptions'!$C$7*NAIRA2010_*250)</f>
        <v>0</v>
      </c>
      <c r="AE113" s="1689">
        <f ca="1">Costs!AE112/('Global assumptions'!$C$7*NAIRA2010_*250)</f>
        <v>0</v>
      </c>
      <c r="AF113" s="1689">
        <f ca="1">Costs!AF112/('Global assumptions'!$C$7*NAIRA2010_*250)</f>
        <v>0</v>
      </c>
      <c r="AG113" s="1689">
        <f ca="1">Costs!AG112/('Global assumptions'!$C$7*NAIRA2010_*250)</f>
        <v>0</v>
      </c>
      <c r="AH113" s="675"/>
      <c r="AI113" s="1689">
        <f ca="1">Costs!AI112/('Global assumptions'!$C$7*NAIRA2010_*250)</f>
        <v>0</v>
      </c>
      <c r="AJ113" s="1689">
        <f ca="1">Costs!AJ112/('Global assumptions'!$C$7*NAIRA2010_*250)</f>
        <v>6.2279238782310502</v>
      </c>
      <c r="AK113" s="1689">
        <f ca="1">Costs!AK112/('Global assumptions'!$C$7*NAIRA2010_*250)</f>
        <v>6.2279238782310555</v>
      </c>
      <c r="AL113" s="1689">
        <f ca="1">Costs!AL112/('Global assumptions'!$C$7*NAIRA2010_*250)</f>
        <v>6.2279238782311239</v>
      </c>
      <c r="AM113" s="1689">
        <f ca="1">Costs!AM112/('Global assumptions'!$C$7*NAIRA2010_*250)</f>
        <v>6.2279238782309809</v>
      </c>
      <c r="AN113" s="1689">
        <f ca="1">Costs!AN112/('Global assumptions'!$C$7*NAIRA2010_*250)</f>
        <v>6.227923878231123</v>
      </c>
      <c r="AO113" s="1689">
        <f ca="1">Costs!AO112/('Global assumptions'!$C$7*NAIRA2010_*250)</f>
        <v>6.2279238782310502</v>
      </c>
      <c r="AP113" s="1689">
        <f ca="1">Costs!AP112/('Global assumptions'!$C$7*NAIRA2010_*250)</f>
        <v>6.2279238782310564</v>
      </c>
      <c r="AQ113" s="1689">
        <f ca="1">Costs!AQ112/('Global assumptions'!$C$7*NAIRA2010_*250)</f>
        <v>6.2279238782314188</v>
      </c>
      <c r="AS113" s="1706">
        <f t="shared" ca="1" si="22"/>
        <v>5.5359323362054296</v>
      </c>
      <c r="AT113" s="1706">
        <f t="shared" ca="1" si="19"/>
        <v>50.950104933096142</v>
      </c>
      <c r="AU113" s="675"/>
      <c r="AV113" s="1699">
        <f>IFERROR(VLOOKUP($A113,Cost.FinanceCostTable,7,FALSE),'Global assumptions'!$D$35)</f>
        <v>0.1</v>
      </c>
      <c r="AW113" s="1690">
        <f>IFERROR(VLOOKUP($A113,Cost.FinanceCostTable,8,FALSE),'Global assumptions'!$E$35)</f>
        <v>15</v>
      </c>
      <c r="AX113" s="675"/>
      <c r="AY113" s="1689">
        <f ca="1">Costs!AY112/('Global assumptions'!$C$7*NAIRA2010_*250)</f>
        <v>0</v>
      </c>
      <c r="AZ113" s="1689">
        <f ca="1">Costs!AZ112/('Global assumptions'!$C$7*NAIRA2010_*250)</f>
        <v>4.0940433721904359</v>
      </c>
      <c r="BA113" s="1689">
        <f ca="1">Costs!BA112/('Global assumptions'!$C$7*NAIRA2010_*250)</f>
        <v>4.0940433721904386</v>
      </c>
      <c r="BB113" s="1689">
        <f ca="1">Costs!BB112/('Global assumptions'!$C$7*NAIRA2010_*250)</f>
        <v>4.0940433721904839</v>
      </c>
      <c r="BC113" s="1689">
        <f ca="1">Costs!BC112/('Global assumptions'!$C$7*NAIRA2010_*250)</f>
        <v>4.0940433721903906</v>
      </c>
      <c r="BD113" s="1689">
        <f ca="1">Costs!BD112/('Global assumptions'!$C$7*NAIRA2010_*250)</f>
        <v>4.0940433721904821</v>
      </c>
      <c r="BE113" s="1689">
        <f ca="1">Costs!BE112/('Global assumptions'!$C$7*NAIRA2010_*250)</f>
        <v>4.0940433721904359</v>
      </c>
      <c r="BF113" s="1689">
        <f ca="1">Costs!BF112/('Global assumptions'!$C$7*NAIRA2010_*250)</f>
        <v>4.0940433721904395</v>
      </c>
      <c r="BG113" s="1689">
        <f ca="1">Costs!BG112/('Global assumptions'!$C$7*NAIRA2010_*250)</f>
        <v>4.0940433721906784</v>
      </c>
      <c r="BH113" s="675"/>
      <c r="BI113" s="1689">
        <f ca="1">Costs!BI112/('Global assumptions'!$C$7*NAIRA2010_*250)</f>
        <v>0</v>
      </c>
      <c r="BJ113" s="1689">
        <f ca="1">Costs!BJ112/('Global assumptions'!$C$7*NAIRA2010_*250)</f>
        <v>4.0940433721904359</v>
      </c>
      <c r="BK113" s="1689">
        <f ca="1">Costs!BK112/('Global assumptions'!$C$7*NAIRA2010_*250)</f>
        <v>8.1880867443808736</v>
      </c>
      <c r="BL113" s="1689">
        <f ca="1">Costs!BL112/('Global assumptions'!$C$7*NAIRA2010_*250)</f>
        <v>12.282130116571359</v>
      </c>
      <c r="BM113" s="1689">
        <f ca="1">Costs!BM112/('Global assumptions'!$C$7*NAIRA2010_*250)</f>
        <v>12.282130116571311</v>
      </c>
      <c r="BN113" s="1689">
        <f ca="1">Costs!BN112/('Global assumptions'!$C$7*NAIRA2010_*250)</f>
        <v>12.282130116571356</v>
      </c>
      <c r="BO113" s="1689">
        <f ca="1">Costs!BO112/('Global assumptions'!$C$7*NAIRA2010_*250)</f>
        <v>12.282130116571309</v>
      </c>
      <c r="BP113" s="1689">
        <f ca="1">Costs!BP112/('Global assumptions'!$C$7*NAIRA2010_*250)</f>
        <v>12.282130116571359</v>
      </c>
      <c r="BQ113" s="1689">
        <f ca="1">Costs!BQ112/('Global assumptions'!$C$7*NAIRA2010_*250)</f>
        <v>12.282130116571553</v>
      </c>
      <c r="BR113" s="675"/>
      <c r="BS113" s="1689">
        <f ca="1">Costs!BS112/('Global assumptions'!$C$7*NAIRA2010_*250)</f>
        <v>0</v>
      </c>
      <c r="BT113" s="1689">
        <f ca="1">Costs!BT112/('Global assumptions'!$C$7*NAIRA2010_*250)</f>
        <v>4.0940433721904359</v>
      </c>
      <c r="BU113" s="1689">
        <f ca="1">Costs!BU112/('Global assumptions'!$C$7*NAIRA2010_*250)</f>
        <v>8.1880867443808736</v>
      </c>
      <c r="BV113" s="1689">
        <f ca="1">Costs!BV112/('Global assumptions'!$C$7*NAIRA2010_*250)</f>
        <v>12.282130116571359</v>
      </c>
      <c r="BW113" s="1689">
        <f ca="1">Costs!BW112/('Global assumptions'!$C$7*NAIRA2010_*250)</f>
        <v>12.282130116571311</v>
      </c>
      <c r="BX113" s="1689">
        <f ca="1">Costs!BX112/('Global assumptions'!$C$7*NAIRA2010_*250)</f>
        <v>12.282130116571356</v>
      </c>
      <c r="BY113" s="1689">
        <f ca="1">Costs!BY112/('Global assumptions'!$C$7*NAIRA2010_*250)</f>
        <v>12.282130116571309</v>
      </c>
      <c r="BZ113" s="1689">
        <f ca="1">Costs!BZ112/('Global assumptions'!$C$7*NAIRA2010_*250)</f>
        <v>12.282130116571359</v>
      </c>
      <c r="CA113" s="1689">
        <f ca="1">Costs!CA112/('Global assumptions'!$C$7*NAIRA2010_*250)</f>
        <v>12.282130116571553</v>
      </c>
      <c r="CC113" s="1706">
        <f t="shared" ca="1" si="23"/>
        <v>9.5527678684443948</v>
      </c>
      <c r="CD113" s="1706">
        <f t="shared" ca="1" si="20"/>
        <v>67.1660979083033</v>
      </c>
      <c r="CF113" s="1689">
        <f ca="1">Costs!CF112/('Global assumptions'!$C$7*NAIRA2010_*250)</f>
        <v>0</v>
      </c>
      <c r="CG113" s="1689">
        <f ca="1">Costs!CG112/('Global assumptions'!$C$7*NAIRA2010_*250)</f>
        <v>-2.1338805060406143</v>
      </c>
      <c r="CH113" s="1689">
        <f ca="1">Costs!CH112/('Global assumptions'!$C$7*NAIRA2010_*250)</f>
        <v>1.9601628661498187</v>
      </c>
      <c r="CI113" s="1689">
        <f ca="1">Costs!CI112/('Global assumptions'!$C$7*NAIRA2010_*250)</f>
        <v>6.0542062383402344</v>
      </c>
      <c r="CJ113" s="1689">
        <f ca="1">Costs!CJ112/('Global assumptions'!$C$7*NAIRA2010_*250)</f>
        <v>6.0542062383403312</v>
      </c>
      <c r="CK113" s="1689">
        <f ca="1">Costs!CK112/('Global assumptions'!$C$7*NAIRA2010_*250)</f>
        <v>6.0542062383402335</v>
      </c>
      <c r="CL113" s="1689">
        <f ca="1">Costs!CL112/('Global assumptions'!$C$7*NAIRA2010_*250)</f>
        <v>6.0542062383402593</v>
      </c>
      <c r="CM113" s="1689">
        <f ca="1">Costs!CM112/('Global assumptions'!$C$7*NAIRA2010_*250)</f>
        <v>6.0542062383403028</v>
      </c>
      <c r="CN113" s="1689">
        <f ca="1">Costs!CN112/('Global assumptions'!$C$7*NAIRA2010_*250)</f>
        <v>6.054206238340134</v>
      </c>
      <c r="CP113" s="1706">
        <f t="shared" ca="1" si="24"/>
        <v>4.0168355322389671</v>
      </c>
      <c r="CQ113" s="1706">
        <f t="shared" ca="1" si="21"/>
        <v>16.21599297520714</v>
      </c>
      <c r="CR113" s="1426" t="str">
        <f t="shared" ca="1" si="25"/>
        <v>ok</v>
      </c>
    </row>
    <row r="114" spans="1:96" x14ac:dyDescent="0.2">
      <c r="A114" s="1685" t="s">
        <v>393</v>
      </c>
      <c r="B114" s="1685" t="s">
        <v>2221</v>
      </c>
      <c r="C114" s="1685" t="s">
        <v>1974</v>
      </c>
      <c r="E114" s="1691">
        <f ca="1">Costs!E113/('Global assumptions'!$C$7*NAIRA2010_*250)</f>
        <v>0</v>
      </c>
      <c r="F114" s="1691">
        <f ca="1">Costs!F113/('Global assumptions'!$C$7*NAIRA2010_*250)</f>
        <v>1.8414896332283943</v>
      </c>
      <c r="G114" s="1691">
        <f ca="1">Costs!G113/('Global assumptions'!$C$7*NAIRA2010_*250)</f>
        <v>2.8947027346360801</v>
      </c>
      <c r="H114" s="1691">
        <f ca="1">Costs!H113/('Global assumptions'!$C$7*NAIRA2010_*250)</f>
        <v>4.1509802438764822</v>
      </c>
      <c r="I114" s="1691">
        <f ca="1">Costs!I113/('Global assumptions'!$C$7*NAIRA2010_*250)</f>
        <v>5.3590274311653712</v>
      </c>
      <c r="J114" s="1691">
        <f ca="1">Costs!J113/('Global assumptions'!$C$7*NAIRA2010_*250)</f>
        <v>7.525004845202564</v>
      </c>
      <c r="K114" s="1691">
        <f ca="1">Costs!K113/('Global assumptions'!$C$7*NAIRA2010_*250)</f>
        <v>8.8123620638801761</v>
      </c>
      <c r="L114" s="1691">
        <f ca="1">Costs!L113/('Global assumptions'!$C$7*NAIRA2010_*250)</f>
        <v>10.838434955907617</v>
      </c>
      <c r="M114" s="1691">
        <f ca="1">Costs!M113/('Global assumptions'!$C$7*NAIRA2010_*250)</f>
        <v>13.190795760255462</v>
      </c>
      <c r="N114" s="675"/>
      <c r="O114" s="1691">
        <f ca="1">Costs!O113/('Global assumptions'!$C$7*NAIRA2010_*250)</f>
        <v>0</v>
      </c>
      <c r="P114" s="1691">
        <f ca="1">Costs!P113/('Global assumptions'!$C$7*NAIRA2010_*250)</f>
        <v>0</v>
      </c>
      <c r="Q114" s="1691">
        <f ca="1">Costs!Q113/('Global assumptions'!$C$7*NAIRA2010_*250)</f>
        <v>0</v>
      </c>
      <c r="R114" s="1691">
        <f ca="1">Costs!R113/('Global assumptions'!$C$7*NAIRA2010_*250)</f>
        <v>0</v>
      </c>
      <c r="S114" s="1691">
        <f ca="1">Costs!S113/('Global assumptions'!$C$7*NAIRA2010_*250)</f>
        <v>0</v>
      </c>
      <c r="T114" s="1691">
        <f ca="1">Costs!T113/('Global assumptions'!$C$7*NAIRA2010_*250)</f>
        <v>0</v>
      </c>
      <c r="U114" s="1691">
        <f ca="1">Costs!U113/('Global assumptions'!$C$7*NAIRA2010_*250)</f>
        <v>0</v>
      </c>
      <c r="V114" s="1691">
        <f ca="1">Costs!V113/('Global assumptions'!$C$7*NAIRA2010_*250)</f>
        <v>0</v>
      </c>
      <c r="W114" s="1691">
        <f ca="1">Costs!W113/('Global assumptions'!$C$7*NAIRA2010_*250)</f>
        <v>0</v>
      </c>
      <c r="X114" s="675"/>
      <c r="Y114" s="1691">
        <f ca="1">Costs!Y113/('Global assumptions'!$C$7*NAIRA2010_*250)</f>
        <v>0</v>
      </c>
      <c r="Z114" s="1691">
        <f ca="1">Costs!Z113/('Global assumptions'!$C$7*NAIRA2010_*250)</f>
        <v>0</v>
      </c>
      <c r="AA114" s="1691">
        <f ca="1">Costs!AA113/('Global assumptions'!$C$7*NAIRA2010_*250)</f>
        <v>0</v>
      </c>
      <c r="AB114" s="1691">
        <f ca="1">Costs!AB113/('Global assumptions'!$C$7*NAIRA2010_*250)</f>
        <v>0</v>
      </c>
      <c r="AC114" s="1691">
        <f ca="1">Costs!AC113/('Global assumptions'!$C$7*NAIRA2010_*250)</f>
        <v>0</v>
      </c>
      <c r="AD114" s="1691">
        <f ca="1">Costs!AD113/('Global assumptions'!$C$7*NAIRA2010_*250)</f>
        <v>0</v>
      </c>
      <c r="AE114" s="1691">
        <f ca="1">Costs!AE113/('Global assumptions'!$C$7*NAIRA2010_*250)</f>
        <v>0</v>
      </c>
      <c r="AF114" s="1691">
        <f ca="1">Costs!AF113/('Global assumptions'!$C$7*NAIRA2010_*250)</f>
        <v>0</v>
      </c>
      <c r="AG114" s="1691">
        <f ca="1">Costs!AG113/('Global assumptions'!$C$7*NAIRA2010_*250)</f>
        <v>0</v>
      </c>
      <c r="AH114" s="675"/>
      <c r="AI114" s="1691">
        <f ca="1">Costs!AI113/('Global assumptions'!$C$7*NAIRA2010_*250)</f>
        <v>0</v>
      </c>
      <c r="AJ114" s="1691">
        <f ca="1">Costs!AJ113/('Global assumptions'!$C$7*NAIRA2010_*250)</f>
        <v>1.8414896332283943</v>
      </c>
      <c r="AK114" s="1691">
        <f ca="1">Costs!AK113/('Global assumptions'!$C$7*NAIRA2010_*250)</f>
        <v>2.8947027346360801</v>
      </c>
      <c r="AL114" s="1691">
        <f ca="1">Costs!AL113/('Global assumptions'!$C$7*NAIRA2010_*250)</f>
        <v>4.1509802438764822</v>
      </c>
      <c r="AM114" s="1691">
        <f ca="1">Costs!AM113/('Global assumptions'!$C$7*NAIRA2010_*250)</f>
        <v>5.3590274311653712</v>
      </c>
      <c r="AN114" s="1691">
        <f ca="1">Costs!AN113/('Global assumptions'!$C$7*NAIRA2010_*250)</f>
        <v>7.525004845202564</v>
      </c>
      <c r="AO114" s="1691">
        <f ca="1">Costs!AO113/('Global assumptions'!$C$7*NAIRA2010_*250)</f>
        <v>8.8123620638801761</v>
      </c>
      <c r="AP114" s="1691">
        <f ca="1">Costs!AP113/('Global assumptions'!$C$7*NAIRA2010_*250)</f>
        <v>10.838434955907617</v>
      </c>
      <c r="AQ114" s="1691">
        <f ca="1">Costs!AQ113/('Global assumptions'!$C$7*NAIRA2010_*250)</f>
        <v>13.190795760255462</v>
      </c>
      <c r="AS114" s="1707">
        <f t="shared" ca="1" si="22"/>
        <v>6.0680886297946834</v>
      </c>
      <c r="AT114" s="1707">
        <f t="shared" ca="1" si="19"/>
        <v>31.737964075391293</v>
      </c>
      <c r="AU114" s="675"/>
      <c r="AV114" s="1699">
        <f>IFERROR(VLOOKUP($A114,Cost.FinanceCostTable,7,FALSE),'Global assumptions'!$D$35)</f>
        <v>0</v>
      </c>
      <c r="AW114" s="1690">
        <f>IFERROR(VLOOKUP($A114,Cost.FinanceCostTable,8,FALSE),'Global assumptions'!$E$35)</f>
        <v>5</v>
      </c>
      <c r="AX114" s="675"/>
      <c r="AY114" s="1691">
        <f ca="1">Costs!AY113/('Global assumptions'!$C$7*NAIRA2010_*250)</f>
        <v>0</v>
      </c>
      <c r="AZ114" s="1691">
        <f ca="1">Costs!AZ113/('Global assumptions'!$C$7*NAIRA2010_*250)</f>
        <v>1.2105379858973941</v>
      </c>
      <c r="BA114" s="1691">
        <f ca="1">Costs!BA113/('Global assumptions'!$C$7*NAIRA2010_*250)</f>
        <v>1.9028875074440517</v>
      </c>
      <c r="BB114" s="1691">
        <f ca="1">Costs!BB113/('Global assumptions'!$C$7*NAIRA2010_*250)</f>
        <v>2.7287252522365328</v>
      </c>
      <c r="BC114" s="1691">
        <f ca="1">Costs!BC113/('Global assumptions'!$C$7*NAIRA2010_*250)</f>
        <v>3.5228578840917182</v>
      </c>
      <c r="BD114" s="1691">
        <f ca="1">Costs!BD113/('Global assumptions'!$C$7*NAIRA2010_*250)</f>
        <v>4.9467040404727838</v>
      </c>
      <c r="BE114" s="1691">
        <f ca="1">Costs!BE113/('Global assumptions'!$C$7*NAIRA2010_*250)</f>
        <v>5.7929726191866271</v>
      </c>
      <c r="BF114" s="1691">
        <f ca="1">Costs!BF113/('Global assumptions'!$C$7*NAIRA2010_*250)</f>
        <v>7.1248498960064719</v>
      </c>
      <c r="BG114" s="1691">
        <f ca="1">Costs!BG113/('Global assumptions'!$C$7*NAIRA2010_*250)</f>
        <v>8.6712186937536107</v>
      </c>
      <c r="BH114" s="675"/>
      <c r="BI114" s="1691">
        <f ca="1">Costs!BI113/('Global assumptions'!$C$7*NAIRA2010_*250)</f>
        <v>0</v>
      </c>
      <c r="BJ114" s="1691">
        <f ca="1">Costs!BJ113/('Global assumptions'!$C$7*NAIRA2010_*250)</f>
        <v>1.2105379858973941</v>
      </c>
      <c r="BK114" s="1691">
        <f ca="1">Costs!BK113/('Global assumptions'!$C$7*NAIRA2010_*250)</f>
        <v>3.1134254933414458</v>
      </c>
      <c r="BL114" s="1691">
        <f ca="1">Costs!BL113/('Global assumptions'!$C$7*NAIRA2010_*250)</f>
        <v>5.8421507455779782</v>
      </c>
      <c r="BM114" s="1691">
        <f ca="1">Costs!BM113/('Global assumptions'!$C$7*NAIRA2010_*250)</f>
        <v>8.1544706437723029</v>
      </c>
      <c r="BN114" s="1691">
        <f ca="1">Costs!BN113/('Global assumptions'!$C$7*NAIRA2010_*250)</f>
        <v>11.198287176801037</v>
      </c>
      <c r="BO114" s="1691">
        <f ca="1">Costs!BO113/('Global assumptions'!$C$7*NAIRA2010_*250)</f>
        <v>14.26253454375113</v>
      </c>
      <c r="BP114" s="1691">
        <f ca="1">Costs!BP113/('Global assumptions'!$C$7*NAIRA2010_*250)</f>
        <v>17.864526555665883</v>
      </c>
      <c r="BQ114" s="1691">
        <f ca="1">Costs!BQ113/('Global assumptions'!$C$7*NAIRA2010_*250)</f>
        <v>21.589041208946707</v>
      </c>
      <c r="BR114" s="675"/>
      <c r="BS114" s="1691">
        <f ca="1">Costs!BS113/('Global assumptions'!$C$7*NAIRA2010_*250)</f>
        <v>0</v>
      </c>
      <c r="BT114" s="1691">
        <f ca="1">Costs!BT113/('Global assumptions'!$C$7*NAIRA2010_*250)</f>
        <v>1.2105379858973941</v>
      </c>
      <c r="BU114" s="1691">
        <f ca="1">Costs!BU113/('Global assumptions'!$C$7*NAIRA2010_*250)</f>
        <v>3.1134254933414458</v>
      </c>
      <c r="BV114" s="1691">
        <f ca="1">Costs!BV113/('Global assumptions'!$C$7*NAIRA2010_*250)</f>
        <v>5.8421507455779782</v>
      </c>
      <c r="BW114" s="1691">
        <f ca="1">Costs!BW113/('Global assumptions'!$C$7*NAIRA2010_*250)</f>
        <v>8.1544706437723029</v>
      </c>
      <c r="BX114" s="1691">
        <f ca="1">Costs!BX113/('Global assumptions'!$C$7*NAIRA2010_*250)</f>
        <v>11.198287176801037</v>
      </c>
      <c r="BY114" s="1691">
        <f ca="1">Costs!BY113/('Global assumptions'!$C$7*NAIRA2010_*250)</f>
        <v>14.26253454375113</v>
      </c>
      <c r="BZ114" s="1691">
        <f ca="1">Costs!BZ113/('Global assumptions'!$C$7*NAIRA2010_*250)</f>
        <v>17.864526555665883</v>
      </c>
      <c r="CA114" s="1691">
        <f ca="1">Costs!CA113/('Global assumptions'!$C$7*NAIRA2010_*250)</f>
        <v>21.589041208946707</v>
      </c>
      <c r="CC114" s="1707">
        <f t="shared" ca="1" si="23"/>
        <v>9.248330483750431</v>
      </c>
      <c r="CD114" s="1707">
        <f t="shared" ca="1" si="20"/>
        <v>41.086783592391669</v>
      </c>
      <c r="CF114" s="1691">
        <f ca="1">Costs!CF113/('Global assumptions'!$C$7*NAIRA2010_*250)</f>
        <v>0</v>
      </c>
      <c r="CG114" s="1691">
        <f ca="1">Costs!CG113/('Global assumptions'!$C$7*NAIRA2010_*250)</f>
        <v>-0.63095164733100007</v>
      </c>
      <c r="CH114" s="1691">
        <f ca="1">Costs!CH113/('Global assumptions'!$C$7*NAIRA2010_*250)</f>
        <v>0.21872275870536564</v>
      </c>
      <c r="CI114" s="1691">
        <f ca="1">Costs!CI113/('Global assumptions'!$C$7*NAIRA2010_*250)</f>
        <v>1.6911705017014957</v>
      </c>
      <c r="CJ114" s="1691">
        <f ca="1">Costs!CJ113/('Global assumptions'!$C$7*NAIRA2010_*250)</f>
        <v>2.7954432126069308</v>
      </c>
      <c r="CK114" s="1691">
        <f ca="1">Costs!CK113/('Global assumptions'!$C$7*NAIRA2010_*250)</f>
        <v>3.6732823315984726</v>
      </c>
      <c r="CL114" s="1691">
        <f ca="1">Costs!CL113/('Global assumptions'!$C$7*NAIRA2010_*250)</f>
        <v>5.4501724798709539</v>
      </c>
      <c r="CM114" s="1691">
        <f ca="1">Costs!CM113/('Global assumptions'!$C$7*NAIRA2010_*250)</f>
        <v>7.0260915997582671</v>
      </c>
      <c r="CN114" s="1691">
        <f ca="1">Costs!CN113/('Global assumptions'!$C$7*NAIRA2010_*250)</f>
        <v>8.398245448691247</v>
      </c>
      <c r="CP114" s="1707">
        <f t="shared" ca="1" si="24"/>
        <v>3.1802418539557475</v>
      </c>
      <c r="CQ114" s="1707">
        <f t="shared" ca="1" si="21"/>
        <v>9.3488195170003792</v>
      </c>
      <c r="CR114" s="1426" t="str">
        <f t="shared" ca="1" si="25"/>
        <v>ok</v>
      </c>
    </row>
    <row r="115" spans="1:96" x14ac:dyDescent="0.2">
      <c r="A115" s="1683" t="s">
        <v>360</v>
      </c>
      <c r="B115" s="1683" t="s">
        <v>176</v>
      </c>
      <c r="C115" s="1683" t="s">
        <v>33</v>
      </c>
      <c r="E115" s="1689">
        <f ca="1">Costs!E114/('Global assumptions'!$C$7*NAIRA2010_*250)</f>
        <v>0</v>
      </c>
      <c r="F115" s="1689">
        <f ca="1">Costs!F114/('Global assumptions'!$C$7*NAIRA2010_*250)</f>
        <v>7.9812742806106742</v>
      </c>
      <c r="G115" s="1689">
        <f ca="1">Costs!G114/('Global assumptions'!$C$7*NAIRA2010_*250)</f>
        <v>9.7048587080433517</v>
      </c>
      <c r="H115" s="1689">
        <f ca="1">Costs!H114/('Global assumptions'!$C$7*NAIRA2010_*250)</f>
        <v>13.602563337617894</v>
      </c>
      <c r="I115" s="1689">
        <f ca="1">Costs!I114/('Global assumptions'!$C$7*NAIRA2010_*250)</f>
        <v>12.730334783982201</v>
      </c>
      <c r="J115" s="1689">
        <f ca="1">Costs!J114/('Global assumptions'!$C$7*NAIRA2010_*250)</f>
        <v>13.686244544176358</v>
      </c>
      <c r="K115" s="1689">
        <f ca="1">Costs!K114/('Global assumptions'!$C$7*NAIRA2010_*250)</f>
        <v>4.6666064974806263</v>
      </c>
      <c r="L115" s="1689">
        <f ca="1">Costs!L114/('Global assumptions'!$C$7*NAIRA2010_*250)</f>
        <v>4.3799252032433067</v>
      </c>
      <c r="M115" s="1689">
        <f ca="1">Costs!M114/('Global assumptions'!$C$7*NAIRA2010_*250)</f>
        <v>8.4788649001764878</v>
      </c>
      <c r="N115" s="675"/>
      <c r="O115" s="1689">
        <f ca="1">Costs!O114/('Global assumptions'!$C$7*NAIRA2010_*250)</f>
        <v>0</v>
      </c>
      <c r="P115" s="1689">
        <f ca="1">Costs!P114/('Global assumptions'!$C$7*NAIRA2010_*250)</f>
        <v>0</v>
      </c>
      <c r="Q115" s="1689">
        <f ca="1">Costs!Q114/('Global assumptions'!$C$7*NAIRA2010_*250)</f>
        <v>0</v>
      </c>
      <c r="R115" s="1689">
        <f ca="1">Costs!R114/('Global assumptions'!$C$7*NAIRA2010_*250)</f>
        <v>0</v>
      </c>
      <c r="S115" s="1689">
        <f ca="1">Costs!S114/('Global assumptions'!$C$7*NAIRA2010_*250)</f>
        <v>0</v>
      </c>
      <c r="T115" s="1689">
        <f ca="1">Costs!T114/('Global assumptions'!$C$7*NAIRA2010_*250)</f>
        <v>0</v>
      </c>
      <c r="U115" s="1689">
        <f ca="1">Costs!U114/('Global assumptions'!$C$7*NAIRA2010_*250)</f>
        <v>0</v>
      </c>
      <c r="V115" s="1689">
        <f ca="1">Costs!V114/('Global assumptions'!$C$7*NAIRA2010_*250)</f>
        <v>0</v>
      </c>
      <c r="W115" s="1689">
        <f ca="1">Costs!W114/('Global assumptions'!$C$7*NAIRA2010_*250)</f>
        <v>0</v>
      </c>
      <c r="X115" s="675"/>
      <c r="Y115" s="1689">
        <f ca="1">Costs!Y114/('Global assumptions'!$C$7*NAIRA2010_*250)</f>
        <v>0</v>
      </c>
      <c r="Z115" s="1689">
        <f ca="1">Costs!Z114/('Global assumptions'!$C$7*NAIRA2010_*250)</f>
        <v>0</v>
      </c>
      <c r="AA115" s="1689">
        <f ca="1">Costs!AA114/('Global assumptions'!$C$7*NAIRA2010_*250)</f>
        <v>0</v>
      </c>
      <c r="AB115" s="1689">
        <f ca="1">Costs!AB114/('Global assumptions'!$C$7*NAIRA2010_*250)</f>
        <v>0</v>
      </c>
      <c r="AC115" s="1689">
        <f ca="1">Costs!AC114/('Global assumptions'!$C$7*NAIRA2010_*250)</f>
        <v>0</v>
      </c>
      <c r="AD115" s="1689">
        <f ca="1">Costs!AD114/('Global assumptions'!$C$7*NAIRA2010_*250)</f>
        <v>0</v>
      </c>
      <c r="AE115" s="1689">
        <f ca="1">Costs!AE114/('Global assumptions'!$C$7*NAIRA2010_*250)</f>
        <v>0</v>
      </c>
      <c r="AF115" s="1689">
        <f ca="1">Costs!AF114/('Global assumptions'!$C$7*NAIRA2010_*250)</f>
        <v>0</v>
      </c>
      <c r="AG115" s="1689">
        <f ca="1">Costs!AG114/('Global assumptions'!$C$7*NAIRA2010_*250)</f>
        <v>0</v>
      </c>
      <c r="AH115" s="675"/>
      <c r="AI115" s="1689">
        <f ca="1">Costs!AI114/('Global assumptions'!$C$7*NAIRA2010_*250)</f>
        <v>0</v>
      </c>
      <c r="AJ115" s="1689">
        <f ca="1">Costs!AJ114/('Global assumptions'!$C$7*NAIRA2010_*250)</f>
        <v>7.9812742806106742</v>
      </c>
      <c r="AK115" s="1689">
        <f ca="1">Costs!AK114/('Global assumptions'!$C$7*NAIRA2010_*250)</f>
        <v>9.7048587080433517</v>
      </c>
      <c r="AL115" s="1689">
        <f ca="1">Costs!AL114/('Global assumptions'!$C$7*NAIRA2010_*250)</f>
        <v>13.602563337617894</v>
      </c>
      <c r="AM115" s="1689">
        <f ca="1">Costs!AM114/('Global assumptions'!$C$7*NAIRA2010_*250)</f>
        <v>12.730334783982201</v>
      </c>
      <c r="AN115" s="1689">
        <f ca="1">Costs!AN114/('Global assumptions'!$C$7*NAIRA2010_*250)</f>
        <v>13.686244544176358</v>
      </c>
      <c r="AO115" s="1689">
        <f ca="1">Costs!AO114/('Global assumptions'!$C$7*NAIRA2010_*250)</f>
        <v>4.6666064974806263</v>
      </c>
      <c r="AP115" s="1689">
        <f ca="1">Costs!AP114/('Global assumptions'!$C$7*NAIRA2010_*250)</f>
        <v>4.3799252032433067</v>
      </c>
      <c r="AQ115" s="1689">
        <f ca="1">Costs!AQ114/('Global assumptions'!$C$7*NAIRA2010_*250)</f>
        <v>8.4788649001764878</v>
      </c>
      <c r="AS115" s="1706">
        <f t="shared" ca="1" si="22"/>
        <v>8.3589635839256555</v>
      </c>
      <c r="AT115" s="1706">
        <f t="shared" ca="1" si="19"/>
        <v>79.773610194056033</v>
      </c>
      <c r="AU115" s="675"/>
      <c r="AV115" s="1699">
        <f>IFERROR(VLOOKUP($A115,Cost.FinanceCostTable,7,FALSE),'Global assumptions'!$D$35)</f>
        <v>0</v>
      </c>
      <c r="AW115" s="1690">
        <f>IFERROR(VLOOKUP($A115,Cost.FinanceCostTable,8,FALSE),'Global assumptions'!$E$35)</f>
        <v>5</v>
      </c>
      <c r="AX115" s="675"/>
      <c r="AY115" s="1689">
        <f ca="1">Costs!AY114/('Global assumptions'!$C$7*NAIRA2010_*250)</f>
        <v>0</v>
      </c>
      <c r="AZ115" s="1689">
        <f ca="1">Costs!AZ114/('Global assumptions'!$C$7*NAIRA2010_*250)</f>
        <v>5.2466413702296499</v>
      </c>
      <c r="BA115" s="1689">
        <f ca="1">Costs!BA114/('Global assumptions'!$C$7*NAIRA2010_*250)</f>
        <v>6.3796721425238161</v>
      </c>
      <c r="BB115" s="1689">
        <f ca="1">Costs!BB114/('Global assumptions'!$C$7*NAIRA2010_*250)</f>
        <v>8.9419018867316211</v>
      </c>
      <c r="BC115" s="1689">
        <f ca="1">Costs!BC114/('Global assumptions'!$C$7*NAIRA2010_*250)</f>
        <v>8.3685259754541494</v>
      </c>
      <c r="BD115" s="1689">
        <f ca="1">Costs!BD114/('Global assumptions'!$C$7*NAIRA2010_*250)</f>
        <v>8.9969113081352905</v>
      </c>
      <c r="BE115" s="1689">
        <f ca="1">Costs!BE114/('Global assumptions'!$C$7*NAIRA2010_*250)</f>
        <v>3.0676819073546473</v>
      </c>
      <c r="BF115" s="1689">
        <f ca="1">Costs!BF114/('Global assumptions'!$C$7*NAIRA2010_*250)</f>
        <v>2.8792265447729446</v>
      </c>
      <c r="BG115" s="1689">
        <f ca="1">Costs!BG114/('Global assumptions'!$C$7*NAIRA2010_*250)</f>
        <v>5.5737419607198762</v>
      </c>
      <c r="BH115" s="675"/>
      <c r="BI115" s="1689">
        <f ca="1">Costs!BI114/('Global assumptions'!$C$7*NAIRA2010_*250)</f>
        <v>0</v>
      </c>
      <c r="BJ115" s="1689">
        <f ca="1">Costs!BJ114/('Global assumptions'!$C$7*NAIRA2010_*250)</f>
        <v>5.2466413702296499</v>
      </c>
      <c r="BK115" s="1689">
        <f ca="1">Costs!BK114/('Global assumptions'!$C$7*NAIRA2010_*250)</f>
        <v>11.626313512753466</v>
      </c>
      <c r="BL115" s="1689">
        <f ca="1">Costs!BL114/('Global assumptions'!$C$7*NAIRA2010_*250)</f>
        <v>20.568215399485091</v>
      </c>
      <c r="BM115" s="1689">
        <f ca="1">Costs!BM114/('Global assumptions'!$C$7*NAIRA2010_*250)</f>
        <v>23.690100004709585</v>
      </c>
      <c r="BN115" s="1689">
        <f ca="1">Costs!BN114/('Global assumptions'!$C$7*NAIRA2010_*250)</f>
        <v>26.307339170321061</v>
      </c>
      <c r="BO115" s="1689">
        <f ca="1">Costs!BO114/('Global assumptions'!$C$7*NAIRA2010_*250)</f>
        <v>20.433119190944087</v>
      </c>
      <c r="BP115" s="1689">
        <f ca="1">Costs!BP114/('Global assumptions'!$C$7*NAIRA2010_*250)</f>
        <v>14.943819760262882</v>
      </c>
      <c r="BQ115" s="1689">
        <f ca="1">Costs!BQ114/('Global assumptions'!$C$7*NAIRA2010_*250)</f>
        <v>11.520650412847468</v>
      </c>
      <c r="BR115" s="675"/>
      <c r="BS115" s="1689">
        <f ca="1">Costs!BS114/('Global assumptions'!$C$7*NAIRA2010_*250)</f>
        <v>0</v>
      </c>
      <c r="BT115" s="1689">
        <f ca="1">Costs!BT114/('Global assumptions'!$C$7*NAIRA2010_*250)</f>
        <v>5.2466413702296499</v>
      </c>
      <c r="BU115" s="1689">
        <f ca="1">Costs!BU114/('Global assumptions'!$C$7*NAIRA2010_*250)</f>
        <v>11.626313512753466</v>
      </c>
      <c r="BV115" s="1689">
        <f ca="1">Costs!BV114/('Global assumptions'!$C$7*NAIRA2010_*250)</f>
        <v>20.568215399485091</v>
      </c>
      <c r="BW115" s="1689">
        <f ca="1">Costs!BW114/('Global assumptions'!$C$7*NAIRA2010_*250)</f>
        <v>23.690100004709585</v>
      </c>
      <c r="BX115" s="1689">
        <f ca="1">Costs!BX114/('Global assumptions'!$C$7*NAIRA2010_*250)</f>
        <v>26.307339170321061</v>
      </c>
      <c r="BY115" s="1689">
        <f ca="1">Costs!BY114/('Global assumptions'!$C$7*NAIRA2010_*250)</f>
        <v>20.433119190944087</v>
      </c>
      <c r="BZ115" s="1689">
        <f ca="1">Costs!BZ114/('Global assumptions'!$C$7*NAIRA2010_*250)</f>
        <v>14.943819760262882</v>
      </c>
      <c r="CA115" s="1689">
        <f ca="1">Costs!CA114/('Global assumptions'!$C$7*NAIRA2010_*250)</f>
        <v>11.520650412847468</v>
      </c>
      <c r="CC115" s="1706">
        <f t="shared" ca="1" si="23"/>
        <v>14.926244313505922</v>
      </c>
      <c r="CD115" s="1706">
        <f t="shared" ca="1" si="20"/>
        <v>105.07261532789198</v>
      </c>
      <c r="CF115" s="1689">
        <f ca="1">Costs!CF114/('Global assumptions'!$C$7*NAIRA2010_*250)</f>
        <v>0</v>
      </c>
      <c r="CG115" s="1689">
        <f ca="1">Costs!CG114/('Global assumptions'!$C$7*NAIRA2010_*250)</f>
        <v>-2.7346329103810239</v>
      </c>
      <c r="CH115" s="1689">
        <f ca="1">Costs!CH114/('Global assumptions'!$C$7*NAIRA2010_*250)</f>
        <v>1.9214548047101141</v>
      </c>
      <c r="CI115" s="1689">
        <f ca="1">Costs!CI114/('Global assumptions'!$C$7*NAIRA2010_*250)</f>
        <v>6.9656520618671953</v>
      </c>
      <c r="CJ115" s="1689">
        <f ca="1">Costs!CJ114/('Global assumptions'!$C$7*NAIRA2010_*250)</f>
        <v>10.959765220727384</v>
      </c>
      <c r="CK115" s="1689">
        <f ca="1">Costs!CK114/('Global assumptions'!$C$7*NAIRA2010_*250)</f>
        <v>12.621094626144702</v>
      </c>
      <c r="CL115" s="1689">
        <f ca="1">Costs!CL114/('Global assumptions'!$C$7*NAIRA2010_*250)</f>
        <v>15.766512693463461</v>
      </c>
      <c r="CM115" s="1689">
        <f ca="1">Costs!CM114/('Global assumptions'!$C$7*NAIRA2010_*250)</f>
        <v>10.563894557019573</v>
      </c>
      <c r="CN115" s="1689">
        <f ca="1">Costs!CN114/('Global assumptions'!$C$7*NAIRA2010_*250)</f>
        <v>3.041785512670979</v>
      </c>
      <c r="CP115" s="1706">
        <f t="shared" ca="1" si="24"/>
        <v>6.5672807295802649</v>
      </c>
      <c r="CQ115" s="1706">
        <f t="shared" ca="1" si="21"/>
        <v>25.299005133835955</v>
      </c>
      <c r="CR115" s="1426" t="str">
        <f t="shared" ca="1" si="25"/>
        <v>ok</v>
      </c>
    </row>
    <row r="116" spans="1:96" x14ac:dyDescent="0.2">
      <c r="A116" s="1685" t="s">
        <v>2592</v>
      </c>
      <c r="B116" s="1685" t="s">
        <v>2591</v>
      </c>
      <c r="C116" s="1685" t="s">
        <v>125</v>
      </c>
      <c r="E116" s="1691">
        <f ca="1">Costs!E115/('Global assumptions'!$C$7*NAIRA2010_*250)</f>
        <v>0.32716292795352847</v>
      </c>
      <c r="F116" s="1691">
        <f ca="1">Costs!F115/('Global assumptions'!$C$7*NAIRA2010_*250)</f>
        <v>0.35505702910594128</v>
      </c>
      <c r="G116" s="1691">
        <f ca="1">Costs!G115/('Global assumptions'!$C$7*NAIRA2010_*250)</f>
        <v>0.38606587512924417</v>
      </c>
      <c r="H116" s="1691">
        <f ca="1">Costs!H115/('Global assumptions'!$C$7*NAIRA2010_*250)</f>
        <v>0.42057427980569917</v>
      </c>
      <c r="I116" s="1691">
        <f ca="1">Costs!I115/('Global assumptions'!$C$7*NAIRA2010_*250)</f>
        <v>0.44756159700397624</v>
      </c>
      <c r="J116" s="1691">
        <f ca="1">Costs!J115/('Global assumptions'!$C$7*NAIRA2010_*250)</f>
        <v>0.47670884136245828</v>
      </c>
      <c r="K116" s="1691">
        <f ca="1">Costs!K115/('Global assumptions'!$C$7*NAIRA2010_*250)</f>
        <v>0.50820536079361023</v>
      </c>
      <c r="L116" s="1691">
        <f ca="1">Costs!L115/('Global assumptions'!$C$7*NAIRA2010_*250)</f>
        <v>0.54225768676811958</v>
      </c>
      <c r="M116" s="1691">
        <f ca="1">Costs!M115/('Global assumptions'!$C$7*NAIRA2010_*250)</f>
        <v>0.57909111601368812</v>
      </c>
      <c r="N116" s="675"/>
      <c r="O116" s="1691">
        <f ca="1">Costs!O115/('Global assumptions'!$C$7*NAIRA2010_*250)</f>
        <v>34.493275739638165</v>
      </c>
      <c r="P116" s="1691">
        <f ca="1">Costs!P115/('Global assumptions'!$C$7*NAIRA2010_*250)</f>
        <v>36.111382509122883</v>
      </c>
      <c r="Q116" s="1691">
        <f ca="1">Costs!Q115/('Global assumptions'!$C$7*NAIRA2010_*250)</f>
        <v>37.849322595473588</v>
      </c>
      <c r="R116" s="1691">
        <f ca="1">Costs!R115/('Global assumptions'!$C$7*NAIRA2010_*250)</f>
        <v>39.719659750976881</v>
      </c>
      <c r="S116" s="1691">
        <f ca="1">Costs!S115/('Global assumptions'!$C$7*NAIRA2010_*250)</f>
        <v>41.163209719735448</v>
      </c>
      <c r="T116" s="1691">
        <f ca="1">Costs!T115/('Global assumptions'!$C$7*NAIRA2010_*250)</f>
        <v>42.686368610642212</v>
      </c>
      <c r="U116" s="1691">
        <f ca="1">Costs!U115/('Global assumptions'!$C$7*NAIRA2010_*250)</f>
        <v>44.295124965174082</v>
      </c>
      <c r="V116" s="1691">
        <f ca="1">Costs!V115/('Global assumptions'!$C$7*NAIRA2010_*250)</f>
        <v>45.995983752318338</v>
      </c>
      <c r="W116" s="1691">
        <f ca="1">Costs!W115/('Global assumptions'!$C$7*NAIRA2010_*250)</f>
        <v>47.796013096106321</v>
      </c>
      <c r="X116" s="675"/>
      <c r="Y116" s="1691">
        <f ca="1">Costs!Y115/('Global assumptions'!$C$7*NAIRA2010_*250)</f>
        <v>0</v>
      </c>
      <c r="Z116" s="1691">
        <f ca="1">Costs!Z115/('Global assumptions'!$C$7*NAIRA2010_*250)</f>
        <v>0</v>
      </c>
      <c r="AA116" s="1691">
        <f ca="1">Costs!AA115/('Global assumptions'!$C$7*NAIRA2010_*250)</f>
        <v>0</v>
      </c>
      <c r="AB116" s="1691">
        <f ca="1">Costs!AB115/('Global assumptions'!$C$7*NAIRA2010_*250)</f>
        <v>0</v>
      </c>
      <c r="AC116" s="1691">
        <f ca="1">Costs!AC115/('Global assumptions'!$C$7*NAIRA2010_*250)</f>
        <v>0</v>
      </c>
      <c r="AD116" s="1691">
        <f ca="1">Costs!AD115/('Global assumptions'!$C$7*NAIRA2010_*250)</f>
        <v>0</v>
      </c>
      <c r="AE116" s="1691">
        <f ca="1">Costs!AE115/('Global assumptions'!$C$7*NAIRA2010_*250)</f>
        <v>0</v>
      </c>
      <c r="AF116" s="1691">
        <f ca="1">Costs!AF115/('Global assumptions'!$C$7*NAIRA2010_*250)</f>
        <v>0</v>
      </c>
      <c r="AG116" s="1691">
        <f ca="1">Costs!AG115/('Global assumptions'!$C$7*NAIRA2010_*250)</f>
        <v>0</v>
      </c>
      <c r="AH116" s="675"/>
      <c r="AI116" s="1691">
        <f ca="1">Costs!AI115/('Global assumptions'!$C$7*NAIRA2010_*250)</f>
        <v>34.820438667591688</v>
      </c>
      <c r="AJ116" s="1691">
        <f ca="1">Costs!AJ115/('Global assumptions'!$C$7*NAIRA2010_*250)</f>
        <v>36.466439538228826</v>
      </c>
      <c r="AK116" s="1691">
        <f ca="1">Costs!AK115/('Global assumptions'!$C$7*NAIRA2010_*250)</f>
        <v>38.235388470602828</v>
      </c>
      <c r="AL116" s="1691">
        <f ca="1">Costs!AL115/('Global assumptions'!$C$7*NAIRA2010_*250)</f>
        <v>40.14023403078258</v>
      </c>
      <c r="AM116" s="1691">
        <f ca="1">Costs!AM115/('Global assumptions'!$C$7*NAIRA2010_*250)</f>
        <v>41.610771316739424</v>
      </c>
      <c r="AN116" s="1691">
        <f ca="1">Costs!AN115/('Global assumptions'!$C$7*NAIRA2010_*250)</f>
        <v>43.163077452004671</v>
      </c>
      <c r="AO116" s="1691">
        <f ca="1">Costs!AO115/('Global assumptions'!$C$7*NAIRA2010_*250)</f>
        <v>44.803330325967693</v>
      </c>
      <c r="AP116" s="1691">
        <f ca="1">Costs!AP115/('Global assumptions'!$C$7*NAIRA2010_*250)</f>
        <v>46.538241439086455</v>
      </c>
      <c r="AQ116" s="1691">
        <f ca="1">Costs!AQ115/('Global assumptions'!$C$7*NAIRA2010_*250)</f>
        <v>48.375104212120014</v>
      </c>
      <c r="AS116" s="1707">
        <f t="shared" ca="1" si="22"/>
        <v>41.572558383680466</v>
      </c>
      <c r="AT116" s="1707">
        <f t="shared" ca="1" si="19"/>
        <v>355.28782895278209</v>
      </c>
      <c r="AU116" s="675"/>
      <c r="AV116" s="1699">
        <f>IFERROR(VLOOKUP($A116,Cost.FinanceCostTable,7,FALSE),'Global assumptions'!$D$35)</f>
        <v>0</v>
      </c>
      <c r="AW116" s="1690">
        <f>IFERROR(VLOOKUP($A116,Cost.FinanceCostTable,8,FALSE),'Global assumptions'!$E$35)</f>
        <v>5</v>
      </c>
      <c r="AX116" s="675"/>
      <c r="AY116" s="1691">
        <f ca="1">Costs!AY115/('Global assumptions'!$C$7*NAIRA2010_*250)</f>
        <v>0.12904003738674491</v>
      </c>
      <c r="AZ116" s="1691">
        <f ca="1">Costs!AZ115/('Global assumptions'!$C$7*NAIRA2010_*250)</f>
        <v>0.23340344313483877</v>
      </c>
      <c r="BA116" s="1691">
        <f ca="1">Costs!BA115/('Global assumptions'!$C$7*NAIRA2010_*250)</f>
        <v>0.25378769365285181</v>
      </c>
      <c r="BB116" s="1691">
        <f ca="1">Costs!BB115/('Global assumptions'!$C$7*NAIRA2010_*250)</f>
        <v>0.27647244513870872</v>
      </c>
      <c r="BC116" s="1691">
        <f ca="1">Costs!BC115/('Global assumptions'!$C$7*NAIRA2010_*250)</f>
        <v>0.29421306773928391</v>
      </c>
      <c r="BD116" s="1691">
        <f ca="1">Costs!BD115/('Global assumptions'!$C$7*NAIRA2010_*250)</f>
        <v>0.31337355924762778</v>
      </c>
      <c r="BE116" s="1691">
        <f ca="1">Costs!BE115/('Global assumptions'!$C$7*NAIRA2010_*250)</f>
        <v>0.33407839108972809</v>
      </c>
      <c r="BF116" s="1691">
        <f ca="1">Costs!BF115/('Global assumptions'!$C$7*NAIRA2010_*250)</f>
        <v>0.35646333062807167</v>
      </c>
      <c r="BG116" s="1691">
        <f ca="1">Costs!BG115/('Global assumptions'!$C$7*NAIRA2010_*250)</f>
        <v>0.38067648092121509</v>
      </c>
      <c r="BH116" s="675"/>
      <c r="BI116" s="1691">
        <f ca="1">Costs!BI115/('Global assumptions'!$C$7*NAIRA2010_*250)</f>
        <v>0.12904003738674491</v>
      </c>
      <c r="BJ116" s="1691">
        <f ca="1">Costs!BJ115/('Global assumptions'!$C$7*NAIRA2010_*250)</f>
        <v>0.36244348052158365</v>
      </c>
      <c r="BK116" s="1691">
        <f ca="1">Costs!BK115/('Global assumptions'!$C$7*NAIRA2010_*250)</f>
        <v>0.61623117417443551</v>
      </c>
      <c r="BL116" s="1691">
        <f ca="1">Costs!BL115/('Global assumptions'!$C$7*NAIRA2010_*250)</f>
        <v>0.76366358192639927</v>
      </c>
      <c r="BM116" s="1691">
        <f ca="1">Costs!BM115/('Global assumptions'!$C$7*NAIRA2010_*250)</f>
        <v>0.82447320653084455</v>
      </c>
      <c r="BN116" s="1691">
        <f ca="1">Costs!BN115/('Global assumptions'!$C$7*NAIRA2010_*250)</f>
        <v>0.8840590721256204</v>
      </c>
      <c r="BO116" s="1691">
        <f ca="1">Costs!BO115/('Global assumptions'!$C$7*NAIRA2010_*250)</f>
        <v>0.94166501807663994</v>
      </c>
      <c r="BP116" s="1691">
        <f ca="1">Costs!BP115/('Global assumptions'!$C$7*NAIRA2010_*250)</f>
        <v>1.0039152809654275</v>
      </c>
      <c r="BQ116" s="1691">
        <f ca="1">Costs!BQ115/('Global assumptions'!$C$7*NAIRA2010_*250)</f>
        <v>1.0712182026390149</v>
      </c>
      <c r="BR116" s="675"/>
      <c r="BS116" s="1691">
        <f ca="1">Costs!BS115/('Global assumptions'!$C$7*NAIRA2010_*250)</f>
        <v>34.622315777024902</v>
      </c>
      <c r="BT116" s="1691">
        <f ca="1">Costs!BT115/('Global assumptions'!$C$7*NAIRA2010_*250)</f>
        <v>36.473825989644475</v>
      </c>
      <c r="BU116" s="1691">
        <f ca="1">Costs!BU115/('Global assumptions'!$C$7*NAIRA2010_*250)</f>
        <v>38.465553769648025</v>
      </c>
      <c r="BV116" s="1691">
        <f ca="1">Costs!BV115/('Global assumptions'!$C$7*NAIRA2010_*250)</f>
        <v>40.483323332903275</v>
      </c>
      <c r="BW116" s="1691">
        <f ca="1">Costs!BW115/('Global assumptions'!$C$7*NAIRA2010_*250)</f>
        <v>41.987682926266288</v>
      </c>
      <c r="BX116" s="1691">
        <f ca="1">Costs!BX115/('Global assumptions'!$C$7*NAIRA2010_*250)</f>
        <v>43.570427682767829</v>
      </c>
      <c r="BY116" s="1691">
        <f ca="1">Costs!BY115/('Global assumptions'!$C$7*NAIRA2010_*250)</f>
        <v>45.236789983250716</v>
      </c>
      <c r="BZ116" s="1691">
        <f ca="1">Costs!BZ115/('Global assumptions'!$C$7*NAIRA2010_*250)</f>
        <v>46.999899033283761</v>
      </c>
      <c r="CA116" s="1691">
        <f ca="1">Costs!CA115/('Global assumptions'!$C$7*NAIRA2010_*250)</f>
        <v>48.867231298745338</v>
      </c>
      <c r="CC116" s="1707">
        <f t="shared" ca="1" si="23"/>
        <v>41.856338865948295</v>
      </c>
      <c r="CD116" s="1707">
        <f t="shared" ca="1" si="20"/>
        <v>356.77835067151074</v>
      </c>
      <c r="CF116" s="1691">
        <f ca="1">Costs!CF115/('Global assumptions'!$C$7*NAIRA2010_*250)</f>
        <v>-0.19812289056678356</v>
      </c>
      <c r="CG116" s="1691">
        <f ca="1">Costs!CG115/('Global assumptions'!$C$7*NAIRA2010_*250)</f>
        <v>7.3864514156423726E-3</v>
      </c>
      <c r="CH116" s="1691">
        <f ca="1">Costs!CH115/('Global assumptions'!$C$7*NAIRA2010_*250)</f>
        <v>0.23016529904519134</v>
      </c>
      <c r="CI116" s="1691">
        <f ca="1">Costs!CI115/('Global assumptions'!$C$7*NAIRA2010_*250)</f>
        <v>0.34308930212070005</v>
      </c>
      <c r="CJ116" s="1691">
        <f ca="1">Costs!CJ115/('Global assumptions'!$C$7*NAIRA2010_*250)</f>
        <v>0.37691160952686825</v>
      </c>
      <c r="CK116" s="1691">
        <f ca="1">Costs!CK115/('Global assumptions'!$C$7*NAIRA2010_*250)</f>
        <v>0.40735023076316212</v>
      </c>
      <c r="CL116" s="1691">
        <f ca="1">Costs!CL115/('Global assumptions'!$C$7*NAIRA2010_*250)</f>
        <v>0.43345965728302965</v>
      </c>
      <c r="CM116" s="1691">
        <f ca="1">Costs!CM115/('Global assumptions'!$C$7*NAIRA2010_*250)</f>
        <v>0.46165759419730795</v>
      </c>
      <c r="CN116" s="1691">
        <f ca="1">Costs!CN115/('Global assumptions'!$C$7*NAIRA2010_*250)</f>
        <v>0.49212708662532678</v>
      </c>
      <c r="CP116" s="1707">
        <f t="shared" ca="1" si="24"/>
        <v>0.28378048226782721</v>
      </c>
      <c r="CQ116" s="1707">
        <f t="shared" ca="1" si="21"/>
        <v>1.4905217187285966</v>
      </c>
      <c r="CR116" s="1426" t="str">
        <f t="shared" ca="1" si="25"/>
        <v>ok</v>
      </c>
    </row>
    <row r="117" spans="1:96" x14ac:dyDescent="0.2">
      <c r="A117" s="1683" t="s">
        <v>1721</v>
      </c>
      <c r="B117" s="1683" t="s">
        <v>1727</v>
      </c>
      <c r="C117" s="1683" t="s">
        <v>125</v>
      </c>
      <c r="E117" s="1689">
        <f ca="1">Costs!E116/('Global assumptions'!$C$7*NAIRA2010_*250)</f>
        <v>0</v>
      </c>
      <c r="F117" s="1689">
        <f ca="1">Costs!F116/('Global assumptions'!$C$7*NAIRA2010_*250)</f>
        <v>1361.8356312904091</v>
      </c>
      <c r="G117" s="1689">
        <f ca="1">Costs!G116/('Global assumptions'!$C$7*NAIRA2010_*250)</f>
        <v>526.31475419322612</v>
      </c>
      <c r="H117" s="1689">
        <f ca="1">Costs!H116/('Global assumptions'!$C$7*NAIRA2010_*250)</f>
        <v>557.45813876032094</v>
      </c>
      <c r="I117" s="1689">
        <f ca="1">Costs!I116/('Global assumptions'!$C$7*NAIRA2010_*250)</f>
        <v>593.93017468291146</v>
      </c>
      <c r="J117" s="1689">
        <f ca="1">Costs!J116/('Global assumptions'!$C$7*NAIRA2010_*250)</f>
        <v>637.5410217612764</v>
      </c>
      <c r="K117" s="1689">
        <f ca="1">Costs!K116/('Global assumptions'!$C$7*NAIRA2010_*250)</f>
        <v>646.14798710907178</v>
      </c>
      <c r="L117" s="1689">
        <f ca="1">Costs!L116/('Global assumptions'!$C$7*NAIRA2010_*250)</f>
        <v>689.13278404617699</v>
      </c>
      <c r="M117" s="1689">
        <f ca="1">Costs!M116/('Global assumptions'!$C$7*NAIRA2010_*250)</f>
        <v>741.44175084048845</v>
      </c>
      <c r="N117" s="675"/>
      <c r="O117" s="1689">
        <f ca="1">Costs!O116/('Global assumptions'!$C$7*NAIRA2010_*250)</f>
        <v>1498.2491969328707</v>
      </c>
      <c r="P117" s="1689">
        <f ca="1">Costs!P116/('Global assumptions'!$C$7*NAIRA2010_*250)</f>
        <v>14689.171857582496</v>
      </c>
      <c r="Q117" s="1689">
        <f ca="1">Costs!Q116/('Global assumptions'!$C$7*NAIRA2010_*250)</f>
        <v>14646.861324626378</v>
      </c>
      <c r="R117" s="1689">
        <f ca="1">Costs!R116/('Global assumptions'!$C$7*NAIRA2010_*250)</f>
        <v>14921.377321395696</v>
      </c>
      <c r="S117" s="1689">
        <f ca="1">Costs!S116/('Global assumptions'!$C$7*NAIRA2010_*250)</f>
        <v>15460.287192638491</v>
      </c>
      <c r="T117" s="1689">
        <f ca="1">Costs!T116/('Global assumptions'!$C$7*NAIRA2010_*250)</f>
        <v>16246.946370607644</v>
      </c>
      <c r="U117" s="1689">
        <f ca="1">Costs!U116/('Global assumptions'!$C$7*NAIRA2010_*250)</f>
        <v>16870.004174022855</v>
      </c>
      <c r="V117" s="1689">
        <f ca="1">Costs!V116/('Global assumptions'!$C$7*NAIRA2010_*250)</f>
        <v>17717.875953189839</v>
      </c>
      <c r="W117" s="1689">
        <f ca="1">Costs!W116/('Global assumptions'!$C$7*NAIRA2010_*250)</f>
        <v>18809.59041279415</v>
      </c>
      <c r="X117" s="675"/>
      <c r="Y117" s="1689">
        <f ca="1">Costs!Y116/('Global assumptions'!$C$7*NAIRA2010_*250)</f>
        <v>0</v>
      </c>
      <c r="Z117" s="1689">
        <f ca="1">Costs!Z116/('Global assumptions'!$C$7*NAIRA2010_*250)</f>
        <v>0</v>
      </c>
      <c r="AA117" s="1689">
        <f ca="1">Costs!AA116/('Global assumptions'!$C$7*NAIRA2010_*250)</f>
        <v>0</v>
      </c>
      <c r="AB117" s="1689">
        <f ca="1">Costs!AB116/('Global assumptions'!$C$7*NAIRA2010_*250)</f>
        <v>0</v>
      </c>
      <c r="AC117" s="1689">
        <f ca="1">Costs!AC116/('Global assumptions'!$C$7*NAIRA2010_*250)</f>
        <v>0</v>
      </c>
      <c r="AD117" s="1689">
        <f ca="1">Costs!AD116/('Global assumptions'!$C$7*NAIRA2010_*250)</f>
        <v>0</v>
      </c>
      <c r="AE117" s="1689">
        <f ca="1">Costs!AE116/('Global assumptions'!$C$7*NAIRA2010_*250)</f>
        <v>0</v>
      </c>
      <c r="AF117" s="1689">
        <f ca="1">Costs!AF116/('Global assumptions'!$C$7*NAIRA2010_*250)</f>
        <v>0</v>
      </c>
      <c r="AG117" s="1689">
        <f ca="1">Costs!AG116/('Global assumptions'!$C$7*NAIRA2010_*250)</f>
        <v>0</v>
      </c>
      <c r="AH117" s="675"/>
      <c r="AI117" s="1689">
        <f ca="1">Costs!AI116/('Global assumptions'!$C$7*NAIRA2010_*250)</f>
        <v>1498.2491969328707</v>
      </c>
      <c r="AJ117" s="1689">
        <f ca="1">Costs!AJ116/('Global assumptions'!$C$7*NAIRA2010_*250)</f>
        <v>16051.007488872907</v>
      </c>
      <c r="AK117" s="1689">
        <f ca="1">Costs!AK116/('Global assumptions'!$C$7*NAIRA2010_*250)</f>
        <v>15173.176078819606</v>
      </c>
      <c r="AL117" s="1689">
        <f ca="1">Costs!AL116/('Global assumptions'!$C$7*NAIRA2010_*250)</f>
        <v>15478.835460156015</v>
      </c>
      <c r="AM117" s="1689">
        <f ca="1">Costs!AM116/('Global assumptions'!$C$7*NAIRA2010_*250)</f>
        <v>16054.217367321404</v>
      </c>
      <c r="AN117" s="1689">
        <f ca="1">Costs!AN116/('Global assumptions'!$C$7*NAIRA2010_*250)</f>
        <v>16884.487392368923</v>
      </c>
      <c r="AO117" s="1689">
        <f ca="1">Costs!AO116/('Global assumptions'!$C$7*NAIRA2010_*250)</f>
        <v>17516.152161131926</v>
      </c>
      <c r="AP117" s="1689">
        <f ca="1">Costs!AP116/('Global assumptions'!$C$7*NAIRA2010_*250)</f>
        <v>18407.008737236018</v>
      </c>
      <c r="AQ117" s="1689">
        <f ca="1">Costs!AQ116/('Global assumptions'!$C$7*NAIRA2010_*250)</f>
        <v>19551.032163634642</v>
      </c>
      <c r="AS117" s="1706">
        <f t="shared" ca="1" si="22"/>
        <v>15179.351782941589</v>
      </c>
      <c r="AT117" s="1706">
        <f t="shared" ca="1" si="19"/>
        <v>132568.51804484194</v>
      </c>
      <c r="AU117" s="675"/>
      <c r="AV117" s="1699">
        <f>IFERROR(VLOOKUP($A117,Cost.FinanceCostTable,7,FALSE),'Global assumptions'!$D$35)</f>
        <v>0.1</v>
      </c>
      <c r="AW117" s="1690">
        <f>IFERROR(VLOOKUP($A117,Cost.FinanceCostTable,8,FALSE),'Global assumptions'!$E$35)</f>
        <v>15</v>
      </c>
      <c r="AX117" s="675"/>
      <c r="AY117" s="1689">
        <f ca="1">Costs!AY116/('Global assumptions'!$C$7*NAIRA2010_*250)</f>
        <v>0</v>
      </c>
      <c r="AZ117" s="1689">
        <f ca="1">Costs!AZ116/('Global assumptions'!$C$7*NAIRA2010_*250)</f>
        <v>895.22836972774485</v>
      </c>
      <c r="BA117" s="1689">
        <f ca="1">Costs!BA116/('Global assumptions'!$C$7*NAIRA2010_*250)</f>
        <v>345.98294282666188</v>
      </c>
      <c r="BB117" s="1689">
        <f ca="1">Costs!BB116/('Global assumptions'!$C$7*NAIRA2010_*250)</f>
        <v>366.45563479712109</v>
      </c>
      <c r="BC117" s="1689">
        <f ca="1">Costs!BC116/('Global assumptions'!$C$7*NAIRA2010_*250)</f>
        <v>390.43121636469562</v>
      </c>
      <c r="BD117" s="1689">
        <f ca="1">Costs!BD116/('Global assumptions'!$C$7*NAIRA2010_*250)</f>
        <v>419.09963025794696</v>
      </c>
      <c r="BE117" s="1689">
        <f ca="1">Costs!BE116/('Global assumptions'!$C$7*NAIRA2010_*250)</f>
        <v>424.75758146701384</v>
      </c>
      <c r="BF117" s="1689">
        <f ca="1">Costs!BF116/('Global assumptions'!$C$7*NAIRA2010_*250)</f>
        <v>453.01444947730374</v>
      </c>
      <c r="BG117" s="1689">
        <f ca="1">Costs!BG116/('Global assumptions'!$C$7*NAIRA2010_*250)</f>
        <v>487.400736624925</v>
      </c>
      <c r="BH117" s="675"/>
      <c r="BI117" s="1689">
        <f ca="1">Costs!BI116/('Global assumptions'!$C$7*NAIRA2010_*250)</f>
        <v>0</v>
      </c>
      <c r="BJ117" s="1689">
        <f ca="1">Costs!BJ116/('Global assumptions'!$C$7*NAIRA2010_*250)</f>
        <v>895.22836972774485</v>
      </c>
      <c r="BK117" s="1689">
        <f ca="1">Costs!BK116/('Global assumptions'!$C$7*NAIRA2010_*250)</f>
        <v>1241.2113125544067</v>
      </c>
      <c r="BL117" s="1689">
        <f ca="1">Costs!BL116/('Global assumptions'!$C$7*NAIRA2010_*250)</f>
        <v>1607.6669473515278</v>
      </c>
      <c r="BM117" s="1689">
        <f ca="1">Costs!BM116/('Global assumptions'!$C$7*NAIRA2010_*250)</f>
        <v>1102.8697939884785</v>
      </c>
      <c r="BN117" s="1689">
        <f ca="1">Costs!BN116/('Global assumptions'!$C$7*NAIRA2010_*250)</f>
        <v>1175.9864814197635</v>
      </c>
      <c r="BO117" s="1689">
        <f ca="1">Costs!BO116/('Global assumptions'!$C$7*NAIRA2010_*250)</f>
        <v>1234.2884280896565</v>
      </c>
      <c r="BP117" s="1689">
        <f ca="1">Costs!BP116/('Global assumptions'!$C$7*NAIRA2010_*250)</f>
        <v>1296.8716612022645</v>
      </c>
      <c r="BQ117" s="1689">
        <f ca="1">Costs!BQ116/('Global assumptions'!$C$7*NAIRA2010_*250)</f>
        <v>1365.1727675692425</v>
      </c>
      <c r="BR117" s="675"/>
      <c r="BS117" s="1689">
        <f ca="1">Costs!BS116/('Global assumptions'!$C$7*NAIRA2010_*250)</f>
        <v>1498.2491969328707</v>
      </c>
      <c r="BT117" s="1689">
        <f ca="1">Costs!BT116/('Global assumptions'!$C$7*NAIRA2010_*250)</f>
        <v>15584.40022731024</v>
      </c>
      <c r="BU117" s="1689">
        <f ca="1">Costs!BU116/('Global assumptions'!$C$7*NAIRA2010_*250)</f>
        <v>15888.072637180787</v>
      </c>
      <c r="BV117" s="1689">
        <f ca="1">Costs!BV116/('Global assumptions'!$C$7*NAIRA2010_*250)</f>
        <v>16529.04426874722</v>
      </c>
      <c r="BW117" s="1689">
        <f ca="1">Costs!BW116/('Global assumptions'!$C$7*NAIRA2010_*250)</f>
        <v>16563.156986626967</v>
      </c>
      <c r="BX117" s="1689">
        <f ca="1">Costs!BX116/('Global assumptions'!$C$7*NAIRA2010_*250)</f>
        <v>17422.93285202741</v>
      </c>
      <c r="BY117" s="1689">
        <f ca="1">Costs!BY116/('Global assumptions'!$C$7*NAIRA2010_*250)</f>
        <v>18104.292602112513</v>
      </c>
      <c r="BZ117" s="1689">
        <f ca="1">Costs!BZ116/('Global assumptions'!$C$7*NAIRA2010_*250)</f>
        <v>19014.747614392105</v>
      </c>
      <c r="CA117" s="1689">
        <f ca="1">Costs!CA116/('Global assumptions'!$C$7*NAIRA2010_*250)</f>
        <v>20174.763180363392</v>
      </c>
      <c r="CC117" s="1706">
        <f t="shared" ca="1" si="23"/>
        <v>15642.18439618817</v>
      </c>
      <c r="CD117" s="1706">
        <f t="shared" ca="1" si="20"/>
        <v>134833.53053008762</v>
      </c>
      <c r="CF117" s="1689">
        <f ca="1">Costs!CF116/('Global assumptions'!$C$7*NAIRA2010_*250)</f>
        <v>0</v>
      </c>
      <c r="CG117" s="1689">
        <f ca="1">Costs!CG116/('Global assumptions'!$C$7*NAIRA2010_*250)</f>
        <v>-466.60726156266429</v>
      </c>
      <c r="CH117" s="1689">
        <f ca="1">Costs!CH116/('Global assumptions'!$C$7*NAIRA2010_*250)</f>
        <v>714.89655836118061</v>
      </c>
      <c r="CI117" s="1689">
        <f ca="1">Costs!CI116/('Global assumptions'!$C$7*NAIRA2010_*250)</f>
        <v>1050.2088085912067</v>
      </c>
      <c r="CJ117" s="1689">
        <f ca="1">Costs!CJ116/('Global assumptions'!$C$7*NAIRA2010_*250)</f>
        <v>508.93961930556696</v>
      </c>
      <c r="CK117" s="1689">
        <f ca="1">Costs!CK116/('Global assumptions'!$C$7*NAIRA2010_*250)</f>
        <v>538.44545965848715</v>
      </c>
      <c r="CL117" s="1689">
        <f ca="1">Costs!CL116/('Global assumptions'!$C$7*NAIRA2010_*250)</f>
        <v>588.14044098058469</v>
      </c>
      <c r="CM117" s="1689">
        <f ca="1">Costs!CM116/('Global assumptions'!$C$7*NAIRA2010_*250)</f>
        <v>607.73887715608748</v>
      </c>
      <c r="CN117" s="1689">
        <f ca="1">Costs!CN116/('Global assumptions'!$C$7*NAIRA2010_*250)</f>
        <v>623.73101672875407</v>
      </c>
      <c r="CP117" s="1706">
        <f t="shared" ca="1" si="24"/>
        <v>462.83261324657815</v>
      </c>
      <c r="CQ117" s="1706">
        <f t="shared" ca="1" si="21"/>
        <v>2265.0124852457056</v>
      </c>
      <c r="CR117" s="1426" t="str">
        <f t="shared" ca="1" si="25"/>
        <v>ok</v>
      </c>
    </row>
    <row r="118" spans="1:96" x14ac:dyDescent="0.2">
      <c r="A118" s="1685" t="s">
        <v>1722</v>
      </c>
      <c r="B118" s="1685" t="s">
        <v>1728</v>
      </c>
      <c r="C118" s="1685" t="s">
        <v>125</v>
      </c>
      <c r="E118" s="1691">
        <f ca="1">Costs!E117/('Global assumptions'!$C$7*NAIRA2010_*250)</f>
        <v>0</v>
      </c>
      <c r="F118" s="1691">
        <f ca="1">Costs!F117/('Global assumptions'!$C$7*NAIRA2010_*250)</f>
        <v>280.29489854636921</v>
      </c>
      <c r="G118" s="1691">
        <f ca="1">Costs!G117/('Global assumptions'!$C$7*NAIRA2010_*250)</f>
        <v>405.31922292419597</v>
      </c>
      <c r="H118" s="1691">
        <f ca="1">Costs!H117/('Global assumptions'!$C$7*NAIRA2010_*250)</f>
        <v>558.27270081102904</v>
      </c>
      <c r="I118" s="1691">
        <f ca="1">Costs!I117/('Global assumptions'!$C$7*NAIRA2010_*250)</f>
        <v>743.33437185193907</v>
      </c>
      <c r="J118" s="1691">
        <f ca="1">Costs!J117/('Global assumptions'!$C$7*NAIRA2010_*250)</f>
        <v>966.2900273863894</v>
      </c>
      <c r="K118" s="1691">
        <f ca="1">Costs!K117/('Global assumptions'!$C$7*NAIRA2010_*250)</f>
        <v>1174.8029610915582</v>
      </c>
      <c r="L118" s="1691">
        <f ca="1">Costs!L117/('Global assumptions'!$C$7*NAIRA2010_*250)</f>
        <v>1443.3134247456785</v>
      </c>
      <c r="M118" s="1691">
        <f ca="1">Costs!M117/('Global assumptions'!$C$7*NAIRA2010_*250)</f>
        <v>1755.4630481857721</v>
      </c>
      <c r="N118" s="675"/>
      <c r="O118" s="1691">
        <f ca="1">Costs!O117/('Global assumptions'!$C$7*NAIRA2010_*250)</f>
        <v>0</v>
      </c>
      <c r="P118" s="1691">
        <f ca="1">Costs!P117/('Global assumptions'!$C$7*NAIRA2010_*250)</f>
        <v>1147.7037969699338</v>
      </c>
      <c r="Q118" s="1691">
        <f ca="1">Costs!Q117/('Global assumptions'!$C$7*NAIRA2010_*250)</f>
        <v>2412.5867160741254</v>
      </c>
      <c r="R118" s="1691">
        <f ca="1">Costs!R117/('Global assumptions'!$C$7*NAIRA2010_*250)</f>
        <v>3874.03355030077</v>
      </c>
      <c r="S118" s="1691">
        <f ca="1">Costs!S117/('Global assumptions'!$C$7*NAIRA2010_*250)</f>
        <v>5603.3934048563106</v>
      </c>
      <c r="T118" s="1691">
        <f ca="1">Costs!T117/('Global assumptions'!$C$7*NAIRA2010_*250)</f>
        <v>7673.9255048233781</v>
      </c>
      <c r="U118" s="1691">
        <f ca="1">Costs!U117/('Global assumptions'!$C$7*NAIRA2010_*250)</f>
        <v>9920.7224022024238</v>
      </c>
      <c r="V118" s="1691">
        <f ca="1">Costs!V117/('Global assumptions'!$C$7*NAIRA2010_*250)</f>
        <v>12543.706920509445</v>
      </c>
      <c r="W118" s="1691">
        <f ca="1">Costs!W117/('Global assumptions'!$C$7*NAIRA2010_*250)</f>
        <v>15610.578206659447</v>
      </c>
      <c r="X118" s="675"/>
      <c r="Y118" s="1691">
        <f ca="1">Costs!Y117/('Global assumptions'!$C$7*NAIRA2010_*250)</f>
        <v>0</v>
      </c>
      <c r="Z118" s="1691">
        <f ca="1">Costs!Z117/('Global assumptions'!$C$7*NAIRA2010_*250)</f>
        <v>0</v>
      </c>
      <c r="AA118" s="1691">
        <f ca="1">Costs!AA117/('Global assumptions'!$C$7*NAIRA2010_*250)</f>
        <v>0</v>
      </c>
      <c r="AB118" s="1691">
        <f ca="1">Costs!AB117/('Global assumptions'!$C$7*NAIRA2010_*250)</f>
        <v>0</v>
      </c>
      <c r="AC118" s="1691">
        <f ca="1">Costs!AC117/('Global assumptions'!$C$7*NAIRA2010_*250)</f>
        <v>0</v>
      </c>
      <c r="AD118" s="1691">
        <f ca="1">Costs!AD117/('Global assumptions'!$C$7*NAIRA2010_*250)</f>
        <v>0</v>
      </c>
      <c r="AE118" s="1691">
        <f ca="1">Costs!AE117/('Global assumptions'!$C$7*NAIRA2010_*250)</f>
        <v>0</v>
      </c>
      <c r="AF118" s="1691">
        <f ca="1">Costs!AF117/('Global assumptions'!$C$7*NAIRA2010_*250)</f>
        <v>0</v>
      </c>
      <c r="AG118" s="1691">
        <f ca="1">Costs!AG117/('Global assumptions'!$C$7*NAIRA2010_*250)</f>
        <v>0</v>
      </c>
      <c r="AH118" s="675"/>
      <c r="AI118" s="1691">
        <f ca="1">Costs!AI117/('Global assumptions'!$C$7*NAIRA2010_*250)</f>
        <v>0</v>
      </c>
      <c r="AJ118" s="1691">
        <f ca="1">Costs!AJ117/('Global assumptions'!$C$7*NAIRA2010_*250)</f>
        <v>1427.9986955163029</v>
      </c>
      <c r="AK118" s="1691">
        <f ca="1">Costs!AK117/('Global assumptions'!$C$7*NAIRA2010_*250)</f>
        <v>2817.9059389983217</v>
      </c>
      <c r="AL118" s="1691">
        <f ca="1">Costs!AL117/('Global assumptions'!$C$7*NAIRA2010_*250)</f>
        <v>4432.3062511117987</v>
      </c>
      <c r="AM118" s="1691">
        <f ca="1">Costs!AM117/('Global assumptions'!$C$7*NAIRA2010_*250)</f>
        <v>6346.7277767082496</v>
      </c>
      <c r="AN118" s="1691">
        <f ca="1">Costs!AN117/('Global assumptions'!$C$7*NAIRA2010_*250)</f>
        <v>8640.2155322097678</v>
      </c>
      <c r="AO118" s="1691">
        <f ca="1">Costs!AO117/('Global assumptions'!$C$7*NAIRA2010_*250)</f>
        <v>11095.52536329398</v>
      </c>
      <c r="AP118" s="1691">
        <f ca="1">Costs!AP117/('Global assumptions'!$C$7*NAIRA2010_*250)</f>
        <v>13987.020345255123</v>
      </c>
      <c r="AQ118" s="1691">
        <f ca="1">Costs!AQ117/('Global assumptions'!$C$7*NAIRA2010_*250)</f>
        <v>17366.041254845219</v>
      </c>
      <c r="AS118" s="1707">
        <f t="shared" ca="1" si="22"/>
        <v>7345.9712397709727</v>
      </c>
      <c r="AT118" s="1707">
        <f t="shared" ca="1" si="19"/>
        <v>34214.352384981001</v>
      </c>
      <c r="AU118" s="675"/>
      <c r="AV118" s="1699">
        <f>IFERROR(VLOOKUP($A118,Cost.FinanceCostTable,7,FALSE),'Global assumptions'!$D$35)</f>
        <v>0.1</v>
      </c>
      <c r="AW118" s="1690">
        <f>IFERROR(VLOOKUP($A118,Cost.FinanceCostTable,8,FALSE),'Global assumptions'!$E$35)</f>
        <v>15</v>
      </c>
      <c r="AX118" s="675"/>
      <c r="AY118" s="1691">
        <f ca="1">Costs!AY117/('Global assumptions'!$C$7*NAIRA2010_*250)</f>
        <v>0</v>
      </c>
      <c r="AZ118" s="1691">
        <f ca="1">Costs!AZ117/('Global assumptions'!$C$7*NAIRA2010_*250)</f>
        <v>184.25714477076994</v>
      </c>
      <c r="BA118" s="1691">
        <f ca="1">Costs!BA117/('Global assumptions'!$C$7*NAIRA2010_*250)</f>
        <v>266.44424541449411</v>
      </c>
      <c r="BB118" s="1691">
        <f ca="1">Costs!BB117/('Global assumptions'!$C$7*NAIRA2010_*250)</f>
        <v>366.99110254369975</v>
      </c>
      <c r="BC118" s="1691">
        <f ca="1">Costs!BC117/('Global assumptions'!$C$7*NAIRA2010_*250)</f>
        <v>488.64488678788416</v>
      </c>
      <c r="BD118" s="1691">
        <f ca="1">Costs!BD117/('Global assumptions'!$C$7*NAIRA2010_*250)</f>
        <v>635.20899734545492</v>
      </c>
      <c r="BE118" s="1691">
        <f ca="1">Costs!BE117/('Global assumptions'!$C$7*NAIRA2010_*250)</f>
        <v>772.27891196587882</v>
      </c>
      <c r="BF118" s="1691">
        <f ca="1">Costs!BF117/('Global assumptions'!$C$7*NAIRA2010_*250)</f>
        <v>948.78933591781231</v>
      </c>
      <c r="BG118" s="1691">
        <f ca="1">Costs!BG117/('Global assumptions'!$C$7*NAIRA2010_*250)</f>
        <v>1153.9867856560127</v>
      </c>
      <c r="BH118" s="675"/>
      <c r="BI118" s="1691">
        <f ca="1">Costs!BI117/('Global assumptions'!$C$7*NAIRA2010_*250)</f>
        <v>0</v>
      </c>
      <c r="BJ118" s="1691">
        <f ca="1">Costs!BJ117/('Global assumptions'!$C$7*NAIRA2010_*250)</f>
        <v>184.25714477076994</v>
      </c>
      <c r="BK118" s="1691">
        <f ca="1">Costs!BK117/('Global assumptions'!$C$7*NAIRA2010_*250)</f>
        <v>450.70139018526402</v>
      </c>
      <c r="BL118" s="1691">
        <f ca="1">Costs!BL117/('Global assumptions'!$C$7*NAIRA2010_*250)</f>
        <v>817.69249272896377</v>
      </c>
      <c r="BM118" s="1691">
        <f ca="1">Costs!BM117/('Global assumptions'!$C$7*NAIRA2010_*250)</f>
        <v>1122.0802347460781</v>
      </c>
      <c r="BN118" s="1691">
        <f ca="1">Costs!BN117/('Global assumptions'!$C$7*NAIRA2010_*250)</f>
        <v>1490.8449866770388</v>
      </c>
      <c r="BO118" s="1691">
        <f ca="1">Costs!BO117/('Global assumptions'!$C$7*NAIRA2010_*250)</f>
        <v>1896.1327960992178</v>
      </c>
      <c r="BP118" s="1691">
        <f ca="1">Costs!BP117/('Global assumptions'!$C$7*NAIRA2010_*250)</f>
        <v>2356.277245229146</v>
      </c>
      <c r="BQ118" s="1691">
        <f ca="1">Costs!BQ117/('Global assumptions'!$C$7*NAIRA2010_*250)</f>
        <v>2875.0550335397038</v>
      </c>
      <c r="BR118" s="675"/>
      <c r="BS118" s="1691">
        <f ca="1">Costs!BS117/('Global assumptions'!$C$7*NAIRA2010_*250)</f>
        <v>0</v>
      </c>
      <c r="BT118" s="1691">
        <f ca="1">Costs!BT117/('Global assumptions'!$C$7*NAIRA2010_*250)</f>
        <v>1331.9609417407037</v>
      </c>
      <c r="BU118" s="1691">
        <f ca="1">Costs!BU117/('Global assumptions'!$C$7*NAIRA2010_*250)</f>
        <v>2863.2881062593897</v>
      </c>
      <c r="BV118" s="1691">
        <f ca="1">Costs!BV117/('Global assumptions'!$C$7*NAIRA2010_*250)</f>
        <v>4691.7260430297338</v>
      </c>
      <c r="BW118" s="1691">
        <f ca="1">Costs!BW117/('Global assumptions'!$C$7*NAIRA2010_*250)</f>
        <v>6725.4736396023891</v>
      </c>
      <c r="BX118" s="1691">
        <f ca="1">Costs!BX117/('Global assumptions'!$C$7*NAIRA2010_*250)</f>
        <v>9164.7704915004178</v>
      </c>
      <c r="BY118" s="1691">
        <f ca="1">Costs!BY117/('Global assumptions'!$C$7*NAIRA2010_*250)</f>
        <v>11816.855198301642</v>
      </c>
      <c r="BZ118" s="1691">
        <f ca="1">Costs!BZ117/('Global assumptions'!$C$7*NAIRA2010_*250)</f>
        <v>14899.984165738591</v>
      </c>
      <c r="CA118" s="1691">
        <f ca="1">Costs!CA117/('Global assumptions'!$C$7*NAIRA2010_*250)</f>
        <v>18485.633240199149</v>
      </c>
      <c r="CC118" s="1707">
        <f t="shared" ca="1" si="23"/>
        <v>7775.5213140413352</v>
      </c>
      <c r="CD118" s="1707">
        <f t="shared" ca="1" si="20"/>
        <v>35508.821029558872</v>
      </c>
      <c r="CF118" s="1691">
        <f ca="1">Costs!CF117/('Global assumptions'!$C$7*NAIRA2010_*250)</f>
        <v>0</v>
      </c>
      <c r="CG118" s="1691">
        <f ca="1">Costs!CG117/('Global assumptions'!$C$7*NAIRA2010_*250)</f>
        <v>-96.037753775599313</v>
      </c>
      <c r="CH118" s="1691">
        <f ca="1">Costs!CH117/('Global assumptions'!$C$7*NAIRA2010_*250)</f>
        <v>45.382167261068048</v>
      </c>
      <c r="CI118" s="1691">
        <f ca="1">Costs!CI117/('Global assumptions'!$C$7*NAIRA2010_*250)</f>
        <v>259.41979191793473</v>
      </c>
      <c r="CJ118" s="1691">
        <f ca="1">Costs!CJ117/('Global assumptions'!$C$7*NAIRA2010_*250)</f>
        <v>378.7458628941389</v>
      </c>
      <c r="CK118" s="1691">
        <f ca="1">Costs!CK117/('Global assumptions'!$C$7*NAIRA2010_*250)</f>
        <v>524.55495929064932</v>
      </c>
      <c r="CL118" s="1691">
        <f ca="1">Costs!CL117/('Global assumptions'!$C$7*NAIRA2010_*250)</f>
        <v>721.32983500765965</v>
      </c>
      <c r="CM118" s="1691">
        <f ca="1">Costs!CM117/('Global assumptions'!$C$7*NAIRA2010_*250)</f>
        <v>912.96382048346732</v>
      </c>
      <c r="CN118" s="1691">
        <f ca="1">Costs!CN117/('Global assumptions'!$C$7*NAIRA2010_*250)</f>
        <v>1119.5919853539317</v>
      </c>
      <c r="CP118" s="1707">
        <f t="shared" ca="1" si="24"/>
        <v>429.55007427036116</v>
      </c>
      <c r="CQ118" s="1707">
        <f t="shared" ca="1" si="21"/>
        <v>1294.4686445778743</v>
      </c>
      <c r="CR118" s="1426" t="str">
        <f t="shared" ca="1" si="25"/>
        <v>ok</v>
      </c>
    </row>
    <row r="119" spans="1:96" x14ac:dyDescent="0.2">
      <c r="A119" s="1683" t="s">
        <v>2593</v>
      </c>
      <c r="B119" s="1683" t="s">
        <v>2590</v>
      </c>
      <c r="C119" s="1683" t="s">
        <v>125</v>
      </c>
      <c r="E119" s="1689">
        <f ca="1">Costs!E118/('Global assumptions'!$C$7*NAIRA2010_*250)</f>
        <v>0</v>
      </c>
      <c r="F119" s="1689">
        <f ca="1">Costs!F118/('Global assumptions'!$C$7*NAIRA2010_*250)</f>
        <v>61.756268693495322</v>
      </c>
      <c r="G119" s="1689">
        <f ca="1">Costs!G118/('Global assumptions'!$C$7*NAIRA2010_*250)</f>
        <v>89.728103509374691</v>
      </c>
      <c r="H119" s="1689">
        <f ca="1">Costs!H118/('Global assumptions'!$C$7*NAIRA2010_*250)</f>
        <v>123.66786831286684</v>
      </c>
      <c r="I119" s="1689">
        <f ca="1">Costs!I118/('Global assumptions'!$C$7*NAIRA2010_*250)</f>
        <v>164.43957970644149</v>
      </c>
      <c r="J119" s="1689">
        <f ca="1">Costs!J118/('Global assumptions'!$C$7*NAIRA2010_*250)</f>
        <v>213.23200227371177</v>
      </c>
      <c r="K119" s="1689">
        <f ca="1">Costs!K118/('Global assumptions'!$C$7*NAIRA2010_*250)</f>
        <v>258.48990609864387</v>
      </c>
      <c r="L119" s="1689">
        <f ca="1">Costs!L118/('Global assumptions'!$C$7*NAIRA2010_*250)</f>
        <v>316.41656047479938</v>
      </c>
      <c r="M119" s="1689">
        <f ca="1">Costs!M118/('Global assumptions'!$C$7*NAIRA2010_*250)</f>
        <v>383.33769856795328</v>
      </c>
      <c r="N119" s="675"/>
      <c r="O119" s="1689">
        <f ca="1">Costs!O118/('Global assumptions'!$C$7*NAIRA2010_*250)</f>
        <v>0</v>
      </c>
      <c r="P119" s="1689">
        <f ca="1">Costs!P118/('Global assumptions'!$C$7*NAIRA2010_*250)</f>
        <v>245.2250271146161</v>
      </c>
      <c r="Q119" s="1689">
        <f ca="1">Costs!Q118/('Global assumptions'!$C$7*NAIRA2010_*250)</f>
        <v>515.42672596857267</v>
      </c>
      <c r="R119" s="1689">
        <f ca="1">Costs!R118/('Global assumptions'!$C$7*NAIRA2010_*250)</f>
        <v>827.74592534390013</v>
      </c>
      <c r="S119" s="1689">
        <f ca="1">Costs!S118/('Global assumptions'!$C$7*NAIRA2010_*250)</f>
        <v>1197.5883074048245</v>
      </c>
      <c r="T119" s="1689">
        <f ca="1">Costs!T118/('Global assumptions'!$C$7*NAIRA2010_*250)</f>
        <v>1640.7758255969695</v>
      </c>
      <c r="U119" s="1689">
        <f ca="1">Costs!U118/('Global assumptions'!$C$7*NAIRA2010_*250)</f>
        <v>2122.2042564295889</v>
      </c>
      <c r="V119" s="1689">
        <f ca="1">Costs!V118/('Global assumptions'!$C$7*NAIRA2010_*250)</f>
        <v>2684.7710799592546</v>
      </c>
      <c r="W119" s="1689">
        <f ca="1">Costs!W118/('Global assumptions'!$C$7*NAIRA2010_*250)</f>
        <v>3343.1373936023188</v>
      </c>
      <c r="X119" s="675"/>
      <c r="Y119" s="1689">
        <f ca="1">Costs!Y118/('Global assumptions'!$C$7*NAIRA2010_*250)</f>
        <v>0</v>
      </c>
      <c r="Z119" s="1689">
        <f ca="1">Costs!Z118/('Global assumptions'!$C$7*NAIRA2010_*250)</f>
        <v>0</v>
      </c>
      <c r="AA119" s="1689">
        <f ca="1">Costs!AA118/('Global assumptions'!$C$7*NAIRA2010_*250)</f>
        <v>0</v>
      </c>
      <c r="AB119" s="1689">
        <f ca="1">Costs!AB118/('Global assumptions'!$C$7*NAIRA2010_*250)</f>
        <v>0</v>
      </c>
      <c r="AC119" s="1689">
        <f ca="1">Costs!AC118/('Global assumptions'!$C$7*NAIRA2010_*250)</f>
        <v>0</v>
      </c>
      <c r="AD119" s="1689">
        <f ca="1">Costs!AD118/('Global assumptions'!$C$7*NAIRA2010_*250)</f>
        <v>0</v>
      </c>
      <c r="AE119" s="1689">
        <f ca="1">Costs!AE118/('Global assumptions'!$C$7*NAIRA2010_*250)</f>
        <v>0</v>
      </c>
      <c r="AF119" s="1689">
        <f ca="1">Costs!AF118/('Global assumptions'!$C$7*NAIRA2010_*250)</f>
        <v>0</v>
      </c>
      <c r="AG119" s="1689">
        <f ca="1">Costs!AG118/('Global assumptions'!$C$7*NAIRA2010_*250)</f>
        <v>0</v>
      </c>
      <c r="AH119" s="675"/>
      <c r="AI119" s="1689">
        <f ca="1">Costs!AI118/('Global assumptions'!$C$7*NAIRA2010_*250)</f>
        <v>0</v>
      </c>
      <c r="AJ119" s="1689">
        <f ca="1">Costs!AJ118/('Global assumptions'!$C$7*NAIRA2010_*250)</f>
        <v>306.98129580811138</v>
      </c>
      <c r="AK119" s="1689">
        <f ca="1">Costs!AK118/('Global assumptions'!$C$7*NAIRA2010_*250)</f>
        <v>605.15482947794737</v>
      </c>
      <c r="AL119" s="1689">
        <f ca="1">Costs!AL118/('Global assumptions'!$C$7*NAIRA2010_*250)</f>
        <v>951.4137936567671</v>
      </c>
      <c r="AM119" s="1689">
        <f ca="1">Costs!AM118/('Global assumptions'!$C$7*NAIRA2010_*250)</f>
        <v>1362.027887111266</v>
      </c>
      <c r="AN119" s="1689">
        <f ca="1">Costs!AN118/('Global assumptions'!$C$7*NAIRA2010_*250)</f>
        <v>1854.0078278706815</v>
      </c>
      <c r="AO119" s="1689">
        <f ca="1">Costs!AO118/('Global assumptions'!$C$7*NAIRA2010_*250)</f>
        <v>2380.6941625282329</v>
      </c>
      <c r="AP119" s="1689">
        <f ca="1">Costs!AP118/('Global assumptions'!$C$7*NAIRA2010_*250)</f>
        <v>3001.1876404340537</v>
      </c>
      <c r="AQ119" s="1689">
        <f ca="1">Costs!AQ118/('Global assumptions'!$C$7*NAIRA2010_*250)</f>
        <v>3726.4750921702721</v>
      </c>
      <c r="AS119" s="1706">
        <f t="shared" ca="1" si="22"/>
        <v>1576.4380587841479</v>
      </c>
      <c r="AT119" s="1706">
        <f t="shared" ca="1" si="19"/>
        <v>7344.8254622501463</v>
      </c>
      <c r="AU119" s="675"/>
      <c r="AV119" s="1699">
        <f>IFERROR(VLOOKUP($A119,Cost.FinanceCostTable,7,FALSE),'Global assumptions'!$D$35)</f>
        <v>0</v>
      </c>
      <c r="AW119" s="1690">
        <f>IFERROR(VLOOKUP($A119,Cost.FinanceCostTable,8,FALSE),'Global assumptions'!$E$35)</f>
        <v>5</v>
      </c>
      <c r="AX119" s="675"/>
      <c r="AY119" s="1689">
        <f ca="1">Costs!AY118/('Global assumptions'!$C$7*NAIRA2010_*250)</f>
        <v>0</v>
      </c>
      <c r="AZ119" s="1689">
        <f ca="1">Costs!AZ118/('Global assumptions'!$C$7*NAIRA2010_*250)</f>
        <v>40.596649458026079</v>
      </c>
      <c r="BA119" s="1689">
        <f ca="1">Costs!BA118/('Global assumptions'!$C$7*NAIRA2010_*250)</f>
        <v>58.984463306592836</v>
      </c>
      <c r="BB119" s="1689">
        <f ca="1">Costs!BB118/('Global assumptions'!$C$7*NAIRA2010_*250)</f>
        <v>81.295408633513915</v>
      </c>
      <c r="BC119" s="1689">
        <f ca="1">Costs!BC118/('Global assumptions'!$C$7*NAIRA2010_*250)</f>
        <v>108.09746306888977</v>
      </c>
      <c r="BD119" s="1689">
        <f ca="1">Costs!BD118/('Global assumptions'!$C$7*NAIRA2010_*250)</f>
        <v>140.17208346090814</v>
      </c>
      <c r="BE119" s="1689">
        <f ca="1">Costs!BE118/('Global assumptions'!$C$7*NAIRA2010_*250)</f>
        <v>169.92322121025452</v>
      </c>
      <c r="BF119" s="1689">
        <f ca="1">Costs!BF118/('Global assumptions'!$C$7*NAIRA2010_*250)</f>
        <v>208.00240137666751</v>
      </c>
      <c r="BG119" s="1689">
        <f ca="1">Costs!BG118/('Global assumptions'!$C$7*NAIRA2010_*250)</f>
        <v>251.99427527020919</v>
      </c>
      <c r="BH119" s="675"/>
      <c r="BI119" s="1689">
        <f ca="1">Costs!BI118/('Global assumptions'!$C$7*NAIRA2010_*250)</f>
        <v>0</v>
      </c>
      <c r="BJ119" s="1689">
        <f ca="1">Costs!BJ118/('Global assumptions'!$C$7*NAIRA2010_*250)</f>
        <v>40.596649458026079</v>
      </c>
      <c r="BK119" s="1689">
        <f ca="1">Costs!BK118/('Global assumptions'!$C$7*NAIRA2010_*250)</f>
        <v>99.581112764618908</v>
      </c>
      <c r="BL119" s="1689">
        <f ca="1">Costs!BL118/('Global assumptions'!$C$7*NAIRA2010_*250)</f>
        <v>180.87652139813284</v>
      </c>
      <c r="BM119" s="1689">
        <f ca="1">Costs!BM118/('Global assumptions'!$C$7*NAIRA2010_*250)</f>
        <v>248.37733500899654</v>
      </c>
      <c r="BN119" s="1689">
        <f ca="1">Costs!BN118/('Global assumptions'!$C$7*NAIRA2010_*250)</f>
        <v>329.56495516331182</v>
      </c>
      <c r="BO119" s="1689">
        <f ca="1">Costs!BO118/('Global assumptions'!$C$7*NAIRA2010_*250)</f>
        <v>418.19276774005243</v>
      </c>
      <c r="BP119" s="1689">
        <f ca="1">Costs!BP118/('Global assumptions'!$C$7*NAIRA2010_*250)</f>
        <v>518.09770604783023</v>
      </c>
      <c r="BQ119" s="1689">
        <f ca="1">Costs!BQ118/('Global assumptions'!$C$7*NAIRA2010_*250)</f>
        <v>629.91989785713122</v>
      </c>
      <c r="BR119" s="675"/>
      <c r="BS119" s="1689">
        <f ca="1">Costs!BS118/('Global assumptions'!$C$7*NAIRA2010_*250)</f>
        <v>0</v>
      </c>
      <c r="BT119" s="1689">
        <f ca="1">Costs!BT118/('Global assumptions'!$C$7*NAIRA2010_*250)</f>
        <v>285.82167657264216</v>
      </c>
      <c r="BU119" s="1689">
        <f ca="1">Costs!BU118/('Global assumptions'!$C$7*NAIRA2010_*250)</f>
        <v>615.00783873319153</v>
      </c>
      <c r="BV119" s="1689">
        <f ca="1">Costs!BV118/('Global assumptions'!$C$7*NAIRA2010_*250)</f>
        <v>1008.622446742033</v>
      </c>
      <c r="BW119" s="1689">
        <f ca="1">Costs!BW118/('Global assumptions'!$C$7*NAIRA2010_*250)</f>
        <v>1445.9656424138209</v>
      </c>
      <c r="BX119" s="1689">
        <f ca="1">Costs!BX118/('Global assumptions'!$C$7*NAIRA2010_*250)</f>
        <v>1970.3407807602814</v>
      </c>
      <c r="BY119" s="1689">
        <f ca="1">Costs!BY118/('Global assumptions'!$C$7*NAIRA2010_*250)</f>
        <v>2540.3970241696411</v>
      </c>
      <c r="BZ119" s="1689">
        <f ca="1">Costs!BZ118/('Global assumptions'!$C$7*NAIRA2010_*250)</f>
        <v>3202.8687860070845</v>
      </c>
      <c r="CA119" s="1689">
        <f ca="1">Costs!CA118/('Global assumptions'!$C$7*NAIRA2010_*250)</f>
        <v>3973.05729145945</v>
      </c>
      <c r="CC119" s="1706">
        <f t="shared" ca="1" si="23"/>
        <v>1671.3423874286827</v>
      </c>
      <c r="CD119" s="1706">
        <f t="shared" ca="1" si="20"/>
        <v>7630.8599063904776</v>
      </c>
      <c r="CF119" s="1689">
        <f ca="1">Costs!CF118/('Global assumptions'!$C$7*NAIRA2010_*250)</f>
        <v>0</v>
      </c>
      <c r="CG119" s="1689">
        <f ca="1">Costs!CG118/('Global assumptions'!$C$7*NAIRA2010_*250)</f>
        <v>-21.159619235469247</v>
      </c>
      <c r="CH119" s="1689">
        <f ca="1">Costs!CH118/('Global assumptions'!$C$7*NAIRA2010_*250)</f>
        <v>9.8530092552442259</v>
      </c>
      <c r="CI119" s="1689">
        <f ca="1">Costs!CI118/('Global assumptions'!$C$7*NAIRA2010_*250)</f>
        <v>57.208653085266008</v>
      </c>
      <c r="CJ119" s="1689">
        <f ca="1">Costs!CJ118/('Global assumptions'!$C$7*NAIRA2010_*250)</f>
        <v>83.937755302555033</v>
      </c>
      <c r="CK119" s="1689">
        <f ca="1">Costs!CK118/('Global assumptions'!$C$7*NAIRA2010_*250)</f>
        <v>116.33295288960007</v>
      </c>
      <c r="CL119" s="1689">
        <f ca="1">Costs!CL118/('Global assumptions'!$C$7*NAIRA2010_*250)</f>
        <v>159.70286164140859</v>
      </c>
      <c r="CM119" s="1689">
        <f ca="1">Costs!CM118/('Global assumptions'!$C$7*NAIRA2010_*250)</f>
        <v>201.68114557303082</v>
      </c>
      <c r="CN119" s="1689">
        <f ca="1">Costs!CN118/('Global assumptions'!$C$7*NAIRA2010_*250)</f>
        <v>246.58219928917791</v>
      </c>
      <c r="CP119" s="1706">
        <f t="shared" ca="1" si="24"/>
        <v>94.904328644534814</v>
      </c>
      <c r="CQ119" s="1706">
        <f t="shared" ca="1" si="21"/>
        <v>286.03444414033169</v>
      </c>
      <c r="CR119" s="1426" t="str">
        <f t="shared" ca="1" si="25"/>
        <v>ok</v>
      </c>
    </row>
    <row r="120" spans="1:96" x14ac:dyDescent="0.2">
      <c r="A120" s="1685" t="s">
        <v>1775</v>
      </c>
      <c r="B120" s="1685" t="s">
        <v>1730</v>
      </c>
      <c r="C120" s="1685" t="s">
        <v>125</v>
      </c>
      <c r="E120" s="1691">
        <f ca="1">Costs!E119/('Global assumptions'!$C$7*NAIRA2010_*250)</f>
        <v>0</v>
      </c>
      <c r="F120" s="1691">
        <f ca="1">Costs!F119/('Global assumptions'!$C$7*NAIRA2010_*250)</f>
        <v>58.250382570398116</v>
      </c>
      <c r="G120" s="1691">
        <f ca="1">Costs!G119/('Global assumptions'!$C$7*NAIRA2010_*250)</f>
        <v>78.460129666097444</v>
      </c>
      <c r="H120" s="1691">
        <f ca="1">Costs!H119/('Global assumptions'!$C$7*NAIRA2010_*250)</f>
        <v>101.36840607057491</v>
      </c>
      <c r="I120" s="1691">
        <f ca="1">Costs!I119/('Global assumptions'!$C$7*NAIRA2010_*250)</f>
        <v>126.79988648456619</v>
      </c>
      <c r="J120" s="1691">
        <f ca="1">Costs!J119/('Global assumptions'!$C$7*NAIRA2010_*250)</f>
        <v>154.70354586155364</v>
      </c>
      <c r="K120" s="1691">
        <f ca="1">Costs!K119/('Global assumptions'!$C$7*NAIRA2010_*250)</f>
        <v>175.52120910200415</v>
      </c>
      <c r="L120" s="1691">
        <f ca="1">Costs!L119/('Global assumptions'!$C$7*NAIRA2010_*250)</f>
        <v>201.10201171528382</v>
      </c>
      <c r="M120" s="1691">
        <f ca="1">Costs!M119/('Global assumptions'!$C$7*NAIRA2010_*250)</f>
        <v>227.10426784929072</v>
      </c>
      <c r="N120" s="675"/>
      <c r="O120" s="1691">
        <f ca="1">Costs!O119/('Global assumptions'!$C$7*NAIRA2010_*250)</f>
        <v>0</v>
      </c>
      <c r="P120" s="1691">
        <f ca="1">Costs!P119/('Global assumptions'!$C$7*NAIRA2010_*250)</f>
        <v>2154.5160510255696</v>
      </c>
      <c r="Q120" s="1691">
        <f ca="1">Costs!Q119/('Global assumptions'!$C$7*NAIRA2010_*250)</f>
        <v>4319.2557329717893</v>
      </c>
      <c r="R120" s="1691">
        <f ca="1">Costs!R119/('Global assumptions'!$C$7*NAIRA2010_*250)</f>
        <v>6596.0168296790243</v>
      </c>
      <c r="S120" s="1691">
        <f ca="1">Costs!S119/('Global assumptions'!$C$7*NAIRA2010_*250)</f>
        <v>9046.6569446539452</v>
      </c>
      <c r="T120" s="1691">
        <f ca="1">Costs!T119/('Global assumptions'!$C$7*NAIRA2010_*250)</f>
        <v>11711.397423625813</v>
      </c>
      <c r="U120" s="1691">
        <f ca="1">Costs!U119/('Global assumptions'!$C$7*NAIRA2010_*250)</f>
        <v>14262.701776090864</v>
      </c>
      <c r="V120" s="1691">
        <f ca="1">Costs!V119/('Global assumptions'!$C$7*NAIRA2010_*250)</f>
        <v>16924.192149155147</v>
      </c>
      <c r="W120" s="1691">
        <f ca="1">Costs!W119/('Global assumptions'!$C$7*NAIRA2010_*250)</f>
        <v>19682.630207874274</v>
      </c>
      <c r="X120" s="675"/>
      <c r="Y120" s="1691">
        <f ca="1">Costs!Y119/('Global assumptions'!$C$7*NAIRA2010_*250)</f>
        <v>0</v>
      </c>
      <c r="Z120" s="1691">
        <f ca="1">Costs!Z119/('Global assumptions'!$C$7*NAIRA2010_*250)</f>
        <v>0</v>
      </c>
      <c r="AA120" s="1691">
        <f ca="1">Costs!AA119/('Global assumptions'!$C$7*NAIRA2010_*250)</f>
        <v>0</v>
      </c>
      <c r="AB120" s="1691">
        <f ca="1">Costs!AB119/('Global assumptions'!$C$7*NAIRA2010_*250)</f>
        <v>0</v>
      </c>
      <c r="AC120" s="1691">
        <f ca="1">Costs!AC119/('Global assumptions'!$C$7*NAIRA2010_*250)</f>
        <v>0</v>
      </c>
      <c r="AD120" s="1691">
        <f ca="1">Costs!AD119/('Global assumptions'!$C$7*NAIRA2010_*250)</f>
        <v>0</v>
      </c>
      <c r="AE120" s="1691">
        <f ca="1">Costs!AE119/('Global assumptions'!$C$7*NAIRA2010_*250)</f>
        <v>0</v>
      </c>
      <c r="AF120" s="1691">
        <f ca="1">Costs!AF119/('Global assumptions'!$C$7*NAIRA2010_*250)</f>
        <v>0</v>
      </c>
      <c r="AG120" s="1691">
        <f ca="1">Costs!AG119/('Global assumptions'!$C$7*NAIRA2010_*250)</f>
        <v>0</v>
      </c>
      <c r="AH120" s="675"/>
      <c r="AI120" s="1691">
        <f ca="1">Costs!AI119/('Global assumptions'!$C$7*NAIRA2010_*250)</f>
        <v>0</v>
      </c>
      <c r="AJ120" s="1691">
        <f ca="1">Costs!AJ119/('Global assumptions'!$C$7*NAIRA2010_*250)</f>
        <v>2212.7664335959676</v>
      </c>
      <c r="AK120" s="1691">
        <f ca="1">Costs!AK119/('Global assumptions'!$C$7*NAIRA2010_*250)</f>
        <v>4397.7158626378869</v>
      </c>
      <c r="AL120" s="1691">
        <f ca="1">Costs!AL119/('Global assumptions'!$C$7*NAIRA2010_*250)</f>
        <v>6697.3852357495989</v>
      </c>
      <c r="AM120" s="1691">
        <f ca="1">Costs!AM119/('Global assumptions'!$C$7*NAIRA2010_*250)</f>
        <v>9173.4568311385119</v>
      </c>
      <c r="AN120" s="1691">
        <f ca="1">Costs!AN119/('Global assumptions'!$C$7*NAIRA2010_*250)</f>
        <v>11866.100969487366</v>
      </c>
      <c r="AO120" s="1691">
        <f ca="1">Costs!AO119/('Global assumptions'!$C$7*NAIRA2010_*250)</f>
        <v>14438.222985192868</v>
      </c>
      <c r="AP120" s="1691">
        <f ca="1">Costs!AP119/('Global assumptions'!$C$7*NAIRA2010_*250)</f>
        <v>17125.294160870431</v>
      </c>
      <c r="AQ120" s="1691">
        <f ca="1">Costs!AQ119/('Global assumptions'!$C$7*NAIRA2010_*250)</f>
        <v>19909.734475723562</v>
      </c>
      <c r="AS120" s="1707">
        <f t="shared" ca="1" si="22"/>
        <v>9535.6307727106869</v>
      </c>
      <c r="AT120" s="1707">
        <f t="shared" ca="1" si="19"/>
        <v>48272.819804279789</v>
      </c>
      <c r="AU120" s="675"/>
      <c r="AV120" s="1699">
        <f>IFERROR(VLOOKUP($A120,Cost.FinanceCostTable,7,FALSE),'Global assumptions'!$D$35)</f>
        <v>0.1</v>
      </c>
      <c r="AW120" s="1690">
        <f>IFERROR(VLOOKUP($A120,Cost.FinanceCostTable,8,FALSE),'Global assumptions'!$E$35)</f>
        <v>5</v>
      </c>
      <c r="AX120" s="675"/>
      <c r="AY120" s="1691">
        <f ca="1">Costs!AY119/('Global assumptions'!$C$7*NAIRA2010_*250)</f>
        <v>0</v>
      </c>
      <c r="AZ120" s="1691">
        <f ca="1">Costs!AZ119/('Global assumptions'!$C$7*NAIRA2010_*250)</f>
        <v>38.291989008322986</v>
      </c>
      <c r="BA120" s="1691">
        <f ca="1">Costs!BA119/('Global assumptions'!$C$7*NAIRA2010_*250)</f>
        <v>51.577247911373952</v>
      </c>
      <c r="BB120" s="1691">
        <f ca="1">Costs!BB119/('Global assumptions'!$C$7*NAIRA2010_*250)</f>
        <v>66.636436015756573</v>
      </c>
      <c r="BC120" s="1691">
        <f ca="1">Costs!BC119/('Global assumptions'!$C$7*NAIRA2010_*250)</f>
        <v>83.3542999250799</v>
      </c>
      <c r="BD120" s="1691">
        <f ca="1">Costs!BD119/('Global assumptions'!$C$7*NAIRA2010_*250)</f>
        <v>101.6972973614363</v>
      </c>
      <c r="BE120" s="1691">
        <f ca="1">Costs!BE119/('Global assumptions'!$C$7*NAIRA2010_*250)</f>
        <v>115.3821814223935</v>
      </c>
      <c r="BF120" s="1691">
        <f ca="1">Costs!BF119/('Global assumptions'!$C$7*NAIRA2010_*250)</f>
        <v>132.19820509928471</v>
      </c>
      <c r="BG120" s="1691">
        <f ca="1">Costs!BG119/('Global assumptions'!$C$7*NAIRA2010_*250)</f>
        <v>149.29127920693836</v>
      </c>
      <c r="BH120" s="675"/>
      <c r="BI120" s="1691">
        <f ca="1">Costs!BI119/('Global assumptions'!$C$7*NAIRA2010_*250)</f>
        <v>0</v>
      </c>
      <c r="BJ120" s="1691">
        <f ca="1">Costs!BJ119/('Global assumptions'!$C$7*NAIRA2010_*250)</f>
        <v>38.291989008322986</v>
      </c>
      <c r="BK120" s="1691">
        <f ca="1">Costs!BK119/('Global assumptions'!$C$7*NAIRA2010_*250)</f>
        <v>89.869236919696931</v>
      </c>
      <c r="BL120" s="1691">
        <f ca="1">Costs!BL119/('Global assumptions'!$C$7*NAIRA2010_*250)</f>
        <v>156.5056729354535</v>
      </c>
      <c r="BM120" s="1691">
        <f ca="1">Costs!BM119/('Global assumptions'!$C$7*NAIRA2010_*250)</f>
        <v>201.5679838522104</v>
      </c>
      <c r="BN120" s="1691">
        <f ca="1">Costs!BN119/('Global assumptions'!$C$7*NAIRA2010_*250)</f>
        <v>251.6880333022728</v>
      </c>
      <c r="BO120" s="1691">
        <f ca="1">Costs!BO119/('Global assumptions'!$C$7*NAIRA2010_*250)</f>
        <v>300.43377870890964</v>
      </c>
      <c r="BP120" s="1691">
        <f ca="1">Costs!BP119/('Global assumptions'!$C$7*NAIRA2010_*250)</f>
        <v>349.27768388311449</v>
      </c>
      <c r="BQ120" s="1691">
        <f ca="1">Costs!BQ119/('Global assumptions'!$C$7*NAIRA2010_*250)</f>
        <v>396.87166572861656</v>
      </c>
      <c r="BR120" s="675"/>
      <c r="BS120" s="1691">
        <f ca="1">Costs!BS119/('Global assumptions'!$C$7*NAIRA2010_*250)</f>
        <v>0</v>
      </c>
      <c r="BT120" s="1691">
        <f ca="1">Costs!BT119/('Global assumptions'!$C$7*NAIRA2010_*250)</f>
        <v>2192.8080400338927</v>
      </c>
      <c r="BU120" s="1691">
        <f ca="1">Costs!BU119/('Global assumptions'!$C$7*NAIRA2010_*250)</f>
        <v>4409.1249698914862</v>
      </c>
      <c r="BV120" s="1691">
        <f ca="1">Costs!BV119/('Global assumptions'!$C$7*NAIRA2010_*250)</f>
        <v>6752.5225026144781</v>
      </c>
      <c r="BW120" s="1691">
        <f ca="1">Costs!BW119/('Global assumptions'!$C$7*NAIRA2010_*250)</f>
        <v>9248.2249285061571</v>
      </c>
      <c r="BX120" s="1691">
        <f ca="1">Costs!BX119/('Global assumptions'!$C$7*NAIRA2010_*250)</f>
        <v>11963.085456928085</v>
      </c>
      <c r="BY120" s="1691">
        <f ca="1">Costs!BY119/('Global assumptions'!$C$7*NAIRA2010_*250)</f>
        <v>14563.135554799774</v>
      </c>
      <c r="BZ120" s="1691">
        <f ca="1">Costs!BZ119/('Global assumptions'!$C$7*NAIRA2010_*250)</f>
        <v>17273.46983303826</v>
      </c>
      <c r="CA120" s="1691">
        <f ca="1">Costs!CA119/('Global assumptions'!$C$7*NAIRA2010_*250)</f>
        <v>20079.501873602887</v>
      </c>
      <c r="CC120" s="1707">
        <f t="shared" ca="1" si="23"/>
        <v>9609.0970177127801</v>
      </c>
      <c r="CD120" s="1707">
        <f t="shared" ca="1" si="20"/>
        <v>48507.787812638235</v>
      </c>
      <c r="CF120" s="1691">
        <f ca="1">Costs!CF119/('Global assumptions'!$C$7*NAIRA2010_*250)</f>
        <v>0</v>
      </c>
      <c r="CG120" s="1691">
        <f ca="1">Costs!CG119/('Global assumptions'!$C$7*NAIRA2010_*250)</f>
        <v>-19.958393562075127</v>
      </c>
      <c r="CH120" s="1691">
        <f ca="1">Costs!CH119/('Global assumptions'!$C$7*NAIRA2010_*250)</f>
        <v>11.409107253599498</v>
      </c>
      <c r="CI120" s="1691">
        <f ca="1">Costs!CI119/('Global assumptions'!$C$7*NAIRA2010_*250)</f>
        <v>55.137266864878583</v>
      </c>
      <c r="CJ120" s="1691">
        <f ca="1">Costs!CJ119/('Global assumptions'!$C$7*NAIRA2010_*250)</f>
        <v>74.768097367644216</v>
      </c>
      <c r="CK120" s="1691">
        <f ca="1">Costs!CK119/('Global assumptions'!$C$7*NAIRA2010_*250)</f>
        <v>96.984487440719178</v>
      </c>
      <c r="CL120" s="1691">
        <f ca="1">Costs!CL119/('Global assumptions'!$C$7*NAIRA2010_*250)</f>
        <v>124.91256960690552</v>
      </c>
      <c r="CM120" s="1691">
        <f ca="1">Costs!CM119/('Global assumptions'!$C$7*NAIRA2010_*250)</f>
        <v>148.17567216783067</v>
      </c>
      <c r="CN120" s="1691">
        <f ca="1">Costs!CN119/('Global assumptions'!$C$7*NAIRA2010_*250)</f>
        <v>169.76739787932581</v>
      </c>
      <c r="CP120" s="1707">
        <f t="shared" ca="1" si="24"/>
        <v>73.466245002092037</v>
      </c>
      <c r="CQ120" s="1707">
        <f t="shared" ca="1" si="21"/>
        <v>234.96800835844107</v>
      </c>
      <c r="CR120" s="1426" t="str">
        <f t="shared" ca="1" si="25"/>
        <v>ok</v>
      </c>
    </row>
    <row r="121" spans="1:96" x14ac:dyDescent="0.2">
      <c r="A121" s="1683" t="s">
        <v>1724</v>
      </c>
      <c r="B121" s="1683" t="s">
        <v>19</v>
      </c>
      <c r="C121" s="1683" t="s">
        <v>125</v>
      </c>
      <c r="E121" s="1689">
        <f ca="1">Costs!E120/('Global assumptions'!$C$7*NAIRA2010_*250)</f>
        <v>0</v>
      </c>
      <c r="F121" s="1689">
        <f ca="1">Costs!F120/('Global assumptions'!$C$7*NAIRA2010_*250)</f>
        <v>0.18056735686383921</v>
      </c>
      <c r="G121" s="1689">
        <f ca="1">Costs!G120/('Global assumptions'!$C$7*NAIRA2010_*250)</f>
        <v>0.2425683927276614</v>
      </c>
      <c r="H121" s="1689">
        <f ca="1">Costs!H120/('Global assumptions'!$C$7*NAIRA2010_*250)</f>
        <v>0.31774626073172063</v>
      </c>
      <c r="I121" s="1689">
        <f ca="1">Costs!I120/('Global assumptions'!$C$7*NAIRA2010_*250)</f>
        <v>0.40849340757307762</v>
      </c>
      <c r="J121" s="1689">
        <f ca="1">Costs!J120/('Global assumptions'!$C$7*NAIRA2010_*250)</f>
        <v>0.51760351514085323</v>
      </c>
      <c r="K121" s="1689">
        <f ca="1">Costs!K120/('Global assumptions'!$C$7*NAIRA2010_*250)</f>
        <v>0.62807024269509049</v>
      </c>
      <c r="L121" s="1689">
        <f ca="1">Costs!L120/('Global assumptions'!$C$7*NAIRA2010_*250)</f>
        <v>0.76044500886385191</v>
      </c>
      <c r="M121" s="1689">
        <f ca="1">Costs!M120/('Global assumptions'!$C$7*NAIRA2010_*250)</f>
        <v>0.91357135114159749</v>
      </c>
      <c r="N121" s="675"/>
      <c r="O121" s="1689">
        <f ca="1">Costs!O120/('Global assumptions'!$C$7*NAIRA2010_*250)</f>
        <v>0.30000000000000004</v>
      </c>
      <c r="P121" s="1689">
        <f ca="1">Costs!P120/('Global assumptions'!$C$7*NAIRA2010_*250)</f>
        <v>0.4242780798339843</v>
      </c>
      <c r="Q121" s="1689">
        <f ca="1">Costs!Q120/('Global assumptions'!$C$7*NAIRA2010_*250)</f>
        <v>0.57603804488836063</v>
      </c>
      <c r="R121" s="1689">
        <f ca="1">Costs!R120/('Global assumptions'!$C$7*NAIRA2010_*250)</f>
        <v>0.76035653741150777</v>
      </c>
      <c r="S121" s="1689">
        <f ca="1">Costs!S120/('Global assumptions'!$C$7*NAIRA2010_*250)</f>
        <v>0.98316986417423713</v>
      </c>
      <c r="T121" s="1689">
        <f ca="1">Costs!T120/('Global assumptions'!$C$7*NAIRA2010_*250)</f>
        <v>1.2514122663674532</v>
      </c>
      <c r="U121" s="1689">
        <f ca="1">Costs!U120/('Global assumptions'!$C$7*NAIRA2010_*250)</f>
        <v>1.5351780668725667</v>
      </c>
      <c r="V121" s="1689">
        <f ca="1">Costs!V120/('Global assumptions'!$C$7*NAIRA2010_*250)</f>
        <v>1.8644566964404556</v>
      </c>
      <c r="W121" s="1689">
        <f ca="1">Costs!W120/('Global assumptions'!$C$7*NAIRA2010_*250)</f>
        <v>2.2456481966591966</v>
      </c>
      <c r="X121" s="675"/>
      <c r="Y121" s="1689">
        <f ca="1">Costs!Y120/('Global assumptions'!$C$7*NAIRA2010_*250)</f>
        <v>0</v>
      </c>
      <c r="Z121" s="1689">
        <f ca="1">Costs!Z120/('Global assumptions'!$C$7*NAIRA2010_*250)</f>
        <v>0</v>
      </c>
      <c r="AA121" s="1689">
        <f ca="1">Costs!AA120/('Global assumptions'!$C$7*NAIRA2010_*250)</f>
        <v>0</v>
      </c>
      <c r="AB121" s="1689">
        <f ca="1">Costs!AB120/('Global assumptions'!$C$7*NAIRA2010_*250)</f>
        <v>0</v>
      </c>
      <c r="AC121" s="1689">
        <f ca="1">Costs!AC120/('Global assumptions'!$C$7*NAIRA2010_*250)</f>
        <v>0</v>
      </c>
      <c r="AD121" s="1689">
        <f ca="1">Costs!AD120/('Global assumptions'!$C$7*NAIRA2010_*250)</f>
        <v>0</v>
      </c>
      <c r="AE121" s="1689">
        <f ca="1">Costs!AE120/('Global assumptions'!$C$7*NAIRA2010_*250)</f>
        <v>0</v>
      </c>
      <c r="AF121" s="1689">
        <f ca="1">Costs!AF120/('Global assumptions'!$C$7*NAIRA2010_*250)</f>
        <v>0</v>
      </c>
      <c r="AG121" s="1689">
        <f ca="1">Costs!AG120/('Global assumptions'!$C$7*NAIRA2010_*250)</f>
        <v>0</v>
      </c>
      <c r="AH121" s="675"/>
      <c r="AI121" s="1689">
        <f ca="1">Costs!AI120/('Global assumptions'!$C$7*NAIRA2010_*250)</f>
        <v>0.30000000000000004</v>
      </c>
      <c r="AJ121" s="1689">
        <f ca="1">Costs!AJ120/('Global assumptions'!$C$7*NAIRA2010_*250)</f>
        <v>0.60484543669782354</v>
      </c>
      <c r="AK121" s="1689">
        <f ca="1">Costs!AK120/('Global assumptions'!$C$7*NAIRA2010_*250)</f>
        <v>0.81860643761602203</v>
      </c>
      <c r="AL121" s="1689">
        <f ca="1">Costs!AL120/('Global assumptions'!$C$7*NAIRA2010_*250)</f>
        <v>1.0781027981432285</v>
      </c>
      <c r="AM121" s="1689">
        <f ca="1">Costs!AM120/('Global assumptions'!$C$7*NAIRA2010_*250)</f>
        <v>1.3916632717473147</v>
      </c>
      <c r="AN121" s="1689">
        <f ca="1">Costs!AN120/('Global assumptions'!$C$7*NAIRA2010_*250)</f>
        <v>1.7690157815083065</v>
      </c>
      <c r="AO121" s="1689">
        <f ca="1">Costs!AO120/('Global assumptions'!$C$7*NAIRA2010_*250)</f>
        <v>2.1632483095676571</v>
      </c>
      <c r="AP121" s="1689">
        <f ca="1">Costs!AP120/('Global assumptions'!$C$7*NAIRA2010_*250)</f>
        <v>2.6249017053043073</v>
      </c>
      <c r="AQ121" s="1689">
        <f ca="1">Costs!AQ120/('Global assumptions'!$C$7*NAIRA2010_*250)</f>
        <v>3.1592195478007943</v>
      </c>
      <c r="AS121" s="1706">
        <f t="shared" ca="1" si="22"/>
        <v>1.5455114764872728</v>
      </c>
      <c r="AT121" s="1706">
        <f t="shared" ca="1" si="19"/>
        <v>8.8392327601222931</v>
      </c>
      <c r="AU121" s="675"/>
      <c r="AV121" s="1699">
        <f>IFERROR(VLOOKUP($A121,Cost.FinanceCostTable,7,FALSE),'Global assumptions'!$D$35)</f>
        <v>0.1</v>
      </c>
      <c r="AW121" s="1690">
        <f>IFERROR(VLOOKUP($A121,Cost.FinanceCostTable,8,FALSE),'Global assumptions'!$E$35)</f>
        <v>30</v>
      </c>
      <c r="AX121" s="675"/>
      <c r="AY121" s="1689">
        <f ca="1">Costs!AY120/('Global assumptions'!$C$7*NAIRA2010_*250)</f>
        <v>0</v>
      </c>
      <c r="AZ121" s="1689">
        <f ca="1">Costs!AZ120/('Global assumptions'!$C$7*NAIRA2010_*250)</f>
        <v>0.23816606927223288</v>
      </c>
      <c r="BA121" s="1689">
        <f ca="1">Costs!BA120/('Global assumptions'!$C$7*NAIRA2010_*250)</f>
        <v>0.3199446546099376</v>
      </c>
      <c r="BB121" s="1689">
        <f ca="1">Costs!BB120/('Global assumptions'!$C$7*NAIRA2010_*250)</f>
        <v>0.41910331556489122</v>
      </c>
      <c r="BC121" s="1689">
        <f ca="1">Costs!BC120/('Global assumptions'!$C$7*NAIRA2010_*250)</f>
        <v>0.53879765919519529</v>
      </c>
      <c r="BD121" s="1689">
        <f ca="1">Costs!BD120/('Global assumptions'!$C$7*NAIRA2010_*250)</f>
        <v>0.68271251672330968</v>
      </c>
      <c r="BE121" s="1689">
        <f ca="1">Costs!BE120/('Global assumptions'!$C$7*NAIRA2010_*250)</f>
        <v>0.82841673892554613</v>
      </c>
      <c r="BF121" s="1689">
        <f ca="1">Costs!BF120/('Global assumptions'!$C$7*NAIRA2010_*250)</f>
        <v>1.00301738810611</v>
      </c>
      <c r="BG121" s="1689">
        <f ca="1">Costs!BG120/('Global assumptions'!$C$7*NAIRA2010_*250)</f>
        <v>1.2049891047870263</v>
      </c>
      <c r="BH121" s="675"/>
      <c r="BI121" s="1689">
        <f ca="1">Costs!BI120/('Global assumptions'!$C$7*NAIRA2010_*250)</f>
        <v>0</v>
      </c>
      <c r="BJ121" s="1689">
        <f ca="1">Costs!BJ120/('Global assumptions'!$C$7*NAIRA2010_*250)</f>
        <v>0.23816606927223288</v>
      </c>
      <c r="BK121" s="1689">
        <f ca="1">Costs!BK120/('Global assumptions'!$C$7*NAIRA2010_*250)</f>
        <v>0.3199446546099376</v>
      </c>
      <c r="BL121" s="1689">
        <f ca="1">Costs!BL120/('Global assumptions'!$C$7*NAIRA2010_*250)</f>
        <v>0.41910331556489122</v>
      </c>
      <c r="BM121" s="1689">
        <f ca="1">Costs!BM120/('Global assumptions'!$C$7*NAIRA2010_*250)</f>
        <v>0.53879765919519529</v>
      </c>
      <c r="BN121" s="1689">
        <f ca="1">Costs!BN120/('Global assumptions'!$C$7*NAIRA2010_*250)</f>
        <v>0.68271251672330968</v>
      </c>
      <c r="BO121" s="1689">
        <f ca="1">Costs!BO120/('Global assumptions'!$C$7*NAIRA2010_*250)</f>
        <v>0.82841673892554613</v>
      </c>
      <c r="BP121" s="1689">
        <f ca="1">Costs!BP120/('Global assumptions'!$C$7*NAIRA2010_*250)</f>
        <v>1.00301738810611</v>
      </c>
      <c r="BQ121" s="1689">
        <f ca="1">Costs!BQ120/('Global assumptions'!$C$7*NAIRA2010_*250)</f>
        <v>1.2049891047870263</v>
      </c>
      <c r="BR121" s="675"/>
      <c r="BS121" s="1689">
        <f ca="1">Costs!BS120/('Global assumptions'!$C$7*NAIRA2010_*250)</f>
        <v>0.30000000000000004</v>
      </c>
      <c r="BT121" s="1689">
        <f ca="1">Costs!BT120/('Global assumptions'!$C$7*NAIRA2010_*250)</f>
        <v>0.66244414910621718</v>
      </c>
      <c r="BU121" s="1689">
        <f ca="1">Costs!BU120/('Global assumptions'!$C$7*NAIRA2010_*250)</f>
        <v>0.89598269949829823</v>
      </c>
      <c r="BV121" s="1689">
        <f ca="1">Costs!BV120/('Global assumptions'!$C$7*NAIRA2010_*250)</f>
        <v>1.1794598529763989</v>
      </c>
      <c r="BW121" s="1689">
        <f ca="1">Costs!BW120/('Global assumptions'!$C$7*NAIRA2010_*250)</f>
        <v>1.5219675233694325</v>
      </c>
      <c r="BX121" s="1689">
        <f ca="1">Costs!BX120/('Global assumptions'!$C$7*NAIRA2010_*250)</f>
        <v>1.9341247830907629</v>
      </c>
      <c r="BY121" s="1689">
        <f ca="1">Costs!BY120/('Global assumptions'!$C$7*NAIRA2010_*250)</f>
        <v>2.3635948057981131</v>
      </c>
      <c r="BZ121" s="1689">
        <f ca="1">Costs!BZ120/('Global assumptions'!$C$7*NAIRA2010_*250)</f>
        <v>2.8674740845465654</v>
      </c>
      <c r="CA121" s="1689">
        <f ca="1">Costs!CA120/('Global assumptions'!$C$7*NAIRA2010_*250)</f>
        <v>3.450637301446223</v>
      </c>
      <c r="CC121" s="1706">
        <f t="shared" ca="1" si="23"/>
        <v>1.6861872444257788</v>
      </c>
      <c r="CD121" s="1706">
        <f t="shared" ca="1" si="20"/>
        <v>9.6410730022950126</v>
      </c>
      <c r="CF121" s="1689">
        <f ca="1">Costs!CF120/('Global assumptions'!$C$7*NAIRA2010_*250)</f>
        <v>0</v>
      </c>
      <c r="CG121" s="1689">
        <f ca="1">Costs!CG120/('Global assumptions'!$C$7*NAIRA2010_*250)</f>
        <v>5.7598712408393656E-2</v>
      </c>
      <c r="CH121" s="1689">
        <f ca="1">Costs!CH120/('Global assumptions'!$C$7*NAIRA2010_*250)</f>
        <v>7.7376261882276198E-2</v>
      </c>
      <c r="CI121" s="1689">
        <f ca="1">Costs!CI120/('Global assumptions'!$C$7*NAIRA2010_*250)</f>
        <v>0.10135705483317056</v>
      </c>
      <c r="CJ121" s="1689">
        <f ca="1">Costs!CJ120/('Global assumptions'!$C$7*NAIRA2010_*250)</f>
        <v>0.13030425162211765</v>
      </c>
      <c r="CK121" s="1689">
        <f ca="1">Costs!CK120/('Global assumptions'!$C$7*NAIRA2010_*250)</f>
        <v>0.16510900158245645</v>
      </c>
      <c r="CL121" s="1689">
        <f ca="1">Costs!CL120/('Global assumptions'!$C$7*NAIRA2010_*250)</f>
        <v>0.2003464962304557</v>
      </c>
      <c r="CM121" s="1689">
        <f ca="1">Costs!CM120/('Global assumptions'!$C$7*NAIRA2010_*250)</f>
        <v>0.24257237924225811</v>
      </c>
      <c r="CN121" s="1689">
        <f ca="1">Costs!CN120/('Global assumptions'!$C$7*NAIRA2010_*250)</f>
        <v>0.2914177536454286</v>
      </c>
      <c r="CP121" s="1706">
        <f t="shared" ca="1" si="24"/>
        <v>0.14067576793850634</v>
      </c>
      <c r="CQ121" s="1706">
        <f t="shared" ca="1" si="21"/>
        <v>0.80184024217271843</v>
      </c>
      <c r="CR121" s="1426" t="str">
        <f t="shared" ca="1" si="25"/>
        <v>ok</v>
      </c>
    </row>
    <row r="122" spans="1:96" x14ac:dyDescent="0.2">
      <c r="A122" s="1685" t="s">
        <v>1725</v>
      </c>
      <c r="B122" s="1685" t="s">
        <v>397</v>
      </c>
      <c r="C122" s="1685" t="s">
        <v>125</v>
      </c>
      <c r="E122" s="1691">
        <f ca="1">Costs!E121/('Global assumptions'!$C$7*NAIRA2010_*250)</f>
        <v>0</v>
      </c>
      <c r="F122" s="1691">
        <f ca="1">Costs!F121/('Global assumptions'!$C$7*NAIRA2010_*250)</f>
        <v>0</v>
      </c>
      <c r="G122" s="1691">
        <f ca="1">Costs!G121/('Global assumptions'!$C$7*NAIRA2010_*250)</f>
        <v>0.27969594636913758</v>
      </c>
      <c r="H122" s="1691">
        <f ca="1">Costs!H121/('Global assumptions'!$C$7*NAIRA2010_*250)</f>
        <v>0.3848347229011736</v>
      </c>
      <c r="I122" s="1691">
        <f ca="1">Costs!I121/('Global assumptions'!$C$7*NAIRA2010_*250)</f>
        <v>0.49942367110503239</v>
      </c>
      <c r="J122" s="1691">
        <f ca="1">Costs!J121/('Global assumptions'!$C$7*NAIRA2010_*250)</f>
        <v>0.63703067154955739</v>
      </c>
      <c r="K122" s="1691">
        <f ca="1">Costs!K121/('Global assumptions'!$C$7*NAIRA2010_*250)</f>
        <v>0.74385797999406211</v>
      </c>
      <c r="L122" s="1691">
        <f ca="1">Costs!L121/('Global assumptions'!$C$7*NAIRA2010_*250)</f>
        <v>0.90906759798004</v>
      </c>
      <c r="M122" s="1691">
        <f ca="1">Costs!M121/('Global assumptions'!$C$7*NAIRA2010_*250)</f>
        <v>1.1164666455429975</v>
      </c>
      <c r="N122" s="675"/>
      <c r="O122" s="1691">
        <f ca="1">Costs!O121/('Global assumptions'!$C$7*NAIRA2010_*250)</f>
        <v>29.223600000000005</v>
      </c>
      <c r="P122" s="1691">
        <f ca="1">Costs!P121/('Global assumptions'!$C$7*NAIRA2010_*250)</f>
        <v>20.184309362059292</v>
      </c>
      <c r="Q122" s="1691">
        <f ca="1">Costs!Q121/('Global assumptions'!$C$7*NAIRA2010_*250)</f>
        <v>22.157448144652331</v>
      </c>
      <c r="R122" s="1691">
        <f ca="1">Costs!R121/('Global assumptions'!$C$7*NAIRA2010_*250)</f>
        <v>25.413419427889135</v>
      </c>
      <c r="S122" s="1691">
        <f ca="1">Costs!S121/('Global assumptions'!$C$7*NAIRA2010_*250)</f>
        <v>29.508296973565539</v>
      </c>
      <c r="T122" s="1691">
        <f ca="1">Costs!T121/('Global assumptions'!$C$7*NAIRA2010_*250)</f>
        <v>34.41693736277756</v>
      </c>
      <c r="U122" s="1691">
        <f ca="1">Costs!U121/('Global assumptions'!$C$7*NAIRA2010_*250)</f>
        <v>39.238351406563744</v>
      </c>
      <c r="V122" s="1691">
        <f ca="1">Costs!V121/('Global assumptions'!$C$7*NAIRA2010_*250)</f>
        <v>44.755770222215759</v>
      </c>
      <c r="W122" s="1691">
        <f ca="1">Costs!W121/('Global assumptions'!$C$7*NAIRA2010_*250)</f>
        <v>51.042385831025321</v>
      </c>
      <c r="X122" s="675"/>
      <c r="Y122" s="1691">
        <f ca="1">Costs!Y121/('Global assumptions'!$C$7*NAIRA2010_*250)</f>
        <v>0</v>
      </c>
      <c r="Z122" s="1691">
        <f ca="1">Costs!Z121/('Global assumptions'!$C$7*NAIRA2010_*250)</f>
        <v>0</v>
      </c>
      <c r="AA122" s="1691">
        <f ca="1">Costs!AA121/('Global assumptions'!$C$7*NAIRA2010_*250)</f>
        <v>0</v>
      </c>
      <c r="AB122" s="1691">
        <f ca="1">Costs!AB121/('Global assumptions'!$C$7*NAIRA2010_*250)</f>
        <v>0</v>
      </c>
      <c r="AC122" s="1691">
        <f ca="1">Costs!AC121/('Global assumptions'!$C$7*NAIRA2010_*250)</f>
        <v>0</v>
      </c>
      <c r="AD122" s="1691">
        <f ca="1">Costs!AD121/('Global assumptions'!$C$7*NAIRA2010_*250)</f>
        <v>0</v>
      </c>
      <c r="AE122" s="1691">
        <f ca="1">Costs!AE121/('Global assumptions'!$C$7*NAIRA2010_*250)</f>
        <v>0</v>
      </c>
      <c r="AF122" s="1691">
        <f ca="1">Costs!AF121/('Global assumptions'!$C$7*NAIRA2010_*250)</f>
        <v>0</v>
      </c>
      <c r="AG122" s="1691">
        <f ca="1">Costs!AG121/('Global assumptions'!$C$7*NAIRA2010_*250)</f>
        <v>0</v>
      </c>
      <c r="AH122" s="675"/>
      <c r="AI122" s="1691">
        <f ca="1">Costs!AI121/('Global assumptions'!$C$7*NAIRA2010_*250)</f>
        <v>29.223600000000005</v>
      </c>
      <c r="AJ122" s="1691">
        <f ca="1">Costs!AJ121/('Global assumptions'!$C$7*NAIRA2010_*250)</f>
        <v>20.184309362059292</v>
      </c>
      <c r="AK122" s="1691">
        <f ca="1">Costs!AK121/('Global assumptions'!$C$7*NAIRA2010_*250)</f>
        <v>22.437144091021469</v>
      </c>
      <c r="AL122" s="1691">
        <f ca="1">Costs!AL121/('Global assumptions'!$C$7*NAIRA2010_*250)</f>
        <v>25.798254150790306</v>
      </c>
      <c r="AM122" s="1691">
        <f ca="1">Costs!AM121/('Global assumptions'!$C$7*NAIRA2010_*250)</f>
        <v>30.007720644670574</v>
      </c>
      <c r="AN122" s="1691">
        <f ca="1">Costs!AN121/('Global assumptions'!$C$7*NAIRA2010_*250)</f>
        <v>35.05396803432712</v>
      </c>
      <c r="AO122" s="1691">
        <f ca="1">Costs!AO121/('Global assumptions'!$C$7*NAIRA2010_*250)</f>
        <v>39.982209386557813</v>
      </c>
      <c r="AP122" s="1691">
        <f ca="1">Costs!AP121/('Global assumptions'!$C$7*NAIRA2010_*250)</f>
        <v>45.6648378201958</v>
      </c>
      <c r="AQ122" s="1691">
        <f ca="1">Costs!AQ121/('Global assumptions'!$C$7*NAIRA2010_*250)</f>
        <v>52.158852476568313</v>
      </c>
      <c r="AS122" s="1707">
        <f t="shared" ca="1" si="22"/>
        <v>33.390099551798961</v>
      </c>
      <c r="AT122" s="1707">
        <f t="shared" ca="1" si="19"/>
        <v>238.36368703896756</v>
      </c>
      <c r="AU122" s="675"/>
      <c r="AV122" s="1699">
        <f>IFERROR(VLOOKUP($A122,Cost.FinanceCostTable,7,FALSE),'Global assumptions'!$D$35)</f>
        <v>0.1</v>
      </c>
      <c r="AW122" s="1690">
        <f>IFERROR(VLOOKUP($A122,Cost.FinanceCostTable,8,FALSE),'Global assumptions'!$E$35)</f>
        <v>30</v>
      </c>
      <c r="AX122" s="675"/>
      <c r="AY122" s="1691">
        <f ca="1">Costs!AY121/('Global assumptions'!$C$7*NAIRA2010_*250)</f>
        <v>0</v>
      </c>
      <c r="AZ122" s="1691">
        <f ca="1">Costs!AZ121/('Global assumptions'!$C$7*NAIRA2010_*250)</f>
        <v>0</v>
      </c>
      <c r="BA122" s="1691">
        <f ca="1">Costs!BA121/('Global assumptions'!$C$7*NAIRA2010_*250)</f>
        <v>0.14834967865073564</v>
      </c>
      <c r="BB122" s="1691">
        <f ca="1">Costs!BB121/('Global assumptions'!$C$7*NAIRA2010_*250)</f>
        <v>0.20411489053433587</v>
      </c>
      <c r="BC122" s="1691">
        <f ca="1">Costs!BC121/('Global assumptions'!$C$7*NAIRA2010_*250)</f>
        <v>0.2648924379519626</v>
      </c>
      <c r="BD122" s="1691">
        <f ca="1">Costs!BD121/('Global assumptions'!$C$7*NAIRA2010_*250)</f>
        <v>0.33787867375923802</v>
      </c>
      <c r="BE122" s="1691">
        <f ca="1">Costs!BE121/('Global assumptions'!$C$7*NAIRA2010_*250)</f>
        <v>0.39453947662246458</v>
      </c>
      <c r="BF122" s="1691">
        <f ca="1">Costs!BF121/('Global assumptions'!$C$7*NAIRA2010_*250)</f>
        <v>0.48216603702275129</v>
      </c>
      <c r="BG122" s="1691">
        <f ca="1">Costs!BG121/('Global assumptions'!$C$7*NAIRA2010_*250)</f>
        <v>0.59216971229170545</v>
      </c>
      <c r="BH122" s="675"/>
      <c r="BI122" s="1691">
        <f ca="1">Costs!BI121/('Global assumptions'!$C$7*NAIRA2010_*250)</f>
        <v>0</v>
      </c>
      <c r="BJ122" s="1691">
        <f ca="1">Costs!BJ121/('Global assumptions'!$C$7*NAIRA2010_*250)</f>
        <v>0</v>
      </c>
      <c r="BK122" s="1691">
        <f ca="1">Costs!BK121/('Global assumptions'!$C$7*NAIRA2010_*250)</f>
        <v>0.14834967865073564</v>
      </c>
      <c r="BL122" s="1691">
        <f ca="1">Costs!BL121/('Global assumptions'!$C$7*NAIRA2010_*250)</f>
        <v>0.35246456918507152</v>
      </c>
      <c r="BM122" s="1691">
        <f ca="1">Costs!BM121/('Global assumptions'!$C$7*NAIRA2010_*250)</f>
        <v>0.61735700713703423</v>
      </c>
      <c r="BN122" s="1691">
        <f ca="1">Costs!BN121/('Global assumptions'!$C$7*NAIRA2010_*250)</f>
        <v>0.9552356808962722</v>
      </c>
      <c r="BO122" s="1691">
        <f ca="1">Costs!BO121/('Global assumptions'!$C$7*NAIRA2010_*250)</f>
        <v>1.3497751575187367</v>
      </c>
      <c r="BP122" s="1691">
        <f ca="1">Costs!BP121/('Global assumptions'!$C$7*NAIRA2010_*250)</f>
        <v>2.0968336324934511</v>
      </c>
      <c r="BQ122" s="1691">
        <f ca="1">Costs!BQ121/('Global assumptions'!$C$7*NAIRA2010_*250)</f>
        <v>2.5406536661344203</v>
      </c>
      <c r="BR122" s="675"/>
      <c r="BS122" s="1691">
        <f ca="1">Costs!BS121/('Global assumptions'!$C$7*NAIRA2010_*250)</f>
        <v>29.223600000000005</v>
      </c>
      <c r="BT122" s="1691">
        <f ca="1">Costs!BT121/('Global assumptions'!$C$7*NAIRA2010_*250)</f>
        <v>20.184309362059292</v>
      </c>
      <c r="BU122" s="1691">
        <f ca="1">Costs!BU121/('Global assumptions'!$C$7*NAIRA2010_*250)</f>
        <v>22.305797823303067</v>
      </c>
      <c r="BV122" s="1691">
        <f ca="1">Costs!BV121/('Global assumptions'!$C$7*NAIRA2010_*250)</f>
        <v>25.765883997074205</v>
      </c>
      <c r="BW122" s="1691">
        <f ca="1">Costs!BW121/('Global assumptions'!$C$7*NAIRA2010_*250)</f>
        <v>30.125653980702573</v>
      </c>
      <c r="BX122" s="1691">
        <f ca="1">Costs!BX121/('Global assumptions'!$C$7*NAIRA2010_*250)</f>
        <v>35.37217304367384</v>
      </c>
      <c r="BY122" s="1691">
        <f ca="1">Costs!BY121/('Global assumptions'!$C$7*NAIRA2010_*250)</f>
        <v>40.588126564082479</v>
      </c>
      <c r="BZ122" s="1691">
        <f ca="1">Costs!BZ121/('Global assumptions'!$C$7*NAIRA2010_*250)</f>
        <v>46.852603854709209</v>
      </c>
      <c r="CA122" s="1691">
        <f ca="1">Costs!CA121/('Global assumptions'!$C$7*NAIRA2010_*250)</f>
        <v>53.583039497159739</v>
      </c>
      <c r="CC122" s="1707">
        <f t="shared" ca="1" si="23"/>
        <v>33.77790979141826</v>
      </c>
      <c r="CD122" s="1707">
        <f t="shared" ca="1" si="20"/>
        <v>239.07710241159094</v>
      </c>
      <c r="CF122" s="1691">
        <f ca="1">Costs!CF121/('Global assumptions'!$C$7*NAIRA2010_*250)</f>
        <v>0</v>
      </c>
      <c r="CG122" s="1691">
        <f ca="1">Costs!CG121/('Global assumptions'!$C$7*NAIRA2010_*250)</f>
        <v>0</v>
      </c>
      <c r="CH122" s="1691">
        <f ca="1">Costs!CH121/('Global assumptions'!$C$7*NAIRA2010_*250)</f>
        <v>-0.13134626771840194</v>
      </c>
      <c r="CI122" s="1691">
        <f ca="1">Costs!CI121/('Global assumptions'!$C$7*NAIRA2010_*250)</f>
        <v>-3.2370153716102065E-2</v>
      </c>
      <c r="CJ122" s="1691">
        <f ca="1">Costs!CJ121/('Global assumptions'!$C$7*NAIRA2010_*250)</f>
        <v>0.11793333603200183</v>
      </c>
      <c r="CK122" s="1691">
        <f ca="1">Costs!CK121/('Global assumptions'!$C$7*NAIRA2010_*250)</f>
        <v>0.31820500934671481</v>
      </c>
      <c r="CL122" s="1691">
        <f ca="1">Costs!CL121/('Global assumptions'!$C$7*NAIRA2010_*250)</f>
        <v>0.60591717752467467</v>
      </c>
      <c r="CM122" s="1691">
        <f ca="1">Costs!CM121/('Global assumptions'!$C$7*NAIRA2010_*250)</f>
        <v>1.1877660345134109</v>
      </c>
      <c r="CN122" s="1691">
        <f ca="1">Costs!CN121/('Global assumptions'!$C$7*NAIRA2010_*250)</f>
        <v>1.4241870205914229</v>
      </c>
      <c r="CP122" s="1707">
        <f t="shared" ca="1" si="24"/>
        <v>0.38781023961930239</v>
      </c>
      <c r="CQ122" s="1707">
        <f t="shared" ca="1" si="21"/>
        <v>0.71341537262336896</v>
      </c>
      <c r="CR122" s="1426" t="str">
        <f t="shared" ca="1" si="25"/>
        <v>ok</v>
      </c>
    </row>
    <row r="123" spans="1:96" x14ac:dyDescent="0.2">
      <c r="A123" s="1683" t="s">
        <v>375</v>
      </c>
      <c r="B123" s="1683" t="s">
        <v>606</v>
      </c>
      <c r="C123" s="1683" t="s">
        <v>125</v>
      </c>
      <c r="E123" s="1689">
        <f ca="1">Costs!E122/('Global assumptions'!$C$7*NAIRA2010_*250)</f>
        <v>0</v>
      </c>
      <c r="F123" s="1689">
        <f ca="1">Costs!F122/('Global assumptions'!$C$7*NAIRA2010_*250)</f>
        <v>0</v>
      </c>
      <c r="G123" s="1689">
        <f ca="1">Costs!G122/('Global assumptions'!$C$7*NAIRA2010_*250)</f>
        <v>0</v>
      </c>
      <c r="H123" s="1689">
        <f ca="1">Costs!H122/('Global assumptions'!$C$7*NAIRA2010_*250)</f>
        <v>0</v>
      </c>
      <c r="I123" s="1689">
        <f ca="1">Costs!I122/('Global assumptions'!$C$7*NAIRA2010_*250)</f>
        <v>0</v>
      </c>
      <c r="J123" s="1689">
        <f ca="1">Costs!J122/('Global assumptions'!$C$7*NAIRA2010_*250)</f>
        <v>0</v>
      </c>
      <c r="K123" s="1689">
        <f ca="1">Costs!K122/('Global assumptions'!$C$7*NAIRA2010_*250)</f>
        <v>0</v>
      </c>
      <c r="L123" s="1689">
        <f ca="1">Costs!L122/('Global assumptions'!$C$7*NAIRA2010_*250)</f>
        <v>0</v>
      </c>
      <c r="M123" s="1689">
        <f ca="1">Costs!M122/('Global assumptions'!$C$7*NAIRA2010_*250)</f>
        <v>0</v>
      </c>
      <c r="N123" s="675"/>
      <c r="O123" s="1689">
        <f ca="1">Costs!O122/('Global assumptions'!$C$7*NAIRA2010_*250)</f>
        <v>0</v>
      </c>
      <c r="P123" s="1689">
        <f ca="1">Costs!P122/('Global assumptions'!$C$7*NAIRA2010_*250)</f>
        <v>0</v>
      </c>
      <c r="Q123" s="1689">
        <f ca="1">Costs!Q122/('Global assumptions'!$C$7*NAIRA2010_*250)</f>
        <v>0</v>
      </c>
      <c r="R123" s="1689">
        <f ca="1">Costs!R122/('Global assumptions'!$C$7*NAIRA2010_*250)</f>
        <v>0</v>
      </c>
      <c r="S123" s="1689">
        <f ca="1">Costs!S122/('Global assumptions'!$C$7*NAIRA2010_*250)</f>
        <v>0</v>
      </c>
      <c r="T123" s="1689">
        <f ca="1">Costs!T122/('Global assumptions'!$C$7*NAIRA2010_*250)</f>
        <v>0</v>
      </c>
      <c r="U123" s="1689">
        <f ca="1">Costs!U122/('Global assumptions'!$C$7*NAIRA2010_*250)</f>
        <v>0</v>
      </c>
      <c r="V123" s="1689">
        <f ca="1">Costs!V122/('Global assumptions'!$C$7*NAIRA2010_*250)</f>
        <v>0</v>
      </c>
      <c r="W123" s="1689">
        <f ca="1">Costs!W122/('Global assumptions'!$C$7*NAIRA2010_*250)</f>
        <v>0</v>
      </c>
      <c r="X123" s="675"/>
      <c r="Y123" s="1689">
        <f ca="1">Costs!Y122/('Global assumptions'!$C$7*NAIRA2010_*250)</f>
        <v>0</v>
      </c>
      <c r="Z123" s="1689">
        <f ca="1">Costs!Z122/('Global assumptions'!$C$7*NAIRA2010_*250)</f>
        <v>0</v>
      </c>
      <c r="AA123" s="1689">
        <f ca="1">Costs!AA122/('Global assumptions'!$C$7*NAIRA2010_*250)</f>
        <v>0</v>
      </c>
      <c r="AB123" s="1689">
        <f ca="1">Costs!AB122/('Global assumptions'!$C$7*NAIRA2010_*250)</f>
        <v>0</v>
      </c>
      <c r="AC123" s="1689">
        <f ca="1">Costs!AC122/('Global assumptions'!$C$7*NAIRA2010_*250)</f>
        <v>0</v>
      </c>
      <c r="AD123" s="1689">
        <f ca="1">Costs!AD122/('Global assumptions'!$C$7*NAIRA2010_*250)</f>
        <v>0</v>
      </c>
      <c r="AE123" s="1689">
        <f ca="1">Costs!AE122/('Global assumptions'!$C$7*NAIRA2010_*250)</f>
        <v>0</v>
      </c>
      <c r="AF123" s="1689">
        <f ca="1">Costs!AF122/('Global assumptions'!$C$7*NAIRA2010_*250)</f>
        <v>0</v>
      </c>
      <c r="AG123" s="1689">
        <f ca="1">Costs!AG122/('Global assumptions'!$C$7*NAIRA2010_*250)</f>
        <v>0</v>
      </c>
      <c r="AH123" s="675"/>
      <c r="AI123" s="1689">
        <f ca="1">Costs!AI122/('Global assumptions'!$C$7*NAIRA2010_*250)</f>
        <v>0</v>
      </c>
      <c r="AJ123" s="1689">
        <f ca="1">Costs!AJ122/('Global assumptions'!$C$7*NAIRA2010_*250)</f>
        <v>0</v>
      </c>
      <c r="AK123" s="1689">
        <f ca="1">Costs!AK122/('Global assumptions'!$C$7*NAIRA2010_*250)</f>
        <v>0</v>
      </c>
      <c r="AL123" s="1689">
        <f ca="1">Costs!AL122/('Global assumptions'!$C$7*NAIRA2010_*250)</f>
        <v>0</v>
      </c>
      <c r="AM123" s="1689">
        <f ca="1">Costs!AM122/('Global assumptions'!$C$7*NAIRA2010_*250)</f>
        <v>0</v>
      </c>
      <c r="AN123" s="1689">
        <f ca="1">Costs!AN122/('Global assumptions'!$C$7*NAIRA2010_*250)</f>
        <v>0</v>
      </c>
      <c r="AO123" s="1689">
        <f ca="1">Costs!AO122/('Global assumptions'!$C$7*NAIRA2010_*250)</f>
        <v>0</v>
      </c>
      <c r="AP123" s="1689">
        <f ca="1">Costs!AP122/('Global assumptions'!$C$7*NAIRA2010_*250)</f>
        <v>0</v>
      </c>
      <c r="AQ123" s="1689">
        <f ca="1">Costs!AQ122/('Global assumptions'!$C$7*NAIRA2010_*250)</f>
        <v>0</v>
      </c>
      <c r="AS123" s="1706">
        <f t="shared" ca="1" si="22"/>
        <v>0</v>
      </c>
      <c r="AT123" s="1706">
        <f t="shared" ca="1" si="19"/>
        <v>0</v>
      </c>
      <c r="AU123" s="675"/>
      <c r="AV123" s="1699">
        <f>IFERROR(VLOOKUP($A123,Cost.FinanceCostTable,7,FALSE),'Global assumptions'!$D$35)</f>
        <v>0.1</v>
      </c>
      <c r="AW123" s="1690">
        <f>IFERROR(VLOOKUP($A123,Cost.FinanceCostTable,8,FALSE),'Global assumptions'!$E$35)</f>
        <v>10</v>
      </c>
      <c r="AX123" s="675"/>
      <c r="AY123" s="1689">
        <f ca="1">Costs!AY122/('Global assumptions'!$C$7*NAIRA2010_*250)</f>
        <v>0</v>
      </c>
      <c r="AZ123" s="1689">
        <f ca="1">Costs!AZ122/('Global assumptions'!$C$7*NAIRA2010_*250)</f>
        <v>0</v>
      </c>
      <c r="BA123" s="1689">
        <f ca="1">Costs!BA122/('Global assumptions'!$C$7*NAIRA2010_*250)</f>
        <v>0</v>
      </c>
      <c r="BB123" s="1689">
        <f ca="1">Costs!BB122/('Global assumptions'!$C$7*NAIRA2010_*250)</f>
        <v>0</v>
      </c>
      <c r="BC123" s="1689">
        <f ca="1">Costs!BC122/('Global assumptions'!$C$7*NAIRA2010_*250)</f>
        <v>0</v>
      </c>
      <c r="BD123" s="1689">
        <f ca="1">Costs!BD122/('Global assumptions'!$C$7*NAIRA2010_*250)</f>
        <v>0</v>
      </c>
      <c r="BE123" s="1689">
        <f ca="1">Costs!BE122/('Global assumptions'!$C$7*NAIRA2010_*250)</f>
        <v>0</v>
      </c>
      <c r="BF123" s="1689">
        <f ca="1">Costs!BF122/('Global assumptions'!$C$7*NAIRA2010_*250)</f>
        <v>0</v>
      </c>
      <c r="BG123" s="1689">
        <f ca="1">Costs!BG122/('Global assumptions'!$C$7*NAIRA2010_*250)</f>
        <v>0</v>
      </c>
      <c r="BH123" s="675"/>
      <c r="BI123" s="1689">
        <f ca="1">Costs!BI122/('Global assumptions'!$C$7*NAIRA2010_*250)</f>
        <v>0</v>
      </c>
      <c r="BJ123" s="1689">
        <f ca="1">Costs!BJ122/('Global assumptions'!$C$7*NAIRA2010_*250)</f>
        <v>0</v>
      </c>
      <c r="BK123" s="1689">
        <f ca="1">Costs!BK122/('Global assumptions'!$C$7*NAIRA2010_*250)</f>
        <v>0</v>
      </c>
      <c r="BL123" s="1689">
        <f ca="1">Costs!BL122/('Global assumptions'!$C$7*NAIRA2010_*250)</f>
        <v>0</v>
      </c>
      <c r="BM123" s="1689">
        <f ca="1">Costs!BM122/('Global assumptions'!$C$7*NAIRA2010_*250)</f>
        <v>0</v>
      </c>
      <c r="BN123" s="1689">
        <f ca="1">Costs!BN122/('Global assumptions'!$C$7*NAIRA2010_*250)</f>
        <v>0</v>
      </c>
      <c r="BO123" s="1689">
        <f ca="1">Costs!BO122/('Global assumptions'!$C$7*NAIRA2010_*250)</f>
        <v>0</v>
      </c>
      <c r="BP123" s="1689">
        <f ca="1">Costs!BP122/('Global assumptions'!$C$7*NAIRA2010_*250)</f>
        <v>0</v>
      </c>
      <c r="BQ123" s="1689">
        <f ca="1">Costs!BQ122/('Global assumptions'!$C$7*NAIRA2010_*250)</f>
        <v>0</v>
      </c>
      <c r="BR123" s="675"/>
      <c r="BS123" s="1689">
        <f ca="1">Costs!BS122/('Global assumptions'!$C$7*NAIRA2010_*250)</f>
        <v>0</v>
      </c>
      <c r="BT123" s="1689">
        <f ca="1">Costs!BT122/('Global assumptions'!$C$7*NAIRA2010_*250)</f>
        <v>0</v>
      </c>
      <c r="BU123" s="1689">
        <f ca="1">Costs!BU122/('Global assumptions'!$C$7*NAIRA2010_*250)</f>
        <v>0</v>
      </c>
      <c r="BV123" s="1689">
        <f ca="1">Costs!BV122/('Global assumptions'!$C$7*NAIRA2010_*250)</f>
        <v>0</v>
      </c>
      <c r="BW123" s="1689">
        <f ca="1">Costs!BW122/('Global assumptions'!$C$7*NAIRA2010_*250)</f>
        <v>0</v>
      </c>
      <c r="BX123" s="1689">
        <f ca="1">Costs!BX122/('Global assumptions'!$C$7*NAIRA2010_*250)</f>
        <v>0</v>
      </c>
      <c r="BY123" s="1689">
        <f ca="1">Costs!BY122/('Global assumptions'!$C$7*NAIRA2010_*250)</f>
        <v>0</v>
      </c>
      <c r="BZ123" s="1689">
        <f ca="1">Costs!BZ122/('Global assumptions'!$C$7*NAIRA2010_*250)</f>
        <v>0</v>
      </c>
      <c r="CA123" s="1689">
        <f ca="1">Costs!CA122/('Global assumptions'!$C$7*NAIRA2010_*250)</f>
        <v>0</v>
      </c>
      <c r="CC123" s="1706">
        <f t="shared" ca="1" si="23"/>
        <v>0</v>
      </c>
      <c r="CD123" s="1706">
        <f t="shared" ca="1" si="20"/>
        <v>0</v>
      </c>
      <c r="CF123" s="1689">
        <f ca="1">Costs!CF122/('Global assumptions'!$C$7*NAIRA2010_*250)</f>
        <v>0</v>
      </c>
      <c r="CG123" s="1689">
        <f ca="1">Costs!CG122/('Global assumptions'!$C$7*NAIRA2010_*250)</f>
        <v>0</v>
      </c>
      <c r="CH123" s="1689">
        <f ca="1">Costs!CH122/('Global assumptions'!$C$7*NAIRA2010_*250)</f>
        <v>0</v>
      </c>
      <c r="CI123" s="1689">
        <f ca="1">Costs!CI122/('Global assumptions'!$C$7*NAIRA2010_*250)</f>
        <v>0</v>
      </c>
      <c r="CJ123" s="1689">
        <f ca="1">Costs!CJ122/('Global assumptions'!$C$7*NAIRA2010_*250)</f>
        <v>0</v>
      </c>
      <c r="CK123" s="1689">
        <f ca="1">Costs!CK122/('Global assumptions'!$C$7*NAIRA2010_*250)</f>
        <v>0</v>
      </c>
      <c r="CL123" s="1689">
        <f ca="1">Costs!CL122/('Global assumptions'!$C$7*NAIRA2010_*250)</f>
        <v>0</v>
      </c>
      <c r="CM123" s="1689">
        <f ca="1">Costs!CM122/('Global assumptions'!$C$7*NAIRA2010_*250)</f>
        <v>0</v>
      </c>
      <c r="CN123" s="1689">
        <f ca="1">Costs!CN122/('Global assumptions'!$C$7*NAIRA2010_*250)</f>
        <v>0</v>
      </c>
      <c r="CP123" s="1706">
        <f t="shared" ca="1" si="24"/>
        <v>0</v>
      </c>
      <c r="CQ123" s="1706">
        <f t="shared" ca="1" si="21"/>
        <v>0</v>
      </c>
      <c r="CR123" s="1426" t="str">
        <f t="shared" ca="1" si="25"/>
        <v>ok</v>
      </c>
    </row>
    <row r="124" spans="1:96" x14ac:dyDescent="0.2">
      <c r="A124" s="1683" t="s">
        <v>405</v>
      </c>
      <c r="B124" s="1683" t="s">
        <v>111</v>
      </c>
      <c r="C124" s="1683" t="s">
        <v>33</v>
      </c>
      <c r="E124" s="1689">
        <f ca="1">Costs!E123/('Global assumptions'!$C$7*NAIRA2010_*250)</f>
        <v>0</v>
      </c>
      <c r="F124" s="1689">
        <f ca="1">Costs!F123/('Global assumptions'!$C$7*NAIRA2010_*250)</f>
        <v>20.160707322933241</v>
      </c>
      <c r="G124" s="1689">
        <f ca="1">Costs!G123/('Global assumptions'!$C$7*NAIRA2010_*250)</f>
        <v>23.278602282869684</v>
      </c>
      <c r="H124" s="1689">
        <f ca="1">Costs!H123/('Global assumptions'!$C$7*NAIRA2010_*250)</f>
        <v>26.396497242806145</v>
      </c>
      <c r="I124" s="1689">
        <f ca="1">Costs!I123/('Global assumptions'!$C$7*NAIRA2010_*250)</f>
        <v>18.511542877922434</v>
      </c>
      <c r="J124" s="1689">
        <f ca="1">Costs!J123/('Global assumptions'!$C$7*NAIRA2010_*250)</f>
        <v>28.112011202991297</v>
      </c>
      <c r="K124" s="1689">
        <f ca="1">Costs!K123/('Global assumptions'!$C$7*NAIRA2010_*250)</f>
        <v>14.40637673719144</v>
      </c>
      <c r="L124" s="1689">
        <f ca="1">Costs!L123/('Global assumptions'!$C$7*NAIRA2010_*250)</f>
        <v>28.036546670586866</v>
      </c>
      <c r="M124" s="1689">
        <f ca="1">Costs!M123/('Global assumptions'!$C$7*NAIRA2010_*250)</f>
        <v>13.42123345750003</v>
      </c>
      <c r="N124" s="675"/>
      <c r="O124" s="1689">
        <f ca="1">Costs!O123/('Global assumptions'!$C$7*NAIRA2010_*250)</f>
        <v>4.8128167743835508</v>
      </c>
      <c r="P124" s="1689">
        <f ca="1">Costs!P123/('Global assumptions'!$C$7*NAIRA2010_*250)</f>
        <v>6.077158242921084</v>
      </c>
      <c r="Q124" s="1689">
        <f ca="1">Costs!Q123/('Global assumptions'!$C$7*NAIRA2010_*250)</f>
        <v>7.3414997114586162</v>
      </c>
      <c r="R124" s="1689">
        <f ca="1">Costs!R123/('Global assumptions'!$C$7*NAIRA2010_*250)</f>
        <v>8.6058411799961476</v>
      </c>
      <c r="S124" s="1689">
        <f ca="1">Costs!S123/('Global assumptions'!$C$7*NAIRA2010_*250)</f>
        <v>9.2689799554133856</v>
      </c>
      <c r="T124" s="1689">
        <f ca="1">Costs!T123/('Global assumptions'!$C$7*NAIRA2010_*250)</f>
        <v>10.386965655975917</v>
      </c>
      <c r="U124" s="1689">
        <f ca="1">Costs!U123/('Global assumptions'!$C$7*NAIRA2010_*250)</f>
        <v>10.611037127468158</v>
      </c>
      <c r="V124" s="1689">
        <f ca="1">Costs!V123/('Global assumptions'!$C$7*NAIRA2010_*250)</f>
        <v>11.582667060055689</v>
      </c>
      <c r="W124" s="1689">
        <f ca="1">Costs!W123/('Global assumptions'!$C$7*NAIRA2010_*250)</f>
        <v>11.635618981014609</v>
      </c>
      <c r="X124" s="675"/>
      <c r="Y124" s="1689">
        <f ca="1">Costs!Y123/('Global assumptions'!$C$7*NAIRA2010_*250)</f>
        <v>0</v>
      </c>
      <c r="Z124" s="1689">
        <f ca="1">Costs!Z123/('Global assumptions'!$C$7*NAIRA2010_*250)</f>
        <v>0</v>
      </c>
      <c r="AA124" s="1689">
        <f ca="1">Costs!AA123/('Global assumptions'!$C$7*NAIRA2010_*250)</f>
        <v>0</v>
      </c>
      <c r="AB124" s="1689">
        <f ca="1">Costs!AB123/('Global assumptions'!$C$7*NAIRA2010_*250)</f>
        <v>0</v>
      </c>
      <c r="AC124" s="1689">
        <f ca="1">Costs!AC123/('Global assumptions'!$C$7*NAIRA2010_*250)</f>
        <v>0</v>
      </c>
      <c r="AD124" s="1689">
        <f ca="1">Costs!AD123/('Global assumptions'!$C$7*NAIRA2010_*250)</f>
        <v>0</v>
      </c>
      <c r="AE124" s="1689">
        <f ca="1">Costs!AE123/('Global assumptions'!$C$7*NAIRA2010_*250)</f>
        <v>0</v>
      </c>
      <c r="AF124" s="1689">
        <f ca="1">Costs!AF123/('Global assumptions'!$C$7*NAIRA2010_*250)</f>
        <v>0</v>
      </c>
      <c r="AG124" s="1689">
        <f ca="1">Costs!AG123/('Global assumptions'!$C$7*NAIRA2010_*250)</f>
        <v>0</v>
      </c>
      <c r="AH124" s="675"/>
      <c r="AI124" s="1689">
        <f ca="1">Costs!AI123/('Global assumptions'!$C$7*NAIRA2010_*250)</f>
        <v>4.8128167743835508</v>
      </c>
      <c r="AJ124" s="1689">
        <f ca="1">Costs!AJ123/('Global assumptions'!$C$7*NAIRA2010_*250)</f>
        <v>26.237865565854328</v>
      </c>
      <c r="AK124" s="1689">
        <f ca="1">Costs!AK123/('Global assumptions'!$C$7*NAIRA2010_*250)</f>
        <v>30.620101994328301</v>
      </c>
      <c r="AL124" s="1689">
        <f ca="1">Costs!AL123/('Global assumptions'!$C$7*NAIRA2010_*250)</f>
        <v>35.002338422802289</v>
      </c>
      <c r="AM124" s="1689">
        <f ca="1">Costs!AM123/('Global assumptions'!$C$7*NAIRA2010_*250)</f>
        <v>27.780522833335819</v>
      </c>
      <c r="AN124" s="1689">
        <f ca="1">Costs!AN123/('Global assumptions'!$C$7*NAIRA2010_*250)</f>
        <v>38.498976858967211</v>
      </c>
      <c r="AO124" s="1689">
        <f ca="1">Costs!AO123/('Global assumptions'!$C$7*NAIRA2010_*250)</f>
        <v>25.017413864659598</v>
      </c>
      <c r="AP124" s="1689">
        <f ca="1">Costs!AP123/('Global assumptions'!$C$7*NAIRA2010_*250)</f>
        <v>39.619213730642556</v>
      </c>
      <c r="AQ124" s="1689">
        <f ca="1">Costs!AQ123/('Global assumptions'!$C$7*NAIRA2010_*250)</f>
        <v>25.056852438514639</v>
      </c>
      <c r="AS124" s="1706">
        <f t="shared" ca="1" si="22"/>
        <v>28.07178916483203</v>
      </c>
      <c r="AT124" s="1706">
        <f t="shared" ca="1" si="19"/>
        <v>247.91174634655414</v>
      </c>
      <c r="AU124" s="675"/>
      <c r="AV124" s="1699">
        <f>IFERROR(VLOOKUP($A124,Cost.FinanceCostTable,7,FALSE),'Global assumptions'!$D$35)</f>
        <v>0.1</v>
      </c>
      <c r="AW124" s="1690">
        <f>IFERROR(VLOOKUP($A124,Cost.FinanceCostTable,8,FALSE),'Global assumptions'!$E$35)</f>
        <v>15</v>
      </c>
      <c r="AX124" s="675"/>
      <c r="AY124" s="1689">
        <f ca="1">Costs!AY123/('Global assumptions'!$C$7*NAIRA2010_*250)</f>
        <v>0</v>
      </c>
      <c r="AZ124" s="1689">
        <f ca="1">Costs!AZ123/('Global assumptions'!$C$7*NAIRA2010_*250)</f>
        <v>16.405311371907572</v>
      </c>
      <c r="BA124" s="1689">
        <f ca="1">Costs!BA123/('Global assumptions'!$C$7*NAIRA2010_*250)</f>
        <v>18.942426604192818</v>
      </c>
      <c r="BB124" s="1689">
        <f ca="1">Costs!BB123/('Global assumptions'!$C$7*NAIRA2010_*250)</f>
        <v>21.479541836478077</v>
      </c>
      <c r="BC124" s="1689">
        <f ca="1">Costs!BC123/('Global assumptions'!$C$7*NAIRA2010_*250)</f>
        <v>15.063341777760163</v>
      </c>
      <c r="BD124" s="1689">
        <f ca="1">Costs!BD123/('Global assumptions'!$C$7*NAIRA2010_*250)</f>
        <v>22.875501820862045</v>
      </c>
      <c r="BE124" s="1689">
        <f ca="1">Costs!BE123/('Global assumptions'!$C$7*NAIRA2010_*250)</f>
        <v>11.722857354602251</v>
      </c>
      <c r="BF124" s="1689">
        <f ca="1">Costs!BF123/('Global assumptions'!$C$7*NAIRA2010_*250)</f>
        <v>22.814094295233129</v>
      </c>
      <c r="BG124" s="1689">
        <f ca="1">Costs!BG123/('Global assumptions'!$C$7*NAIRA2010_*250)</f>
        <v>10.921219694256095</v>
      </c>
      <c r="BH124" s="675"/>
      <c r="BI124" s="1689">
        <f ca="1">Costs!BI123/('Global assumptions'!$C$7*NAIRA2010_*250)</f>
        <v>0</v>
      </c>
      <c r="BJ124" s="1689">
        <f ca="1">Costs!BJ123/('Global assumptions'!$C$7*NAIRA2010_*250)</f>
        <v>16.405311371907572</v>
      </c>
      <c r="BK124" s="1689">
        <f ca="1">Costs!BK123/('Global assumptions'!$C$7*NAIRA2010_*250)</f>
        <v>35.34773797610039</v>
      </c>
      <c r="BL124" s="1689">
        <f ca="1">Costs!BL123/('Global assumptions'!$C$7*NAIRA2010_*250)</f>
        <v>40.421968440670888</v>
      </c>
      <c r="BM124" s="1689">
        <f ca="1">Costs!BM123/('Global assumptions'!$C$7*NAIRA2010_*250)</f>
        <v>36.542883614238235</v>
      </c>
      <c r="BN124" s="1689">
        <f ca="1">Costs!BN123/('Global assumptions'!$C$7*NAIRA2010_*250)</f>
        <v>37.938843598622206</v>
      </c>
      <c r="BO124" s="1689">
        <f ca="1">Costs!BO123/('Global assumptions'!$C$7*NAIRA2010_*250)</f>
        <v>34.598359175464303</v>
      </c>
      <c r="BP124" s="1689">
        <f ca="1">Costs!BP123/('Global assumptions'!$C$7*NAIRA2010_*250)</f>
        <v>34.53695164983538</v>
      </c>
      <c r="BQ124" s="1689">
        <f ca="1">Costs!BQ123/('Global assumptions'!$C$7*NAIRA2010_*250)</f>
        <v>33.735313989489228</v>
      </c>
      <c r="BR124" s="675"/>
      <c r="BS124" s="1689">
        <f ca="1">Costs!BS123/('Global assumptions'!$C$7*NAIRA2010_*250)</f>
        <v>4.8128167743835508</v>
      </c>
      <c r="BT124" s="1689">
        <f ca="1">Costs!BT123/('Global assumptions'!$C$7*NAIRA2010_*250)</f>
        <v>22.482469614828659</v>
      </c>
      <c r="BU124" s="1689">
        <f ca="1">Costs!BU123/('Global assumptions'!$C$7*NAIRA2010_*250)</f>
        <v>42.689237687559007</v>
      </c>
      <c r="BV124" s="1689">
        <f ca="1">Costs!BV123/('Global assumptions'!$C$7*NAIRA2010_*250)</f>
        <v>49.027809620667036</v>
      </c>
      <c r="BW124" s="1689">
        <f ca="1">Costs!BW123/('Global assumptions'!$C$7*NAIRA2010_*250)</f>
        <v>45.811863569651621</v>
      </c>
      <c r="BX124" s="1689">
        <f ca="1">Costs!BX123/('Global assumptions'!$C$7*NAIRA2010_*250)</f>
        <v>48.325809254598127</v>
      </c>
      <c r="BY124" s="1689">
        <f ca="1">Costs!BY123/('Global assumptions'!$C$7*NAIRA2010_*250)</f>
        <v>45.209396302932454</v>
      </c>
      <c r="BZ124" s="1689">
        <f ca="1">Costs!BZ123/('Global assumptions'!$C$7*NAIRA2010_*250)</f>
        <v>46.119618709891064</v>
      </c>
      <c r="CA124" s="1689">
        <f ca="1">Costs!CA123/('Global assumptions'!$C$7*NAIRA2010_*250)</f>
        <v>45.37093297050383</v>
      </c>
      <c r="CC124" s="1706">
        <f t="shared" ca="1" si="23"/>
        <v>38.87221716722393</v>
      </c>
      <c r="CD124" s="1706">
        <f t="shared" ca="1" si="20"/>
        <v>305.96648891208957</v>
      </c>
      <c r="CF124" s="1689">
        <f ca="1">Costs!CF123/('Global assumptions'!$C$7*NAIRA2010_*250)</f>
        <v>0</v>
      </c>
      <c r="CG124" s="1689">
        <f ca="1">Costs!CG123/('Global assumptions'!$C$7*NAIRA2010_*250)</f>
        <v>-3.7553959510256685</v>
      </c>
      <c r="CH124" s="1689">
        <f ca="1">Costs!CH123/('Global assumptions'!$C$7*NAIRA2010_*250)</f>
        <v>12.069135693230706</v>
      </c>
      <c r="CI124" s="1689">
        <f ca="1">Costs!CI123/('Global assumptions'!$C$7*NAIRA2010_*250)</f>
        <v>14.025471197864746</v>
      </c>
      <c r="CJ124" s="1689">
        <f ca="1">Costs!CJ123/('Global assumptions'!$C$7*NAIRA2010_*250)</f>
        <v>18.031340736315801</v>
      </c>
      <c r="CK124" s="1689">
        <f ca="1">Costs!CK123/('Global assumptions'!$C$7*NAIRA2010_*250)</f>
        <v>9.8268323956309125</v>
      </c>
      <c r="CL124" s="1689">
        <f ca="1">Costs!CL123/('Global assumptions'!$C$7*NAIRA2010_*250)</f>
        <v>20.191982438272859</v>
      </c>
      <c r="CM124" s="1689">
        <f ca="1">Costs!CM123/('Global assumptions'!$C$7*NAIRA2010_*250)</f>
        <v>6.5004049792485157</v>
      </c>
      <c r="CN124" s="1689">
        <f ca="1">Costs!CN123/('Global assumptions'!$C$7*NAIRA2010_*250)</f>
        <v>20.314080531989195</v>
      </c>
      <c r="CP124" s="1706">
        <f t="shared" ca="1" si="24"/>
        <v>10.800428002391897</v>
      </c>
      <c r="CQ124" s="1706">
        <f t="shared" ca="1" si="21"/>
        <v>58.054742565535449</v>
      </c>
      <c r="CR124" s="1426" t="str">
        <f t="shared" ca="1" si="25"/>
        <v>ok</v>
      </c>
    </row>
    <row r="125" spans="1:96" x14ac:dyDescent="0.2">
      <c r="A125" s="1685" t="s">
        <v>1707</v>
      </c>
      <c r="B125" s="1685" t="s">
        <v>1710</v>
      </c>
      <c r="C125" s="1685" t="s">
        <v>1732</v>
      </c>
      <c r="E125" s="1691">
        <f ca="1">Costs!E124/('Global assumptions'!$C$7*NAIRA2010_*250)</f>
        <v>0</v>
      </c>
      <c r="F125" s="1691">
        <f ca="1">Costs!F124/('Global assumptions'!$C$7*NAIRA2010_*250)</f>
        <v>1.6154243607746188</v>
      </c>
      <c r="G125" s="1691">
        <f ca="1">Costs!G124/('Global assumptions'!$C$7*NAIRA2010_*250)</f>
        <v>1.6154243607746188</v>
      </c>
      <c r="H125" s="1691">
        <f ca="1">Costs!H124/('Global assumptions'!$C$7*NAIRA2010_*250)</f>
        <v>1.504168070137325</v>
      </c>
      <c r="I125" s="1691">
        <f ca="1">Costs!I124/('Global assumptions'!$C$7*NAIRA2010_*250)</f>
        <v>1.2895009918819085</v>
      </c>
      <c r="J125" s="1691">
        <f ca="1">Costs!J124/('Global assumptions'!$C$7*NAIRA2010_*250)</f>
        <v>1.116198228673742</v>
      </c>
      <c r="K125" s="1691">
        <f ca="1">Costs!K124/('Global assumptions'!$C$7*NAIRA2010_*250)</f>
        <v>1.0674020537577935</v>
      </c>
      <c r="L125" s="1691">
        <f ca="1">Costs!L124/('Global assumptions'!$C$7*NAIRA2010_*250)</f>
        <v>1.0591429075881493</v>
      </c>
      <c r="M125" s="1691">
        <f ca="1">Costs!M124/('Global assumptions'!$C$7*NAIRA2010_*250)</f>
        <v>1.0512974045689782</v>
      </c>
      <c r="N125" s="675"/>
      <c r="O125" s="1691">
        <f ca="1">Costs!O124/('Global assumptions'!$C$7*NAIRA2010_*250)</f>
        <v>2.593217452121575</v>
      </c>
      <c r="P125" s="1691">
        <f ca="1">Costs!P124/('Global assumptions'!$C$7*NAIRA2010_*250)</f>
        <v>2.593217452121575</v>
      </c>
      <c r="Q125" s="1691">
        <f ca="1">Costs!Q124/('Global assumptions'!$C$7*NAIRA2010_*250)</f>
        <v>2.4146193316867719</v>
      </c>
      <c r="R125" s="1691">
        <f ca="1">Costs!R124/('Global assumptions'!$C$7*NAIRA2010_*250)</f>
        <v>2.0700173637797388</v>
      </c>
      <c r="S125" s="1691">
        <f ca="1">Costs!S124/('Global assumptions'!$C$7*NAIRA2010_*250)</f>
        <v>1.7918169348615993</v>
      </c>
      <c r="T125" s="1691">
        <f ca="1">Costs!T124/('Global assumptions'!$C$7*NAIRA2010_*250)</f>
        <v>1.7134851383000218</v>
      </c>
      <c r="U125" s="1691">
        <f ca="1">Costs!U124/('Global assumptions'!$C$7*NAIRA2010_*250)</f>
        <v>1.7002268499475579</v>
      </c>
      <c r="V125" s="1691">
        <f ca="1">Costs!V124/('Global assumptions'!$C$7*NAIRA2010_*250)</f>
        <v>1.6876325769849836</v>
      </c>
      <c r="W125" s="1691">
        <f ca="1">Costs!W124/('Global assumptions'!$C$7*NAIRA2010_*250)</f>
        <v>1.6750383040224093</v>
      </c>
      <c r="X125" s="675"/>
      <c r="Y125" s="1691">
        <f ca="1">Costs!Y124/('Global assumptions'!$C$7*NAIRA2010_*250)</f>
        <v>0</v>
      </c>
      <c r="Z125" s="1691">
        <f ca="1">Costs!Z124/('Global assumptions'!$C$7*NAIRA2010_*250)</f>
        <v>0</v>
      </c>
      <c r="AA125" s="1691">
        <f ca="1">Costs!AA124/('Global assumptions'!$C$7*NAIRA2010_*250)</f>
        <v>0</v>
      </c>
      <c r="AB125" s="1691">
        <f ca="1">Costs!AB124/('Global assumptions'!$C$7*NAIRA2010_*250)</f>
        <v>0</v>
      </c>
      <c r="AC125" s="1691">
        <f ca="1">Costs!AC124/('Global assumptions'!$C$7*NAIRA2010_*250)</f>
        <v>0</v>
      </c>
      <c r="AD125" s="1691">
        <f ca="1">Costs!AD124/('Global assumptions'!$C$7*NAIRA2010_*250)</f>
        <v>0</v>
      </c>
      <c r="AE125" s="1691">
        <f ca="1">Costs!AE124/('Global assumptions'!$C$7*NAIRA2010_*250)</f>
        <v>0</v>
      </c>
      <c r="AF125" s="1691">
        <f ca="1">Costs!AF124/('Global assumptions'!$C$7*NAIRA2010_*250)</f>
        <v>0</v>
      </c>
      <c r="AG125" s="1691">
        <f ca="1">Costs!AG124/('Global assumptions'!$C$7*NAIRA2010_*250)</f>
        <v>0</v>
      </c>
      <c r="AH125" s="675"/>
      <c r="AI125" s="1691">
        <f ca="1">Costs!AI124/('Global assumptions'!$C$7*NAIRA2010_*250)</f>
        <v>2.593217452121575</v>
      </c>
      <c r="AJ125" s="1691">
        <f ca="1">Costs!AJ124/('Global assumptions'!$C$7*NAIRA2010_*250)</f>
        <v>4.2086418128961931</v>
      </c>
      <c r="AK125" s="1691">
        <f ca="1">Costs!AK124/('Global assumptions'!$C$7*NAIRA2010_*250)</f>
        <v>4.0300436924613905</v>
      </c>
      <c r="AL125" s="1691">
        <f ca="1">Costs!AL124/('Global assumptions'!$C$7*NAIRA2010_*250)</f>
        <v>3.5741854339170636</v>
      </c>
      <c r="AM125" s="1691">
        <f ca="1">Costs!AM124/('Global assumptions'!$C$7*NAIRA2010_*250)</f>
        <v>3.0813179267435076</v>
      </c>
      <c r="AN125" s="1691">
        <f ca="1">Costs!AN124/('Global assumptions'!$C$7*NAIRA2010_*250)</f>
        <v>2.8296833669737635</v>
      </c>
      <c r="AO125" s="1691">
        <f ca="1">Costs!AO124/('Global assumptions'!$C$7*NAIRA2010_*250)</f>
        <v>2.7676289037053516</v>
      </c>
      <c r="AP125" s="1691">
        <f ca="1">Costs!AP124/('Global assumptions'!$C$7*NAIRA2010_*250)</f>
        <v>2.7467754845731331</v>
      </c>
      <c r="AQ125" s="1691">
        <f ca="1">Costs!AQ124/('Global assumptions'!$C$7*NAIRA2010_*250)</f>
        <v>2.7263357085913875</v>
      </c>
      <c r="AS125" s="1707">
        <f t="shared" ca="1" si="22"/>
        <v>3.1730921979981521</v>
      </c>
      <c r="AT125" s="1707">
        <f t="shared" ca="1" si="19"/>
        <v>33.355538986815361</v>
      </c>
      <c r="AU125" s="675"/>
      <c r="AV125" s="1699">
        <f>IFERROR(VLOOKUP($A125,Cost.FinanceCostTable,7,FALSE),'Global assumptions'!$D$35)</f>
        <v>0</v>
      </c>
      <c r="AW125" s="1690">
        <f>IFERROR(VLOOKUP($A125,Cost.FinanceCostTable,8,FALSE),'Global assumptions'!$E$35)</f>
        <v>5</v>
      </c>
      <c r="AX125" s="675"/>
      <c r="AY125" s="1691">
        <f ca="1">Costs!AY124/('Global assumptions'!$C$7*NAIRA2010_*250)</f>
        <v>0</v>
      </c>
      <c r="AZ125" s="1691">
        <f ca="1">Costs!AZ124/('Global assumptions'!$C$7*NAIRA2010_*250)</f>
        <v>1.0619297099345408</v>
      </c>
      <c r="BA125" s="1691">
        <f ca="1">Costs!BA124/('Global assumptions'!$C$7*NAIRA2010_*250)</f>
        <v>1.0619297099345408</v>
      </c>
      <c r="BB125" s="1691">
        <f ca="1">Costs!BB124/('Global assumptions'!$C$7*NAIRA2010_*250)</f>
        <v>0.98879328627171958</v>
      </c>
      <c r="BC125" s="1691">
        <f ca="1">Costs!BC124/('Global assumptions'!$C$7*NAIRA2010_*250)</f>
        <v>0.84767782851363616</v>
      </c>
      <c r="BD125" s="1691">
        <f ca="1">Costs!BD124/('Global assumptions'!$C$7*NAIRA2010_*250)</f>
        <v>0.73375398439365824</v>
      </c>
      <c r="BE125" s="1691">
        <f ca="1">Costs!BE124/('Global assumptions'!$C$7*NAIRA2010_*250)</f>
        <v>0.70167689732437521</v>
      </c>
      <c r="BF125" s="1691">
        <f ca="1">Costs!BF124/('Global assumptions'!$C$7*NAIRA2010_*250)</f>
        <v>0.69624759162043526</v>
      </c>
      <c r="BG125" s="1691">
        <f ca="1">Costs!BG124/('Global assumptions'!$C$7*NAIRA2010_*250)</f>
        <v>0.69109020205287663</v>
      </c>
      <c r="BH125" s="675"/>
      <c r="BI125" s="1691">
        <f ca="1">Costs!BI124/('Global assumptions'!$C$7*NAIRA2010_*250)</f>
        <v>0</v>
      </c>
      <c r="BJ125" s="1691">
        <f ca="1">Costs!BJ124/('Global assumptions'!$C$7*NAIRA2010_*250)</f>
        <v>1.0619297099345408</v>
      </c>
      <c r="BK125" s="1691">
        <f ca="1">Costs!BK124/('Global assumptions'!$C$7*NAIRA2010_*250)</f>
        <v>2.1238594198690817</v>
      </c>
      <c r="BL125" s="1691">
        <f ca="1">Costs!BL124/('Global assumptions'!$C$7*NAIRA2010_*250)</f>
        <v>3.1126527061408016</v>
      </c>
      <c r="BM125" s="1691">
        <f ca="1">Costs!BM124/('Global assumptions'!$C$7*NAIRA2010_*250)</f>
        <v>2.8984008247198965</v>
      </c>
      <c r="BN125" s="1691">
        <f ca="1">Costs!BN124/('Global assumptions'!$C$7*NAIRA2010_*250)</f>
        <v>2.5702250991790137</v>
      </c>
      <c r="BO125" s="1691">
        <f ca="1">Costs!BO124/('Global assumptions'!$C$7*NAIRA2010_*250)</f>
        <v>2.2831087102316694</v>
      </c>
      <c r="BP125" s="1691">
        <f ca="1">Costs!BP124/('Global assumptions'!$C$7*NAIRA2010_*250)</f>
        <v>2.1316784733384688</v>
      </c>
      <c r="BQ125" s="1691">
        <f ca="1">Costs!BQ124/('Global assumptions'!$C$7*NAIRA2010_*250)</f>
        <v>2.0890146909976872</v>
      </c>
      <c r="BR125" s="675"/>
      <c r="BS125" s="1691">
        <f ca="1">Costs!BS124/('Global assumptions'!$C$7*NAIRA2010_*250)</f>
        <v>2.593217452121575</v>
      </c>
      <c r="BT125" s="1691">
        <f ca="1">Costs!BT124/('Global assumptions'!$C$7*NAIRA2010_*250)</f>
        <v>3.6551471620561156</v>
      </c>
      <c r="BU125" s="1691">
        <f ca="1">Costs!BU124/('Global assumptions'!$C$7*NAIRA2010_*250)</f>
        <v>4.5384787515558536</v>
      </c>
      <c r="BV125" s="1691">
        <f ca="1">Costs!BV124/('Global assumptions'!$C$7*NAIRA2010_*250)</f>
        <v>5.1826700699205404</v>
      </c>
      <c r="BW125" s="1691">
        <f ca="1">Costs!BW124/('Global assumptions'!$C$7*NAIRA2010_*250)</f>
        <v>4.690217759581496</v>
      </c>
      <c r="BX125" s="1691">
        <f ca="1">Costs!BX124/('Global assumptions'!$C$7*NAIRA2010_*250)</f>
        <v>4.2837102374790357</v>
      </c>
      <c r="BY125" s="1691">
        <f ca="1">Costs!BY124/('Global assumptions'!$C$7*NAIRA2010_*250)</f>
        <v>3.9833355601792273</v>
      </c>
      <c r="BZ125" s="1691">
        <f ca="1">Costs!BZ124/('Global assumptions'!$C$7*NAIRA2010_*250)</f>
        <v>3.819311050323452</v>
      </c>
      <c r="CA125" s="1691">
        <f ca="1">Costs!CA124/('Global assumptions'!$C$7*NAIRA2010_*250)</f>
        <v>3.7640529950200965</v>
      </c>
      <c r="CC125" s="1707">
        <f t="shared" ca="1" si="23"/>
        <v>4.0566823375819316</v>
      </c>
      <c r="CD125" s="1707">
        <f t="shared" ca="1" si="20"/>
        <v>37.244046267561842</v>
      </c>
      <c r="CF125" s="1691">
        <f ca="1">Costs!CF124/('Global assumptions'!$C$7*NAIRA2010_*250)</f>
        <v>0</v>
      </c>
      <c r="CG125" s="1691">
        <f ca="1">Costs!CG124/('Global assumptions'!$C$7*NAIRA2010_*250)</f>
        <v>-0.55349465084007798</v>
      </c>
      <c r="CH125" s="1691">
        <f ca="1">Costs!CH124/('Global assumptions'!$C$7*NAIRA2010_*250)</f>
        <v>0.50843505909446285</v>
      </c>
      <c r="CI125" s="1691">
        <f ca="1">Costs!CI124/('Global assumptions'!$C$7*NAIRA2010_*250)</f>
        <v>1.6084846360034766</v>
      </c>
      <c r="CJ125" s="1691">
        <f ca="1">Costs!CJ124/('Global assumptions'!$C$7*NAIRA2010_*250)</f>
        <v>1.6088998328379882</v>
      </c>
      <c r="CK125" s="1691">
        <f ca="1">Costs!CK124/('Global assumptions'!$C$7*NAIRA2010_*250)</f>
        <v>1.4540268705052719</v>
      </c>
      <c r="CL125" s="1691">
        <f ca="1">Costs!CL124/('Global assumptions'!$C$7*NAIRA2010_*250)</f>
        <v>1.2157066564738759</v>
      </c>
      <c r="CM125" s="1691">
        <f ca="1">Costs!CM124/('Global assumptions'!$C$7*NAIRA2010_*250)</f>
        <v>1.0725355657503193</v>
      </c>
      <c r="CN125" s="1691">
        <f ca="1">Costs!CN124/('Global assumptions'!$C$7*NAIRA2010_*250)</f>
        <v>1.037717286428709</v>
      </c>
      <c r="CP125" s="1707">
        <f t="shared" ca="1" si="24"/>
        <v>0.88359013958378063</v>
      </c>
      <c r="CQ125" s="1707">
        <f t="shared" ca="1" si="21"/>
        <v>3.8885072807464836</v>
      </c>
      <c r="CR125" s="1426" t="str">
        <f t="shared" ca="1" si="25"/>
        <v>ok</v>
      </c>
    </row>
    <row r="126" spans="1:96" x14ac:dyDescent="0.2">
      <c r="A126" s="1683" t="s">
        <v>1708</v>
      </c>
      <c r="B126" s="1683" t="s">
        <v>1711</v>
      </c>
      <c r="C126" s="1683" t="s">
        <v>1732</v>
      </c>
      <c r="E126" s="1689">
        <f ca="1">Costs!E125/('Global assumptions'!$C$7*NAIRA2010_*250)</f>
        <v>0</v>
      </c>
      <c r="F126" s="1689">
        <f ca="1">Costs!F125/('Global assumptions'!$C$7*NAIRA2010_*250)</f>
        <v>0</v>
      </c>
      <c r="G126" s="1689">
        <f ca="1">Costs!G125/('Global assumptions'!$C$7*NAIRA2010_*250)</f>
        <v>0</v>
      </c>
      <c r="H126" s="1689">
        <f ca="1">Costs!H125/('Global assumptions'!$C$7*NAIRA2010_*250)</f>
        <v>0</v>
      </c>
      <c r="I126" s="1689">
        <f ca="1">Costs!I125/('Global assumptions'!$C$7*NAIRA2010_*250)</f>
        <v>0</v>
      </c>
      <c r="J126" s="1689">
        <f ca="1">Costs!J125/('Global assumptions'!$C$7*NAIRA2010_*250)</f>
        <v>0</v>
      </c>
      <c r="K126" s="1689">
        <f ca="1">Costs!K125/('Global assumptions'!$C$7*NAIRA2010_*250)</f>
        <v>0</v>
      </c>
      <c r="L126" s="1689">
        <f ca="1">Costs!L125/('Global assumptions'!$C$7*NAIRA2010_*250)</f>
        <v>0</v>
      </c>
      <c r="M126" s="1689">
        <f ca="1">Costs!M125/('Global assumptions'!$C$7*NAIRA2010_*250)</f>
        <v>0</v>
      </c>
      <c r="N126" s="675"/>
      <c r="O126" s="1689">
        <f ca="1">Costs!O125/('Global assumptions'!$C$7*NAIRA2010_*250)</f>
        <v>0</v>
      </c>
      <c r="P126" s="1689">
        <f ca="1">Costs!P125/('Global assumptions'!$C$7*NAIRA2010_*250)</f>
        <v>0</v>
      </c>
      <c r="Q126" s="1689">
        <f ca="1">Costs!Q125/('Global assumptions'!$C$7*NAIRA2010_*250)</f>
        <v>0</v>
      </c>
      <c r="R126" s="1689">
        <f ca="1">Costs!R125/('Global assumptions'!$C$7*NAIRA2010_*250)</f>
        <v>0</v>
      </c>
      <c r="S126" s="1689">
        <f ca="1">Costs!S125/('Global assumptions'!$C$7*NAIRA2010_*250)</f>
        <v>0</v>
      </c>
      <c r="T126" s="1689">
        <f ca="1">Costs!T125/('Global assumptions'!$C$7*NAIRA2010_*250)</f>
        <v>0</v>
      </c>
      <c r="U126" s="1689">
        <f ca="1">Costs!U125/('Global assumptions'!$C$7*NAIRA2010_*250)</f>
        <v>0</v>
      </c>
      <c r="V126" s="1689">
        <f ca="1">Costs!V125/('Global assumptions'!$C$7*NAIRA2010_*250)</f>
        <v>0</v>
      </c>
      <c r="W126" s="1689">
        <f ca="1">Costs!W125/('Global assumptions'!$C$7*NAIRA2010_*250)</f>
        <v>0</v>
      </c>
      <c r="X126" s="675"/>
      <c r="Y126" s="1689">
        <f ca="1">Costs!Y125/('Global assumptions'!$C$7*NAIRA2010_*250)</f>
        <v>0.53427271797237252</v>
      </c>
      <c r="Z126" s="1689">
        <f ca="1">Costs!Z125/('Global assumptions'!$C$7*NAIRA2010_*250)</f>
        <v>0.61795877651298448</v>
      </c>
      <c r="AA126" s="1689">
        <f ca="1">Costs!AA125/('Global assumptions'!$C$7*NAIRA2010_*250)</f>
        <v>0.81532398390401106</v>
      </c>
      <c r="AB126" s="1689">
        <f ca="1">Costs!AB125/('Global assumptions'!$C$7*NAIRA2010_*250)</f>
        <v>2.2266615587654792</v>
      </c>
      <c r="AC126" s="1689">
        <f ca="1">Costs!AC125/('Global assumptions'!$C$7*NAIRA2010_*250)</f>
        <v>4.7870795674317694</v>
      </c>
      <c r="AD126" s="1689">
        <f ca="1">Costs!AD125/('Global assumptions'!$C$7*NAIRA2010_*250)</f>
        <v>7.110221122214833</v>
      </c>
      <c r="AE126" s="1689">
        <f ca="1">Costs!AE125/('Global assumptions'!$C$7*NAIRA2010_*250)</f>
        <v>9.4333626769978984</v>
      </c>
      <c r="AF126" s="1689">
        <f ca="1">Costs!AF125/('Global assumptions'!$C$7*NAIRA2010_*250)</f>
        <v>11.756504231780962</v>
      </c>
      <c r="AG126" s="1689">
        <f ca="1">Costs!AG125/('Global assumptions'!$C$7*NAIRA2010_*250)</f>
        <v>14.426973305864795</v>
      </c>
      <c r="AH126" s="675"/>
      <c r="AI126" s="1689">
        <f ca="1">Costs!AI125/('Global assumptions'!$C$7*NAIRA2010_*250)</f>
        <v>0.53427271797237252</v>
      </c>
      <c r="AJ126" s="1689">
        <f ca="1">Costs!AJ125/('Global assumptions'!$C$7*NAIRA2010_*250)</f>
        <v>0.61795877651298448</v>
      </c>
      <c r="AK126" s="1689">
        <f ca="1">Costs!AK125/('Global assumptions'!$C$7*NAIRA2010_*250)</f>
        <v>0.81532398390401106</v>
      </c>
      <c r="AL126" s="1689">
        <f ca="1">Costs!AL125/('Global assumptions'!$C$7*NAIRA2010_*250)</f>
        <v>2.2266615587654792</v>
      </c>
      <c r="AM126" s="1689">
        <f ca="1">Costs!AM125/('Global assumptions'!$C$7*NAIRA2010_*250)</f>
        <v>4.7870795674317694</v>
      </c>
      <c r="AN126" s="1689">
        <f ca="1">Costs!AN125/('Global assumptions'!$C$7*NAIRA2010_*250)</f>
        <v>7.110221122214833</v>
      </c>
      <c r="AO126" s="1689">
        <f ca="1">Costs!AO125/('Global assumptions'!$C$7*NAIRA2010_*250)</f>
        <v>9.4333626769978984</v>
      </c>
      <c r="AP126" s="1689">
        <f ca="1">Costs!AP125/('Global assumptions'!$C$7*NAIRA2010_*250)</f>
        <v>11.756504231780962</v>
      </c>
      <c r="AQ126" s="1689">
        <f ca="1">Costs!AQ125/('Global assumptions'!$C$7*NAIRA2010_*250)</f>
        <v>14.426973305864795</v>
      </c>
      <c r="AS126" s="1706">
        <f t="shared" ca="1" si="22"/>
        <v>5.7453731046050116</v>
      </c>
      <c r="AT126" s="1706">
        <f t="shared" ca="1" si="19"/>
        <v>22.2138104308302</v>
      </c>
      <c r="AU126" s="675"/>
      <c r="AV126" s="1699">
        <f>IFERROR(VLOOKUP($A126,Cost.FinanceCostTable,7,FALSE),'Global assumptions'!$D$35)</f>
        <v>0</v>
      </c>
      <c r="AW126" s="1690">
        <f>IFERROR(VLOOKUP($A126,Cost.FinanceCostTable,8,FALSE),'Global assumptions'!$E$35)</f>
        <v>5</v>
      </c>
      <c r="AX126" s="675"/>
      <c r="AY126" s="1689">
        <f ca="1">Costs!AY125/('Global assumptions'!$C$7*NAIRA2010_*250)</f>
        <v>0</v>
      </c>
      <c r="AZ126" s="1689">
        <f ca="1">Costs!AZ125/('Global assumptions'!$C$7*NAIRA2010_*250)</f>
        <v>0</v>
      </c>
      <c r="BA126" s="1689">
        <f ca="1">Costs!BA125/('Global assumptions'!$C$7*NAIRA2010_*250)</f>
        <v>0</v>
      </c>
      <c r="BB126" s="1689">
        <f ca="1">Costs!BB125/('Global assumptions'!$C$7*NAIRA2010_*250)</f>
        <v>0</v>
      </c>
      <c r="BC126" s="1689">
        <f ca="1">Costs!BC125/('Global assumptions'!$C$7*NAIRA2010_*250)</f>
        <v>0</v>
      </c>
      <c r="BD126" s="1689">
        <f ca="1">Costs!BD125/('Global assumptions'!$C$7*NAIRA2010_*250)</f>
        <v>0</v>
      </c>
      <c r="BE126" s="1689">
        <f ca="1">Costs!BE125/('Global assumptions'!$C$7*NAIRA2010_*250)</f>
        <v>0</v>
      </c>
      <c r="BF126" s="1689">
        <f ca="1">Costs!BF125/('Global assumptions'!$C$7*NAIRA2010_*250)</f>
        <v>0</v>
      </c>
      <c r="BG126" s="1689">
        <f ca="1">Costs!BG125/('Global assumptions'!$C$7*NAIRA2010_*250)</f>
        <v>0</v>
      </c>
      <c r="BH126" s="675"/>
      <c r="BI126" s="1689">
        <f ca="1">Costs!BI125/('Global assumptions'!$C$7*NAIRA2010_*250)</f>
        <v>0</v>
      </c>
      <c r="BJ126" s="1689">
        <f ca="1">Costs!BJ125/('Global assumptions'!$C$7*NAIRA2010_*250)</f>
        <v>0</v>
      </c>
      <c r="BK126" s="1689">
        <f ca="1">Costs!BK125/('Global assumptions'!$C$7*NAIRA2010_*250)</f>
        <v>0</v>
      </c>
      <c r="BL126" s="1689">
        <f ca="1">Costs!BL125/('Global assumptions'!$C$7*NAIRA2010_*250)</f>
        <v>0</v>
      </c>
      <c r="BM126" s="1689">
        <f ca="1">Costs!BM125/('Global assumptions'!$C$7*NAIRA2010_*250)</f>
        <v>0</v>
      </c>
      <c r="BN126" s="1689">
        <f ca="1">Costs!BN125/('Global assumptions'!$C$7*NAIRA2010_*250)</f>
        <v>0</v>
      </c>
      <c r="BO126" s="1689">
        <f ca="1">Costs!BO125/('Global assumptions'!$C$7*NAIRA2010_*250)</f>
        <v>0</v>
      </c>
      <c r="BP126" s="1689">
        <f ca="1">Costs!BP125/('Global assumptions'!$C$7*NAIRA2010_*250)</f>
        <v>0</v>
      </c>
      <c r="BQ126" s="1689">
        <f ca="1">Costs!BQ125/('Global assumptions'!$C$7*NAIRA2010_*250)</f>
        <v>0</v>
      </c>
      <c r="BR126" s="675"/>
      <c r="BS126" s="1689">
        <f ca="1">Costs!BS125/('Global assumptions'!$C$7*NAIRA2010_*250)</f>
        <v>0.53427271797237252</v>
      </c>
      <c r="BT126" s="1689">
        <f ca="1">Costs!BT125/('Global assumptions'!$C$7*NAIRA2010_*250)</f>
        <v>0.61795877651298448</v>
      </c>
      <c r="BU126" s="1689">
        <f ca="1">Costs!BU125/('Global assumptions'!$C$7*NAIRA2010_*250)</f>
        <v>0.81532398390401106</v>
      </c>
      <c r="BV126" s="1689">
        <f ca="1">Costs!BV125/('Global assumptions'!$C$7*NAIRA2010_*250)</f>
        <v>2.2266615587654792</v>
      </c>
      <c r="BW126" s="1689">
        <f ca="1">Costs!BW125/('Global assumptions'!$C$7*NAIRA2010_*250)</f>
        <v>4.7870795674317694</v>
      </c>
      <c r="BX126" s="1689">
        <f ca="1">Costs!BX125/('Global assumptions'!$C$7*NAIRA2010_*250)</f>
        <v>7.110221122214833</v>
      </c>
      <c r="BY126" s="1689">
        <f ca="1">Costs!BY125/('Global assumptions'!$C$7*NAIRA2010_*250)</f>
        <v>9.4333626769978984</v>
      </c>
      <c r="BZ126" s="1689">
        <f ca="1">Costs!BZ125/('Global assumptions'!$C$7*NAIRA2010_*250)</f>
        <v>11.756504231780962</v>
      </c>
      <c r="CA126" s="1689">
        <f ca="1">Costs!CA125/('Global assumptions'!$C$7*NAIRA2010_*250)</f>
        <v>14.426973305864795</v>
      </c>
      <c r="CC126" s="1706">
        <f t="shared" ca="1" si="23"/>
        <v>5.7453731046050116</v>
      </c>
      <c r="CD126" s="1706">
        <f t="shared" ca="1" si="20"/>
        <v>22.2138104308302</v>
      </c>
      <c r="CF126" s="1689">
        <f ca="1">Costs!CF125/('Global assumptions'!$C$7*NAIRA2010_*250)</f>
        <v>0</v>
      </c>
      <c r="CG126" s="1689">
        <f ca="1">Costs!CG125/('Global assumptions'!$C$7*NAIRA2010_*250)</f>
        <v>0</v>
      </c>
      <c r="CH126" s="1689">
        <f ca="1">Costs!CH125/('Global assumptions'!$C$7*NAIRA2010_*250)</f>
        <v>0</v>
      </c>
      <c r="CI126" s="1689">
        <f ca="1">Costs!CI125/('Global assumptions'!$C$7*NAIRA2010_*250)</f>
        <v>0</v>
      </c>
      <c r="CJ126" s="1689">
        <f ca="1">Costs!CJ125/('Global assumptions'!$C$7*NAIRA2010_*250)</f>
        <v>0</v>
      </c>
      <c r="CK126" s="1689">
        <f ca="1">Costs!CK125/('Global assumptions'!$C$7*NAIRA2010_*250)</f>
        <v>0</v>
      </c>
      <c r="CL126" s="1689">
        <f ca="1">Costs!CL125/('Global assumptions'!$C$7*NAIRA2010_*250)</f>
        <v>0</v>
      </c>
      <c r="CM126" s="1689">
        <f ca="1">Costs!CM125/('Global assumptions'!$C$7*NAIRA2010_*250)</f>
        <v>0</v>
      </c>
      <c r="CN126" s="1689">
        <f ca="1">Costs!CN125/('Global assumptions'!$C$7*NAIRA2010_*250)</f>
        <v>0</v>
      </c>
      <c r="CP126" s="1706">
        <f t="shared" ca="1" si="24"/>
        <v>0</v>
      </c>
      <c r="CQ126" s="1706">
        <f t="shared" ca="1" si="21"/>
        <v>0</v>
      </c>
      <c r="CR126" s="1426" t="str">
        <f t="shared" ca="1" si="25"/>
        <v>ok</v>
      </c>
    </row>
    <row r="127" spans="1:96" x14ac:dyDescent="0.2">
      <c r="A127" s="1685" t="s">
        <v>1709</v>
      </c>
      <c r="B127" s="1685" t="s">
        <v>1712</v>
      </c>
      <c r="C127" s="1685" t="s">
        <v>1732</v>
      </c>
      <c r="E127" s="1691">
        <f ca="1">Costs!E126/('Global assumptions'!$C$7*NAIRA2010_*250)</f>
        <v>0</v>
      </c>
      <c r="F127" s="1691">
        <f ca="1">Costs!F126/('Global assumptions'!$C$7*NAIRA2010_*250)</f>
        <v>0</v>
      </c>
      <c r="G127" s="1691">
        <f ca="1">Costs!G126/('Global assumptions'!$C$7*NAIRA2010_*250)</f>
        <v>0</v>
      </c>
      <c r="H127" s="1691">
        <f ca="1">Costs!H126/('Global assumptions'!$C$7*NAIRA2010_*250)</f>
        <v>0</v>
      </c>
      <c r="I127" s="1691">
        <f ca="1">Costs!I126/('Global assumptions'!$C$7*NAIRA2010_*250)</f>
        <v>0</v>
      </c>
      <c r="J127" s="1691">
        <f ca="1">Costs!J126/('Global assumptions'!$C$7*NAIRA2010_*250)</f>
        <v>0</v>
      </c>
      <c r="K127" s="1691">
        <f ca="1">Costs!K126/('Global assumptions'!$C$7*NAIRA2010_*250)</f>
        <v>0</v>
      </c>
      <c r="L127" s="1691">
        <f ca="1">Costs!L126/('Global assumptions'!$C$7*NAIRA2010_*250)</f>
        <v>0</v>
      </c>
      <c r="M127" s="1691">
        <f ca="1">Costs!M126/('Global assumptions'!$C$7*NAIRA2010_*250)</f>
        <v>0</v>
      </c>
      <c r="N127" s="675"/>
      <c r="O127" s="1691">
        <f ca="1">Costs!O126/('Global assumptions'!$C$7*NAIRA2010_*250)</f>
        <v>0</v>
      </c>
      <c r="P127" s="1691">
        <f ca="1">Costs!P126/('Global assumptions'!$C$7*NAIRA2010_*250)</f>
        <v>0</v>
      </c>
      <c r="Q127" s="1691">
        <f ca="1">Costs!Q126/('Global assumptions'!$C$7*NAIRA2010_*250)</f>
        <v>0</v>
      </c>
      <c r="R127" s="1691">
        <f ca="1">Costs!R126/('Global assumptions'!$C$7*NAIRA2010_*250)</f>
        <v>0</v>
      </c>
      <c r="S127" s="1691">
        <f ca="1">Costs!S126/('Global assumptions'!$C$7*NAIRA2010_*250)</f>
        <v>0</v>
      </c>
      <c r="T127" s="1691">
        <f ca="1">Costs!T126/('Global assumptions'!$C$7*NAIRA2010_*250)</f>
        <v>0</v>
      </c>
      <c r="U127" s="1691">
        <f ca="1">Costs!U126/('Global assumptions'!$C$7*NAIRA2010_*250)</f>
        <v>0</v>
      </c>
      <c r="V127" s="1691">
        <f ca="1">Costs!V126/('Global assumptions'!$C$7*NAIRA2010_*250)</f>
        <v>0</v>
      </c>
      <c r="W127" s="1691">
        <f ca="1">Costs!W126/('Global assumptions'!$C$7*NAIRA2010_*250)</f>
        <v>0</v>
      </c>
      <c r="X127" s="675"/>
      <c r="Y127" s="1691">
        <f ca="1">Costs!Y126/('Global assumptions'!$C$7*NAIRA2010_*250)</f>
        <v>304.52060496047369</v>
      </c>
      <c r="Z127" s="1691">
        <f ca="1">Costs!Z126/('Global assumptions'!$C$7*NAIRA2010_*250)</f>
        <v>382.42149891088172</v>
      </c>
      <c r="AA127" s="1691">
        <f ca="1">Costs!AA126/('Global assumptions'!$C$7*NAIRA2010_*250)</f>
        <v>457.03437576942332</v>
      </c>
      <c r="AB127" s="1691">
        <f ca="1">Costs!AB126/('Global assumptions'!$C$7*NAIRA2010_*250)</f>
        <v>530.53438271438768</v>
      </c>
      <c r="AC127" s="1691">
        <f ca="1">Costs!AC126/('Global assumptions'!$C$7*NAIRA2010_*250)</f>
        <v>602.92151974577484</v>
      </c>
      <c r="AD127" s="1691">
        <f ca="1">Costs!AD126/('Global assumptions'!$C$7*NAIRA2010_*250)</f>
        <v>598.52063274033105</v>
      </c>
      <c r="AE127" s="1691">
        <f ca="1">Costs!AE126/('Global assumptions'!$C$7*NAIRA2010_*250)</f>
        <v>594.11974573488749</v>
      </c>
      <c r="AF127" s="1691">
        <f ca="1">Costs!AF126/('Global assumptions'!$C$7*NAIRA2010_*250)</f>
        <v>589.71885872944392</v>
      </c>
      <c r="AG127" s="1691">
        <f ca="1">Costs!AG126/('Global assumptions'!$C$7*NAIRA2010_*250)</f>
        <v>599.75704513556707</v>
      </c>
      <c r="AH127" s="675"/>
      <c r="AI127" s="1691">
        <f ca="1">Costs!AI126/('Global assumptions'!$C$7*NAIRA2010_*250)</f>
        <v>304.52060496047369</v>
      </c>
      <c r="AJ127" s="1691">
        <f ca="1">Costs!AJ126/('Global assumptions'!$C$7*NAIRA2010_*250)</f>
        <v>382.42149891088172</v>
      </c>
      <c r="AK127" s="1691">
        <f ca="1">Costs!AK126/('Global assumptions'!$C$7*NAIRA2010_*250)</f>
        <v>457.03437576942332</v>
      </c>
      <c r="AL127" s="1691">
        <f ca="1">Costs!AL126/('Global assumptions'!$C$7*NAIRA2010_*250)</f>
        <v>530.53438271438768</v>
      </c>
      <c r="AM127" s="1691">
        <f ca="1">Costs!AM126/('Global assumptions'!$C$7*NAIRA2010_*250)</f>
        <v>602.92151974577484</v>
      </c>
      <c r="AN127" s="1691">
        <f ca="1">Costs!AN126/('Global assumptions'!$C$7*NAIRA2010_*250)</f>
        <v>598.52063274033105</v>
      </c>
      <c r="AO127" s="1691">
        <f ca="1">Costs!AO126/('Global assumptions'!$C$7*NAIRA2010_*250)</f>
        <v>594.11974573488749</v>
      </c>
      <c r="AP127" s="1691">
        <f ca="1">Costs!AP126/('Global assumptions'!$C$7*NAIRA2010_*250)</f>
        <v>589.71885872944392</v>
      </c>
      <c r="AQ127" s="1691">
        <f ca="1">Costs!AQ126/('Global assumptions'!$C$7*NAIRA2010_*250)</f>
        <v>599.75704513556707</v>
      </c>
      <c r="AS127" s="1707">
        <f t="shared" ca="1" si="22"/>
        <v>517.72762938235235</v>
      </c>
      <c r="AT127" s="1707">
        <f t="shared" ca="1" si="19"/>
        <v>4176.0387776649213</v>
      </c>
      <c r="AU127" s="675"/>
      <c r="AV127" s="1699">
        <f>IFERROR(VLOOKUP($A127,Cost.FinanceCostTable,7,FALSE),'Global assumptions'!$D$35)</f>
        <v>0</v>
      </c>
      <c r="AW127" s="1690">
        <f>IFERROR(VLOOKUP($A127,Cost.FinanceCostTable,8,FALSE),'Global assumptions'!$E$35)</f>
        <v>5</v>
      </c>
      <c r="AX127" s="675"/>
      <c r="AY127" s="1691">
        <f ca="1">Costs!AY126/('Global assumptions'!$C$7*NAIRA2010_*250)</f>
        <v>0</v>
      </c>
      <c r="AZ127" s="1691">
        <f ca="1">Costs!AZ126/('Global assumptions'!$C$7*NAIRA2010_*250)</f>
        <v>0</v>
      </c>
      <c r="BA127" s="1691">
        <f ca="1">Costs!BA126/('Global assumptions'!$C$7*NAIRA2010_*250)</f>
        <v>0</v>
      </c>
      <c r="BB127" s="1691">
        <f ca="1">Costs!BB126/('Global assumptions'!$C$7*NAIRA2010_*250)</f>
        <v>0</v>
      </c>
      <c r="BC127" s="1691">
        <f ca="1">Costs!BC126/('Global assumptions'!$C$7*NAIRA2010_*250)</f>
        <v>0</v>
      </c>
      <c r="BD127" s="1691">
        <f ca="1">Costs!BD126/('Global assumptions'!$C$7*NAIRA2010_*250)</f>
        <v>0</v>
      </c>
      <c r="BE127" s="1691">
        <f ca="1">Costs!BE126/('Global assumptions'!$C$7*NAIRA2010_*250)</f>
        <v>0</v>
      </c>
      <c r="BF127" s="1691">
        <f ca="1">Costs!BF126/('Global assumptions'!$C$7*NAIRA2010_*250)</f>
        <v>0</v>
      </c>
      <c r="BG127" s="1691">
        <f ca="1">Costs!BG126/('Global assumptions'!$C$7*NAIRA2010_*250)</f>
        <v>0</v>
      </c>
      <c r="BH127" s="675"/>
      <c r="BI127" s="1691">
        <f ca="1">Costs!BI126/('Global assumptions'!$C$7*NAIRA2010_*250)</f>
        <v>0</v>
      </c>
      <c r="BJ127" s="1691">
        <f ca="1">Costs!BJ126/('Global assumptions'!$C$7*NAIRA2010_*250)</f>
        <v>0</v>
      </c>
      <c r="BK127" s="1691">
        <f ca="1">Costs!BK126/('Global assumptions'!$C$7*NAIRA2010_*250)</f>
        <v>0</v>
      </c>
      <c r="BL127" s="1691">
        <f ca="1">Costs!BL126/('Global assumptions'!$C$7*NAIRA2010_*250)</f>
        <v>0</v>
      </c>
      <c r="BM127" s="1691">
        <f ca="1">Costs!BM126/('Global assumptions'!$C$7*NAIRA2010_*250)</f>
        <v>0</v>
      </c>
      <c r="BN127" s="1691">
        <f ca="1">Costs!BN126/('Global assumptions'!$C$7*NAIRA2010_*250)</f>
        <v>0</v>
      </c>
      <c r="BO127" s="1691">
        <f ca="1">Costs!BO126/('Global assumptions'!$C$7*NAIRA2010_*250)</f>
        <v>0</v>
      </c>
      <c r="BP127" s="1691">
        <f ca="1">Costs!BP126/('Global assumptions'!$C$7*NAIRA2010_*250)</f>
        <v>0</v>
      </c>
      <c r="BQ127" s="1691">
        <f ca="1">Costs!BQ126/('Global assumptions'!$C$7*NAIRA2010_*250)</f>
        <v>0</v>
      </c>
      <c r="BR127" s="675"/>
      <c r="BS127" s="1691">
        <f ca="1">Costs!BS126/('Global assumptions'!$C$7*NAIRA2010_*250)</f>
        <v>304.52060496047369</v>
      </c>
      <c r="BT127" s="1691">
        <f ca="1">Costs!BT126/('Global assumptions'!$C$7*NAIRA2010_*250)</f>
        <v>382.42149891088172</v>
      </c>
      <c r="BU127" s="1691">
        <f ca="1">Costs!BU126/('Global assumptions'!$C$7*NAIRA2010_*250)</f>
        <v>457.03437576942332</v>
      </c>
      <c r="BV127" s="1691">
        <f ca="1">Costs!BV126/('Global assumptions'!$C$7*NAIRA2010_*250)</f>
        <v>530.53438271438768</v>
      </c>
      <c r="BW127" s="1691">
        <f ca="1">Costs!BW126/('Global assumptions'!$C$7*NAIRA2010_*250)</f>
        <v>602.92151974577484</v>
      </c>
      <c r="BX127" s="1691">
        <f ca="1">Costs!BX126/('Global assumptions'!$C$7*NAIRA2010_*250)</f>
        <v>598.52063274033105</v>
      </c>
      <c r="BY127" s="1691">
        <f ca="1">Costs!BY126/('Global assumptions'!$C$7*NAIRA2010_*250)</f>
        <v>594.11974573488749</v>
      </c>
      <c r="BZ127" s="1691">
        <f ca="1">Costs!BZ126/('Global assumptions'!$C$7*NAIRA2010_*250)</f>
        <v>589.71885872944392</v>
      </c>
      <c r="CA127" s="1691">
        <f ca="1">Costs!CA126/('Global assumptions'!$C$7*NAIRA2010_*250)</f>
        <v>599.75704513556707</v>
      </c>
      <c r="CC127" s="1707">
        <f t="shared" ca="1" si="23"/>
        <v>517.72762938235235</v>
      </c>
      <c r="CD127" s="1707">
        <f t="shared" ca="1" si="20"/>
        <v>4176.0387776649213</v>
      </c>
      <c r="CF127" s="1691">
        <f ca="1">Costs!CF126/('Global assumptions'!$C$7*NAIRA2010_*250)</f>
        <v>0</v>
      </c>
      <c r="CG127" s="1691">
        <f ca="1">Costs!CG126/('Global assumptions'!$C$7*NAIRA2010_*250)</f>
        <v>0</v>
      </c>
      <c r="CH127" s="1691">
        <f ca="1">Costs!CH126/('Global assumptions'!$C$7*NAIRA2010_*250)</f>
        <v>0</v>
      </c>
      <c r="CI127" s="1691">
        <f ca="1">Costs!CI126/('Global assumptions'!$C$7*NAIRA2010_*250)</f>
        <v>0</v>
      </c>
      <c r="CJ127" s="1691">
        <f ca="1">Costs!CJ126/('Global assumptions'!$C$7*NAIRA2010_*250)</f>
        <v>0</v>
      </c>
      <c r="CK127" s="1691">
        <f ca="1">Costs!CK126/('Global assumptions'!$C$7*NAIRA2010_*250)</f>
        <v>0</v>
      </c>
      <c r="CL127" s="1691">
        <f ca="1">Costs!CL126/('Global assumptions'!$C$7*NAIRA2010_*250)</f>
        <v>0</v>
      </c>
      <c r="CM127" s="1691">
        <f ca="1">Costs!CM126/('Global assumptions'!$C$7*NAIRA2010_*250)</f>
        <v>0</v>
      </c>
      <c r="CN127" s="1691">
        <f ca="1">Costs!CN126/('Global assumptions'!$C$7*NAIRA2010_*250)</f>
        <v>0</v>
      </c>
      <c r="CP127" s="1707">
        <f t="shared" ca="1" si="24"/>
        <v>0</v>
      </c>
      <c r="CQ127" s="1707">
        <f t="shared" ca="1" si="21"/>
        <v>0</v>
      </c>
      <c r="CR127" s="1426" t="str">
        <f t="shared" ca="1" si="25"/>
        <v>ok</v>
      </c>
    </row>
    <row r="128" spans="1:96" x14ac:dyDescent="0.2">
      <c r="A128" s="1683" t="s">
        <v>439</v>
      </c>
      <c r="B128" s="1683" t="s">
        <v>441</v>
      </c>
      <c r="C128" s="1683" t="s">
        <v>1732</v>
      </c>
      <c r="E128" s="1689">
        <f ca="1">Costs!E127/('Global assumptions'!$C$7*NAIRA2010_*250)</f>
        <v>0</v>
      </c>
      <c r="F128" s="1689">
        <f ca="1">Costs!F127/('Global assumptions'!$C$7*NAIRA2010_*250)</f>
        <v>0</v>
      </c>
      <c r="G128" s="1689">
        <f ca="1">Costs!G127/('Global assumptions'!$C$7*NAIRA2010_*250)</f>
        <v>0</v>
      </c>
      <c r="H128" s="1689">
        <f ca="1">Costs!H127/('Global assumptions'!$C$7*NAIRA2010_*250)</f>
        <v>0</v>
      </c>
      <c r="I128" s="1689">
        <f ca="1">Costs!I127/('Global assumptions'!$C$7*NAIRA2010_*250)</f>
        <v>0</v>
      </c>
      <c r="J128" s="1689">
        <f ca="1">Costs!J127/('Global assumptions'!$C$7*NAIRA2010_*250)</f>
        <v>0</v>
      </c>
      <c r="K128" s="1689">
        <f ca="1">Costs!K127/('Global assumptions'!$C$7*NAIRA2010_*250)</f>
        <v>0</v>
      </c>
      <c r="L128" s="1689">
        <f ca="1">Costs!L127/('Global assumptions'!$C$7*NAIRA2010_*250)</f>
        <v>0</v>
      </c>
      <c r="M128" s="1689">
        <f ca="1">Costs!M127/('Global assumptions'!$C$7*NAIRA2010_*250)</f>
        <v>0</v>
      </c>
      <c r="N128" s="675"/>
      <c r="O128" s="1689">
        <f ca="1">Costs!O127/('Global assumptions'!$C$7*NAIRA2010_*250)</f>
        <v>0</v>
      </c>
      <c r="P128" s="1689">
        <f ca="1">Costs!P127/('Global assumptions'!$C$7*NAIRA2010_*250)</f>
        <v>0</v>
      </c>
      <c r="Q128" s="1689">
        <f ca="1">Costs!Q127/('Global assumptions'!$C$7*NAIRA2010_*250)</f>
        <v>0</v>
      </c>
      <c r="R128" s="1689">
        <f ca="1">Costs!R127/('Global assumptions'!$C$7*NAIRA2010_*250)</f>
        <v>0</v>
      </c>
      <c r="S128" s="1689">
        <f ca="1">Costs!S127/('Global assumptions'!$C$7*NAIRA2010_*250)</f>
        <v>0</v>
      </c>
      <c r="T128" s="1689">
        <f ca="1">Costs!T127/('Global assumptions'!$C$7*NAIRA2010_*250)</f>
        <v>0</v>
      </c>
      <c r="U128" s="1689">
        <f ca="1">Costs!U127/('Global assumptions'!$C$7*NAIRA2010_*250)</f>
        <v>0</v>
      </c>
      <c r="V128" s="1689">
        <f ca="1">Costs!V127/('Global assumptions'!$C$7*NAIRA2010_*250)</f>
        <v>0</v>
      </c>
      <c r="W128" s="1689">
        <f ca="1">Costs!W127/('Global assumptions'!$C$7*NAIRA2010_*250)</f>
        <v>0</v>
      </c>
      <c r="X128" s="675"/>
      <c r="Y128" s="1689">
        <f ca="1">Costs!Y127/('Global assumptions'!$C$7*NAIRA2010_*250)</f>
        <v>73.247350915145006</v>
      </c>
      <c r="Z128" s="1689">
        <f ca="1">Costs!Z127/('Global assumptions'!$C$7*NAIRA2010_*250)</f>
        <v>106.02823938007849</v>
      </c>
      <c r="AA128" s="1689">
        <f ca="1">Costs!AA127/('Global assumptions'!$C$7*NAIRA2010_*250)</f>
        <v>133.21186436723511</v>
      </c>
      <c r="AB128" s="1689">
        <f ca="1">Costs!AB127/('Global assumptions'!$C$7*NAIRA2010_*250)</f>
        <v>161.31676851916512</v>
      </c>
      <c r="AC128" s="1689">
        <f ca="1">Costs!AC127/('Global assumptions'!$C$7*NAIRA2010_*250)</f>
        <v>190.34295183586849</v>
      </c>
      <c r="AD128" s="1689">
        <f ca="1">Costs!AD127/('Global assumptions'!$C$7*NAIRA2010_*250)</f>
        <v>193.69826935681192</v>
      </c>
      <c r="AE128" s="1689">
        <f ca="1">Costs!AE127/('Global assumptions'!$C$7*NAIRA2010_*250)</f>
        <v>197.05358687775535</v>
      </c>
      <c r="AF128" s="1689">
        <f ca="1">Costs!AF127/('Global assumptions'!$C$7*NAIRA2010_*250)</f>
        <v>200.40890439869881</v>
      </c>
      <c r="AG128" s="1689">
        <f ca="1">Costs!AG127/('Global assumptions'!$C$7*NAIRA2010_*250)</f>
        <v>208.7908342928838</v>
      </c>
      <c r="AH128" s="675"/>
      <c r="AI128" s="1689">
        <f ca="1">Costs!AI127/('Global assumptions'!$C$7*NAIRA2010_*250)</f>
        <v>73.247350915145006</v>
      </c>
      <c r="AJ128" s="1689">
        <f ca="1">Costs!AJ127/('Global assumptions'!$C$7*NAIRA2010_*250)</f>
        <v>106.02823938007849</v>
      </c>
      <c r="AK128" s="1689">
        <f ca="1">Costs!AK127/('Global assumptions'!$C$7*NAIRA2010_*250)</f>
        <v>133.21186436723511</v>
      </c>
      <c r="AL128" s="1689">
        <f ca="1">Costs!AL127/('Global assumptions'!$C$7*NAIRA2010_*250)</f>
        <v>161.31676851916512</v>
      </c>
      <c r="AM128" s="1689">
        <f ca="1">Costs!AM127/('Global assumptions'!$C$7*NAIRA2010_*250)</f>
        <v>190.34295183586849</v>
      </c>
      <c r="AN128" s="1689">
        <f ca="1">Costs!AN127/('Global assumptions'!$C$7*NAIRA2010_*250)</f>
        <v>193.69826935681192</v>
      </c>
      <c r="AO128" s="1689">
        <f ca="1">Costs!AO127/('Global assumptions'!$C$7*NAIRA2010_*250)</f>
        <v>197.05358687775535</v>
      </c>
      <c r="AP128" s="1689">
        <f ca="1">Costs!AP127/('Global assumptions'!$C$7*NAIRA2010_*250)</f>
        <v>200.40890439869881</v>
      </c>
      <c r="AQ128" s="1689">
        <f ca="1">Costs!AQ127/('Global assumptions'!$C$7*NAIRA2010_*250)</f>
        <v>208.7908342928838</v>
      </c>
      <c r="AS128" s="1706">
        <f t="shared" ca="1" si="22"/>
        <v>162.67764110484913</v>
      </c>
      <c r="AT128" s="1706">
        <f t="shared" ca="1" si="19"/>
        <v>1233.6794887185067</v>
      </c>
      <c r="AU128" s="675"/>
      <c r="AV128" s="1699">
        <f>IFERROR(VLOOKUP($A128,Cost.FinanceCostTable,7,FALSE),'Global assumptions'!$D$35)</f>
        <v>0.1</v>
      </c>
      <c r="AW128" s="1690">
        <f>IFERROR(VLOOKUP($A128,Cost.FinanceCostTable,8,FALSE),'Global assumptions'!$E$35)</f>
        <v>15</v>
      </c>
      <c r="AX128" s="675"/>
      <c r="AY128" s="1689">
        <f ca="1">Costs!AY127/('Global assumptions'!$C$7*NAIRA2010_*250)</f>
        <v>0</v>
      </c>
      <c r="AZ128" s="1689">
        <f ca="1">Costs!AZ127/('Global assumptions'!$C$7*NAIRA2010_*250)</f>
        <v>0</v>
      </c>
      <c r="BA128" s="1689">
        <f ca="1">Costs!BA127/('Global assumptions'!$C$7*NAIRA2010_*250)</f>
        <v>0</v>
      </c>
      <c r="BB128" s="1689">
        <f ca="1">Costs!BB127/('Global assumptions'!$C$7*NAIRA2010_*250)</f>
        <v>0</v>
      </c>
      <c r="BC128" s="1689">
        <f ca="1">Costs!BC127/('Global assumptions'!$C$7*NAIRA2010_*250)</f>
        <v>0</v>
      </c>
      <c r="BD128" s="1689">
        <f ca="1">Costs!BD127/('Global assumptions'!$C$7*NAIRA2010_*250)</f>
        <v>0</v>
      </c>
      <c r="BE128" s="1689">
        <f ca="1">Costs!BE127/('Global assumptions'!$C$7*NAIRA2010_*250)</f>
        <v>0</v>
      </c>
      <c r="BF128" s="1689">
        <f ca="1">Costs!BF127/('Global assumptions'!$C$7*NAIRA2010_*250)</f>
        <v>0</v>
      </c>
      <c r="BG128" s="1689">
        <f ca="1">Costs!BG127/('Global assumptions'!$C$7*NAIRA2010_*250)</f>
        <v>0</v>
      </c>
      <c r="BH128" s="675"/>
      <c r="BI128" s="1689">
        <f ca="1">Costs!BI127/('Global assumptions'!$C$7*NAIRA2010_*250)</f>
        <v>0</v>
      </c>
      <c r="BJ128" s="1689">
        <f ca="1">Costs!BJ127/('Global assumptions'!$C$7*NAIRA2010_*250)</f>
        <v>0</v>
      </c>
      <c r="BK128" s="1689">
        <f ca="1">Costs!BK127/('Global assumptions'!$C$7*NAIRA2010_*250)</f>
        <v>0</v>
      </c>
      <c r="BL128" s="1689">
        <f ca="1">Costs!BL127/('Global assumptions'!$C$7*NAIRA2010_*250)</f>
        <v>0</v>
      </c>
      <c r="BM128" s="1689">
        <f ca="1">Costs!BM127/('Global assumptions'!$C$7*NAIRA2010_*250)</f>
        <v>0</v>
      </c>
      <c r="BN128" s="1689">
        <f ca="1">Costs!BN127/('Global assumptions'!$C$7*NAIRA2010_*250)</f>
        <v>0</v>
      </c>
      <c r="BO128" s="1689">
        <f ca="1">Costs!BO127/('Global assumptions'!$C$7*NAIRA2010_*250)</f>
        <v>0</v>
      </c>
      <c r="BP128" s="1689">
        <f ca="1">Costs!BP127/('Global assumptions'!$C$7*NAIRA2010_*250)</f>
        <v>0</v>
      </c>
      <c r="BQ128" s="1689">
        <f ca="1">Costs!BQ127/('Global assumptions'!$C$7*NAIRA2010_*250)</f>
        <v>0</v>
      </c>
      <c r="BR128" s="675"/>
      <c r="BS128" s="1689">
        <f ca="1">Costs!BS127/('Global assumptions'!$C$7*NAIRA2010_*250)</f>
        <v>73.247350915145006</v>
      </c>
      <c r="BT128" s="1689">
        <f ca="1">Costs!BT127/('Global assumptions'!$C$7*NAIRA2010_*250)</f>
        <v>106.02823938007849</v>
      </c>
      <c r="BU128" s="1689">
        <f ca="1">Costs!BU127/('Global assumptions'!$C$7*NAIRA2010_*250)</f>
        <v>133.21186436723511</v>
      </c>
      <c r="BV128" s="1689">
        <f ca="1">Costs!BV127/('Global assumptions'!$C$7*NAIRA2010_*250)</f>
        <v>161.31676851916512</v>
      </c>
      <c r="BW128" s="1689">
        <f ca="1">Costs!BW127/('Global assumptions'!$C$7*NAIRA2010_*250)</f>
        <v>190.34295183586849</v>
      </c>
      <c r="BX128" s="1689">
        <f ca="1">Costs!BX127/('Global assumptions'!$C$7*NAIRA2010_*250)</f>
        <v>193.69826935681192</v>
      </c>
      <c r="BY128" s="1689">
        <f ca="1">Costs!BY127/('Global assumptions'!$C$7*NAIRA2010_*250)</f>
        <v>197.05358687775535</v>
      </c>
      <c r="BZ128" s="1689">
        <f ca="1">Costs!BZ127/('Global assumptions'!$C$7*NAIRA2010_*250)</f>
        <v>200.40890439869881</v>
      </c>
      <c r="CA128" s="1689">
        <f ca="1">Costs!CA127/('Global assumptions'!$C$7*NAIRA2010_*250)</f>
        <v>208.7908342928838</v>
      </c>
      <c r="CC128" s="1706">
        <f t="shared" ca="1" si="23"/>
        <v>162.67764110484913</v>
      </c>
      <c r="CD128" s="1706">
        <f t="shared" ca="1" si="20"/>
        <v>1233.6794887185067</v>
      </c>
      <c r="CF128" s="1689">
        <f ca="1">Costs!CF127/('Global assumptions'!$C$7*NAIRA2010_*250)</f>
        <v>0</v>
      </c>
      <c r="CG128" s="1689">
        <f ca="1">Costs!CG127/('Global assumptions'!$C$7*NAIRA2010_*250)</f>
        <v>0</v>
      </c>
      <c r="CH128" s="1689">
        <f ca="1">Costs!CH127/('Global assumptions'!$C$7*NAIRA2010_*250)</f>
        <v>0</v>
      </c>
      <c r="CI128" s="1689">
        <f ca="1">Costs!CI127/('Global assumptions'!$C$7*NAIRA2010_*250)</f>
        <v>0</v>
      </c>
      <c r="CJ128" s="1689">
        <f ca="1">Costs!CJ127/('Global assumptions'!$C$7*NAIRA2010_*250)</f>
        <v>0</v>
      </c>
      <c r="CK128" s="1689">
        <f ca="1">Costs!CK127/('Global assumptions'!$C$7*NAIRA2010_*250)</f>
        <v>0</v>
      </c>
      <c r="CL128" s="1689">
        <f ca="1">Costs!CL127/('Global assumptions'!$C$7*NAIRA2010_*250)</f>
        <v>0</v>
      </c>
      <c r="CM128" s="1689">
        <f ca="1">Costs!CM127/('Global assumptions'!$C$7*NAIRA2010_*250)</f>
        <v>0</v>
      </c>
      <c r="CN128" s="1689">
        <f ca="1">Costs!CN127/('Global assumptions'!$C$7*NAIRA2010_*250)</f>
        <v>0</v>
      </c>
      <c r="CP128" s="1706">
        <f t="shared" ca="1" si="24"/>
        <v>0</v>
      </c>
      <c r="CQ128" s="1706">
        <f t="shared" ca="1" si="21"/>
        <v>0</v>
      </c>
      <c r="CR128" s="1426" t="str">
        <f t="shared" ca="1" si="25"/>
        <v>ok</v>
      </c>
    </row>
    <row r="129" spans="1:96" x14ac:dyDescent="0.2">
      <c r="A129" s="1685" t="s">
        <v>1698</v>
      </c>
      <c r="B129" s="1685" t="s">
        <v>1701</v>
      </c>
      <c r="C129" s="1685" t="s">
        <v>1732</v>
      </c>
      <c r="E129" s="1691">
        <f ca="1">Costs!E128/('Global assumptions'!$C$7*NAIRA2010_*250)</f>
        <v>0</v>
      </c>
      <c r="F129" s="1691">
        <f ca="1">Costs!F128/('Global assumptions'!$C$7*NAIRA2010_*250)</f>
        <v>0.1821004271876023</v>
      </c>
      <c r="G129" s="1691">
        <f ca="1">Costs!G128/('Global assumptions'!$C$7*NAIRA2010_*250)</f>
        <v>1.9652120590022453</v>
      </c>
      <c r="H129" s="1691">
        <f ca="1">Costs!H128/('Global assumptions'!$C$7*NAIRA2010_*250)</f>
        <v>0.59163301364796295</v>
      </c>
      <c r="I129" s="1691">
        <f ca="1">Costs!I128/('Global assumptions'!$C$7*NAIRA2010_*250)</f>
        <v>1.6146806243423848</v>
      </c>
      <c r="J129" s="1691">
        <f ca="1">Costs!J128/('Global assumptions'!$C$7*NAIRA2010_*250)</f>
        <v>3.967354746388756</v>
      </c>
      <c r="K129" s="1691">
        <f ca="1">Costs!K128/('Global assumptions'!$C$7*NAIRA2010_*250)</f>
        <v>4.9622220877525196</v>
      </c>
      <c r="L129" s="1691">
        <f ca="1">Costs!L128/('Global assumptions'!$C$7*NAIRA2010_*250)</f>
        <v>5.7934762107910496</v>
      </c>
      <c r="M129" s="1691">
        <f ca="1">Costs!M128/('Global assumptions'!$C$7*NAIRA2010_*250)</f>
        <v>7.0153835994573743</v>
      </c>
      <c r="N129" s="675"/>
      <c r="O129" s="1691">
        <f ca="1">Costs!O128/('Global assumptions'!$C$7*NAIRA2010_*250)</f>
        <v>9.7044114802170508E-4</v>
      </c>
      <c r="P129" s="1691">
        <f ca="1">Costs!P128/('Global assumptions'!$C$7*NAIRA2010_*250)</f>
        <v>1.4940985718935222E-3</v>
      </c>
      <c r="Q129" s="1691">
        <f ca="1">Costs!Q128/('Global assumptions'!$C$7*NAIRA2010_*250)</f>
        <v>3.7092978912098003E-3</v>
      </c>
      <c r="R129" s="1691">
        <f ca="1">Costs!R128/('Global assumptions'!$C$7*NAIRA2010_*250)</f>
        <v>2.1966100346924255E-3</v>
      </c>
      <c r="S129" s="1691">
        <f ca="1">Costs!S128/('Global assumptions'!$C$7*NAIRA2010_*250)</f>
        <v>3.2767068614307773E-3</v>
      </c>
      <c r="T129" s="1691">
        <f ca="1">Costs!T128/('Global assumptions'!$C$7*NAIRA2010_*250)</f>
        <v>5.8398012348825626E-3</v>
      </c>
      <c r="U129" s="1691">
        <f ca="1">Costs!U128/('Global assumptions'!$C$7*NAIRA2010_*250)</f>
        <v>8.3232910588511219E-3</v>
      </c>
      <c r="V129" s="1691">
        <f ca="1">Costs!V128/('Global assumptions'!$C$7*NAIRA2010_*250)</f>
        <v>1.0568349368765308E-2</v>
      </c>
      <c r="W129" s="1691">
        <f ca="1">Costs!W128/('Global assumptions'!$C$7*NAIRA2010_*250)</f>
        <v>1.2805466555926468E-2</v>
      </c>
      <c r="X129" s="675"/>
      <c r="Y129" s="1691">
        <f ca="1">Costs!Y128/('Global assumptions'!$C$7*NAIRA2010_*250)</f>
        <v>0</v>
      </c>
      <c r="Z129" s="1691">
        <f ca="1">Costs!Z128/('Global assumptions'!$C$7*NAIRA2010_*250)</f>
        <v>0</v>
      </c>
      <c r="AA129" s="1691">
        <f ca="1">Costs!AA128/('Global assumptions'!$C$7*NAIRA2010_*250)</f>
        <v>0</v>
      </c>
      <c r="AB129" s="1691">
        <f ca="1">Costs!AB128/('Global assumptions'!$C$7*NAIRA2010_*250)</f>
        <v>0</v>
      </c>
      <c r="AC129" s="1691">
        <f ca="1">Costs!AC128/('Global assumptions'!$C$7*NAIRA2010_*250)</f>
        <v>0</v>
      </c>
      <c r="AD129" s="1691">
        <f ca="1">Costs!AD128/('Global assumptions'!$C$7*NAIRA2010_*250)</f>
        <v>0</v>
      </c>
      <c r="AE129" s="1691">
        <f ca="1">Costs!AE128/('Global assumptions'!$C$7*NAIRA2010_*250)</f>
        <v>0</v>
      </c>
      <c r="AF129" s="1691">
        <f ca="1">Costs!AF128/('Global assumptions'!$C$7*NAIRA2010_*250)</f>
        <v>0</v>
      </c>
      <c r="AG129" s="1691">
        <f ca="1">Costs!AG128/('Global assumptions'!$C$7*NAIRA2010_*250)</f>
        <v>0</v>
      </c>
      <c r="AH129" s="675"/>
      <c r="AI129" s="1691">
        <f ca="1">Costs!AI128/('Global assumptions'!$C$7*NAIRA2010_*250)</f>
        <v>9.7044114802170508E-4</v>
      </c>
      <c r="AJ129" s="1691">
        <f ca="1">Costs!AJ128/('Global assumptions'!$C$7*NAIRA2010_*250)</f>
        <v>0.18359452575949584</v>
      </c>
      <c r="AK129" s="1691">
        <f ca="1">Costs!AK128/('Global assumptions'!$C$7*NAIRA2010_*250)</f>
        <v>1.9689213568934547</v>
      </c>
      <c r="AL129" s="1691">
        <f ca="1">Costs!AL128/('Global assumptions'!$C$7*NAIRA2010_*250)</f>
        <v>0.59382962368265535</v>
      </c>
      <c r="AM129" s="1691">
        <f ca="1">Costs!AM128/('Global assumptions'!$C$7*NAIRA2010_*250)</f>
        <v>1.6179573312038156</v>
      </c>
      <c r="AN129" s="1691">
        <f ca="1">Costs!AN128/('Global assumptions'!$C$7*NAIRA2010_*250)</f>
        <v>3.9731945476236388</v>
      </c>
      <c r="AO129" s="1691">
        <f ca="1">Costs!AO128/('Global assumptions'!$C$7*NAIRA2010_*250)</f>
        <v>4.9705453788113703</v>
      </c>
      <c r="AP129" s="1691">
        <f ca="1">Costs!AP128/('Global assumptions'!$C$7*NAIRA2010_*250)</f>
        <v>5.8040445601598147</v>
      </c>
      <c r="AQ129" s="1691">
        <f ca="1">Costs!AQ128/('Global assumptions'!$C$7*NAIRA2010_*250)</f>
        <v>7.0281890660133017</v>
      </c>
      <c r="AS129" s="1707">
        <f t="shared" ca="1" si="22"/>
        <v>2.9045829812550625</v>
      </c>
      <c r="AT129" s="1707">
        <f t="shared" ca="1" si="19"/>
        <v>12.470714723394552</v>
      </c>
      <c r="AU129" s="675"/>
      <c r="AV129" s="1699">
        <f>IFERROR(VLOOKUP($A129,Cost.FinanceCostTable,7,FALSE),'Global assumptions'!$D$35)</f>
        <v>0</v>
      </c>
      <c r="AW129" s="1690">
        <f>IFERROR(VLOOKUP($A129,Cost.FinanceCostTable,8,FALSE),'Global assumptions'!$E$35)</f>
        <v>5</v>
      </c>
      <c r="AX129" s="675"/>
      <c r="AY129" s="1691">
        <f ca="1">Costs!AY128/('Global assumptions'!$C$7*NAIRA2010_*250)</f>
        <v>0</v>
      </c>
      <c r="AZ129" s="1691">
        <f ca="1">Costs!AZ128/('Global assumptions'!$C$7*NAIRA2010_*250)</f>
        <v>0.11970715467578999</v>
      </c>
      <c r="BA129" s="1691">
        <f ca="1">Costs!BA128/('Global assumptions'!$C$7*NAIRA2010_*250)</f>
        <v>1.2918692589081731</v>
      </c>
      <c r="BB129" s="1691">
        <f ca="1">Costs!BB128/('Global assumptions'!$C$7*NAIRA2010_*250)</f>
        <v>0.38892113417777963</v>
      </c>
      <c r="BC129" s="1691">
        <f ca="1">Costs!BC128/('Global assumptions'!$C$7*NAIRA2010_*250)</f>
        <v>1.0614408007457681</v>
      </c>
      <c r="BD129" s="1691">
        <f ca="1">Costs!BD128/('Global assumptions'!$C$7*NAIRA2010_*250)</f>
        <v>2.6080155637988627</v>
      </c>
      <c r="BE129" s="1691">
        <f ca="1">Costs!BE128/('Global assumptions'!$C$7*NAIRA2010_*250)</f>
        <v>3.2620103981538255</v>
      </c>
      <c r="BF129" s="1691">
        <f ca="1">Costs!BF128/('Global assumptions'!$C$7*NAIRA2010_*250)</f>
        <v>3.8084509936992053</v>
      </c>
      <c r="BG129" s="1691">
        <f ca="1">Costs!BG128/('Global assumptions'!$C$7*NAIRA2010_*250)</f>
        <v>4.6116948906719459</v>
      </c>
      <c r="BH129" s="675"/>
      <c r="BI129" s="1691">
        <f ca="1">Costs!BI128/('Global assumptions'!$C$7*NAIRA2010_*250)</f>
        <v>0</v>
      </c>
      <c r="BJ129" s="1691">
        <f ca="1">Costs!BJ128/('Global assumptions'!$C$7*NAIRA2010_*250)</f>
        <v>0.11970715467578999</v>
      </c>
      <c r="BK129" s="1691">
        <f ca="1">Costs!BK128/('Global assumptions'!$C$7*NAIRA2010_*250)</f>
        <v>1.411576413583963</v>
      </c>
      <c r="BL129" s="1691">
        <f ca="1">Costs!BL128/('Global assumptions'!$C$7*NAIRA2010_*250)</f>
        <v>1.8004975477617424</v>
      </c>
      <c r="BM129" s="1691">
        <f ca="1">Costs!BM128/('Global assumptions'!$C$7*NAIRA2010_*250)</f>
        <v>2.7422311938317212</v>
      </c>
      <c r="BN129" s="1691">
        <f ca="1">Costs!BN128/('Global assumptions'!$C$7*NAIRA2010_*250)</f>
        <v>4.0583774987224102</v>
      </c>
      <c r="BO129" s="1691">
        <f ca="1">Costs!BO128/('Global assumptions'!$C$7*NAIRA2010_*250)</f>
        <v>6.9314667626984567</v>
      </c>
      <c r="BP129" s="1691">
        <f ca="1">Costs!BP128/('Global assumptions'!$C$7*NAIRA2010_*250)</f>
        <v>9.6784769556518953</v>
      </c>
      <c r="BQ129" s="1691">
        <f ca="1">Costs!BQ128/('Global assumptions'!$C$7*NAIRA2010_*250)</f>
        <v>11.682156282524977</v>
      </c>
      <c r="BR129" s="675"/>
      <c r="BS129" s="1691">
        <f ca="1">Costs!BS128/('Global assumptions'!$C$7*NAIRA2010_*250)</f>
        <v>9.7044114802170508E-4</v>
      </c>
      <c r="BT129" s="1691">
        <f ca="1">Costs!BT128/('Global assumptions'!$C$7*NAIRA2010_*250)</f>
        <v>0.12120125324768352</v>
      </c>
      <c r="BU129" s="1691">
        <f ca="1">Costs!BU128/('Global assumptions'!$C$7*NAIRA2010_*250)</f>
        <v>1.4152857114751727</v>
      </c>
      <c r="BV129" s="1691">
        <f ca="1">Costs!BV128/('Global assumptions'!$C$7*NAIRA2010_*250)</f>
        <v>1.8026941577964348</v>
      </c>
      <c r="BW129" s="1691">
        <f ca="1">Costs!BW128/('Global assumptions'!$C$7*NAIRA2010_*250)</f>
        <v>2.745507900693152</v>
      </c>
      <c r="BX129" s="1691">
        <f ca="1">Costs!BX128/('Global assumptions'!$C$7*NAIRA2010_*250)</f>
        <v>4.0642172999572939</v>
      </c>
      <c r="BY129" s="1691">
        <f ca="1">Costs!BY128/('Global assumptions'!$C$7*NAIRA2010_*250)</f>
        <v>6.9397900537573074</v>
      </c>
      <c r="BZ129" s="1691">
        <f ca="1">Costs!BZ128/('Global assumptions'!$C$7*NAIRA2010_*250)</f>
        <v>9.6890453050206595</v>
      </c>
      <c r="CA129" s="1691">
        <f ca="1">Costs!CA128/('Global assumptions'!$C$7*NAIRA2010_*250)</f>
        <v>11.694961749080903</v>
      </c>
      <c r="CC129" s="1707">
        <f t="shared" ca="1" si="23"/>
        <v>4.2748526524640704</v>
      </c>
      <c r="CD129" s="1707">
        <f t="shared" ca="1" si="20"/>
        <v>16.056309482945995</v>
      </c>
      <c r="CF129" s="1691">
        <f ca="1">Costs!CF128/('Global assumptions'!$C$7*NAIRA2010_*250)</f>
        <v>0</v>
      </c>
      <c r="CG129" s="1691">
        <f ca="1">Costs!CG128/('Global assumptions'!$C$7*NAIRA2010_*250)</f>
        <v>-6.2393272511812307E-2</v>
      </c>
      <c r="CH129" s="1691">
        <f ca="1">Costs!CH128/('Global assumptions'!$C$7*NAIRA2010_*250)</f>
        <v>-0.55363564541828225</v>
      </c>
      <c r="CI129" s="1691">
        <f ca="1">Costs!CI128/('Global assumptions'!$C$7*NAIRA2010_*250)</f>
        <v>1.2088645341137796</v>
      </c>
      <c r="CJ129" s="1691">
        <f ca="1">Costs!CJ128/('Global assumptions'!$C$7*NAIRA2010_*250)</f>
        <v>1.1275505694893362</v>
      </c>
      <c r="CK129" s="1691">
        <f ca="1">Costs!CK128/('Global assumptions'!$C$7*NAIRA2010_*250)</f>
        <v>9.10227523336547E-2</v>
      </c>
      <c r="CL129" s="1691">
        <f ca="1">Costs!CL128/('Global assumptions'!$C$7*NAIRA2010_*250)</f>
        <v>1.9692446749459371</v>
      </c>
      <c r="CM129" s="1691">
        <f ca="1">Costs!CM128/('Global assumptions'!$C$7*NAIRA2010_*250)</f>
        <v>3.8850007448608452</v>
      </c>
      <c r="CN129" s="1691">
        <f ca="1">Costs!CN128/('Global assumptions'!$C$7*NAIRA2010_*250)</f>
        <v>4.6667726830676024</v>
      </c>
      <c r="CP129" s="1707">
        <f t="shared" ca="1" si="24"/>
        <v>1.3702696712090068</v>
      </c>
      <c r="CQ129" s="1707">
        <f t="shared" ca="1" si="21"/>
        <v>3.585594759551443</v>
      </c>
      <c r="CR129" s="1426" t="str">
        <f t="shared" ca="1" si="25"/>
        <v>ok</v>
      </c>
    </row>
    <row r="130" spans="1:96" x14ac:dyDescent="0.2">
      <c r="A130" s="1683" t="s">
        <v>1699</v>
      </c>
      <c r="B130" s="1683" t="s">
        <v>1702</v>
      </c>
      <c r="C130" s="1683" t="s">
        <v>1732</v>
      </c>
      <c r="E130" s="1689">
        <f ca="1">Costs!E129/('Global assumptions'!$C$7*NAIRA2010_*250)</f>
        <v>0</v>
      </c>
      <c r="F130" s="1689">
        <f ca="1">Costs!F129/('Global assumptions'!$C$7*NAIRA2010_*250)</f>
        <v>0</v>
      </c>
      <c r="G130" s="1689">
        <f ca="1">Costs!G129/('Global assumptions'!$C$7*NAIRA2010_*250)</f>
        <v>0</v>
      </c>
      <c r="H130" s="1689">
        <f ca="1">Costs!H129/('Global assumptions'!$C$7*NAIRA2010_*250)</f>
        <v>0</v>
      </c>
      <c r="I130" s="1689">
        <f ca="1">Costs!I129/('Global assumptions'!$C$7*NAIRA2010_*250)</f>
        <v>0</v>
      </c>
      <c r="J130" s="1689">
        <f ca="1">Costs!J129/('Global assumptions'!$C$7*NAIRA2010_*250)</f>
        <v>0</v>
      </c>
      <c r="K130" s="1689">
        <f ca="1">Costs!K129/('Global assumptions'!$C$7*NAIRA2010_*250)</f>
        <v>0</v>
      </c>
      <c r="L130" s="1689">
        <f ca="1">Costs!L129/('Global assumptions'!$C$7*NAIRA2010_*250)</f>
        <v>0</v>
      </c>
      <c r="M130" s="1689">
        <f ca="1">Costs!M129/('Global assumptions'!$C$7*NAIRA2010_*250)</f>
        <v>0</v>
      </c>
      <c r="N130" s="675"/>
      <c r="O130" s="1689">
        <f ca="1">Costs!O129/('Global assumptions'!$C$7*NAIRA2010_*250)</f>
        <v>0</v>
      </c>
      <c r="P130" s="1689">
        <f ca="1">Costs!P129/('Global assumptions'!$C$7*NAIRA2010_*250)</f>
        <v>0</v>
      </c>
      <c r="Q130" s="1689">
        <f ca="1">Costs!Q129/('Global assumptions'!$C$7*NAIRA2010_*250)</f>
        <v>0</v>
      </c>
      <c r="R130" s="1689">
        <f ca="1">Costs!R129/('Global assumptions'!$C$7*NAIRA2010_*250)</f>
        <v>0</v>
      </c>
      <c r="S130" s="1689">
        <f ca="1">Costs!S129/('Global assumptions'!$C$7*NAIRA2010_*250)</f>
        <v>0</v>
      </c>
      <c r="T130" s="1689">
        <f ca="1">Costs!T129/('Global assumptions'!$C$7*NAIRA2010_*250)</f>
        <v>0</v>
      </c>
      <c r="U130" s="1689">
        <f ca="1">Costs!U129/('Global assumptions'!$C$7*NAIRA2010_*250)</f>
        <v>0</v>
      </c>
      <c r="V130" s="1689">
        <f ca="1">Costs!V129/('Global assumptions'!$C$7*NAIRA2010_*250)</f>
        <v>0</v>
      </c>
      <c r="W130" s="1689">
        <f ca="1">Costs!W129/('Global assumptions'!$C$7*NAIRA2010_*250)</f>
        <v>0</v>
      </c>
      <c r="X130" s="675"/>
      <c r="Y130" s="1689">
        <f ca="1">Costs!Y129/('Global assumptions'!$C$7*NAIRA2010_*250)</f>
        <v>-0.74229874880403923</v>
      </c>
      <c r="Z130" s="1689">
        <f ca="1">Costs!Z129/('Global assumptions'!$C$7*NAIRA2010_*250)</f>
        <v>-0.92601379438607678</v>
      </c>
      <c r="AA130" s="1689">
        <f ca="1">Costs!AA129/('Global assumptions'!$C$7*NAIRA2010_*250)</f>
        <v>1.4554304295720977</v>
      </c>
      <c r="AB130" s="1689">
        <f ca="1">Costs!AB129/('Global assumptions'!$C$7*NAIRA2010_*250)</f>
        <v>12.658950330535182</v>
      </c>
      <c r="AC130" s="1689">
        <f ca="1">Costs!AC129/('Global assumptions'!$C$7*NAIRA2010_*250)</f>
        <v>34.162037811139179</v>
      </c>
      <c r="AD130" s="1689">
        <f ca="1">Costs!AD129/('Global assumptions'!$C$7*NAIRA2010_*250)</f>
        <v>64.318753094415428</v>
      </c>
      <c r="AE130" s="1689">
        <f ca="1">Costs!AE129/('Global assumptions'!$C$7*NAIRA2010_*250)</f>
        <v>96.410536170127259</v>
      </c>
      <c r="AF130" s="1689">
        <f ca="1">Costs!AF129/('Global assumptions'!$C$7*NAIRA2010_*250)</f>
        <v>128.26197023526336</v>
      </c>
      <c r="AG130" s="1689">
        <f ca="1">Costs!AG129/('Global assumptions'!$C$7*NAIRA2010_*250)</f>
        <v>164.0818302707842</v>
      </c>
      <c r="AH130" s="675"/>
      <c r="AI130" s="1689">
        <f ca="1">Costs!AI129/('Global assumptions'!$C$7*NAIRA2010_*250)</f>
        <v>-0.74229874880403923</v>
      </c>
      <c r="AJ130" s="1689">
        <f ca="1">Costs!AJ129/('Global assumptions'!$C$7*NAIRA2010_*250)</f>
        <v>-0.92601379438607678</v>
      </c>
      <c r="AK130" s="1689">
        <f ca="1">Costs!AK129/('Global assumptions'!$C$7*NAIRA2010_*250)</f>
        <v>1.4554304295720977</v>
      </c>
      <c r="AL130" s="1689">
        <f ca="1">Costs!AL129/('Global assumptions'!$C$7*NAIRA2010_*250)</f>
        <v>12.658950330535182</v>
      </c>
      <c r="AM130" s="1689">
        <f ca="1">Costs!AM129/('Global assumptions'!$C$7*NAIRA2010_*250)</f>
        <v>34.162037811139179</v>
      </c>
      <c r="AN130" s="1689">
        <f ca="1">Costs!AN129/('Global assumptions'!$C$7*NAIRA2010_*250)</f>
        <v>64.318753094415428</v>
      </c>
      <c r="AO130" s="1689">
        <f ca="1">Costs!AO129/('Global assumptions'!$C$7*NAIRA2010_*250)</f>
        <v>96.410536170127259</v>
      </c>
      <c r="AP130" s="1689">
        <f ca="1">Costs!AP129/('Global assumptions'!$C$7*NAIRA2010_*250)</f>
        <v>128.26197023526336</v>
      </c>
      <c r="AQ130" s="1689">
        <f ca="1">Costs!AQ129/('Global assumptions'!$C$7*NAIRA2010_*250)</f>
        <v>164.0818302707842</v>
      </c>
      <c r="AS130" s="1706">
        <f t="shared" ca="1" si="22"/>
        <v>55.520132866516278</v>
      </c>
      <c r="AT130" s="1706">
        <f t="shared" ca="1" si="19"/>
        <v>163.72584237066633</v>
      </c>
      <c r="AU130" s="675"/>
      <c r="AV130" s="1699">
        <f>IFERROR(VLOOKUP($A130,Cost.FinanceCostTable,7,FALSE),'Global assumptions'!$D$35)</f>
        <v>0</v>
      </c>
      <c r="AW130" s="1690">
        <f>IFERROR(VLOOKUP($A130,Cost.FinanceCostTable,8,FALSE),'Global assumptions'!$E$35)</f>
        <v>5</v>
      </c>
      <c r="AX130" s="675"/>
      <c r="AY130" s="1689">
        <f ca="1">Costs!AY129/('Global assumptions'!$C$7*NAIRA2010_*250)</f>
        <v>0</v>
      </c>
      <c r="AZ130" s="1689">
        <f ca="1">Costs!AZ129/('Global assumptions'!$C$7*NAIRA2010_*250)</f>
        <v>0</v>
      </c>
      <c r="BA130" s="1689">
        <f ca="1">Costs!BA129/('Global assumptions'!$C$7*NAIRA2010_*250)</f>
        <v>0</v>
      </c>
      <c r="BB130" s="1689">
        <f ca="1">Costs!BB129/('Global assumptions'!$C$7*NAIRA2010_*250)</f>
        <v>0</v>
      </c>
      <c r="BC130" s="1689">
        <f ca="1">Costs!BC129/('Global assumptions'!$C$7*NAIRA2010_*250)</f>
        <v>0</v>
      </c>
      <c r="BD130" s="1689">
        <f ca="1">Costs!BD129/('Global assumptions'!$C$7*NAIRA2010_*250)</f>
        <v>0</v>
      </c>
      <c r="BE130" s="1689">
        <f ca="1">Costs!BE129/('Global assumptions'!$C$7*NAIRA2010_*250)</f>
        <v>0</v>
      </c>
      <c r="BF130" s="1689">
        <f ca="1">Costs!BF129/('Global assumptions'!$C$7*NAIRA2010_*250)</f>
        <v>0</v>
      </c>
      <c r="BG130" s="1689">
        <f ca="1">Costs!BG129/('Global assumptions'!$C$7*NAIRA2010_*250)</f>
        <v>0</v>
      </c>
      <c r="BH130" s="675"/>
      <c r="BI130" s="1689">
        <f ca="1">Costs!BI129/('Global assumptions'!$C$7*NAIRA2010_*250)</f>
        <v>0</v>
      </c>
      <c r="BJ130" s="1689">
        <f ca="1">Costs!BJ129/('Global assumptions'!$C$7*NAIRA2010_*250)</f>
        <v>0</v>
      </c>
      <c r="BK130" s="1689">
        <f ca="1">Costs!BK129/('Global assumptions'!$C$7*NAIRA2010_*250)</f>
        <v>0</v>
      </c>
      <c r="BL130" s="1689">
        <f ca="1">Costs!BL129/('Global assumptions'!$C$7*NAIRA2010_*250)</f>
        <v>0</v>
      </c>
      <c r="BM130" s="1689">
        <f ca="1">Costs!BM129/('Global assumptions'!$C$7*NAIRA2010_*250)</f>
        <v>0</v>
      </c>
      <c r="BN130" s="1689">
        <f ca="1">Costs!BN129/('Global assumptions'!$C$7*NAIRA2010_*250)</f>
        <v>0</v>
      </c>
      <c r="BO130" s="1689">
        <f ca="1">Costs!BO129/('Global assumptions'!$C$7*NAIRA2010_*250)</f>
        <v>0</v>
      </c>
      <c r="BP130" s="1689">
        <f ca="1">Costs!BP129/('Global assumptions'!$C$7*NAIRA2010_*250)</f>
        <v>0</v>
      </c>
      <c r="BQ130" s="1689">
        <f ca="1">Costs!BQ129/('Global assumptions'!$C$7*NAIRA2010_*250)</f>
        <v>0</v>
      </c>
      <c r="BR130" s="675"/>
      <c r="BS130" s="1689">
        <f ca="1">Costs!BS129/('Global assumptions'!$C$7*NAIRA2010_*250)</f>
        <v>-0.74229874880403923</v>
      </c>
      <c r="BT130" s="1689">
        <f ca="1">Costs!BT129/('Global assumptions'!$C$7*NAIRA2010_*250)</f>
        <v>-0.92601379438607678</v>
      </c>
      <c r="BU130" s="1689">
        <f ca="1">Costs!BU129/('Global assumptions'!$C$7*NAIRA2010_*250)</f>
        <v>1.4554304295720977</v>
      </c>
      <c r="BV130" s="1689">
        <f ca="1">Costs!BV129/('Global assumptions'!$C$7*NAIRA2010_*250)</f>
        <v>12.658950330535182</v>
      </c>
      <c r="BW130" s="1689">
        <f ca="1">Costs!BW129/('Global assumptions'!$C$7*NAIRA2010_*250)</f>
        <v>34.162037811139179</v>
      </c>
      <c r="BX130" s="1689">
        <f ca="1">Costs!BX129/('Global assumptions'!$C$7*NAIRA2010_*250)</f>
        <v>64.318753094415428</v>
      </c>
      <c r="BY130" s="1689">
        <f ca="1">Costs!BY129/('Global assumptions'!$C$7*NAIRA2010_*250)</f>
        <v>96.410536170127259</v>
      </c>
      <c r="BZ130" s="1689">
        <f ca="1">Costs!BZ129/('Global assumptions'!$C$7*NAIRA2010_*250)</f>
        <v>128.26197023526336</v>
      </c>
      <c r="CA130" s="1689">
        <f ca="1">Costs!CA129/('Global assumptions'!$C$7*NAIRA2010_*250)</f>
        <v>164.0818302707842</v>
      </c>
      <c r="CC130" s="1706">
        <f t="shared" ca="1" si="23"/>
        <v>55.520132866516278</v>
      </c>
      <c r="CD130" s="1706">
        <f t="shared" ca="1" si="20"/>
        <v>163.72584237066633</v>
      </c>
      <c r="CF130" s="1689">
        <f ca="1">Costs!CF129/('Global assumptions'!$C$7*NAIRA2010_*250)</f>
        <v>0</v>
      </c>
      <c r="CG130" s="1689">
        <f ca="1">Costs!CG129/('Global assumptions'!$C$7*NAIRA2010_*250)</f>
        <v>0</v>
      </c>
      <c r="CH130" s="1689">
        <f ca="1">Costs!CH129/('Global assumptions'!$C$7*NAIRA2010_*250)</f>
        <v>0</v>
      </c>
      <c r="CI130" s="1689">
        <f ca="1">Costs!CI129/('Global assumptions'!$C$7*NAIRA2010_*250)</f>
        <v>0</v>
      </c>
      <c r="CJ130" s="1689">
        <f ca="1">Costs!CJ129/('Global assumptions'!$C$7*NAIRA2010_*250)</f>
        <v>0</v>
      </c>
      <c r="CK130" s="1689">
        <f ca="1">Costs!CK129/('Global assumptions'!$C$7*NAIRA2010_*250)</f>
        <v>0</v>
      </c>
      <c r="CL130" s="1689">
        <f ca="1">Costs!CL129/('Global assumptions'!$C$7*NAIRA2010_*250)</f>
        <v>0</v>
      </c>
      <c r="CM130" s="1689">
        <f ca="1">Costs!CM129/('Global assumptions'!$C$7*NAIRA2010_*250)</f>
        <v>0</v>
      </c>
      <c r="CN130" s="1689">
        <f ca="1">Costs!CN129/('Global assumptions'!$C$7*NAIRA2010_*250)</f>
        <v>0</v>
      </c>
      <c r="CP130" s="1706">
        <f t="shared" ca="1" si="24"/>
        <v>0</v>
      </c>
      <c r="CQ130" s="1706">
        <f t="shared" ca="1" si="21"/>
        <v>0</v>
      </c>
      <c r="CR130" s="1426" t="str">
        <f t="shared" ca="1" si="25"/>
        <v>ok</v>
      </c>
    </row>
    <row r="131" spans="1:96" s="2737" customFormat="1" x14ac:dyDescent="0.2">
      <c r="A131" s="2134" t="s">
        <v>1700</v>
      </c>
      <c r="B131" s="2134" t="s">
        <v>1703</v>
      </c>
      <c r="C131" s="2134" t="s">
        <v>1732</v>
      </c>
      <c r="D131" s="580"/>
      <c r="E131" s="2135">
        <f ca="1">Costs!E130/('Global assumptions'!$C$7*NAIRA2010_*250)</f>
        <v>0</v>
      </c>
      <c r="F131" s="2135">
        <f ca="1">Costs!F130/('Global assumptions'!$C$7*NAIRA2010_*250)</f>
        <v>0</v>
      </c>
      <c r="G131" s="2135">
        <f ca="1">Costs!G130/('Global assumptions'!$C$7*NAIRA2010_*250)</f>
        <v>0</v>
      </c>
      <c r="H131" s="2135">
        <f ca="1">Costs!H130/('Global assumptions'!$C$7*NAIRA2010_*250)</f>
        <v>0</v>
      </c>
      <c r="I131" s="2135">
        <f ca="1">Costs!I130/('Global assumptions'!$C$7*NAIRA2010_*250)</f>
        <v>0</v>
      </c>
      <c r="J131" s="2135">
        <f ca="1">Costs!J130/('Global assumptions'!$C$7*NAIRA2010_*250)</f>
        <v>0</v>
      </c>
      <c r="K131" s="2135">
        <f ca="1">Costs!K130/('Global assumptions'!$C$7*NAIRA2010_*250)</f>
        <v>0</v>
      </c>
      <c r="L131" s="2135">
        <f ca="1">Costs!L130/('Global assumptions'!$C$7*NAIRA2010_*250)</f>
        <v>0</v>
      </c>
      <c r="M131" s="2135">
        <f ca="1">Costs!M130/('Global assumptions'!$C$7*NAIRA2010_*250)</f>
        <v>0</v>
      </c>
      <c r="N131" s="2731"/>
      <c r="O131" s="2135">
        <f ca="1">Costs!O130/('Global assumptions'!$C$7*NAIRA2010_*250)</f>
        <v>0</v>
      </c>
      <c r="P131" s="2135">
        <f ca="1">Costs!P130/('Global assumptions'!$C$7*NAIRA2010_*250)</f>
        <v>0</v>
      </c>
      <c r="Q131" s="2135">
        <f ca="1">Costs!Q130/('Global assumptions'!$C$7*NAIRA2010_*250)</f>
        <v>0</v>
      </c>
      <c r="R131" s="2135">
        <f ca="1">Costs!R130/('Global assumptions'!$C$7*NAIRA2010_*250)</f>
        <v>0</v>
      </c>
      <c r="S131" s="2135">
        <f ca="1">Costs!S130/('Global assumptions'!$C$7*NAIRA2010_*250)</f>
        <v>0</v>
      </c>
      <c r="T131" s="2135">
        <f ca="1">Costs!T130/('Global assumptions'!$C$7*NAIRA2010_*250)</f>
        <v>0</v>
      </c>
      <c r="U131" s="2135">
        <f ca="1">Costs!U130/('Global assumptions'!$C$7*NAIRA2010_*250)</f>
        <v>0</v>
      </c>
      <c r="V131" s="2135">
        <f ca="1">Costs!V130/('Global assumptions'!$C$7*NAIRA2010_*250)</f>
        <v>0</v>
      </c>
      <c r="W131" s="2135">
        <f ca="1">Costs!W130/('Global assumptions'!$C$7*NAIRA2010_*250)</f>
        <v>0</v>
      </c>
      <c r="X131" s="2731"/>
      <c r="Y131" s="2135">
        <f ca="1">Costs!Y130/('Global assumptions'!$C$7*NAIRA2010_*250)</f>
        <v>-241.64251496858165</v>
      </c>
      <c r="Z131" s="2135">
        <f ca="1">Costs!Z130/('Global assumptions'!$C$7*NAIRA2010_*250)</f>
        <v>-301.37209276038897</v>
      </c>
      <c r="AA131" s="2135">
        <f ca="1">Costs!AA130/('Global assumptions'!$C$7*NAIRA2010_*250)</f>
        <v>-387.19135403656327</v>
      </c>
      <c r="AB131" s="2135">
        <f ca="1">Costs!AB130/('Global assumptions'!$C$7*NAIRA2010_*250)</f>
        <v>-461.04657229363829</v>
      </c>
      <c r="AC131" s="2135">
        <f ca="1">Costs!AC130/('Global assumptions'!$C$7*NAIRA2010_*250)</f>
        <v>-522.34524931996668</v>
      </c>
      <c r="AD131" s="2135">
        <f ca="1">Costs!AD130/('Global assumptions'!$C$7*NAIRA2010_*250)</f>
        <v>-514.77182235422515</v>
      </c>
      <c r="AE131" s="2135">
        <f ca="1">Costs!AE130/('Global assumptions'!$C$7*NAIRA2010_*250)</f>
        <v>-510.58809036905376</v>
      </c>
      <c r="AF131" s="2135">
        <f ca="1">Costs!AF130/('Global assumptions'!$C$7*NAIRA2010_*250)</f>
        <v>-506.8314267478479</v>
      </c>
      <c r="AG131" s="2135">
        <f ca="1">Costs!AG130/('Global assumptions'!$C$7*NAIRA2010_*250)</f>
        <v>-516.77864205831747</v>
      </c>
      <c r="AH131" s="2731"/>
      <c r="AI131" s="2135">
        <f ca="1">Costs!AI130/('Global assumptions'!$C$7*NAIRA2010_*250)</f>
        <v>-241.64251496858165</v>
      </c>
      <c r="AJ131" s="2135">
        <f ca="1">Costs!AJ130/('Global assumptions'!$C$7*NAIRA2010_*250)</f>
        <v>-301.37209276038897</v>
      </c>
      <c r="AK131" s="2135">
        <f ca="1">Costs!AK130/('Global assumptions'!$C$7*NAIRA2010_*250)</f>
        <v>-387.19135403656327</v>
      </c>
      <c r="AL131" s="2135">
        <f ca="1">Costs!AL130/('Global assumptions'!$C$7*NAIRA2010_*250)</f>
        <v>-461.04657229363829</v>
      </c>
      <c r="AM131" s="2135">
        <f ca="1">Costs!AM130/('Global assumptions'!$C$7*NAIRA2010_*250)</f>
        <v>-522.34524931996668</v>
      </c>
      <c r="AN131" s="2135">
        <f ca="1">Costs!AN130/('Global assumptions'!$C$7*NAIRA2010_*250)</f>
        <v>-514.77182235422515</v>
      </c>
      <c r="AO131" s="2135">
        <f ca="1">Costs!AO130/('Global assumptions'!$C$7*NAIRA2010_*250)</f>
        <v>-510.58809036905376</v>
      </c>
      <c r="AP131" s="2135">
        <f ca="1">Costs!AP130/('Global assumptions'!$C$7*NAIRA2010_*250)</f>
        <v>-506.8314267478479</v>
      </c>
      <c r="AQ131" s="2135">
        <f ca="1">Costs!AQ130/('Global assumptions'!$C$7*NAIRA2010_*250)</f>
        <v>-516.77864205831747</v>
      </c>
      <c r="AR131" s="580"/>
      <c r="AS131" s="2732">
        <f t="shared" ca="1" si="22"/>
        <v>-440.28530721206482</v>
      </c>
      <c r="AT131" s="2732">
        <f t="shared" ca="1" si="19"/>
        <v>-3483.073077711249</v>
      </c>
      <c r="AU131" s="2731"/>
      <c r="AV131" s="2738">
        <f>IFERROR(VLOOKUP($A131,Cost.FinanceCostTable,7,FALSE),'Global assumptions'!$D$35)</f>
        <v>0</v>
      </c>
      <c r="AW131" s="2739">
        <f>IFERROR(VLOOKUP($A131,Cost.FinanceCostTable,8,FALSE),'Global assumptions'!$E$35)</f>
        <v>5</v>
      </c>
      <c r="AX131" s="2731"/>
      <c r="AY131" s="2135">
        <f ca="1">Costs!AY130/('Global assumptions'!$C$7*NAIRA2010_*250)</f>
        <v>0</v>
      </c>
      <c r="AZ131" s="2135">
        <f ca="1">Costs!AZ130/('Global assumptions'!$C$7*NAIRA2010_*250)</f>
        <v>0</v>
      </c>
      <c r="BA131" s="2135">
        <f ca="1">Costs!BA130/('Global assumptions'!$C$7*NAIRA2010_*250)</f>
        <v>0</v>
      </c>
      <c r="BB131" s="2135">
        <f ca="1">Costs!BB130/('Global assumptions'!$C$7*NAIRA2010_*250)</f>
        <v>0</v>
      </c>
      <c r="BC131" s="2135">
        <f ca="1">Costs!BC130/('Global assumptions'!$C$7*NAIRA2010_*250)</f>
        <v>0</v>
      </c>
      <c r="BD131" s="2135">
        <f ca="1">Costs!BD130/('Global assumptions'!$C$7*NAIRA2010_*250)</f>
        <v>0</v>
      </c>
      <c r="BE131" s="2135">
        <f ca="1">Costs!BE130/('Global assumptions'!$C$7*NAIRA2010_*250)</f>
        <v>0</v>
      </c>
      <c r="BF131" s="2135">
        <f ca="1">Costs!BF130/('Global assumptions'!$C$7*NAIRA2010_*250)</f>
        <v>0</v>
      </c>
      <c r="BG131" s="2135">
        <f ca="1">Costs!BG130/('Global assumptions'!$C$7*NAIRA2010_*250)</f>
        <v>0</v>
      </c>
      <c r="BH131" s="2731"/>
      <c r="BI131" s="2135">
        <f ca="1">Costs!BI130/('Global assumptions'!$C$7*NAIRA2010_*250)</f>
        <v>0</v>
      </c>
      <c r="BJ131" s="2135">
        <f ca="1">Costs!BJ130/('Global assumptions'!$C$7*NAIRA2010_*250)</f>
        <v>0</v>
      </c>
      <c r="BK131" s="2135">
        <f ca="1">Costs!BK130/('Global assumptions'!$C$7*NAIRA2010_*250)</f>
        <v>0</v>
      </c>
      <c r="BL131" s="2135">
        <f ca="1">Costs!BL130/('Global assumptions'!$C$7*NAIRA2010_*250)</f>
        <v>0</v>
      </c>
      <c r="BM131" s="2135">
        <f ca="1">Costs!BM130/('Global assumptions'!$C$7*NAIRA2010_*250)</f>
        <v>0</v>
      </c>
      <c r="BN131" s="2135">
        <f ca="1">Costs!BN130/('Global assumptions'!$C$7*NAIRA2010_*250)</f>
        <v>0</v>
      </c>
      <c r="BO131" s="2135">
        <f ca="1">Costs!BO130/('Global assumptions'!$C$7*NAIRA2010_*250)</f>
        <v>0</v>
      </c>
      <c r="BP131" s="2135">
        <f ca="1">Costs!BP130/('Global assumptions'!$C$7*NAIRA2010_*250)</f>
        <v>0</v>
      </c>
      <c r="BQ131" s="2135">
        <f ca="1">Costs!BQ130/('Global assumptions'!$C$7*NAIRA2010_*250)</f>
        <v>0</v>
      </c>
      <c r="BR131" s="2731"/>
      <c r="BS131" s="2135">
        <f ca="1">Costs!BS130/('Global assumptions'!$C$7*NAIRA2010_*250)</f>
        <v>-241.64251496858165</v>
      </c>
      <c r="BT131" s="2135">
        <f ca="1">Costs!BT130/('Global assumptions'!$C$7*NAIRA2010_*250)</f>
        <v>-301.37209276038897</v>
      </c>
      <c r="BU131" s="2135">
        <f ca="1">Costs!BU130/('Global assumptions'!$C$7*NAIRA2010_*250)</f>
        <v>-387.19135403656327</v>
      </c>
      <c r="BV131" s="2135">
        <f ca="1">Costs!BV130/('Global assumptions'!$C$7*NAIRA2010_*250)</f>
        <v>-461.04657229363829</v>
      </c>
      <c r="BW131" s="2135">
        <f ca="1">Costs!BW130/('Global assumptions'!$C$7*NAIRA2010_*250)</f>
        <v>-522.34524931996668</v>
      </c>
      <c r="BX131" s="2135">
        <f ca="1">Costs!BX130/('Global assumptions'!$C$7*NAIRA2010_*250)</f>
        <v>-514.77182235422515</v>
      </c>
      <c r="BY131" s="2135">
        <f ca="1">Costs!BY130/('Global assumptions'!$C$7*NAIRA2010_*250)</f>
        <v>-510.58809036905376</v>
      </c>
      <c r="BZ131" s="2135">
        <f ca="1">Costs!BZ130/('Global assumptions'!$C$7*NAIRA2010_*250)</f>
        <v>-506.8314267478479</v>
      </c>
      <c r="CA131" s="2135">
        <f ca="1">Costs!CA130/('Global assumptions'!$C$7*NAIRA2010_*250)</f>
        <v>-516.77864205831747</v>
      </c>
      <c r="CB131" s="580"/>
      <c r="CC131" s="2732">
        <f t="shared" ca="1" si="23"/>
        <v>-440.28530721206482</v>
      </c>
      <c r="CD131" s="2732">
        <f t="shared" ca="1" si="20"/>
        <v>-3483.073077711249</v>
      </c>
      <c r="CE131" s="580"/>
      <c r="CF131" s="2135">
        <f ca="1">Costs!CF130/('Global assumptions'!$C$7*NAIRA2010_*250)</f>
        <v>0</v>
      </c>
      <c r="CG131" s="2135">
        <f ca="1">Costs!CG130/('Global assumptions'!$C$7*NAIRA2010_*250)</f>
        <v>0</v>
      </c>
      <c r="CH131" s="2135">
        <f ca="1">Costs!CH130/('Global assumptions'!$C$7*NAIRA2010_*250)</f>
        <v>0</v>
      </c>
      <c r="CI131" s="2135">
        <f ca="1">Costs!CI130/('Global assumptions'!$C$7*NAIRA2010_*250)</f>
        <v>0</v>
      </c>
      <c r="CJ131" s="2135">
        <f ca="1">Costs!CJ130/('Global assumptions'!$C$7*NAIRA2010_*250)</f>
        <v>0</v>
      </c>
      <c r="CK131" s="2135">
        <f ca="1">Costs!CK130/('Global assumptions'!$C$7*NAIRA2010_*250)</f>
        <v>0</v>
      </c>
      <c r="CL131" s="2135">
        <f ca="1">Costs!CL130/('Global assumptions'!$C$7*NAIRA2010_*250)</f>
        <v>0</v>
      </c>
      <c r="CM131" s="2135">
        <f ca="1">Costs!CM130/('Global assumptions'!$C$7*NAIRA2010_*250)</f>
        <v>0</v>
      </c>
      <c r="CN131" s="2135">
        <f ca="1">Costs!CN130/('Global assumptions'!$C$7*NAIRA2010_*250)</f>
        <v>0</v>
      </c>
      <c r="CO131" s="580"/>
      <c r="CP131" s="2732">
        <f t="shared" ca="1" si="24"/>
        <v>0</v>
      </c>
      <c r="CQ131" s="2732">
        <f t="shared" ca="1" si="21"/>
        <v>0</v>
      </c>
      <c r="CR131" s="1073" t="str">
        <f t="shared" ca="1" si="25"/>
        <v>ok</v>
      </c>
    </row>
    <row r="132" spans="1:96" x14ac:dyDescent="0.2">
      <c r="A132" s="1687" t="s">
        <v>105</v>
      </c>
      <c r="B132" s="1687" t="s">
        <v>105</v>
      </c>
      <c r="C132" s="1695" t="s">
        <v>105</v>
      </c>
      <c r="D132" s="1427"/>
      <c r="E132" s="1693">
        <f ca="1">Costs!E132/('Global assumptions'!$C$7*GBP)</f>
        <v>92.739300647121297</v>
      </c>
      <c r="F132" s="1693">
        <f ca="1">Costs!F132/('Global assumptions'!$C$8*GBP)</f>
        <v>1751.8334894164248</v>
      </c>
      <c r="G132" s="1693">
        <f ca="1">Costs!G132/('Global assumptions'!$C$9*GBP)</f>
        <v>1172.1544535294051</v>
      </c>
      <c r="H132" s="1693">
        <f ca="1">Costs!H132/('Global assumptions'!$C$10*GBP)</f>
        <v>1274.7049474385578</v>
      </c>
      <c r="I132" s="1693">
        <f ca="1">Costs!I132/('Global assumptions'!$C$11*GBP)</f>
        <v>1388.8910201757985</v>
      </c>
      <c r="J132" s="1693">
        <f ca="1">Costs!J132/('Global assumptions'!$C$12*GBP)</f>
        <v>1487.5325001833176</v>
      </c>
      <c r="K132" s="1693">
        <f ca="1">Costs!K132/('Global assumptions'!$C$13*GBP)</f>
        <v>1539.468208866638</v>
      </c>
      <c r="L132" s="1693">
        <f ca="1">Costs!L132/('Global assumptions'!$C$14*GBP)</f>
        <v>1707.3688025674928</v>
      </c>
      <c r="M132" s="1693">
        <f ca="1">Costs!M132/('Global assumptions'!$C$15*GBP)</f>
        <v>1294.3421177756441</v>
      </c>
      <c r="N132" s="1711"/>
      <c r="O132" s="1693">
        <f ca="1">Costs!O132/('Global assumptions'!$C$7*GBP)</f>
        <v>1781.0483079816809</v>
      </c>
      <c r="P132" s="1693">
        <f ca="1">Costs!P132/('Global assumptions'!$C$8*GBP)</f>
        <v>16384.854759811551</v>
      </c>
      <c r="Q132" s="1693">
        <f ca="1">Costs!Q132/('Global assumptions'!$C$9*GBP)</f>
        <v>17372.37731189909</v>
      </c>
      <c r="R132" s="1693">
        <f ca="1">Costs!R132/('Global assumptions'!$C$10*GBP)</f>
        <v>18393.010282433384</v>
      </c>
      <c r="S132" s="1693">
        <f ca="1">Costs!S132/('Global assumptions'!$C$11*GBP)</f>
        <v>19386.680669867765</v>
      </c>
      <c r="T132" s="1693">
        <f ca="1">Costs!T132/('Global assumptions'!$C$12*GBP)</f>
        <v>20376.923792579288</v>
      </c>
      <c r="U132" s="1693">
        <f ca="1">Costs!U132/('Global assumptions'!$C$13*GBP)</f>
        <v>21361.453814342585</v>
      </c>
      <c r="V132" s="1693">
        <f ca="1">Costs!V132/('Global assumptions'!$C$14*GBP)</f>
        <v>22332.352172857405</v>
      </c>
      <c r="W132" s="1693">
        <f ca="1">Costs!W132/('Global assumptions'!$C$15*GBP)</f>
        <v>23264.087883418579</v>
      </c>
      <c r="X132" s="1711"/>
      <c r="Y132" s="1693">
        <f ca="1">Costs!Y132/('Global assumptions'!$C$7*GBP)</f>
        <v>461.41021435754823</v>
      </c>
      <c r="Z132" s="1693">
        <f ca="1">Costs!Z132/('Global assumptions'!$C$8*GBP)</f>
        <v>458.48066882977895</v>
      </c>
      <c r="AA132" s="1693">
        <f ca="1">Costs!AA132/('Global assumptions'!$C$9*GBP)</f>
        <v>443.37563011062707</v>
      </c>
      <c r="AB132" s="1693">
        <f ca="1">Costs!AB132/('Global assumptions'!$C$10*GBP)</f>
        <v>430.50277805638888</v>
      </c>
      <c r="AC132" s="1693">
        <f ca="1">Costs!AC132/('Global assumptions'!$C$11*GBP)</f>
        <v>434.21493632711713</v>
      </c>
      <c r="AD132" s="1693">
        <f ca="1">Costs!AD132/('Global assumptions'!$C$12*GBP)</f>
        <v>440.7813267836641</v>
      </c>
      <c r="AE132" s="1693">
        <f ca="1">Costs!AE132/('Global assumptions'!$C$13*GBP)</f>
        <v>450.86035131504519</v>
      </c>
      <c r="AF132" s="1693">
        <f ca="1">Costs!AF132/('Global assumptions'!$C$14*GBP)</f>
        <v>457.5664737300188</v>
      </c>
      <c r="AG132" s="1693">
        <f ca="1">Costs!AG132/('Global assumptions'!$C$15*GBP)</f>
        <v>465.8967606349172</v>
      </c>
      <c r="AH132" s="1711"/>
      <c r="AI132" s="1693">
        <f ca="1">Costs!AI132/('Global assumptions'!$C$7*GBP)</f>
        <v>2335.1978229863498</v>
      </c>
      <c r="AJ132" s="1693">
        <f ca="1">Costs!AJ132/('Global assumptions'!$C$8*GBP)</f>
        <v>18595.168918057756</v>
      </c>
      <c r="AK132" s="1693">
        <f ca="1">Costs!AK132/('Global assumptions'!$C$9*GBP)</f>
        <v>18987.907395539121</v>
      </c>
      <c r="AL132" s="1693">
        <f ca="1">Costs!AL132/('Global assumptions'!$C$10*GBP)</f>
        <v>20098.218007928328</v>
      </c>
      <c r="AM132" s="1693">
        <f ca="1">Costs!AM132/('Global assumptions'!$C$11*GBP)</f>
        <v>21209.786626370686</v>
      </c>
      <c r="AN132" s="1693">
        <f ca="1">Costs!AN132/('Global assumptions'!$C$12*GBP)</f>
        <v>22305.237619546271</v>
      </c>
      <c r="AO132" s="1693">
        <f ca="1">Costs!AO132/('Global assumptions'!$C$13*GBP)</f>
        <v>23351.782374524271</v>
      </c>
      <c r="AP132" s="1693">
        <f ca="1">Costs!AP132/('Global assumptions'!$C$14*GBP)</f>
        <v>24497.287449154916</v>
      </c>
      <c r="AQ132" s="1693">
        <f ca="1">Costs!AQ132/('Global assumptions'!$C$15*GBP)</f>
        <v>25024.326761829136</v>
      </c>
      <c r="AR132" s="1711"/>
      <c r="AS132" s="1709">
        <f ca="1">AVERAGE($AI132:$AQ132)</f>
        <v>19600.545886215205</v>
      </c>
      <c r="AT132" s="1709">
        <f ca="1">(SUMPRODUCT(AJ132:AQ132,discount_factors)*5)+AI132</f>
        <v>164864.81008378518</v>
      </c>
      <c r="AU132" s="1711"/>
      <c r="AV132" s="1710"/>
      <c r="AW132" s="1712"/>
      <c r="AX132" s="1711"/>
      <c r="AY132" s="1693">
        <f ca="1">Costs!AY132/('Global assumptions'!$C$7*GBP)</f>
        <v>31.285908485556618</v>
      </c>
      <c r="AZ132" s="1693">
        <f ca="1">Costs!AZ132/('Global assumptions'!$C$8*GBP)</f>
        <v>1139.6794555694876</v>
      </c>
      <c r="BA132" s="1693">
        <f ca="1">Costs!BA132/('Global assumptions'!$C$9*GBP)</f>
        <v>751.29779888148767</v>
      </c>
      <c r="BB132" s="1693">
        <f ca="1">Costs!BB132/('Global assumptions'!$C$10*GBP)</f>
        <v>818.1923592423808</v>
      </c>
      <c r="BC132" s="1693">
        <f ca="1">Costs!BC132/('Global assumptions'!$C$11*GBP)</f>
        <v>889.49039525986984</v>
      </c>
      <c r="BD132" s="1693">
        <f ca="1">Costs!BD132/('Global assumptions'!$C$12*GBP)</f>
        <v>954.64551464913598</v>
      </c>
      <c r="BE132" s="1693">
        <f ca="1">Costs!BE132/('Global assumptions'!$C$13*GBP)</f>
        <v>984.1983728461031</v>
      </c>
      <c r="BF132" s="1693">
        <f ca="1">Costs!BF132/('Global assumptions'!$C$14*GBP)</f>
        <v>1089.2982692648136</v>
      </c>
      <c r="BG132" s="1693">
        <f ca="1">Costs!BG132/('Global assumptions'!$C$15*GBP)</f>
        <v>850.16945659488579</v>
      </c>
      <c r="BH132" s="1711"/>
      <c r="BI132" s="1693">
        <f ca="1">Costs!BI132/('Global assumptions'!$C$7*GBP)</f>
        <v>31.285908485556618</v>
      </c>
      <c r="BJ132" s="1693">
        <f ca="1">Costs!BJ132/('Global assumptions'!$C$8*GBP)</f>
        <v>1167.3316399262058</v>
      </c>
      <c r="BK132" s="1693">
        <f ca="1">Costs!BK132/('Global assumptions'!$C$9*GBP)</f>
        <v>1782.8628189398528</v>
      </c>
      <c r="BL132" s="1693">
        <f ca="1">Costs!BL132/('Global assumptions'!$C$10*GBP)</f>
        <v>2378.4667251625774</v>
      </c>
      <c r="BM132" s="1693">
        <f ca="1">Costs!BM132/('Global assumptions'!$C$11*GBP)</f>
        <v>2257.4756252701054</v>
      </c>
      <c r="BN132" s="1693">
        <f ca="1">Costs!BN132/('Global assumptions'!$C$12*GBP)</f>
        <v>2492.1540017009856</v>
      </c>
      <c r="BO132" s="1693">
        <f ca="1">Costs!BO132/('Global assumptions'!$C$13*GBP)</f>
        <v>2716.197027652514</v>
      </c>
      <c r="BP132" s="1693">
        <f ca="1">Costs!BP132/('Global assumptions'!$C$14*GBP)</f>
        <v>3056.4487706590521</v>
      </c>
      <c r="BQ132" s="1693">
        <f ca="1">Costs!BQ132/('Global assumptions'!$C$15*GBP)</f>
        <v>2850.0480225543224</v>
      </c>
      <c r="BR132" s="1711"/>
      <c r="BS132" s="1693">
        <f ca="1">Costs!BS132/('Global assumptions'!$C$7*GBP)</f>
        <v>2273.7444308247855</v>
      </c>
      <c r="BT132" s="1693">
        <f ca="1">Costs!BT132/('Global assumptions'!$C$8*GBP)</f>
        <v>18010.667068567534</v>
      </c>
      <c r="BU132" s="1693">
        <f ca="1">Costs!BU132/('Global assumptions'!$C$9*GBP)</f>
        <v>19598.615760949568</v>
      </c>
      <c r="BV132" s="1693">
        <f ca="1">Costs!BV132/('Global assumptions'!$C$10*GBP)</f>
        <v>21201.979785652355</v>
      </c>
      <c r="BW132" s="1693">
        <f ca="1">Costs!BW132/('Global assumptions'!$C$11*GBP)</f>
        <v>22078.371231464997</v>
      </c>
      <c r="BX132" s="1693">
        <f ca="1">Costs!BX132/('Global assumptions'!$C$12*GBP)</f>
        <v>23309.859121063942</v>
      </c>
      <c r="BY132" s="1693">
        <f ca="1">Costs!BY132/('Global assumptions'!$C$13*GBP)</f>
        <v>24528.511193310147</v>
      </c>
      <c r="BZ132" s="1693">
        <f ca="1">Costs!BZ132/('Global assumptions'!$C$14*GBP)</f>
        <v>25846.367417246478</v>
      </c>
      <c r="CA132" s="1693">
        <f ca="1">Costs!CA132/('Global assumptions'!$C$15*GBP)</f>
        <v>26580.032666607822</v>
      </c>
      <c r="CB132" s="15"/>
      <c r="CC132" s="1709">
        <f ca="1">AVERAGE($BS132:$CA132)</f>
        <v>20380.905408409733</v>
      </c>
      <c r="CD132" s="1709">
        <f ca="1">(SUMPRODUCT(BT132:CA132,discount_factors)*5)+BS132</f>
        <v>167598.64092026046</v>
      </c>
      <c r="CE132" s="1711"/>
      <c r="CF132" s="1693">
        <f ca="1">Costs!CF132/('Global assumptions'!$C$7*GBP)</f>
        <v>-61.453392161564665</v>
      </c>
      <c r="CG132" s="1693">
        <f ca="1">Costs!CG132/('Global assumptions'!$C$8*GBP)</f>
        <v>-584.50184949021912</v>
      </c>
      <c r="CH132" s="1693">
        <f ca="1">Costs!CH132/('Global assumptions'!$C$9*GBP)</f>
        <v>610.70836541044787</v>
      </c>
      <c r="CI132" s="1693">
        <f ca="1">Costs!CI132/('Global assumptions'!$C$10*GBP)</f>
        <v>1103.7617777240196</v>
      </c>
      <c r="CJ132" s="1693">
        <f ca="1">Costs!CJ132/('Global assumptions'!$C$11*GBP)</f>
        <v>868.58460509430699</v>
      </c>
      <c r="CK132" s="1693">
        <f ca="1">Costs!CK132/('Global assumptions'!$C$12*GBP)</f>
        <v>1004.6215015176682</v>
      </c>
      <c r="CL132" s="1693">
        <f ca="1">Costs!CL132/('Global assumptions'!$C$13*GBP)</f>
        <v>1176.728818785876</v>
      </c>
      <c r="CM132" s="1693">
        <f ca="1">Costs!CM132/('Global assumptions'!$C$14*GBP)</f>
        <v>1349.0799680915591</v>
      </c>
      <c r="CN132" s="1693">
        <f ca="1">Costs!CN132/('Global assumptions'!$C$15*GBP)</f>
        <v>1555.7059047786786</v>
      </c>
      <c r="CO132" s="15"/>
      <c r="CP132" s="1709">
        <f ca="1">AVERAGE($CF132:$CN132)</f>
        <v>780.3595221945302</v>
      </c>
      <c r="CQ132" s="1709">
        <f ca="1">SUM(CQ92:CQ131)</f>
        <v>5501.2500025802656</v>
      </c>
      <c r="CR132" s="1426" t="str">
        <f t="shared" ca="1" si="25"/>
        <v>err</v>
      </c>
    </row>
    <row r="134" spans="1:96" x14ac:dyDescent="0.2">
      <c r="C134" s="1427" t="str">
        <f>Preferences.moneyunits</f>
        <v>N</v>
      </c>
      <c r="D134" s="2225"/>
      <c r="E134" s="17" t="s">
        <v>1382</v>
      </c>
      <c r="F134" s="2225" t="s">
        <v>1383</v>
      </c>
      <c r="G134" s="2225"/>
      <c r="H134" s="2225"/>
      <c r="I134" s="2225"/>
      <c r="J134" s="2225"/>
      <c r="K134" s="2225"/>
      <c r="L134" s="2225"/>
      <c r="M134" s="2225"/>
      <c r="N134" s="2225"/>
      <c r="O134" s="17" t="s">
        <v>1384</v>
      </c>
      <c r="P134" s="2225" t="s">
        <v>1385</v>
      </c>
      <c r="Q134" s="2225"/>
      <c r="R134" s="2225"/>
      <c r="S134" s="2225"/>
      <c r="T134" s="2225"/>
      <c r="U134" s="2225"/>
      <c r="V134" s="2225"/>
      <c r="W134" s="2225"/>
      <c r="X134" s="2225"/>
      <c r="Y134" s="17" t="s">
        <v>1386</v>
      </c>
      <c r="Z134" s="2225" t="s">
        <v>1387</v>
      </c>
      <c r="AA134" s="2225"/>
      <c r="AB134" s="2225"/>
      <c r="AC134" s="2225"/>
      <c r="AD134" s="2225"/>
      <c r="AE134" s="2225"/>
      <c r="AF134" s="2225"/>
      <c r="AG134" s="2225"/>
      <c r="AH134" s="2225"/>
      <c r="AI134" s="17" t="s">
        <v>1388</v>
      </c>
      <c r="AJ134" s="2225"/>
      <c r="AK134" s="2225"/>
      <c r="AL134" s="2225"/>
      <c r="AM134" s="2225"/>
      <c r="AN134" s="2225"/>
      <c r="AO134" s="2225"/>
      <c r="AP134" s="2225"/>
      <c r="AQ134" s="2225"/>
      <c r="AR134" s="2225"/>
      <c r="AS134" s="2225" t="s">
        <v>1826</v>
      </c>
      <c r="AT134" s="2225"/>
      <c r="AU134" s="2225"/>
      <c r="AV134" s="2224" t="s">
        <v>1613</v>
      </c>
      <c r="AW134" s="2225"/>
      <c r="AX134" s="2225"/>
      <c r="AY134" s="17" t="s">
        <v>1956</v>
      </c>
      <c r="AZ134" s="2225"/>
      <c r="BA134" s="2225"/>
      <c r="BB134" s="2225"/>
      <c r="BC134" s="2225"/>
      <c r="BD134" s="2225"/>
      <c r="BE134" s="2225"/>
      <c r="BF134" s="2225"/>
      <c r="BG134" s="2225"/>
      <c r="BH134" s="2225"/>
      <c r="BI134" s="17" t="s">
        <v>1957</v>
      </c>
      <c r="BJ134" s="2225"/>
      <c r="BK134" s="2225"/>
      <c r="BL134" s="2225"/>
      <c r="BM134" s="2225"/>
      <c r="BN134" s="2225"/>
      <c r="BO134" s="2225"/>
      <c r="BP134" s="2225"/>
      <c r="BQ134" s="2225"/>
      <c r="BR134" s="2225"/>
      <c r="BS134" s="17" t="s">
        <v>2064</v>
      </c>
      <c r="BT134" s="2225"/>
      <c r="BU134" s="2225"/>
      <c r="BV134" s="2225"/>
      <c r="BW134" s="2225"/>
      <c r="BX134" s="2225"/>
      <c r="BY134" s="2225"/>
      <c r="BZ134" s="2225"/>
      <c r="CA134" s="2225"/>
      <c r="CB134" s="2225"/>
      <c r="CC134" s="2225" t="s">
        <v>1825</v>
      </c>
      <c r="CD134" s="2225"/>
      <c r="CE134" s="2225"/>
      <c r="CF134" s="2225" t="s">
        <v>1733</v>
      </c>
      <c r="CG134" s="2225"/>
      <c r="CH134" s="2225"/>
      <c r="CI134" s="2225"/>
      <c r="CJ134" s="2225"/>
      <c r="CK134" s="2225"/>
      <c r="CL134" s="2225"/>
      <c r="CM134" s="2225"/>
      <c r="CN134" s="2225"/>
      <c r="CO134" s="2225"/>
      <c r="CP134" s="2225" t="s">
        <v>1733</v>
      </c>
      <c r="CQ134" s="2225"/>
      <c r="CR134" s="2225"/>
    </row>
    <row r="135" spans="1:96" ht="13.5" thickBot="1" x14ac:dyDescent="0.25">
      <c r="C135" s="1682" t="s">
        <v>67</v>
      </c>
      <c r="D135" s="2225"/>
      <c r="E135" s="1696" t="s">
        <v>241</v>
      </c>
      <c r="F135" s="1696" t="s">
        <v>268</v>
      </c>
      <c r="G135" s="1696" t="s">
        <v>269</v>
      </c>
      <c r="H135" s="1696" t="s">
        <v>270</v>
      </c>
      <c r="I135" s="1696" t="s">
        <v>271</v>
      </c>
      <c r="J135" s="1696" t="s">
        <v>272</v>
      </c>
      <c r="K135" s="1696" t="s">
        <v>273</v>
      </c>
      <c r="L135" s="1696" t="s">
        <v>274</v>
      </c>
      <c r="M135" s="1696" t="s">
        <v>275</v>
      </c>
      <c r="N135" s="1427"/>
      <c r="O135" s="1696" t="s">
        <v>241</v>
      </c>
      <c r="P135" s="1696" t="s">
        <v>268</v>
      </c>
      <c r="Q135" s="1696" t="s">
        <v>269</v>
      </c>
      <c r="R135" s="1696" t="s">
        <v>270</v>
      </c>
      <c r="S135" s="1696" t="s">
        <v>271</v>
      </c>
      <c r="T135" s="1696" t="s">
        <v>272</v>
      </c>
      <c r="U135" s="1696" t="s">
        <v>273</v>
      </c>
      <c r="V135" s="1696" t="s">
        <v>274</v>
      </c>
      <c r="W135" s="1696" t="s">
        <v>275</v>
      </c>
      <c r="X135" s="1427"/>
      <c r="Y135" s="1696" t="s">
        <v>241</v>
      </c>
      <c r="Z135" s="1696" t="s">
        <v>268</v>
      </c>
      <c r="AA135" s="1696" t="s">
        <v>269</v>
      </c>
      <c r="AB135" s="1696" t="s">
        <v>270</v>
      </c>
      <c r="AC135" s="1696" t="s">
        <v>271</v>
      </c>
      <c r="AD135" s="1696" t="s">
        <v>272</v>
      </c>
      <c r="AE135" s="1696" t="s">
        <v>273</v>
      </c>
      <c r="AF135" s="1696" t="s">
        <v>274</v>
      </c>
      <c r="AG135" s="1696" t="s">
        <v>275</v>
      </c>
      <c r="AH135" s="1427"/>
      <c r="AI135" s="1696" t="s">
        <v>241</v>
      </c>
      <c r="AJ135" s="1696" t="s">
        <v>268</v>
      </c>
      <c r="AK135" s="1696" t="s">
        <v>269</v>
      </c>
      <c r="AL135" s="1696" t="s">
        <v>270</v>
      </c>
      <c r="AM135" s="1696" t="s">
        <v>271</v>
      </c>
      <c r="AN135" s="1696" t="s">
        <v>272</v>
      </c>
      <c r="AO135" s="1696" t="s">
        <v>273</v>
      </c>
      <c r="AP135" s="1696" t="s">
        <v>274</v>
      </c>
      <c r="AQ135" s="1696" t="s">
        <v>275</v>
      </c>
      <c r="AR135" s="2225"/>
      <c r="AS135" s="1705" t="s">
        <v>1734</v>
      </c>
      <c r="AT135" s="1705" t="s">
        <v>1389</v>
      </c>
      <c r="AU135" s="1427"/>
      <c r="AV135" s="1696" t="s">
        <v>1614</v>
      </c>
      <c r="AW135" s="1688" t="s">
        <v>1472</v>
      </c>
      <c r="AX135" s="1427"/>
      <c r="AY135" s="1696">
        <v>2010</v>
      </c>
      <c r="AZ135" s="1696">
        <v>2015</v>
      </c>
      <c r="BA135" s="1696">
        <v>2020</v>
      </c>
      <c r="BB135" s="1696">
        <v>2025</v>
      </c>
      <c r="BC135" s="1696">
        <v>2030</v>
      </c>
      <c r="BD135" s="1696">
        <v>2035</v>
      </c>
      <c r="BE135" s="1696">
        <v>2040</v>
      </c>
      <c r="BF135" s="1696">
        <v>2045</v>
      </c>
      <c r="BG135" s="1696">
        <v>2050</v>
      </c>
      <c r="BH135" s="1427"/>
      <c r="BI135" s="1696">
        <v>2010</v>
      </c>
      <c r="BJ135" s="1696">
        <v>2015</v>
      </c>
      <c r="BK135" s="1696">
        <v>2020</v>
      </c>
      <c r="BL135" s="1696">
        <v>2025</v>
      </c>
      <c r="BM135" s="1696">
        <v>2030</v>
      </c>
      <c r="BN135" s="1696">
        <v>2035</v>
      </c>
      <c r="BO135" s="1696">
        <v>2040</v>
      </c>
      <c r="BP135" s="1696">
        <v>2045</v>
      </c>
      <c r="BQ135" s="1696">
        <v>2050</v>
      </c>
      <c r="BR135" s="1427"/>
      <c r="BS135" s="1696" t="s">
        <v>241</v>
      </c>
      <c r="BT135" s="1696" t="s">
        <v>268</v>
      </c>
      <c r="BU135" s="1696" t="s">
        <v>269</v>
      </c>
      <c r="BV135" s="1696" t="s">
        <v>270</v>
      </c>
      <c r="BW135" s="1696" t="s">
        <v>271</v>
      </c>
      <c r="BX135" s="1696" t="s">
        <v>272</v>
      </c>
      <c r="BY135" s="1696" t="s">
        <v>273</v>
      </c>
      <c r="BZ135" s="1696" t="s">
        <v>274</v>
      </c>
      <c r="CA135" s="1696" t="s">
        <v>275</v>
      </c>
      <c r="CB135" s="1426"/>
      <c r="CC135" s="1705" t="s">
        <v>1734</v>
      </c>
      <c r="CD135" s="1705" t="s">
        <v>1389</v>
      </c>
      <c r="CE135" s="2225"/>
      <c r="CF135" s="1696" t="s">
        <v>241</v>
      </c>
      <c r="CG135" s="1696" t="s">
        <v>268</v>
      </c>
      <c r="CH135" s="1696" t="s">
        <v>269</v>
      </c>
      <c r="CI135" s="1696" t="s">
        <v>270</v>
      </c>
      <c r="CJ135" s="1696" t="s">
        <v>271</v>
      </c>
      <c r="CK135" s="1696" t="s">
        <v>272</v>
      </c>
      <c r="CL135" s="1696" t="s">
        <v>273</v>
      </c>
      <c r="CM135" s="1696" t="s">
        <v>274</v>
      </c>
      <c r="CN135" s="1696" t="s">
        <v>275</v>
      </c>
      <c r="CO135" s="2225"/>
      <c r="CP135" s="1705" t="s">
        <v>1734</v>
      </c>
      <c r="CQ135" s="1705" t="s">
        <v>1389</v>
      </c>
      <c r="CR135" s="2225"/>
    </row>
    <row r="136" spans="1:96" ht="13.5" thickTop="1" x14ac:dyDescent="0.2">
      <c r="C136" s="1683" t="s">
        <v>1732</v>
      </c>
      <c r="D136" s="2225"/>
      <c r="E136" s="1689">
        <f t="shared" ref="E136:M142" ca="1" si="31">SUMIF($C$3:$C$42,$C136,E$3:E$42)</f>
        <v>0</v>
      </c>
      <c r="F136" s="1689">
        <f t="shared" ca="1" si="31"/>
        <v>0.1821004271876023</v>
      </c>
      <c r="G136" s="1689">
        <f t="shared" ca="1" si="31"/>
        <v>1.5721696472017961</v>
      </c>
      <c r="H136" s="1689">
        <f t="shared" ca="1" si="31"/>
        <v>0.394422009098642</v>
      </c>
      <c r="I136" s="1689">
        <f t="shared" ca="1" si="31"/>
        <v>0.92267464248136266</v>
      </c>
      <c r="J136" s="1689">
        <f t="shared" ca="1" si="31"/>
        <v>1.983677373194378</v>
      </c>
      <c r="K136" s="1689">
        <f t="shared" ca="1" si="31"/>
        <v>2.2054320390011197</v>
      </c>
      <c r="L136" s="1689">
        <f t="shared" ca="1" si="31"/>
        <v>2.3173904843164195</v>
      </c>
      <c r="M136" s="1689">
        <f t="shared" ca="1" si="31"/>
        <v>2.5510485816208637</v>
      </c>
      <c r="N136" s="675"/>
      <c r="O136" s="1689">
        <f t="shared" ref="O136:W142" ca="1" si="32">SUMIF($C$3:$C$42,$C136,O$3:O$42)</f>
        <v>0</v>
      </c>
      <c r="P136" s="1689">
        <f t="shared" ca="1" si="32"/>
        <v>4.9803285729784071E-4</v>
      </c>
      <c r="Q136" s="1689">
        <f t="shared" ca="1" si="32"/>
        <v>1.2364326304032667E-3</v>
      </c>
      <c r="R136" s="1689">
        <f t="shared" ca="1" si="32"/>
        <v>7.3220334489747512E-4</v>
      </c>
      <c r="S136" s="1689">
        <f t="shared" ca="1" si="32"/>
        <v>1.0922356204769257E-3</v>
      </c>
      <c r="T136" s="1689">
        <f t="shared" ca="1" si="32"/>
        <v>1.9466004116275209E-3</v>
      </c>
      <c r="U136" s="1689">
        <f t="shared" ca="1" si="32"/>
        <v>2.7744303529503738E-3</v>
      </c>
      <c r="V136" s="1689">
        <f t="shared" ca="1" si="32"/>
        <v>3.5227831229217694E-3</v>
      </c>
      <c r="W136" s="1689">
        <f t="shared" ca="1" si="32"/>
        <v>4.2684888519754893E-3</v>
      </c>
      <c r="X136" s="675"/>
      <c r="Y136" s="1689">
        <f t="shared" ref="Y136:AG142" ca="1" si="33">SUMIF($C$3:$C$42,$C136,Y$3:Y$42)</f>
        <v>67.488496108802607</v>
      </c>
      <c r="Z136" s="1689">
        <f t="shared" ca="1" si="33"/>
        <v>86.713874566176003</v>
      </c>
      <c r="AA136" s="1689">
        <f t="shared" ca="1" si="33"/>
        <v>95.428227257671551</v>
      </c>
      <c r="AB136" s="1689">
        <f t="shared" ca="1" si="33"/>
        <v>110.21651892660452</v>
      </c>
      <c r="AC136" s="1689">
        <f t="shared" ca="1" si="33"/>
        <v>142.95739361200623</v>
      </c>
      <c r="AD136" s="1689">
        <f t="shared" ca="1" si="33"/>
        <v>169.62084549858668</v>
      </c>
      <c r="AE136" s="1689">
        <f t="shared" ca="1" si="33"/>
        <v>192.06717959601849</v>
      </c>
      <c r="AF136" s="1689">
        <f t="shared" ca="1" si="33"/>
        <v>215.26062067578113</v>
      </c>
      <c r="AG136" s="1689">
        <f t="shared" ca="1" si="33"/>
        <v>165.59016461222166</v>
      </c>
      <c r="AH136" s="675"/>
      <c r="AI136" s="1689">
        <f t="shared" ref="AI136:AQ142" ca="1" si="34">SUMIF($C$3:$C$42,$C136,AI$3:AI$42)</f>
        <v>67.488496108802607</v>
      </c>
      <c r="AJ136" s="1689">
        <f t="shared" ca="1" si="34"/>
        <v>86.896473026220917</v>
      </c>
      <c r="AK136" s="1689">
        <f t="shared" ca="1" si="34"/>
        <v>97.001633337503733</v>
      </c>
      <c r="AL136" s="1689">
        <f t="shared" ca="1" si="34"/>
        <v>110.61167313904804</v>
      </c>
      <c r="AM136" s="1689">
        <f t="shared" ca="1" si="34"/>
        <v>143.88116049010807</v>
      </c>
      <c r="AN136" s="1689">
        <f t="shared" ca="1" si="34"/>
        <v>171.60646947219266</v>
      </c>
      <c r="AO136" s="1689">
        <f t="shared" ca="1" si="34"/>
        <v>194.27538606537257</v>
      </c>
      <c r="AP136" s="1689">
        <f t="shared" ca="1" si="34"/>
        <v>217.58153394322045</v>
      </c>
      <c r="AQ136" s="1689">
        <f t="shared" ca="1" si="34"/>
        <v>168.14548168269448</v>
      </c>
      <c r="AR136" s="2225"/>
      <c r="AS136" s="1706">
        <f t="shared" ref="AS136:AT142" ca="1" si="35">SUMIF($C$3:$C$42,$C136,AS$3:AS$42)</f>
        <v>139.7209230294626</v>
      </c>
      <c r="AT136" s="1706">
        <f t="shared" ca="1" si="35"/>
        <v>988.08518600439447</v>
      </c>
      <c r="AU136" s="675"/>
      <c r="AV136" s="1699"/>
      <c r="AW136" s="1690"/>
      <c r="AX136" s="675"/>
      <c r="AY136" s="1689">
        <f t="shared" ref="AY136:BG142" ca="1" si="36">SUMIF($C$3:$C$42,$C136,AY$3:AY$42)</f>
        <v>0</v>
      </c>
      <c r="AZ136" s="1689">
        <f t="shared" ca="1" si="36"/>
        <v>6.0700142395867435E-2</v>
      </c>
      <c r="BA136" s="1689">
        <f t="shared" ca="1" si="36"/>
        <v>0.5240565490672654</v>
      </c>
      <c r="BB136" s="1689">
        <f t="shared" ca="1" si="36"/>
        <v>0.13147400303288068</v>
      </c>
      <c r="BC136" s="1689">
        <f t="shared" ca="1" si="36"/>
        <v>0.3075582141604542</v>
      </c>
      <c r="BD136" s="1689">
        <f t="shared" ca="1" si="36"/>
        <v>0.66122579106479262</v>
      </c>
      <c r="BE136" s="1689">
        <f t="shared" ca="1" si="36"/>
        <v>0.73514401300037335</v>
      </c>
      <c r="BF136" s="1689">
        <f t="shared" ca="1" si="36"/>
        <v>0.77246349477213982</v>
      </c>
      <c r="BG136" s="1689">
        <f t="shared" ca="1" si="36"/>
        <v>0.85034952720695456</v>
      </c>
      <c r="BH136" s="675"/>
      <c r="BI136" s="1689">
        <f t="shared" ref="BI136:BQ142" ca="1" si="37">SUMIF($C$3:$C$42,$C136,BI$3:BI$42)</f>
        <v>0</v>
      </c>
      <c r="BJ136" s="1689">
        <f t="shared" ca="1" si="37"/>
        <v>6.0700142395867435E-2</v>
      </c>
      <c r="BK136" s="1689">
        <f t="shared" ca="1" si="37"/>
        <v>0.5847566914631328</v>
      </c>
      <c r="BL136" s="1689">
        <f t="shared" ca="1" si="37"/>
        <v>0.71623069449601351</v>
      </c>
      <c r="BM136" s="1689">
        <f t="shared" ca="1" si="37"/>
        <v>0.96308876626060036</v>
      </c>
      <c r="BN136" s="1689">
        <f t="shared" ca="1" si="37"/>
        <v>1.1002580082581275</v>
      </c>
      <c r="BO136" s="1689">
        <f t="shared" ca="1" si="37"/>
        <v>1.70392801822562</v>
      </c>
      <c r="BP136" s="1689">
        <f t="shared" ca="1" si="37"/>
        <v>2.1688332988373058</v>
      </c>
      <c r="BQ136" s="1689">
        <f t="shared" ca="1" si="37"/>
        <v>2.3579570349794676</v>
      </c>
      <c r="BR136" s="675"/>
      <c r="BS136" s="1701">
        <f t="shared" ref="BS136:CA142" ca="1" si="38">SUMIF($C$3:$C$42,$C136,BS$3:BS$42)</f>
        <v>67.488496108802607</v>
      </c>
      <c r="BT136" s="1701">
        <f t="shared" ca="1" si="38"/>
        <v>86.775072741429142</v>
      </c>
      <c r="BU136" s="1701">
        <f t="shared" ca="1" si="38"/>
        <v>96.014220381765085</v>
      </c>
      <c r="BV136" s="1701">
        <f t="shared" ca="1" si="38"/>
        <v>110.93348182444544</v>
      </c>
      <c r="BW136" s="1701">
        <f t="shared" ca="1" si="38"/>
        <v>143.92157461388729</v>
      </c>
      <c r="BX136" s="1701">
        <f t="shared" ca="1" si="38"/>
        <v>170.72305010725643</v>
      </c>
      <c r="BY136" s="1701">
        <f t="shared" ca="1" si="38"/>
        <v>193.77388204459714</v>
      </c>
      <c r="BZ136" s="1701">
        <f t="shared" ca="1" si="38"/>
        <v>217.43297675774141</v>
      </c>
      <c r="CA136" s="1701">
        <f t="shared" ca="1" si="38"/>
        <v>167.95239013605311</v>
      </c>
      <c r="CB136" s="2225"/>
      <c r="CC136" s="1706">
        <f t="shared" ref="CC136:CD142" ca="1" si="39">SUMIF($C$3:$C$42,$C136,CC$3:CC$42)</f>
        <v>139.44612719066413</v>
      </c>
      <c r="CD136" s="1706">
        <f t="shared" ca="1" si="39"/>
        <v>985.5907902044255</v>
      </c>
      <c r="CE136" s="2225"/>
      <c r="CF136" s="1703">
        <f t="shared" ref="CF136:CN142" ca="1" si="40">SUMIF($C$3:$C$42,$C136,CF$3:CF$42)</f>
        <v>0</v>
      </c>
      <c r="CG136" s="1703">
        <f t="shared" ca="1" si="40"/>
        <v>-0.12140028479173484</v>
      </c>
      <c r="CH136" s="1703">
        <f t="shared" ca="1" si="40"/>
        <v>-0.98741295573866306</v>
      </c>
      <c r="CI136" s="1703">
        <f t="shared" ca="1" si="40"/>
        <v>0.32180868539737156</v>
      </c>
      <c r="CJ136" s="1703">
        <f t="shared" ca="1" si="40"/>
        <v>4.0414123779237685E-2</v>
      </c>
      <c r="CK136" s="1703">
        <f t="shared" ca="1" si="40"/>
        <v>-0.8834193649362504</v>
      </c>
      <c r="CL136" s="1703">
        <f t="shared" ca="1" si="40"/>
        <v>-0.50150402077549971</v>
      </c>
      <c r="CM136" s="1703">
        <f t="shared" ca="1" si="40"/>
        <v>-0.14855718547911376</v>
      </c>
      <c r="CN136" s="1703">
        <f t="shared" ca="1" si="40"/>
        <v>-0.19309154664139602</v>
      </c>
      <c r="CO136" s="2225"/>
      <c r="CP136" s="1706">
        <f t="shared" ref="CP136:CQ142" ca="1" si="41">SUMIF($C$3:$C$42,$C136,CP$3:CP$42)</f>
        <v>-0.27479583879844982</v>
      </c>
      <c r="CQ136" s="1706">
        <f t="shared" ca="1" si="41"/>
        <v>-2.4943957999689195</v>
      </c>
      <c r="CR136" s="1426" t="str">
        <f t="shared" ref="CR136:CR143" ca="1" si="42">IF(ABS(CD136-CQ136-AT136)&lt;1,"ok","err")</f>
        <v>ok</v>
      </c>
    </row>
    <row r="137" spans="1:96" x14ac:dyDescent="0.2">
      <c r="C137" s="1685" t="s">
        <v>1189</v>
      </c>
      <c r="D137" s="2225"/>
      <c r="E137" s="1691">
        <f t="shared" ca="1" si="31"/>
        <v>16.121487438347444</v>
      </c>
      <c r="F137" s="1691">
        <f t="shared" ca="1" si="31"/>
        <v>15.272686221475404</v>
      </c>
      <c r="G137" s="1691">
        <f t="shared" ca="1" si="31"/>
        <v>20.024293312797198</v>
      </c>
      <c r="H137" s="1691">
        <f t="shared" ca="1" si="31"/>
        <v>17.687079295431538</v>
      </c>
      <c r="I137" s="1691">
        <f t="shared" ca="1" si="31"/>
        <v>19.200261425677461</v>
      </c>
      <c r="J137" s="1691">
        <f t="shared" ca="1" si="31"/>
        <v>19.845803336283776</v>
      </c>
      <c r="K137" s="1691">
        <f t="shared" ca="1" si="31"/>
        <v>20.798417153285097</v>
      </c>
      <c r="L137" s="1691">
        <f t="shared" ca="1" si="31"/>
        <v>21.386251597492787</v>
      </c>
      <c r="M137" s="1691">
        <f t="shared" ca="1" si="31"/>
        <v>19.041179065938756</v>
      </c>
      <c r="N137" s="675"/>
      <c r="O137" s="1691">
        <f t="shared" ca="1" si="32"/>
        <v>23.844351911777995</v>
      </c>
      <c r="P137" s="1691">
        <f t="shared" ca="1" si="32"/>
        <v>18.889906435232021</v>
      </c>
      <c r="Q137" s="1691">
        <f t="shared" ca="1" si="32"/>
        <v>20.521894230406168</v>
      </c>
      <c r="R137" s="1691">
        <f t="shared" ca="1" si="32"/>
        <v>23.219431764863842</v>
      </c>
      <c r="S137" s="1691">
        <f t="shared" ca="1" si="32"/>
        <v>24.516527898668876</v>
      </c>
      <c r="T137" s="1691">
        <f t="shared" ca="1" si="32"/>
        <v>25.769618471350057</v>
      </c>
      <c r="U137" s="1691">
        <f t="shared" ca="1" si="32"/>
        <v>26.962646087226997</v>
      </c>
      <c r="V137" s="1691">
        <f t="shared" ca="1" si="32"/>
        <v>28.210205071693434</v>
      </c>
      <c r="W137" s="1691">
        <f t="shared" ca="1" si="32"/>
        <v>29.373068994184003</v>
      </c>
      <c r="X137" s="675"/>
      <c r="Y137" s="1691">
        <f t="shared" ca="1" si="33"/>
        <v>77.092801155060471</v>
      </c>
      <c r="Z137" s="1691">
        <f t="shared" ca="1" si="33"/>
        <v>85.028618623039392</v>
      </c>
      <c r="AA137" s="1691">
        <f t="shared" ca="1" si="33"/>
        <v>94.288057491306063</v>
      </c>
      <c r="AB137" s="1691">
        <f t="shared" ca="1" si="33"/>
        <v>103.90355479405193</v>
      </c>
      <c r="AC137" s="1691">
        <f t="shared" ca="1" si="33"/>
        <v>113.22663918494293</v>
      </c>
      <c r="AD137" s="1691">
        <f t="shared" ca="1" si="33"/>
        <v>124.82982640577548</v>
      </c>
      <c r="AE137" s="1691">
        <f t="shared" ca="1" si="33"/>
        <v>135.70678972378471</v>
      </c>
      <c r="AF137" s="1691">
        <f t="shared" ca="1" si="33"/>
        <v>147.30235313594079</v>
      </c>
      <c r="AG137" s="1691">
        <f t="shared" ca="1" si="33"/>
        <v>157.85215508312811</v>
      </c>
      <c r="AH137" s="675"/>
      <c r="AI137" s="1691">
        <f t="shared" ca="1" si="34"/>
        <v>117.05864050518591</v>
      </c>
      <c r="AJ137" s="1691">
        <f t="shared" ca="1" si="34"/>
        <v>119.19121127974682</v>
      </c>
      <c r="AK137" s="1691">
        <f t="shared" ca="1" si="34"/>
        <v>134.83424503450942</v>
      </c>
      <c r="AL137" s="1691">
        <f t="shared" ca="1" si="34"/>
        <v>144.81006585434733</v>
      </c>
      <c r="AM137" s="1691">
        <f t="shared" ca="1" si="34"/>
        <v>156.94342850928928</v>
      </c>
      <c r="AN137" s="1691">
        <f t="shared" ca="1" si="34"/>
        <v>170.44524821340929</v>
      </c>
      <c r="AO137" s="1691">
        <f t="shared" ca="1" si="34"/>
        <v>183.46785296429681</v>
      </c>
      <c r="AP137" s="1691">
        <f t="shared" ca="1" si="34"/>
        <v>196.898809805127</v>
      </c>
      <c r="AQ137" s="1691">
        <f t="shared" ca="1" si="34"/>
        <v>206.26640314325087</v>
      </c>
      <c r="AR137" s="2225"/>
      <c r="AS137" s="1707">
        <f t="shared" ca="1" si="35"/>
        <v>158.87954503435139</v>
      </c>
      <c r="AT137" s="1707">
        <f t="shared" ca="1" si="35"/>
        <v>1260.8735704675491</v>
      </c>
      <c r="AU137" s="675"/>
      <c r="AV137" s="1700"/>
      <c r="AW137" s="1692"/>
      <c r="AX137" s="675"/>
      <c r="AY137" s="1691">
        <f t="shared" ca="1" si="36"/>
        <v>2.6271801691608738</v>
      </c>
      <c r="AZ137" s="1691">
        <f t="shared" ca="1" si="36"/>
        <v>3.932748897377266</v>
      </c>
      <c r="BA137" s="1691">
        <f t="shared" ca="1" si="36"/>
        <v>4.829628587150256</v>
      </c>
      <c r="BB137" s="1691">
        <f t="shared" ca="1" si="36"/>
        <v>4.5295912802071037</v>
      </c>
      <c r="BC137" s="1691">
        <f t="shared" ca="1" si="36"/>
        <v>4.8712866645325477</v>
      </c>
      <c r="BD137" s="1691">
        <f t="shared" ca="1" si="36"/>
        <v>5.0179209347420848</v>
      </c>
      <c r="BE137" s="1691">
        <f t="shared" ca="1" si="36"/>
        <v>5.2157338560174553</v>
      </c>
      <c r="BF137" s="1691">
        <f t="shared" ca="1" si="36"/>
        <v>5.3527502151605546</v>
      </c>
      <c r="BG137" s="1691">
        <f t="shared" ca="1" si="36"/>
        <v>5.0009487450100334</v>
      </c>
      <c r="BH137" s="675"/>
      <c r="BI137" s="1691">
        <f t="shared" ca="1" si="37"/>
        <v>2.6271801691608738</v>
      </c>
      <c r="BJ137" s="1691">
        <f t="shared" ca="1" si="37"/>
        <v>6.5599290665381398</v>
      </c>
      <c r="BK137" s="1691">
        <f t="shared" ca="1" si="37"/>
        <v>11.389557653688396</v>
      </c>
      <c r="BL137" s="1691">
        <f t="shared" ca="1" si="37"/>
        <v>13.889086083243242</v>
      </c>
      <c r="BM137" s="1691">
        <f t="shared" ca="1" si="37"/>
        <v>15.985770360179725</v>
      </c>
      <c r="BN137" s="1691">
        <f t="shared" ca="1" si="37"/>
        <v>18.01919855822036</v>
      </c>
      <c r="BO137" s="1691">
        <f t="shared" ca="1" si="37"/>
        <v>19.474325633792176</v>
      </c>
      <c r="BP137" s="1691">
        <f t="shared" ca="1" si="37"/>
        <v>21.85524362935886</v>
      </c>
      <c r="BQ137" s="1691">
        <f t="shared" ca="1" si="37"/>
        <v>21.59048243319717</v>
      </c>
      <c r="BR137" s="675"/>
      <c r="BS137" s="1702">
        <f t="shared" ca="1" si="38"/>
        <v>103.56433323599934</v>
      </c>
      <c r="BT137" s="1702">
        <f t="shared" ca="1" si="38"/>
        <v>110.47845412480956</v>
      </c>
      <c r="BU137" s="1702">
        <f t="shared" ca="1" si="38"/>
        <v>126.19950937540062</v>
      </c>
      <c r="BV137" s="1702">
        <f t="shared" ca="1" si="38"/>
        <v>141.01207264215901</v>
      </c>
      <c r="BW137" s="1702">
        <f t="shared" ca="1" si="38"/>
        <v>153.72893744379152</v>
      </c>
      <c r="BX137" s="1702">
        <f t="shared" ca="1" si="38"/>
        <v>168.61864343534589</v>
      </c>
      <c r="BY137" s="1702">
        <f t="shared" ca="1" si="38"/>
        <v>182.14376144480391</v>
      </c>
      <c r="BZ137" s="1702">
        <f t="shared" ca="1" si="38"/>
        <v>197.3678018369931</v>
      </c>
      <c r="CA137" s="1702">
        <f t="shared" ca="1" si="38"/>
        <v>208.8157065105093</v>
      </c>
      <c r="CB137" s="2225"/>
      <c r="CC137" s="1707">
        <f t="shared" ca="1" si="39"/>
        <v>154.65880222775689</v>
      </c>
      <c r="CD137" s="1707">
        <f t="shared" ca="1" si="39"/>
        <v>1196.1862641905605</v>
      </c>
      <c r="CE137" s="2225"/>
      <c r="CF137" s="1704">
        <f t="shared" ca="1" si="40"/>
        <v>-13.494307269186567</v>
      </c>
      <c r="CG137" s="1704">
        <f t="shared" ca="1" si="40"/>
        <v>-8.7127571549372629</v>
      </c>
      <c r="CH137" s="1704">
        <f t="shared" ca="1" si="40"/>
        <v>-8.6347356591088005</v>
      </c>
      <c r="CI137" s="1704">
        <f t="shared" ca="1" si="40"/>
        <v>-3.7979932121882971</v>
      </c>
      <c r="CJ137" s="1704">
        <f t="shared" ca="1" si="40"/>
        <v>-3.2144910654977368</v>
      </c>
      <c r="CK137" s="1704">
        <f t="shared" ca="1" si="40"/>
        <v>-1.8266047780634143</v>
      </c>
      <c r="CL137" s="1704">
        <f t="shared" ca="1" si="40"/>
        <v>-1.3240915194929221</v>
      </c>
      <c r="CM137" s="1704">
        <f t="shared" ca="1" si="40"/>
        <v>0.46899203186607286</v>
      </c>
      <c r="CN137" s="1704">
        <f t="shared" ca="1" si="40"/>
        <v>2.5493033672584149</v>
      </c>
      <c r="CO137" s="2225"/>
      <c r="CP137" s="1707">
        <f t="shared" ca="1" si="41"/>
        <v>-4.220742806594501</v>
      </c>
      <c r="CQ137" s="1707">
        <f t="shared" ca="1" si="41"/>
        <v>-64.687306276988608</v>
      </c>
      <c r="CR137" s="1426" t="str">
        <f t="shared" ca="1" si="42"/>
        <v>ok</v>
      </c>
    </row>
    <row r="138" spans="1:96" x14ac:dyDescent="0.2">
      <c r="C138" s="1683" t="s">
        <v>4</v>
      </c>
      <c r="D138" s="2225"/>
      <c r="E138" s="1689">
        <f t="shared" ca="1" si="31"/>
        <v>2.1616493825025516</v>
      </c>
      <c r="F138" s="1689">
        <f t="shared" ca="1" si="31"/>
        <v>13.878052267767124</v>
      </c>
      <c r="G138" s="1689">
        <f t="shared" ca="1" si="31"/>
        <v>95.887981198859435</v>
      </c>
      <c r="H138" s="1689">
        <f t="shared" ca="1" si="31"/>
        <v>134.59773522264791</v>
      </c>
      <c r="I138" s="1689">
        <f t="shared" ca="1" si="31"/>
        <v>180.91826524742621</v>
      </c>
      <c r="J138" s="1689">
        <f t="shared" ca="1" si="31"/>
        <v>250.76229492538488</v>
      </c>
      <c r="K138" s="1689">
        <f t="shared" ca="1" si="31"/>
        <v>291.94619855764898</v>
      </c>
      <c r="L138" s="1689">
        <f t="shared" ca="1" si="31"/>
        <v>457.55262414039197</v>
      </c>
      <c r="M138" s="1689">
        <f t="shared" ca="1" si="31"/>
        <v>540.45582948153401</v>
      </c>
      <c r="N138" s="675"/>
      <c r="O138" s="1689">
        <f t="shared" ca="1" si="32"/>
        <v>1.0216622643411346</v>
      </c>
      <c r="P138" s="1689">
        <f t="shared" ca="1" si="32"/>
        <v>1.7803390257768579</v>
      </c>
      <c r="Q138" s="1689">
        <f t="shared" ca="1" si="32"/>
        <v>3.042876083225746</v>
      </c>
      <c r="R138" s="1689">
        <f t="shared" ca="1" si="32"/>
        <v>4.8805348559858164</v>
      </c>
      <c r="S138" s="1689">
        <f t="shared" ca="1" si="32"/>
        <v>7.2712713993928322</v>
      </c>
      <c r="T138" s="1689">
        <f t="shared" ca="1" si="32"/>
        <v>9.4431054927295435</v>
      </c>
      <c r="U138" s="1689">
        <f t="shared" ca="1" si="32"/>
        <v>11.922225203641943</v>
      </c>
      <c r="V138" s="1689">
        <f t="shared" ca="1" si="32"/>
        <v>15.280687790573449</v>
      </c>
      <c r="W138" s="1689">
        <f t="shared" ca="1" si="32"/>
        <v>3.4269228723007421</v>
      </c>
      <c r="X138" s="675"/>
      <c r="Y138" s="1689">
        <f t="shared" ca="1" si="33"/>
        <v>0</v>
      </c>
      <c r="Z138" s="1689">
        <f t="shared" ca="1" si="33"/>
        <v>0</v>
      </c>
      <c r="AA138" s="1689">
        <f t="shared" ca="1" si="33"/>
        <v>0</v>
      </c>
      <c r="AB138" s="1689">
        <f t="shared" ca="1" si="33"/>
        <v>0.82378933257205744</v>
      </c>
      <c r="AC138" s="1689">
        <f t="shared" ca="1" si="33"/>
        <v>1.5651997318869089</v>
      </c>
      <c r="AD138" s="1689">
        <f t="shared" ca="1" si="33"/>
        <v>3.0480205305166126</v>
      </c>
      <c r="AE138" s="1689">
        <f t="shared" ca="1" si="33"/>
        <v>5.848904261261608</v>
      </c>
      <c r="AF138" s="1689">
        <f t="shared" ca="1" si="33"/>
        <v>11.285913856237189</v>
      </c>
      <c r="AG138" s="1689">
        <f t="shared" ca="1" si="33"/>
        <v>21.830417313159522</v>
      </c>
      <c r="AH138" s="675"/>
      <c r="AI138" s="1689">
        <f t="shared" ca="1" si="34"/>
        <v>3.1833116468436864</v>
      </c>
      <c r="AJ138" s="1689">
        <f t="shared" ca="1" si="34"/>
        <v>15.658391293543982</v>
      </c>
      <c r="AK138" s="1689">
        <f t="shared" ca="1" si="34"/>
        <v>98.930857282085185</v>
      </c>
      <c r="AL138" s="1689">
        <f t="shared" ca="1" si="34"/>
        <v>140.30205941120582</v>
      </c>
      <c r="AM138" s="1689">
        <f t="shared" ca="1" si="34"/>
        <v>189.75473637870596</v>
      </c>
      <c r="AN138" s="1689">
        <f t="shared" ca="1" si="34"/>
        <v>263.253420948631</v>
      </c>
      <c r="AO138" s="1689">
        <f t="shared" ca="1" si="34"/>
        <v>309.71732802255258</v>
      </c>
      <c r="AP138" s="1689">
        <f t="shared" ca="1" si="34"/>
        <v>484.11922578720265</v>
      </c>
      <c r="AQ138" s="1689">
        <f t="shared" ca="1" si="34"/>
        <v>565.71316966699419</v>
      </c>
      <c r="AR138" s="2225"/>
      <c r="AS138" s="1706">
        <f t="shared" ca="1" si="35"/>
        <v>230.07027782641831</v>
      </c>
      <c r="AT138" s="1706">
        <f t="shared" ca="1" si="35"/>
        <v>1001.985908267735</v>
      </c>
      <c r="AU138" s="675"/>
      <c r="AV138" s="1699"/>
      <c r="AW138" s="1690"/>
      <c r="AX138" s="675"/>
      <c r="AY138" s="1689">
        <f t="shared" ca="1" si="36"/>
        <v>0.32424740737538277</v>
      </c>
      <c r="AZ138" s="1689">
        <f t="shared" ca="1" si="36"/>
        <v>3.3856078859478238</v>
      </c>
      <c r="BA138" s="1689">
        <f t="shared" ca="1" si="36"/>
        <v>49.466868073118135</v>
      </c>
      <c r="BB138" s="1689">
        <f t="shared" ca="1" si="36"/>
        <v>72.579474369924384</v>
      </c>
      <c r="BC138" s="1689">
        <f t="shared" ca="1" si="36"/>
        <v>101.08945360226249</v>
      </c>
      <c r="BD138" s="1689">
        <f t="shared" ca="1" si="36"/>
        <v>147.51415146301372</v>
      </c>
      <c r="BE138" s="1689">
        <f t="shared" ca="1" si="36"/>
        <v>151.21279017683631</v>
      </c>
      <c r="BF138" s="1689">
        <f t="shared" ca="1" si="36"/>
        <v>233.44296520040055</v>
      </c>
      <c r="BG138" s="1689">
        <f t="shared" ca="1" si="36"/>
        <v>290.09508125545716</v>
      </c>
      <c r="BH138" s="675"/>
      <c r="BI138" s="1689">
        <f t="shared" ca="1" si="37"/>
        <v>0.32424740737538277</v>
      </c>
      <c r="BJ138" s="1689">
        <f t="shared" ca="1" si="37"/>
        <v>3.7098552933232067</v>
      </c>
      <c r="BK138" s="1689">
        <f t="shared" ca="1" si="37"/>
        <v>53.176723366441344</v>
      </c>
      <c r="BL138" s="1689">
        <f t="shared" ca="1" si="37"/>
        <v>89.368452576787021</v>
      </c>
      <c r="BM138" s="1689">
        <f t="shared" ca="1" si="37"/>
        <v>135.35987331618904</v>
      </c>
      <c r="BN138" s="1689">
        <f t="shared" ca="1" si="37"/>
        <v>202.60565606340828</v>
      </c>
      <c r="BO138" s="1689">
        <f t="shared" ca="1" si="37"/>
        <v>230.82118012430064</v>
      </c>
      <c r="BP138" s="1689">
        <f t="shared" ca="1" si="37"/>
        <v>359.53542670007874</v>
      </c>
      <c r="BQ138" s="1689">
        <f t="shared" ca="1" si="37"/>
        <v>438.50503199182708</v>
      </c>
      <c r="BR138" s="675"/>
      <c r="BS138" s="1701">
        <f t="shared" ca="1" si="38"/>
        <v>1.3459096717165173</v>
      </c>
      <c r="BT138" s="1701">
        <f t="shared" ca="1" si="38"/>
        <v>5.4901943191000644</v>
      </c>
      <c r="BU138" s="1701">
        <f t="shared" ca="1" si="38"/>
        <v>56.219599449667086</v>
      </c>
      <c r="BV138" s="1701">
        <f t="shared" ca="1" si="38"/>
        <v>95.072776765344898</v>
      </c>
      <c r="BW138" s="1701">
        <f t="shared" ca="1" si="38"/>
        <v>144.19634444746876</v>
      </c>
      <c r="BX138" s="1701">
        <f t="shared" ca="1" si="38"/>
        <v>215.09678208665446</v>
      </c>
      <c r="BY138" s="1701">
        <f t="shared" ca="1" si="38"/>
        <v>248.59230958920421</v>
      </c>
      <c r="BZ138" s="1701">
        <f t="shared" ca="1" si="38"/>
        <v>386.10202834688943</v>
      </c>
      <c r="CA138" s="1701">
        <f t="shared" ca="1" si="38"/>
        <v>463.76237217728732</v>
      </c>
      <c r="CB138" s="2225"/>
      <c r="CC138" s="1706">
        <f t="shared" ca="1" si="39"/>
        <v>179.54203520592588</v>
      </c>
      <c r="CD138" s="1706">
        <f t="shared" ca="1" si="39"/>
        <v>712.54458216323314</v>
      </c>
      <c r="CE138" s="2225"/>
      <c r="CF138" s="1703">
        <f t="shared" ca="1" si="40"/>
        <v>-1.8374019751271686</v>
      </c>
      <c r="CG138" s="1703">
        <f t="shared" ca="1" si="40"/>
        <v>-10.168196974443918</v>
      </c>
      <c r="CH138" s="1703">
        <f t="shared" ca="1" si="40"/>
        <v>-42.711257832418084</v>
      </c>
      <c r="CI138" s="1703">
        <f t="shared" ca="1" si="40"/>
        <v>-45.229282645860899</v>
      </c>
      <c r="CJ138" s="1703">
        <f t="shared" ca="1" si="40"/>
        <v>-45.558391931237189</v>
      </c>
      <c r="CK138" s="1703">
        <f t="shared" ca="1" si="40"/>
        <v>-48.156638861976582</v>
      </c>
      <c r="CL138" s="1703">
        <f t="shared" ca="1" si="40"/>
        <v>-61.125018433348366</v>
      </c>
      <c r="CM138" s="1703">
        <f t="shared" ca="1" si="40"/>
        <v>-98.017197440313183</v>
      </c>
      <c r="CN138" s="1703">
        <f t="shared" ca="1" si="40"/>
        <v>-101.9507974897068</v>
      </c>
      <c r="CO138" s="2225"/>
      <c r="CP138" s="1706">
        <f t="shared" ca="1" si="41"/>
        <v>-50.528242620492463</v>
      </c>
      <c r="CQ138" s="1706">
        <f t="shared" ca="1" si="41"/>
        <v>-289.44132610450174</v>
      </c>
      <c r="CR138" s="1426" t="str">
        <f t="shared" ca="1" si="42"/>
        <v>ok</v>
      </c>
    </row>
    <row r="139" spans="1:96" x14ac:dyDescent="0.2">
      <c r="C139" s="1685" t="s">
        <v>1974</v>
      </c>
      <c r="D139" s="2225"/>
      <c r="E139" s="1691">
        <f t="shared" ca="1" si="31"/>
        <v>0</v>
      </c>
      <c r="F139" s="1691">
        <f t="shared" ca="1" si="31"/>
        <v>7.564971487727961</v>
      </c>
      <c r="G139" s="1691">
        <f t="shared" ca="1" si="31"/>
        <v>8.6900669767962242</v>
      </c>
      <c r="H139" s="1691">
        <f t="shared" ca="1" si="31"/>
        <v>10.95298866889363</v>
      </c>
      <c r="I139" s="1691">
        <f t="shared" ca="1" si="31"/>
        <v>10.818886188897935</v>
      </c>
      <c r="J139" s="1691">
        <f t="shared" ca="1" si="31"/>
        <v>11.838335422504382</v>
      </c>
      <c r="K139" s="1691">
        <f t="shared" ca="1" si="31"/>
        <v>7.6503557038258823</v>
      </c>
      <c r="L139" s="1691">
        <f t="shared" ca="1" si="31"/>
        <v>8.0135332797140855</v>
      </c>
      <c r="M139" s="1691">
        <f t="shared" ca="1" si="31"/>
        <v>10.65109332926782</v>
      </c>
      <c r="N139" s="675"/>
      <c r="O139" s="1691">
        <f t="shared" ca="1" si="32"/>
        <v>0</v>
      </c>
      <c r="P139" s="1691">
        <f t="shared" ca="1" si="32"/>
        <v>0</v>
      </c>
      <c r="Q139" s="1691">
        <f t="shared" ca="1" si="32"/>
        <v>0</v>
      </c>
      <c r="R139" s="1691">
        <f t="shared" ca="1" si="32"/>
        <v>0</v>
      </c>
      <c r="S139" s="1691">
        <f t="shared" ca="1" si="32"/>
        <v>0</v>
      </c>
      <c r="T139" s="1691">
        <f t="shared" ca="1" si="32"/>
        <v>0</v>
      </c>
      <c r="U139" s="1691">
        <f t="shared" ca="1" si="32"/>
        <v>0</v>
      </c>
      <c r="V139" s="1691">
        <f t="shared" ca="1" si="32"/>
        <v>0</v>
      </c>
      <c r="W139" s="1691">
        <f t="shared" ca="1" si="32"/>
        <v>0</v>
      </c>
      <c r="X139" s="675"/>
      <c r="Y139" s="1691">
        <f t="shared" ca="1" si="33"/>
        <v>0</v>
      </c>
      <c r="Z139" s="1691">
        <f t="shared" ca="1" si="33"/>
        <v>0</v>
      </c>
      <c r="AA139" s="1691">
        <f t="shared" ca="1" si="33"/>
        <v>0</v>
      </c>
      <c r="AB139" s="1691">
        <f t="shared" ca="1" si="33"/>
        <v>0</v>
      </c>
      <c r="AC139" s="1691">
        <f t="shared" ca="1" si="33"/>
        <v>0</v>
      </c>
      <c r="AD139" s="1691">
        <f t="shared" ca="1" si="33"/>
        <v>0</v>
      </c>
      <c r="AE139" s="1691">
        <f t="shared" ca="1" si="33"/>
        <v>0</v>
      </c>
      <c r="AF139" s="1691">
        <f t="shared" ca="1" si="33"/>
        <v>0</v>
      </c>
      <c r="AG139" s="1691">
        <f t="shared" ca="1" si="33"/>
        <v>0</v>
      </c>
      <c r="AH139" s="675"/>
      <c r="AI139" s="1691">
        <f t="shared" ca="1" si="34"/>
        <v>0</v>
      </c>
      <c r="AJ139" s="1691">
        <f t="shared" ca="1" si="34"/>
        <v>7.564971487727961</v>
      </c>
      <c r="AK139" s="1691">
        <f t="shared" ca="1" si="34"/>
        <v>8.6900669767962242</v>
      </c>
      <c r="AL139" s="1691">
        <f t="shared" ca="1" si="34"/>
        <v>10.95298866889363</v>
      </c>
      <c r="AM139" s="1691">
        <f t="shared" ca="1" si="34"/>
        <v>10.818886188897935</v>
      </c>
      <c r="AN139" s="1691">
        <f t="shared" ca="1" si="34"/>
        <v>11.838335422504382</v>
      </c>
      <c r="AO139" s="1691">
        <f t="shared" ca="1" si="34"/>
        <v>7.6503557038258823</v>
      </c>
      <c r="AP139" s="1691">
        <f t="shared" ca="1" si="34"/>
        <v>8.0135332797140855</v>
      </c>
      <c r="AQ139" s="1691">
        <f t="shared" ca="1" si="34"/>
        <v>10.65109332926782</v>
      </c>
      <c r="AR139" s="2225"/>
      <c r="AS139" s="1707">
        <f t="shared" ca="1" si="35"/>
        <v>8.4644701175142139</v>
      </c>
      <c r="AT139" s="1707">
        <f t="shared" ca="1" si="35"/>
        <v>73.296348582423917</v>
      </c>
      <c r="AU139" s="675"/>
      <c r="AV139" s="1700"/>
      <c r="AW139" s="1692"/>
      <c r="AX139" s="675"/>
      <c r="AY139" s="1691">
        <f t="shared" ca="1" si="36"/>
        <v>0</v>
      </c>
      <c r="AZ139" s="1691">
        <f t="shared" ca="1" si="36"/>
        <v>5.1820819227795454</v>
      </c>
      <c r="BA139" s="1691">
        <f t="shared" ca="1" si="36"/>
        <v>6.131641894946525</v>
      </c>
      <c r="BB139" s="1691">
        <f t="shared" ca="1" si="36"/>
        <v>8.1851840021705087</v>
      </c>
      <c r="BC139" s="1691">
        <f t="shared" ca="1" si="36"/>
        <v>7.8497403242933785</v>
      </c>
      <c r="BD139" s="1691">
        <f t="shared" ca="1" si="36"/>
        <v>8.5081933222269122</v>
      </c>
      <c r="BE139" s="1691">
        <f t="shared" ca="1" si="36"/>
        <v>4.1056540671021695</v>
      </c>
      <c r="BF139" s="1691">
        <f t="shared" ca="1" si="36"/>
        <v>4.1311528276524641</v>
      </c>
      <c r="BG139" s="1691">
        <f t="shared" ca="1" si="36"/>
        <v>6.3766527431481022</v>
      </c>
      <c r="BH139" s="675"/>
      <c r="BI139" s="1691">
        <f t="shared" ca="1" si="37"/>
        <v>0</v>
      </c>
      <c r="BJ139" s="1691">
        <f t="shared" ca="1" si="37"/>
        <v>5.1820819227795454</v>
      </c>
      <c r="BK139" s="1691">
        <f t="shared" ca="1" si="37"/>
        <v>7.3230866774207328</v>
      </c>
      <c r="BL139" s="1691">
        <f t="shared" ca="1" si="37"/>
        <v>10.655841325569565</v>
      </c>
      <c r="BM139" s="1691">
        <f t="shared" ca="1" si="37"/>
        <v>10.512855198579789</v>
      </c>
      <c r="BN139" s="1691">
        <f t="shared" ca="1" si="37"/>
        <v>11.376668587890752</v>
      </c>
      <c r="BO139" s="1691">
        <f t="shared" ca="1" si="37"/>
        <v>7.2552980495431818</v>
      </c>
      <c r="BP139" s="1691">
        <f t="shared" ca="1" si="37"/>
        <v>7.5685746961530551</v>
      </c>
      <c r="BQ139" s="1691">
        <f t="shared" ca="1" si="37"/>
        <v>10.09019378754077</v>
      </c>
      <c r="BR139" s="675"/>
      <c r="BS139" s="1702">
        <f t="shared" ca="1" si="38"/>
        <v>0</v>
      </c>
      <c r="BT139" s="1702">
        <f t="shared" ca="1" si="38"/>
        <v>5.1820819227795454</v>
      </c>
      <c r="BU139" s="1702">
        <f t="shared" ca="1" si="38"/>
        <v>7.3230866774207328</v>
      </c>
      <c r="BV139" s="1702">
        <f t="shared" ca="1" si="38"/>
        <v>10.655841325569565</v>
      </c>
      <c r="BW139" s="1702">
        <f t="shared" ca="1" si="38"/>
        <v>10.512855198579789</v>
      </c>
      <c r="BX139" s="1702">
        <f t="shared" ca="1" si="38"/>
        <v>11.376668587890752</v>
      </c>
      <c r="BY139" s="1702">
        <f t="shared" ca="1" si="38"/>
        <v>7.2552980495431818</v>
      </c>
      <c r="BZ139" s="1702">
        <f t="shared" ca="1" si="38"/>
        <v>7.5685746961530551</v>
      </c>
      <c r="CA139" s="1702">
        <f t="shared" ca="1" si="38"/>
        <v>10.09019378754077</v>
      </c>
      <c r="CB139" s="2225"/>
      <c r="CC139" s="1707">
        <f t="shared" ca="1" si="39"/>
        <v>7.7738444717197099</v>
      </c>
      <c r="CD139" s="1707">
        <f t="shared" ca="1" si="39"/>
        <v>62.124316835366521</v>
      </c>
      <c r="CE139" s="2225"/>
      <c r="CF139" s="1704">
        <f t="shared" ca="1" si="40"/>
        <v>0</v>
      </c>
      <c r="CG139" s="1704">
        <f t="shared" ca="1" si="40"/>
        <v>-2.3828895649484156</v>
      </c>
      <c r="CH139" s="1704">
        <f t="shared" ca="1" si="40"/>
        <v>-1.3669802993754905</v>
      </c>
      <c r="CI139" s="1704">
        <f t="shared" ca="1" si="40"/>
        <v>-0.29714734332406439</v>
      </c>
      <c r="CJ139" s="1704">
        <f t="shared" ca="1" si="40"/>
        <v>-0.30603099031814546</v>
      </c>
      <c r="CK139" s="1704">
        <f t="shared" ca="1" si="40"/>
        <v>-0.46166683461362912</v>
      </c>
      <c r="CL139" s="1704">
        <f t="shared" ca="1" si="40"/>
        <v>-0.39505765428270123</v>
      </c>
      <c r="CM139" s="1704">
        <f t="shared" ca="1" si="40"/>
        <v>-0.44495858356103074</v>
      </c>
      <c r="CN139" s="1704">
        <f t="shared" ca="1" si="40"/>
        <v>-0.56089954172704914</v>
      </c>
      <c r="CO139" s="2225"/>
      <c r="CP139" s="1707">
        <f t="shared" ca="1" si="41"/>
        <v>-0.69062564579450292</v>
      </c>
      <c r="CQ139" s="1707">
        <f t="shared" ca="1" si="41"/>
        <v>-11.172031747057392</v>
      </c>
      <c r="CR139" s="1426" t="str">
        <f t="shared" ca="1" si="42"/>
        <v>ok</v>
      </c>
    </row>
    <row r="140" spans="1:96" x14ac:dyDescent="0.2">
      <c r="C140" s="1683" t="s">
        <v>125</v>
      </c>
      <c r="D140" s="2225"/>
      <c r="E140" s="1689">
        <f t="shared" ca="1" si="31"/>
        <v>0</v>
      </c>
      <c r="F140" s="1689">
        <f t="shared" ca="1" si="31"/>
        <v>1162.1175769378315</v>
      </c>
      <c r="G140" s="1689">
        <f t="shared" ca="1" si="31"/>
        <v>709.10004284738091</v>
      </c>
      <c r="H140" s="1689">
        <f t="shared" ca="1" si="31"/>
        <v>854.90818786425507</v>
      </c>
      <c r="I140" s="1689">
        <f t="shared" ca="1" si="31"/>
        <v>1017.2855692451775</v>
      </c>
      <c r="J140" s="1689">
        <f t="shared" ca="1" si="31"/>
        <v>1229.9245748202043</v>
      </c>
      <c r="K140" s="1689">
        <f t="shared" ca="1" si="31"/>
        <v>1381.0680464141158</v>
      </c>
      <c r="L140" s="1689">
        <f t="shared" ca="1" si="31"/>
        <v>1627.4036364266146</v>
      </c>
      <c r="M140" s="1689">
        <f t="shared" ca="1" si="31"/>
        <v>1882.3406163424936</v>
      </c>
      <c r="N140" s="675"/>
      <c r="O140" s="1689">
        <f t="shared" ca="1" si="32"/>
        <v>1717.9227642953656</v>
      </c>
      <c r="P140" s="1689">
        <f t="shared" ca="1" si="32"/>
        <v>18263.161052350821</v>
      </c>
      <c r="Q140" s="1689">
        <f t="shared" ca="1" si="32"/>
        <v>21924.013472860235</v>
      </c>
      <c r="R140" s="1689">
        <f t="shared" ca="1" si="32"/>
        <v>26253.699791685551</v>
      </c>
      <c r="S140" s="1689">
        <f t="shared" ca="1" si="32"/>
        <v>31347.358573058664</v>
      </c>
      <c r="T140" s="1689">
        <f t="shared" ca="1" si="32"/>
        <v>37318.683302516809</v>
      </c>
      <c r="U140" s="1689">
        <f t="shared" ca="1" si="32"/>
        <v>43226.505449324344</v>
      </c>
      <c r="V140" s="1689">
        <f t="shared" ca="1" si="32"/>
        <v>49928.127511226921</v>
      </c>
      <c r="W140" s="1689">
        <f t="shared" ca="1" si="32"/>
        <v>57510.111324540005</v>
      </c>
      <c r="X140" s="675"/>
      <c r="Y140" s="1689">
        <f t="shared" ca="1" si="33"/>
        <v>0</v>
      </c>
      <c r="Z140" s="1689">
        <f t="shared" ca="1" si="33"/>
        <v>0</v>
      </c>
      <c r="AA140" s="1689">
        <f t="shared" ca="1" si="33"/>
        <v>0</v>
      </c>
      <c r="AB140" s="1689">
        <f t="shared" ca="1" si="33"/>
        <v>0</v>
      </c>
      <c r="AC140" s="1689">
        <f t="shared" ca="1" si="33"/>
        <v>0</v>
      </c>
      <c r="AD140" s="1689">
        <f t="shared" ca="1" si="33"/>
        <v>0</v>
      </c>
      <c r="AE140" s="1689">
        <f t="shared" ca="1" si="33"/>
        <v>0</v>
      </c>
      <c r="AF140" s="1689">
        <f t="shared" ca="1" si="33"/>
        <v>0</v>
      </c>
      <c r="AG140" s="1689">
        <f t="shared" ca="1" si="33"/>
        <v>0</v>
      </c>
      <c r="AH140" s="675"/>
      <c r="AI140" s="1689">
        <f t="shared" ca="1" si="34"/>
        <v>1717.9227642953656</v>
      </c>
      <c r="AJ140" s="1689">
        <f t="shared" ca="1" si="34"/>
        <v>19425.278629288649</v>
      </c>
      <c r="AK140" s="1689">
        <f t="shared" ca="1" si="34"/>
        <v>22633.113515707617</v>
      </c>
      <c r="AL140" s="1689">
        <f t="shared" ca="1" si="34"/>
        <v>27108.607979549801</v>
      </c>
      <c r="AM140" s="1689">
        <f t="shared" ca="1" si="34"/>
        <v>32364.644142303841</v>
      </c>
      <c r="AN140" s="1689">
        <f t="shared" ca="1" si="34"/>
        <v>38548.607877337003</v>
      </c>
      <c r="AO140" s="1689">
        <f t="shared" ca="1" si="34"/>
        <v>44607.573495738456</v>
      </c>
      <c r="AP140" s="1689">
        <f t="shared" ca="1" si="34"/>
        <v>51555.531147653528</v>
      </c>
      <c r="AQ140" s="1689">
        <f t="shared" ca="1" si="34"/>
        <v>59392.451940882493</v>
      </c>
      <c r="AR140" s="2225"/>
      <c r="AS140" s="1706">
        <f t="shared" ca="1" si="35"/>
        <v>33039.303499195194</v>
      </c>
      <c r="AT140" s="1706">
        <f t="shared" ca="1" si="35"/>
        <v>218135.85017639166</v>
      </c>
      <c r="AU140" s="675"/>
      <c r="AV140" s="1699"/>
      <c r="AW140" s="1690"/>
      <c r="AX140" s="675"/>
      <c r="AY140" s="1689">
        <f t="shared" ca="1" si="36"/>
        <v>0</v>
      </c>
      <c r="AZ140" s="1689">
        <f t="shared" ca="1" si="36"/>
        <v>1021.9722667052233</v>
      </c>
      <c r="BA140" s="1689">
        <f t="shared" ca="1" si="36"/>
        <v>509.10995347238469</v>
      </c>
      <c r="BB140" s="1689">
        <f t="shared" ca="1" si="36"/>
        <v>582.27534387438868</v>
      </c>
      <c r="BC140" s="1689">
        <f t="shared" ca="1" si="36"/>
        <v>662.62592794997204</v>
      </c>
      <c r="BD140" s="1689">
        <f t="shared" ca="1" si="36"/>
        <v>766.9215201741365</v>
      </c>
      <c r="BE140" s="1689">
        <f t="shared" ca="1" si="36"/>
        <v>828.13344647939709</v>
      </c>
      <c r="BF140" s="1689">
        <f t="shared" ca="1" si="36"/>
        <v>943.02925705272048</v>
      </c>
      <c r="BG140" s="1689">
        <f t="shared" ca="1" si="36"/>
        <v>1060.4193494538524</v>
      </c>
      <c r="BH140" s="675"/>
      <c r="BI140" s="1689">
        <f t="shared" ca="1" si="37"/>
        <v>0</v>
      </c>
      <c r="BJ140" s="1689">
        <f t="shared" ca="1" si="37"/>
        <v>1021.9722667052233</v>
      </c>
      <c r="BK140" s="1689">
        <f t="shared" ca="1" si="37"/>
        <v>584.22278541942217</v>
      </c>
      <c r="BL140" s="1689">
        <f t="shared" ca="1" si="37"/>
        <v>753.05259343158275</v>
      </c>
      <c r="BM140" s="1689">
        <f t="shared" ca="1" si="37"/>
        <v>899.55073570506988</v>
      </c>
      <c r="BN140" s="1689">
        <f t="shared" ca="1" si="37"/>
        <v>1078.4220756180116</v>
      </c>
      <c r="BO140" s="1689">
        <f t="shared" ca="1" si="37"/>
        <v>1239.1915530571823</v>
      </c>
      <c r="BP140" s="1689">
        <f t="shared" ca="1" si="37"/>
        <v>1447.5036832323578</v>
      </c>
      <c r="BQ140" s="1689">
        <f t="shared" ca="1" si="37"/>
        <v>1682.4049356531243</v>
      </c>
      <c r="BR140" s="675"/>
      <c r="BS140" s="1701">
        <f t="shared" ca="1" si="38"/>
        <v>1717.9227642953656</v>
      </c>
      <c r="BT140" s="1701">
        <f t="shared" ca="1" si="38"/>
        <v>19285.13331905604</v>
      </c>
      <c r="BU140" s="1701">
        <f t="shared" ca="1" si="38"/>
        <v>22508.236258279652</v>
      </c>
      <c r="BV140" s="1701">
        <f t="shared" ca="1" si="38"/>
        <v>27006.752385117128</v>
      </c>
      <c r="BW140" s="1701">
        <f t="shared" ca="1" si="38"/>
        <v>32246.909308763737</v>
      </c>
      <c r="BX140" s="1701">
        <f t="shared" ca="1" si="38"/>
        <v>38397.105378134816</v>
      </c>
      <c r="BY140" s="1701">
        <f t="shared" ca="1" si="38"/>
        <v>44465.697002381523</v>
      </c>
      <c r="BZ140" s="1701">
        <f t="shared" ca="1" si="38"/>
        <v>51375.631194459282</v>
      </c>
      <c r="CA140" s="1701">
        <f t="shared" ca="1" si="38"/>
        <v>59192.516260193122</v>
      </c>
      <c r="CB140" s="2225"/>
      <c r="CC140" s="1706">
        <f t="shared" ca="1" si="39"/>
        <v>32910.655985631187</v>
      </c>
      <c r="CD140" s="1706">
        <f t="shared" ca="1" si="39"/>
        <v>217052.94148149001</v>
      </c>
      <c r="CE140" s="2225"/>
      <c r="CF140" s="1703">
        <f t="shared" ca="1" si="40"/>
        <v>0</v>
      </c>
      <c r="CG140" s="1703">
        <f t="shared" ca="1" si="40"/>
        <v>-140.1453102326081</v>
      </c>
      <c r="CH140" s="1703">
        <f t="shared" ca="1" si="40"/>
        <v>-124.87725742795887</v>
      </c>
      <c r="CI140" s="1703">
        <f t="shared" ca="1" si="40"/>
        <v>-101.85559443267225</v>
      </c>
      <c r="CJ140" s="1703">
        <f t="shared" ca="1" si="40"/>
        <v>-117.73483354010762</v>
      </c>
      <c r="CK140" s="1703">
        <f t="shared" ca="1" si="40"/>
        <v>-151.50249920219281</v>
      </c>
      <c r="CL140" s="1703">
        <f t="shared" ca="1" si="40"/>
        <v>-141.87649335693314</v>
      </c>
      <c r="CM140" s="1703">
        <f t="shared" ca="1" si="40"/>
        <v>-179.89995319425668</v>
      </c>
      <c r="CN140" s="1703">
        <f t="shared" ca="1" si="40"/>
        <v>-199.93568068936986</v>
      </c>
      <c r="CO140" s="2225"/>
      <c r="CP140" s="1706">
        <f t="shared" ca="1" si="41"/>
        <v>-128.64751356401106</v>
      </c>
      <c r="CQ140" s="1706">
        <f t="shared" ca="1" si="41"/>
        <v>-1082.9086949016059</v>
      </c>
      <c r="CR140" s="1426" t="str">
        <f t="shared" ca="1" si="42"/>
        <v>ok</v>
      </c>
    </row>
    <row r="141" spans="1:96" x14ac:dyDescent="0.2">
      <c r="C141" s="1685" t="s">
        <v>33</v>
      </c>
      <c r="D141" s="2225"/>
      <c r="E141" s="1691">
        <f t="shared" ca="1" si="31"/>
        <v>1.9629775677211707E-3</v>
      </c>
      <c r="F141" s="1691">
        <f t="shared" ca="1" si="31"/>
        <v>0.77610177504363465</v>
      </c>
      <c r="G141" s="1691">
        <f t="shared" ca="1" si="31"/>
        <v>0.77628782811977437</v>
      </c>
      <c r="H141" s="1691">
        <f t="shared" ca="1" si="31"/>
        <v>0.72319050059543832</v>
      </c>
      <c r="I141" s="1691">
        <f t="shared" ca="1" si="31"/>
        <v>0.62050255409833466</v>
      </c>
      <c r="J141" s="1691">
        <f t="shared" ca="1" si="31"/>
        <v>0.53764576414335197</v>
      </c>
      <c r="K141" s="1691">
        <f t="shared" ca="1" si="31"/>
        <v>0.51445584274607459</v>
      </c>
      <c r="L141" s="1691">
        <f t="shared" ca="1" si="31"/>
        <v>0.5107030892276333</v>
      </c>
      <c r="M141" s="1691">
        <f t="shared" ca="1" si="31"/>
        <v>0.50716520429861045</v>
      </c>
      <c r="N141" s="675"/>
      <c r="O141" s="1691">
        <f t="shared" ca="1" si="32"/>
        <v>2.40217400318015</v>
      </c>
      <c r="P141" s="1691">
        <f t="shared" ca="1" si="32"/>
        <v>2.4118826437970582</v>
      </c>
      <c r="Q141" s="1691">
        <f t="shared" ca="1" si="32"/>
        <v>2.2711231340373739</v>
      </c>
      <c r="R141" s="1691">
        <f t="shared" ca="1" si="32"/>
        <v>1.9906321793581732</v>
      </c>
      <c r="S141" s="1691">
        <f t="shared" ca="1" si="32"/>
        <v>1.7637908324922786</v>
      </c>
      <c r="T141" s="1691">
        <f t="shared" ca="1" si="32"/>
        <v>1.7066202352699256</v>
      </c>
      <c r="U141" s="1691">
        <f t="shared" ca="1" si="32"/>
        <v>1.7050493471444206</v>
      </c>
      <c r="V141" s="1691">
        <f t="shared" ca="1" si="32"/>
        <v>1.7045931769239278</v>
      </c>
      <c r="W141" s="1691">
        <f t="shared" ca="1" si="32"/>
        <v>1.7047320300432975</v>
      </c>
      <c r="X141" s="675"/>
      <c r="Y141" s="1691">
        <f t="shared" ca="1" si="33"/>
        <v>0</v>
      </c>
      <c r="Z141" s="1691">
        <f t="shared" ca="1" si="33"/>
        <v>0</v>
      </c>
      <c r="AA141" s="1691">
        <f t="shared" ca="1" si="33"/>
        <v>0</v>
      </c>
      <c r="AB141" s="1691">
        <f t="shared" ca="1" si="33"/>
        <v>0</v>
      </c>
      <c r="AC141" s="1691">
        <f t="shared" ca="1" si="33"/>
        <v>0</v>
      </c>
      <c r="AD141" s="1691">
        <f t="shared" ca="1" si="33"/>
        <v>0</v>
      </c>
      <c r="AE141" s="1691">
        <f t="shared" ca="1" si="33"/>
        <v>0</v>
      </c>
      <c r="AF141" s="1691">
        <f t="shared" ca="1" si="33"/>
        <v>0</v>
      </c>
      <c r="AG141" s="1691">
        <f t="shared" ca="1" si="33"/>
        <v>0</v>
      </c>
      <c r="AH141" s="675"/>
      <c r="AI141" s="1691">
        <f t="shared" ca="1" si="34"/>
        <v>2.4041369807478707</v>
      </c>
      <c r="AJ141" s="1691">
        <f t="shared" ca="1" si="34"/>
        <v>3.1879844188406925</v>
      </c>
      <c r="AK141" s="1691">
        <f t="shared" ca="1" si="34"/>
        <v>3.0474109621571484</v>
      </c>
      <c r="AL141" s="1691">
        <f t="shared" ca="1" si="34"/>
        <v>2.7138226799536116</v>
      </c>
      <c r="AM141" s="1691">
        <f t="shared" ca="1" si="34"/>
        <v>2.3842933865906133</v>
      </c>
      <c r="AN141" s="1691">
        <f t="shared" ca="1" si="34"/>
        <v>2.2442659994132779</v>
      </c>
      <c r="AO141" s="1691">
        <f t="shared" ca="1" si="34"/>
        <v>2.2195051898904952</v>
      </c>
      <c r="AP141" s="1691">
        <f t="shared" ca="1" si="34"/>
        <v>2.2152962661515612</v>
      </c>
      <c r="AQ141" s="1691">
        <f t="shared" ca="1" si="34"/>
        <v>2.2118972343419077</v>
      </c>
      <c r="AR141" s="2225"/>
      <c r="AS141" s="1707">
        <f t="shared" ca="1" si="35"/>
        <v>2.5142903464541311</v>
      </c>
      <c r="AT141" s="1707">
        <f t="shared" ca="1" si="35"/>
        <v>25.887347091102558</v>
      </c>
      <c r="AU141" s="675"/>
      <c r="AV141" s="1700"/>
      <c r="AW141" s="1692"/>
      <c r="AX141" s="675"/>
      <c r="AY141" s="1691">
        <f t="shared" ca="1" si="36"/>
        <v>1.1777865406327023E-3</v>
      </c>
      <c r="AZ141" s="1691">
        <f t="shared" ca="1" si="36"/>
        <v>0.26012081979763535</v>
      </c>
      <c r="BA141" s="1691">
        <f t="shared" ca="1" si="36"/>
        <v>0.26030687287377519</v>
      </c>
      <c r="BB141" s="1691">
        <f t="shared" ca="1" si="36"/>
        <v>0.24274579731770221</v>
      </c>
      <c r="BC141" s="1691">
        <f t="shared" ca="1" si="36"/>
        <v>0.20862443108746082</v>
      </c>
      <c r="BD141" s="1691">
        <f t="shared" ca="1" si="36"/>
        <v>0.18112209007990052</v>
      </c>
      <c r="BE141" s="1691">
        <f t="shared" ca="1" si="36"/>
        <v>0.17351810235853263</v>
      </c>
      <c r="BF141" s="1691">
        <f t="shared" ca="1" si="36"/>
        <v>0.17240339382295025</v>
      </c>
      <c r="BG141" s="1691">
        <f t="shared" ca="1" si="36"/>
        <v>0.17137143256359152</v>
      </c>
      <c r="BH141" s="675"/>
      <c r="BI141" s="1691">
        <f t="shared" ca="1" si="37"/>
        <v>1.1777865406327023E-3</v>
      </c>
      <c r="BJ141" s="1691">
        <f t="shared" ca="1" si="37"/>
        <v>0.26012081979763535</v>
      </c>
      <c r="BK141" s="1691">
        <f t="shared" ca="1" si="37"/>
        <v>0.51829735049677483</v>
      </c>
      <c r="BL141" s="1691">
        <f t="shared" ca="1" si="37"/>
        <v>0.75872675256370159</v>
      </c>
      <c r="BM141" s="1691">
        <f t="shared" ca="1" si="37"/>
        <v>0.70683726034932837</v>
      </c>
      <c r="BN141" s="1691">
        <f t="shared" ca="1" si="37"/>
        <v>0.62728350322420545</v>
      </c>
      <c r="BO141" s="1691">
        <f t="shared" ca="1" si="37"/>
        <v>0.55771900089569526</v>
      </c>
      <c r="BP141" s="1691">
        <f t="shared" ca="1" si="37"/>
        <v>0.52113410104844693</v>
      </c>
      <c r="BQ141" s="1691">
        <f t="shared" ca="1" si="37"/>
        <v>0.51099015045970408</v>
      </c>
      <c r="BR141" s="675"/>
      <c r="BS141" s="1702">
        <f t="shared" ca="1" si="38"/>
        <v>2.4033517897207823</v>
      </c>
      <c r="BT141" s="1702">
        <f t="shared" ca="1" si="38"/>
        <v>2.6720034635946934</v>
      </c>
      <c r="BU141" s="1702">
        <f t="shared" ca="1" si="38"/>
        <v>2.7894204845341486</v>
      </c>
      <c r="BV141" s="1702">
        <f t="shared" ca="1" si="38"/>
        <v>2.7493589319218747</v>
      </c>
      <c r="BW141" s="1702">
        <f t="shared" ca="1" si="38"/>
        <v>2.4706280928416073</v>
      </c>
      <c r="BX141" s="1702">
        <f t="shared" ca="1" si="38"/>
        <v>2.333903738494131</v>
      </c>
      <c r="BY141" s="1702">
        <f t="shared" ca="1" si="38"/>
        <v>2.2627683480401157</v>
      </c>
      <c r="BZ141" s="1702">
        <f t="shared" ca="1" si="38"/>
        <v>2.2257272779723749</v>
      </c>
      <c r="CA141" s="1702">
        <f t="shared" ca="1" si="38"/>
        <v>2.2157221805030014</v>
      </c>
      <c r="CB141" s="2225"/>
      <c r="CC141" s="1707">
        <f t="shared" ca="1" si="39"/>
        <v>2.4580982564025255</v>
      </c>
      <c r="CD141" s="1707">
        <f t="shared" ca="1" si="39"/>
        <v>23.951169107886475</v>
      </c>
      <c r="CE141" s="2225"/>
      <c r="CF141" s="1704">
        <f t="shared" ca="1" si="40"/>
        <v>-7.8519102708846827E-4</v>
      </c>
      <c r="CG141" s="1704">
        <f t="shared" ca="1" si="40"/>
        <v>-0.5159809552459993</v>
      </c>
      <c r="CH141" s="1704">
        <f t="shared" ca="1" si="40"/>
        <v>-0.25799047762299965</v>
      </c>
      <c r="CI141" s="1704">
        <f t="shared" ca="1" si="40"/>
        <v>3.5536251968263342E-2</v>
      </c>
      <c r="CJ141" s="1704">
        <f t="shared" ca="1" si="40"/>
        <v>8.6334706250993709E-2</v>
      </c>
      <c r="CK141" s="1704">
        <f t="shared" ca="1" si="40"/>
        <v>8.9637739080853429E-2</v>
      </c>
      <c r="CL141" s="1704">
        <f t="shared" ca="1" si="40"/>
        <v>4.3263158149620715E-2</v>
      </c>
      <c r="CM141" s="1704">
        <f t="shared" ca="1" si="40"/>
        <v>1.0431011820813666E-2</v>
      </c>
      <c r="CN141" s="1704">
        <f t="shared" ca="1" si="40"/>
        <v>3.8249461610936506E-3</v>
      </c>
      <c r="CO141" s="2225"/>
      <c r="CP141" s="1707">
        <f t="shared" ca="1" si="41"/>
        <v>-5.6192090051605449E-2</v>
      </c>
      <c r="CQ141" s="1707">
        <f t="shared" ca="1" si="41"/>
        <v>-1.9361779832160855</v>
      </c>
      <c r="CR141" s="1426" t="str">
        <f t="shared" ca="1" si="42"/>
        <v>ok</v>
      </c>
    </row>
    <row r="142" spans="1:96" x14ac:dyDescent="0.2">
      <c r="C142" s="1697" t="s">
        <v>102</v>
      </c>
      <c r="D142" s="2225"/>
      <c r="E142" s="1698">
        <f t="shared" si="31"/>
        <v>0</v>
      </c>
      <c r="F142" s="1698">
        <f t="shared" si="31"/>
        <v>0</v>
      </c>
      <c r="G142" s="1698">
        <f t="shared" si="31"/>
        <v>0</v>
      </c>
      <c r="H142" s="1698">
        <f t="shared" si="31"/>
        <v>0</v>
      </c>
      <c r="I142" s="1698">
        <f t="shared" si="31"/>
        <v>0</v>
      </c>
      <c r="J142" s="1698">
        <f t="shared" si="31"/>
        <v>0</v>
      </c>
      <c r="K142" s="1698">
        <f t="shared" si="31"/>
        <v>0</v>
      </c>
      <c r="L142" s="1698">
        <f t="shared" si="31"/>
        <v>0</v>
      </c>
      <c r="M142" s="1698">
        <f t="shared" si="31"/>
        <v>0</v>
      </c>
      <c r="N142" s="675"/>
      <c r="O142" s="1698">
        <f t="shared" si="32"/>
        <v>0</v>
      </c>
      <c r="P142" s="1698">
        <f t="shared" si="32"/>
        <v>0</v>
      </c>
      <c r="Q142" s="1698">
        <f t="shared" si="32"/>
        <v>0</v>
      </c>
      <c r="R142" s="1698">
        <f t="shared" si="32"/>
        <v>0</v>
      </c>
      <c r="S142" s="1698">
        <f t="shared" si="32"/>
        <v>0</v>
      </c>
      <c r="T142" s="1698">
        <f t="shared" si="32"/>
        <v>0</v>
      </c>
      <c r="U142" s="1698">
        <f t="shared" si="32"/>
        <v>0</v>
      </c>
      <c r="V142" s="1698">
        <f t="shared" si="32"/>
        <v>0</v>
      </c>
      <c r="W142" s="1698">
        <f t="shared" si="32"/>
        <v>0</v>
      </c>
      <c r="X142" s="675"/>
      <c r="Y142" s="1698">
        <f t="shared" si="33"/>
        <v>0</v>
      </c>
      <c r="Z142" s="1698">
        <f t="shared" si="33"/>
        <v>0</v>
      </c>
      <c r="AA142" s="1698">
        <f t="shared" si="33"/>
        <v>0</v>
      </c>
      <c r="AB142" s="1698">
        <f t="shared" si="33"/>
        <v>0</v>
      </c>
      <c r="AC142" s="1698">
        <f t="shared" si="33"/>
        <v>0</v>
      </c>
      <c r="AD142" s="1698">
        <f t="shared" si="33"/>
        <v>0</v>
      </c>
      <c r="AE142" s="1698">
        <f t="shared" si="33"/>
        <v>0</v>
      </c>
      <c r="AF142" s="1698">
        <f t="shared" si="33"/>
        <v>0</v>
      </c>
      <c r="AG142" s="1698">
        <f t="shared" si="33"/>
        <v>0</v>
      </c>
      <c r="AH142" s="675"/>
      <c r="AI142" s="1698">
        <f t="shared" si="34"/>
        <v>0</v>
      </c>
      <c r="AJ142" s="1698">
        <f t="shared" si="34"/>
        <v>0</v>
      </c>
      <c r="AK142" s="1698">
        <f t="shared" si="34"/>
        <v>0</v>
      </c>
      <c r="AL142" s="1698">
        <f t="shared" si="34"/>
        <v>0</v>
      </c>
      <c r="AM142" s="1698">
        <f t="shared" si="34"/>
        <v>0</v>
      </c>
      <c r="AN142" s="1698">
        <f t="shared" si="34"/>
        <v>0</v>
      </c>
      <c r="AO142" s="1698">
        <f t="shared" si="34"/>
        <v>0</v>
      </c>
      <c r="AP142" s="1698">
        <f t="shared" si="34"/>
        <v>0</v>
      </c>
      <c r="AQ142" s="1698">
        <f t="shared" si="34"/>
        <v>0</v>
      </c>
      <c r="AR142" s="2225"/>
      <c r="AS142" s="1708">
        <f t="shared" si="35"/>
        <v>0</v>
      </c>
      <c r="AT142" s="1708">
        <f t="shared" si="35"/>
        <v>0</v>
      </c>
      <c r="AU142" s="675"/>
      <c r="AV142" s="1699"/>
      <c r="AW142" s="1690"/>
      <c r="AX142" s="675"/>
      <c r="AY142" s="1698">
        <f t="shared" si="36"/>
        <v>0</v>
      </c>
      <c r="AZ142" s="1698">
        <f t="shared" si="36"/>
        <v>0</v>
      </c>
      <c r="BA142" s="1698">
        <f t="shared" si="36"/>
        <v>0</v>
      </c>
      <c r="BB142" s="1698">
        <f t="shared" si="36"/>
        <v>0</v>
      </c>
      <c r="BC142" s="1698">
        <f t="shared" si="36"/>
        <v>0</v>
      </c>
      <c r="BD142" s="1698">
        <f t="shared" si="36"/>
        <v>0</v>
      </c>
      <c r="BE142" s="1698">
        <f t="shared" si="36"/>
        <v>0</v>
      </c>
      <c r="BF142" s="1698">
        <f t="shared" si="36"/>
        <v>0</v>
      </c>
      <c r="BG142" s="1698">
        <f t="shared" si="36"/>
        <v>0</v>
      </c>
      <c r="BH142" s="675"/>
      <c r="BI142" s="1698">
        <f t="shared" si="37"/>
        <v>0</v>
      </c>
      <c r="BJ142" s="1698">
        <f t="shared" si="37"/>
        <v>0</v>
      </c>
      <c r="BK142" s="1698">
        <f t="shared" si="37"/>
        <v>0</v>
      </c>
      <c r="BL142" s="1698">
        <f t="shared" si="37"/>
        <v>0</v>
      </c>
      <c r="BM142" s="1698">
        <f t="shared" si="37"/>
        <v>0</v>
      </c>
      <c r="BN142" s="1698">
        <f t="shared" si="37"/>
        <v>0</v>
      </c>
      <c r="BO142" s="1698">
        <f t="shared" si="37"/>
        <v>0</v>
      </c>
      <c r="BP142" s="1698">
        <f t="shared" si="37"/>
        <v>0</v>
      </c>
      <c r="BQ142" s="1698">
        <f t="shared" si="37"/>
        <v>0</v>
      </c>
      <c r="BR142" s="675"/>
      <c r="BS142" s="1698">
        <f t="shared" si="38"/>
        <v>0</v>
      </c>
      <c r="BT142" s="1698">
        <f t="shared" si="38"/>
        <v>0</v>
      </c>
      <c r="BU142" s="1698">
        <f t="shared" si="38"/>
        <v>0</v>
      </c>
      <c r="BV142" s="1698">
        <f t="shared" si="38"/>
        <v>0</v>
      </c>
      <c r="BW142" s="1698">
        <f t="shared" si="38"/>
        <v>0</v>
      </c>
      <c r="BX142" s="1698">
        <f t="shared" si="38"/>
        <v>0</v>
      </c>
      <c r="BY142" s="1698">
        <f t="shared" si="38"/>
        <v>0</v>
      </c>
      <c r="BZ142" s="1698">
        <f t="shared" si="38"/>
        <v>0</v>
      </c>
      <c r="CA142" s="1698">
        <f t="shared" si="38"/>
        <v>0</v>
      </c>
      <c r="CB142" s="2225"/>
      <c r="CC142" s="1708">
        <f t="shared" si="39"/>
        <v>0</v>
      </c>
      <c r="CD142" s="1708">
        <f t="shared" si="39"/>
        <v>0</v>
      </c>
      <c r="CE142" s="2225"/>
      <c r="CF142" s="1698">
        <f t="shared" si="40"/>
        <v>0</v>
      </c>
      <c r="CG142" s="1698">
        <f t="shared" si="40"/>
        <v>0</v>
      </c>
      <c r="CH142" s="1698">
        <f t="shared" si="40"/>
        <v>0</v>
      </c>
      <c r="CI142" s="1698">
        <f t="shared" si="40"/>
        <v>0</v>
      </c>
      <c r="CJ142" s="1698">
        <f t="shared" si="40"/>
        <v>0</v>
      </c>
      <c r="CK142" s="1698">
        <f t="shared" si="40"/>
        <v>0</v>
      </c>
      <c r="CL142" s="1698">
        <f t="shared" si="40"/>
        <v>0</v>
      </c>
      <c r="CM142" s="1698">
        <f t="shared" si="40"/>
        <v>0</v>
      </c>
      <c r="CN142" s="1698">
        <f t="shared" si="40"/>
        <v>0</v>
      </c>
      <c r="CO142" s="2225"/>
      <c r="CP142" s="1708">
        <f t="shared" si="41"/>
        <v>0</v>
      </c>
      <c r="CQ142" s="1708">
        <f t="shared" si="41"/>
        <v>0</v>
      </c>
      <c r="CR142" s="1426" t="str">
        <f t="shared" si="42"/>
        <v>ok</v>
      </c>
    </row>
    <row r="143" spans="1:96" x14ac:dyDescent="0.2">
      <c r="C143" s="1685" t="s">
        <v>105</v>
      </c>
      <c r="D143" s="2225"/>
      <c r="E143" s="2216">
        <f ca="1">SUM(E136:E142)</f>
        <v>18.285099798417718</v>
      </c>
      <c r="F143" s="1691">
        <f t="shared" ref="F143:M143" ca="1" si="43">SUM(F136:F142)</f>
        <v>1199.7914891170331</v>
      </c>
      <c r="G143" s="1691">
        <f t="shared" ca="1" si="43"/>
        <v>836.05084181115524</v>
      </c>
      <c r="H143" s="1691">
        <f t="shared" ca="1" si="43"/>
        <v>1019.2636035609222</v>
      </c>
      <c r="I143" s="1691">
        <f t="shared" ca="1" si="43"/>
        <v>1229.7661593037587</v>
      </c>
      <c r="J143" s="1691">
        <f t="shared" ca="1" si="43"/>
        <v>1514.8923316417151</v>
      </c>
      <c r="K143" s="1691">
        <f t="shared" ca="1" si="43"/>
        <v>1704.1829057106229</v>
      </c>
      <c r="L143" s="1691">
        <f t="shared" ca="1" si="43"/>
        <v>2117.1841390177578</v>
      </c>
      <c r="M143" s="1691">
        <f t="shared" ca="1" si="43"/>
        <v>2455.5469320051534</v>
      </c>
      <c r="N143" s="675"/>
      <c r="O143" s="1691">
        <f ca="1">SUM(O136:O142)</f>
        <v>1745.1909524746648</v>
      </c>
      <c r="P143" s="1691">
        <f t="shared" ref="P143:W143" ca="1" si="44">SUM(P136:P142)</f>
        <v>18286.243678488481</v>
      </c>
      <c r="Q143" s="1691">
        <f t="shared" ca="1" si="44"/>
        <v>21949.850602740535</v>
      </c>
      <c r="R143" s="1691">
        <f t="shared" ca="1" si="44"/>
        <v>26283.791122689101</v>
      </c>
      <c r="S143" s="1691">
        <f t="shared" ca="1" si="44"/>
        <v>31380.911255424835</v>
      </c>
      <c r="T143" s="1691">
        <f t="shared" ca="1" si="44"/>
        <v>37355.604593316573</v>
      </c>
      <c r="U143" s="1691">
        <f t="shared" ca="1" si="44"/>
        <v>43267.098144392716</v>
      </c>
      <c r="V143" s="1691">
        <f t="shared" ca="1" si="44"/>
        <v>49973.326520049239</v>
      </c>
      <c r="W143" s="1691">
        <f t="shared" ca="1" si="44"/>
        <v>57544.620316925379</v>
      </c>
      <c r="X143" s="675"/>
      <c r="Y143" s="1691">
        <f ca="1">SUM(Y136:Y142)</f>
        <v>144.58129726386306</v>
      </c>
      <c r="Z143" s="1691">
        <f t="shared" ref="Z143:AG143" ca="1" si="45">SUM(Z136:Z142)</f>
        <v>171.74249318921539</v>
      </c>
      <c r="AA143" s="1691">
        <f t="shared" ca="1" si="45"/>
        <v>189.71628474897761</v>
      </c>
      <c r="AB143" s="1691">
        <f t="shared" ca="1" si="45"/>
        <v>214.94386305322851</v>
      </c>
      <c r="AC143" s="1691">
        <f t="shared" ca="1" si="45"/>
        <v>257.7492325288361</v>
      </c>
      <c r="AD143" s="1691">
        <f t="shared" ca="1" si="45"/>
        <v>297.49869243487876</v>
      </c>
      <c r="AE143" s="1691">
        <f t="shared" ca="1" si="45"/>
        <v>333.62287358106482</v>
      </c>
      <c r="AF143" s="1691">
        <f t="shared" ca="1" si="45"/>
        <v>373.8488876679591</v>
      </c>
      <c r="AG143" s="1691">
        <f t="shared" ca="1" si="45"/>
        <v>345.27273700850924</v>
      </c>
      <c r="AH143" s="675"/>
      <c r="AI143" s="1691">
        <f ca="1">SUM(AI136:AI142)</f>
        <v>1908.0573495369456</v>
      </c>
      <c r="AJ143" s="1691">
        <f t="shared" ref="AJ143:AQ143" ca="1" si="46">SUM(AJ136:AJ142)</f>
        <v>19657.777660794727</v>
      </c>
      <c r="AK143" s="1691">
        <f t="shared" ca="1" si="46"/>
        <v>22975.617729300669</v>
      </c>
      <c r="AL143" s="1691">
        <f t="shared" ca="1" si="46"/>
        <v>27517.99858930325</v>
      </c>
      <c r="AM143" s="1691">
        <f t="shared" ca="1" si="46"/>
        <v>32868.426647257431</v>
      </c>
      <c r="AN143" s="1691">
        <f t="shared" ca="1" si="46"/>
        <v>39167.99561739315</v>
      </c>
      <c r="AO143" s="1691">
        <f t="shared" ca="1" si="46"/>
        <v>45304.903923684389</v>
      </c>
      <c r="AP143" s="1691">
        <f t="shared" ca="1" si="46"/>
        <v>52464.359546734944</v>
      </c>
      <c r="AQ143" s="1691">
        <f t="shared" ca="1" si="46"/>
        <v>60345.439985939047</v>
      </c>
      <c r="AR143" s="2225"/>
      <c r="AS143" s="1707">
        <f ca="1">SUM(AS136:AS142)</f>
        <v>33578.953005549389</v>
      </c>
      <c r="AT143" s="1707">
        <f ca="1">SUM(AT136:AT142)</f>
        <v>221485.97853680488</v>
      </c>
      <c r="AU143" s="675"/>
      <c r="AV143" s="1700"/>
      <c r="AW143" s="1692"/>
      <c r="AX143" s="675"/>
      <c r="AY143" s="1691">
        <f ca="1">SUM(AY136:AY142)</f>
        <v>2.9526053630768896</v>
      </c>
      <c r="AZ143" s="1691">
        <f t="shared" ref="AZ143:BG143" ca="1" si="47">SUM(AZ136:AZ142)</f>
        <v>1034.7935263735217</v>
      </c>
      <c r="BA143" s="1691">
        <f t="shared" ca="1" si="47"/>
        <v>570.32245544954071</v>
      </c>
      <c r="BB143" s="1691">
        <f t="shared" ca="1" si="47"/>
        <v>667.94381332704131</v>
      </c>
      <c r="BC143" s="1691">
        <f t="shared" ca="1" si="47"/>
        <v>776.95259118630838</v>
      </c>
      <c r="BD143" s="1691">
        <f t="shared" ca="1" si="47"/>
        <v>928.80413377526395</v>
      </c>
      <c r="BE143" s="1691">
        <f t="shared" ca="1" si="47"/>
        <v>989.57628669471194</v>
      </c>
      <c r="BF143" s="1691">
        <f t="shared" ca="1" si="47"/>
        <v>1186.9009921845293</v>
      </c>
      <c r="BG143" s="1691">
        <f t="shared" ca="1" si="47"/>
        <v>1362.9137531572383</v>
      </c>
      <c r="BH143" s="675"/>
      <c r="BI143" s="1691">
        <f ca="1">SUM(BI136:BI142)</f>
        <v>2.9526053630768896</v>
      </c>
      <c r="BJ143" s="1691">
        <f t="shared" ref="BJ143:BQ143" ca="1" si="48">SUM(BJ136:BJ142)</f>
        <v>1037.7449539500578</v>
      </c>
      <c r="BK143" s="1691">
        <f t="shared" ca="1" si="48"/>
        <v>657.21520715893257</v>
      </c>
      <c r="BL143" s="1691">
        <f t="shared" ca="1" si="48"/>
        <v>868.44093086424232</v>
      </c>
      <c r="BM143" s="1691">
        <f t="shared" ca="1" si="48"/>
        <v>1063.0791606066284</v>
      </c>
      <c r="BN143" s="1691">
        <f t="shared" ca="1" si="48"/>
        <v>1312.1511403390132</v>
      </c>
      <c r="BO143" s="1691">
        <f t="shared" ca="1" si="48"/>
        <v>1499.0040038839397</v>
      </c>
      <c r="BP143" s="1691">
        <f t="shared" ca="1" si="48"/>
        <v>1839.1528956578343</v>
      </c>
      <c r="BQ143" s="1691">
        <f t="shared" ca="1" si="48"/>
        <v>2155.4595910511284</v>
      </c>
      <c r="BR143" s="675"/>
      <c r="BS143" s="1702">
        <f ca="1">SUM(BS136:BS142)</f>
        <v>1892.7248551016048</v>
      </c>
      <c r="BT143" s="1702">
        <f t="shared" ref="BT143:CA143" ca="1" si="49">SUM(BT136:BT142)</f>
        <v>19495.731125627753</v>
      </c>
      <c r="BU143" s="1702">
        <f t="shared" ca="1" si="49"/>
        <v>22796.782094648439</v>
      </c>
      <c r="BV143" s="1702">
        <f t="shared" ca="1" si="49"/>
        <v>27367.175916606568</v>
      </c>
      <c r="BW143" s="1702">
        <f t="shared" ca="1" si="49"/>
        <v>32701.739648560306</v>
      </c>
      <c r="BX143" s="1702">
        <f t="shared" ca="1" si="49"/>
        <v>38965.254426090461</v>
      </c>
      <c r="BY143" s="1702">
        <f t="shared" ca="1" si="49"/>
        <v>45099.72502185771</v>
      </c>
      <c r="BZ143" s="1702">
        <f t="shared" ca="1" si="49"/>
        <v>52186.328303375034</v>
      </c>
      <c r="CA143" s="1702">
        <f t="shared" ca="1" si="49"/>
        <v>60045.352644985018</v>
      </c>
      <c r="CB143" s="2225"/>
      <c r="CC143" s="1707">
        <f ca="1">SUM(CC136:CC142)</f>
        <v>33394.534892983655</v>
      </c>
      <c r="CD143" s="1707">
        <f ca="1">SUM(CD136:CD142)</f>
        <v>220033.33860399149</v>
      </c>
      <c r="CE143" s="2225"/>
      <c r="CF143" s="1704">
        <f ca="1">SUM(CF136:CF142)</f>
        <v>-15.332494435340823</v>
      </c>
      <c r="CG143" s="1704">
        <f t="shared" ref="CG143:CN143" ca="1" si="50">SUM(CG136:CG142)</f>
        <v>-162.04653516697542</v>
      </c>
      <c r="CH143" s="1704">
        <f t="shared" ca="1" si="50"/>
        <v>-178.83563465222289</v>
      </c>
      <c r="CI143" s="1704">
        <f t="shared" ca="1" si="50"/>
        <v>-150.82267269667986</v>
      </c>
      <c r="CJ143" s="1704">
        <f t="shared" ca="1" si="50"/>
        <v>-166.68699869713046</v>
      </c>
      <c r="CK143" s="1704">
        <f t="shared" ca="1" si="50"/>
        <v>-202.74119130270185</v>
      </c>
      <c r="CL143" s="1704">
        <f t="shared" ca="1" si="50"/>
        <v>-205.17890182668302</v>
      </c>
      <c r="CM143" s="1704">
        <f t="shared" ca="1" si="50"/>
        <v>-278.03124335992317</v>
      </c>
      <c r="CN143" s="1704">
        <f t="shared" ca="1" si="50"/>
        <v>-300.08734095402559</v>
      </c>
      <c r="CO143" s="2225"/>
      <c r="CP143" s="1707">
        <f ca="1">SUM(CP136:CP142)</f>
        <v>-184.41811256574258</v>
      </c>
      <c r="CQ143" s="1707">
        <f ca="1">SUM(CQ136:CQ142)</f>
        <v>-1452.6399328133389</v>
      </c>
      <c r="CR143" s="1426" t="str">
        <f t="shared" ca="1" si="42"/>
        <v>ok</v>
      </c>
    </row>
    <row r="144" spans="1:96" x14ac:dyDescent="0.2">
      <c r="C144" s="1426"/>
      <c r="D144" s="1426"/>
      <c r="E144" s="2217" t="str">
        <f t="shared" ref="E144:M144" ca="1" si="51">IF(ROUND(E143-E43,0)=0,"ok",E143-E43)</f>
        <v>ok</v>
      </c>
      <c r="F144" s="2217">
        <f t="shared" ca="1" si="51"/>
        <v>139.35063722353607</v>
      </c>
      <c r="G144" s="2217">
        <f t="shared" ca="1" si="51"/>
        <v>182.92926042683212</v>
      </c>
      <c r="H144" s="2217">
        <f t="shared" ca="1" si="51"/>
        <v>315.49719196251897</v>
      </c>
      <c r="I144" s="2217">
        <f t="shared" ca="1" si="51"/>
        <v>479.27560576957137</v>
      </c>
      <c r="J144" s="2217">
        <f t="shared" ca="1" si="51"/>
        <v>697.77366392529643</v>
      </c>
      <c r="K144" s="2217">
        <f t="shared" ca="1" si="51"/>
        <v>871.61682958971937</v>
      </c>
      <c r="L144" s="2217">
        <f t="shared" ca="1" si="51"/>
        <v>1180.355239733407</v>
      </c>
      <c r="M144" s="2217">
        <f t="shared" ca="1" si="51"/>
        <v>1471.4247341950081</v>
      </c>
      <c r="N144" s="1426"/>
      <c r="O144" s="2217" t="str">
        <f t="shared" ref="O144:W144" ca="1" si="52">IF(ROUND(O143-O43,0)=0,"ok",O143-O43)</f>
        <v>ok</v>
      </c>
      <c r="P144" s="2217">
        <f t="shared" ca="1" si="52"/>
        <v>2123.8687989840091</v>
      </c>
      <c r="Q144" s="2217">
        <f t="shared" ca="1" si="52"/>
        <v>4802.6623937611439</v>
      </c>
      <c r="R144" s="2217">
        <f t="shared" ca="1" si="52"/>
        <v>8135.7386493219747</v>
      </c>
      <c r="S144" s="2217">
        <f t="shared" ca="1" si="52"/>
        <v>12230.052955807434</v>
      </c>
      <c r="T144" s="2217">
        <f t="shared" ca="1" si="52"/>
        <v>17206.343012493322</v>
      </c>
      <c r="U144" s="2217">
        <f t="shared" ca="1" si="52"/>
        <v>22129.274260286777</v>
      </c>
      <c r="V144" s="2217">
        <f t="shared" ca="1" si="52"/>
        <v>27860.721567758628</v>
      </c>
      <c r="W144" s="2217">
        <f t="shared" ca="1" si="52"/>
        <v>34482.166294839481</v>
      </c>
      <c r="X144" s="1426"/>
      <c r="Y144" s="2217" t="str">
        <f t="shared" ref="Y144:AG144" ca="1" si="53">IF(ROUND(Y143-Y43,0)=0,"ok",Y143-Y43)</f>
        <v>ok</v>
      </c>
      <c r="Z144" s="2217">
        <f t="shared" ca="1" si="53"/>
        <v>19.947154219179055</v>
      </c>
      <c r="AA144" s="2217">
        <f t="shared" ca="1" si="53"/>
        <v>41.510226321733427</v>
      </c>
      <c r="AB144" s="2217">
        <f t="shared" ca="1" si="53"/>
        <v>66.532528961058347</v>
      </c>
      <c r="AC144" s="2217">
        <f t="shared" ca="1" si="53"/>
        <v>100.45236537232338</v>
      </c>
      <c r="AD144" s="2217">
        <f t="shared" ca="1" si="53"/>
        <v>137.03069736203943</v>
      </c>
      <c r="AE144" s="2217">
        <f t="shared" ca="1" si="53"/>
        <v>170.63386234829244</v>
      </c>
      <c r="AF144" s="2217">
        <f t="shared" ca="1" si="53"/>
        <v>208.4251838539208</v>
      </c>
      <c r="AG144" s="2217">
        <f t="shared" ca="1" si="53"/>
        <v>206.89600294573495</v>
      </c>
      <c r="AH144" s="1426"/>
      <c r="AI144" s="2217" t="str">
        <f t="shared" ref="AI144:AQ144" ca="1" si="54">IF(ROUND(AI143-AI43,0)=0,"ok",AI143-AI43)</f>
        <v>ok</v>
      </c>
      <c r="AJ144" s="2217">
        <f t="shared" ca="1" si="54"/>
        <v>2283.1665904267211</v>
      </c>
      <c r="AK144" s="2217">
        <f t="shared" ca="1" si="54"/>
        <v>5027.1018805097119</v>
      </c>
      <c r="AL144" s="2217">
        <f t="shared" ca="1" si="54"/>
        <v>8517.7683702455506</v>
      </c>
      <c r="AM144" s="2217">
        <f t="shared" ca="1" si="54"/>
        <v>12809.780926949334</v>
      </c>
      <c r="AN144" s="2217">
        <f t="shared" ca="1" si="54"/>
        <v>18041.147373780641</v>
      </c>
      <c r="AO144" s="2217">
        <f t="shared" ca="1" si="54"/>
        <v>23171.524952224772</v>
      </c>
      <c r="AP144" s="2217">
        <f t="shared" ca="1" si="54"/>
        <v>29249.501991345947</v>
      </c>
      <c r="AQ144" s="2217">
        <f t="shared" ca="1" si="54"/>
        <v>36160.487031980228</v>
      </c>
      <c r="AR144" s="1426"/>
      <c r="AS144" s="2217">
        <f ca="1">IF(ROUND(AS143-AS43,0)=0,"ok",AS143-AS43)</f>
        <v>15028.942124162535</v>
      </c>
      <c r="AT144" s="2217">
        <f ca="1">IF(ROUND(AT143-AT43,0)=0,"ok",AT143-AT43)</f>
        <v>66399.987992569862</v>
      </c>
      <c r="AU144" s="1426"/>
      <c r="AV144" s="1426"/>
      <c r="AW144" s="1426"/>
      <c r="AX144" s="1426"/>
      <c r="AY144" s="2217" t="str">
        <f t="shared" ref="AY144:BG144" ca="1" si="55">IF(ROUND(AY143-AY43,0)=0,"ok",AY143-AY43)</f>
        <v>ok</v>
      </c>
      <c r="AZ144" s="2217">
        <f t="shared" ca="1" si="55"/>
        <v>120.18683129771296</v>
      </c>
      <c r="BA144" s="2217">
        <f t="shared" ca="1" si="55"/>
        <v>124.78746478406748</v>
      </c>
      <c r="BB144" s="2217">
        <f t="shared" ca="1" si="55"/>
        <v>206.7516163210301</v>
      </c>
      <c r="BC144" s="2217">
        <f t="shared" ca="1" si="55"/>
        <v>302.80100080642848</v>
      </c>
      <c r="BD144" s="2217">
        <f t="shared" ca="1" si="55"/>
        <v>427.81592457529649</v>
      </c>
      <c r="BE144" s="2217">
        <f t="shared" ca="1" si="55"/>
        <v>506.12604008391168</v>
      </c>
      <c r="BF144" s="2217">
        <f t="shared" ca="1" si="55"/>
        <v>661.71136433118625</v>
      </c>
      <c r="BG144" s="2217">
        <f t="shared" ca="1" si="55"/>
        <v>816.69178496723657</v>
      </c>
      <c r="BH144" s="1426"/>
      <c r="BI144" s="2217" t="str">
        <f t="shared" ref="BI144:BQ144" ca="1" si="56">IF(ROUND(BI143-BI43,0)=0,"ok",BI143-BI43)</f>
        <v>ok</v>
      </c>
      <c r="BJ144" s="2217">
        <f t="shared" ca="1" si="56"/>
        <v>120.52962695615861</v>
      </c>
      <c r="BK144" s="2217">
        <f t="shared" ca="1" si="56"/>
        <v>143.79973773653205</v>
      </c>
      <c r="BL144" s="2217">
        <f t="shared" ca="1" si="56"/>
        <v>268.81237995329604</v>
      </c>
      <c r="BM144" s="2217">
        <f t="shared" ca="1" si="56"/>
        <v>414.31283892964746</v>
      </c>
      <c r="BN144" s="2217">
        <f t="shared" ca="1" si="56"/>
        <v>604.38916330500797</v>
      </c>
      <c r="BO144" s="2217">
        <f t="shared" ca="1" si="56"/>
        <v>766.67657739636661</v>
      </c>
      <c r="BP144" s="2217">
        <f t="shared" ca="1" si="56"/>
        <v>1025.3495277306079</v>
      </c>
      <c r="BQ144" s="2217">
        <f t="shared" ca="1" si="56"/>
        <v>1291.6049432786131</v>
      </c>
      <c r="BR144" s="1426"/>
      <c r="BS144" s="2217" t="str">
        <f t="shared" ref="BS144:CA144" ca="1" si="57">IF(ROUND(BS143-BS43,0)=0,"ok",BS143-BS43)</f>
        <v>ok</v>
      </c>
      <c r="BT144" s="2217">
        <f t="shared" ca="1" si="57"/>
        <v>2264.3455801593482</v>
      </c>
      <c r="BU144" s="2217">
        <f t="shared" ca="1" si="57"/>
        <v>4987.9723578193989</v>
      </c>
      <c r="BV144" s="2217">
        <f t="shared" ca="1" si="57"/>
        <v>8471.0835582363216</v>
      </c>
      <c r="BW144" s="2217">
        <f t="shared" ca="1" si="57"/>
        <v>12744.818160109415</v>
      </c>
      <c r="BX144" s="2217">
        <f t="shared" ca="1" si="57"/>
        <v>17947.762873160362</v>
      </c>
      <c r="BY144" s="2217">
        <f t="shared" ca="1" si="57"/>
        <v>23066.584700031421</v>
      </c>
      <c r="BZ144" s="2217">
        <f t="shared" ca="1" si="57"/>
        <v>29094.496279343159</v>
      </c>
      <c r="CA144" s="2217">
        <f t="shared" ca="1" si="57"/>
        <v>35980.667241063828</v>
      </c>
      <c r="CB144" s="1426"/>
      <c r="CC144" s="2217">
        <f ca="1">IF(ROUND(CC143-CC43,0)=0,"ok",CC143-CC43)</f>
        <v>14950.858972213693</v>
      </c>
      <c r="CD144" s="2217">
        <f ca="1">IF(ROUND(CD143-CD43,0)=0,"ok",CD143-CD43)</f>
        <v>66012.145558102318</v>
      </c>
      <c r="CE144" s="1426"/>
      <c r="CF144" s="2217" t="str">
        <f t="shared" ref="CF144:CN144" ca="1" si="58">IF(ROUND(CF143-CF43,0)=0,"ok",CF143-CF43)</f>
        <v>ok</v>
      </c>
      <c r="CG144" s="2217">
        <f t="shared" ca="1" si="58"/>
        <v>-18.821010267377801</v>
      </c>
      <c r="CH144" s="2217">
        <f t="shared" ca="1" si="58"/>
        <v>-39.129522690300348</v>
      </c>
      <c r="CI144" s="2217">
        <f t="shared" ca="1" si="58"/>
        <v>-46.684812009222654</v>
      </c>
      <c r="CJ144" s="2217">
        <f t="shared" ca="1" si="58"/>
        <v>-64.962766839924015</v>
      </c>
      <c r="CK144" s="2217">
        <f t="shared" ca="1" si="58"/>
        <v>-93.384500620288279</v>
      </c>
      <c r="CL144" s="2217">
        <f t="shared" ca="1" si="58"/>
        <v>-104.94025219335289</v>
      </c>
      <c r="CM144" s="2217">
        <f t="shared" ca="1" si="58"/>
        <v>-155.00571200279842</v>
      </c>
      <c r="CN144" s="2217">
        <f t="shared" ca="1" si="58"/>
        <v>-179.81979091639579</v>
      </c>
      <c r="CO144" s="1426"/>
      <c r="CP144" s="2217">
        <f ca="1">IF(ROUND(CP143-CP43,0)=0,"ok",CP143-CP43)</f>
        <v>-78.083151948851139</v>
      </c>
      <c r="CQ144" s="2217" t="str">
        <f ca="1">IF(ROUND(CQ143-CQ43,0)=0,"ok",CQ143-CQ43)</f>
        <v>ok</v>
      </c>
      <c r="CR144" s="2225"/>
    </row>
    <row r="145" spans="3:96" x14ac:dyDescent="0.2">
      <c r="C145" s="2225"/>
      <c r="D145" s="2225"/>
      <c r="E145" s="2225"/>
      <c r="F145" s="2225"/>
      <c r="G145" s="2225"/>
      <c r="H145" s="2225"/>
      <c r="I145" s="2225"/>
      <c r="J145" s="2225"/>
      <c r="K145" s="2225"/>
      <c r="L145" s="2225"/>
      <c r="M145" s="2225"/>
      <c r="N145" s="2225"/>
      <c r="O145" s="2225"/>
      <c r="P145" s="2225"/>
      <c r="Q145" s="2225"/>
      <c r="R145" s="2225"/>
      <c r="S145" s="2225"/>
      <c r="T145" s="2225"/>
      <c r="U145" s="2225"/>
      <c r="V145" s="2225"/>
      <c r="W145" s="2225"/>
      <c r="X145" s="2225"/>
      <c r="Y145" s="2225"/>
      <c r="Z145" s="2225"/>
      <c r="AA145" s="2225"/>
      <c r="AB145" s="2225"/>
      <c r="AC145" s="2225"/>
      <c r="AD145" s="2225"/>
      <c r="AE145" s="2225"/>
      <c r="AF145" s="2225"/>
      <c r="AG145" s="2225"/>
      <c r="AH145" s="2225"/>
      <c r="AI145" s="2225"/>
      <c r="AJ145" s="2225"/>
      <c r="AK145" s="2225"/>
      <c r="AL145" s="2225"/>
      <c r="AM145" s="2225"/>
      <c r="AN145" s="2225"/>
      <c r="AO145" s="2225"/>
      <c r="AP145" s="2225"/>
      <c r="AQ145" s="2225"/>
      <c r="AR145" s="2225"/>
      <c r="AS145" s="2225"/>
      <c r="AT145" s="2225"/>
      <c r="AU145" s="2225"/>
      <c r="AV145" s="2225"/>
      <c r="AW145" s="2225"/>
      <c r="AX145" s="2225"/>
      <c r="AY145" s="2225"/>
      <c r="AZ145" s="2225"/>
      <c r="BA145" s="2225"/>
      <c r="BB145" s="2225"/>
      <c r="BC145" s="2225"/>
      <c r="BD145" s="2225"/>
      <c r="BE145" s="2225"/>
      <c r="BF145" s="2225"/>
      <c r="BG145" s="2225"/>
      <c r="BH145" s="2225"/>
      <c r="BI145" s="2225"/>
      <c r="BJ145" s="2225"/>
      <c r="BK145" s="2225"/>
      <c r="BL145" s="2225"/>
      <c r="BM145" s="2225"/>
      <c r="BN145" s="2225"/>
      <c r="BO145" s="2225"/>
      <c r="BP145" s="2225"/>
      <c r="BQ145" s="2225"/>
      <c r="BR145" s="2225"/>
      <c r="BS145" s="2225"/>
      <c r="BT145" s="2225"/>
      <c r="BU145" s="2225"/>
      <c r="BV145" s="2225"/>
      <c r="BW145" s="2225"/>
      <c r="BX145" s="2225"/>
      <c r="BY145" s="2225"/>
      <c r="BZ145" s="2225"/>
      <c r="CA145" s="2225"/>
      <c r="CB145" s="2225"/>
      <c r="CC145" s="2225"/>
      <c r="CD145" s="2225"/>
      <c r="CE145" s="2225"/>
      <c r="CF145" s="2225"/>
      <c r="CG145" s="2225"/>
      <c r="CH145" s="2225"/>
      <c r="CI145" s="2225"/>
      <c r="CJ145" s="2225"/>
      <c r="CK145" s="2225"/>
      <c r="CL145" s="2225"/>
      <c r="CM145" s="2225"/>
      <c r="CN145" s="2225"/>
      <c r="CO145" s="2225"/>
      <c r="CP145" s="2225"/>
      <c r="CQ145" s="2225"/>
      <c r="CR145" s="2225"/>
    </row>
    <row r="146" spans="3:96" x14ac:dyDescent="0.2">
      <c r="C146" s="1427" t="str">
        <f>Preferences.moneyunits</f>
        <v>N</v>
      </c>
      <c r="D146" s="2225"/>
      <c r="E146" s="17" t="s">
        <v>1866</v>
      </c>
      <c r="F146" s="2225" t="s">
        <v>1867</v>
      </c>
      <c r="G146" s="2225"/>
      <c r="H146" s="2225"/>
      <c r="I146" s="2225"/>
      <c r="J146" s="2225"/>
      <c r="K146" s="2225"/>
      <c r="L146" s="2225"/>
      <c r="M146" s="2225"/>
      <c r="N146" s="2225"/>
      <c r="O146" s="17" t="s">
        <v>1868</v>
      </c>
      <c r="P146" s="2225" t="s">
        <v>1875</v>
      </c>
      <c r="Q146" s="2225"/>
      <c r="R146" s="2225"/>
      <c r="S146" s="2225"/>
      <c r="T146" s="2225"/>
      <c r="U146" s="2225"/>
      <c r="V146" s="2225"/>
      <c r="W146" s="2225"/>
      <c r="X146" s="2225"/>
      <c r="Y146" s="17" t="s">
        <v>1869</v>
      </c>
      <c r="Z146" s="2225" t="s">
        <v>1870</v>
      </c>
      <c r="AA146" s="2225"/>
      <c r="AB146" s="2225"/>
      <c r="AC146" s="2225"/>
      <c r="AD146" s="2225"/>
      <c r="AE146" s="2225"/>
      <c r="AF146" s="2225"/>
      <c r="AG146" s="2225"/>
      <c r="AH146" s="2225"/>
      <c r="AI146" s="17" t="s">
        <v>1954</v>
      </c>
      <c r="AJ146" s="2225"/>
      <c r="AK146" s="2225"/>
      <c r="AL146" s="2225"/>
      <c r="AM146" s="2225"/>
      <c r="AN146" s="2225"/>
      <c r="AO146" s="2225"/>
      <c r="AP146" s="2225"/>
      <c r="AQ146" s="2225"/>
      <c r="AR146" s="2225"/>
      <c r="AS146" s="2225" t="s">
        <v>1826</v>
      </c>
      <c r="AT146" s="2225"/>
      <c r="AU146" s="2225"/>
      <c r="AV146" s="2224" t="s">
        <v>1613</v>
      </c>
      <c r="AW146" s="2225"/>
      <c r="AX146" s="2225"/>
      <c r="AY146" s="17" t="s">
        <v>1956</v>
      </c>
      <c r="AZ146" s="2225"/>
      <c r="BA146" s="2225"/>
      <c r="BB146" s="2225"/>
      <c r="BC146" s="2225"/>
      <c r="BD146" s="2225"/>
      <c r="BE146" s="2225"/>
      <c r="BF146" s="2225"/>
      <c r="BG146" s="2225"/>
      <c r="BH146" s="2225"/>
      <c r="BI146" s="17" t="s">
        <v>1957</v>
      </c>
      <c r="BJ146" s="2225"/>
      <c r="BK146" s="2225"/>
      <c r="BL146" s="2225"/>
      <c r="BM146" s="2225"/>
      <c r="BN146" s="2225"/>
      <c r="BO146" s="2225"/>
      <c r="BP146" s="2225"/>
      <c r="BQ146" s="2225"/>
      <c r="BR146" s="2357" t="s">
        <v>2064</v>
      </c>
      <c r="BS146" s="17"/>
      <c r="BT146" s="2225"/>
      <c r="BU146" s="2225"/>
      <c r="BV146" s="2225"/>
      <c r="BW146" s="2225"/>
      <c r="BX146" s="2225"/>
      <c r="BY146" s="2225"/>
      <c r="BZ146" s="2225"/>
      <c r="CA146" s="2225"/>
      <c r="CB146" s="2225"/>
      <c r="CC146" s="2225" t="s">
        <v>1825</v>
      </c>
      <c r="CD146" s="2225"/>
      <c r="CE146" s="2225"/>
      <c r="CF146" s="2225" t="s">
        <v>1733</v>
      </c>
      <c r="CG146" s="2225"/>
      <c r="CH146" s="2225"/>
      <c r="CI146" s="2225"/>
      <c r="CJ146" s="2225"/>
      <c r="CK146" s="2225"/>
      <c r="CL146" s="2225"/>
      <c r="CM146" s="2225"/>
      <c r="CN146" s="2225"/>
      <c r="CO146" s="2225"/>
      <c r="CP146" s="2225" t="s">
        <v>1733</v>
      </c>
      <c r="CQ146" s="2225"/>
      <c r="CR146" s="2225"/>
    </row>
    <row r="147" spans="3:96" ht="13.5" thickBot="1" x14ac:dyDescent="0.25">
      <c r="C147" s="1682" t="s">
        <v>67</v>
      </c>
      <c r="D147" s="2225"/>
      <c r="E147" s="1696" t="s">
        <v>241</v>
      </c>
      <c r="F147" s="1696" t="s">
        <v>268</v>
      </c>
      <c r="G147" s="1696" t="s">
        <v>269</v>
      </c>
      <c r="H147" s="1696" t="s">
        <v>270</v>
      </c>
      <c r="I147" s="1696" t="s">
        <v>271</v>
      </c>
      <c r="J147" s="1696" t="s">
        <v>272</v>
      </c>
      <c r="K147" s="1696" t="s">
        <v>273</v>
      </c>
      <c r="L147" s="1696" t="s">
        <v>274</v>
      </c>
      <c r="M147" s="1696" t="s">
        <v>275</v>
      </c>
      <c r="N147" s="1427"/>
      <c r="O147" s="1696" t="s">
        <v>241</v>
      </c>
      <c r="P147" s="1696" t="s">
        <v>268</v>
      </c>
      <c r="Q147" s="1696" t="s">
        <v>269</v>
      </c>
      <c r="R147" s="1696" t="s">
        <v>270</v>
      </c>
      <c r="S147" s="1696" t="s">
        <v>271</v>
      </c>
      <c r="T147" s="1696" t="s">
        <v>272</v>
      </c>
      <c r="U147" s="1696" t="s">
        <v>273</v>
      </c>
      <c r="V147" s="1696" t="s">
        <v>274</v>
      </c>
      <c r="W147" s="1696" t="s">
        <v>275</v>
      </c>
      <c r="X147" s="1427"/>
      <c r="Y147" s="1696" t="s">
        <v>241</v>
      </c>
      <c r="Z147" s="1696" t="s">
        <v>268</v>
      </c>
      <c r="AA147" s="1696" t="s">
        <v>269</v>
      </c>
      <c r="AB147" s="1696" t="s">
        <v>270</v>
      </c>
      <c r="AC147" s="1696" t="s">
        <v>271</v>
      </c>
      <c r="AD147" s="1696" t="s">
        <v>272</v>
      </c>
      <c r="AE147" s="1696" t="s">
        <v>273</v>
      </c>
      <c r="AF147" s="1696" t="s">
        <v>274</v>
      </c>
      <c r="AG147" s="1696" t="s">
        <v>275</v>
      </c>
      <c r="AH147" s="1427"/>
      <c r="AI147" s="1696" t="s">
        <v>241</v>
      </c>
      <c r="AJ147" s="1696" t="s">
        <v>268</v>
      </c>
      <c r="AK147" s="1696" t="s">
        <v>269</v>
      </c>
      <c r="AL147" s="1696" t="s">
        <v>270</v>
      </c>
      <c r="AM147" s="1696" t="s">
        <v>271</v>
      </c>
      <c r="AN147" s="1696" t="s">
        <v>272</v>
      </c>
      <c r="AO147" s="1696" t="s">
        <v>273</v>
      </c>
      <c r="AP147" s="1696" t="s">
        <v>274</v>
      </c>
      <c r="AQ147" s="1696" t="s">
        <v>275</v>
      </c>
      <c r="AR147" s="2225"/>
      <c r="AS147" s="1705" t="s">
        <v>1734</v>
      </c>
      <c r="AT147" s="1705" t="s">
        <v>1389</v>
      </c>
      <c r="AU147" s="1427"/>
      <c r="AV147" s="1696" t="s">
        <v>1614</v>
      </c>
      <c r="AW147" s="1688" t="s">
        <v>1472</v>
      </c>
      <c r="AX147" s="1427"/>
      <c r="AY147" s="1696">
        <v>2010</v>
      </c>
      <c r="AZ147" s="1696">
        <v>2015</v>
      </c>
      <c r="BA147" s="1696">
        <v>2020</v>
      </c>
      <c r="BB147" s="1696">
        <v>2025</v>
      </c>
      <c r="BC147" s="1696">
        <v>2030</v>
      </c>
      <c r="BD147" s="1696">
        <v>2035</v>
      </c>
      <c r="BE147" s="1696">
        <v>2040</v>
      </c>
      <c r="BF147" s="1696">
        <v>2045</v>
      </c>
      <c r="BG147" s="1696">
        <v>2050</v>
      </c>
      <c r="BH147" s="1427"/>
      <c r="BI147" s="1696">
        <v>2010</v>
      </c>
      <c r="BJ147" s="1696">
        <v>2015</v>
      </c>
      <c r="BK147" s="1696">
        <v>2020</v>
      </c>
      <c r="BL147" s="1696">
        <v>2025</v>
      </c>
      <c r="BM147" s="1696">
        <v>2030</v>
      </c>
      <c r="BN147" s="1696">
        <v>2035</v>
      </c>
      <c r="BO147" s="1696">
        <v>2040</v>
      </c>
      <c r="BP147" s="1696">
        <v>2045</v>
      </c>
      <c r="BQ147" s="1696">
        <v>2050</v>
      </c>
      <c r="BR147" s="1427"/>
      <c r="BS147" s="1696" t="s">
        <v>241</v>
      </c>
      <c r="BT147" s="1696" t="s">
        <v>268</v>
      </c>
      <c r="BU147" s="1696" t="s">
        <v>269</v>
      </c>
      <c r="BV147" s="1696" t="s">
        <v>270</v>
      </c>
      <c r="BW147" s="1696" t="s">
        <v>271</v>
      </c>
      <c r="BX147" s="1696" t="s">
        <v>272</v>
      </c>
      <c r="BY147" s="1696" t="s">
        <v>273</v>
      </c>
      <c r="BZ147" s="1696" t="s">
        <v>274</v>
      </c>
      <c r="CA147" s="1696" t="s">
        <v>275</v>
      </c>
      <c r="CB147" s="1426"/>
      <c r="CC147" s="1705" t="s">
        <v>1734</v>
      </c>
      <c r="CD147" s="1705" t="s">
        <v>1389</v>
      </c>
      <c r="CE147" s="2225"/>
      <c r="CF147" s="1696" t="s">
        <v>241</v>
      </c>
      <c r="CG147" s="1696" t="s">
        <v>268</v>
      </c>
      <c r="CH147" s="1696" t="s">
        <v>269</v>
      </c>
      <c r="CI147" s="1696" t="s">
        <v>270</v>
      </c>
      <c r="CJ147" s="1696" t="s">
        <v>271</v>
      </c>
      <c r="CK147" s="1696" t="s">
        <v>272</v>
      </c>
      <c r="CL147" s="1696" t="s">
        <v>273</v>
      </c>
      <c r="CM147" s="1696" t="s">
        <v>274</v>
      </c>
      <c r="CN147" s="1696" t="s">
        <v>275</v>
      </c>
      <c r="CO147" s="2225"/>
      <c r="CP147" s="1705" t="s">
        <v>1734</v>
      </c>
      <c r="CQ147" s="1705" t="s">
        <v>1389</v>
      </c>
      <c r="CR147" s="2225"/>
    </row>
    <row r="148" spans="3:96" ht="13.5" thickTop="1" x14ac:dyDescent="0.2">
      <c r="C148" s="1683" t="s">
        <v>1732</v>
      </c>
      <c r="D148" s="2225"/>
      <c r="E148" s="1689">
        <f t="shared" ref="E148:M154" ca="1" si="59">SUMIF($C$47:$C$86,$C148,E$47:E$86)</f>
        <v>0</v>
      </c>
      <c r="F148" s="1689">
        <f t="shared" ca="1" si="59"/>
        <v>0.1821004271876023</v>
      </c>
      <c r="G148" s="1689">
        <f t="shared" ca="1" si="59"/>
        <v>1.7097344913319532</v>
      </c>
      <c r="H148" s="1689">
        <f t="shared" ca="1" si="59"/>
        <v>0.46344586069090432</v>
      </c>
      <c r="I148" s="1689">
        <f t="shared" ca="1" si="59"/>
        <v>1.1648767361327206</v>
      </c>
      <c r="J148" s="1689">
        <f t="shared" ca="1" si="59"/>
        <v>2.6779644538124101</v>
      </c>
      <c r="K148" s="1689">
        <f t="shared" ca="1" si="59"/>
        <v>3.1703085560641098</v>
      </c>
      <c r="L148" s="1689">
        <f t="shared" ca="1" si="59"/>
        <v>3.5340204885825401</v>
      </c>
      <c r="M148" s="1689">
        <f t="shared" ca="1" si="59"/>
        <v>4.1135658378636428</v>
      </c>
      <c r="N148" s="675"/>
      <c r="O148" s="1689">
        <f t="shared" ref="O148:W154" ca="1" si="60">SUMIF($C$47:$C$86,$C148,O$47:O$86)</f>
        <v>9.7044114802170508E-4</v>
      </c>
      <c r="P148" s="1689">
        <f t="shared" ca="1" si="60"/>
        <v>8.4665585740632929E-4</v>
      </c>
      <c r="Q148" s="1689">
        <f t="shared" ca="1" si="60"/>
        <v>2.1019354716855531E-3</v>
      </c>
      <c r="R148" s="1689">
        <f t="shared" ca="1" si="60"/>
        <v>1.2447456863257076E-3</v>
      </c>
      <c r="S148" s="1689">
        <f t="shared" ca="1" si="60"/>
        <v>1.8568005548107737E-3</v>
      </c>
      <c r="T148" s="1689">
        <f t="shared" ca="1" si="60"/>
        <v>3.3092206997667852E-3</v>
      </c>
      <c r="U148" s="1689">
        <f t="shared" ca="1" si="60"/>
        <v>4.7165316000156356E-3</v>
      </c>
      <c r="V148" s="1689">
        <f t="shared" ca="1" si="60"/>
        <v>5.988731308967008E-3</v>
      </c>
      <c r="W148" s="1689">
        <f t="shared" ca="1" si="60"/>
        <v>7.2564310483583319E-3</v>
      </c>
      <c r="X148" s="675"/>
      <c r="Y148" s="1689">
        <f t="shared" ref="Y148:AG154" ca="1" si="61">SUMIF($C$47:$C$86,$C148,Y$47:Y$86)</f>
        <v>67.488496108802607</v>
      </c>
      <c r="Z148" s="1689">
        <f t="shared" ca="1" si="61"/>
        <v>77.138202283185649</v>
      </c>
      <c r="AA148" s="1689">
        <f t="shared" ca="1" si="61"/>
        <v>72.642158493177533</v>
      </c>
      <c r="AB148" s="1689">
        <f t="shared" ca="1" si="61"/>
        <v>73.247165908719097</v>
      </c>
      <c r="AC148" s="1689">
        <f t="shared" ca="1" si="61"/>
        <v>100.63878712271449</v>
      </c>
      <c r="AD148" s="1689">
        <f t="shared" ca="1" si="61"/>
        <v>137.53005345577196</v>
      </c>
      <c r="AE148" s="1689">
        <f t="shared" ca="1" si="61"/>
        <v>172.84614805507488</v>
      </c>
      <c r="AF148" s="1689">
        <f t="shared" ca="1" si="61"/>
        <v>206.59782332923157</v>
      </c>
      <c r="AG148" s="1689">
        <f t="shared" ca="1" si="61"/>
        <v>247.45758154603186</v>
      </c>
      <c r="AH148" s="675"/>
      <c r="AI148" s="1689">
        <f t="shared" ref="AI148:AQ154" ca="1" si="62">SUMIF($C$47:$C$86,$C148,AI$47:AI$86)</f>
        <v>67.48946654995062</v>
      </c>
      <c r="AJ148" s="1689">
        <f t="shared" ca="1" si="62"/>
        <v>77.321149366230657</v>
      </c>
      <c r="AK148" s="1689">
        <f t="shared" ca="1" si="62"/>
        <v>74.353994919981176</v>
      </c>
      <c r="AL148" s="1689">
        <f t="shared" ca="1" si="62"/>
        <v>73.711856515096287</v>
      </c>
      <c r="AM148" s="1689">
        <f t="shared" ca="1" si="62"/>
        <v>101.80552065940199</v>
      </c>
      <c r="AN148" s="1689">
        <f t="shared" ca="1" si="62"/>
        <v>140.21132713028419</v>
      </c>
      <c r="AO148" s="1689">
        <f t="shared" ca="1" si="62"/>
        <v>176.02117314273903</v>
      </c>
      <c r="AP148" s="1689">
        <f t="shared" ca="1" si="62"/>
        <v>210.13783254912312</v>
      </c>
      <c r="AQ148" s="1689">
        <f t="shared" ca="1" si="62"/>
        <v>251.57840381494384</v>
      </c>
      <c r="AR148" s="2225"/>
      <c r="AS148" s="1706">
        <f t="shared" ref="AS148:AT154" ca="1" si="63">SUMIF($C$47:$C$86,$C148,AS$47:AS$86)</f>
        <v>130.29230273863911</v>
      </c>
      <c r="AT148" s="1706">
        <f t="shared" ca="1" si="63"/>
        <v>835.49171927120608</v>
      </c>
      <c r="AU148" s="675"/>
      <c r="AV148" s="1699"/>
      <c r="AW148" s="1690"/>
      <c r="AX148" s="675"/>
      <c r="AY148" s="1689">
        <f t="shared" ref="AY148:BG154" ca="1" si="64">SUMIF($C$47:$C$86,$C148,AY$47:AY$86)</f>
        <v>0</v>
      </c>
      <c r="AZ148" s="1689">
        <f t="shared" ca="1" si="64"/>
        <v>9.9968240304778827E-2</v>
      </c>
      <c r="BA148" s="1689">
        <f t="shared" ca="1" si="64"/>
        <v>0.9385982840707906</v>
      </c>
      <c r="BB148" s="1689">
        <f t="shared" ca="1" si="64"/>
        <v>0.25441932171896403</v>
      </c>
      <c r="BC148" s="1689">
        <f t="shared" ca="1" si="64"/>
        <v>0.6394860203331274</v>
      </c>
      <c r="BD148" s="1689">
        <f t="shared" ca="1" si="64"/>
        <v>1.4701305108448479</v>
      </c>
      <c r="BE148" s="1689">
        <f t="shared" ca="1" si="64"/>
        <v>1.7404141904972443</v>
      </c>
      <c r="BF148" s="1689">
        <f t="shared" ca="1" si="64"/>
        <v>1.9400822661479387</v>
      </c>
      <c r="BG148" s="1689">
        <f t="shared" ca="1" si="64"/>
        <v>2.2582370867556008</v>
      </c>
      <c r="BH148" s="675"/>
      <c r="BI148" s="1689">
        <f t="shared" ref="BI148:BQ154" ca="1" si="65">SUMIF($C$47:$C$86,$C148,BI$47:BI$86)</f>
        <v>0</v>
      </c>
      <c r="BJ148" s="1689">
        <f t="shared" ca="1" si="65"/>
        <v>9.9968240304778827E-2</v>
      </c>
      <c r="BK148" s="1689">
        <f t="shared" ca="1" si="65"/>
        <v>1.0385665243755693</v>
      </c>
      <c r="BL148" s="1689">
        <f t="shared" ca="1" si="65"/>
        <v>1.2929858460945334</v>
      </c>
      <c r="BM148" s="1689">
        <f t="shared" ca="1" si="65"/>
        <v>1.8325036261228822</v>
      </c>
      <c r="BN148" s="1689">
        <f t="shared" ca="1" si="65"/>
        <v>2.3640358528969392</v>
      </c>
      <c r="BO148" s="1689">
        <f t="shared" ca="1" si="65"/>
        <v>3.8500307216752199</v>
      </c>
      <c r="BP148" s="1689">
        <f t="shared" ca="1" si="65"/>
        <v>5.1506269674900311</v>
      </c>
      <c r="BQ148" s="1689">
        <f t="shared" ca="1" si="65"/>
        <v>5.938733543400784</v>
      </c>
      <c r="BR148" s="675"/>
      <c r="BS148" s="1701">
        <f t="shared" ref="BS148:CA154" ca="1" si="66">SUMIF($C$47:$C$86,$C148,BS$47:BS$86)</f>
        <v>67.48946654995062</v>
      </c>
      <c r="BT148" s="1701">
        <f t="shared" ca="1" si="66"/>
        <v>77.239017179347854</v>
      </c>
      <c r="BU148" s="1701">
        <f t="shared" ca="1" si="66"/>
        <v>73.682826953024801</v>
      </c>
      <c r="BV148" s="1701">
        <f t="shared" ca="1" si="66"/>
        <v>74.541396500499985</v>
      </c>
      <c r="BW148" s="1701">
        <f t="shared" ca="1" si="66"/>
        <v>102.47314754939217</v>
      </c>
      <c r="BX148" s="1701">
        <f t="shared" ca="1" si="66"/>
        <v>139.89739852936862</v>
      </c>
      <c r="BY148" s="1701">
        <f t="shared" ca="1" si="66"/>
        <v>176.70089530835014</v>
      </c>
      <c r="BZ148" s="1701">
        <f t="shared" ca="1" si="66"/>
        <v>211.75443902803056</v>
      </c>
      <c r="CA148" s="1701">
        <f t="shared" ca="1" si="66"/>
        <v>253.40357152048102</v>
      </c>
      <c r="CB148" s="2225"/>
      <c r="CC148" s="1706">
        <f t="shared" ref="CC148:CD154" ca="1" si="67">SUMIF($C$47:$C$86,$C148,CC$47:CC$86)</f>
        <v>130.79801767982744</v>
      </c>
      <c r="CD148" s="1706">
        <f t="shared" ca="1" si="67"/>
        <v>836.27066233931839</v>
      </c>
      <c r="CE148" s="2225"/>
      <c r="CF148" s="1703">
        <f t="shared" ref="CF148:CN154" ca="1" si="68">SUMIF($C$47:$C$86,$C148,CF$47:CF$86)</f>
        <v>0</v>
      </c>
      <c r="CG148" s="1703">
        <f t="shared" ca="1" si="68"/>
        <v>-8.2132186882823477E-2</v>
      </c>
      <c r="CH148" s="1703">
        <f t="shared" ca="1" si="68"/>
        <v>-0.67116796695638381</v>
      </c>
      <c r="CI148" s="1703">
        <f t="shared" ca="1" si="68"/>
        <v>0.82953998540362894</v>
      </c>
      <c r="CJ148" s="1703">
        <f t="shared" ca="1" si="68"/>
        <v>0.66762688999016162</v>
      </c>
      <c r="CK148" s="1703">
        <f t="shared" ca="1" si="68"/>
        <v>-0.31392860091547098</v>
      </c>
      <c r="CL148" s="1703">
        <f t="shared" ca="1" si="68"/>
        <v>0.67972216561111032</v>
      </c>
      <c r="CM148" s="1703">
        <f t="shared" ca="1" si="68"/>
        <v>1.616606478907491</v>
      </c>
      <c r="CN148" s="1703">
        <f t="shared" ca="1" si="68"/>
        <v>1.8251677055371407</v>
      </c>
      <c r="CO148" s="2225"/>
      <c r="CP148" s="1706">
        <f t="shared" ref="CP148:CQ154" ca="1" si="69">SUMIF($C$47:$C$86,$C148,CP$47:CP$86)</f>
        <v>0.50571494118831717</v>
      </c>
      <c r="CQ148" s="1706">
        <f t="shared" ca="1" si="69"/>
        <v>0.77894306811230085</v>
      </c>
      <c r="CR148" s="1426" t="str">
        <f t="shared" ref="CR148:CR155" ca="1" si="70">IF(ABS(CD148-CQ148-AT148)&lt;1,"ok","err")</f>
        <v>ok</v>
      </c>
    </row>
    <row r="149" spans="3:96" x14ac:dyDescent="0.2">
      <c r="C149" s="1685" t="s">
        <v>1189</v>
      </c>
      <c r="D149" s="2225"/>
      <c r="E149" s="1691">
        <f t="shared" ca="1" si="59"/>
        <v>31.176457418975428</v>
      </c>
      <c r="F149" s="1691">
        <f t="shared" ca="1" si="59"/>
        <v>39.913424773377926</v>
      </c>
      <c r="G149" s="1691">
        <f t="shared" ca="1" si="59"/>
        <v>50.133823963960154</v>
      </c>
      <c r="H149" s="1691">
        <f t="shared" ca="1" si="59"/>
        <v>42.562908387697291</v>
      </c>
      <c r="I149" s="1691">
        <f t="shared" ca="1" si="59"/>
        <v>47.976835850043251</v>
      </c>
      <c r="J149" s="1691">
        <f t="shared" ca="1" si="59"/>
        <v>50.401573086876773</v>
      </c>
      <c r="K149" s="1691">
        <f t="shared" ca="1" si="59"/>
        <v>53.805311156111784</v>
      </c>
      <c r="L149" s="1691">
        <f t="shared" ca="1" si="59"/>
        <v>54.641424959536202</v>
      </c>
      <c r="M149" s="1691">
        <f t="shared" ca="1" si="59"/>
        <v>41.533061640529347</v>
      </c>
      <c r="N149" s="675"/>
      <c r="O149" s="1691">
        <f t="shared" ca="1" si="60"/>
        <v>89.329313363725944</v>
      </c>
      <c r="P149" s="1691">
        <f t="shared" ca="1" si="60"/>
        <v>93.044093040227878</v>
      </c>
      <c r="Q149" s="1691">
        <f t="shared" ca="1" si="60"/>
        <v>106.09843681430071</v>
      </c>
      <c r="R149" s="1691">
        <f t="shared" ca="1" si="60"/>
        <v>130.30932032285142</v>
      </c>
      <c r="S149" s="1691">
        <f t="shared" ca="1" si="60"/>
        <v>140.66837962604333</v>
      </c>
      <c r="T149" s="1691">
        <f t="shared" ca="1" si="60"/>
        <v>152.53282816896822</v>
      </c>
      <c r="U149" s="1691">
        <f t="shared" ca="1" si="60"/>
        <v>164.05485854956129</v>
      </c>
      <c r="V149" s="1691">
        <f t="shared" ca="1" si="60"/>
        <v>176.35090416507484</v>
      </c>
      <c r="W149" s="1691">
        <f t="shared" ca="1" si="60"/>
        <v>188.11828541189971</v>
      </c>
      <c r="X149" s="675"/>
      <c r="Y149" s="1691">
        <f t="shared" ca="1" si="61"/>
        <v>191.01893957075677</v>
      </c>
      <c r="Z149" s="1691">
        <f t="shared" ca="1" si="61"/>
        <v>212.59625943952622</v>
      </c>
      <c r="AA149" s="1691">
        <f t="shared" ca="1" si="61"/>
        <v>239.25908221331562</v>
      </c>
      <c r="AB149" s="1691">
        <f t="shared" ca="1" si="61"/>
        <v>266.60825077107387</v>
      </c>
      <c r="AC149" s="1691">
        <f t="shared" ca="1" si="61"/>
        <v>289.3973597326173</v>
      </c>
      <c r="AD149" s="1691">
        <f t="shared" ca="1" si="61"/>
        <v>316.68361960333107</v>
      </c>
      <c r="AE149" s="1691">
        <f t="shared" ca="1" si="61"/>
        <v>343.35231122247728</v>
      </c>
      <c r="AF149" s="1691">
        <f t="shared" ca="1" si="61"/>
        <v>371.94572475556561</v>
      </c>
      <c r="AG149" s="1691">
        <f t="shared" ca="1" si="61"/>
        <v>399.49534456961578</v>
      </c>
      <c r="AH149" s="675"/>
      <c r="AI149" s="1691">
        <f t="shared" ca="1" si="62"/>
        <v>311.52471035345815</v>
      </c>
      <c r="AJ149" s="1691">
        <f t="shared" ca="1" si="62"/>
        <v>345.55377725313207</v>
      </c>
      <c r="AK149" s="1691">
        <f t="shared" ca="1" si="62"/>
        <v>395.49134299157646</v>
      </c>
      <c r="AL149" s="1691">
        <f t="shared" ca="1" si="62"/>
        <v>439.48047948162258</v>
      </c>
      <c r="AM149" s="1691">
        <f t="shared" ca="1" si="62"/>
        <v>478.04257520870391</v>
      </c>
      <c r="AN149" s="1691">
        <f t="shared" ca="1" si="62"/>
        <v>519.61802085917611</v>
      </c>
      <c r="AO149" s="1691">
        <f t="shared" ca="1" si="62"/>
        <v>561.21248092815028</v>
      </c>
      <c r="AP149" s="1691">
        <f t="shared" ca="1" si="62"/>
        <v>602.93805388017665</v>
      </c>
      <c r="AQ149" s="1691">
        <f t="shared" ca="1" si="62"/>
        <v>629.14669162204484</v>
      </c>
      <c r="AR149" s="2225"/>
      <c r="AS149" s="1707">
        <f t="shared" ca="1" si="63"/>
        <v>475.88979250867118</v>
      </c>
      <c r="AT149" s="1707">
        <f t="shared" ca="1" si="63"/>
        <v>3711.8378302341839</v>
      </c>
      <c r="AU149" s="675"/>
      <c r="AV149" s="1700"/>
      <c r="AW149" s="1692"/>
      <c r="AX149" s="675"/>
      <c r="AY149" s="1691">
        <f t="shared" ca="1" si="64"/>
        <v>8.496004472472654</v>
      </c>
      <c r="AZ149" s="1691">
        <f t="shared" ca="1" si="64"/>
        <v>17.319130830505742</v>
      </c>
      <c r="BA149" s="1691">
        <f t="shared" ca="1" si="64"/>
        <v>21.569882254729368</v>
      </c>
      <c r="BB149" s="1691">
        <f t="shared" ca="1" si="64"/>
        <v>18.607507128994662</v>
      </c>
      <c r="BC149" s="1691">
        <f t="shared" ca="1" si="64"/>
        <v>20.879020272569591</v>
      </c>
      <c r="BD149" s="1691">
        <f t="shared" ca="1" si="64"/>
        <v>21.888810805774135</v>
      </c>
      <c r="BE149" s="1691">
        <f t="shared" ca="1" si="64"/>
        <v>23.2931749124742</v>
      </c>
      <c r="BF149" s="1691">
        <f t="shared" ca="1" si="64"/>
        <v>23.663063783977435</v>
      </c>
      <c r="BG149" s="1691">
        <f t="shared" ca="1" si="64"/>
        <v>18.414379150247612</v>
      </c>
      <c r="BH149" s="675"/>
      <c r="BI149" s="1691">
        <f t="shared" ca="1" si="65"/>
        <v>8.496004472472654</v>
      </c>
      <c r="BJ149" s="1691">
        <f t="shared" ca="1" si="65"/>
        <v>25.815135302978394</v>
      </c>
      <c r="BK149" s="1691">
        <f t="shared" ca="1" si="65"/>
        <v>47.385017557707755</v>
      </c>
      <c r="BL149" s="1691">
        <f t="shared" ca="1" si="65"/>
        <v>62.388332392900701</v>
      </c>
      <c r="BM149" s="1691">
        <f t="shared" ca="1" si="65"/>
        <v>78.618430330149749</v>
      </c>
      <c r="BN149" s="1691">
        <f t="shared" ca="1" si="65"/>
        <v>95.359775896259592</v>
      </c>
      <c r="BO149" s="1691">
        <f t="shared" ca="1" si="65"/>
        <v>108.28216754832115</v>
      </c>
      <c r="BP149" s="1691">
        <f t="shared" ca="1" si="65"/>
        <v>128.51896082080214</v>
      </c>
      <c r="BQ149" s="1691">
        <f t="shared" ca="1" si="65"/>
        <v>124.57013720232572</v>
      </c>
      <c r="BR149" s="675"/>
      <c r="BS149" s="1702">
        <f t="shared" ca="1" si="66"/>
        <v>288.84425740695536</v>
      </c>
      <c r="BT149" s="1702">
        <f t="shared" ca="1" si="66"/>
        <v>331.45548778273252</v>
      </c>
      <c r="BU149" s="1702">
        <f t="shared" ca="1" si="66"/>
        <v>392.74253658532405</v>
      </c>
      <c r="BV149" s="1702">
        <f t="shared" ca="1" si="66"/>
        <v>459.30590348682597</v>
      </c>
      <c r="BW149" s="1702">
        <f t="shared" ca="1" si="66"/>
        <v>508.68416968881041</v>
      </c>
      <c r="BX149" s="1702">
        <f t="shared" ca="1" si="66"/>
        <v>564.57622366855901</v>
      </c>
      <c r="BY149" s="1702">
        <f t="shared" ca="1" si="66"/>
        <v>615.68933732035975</v>
      </c>
      <c r="BZ149" s="1702">
        <f t="shared" ca="1" si="66"/>
        <v>676.81558974144264</v>
      </c>
      <c r="CA149" s="1702">
        <f t="shared" ca="1" si="66"/>
        <v>712.18376718384116</v>
      </c>
      <c r="CB149" s="2225"/>
      <c r="CC149" s="1707">
        <f t="shared" ca="1" si="67"/>
        <v>505.58858587387226</v>
      </c>
      <c r="CD149" s="1707">
        <f t="shared" ca="1" si="67"/>
        <v>3758.9150649702829</v>
      </c>
      <c r="CE149" s="2225"/>
      <c r="CF149" s="1704">
        <f t="shared" ca="1" si="68"/>
        <v>-22.680452946502772</v>
      </c>
      <c r="CG149" s="1704">
        <f t="shared" ca="1" si="68"/>
        <v>-14.098289470399527</v>
      </c>
      <c r="CH149" s="1704">
        <f t="shared" ca="1" si="68"/>
        <v>-2.7488064062523927</v>
      </c>
      <c r="CI149" s="1704">
        <f t="shared" ca="1" si="68"/>
        <v>19.825424005203416</v>
      </c>
      <c r="CJ149" s="1704">
        <f t="shared" ca="1" si="68"/>
        <v>30.641594480106498</v>
      </c>
      <c r="CK149" s="1704">
        <f t="shared" ca="1" si="68"/>
        <v>44.958202809382826</v>
      </c>
      <c r="CL149" s="1704">
        <f t="shared" ca="1" si="68"/>
        <v>54.47685639220937</v>
      </c>
      <c r="CM149" s="1704">
        <f t="shared" ca="1" si="68"/>
        <v>73.877535861265912</v>
      </c>
      <c r="CN149" s="1704">
        <f t="shared" ca="1" si="68"/>
        <v>83.037075561796385</v>
      </c>
      <c r="CO149" s="2225"/>
      <c r="CP149" s="1707">
        <f t="shared" ca="1" si="69"/>
        <v>29.698793365201077</v>
      </c>
      <c r="CQ149" s="1707">
        <f t="shared" ca="1" si="69"/>
        <v>47.07723473609866</v>
      </c>
      <c r="CR149" s="1426" t="str">
        <f t="shared" ca="1" si="70"/>
        <v>ok</v>
      </c>
    </row>
    <row r="150" spans="3:96" x14ac:dyDescent="0.2">
      <c r="C150" s="1683" t="s">
        <v>4</v>
      </c>
      <c r="D150" s="2225"/>
      <c r="E150" s="1689">
        <f t="shared" ca="1" si="59"/>
        <v>2.6675673230882553</v>
      </c>
      <c r="F150" s="1689">
        <f t="shared" ca="1" si="59"/>
        <v>17.004475112977993</v>
      </c>
      <c r="G150" s="1689">
        <f t="shared" ca="1" si="59"/>
        <v>110.56641853890048</v>
      </c>
      <c r="H150" s="1689">
        <f t="shared" ca="1" si="59"/>
        <v>150.75267541859694</v>
      </c>
      <c r="I150" s="1689">
        <f t="shared" ca="1" si="59"/>
        <v>192.3039278785165</v>
      </c>
      <c r="J150" s="1689">
        <f t="shared" ca="1" si="59"/>
        <v>256.69437505664922</v>
      </c>
      <c r="K150" s="1689">
        <f t="shared" ca="1" si="59"/>
        <v>287.12882145189064</v>
      </c>
      <c r="L150" s="1689">
        <f t="shared" ca="1" si="59"/>
        <v>459.8004328726883</v>
      </c>
      <c r="M150" s="1689">
        <f t="shared" ca="1" si="59"/>
        <v>527.55033940468434</v>
      </c>
      <c r="N150" s="675"/>
      <c r="O150" s="1689">
        <f t="shared" ca="1" si="60"/>
        <v>3.0641444157618465</v>
      </c>
      <c r="P150" s="1689">
        <f t="shared" ca="1" si="60"/>
        <v>5.3388401944125432</v>
      </c>
      <c r="Q150" s="1689">
        <f t="shared" ca="1" si="60"/>
        <v>8.7574163703712848</v>
      </c>
      <c r="R150" s="1689">
        <f t="shared" ca="1" si="60"/>
        <v>13.753194776705273</v>
      </c>
      <c r="S150" s="1689">
        <f t="shared" ca="1" si="60"/>
        <v>20.421918496045905</v>
      </c>
      <c r="T150" s="1689">
        <f t="shared" ca="1" si="60"/>
        <v>26.298042677983638</v>
      </c>
      <c r="U150" s="1689">
        <f t="shared" ca="1" si="60"/>
        <v>33.222737019040423</v>
      </c>
      <c r="V150" s="1689">
        <f t="shared" ca="1" si="60"/>
        <v>41.946606004141685</v>
      </c>
      <c r="W150" s="1689">
        <f t="shared" ca="1" si="60"/>
        <v>4.1129687695207791</v>
      </c>
      <c r="X150" s="675"/>
      <c r="Y150" s="1689">
        <f t="shared" ca="1" si="61"/>
        <v>0</v>
      </c>
      <c r="Z150" s="1689">
        <f t="shared" ca="1" si="61"/>
        <v>0</v>
      </c>
      <c r="AA150" s="1689">
        <f t="shared" ca="1" si="61"/>
        <v>0</v>
      </c>
      <c r="AB150" s="1689">
        <f t="shared" ca="1" si="61"/>
        <v>0.98854719908646893</v>
      </c>
      <c r="AC150" s="1689">
        <f t="shared" ca="1" si="61"/>
        <v>1.8782396782642907</v>
      </c>
      <c r="AD150" s="1689">
        <f t="shared" ca="1" si="61"/>
        <v>3.6576246366199352</v>
      </c>
      <c r="AE150" s="1689">
        <f t="shared" ca="1" si="61"/>
        <v>7.0186851135139294</v>
      </c>
      <c r="AF150" s="1689">
        <f t="shared" ca="1" si="61"/>
        <v>13.543096627484625</v>
      </c>
      <c r="AG150" s="1689">
        <f t="shared" ca="1" si="61"/>
        <v>26.196500775791424</v>
      </c>
      <c r="AH150" s="675"/>
      <c r="AI150" s="1689">
        <f t="shared" ca="1" si="62"/>
        <v>5.7317117388501018</v>
      </c>
      <c r="AJ150" s="1689">
        <f t="shared" ca="1" si="62"/>
        <v>22.343315307390533</v>
      </c>
      <c r="AK150" s="1689">
        <f t="shared" ca="1" si="62"/>
        <v>119.32383490927175</v>
      </c>
      <c r="AL150" s="1689">
        <f t="shared" ca="1" si="62"/>
        <v>165.49441739438868</v>
      </c>
      <c r="AM150" s="1689">
        <f t="shared" ca="1" si="62"/>
        <v>214.60408605282669</v>
      </c>
      <c r="AN150" s="1689">
        <f t="shared" ca="1" si="62"/>
        <v>286.65004237125277</v>
      </c>
      <c r="AO150" s="1689">
        <f t="shared" ca="1" si="62"/>
        <v>327.37024358444506</v>
      </c>
      <c r="AP150" s="1689">
        <f t="shared" ca="1" si="62"/>
        <v>515.29013550431466</v>
      </c>
      <c r="AQ150" s="1689">
        <f t="shared" ca="1" si="62"/>
        <v>557.85980894999659</v>
      </c>
      <c r="AR150" s="2225"/>
      <c r="AS150" s="1706">
        <f t="shared" ca="1" si="63"/>
        <v>246.0741773125263</v>
      </c>
      <c r="AT150" s="1706">
        <f t="shared" ca="1" si="63"/>
        <v>1135.108568281973</v>
      </c>
      <c r="AU150" s="675"/>
      <c r="AV150" s="1699"/>
      <c r="AW150" s="1690"/>
      <c r="AX150" s="675"/>
      <c r="AY150" s="1689">
        <f t="shared" ca="1" si="64"/>
        <v>0.75539845273021522</v>
      </c>
      <c r="AZ150" s="1689">
        <f t="shared" ca="1" si="64"/>
        <v>7.9454987231616325</v>
      </c>
      <c r="BA150" s="1689">
        <f t="shared" ca="1" si="64"/>
        <v>53.655344117941063</v>
      </c>
      <c r="BB150" s="1689">
        <f t="shared" ca="1" si="64"/>
        <v>73.360946640689917</v>
      </c>
      <c r="BC150" s="1689">
        <f t="shared" ca="1" si="64"/>
        <v>93.967190743235619</v>
      </c>
      <c r="BD150" s="1689">
        <f t="shared" ca="1" si="64"/>
        <v>125.75846998825949</v>
      </c>
      <c r="BE150" s="1689">
        <f t="shared" ca="1" si="64"/>
        <v>136.36577329012746</v>
      </c>
      <c r="BF150" s="1689">
        <f t="shared" ca="1" si="64"/>
        <v>216.86049639603837</v>
      </c>
      <c r="BG150" s="1689">
        <f t="shared" ca="1" si="64"/>
        <v>244.57387978740849</v>
      </c>
      <c r="BH150" s="675"/>
      <c r="BI150" s="1689">
        <f t="shared" ca="1" si="65"/>
        <v>0.75539845273021522</v>
      </c>
      <c r="BJ150" s="1689">
        <f t="shared" ca="1" si="65"/>
        <v>8.7008971758918481</v>
      </c>
      <c r="BK150" s="1689">
        <f t="shared" ca="1" si="65"/>
        <v>62.356241293832909</v>
      </c>
      <c r="BL150" s="1689">
        <f t="shared" ca="1" si="65"/>
        <v>135.71718793452283</v>
      </c>
      <c r="BM150" s="1689">
        <f t="shared" ca="1" si="65"/>
        <v>228.92898022502825</v>
      </c>
      <c r="BN150" s="1689">
        <f t="shared" ca="1" si="65"/>
        <v>324.83928389546816</v>
      </c>
      <c r="BO150" s="1689">
        <f t="shared" ca="1" si="65"/>
        <v>416.10013587983701</v>
      </c>
      <c r="BP150" s="1689">
        <f t="shared" ca="1" si="65"/>
        <v>609.8774878353513</v>
      </c>
      <c r="BQ150" s="1689">
        <f t="shared" ca="1" si="65"/>
        <v>709.70771343574006</v>
      </c>
      <c r="BR150" s="675"/>
      <c r="BS150" s="1701">
        <f t="shared" ca="1" si="66"/>
        <v>3.819542868492062</v>
      </c>
      <c r="BT150" s="1701">
        <f t="shared" ca="1" si="66"/>
        <v>14.03973737030439</v>
      </c>
      <c r="BU150" s="1701">
        <f t="shared" ca="1" si="66"/>
        <v>71.113657664204197</v>
      </c>
      <c r="BV150" s="1701">
        <f t="shared" ca="1" si="66"/>
        <v>150.45892991031457</v>
      </c>
      <c r="BW150" s="1701">
        <f t="shared" ca="1" si="66"/>
        <v>251.22913839933844</v>
      </c>
      <c r="BX150" s="1701">
        <f t="shared" ca="1" si="66"/>
        <v>354.79495121007176</v>
      </c>
      <c r="BY150" s="1701">
        <f t="shared" ca="1" si="66"/>
        <v>456.34155801239137</v>
      </c>
      <c r="BZ150" s="1701">
        <f t="shared" ca="1" si="66"/>
        <v>665.36719046697749</v>
      </c>
      <c r="CA150" s="1701">
        <f t="shared" ca="1" si="66"/>
        <v>740.01718298105231</v>
      </c>
      <c r="CB150" s="2225"/>
      <c r="CC150" s="1706">
        <f t="shared" ca="1" si="67"/>
        <v>300.79798765368298</v>
      </c>
      <c r="CD150" s="1706">
        <f t="shared" ca="1" si="67"/>
        <v>1168.0421636989299</v>
      </c>
      <c r="CE150" s="2225"/>
      <c r="CF150" s="1703">
        <f t="shared" ca="1" si="68"/>
        <v>-1.9121688703580402</v>
      </c>
      <c r="CG150" s="1703">
        <f t="shared" ca="1" si="68"/>
        <v>-8.3035779370861427</v>
      </c>
      <c r="CH150" s="1703">
        <f t="shared" ca="1" si="68"/>
        <v>-48.210177245067563</v>
      </c>
      <c r="CI150" s="1703">
        <f t="shared" ca="1" si="68"/>
        <v>-15.035487484074103</v>
      </c>
      <c r="CJ150" s="1703">
        <f t="shared" ca="1" si="68"/>
        <v>36.625052346511715</v>
      </c>
      <c r="CK150" s="1703">
        <f t="shared" ca="1" si="68"/>
        <v>68.144908838818964</v>
      </c>
      <c r="CL150" s="1703">
        <f t="shared" ca="1" si="68"/>
        <v>128.97131442794631</v>
      </c>
      <c r="CM150" s="1703">
        <f t="shared" ca="1" si="68"/>
        <v>150.07705496266303</v>
      </c>
      <c r="CN150" s="1703">
        <f t="shared" ca="1" si="68"/>
        <v>182.15737403105567</v>
      </c>
      <c r="CO150" s="2225"/>
      <c r="CP150" s="1706">
        <f t="shared" ca="1" si="69"/>
        <v>54.723810341156643</v>
      </c>
      <c r="CQ150" s="1706">
        <f t="shared" ca="1" si="69"/>
        <v>32.933595416957019</v>
      </c>
      <c r="CR150" s="1426" t="str">
        <f t="shared" ca="1" si="70"/>
        <v>ok</v>
      </c>
    </row>
    <row r="151" spans="3:96" x14ac:dyDescent="0.2">
      <c r="C151" s="1685" t="s">
        <v>1974</v>
      </c>
      <c r="D151" s="2225"/>
      <c r="E151" s="1691">
        <f t="shared" ca="1" si="59"/>
        <v>0</v>
      </c>
      <c r="F151" s="1691">
        <f t="shared" ca="1" si="59"/>
        <v>10.489539362684102</v>
      </c>
      <c r="G151" s="1691">
        <f t="shared" ca="1" si="59"/>
        <v>12.166507971543197</v>
      </c>
      <c r="H151" s="1691">
        <f t="shared" ca="1" si="59"/>
        <v>15.40984120343315</v>
      </c>
      <c r="I151" s="1691">
        <f t="shared" ca="1" si="59"/>
        <v>15.409841623601455</v>
      </c>
      <c r="J151" s="1691">
        <f t="shared" ca="1" si="59"/>
        <v>17.110905320294023</v>
      </c>
      <c r="K151" s="1691">
        <f t="shared" ca="1" si="59"/>
        <v>11.649944723909179</v>
      </c>
      <c r="L151" s="1691">
        <f t="shared" ca="1" si="59"/>
        <v>12.443890299809565</v>
      </c>
      <c r="M151" s="1691">
        <f t="shared" ca="1" si="59"/>
        <v>16.687365252556262</v>
      </c>
      <c r="N151" s="675"/>
      <c r="O151" s="1691">
        <f t="shared" ca="1" si="60"/>
        <v>0</v>
      </c>
      <c r="P151" s="1691">
        <f t="shared" ca="1" si="60"/>
        <v>0</v>
      </c>
      <c r="Q151" s="1691">
        <f t="shared" ca="1" si="60"/>
        <v>0</v>
      </c>
      <c r="R151" s="1691">
        <f t="shared" ca="1" si="60"/>
        <v>0</v>
      </c>
      <c r="S151" s="1691">
        <f t="shared" ca="1" si="60"/>
        <v>0</v>
      </c>
      <c r="T151" s="1691">
        <f t="shared" ca="1" si="60"/>
        <v>0</v>
      </c>
      <c r="U151" s="1691">
        <f t="shared" ca="1" si="60"/>
        <v>0</v>
      </c>
      <c r="V151" s="1691">
        <f t="shared" ca="1" si="60"/>
        <v>0</v>
      </c>
      <c r="W151" s="1691">
        <f t="shared" ca="1" si="60"/>
        <v>0</v>
      </c>
      <c r="X151" s="675"/>
      <c r="Y151" s="1691">
        <f t="shared" ca="1" si="61"/>
        <v>0</v>
      </c>
      <c r="Z151" s="1691">
        <f t="shared" ca="1" si="61"/>
        <v>0</v>
      </c>
      <c r="AA151" s="1691">
        <f t="shared" ca="1" si="61"/>
        <v>0</v>
      </c>
      <c r="AB151" s="1691">
        <f t="shared" ca="1" si="61"/>
        <v>0</v>
      </c>
      <c r="AC151" s="1691">
        <f t="shared" ca="1" si="61"/>
        <v>0</v>
      </c>
      <c r="AD151" s="1691">
        <f t="shared" ca="1" si="61"/>
        <v>0</v>
      </c>
      <c r="AE151" s="1691">
        <f t="shared" ca="1" si="61"/>
        <v>0</v>
      </c>
      <c r="AF151" s="1691">
        <f t="shared" ca="1" si="61"/>
        <v>0</v>
      </c>
      <c r="AG151" s="1691">
        <f t="shared" ca="1" si="61"/>
        <v>0</v>
      </c>
      <c r="AH151" s="675"/>
      <c r="AI151" s="1691">
        <f t="shared" ca="1" si="62"/>
        <v>0</v>
      </c>
      <c r="AJ151" s="1691">
        <f t="shared" ca="1" si="62"/>
        <v>10.489539362684102</v>
      </c>
      <c r="AK151" s="1691">
        <f t="shared" ca="1" si="62"/>
        <v>12.166507971543197</v>
      </c>
      <c r="AL151" s="1691">
        <f t="shared" ca="1" si="62"/>
        <v>15.40984120343315</v>
      </c>
      <c r="AM151" s="1691">
        <f t="shared" ca="1" si="62"/>
        <v>15.409841623601455</v>
      </c>
      <c r="AN151" s="1691">
        <f t="shared" ca="1" si="62"/>
        <v>17.110905320294023</v>
      </c>
      <c r="AO151" s="1691">
        <f t="shared" ca="1" si="62"/>
        <v>11.649944723909179</v>
      </c>
      <c r="AP151" s="1691">
        <f t="shared" ca="1" si="62"/>
        <v>12.443890299809565</v>
      </c>
      <c r="AQ151" s="1691">
        <f t="shared" ca="1" si="62"/>
        <v>16.687365252556262</v>
      </c>
      <c r="AR151" s="2225"/>
      <c r="AS151" s="1707">
        <f t="shared" ca="1" si="63"/>
        <v>12.374203973092325</v>
      </c>
      <c r="AT151" s="1707">
        <f t="shared" ca="1" si="63"/>
        <v>103.78566182769018</v>
      </c>
      <c r="AU151" s="675"/>
      <c r="AV151" s="1700"/>
      <c r="AW151" s="1692"/>
      <c r="AX151" s="675"/>
      <c r="AY151" s="1691">
        <f t="shared" ca="1" si="64"/>
        <v>0</v>
      </c>
      <c r="AZ151" s="1691">
        <f t="shared" ca="1" si="64"/>
        <v>5.7584751880616807</v>
      </c>
      <c r="BA151" s="1691">
        <f t="shared" ca="1" si="64"/>
        <v>6.67908588328695</v>
      </c>
      <c r="BB151" s="1691">
        <f t="shared" ca="1" si="64"/>
        <v>8.4595886581652504</v>
      </c>
      <c r="BC151" s="1691">
        <f t="shared" ca="1" si="64"/>
        <v>8.4595888888263566</v>
      </c>
      <c r="BD151" s="1691">
        <f t="shared" ca="1" si="64"/>
        <v>9.3934271396806928</v>
      </c>
      <c r="BE151" s="1691">
        <f t="shared" ca="1" si="64"/>
        <v>6.3955065437453982</v>
      </c>
      <c r="BF151" s="1691">
        <f t="shared" ca="1" si="64"/>
        <v>6.8313613264404358</v>
      </c>
      <c r="BG151" s="1691">
        <f t="shared" ca="1" si="64"/>
        <v>9.1609150257651599</v>
      </c>
      <c r="BH151" s="675"/>
      <c r="BI151" s="1691">
        <f t="shared" ca="1" si="65"/>
        <v>0</v>
      </c>
      <c r="BJ151" s="1691">
        <f t="shared" ca="1" si="65"/>
        <v>5.7584751880616807</v>
      </c>
      <c r="BK151" s="1691">
        <f t="shared" ca="1" si="65"/>
        <v>12.437561071348631</v>
      </c>
      <c r="BL151" s="1691">
        <f t="shared" ca="1" si="65"/>
        <v>20.897149729513881</v>
      </c>
      <c r="BM151" s="1691">
        <f t="shared" ca="1" si="65"/>
        <v>23.598263430278557</v>
      </c>
      <c r="BN151" s="1691">
        <f t="shared" ca="1" si="65"/>
        <v>26.312604686672298</v>
      </c>
      <c r="BO151" s="1691">
        <f t="shared" ca="1" si="65"/>
        <v>24.248522572252448</v>
      </c>
      <c r="BP151" s="1691">
        <f t="shared" ca="1" si="65"/>
        <v>22.620295009866524</v>
      </c>
      <c r="BQ151" s="1691">
        <f t="shared" ca="1" si="65"/>
        <v>22.387782895950995</v>
      </c>
      <c r="BR151" s="675"/>
      <c r="BS151" s="1702">
        <f t="shared" ca="1" si="66"/>
        <v>0</v>
      </c>
      <c r="BT151" s="1702">
        <f t="shared" ca="1" si="66"/>
        <v>5.7584751880616807</v>
      </c>
      <c r="BU151" s="1702">
        <f t="shared" ca="1" si="66"/>
        <v>12.437561071348631</v>
      </c>
      <c r="BV151" s="1702">
        <f t="shared" ca="1" si="66"/>
        <v>20.897149729513881</v>
      </c>
      <c r="BW151" s="1702">
        <f t="shared" ca="1" si="66"/>
        <v>23.598263430278557</v>
      </c>
      <c r="BX151" s="1702">
        <f t="shared" ca="1" si="66"/>
        <v>26.312604686672298</v>
      </c>
      <c r="BY151" s="1702">
        <f t="shared" ca="1" si="66"/>
        <v>24.248522572252448</v>
      </c>
      <c r="BZ151" s="1702">
        <f t="shared" ca="1" si="66"/>
        <v>22.620295009866524</v>
      </c>
      <c r="CA151" s="1702">
        <f t="shared" ca="1" si="66"/>
        <v>22.387782895950995</v>
      </c>
      <c r="CB151" s="2225"/>
      <c r="CC151" s="1707">
        <f t="shared" ca="1" si="67"/>
        <v>17.584517175993891</v>
      </c>
      <c r="CD151" s="1707">
        <f t="shared" ca="1" si="67"/>
        <v>113.86114628580208</v>
      </c>
      <c r="CE151" s="2225"/>
      <c r="CF151" s="1704">
        <f t="shared" ca="1" si="68"/>
        <v>0</v>
      </c>
      <c r="CG151" s="1704">
        <f t="shared" ca="1" si="68"/>
        <v>-4.7310641746224196</v>
      </c>
      <c r="CH151" s="1704">
        <f t="shared" ca="1" si="68"/>
        <v>0.27105309980543285</v>
      </c>
      <c r="CI151" s="1704">
        <f t="shared" ca="1" si="68"/>
        <v>5.4873085260807315</v>
      </c>
      <c r="CJ151" s="1704">
        <f t="shared" ca="1" si="68"/>
        <v>8.1884218066771002</v>
      </c>
      <c r="CK151" s="1704">
        <f t="shared" ca="1" si="68"/>
        <v>9.2016993663782731</v>
      </c>
      <c r="CL151" s="1704">
        <f t="shared" ca="1" si="68"/>
        <v>12.598577848343268</v>
      </c>
      <c r="CM151" s="1704">
        <f t="shared" ca="1" si="68"/>
        <v>10.176404710056962</v>
      </c>
      <c r="CN151" s="1704">
        <f t="shared" ca="1" si="68"/>
        <v>5.7004176433947329</v>
      </c>
      <c r="CO151" s="2225"/>
      <c r="CP151" s="1707">
        <f t="shared" ca="1" si="69"/>
        <v>5.2103132029015651</v>
      </c>
      <c r="CQ151" s="1707">
        <f t="shared" ca="1" si="69"/>
        <v>10.075484458111907</v>
      </c>
      <c r="CR151" s="1426" t="str">
        <f t="shared" ca="1" si="70"/>
        <v>ok</v>
      </c>
    </row>
    <row r="152" spans="3:96" x14ac:dyDescent="0.2">
      <c r="C152" s="1683" t="s">
        <v>125</v>
      </c>
      <c r="D152" s="2225"/>
      <c r="E152" s="1689">
        <f t="shared" ca="1" si="59"/>
        <v>0</v>
      </c>
      <c r="F152" s="1689">
        <f t="shared" ca="1" si="59"/>
        <v>1452.0774209525096</v>
      </c>
      <c r="G152" s="1689">
        <f t="shared" ca="1" si="59"/>
        <v>888.20849257774069</v>
      </c>
      <c r="H152" s="1689">
        <f t="shared" ca="1" si="59"/>
        <v>1073.4257030920196</v>
      </c>
      <c r="I152" s="1689">
        <f t="shared" ca="1" si="59"/>
        <v>1282.6649088877425</v>
      </c>
      <c r="J152" s="1689">
        <f t="shared" ca="1" si="59"/>
        <v>1550.981457624687</v>
      </c>
      <c r="K152" s="1689">
        <f t="shared" ca="1" si="59"/>
        <v>1747.7674648525669</v>
      </c>
      <c r="L152" s="1689">
        <f t="shared" ca="1" si="59"/>
        <v>2057.5834188364047</v>
      </c>
      <c r="M152" s="1689">
        <f t="shared" ca="1" si="59"/>
        <v>2288.2765274767735</v>
      </c>
      <c r="N152" s="675"/>
      <c r="O152" s="1689">
        <f t="shared" ca="1" si="60"/>
        <v>1717.9727642953656</v>
      </c>
      <c r="P152" s="1689">
        <f t="shared" ca="1" si="60"/>
        <v>18263.231765364126</v>
      </c>
      <c r="Q152" s="1689">
        <f t="shared" ca="1" si="60"/>
        <v>21924.109479201052</v>
      </c>
      <c r="R152" s="1689">
        <f t="shared" ca="1" si="60"/>
        <v>26253.82651777512</v>
      </c>
      <c r="S152" s="1689">
        <f t="shared" ca="1" si="60"/>
        <v>31347.522434702696</v>
      </c>
      <c r="T152" s="1689">
        <f t="shared" ca="1" si="60"/>
        <v>37318.891871227868</v>
      </c>
      <c r="U152" s="1689">
        <f t="shared" ca="1" si="60"/>
        <v>43226.761312335489</v>
      </c>
      <c r="V152" s="1689">
        <f t="shared" ca="1" si="60"/>
        <v>49928.438254009663</v>
      </c>
      <c r="W152" s="1689">
        <f t="shared" ca="1" si="60"/>
        <v>57510.485599239451</v>
      </c>
      <c r="X152" s="675"/>
      <c r="Y152" s="1689">
        <f t="shared" ca="1" si="61"/>
        <v>0</v>
      </c>
      <c r="Z152" s="1689">
        <f t="shared" ca="1" si="61"/>
        <v>0</v>
      </c>
      <c r="AA152" s="1689">
        <f t="shared" ca="1" si="61"/>
        <v>0</v>
      </c>
      <c r="AB152" s="1689">
        <f t="shared" ca="1" si="61"/>
        <v>0</v>
      </c>
      <c r="AC152" s="1689">
        <f t="shared" ca="1" si="61"/>
        <v>0</v>
      </c>
      <c r="AD152" s="1689">
        <f t="shared" ca="1" si="61"/>
        <v>0</v>
      </c>
      <c r="AE152" s="1689">
        <f t="shared" ca="1" si="61"/>
        <v>0</v>
      </c>
      <c r="AF152" s="1689">
        <f t="shared" ca="1" si="61"/>
        <v>0</v>
      </c>
      <c r="AG152" s="1689">
        <f t="shared" ca="1" si="61"/>
        <v>0</v>
      </c>
      <c r="AH152" s="675"/>
      <c r="AI152" s="1689">
        <f t="shared" ca="1" si="62"/>
        <v>1717.9727642953656</v>
      </c>
      <c r="AJ152" s="1689">
        <f t="shared" ca="1" si="62"/>
        <v>19715.30918631663</v>
      </c>
      <c r="AK152" s="1689">
        <f t="shared" ca="1" si="62"/>
        <v>22812.317971778793</v>
      </c>
      <c r="AL152" s="1689">
        <f t="shared" ca="1" si="62"/>
        <v>27327.252220867133</v>
      </c>
      <c r="AM152" s="1689">
        <f t="shared" ca="1" si="62"/>
        <v>32630.187343590434</v>
      </c>
      <c r="AN152" s="1689">
        <f t="shared" ca="1" si="62"/>
        <v>38869.873328852547</v>
      </c>
      <c r="AO152" s="1689">
        <f t="shared" ca="1" si="62"/>
        <v>44974.528777188054</v>
      </c>
      <c r="AP152" s="1689">
        <f t="shared" ca="1" si="62"/>
        <v>51986.021672846058</v>
      </c>
      <c r="AQ152" s="1689">
        <f t="shared" ca="1" si="62"/>
        <v>59798.762126716225</v>
      </c>
      <c r="AR152" s="2225"/>
      <c r="AS152" s="1706">
        <f t="shared" ca="1" si="63"/>
        <v>33314.691710272353</v>
      </c>
      <c r="AT152" s="1706">
        <f t="shared" ca="1" si="63"/>
        <v>220287.29480173055</v>
      </c>
      <c r="AU152" s="675"/>
      <c r="AV152" s="1699"/>
      <c r="AW152" s="1690"/>
      <c r="AX152" s="675"/>
      <c r="AY152" s="1689">
        <f t="shared" ca="1" si="64"/>
        <v>0</v>
      </c>
      <c r="AZ152" s="1689">
        <f t="shared" ca="1" si="64"/>
        <v>800.5449068675274</v>
      </c>
      <c r="BA152" s="1689">
        <f t="shared" ca="1" si="64"/>
        <v>491.50053628928191</v>
      </c>
      <c r="BB152" s="1689">
        <f t="shared" ca="1" si="64"/>
        <v>593.71776699972361</v>
      </c>
      <c r="BC152" s="1689">
        <f t="shared" ca="1" si="64"/>
        <v>707.33791989760869</v>
      </c>
      <c r="BD152" s="1689">
        <f t="shared" ca="1" si="64"/>
        <v>856.24629247411826</v>
      </c>
      <c r="BE152" s="1689">
        <f t="shared" ca="1" si="64"/>
        <v>962.09473445846504</v>
      </c>
      <c r="BF152" s="1689">
        <f t="shared" ca="1" si="64"/>
        <v>1134.4516690668738</v>
      </c>
      <c r="BG152" s="1689">
        <f t="shared" ca="1" si="64"/>
        <v>1258.777053246318</v>
      </c>
      <c r="BH152" s="675"/>
      <c r="BI152" s="1689">
        <f t="shared" ca="1" si="65"/>
        <v>0</v>
      </c>
      <c r="BJ152" s="1689">
        <f t="shared" ca="1" si="65"/>
        <v>800.5449068675274</v>
      </c>
      <c r="BK152" s="1689">
        <f t="shared" ca="1" si="65"/>
        <v>1291.8472690155438</v>
      </c>
      <c r="BL152" s="1689">
        <f t="shared" ca="1" si="65"/>
        <v>1870.9466594241017</v>
      </c>
      <c r="BM152" s="1689">
        <f t="shared" ca="1" si="65"/>
        <v>1775.3695270018011</v>
      </c>
      <c r="BN152" s="1689">
        <f t="shared" ca="1" si="65"/>
        <v>2137.8262870958692</v>
      </c>
      <c r="BO152" s="1689">
        <f t="shared" ca="1" si="65"/>
        <v>2511.7521723833397</v>
      </c>
      <c r="BP152" s="1689">
        <f t="shared" ca="1" si="65"/>
        <v>2932.1929482411438</v>
      </c>
      <c r="BQ152" s="1689">
        <f t="shared" ca="1" si="65"/>
        <v>3344.3580401453323</v>
      </c>
      <c r="BR152" s="675"/>
      <c r="BS152" s="1701">
        <f t="shared" ca="1" si="66"/>
        <v>1717.9727642953656</v>
      </c>
      <c r="BT152" s="1701">
        <f t="shared" ca="1" si="66"/>
        <v>19063.776672231652</v>
      </c>
      <c r="BU152" s="1701">
        <f t="shared" ca="1" si="66"/>
        <v>23215.956748216591</v>
      </c>
      <c r="BV152" s="1701">
        <f t="shared" ca="1" si="66"/>
        <v>28124.773177199218</v>
      </c>
      <c r="BW152" s="1701">
        <f t="shared" ca="1" si="66"/>
        <v>33122.891961704496</v>
      </c>
      <c r="BX152" s="1701">
        <f t="shared" ca="1" si="66"/>
        <v>39456.71815832374</v>
      </c>
      <c r="BY152" s="1701">
        <f t="shared" ca="1" si="66"/>
        <v>45738.513484718831</v>
      </c>
      <c r="BZ152" s="1701">
        <f t="shared" ca="1" si="66"/>
        <v>52860.631202250799</v>
      </c>
      <c r="CA152" s="1701">
        <f t="shared" ca="1" si="66"/>
        <v>60854.843639384773</v>
      </c>
      <c r="CB152" s="2225"/>
      <c r="CC152" s="1706">
        <f t="shared" ca="1" si="67"/>
        <v>33795.119756480599</v>
      </c>
      <c r="CD152" s="1706">
        <f t="shared" ca="1" si="67"/>
        <v>221294.51622353666</v>
      </c>
      <c r="CE152" s="2225"/>
      <c r="CF152" s="1703">
        <f t="shared" ca="1" si="68"/>
        <v>0</v>
      </c>
      <c r="CG152" s="1703">
        <f t="shared" ca="1" si="68"/>
        <v>-651.53251408498238</v>
      </c>
      <c r="CH152" s="1703">
        <f t="shared" ca="1" si="68"/>
        <v>403.63877643780336</v>
      </c>
      <c r="CI152" s="1703">
        <f t="shared" ca="1" si="68"/>
        <v>797.52095633208194</v>
      </c>
      <c r="CJ152" s="1703">
        <f t="shared" ca="1" si="68"/>
        <v>492.70461811405863</v>
      </c>
      <c r="CK152" s="1703">
        <f t="shared" ca="1" si="68"/>
        <v>586.84482947118227</v>
      </c>
      <c r="CL152" s="1703">
        <f t="shared" ca="1" si="68"/>
        <v>763.98470753077345</v>
      </c>
      <c r="CM152" s="1703">
        <f t="shared" ca="1" si="68"/>
        <v>874.60952940473931</v>
      </c>
      <c r="CN152" s="1703">
        <f t="shared" ca="1" si="68"/>
        <v>1056.0815126685582</v>
      </c>
      <c r="CO152" s="2225"/>
      <c r="CP152" s="1706">
        <f t="shared" ca="1" si="69"/>
        <v>480.42804620824614</v>
      </c>
      <c r="CQ152" s="1706">
        <f t="shared" ca="1" si="69"/>
        <v>1007.2214218061567</v>
      </c>
      <c r="CR152" s="1426" t="str">
        <f t="shared" ca="1" si="70"/>
        <v>ok</v>
      </c>
    </row>
    <row r="153" spans="3:96" x14ac:dyDescent="0.2">
      <c r="C153" s="1685" t="s">
        <v>33</v>
      </c>
      <c r="D153" s="2225"/>
      <c r="E153" s="1691">
        <f t="shared" ca="1" si="59"/>
        <v>0.11578296020275372</v>
      </c>
      <c r="F153" s="1691">
        <f t="shared" ca="1" si="59"/>
        <v>1.1941346402365585</v>
      </c>
      <c r="G153" s="1691">
        <f t="shared" ca="1" si="59"/>
        <v>1.2051086708442054</v>
      </c>
      <c r="H153" s="1691">
        <f t="shared" ca="1" si="59"/>
        <v>1.1437336478670934</v>
      </c>
      <c r="I153" s="1691">
        <f t="shared" ca="1" si="59"/>
        <v>1.0112985662739771</v>
      </c>
      <c r="J153" s="1691">
        <f t="shared" ca="1" si="59"/>
        <v>0.90698722120584885</v>
      </c>
      <c r="K153" s="1691">
        <f t="shared" ca="1" si="59"/>
        <v>0.88585889287793984</v>
      </c>
      <c r="L153" s="1691">
        <f t="shared" ca="1" si="59"/>
        <v>0.89244721602265575</v>
      </c>
      <c r="M153" s="1691">
        <f t="shared" ca="1" si="59"/>
        <v>0.90029336499802992</v>
      </c>
      <c r="N153" s="675"/>
      <c r="O153" s="1691">
        <f t="shared" ca="1" si="60"/>
        <v>14.541685719183004</v>
      </c>
      <c r="P153" s="1691">
        <f t="shared" ca="1" si="60"/>
        <v>15.114333704903649</v>
      </c>
      <c r="Q153" s="1691">
        <f t="shared" ca="1" si="60"/>
        <v>15.568609711630417</v>
      </c>
      <c r="R153" s="1691">
        <f t="shared" ca="1" si="60"/>
        <v>15.920297906747631</v>
      </c>
      <c r="S153" s="1691">
        <f t="shared" ca="1" si="60"/>
        <v>16.180723370228947</v>
      </c>
      <c r="T153" s="1691">
        <f t="shared" ca="1" si="60"/>
        <v>16.649251965055235</v>
      </c>
      <c r="U153" s="1691">
        <f t="shared" ca="1" si="60"/>
        <v>17.206655210936447</v>
      </c>
      <c r="V153" s="1691">
        <f t="shared" ca="1" si="60"/>
        <v>17.797251280256713</v>
      </c>
      <c r="W153" s="1691">
        <f t="shared" ca="1" si="60"/>
        <v>18.422943809573201</v>
      </c>
      <c r="X153" s="675"/>
      <c r="Y153" s="1691">
        <f t="shared" ca="1" si="61"/>
        <v>0</v>
      </c>
      <c r="Z153" s="1691">
        <f t="shared" ca="1" si="61"/>
        <v>0</v>
      </c>
      <c r="AA153" s="1691">
        <f t="shared" ca="1" si="61"/>
        <v>0</v>
      </c>
      <c r="AB153" s="1691">
        <f t="shared" ca="1" si="61"/>
        <v>0</v>
      </c>
      <c r="AC153" s="1691">
        <f t="shared" ca="1" si="61"/>
        <v>0</v>
      </c>
      <c r="AD153" s="1691">
        <f t="shared" ca="1" si="61"/>
        <v>0</v>
      </c>
      <c r="AE153" s="1691">
        <f t="shared" ca="1" si="61"/>
        <v>0</v>
      </c>
      <c r="AF153" s="1691">
        <f t="shared" ca="1" si="61"/>
        <v>0</v>
      </c>
      <c r="AG153" s="1691">
        <f t="shared" ca="1" si="61"/>
        <v>0</v>
      </c>
      <c r="AH153" s="675"/>
      <c r="AI153" s="1691">
        <f t="shared" ca="1" si="62"/>
        <v>14.657468679385758</v>
      </c>
      <c r="AJ153" s="1691">
        <f t="shared" ca="1" si="62"/>
        <v>16.308468345140209</v>
      </c>
      <c r="AK153" s="1691">
        <f t="shared" ca="1" si="62"/>
        <v>16.773718382474623</v>
      </c>
      <c r="AL153" s="1691">
        <f t="shared" ca="1" si="62"/>
        <v>17.064031554614722</v>
      </c>
      <c r="AM153" s="1691">
        <f t="shared" ca="1" si="62"/>
        <v>17.192021936502922</v>
      </c>
      <c r="AN153" s="1691">
        <f t="shared" ca="1" si="62"/>
        <v>17.556239186261084</v>
      </c>
      <c r="AO153" s="1691">
        <f t="shared" ca="1" si="62"/>
        <v>18.092514103814388</v>
      </c>
      <c r="AP153" s="1691">
        <f t="shared" ca="1" si="62"/>
        <v>18.68969849627937</v>
      </c>
      <c r="AQ153" s="1691">
        <f t="shared" ca="1" si="62"/>
        <v>19.323237174571229</v>
      </c>
      <c r="AR153" s="2225"/>
      <c r="AS153" s="1707">
        <f t="shared" ca="1" si="63"/>
        <v>17.2952664287827</v>
      </c>
      <c r="AT153" s="1707">
        <f t="shared" ca="1" si="63"/>
        <v>152.85195438807582</v>
      </c>
      <c r="AU153" s="675"/>
      <c r="AV153" s="1700"/>
      <c r="AW153" s="1692"/>
      <c r="AX153" s="675"/>
      <c r="AY153" s="1691">
        <f t="shared" ca="1" si="64"/>
        <v>3.8137039986698762E-2</v>
      </c>
      <c r="AZ153" s="1691">
        <f t="shared" ca="1" si="64"/>
        <v>0.65554782333622197</v>
      </c>
      <c r="BA153" s="1691">
        <f t="shared" ca="1" si="64"/>
        <v>0.66157227119634177</v>
      </c>
      <c r="BB153" s="1691">
        <f t="shared" ca="1" si="64"/>
        <v>0.62787903312740356</v>
      </c>
      <c r="BC153" s="1691">
        <f t="shared" ca="1" si="64"/>
        <v>0.55517573272358656</v>
      </c>
      <c r="BD153" s="1691">
        <f t="shared" ca="1" si="64"/>
        <v>0.49791160780452492</v>
      </c>
      <c r="BE153" s="1691">
        <f t="shared" ca="1" si="64"/>
        <v>0.48631272340791287</v>
      </c>
      <c r="BF153" s="1691">
        <f t="shared" ca="1" si="64"/>
        <v>0.48992953574332798</v>
      </c>
      <c r="BG153" s="1691">
        <f t="shared" ca="1" si="64"/>
        <v>0.49423686065382494</v>
      </c>
      <c r="BH153" s="675"/>
      <c r="BI153" s="1691">
        <f t="shared" ca="1" si="65"/>
        <v>3.8137039986698762E-2</v>
      </c>
      <c r="BJ153" s="1691">
        <f t="shared" ca="1" si="65"/>
        <v>0.69368486332292079</v>
      </c>
      <c r="BK153" s="1691">
        <f t="shared" ca="1" si="65"/>
        <v>1.3552571345192626</v>
      </c>
      <c r="BL153" s="1691">
        <f t="shared" ca="1" si="65"/>
        <v>1.9449991276599672</v>
      </c>
      <c r="BM153" s="1691">
        <f t="shared" ca="1" si="65"/>
        <v>1.8446270370473317</v>
      </c>
      <c r="BN153" s="1691">
        <f t="shared" ca="1" si="65"/>
        <v>1.6809663736555149</v>
      </c>
      <c r="BO153" s="1691">
        <f t="shared" ca="1" si="65"/>
        <v>1.5394000639360244</v>
      </c>
      <c r="BP153" s="1691">
        <f t="shared" ca="1" si="65"/>
        <v>1.4741538669557657</v>
      </c>
      <c r="BQ153" s="1691">
        <f t="shared" ca="1" si="65"/>
        <v>1.470479119805066</v>
      </c>
      <c r="BR153" s="675"/>
      <c r="BS153" s="1702">
        <f t="shared" ca="1" si="66"/>
        <v>14.579822759169703</v>
      </c>
      <c r="BT153" s="1702">
        <f t="shared" ca="1" si="66"/>
        <v>15.80801856822657</v>
      </c>
      <c r="BU153" s="1702">
        <f t="shared" ca="1" si="66"/>
        <v>16.923866846149679</v>
      </c>
      <c r="BV153" s="1702">
        <f t="shared" ca="1" si="66"/>
        <v>17.865297034407597</v>
      </c>
      <c r="BW153" s="1702">
        <f t="shared" ca="1" si="66"/>
        <v>18.025350407276278</v>
      </c>
      <c r="BX153" s="1702">
        <f t="shared" ca="1" si="66"/>
        <v>18.33021833871075</v>
      </c>
      <c r="BY153" s="1702">
        <f t="shared" ca="1" si="66"/>
        <v>18.746055274872472</v>
      </c>
      <c r="BZ153" s="1702">
        <f t="shared" ca="1" si="66"/>
        <v>19.27140514721248</v>
      </c>
      <c r="CA153" s="1702">
        <f t="shared" ca="1" si="66"/>
        <v>19.893422929378268</v>
      </c>
      <c r="CB153" s="2225"/>
      <c r="CC153" s="1707">
        <f t="shared" ca="1" si="67"/>
        <v>17.715939700600423</v>
      </c>
      <c r="CD153" s="1707">
        <f t="shared" ca="1" si="67"/>
        <v>153.89827853255753</v>
      </c>
      <c r="CE153" s="2225"/>
      <c r="CF153" s="1704">
        <f t="shared" ca="1" si="68"/>
        <v>-7.7645920216054959E-2</v>
      </c>
      <c r="CG153" s="1704">
        <f t="shared" ca="1" si="68"/>
        <v>-0.50044977691363768</v>
      </c>
      <c r="CH153" s="1704">
        <f t="shared" ca="1" si="68"/>
        <v>0.1501484636750571</v>
      </c>
      <c r="CI153" s="1704">
        <f t="shared" ca="1" si="68"/>
        <v>0.80126547979287388</v>
      </c>
      <c r="CJ153" s="1704">
        <f t="shared" ca="1" si="68"/>
        <v>0.83332847077335459</v>
      </c>
      <c r="CK153" s="1704">
        <f t="shared" ca="1" si="68"/>
        <v>0.7739791524496662</v>
      </c>
      <c r="CL153" s="1704">
        <f t="shared" ca="1" si="68"/>
        <v>0.6535411710580844</v>
      </c>
      <c r="CM153" s="1704">
        <f t="shared" ca="1" si="68"/>
        <v>0.58170665093311003</v>
      </c>
      <c r="CN153" s="1704">
        <f t="shared" ca="1" si="68"/>
        <v>0.57018575480703604</v>
      </c>
      <c r="CO153" s="2225"/>
      <c r="CP153" s="1707">
        <f t="shared" ca="1" si="69"/>
        <v>0.42067327181772107</v>
      </c>
      <c r="CQ153" s="1707">
        <f t="shared" ca="1" si="69"/>
        <v>1.046324144481724</v>
      </c>
      <c r="CR153" s="1426" t="str">
        <f t="shared" ca="1" si="70"/>
        <v>ok</v>
      </c>
    </row>
    <row r="154" spans="3:96" x14ac:dyDescent="0.2">
      <c r="C154" s="1697" t="s">
        <v>102</v>
      </c>
      <c r="D154" s="2225"/>
      <c r="E154" s="1698">
        <f t="shared" si="59"/>
        <v>0</v>
      </c>
      <c r="F154" s="1698">
        <f t="shared" si="59"/>
        <v>0</v>
      </c>
      <c r="G154" s="1698">
        <f t="shared" si="59"/>
        <v>0</v>
      </c>
      <c r="H154" s="1698">
        <f t="shared" si="59"/>
        <v>0</v>
      </c>
      <c r="I154" s="1698">
        <f t="shared" si="59"/>
        <v>0</v>
      </c>
      <c r="J154" s="1698">
        <f t="shared" si="59"/>
        <v>0</v>
      </c>
      <c r="K154" s="1698">
        <f t="shared" si="59"/>
        <v>0</v>
      </c>
      <c r="L154" s="1698">
        <f t="shared" si="59"/>
        <v>0</v>
      </c>
      <c r="M154" s="1698">
        <f t="shared" si="59"/>
        <v>0</v>
      </c>
      <c r="N154" s="675"/>
      <c r="O154" s="1698">
        <f t="shared" si="60"/>
        <v>0</v>
      </c>
      <c r="P154" s="1698">
        <f t="shared" si="60"/>
        <v>0</v>
      </c>
      <c r="Q154" s="1698">
        <f t="shared" si="60"/>
        <v>0</v>
      </c>
      <c r="R154" s="1698">
        <f t="shared" si="60"/>
        <v>0</v>
      </c>
      <c r="S154" s="1698">
        <f t="shared" si="60"/>
        <v>0</v>
      </c>
      <c r="T154" s="1698">
        <f t="shared" si="60"/>
        <v>0</v>
      </c>
      <c r="U154" s="1698">
        <f t="shared" si="60"/>
        <v>0</v>
      </c>
      <c r="V154" s="1698">
        <f t="shared" si="60"/>
        <v>0</v>
      </c>
      <c r="W154" s="1698">
        <f t="shared" si="60"/>
        <v>0</v>
      </c>
      <c r="X154" s="675"/>
      <c r="Y154" s="1698">
        <f t="shared" si="61"/>
        <v>0</v>
      </c>
      <c r="Z154" s="1698">
        <f t="shared" si="61"/>
        <v>0</v>
      </c>
      <c r="AA154" s="1698">
        <f t="shared" si="61"/>
        <v>0</v>
      </c>
      <c r="AB154" s="1698">
        <f t="shared" si="61"/>
        <v>0</v>
      </c>
      <c r="AC154" s="1698">
        <f t="shared" si="61"/>
        <v>0</v>
      </c>
      <c r="AD154" s="1698">
        <f t="shared" si="61"/>
        <v>0</v>
      </c>
      <c r="AE154" s="1698">
        <f t="shared" si="61"/>
        <v>0</v>
      </c>
      <c r="AF154" s="1698">
        <f t="shared" si="61"/>
        <v>0</v>
      </c>
      <c r="AG154" s="1698">
        <f t="shared" si="61"/>
        <v>0</v>
      </c>
      <c r="AH154" s="675"/>
      <c r="AI154" s="1698">
        <f t="shared" si="62"/>
        <v>0</v>
      </c>
      <c r="AJ154" s="1698">
        <f t="shared" si="62"/>
        <v>0</v>
      </c>
      <c r="AK154" s="1698">
        <f t="shared" si="62"/>
        <v>0</v>
      </c>
      <c r="AL154" s="1698">
        <f t="shared" si="62"/>
        <v>0</v>
      </c>
      <c r="AM154" s="1698">
        <f t="shared" si="62"/>
        <v>0</v>
      </c>
      <c r="AN154" s="1698">
        <f t="shared" si="62"/>
        <v>0</v>
      </c>
      <c r="AO154" s="1698">
        <f t="shared" si="62"/>
        <v>0</v>
      </c>
      <c r="AP154" s="1698">
        <f t="shared" si="62"/>
        <v>0</v>
      </c>
      <c r="AQ154" s="1698">
        <f t="shared" si="62"/>
        <v>0</v>
      </c>
      <c r="AR154" s="2225"/>
      <c r="AS154" s="1708">
        <f t="shared" si="63"/>
        <v>0</v>
      </c>
      <c r="AT154" s="1708">
        <f t="shared" si="63"/>
        <v>0</v>
      </c>
      <c r="AU154" s="675"/>
      <c r="AV154" s="1699"/>
      <c r="AW154" s="1690"/>
      <c r="AX154" s="675"/>
      <c r="AY154" s="1698">
        <f t="shared" si="64"/>
        <v>0</v>
      </c>
      <c r="AZ154" s="1698">
        <f t="shared" si="64"/>
        <v>0</v>
      </c>
      <c r="BA154" s="1698">
        <f t="shared" si="64"/>
        <v>0</v>
      </c>
      <c r="BB154" s="1698">
        <f t="shared" si="64"/>
        <v>0</v>
      </c>
      <c r="BC154" s="1698">
        <f t="shared" si="64"/>
        <v>0</v>
      </c>
      <c r="BD154" s="1698">
        <f t="shared" si="64"/>
        <v>0</v>
      </c>
      <c r="BE154" s="1698">
        <f t="shared" si="64"/>
        <v>0</v>
      </c>
      <c r="BF154" s="1698">
        <f t="shared" si="64"/>
        <v>0</v>
      </c>
      <c r="BG154" s="1698">
        <f t="shared" si="64"/>
        <v>0</v>
      </c>
      <c r="BH154" s="675"/>
      <c r="BI154" s="1698">
        <f t="shared" si="65"/>
        <v>0</v>
      </c>
      <c r="BJ154" s="1698">
        <f t="shared" si="65"/>
        <v>0</v>
      </c>
      <c r="BK154" s="1698">
        <f t="shared" si="65"/>
        <v>0</v>
      </c>
      <c r="BL154" s="1698">
        <f t="shared" si="65"/>
        <v>0</v>
      </c>
      <c r="BM154" s="1698">
        <f t="shared" si="65"/>
        <v>0</v>
      </c>
      <c r="BN154" s="1698">
        <f t="shared" si="65"/>
        <v>0</v>
      </c>
      <c r="BO154" s="1698">
        <f t="shared" si="65"/>
        <v>0</v>
      </c>
      <c r="BP154" s="1698">
        <f t="shared" si="65"/>
        <v>0</v>
      </c>
      <c r="BQ154" s="1698">
        <f t="shared" si="65"/>
        <v>0</v>
      </c>
      <c r="BR154" s="675"/>
      <c r="BS154" s="1698">
        <f t="shared" si="66"/>
        <v>0</v>
      </c>
      <c r="BT154" s="1698">
        <f t="shared" si="66"/>
        <v>0</v>
      </c>
      <c r="BU154" s="1698">
        <f t="shared" si="66"/>
        <v>0</v>
      </c>
      <c r="BV154" s="1698">
        <f t="shared" si="66"/>
        <v>0</v>
      </c>
      <c r="BW154" s="1698">
        <f t="shared" si="66"/>
        <v>0</v>
      </c>
      <c r="BX154" s="1698">
        <f t="shared" si="66"/>
        <v>0</v>
      </c>
      <c r="BY154" s="1698">
        <f t="shared" si="66"/>
        <v>0</v>
      </c>
      <c r="BZ154" s="1698">
        <f t="shared" si="66"/>
        <v>0</v>
      </c>
      <c r="CA154" s="1698">
        <f t="shared" si="66"/>
        <v>0</v>
      </c>
      <c r="CB154" s="2225"/>
      <c r="CC154" s="1708">
        <f t="shared" si="67"/>
        <v>0</v>
      </c>
      <c r="CD154" s="1708">
        <f t="shared" si="67"/>
        <v>0</v>
      </c>
      <c r="CE154" s="2225"/>
      <c r="CF154" s="1698">
        <f t="shared" si="68"/>
        <v>0</v>
      </c>
      <c r="CG154" s="1698">
        <f t="shared" si="68"/>
        <v>0</v>
      </c>
      <c r="CH154" s="1698">
        <f t="shared" si="68"/>
        <v>0</v>
      </c>
      <c r="CI154" s="1698">
        <f t="shared" si="68"/>
        <v>0</v>
      </c>
      <c r="CJ154" s="1698">
        <f t="shared" si="68"/>
        <v>0</v>
      </c>
      <c r="CK154" s="1698">
        <f t="shared" si="68"/>
        <v>0</v>
      </c>
      <c r="CL154" s="1698">
        <f t="shared" si="68"/>
        <v>0</v>
      </c>
      <c r="CM154" s="1698">
        <f t="shared" si="68"/>
        <v>0</v>
      </c>
      <c r="CN154" s="1698">
        <f t="shared" si="68"/>
        <v>0</v>
      </c>
      <c r="CO154" s="2225"/>
      <c r="CP154" s="1708">
        <f t="shared" si="69"/>
        <v>0</v>
      </c>
      <c r="CQ154" s="1708">
        <f t="shared" si="69"/>
        <v>0</v>
      </c>
      <c r="CR154" s="1426" t="str">
        <f t="shared" si="70"/>
        <v>ok</v>
      </c>
    </row>
    <row r="155" spans="3:96" x14ac:dyDescent="0.2">
      <c r="C155" s="1685" t="s">
        <v>105</v>
      </c>
      <c r="D155" s="2225"/>
      <c r="E155" s="2216">
        <f ca="1">SUM(E148:E154)</f>
        <v>33.959807702266431</v>
      </c>
      <c r="F155" s="1691">
        <f t="shared" ref="F155:M155" ca="1" si="71">SUM(F148:F154)</f>
        <v>1520.8610952689737</v>
      </c>
      <c r="G155" s="1691">
        <f t="shared" ca="1" si="71"/>
        <v>1063.9900862143209</v>
      </c>
      <c r="H155" s="1691">
        <f t="shared" ca="1" si="71"/>
        <v>1283.7583076103049</v>
      </c>
      <c r="I155" s="1691">
        <f t="shared" ca="1" si="71"/>
        <v>1540.5316895423105</v>
      </c>
      <c r="J155" s="1691">
        <f t="shared" ca="1" si="71"/>
        <v>1878.7732627635251</v>
      </c>
      <c r="K155" s="1691">
        <f t="shared" ca="1" si="71"/>
        <v>2104.4077096334204</v>
      </c>
      <c r="L155" s="1691">
        <f t="shared" ca="1" si="71"/>
        <v>2588.8956346730438</v>
      </c>
      <c r="M155" s="1691">
        <f t="shared" ca="1" si="71"/>
        <v>2879.0611529774051</v>
      </c>
      <c r="N155" s="675"/>
      <c r="O155" s="1691">
        <f ca="1">SUM(O148:O154)</f>
        <v>1824.9088782351844</v>
      </c>
      <c r="P155" s="1691">
        <f t="shared" ref="P155:W155" ca="1" si="72">SUM(P148:P154)</f>
        <v>18376.729878959526</v>
      </c>
      <c r="Q155" s="1691">
        <f t="shared" ca="1" si="72"/>
        <v>22054.536044032826</v>
      </c>
      <c r="R155" s="1691">
        <f t="shared" ca="1" si="72"/>
        <v>26413.81057552711</v>
      </c>
      <c r="S155" s="1691">
        <f t="shared" ca="1" si="72"/>
        <v>31524.795312995568</v>
      </c>
      <c r="T155" s="1691">
        <f t="shared" ca="1" si="72"/>
        <v>37514.375303260575</v>
      </c>
      <c r="U155" s="1691">
        <f t="shared" ca="1" si="72"/>
        <v>43441.250279646629</v>
      </c>
      <c r="V155" s="1691">
        <f t="shared" ca="1" si="72"/>
        <v>50164.539004190447</v>
      </c>
      <c r="W155" s="1691">
        <f t="shared" ca="1" si="72"/>
        <v>57721.147053661494</v>
      </c>
      <c r="X155" s="675"/>
      <c r="Y155" s="1691">
        <f ca="1">SUM(Y148:Y154)</f>
        <v>258.50743567955936</v>
      </c>
      <c r="Z155" s="1691">
        <f t="shared" ref="Z155:AG155" ca="1" si="73">SUM(Z148:Z154)</f>
        <v>289.7344617227119</v>
      </c>
      <c r="AA155" s="1691">
        <f t="shared" ca="1" si="73"/>
        <v>311.90124070649313</v>
      </c>
      <c r="AB155" s="1691">
        <f t="shared" ca="1" si="73"/>
        <v>340.84396387887944</v>
      </c>
      <c r="AC155" s="1691">
        <f t="shared" ca="1" si="73"/>
        <v>391.91438653359609</v>
      </c>
      <c r="AD155" s="1691">
        <f t="shared" ca="1" si="73"/>
        <v>457.87129769572294</v>
      </c>
      <c r="AE155" s="1691">
        <f t="shared" ca="1" si="73"/>
        <v>523.21714439106609</v>
      </c>
      <c r="AF155" s="1691">
        <f t="shared" ca="1" si="73"/>
        <v>592.08664471228178</v>
      </c>
      <c r="AG155" s="1691">
        <f t="shared" ca="1" si="73"/>
        <v>673.14942689143902</v>
      </c>
      <c r="AH155" s="675"/>
      <c r="AI155" s="1691">
        <f ca="1">SUM(AI148:AI154)</f>
        <v>2117.3761216170101</v>
      </c>
      <c r="AJ155" s="1691">
        <f t="shared" ref="AJ155:AQ155" ca="1" si="74">SUM(AJ148:AJ154)</f>
        <v>20187.32543595121</v>
      </c>
      <c r="AK155" s="1691">
        <f t="shared" ca="1" si="74"/>
        <v>23430.427370953643</v>
      </c>
      <c r="AL155" s="1691">
        <f t="shared" ca="1" si="74"/>
        <v>28038.412847016287</v>
      </c>
      <c r="AM155" s="1691">
        <f t="shared" ca="1" si="74"/>
        <v>33457.241389071474</v>
      </c>
      <c r="AN155" s="1691">
        <f t="shared" ca="1" si="74"/>
        <v>39851.019863719819</v>
      </c>
      <c r="AO155" s="1691">
        <f t="shared" ca="1" si="74"/>
        <v>46068.875133671114</v>
      </c>
      <c r="AP155" s="1691">
        <f t="shared" ca="1" si="74"/>
        <v>53345.521283575763</v>
      </c>
      <c r="AQ155" s="1691">
        <f t="shared" ca="1" si="74"/>
        <v>61273.357633530337</v>
      </c>
      <c r="AR155" s="2225"/>
      <c r="AS155" s="1707">
        <f ca="1">SUM(AS148:AS154)</f>
        <v>34196.617453234059</v>
      </c>
      <c r="AT155" s="1707">
        <f ca="1">SUM(AT148:AT154)</f>
        <v>226226.37053573367</v>
      </c>
      <c r="AU155" s="675"/>
      <c r="AV155" s="1700"/>
      <c r="AW155" s="1692"/>
      <c r="AX155" s="675"/>
      <c r="AY155" s="1691">
        <f ca="1">SUM(AY148:AY154)</f>
        <v>9.2895399651895687</v>
      </c>
      <c r="AZ155" s="1691">
        <f t="shared" ref="AZ155:BG155" ca="1" si="75">SUM(AZ148:AZ154)</f>
        <v>832.3235276728974</v>
      </c>
      <c r="BA155" s="1691">
        <f t="shared" ca="1" si="75"/>
        <v>575.00501910050639</v>
      </c>
      <c r="BB155" s="1691">
        <f t="shared" ca="1" si="75"/>
        <v>695.02810778241985</v>
      </c>
      <c r="BC155" s="1691">
        <f t="shared" ca="1" si="75"/>
        <v>831.83838155529691</v>
      </c>
      <c r="BD155" s="1691">
        <f t="shared" ca="1" si="75"/>
        <v>1015.2550425264819</v>
      </c>
      <c r="BE155" s="1691">
        <f t="shared" ca="1" si="75"/>
        <v>1130.3759161187172</v>
      </c>
      <c r="BF155" s="1691">
        <f t="shared" ca="1" si="75"/>
        <v>1384.2366023752213</v>
      </c>
      <c r="BG155" s="1691">
        <f t="shared" ca="1" si="75"/>
        <v>1533.6787011571489</v>
      </c>
      <c r="BH155" s="675"/>
      <c r="BI155" s="1691">
        <f ca="1">SUM(BI148:BI154)</f>
        <v>9.2895399651895687</v>
      </c>
      <c r="BJ155" s="1691">
        <f t="shared" ref="BJ155:BQ155" ca="1" si="76">SUM(BJ148:BJ154)</f>
        <v>841.61306763808705</v>
      </c>
      <c r="BK155" s="1691">
        <f t="shared" ca="1" si="76"/>
        <v>1416.419912597328</v>
      </c>
      <c r="BL155" s="1691">
        <f t="shared" ca="1" si="76"/>
        <v>2093.1873144547935</v>
      </c>
      <c r="BM155" s="1691">
        <f t="shared" ca="1" si="76"/>
        <v>2110.1923316504276</v>
      </c>
      <c r="BN155" s="1691">
        <f t="shared" ca="1" si="76"/>
        <v>2588.3829538008217</v>
      </c>
      <c r="BO155" s="1691">
        <f t="shared" ca="1" si="76"/>
        <v>3065.7724291693617</v>
      </c>
      <c r="BP155" s="1691">
        <f t="shared" ca="1" si="76"/>
        <v>3699.8344727416097</v>
      </c>
      <c r="BQ155" s="1691">
        <f t="shared" ca="1" si="76"/>
        <v>4208.4328863425544</v>
      </c>
      <c r="BR155" s="675"/>
      <c r="BS155" s="1702">
        <f ca="1">SUM(BS148:BS154)</f>
        <v>2092.7058538799333</v>
      </c>
      <c r="BT155" s="1702">
        <f t="shared" ref="BT155:CA155" ca="1" si="77">SUM(BT148:BT154)</f>
        <v>19508.077408320325</v>
      </c>
      <c r="BU155" s="1702">
        <f t="shared" ca="1" si="77"/>
        <v>23782.857197336645</v>
      </c>
      <c r="BV155" s="1702">
        <f t="shared" ca="1" si="77"/>
        <v>28847.84185386078</v>
      </c>
      <c r="BW155" s="1702">
        <f t="shared" ca="1" si="77"/>
        <v>34026.90203117959</v>
      </c>
      <c r="BX155" s="1702">
        <f t="shared" ca="1" si="77"/>
        <v>40560.629554757128</v>
      </c>
      <c r="BY155" s="1702">
        <f t="shared" ca="1" si="77"/>
        <v>47030.239853207058</v>
      </c>
      <c r="BZ155" s="1702">
        <f t="shared" ca="1" si="77"/>
        <v>54456.460121644333</v>
      </c>
      <c r="CA155" s="1702">
        <f t="shared" ca="1" si="77"/>
        <v>62602.729366895481</v>
      </c>
      <c r="CB155" s="2225"/>
      <c r="CC155" s="1707">
        <f ca="1">SUM(CC148:CC154)</f>
        <v>34767.60480456458</v>
      </c>
      <c r="CD155" s="1707">
        <f ca="1">SUM(CD148:CD154)</f>
        <v>227325.50353936353</v>
      </c>
      <c r="CE155" s="2225"/>
      <c r="CF155" s="1704">
        <f ca="1">SUM(CF148:CF154)</f>
        <v>-24.67026773707687</v>
      </c>
      <c r="CG155" s="1704">
        <f t="shared" ref="CG155:CN155" ca="1" si="78">SUM(CG148:CG154)</f>
        <v>-679.24802763088701</v>
      </c>
      <c r="CH155" s="1704">
        <f t="shared" ca="1" si="78"/>
        <v>352.42982638300754</v>
      </c>
      <c r="CI155" s="1704">
        <f t="shared" ca="1" si="78"/>
        <v>809.42900684448841</v>
      </c>
      <c r="CJ155" s="1704">
        <f t="shared" ca="1" si="78"/>
        <v>569.66064210811749</v>
      </c>
      <c r="CK155" s="1704">
        <f t="shared" ca="1" si="78"/>
        <v>709.60969103729656</v>
      </c>
      <c r="CL155" s="1704">
        <f t="shared" ca="1" si="78"/>
        <v>961.36471953594162</v>
      </c>
      <c r="CM155" s="1704">
        <f t="shared" ca="1" si="78"/>
        <v>1110.9388380685657</v>
      </c>
      <c r="CN155" s="1704">
        <f t="shared" ca="1" si="78"/>
        <v>1329.3717333651491</v>
      </c>
      <c r="CO155" s="2225"/>
      <c r="CP155" s="1707">
        <f ca="1">SUM(CP148:CP154)</f>
        <v>570.98735133051139</v>
      </c>
      <c r="CQ155" s="1707">
        <f ca="1">SUM(CQ148:CQ154)</f>
        <v>1099.1330036299184</v>
      </c>
      <c r="CR155" s="1426" t="str">
        <f t="shared" ca="1" si="70"/>
        <v>ok</v>
      </c>
    </row>
    <row r="156" spans="3:96" x14ac:dyDescent="0.2">
      <c r="C156" s="1426"/>
      <c r="D156" s="1426"/>
      <c r="E156" s="2217" t="str">
        <f t="shared" ref="E156:M156" ca="1" si="79">IF(ROUND(E155-E87,0)=0,"ok",E155-E87)</f>
        <v>ok</v>
      </c>
      <c r="F156" s="2217">
        <f t="shared" ca="1" si="79"/>
        <v>176.64149535698493</v>
      </c>
      <c r="G156" s="2217">
        <f t="shared" ca="1" si="79"/>
        <v>232.80273141167515</v>
      </c>
      <c r="H156" s="2217">
        <f t="shared" ca="1" si="79"/>
        <v>397.36741289948145</v>
      </c>
      <c r="I156" s="2217">
        <f t="shared" ca="1" si="79"/>
        <v>600.38996286141764</v>
      </c>
      <c r="J156" s="2217">
        <f t="shared" ca="1" si="79"/>
        <v>865.38064511996004</v>
      </c>
      <c r="K156" s="2217">
        <f t="shared" ca="1" si="79"/>
        <v>1076.3147370440208</v>
      </c>
      <c r="L156" s="2217">
        <f t="shared" ca="1" si="79"/>
        <v>1443.3399869162918</v>
      </c>
      <c r="M156" s="2217">
        <f t="shared" ca="1" si="79"/>
        <v>1725.2049783840423</v>
      </c>
      <c r="N156" s="1426"/>
      <c r="O156" s="2217" t="str">
        <f t="shared" ref="O156:W156" ca="1" si="80">IF(ROUND(O155-O87,0)=0,"ok",O155-O87)</f>
        <v>ok</v>
      </c>
      <c r="P156" s="2217">
        <f t="shared" ca="1" si="80"/>
        <v>2134.3783831992259</v>
      </c>
      <c r="Q156" s="2217">
        <f t="shared" ca="1" si="80"/>
        <v>4825.5677356319429</v>
      </c>
      <c r="R156" s="2217">
        <f t="shared" ca="1" si="80"/>
        <v>8175.9841482562879</v>
      </c>
      <c r="S156" s="2217">
        <f t="shared" ca="1" si="80"/>
        <v>12286.128753902129</v>
      </c>
      <c r="T156" s="2217">
        <f t="shared" ca="1" si="80"/>
        <v>17279.474295613345</v>
      </c>
      <c r="U156" s="2217">
        <f t="shared" ca="1" si="80"/>
        <v>22218.345645457728</v>
      </c>
      <c r="V156" s="2217">
        <f t="shared" ca="1" si="80"/>
        <v>27967.324792957181</v>
      </c>
      <c r="W156" s="2217">
        <f t="shared" ca="1" si="80"/>
        <v>34587.945501620168</v>
      </c>
      <c r="X156" s="1426"/>
      <c r="Y156" s="2217" t="str">
        <f t="shared" ref="Y156:AG156" ca="1" si="81">IF(ROUND(Y155-Y87,0)=0,"ok",Y155-Y87)</f>
        <v>ok</v>
      </c>
      <c r="Z156" s="2217">
        <f t="shared" ca="1" si="81"/>
        <v>33.651415460857436</v>
      </c>
      <c r="AA156" s="2217">
        <f t="shared" ca="1" si="81"/>
        <v>68.24448997030936</v>
      </c>
      <c r="AB156" s="2217">
        <f t="shared" ca="1" si="81"/>
        <v>105.50294656404174</v>
      </c>
      <c r="AC156" s="2217">
        <f t="shared" ca="1" si="81"/>
        <v>152.74042434379837</v>
      </c>
      <c r="AD156" s="2217">
        <f t="shared" ca="1" si="81"/>
        <v>210.89982853972032</v>
      </c>
      <c r="AE156" s="2217">
        <f t="shared" ca="1" si="81"/>
        <v>267.60324085692093</v>
      </c>
      <c r="AF156" s="2217">
        <f t="shared" ca="1" si="81"/>
        <v>330.09531886373719</v>
      </c>
      <c r="AG156" s="2217">
        <f t="shared" ca="1" si="81"/>
        <v>403.36786221733627</v>
      </c>
      <c r="AH156" s="1426"/>
      <c r="AI156" s="2217" t="str">
        <f t="shared" ref="AI156:AQ156" ca="1" si="82">IF(ROUND(AI155-AI87,0)=0,"ok",AI155-AI87)</f>
        <v>ok</v>
      </c>
      <c r="AJ156" s="2217">
        <f t="shared" ca="1" si="82"/>
        <v>2344.6712940170655</v>
      </c>
      <c r="AK156" s="2217">
        <f t="shared" ca="1" si="82"/>
        <v>5126.6149570139387</v>
      </c>
      <c r="AL156" s="2217">
        <f t="shared" ca="1" si="82"/>
        <v>8678.8545077198032</v>
      </c>
      <c r="AM156" s="2217">
        <f t="shared" ca="1" si="82"/>
        <v>13039.259141107337</v>
      </c>
      <c r="AN156" s="2217">
        <f t="shared" ca="1" si="82"/>
        <v>18355.75476927303</v>
      </c>
      <c r="AO156" s="2217">
        <f t="shared" ca="1" si="82"/>
        <v>23562.26362335866</v>
      </c>
      <c r="AP156" s="2217">
        <f t="shared" ca="1" si="82"/>
        <v>29740.760098737195</v>
      </c>
      <c r="AQ156" s="2217">
        <f t="shared" ca="1" si="82"/>
        <v>36716.518342221549</v>
      </c>
      <c r="AR156" s="1426"/>
      <c r="AS156" s="2217">
        <f ca="1">IF(ROUND(AS155-AS87,0)=0,"ok",AS155-AS87)</f>
        <v>15284.966303716494</v>
      </c>
      <c r="AT156" s="2217">
        <f ca="1">IF(ROUND(AT155-AT87,0)=0,"ok",AT155-AT87)</f>
        <v>67643.263776277134</v>
      </c>
      <c r="AU156" s="1426"/>
      <c r="AV156" s="1426"/>
      <c r="AW156" s="1426"/>
      <c r="AX156" s="1426"/>
      <c r="AY156" s="2217" t="str">
        <f t="shared" ref="AY156:BG156" ca="1" si="83">IF(ROUND(AY155-AY87,0)=0,"ok",AY155-AY87)</f>
        <v>ok</v>
      </c>
      <c r="AZ156" s="2217">
        <f t="shared" ca="1" si="83"/>
        <v>96.670809060928377</v>
      </c>
      <c r="BA156" s="2217">
        <f t="shared" ca="1" si="83"/>
        <v>125.81201719491963</v>
      </c>
      <c r="BB156" s="2217">
        <f t="shared" ca="1" si="83"/>
        <v>215.13513832368471</v>
      </c>
      <c r="BC156" s="2217">
        <f t="shared" ca="1" si="83"/>
        <v>324.19158813738233</v>
      </c>
      <c r="BD156" s="2217">
        <f t="shared" ca="1" si="83"/>
        <v>467.63602669676914</v>
      </c>
      <c r="BE156" s="2217">
        <f t="shared" ca="1" si="83"/>
        <v>578.13904185427327</v>
      </c>
      <c r="BF156" s="2217">
        <f t="shared" ca="1" si="83"/>
        <v>771.72830484285828</v>
      </c>
      <c r="BG156" s="2217">
        <f t="shared" ca="1" si="83"/>
        <v>919.01838477504907</v>
      </c>
      <c r="BH156" s="1426"/>
      <c r="BI156" s="2217" t="str">
        <f t="shared" ref="BI156:BQ156" ca="1" si="84">IF(ROUND(BI155-BI87,0)=0,"ok",BI155-BI87)</f>
        <v>ok</v>
      </c>
      <c r="BJ156" s="2217">
        <f t="shared" ca="1" si="84"/>
        <v>97.749749297965309</v>
      </c>
      <c r="BK156" s="2217">
        <f t="shared" ca="1" si="84"/>
        <v>309.91494070380099</v>
      </c>
      <c r="BL156" s="2217">
        <f t="shared" ca="1" si="84"/>
        <v>647.91356981146305</v>
      </c>
      <c r="BM156" s="2217">
        <f t="shared" ca="1" si="84"/>
        <v>822.4032678006472</v>
      </c>
      <c r="BN156" s="2217">
        <f t="shared" ca="1" si="84"/>
        <v>1192.2335466297284</v>
      </c>
      <c r="BO156" s="2217">
        <f t="shared" ca="1" si="84"/>
        <v>1568.011764466037</v>
      </c>
      <c r="BP156" s="2217">
        <f t="shared" ca="1" si="84"/>
        <v>2062.7015504059641</v>
      </c>
      <c r="BQ156" s="2217">
        <f t="shared" ca="1" si="84"/>
        <v>2521.797551679264</v>
      </c>
      <c r="BR156" s="1426"/>
      <c r="BS156" s="2217" t="str">
        <f t="shared" ref="BS156:CA156" ca="1" si="85">IF(ROUND(BS155-BS87,0)=0,"ok",BS155-BS87)</f>
        <v>ok</v>
      </c>
      <c r="BT156" s="2217">
        <f t="shared" ca="1" si="85"/>
        <v>2265.7795479580454</v>
      </c>
      <c r="BU156" s="2217">
        <f t="shared" ca="1" si="85"/>
        <v>5203.7271663060565</v>
      </c>
      <c r="BV156" s="2217">
        <f t="shared" ca="1" si="85"/>
        <v>8929.4006646317976</v>
      </c>
      <c r="BW156" s="2217">
        <f t="shared" ca="1" si="85"/>
        <v>13261.272446046572</v>
      </c>
      <c r="BX156" s="2217">
        <f t="shared" ca="1" si="85"/>
        <v>18682.607670782803</v>
      </c>
      <c r="BY156" s="2217">
        <f t="shared" ca="1" si="85"/>
        <v>24053.960650780678</v>
      </c>
      <c r="BZ156" s="2217">
        <f t="shared" ca="1" si="85"/>
        <v>30360.121662226869</v>
      </c>
      <c r="CA156" s="2217">
        <f t="shared" ca="1" si="85"/>
        <v>37513.110915516765</v>
      </c>
      <c r="CB156" s="1426"/>
      <c r="CC156" s="2217">
        <f ca="1">IF(ROUND(CC155-CC87,0)=0,"ok",CC155-CC87)</f>
        <v>15585.553413805505</v>
      </c>
      <c r="CD156" s="2217">
        <f ca="1">IF(ROUND(CD155-CD87,0)=0,"ok",CD155-CD87)</f>
        <v>68626.548354742583</v>
      </c>
      <c r="CE156" s="1426"/>
      <c r="CF156" s="2217" t="str">
        <f t="shared" ref="CF156:CN156" ca="1" si="86">IF(ROUND(CF155-CF87,0)=0,"ok",CF155-CF87)</f>
        <v>ok</v>
      </c>
      <c r="CG156" s="2217">
        <f t="shared" ca="1" si="86"/>
        <v>-78.891746059020079</v>
      </c>
      <c r="CH156" s="2217">
        <f t="shared" ca="1" si="86"/>
        <v>77.112209292126295</v>
      </c>
      <c r="CI156" s="2217">
        <f t="shared" ca="1" si="86"/>
        <v>250.54615691198137</v>
      </c>
      <c r="CJ156" s="2217">
        <f t="shared" ca="1" si="86"/>
        <v>222.01330493922984</v>
      </c>
      <c r="CK156" s="2217">
        <f t="shared" ca="1" si="86"/>
        <v>326.85290150976817</v>
      </c>
      <c r="CL156" s="2217">
        <f t="shared" ca="1" si="86"/>
        <v>491.69702742201645</v>
      </c>
      <c r="CM156" s="2217">
        <f t="shared" ca="1" si="86"/>
        <v>619.36156348967211</v>
      </c>
      <c r="CN156" s="2217">
        <f t="shared" ca="1" si="86"/>
        <v>796.5925732952212</v>
      </c>
      <c r="CO156" s="1426"/>
      <c r="CP156" s="2217">
        <f ca="1">IF(ROUND(CP155-CP87,0)=0,"ok",CP155-CP87)</f>
        <v>300.58711008899951</v>
      </c>
      <c r="CQ156" s="2217" t="str">
        <f ca="1">IF(ROUND(CQ155-CQ87,0)=0,"ok",CQ155-CQ87)</f>
        <v>ok</v>
      </c>
      <c r="CR156" s="2225"/>
    </row>
    <row r="157" spans="3:96" x14ac:dyDescent="0.2">
      <c r="C157" s="2225"/>
      <c r="D157" s="2225"/>
      <c r="E157" s="2225"/>
      <c r="F157" s="2225"/>
      <c r="G157" s="2225"/>
      <c r="H157" s="2225"/>
      <c r="I157" s="2225"/>
      <c r="J157" s="2225"/>
      <c r="K157" s="2225"/>
      <c r="L157" s="2225"/>
      <c r="M157" s="2225"/>
      <c r="N157" s="2225"/>
      <c r="O157" s="2225"/>
      <c r="P157" s="2225"/>
      <c r="Q157" s="2225"/>
      <c r="R157" s="2225"/>
      <c r="S157" s="2225"/>
      <c r="T157" s="2225"/>
      <c r="U157" s="2225"/>
      <c r="V157" s="2225"/>
      <c r="W157" s="2225"/>
      <c r="X157" s="2225"/>
      <c r="Y157" s="2225"/>
      <c r="Z157" s="2225"/>
      <c r="AA157" s="2225"/>
      <c r="AB157" s="2225"/>
      <c r="AC157" s="2225"/>
      <c r="AD157" s="2225"/>
      <c r="AE157" s="2225"/>
      <c r="AF157" s="2225"/>
      <c r="AG157" s="2225"/>
      <c r="AH157" s="2225"/>
      <c r="AI157" s="2225"/>
      <c r="AJ157" s="2225"/>
      <c r="AK157" s="2225"/>
      <c r="AL157" s="2225"/>
      <c r="AM157" s="2225"/>
      <c r="AN157" s="2225"/>
      <c r="AO157" s="2225"/>
      <c r="AP157" s="2225"/>
      <c r="AQ157" s="2225"/>
      <c r="AR157" s="2225"/>
      <c r="AS157" s="2225"/>
      <c r="AT157" s="2225"/>
      <c r="AU157" s="2225"/>
      <c r="AV157" s="2225"/>
      <c r="AW157" s="2225"/>
      <c r="AX157" s="2225"/>
      <c r="AY157" s="2225"/>
      <c r="AZ157" s="2225"/>
      <c r="BA157" s="2225"/>
      <c r="BB157" s="2225"/>
      <c r="BC157" s="2225"/>
      <c r="BD157" s="2225"/>
      <c r="BE157" s="2225"/>
      <c r="BF157" s="2225"/>
      <c r="BG157" s="2225"/>
      <c r="BH157" s="2225"/>
      <c r="BI157" s="2225"/>
      <c r="BJ157" s="2225"/>
      <c r="BK157" s="2225"/>
      <c r="BL157" s="2225"/>
      <c r="BM157" s="2225"/>
      <c r="BN157" s="2225"/>
      <c r="BO157" s="2225"/>
      <c r="BP157" s="2225"/>
      <c r="BQ157" s="2225"/>
      <c r="BR157" s="2225"/>
      <c r="BS157" s="2225"/>
      <c r="BT157" s="2225"/>
      <c r="BU157" s="2225"/>
      <c r="BV157" s="2225"/>
      <c r="BW157" s="2225"/>
      <c r="BX157" s="2225"/>
      <c r="BY157" s="2225"/>
      <c r="BZ157" s="2225"/>
      <c r="CA157" s="2225"/>
      <c r="CB157" s="2225"/>
      <c r="CC157" s="2225"/>
      <c r="CD157" s="2225"/>
      <c r="CE157" s="2225"/>
      <c r="CF157" s="2225"/>
      <c r="CG157" s="2225"/>
      <c r="CH157" s="2225"/>
      <c r="CI157" s="2225"/>
      <c r="CJ157" s="2225"/>
      <c r="CK157" s="2225"/>
      <c r="CL157" s="2225"/>
      <c r="CM157" s="2225"/>
      <c r="CN157" s="2225"/>
      <c r="CO157" s="2225"/>
      <c r="CP157" s="2225"/>
      <c r="CQ157" s="2225"/>
      <c r="CR157" s="2225"/>
    </row>
    <row r="158" spans="3:96" x14ac:dyDescent="0.2">
      <c r="C158" s="1427" t="str">
        <f>Preferences.moneyunits</f>
        <v>N</v>
      </c>
      <c r="D158" s="2225"/>
      <c r="E158" s="17" t="s">
        <v>1391</v>
      </c>
      <c r="F158" s="2225" t="s">
        <v>1392</v>
      </c>
      <c r="G158" s="2225"/>
      <c r="H158" s="2225"/>
      <c r="I158" s="2225"/>
      <c r="J158" s="2225"/>
      <c r="K158" s="2225"/>
      <c r="L158" s="2225"/>
      <c r="M158" s="2225"/>
      <c r="N158" s="2225"/>
      <c r="O158" s="17" t="s">
        <v>1393</v>
      </c>
      <c r="P158" s="2225" t="s">
        <v>1394</v>
      </c>
      <c r="Q158" s="2225"/>
      <c r="R158" s="2225"/>
      <c r="S158" s="2225"/>
      <c r="T158" s="2225"/>
      <c r="U158" s="2225"/>
      <c r="V158" s="2225"/>
      <c r="W158" s="2225"/>
      <c r="X158" s="2225"/>
      <c r="Y158" s="17" t="s">
        <v>1395</v>
      </c>
      <c r="Z158" s="2225" t="s">
        <v>1396</v>
      </c>
      <c r="AA158" s="2225"/>
      <c r="AB158" s="2225"/>
      <c r="AC158" s="2225"/>
      <c r="AD158" s="2225"/>
      <c r="AE158" s="2225"/>
      <c r="AF158" s="2225"/>
      <c r="AG158" s="2225"/>
      <c r="AH158" s="2225"/>
      <c r="AI158" s="17" t="s">
        <v>1397</v>
      </c>
      <c r="AJ158" s="2225"/>
      <c r="AK158" s="2225"/>
      <c r="AL158" s="2225"/>
      <c r="AM158" s="2225"/>
      <c r="AN158" s="2225"/>
      <c r="AO158" s="2225"/>
      <c r="AP158" s="2225"/>
      <c r="AQ158" s="2225"/>
      <c r="AR158" s="2225"/>
      <c r="AS158" s="2225" t="s">
        <v>1826</v>
      </c>
      <c r="AT158" s="2225"/>
      <c r="AU158" s="2225"/>
      <c r="AV158" s="2224" t="s">
        <v>1613</v>
      </c>
      <c r="AW158" s="2225"/>
      <c r="AX158" s="2225"/>
      <c r="AY158" s="17" t="s">
        <v>1956</v>
      </c>
      <c r="AZ158" s="2225"/>
      <c r="BA158" s="2225"/>
      <c r="BB158" s="2225"/>
      <c r="BC158" s="2225"/>
      <c r="BD158" s="2225"/>
      <c r="BE158" s="2225"/>
      <c r="BF158" s="2225"/>
      <c r="BG158" s="2225"/>
      <c r="BH158" s="2225"/>
      <c r="BI158" s="17" t="s">
        <v>1957</v>
      </c>
      <c r="BJ158" s="2225"/>
      <c r="BK158" s="2225"/>
      <c r="BL158" s="2225"/>
      <c r="BM158" s="2225"/>
      <c r="BN158" s="2225"/>
      <c r="BO158" s="2225"/>
      <c r="BP158" s="2225"/>
      <c r="BQ158" s="2225"/>
      <c r="BR158" s="2357" t="s">
        <v>2064</v>
      </c>
      <c r="BS158" s="17"/>
      <c r="BT158" s="2225"/>
      <c r="BU158" s="2225"/>
      <c r="BV158" s="2225"/>
      <c r="BW158" s="2225"/>
      <c r="BX158" s="2225"/>
      <c r="BY158" s="2225"/>
      <c r="BZ158" s="2225"/>
      <c r="CA158" s="1245"/>
      <c r="CB158" s="2225"/>
      <c r="CC158" s="2225" t="s">
        <v>1825</v>
      </c>
      <c r="CD158" s="2225"/>
      <c r="CE158" s="2225"/>
      <c r="CF158" s="2225" t="s">
        <v>1733</v>
      </c>
      <c r="CG158" s="2225"/>
      <c r="CH158" s="2225"/>
      <c r="CI158" s="2225"/>
      <c r="CJ158" s="2225"/>
      <c r="CK158" s="2225"/>
      <c r="CL158" s="2225"/>
      <c r="CM158" s="2225"/>
      <c r="CN158" s="2225"/>
      <c r="CO158" s="2225"/>
      <c r="CP158" s="2225" t="s">
        <v>1733</v>
      </c>
      <c r="CQ158" s="2225"/>
      <c r="CR158" s="2225"/>
    </row>
    <row r="159" spans="3:96" ht="13.5" thickBot="1" x14ac:dyDescent="0.25">
      <c r="C159" s="1682" t="s">
        <v>67</v>
      </c>
      <c r="D159" s="2225"/>
      <c r="E159" s="1696" t="s">
        <v>241</v>
      </c>
      <c r="F159" s="1696" t="s">
        <v>268</v>
      </c>
      <c r="G159" s="1696" t="s">
        <v>269</v>
      </c>
      <c r="H159" s="1696" t="s">
        <v>270</v>
      </c>
      <c r="I159" s="1696" t="s">
        <v>271</v>
      </c>
      <c r="J159" s="1696" t="s">
        <v>272</v>
      </c>
      <c r="K159" s="1696" t="s">
        <v>273</v>
      </c>
      <c r="L159" s="1696" t="s">
        <v>274</v>
      </c>
      <c r="M159" s="1696" t="s">
        <v>275</v>
      </c>
      <c r="N159" s="1427"/>
      <c r="O159" s="1696" t="s">
        <v>241</v>
      </c>
      <c r="P159" s="1696" t="s">
        <v>268</v>
      </c>
      <c r="Q159" s="1696" t="s">
        <v>269</v>
      </c>
      <c r="R159" s="1696" t="s">
        <v>270</v>
      </c>
      <c r="S159" s="1696" t="s">
        <v>271</v>
      </c>
      <c r="T159" s="1696" t="s">
        <v>272</v>
      </c>
      <c r="U159" s="1696" t="s">
        <v>273</v>
      </c>
      <c r="V159" s="1696" t="s">
        <v>274</v>
      </c>
      <c r="W159" s="1696" t="s">
        <v>275</v>
      </c>
      <c r="X159" s="1427"/>
      <c r="Y159" s="1696" t="s">
        <v>241</v>
      </c>
      <c r="Z159" s="1696" t="s">
        <v>268</v>
      </c>
      <c r="AA159" s="1696" t="s">
        <v>269</v>
      </c>
      <c r="AB159" s="1696" t="s">
        <v>270</v>
      </c>
      <c r="AC159" s="1696" t="s">
        <v>271</v>
      </c>
      <c r="AD159" s="1696" t="s">
        <v>272</v>
      </c>
      <c r="AE159" s="1696" t="s">
        <v>273</v>
      </c>
      <c r="AF159" s="1696" t="s">
        <v>274</v>
      </c>
      <c r="AG159" s="1696" t="s">
        <v>275</v>
      </c>
      <c r="AH159" s="1427"/>
      <c r="AI159" s="1696" t="s">
        <v>241</v>
      </c>
      <c r="AJ159" s="1696" t="s">
        <v>268</v>
      </c>
      <c r="AK159" s="1696" t="s">
        <v>269</v>
      </c>
      <c r="AL159" s="1696" t="s">
        <v>270</v>
      </c>
      <c r="AM159" s="1696" t="s">
        <v>271</v>
      </c>
      <c r="AN159" s="1696" t="s">
        <v>272</v>
      </c>
      <c r="AO159" s="1696" t="s">
        <v>273</v>
      </c>
      <c r="AP159" s="1696" t="s">
        <v>274</v>
      </c>
      <c r="AQ159" s="1696" t="s">
        <v>275</v>
      </c>
      <c r="AR159" s="2225"/>
      <c r="AS159" s="1705" t="s">
        <v>1734</v>
      </c>
      <c r="AT159" s="1705" t="s">
        <v>1389</v>
      </c>
      <c r="AU159" s="1427"/>
      <c r="AV159" s="1696" t="s">
        <v>1614</v>
      </c>
      <c r="AW159" s="1688" t="s">
        <v>1472</v>
      </c>
      <c r="AX159" s="1427"/>
      <c r="AY159" s="1696">
        <v>2010</v>
      </c>
      <c r="AZ159" s="1696">
        <v>2015</v>
      </c>
      <c r="BA159" s="1696">
        <v>2020</v>
      </c>
      <c r="BB159" s="1696">
        <v>2025</v>
      </c>
      <c r="BC159" s="1696">
        <v>2030</v>
      </c>
      <c r="BD159" s="1696">
        <v>2035</v>
      </c>
      <c r="BE159" s="1696">
        <v>2040</v>
      </c>
      <c r="BF159" s="1696">
        <v>2045</v>
      </c>
      <c r="BG159" s="1696">
        <v>2050</v>
      </c>
      <c r="BH159" s="1427"/>
      <c r="BI159" s="1696">
        <v>2010</v>
      </c>
      <c r="BJ159" s="1696">
        <v>2015</v>
      </c>
      <c r="BK159" s="1696">
        <v>2020</v>
      </c>
      <c r="BL159" s="1696">
        <v>2025</v>
      </c>
      <c r="BM159" s="1696">
        <v>2030</v>
      </c>
      <c r="BN159" s="1696">
        <v>2035</v>
      </c>
      <c r="BO159" s="1696">
        <v>2040</v>
      </c>
      <c r="BP159" s="1696">
        <v>2045</v>
      </c>
      <c r="BQ159" s="1696">
        <v>2050</v>
      </c>
      <c r="BR159" s="1427"/>
      <c r="BS159" s="1696" t="s">
        <v>241</v>
      </c>
      <c r="BT159" s="1696" t="s">
        <v>268</v>
      </c>
      <c r="BU159" s="1696" t="s">
        <v>269</v>
      </c>
      <c r="BV159" s="1696" t="s">
        <v>270</v>
      </c>
      <c r="BW159" s="1696" t="s">
        <v>271</v>
      </c>
      <c r="BX159" s="1696" t="s">
        <v>272</v>
      </c>
      <c r="BY159" s="1696" t="s">
        <v>273</v>
      </c>
      <c r="BZ159" s="1696" t="s">
        <v>274</v>
      </c>
      <c r="CA159" s="1696" t="s">
        <v>275</v>
      </c>
      <c r="CB159" s="1426"/>
      <c r="CC159" s="1705" t="s">
        <v>1734</v>
      </c>
      <c r="CD159" s="1705" t="s">
        <v>1389</v>
      </c>
      <c r="CE159" s="2225"/>
      <c r="CF159" s="1696" t="s">
        <v>241</v>
      </c>
      <c r="CG159" s="1696" t="s">
        <v>268</v>
      </c>
      <c r="CH159" s="1696" t="s">
        <v>269</v>
      </c>
      <c r="CI159" s="1696" t="s">
        <v>270</v>
      </c>
      <c r="CJ159" s="1696" t="s">
        <v>271</v>
      </c>
      <c r="CK159" s="1696" t="s">
        <v>272</v>
      </c>
      <c r="CL159" s="1696" t="s">
        <v>273</v>
      </c>
      <c r="CM159" s="1696" t="s">
        <v>274</v>
      </c>
      <c r="CN159" s="1696" t="s">
        <v>275</v>
      </c>
      <c r="CO159" s="2225"/>
      <c r="CP159" s="1705" t="s">
        <v>1734</v>
      </c>
      <c r="CQ159" s="1705" t="s">
        <v>1389</v>
      </c>
      <c r="CR159" s="2225"/>
    </row>
    <row r="160" spans="3:96" ht="13.5" thickTop="1" x14ac:dyDescent="0.2">
      <c r="C160" s="1683" t="s">
        <v>1732</v>
      </c>
      <c r="D160" s="2225"/>
      <c r="E160" s="1689">
        <f t="shared" ref="E160:M166" ca="1" si="87">SUMIF($C$92:$C$131,$C160,E$92:E$131)</f>
        <v>0</v>
      </c>
      <c r="F160" s="1689">
        <f t="shared" ca="1" si="87"/>
        <v>1.7975247879622211</v>
      </c>
      <c r="G160" s="1689">
        <f t="shared" ca="1" si="87"/>
        <v>3.5806364197768641</v>
      </c>
      <c r="H160" s="1689">
        <f t="shared" ca="1" si="87"/>
        <v>2.0958010837852878</v>
      </c>
      <c r="I160" s="1689">
        <f t="shared" ca="1" si="87"/>
        <v>2.9041816162242933</v>
      </c>
      <c r="J160" s="1689">
        <f t="shared" ca="1" si="87"/>
        <v>5.0835529750624975</v>
      </c>
      <c r="K160" s="1689">
        <f t="shared" ca="1" si="87"/>
        <v>6.0296241415103129</v>
      </c>
      <c r="L160" s="1689">
        <f t="shared" ca="1" si="87"/>
        <v>6.8526191183791987</v>
      </c>
      <c r="M160" s="1689">
        <f t="shared" ca="1" si="87"/>
        <v>8.0666810040263535</v>
      </c>
      <c r="N160" s="675"/>
      <c r="O160" s="1689">
        <f t="shared" ref="O160:W166" ca="1" si="88">SUMIF($C$92:$C$131,$C160,O$92:O$131)</f>
        <v>2.5941878932695968</v>
      </c>
      <c r="P160" s="1689">
        <f t="shared" ca="1" si="88"/>
        <v>2.5947115506934684</v>
      </c>
      <c r="Q160" s="1689">
        <f t="shared" ca="1" si="88"/>
        <v>2.4183286295779816</v>
      </c>
      <c r="R160" s="1689">
        <f t="shared" ca="1" si="88"/>
        <v>2.0722139738144314</v>
      </c>
      <c r="S160" s="1689">
        <f t="shared" ca="1" si="88"/>
        <v>1.7950936417230301</v>
      </c>
      <c r="T160" s="1689">
        <f t="shared" ca="1" si="88"/>
        <v>1.7193249395349044</v>
      </c>
      <c r="U160" s="1689">
        <f t="shared" ca="1" si="88"/>
        <v>1.708550141006409</v>
      </c>
      <c r="V160" s="1689">
        <f t="shared" ca="1" si="88"/>
        <v>1.698200926353749</v>
      </c>
      <c r="W160" s="1689">
        <f t="shared" ca="1" si="88"/>
        <v>1.6878437705783358</v>
      </c>
      <c r="X160" s="675"/>
      <c r="Y160" s="1689">
        <f t="shared" ref="Y160:AG166" ca="1" si="89">SUMIF($C$92:$C$131,$C160,Y$92:Y$131)</f>
        <v>135.91741487620536</v>
      </c>
      <c r="Z160" s="1689">
        <f t="shared" ca="1" si="89"/>
        <v>186.76959051269819</v>
      </c>
      <c r="AA160" s="1689">
        <f t="shared" ca="1" si="89"/>
        <v>205.32564051357127</v>
      </c>
      <c r="AB160" s="1689">
        <f t="shared" ca="1" si="89"/>
        <v>245.69019082921523</v>
      </c>
      <c r="AC160" s="1689">
        <f t="shared" ca="1" si="89"/>
        <v>309.86833964024754</v>
      </c>
      <c r="AD160" s="1689">
        <f t="shared" ca="1" si="89"/>
        <v>348.87605395954813</v>
      </c>
      <c r="AE160" s="1689">
        <f t="shared" ca="1" si="89"/>
        <v>386.42914109071427</v>
      </c>
      <c r="AF160" s="1689">
        <f t="shared" ca="1" si="89"/>
        <v>423.31481084733912</v>
      </c>
      <c r="AG160" s="1689">
        <f t="shared" ca="1" si="89"/>
        <v>470.27804094678231</v>
      </c>
      <c r="AH160" s="675"/>
      <c r="AI160" s="1689">
        <f t="shared" ref="AI160:AQ166" ca="1" si="90">SUMIF($C$92:$C$131,$C160,AI$92:AI$131)</f>
        <v>138.51160276947499</v>
      </c>
      <c r="AJ160" s="1689">
        <f t="shared" ca="1" si="90"/>
        <v>191.16182685135385</v>
      </c>
      <c r="AK160" s="1689">
        <f t="shared" ca="1" si="90"/>
        <v>211.32460556292614</v>
      </c>
      <c r="AL160" s="1689">
        <f t="shared" ca="1" si="90"/>
        <v>249.85820588681474</v>
      </c>
      <c r="AM160" s="1689">
        <f t="shared" ca="1" si="90"/>
        <v>314.56761489819485</v>
      </c>
      <c r="AN160" s="1689">
        <f t="shared" ca="1" si="90"/>
        <v>355.67893187414552</v>
      </c>
      <c r="AO160" s="1689">
        <f t="shared" ca="1" si="90"/>
        <v>394.16731537323091</v>
      </c>
      <c r="AP160" s="1689">
        <f t="shared" ca="1" si="90"/>
        <v>431.86563089207209</v>
      </c>
      <c r="AQ160" s="1689">
        <f t="shared" ca="1" si="90"/>
        <v>480.03256572138707</v>
      </c>
      <c r="AR160" s="2225"/>
      <c r="AS160" s="1706">
        <f t="shared" ref="AS160:AT166" ca="1" si="91">SUMIF($C$92:$C$131,$C160,AS$92:AS$131)</f>
        <v>307.46314442551125</v>
      </c>
      <c r="AT160" s="1706">
        <f t="shared" ca="1" si="91"/>
        <v>2158.4110951838861</v>
      </c>
      <c r="AU160" s="675"/>
      <c r="AV160" s="1699"/>
      <c r="AW160" s="1690"/>
      <c r="AX160" s="675"/>
      <c r="AY160" s="1689">
        <f t="shared" ref="AY160:BG166" ca="1" si="92">SUMIF($C$92:$C$131,$C160,AY$92:AY$131)</f>
        <v>0</v>
      </c>
      <c r="AZ160" s="1689">
        <f t="shared" ca="1" si="92"/>
        <v>1.1816368646103308</v>
      </c>
      <c r="BA160" s="1689">
        <f t="shared" ca="1" si="92"/>
        <v>2.3537989688427139</v>
      </c>
      <c r="BB160" s="1689">
        <f t="shared" ca="1" si="92"/>
        <v>1.3777144204494993</v>
      </c>
      <c r="BC160" s="1689">
        <f t="shared" ca="1" si="92"/>
        <v>1.9091186292594042</v>
      </c>
      <c r="BD160" s="1689">
        <f t="shared" ca="1" si="92"/>
        <v>3.3417695481925209</v>
      </c>
      <c r="BE160" s="1689">
        <f t="shared" ca="1" si="92"/>
        <v>3.9636872954782008</v>
      </c>
      <c r="BF160" s="1689">
        <f t="shared" ca="1" si="92"/>
        <v>4.5046985853196402</v>
      </c>
      <c r="BG160" s="1689">
        <f t="shared" ca="1" si="92"/>
        <v>5.3027850927248226</v>
      </c>
      <c r="BH160" s="675"/>
      <c r="BI160" s="1689">
        <f t="shared" ref="BI160:BQ166" ca="1" si="93">SUMIF($C$92:$C$131,$C160,BI$92:BI$131)</f>
        <v>0</v>
      </c>
      <c r="BJ160" s="1689">
        <f t="shared" ca="1" si="93"/>
        <v>1.1816368646103308</v>
      </c>
      <c r="BK160" s="1689">
        <f t="shared" ca="1" si="93"/>
        <v>3.5354358334530449</v>
      </c>
      <c r="BL160" s="1689">
        <f t="shared" ca="1" si="93"/>
        <v>4.9131502539025442</v>
      </c>
      <c r="BM160" s="1689">
        <f t="shared" ca="1" si="93"/>
        <v>5.6406320185516172</v>
      </c>
      <c r="BN160" s="1689">
        <f t="shared" ca="1" si="93"/>
        <v>6.6286025979014234</v>
      </c>
      <c r="BO160" s="1689">
        <f t="shared" ca="1" si="93"/>
        <v>9.2145754729301252</v>
      </c>
      <c r="BP160" s="1689">
        <f t="shared" ca="1" si="93"/>
        <v>11.810155428990363</v>
      </c>
      <c r="BQ160" s="1689">
        <f t="shared" ca="1" si="93"/>
        <v>13.771170973522665</v>
      </c>
      <c r="BR160" s="675"/>
      <c r="BS160" s="1701">
        <f t="shared" ref="BS160:CA166" ca="1" si="94">SUMIF($C$92:$C$131,$C160,BS$92:BS$131)</f>
        <v>138.51160276947499</v>
      </c>
      <c r="BT160" s="1701">
        <f t="shared" ca="1" si="94"/>
        <v>190.54593892800199</v>
      </c>
      <c r="BU160" s="1701">
        <f t="shared" ca="1" si="94"/>
        <v>211.27940497660217</v>
      </c>
      <c r="BV160" s="1701">
        <f t="shared" ca="1" si="94"/>
        <v>252.67555505693213</v>
      </c>
      <c r="BW160" s="1701">
        <f t="shared" ca="1" si="94"/>
        <v>317.30406530052221</v>
      </c>
      <c r="BX160" s="1701">
        <f t="shared" ca="1" si="94"/>
        <v>357.22398149698438</v>
      </c>
      <c r="BY160" s="1701">
        <f t="shared" ca="1" si="94"/>
        <v>397.35226670465073</v>
      </c>
      <c r="BZ160" s="1701">
        <f t="shared" ca="1" si="94"/>
        <v>436.82316720268318</v>
      </c>
      <c r="CA160" s="1701">
        <f t="shared" ca="1" si="94"/>
        <v>485.73705569088338</v>
      </c>
      <c r="CB160" s="2225"/>
      <c r="CC160" s="1706">
        <f t="shared" ref="CC160:CD166" ca="1" si="95">SUMIF($C$92:$C$131,$C160,CC$92:CC$131)</f>
        <v>309.71700423630409</v>
      </c>
      <c r="CD160" s="1706">
        <f t="shared" ca="1" si="95"/>
        <v>2165.8851972241832</v>
      </c>
      <c r="CE160" s="2225"/>
      <c r="CF160" s="1703">
        <f t="shared" ref="CF160:CN166" ca="1" si="96">SUMIF($C$92:$C$131,$C160,CF$92:CF$131)</f>
        <v>0</v>
      </c>
      <c r="CG160" s="1703">
        <f t="shared" ca="1" si="96"/>
        <v>-0.61588792335189024</v>
      </c>
      <c r="CH160" s="1703">
        <f t="shared" ca="1" si="96"/>
        <v>-4.5200586323819403E-2</v>
      </c>
      <c r="CI160" s="1703">
        <f t="shared" ca="1" si="96"/>
        <v>2.8173491701172564</v>
      </c>
      <c r="CJ160" s="1703">
        <f t="shared" ca="1" si="96"/>
        <v>2.7364504023273244</v>
      </c>
      <c r="CK160" s="1703">
        <f t="shared" ca="1" si="96"/>
        <v>1.5450496228389266</v>
      </c>
      <c r="CL160" s="1703">
        <f t="shared" ca="1" si="96"/>
        <v>3.1849513314198132</v>
      </c>
      <c r="CM160" s="1703">
        <f t="shared" ca="1" si="96"/>
        <v>4.9575363106111645</v>
      </c>
      <c r="CN160" s="1703">
        <f t="shared" ca="1" si="96"/>
        <v>5.7044899694963114</v>
      </c>
      <c r="CO160" s="2225"/>
      <c r="CP160" s="1706">
        <f t="shared" ref="CP160:CQ166" ca="1" si="97">SUMIF($C$92:$C$131,$C160,CP$92:CP$131)</f>
        <v>2.2538598107927874</v>
      </c>
      <c r="CQ160" s="1706">
        <f t="shared" ca="1" si="97"/>
        <v>7.474102040297927</v>
      </c>
      <c r="CR160" s="1426" t="str">
        <f t="shared" ref="CR160:CR167" ca="1" si="98">IF(ABS(CD160-CQ160-AT160)&lt;1,"ok","err")</f>
        <v>ok</v>
      </c>
    </row>
    <row r="161" spans="3:96" x14ac:dyDescent="0.2">
      <c r="C161" s="1685" t="s">
        <v>1189</v>
      </c>
      <c r="D161" s="2225"/>
      <c r="E161" s="1691">
        <f t="shared" ca="1" si="87"/>
        <v>59.283012751478495</v>
      </c>
      <c r="F161" s="1691">
        <f t="shared" ca="1" si="87"/>
        <v>84.965711086282468</v>
      </c>
      <c r="G161" s="1691">
        <f t="shared" ca="1" si="87"/>
        <v>149.9563236335448</v>
      </c>
      <c r="H161" s="1691">
        <f t="shared" ca="1" si="87"/>
        <v>118.80263719790878</v>
      </c>
      <c r="I161" s="1691">
        <f t="shared" ca="1" si="87"/>
        <v>128.99941760552153</v>
      </c>
      <c r="J161" s="1691">
        <f t="shared" ca="1" si="87"/>
        <v>133.30548441136983</v>
      </c>
      <c r="K161" s="1691">
        <f t="shared" ca="1" si="87"/>
        <v>147.03717608391801</v>
      </c>
      <c r="L161" s="1691">
        <f t="shared" ca="1" si="87"/>
        <v>202.22234838103572</v>
      </c>
      <c r="M161" s="1691">
        <f t="shared" ca="1" si="87"/>
        <v>229.78656004506178</v>
      </c>
      <c r="N161" s="675"/>
      <c r="O161" s="1691">
        <f t="shared" ca="1" si="88"/>
        <v>182.07231194192974</v>
      </c>
      <c r="P161" s="1691">
        <f t="shared" ca="1" si="88"/>
        <v>208.46736309033639</v>
      </c>
      <c r="Q161" s="1691">
        <f t="shared" ca="1" si="88"/>
        <v>241.23218489046764</v>
      </c>
      <c r="R161" s="1691">
        <f t="shared" ca="1" si="88"/>
        <v>304.10201739908319</v>
      </c>
      <c r="S161" s="1691">
        <f t="shared" ca="1" si="88"/>
        <v>329.99298486673058</v>
      </c>
      <c r="T161" s="1691">
        <f t="shared" ca="1" si="88"/>
        <v>360.96857047354172</v>
      </c>
      <c r="U161" s="1691">
        <f t="shared" ca="1" si="88"/>
        <v>391.06898271054257</v>
      </c>
      <c r="V161" s="1691">
        <f t="shared" ca="1" si="88"/>
        <v>423.27014379157242</v>
      </c>
      <c r="W161" s="1691">
        <f t="shared" ca="1" si="88"/>
        <v>454.08752316575135</v>
      </c>
      <c r="X161" s="675"/>
      <c r="Y161" s="1691">
        <f t="shared" ca="1" si="89"/>
        <v>393.92171824874561</v>
      </c>
      <c r="Z161" s="1691">
        <f t="shared" ca="1" si="89"/>
        <v>433.55785511542445</v>
      </c>
      <c r="AA161" s="1691">
        <f t="shared" ca="1" si="89"/>
        <v>480.63155651929071</v>
      </c>
      <c r="AB161" s="1691">
        <f t="shared" ca="1" si="89"/>
        <v>529.26695462718908</v>
      </c>
      <c r="AC161" s="1691">
        <f t="shared" ca="1" si="89"/>
        <v>573.38093153638749</v>
      </c>
      <c r="AD161" s="1691">
        <f t="shared" ca="1" si="89"/>
        <v>624.86938772233668</v>
      </c>
      <c r="AE161" s="1691">
        <f t="shared" ca="1" si="89"/>
        <v>676.35616493519922</v>
      </c>
      <c r="AF161" s="1691">
        <f t="shared" ca="1" si="89"/>
        <v>731.6051976898674</v>
      </c>
      <c r="AG161" s="1691">
        <f t="shared" ca="1" si="89"/>
        <v>786.37081316878334</v>
      </c>
      <c r="AH161" s="675"/>
      <c r="AI161" s="1691">
        <f t="shared" ca="1" si="90"/>
        <v>635.2770429421538</v>
      </c>
      <c r="AJ161" s="1691">
        <f t="shared" ca="1" si="90"/>
        <v>726.99092929204335</v>
      </c>
      <c r="AK161" s="1691">
        <f t="shared" ca="1" si="90"/>
        <v>871.82006504330309</v>
      </c>
      <c r="AL161" s="1691">
        <f t="shared" ca="1" si="90"/>
        <v>952.17160922418111</v>
      </c>
      <c r="AM161" s="1691">
        <f t="shared" ca="1" si="90"/>
        <v>1032.3733340086396</v>
      </c>
      <c r="AN161" s="1691">
        <f t="shared" ca="1" si="90"/>
        <v>1119.1434426072483</v>
      </c>
      <c r="AO161" s="1691">
        <f t="shared" ca="1" si="90"/>
        <v>1214.4623237296598</v>
      </c>
      <c r="AP161" s="1691">
        <f t="shared" ca="1" si="90"/>
        <v>1357.0976898624754</v>
      </c>
      <c r="AQ161" s="1691">
        <f t="shared" ca="1" si="90"/>
        <v>1470.2448963795962</v>
      </c>
      <c r="AR161" s="2225"/>
      <c r="AS161" s="1707">
        <f t="shared" ca="1" si="91"/>
        <v>1042.1757036765889</v>
      </c>
      <c r="AT161" s="1707">
        <f t="shared" ca="1" si="91"/>
        <v>7993.2851717079657</v>
      </c>
      <c r="AU161" s="675"/>
      <c r="AV161" s="1700"/>
      <c r="AW161" s="1692"/>
      <c r="AX161" s="675"/>
      <c r="AY161" s="1691">
        <f t="shared" ca="1" si="92"/>
        <v>18.906030703548375</v>
      </c>
      <c r="AZ161" s="1691">
        <f t="shared" ca="1" si="92"/>
        <v>45.194521064476135</v>
      </c>
      <c r="BA161" s="1691">
        <f t="shared" ca="1" si="92"/>
        <v>80.541320595594982</v>
      </c>
      <c r="BB161" s="1691">
        <f t="shared" ca="1" si="92"/>
        <v>63.713078800442304</v>
      </c>
      <c r="BC161" s="1691">
        <f t="shared" ca="1" si="92"/>
        <v>69.119887418680605</v>
      </c>
      <c r="BD161" s="1691">
        <f t="shared" ca="1" si="92"/>
        <v>71.315339869293439</v>
      </c>
      <c r="BE161" s="1691">
        <f t="shared" ca="1" si="92"/>
        <v>78.698169439842019</v>
      </c>
      <c r="BF161" s="1691">
        <f t="shared" ca="1" si="92"/>
        <v>108.99752763928522</v>
      </c>
      <c r="BG161" s="1691">
        <f t="shared" ca="1" si="92"/>
        <v>124.78699273184353</v>
      </c>
      <c r="BH161" s="675"/>
      <c r="BI161" s="1691">
        <f t="shared" ca="1" si="93"/>
        <v>18.906030703548375</v>
      </c>
      <c r="BJ161" s="1691">
        <f t="shared" ca="1" si="93"/>
        <v>64.100551768024516</v>
      </c>
      <c r="BK161" s="1691">
        <f t="shared" ca="1" si="93"/>
        <v>144.64187236361948</v>
      </c>
      <c r="BL161" s="1691">
        <f t="shared" ca="1" si="93"/>
        <v>208.14818003636472</v>
      </c>
      <c r="BM161" s="1691">
        <f t="shared" ca="1" si="93"/>
        <v>276.8171495328051</v>
      </c>
      <c r="BN161" s="1691">
        <f t="shared" ca="1" si="93"/>
        <v>347.57075559438744</v>
      </c>
      <c r="BO161" s="1691">
        <f t="shared" ca="1" si="93"/>
        <v>405.88323723310197</v>
      </c>
      <c r="BP161" s="1691">
        <f t="shared" ca="1" si="93"/>
        <v>515.12400887013268</v>
      </c>
      <c r="BQ161" s="1691">
        <f t="shared" ca="1" si="93"/>
        <v>567.57392583277033</v>
      </c>
      <c r="BR161" s="675"/>
      <c r="BS161" s="1702">
        <f t="shared" ca="1" si="94"/>
        <v>594.90006089422366</v>
      </c>
      <c r="BT161" s="1702">
        <f t="shared" ca="1" si="94"/>
        <v>706.12576997378528</v>
      </c>
      <c r="BU161" s="1702">
        <f t="shared" ca="1" si="94"/>
        <v>866.50561377337783</v>
      </c>
      <c r="BV161" s="1702">
        <f t="shared" ca="1" si="94"/>
        <v>1041.517152062637</v>
      </c>
      <c r="BW161" s="1702">
        <f t="shared" ca="1" si="94"/>
        <v>1180.1910659359232</v>
      </c>
      <c r="BX161" s="1702">
        <f t="shared" ca="1" si="94"/>
        <v>1333.4087137902659</v>
      </c>
      <c r="BY161" s="1702">
        <f t="shared" ca="1" si="94"/>
        <v>1473.308384878844</v>
      </c>
      <c r="BZ161" s="1702">
        <f t="shared" ca="1" si="94"/>
        <v>1669.9993503515725</v>
      </c>
      <c r="CA161" s="1702">
        <f t="shared" ca="1" si="94"/>
        <v>1808.0322621673049</v>
      </c>
      <c r="CB161" s="2225"/>
      <c r="CC161" s="1707">
        <f t="shared" ca="1" si="95"/>
        <v>1185.9987082031039</v>
      </c>
      <c r="CD161" s="1707">
        <f t="shared" ca="1" si="95"/>
        <v>8417.1013004255183</v>
      </c>
      <c r="CE161" s="2225"/>
      <c r="CF161" s="1704">
        <f t="shared" ca="1" si="96"/>
        <v>-40.37698204793012</v>
      </c>
      <c r="CG161" s="1704">
        <f t="shared" ca="1" si="96"/>
        <v>-20.865159318257952</v>
      </c>
      <c r="CH161" s="1704">
        <f t="shared" ca="1" si="96"/>
        <v>-5.3144512699253044</v>
      </c>
      <c r="CI161" s="1704">
        <f t="shared" ca="1" si="96"/>
        <v>89.345542838455927</v>
      </c>
      <c r="CJ161" s="1704">
        <f t="shared" ca="1" si="96"/>
        <v>147.81773192728363</v>
      </c>
      <c r="CK161" s="1704">
        <f t="shared" ca="1" si="96"/>
        <v>214.26527118301763</v>
      </c>
      <c r="CL161" s="1704">
        <f t="shared" ca="1" si="96"/>
        <v>258.84606114918398</v>
      </c>
      <c r="CM161" s="1704">
        <f t="shared" ca="1" si="96"/>
        <v>312.90166048909703</v>
      </c>
      <c r="CN161" s="1704">
        <f t="shared" ca="1" si="96"/>
        <v>337.7873657877085</v>
      </c>
      <c r="CO161" s="2225"/>
      <c r="CP161" s="1707">
        <f t="shared" ca="1" si="97"/>
        <v>143.82300452651481</v>
      </c>
      <c r="CQ161" s="1707">
        <f t="shared" ca="1" si="97"/>
        <v>423.81612871755215</v>
      </c>
      <c r="CR161" s="1426" t="str">
        <f t="shared" ca="1" si="98"/>
        <v>ok</v>
      </c>
    </row>
    <row r="162" spans="3:96" x14ac:dyDescent="0.2">
      <c r="C162" s="1683" t="s">
        <v>4</v>
      </c>
      <c r="D162" s="2225"/>
      <c r="E162" s="1689">
        <f t="shared" ca="1" si="87"/>
        <v>13.720273065219541</v>
      </c>
      <c r="F162" s="1689">
        <f t="shared" ca="1" si="87"/>
        <v>16.846702584775372</v>
      </c>
      <c r="G162" s="1689">
        <f t="shared" ca="1" si="87"/>
        <v>77.860039442757625</v>
      </c>
      <c r="H162" s="1689">
        <f t="shared" ca="1" si="87"/>
        <v>141.04327943679093</v>
      </c>
      <c r="I162" s="1689">
        <f t="shared" ca="1" si="87"/>
        <v>197.08761784084555</v>
      </c>
      <c r="J162" s="1689">
        <f t="shared" ca="1" si="87"/>
        <v>296.0104890647811</v>
      </c>
      <c r="K162" s="1689">
        <f t="shared" ca="1" si="87"/>
        <v>340.52749811366044</v>
      </c>
      <c r="L162" s="1689">
        <f t="shared" ca="1" si="87"/>
        <v>497.75546770156944</v>
      </c>
      <c r="M162" s="1689">
        <f t="shared" ca="1" si="87"/>
        <v>698.06841134026115</v>
      </c>
      <c r="N162" s="675"/>
      <c r="O162" s="1689">
        <f t="shared" ca="1" si="88"/>
        <v>28.6902379908719</v>
      </c>
      <c r="P162" s="1689">
        <f t="shared" ca="1" si="88"/>
        <v>22.145770633341954</v>
      </c>
      <c r="Q162" s="1689">
        <f t="shared" ca="1" si="88"/>
        <v>23.896199372309486</v>
      </c>
      <c r="R162" s="1689">
        <f t="shared" ca="1" si="88"/>
        <v>25.55489101848918</v>
      </c>
      <c r="S162" s="1689">
        <f t="shared" ca="1" si="88"/>
        <v>27.202222962492094</v>
      </c>
      <c r="T162" s="1689">
        <f t="shared" ca="1" si="88"/>
        <v>28.259486883551975</v>
      </c>
      <c r="U162" s="1689">
        <f t="shared" ca="1" si="88"/>
        <v>29.231205749876779</v>
      </c>
      <c r="V162" s="1689">
        <f t="shared" ca="1" si="88"/>
        <v>30.881710728965064</v>
      </c>
      <c r="W162" s="1689">
        <f t="shared" ca="1" si="88"/>
        <v>33.299051357102528</v>
      </c>
      <c r="X162" s="675"/>
      <c r="Y162" s="1689">
        <f t="shared" ca="1" si="89"/>
        <v>0</v>
      </c>
      <c r="Z162" s="1689">
        <f t="shared" ca="1" si="89"/>
        <v>0</v>
      </c>
      <c r="AA162" s="1689">
        <f t="shared" ca="1" si="89"/>
        <v>0</v>
      </c>
      <c r="AB162" s="1689">
        <f t="shared" ca="1" si="89"/>
        <v>1.2356839988580861</v>
      </c>
      <c r="AC162" s="1689">
        <f t="shared" ca="1" si="89"/>
        <v>2.3477995978303632</v>
      </c>
      <c r="AD162" s="1689">
        <f t="shared" ca="1" si="89"/>
        <v>4.5720307957749196</v>
      </c>
      <c r="AE162" s="1689">
        <f t="shared" ca="1" si="89"/>
        <v>8.7733563918924116</v>
      </c>
      <c r="AF162" s="1689">
        <f t="shared" ca="1" si="89"/>
        <v>16.92887078435578</v>
      </c>
      <c r="AG162" s="1689">
        <f t="shared" ca="1" si="89"/>
        <v>32.745625969739287</v>
      </c>
      <c r="AH162" s="675"/>
      <c r="AI162" s="1689">
        <f t="shared" ca="1" si="90"/>
        <v>42.410511056091437</v>
      </c>
      <c r="AJ162" s="1689">
        <f t="shared" ca="1" si="90"/>
        <v>38.992473218117325</v>
      </c>
      <c r="AK162" s="1689">
        <f t="shared" ca="1" si="90"/>
        <v>101.75623881506711</v>
      </c>
      <c r="AL162" s="1689">
        <f t="shared" ca="1" si="90"/>
        <v>167.83385445413819</v>
      </c>
      <c r="AM162" s="1689">
        <f t="shared" ca="1" si="90"/>
        <v>226.63764040116797</v>
      </c>
      <c r="AN162" s="1689">
        <f t="shared" ca="1" si="90"/>
        <v>328.84200674410806</v>
      </c>
      <c r="AO162" s="1689">
        <f t="shared" ca="1" si="90"/>
        <v>378.53206025542966</v>
      </c>
      <c r="AP162" s="1689">
        <f t="shared" ca="1" si="90"/>
        <v>545.56604921489031</v>
      </c>
      <c r="AQ162" s="1689">
        <f t="shared" ca="1" si="90"/>
        <v>764.11308866710294</v>
      </c>
      <c r="AR162" s="2225"/>
      <c r="AS162" s="1706">
        <f t="shared" ca="1" si="91"/>
        <v>288.29821364734585</v>
      </c>
      <c r="AT162" s="1706">
        <f t="shared" ca="1" si="91"/>
        <v>1286.9453394529098</v>
      </c>
      <c r="AU162" s="675"/>
      <c r="AV162" s="1699"/>
      <c r="AW162" s="1690"/>
      <c r="AX162" s="675"/>
      <c r="AY162" s="1689">
        <f t="shared" ca="1" si="92"/>
        <v>5.4115683594314898</v>
      </c>
      <c r="AZ162" s="1689">
        <f t="shared" ca="1" si="92"/>
        <v>10.547852897718798</v>
      </c>
      <c r="BA162" s="1689">
        <f t="shared" ca="1" si="92"/>
        <v>49.957717149051582</v>
      </c>
      <c r="BB162" s="1689">
        <f t="shared" ca="1" si="92"/>
        <v>87.93214264278464</v>
      </c>
      <c r="BC162" s="1689">
        <f t="shared" ca="1" si="92"/>
        <v>123.09334889111997</v>
      </c>
      <c r="BD162" s="1689">
        <f t="shared" ca="1" si="92"/>
        <v>184.13184112963404</v>
      </c>
      <c r="BE162" s="1689">
        <f t="shared" ca="1" si="92"/>
        <v>208.31013787638631</v>
      </c>
      <c r="BF162" s="1689">
        <f t="shared" ca="1" si="92"/>
        <v>303.45540749568556</v>
      </c>
      <c r="BG162" s="1689">
        <f t="shared" ca="1" si="92"/>
        <v>421.06731736841419</v>
      </c>
      <c r="BH162" s="675"/>
      <c r="BI162" s="1689">
        <f t="shared" ca="1" si="93"/>
        <v>5.4115683594314898</v>
      </c>
      <c r="BJ162" s="1689">
        <f t="shared" ca="1" si="93"/>
        <v>15.959421257150289</v>
      </c>
      <c r="BK162" s="1689">
        <f t="shared" ca="1" si="93"/>
        <v>65.917138406201872</v>
      </c>
      <c r="BL162" s="1689">
        <f t="shared" ca="1" si="93"/>
        <v>148.43771268955501</v>
      </c>
      <c r="BM162" s="1689">
        <f t="shared" ca="1" si="93"/>
        <v>265.39728564827681</v>
      </c>
      <c r="BN162" s="1689">
        <f t="shared" ca="1" si="93"/>
        <v>405.40764677538453</v>
      </c>
      <c r="BO162" s="1689">
        <f t="shared" ca="1" si="93"/>
        <v>547.42996189944449</v>
      </c>
      <c r="BP162" s="1689">
        <f t="shared" ca="1" si="93"/>
        <v>797.63483227833046</v>
      </c>
      <c r="BQ162" s="1689">
        <f t="shared" ca="1" si="93"/>
        <v>1028.5995821045549</v>
      </c>
      <c r="BR162" s="675"/>
      <c r="BS162" s="1701">
        <f t="shared" ca="1" si="94"/>
        <v>34.101806350303391</v>
      </c>
      <c r="BT162" s="1701">
        <f t="shared" ca="1" si="94"/>
        <v>38.105191890492243</v>
      </c>
      <c r="BU162" s="1701">
        <f t="shared" ca="1" si="94"/>
        <v>89.813337778511368</v>
      </c>
      <c r="BV162" s="1701">
        <f t="shared" ca="1" si="94"/>
        <v>175.22828770690228</v>
      </c>
      <c r="BW162" s="1701">
        <f t="shared" ca="1" si="94"/>
        <v>294.94730820859928</v>
      </c>
      <c r="BX162" s="1701">
        <f t="shared" ca="1" si="94"/>
        <v>438.23916445471144</v>
      </c>
      <c r="BY162" s="1701">
        <f t="shared" ca="1" si="94"/>
        <v>585.43452404121376</v>
      </c>
      <c r="BZ162" s="1701">
        <f t="shared" ca="1" si="94"/>
        <v>845.44541379165128</v>
      </c>
      <c r="CA162" s="1701">
        <f t="shared" ca="1" si="94"/>
        <v>1094.6442594313964</v>
      </c>
      <c r="CB162" s="2225"/>
      <c r="CC162" s="1706">
        <f t="shared" ca="1" si="95"/>
        <v>399.55103262819802</v>
      </c>
      <c r="CD162" s="1706">
        <f t="shared" ca="1" si="95"/>
        <v>1566.8468673798243</v>
      </c>
      <c r="CE162" s="2225"/>
      <c r="CF162" s="1703">
        <f t="shared" ca="1" si="96"/>
        <v>-8.3087047057880508</v>
      </c>
      <c r="CG162" s="1703">
        <f t="shared" ca="1" si="96"/>
        <v>-0.88728132762508327</v>
      </c>
      <c r="CH162" s="1703">
        <f t="shared" ca="1" si="96"/>
        <v>-11.942901036555744</v>
      </c>
      <c r="CI162" s="1703">
        <f t="shared" ca="1" si="96"/>
        <v>7.3944332527640766</v>
      </c>
      <c r="CJ162" s="1703">
        <f t="shared" ca="1" si="96"/>
        <v>68.309667807431282</v>
      </c>
      <c r="CK162" s="1703">
        <f t="shared" ca="1" si="96"/>
        <v>109.39715771060338</v>
      </c>
      <c r="CL162" s="1703">
        <f t="shared" ca="1" si="96"/>
        <v>206.90246378578397</v>
      </c>
      <c r="CM162" s="1703">
        <f t="shared" ca="1" si="96"/>
        <v>299.87936457676091</v>
      </c>
      <c r="CN162" s="1703">
        <f t="shared" ca="1" si="96"/>
        <v>330.53117076429373</v>
      </c>
      <c r="CO162" s="2225"/>
      <c r="CP162" s="1706">
        <f t="shared" ca="1" si="97"/>
        <v>111.25281898085208</v>
      </c>
      <c r="CQ162" s="1706">
        <f t="shared" ca="1" si="97"/>
        <v>279.90152792691441</v>
      </c>
      <c r="CR162" s="1426" t="str">
        <f t="shared" ca="1" si="98"/>
        <v>ok</v>
      </c>
    </row>
    <row r="163" spans="3:96" x14ac:dyDescent="0.2">
      <c r="C163" s="1685" t="s">
        <v>1974</v>
      </c>
      <c r="D163" s="2225"/>
      <c r="E163" s="1691">
        <f t="shared" ca="1" si="87"/>
        <v>19.408851902469713</v>
      </c>
      <c r="F163" s="1691">
        <f t="shared" ca="1" si="87"/>
        <v>87.614071993378985</v>
      </c>
      <c r="G163" s="1691">
        <f t="shared" ca="1" si="87"/>
        <v>139.46705171430861</v>
      </c>
      <c r="H163" s="1691">
        <f t="shared" ca="1" si="87"/>
        <v>206.41228839679732</v>
      </c>
      <c r="I163" s="1691">
        <f t="shared" ca="1" si="87"/>
        <v>289.88832664022959</v>
      </c>
      <c r="J163" s="1691">
        <f t="shared" ca="1" si="87"/>
        <v>312.29687498049725</v>
      </c>
      <c r="K163" s="1691">
        <f t="shared" ca="1" si="87"/>
        <v>385.75554664219214</v>
      </c>
      <c r="L163" s="1691">
        <f t="shared" ca="1" si="87"/>
        <v>471.23091480525085</v>
      </c>
      <c r="M163" s="1691">
        <f t="shared" ca="1" si="87"/>
        <v>-834.05967792103695</v>
      </c>
      <c r="N163" s="675"/>
      <c r="O163" s="1691">
        <f t="shared" ca="1" si="88"/>
        <v>0.61273183993859059</v>
      </c>
      <c r="P163" s="1691">
        <f t="shared" ca="1" si="88"/>
        <v>5.3375872411319882</v>
      </c>
      <c r="Q163" s="1691">
        <f t="shared" ca="1" si="88"/>
        <v>8.5102590719776714</v>
      </c>
      <c r="R163" s="1691">
        <f t="shared" ca="1" si="88"/>
        <v>13.161165406150946</v>
      </c>
      <c r="S163" s="1691">
        <f t="shared" ca="1" si="88"/>
        <v>19.494019812940781</v>
      </c>
      <c r="T163" s="1691">
        <f t="shared" ca="1" si="88"/>
        <v>24.943611203310827</v>
      </c>
      <c r="U163" s="1691">
        <f t="shared" ca="1" si="88"/>
        <v>31.526355038032253</v>
      </c>
      <c r="V163" s="1691">
        <f t="shared" ca="1" si="88"/>
        <v>39.34893488056818</v>
      </c>
      <c r="W163" s="1691">
        <f t="shared" ca="1" si="88"/>
        <v>0</v>
      </c>
      <c r="X163" s="675"/>
      <c r="Y163" s="1691">
        <f t="shared" ca="1" si="89"/>
        <v>0</v>
      </c>
      <c r="Z163" s="1691">
        <f t="shared" ca="1" si="89"/>
        <v>0</v>
      </c>
      <c r="AA163" s="1691">
        <f t="shared" ca="1" si="89"/>
        <v>0</v>
      </c>
      <c r="AB163" s="1691">
        <f t="shared" ca="1" si="89"/>
        <v>0</v>
      </c>
      <c r="AC163" s="1691">
        <f t="shared" ca="1" si="89"/>
        <v>0</v>
      </c>
      <c r="AD163" s="1691">
        <f t="shared" ca="1" si="89"/>
        <v>0</v>
      </c>
      <c r="AE163" s="1691">
        <f t="shared" ca="1" si="89"/>
        <v>0</v>
      </c>
      <c r="AF163" s="1691">
        <f t="shared" ca="1" si="89"/>
        <v>0</v>
      </c>
      <c r="AG163" s="1691">
        <f t="shared" ca="1" si="89"/>
        <v>0</v>
      </c>
      <c r="AH163" s="675"/>
      <c r="AI163" s="1691">
        <f t="shared" ca="1" si="90"/>
        <v>20.021583742408307</v>
      </c>
      <c r="AJ163" s="1691">
        <f t="shared" ca="1" si="90"/>
        <v>92.95165923451097</v>
      </c>
      <c r="AK163" s="1691">
        <f t="shared" ca="1" si="90"/>
        <v>147.97731078628627</v>
      </c>
      <c r="AL163" s="1691">
        <f t="shared" ca="1" si="90"/>
        <v>219.57345380294825</v>
      </c>
      <c r="AM163" s="1691">
        <f t="shared" ca="1" si="90"/>
        <v>309.38234645317038</v>
      </c>
      <c r="AN163" s="1691">
        <f t="shared" ca="1" si="90"/>
        <v>337.24048618380812</v>
      </c>
      <c r="AO163" s="1691">
        <f t="shared" ca="1" si="90"/>
        <v>417.28190168022439</v>
      </c>
      <c r="AP163" s="1691">
        <f t="shared" ca="1" si="90"/>
        <v>510.579849685819</v>
      </c>
      <c r="AQ163" s="1691">
        <f t="shared" ca="1" si="90"/>
        <v>-834.05967792103695</v>
      </c>
      <c r="AR163" s="2225"/>
      <c r="AS163" s="1707">
        <f t="shared" ca="1" si="91"/>
        <v>135.66099040534877</v>
      </c>
      <c r="AT163" s="1707">
        <f t="shared" ca="1" si="91"/>
        <v>1310.1847429420889</v>
      </c>
      <c r="AU163" s="675"/>
      <c r="AV163" s="1700"/>
      <c r="AW163" s="1692"/>
      <c r="AX163" s="675"/>
      <c r="AY163" s="1691">
        <f t="shared" ca="1" si="92"/>
        <v>6.8392693851900113</v>
      </c>
      <c r="AZ163" s="1691">
        <f t="shared" ca="1" si="92"/>
        <v>52.021010047820681</v>
      </c>
      <c r="BA163" s="1691">
        <f t="shared" ca="1" si="92"/>
        <v>82.547967197677067</v>
      </c>
      <c r="BB163" s="1691">
        <f t="shared" ca="1" si="92"/>
        <v>121.95280742341367</v>
      </c>
      <c r="BC163" s="1691">
        <f t="shared" ca="1" si="92"/>
        <v>171.06277685649761</v>
      </c>
      <c r="BD163" s="1691">
        <f t="shared" ca="1" si="92"/>
        <v>184.37504694001208</v>
      </c>
      <c r="BE163" s="1691">
        <f t="shared" ca="1" si="92"/>
        <v>227.60739308781709</v>
      </c>
      <c r="BF163" s="1691">
        <f t="shared" ca="1" si="92"/>
        <v>277.9488849149804</v>
      </c>
      <c r="BG163" s="1691">
        <f t="shared" ca="1" si="92"/>
        <v>-488.4809995781323</v>
      </c>
      <c r="BH163" s="675"/>
      <c r="BI163" s="1691">
        <f t="shared" ca="1" si="93"/>
        <v>6.8392693851900113</v>
      </c>
      <c r="BJ163" s="1691">
        <f t="shared" ca="1" si="93"/>
        <v>58.860279433010696</v>
      </c>
      <c r="BK163" s="1691">
        <f t="shared" ca="1" si="93"/>
        <v>141.40824663068776</v>
      </c>
      <c r="BL163" s="1691">
        <f t="shared" ca="1" si="93"/>
        <v>263.36105405410143</v>
      </c>
      <c r="BM163" s="1691">
        <f t="shared" ca="1" si="93"/>
        <v>422.27998016732118</v>
      </c>
      <c r="BN163" s="1691">
        <f t="shared" ca="1" si="93"/>
        <v>553.94166753796594</v>
      </c>
      <c r="BO163" s="1691">
        <f t="shared" ca="1" si="93"/>
        <v>698.17525568331348</v>
      </c>
      <c r="BP163" s="1691">
        <f t="shared" ca="1" si="93"/>
        <v>1016.8230761432407</v>
      </c>
      <c r="BQ163" s="1691">
        <f t="shared" ca="1" si="93"/>
        <v>192.40957795201396</v>
      </c>
      <c r="BR163" s="675"/>
      <c r="BS163" s="1702">
        <f t="shared" ca="1" si="94"/>
        <v>7.4520012251286021</v>
      </c>
      <c r="BT163" s="1702">
        <f t="shared" ca="1" si="94"/>
        <v>64.197866674142674</v>
      </c>
      <c r="BU163" s="1702">
        <f t="shared" ca="1" si="94"/>
        <v>149.91850570266541</v>
      </c>
      <c r="BV163" s="1702">
        <f t="shared" ca="1" si="94"/>
        <v>276.52221946025236</v>
      </c>
      <c r="BW163" s="1702">
        <f t="shared" ca="1" si="94"/>
        <v>441.77399998026198</v>
      </c>
      <c r="BX163" s="1702">
        <f t="shared" ca="1" si="94"/>
        <v>578.88527874127669</v>
      </c>
      <c r="BY163" s="1702">
        <f t="shared" ca="1" si="94"/>
        <v>729.70161072134579</v>
      </c>
      <c r="BZ163" s="1702">
        <f t="shared" ca="1" si="94"/>
        <v>1056.1720110238089</v>
      </c>
      <c r="CA163" s="1702">
        <f t="shared" ca="1" si="94"/>
        <v>192.40957795201396</v>
      </c>
      <c r="CB163" s="2225"/>
      <c r="CC163" s="1707">
        <f t="shared" ca="1" si="95"/>
        <v>388.55923016454398</v>
      </c>
      <c r="CD163" s="1707">
        <f t="shared" ca="1" si="95"/>
        <v>1933.3998794823403</v>
      </c>
      <c r="CE163" s="2225"/>
      <c r="CF163" s="1704">
        <f t="shared" ca="1" si="96"/>
        <v>-12.569582517279704</v>
      </c>
      <c r="CG163" s="1704">
        <f t="shared" ca="1" si="96"/>
        <v>-28.753792560368293</v>
      </c>
      <c r="CH163" s="1704">
        <f t="shared" ca="1" si="96"/>
        <v>1.9411949163791427</v>
      </c>
      <c r="CI163" s="1704">
        <f t="shared" ca="1" si="96"/>
        <v>56.948765657304136</v>
      </c>
      <c r="CJ163" s="1704">
        <f t="shared" ca="1" si="96"/>
        <v>132.39165352709156</v>
      </c>
      <c r="CK163" s="1704">
        <f t="shared" ca="1" si="96"/>
        <v>241.64479255746866</v>
      </c>
      <c r="CL163" s="1704">
        <f t="shared" ca="1" si="96"/>
        <v>312.41970904112128</v>
      </c>
      <c r="CM163" s="1704">
        <f t="shared" ca="1" si="96"/>
        <v>545.59216133798986</v>
      </c>
      <c r="CN163" s="1704">
        <f t="shared" ca="1" si="96"/>
        <v>1026.469255873051</v>
      </c>
      <c r="CO163" s="2225"/>
      <c r="CP163" s="1707">
        <f t="shared" ca="1" si="97"/>
        <v>252.89823975919526</v>
      </c>
      <c r="CQ163" s="1707">
        <f t="shared" ca="1" si="97"/>
        <v>623.21513654025114</v>
      </c>
      <c r="CR163" s="1426" t="str">
        <f t="shared" ca="1" si="98"/>
        <v>ok</v>
      </c>
    </row>
    <row r="164" spans="3:96" x14ac:dyDescent="0.2">
      <c r="C164" s="1683" t="s">
        <v>125</v>
      </c>
      <c r="D164" s="2225"/>
      <c r="E164" s="1689">
        <f t="shared" ca="1" si="87"/>
        <v>0.32716292795352847</v>
      </c>
      <c r="F164" s="1689">
        <f t="shared" ca="1" si="87"/>
        <v>1762.6728054866414</v>
      </c>
      <c r="G164" s="1689">
        <f t="shared" ca="1" si="87"/>
        <v>1100.7305405071204</v>
      </c>
      <c r="H164" s="1689">
        <f t="shared" ca="1" si="87"/>
        <v>1341.8902692182301</v>
      </c>
      <c r="I164" s="1689">
        <f t="shared" ca="1" si="87"/>
        <v>1629.8594914015405</v>
      </c>
      <c r="J164" s="1689">
        <f t="shared" ca="1" si="87"/>
        <v>1973.397940310984</v>
      </c>
      <c r="K164" s="1689">
        <f t="shared" ca="1" si="87"/>
        <v>2256.8421969847614</v>
      </c>
      <c r="L164" s="1689">
        <f t="shared" ca="1" si="87"/>
        <v>2652.176551275551</v>
      </c>
      <c r="M164" s="1689">
        <f t="shared" ca="1" si="87"/>
        <v>3109.955894556203</v>
      </c>
      <c r="N164" s="675"/>
      <c r="O164" s="1689">
        <f t="shared" ca="1" si="88"/>
        <v>1562.2660726725089</v>
      </c>
      <c r="P164" s="1689">
        <f t="shared" ca="1" si="88"/>
        <v>18293.336702643632</v>
      </c>
      <c r="Q164" s="1689">
        <f t="shared" ca="1" si="88"/>
        <v>21954.713308425878</v>
      </c>
      <c r="R164" s="1689">
        <f t="shared" ca="1" si="88"/>
        <v>26285.067062435672</v>
      </c>
      <c r="S164" s="1689">
        <f t="shared" ca="1" si="88"/>
        <v>31379.580526111047</v>
      </c>
      <c r="T164" s="1689">
        <f t="shared" ca="1" si="88"/>
        <v>37351.399842893603</v>
      </c>
      <c r="U164" s="1689">
        <f t="shared" ca="1" si="88"/>
        <v>43260.701263184346</v>
      </c>
      <c r="V164" s="1689">
        <f t="shared" ca="1" si="88"/>
        <v>49963.162313484667</v>
      </c>
      <c r="W164" s="1689">
        <f t="shared" ca="1" si="88"/>
        <v>57547.020268053973</v>
      </c>
      <c r="X164" s="675"/>
      <c r="Y164" s="1689">
        <f t="shared" ca="1" si="89"/>
        <v>0</v>
      </c>
      <c r="Z164" s="1689">
        <f t="shared" ca="1" si="89"/>
        <v>0</v>
      </c>
      <c r="AA164" s="1689">
        <f t="shared" ca="1" si="89"/>
        <v>0</v>
      </c>
      <c r="AB164" s="1689">
        <f t="shared" ca="1" si="89"/>
        <v>0</v>
      </c>
      <c r="AC164" s="1689">
        <f t="shared" ca="1" si="89"/>
        <v>0</v>
      </c>
      <c r="AD164" s="1689">
        <f t="shared" ca="1" si="89"/>
        <v>0</v>
      </c>
      <c r="AE164" s="1689">
        <f t="shared" ca="1" si="89"/>
        <v>0</v>
      </c>
      <c r="AF164" s="1689">
        <f t="shared" ca="1" si="89"/>
        <v>0</v>
      </c>
      <c r="AG164" s="1689">
        <f t="shared" ca="1" si="89"/>
        <v>0</v>
      </c>
      <c r="AH164" s="675"/>
      <c r="AI164" s="1689">
        <f t="shared" ca="1" si="90"/>
        <v>1562.5932356004623</v>
      </c>
      <c r="AJ164" s="1689">
        <f t="shared" ca="1" si="90"/>
        <v>20056.009508130275</v>
      </c>
      <c r="AK164" s="1689">
        <f t="shared" ca="1" si="90"/>
        <v>23055.443848933002</v>
      </c>
      <c r="AL164" s="1689">
        <f t="shared" ca="1" si="90"/>
        <v>27626.957331653899</v>
      </c>
      <c r="AM164" s="1689">
        <f t="shared" ca="1" si="90"/>
        <v>33009.440017512592</v>
      </c>
      <c r="AN164" s="1689">
        <f t="shared" ca="1" si="90"/>
        <v>39324.79778320458</v>
      </c>
      <c r="AO164" s="1689">
        <f t="shared" ca="1" si="90"/>
        <v>45517.543460169109</v>
      </c>
      <c r="AP164" s="1689">
        <f t="shared" ca="1" si="90"/>
        <v>52615.338864760211</v>
      </c>
      <c r="AQ164" s="1689">
        <f t="shared" ca="1" si="90"/>
        <v>60656.976162610183</v>
      </c>
      <c r="AR164" s="2225"/>
      <c r="AS164" s="1706">
        <f t="shared" ca="1" si="91"/>
        <v>33713.900023619361</v>
      </c>
      <c r="AT164" s="1706">
        <f t="shared" ca="1" si="91"/>
        <v>223003.00644510475</v>
      </c>
      <c r="AU164" s="675"/>
      <c r="AV164" s="1699"/>
      <c r="AW164" s="1690"/>
      <c r="AX164" s="675"/>
      <c r="AY164" s="1689">
        <f t="shared" ca="1" si="92"/>
        <v>0.12904003738674491</v>
      </c>
      <c r="AZ164" s="1689">
        <f t="shared" ca="1" si="92"/>
        <v>1158.845722477271</v>
      </c>
      <c r="BA164" s="1689">
        <f t="shared" ca="1" si="92"/>
        <v>723.71098148603642</v>
      </c>
      <c r="BB164" s="1689">
        <f t="shared" ca="1" si="92"/>
        <v>882.27827264132941</v>
      </c>
      <c r="BC164" s="1689">
        <f t="shared" ca="1" si="92"/>
        <v>1071.6257693114358</v>
      </c>
      <c r="BD164" s="1689">
        <f t="shared" ca="1" si="92"/>
        <v>1297.5119731754764</v>
      </c>
      <c r="BE164" s="1689">
        <f t="shared" ca="1" si="92"/>
        <v>1483.8989306721783</v>
      </c>
      <c r="BF164" s="1689">
        <f t="shared" ca="1" si="92"/>
        <v>1743.8460386268252</v>
      </c>
      <c r="BG164" s="1689">
        <f t="shared" ca="1" si="92"/>
        <v>2044.850912056085</v>
      </c>
      <c r="BH164" s="675"/>
      <c r="BI164" s="1689">
        <f t="shared" ca="1" si="93"/>
        <v>0.12904003738674491</v>
      </c>
      <c r="BJ164" s="1689">
        <f t="shared" ca="1" si="93"/>
        <v>1158.9747625146579</v>
      </c>
      <c r="BK164" s="1689">
        <f t="shared" ca="1" si="93"/>
        <v>1882.4475779314216</v>
      </c>
      <c r="BL164" s="1689">
        <f t="shared" ca="1" si="93"/>
        <v>2764.2768658807545</v>
      </c>
      <c r="BM164" s="1689">
        <f t="shared" ca="1" si="93"/>
        <v>2676.8759754686266</v>
      </c>
      <c r="BN164" s="1689">
        <f t="shared" ca="1" si="93"/>
        <v>3250.6064638321322</v>
      </c>
      <c r="BO164" s="1689">
        <f t="shared" ca="1" si="93"/>
        <v>3852.1676275523578</v>
      </c>
      <c r="BP164" s="1689">
        <f t="shared" ca="1" si="93"/>
        <v>4524.6280626639191</v>
      </c>
      <c r="BQ164" s="1689">
        <f t="shared" ca="1" si="93"/>
        <v>5271.8362256682558</v>
      </c>
      <c r="BR164" s="675"/>
      <c r="BS164" s="1701">
        <f t="shared" ca="1" si="94"/>
        <v>1562.3951127098956</v>
      </c>
      <c r="BT164" s="1701">
        <f t="shared" ca="1" si="94"/>
        <v>19452.311465158287</v>
      </c>
      <c r="BU164" s="1701">
        <f t="shared" ca="1" si="94"/>
        <v>23837.160886357306</v>
      </c>
      <c r="BV164" s="1701">
        <f t="shared" ca="1" si="94"/>
        <v>29049.343928316423</v>
      </c>
      <c r="BW164" s="1701">
        <f t="shared" ca="1" si="94"/>
        <v>34056.456501579669</v>
      </c>
      <c r="BX164" s="1701">
        <f t="shared" ca="1" si="94"/>
        <v>40602.006306725722</v>
      </c>
      <c r="BY164" s="1701">
        <f t="shared" ca="1" si="94"/>
        <v>47112.868890736703</v>
      </c>
      <c r="BZ164" s="1701">
        <f t="shared" ca="1" si="94"/>
        <v>54487.790376148572</v>
      </c>
      <c r="CA164" s="1701">
        <f t="shared" ca="1" si="94"/>
        <v>62818.856493722225</v>
      </c>
      <c r="CB164" s="2225"/>
      <c r="CC164" s="1706">
        <f t="shared" ca="1" si="95"/>
        <v>34775.465551272762</v>
      </c>
      <c r="CD164" s="1706">
        <f t="shared" ca="1" si="95"/>
        <v>227086.49580476063</v>
      </c>
      <c r="CE164" s="2225"/>
      <c r="CF164" s="1703">
        <f t="shared" ca="1" si="96"/>
        <v>-0.19812289056678356</v>
      </c>
      <c r="CG164" s="1703">
        <f t="shared" ca="1" si="96"/>
        <v>-603.69804297198391</v>
      </c>
      <c r="CH164" s="1703">
        <f t="shared" ca="1" si="96"/>
        <v>781.71703742430145</v>
      </c>
      <c r="CI164" s="1703">
        <f t="shared" ca="1" si="96"/>
        <v>1422.3865966625235</v>
      </c>
      <c r="CJ164" s="1703">
        <f t="shared" ca="1" si="96"/>
        <v>1047.0164840670861</v>
      </c>
      <c r="CK164" s="1703">
        <f t="shared" ca="1" si="96"/>
        <v>1277.2085235211484</v>
      </c>
      <c r="CL164" s="1703">
        <f t="shared" ca="1" si="96"/>
        <v>1595.3254305675964</v>
      </c>
      <c r="CM164" s="1703">
        <f t="shared" ca="1" si="96"/>
        <v>1872.4515113883695</v>
      </c>
      <c r="CN164" s="1703">
        <f t="shared" ca="1" si="96"/>
        <v>2161.8803311120519</v>
      </c>
      <c r="CO164" s="2225"/>
      <c r="CP164" s="1706">
        <f t="shared" ca="1" si="97"/>
        <v>1061.5655276533919</v>
      </c>
      <c r="CQ164" s="1706">
        <f t="shared" ca="1" si="97"/>
        <v>4083.4893596558777</v>
      </c>
      <c r="CR164" s="1426" t="str">
        <f t="shared" ca="1" si="98"/>
        <v>ok</v>
      </c>
    </row>
    <row r="165" spans="3:96" x14ac:dyDescent="0.2">
      <c r="C165" s="1685" t="s">
        <v>33</v>
      </c>
      <c r="D165" s="2225"/>
      <c r="E165" s="1691">
        <f t="shared" ca="1" si="87"/>
        <v>0</v>
      </c>
      <c r="F165" s="1691">
        <f t="shared" ca="1" si="87"/>
        <v>28.141981603543915</v>
      </c>
      <c r="G165" s="1691">
        <f t="shared" ca="1" si="87"/>
        <v>32.983460990913038</v>
      </c>
      <c r="H165" s="1691">
        <f t="shared" ca="1" si="87"/>
        <v>39.999060580424043</v>
      </c>
      <c r="I165" s="1691">
        <f t="shared" ca="1" si="87"/>
        <v>31.241877661904635</v>
      </c>
      <c r="J165" s="1691">
        <f t="shared" ca="1" si="87"/>
        <v>41.798255747167659</v>
      </c>
      <c r="K165" s="1691">
        <f t="shared" ca="1" si="87"/>
        <v>19.072983234672066</v>
      </c>
      <c r="L165" s="1691">
        <f t="shared" ca="1" si="87"/>
        <v>32.416471873830176</v>
      </c>
      <c r="M165" s="1691">
        <f t="shared" ca="1" si="87"/>
        <v>21.900098357676519</v>
      </c>
      <c r="N165" s="675"/>
      <c r="O165" s="1691">
        <f t="shared" ca="1" si="88"/>
        <v>4.8128167743835508</v>
      </c>
      <c r="P165" s="1691">
        <f t="shared" ca="1" si="88"/>
        <v>6.077158242921084</v>
      </c>
      <c r="Q165" s="1691">
        <f t="shared" ca="1" si="88"/>
        <v>7.3414997114586162</v>
      </c>
      <c r="R165" s="1691">
        <f t="shared" ca="1" si="88"/>
        <v>8.6058411799961476</v>
      </c>
      <c r="S165" s="1691">
        <f t="shared" ca="1" si="88"/>
        <v>9.2689799554133856</v>
      </c>
      <c r="T165" s="1691">
        <f t="shared" ca="1" si="88"/>
        <v>10.386965655975917</v>
      </c>
      <c r="U165" s="1691">
        <f t="shared" ca="1" si="88"/>
        <v>10.611037127468158</v>
      </c>
      <c r="V165" s="1691">
        <f t="shared" ca="1" si="88"/>
        <v>11.582667060055689</v>
      </c>
      <c r="W165" s="1691">
        <f t="shared" ca="1" si="88"/>
        <v>11.635618981014609</v>
      </c>
      <c r="X165" s="675"/>
      <c r="Y165" s="1691">
        <f t="shared" ca="1" si="89"/>
        <v>0</v>
      </c>
      <c r="Z165" s="1691">
        <f t="shared" ca="1" si="89"/>
        <v>0</v>
      </c>
      <c r="AA165" s="1691">
        <f t="shared" ca="1" si="89"/>
        <v>0</v>
      </c>
      <c r="AB165" s="1691">
        <f t="shared" ca="1" si="89"/>
        <v>0</v>
      </c>
      <c r="AC165" s="1691">
        <f t="shared" ca="1" si="89"/>
        <v>0</v>
      </c>
      <c r="AD165" s="1691">
        <f t="shared" ca="1" si="89"/>
        <v>0</v>
      </c>
      <c r="AE165" s="1691">
        <f t="shared" ca="1" si="89"/>
        <v>0</v>
      </c>
      <c r="AF165" s="1691">
        <f t="shared" ca="1" si="89"/>
        <v>0</v>
      </c>
      <c r="AG165" s="1691">
        <f t="shared" ca="1" si="89"/>
        <v>0</v>
      </c>
      <c r="AH165" s="675"/>
      <c r="AI165" s="1691">
        <f t="shared" ca="1" si="90"/>
        <v>4.8128167743835508</v>
      </c>
      <c r="AJ165" s="1691">
        <f t="shared" ca="1" si="90"/>
        <v>34.219139846465005</v>
      </c>
      <c r="AK165" s="1691">
        <f t="shared" ca="1" si="90"/>
        <v>40.324960702371655</v>
      </c>
      <c r="AL165" s="1691">
        <f t="shared" ca="1" si="90"/>
        <v>48.604901760420184</v>
      </c>
      <c r="AM165" s="1691">
        <f t="shared" ca="1" si="90"/>
        <v>40.510857617318024</v>
      </c>
      <c r="AN165" s="1691">
        <f t="shared" ca="1" si="90"/>
        <v>52.185221403143572</v>
      </c>
      <c r="AO165" s="1691">
        <f t="shared" ca="1" si="90"/>
        <v>29.684020362140224</v>
      </c>
      <c r="AP165" s="1691">
        <f t="shared" ca="1" si="90"/>
        <v>43.99913893388586</v>
      </c>
      <c r="AQ165" s="1691">
        <f t="shared" ca="1" si="90"/>
        <v>33.535717338691128</v>
      </c>
      <c r="AR165" s="2225"/>
      <c r="AS165" s="1707">
        <f t="shared" ca="1" si="91"/>
        <v>36.430752748757683</v>
      </c>
      <c r="AT165" s="1707">
        <f t="shared" ca="1" si="91"/>
        <v>327.6853565406102</v>
      </c>
      <c r="AU165" s="675"/>
      <c r="AV165" s="1700"/>
      <c r="AW165" s="1692"/>
      <c r="AX165" s="675"/>
      <c r="AY165" s="1691">
        <f t="shared" ca="1" si="92"/>
        <v>0</v>
      </c>
      <c r="AZ165" s="1691">
        <f t="shared" ca="1" si="92"/>
        <v>21.651952742137222</v>
      </c>
      <c r="BA165" s="1691">
        <f t="shared" ca="1" si="92"/>
        <v>25.322098746716634</v>
      </c>
      <c r="BB165" s="1691">
        <f t="shared" ca="1" si="92"/>
        <v>30.421443723209698</v>
      </c>
      <c r="BC165" s="1691">
        <f t="shared" ca="1" si="92"/>
        <v>23.431867753214313</v>
      </c>
      <c r="BD165" s="1691">
        <f t="shared" ca="1" si="92"/>
        <v>31.872413128997337</v>
      </c>
      <c r="BE165" s="1691">
        <f t="shared" ca="1" si="92"/>
        <v>14.790539261956898</v>
      </c>
      <c r="BF165" s="1691">
        <f t="shared" ca="1" si="92"/>
        <v>25.693320840006074</v>
      </c>
      <c r="BG165" s="1691">
        <f t="shared" ca="1" si="92"/>
        <v>16.49496165497597</v>
      </c>
      <c r="BH165" s="675"/>
      <c r="BI165" s="1691">
        <f t="shared" ca="1" si="93"/>
        <v>0</v>
      </c>
      <c r="BJ165" s="1691">
        <f t="shared" ca="1" si="93"/>
        <v>21.651952742137222</v>
      </c>
      <c r="BK165" s="1691">
        <f t="shared" ca="1" si="93"/>
        <v>46.97405148885386</v>
      </c>
      <c r="BL165" s="1691">
        <f t="shared" ca="1" si="93"/>
        <v>60.990183840155979</v>
      </c>
      <c r="BM165" s="1691">
        <f t="shared" ca="1" si="93"/>
        <v>60.23298361894782</v>
      </c>
      <c r="BN165" s="1691">
        <f t="shared" ca="1" si="93"/>
        <v>64.246182768943271</v>
      </c>
      <c r="BO165" s="1691">
        <f t="shared" ca="1" si="93"/>
        <v>55.031478366408393</v>
      </c>
      <c r="BP165" s="1691">
        <f t="shared" ca="1" si="93"/>
        <v>49.480771410098264</v>
      </c>
      <c r="BQ165" s="1691">
        <f t="shared" ca="1" si="93"/>
        <v>45.255964402336694</v>
      </c>
      <c r="BR165" s="675"/>
      <c r="BS165" s="1702">
        <f t="shared" ca="1" si="94"/>
        <v>4.8128167743835508</v>
      </c>
      <c r="BT165" s="1702">
        <f t="shared" ca="1" si="94"/>
        <v>27.729110985058309</v>
      </c>
      <c r="BU165" s="1702">
        <f t="shared" ca="1" si="94"/>
        <v>54.31555120031247</v>
      </c>
      <c r="BV165" s="1702">
        <f t="shared" ca="1" si="94"/>
        <v>69.596025020152126</v>
      </c>
      <c r="BW165" s="1702">
        <f t="shared" ca="1" si="94"/>
        <v>69.501963574361213</v>
      </c>
      <c r="BX165" s="1702">
        <f t="shared" ca="1" si="94"/>
        <v>74.633148424919185</v>
      </c>
      <c r="BY165" s="1702">
        <f t="shared" ca="1" si="94"/>
        <v>65.642515493876544</v>
      </c>
      <c r="BZ165" s="1702">
        <f t="shared" ca="1" si="94"/>
        <v>61.063438470153947</v>
      </c>
      <c r="CA165" s="1702">
        <f t="shared" ca="1" si="94"/>
        <v>56.891583383351296</v>
      </c>
      <c r="CB165" s="2225"/>
      <c r="CC165" s="1707">
        <f t="shared" ca="1" si="95"/>
        <v>53.798461480729856</v>
      </c>
      <c r="CD165" s="1707">
        <f t="shared" ca="1" si="95"/>
        <v>411.03910423998155</v>
      </c>
      <c r="CE165" s="2225"/>
      <c r="CF165" s="1704">
        <f t="shared" ca="1" si="96"/>
        <v>0</v>
      </c>
      <c r="CG165" s="1704">
        <f t="shared" ca="1" si="96"/>
        <v>-6.4900288614066923</v>
      </c>
      <c r="CH165" s="1704">
        <f t="shared" ca="1" si="96"/>
        <v>13.99059049794082</v>
      </c>
      <c r="CI165" s="1704">
        <f t="shared" ca="1" si="96"/>
        <v>20.991123259731943</v>
      </c>
      <c r="CJ165" s="1704">
        <f t="shared" ca="1" si="96"/>
        <v>28.991105957043185</v>
      </c>
      <c r="CK165" s="1704">
        <f t="shared" ca="1" si="96"/>
        <v>22.447927021775612</v>
      </c>
      <c r="CL165" s="1704">
        <f t="shared" ca="1" si="96"/>
        <v>35.958495131736321</v>
      </c>
      <c r="CM165" s="1704">
        <f t="shared" ca="1" si="96"/>
        <v>17.064299536268088</v>
      </c>
      <c r="CN165" s="1704">
        <f t="shared" ca="1" si="96"/>
        <v>23.355866044660175</v>
      </c>
      <c r="CO165" s="2225"/>
      <c r="CP165" s="1707">
        <f t="shared" ca="1" si="97"/>
        <v>17.367708731972161</v>
      </c>
      <c r="CQ165" s="1707">
        <f t="shared" ca="1" si="97"/>
        <v>83.353747699371411</v>
      </c>
      <c r="CR165" s="1426" t="str">
        <f t="shared" ca="1" si="98"/>
        <v>ok</v>
      </c>
    </row>
    <row r="166" spans="3:96" x14ac:dyDescent="0.2">
      <c r="C166" s="1697" t="s">
        <v>102</v>
      </c>
      <c r="D166" s="2225"/>
      <c r="E166" s="1698">
        <f t="shared" si="87"/>
        <v>0</v>
      </c>
      <c r="F166" s="1698">
        <f t="shared" si="87"/>
        <v>0</v>
      </c>
      <c r="G166" s="1698">
        <f t="shared" si="87"/>
        <v>0</v>
      </c>
      <c r="H166" s="1698">
        <f t="shared" si="87"/>
        <v>0</v>
      </c>
      <c r="I166" s="1698">
        <f t="shared" si="87"/>
        <v>0</v>
      </c>
      <c r="J166" s="1698">
        <f t="shared" si="87"/>
        <v>0</v>
      </c>
      <c r="K166" s="1698">
        <f t="shared" si="87"/>
        <v>0</v>
      </c>
      <c r="L166" s="1698">
        <f t="shared" si="87"/>
        <v>0</v>
      </c>
      <c r="M166" s="1698">
        <f t="shared" si="87"/>
        <v>0</v>
      </c>
      <c r="N166" s="675"/>
      <c r="O166" s="1698">
        <f t="shared" si="88"/>
        <v>0</v>
      </c>
      <c r="P166" s="1698">
        <f t="shared" si="88"/>
        <v>0</v>
      </c>
      <c r="Q166" s="1698">
        <f t="shared" si="88"/>
        <v>0</v>
      </c>
      <c r="R166" s="1698">
        <f t="shared" si="88"/>
        <v>0</v>
      </c>
      <c r="S166" s="1698">
        <f t="shared" si="88"/>
        <v>0</v>
      </c>
      <c r="T166" s="1698">
        <f t="shared" si="88"/>
        <v>0</v>
      </c>
      <c r="U166" s="1698">
        <f t="shared" si="88"/>
        <v>0</v>
      </c>
      <c r="V166" s="1698">
        <f t="shared" si="88"/>
        <v>0</v>
      </c>
      <c r="W166" s="1698">
        <f t="shared" si="88"/>
        <v>0</v>
      </c>
      <c r="X166" s="675"/>
      <c r="Y166" s="1698">
        <f t="shared" si="89"/>
        <v>0</v>
      </c>
      <c r="Z166" s="1698">
        <f t="shared" si="89"/>
        <v>0</v>
      </c>
      <c r="AA166" s="1698">
        <f t="shared" si="89"/>
        <v>0</v>
      </c>
      <c r="AB166" s="1698">
        <f t="shared" si="89"/>
        <v>0</v>
      </c>
      <c r="AC166" s="1698">
        <f t="shared" si="89"/>
        <v>0</v>
      </c>
      <c r="AD166" s="1698">
        <f t="shared" si="89"/>
        <v>0</v>
      </c>
      <c r="AE166" s="1698">
        <f t="shared" si="89"/>
        <v>0</v>
      </c>
      <c r="AF166" s="1698">
        <f t="shared" si="89"/>
        <v>0</v>
      </c>
      <c r="AG166" s="1698">
        <f t="shared" si="89"/>
        <v>0</v>
      </c>
      <c r="AH166" s="675"/>
      <c r="AI166" s="1698">
        <f t="shared" si="90"/>
        <v>0</v>
      </c>
      <c r="AJ166" s="1698">
        <f t="shared" si="90"/>
        <v>0</v>
      </c>
      <c r="AK166" s="1698">
        <f t="shared" si="90"/>
        <v>0</v>
      </c>
      <c r="AL166" s="1698">
        <f t="shared" si="90"/>
        <v>0</v>
      </c>
      <c r="AM166" s="1698">
        <f t="shared" si="90"/>
        <v>0</v>
      </c>
      <c r="AN166" s="1698">
        <f t="shared" si="90"/>
        <v>0</v>
      </c>
      <c r="AO166" s="1698">
        <f t="shared" si="90"/>
        <v>0</v>
      </c>
      <c r="AP166" s="1698">
        <f t="shared" si="90"/>
        <v>0</v>
      </c>
      <c r="AQ166" s="1698">
        <f t="shared" si="90"/>
        <v>0</v>
      </c>
      <c r="AR166" s="2225"/>
      <c r="AS166" s="1708">
        <f t="shared" si="91"/>
        <v>0</v>
      </c>
      <c r="AT166" s="1708">
        <f t="shared" si="91"/>
        <v>0</v>
      </c>
      <c r="AU166" s="675"/>
      <c r="AV166" s="1699"/>
      <c r="AW166" s="1690"/>
      <c r="AX166" s="675"/>
      <c r="AY166" s="1698">
        <f t="shared" si="92"/>
        <v>0</v>
      </c>
      <c r="AZ166" s="1698">
        <f t="shared" si="92"/>
        <v>0</v>
      </c>
      <c r="BA166" s="1698">
        <f t="shared" si="92"/>
        <v>0</v>
      </c>
      <c r="BB166" s="1698">
        <f t="shared" si="92"/>
        <v>0</v>
      </c>
      <c r="BC166" s="1698">
        <f t="shared" si="92"/>
        <v>0</v>
      </c>
      <c r="BD166" s="1698">
        <f t="shared" si="92"/>
        <v>0</v>
      </c>
      <c r="BE166" s="1698">
        <f t="shared" si="92"/>
        <v>0</v>
      </c>
      <c r="BF166" s="1698">
        <f t="shared" si="92"/>
        <v>0</v>
      </c>
      <c r="BG166" s="1698">
        <f t="shared" si="92"/>
        <v>0</v>
      </c>
      <c r="BH166" s="675"/>
      <c r="BI166" s="1698">
        <f t="shared" si="93"/>
        <v>0</v>
      </c>
      <c r="BJ166" s="1698">
        <f t="shared" si="93"/>
        <v>0</v>
      </c>
      <c r="BK166" s="1698">
        <f t="shared" si="93"/>
        <v>0</v>
      </c>
      <c r="BL166" s="1698">
        <f t="shared" si="93"/>
        <v>0</v>
      </c>
      <c r="BM166" s="1698">
        <f t="shared" si="93"/>
        <v>0</v>
      </c>
      <c r="BN166" s="1698">
        <f t="shared" si="93"/>
        <v>0</v>
      </c>
      <c r="BO166" s="1698">
        <f t="shared" si="93"/>
        <v>0</v>
      </c>
      <c r="BP166" s="1698">
        <f t="shared" si="93"/>
        <v>0</v>
      </c>
      <c r="BQ166" s="1698">
        <f t="shared" si="93"/>
        <v>0</v>
      </c>
      <c r="BR166" s="675"/>
      <c r="BS166" s="1698">
        <f t="shared" si="94"/>
        <v>0</v>
      </c>
      <c r="BT166" s="1698">
        <f t="shared" si="94"/>
        <v>0</v>
      </c>
      <c r="BU166" s="1698">
        <f t="shared" si="94"/>
        <v>0</v>
      </c>
      <c r="BV166" s="1698">
        <f t="shared" si="94"/>
        <v>0</v>
      </c>
      <c r="BW166" s="1698">
        <f t="shared" si="94"/>
        <v>0</v>
      </c>
      <c r="BX166" s="1698">
        <f t="shared" si="94"/>
        <v>0</v>
      </c>
      <c r="BY166" s="1698">
        <f t="shared" si="94"/>
        <v>0</v>
      </c>
      <c r="BZ166" s="1698">
        <f t="shared" si="94"/>
        <v>0</v>
      </c>
      <c r="CA166" s="1698">
        <f t="shared" si="94"/>
        <v>0</v>
      </c>
      <c r="CB166" s="2225"/>
      <c r="CC166" s="1708">
        <f t="shared" si="95"/>
        <v>0</v>
      </c>
      <c r="CD166" s="1708">
        <f t="shared" si="95"/>
        <v>0</v>
      </c>
      <c r="CE166" s="2225"/>
      <c r="CF166" s="1698">
        <f t="shared" si="96"/>
        <v>0</v>
      </c>
      <c r="CG166" s="1698">
        <f t="shared" si="96"/>
        <v>0</v>
      </c>
      <c r="CH166" s="1698">
        <f t="shared" si="96"/>
        <v>0</v>
      </c>
      <c r="CI166" s="1698">
        <f t="shared" si="96"/>
        <v>0</v>
      </c>
      <c r="CJ166" s="1698">
        <f t="shared" si="96"/>
        <v>0</v>
      </c>
      <c r="CK166" s="1698">
        <f t="shared" si="96"/>
        <v>0</v>
      </c>
      <c r="CL166" s="1698">
        <f t="shared" si="96"/>
        <v>0</v>
      </c>
      <c r="CM166" s="1698">
        <f t="shared" si="96"/>
        <v>0</v>
      </c>
      <c r="CN166" s="1698">
        <f t="shared" si="96"/>
        <v>0</v>
      </c>
      <c r="CO166" s="2225"/>
      <c r="CP166" s="1708">
        <f t="shared" si="97"/>
        <v>0</v>
      </c>
      <c r="CQ166" s="1708">
        <f t="shared" si="97"/>
        <v>0</v>
      </c>
      <c r="CR166" s="1426" t="str">
        <f t="shared" si="98"/>
        <v>ok</v>
      </c>
    </row>
    <row r="167" spans="3:96" x14ac:dyDescent="0.2">
      <c r="C167" s="1685" t="s">
        <v>105</v>
      </c>
      <c r="D167" s="2225"/>
      <c r="E167" s="2216">
        <f ca="1">SUM(E160:E166)</f>
        <v>92.739300647121283</v>
      </c>
      <c r="F167" s="1691">
        <f t="shared" ref="F167:M167" ca="1" si="99">SUM(F160:F166)</f>
        <v>1982.0387975425845</v>
      </c>
      <c r="G167" s="1691">
        <f t="shared" ca="1" si="99"/>
        <v>1504.5780527084212</v>
      </c>
      <c r="H167" s="1691">
        <f t="shared" ca="1" si="99"/>
        <v>1850.2433359139363</v>
      </c>
      <c r="I167" s="1691">
        <f t="shared" ca="1" si="99"/>
        <v>2279.9809127662661</v>
      </c>
      <c r="J167" s="1691">
        <f t="shared" ca="1" si="99"/>
        <v>2761.8925974898625</v>
      </c>
      <c r="K167" s="1691">
        <f t="shared" ca="1" si="99"/>
        <v>3155.2650252007143</v>
      </c>
      <c r="L167" s="1691">
        <f t="shared" ca="1" si="99"/>
        <v>3862.6543731556167</v>
      </c>
      <c r="M167" s="1691">
        <f t="shared" ca="1" si="99"/>
        <v>3233.717967382192</v>
      </c>
      <c r="N167" s="675"/>
      <c r="O167" s="1691">
        <f ca="1">SUM(O160:O166)</f>
        <v>1781.0483591129023</v>
      </c>
      <c r="P167" s="1691">
        <f t="shared" ref="P167:W167" ca="1" si="100">SUM(P160:P166)</f>
        <v>18537.959293402058</v>
      </c>
      <c r="Q167" s="1691">
        <f t="shared" ca="1" si="100"/>
        <v>22238.11178010167</v>
      </c>
      <c r="R167" s="1691">
        <f t="shared" ca="1" si="100"/>
        <v>26638.563191413206</v>
      </c>
      <c r="S167" s="1691">
        <f t="shared" ca="1" si="100"/>
        <v>31767.333827350347</v>
      </c>
      <c r="T167" s="1691">
        <f t="shared" ca="1" si="100"/>
        <v>37777.677802049519</v>
      </c>
      <c r="U167" s="1691">
        <f t="shared" ca="1" si="100"/>
        <v>43724.847393951277</v>
      </c>
      <c r="V167" s="1691">
        <f t="shared" ca="1" si="100"/>
        <v>50469.943970872184</v>
      </c>
      <c r="W167" s="1691">
        <f t="shared" ca="1" si="100"/>
        <v>58047.730305328427</v>
      </c>
      <c r="X167" s="675"/>
      <c r="Y167" s="1691">
        <f ca="1">SUM(Y160:Y166)</f>
        <v>529.83913312495099</v>
      </c>
      <c r="Z167" s="1691">
        <f t="shared" ref="Z167:AG167" ca="1" si="101">SUM(Z160:Z166)</f>
        <v>620.32744562812263</v>
      </c>
      <c r="AA167" s="1691">
        <f t="shared" ca="1" si="101"/>
        <v>685.95719703286204</v>
      </c>
      <c r="AB167" s="1691">
        <f t="shared" ca="1" si="101"/>
        <v>776.19282945526243</v>
      </c>
      <c r="AC167" s="1691">
        <f t="shared" ca="1" si="101"/>
        <v>885.59707077446535</v>
      </c>
      <c r="AD167" s="1691">
        <f t="shared" ca="1" si="101"/>
        <v>978.31747247765975</v>
      </c>
      <c r="AE167" s="1691">
        <f t="shared" ca="1" si="101"/>
        <v>1071.5586624178059</v>
      </c>
      <c r="AF167" s="1691">
        <f t="shared" ca="1" si="101"/>
        <v>1171.8488793215622</v>
      </c>
      <c r="AG167" s="1691">
        <f t="shared" ca="1" si="101"/>
        <v>1289.3944800853048</v>
      </c>
      <c r="AH167" s="675"/>
      <c r="AI167" s="1691">
        <f ca="1">SUM(AI160:AI166)</f>
        <v>2403.6267928849743</v>
      </c>
      <c r="AJ167" s="1691">
        <f t="shared" ref="AJ167:AQ167" ca="1" si="102">SUM(AJ160:AJ166)</f>
        <v>21140.325536572764</v>
      </c>
      <c r="AK167" s="1691">
        <f t="shared" ca="1" si="102"/>
        <v>24428.647029842956</v>
      </c>
      <c r="AL167" s="1691">
        <f t="shared" ca="1" si="102"/>
        <v>29264.999356782402</v>
      </c>
      <c r="AM167" s="1691">
        <f t="shared" ca="1" si="102"/>
        <v>34932.911810891077</v>
      </c>
      <c r="AN167" s="1691">
        <f t="shared" ca="1" si="102"/>
        <v>41517.88787201704</v>
      </c>
      <c r="AO167" s="1691">
        <f t="shared" ca="1" si="102"/>
        <v>47951.671081569795</v>
      </c>
      <c r="AP167" s="1691">
        <f t="shared" ca="1" si="102"/>
        <v>55504.447223349351</v>
      </c>
      <c r="AQ167" s="1691">
        <f t="shared" ca="1" si="102"/>
        <v>62570.842752795928</v>
      </c>
      <c r="AR167" s="2225"/>
      <c r="AS167" s="1707">
        <f ca="1">SUM(AS160:AS166)</f>
        <v>35523.928828522912</v>
      </c>
      <c r="AT167" s="1707">
        <f ca="1">SUM(AT160:AT166)</f>
        <v>236079.51815093221</v>
      </c>
      <c r="AU167" s="675"/>
      <c r="AV167" s="1700"/>
      <c r="AW167" s="1692"/>
      <c r="AX167" s="675"/>
      <c r="AY167" s="1691">
        <f ca="1">SUM(AY160:AY166)</f>
        <v>31.285908485556622</v>
      </c>
      <c r="AZ167" s="1691">
        <f t="shared" ref="AZ167:BG167" ca="1" si="103">SUM(AZ160:AZ166)</f>
        <v>1289.4426960940341</v>
      </c>
      <c r="BA167" s="1691">
        <f t="shared" ca="1" si="103"/>
        <v>964.43388414391939</v>
      </c>
      <c r="BB167" s="1691">
        <f t="shared" ca="1" si="103"/>
        <v>1187.6754596516291</v>
      </c>
      <c r="BC167" s="1691">
        <f t="shared" ca="1" si="103"/>
        <v>1460.2427688602077</v>
      </c>
      <c r="BD167" s="1691">
        <f t="shared" ca="1" si="103"/>
        <v>1772.5483837916058</v>
      </c>
      <c r="BE167" s="1691">
        <f t="shared" ca="1" si="103"/>
        <v>2017.2688576336586</v>
      </c>
      <c r="BF167" s="1691">
        <f t="shared" ca="1" si="103"/>
        <v>2464.4458781021021</v>
      </c>
      <c r="BG167" s="1691">
        <f t="shared" ca="1" si="103"/>
        <v>2124.0219693259114</v>
      </c>
      <c r="BH167" s="675"/>
      <c r="BI167" s="1691">
        <f ca="1">SUM(BI160:BI166)</f>
        <v>31.285908485556622</v>
      </c>
      <c r="BJ167" s="1691">
        <f t="shared" ref="BJ167:BQ167" ca="1" si="104">SUM(BJ160:BJ166)</f>
        <v>1320.7286045795909</v>
      </c>
      <c r="BK167" s="1691">
        <f t="shared" ca="1" si="104"/>
        <v>2284.924322654238</v>
      </c>
      <c r="BL167" s="1691">
        <f t="shared" ca="1" si="104"/>
        <v>3450.1271467548345</v>
      </c>
      <c r="BM167" s="1691">
        <f t="shared" ca="1" si="104"/>
        <v>3707.2440064545294</v>
      </c>
      <c r="BN167" s="1691">
        <f t="shared" ca="1" si="104"/>
        <v>4628.4013191067143</v>
      </c>
      <c r="BO167" s="1691">
        <f t="shared" ca="1" si="104"/>
        <v>5567.9021362075555</v>
      </c>
      <c r="BP167" s="1691">
        <f t="shared" ca="1" si="104"/>
        <v>6915.5009067947112</v>
      </c>
      <c r="BQ167" s="1691">
        <f t="shared" ca="1" si="104"/>
        <v>7119.4464469334544</v>
      </c>
      <c r="BR167" s="675"/>
      <c r="BS167" s="1702">
        <f ca="1">SUM(BS160:BS166)</f>
        <v>2342.1734007234095</v>
      </c>
      <c r="BT167" s="1702">
        <f t="shared" ref="BT167:CA167" ca="1" si="105">SUM(BT160:BT166)</f>
        <v>20479.015343609768</v>
      </c>
      <c r="BU167" s="1702">
        <f t="shared" ca="1" si="105"/>
        <v>25208.993299788777</v>
      </c>
      <c r="BV167" s="1702">
        <f t="shared" ca="1" si="105"/>
        <v>30864.883167623299</v>
      </c>
      <c r="BW167" s="1702">
        <f t="shared" ca="1" si="105"/>
        <v>36360.174904579333</v>
      </c>
      <c r="BX167" s="1702">
        <f t="shared" ca="1" si="105"/>
        <v>43384.396593633879</v>
      </c>
      <c r="BY167" s="1702">
        <f t="shared" ca="1" si="105"/>
        <v>50364.308192576631</v>
      </c>
      <c r="BZ167" s="1702">
        <f t="shared" ca="1" si="105"/>
        <v>58557.293756988445</v>
      </c>
      <c r="CA167" s="1702">
        <f t="shared" ca="1" si="105"/>
        <v>66456.571232347167</v>
      </c>
      <c r="CB167" s="2225"/>
      <c r="CC167" s="1707">
        <f ca="1">SUM(CC160:CC166)</f>
        <v>37113.089987985637</v>
      </c>
      <c r="CD167" s="1707">
        <f ca="1">SUM(CD160:CD166)</f>
        <v>241580.76815351247</v>
      </c>
      <c r="CE167" s="2225"/>
      <c r="CF167" s="1704">
        <f ca="1">SUM(CF160:CF166)</f>
        <v>-61.453392161564665</v>
      </c>
      <c r="CG167" s="1704">
        <f t="shared" ref="CG167:CN167" ca="1" si="106">SUM(CG160:CG166)</f>
        <v>-661.31019296299382</v>
      </c>
      <c r="CH167" s="1704">
        <f t="shared" ca="1" si="106"/>
        <v>780.34626994581652</v>
      </c>
      <c r="CI167" s="1704">
        <f t="shared" ca="1" si="106"/>
        <v>1599.8838108408968</v>
      </c>
      <c r="CJ167" s="1704">
        <f t="shared" ca="1" si="106"/>
        <v>1427.2630936882631</v>
      </c>
      <c r="CK167" s="1704">
        <f t="shared" ca="1" si="106"/>
        <v>1866.5087216168524</v>
      </c>
      <c r="CL167" s="1704">
        <f t="shared" ca="1" si="106"/>
        <v>2412.6371110068421</v>
      </c>
      <c r="CM167" s="1704">
        <f t="shared" ca="1" si="106"/>
        <v>3052.8465336390968</v>
      </c>
      <c r="CN167" s="1704">
        <f t="shared" ca="1" si="106"/>
        <v>3885.7284795512614</v>
      </c>
      <c r="CO167" s="2225"/>
      <c r="CP167" s="1707">
        <f ca="1">SUM(CP160:CP166)</f>
        <v>1589.1611594627191</v>
      </c>
      <c r="CQ167" s="1707">
        <f ca="1">SUM(CQ160:CQ166)</f>
        <v>5501.2500025802647</v>
      </c>
      <c r="CR167" s="1426" t="str">
        <f t="shared" ca="1" si="98"/>
        <v>ok</v>
      </c>
    </row>
    <row r="168" spans="3:96" x14ac:dyDescent="0.2">
      <c r="C168" s="1426"/>
      <c r="D168" s="1426"/>
      <c r="E168" s="2217" t="str">
        <f ca="1">IF(ROUND(E167-E132,0)=0,"ok",E167-E132)</f>
        <v>ok</v>
      </c>
      <c r="F168" s="2217">
        <f t="shared" ref="F168:M168" ca="1" si="107">IF(ROUND(F167-F132,0)=0,"ok",F167-F132)</f>
        <v>230.20530812615971</v>
      </c>
      <c r="G168" s="2217">
        <f t="shared" ca="1" si="107"/>
        <v>332.42359917901604</v>
      </c>
      <c r="H168" s="2217">
        <f t="shared" ca="1" si="107"/>
        <v>575.5383884753785</v>
      </c>
      <c r="I168" s="2217">
        <f t="shared" ca="1" si="107"/>
        <v>891.08989259046757</v>
      </c>
      <c r="J168" s="2217">
        <f t="shared" ca="1" si="107"/>
        <v>1274.360097306545</v>
      </c>
      <c r="K168" s="2217">
        <f t="shared" ca="1" si="107"/>
        <v>1615.7968163340763</v>
      </c>
      <c r="L168" s="2217">
        <f t="shared" ca="1" si="107"/>
        <v>2155.2855705881238</v>
      </c>
      <c r="M168" s="2217">
        <f t="shared" ca="1" si="107"/>
        <v>1939.3758496065479</v>
      </c>
      <c r="N168" s="1426"/>
      <c r="O168" s="2217" t="str">
        <f t="shared" ref="O168:W168" ca="1" si="108">IF(ROUND(O167-O132,0)=0,"ok",O167-O132)</f>
        <v>ok</v>
      </c>
      <c r="P168" s="2217">
        <f t="shared" ca="1" si="108"/>
        <v>2153.1045335905073</v>
      </c>
      <c r="Q168" s="2217">
        <f t="shared" ca="1" si="108"/>
        <v>4865.7344682025796</v>
      </c>
      <c r="R168" s="2217">
        <f t="shared" ca="1" si="108"/>
        <v>8245.552908979822</v>
      </c>
      <c r="S168" s="2217">
        <f t="shared" ca="1" si="108"/>
        <v>12380.653157482582</v>
      </c>
      <c r="T168" s="2217">
        <f t="shared" ca="1" si="108"/>
        <v>17400.754009470231</v>
      </c>
      <c r="U168" s="2217">
        <f t="shared" ca="1" si="108"/>
        <v>22363.393579608692</v>
      </c>
      <c r="V168" s="2217">
        <f t="shared" ca="1" si="108"/>
        <v>28137.591798014779</v>
      </c>
      <c r="W168" s="2217">
        <f t="shared" ca="1" si="108"/>
        <v>34783.642421909848</v>
      </c>
      <c r="X168" s="1426"/>
      <c r="Y168" s="2217">
        <f t="shared" ref="Y168:AG168" ca="1" si="109">IF(ROUND(Y167-Y132,0)=0,"ok",Y167-Y132)</f>
        <v>68.428918767402763</v>
      </c>
      <c r="Z168" s="2217">
        <f t="shared" ca="1" si="109"/>
        <v>161.84677679834368</v>
      </c>
      <c r="AA168" s="2217">
        <f t="shared" ca="1" si="109"/>
        <v>242.58156692223497</v>
      </c>
      <c r="AB168" s="2217">
        <f t="shared" ca="1" si="109"/>
        <v>345.69005139887355</v>
      </c>
      <c r="AC168" s="2217">
        <f t="shared" ca="1" si="109"/>
        <v>451.38213444734822</v>
      </c>
      <c r="AD168" s="2217">
        <f t="shared" ca="1" si="109"/>
        <v>537.53614569399565</v>
      </c>
      <c r="AE168" s="2217">
        <f t="shared" ca="1" si="109"/>
        <v>620.69831110276073</v>
      </c>
      <c r="AF168" s="2217">
        <f t="shared" ca="1" si="109"/>
        <v>714.28240559154347</v>
      </c>
      <c r="AG168" s="2217">
        <f t="shared" ca="1" si="109"/>
        <v>823.49771945038765</v>
      </c>
      <c r="AH168" s="1426"/>
      <c r="AI168" s="2217">
        <f t="shared" ref="AI168:AQ168" ca="1" si="110">IF(ROUND(AI167-AI132,0)=0,"ok",AI167-AI132)</f>
        <v>68.428969898624473</v>
      </c>
      <c r="AJ168" s="2217">
        <f t="shared" ca="1" si="110"/>
        <v>2545.1566185150077</v>
      </c>
      <c r="AK168" s="2217">
        <f t="shared" ca="1" si="110"/>
        <v>5440.7396343038345</v>
      </c>
      <c r="AL168" s="2217">
        <f t="shared" ca="1" si="110"/>
        <v>9166.7813488540742</v>
      </c>
      <c r="AM168" s="2217">
        <f t="shared" ca="1" si="110"/>
        <v>13723.125184520391</v>
      </c>
      <c r="AN168" s="2217">
        <f t="shared" ca="1" si="110"/>
        <v>19212.650252470768</v>
      </c>
      <c r="AO168" s="2217">
        <f t="shared" ca="1" si="110"/>
        <v>24599.888707045524</v>
      </c>
      <c r="AP168" s="2217">
        <f t="shared" ca="1" si="110"/>
        <v>31007.159774194435</v>
      </c>
      <c r="AQ168" s="2217">
        <f t="shared" ca="1" si="110"/>
        <v>37546.515990966793</v>
      </c>
      <c r="AR168" s="1426"/>
      <c r="AS168" s="2217">
        <f ca="1">IF(ROUND(AS167-AS132,0)=0,"ok",AS167-AS132)</f>
        <v>15923.382942307708</v>
      </c>
      <c r="AT168" s="2217">
        <f ca="1">IF(ROUND(AT167-AT132,0)=0,"ok",AT167-AT132)</f>
        <v>71214.708067147032</v>
      </c>
      <c r="AU168" s="1426"/>
      <c r="AV168" s="1426"/>
      <c r="AW168" s="1426"/>
      <c r="AX168" s="1426"/>
      <c r="AY168" s="2217" t="str">
        <f t="shared" ref="AY168:BG168" ca="1" si="111">IF(ROUND(AY167-AY132,0)=0,"ok",AY167-AY132)</f>
        <v>ok</v>
      </c>
      <c r="AZ168" s="2217">
        <f t="shared" ca="1" si="111"/>
        <v>149.76324052454652</v>
      </c>
      <c r="BA168" s="2217">
        <f t="shared" ca="1" si="111"/>
        <v>213.13608526243172</v>
      </c>
      <c r="BB168" s="2217">
        <f t="shared" ca="1" si="111"/>
        <v>369.48310040924832</v>
      </c>
      <c r="BC168" s="2217">
        <f t="shared" ca="1" si="111"/>
        <v>570.75237360033782</v>
      </c>
      <c r="BD168" s="2217">
        <f t="shared" ca="1" si="111"/>
        <v>817.90286914246985</v>
      </c>
      <c r="BE168" s="2217">
        <f t="shared" ca="1" si="111"/>
        <v>1033.0704847875554</v>
      </c>
      <c r="BF168" s="2217">
        <f t="shared" ca="1" si="111"/>
        <v>1375.1476088372885</v>
      </c>
      <c r="BG168" s="2217">
        <f t="shared" ca="1" si="111"/>
        <v>1273.8525127310256</v>
      </c>
      <c r="BH168" s="1426"/>
      <c r="BI168" s="2217" t="str">
        <f t="shared" ref="BI168:BQ168" ca="1" si="112">IF(ROUND(BI167-BI132,0)=0,"ok",BI167-BI132)</f>
        <v>ok</v>
      </c>
      <c r="BJ168" s="2217">
        <f t="shared" ca="1" si="112"/>
        <v>153.39696465338511</v>
      </c>
      <c r="BK168" s="2217">
        <f t="shared" ca="1" si="112"/>
        <v>502.06150371438525</v>
      </c>
      <c r="BL168" s="2217">
        <f t="shared" ca="1" si="112"/>
        <v>1071.6604215922571</v>
      </c>
      <c r="BM168" s="2217">
        <f t="shared" ca="1" si="112"/>
        <v>1449.768381184424</v>
      </c>
      <c r="BN168" s="2217">
        <f t="shared" ca="1" si="112"/>
        <v>2136.2473174057286</v>
      </c>
      <c r="BO168" s="2217">
        <f t="shared" ca="1" si="112"/>
        <v>2851.7051085550415</v>
      </c>
      <c r="BP168" s="2217">
        <f t="shared" ca="1" si="112"/>
        <v>3859.0521361356591</v>
      </c>
      <c r="BQ168" s="2217">
        <f t="shared" ca="1" si="112"/>
        <v>4269.3984243791319</v>
      </c>
      <c r="BR168" s="1426"/>
      <c r="BS168" s="2217">
        <f t="shared" ref="BS168:CA168" ca="1" si="113">IF(ROUND(BS167-BS132,0)=0,"ok",BS167-BS132)</f>
        <v>68.428969898624018</v>
      </c>
      <c r="BT168" s="2217">
        <f t="shared" ca="1" si="113"/>
        <v>2468.3482750422336</v>
      </c>
      <c r="BU168" s="2217">
        <f t="shared" ca="1" si="113"/>
        <v>5610.3775388392096</v>
      </c>
      <c r="BV168" s="2217">
        <f t="shared" ca="1" si="113"/>
        <v>9662.9033819709439</v>
      </c>
      <c r="BW168" s="2217">
        <f t="shared" ca="1" si="113"/>
        <v>14281.803673114337</v>
      </c>
      <c r="BX168" s="2217">
        <f t="shared" ca="1" si="113"/>
        <v>20074.537472569937</v>
      </c>
      <c r="BY168" s="2217">
        <f t="shared" ca="1" si="113"/>
        <v>25835.796999266484</v>
      </c>
      <c r="BZ168" s="2217">
        <f t="shared" ca="1" si="113"/>
        <v>32710.926339741967</v>
      </c>
      <c r="CA168" s="2217">
        <f t="shared" ca="1" si="113"/>
        <v>39876.538565739349</v>
      </c>
      <c r="CB168" s="1426"/>
      <c r="CC168" s="2217">
        <f ca="1">IF(ROUND(CC167-CC132,0)=0,"ok",CC167-CC132)</f>
        <v>16732.184579575904</v>
      </c>
      <c r="CD168" s="2217">
        <f ca="1">IF(ROUND(CD167-CD132,0)=0,"ok",CD167-CD132)</f>
        <v>73982.127233252017</v>
      </c>
      <c r="CE168" s="1426"/>
      <c r="CF168" s="2217" t="str">
        <f t="shared" ref="CF168:CN168" ca="1" si="114">IF(ROUND(CF167-CF132,0)=0,"ok",CF167-CF132)</f>
        <v>ok</v>
      </c>
      <c r="CG168" s="2217">
        <f t="shared" ca="1" si="114"/>
        <v>-76.808343472774709</v>
      </c>
      <c r="CH168" s="2217">
        <f t="shared" ca="1" si="114"/>
        <v>169.63790453536865</v>
      </c>
      <c r="CI168" s="2217">
        <f t="shared" ca="1" si="114"/>
        <v>496.12203311687722</v>
      </c>
      <c r="CJ168" s="2217">
        <f t="shared" ca="1" si="114"/>
        <v>558.6784885939561</v>
      </c>
      <c r="CK168" s="2217">
        <f t="shared" ca="1" si="114"/>
        <v>861.88722009918422</v>
      </c>
      <c r="CL168" s="2217">
        <f t="shared" ca="1" si="114"/>
        <v>1235.9082922209661</v>
      </c>
      <c r="CM168" s="2217">
        <f t="shared" ca="1" si="114"/>
        <v>1703.7665655475378</v>
      </c>
      <c r="CN168" s="2217">
        <f t="shared" ca="1" si="114"/>
        <v>2330.0225747725826</v>
      </c>
      <c r="CO168" s="1426"/>
      <c r="CP168" s="2217">
        <f ca="1">IF(ROUND(CP167-CP132,0)=0,"ok",CP167-CP132)</f>
        <v>808.80163726818887</v>
      </c>
      <c r="CQ168" s="2217" t="str">
        <f ca="1">IF(ROUND(CQ167-CQ132,0)=0,"ok",CQ167-CQ132)</f>
        <v>ok</v>
      </c>
      <c r="CR168" s="2225"/>
    </row>
    <row r="170" spans="3:96" x14ac:dyDescent="0.2">
      <c r="C170" s="1680" t="s">
        <v>2114</v>
      </c>
    </row>
    <row r="172" spans="3:96" x14ac:dyDescent="0.2">
      <c r="E172" s="2370" t="s">
        <v>2115</v>
      </c>
      <c r="F172" s="1426" t="s">
        <v>2116</v>
      </c>
      <c r="G172" s="1426" t="s">
        <v>2117</v>
      </c>
      <c r="H172" s="1426" t="s">
        <v>2118</v>
      </c>
      <c r="I172" s="1426" t="s">
        <v>2119</v>
      </c>
      <c r="J172" s="1426" t="s">
        <v>2120</v>
      </c>
      <c r="K172" s="1426" t="s">
        <v>2121</v>
      </c>
      <c r="L172" s="1426" t="s">
        <v>2123</v>
      </c>
      <c r="M172" s="1426" t="s">
        <v>2122</v>
      </c>
    </row>
    <row r="173" spans="3:96" x14ac:dyDescent="0.2">
      <c r="E173" s="2370" t="s">
        <v>2403</v>
      </c>
      <c r="F173" s="1661">
        <f t="shared" ref="F173:F211" ca="1" si="115">SUMIF($B$3:$B$42,$E173,$AS$3:$AS$42)</f>
        <v>14.72222876929156</v>
      </c>
      <c r="G173" s="1661">
        <f t="shared" ref="G173:G211" ca="1" si="116">SUMIF($B$47:$B$86,$E173,$AS$47:$AS$86)</f>
        <v>18.401939709998853</v>
      </c>
      <c r="H173" s="1661">
        <f t="shared" ref="H173:H211" ca="1" si="117">SUMIF($B$92:$B$131,$E173,$AS$92:$AS$131)</f>
        <v>20.858759691987458</v>
      </c>
      <c r="I173" s="1661">
        <f ca="1">H173-F173</f>
        <v>6.1365309226958988</v>
      </c>
      <c r="J173" s="2386">
        <v>0</v>
      </c>
      <c r="K173" s="2386">
        <f t="shared" ref="K173:K211" ca="1" si="118">SUMIF($B$47:$B$86,$E173,$CP$3:$CP$42)</f>
        <v>-3.767115163175049</v>
      </c>
      <c r="L173" s="2386">
        <f t="shared" ref="L173:L211" ca="1" si="119">SUMIF($B$92:$B$131,$E173,$CP$92:$CP$131)</f>
        <v>15.592530446491544</v>
      </c>
      <c r="M173" s="2386">
        <f ca="1">L173-J173</f>
        <v>15.592530446491544</v>
      </c>
    </row>
    <row r="174" spans="3:96" x14ac:dyDescent="0.2">
      <c r="E174" s="2370" t="s">
        <v>2411</v>
      </c>
      <c r="F174" s="1661">
        <f t="shared" ca="1" si="115"/>
        <v>2.7979820232510815E-2</v>
      </c>
      <c r="G174" s="1661">
        <f t="shared" ca="1" si="116"/>
        <v>3.4974652481731629E-2</v>
      </c>
      <c r="H174" s="1661">
        <f t="shared" ca="1" si="117"/>
        <v>3.9638407932981262E-2</v>
      </c>
      <c r="I174" s="1661">
        <f t="shared" ref="I174:I211" ca="1" si="120">H174-F174</f>
        <v>1.1658587700470447E-2</v>
      </c>
      <c r="J174" s="2386">
        <v>0</v>
      </c>
      <c r="K174" s="2386">
        <f t="shared" ca="1" si="118"/>
        <v>-9.53993827431188E-3</v>
      </c>
      <c r="L174" s="2386">
        <f t="shared" ca="1" si="119"/>
        <v>4.3493384869788071E-2</v>
      </c>
      <c r="M174" s="2386">
        <f t="shared" ref="M174:M211" ca="1" si="121">L174-J174</f>
        <v>4.3493384869788071E-2</v>
      </c>
    </row>
    <row r="175" spans="3:96" x14ac:dyDescent="0.2">
      <c r="E175" s="2370" t="s">
        <v>2585</v>
      </c>
      <c r="F175" s="1661">
        <f t="shared" ca="1" si="115"/>
        <v>29.356367115474647</v>
      </c>
      <c r="G175" s="1661">
        <f t="shared" ca="1" si="116"/>
        <v>4.8434978554373525E-3</v>
      </c>
      <c r="H175" s="1661">
        <f t="shared" ca="1" si="117"/>
        <v>39.631309649356616</v>
      </c>
      <c r="I175" s="1661">
        <f t="shared" ca="1" si="120"/>
        <v>10.274942533881969</v>
      </c>
      <c r="J175" s="2386">
        <v>0</v>
      </c>
      <c r="K175" s="2386">
        <f t="shared" ca="1" si="118"/>
        <v>0</v>
      </c>
      <c r="L175" s="2386">
        <f t="shared" ca="1" si="119"/>
        <v>15.126207857701376</v>
      </c>
      <c r="M175" s="2386">
        <f t="shared" ca="1" si="121"/>
        <v>15.126207857701376</v>
      </c>
    </row>
    <row r="176" spans="3:96" x14ac:dyDescent="0.2">
      <c r="E176" s="2370" t="s">
        <v>796</v>
      </c>
      <c r="F176" s="1661">
        <f t="shared" ca="1" si="115"/>
        <v>39.386734052476086</v>
      </c>
      <c r="G176" s="1661">
        <f t="shared" ca="1" si="116"/>
        <v>46.132126136512191</v>
      </c>
      <c r="H176" s="1661">
        <f t="shared" ca="1" si="117"/>
        <v>53.420212326417158</v>
      </c>
      <c r="I176" s="1661">
        <f t="shared" ca="1" si="120"/>
        <v>14.033478273941071</v>
      </c>
      <c r="J176" s="2386">
        <v>0</v>
      </c>
      <c r="K176" s="2386">
        <f t="shared" ca="1" si="118"/>
        <v>-22.0628870985765</v>
      </c>
      <c r="L176" s="2386">
        <f t="shared" ca="1" si="119"/>
        <v>5.1995294425632341</v>
      </c>
      <c r="M176" s="2386">
        <f t="shared" ca="1" si="121"/>
        <v>5.1995294425632341</v>
      </c>
    </row>
    <row r="177" spans="5:13" x14ac:dyDescent="0.2">
      <c r="E177" s="2370" t="s">
        <v>1</v>
      </c>
      <c r="F177" s="1661">
        <f t="shared" ca="1" si="115"/>
        <v>38.236286184149648</v>
      </c>
      <c r="G177" s="1661">
        <f t="shared" ca="1" si="116"/>
        <v>47.767325262310116</v>
      </c>
      <c r="H177" s="1661">
        <f t="shared" ca="1" si="117"/>
        <v>57.298364340470584</v>
      </c>
      <c r="I177" s="1661">
        <f t="shared" ca="1" si="120"/>
        <v>19.062078156320936</v>
      </c>
      <c r="J177" s="2386">
        <v>0</v>
      </c>
      <c r="K177" s="2386">
        <f t="shared" ca="1" si="118"/>
        <v>-13.455584580932427</v>
      </c>
      <c r="L177" s="2386">
        <f t="shared" ca="1" si="119"/>
        <v>28.832892222548892</v>
      </c>
      <c r="M177" s="2386">
        <f t="shared" ca="1" si="121"/>
        <v>28.832892222548892</v>
      </c>
    </row>
    <row r="178" spans="5:13" x14ac:dyDescent="0.2">
      <c r="E178" s="2370" t="s">
        <v>2584</v>
      </c>
      <c r="F178" s="1661">
        <f t="shared" ca="1" si="115"/>
        <v>2.3964919411374357</v>
      </c>
      <c r="G178" s="1661">
        <f t="shared" ca="1" si="116"/>
        <v>2.7959111447098635</v>
      </c>
      <c r="H178" s="1661">
        <f t="shared" ca="1" si="117"/>
        <v>3.1953303482822917</v>
      </c>
      <c r="I178" s="1661">
        <f t="shared" ca="1" si="120"/>
        <v>0.79883840714485599</v>
      </c>
      <c r="J178" s="2386">
        <v>0</v>
      </c>
      <c r="K178" s="2386">
        <f t="shared" ca="1" si="118"/>
        <v>0</v>
      </c>
      <c r="L178" s="2386">
        <f t="shared" ca="1" si="119"/>
        <v>2.2052286598912882</v>
      </c>
      <c r="M178" s="2386">
        <f t="shared" ca="1" si="121"/>
        <v>2.2052286598912882</v>
      </c>
    </row>
    <row r="179" spans="5:13" x14ac:dyDescent="0.2">
      <c r="E179" s="2370" t="s">
        <v>2363</v>
      </c>
      <c r="F179" s="1661">
        <f t="shared" ca="1" si="115"/>
        <v>1.1742167430436667</v>
      </c>
      <c r="G179" s="1661">
        <f t="shared" ca="1" si="116"/>
        <v>1.3210012202482553</v>
      </c>
      <c r="H179" s="1661">
        <f t="shared" ca="1" si="117"/>
        <v>3.1953303482822917</v>
      </c>
      <c r="I179" s="1661">
        <f t="shared" ca="1" si="120"/>
        <v>2.0211136052386252</v>
      </c>
      <c r="J179" s="2386">
        <v>0</v>
      </c>
      <c r="K179" s="2386">
        <f t="shared" ca="1" si="118"/>
        <v>0</v>
      </c>
      <c r="L179" s="2386">
        <f t="shared" ca="1" si="119"/>
        <v>2.2052286598912882</v>
      </c>
      <c r="M179" s="2386">
        <f t="shared" ca="1" si="121"/>
        <v>2.2052286598912882</v>
      </c>
    </row>
    <row r="180" spans="5:13" x14ac:dyDescent="0.2">
      <c r="E180" s="2370" t="s">
        <v>2404</v>
      </c>
      <c r="F180" s="1661">
        <f t="shared" ca="1" si="115"/>
        <v>33.731087675132912</v>
      </c>
      <c r="G180" s="1661">
        <f t="shared" ca="1" si="116"/>
        <v>39.353339341921</v>
      </c>
      <c r="H180" s="1661">
        <f t="shared" ca="1" si="117"/>
        <v>1.4677856974528436</v>
      </c>
      <c r="I180" s="1661">
        <f t="shared" ca="1" si="120"/>
        <v>-32.263301977680065</v>
      </c>
      <c r="J180" s="2386">
        <v>0</v>
      </c>
      <c r="K180" s="2386">
        <f t="shared" ca="1" si="118"/>
        <v>0</v>
      </c>
      <c r="L180" s="2386">
        <f t="shared" ca="1" si="119"/>
        <v>1.0133089643789364</v>
      </c>
      <c r="M180" s="2386">
        <f t="shared" ca="1" si="121"/>
        <v>1.0133089643789364</v>
      </c>
    </row>
    <row r="181" spans="5:13" x14ac:dyDescent="0.2">
      <c r="E181" s="2370" t="s">
        <v>1192</v>
      </c>
      <c r="F181" s="1661">
        <f t="shared" ca="1" si="115"/>
        <v>21.969253316349821</v>
      </c>
      <c r="G181" s="1661">
        <f t="shared" ca="1" si="116"/>
        <v>24.410395372321652</v>
      </c>
      <c r="H181" s="1661">
        <f t="shared" ca="1" si="117"/>
        <v>44.975268031963004</v>
      </c>
      <c r="I181" s="1661">
        <f t="shared" ca="1" si="120"/>
        <v>23.006014715613183</v>
      </c>
      <c r="J181" s="2386">
        <v>0</v>
      </c>
      <c r="K181" s="2386">
        <f t="shared" ca="1" si="118"/>
        <v>0</v>
      </c>
      <c r="L181" s="2386">
        <f t="shared" ca="1" si="119"/>
        <v>21.950450531379445</v>
      </c>
      <c r="M181" s="2386">
        <f t="shared" ca="1" si="121"/>
        <v>21.950450531379445</v>
      </c>
    </row>
    <row r="182" spans="5:13" x14ac:dyDescent="0.2">
      <c r="E182" s="2370" t="s">
        <v>2371</v>
      </c>
      <c r="F182" s="1661">
        <f t="shared" ca="1" si="115"/>
        <v>34.255523729555144</v>
      </c>
      <c r="G182" s="1661">
        <f t="shared" ca="1" si="116"/>
        <v>38.062015219336523</v>
      </c>
      <c r="H182" s="1661">
        <f t="shared" ca="1" si="117"/>
        <v>26.851537428293486</v>
      </c>
      <c r="I182" s="1661">
        <f t="shared" ca="1" si="120"/>
        <v>-7.4039863012616571</v>
      </c>
      <c r="J182" s="2386">
        <v>0</v>
      </c>
      <c r="K182" s="2386">
        <f t="shared" ca="1" si="118"/>
        <v>-14.892256568902269</v>
      </c>
      <c r="L182" s="2386">
        <f t="shared" ca="1" si="119"/>
        <v>11.980863919836846</v>
      </c>
      <c r="M182" s="2386">
        <f t="shared" ca="1" si="121"/>
        <v>11.980863919836846</v>
      </c>
    </row>
    <row r="183" spans="5:13" x14ac:dyDescent="0.2">
      <c r="E183" s="2370" t="s">
        <v>1390</v>
      </c>
      <c r="F183" s="1661">
        <f t="shared" ca="1" si="115"/>
        <v>21.288624931215153</v>
      </c>
      <c r="G183" s="1661">
        <f t="shared" ca="1" si="116"/>
        <v>155.74737228183272</v>
      </c>
      <c r="H183" s="1661">
        <f t="shared" ca="1" si="117"/>
        <v>41.868345615869153</v>
      </c>
      <c r="I183" s="1661">
        <f t="shared" ca="1" si="120"/>
        <v>20.579720684653999</v>
      </c>
      <c r="J183" s="2386">
        <v>0</v>
      </c>
      <c r="K183" s="2386">
        <f t="shared" ca="1" si="118"/>
        <v>-2.5600148952749837</v>
      </c>
      <c r="L183" s="2386">
        <f t="shared" ca="1" si="119"/>
        <v>23.310562390588697</v>
      </c>
      <c r="M183" s="2386">
        <f t="shared" ca="1" si="121"/>
        <v>23.310562390588697</v>
      </c>
    </row>
    <row r="184" spans="5:13" x14ac:dyDescent="0.2">
      <c r="E184" s="2370" t="s">
        <v>839</v>
      </c>
      <c r="F184" s="1661">
        <f t="shared" ca="1" si="115"/>
        <v>0</v>
      </c>
      <c r="G184" s="1661">
        <f t="shared" ca="1" si="116"/>
        <v>0</v>
      </c>
      <c r="H184" s="1661">
        <f t="shared" ca="1" si="117"/>
        <v>417.4007320534572</v>
      </c>
      <c r="I184" s="1661">
        <f t="shared" ca="1" si="120"/>
        <v>417.4007320534572</v>
      </c>
      <c r="J184" s="2386">
        <v>0</v>
      </c>
      <c r="K184" s="2386">
        <f t="shared" ca="1" si="118"/>
        <v>0</v>
      </c>
      <c r="L184" s="2386">
        <f t="shared" ca="1" si="119"/>
        <v>119.98197522561415</v>
      </c>
      <c r="M184" s="2386">
        <f t="shared" ca="1" si="121"/>
        <v>119.98197522561415</v>
      </c>
    </row>
    <row r="185" spans="5:13" x14ac:dyDescent="0.2">
      <c r="E185" s="2370" t="s">
        <v>1190</v>
      </c>
      <c r="F185" s="1661">
        <f t="shared" ca="1" si="115"/>
        <v>115.47008839966998</v>
      </c>
      <c r="G185" s="1661">
        <f t="shared" ca="1" si="116"/>
        <v>292.26187687536435</v>
      </c>
      <c r="H185" s="1661">
        <f t="shared" ca="1" si="117"/>
        <v>581.10673106258048</v>
      </c>
      <c r="I185" s="1661">
        <f t="shared" ca="1" si="120"/>
        <v>465.6366426629105</v>
      </c>
      <c r="J185" s="2386">
        <v>0</v>
      </c>
      <c r="K185" s="2386">
        <f t="shared" ca="1" si="118"/>
        <v>0</v>
      </c>
      <c r="L185" s="2386">
        <f t="shared" ca="1" si="119"/>
        <v>0</v>
      </c>
      <c r="M185" s="2386">
        <f t="shared" ca="1" si="121"/>
        <v>0</v>
      </c>
    </row>
    <row r="186" spans="5:13" x14ac:dyDescent="0.2">
      <c r="E186" s="2370" t="s">
        <v>1767</v>
      </c>
      <c r="F186" s="1661">
        <f t="shared" ca="1" si="115"/>
        <v>2.3887198643970571</v>
      </c>
      <c r="G186" s="1661">
        <f t="shared" ca="1" si="116"/>
        <v>1.9770335741615972</v>
      </c>
      <c r="H186" s="1661">
        <f t="shared" ca="1" si="117"/>
        <v>0</v>
      </c>
      <c r="I186" s="1661">
        <f t="shared" ca="1" si="120"/>
        <v>-2.3887198643970571</v>
      </c>
      <c r="J186" s="2386">
        <v>0</v>
      </c>
      <c r="K186" s="2386">
        <f t="shared" ca="1" si="118"/>
        <v>-0.23496440808214888</v>
      </c>
      <c r="L186" s="2386">
        <f t="shared" ca="1" si="119"/>
        <v>0</v>
      </c>
      <c r="M186" s="2386">
        <f t="shared" ca="1" si="121"/>
        <v>0</v>
      </c>
    </row>
    <row r="187" spans="5:13" x14ac:dyDescent="0.2">
      <c r="E187" s="2370" t="s">
        <v>1362</v>
      </c>
      <c r="F187" s="1661">
        <f t="shared" ca="1" si="115"/>
        <v>19.732111839069216</v>
      </c>
      <c r="G187" s="1661">
        <f t="shared" ca="1" si="116"/>
        <v>25.9035097773125</v>
      </c>
      <c r="H187" s="1661">
        <f t="shared" ca="1" si="117"/>
        <v>1.7998949446821659</v>
      </c>
      <c r="I187" s="1661">
        <f t="shared" ca="1" si="120"/>
        <v>-17.93221689438705</v>
      </c>
      <c r="J187" s="2386">
        <v>0</v>
      </c>
      <c r="K187" s="2386">
        <f t="shared" ca="1" si="118"/>
        <v>-1.425763503237369</v>
      </c>
      <c r="L187" s="2386">
        <f t="shared" ca="1" si="119"/>
        <v>0.53046691031195492</v>
      </c>
      <c r="M187" s="2386">
        <f t="shared" ca="1" si="121"/>
        <v>0.53046691031195492</v>
      </c>
    </row>
    <row r="188" spans="5:13" x14ac:dyDescent="0.2">
      <c r="E188" s="2370" t="s">
        <v>43</v>
      </c>
      <c r="F188" s="1661">
        <f t="shared" ca="1" si="115"/>
        <v>0</v>
      </c>
      <c r="G188" s="1661">
        <f t="shared" ca="1" si="116"/>
        <v>0</v>
      </c>
      <c r="H188" s="1661">
        <f t="shared" ca="1" si="117"/>
        <v>37.364677376907167</v>
      </c>
      <c r="I188" s="1661">
        <f t="shared" ca="1" si="120"/>
        <v>37.364677376907167</v>
      </c>
      <c r="J188" s="2386">
        <v>0</v>
      </c>
      <c r="K188" s="2386">
        <f t="shared" ca="1" si="118"/>
        <v>0</v>
      </c>
      <c r="L188" s="2386">
        <f t="shared" ca="1" si="119"/>
        <v>7.1030848912994271</v>
      </c>
      <c r="M188" s="2386">
        <f t="shared" ca="1" si="121"/>
        <v>7.1030848912994271</v>
      </c>
    </row>
    <row r="189" spans="5:13" x14ac:dyDescent="0.2">
      <c r="E189" s="2370" t="s">
        <v>1610</v>
      </c>
      <c r="F189" s="1661">
        <f t="shared" ca="1" si="115"/>
        <v>0</v>
      </c>
      <c r="G189" s="1661">
        <f t="shared" ca="1" si="116"/>
        <v>0</v>
      </c>
      <c r="H189" s="1661">
        <f t="shared" ca="1" si="117"/>
        <v>0</v>
      </c>
      <c r="I189" s="1661">
        <f t="shared" ca="1" si="120"/>
        <v>0</v>
      </c>
      <c r="J189" s="2386">
        <v>0</v>
      </c>
      <c r="K189" s="2386">
        <f t="shared" ca="1" si="118"/>
        <v>0</v>
      </c>
      <c r="L189" s="2386">
        <f t="shared" ca="1" si="119"/>
        <v>0</v>
      </c>
      <c r="M189" s="2386">
        <f t="shared" ca="1" si="121"/>
        <v>0</v>
      </c>
    </row>
    <row r="190" spans="5:13" x14ac:dyDescent="0.2">
      <c r="E190" s="2370" t="s">
        <v>306</v>
      </c>
      <c r="F190" s="1661">
        <f t="shared" ca="1" si="115"/>
        <v>14.814108479574891</v>
      </c>
      <c r="G190" s="1661">
        <f t="shared" ca="1" si="116"/>
        <v>27.790305754830687</v>
      </c>
      <c r="H190" s="1661">
        <f t="shared" ca="1" si="117"/>
        <v>0</v>
      </c>
      <c r="I190" s="1661">
        <f t="shared" ca="1" si="120"/>
        <v>-14.814108479574891</v>
      </c>
      <c r="J190" s="2386">
        <v>0</v>
      </c>
      <c r="K190" s="2386">
        <f t="shared" ca="1" si="118"/>
        <v>3.6591407293680911</v>
      </c>
      <c r="L190" s="2386">
        <f t="shared" ca="1" si="119"/>
        <v>0</v>
      </c>
      <c r="M190" s="2386">
        <f t="shared" ca="1" si="121"/>
        <v>0</v>
      </c>
    </row>
    <row r="191" spans="5:13" x14ac:dyDescent="0.2">
      <c r="E191" s="2370" t="s">
        <v>2172</v>
      </c>
      <c r="F191" s="1661">
        <f t="shared" ca="1" si="115"/>
        <v>0</v>
      </c>
      <c r="G191" s="1661">
        <f t="shared" ca="1" si="116"/>
        <v>0</v>
      </c>
      <c r="H191" s="1661">
        <f t="shared" ca="1" si="117"/>
        <v>124.05696943934865</v>
      </c>
      <c r="I191" s="1661">
        <f t="shared" ca="1" si="120"/>
        <v>124.05696943934865</v>
      </c>
      <c r="J191" s="2386">
        <v>0</v>
      </c>
      <c r="K191" s="2386">
        <f t="shared" ca="1" si="118"/>
        <v>0</v>
      </c>
      <c r="L191" s="2386">
        <f t="shared" ca="1" si="119"/>
        <v>245.70116237300056</v>
      </c>
      <c r="M191" s="2386">
        <f t="shared" ca="1" si="121"/>
        <v>245.70116237300056</v>
      </c>
    </row>
    <row r="192" spans="5:13" x14ac:dyDescent="0.2">
      <c r="E192" s="2370" t="s">
        <v>2218</v>
      </c>
      <c r="F192" s="1661">
        <f t="shared" ca="1" si="115"/>
        <v>2.7679661681027148</v>
      </c>
      <c r="G192" s="1661">
        <f t="shared" ca="1" si="116"/>
        <v>3.7367543269386641</v>
      </c>
      <c r="H192" s="1661">
        <f t="shared" ca="1" si="117"/>
        <v>0</v>
      </c>
      <c r="I192" s="1661">
        <f t="shared" ca="1" si="120"/>
        <v>-2.7679661681027148</v>
      </c>
      <c r="J192" s="2386">
        <v>0</v>
      </c>
      <c r="K192" s="2386">
        <f t="shared" ca="1" si="118"/>
        <v>-0.3459957710128499</v>
      </c>
      <c r="L192" s="2386">
        <f t="shared" ca="1" si="119"/>
        <v>0</v>
      </c>
      <c r="M192" s="2386">
        <f t="shared" ca="1" si="121"/>
        <v>0</v>
      </c>
    </row>
    <row r="193" spans="5:13" x14ac:dyDescent="0.2">
      <c r="E193" s="2370" t="s">
        <v>2217</v>
      </c>
      <c r="F193" s="1661">
        <f t="shared" ca="1" si="115"/>
        <v>1.5170221574486709</v>
      </c>
      <c r="G193" s="1661">
        <f t="shared" ca="1" si="116"/>
        <v>2.9951492270038438</v>
      </c>
      <c r="H193" s="1661">
        <f t="shared" ca="1" si="117"/>
        <v>5.5359323362054296</v>
      </c>
      <c r="I193" s="1661">
        <f t="shared" ca="1" si="120"/>
        <v>4.0189101787567587</v>
      </c>
      <c r="J193" s="2386">
        <v>0</v>
      </c>
      <c r="K193" s="2386">
        <f t="shared" ca="1" si="118"/>
        <v>-0.34462987478165302</v>
      </c>
      <c r="L193" s="2386">
        <f t="shared" ca="1" si="119"/>
        <v>4.0168355322389671</v>
      </c>
      <c r="M193" s="2386">
        <f t="shared" ca="1" si="121"/>
        <v>4.0168355322389671</v>
      </c>
    </row>
    <row r="194" spans="5:13" x14ac:dyDescent="0.2">
      <c r="E194" s="2370" t="s">
        <v>2221</v>
      </c>
      <c r="F194" s="1661">
        <f t="shared" ca="1" si="115"/>
        <v>4.1794817919628278</v>
      </c>
      <c r="G194" s="1661">
        <f t="shared" ca="1" si="116"/>
        <v>5.6423004191498167</v>
      </c>
      <c r="H194" s="1661">
        <f t="shared" ca="1" si="117"/>
        <v>6.0680886297946834</v>
      </c>
      <c r="I194" s="1661">
        <f t="shared" ca="1" si="120"/>
        <v>1.8886068378318557</v>
      </c>
      <c r="J194" s="2386">
        <v>0</v>
      </c>
      <c r="K194" s="2386">
        <f t="shared" ca="1" si="118"/>
        <v>0</v>
      </c>
      <c r="L194" s="2386">
        <f t="shared" ca="1" si="119"/>
        <v>3.1802418539557475</v>
      </c>
      <c r="M194" s="2386">
        <f t="shared" ca="1" si="121"/>
        <v>3.1802418539557475</v>
      </c>
    </row>
    <row r="195" spans="5:13" x14ac:dyDescent="0.2">
      <c r="E195" s="2370" t="s">
        <v>176</v>
      </c>
      <c r="F195" s="1661">
        <f t="shared" ca="1" si="115"/>
        <v>0.24943535030208278</v>
      </c>
      <c r="G195" s="1661">
        <f t="shared" ca="1" si="116"/>
        <v>14.712528411984515</v>
      </c>
      <c r="H195" s="1661">
        <f t="shared" ca="1" si="117"/>
        <v>8.3589635839256555</v>
      </c>
      <c r="I195" s="1661">
        <f t="shared" ca="1" si="120"/>
        <v>8.109528233623573</v>
      </c>
      <c r="J195" s="2386">
        <v>0</v>
      </c>
      <c r="K195" s="2386">
        <f t="shared" ca="1" si="118"/>
        <v>-8.7243447454274253E-5</v>
      </c>
      <c r="L195" s="2386">
        <f t="shared" ca="1" si="119"/>
        <v>6.5672807295802649</v>
      </c>
      <c r="M195" s="2386">
        <f t="shared" ca="1" si="121"/>
        <v>6.5672807295802649</v>
      </c>
    </row>
    <row r="196" spans="5:13" x14ac:dyDescent="0.2">
      <c r="E196" s="2370" t="s">
        <v>2591</v>
      </c>
      <c r="F196" s="1661">
        <f t="shared" ca="1" si="115"/>
        <v>14986.852124018644</v>
      </c>
      <c r="G196" s="1661">
        <f t="shared" ca="1" si="116"/>
        <v>15091.29577593364</v>
      </c>
      <c r="H196" s="1661">
        <f t="shared" ca="1" si="117"/>
        <v>41.572558383680466</v>
      </c>
      <c r="I196" s="1661">
        <f t="shared" ca="1" si="120"/>
        <v>-14945.279565634963</v>
      </c>
      <c r="J196" s="2386">
        <v>0</v>
      </c>
      <c r="K196" s="2386">
        <f t="shared" ca="1" si="118"/>
        <v>0</v>
      </c>
      <c r="L196" s="2386">
        <f t="shared" ca="1" si="119"/>
        <v>0.28378048226782721</v>
      </c>
      <c r="M196" s="2386">
        <f t="shared" ca="1" si="121"/>
        <v>0.28378048226782721</v>
      </c>
    </row>
    <row r="197" spans="5:13" x14ac:dyDescent="0.2">
      <c r="E197" s="2370" t="s">
        <v>1727</v>
      </c>
      <c r="F197" s="1661">
        <f t="shared" ca="1" si="115"/>
        <v>6991.0606531696722</v>
      </c>
      <c r="G197" s="1661">
        <f t="shared" ca="1" si="116"/>
        <v>7116.3659410970176</v>
      </c>
      <c r="H197" s="1661">
        <f t="shared" ca="1" si="117"/>
        <v>15179.351782941589</v>
      </c>
      <c r="I197" s="1661">
        <f t="shared" ca="1" si="120"/>
        <v>8188.2911297719165</v>
      </c>
      <c r="J197" s="2386">
        <v>0</v>
      </c>
      <c r="K197" s="2386">
        <f t="shared" ca="1" si="118"/>
        <v>-103.60679384665997</v>
      </c>
      <c r="L197" s="2386">
        <f t="shared" ca="1" si="119"/>
        <v>462.83261324657815</v>
      </c>
      <c r="M197" s="2386">
        <f t="shared" ca="1" si="121"/>
        <v>462.83261324657815</v>
      </c>
    </row>
    <row r="198" spans="5:13" x14ac:dyDescent="0.2">
      <c r="E198" s="2370" t="s">
        <v>1728</v>
      </c>
      <c r="F198" s="1661">
        <f t="shared" ca="1" si="115"/>
        <v>1504.8350371113795</v>
      </c>
      <c r="G198" s="1661">
        <f t="shared" ca="1" si="116"/>
        <v>1529.8092861668827</v>
      </c>
      <c r="H198" s="1661">
        <f t="shared" ca="1" si="117"/>
        <v>7345.9712397709727</v>
      </c>
      <c r="I198" s="1661">
        <f t="shared" ca="1" si="120"/>
        <v>5841.1362026595934</v>
      </c>
      <c r="J198" s="2386">
        <v>0</v>
      </c>
      <c r="K198" s="2386">
        <f t="shared" ca="1" si="118"/>
        <v>-24.068710169126796</v>
      </c>
      <c r="L198" s="2386">
        <f t="shared" ca="1" si="119"/>
        <v>429.55007427036116</v>
      </c>
      <c r="M198" s="2386">
        <f t="shared" ca="1" si="121"/>
        <v>429.55007427036116</v>
      </c>
    </row>
    <row r="199" spans="5:13" x14ac:dyDescent="0.2">
      <c r="E199" s="2370" t="s">
        <v>2590</v>
      </c>
      <c r="F199" s="1661">
        <f t="shared" ca="1" si="115"/>
        <v>9494.0267045877335</v>
      </c>
      <c r="G199" s="1661">
        <f t="shared" ca="1" si="116"/>
        <v>9514.4414916423339</v>
      </c>
      <c r="H199" s="1661">
        <f t="shared" ca="1" si="117"/>
        <v>1576.4380587841479</v>
      </c>
      <c r="I199" s="1661">
        <f t="shared" ca="1" si="120"/>
        <v>-7917.5886458035857</v>
      </c>
      <c r="J199" s="2386">
        <v>0</v>
      </c>
      <c r="K199" s="2386">
        <f t="shared" ca="1" si="118"/>
        <v>0</v>
      </c>
      <c r="L199" s="2386">
        <f t="shared" ca="1" si="119"/>
        <v>94.904328644534814</v>
      </c>
      <c r="M199" s="2386">
        <f t="shared" ca="1" si="121"/>
        <v>94.904328644534814</v>
      </c>
    </row>
    <row r="200" spans="5:13" x14ac:dyDescent="0.2">
      <c r="E200" s="2370" t="s">
        <v>1730</v>
      </c>
      <c r="F200" s="1661">
        <f t="shared" ca="1" si="115"/>
        <v>1.0670915911372343</v>
      </c>
      <c r="G200" s="1661">
        <f t="shared" ca="1" si="116"/>
        <v>1.3173267158559694</v>
      </c>
      <c r="H200" s="1661">
        <f t="shared" ca="1" si="117"/>
        <v>9535.6307727106869</v>
      </c>
      <c r="I200" s="1661">
        <f t="shared" ca="1" si="120"/>
        <v>9534.5636811195491</v>
      </c>
      <c r="J200" s="2386">
        <v>0</v>
      </c>
      <c r="K200" s="2386">
        <f t="shared" ca="1" si="118"/>
        <v>0</v>
      </c>
      <c r="L200" s="2386">
        <f t="shared" ca="1" si="119"/>
        <v>73.466245002092037</v>
      </c>
      <c r="M200" s="2386">
        <f t="shared" ca="1" si="121"/>
        <v>73.466245002092037</v>
      </c>
    </row>
    <row r="201" spans="5:13" x14ac:dyDescent="0.2">
      <c r="E201" s="2370" t="s">
        <v>19</v>
      </c>
      <c r="F201" s="1661">
        <f t="shared" ca="1" si="115"/>
        <v>33.390099551798961</v>
      </c>
      <c r="G201" s="1661">
        <f t="shared" ca="1" si="116"/>
        <v>33.390099551798961</v>
      </c>
      <c r="H201" s="1661">
        <f t="shared" ca="1" si="117"/>
        <v>1.5455114764872728</v>
      </c>
      <c r="I201" s="1661">
        <f t="shared" ca="1" si="120"/>
        <v>-31.844588075311687</v>
      </c>
      <c r="J201" s="2386">
        <v>0</v>
      </c>
      <c r="K201" s="2386">
        <f t="shared" ca="1" si="118"/>
        <v>-0.22638546725206327</v>
      </c>
      <c r="L201" s="2386">
        <f t="shared" ca="1" si="119"/>
        <v>0.14067576793850634</v>
      </c>
      <c r="M201" s="2386">
        <f t="shared" ca="1" si="121"/>
        <v>0.14067576793850634</v>
      </c>
    </row>
    <row r="202" spans="5:13" x14ac:dyDescent="0.2">
      <c r="E202" s="2370" t="s">
        <v>397</v>
      </c>
      <c r="F202" s="1661">
        <f t="shared" ca="1" si="115"/>
        <v>0</v>
      </c>
      <c r="G202" s="1661">
        <f t="shared" ca="1" si="116"/>
        <v>0</v>
      </c>
      <c r="H202" s="1661">
        <f t="shared" ca="1" si="117"/>
        <v>33.390099551798961</v>
      </c>
      <c r="I202" s="1661">
        <f t="shared" ca="1" si="120"/>
        <v>33.390099551798961</v>
      </c>
      <c r="J202" s="2386">
        <v>0</v>
      </c>
      <c r="K202" s="2386">
        <f t="shared" ca="1" si="118"/>
        <v>0</v>
      </c>
      <c r="L202" s="2386">
        <f t="shared" ca="1" si="119"/>
        <v>0.38781023961930239</v>
      </c>
      <c r="M202" s="2386">
        <f t="shared" ca="1" si="121"/>
        <v>0.38781023961930239</v>
      </c>
    </row>
    <row r="203" spans="5:13" x14ac:dyDescent="0.2">
      <c r="E203" s="2370" t="s">
        <v>606</v>
      </c>
      <c r="F203" s="1661">
        <f t="shared" ca="1" si="115"/>
        <v>28.07178916483203</v>
      </c>
      <c r="G203" s="1661">
        <f t="shared" ca="1" si="116"/>
        <v>28.07178916483203</v>
      </c>
      <c r="H203" s="1661">
        <f t="shared" ca="1" si="117"/>
        <v>0</v>
      </c>
      <c r="I203" s="1661">
        <f t="shared" ca="1" si="120"/>
        <v>-28.07178916483203</v>
      </c>
      <c r="J203" s="2386">
        <v>0</v>
      </c>
      <c r="K203" s="2386">
        <f t="shared" ca="1" si="118"/>
        <v>-0.74562408097222344</v>
      </c>
      <c r="L203" s="2386">
        <f t="shared" ca="1" si="119"/>
        <v>0</v>
      </c>
      <c r="M203" s="2386">
        <f t="shared" ca="1" si="121"/>
        <v>0</v>
      </c>
    </row>
    <row r="204" spans="5:13" x14ac:dyDescent="0.2">
      <c r="E204" s="2370" t="s">
        <v>111</v>
      </c>
      <c r="F204" s="1661">
        <f t="shared" ca="1" si="115"/>
        <v>2.2648549961520481</v>
      </c>
      <c r="G204" s="1661">
        <f t="shared" ca="1" si="116"/>
        <v>2.5827380167981837</v>
      </c>
      <c r="H204" s="1661">
        <f t="shared" ca="1" si="117"/>
        <v>28.07178916483203</v>
      </c>
      <c r="I204" s="1661">
        <f t="shared" ca="1" si="120"/>
        <v>25.80693416867998</v>
      </c>
      <c r="J204" s="2386">
        <v>0</v>
      </c>
      <c r="K204" s="2386">
        <f t="shared" ca="1" si="118"/>
        <v>-5.6104846604151173E-2</v>
      </c>
      <c r="L204" s="2386">
        <f t="shared" ca="1" si="119"/>
        <v>10.800428002391897</v>
      </c>
      <c r="M204" s="2386">
        <f t="shared" ca="1" si="121"/>
        <v>10.800428002391897</v>
      </c>
    </row>
    <row r="205" spans="5:13" x14ac:dyDescent="0.2">
      <c r="E205" s="2370" t="s">
        <v>1710</v>
      </c>
      <c r="F205" s="1661">
        <f t="shared" ca="1" si="115"/>
        <v>3.0526712037012098</v>
      </c>
      <c r="G205" s="1661">
        <f t="shared" ca="1" si="116"/>
        <v>4.1297519640627307</v>
      </c>
      <c r="H205" s="1661">
        <f t="shared" ca="1" si="117"/>
        <v>3.1730921979981521</v>
      </c>
      <c r="I205" s="1661">
        <f t="shared" ca="1" si="120"/>
        <v>0.12042099429694231</v>
      </c>
      <c r="J205" s="2386">
        <v>0</v>
      </c>
      <c r="K205" s="2386">
        <f t="shared" ca="1" si="118"/>
        <v>0</v>
      </c>
      <c r="L205" s="2386">
        <f t="shared" ca="1" si="119"/>
        <v>0.88359013958378063</v>
      </c>
      <c r="M205" s="2386">
        <f t="shared" ca="1" si="121"/>
        <v>0.88359013958378063</v>
      </c>
    </row>
    <row r="206" spans="5:13" x14ac:dyDescent="0.2">
      <c r="E206" s="2370" t="s">
        <v>1711</v>
      </c>
      <c r="F206" s="1661">
        <f t="shared" ca="1" si="115"/>
        <v>324.20047141505665</v>
      </c>
      <c r="G206" s="1661">
        <f t="shared" ca="1" si="116"/>
        <v>415.7558045661882</v>
      </c>
      <c r="H206" s="1661">
        <f t="shared" ca="1" si="117"/>
        <v>5.7453731046050116</v>
      </c>
      <c r="I206" s="1661">
        <f t="shared" ca="1" si="120"/>
        <v>-318.45509831045166</v>
      </c>
      <c r="J206" s="2386">
        <v>0</v>
      </c>
      <c r="K206" s="2386">
        <f t="shared" ca="1" si="118"/>
        <v>0</v>
      </c>
      <c r="L206" s="2386">
        <f t="shared" ca="1" si="119"/>
        <v>0</v>
      </c>
      <c r="M206" s="2386">
        <f t="shared" ca="1" si="121"/>
        <v>0</v>
      </c>
    </row>
    <row r="207" spans="5:13" x14ac:dyDescent="0.2">
      <c r="E207" s="2370" t="s">
        <v>1712</v>
      </c>
      <c r="F207" s="1661">
        <f t="shared" ca="1" si="115"/>
        <v>85.224155061248624</v>
      </c>
      <c r="G207" s="1661">
        <f t="shared" ca="1" si="116"/>
        <v>120.43028508106701</v>
      </c>
      <c r="H207" s="1661">
        <f t="shared" ca="1" si="117"/>
        <v>517.72762938235235</v>
      </c>
      <c r="I207" s="1661">
        <f t="shared" ca="1" si="120"/>
        <v>432.50347432110374</v>
      </c>
      <c r="J207" s="2386">
        <v>0</v>
      </c>
      <c r="K207" s="2386">
        <f t="shared" ca="1" si="118"/>
        <v>0</v>
      </c>
      <c r="L207" s="2386">
        <f t="shared" ca="1" si="119"/>
        <v>0</v>
      </c>
      <c r="M207" s="2386">
        <f t="shared" ca="1" si="121"/>
        <v>0</v>
      </c>
    </row>
    <row r="208" spans="5:13" x14ac:dyDescent="0.2">
      <c r="E208" s="2370" t="s">
        <v>441</v>
      </c>
      <c r="F208" s="1661">
        <f t="shared" ca="1" si="115"/>
        <v>1.3494429345883039</v>
      </c>
      <c r="G208" s="1661">
        <f t="shared" ca="1" si="116"/>
        <v>1.8938120383379156</v>
      </c>
      <c r="H208" s="1661">
        <f t="shared" ca="1" si="117"/>
        <v>162.67764110484913</v>
      </c>
      <c r="I208" s="1661">
        <f t="shared" ca="1" si="120"/>
        <v>161.32819817026083</v>
      </c>
      <c r="J208" s="2386">
        <v>0</v>
      </c>
      <c r="K208" s="2386">
        <f t="shared" ca="1" si="118"/>
        <v>-0.27479583879844982</v>
      </c>
      <c r="L208" s="2386">
        <f t="shared" ca="1" si="119"/>
        <v>0</v>
      </c>
      <c r="M208" s="2386">
        <f t="shared" ca="1" si="121"/>
        <v>0</v>
      </c>
    </row>
    <row r="209" spans="4:13" x14ac:dyDescent="0.2">
      <c r="E209" s="2370" t="s">
        <v>1701</v>
      </c>
      <c r="F209" s="1661">
        <f t="shared" ca="1" si="115"/>
        <v>28.72890663121477</v>
      </c>
      <c r="G209" s="1661">
        <f t="shared" ca="1" si="116"/>
        <v>39.445397125335376</v>
      </c>
      <c r="H209" s="1661">
        <f t="shared" ca="1" si="117"/>
        <v>2.9045829812550625</v>
      </c>
      <c r="I209" s="1661">
        <f t="shared" ca="1" si="120"/>
        <v>-25.824323649959709</v>
      </c>
      <c r="J209" s="2386">
        <v>0</v>
      </c>
      <c r="K209" s="2386">
        <f t="shared" ca="1" si="118"/>
        <v>0</v>
      </c>
      <c r="L209" s="2386">
        <f t="shared" ca="1" si="119"/>
        <v>1.3702696712090068</v>
      </c>
      <c r="M209" s="2386">
        <f t="shared" ca="1" si="121"/>
        <v>1.3702696712090068</v>
      </c>
    </row>
    <row r="210" spans="4:13" x14ac:dyDescent="0.2">
      <c r="E210" s="2370" t="s">
        <v>1702</v>
      </c>
      <c r="F210" s="1661">
        <f t="shared" ca="1" si="115"/>
        <v>-232.42439388287119</v>
      </c>
      <c r="G210" s="1661">
        <f t="shared" ca="1" si="116"/>
        <v>-352.76492265240427</v>
      </c>
      <c r="H210" s="1661">
        <f t="shared" ca="1" si="117"/>
        <v>55.520132866516278</v>
      </c>
      <c r="I210" s="1661">
        <f t="shared" ca="1" si="120"/>
        <v>287.94452674938748</v>
      </c>
      <c r="J210" s="2386">
        <v>0</v>
      </c>
      <c r="K210" s="2386">
        <f t="shared" ca="1" si="118"/>
        <v>0</v>
      </c>
      <c r="L210" s="2386">
        <f t="shared" ca="1" si="119"/>
        <v>0</v>
      </c>
      <c r="M210" s="2386">
        <f t="shared" ca="1" si="121"/>
        <v>0</v>
      </c>
    </row>
    <row r="211" spans="4:13" x14ac:dyDescent="0.2">
      <c r="E211" s="2370" t="s">
        <v>1703</v>
      </c>
      <c r="F211" s="1661">
        <f t="shared" ca="1" si="115"/>
        <v>-70.41033033347577</v>
      </c>
      <c r="G211" s="1661">
        <f t="shared" ca="1" si="116"/>
        <v>-98.597825383947935</v>
      </c>
      <c r="H211" s="1661">
        <f t="shared" ca="1" si="117"/>
        <v>-440.28530721206482</v>
      </c>
      <c r="I211" s="1661">
        <f t="shared" ca="1" si="120"/>
        <v>-369.87497687858905</v>
      </c>
      <c r="J211" s="2386">
        <v>0</v>
      </c>
      <c r="K211" s="2386">
        <f t="shared" ca="1" si="118"/>
        <v>0</v>
      </c>
      <c r="L211" s="2386">
        <f t="shared" ca="1" si="119"/>
        <v>0</v>
      </c>
      <c r="M211" s="2386">
        <f t="shared" ca="1" si="121"/>
        <v>0</v>
      </c>
    </row>
    <row r="212" spans="4:13" x14ac:dyDescent="0.2">
      <c r="D212" s="1426" t="s">
        <v>2125</v>
      </c>
      <c r="E212" s="1680" t="s">
        <v>104</v>
      </c>
      <c r="F212" s="1661">
        <f ca="1">F220+F223</f>
        <v>31.781577834915979</v>
      </c>
      <c r="G212" s="1661">
        <f t="shared" ref="G212:M212" ca="1" si="122">G220+G223</f>
        <v>43.57514908939811</v>
      </c>
      <c r="H212" s="1661">
        <f t="shared" ca="1" si="122"/>
        <v>6.0776751792532142</v>
      </c>
      <c r="I212" s="1661">
        <f t="shared" ca="1" si="122"/>
        <v>-25.703902655662766</v>
      </c>
      <c r="J212" s="1661">
        <f t="shared" si="122"/>
        <v>0</v>
      </c>
      <c r="K212" s="1661">
        <f t="shared" ca="1" si="122"/>
        <v>0</v>
      </c>
      <c r="L212" s="1661">
        <f t="shared" ca="1" si="122"/>
        <v>2.2538598107927874</v>
      </c>
      <c r="M212" s="1661">
        <f t="shared" ca="1" si="122"/>
        <v>2.2538598107927874</v>
      </c>
    </row>
    <row r="213" spans="4:13" x14ac:dyDescent="0.2">
      <c r="D213" s="1426" t="s">
        <v>2125</v>
      </c>
      <c r="E213" s="1680" t="s">
        <v>118</v>
      </c>
      <c r="F213" s="1661">
        <f ca="1">F221+F224</f>
        <v>91.776077532185468</v>
      </c>
      <c r="G213" s="1661">
        <f t="shared" ref="G213:M213" ca="1" si="123">G221+G224</f>
        <v>62.990881913783937</v>
      </c>
      <c r="H213" s="1661">
        <f t="shared" ca="1" si="123"/>
        <v>61.265505971121286</v>
      </c>
      <c r="I213" s="1661">
        <f t="shared" ca="1" si="123"/>
        <v>-30.510571561064182</v>
      </c>
      <c r="J213" s="1661">
        <f t="shared" si="123"/>
        <v>0</v>
      </c>
      <c r="K213" s="1661">
        <f t="shared" ca="1" si="123"/>
        <v>0</v>
      </c>
      <c r="L213" s="1661">
        <f t="shared" ca="1" si="123"/>
        <v>0</v>
      </c>
      <c r="M213" s="1661">
        <f t="shared" ca="1" si="123"/>
        <v>0</v>
      </c>
    </row>
    <row r="214" spans="4:13" x14ac:dyDescent="0.2">
      <c r="D214" s="1426" t="s">
        <v>2125</v>
      </c>
      <c r="E214" s="1680" t="s">
        <v>10</v>
      </c>
      <c r="F214" s="1661">
        <f ca="1">F222+F225</f>
        <v>14.813824727772854</v>
      </c>
      <c r="G214" s="1661">
        <f t="shared" ref="G214:M214" ca="1" si="124">G222+G225</f>
        <v>21.832459697119077</v>
      </c>
      <c r="H214" s="1661">
        <f t="shared" ca="1" si="124"/>
        <v>77.442322170287525</v>
      </c>
      <c r="I214" s="1661">
        <f t="shared" ca="1" si="124"/>
        <v>62.628497442514686</v>
      </c>
      <c r="J214" s="1661">
        <f t="shared" si="124"/>
        <v>0</v>
      </c>
      <c r="K214" s="1661">
        <f t="shared" ca="1" si="124"/>
        <v>0</v>
      </c>
      <c r="L214" s="1661">
        <f t="shared" ca="1" si="124"/>
        <v>0</v>
      </c>
      <c r="M214" s="1661">
        <f t="shared" ca="1" si="124"/>
        <v>0</v>
      </c>
    </row>
    <row r="215" spans="4:13" x14ac:dyDescent="0.2">
      <c r="D215" s="1426" t="s">
        <v>2126</v>
      </c>
      <c r="E215" s="1680" t="s">
        <v>2124</v>
      </c>
      <c r="F215" s="1680">
        <v>0</v>
      </c>
      <c r="G215" s="1245">
        <f ca="1">CP87</f>
        <v>270.40024124151188</v>
      </c>
      <c r="H215" s="1245">
        <f ca="1">CP132</f>
        <v>780.3595221945302</v>
      </c>
      <c r="I215" s="1661">
        <f ca="1">H215-F215</f>
        <v>780.3595221945302</v>
      </c>
      <c r="J215" s="1680">
        <v>0</v>
      </c>
      <c r="K215" s="1680">
        <v>0</v>
      </c>
      <c r="L215" s="1680">
        <v>0</v>
      </c>
      <c r="M215" s="1680">
        <v>0</v>
      </c>
    </row>
    <row r="220" spans="4:13" x14ac:dyDescent="0.2">
      <c r="E220" s="2370" t="s">
        <v>1710</v>
      </c>
      <c r="F220" s="1661">
        <f t="shared" ref="F220:F225" ca="1" si="125">SUMIF($B$3:$B$42,$E220,$AS$3:$AS$42)</f>
        <v>3.0526712037012098</v>
      </c>
      <c r="G220" s="1661">
        <f t="shared" ref="G220:G225" ca="1" si="126">SUMIF($B$47:$B$86,$E220,$AS$47:$AS$86)</f>
        <v>4.1297519640627307</v>
      </c>
      <c r="H220" s="1661">
        <f t="shared" ref="H220:H225" ca="1" si="127">SUMIF($B$92:$B$131,$E220,$AS$92:$AS$131)</f>
        <v>3.1730921979981521</v>
      </c>
      <c r="I220" s="1661">
        <f t="shared" ref="I220:I225" ca="1" si="128">H220-F220</f>
        <v>0.12042099429694231</v>
      </c>
      <c r="J220" s="2386">
        <v>0</v>
      </c>
      <c r="K220" s="2386">
        <f t="shared" ref="K220:K225" ca="1" si="129">SUMIF($B$47:$B$86,$E220,$CP$3:$CP$42)</f>
        <v>0</v>
      </c>
      <c r="L220" s="2386">
        <f t="shared" ref="L220:L225" ca="1" si="130">SUMIF($B$92:$B$131,$E220,$CP$92:$CP$131)</f>
        <v>0.88359013958378063</v>
      </c>
      <c r="M220" s="2386">
        <f t="shared" ref="M220:M225" ca="1" si="131">L220-J220</f>
        <v>0.88359013958378063</v>
      </c>
    </row>
    <row r="221" spans="4:13" x14ac:dyDescent="0.2">
      <c r="E221" s="2370" t="s">
        <v>1711</v>
      </c>
      <c r="F221" s="1661">
        <f t="shared" ca="1" si="125"/>
        <v>324.20047141505665</v>
      </c>
      <c r="G221" s="1661">
        <f t="shared" ca="1" si="126"/>
        <v>415.7558045661882</v>
      </c>
      <c r="H221" s="1661">
        <f t="shared" ca="1" si="127"/>
        <v>5.7453731046050116</v>
      </c>
      <c r="I221" s="1661">
        <f t="shared" ca="1" si="128"/>
        <v>-318.45509831045166</v>
      </c>
      <c r="J221" s="2386">
        <v>0</v>
      </c>
      <c r="K221" s="2386">
        <f t="shared" ca="1" si="129"/>
        <v>0</v>
      </c>
      <c r="L221" s="2386">
        <f t="shared" ca="1" si="130"/>
        <v>0</v>
      </c>
      <c r="M221" s="2386">
        <f t="shared" ca="1" si="131"/>
        <v>0</v>
      </c>
    </row>
    <row r="222" spans="4:13" x14ac:dyDescent="0.2">
      <c r="E222" s="2370" t="s">
        <v>1712</v>
      </c>
      <c r="F222" s="1661">
        <f t="shared" ca="1" si="125"/>
        <v>85.224155061248624</v>
      </c>
      <c r="G222" s="1661">
        <f t="shared" ca="1" si="126"/>
        <v>120.43028508106701</v>
      </c>
      <c r="H222" s="1661">
        <f t="shared" ca="1" si="127"/>
        <v>517.72762938235235</v>
      </c>
      <c r="I222" s="1661">
        <f t="shared" ca="1" si="128"/>
        <v>432.50347432110374</v>
      </c>
      <c r="J222" s="2386">
        <v>0</v>
      </c>
      <c r="K222" s="2386">
        <f t="shared" ca="1" si="129"/>
        <v>0</v>
      </c>
      <c r="L222" s="2386">
        <f t="shared" ca="1" si="130"/>
        <v>0</v>
      </c>
      <c r="M222" s="2386">
        <f t="shared" ca="1" si="131"/>
        <v>0</v>
      </c>
    </row>
    <row r="223" spans="4:13" x14ac:dyDescent="0.2">
      <c r="E223" s="2370" t="s">
        <v>1701</v>
      </c>
      <c r="F223" s="1661">
        <f t="shared" ca="1" si="125"/>
        <v>28.72890663121477</v>
      </c>
      <c r="G223" s="1661">
        <f t="shared" ca="1" si="126"/>
        <v>39.445397125335376</v>
      </c>
      <c r="H223" s="1661">
        <f t="shared" ca="1" si="127"/>
        <v>2.9045829812550625</v>
      </c>
      <c r="I223" s="1661">
        <f t="shared" ca="1" si="128"/>
        <v>-25.824323649959709</v>
      </c>
      <c r="J223" s="2386">
        <v>0</v>
      </c>
      <c r="K223" s="2386">
        <f t="shared" ca="1" si="129"/>
        <v>0</v>
      </c>
      <c r="L223" s="2386">
        <f t="shared" ca="1" si="130"/>
        <v>1.3702696712090068</v>
      </c>
      <c r="M223" s="2386">
        <f t="shared" ca="1" si="131"/>
        <v>1.3702696712090068</v>
      </c>
    </row>
    <row r="224" spans="4:13" x14ac:dyDescent="0.2">
      <c r="E224" s="2370" t="s">
        <v>1702</v>
      </c>
      <c r="F224" s="1661">
        <f t="shared" ca="1" si="125"/>
        <v>-232.42439388287119</v>
      </c>
      <c r="G224" s="1661">
        <f t="shared" ca="1" si="126"/>
        <v>-352.76492265240427</v>
      </c>
      <c r="H224" s="1661">
        <f t="shared" ca="1" si="127"/>
        <v>55.520132866516278</v>
      </c>
      <c r="I224" s="1661">
        <f t="shared" ca="1" si="128"/>
        <v>287.94452674938748</v>
      </c>
      <c r="J224" s="2386">
        <v>0</v>
      </c>
      <c r="K224" s="2386">
        <f t="shared" ca="1" si="129"/>
        <v>0</v>
      </c>
      <c r="L224" s="2386">
        <f t="shared" ca="1" si="130"/>
        <v>0</v>
      </c>
      <c r="M224" s="2386">
        <f t="shared" ca="1" si="131"/>
        <v>0</v>
      </c>
    </row>
    <row r="225" spans="5:13" x14ac:dyDescent="0.2">
      <c r="E225" s="2370" t="s">
        <v>1703</v>
      </c>
      <c r="F225" s="1661">
        <f t="shared" ca="1" si="125"/>
        <v>-70.41033033347577</v>
      </c>
      <c r="G225" s="1661">
        <f t="shared" ca="1" si="126"/>
        <v>-98.597825383947935</v>
      </c>
      <c r="H225" s="1661">
        <f t="shared" ca="1" si="127"/>
        <v>-440.28530721206482</v>
      </c>
      <c r="I225" s="1661">
        <f t="shared" ca="1" si="128"/>
        <v>-369.87497687858905</v>
      </c>
      <c r="J225" s="2386">
        <v>0</v>
      </c>
      <c r="K225" s="2386">
        <f t="shared" ca="1" si="129"/>
        <v>0</v>
      </c>
      <c r="L225" s="2386">
        <f t="shared" ca="1" si="130"/>
        <v>0</v>
      </c>
      <c r="M225" s="2386">
        <f t="shared" ca="1" si="131"/>
        <v>0</v>
      </c>
    </row>
  </sheetData>
  <pageMargins left="0.7" right="0.7" top="0.75" bottom="0.75" header="0.3" footer="0.3"/>
  <pageSetup paperSize="9" orientation="portrait" horizontalDpi="4294967292" verticalDpi="4294967292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 enableFormatConditionsCalculation="0">
    <tabColor theme="5" tint="0.39997558519241921"/>
  </sheetPr>
  <dimension ref="A1:CR175"/>
  <sheetViews>
    <sheetView windowProtection="1" topLeftCell="A85" workbookViewId="0">
      <selection activeCell="A116" sqref="A116:A119"/>
    </sheetView>
  </sheetViews>
  <sheetFormatPr defaultColWidth="8.7109375" defaultRowHeight="12.75" x14ac:dyDescent="0.2"/>
  <cols>
    <col min="1" max="1" width="20.7109375" style="1352" customWidth="1"/>
    <col min="2" max="2" width="42.140625" style="1352" customWidth="1"/>
    <col min="3" max="3" width="14.28515625" style="1352" customWidth="1"/>
    <col min="4" max="4" width="3.42578125" style="1352" customWidth="1"/>
    <col min="5" max="5" width="18.5703125" style="1352" bestFit="1" customWidth="1"/>
    <col min="6" max="6" width="25" style="1352" bestFit="1" customWidth="1"/>
    <col min="7" max="7" width="18.5703125" style="1352" bestFit="1" customWidth="1"/>
    <col min="8" max="13" width="19.7109375" style="1352" bestFit="1" customWidth="1"/>
    <col min="14" max="14" width="10.7109375" style="1352" customWidth="1"/>
    <col min="15" max="15" width="19.7109375" style="1352" bestFit="1" customWidth="1"/>
    <col min="16" max="16" width="27.28515625" style="1352" bestFit="1" customWidth="1"/>
    <col min="17" max="23" width="19.7109375" style="1352" bestFit="1" customWidth="1"/>
    <col min="24" max="24" width="2.7109375" style="1352" customWidth="1"/>
    <col min="25" max="25" width="16.85546875" style="1352" bestFit="1" customWidth="1"/>
    <col min="26" max="26" width="22.7109375" style="1352" bestFit="1" customWidth="1"/>
    <col min="27" max="33" width="16.85546875" style="1352" bestFit="1" customWidth="1"/>
    <col min="34" max="34" width="3" style="1352" customWidth="1"/>
    <col min="35" max="35" width="22.42578125" style="1352" bestFit="1" customWidth="1"/>
    <col min="36" max="43" width="19.7109375" style="1352" bestFit="1" customWidth="1"/>
    <col min="44" max="44" width="2.28515625" style="1673" customWidth="1"/>
    <col min="45" max="45" width="19.7109375" style="1501" bestFit="1" customWidth="1"/>
    <col min="46" max="46" width="20.85546875" style="1489" bestFit="1" customWidth="1"/>
    <col min="47" max="47" width="2.28515625" style="1489" customWidth="1"/>
    <col min="48" max="48" width="6.7109375" style="1489" customWidth="1"/>
    <col min="49" max="49" width="5.28515625" style="1489" customWidth="1"/>
    <col min="50" max="50" width="2.28515625" style="1489" customWidth="1"/>
    <col min="51" max="51" width="35.7109375" style="1352" bestFit="1" customWidth="1"/>
    <col min="52" max="57" width="18.5703125" style="1352" bestFit="1" customWidth="1"/>
    <col min="58" max="58" width="19.7109375" style="1352" bestFit="1" customWidth="1"/>
    <col min="59" max="59" width="19.7109375" style="1489" bestFit="1" customWidth="1"/>
    <col min="60" max="60" width="2.28515625" style="1489" customWidth="1"/>
    <col min="61" max="61" width="29.42578125" style="1352" bestFit="1" customWidth="1"/>
    <col min="62" max="63" width="18.5703125" style="1352" bestFit="1" customWidth="1"/>
    <col min="64" max="69" width="19.7109375" style="1352" bestFit="1" customWidth="1"/>
    <col min="70" max="70" width="2.28515625" style="1489" customWidth="1"/>
    <col min="71" max="71" width="24.85546875" style="1352" bestFit="1" customWidth="1"/>
    <col min="72" max="79" width="19.7109375" style="1352" bestFit="1" customWidth="1"/>
    <col min="80" max="80" width="2.28515625" style="1673" customWidth="1"/>
    <col min="81" max="81" width="19.7109375" style="1673" bestFit="1" customWidth="1"/>
    <col min="82" max="82" width="20.85546875" style="1673" bestFit="1" customWidth="1"/>
    <col min="83" max="83" width="2.28515625" style="1352" customWidth="1"/>
    <col min="84" max="84" width="57.140625" style="1352" bestFit="1" customWidth="1"/>
    <col min="85" max="88" width="19.28515625" style="1352" bestFit="1" customWidth="1"/>
    <col min="89" max="92" width="19.7109375" style="1352" bestFit="1" customWidth="1"/>
    <col min="93" max="93" width="2.28515625" style="1673" customWidth="1"/>
    <col min="94" max="94" width="57.140625" style="1673" bestFit="1" customWidth="1"/>
    <col min="95" max="95" width="20.42578125" style="1673" bestFit="1" customWidth="1"/>
    <col min="96" max="96" width="3" style="1352" customWidth="1"/>
    <col min="97" max="16384" width="8.7109375" style="1352"/>
  </cols>
  <sheetData>
    <row r="1" spans="1:96" x14ac:dyDescent="0.2">
      <c r="A1" s="1589"/>
      <c r="B1" s="82" t="str">
        <f>Preferences.moneyunits</f>
        <v>N</v>
      </c>
      <c r="E1" s="17" t="s">
        <v>1382</v>
      </c>
      <c r="F1" s="1569" t="s">
        <v>1383</v>
      </c>
      <c r="G1" s="1569"/>
      <c r="H1" s="1569"/>
      <c r="I1" s="1569"/>
      <c r="J1" s="1569"/>
      <c r="K1" s="1569"/>
      <c r="L1" s="1569"/>
      <c r="M1" s="1569"/>
      <c r="O1" s="17" t="s">
        <v>1384</v>
      </c>
      <c r="P1" s="1569" t="s">
        <v>1385</v>
      </c>
      <c r="Q1" s="1569"/>
      <c r="R1" s="1569"/>
      <c r="S1" s="1569"/>
      <c r="T1" s="1569"/>
      <c r="U1" s="1569"/>
      <c r="V1" s="1569"/>
      <c r="W1" s="1569"/>
      <c r="X1" s="1569"/>
      <c r="Y1" s="17" t="s">
        <v>1386</v>
      </c>
      <c r="Z1" s="1569" t="s">
        <v>1387</v>
      </c>
      <c r="AA1" s="1569"/>
      <c r="AB1" s="1569"/>
      <c r="AC1" s="1569"/>
      <c r="AD1" s="1569"/>
      <c r="AE1" s="1569"/>
      <c r="AF1" s="1569"/>
      <c r="AG1" s="1569"/>
      <c r="AH1" s="1569"/>
      <c r="AI1" s="17" t="s">
        <v>1388</v>
      </c>
      <c r="AJ1" s="1569"/>
      <c r="AK1" s="1569"/>
      <c r="AL1" s="1569"/>
      <c r="AM1" s="1569"/>
      <c r="AN1" s="1569"/>
      <c r="AO1" s="1569"/>
      <c r="AP1" s="1569"/>
      <c r="AQ1" s="1569"/>
      <c r="AS1" s="1673" t="s">
        <v>1826</v>
      </c>
      <c r="AT1" s="1569"/>
      <c r="AV1" s="1568" t="s">
        <v>1613</v>
      </c>
      <c r="AW1" s="1569"/>
      <c r="AY1" s="17" t="s">
        <v>1956</v>
      </c>
      <c r="AZ1" s="2127"/>
      <c r="BA1" s="2127"/>
      <c r="BB1" s="2127"/>
      <c r="BC1" s="2127"/>
      <c r="BD1" s="2127"/>
      <c r="BE1" s="2127"/>
      <c r="BF1" s="2127"/>
      <c r="BG1" s="2127"/>
      <c r="BH1" s="2127"/>
      <c r="BI1" s="17" t="s">
        <v>1957</v>
      </c>
      <c r="BJ1" s="1569"/>
      <c r="BK1" s="1569"/>
      <c r="BL1" s="1569"/>
      <c r="BM1" s="1569"/>
      <c r="BN1" s="1569"/>
      <c r="BO1" s="1569"/>
      <c r="BP1" s="1569"/>
      <c r="BQ1" s="1569"/>
      <c r="BR1" s="1352"/>
      <c r="BS1" s="17" t="s">
        <v>2064</v>
      </c>
      <c r="BT1" s="1569"/>
      <c r="BU1" s="1569"/>
      <c r="BV1" s="1569"/>
      <c r="BW1" s="1569"/>
      <c r="BX1" s="1569"/>
      <c r="BY1" s="1569"/>
      <c r="BZ1" s="1489"/>
      <c r="CC1" s="1673" t="s">
        <v>1825</v>
      </c>
      <c r="CF1" s="1581" t="s">
        <v>1733</v>
      </c>
      <c r="CP1" s="1673" t="s">
        <v>1733</v>
      </c>
    </row>
    <row r="2" spans="1:96" ht="13.5" thickBot="1" x14ac:dyDescent="0.25">
      <c r="A2" s="1681" t="s">
        <v>69</v>
      </c>
      <c r="B2" s="1681" t="s">
        <v>65</v>
      </c>
      <c r="C2" s="1682" t="s">
        <v>67</v>
      </c>
      <c r="D2" s="1590"/>
      <c r="E2" s="1696" t="s">
        <v>241</v>
      </c>
      <c r="F2" s="1696" t="s">
        <v>268</v>
      </c>
      <c r="G2" s="1696" t="s">
        <v>269</v>
      </c>
      <c r="H2" s="1696" t="s">
        <v>270</v>
      </c>
      <c r="I2" s="1696" t="s">
        <v>271</v>
      </c>
      <c r="J2" s="1696" t="s">
        <v>272</v>
      </c>
      <c r="K2" s="1696" t="s">
        <v>273</v>
      </c>
      <c r="L2" s="1696" t="s">
        <v>274</v>
      </c>
      <c r="M2" s="1696" t="s">
        <v>275</v>
      </c>
      <c r="N2" s="82"/>
      <c r="O2" s="1696" t="s">
        <v>241</v>
      </c>
      <c r="P2" s="1696" t="s">
        <v>268</v>
      </c>
      <c r="Q2" s="1696" t="s">
        <v>269</v>
      </c>
      <c r="R2" s="1696" t="s">
        <v>270</v>
      </c>
      <c r="S2" s="1696" t="s">
        <v>271</v>
      </c>
      <c r="T2" s="1696" t="s">
        <v>272</v>
      </c>
      <c r="U2" s="1696" t="s">
        <v>273</v>
      </c>
      <c r="V2" s="1696" t="s">
        <v>274</v>
      </c>
      <c r="W2" s="1696" t="s">
        <v>275</v>
      </c>
      <c r="X2" s="82"/>
      <c r="Y2" s="1696" t="s">
        <v>241</v>
      </c>
      <c r="Z2" s="1696" t="s">
        <v>268</v>
      </c>
      <c r="AA2" s="1696" t="s">
        <v>269</v>
      </c>
      <c r="AB2" s="1696" t="s">
        <v>270</v>
      </c>
      <c r="AC2" s="1696" t="s">
        <v>271</v>
      </c>
      <c r="AD2" s="1696" t="s">
        <v>272</v>
      </c>
      <c r="AE2" s="1696" t="s">
        <v>273</v>
      </c>
      <c r="AF2" s="1696" t="s">
        <v>274</v>
      </c>
      <c r="AG2" s="1696" t="s">
        <v>275</v>
      </c>
      <c r="AH2" s="82"/>
      <c r="AI2" s="1696" t="s">
        <v>241</v>
      </c>
      <c r="AJ2" s="1696" t="s">
        <v>268</v>
      </c>
      <c r="AK2" s="1696" t="s">
        <v>269</v>
      </c>
      <c r="AL2" s="1696" t="s">
        <v>270</v>
      </c>
      <c r="AM2" s="1696" t="s">
        <v>271</v>
      </c>
      <c r="AN2" s="1696" t="s">
        <v>272</v>
      </c>
      <c r="AO2" s="1696" t="s">
        <v>273</v>
      </c>
      <c r="AP2" s="1696" t="s">
        <v>274</v>
      </c>
      <c r="AQ2" s="1696" t="s">
        <v>275</v>
      </c>
      <c r="AS2" s="1705" t="s">
        <v>1734</v>
      </c>
      <c r="AT2" s="1705" t="s">
        <v>1389</v>
      </c>
      <c r="AU2" s="1427"/>
      <c r="AV2" s="1696" t="s">
        <v>1614</v>
      </c>
      <c r="AW2" s="1688" t="s">
        <v>1472</v>
      </c>
      <c r="AX2" s="1427"/>
      <c r="AY2" s="1696">
        <v>2010</v>
      </c>
      <c r="AZ2" s="1696">
        <v>2015</v>
      </c>
      <c r="BA2" s="1696">
        <v>2020</v>
      </c>
      <c r="BB2" s="1696">
        <v>2025</v>
      </c>
      <c r="BC2" s="1696">
        <v>2030</v>
      </c>
      <c r="BD2" s="1696">
        <v>2035</v>
      </c>
      <c r="BE2" s="1696">
        <v>2040</v>
      </c>
      <c r="BF2" s="1696">
        <v>2045</v>
      </c>
      <c r="BG2" s="1696">
        <v>2050</v>
      </c>
      <c r="BH2" s="1427"/>
      <c r="BI2" s="1696">
        <v>2010</v>
      </c>
      <c r="BJ2" s="1696">
        <v>2015</v>
      </c>
      <c r="BK2" s="1696">
        <v>2020</v>
      </c>
      <c r="BL2" s="1696">
        <v>2025</v>
      </c>
      <c r="BM2" s="1696">
        <v>2030</v>
      </c>
      <c r="BN2" s="1696">
        <v>2035</v>
      </c>
      <c r="BO2" s="1696">
        <v>2040</v>
      </c>
      <c r="BP2" s="1696">
        <v>2045</v>
      </c>
      <c r="BQ2" s="1696">
        <v>2050</v>
      </c>
      <c r="BR2" s="1427"/>
      <c r="BS2" s="1696" t="s">
        <v>241</v>
      </c>
      <c r="BT2" s="1696" t="s">
        <v>268</v>
      </c>
      <c r="BU2" s="1696" t="s">
        <v>269</v>
      </c>
      <c r="BV2" s="1696" t="s">
        <v>270</v>
      </c>
      <c r="BW2" s="1696" t="s">
        <v>271</v>
      </c>
      <c r="BX2" s="1696" t="s">
        <v>272</v>
      </c>
      <c r="BY2" s="1696" t="s">
        <v>273</v>
      </c>
      <c r="BZ2" s="1696" t="s">
        <v>274</v>
      </c>
      <c r="CA2" s="1696" t="s">
        <v>275</v>
      </c>
      <c r="CB2" s="1426"/>
      <c r="CC2" s="1705" t="s">
        <v>1734</v>
      </c>
      <c r="CD2" s="1705" t="s">
        <v>1389</v>
      </c>
      <c r="CF2" s="1696" t="s">
        <v>241</v>
      </c>
      <c r="CG2" s="1696" t="s">
        <v>268</v>
      </c>
      <c r="CH2" s="1696" t="s">
        <v>269</v>
      </c>
      <c r="CI2" s="1696" t="s">
        <v>270</v>
      </c>
      <c r="CJ2" s="1696" t="s">
        <v>271</v>
      </c>
      <c r="CK2" s="1696" t="s">
        <v>272</v>
      </c>
      <c r="CL2" s="1696" t="s">
        <v>273</v>
      </c>
      <c r="CM2" s="1696" t="s">
        <v>274</v>
      </c>
      <c r="CN2" s="1696" t="s">
        <v>275</v>
      </c>
      <c r="CP2" s="1705" t="s">
        <v>1734</v>
      </c>
      <c r="CQ2" s="1705" t="s">
        <v>1389</v>
      </c>
    </row>
    <row r="3" spans="1:96" ht="13.5" thickTop="1" x14ac:dyDescent="0.2">
      <c r="A3" s="1683" t="s">
        <v>288</v>
      </c>
      <c r="B3" s="1683" t="s">
        <v>2403</v>
      </c>
      <c r="C3" s="1683" t="s">
        <v>4</v>
      </c>
      <c r="D3" s="2133"/>
      <c r="E3" s="1689">
        <f t="shared" ref="E3:M17" ca="1" si="0">IFERROR(INDEX(INDIRECT($A3&amp;".Costs["&amp;E$2&amp;"]"), MATCH($E$1, INDIRECT($A3&amp;".Costs[Vector]"), 0)),0)</f>
        <v>0</v>
      </c>
      <c r="F3" s="1689">
        <f t="shared" ca="1" si="0"/>
        <v>206999999999.99997</v>
      </c>
      <c r="G3" s="1689">
        <f t="shared" ca="1" si="0"/>
        <v>479879999999.99988</v>
      </c>
      <c r="H3" s="1689">
        <f t="shared" ca="1" si="0"/>
        <v>444330000000</v>
      </c>
      <c r="I3" s="1689">
        <f t="shared" ca="1" si="0"/>
        <v>513360000000.00006</v>
      </c>
      <c r="J3" s="1689">
        <f t="shared" ca="1" si="0"/>
        <v>724950000000</v>
      </c>
      <c r="K3" s="1689">
        <f t="shared" ca="1" si="0"/>
        <v>828810000000</v>
      </c>
      <c r="L3" s="1689">
        <f t="shared" ca="1" si="0"/>
        <v>933029999999.99988</v>
      </c>
      <c r="M3" s="1689">
        <f t="shared" ca="1" si="0"/>
        <v>1036620000000.0002</v>
      </c>
      <c r="N3" s="675"/>
      <c r="O3" s="1689">
        <f t="shared" ref="O3:W12" ca="1" si="1">IFERROR(INDEX(INDIRECT($A3&amp;".Costs["&amp;O$2&amp;"]"), MATCH($O$1, INDIRECT($A3&amp;".Costs[Vector]"), 0)),0)</f>
        <v>15750000</v>
      </c>
      <c r="P3" s="1689">
        <f t="shared" ca="1" si="1"/>
        <v>42000000</v>
      </c>
      <c r="Q3" s="1689">
        <f t="shared" ca="1" si="1"/>
        <v>101482499.99999999</v>
      </c>
      <c r="R3" s="1689">
        <f t="shared" ca="1" si="1"/>
        <v>140910000</v>
      </c>
      <c r="S3" s="1689">
        <f t="shared" ca="1" si="1"/>
        <v>180547500</v>
      </c>
      <c r="T3" s="1689">
        <f t="shared" ca="1" si="1"/>
        <v>241132500</v>
      </c>
      <c r="U3" s="1689">
        <f t="shared" ca="1" si="1"/>
        <v>301717500</v>
      </c>
      <c r="V3" s="1689">
        <f t="shared" ca="1" si="1"/>
        <v>362355000</v>
      </c>
      <c r="W3" s="1689">
        <f t="shared" ca="1" si="1"/>
        <v>422940000</v>
      </c>
      <c r="X3" s="675"/>
      <c r="Y3" s="1689">
        <f t="shared" ref="Y3:AG12" ca="1" si="2">IFERROR(INDEX(INDIRECT($A3&amp;".Costs["&amp;Y$2&amp;"]"), MATCH($Y$1, INDIRECT($A3&amp;".Costs[Vector]"), 0)),0)</f>
        <v>0</v>
      </c>
      <c r="Z3" s="1689">
        <f t="shared" ca="1" si="2"/>
        <v>0</v>
      </c>
      <c r="AA3" s="1689">
        <f t="shared" ca="1" si="2"/>
        <v>0</v>
      </c>
      <c r="AB3" s="1689">
        <f t="shared" ca="1" si="2"/>
        <v>0</v>
      </c>
      <c r="AC3" s="1689">
        <f t="shared" ca="1" si="2"/>
        <v>0</v>
      </c>
      <c r="AD3" s="1689">
        <f t="shared" ca="1" si="2"/>
        <v>0</v>
      </c>
      <c r="AE3" s="1689">
        <f t="shared" ca="1" si="2"/>
        <v>0</v>
      </c>
      <c r="AF3" s="1689">
        <f t="shared" ca="1" si="2"/>
        <v>0</v>
      </c>
      <c r="AG3" s="1689">
        <f t="shared" ca="1" si="2"/>
        <v>0</v>
      </c>
      <c r="AH3" s="675"/>
      <c r="AI3" s="1689">
        <f t="shared" ref="AI3:AI29" ca="1" si="3">SUM(E3,O3,Y3)</f>
        <v>15750000</v>
      </c>
      <c r="AJ3" s="1689">
        <f t="shared" ref="AJ3:AJ29" ca="1" si="4">SUM(F3,P3,Z3)</f>
        <v>207041999999.99997</v>
      </c>
      <c r="AK3" s="1689">
        <f t="shared" ref="AK3:AK29" ca="1" si="5">SUM(G3,Q3,AA3)</f>
        <v>479981482499.99988</v>
      </c>
      <c r="AL3" s="1689">
        <f t="shared" ref="AL3:AL29" ca="1" si="6">SUM(H3,R3,AB3)</f>
        <v>444470910000</v>
      </c>
      <c r="AM3" s="1689">
        <f t="shared" ref="AM3:AM29" ca="1" si="7">SUM(I3,S3,AC3)</f>
        <v>513540547500.00006</v>
      </c>
      <c r="AN3" s="1689">
        <f t="shared" ref="AN3:AN29" ca="1" si="8">SUM(J3,T3,AD3)</f>
        <v>725191132500</v>
      </c>
      <c r="AO3" s="1689">
        <f t="shared" ref="AO3:AO29" ca="1" si="9">SUM(K3,U3,AE3)</f>
        <v>829111717500</v>
      </c>
      <c r="AP3" s="1689">
        <f t="shared" ref="AP3:AP29" ca="1" si="10">SUM(L3,V3,AF3)</f>
        <v>933392354999.99988</v>
      </c>
      <c r="AQ3" s="1689">
        <f t="shared" ref="AQ3:AQ29" ca="1" si="11">SUM(M3,W3,AG3)</f>
        <v>1037042940000.0002</v>
      </c>
      <c r="AS3" s="1706">
        <f ca="1">AVERAGE(Costs!$AI3:$AQ3)</f>
        <v>574420981666.66663</v>
      </c>
      <c r="AT3" s="1706">
        <f ca="1">(SUMPRODUCT(AJ3:AQ3,discount_factors)*5)+AI3</f>
        <v>3505815172503.8711</v>
      </c>
      <c r="AU3" s="675"/>
      <c r="AV3" s="1699">
        <f>IFERROR(VLOOKUP($A3,Cost.FinanceCostTable,3,FALSE),'Global assumptions'!$D$35)</f>
        <v>0</v>
      </c>
      <c r="AW3" s="1690">
        <f>IFERROR(VLOOKUP($A3,Cost.FinanceCostTable,4,FALSE),'Global assumptions'!$E$35)</f>
        <v>20</v>
      </c>
      <c r="AX3" s="675"/>
      <c r="AY3" s="1689">
        <f t="shared" ref="AY3:AY29" ca="1" si="12">-PMT($AV3,$AW3,E3*3)</f>
        <v>0</v>
      </c>
      <c r="AZ3" s="1689">
        <f t="shared" ref="AZ3:AZ29" ca="1" si="13">-PMT($AV3,$AW3,F3*5)</f>
        <v>51749999999.999992</v>
      </c>
      <c r="BA3" s="1689">
        <f t="shared" ref="BA3:BA29" ca="1" si="14">-PMT($AV3,$AW3,G3*5)</f>
        <v>119969999999.99997</v>
      </c>
      <c r="BB3" s="1689">
        <f t="shared" ref="BB3:BB29" ca="1" si="15">-PMT($AV3,$AW3,H3*5)</f>
        <v>111082500000</v>
      </c>
      <c r="BC3" s="1689">
        <f t="shared" ref="BC3:BC29" ca="1" si="16">-PMT($AV3,$AW3,I3*5)</f>
        <v>128340000000.00003</v>
      </c>
      <c r="BD3" s="1689">
        <f t="shared" ref="BD3:BD29" ca="1" si="17">-PMT($AV3,$AW3,J3*5)</f>
        <v>181237500000</v>
      </c>
      <c r="BE3" s="1689">
        <f t="shared" ref="BE3:BE29" ca="1" si="18">-PMT($AV3,$AW3,K3*5)</f>
        <v>207202500000</v>
      </c>
      <c r="BF3" s="1689">
        <f t="shared" ref="BF3:BF29" ca="1" si="19">-PMT($AV3,$AW3,L3*5)</f>
        <v>233257499999.99994</v>
      </c>
      <c r="BG3" s="1689">
        <f t="shared" ref="BG3:BG29" ca="1" si="20">-PMT($AV3,$AW3,M3*5)</f>
        <v>259155000000.00006</v>
      </c>
      <c r="BH3" s="675"/>
      <c r="BI3" s="1689">
        <f ca="1">AY3</f>
        <v>0</v>
      </c>
      <c r="BJ3" s="1689">
        <f ca="1">AZ3+IF(BJ$2-$BI$2&lt;$AW3,$AY3,0)</f>
        <v>51749999999.999992</v>
      </c>
      <c r="BK3" s="1689">
        <f ca="1">BA3+IF(BK$2-$BI$2&lt;$AW3,$AY3,0)+IF(BK$2-$BJ$2&lt;$AW3,$AZ3,0)</f>
        <v>171719999999.99997</v>
      </c>
      <c r="BL3" s="1689">
        <f ca="1">BB3+IF(BL$2-$BI$2&lt;$AW3,$AY3,0)+IF(BL$2-$BJ$2&lt;$AW3,$AZ3,0)+IF(BL$2-$BK$2&lt;$AW3,$BA3,0)</f>
        <v>282802500000</v>
      </c>
      <c r="BM3" s="1689">
        <f ca="1">BC3+IF(BM$2-$BI$2&lt;$AW3,$AY3,0)+IF(BM$2-$BJ$2&lt;$AW3,$AZ3,0)+IF(BM$2-$BK$2&lt;$AW3,$BA3,0)+IF(BM$2-$BL$2&lt;$AW3,$BB3,0)</f>
        <v>411142500000</v>
      </c>
      <c r="BN3" s="1689">
        <f ca="1">BD3+IF(BN$2-$BI$2&lt;$AW3,$AY3,0)+IF(BN$2-$BJ$2&lt;$AW3,$AZ3,0)+IF(BN$2-$BK$2&lt;$AW3,$BA3,0)+IF(BN$2-$BL$2&lt;$AW3,$BB3,0)+IF(BN$2-$BM$2&lt;$AW3,$BC3,0)</f>
        <v>540630000000</v>
      </c>
      <c r="BO3" s="1689">
        <f ca="1">BE3+IF(BO$2-$BI$2&lt;$AW3,$AY3,0)+IF(BO$2-$BJ$2&lt;$AW3,$AZ3,0)+IF(BO$2-$BK$2&lt;$AW3,$BA3,0)+IF(BO$2-$BL$2&lt;$AW3,$BB3,0)+IF(BO$2-$BM$2&lt;$AW3,$BC3,0)+IF(BO$2-$BN$2&lt;$AW3,$BD3,0)</f>
        <v>627862500000</v>
      </c>
      <c r="BP3" s="1689">
        <f ca="1">BF3+IF(BP$2-$BI$2&lt;$AW3,$AY3,0)+IF(BP$2-$BJ$2&lt;$AW3,$AZ3,0)+IF(BP$2-$BK$2&lt;$AW3,$BA3,0)+IF(BP$2-$BL$2&lt;$AW3,$BB3,0)+IF(BP$2-$BM$2&lt;$AW3,$BC3,0)+IF(BP$2-$BN$2&lt;$AW3,$BD3,0)+IF(BP$2-$BM$2&lt;$AW3,$BC3,0)+IF(BP$2-$BO$2&lt;$AW3,$BE3,0)</f>
        <v>878377500000</v>
      </c>
      <c r="BQ3" s="1689">
        <f ca="1">BG3+IF(BQ$2-$BI$2&lt;$AW3,$AY3,0)+IF(BQ$2-$BJ$2&lt;$AW3,$AZ3,0)+IF(BQ$2-$BK$2&lt;$AW3,$BA3,0)+IF(BQ$2-$BL$2&lt;$AW3,$BB3,0)+IF(BQ$2-$BM$2&lt;$AW3,$BC3,0)+IF(BQ$2-$BN$2&lt;$AW3,$BD3,0)+IF(BQ$2-$BM$2&lt;$AW3,$BC3,0)+IF(BQ$2-$BO$2&lt;$AW3,$BE3,0)+IF(BQ$2-$BP$2&lt;$AW3,$BF3,0)</f>
        <v>880852500000</v>
      </c>
      <c r="BR3" s="675"/>
      <c r="BS3" s="1701">
        <f t="shared" ref="BS3:BS29" ca="1" si="21">O3+Y3+BI3</f>
        <v>15750000</v>
      </c>
      <c r="BT3" s="1701">
        <f t="shared" ref="BT3:BT29" ca="1" si="22">P3+Z3+BJ3</f>
        <v>51791999999.999992</v>
      </c>
      <c r="BU3" s="1701">
        <f t="shared" ref="BU3:BU29" ca="1" si="23">Q3+AA3+BK3</f>
        <v>171821482499.99997</v>
      </c>
      <c r="BV3" s="1701">
        <f t="shared" ref="BV3:BV29" ca="1" si="24">R3+AB3+BL3</f>
        <v>282943410000</v>
      </c>
      <c r="BW3" s="1701">
        <f t="shared" ref="BW3:BW29" ca="1" si="25">S3+AC3+BM3</f>
        <v>411323047500</v>
      </c>
      <c r="BX3" s="1701">
        <f t="shared" ref="BX3:BX29" ca="1" si="26">T3+AD3+BN3</f>
        <v>540871132500</v>
      </c>
      <c r="BY3" s="1701">
        <f t="shared" ref="BY3:BY29" ca="1" si="27">U3+AE3+BO3</f>
        <v>628164217500</v>
      </c>
      <c r="BZ3" s="1701">
        <f t="shared" ref="BZ3:BZ29" ca="1" si="28">V3+AF3+BP3</f>
        <v>878739855000</v>
      </c>
      <c r="CA3" s="1701">
        <f t="shared" ref="CA3:CA29" ca="1" si="29">W3+AG3+BQ3</f>
        <v>881275440000</v>
      </c>
      <c r="CC3" s="1706">
        <f ca="1">AVERAGE(Costs!$BS3:$CA3)</f>
        <v>427438481666.66669</v>
      </c>
      <c r="CD3" s="1706">
        <f ca="1">(SUMPRODUCT(BT3:CA3,discount_factors)*5)+BS3</f>
        <v>1971107334997.2939</v>
      </c>
      <c r="CF3" s="1703">
        <f t="shared" ref="CF3:CF29" ca="1" si="30">BI3-E3</f>
        <v>0</v>
      </c>
      <c r="CG3" s="1703">
        <f t="shared" ref="CG3:CG29" ca="1" si="31">BJ3-F3</f>
        <v>-155249999999.99997</v>
      </c>
      <c r="CH3" s="1703">
        <f t="shared" ref="CH3:CH29" ca="1" si="32">BK3-G3</f>
        <v>-308159999999.99988</v>
      </c>
      <c r="CI3" s="1703">
        <f t="shared" ref="CI3:CI29" ca="1" si="33">BL3-H3</f>
        <v>-161527500000</v>
      </c>
      <c r="CJ3" s="1703">
        <f t="shared" ref="CJ3:CJ29" ca="1" si="34">BM3-I3</f>
        <v>-102217500000.00006</v>
      </c>
      <c r="CK3" s="1703">
        <f t="shared" ref="CK3:CK29" ca="1" si="35">BN3-J3</f>
        <v>-184320000000</v>
      </c>
      <c r="CL3" s="1703">
        <f t="shared" ref="CL3:CL29" ca="1" si="36">BO3-K3</f>
        <v>-200947500000</v>
      </c>
      <c r="CM3" s="1703">
        <f t="shared" ref="CM3:CM29" ca="1" si="37">BP3-L3</f>
        <v>-54652499999.999878</v>
      </c>
      <c r="CN3" s="1703">
        <f t="shared" ref="CN3:CN29" ca="1" si="38">BQ3-M3</f>
        <v>-155767500000.00024</v>
      </c>
      <c r="CP3" s="1706">
        <f ca="1">AVERAGE(Costs!$CF3:$CN3)</f>
        <v>-146982500000.00003</v>
      </c>
      <c r="CQ3" s="1706">
        <f ca="1">(SUMPRODUCT(CG3:CN3,discount_factors)*5)+CF3</f>
        <v>-1534707837506.5776</v>
      </c>
      <c r="CR3" s="1426" t="str">
        <f ca="1">IF(ABS(CD3-CQ3-AT3)&lt;1,"ok","err")</f>
        <v>ok</v>
      </c>
    </row>
    <row r="4" spans="1:96" x14ac:dyDescent="0.2">
      <c r="A4" s="1685" t="s">
        <v>352</v>
      </c>
      <c r="B4" s="1685" t="s">
        <v>2411</v>
      </c>
      <c r="C4" s="1685" t="s">
        <v>4</v>
      </c>
      <c r="D4" s="2133"/>
      <c r="E4" s="1691">
        <f ca="1">IFERROR(INDEX(INDIRECT($A4&amp;".Costs["&amp;E$2&amp;"]"), MATCH($E$1, INDIRECT($A4&amp;".Costs[Vector]"), 0)),0)</f>
        <v>0</v>
      </c>
      <c r="F4" s="1691">
        <f t="shared" ca="1" si="0"/>
        <v>0</v>
      </c>
      <c r="G4" s="1691">
        <f t="shared" ca="1" si="0"/>
        <v>900000000</v>
      </c>
      <c r="H4" s="1691">
        <f t="shared" ca="1" si="0"/>
        <v>1125000000</v>
      </c>
      <c r="I4" s="1691">
        <f t="shared" ca="1" si="0"/>
        <v>1800000000</v>
      </c>
      <c r="J4" s="1691">
        <f t="shared" ca="1" si="0"/>
        <v>1275000000</v>
      </c>
      <c r="K4" s="1691">
        <f t="shared" ca="1" si="0"/>
        <v>1350000000</v>
      </c>
      <c r="L4" s="1691">
        <f t="shared" ca="1" si="0"/>
        <v>1575000000</v>
      </c>
      <c r="M4" s="1691">
        <f t="shared" ca="1" si="0"/>
        <v>1800000000</v>
      </c>
      <c r="N4" s="675"/>
      <c r="O4" s="1691">
        <f t="shared" ca="1" si="1"/>
        <v>0</v>
      </c>
      <c r="P4" s="1691">
        <f t="shared" ca="1" si="1"/>
        <v>0</v>
      </c>
      <c r="Q4" s="1691">
        <f t="shared" ca="1" si="1"/>
        <v>26250</v>
      </c>
      <c r="R4" s="1691">
        <f t="shared" ca="1" si="1"/>
        <v>26250</v>
      </c>
      <c r="S4" s="1691">
        <f t="shared" ca="1" si="1"/>
        <v>13125</v>
      </c>
      <c r="T4" s="1691">
        <f t="shared" ca="1" si="1"/>
        <v>39375</v>
      </c>
      <c r="U4" s="1691">
        <f t="shared" ca="1" si="1"/>
        <v>52500</v>
      </c>
      <c r="V4" s="1691">
        <f t="shared" ca="1" si="1"/>
        <v>52500</v>
      </c>
      <c r="W4" s="1691">
        <f t="shared" ca="1" si="1"/>
        <v>52500</v>
      </c>
      <c r="X4" s="675"/>
      <c r="Y4" s="1691">
        <f t="shared" ca="1" si="2"/>
        <v>0</v>
      </c>
      <c r="Z4" s="1691">
        <f t="shared" ca="1" si="2"/>
        <v>0</v>
      </c>
      <c r="AA4" s="1691">
        <f t="shared" ca="1" si="2"/>
        <v>0</v>
      </c>
      <c r="AB4" s="1691">
        <f t="shared" ca="1" si="2"/>
        <v>0</v>
      </c>
      <c r="AC4" s="1691">
        <f t="shared" ca="1" si="2"/>
        <v>0</v>
      </c>
      <c r="AD4" s="1691">
        <f t="shared" ca="1" si="2"/>
        <v>0</v>
      </c>
      <c r="AE4" s="1691">
        <f t="shared" ca="1" si="2"/>
        <v>0</v>
      </c>
      <c r="AF4" s="1691">
        <f t="shared" ca="1" si="2"/>
        <v>0</v>
      </c>
      <c r="AG4" s="1691">
        <f t="shared" ca="1" si="2"/>
        <v>0</v>
      </c>
      <c r="AH4" s="675"/>
      <c r="AI4" s="1691">
        <f t="shared" ca="1" si="3"/>
        <v>0</v>
      </c>
      <c r="AJ4" s="1691">
        <f t="shared" ca="1" si="4"/>
        <v>0</v>
      </c>
      <c r="AK4" s="1691">
        <f t="shared" ca="1" si="5"/>
        <v>900026250</v>
      </c>
      <c r="AL4" s="1691">
        <f t="shared" ca="1" si="6"/>
        <v>1125026250</v>
      </c>
      <c r="AM4" s="1691">
        <f t="shared" ca="1" si="7"/>
        <v>1800013125</v>
      </c>
      <c r="AN4" s="1691">
        <f t="shared" ca="1" si="8"/>
        <v>1275039375</v>
      </c>
      <c r="AO4" s="1691">
        <f t="shared" ca="1" si="9"/>
        <v>1350052500</v>
      </c>
      <c r="AP4" s="1691">
        <f t="shared" ca="1" si="10"/>
        <v>1575052500</v>
      </c>
      <c r="AQ4" s="1691">
        <f t="shared" ca="1" si="11"/>
        <v>1800052500</v>
      </c>
      <c r="AS4" s="1707">
        <f ca="1">AVERAGE(Costs!$AI4:$AQ4)</f>
        <v>1091695833.3333333</v>
      </c>
      <c r="AT4" s="1707">
        <f ca="1">(SUMPRODUCT(AJ4:AQ4,discount_factors)*5)+AI4</f>
        <v>6167772664.0516415</v>
      </c>
      <c r="AU4" s="675"/>
      <c r="AV4" s="1700">
        <f>IFERROR(VLOOKUP($A4,Cost.FinanceCostTable,3,FALSE),'Global assumptions'!$D$35)</f>
        <v>0</v>
      </c>
      <c r="AW4" s="1692">
        <f>IFERROR(VLOOKUP($A4,Cost.FinanceCostTable,4,FALSE),'Global assumptions'!$E$35)</f>
        <v>30</v>
      </c>
      <c r="AX4" s="675"/>
      <c r="AY4" s="1691">
        <f t="shared" ca="1" si="12"/>
        <v>0</v>
      </c>
      <c r="AZ4" s="1691">
        <f t="shared" ca="1" si="13"/>
        <v>0</v>
      </c>
      <c r="BA4" s="1691">
        <f t="shared" ca="1" si="14"/>
        <v>150000000</v>
      </c>
      <c r="BB4" s="1691">
        <f t="shared" ca="1" si="15"/>
        <v>187500000</v>
      </c>
      <c r="BC4" s="1691">
        <f t="shared" ca="1" si="16"/>
        <v>300000000</v>
      </c>
      <c r="BD4" s="1691">
        <f t="shared" ca="1" si="17"/>
        <v>212500000</v>
      </c>
      <c r="BE4" s="1691">
        <f t="shared" ca="1" si="18"/>
        <v>225000000</v>
      </c>
      <c r="BF4" s="1691">
        <f t="shared" ca="1" si="19"/>
        <v>262500000</v>
      </c>
      <c r="BG4" s="1691">
        <f t="shared" ca="1" si="20"/>
        <v>300000000</v>
      </c>
      <c r="BH4" s="675"/>
      <c r="BI4" s="1691">
        <f t="shared" ref="BI4:BI42" ca="1" si="39">AY4</f>
        <v>0</v>
      </c>
      <c r="BJ4" s="1691">
        <f t="shared" ref="BJ4:BJ42" ca="1" si="40">AZ4+IF(BJ$2-$BI$2&lt;$AW4,$AY4,0)</f>
        <v>0</v>
      </c>
      <c r="BK4" s="1691">
        <f t="shared" ref="BK4:BK42" ca="1" si="41">BA4+IF(BK$2-$BI$2&lt;$AW4,$AY4,0)+IF(BK$2-$BJ$2&lt;$AW4,$AZ4,0)</f>
        <v>150000000</v>
      </c>
      <c r="BL4" s="1691">
        <f t="shared" ref="BL4:BL42" ca="1" si="42">BB4+IF(BL$2-$BI$2&lt;$AW4,$AY4,0)+IF(BL$2-$BJ$2&lt;$AW4,$AZ4,0)+IF(BL$2-$BK$2&lt;$AW4,$BA4,0)</f>
        <v>337500000</v>
      </c>
      <c r="BM4" s="1691">
        <f t="shared" ref="BM4:BM42" ca="1" si="43">BC4+IF(BM$2-$BI$2&lt;$AW4,$AY4,0)+IF(BM$2-$BJ$2&lt;$AW4,$AZ4,0)+IF(BM$2-$BK$2&lt;$AW4,$BA4,0)+IF(BM$2-$BL$2&lt;$AW4,$BB4,0)</f>
        <v>637500000</v>
      </c>
      <c r="BN4" s="1691">
        <f t="shared" ref="BN4:BN42" ca="1" si="44">BD4+IF(BN$2-$BI$2&lt;$AW4,$AY4,0)+IF(BN$2-$BJ$2&lt;$AW4,$AZ4,0)+IF(BN$2-$BK$2&lt;$AW4,$BA4,0)+IF(BN$2-$BL$2&lt;$AW4,$BB4,0)+IF(BN$2-$BM$2&lt;$AW4,$BC4,0)</f>
        <v>850000000</v>
      </c>
      <c r="BO4" s="1691">
        <f t="shared" ref="BO4:BO42" ca="1" si="45">BE4+IF(BO$2-$BI$2&lt;$AW4,$AY4,0)+IF(BO$2-$BJ$2&lt;$AW4,$AZ4,0)+IF(BO$2-$BK$2&lt;$AW4,$BA4,0)+IF(BO$2-$BL$2&lt;$AW4,$BB4,0)+IF(BO$2-$BM$2&lt;$AW4,$BC4,0)+IF(BO$2-$BN$2&lt;$AW4,$BD4,0)</f>
        <v>1075000000</v>
      </c>
      <c r="BP4" s="1691">
        <f t="shared" ref="BP4:BP42" ca="1" si="46">BF4+IF(BP$2-$BI$2&lt;$AW4,$AY4,0)+IF(BP$2-$BJ$2&lt;$AW4,$AZ4,0)+IF(BP$2-$BK$2&lt;$AW4,$BA4,0)+IF(BP$2-$BL$2&lt;$AW4,$BB4,0)+IF(BP$2-$BM$2&lt;$AW4,$BC4,0)+IF(BP$2-$BN$2&lt;$AW4,$BD4,0)+IF(BP$2-$BM$2&lt;$AW4,$BC4,0)+IF(BP$2-$BO$2&lt;$AW4,$BE4,0)</f>
        <v>1637500000</v>
      </c>
      <c r="BQ4" s="1691">
        <f t="shared" ref="BQ4:BQ42" ca="1" si="47">BG4+IF(BQ$2-$BI$2&lt;$AW4,$AY4,0)+IF(BQ$2-$BJ$2&lt;$AW4,$AZ4,0)+IF(BQ$2-$BK$2&lt;$AW4,$BA4,0)+IF(BQ$2-$BL$2&lt;$AW4,$BB4,0)+IF(BQ$2-$BM$2&lt;$AW4,$BC4,0)+IF(BQ$2-$BN$2&lt;$AW4,$BD4,0)+IF(BQ$2-$BM$2&lt;$AW4,$BC4,0)+IF(BQ$2-$BO$2&lt;$AW4,$BE4,0)+IF(BQ$2-$BP$2&lt;$AW4,$BF4,0)</f>
        <v>1787500000</v>
      </c>
      <c r="BR4" s="675"/>
      <c r="BS4" s="1702">
        <f t="shared" ca="1" si="21"/>
        <v>0</v>
      </c>
      <c r="BT4" s="1702">
        <f t="shared" ca="1" si="22"/>
        <v>0</v>
      </c>
      <c r="BU4" s="1702">
        <f t="shared" ca="1" si="23"/>
        <v>150026250</v>
      </c>
      <c r="BV4" s="1702">
        <f t="shared" ca="1" si="24"/>
        <v>337526250</v>
      </c>
      <c r="BW4" s="1702">
        <f t="shared" ca="1" si="25"/>
        <v>637513125</v>
      </c>
      <c r="BX4" s="1702">
        <f t="shared" ca="1" si="26"/>
        <v>850039375</v>
      </c>
      <c r="BY4" s="1702">
        <f t="shared" ca="1" si="27"/>
        <v>1075052500</v>
      </c>
      <c r="BZ4" s="1702">
        <f t="shared" ca="1" si="28"/>
        <v>1637552500</v>
      </c>
      <c r="CA4" s="1702">
        <f t="shared" ca="1" si="29"/>
        <v>1787552500</v>
      </c>
      <c r="CC4" s="1707">
        <f ca="1">AVERAGE(Costs!$BS4:$CA4)</f>
        <v>719473611.11111116</v>
      </c>
      <c r="CD4" s="1707">
        <f ca="1">(SUMPRODUCT(BT4:CA4,discount_factors)*5)+BS4</f>
        <v>2653242999.6007872</v>
      </c>
      <c r="CF4" s="1704">
        <f t="shared" ca="1" si="30"/>
        <v>0</v>
      </c>
      <c r="CG4" s="1704">
        <f t="shared" ca="1" si="31"/>
        <v>0</v>
      </c>
      <c r="CH4" s="1704">
        <f t="shared" ca="1" si="32"/>
        <v>-750000000</v>
      </c>
      <c r="CI4" s="1704">
        <f t="shared" ca="1" si="33"/>
        <v>-787500000</v>
      </c>
      <c r="CJ4" s="1704">
        <f t="shared" ca="1" si="34"/>
        <v>-1162500000</v>
      </c>
      <c r="CK4" s="1704">
        <f t="shared" ca="1" si="35"/>
        <v>-425000000</v>
      </c>
      <c r="CL4" s="1704">
        <f t="shared" ca="1" si="36"/>
        <v>-275000000</v>
      </c>
      <c r="CM4" s="1704">
        <f t="shared" ca="1" si="37"/>
        <v>62500000</v>
      </c>
      <c r="CN4" s="1704">
        <f t="shared" ca="1" si="38"/>
        <v>-12500000</v>
      </c>
      <c r="CP4" s="1707">
        <f ca="1">AVERAGE(Costs!$CF4:$CN4)</f>
        <v>-372222222.22222221</v>
      </c>
      <c r="CQ4" s="1707">
        <f t="shared" ref="CQ4:CQ42" ca="1" si="48">(SUMPRODUCT(CG4:CN4,discount_factors)*5)+CF4</f>
        <v>-3514529664.4508543</v>
      </c>
      <c r="CR4" s="1426" t="str">
        <f t="shared" ref="CR4:CR43" ca="1" si="49">IF(ABS(CD4-CQ4-AT4)&lt;1,"ok","err")</f>
        <v>ok</v>
      </c>
    </row>
    <row r="5" spans="1:96" x14ac:dyDescent="0.2">
      <c r="A5" s="1685" t="s">
        <v>2146</v>
      </c>
      <c r="B5" s="1685" t="s">
        <v>2585</v>
      </c>
      <c r="C5" s="1685" t="s">
        <v>4</v>
      </c>
      <c r="D5" s="2370"/>
      <c r="E5" s="1691">
        <f ca="1">IFERROR(INDEX(INDIRECT($A5&amp;".Costs["&amp;E$2&amp;"]"), MATCH($E$1, INDIRECT($A5&amp;".Costs[Vector]"), 0)),0)</f>
        <v>0</v>
      </c>
      <c r="F5" s="1691">
        <f t="shared" ca="1" si="0"/>
        <v>0</v>
      </c>
      <c r="G5" s="1691">
        <f t="shared" ca="1" si="0"/>
        <v>0</v>
      </c>
      <c r="H5" s="1691">
        <f t="shared" ca="1" si="0"/>
        <v>240000000000</v>
      </c>
      <c r="I5" s="1691">
        <f t="shared" ca="1" si="0"/>
        <v>726000000000</v>
      </c>
      <c r="J5" s="1691">
        <f t="shared" ca="1" si="0"/>
        <v>1368000000000.0002</v>
      </c>
      <c r="K5" s="1691">
        <f t="shared" ca="1" si="0"/>
        <v>2016000000000.0002</v>
      </c>
      <c r="L5" s="1691">
        <f t="shared" ca="1" si="0"/>
        <v>2658000000000</v>
      </c>
      <c r="M5" s="1691">
        <f t="shared" ca="1" si="0"/>
        <v>3300000000000</v>
      </c>
      <c r="N5" s="675"/>
      <c r="O5" s="1691">
        <f t="shared" ca="1" si="1"/>
        <v>0</v>
      </c>
      <c r="P5" s="1691">
        <f t="shared" ca="1" si="1"/>
        <v>0</v>
      </c>
      <c r="Q5" s="1691">
        <f t="shared" ca="1" si="1"/>
        <v>0</v>
      </c>
      <c r="R5" s="1691">
        <f t="shared" ca="1" si="1"/>
        <v>15000000</v>
      </c>
      <c r="S5" s="1691">
        <f t="shared" ca="1" si="1"/>
        <v>45375000</v>
      </c>
      <c r="T5" s="1691">
        <f t="shared" ca="1" si="1"/>
        <v>85500000</v>
      </c>
      <c r="U5" s="1691">
        <f t="shared" ca="1" si="1"/>
        <v>126000000</v>
      </c>
      <c r="V5" s="1691">
        <f t="shared" ca="1" si="1"/>
        <v>166125000</v>
      </c>
      <c r="W5" s="1691">
        <f t="shared" ca="1" si="1"/>
        <v>206250000</v>
      </c>
      <c r="X5" s="675"/>
      <c r="Y5" s="1691">
        <f t="shared" ca="1" si="2"/>
        <v>0</v>
      </c>
      <c r="Z5" s="1691">
        <f t="shared" ca="1" si="2"/>
        <v>0</v>
      </c>
      <c r="AA5" s="1691">
        <f t="shared" ca="1" si="2"/>
        <v>0</v>
      </c>
      <c r="AB5" s="1691">
        <f t="shared" ca="1" si="2"/>
        <v>0</v>
      </c>
      <c r="AC5" s="1691">
        <f t="shared" ca="1" si="2"/>
        <v>0</v>
      </c>
      <c r="AD5" s="1691">
        <f t="shared" ca="1" si="2"/>
        <v>0</v>
      </c>
      <c r="AE5" s="1691">
        <f t="shared" ca="1" si="2"/>
        <v>0</v>
      </c>
      <c r="AF5" s="1691">
        <f t="shared" ca="1" si="2"/>
        <v>0</v>
      </c>
      <c r="AG5" s="1691">
        <f t="shared" ca="1" si="2"/>
        <v>0</v>
      </c>
      <c r="AH5" s="675"/>
      <c r="AI5" s="1691">
        <f t="shared" ref="AI5:AQ5" ca="1" si="50">SUM(E5,O5,Y5)</f>
        <v>0</v>
      </c>
      <c r="AJ5" s="1691">
        <f t="shared" ca="1" si="50"/>
        <v>0</v>
      </c>
      <c r="AK5" s="1691">
        <f t="shared" ca="1" si="50"/>
        <v>0</v>
      </c>
      <c r="AL5" s="1691">
        <f t="shared" ca="1" si="50"/>
        <v>240015000000</v>
      </c>
      <c r="AM5" s="1691">
        <f t="shared" ca="1" si="50"/>
        <v>726045375000</v>
      </c>
      <c r="AN5" s="1691">
        <f t="shared" ca="1" si="50"/>
        <v>1368085500000.0002</v>
      </c>
      <c r="AO5" s="1691">
        <f t="shared" ca="1" si="50"/>
        <v>2016126000000.0002</v>
      </c>
      <c r="AP5" s="1691">
        <f t="shared" ca="1" si="50"/>
        <v>2658166125000</v>
      </c>
      <c r="AQ5" s="1691">
        <f t="shared" ca="1" si="50"/>
        <v>3300206250000</v>
      </c>
      <c r="AR5" s="2370"/>
      <c r="AS5" s="1707">
        <f ca="1">AVERAGE(Costs!$AI5:$AQ5)</f>
        <v>1145404916666.6667</v>
      </c>
      <c r="AT5" s="1707">
        <f ca="1">(SUMPRODUCT(AJ5:AQ5,discount_factors)*5)+AI5</f>
        <v>3396631864727.7793</v>
      </c>
      <c r="AU5" s="675"/>
      <c r="AV5" s="1700">
        <f>IFERROR(VLOOKUP($A5,Cost.FinanceCostTable,3,FALSE),'Global assumptions'!$D$35)</f>
        <v>0</v>
      </c>
      <c r="AW5" s="1692">
        <f>IFERROR(VLOOKUP($A5,Cost.FinanceCostTable,4,FALSE),'Global assumptions'!$E$35)</f>
        <v>5</v>
      </c>
      <c r="AX5" s="675"/>
      <c r="AY5" s="1691">
        <f ca="1">-PMT($AV5,$AW5,E5*3)</f>
        <v>0</v>
      </c>
      <c r="AZ5" s="1691">
        <f t="shared" ref="AZ5:BG5" ca="1" si="51">-PMT($AV5,$AW5,F5*5)</f>
        <v>0</v>
      </c>
      <c r="BA5" s="1691">
        <f t="shared" ca="1" si="51"/>
        <v>0</v>
      </c>
      <c r="BB5" s="1691">
        <f t="shared" ca="1" si="51"/>
        <v>240000000000</v>
      </c>
      <c r="BC5" s="1691">
        <f t="shared" ca="1" si="51"/>
        <v>726000000000</v>
      </c>
      <c r="BD5" s="1691">
        <f t="shared" ca="1" si="51"/>
        <v>1368000000000.0002</v>
      </c>
      <c r="BE5" s="1691">
        <f t="shared" ca="1" si="51"/>
        <v>2016000000000.0005</v>
      </c>
      <c r="BF5" s="1691">
        <f t="shared" ca="1" si="51"/>
        <v>2658000000000</v>
      </c>
      <c r="BG5" s="1691">
        <f t="shared" ca="1" si="51"/>
        <v>3300000000000</v>
      </c>
      <c r="BH5" s="675"/>
      <c r="BI5" s="1691">
        <f ca="1">AY5</f>
        <v>0</v>
      </c>
      <c r="BJ5" s="1691">
        <f ca="1">AZ5+IF(BJ$2-$BI$2&lt;$AW5,$AY5,0)</f>
        <v>0</v>
      </c>
      <c r="BK5" s="1691">
        <f ca="1">BA5+IF(BK$2-$BI$2&lt;$AW5,$AY5,0)+IF(BK$2-$BJ$2&lt;$AW5,$AZ5,0)</f>
        <v>0</v>
      </c>
      <c r="BL5" s="1691">
        <f ca="1">BB5+IF(BL$2-$BI$2&lt;$AW5,$AY5,0)+IF(BL$2-$BJ$2&lt;$AW5,$AZ5,0)+IF(BL$2-$BK$2&lt;$AW5,$BA5,0)</f>
        <v>240000000000</v>
      </c>
      <c r="BM5" s="1691">
        <f ca="1">BC5+IF(BM$2-$BI$2&lt;$AW5,$AY5,0)+IF(BM$2-$BJ$2&lt;$AW5,$AZ5,0)+IF(BM$2-$BK$2&lt;$AW5,$BA5,0)+IF(BM$2-$BL$2&lt;$AW5,$BB5,0)</f>
        <v>726000000000</v>
      </c>
      <c r="BN5" s="1691">
        <f ca="1">BD5+IF(BN$2-$BI$2&lt;$AW5,$AY5,0)+IF(BN$2-$BJ$2&lt;$AW5,$AZ5,0)+IF(BN$2-$BK$2&lt;$AW5,$BA5,0)+IF(BN$2-$BL$2&lt;$AW5,$BB5,0)+IF(BN$2-$BM$2&lt;$AW5,$BC5,0)</f>
        <v>1368000000000.0002</v>
      </c>
      <c r="BO5" s="1691">
        <f ca="1">BE5+IF(BO$2-$BI$2&lt;$AW5,$AY5,0)+IF(BO$2-$BJ$2&lt;$AW5,$AZ5,0)+IF(BO$2-$BK$2&lt;$AW5,$BA5,0)+IF(BO$2-$BL$2&lt;$AW5,$BB5,0)+IF(BO$2-$BM$2&lt;$AW5,$BC5,0)+IF(BO$2-$BN$2&lt;$AW5,$BD5,0)</f>
        <v>2016000000000.0005</v>
      </c>
      <c r="BP5" s="1691">
        <f ca="1">BF5+IF(BP$2-$BI$2&lt;$AW5,$AY5,0)+IF(BP$2-$BJ$2&lt;$AW5,$AZ5,0)+IF(BP$2-$BK$2&lt;$AW5,$BA5,0)+IF(BP$2-$BL$2&lt;$AW5,$BB5,0)+IF(BP$2-$BM$2&lt;$AW5,$BC5,0)+IF(BP$2-$BN$2&lt;$AW5,$BD5,0)+IF(BP$2-$BM$2&lt;$AW5,$BC5,0)+IF(BP$2-$BO$2&lt;$AW5,$BE5,0)</f>
        <v>2658000000000</v>
      </c>
      <c r="BQ5" s="1691">
        <f ca="1">BG5+IF(BQ$2-$BI$2&lt;$AW5,$AY5,0)+IF(BQ$2-$BJ$2&lt;$AW5,$AZ5,0)+IF(BQ$2-$BK$2&lt;$AW5,$BA5,0)+IF(BQ$2-$BL$2&lt;$AW5,$BB5,0)+IF(BQ$2-$BM$2&lt;$AW5,$BC5,0)+IF(BQ$2-$BN$2&lt;$AW5,$BD5,0)+IF(BQ$2-$BM$2&lt;$AW5,$BC5,0)+IF(BQ$2-$BO$2&lt;$AW5,$BE5,0)+IF(BQ$2-$BP$2&lt;$AW5,$BF5,0)</f>
        <v>3300000000000</v>
      </c>
      <c r="BR5" s="675"/>
      <c r="BS5" s="1702">
        <f t="shared" ref="BS5:CA5" ca="1" si="52">O5+Y5+BI5</f>
        <v>0</v>
      </c>
      <c r="BT5" s="1702">
        <f t="shared" ca="1" si="52"/>
        <v>0</v>
      </c>
      <c r="BU5" s="1702">
        <f t="shared" ca="1" si="52"/>
        <v>0</v>
      </c>
      <c r="BV5" s="1702">
        <f t="shared" ca="1" si="52"/>
        <v>240015000000</v>
      </c>
      <c r="BW5" s="1702">
        <f t="shared" ca="1" si="52"/>
        <v>726045375000</v>
      </c>
      <c r="BX5" s="1702">
        <f t="shared" ca="1" si="52"/>
        <v>1368085500000.0002</v>
      </c>
      <c r="BY5" s="1702">
        <f t="shared" ca="1" si="52"/>
        <v>2016126000000.0005</v>
      </c>
      <c r="BZ5" s="1702">
        <f t="shared" ca="1" si="52"/>
        <v>2658166125000</v>
      </c>
      <c r="CA5" s="1702">
        <f t="shared" ca="1" si="52"/>
        <v>3300206250000</v>
      </c>
      <c r="CB5" s="2370"/>
      <c r="CC5" s="1707">
        <f ca="1">AVERAGE(Costs!$BS5:$CA5)</f>
        <v>1145404916666.6667</v>
      </c>
      <c r="CD5" s="1707">
        <f ca="1">(SUMPRODUCT(BT5:CA5,discount_factors)*5)+BS5</f>
        <v>3396631864727.7793</v>
      </c>
      <c r="CE5" s="2370"/>
      <c r="CF5" s="1704">
        <f t="shared" ref="CF5:CN5" ca="1" si="53">BI5-E5</f>
        <v>0</v>
      </c>
      <c r="CG5" s="1704">
        <f t="shared" ca="1" si="53"/>
        <v>0</v>
      </c>
      <c r="CH5" s="1704">
        <f t="shared" ca="1" si="53"/>
        <v>0</v>
      </c>
      <c r="CI5" s="1704">
        <f t="shared" ca="1" si="53"/>
        <v>0</v>
      </c>
      <c r="CJ5" s="1704">
        <f t="shared" ca="1" si="53"/>
        <v>0</v>
      </c>
      <c r="CK5" s="1704">
        <f t="shared" ca="1" si="53"/>
        <v>0</v>
      </c>
      <c r="CL5" s="1704">
        <f t="shared" ca="1" si="53"/>
        <v>0</v>
      </c>
      <c r="CM5" s="1704">
        <f t="shared" ca="1" si="53"/>
        <v>0</v>
      </c>
      <c r="CN5" s="1704">
        <f t="shared" ca="1" si="53"/>
        <v>0</v>
      </c>
      <c r="CO5" s="2370"/>
      <c r="CP5" s="1707">
        <f ca="1">AVERAGE(Costs!$CF5:$CN5)</f>
        <v>0</v>
      </c>
      <c r="CQ5" s="1707">
        <f ca="1">(SUMPRODUCT(CG5:CN5,discount_factors)*5)+CF5</f>
        <v>0</v>
      </c>
      <c r="CR5" s="1426" t="str">
        <f ca="1">IF(ABS(CD5-CQ5-AT5)&lt;1,"ok","err")</f>
        <v>ok</v>
      </c>
    </row>
    <row r="6" spans="1:96" x14ac:dyDescent="0.2">
      <c r="A6" s="1683" t="s">
        <v>297</v>
      </c>
      <c r="B6" s="1683" t="s">
        <v>796</v>
      </c>
      <c r="C6" s="1683" t="s">
        <v>4</v>
      </c>
      <c r="D6" s="2133"/>
      <c r="E6" s="1689">
        <f t="shared" ref="E6:M31" ca="1" si="54">IFERROR(INDEX(INDIRECT($A6&amp;".Costs["&amp;E$2&amp;"]"), MATCH($E$1, INDIRECT($A6&amp;".Costs[Vector]"), 0)),0)</f>
        <v>0</v>
      </c>
      <c r="F6" s="1689">
        <f t="shared" ca="1" si="0"/>
        <v>0</v>
      </c>
      <c r="G6" s="1689">
        <f t="shared" ca="1" si="0"/>
        <v>0</v>
      </c>
      <c r="H6" s="1689">
        <f t="shared" ca="1" si="0"/>
        <v>450000000000</v>
      </c>
      <c r="I6" s="1689">
        <f t="shared" ca="1" si="0"/>
        <v>404999999999.99994</v>
      </c>
      <c r="J6" s="1689">
        <f t="shared" ca="1" si="0"/>
        <v>810000000000.00012</v>
      </c>
      <c r="K6" s="1689">
        <f t="shared" ca="1" si="0"/>
        <v>1529999999999.9998</v>
      </c>
      <c r="L6" s="1689">
        <f t="shared" ca="1" si="0"/>
        <v>2970000000000</v>
      </c>
      <c r="M6" s="1689">
        <f ca="1">IFERROR(INDEX(INDIRECT($A6&amp;".Costs["&amp;M$2&amp;"]"), MATCH($E$1, INDIRECT($A6&amp;".Costs[Vector]"), 0)),0)</f>
        <v>5760000000000</v>
      </c>
      <c r="N6" s="675"/>
      <c r="O6" s="1689">
        <f t="shared" ca="1" si="1"/>
        <v>0</v>
      </c>
      <c r="P6" s="1689">
        <f t="shared" ca="1" si="1"/>
        <v>0</v>
      </c>
      <c r="Q6" s="1689">
        <f t="shared" ca="1" si="1"/>
        <v>0</v>
      </c>
      <c r="R6" s="1689">
        <f t="shared" ca="1" si="1"/>
        <v>3217200000.0000005</v>
      </c>
      <c r="S6" s="1689">
        <f t="shared" ca="1" si="1"/>
        <v>6112680000</v>
      </c>
      <c r="T6" s="1689">
        <f t="shared" ca="1" si="1"/>
        <v>11903640000.000004</v>
      </c>
      <c r="U6" s="1689">
        <f t="shared" ca="1" si="1"/>
        <v>22842120000.000004</v>
      </c>
      <c r="V6" s="1689">
        <f t="shared" ca="1" si="1"/>
        <v>44075640000.000008</v>
      </c>
      <c r="W6" s="1689">
        <f t="shared" ca="1" si="1"/>
        <v>85255800000.000015</v>
      </c>
      <c r="X6" s="675"/>
      <c r="Y6" s="1689">
        <f t="shared" ca="1" si="2"/>
        <v>0</v>
      </c>
      <c r="Z6" s="1689">
        <f t="shared" ca="1" si="2"/>
        <v>0</v>
      </c>
      <c r="AA6" s="1689">
        <f t="shared" ca="1" si="2"/>
        <v>0</v>
      </c>
      <c r="AB6" s="1689">
        <f t="shared" ca="1" si="2"/>
        <v>32142000000.000008</v>
      </c>
      <c r="AC6" s="1689">
        <f t="shared" ca="1" si="2"/>
        <v>61069800000</v>
      </c>
      <c r="AD6" s="1689">
        <f t="shared" ca="1" si="2"/>
        <v>118925400000.00003</v>
      </c>
      <c r="AE6" s="1689">
        <f t="shared" ca="1" si="2"/>
        <v>228208200000.00006</v>
      </c>
      <c r="AF6" s="1689">
        <f t="shared" ca="1" si="2"/>
        <v>440345400000.00012</v>
      </c>
      <c r="AG6" s="1689">
        <f t="shared" ca="1" si="2"/>
        <v>851763000000.00012</v>
      </c>
      <c r="AH6" s="675"/>
      <c r="AI6" s="1689">
        <f t="shared" ca="1" si="3"/>
        <v>0</v>
      </c>
      <c r="AJ6" s="1689">
        <f t="shared" ca="1" si="4"/>
        <v>0</v>
      </c>
      <c r="AK6" s="1689">
        <f t="shared" ca="1" si="5"/>
        <v>0</v>
      </c>
      <c r="AL6" s="1689">
        <f t="shared" ca="1" si="6"/>
        <v>485359200000</v>
      </c>
      <c r="AM6" s="1689">
        <f t="shared" ca="1" si="7"/>
        <v>472182479999.99994</v>
      </c>
      <c r="AN6" s="1689">
        <f t="shared" ca="1" si="8"/>
        <v>940829040000.00012</v>
      </c>
      <c r="AO6" s="1689">
        <f t="shared" ca="1" si="9"/>
        <v>1781050319999.9998</v>
      </c>
      <c r="AP6" s="1689">
        <f t="shared" ca="1" si="10"/>
        <v>3454421040000</v>
      </c>
      <c r="AQ6" s="1689">
        <f t="shared" ca="1" si="11"/>
        <v>6697018800000</v>
      </c>
      <c r="AS6" s="1706">
        <f ca="1">AVERAGE(Costs!$AI6:$AQ6)</f>
        <v>1536762320000</v>
      </c>
      <c r="AT6" s="1706">
        <f t="shared" ref="AT6:AT42" ca="1" si="55">(SUMPRODUCT(AJ6:AQ6,discount_factors)*5)+AI6</f>
        <v>4158158291525.0439</v>
      </c>
      <c r="AU6" s="675"/>
      <c r="AV6" s="1699">
        <f>IFERROR(VLOOKUP($A6,Cost.FinanceCostTable,3,FALSE),'Global assumptions'!$D$35)</f>
        <v>0</v>
      </c>
      <c r="AW6" s="1690">
        <f>IFERROR(VLOOKUP($A6,Cost.FinanceCostTable,4,FALSE),'Global assumptions'!$E$35)</f>
        <v>30</v>
      </c>
      <c r="AX6" s="675"/>
      <c r="AY6" s="1689">
        <f t="shared" ca="1" si="12"/>
        <v>0</v>
      </c>
      <c r="AZ6" s="1689">
        <f t="shared" ca="1" si="13"/>
        <v>0</v>
      </c>
      <c r="BA6" s="1689">
        <f t="shared" ca="1" si="14"/>
        <v>0</v>
      </c>
      <c r="BB6" s="1689">
        <f t="shared" ca="1" si="15"/>
        <v>75000000000</v>
      </c>
      <c r="BC6" s="1689">
        <f t="shared" ca="1" si="16"/>
        <v>67499999999.999992</v>
      </c>
      <c r="BD6" s="1689">
        <f t="shared" ca="1" si="17"/>
        <v>135000000000.00002</v>
      </c>
      <c r="BE6" s="1689">
        <f t="shared" ca="1" si="18"/>
        <v>254999999999.99997</v>
      </c>
      <c r="BF6" s="1689">
        <f t="shared" ca="1" si="19"/>
        <v>495000000000</v>
      </c>
      <c r="BG6" s="1689">
        <f t="shared" ca="1" si="20"/>
        <v>960000000000</v>
      </c>
      <c r="BH6" s="675"/>
      <c r="BI6" s="1689">
        <f t="shared" ca="1" si="39"/>
        <v>0</v>
      </c>
      <c r="BJ6" s="1689">
        <f t="shared" ca="1" si="40"/>
        <v>0</v>
      </c>
      <c r="BK6" s="1689">
        <f t="shared" ca="1" si="41"/>
        <v>0</v>
      </c>
      <c r="BL6" s="1689">
        <f t="shared" ca="1" si="42"/>
        <v>75000000000</v>
      </c>
      <c r="BM6" s="1689">
        <f t="shared" ca="1" si="43"/>
        <v>142500000000</v>
      </c>
      <c r="BN6" s="1689">
        <f t="shared" ca="1" si="44"/>
        <v>277500000000</v>
      </c>
      <c r="BO6" s="1689">
        <f t="shared" ca="1" si="45"/>
        <v>532500000000</v>
      </c>
      <c r="BP6" s="1689">
        <f t="shared" ca="1" si="46"/>
        <v>1095000000000</v>
      </c>
      <c r="BQ6" s="1689">
        <f t="shared" ca="1" si="47"/>
        <v>2055000000000</v>
      </c>
      <c r="BR6" s="675"/>
      <c r="BS6" s="1701">
        <f t="shared" ca="1" si="21"/>
        <v>0</v>
      </c>
      <c r="BT6" s="1701">
        <f t="shared" ca="1" si="22"/>
        <v>0</v>
      </c>
      <c r="BU6" s="1701">
        <f t="shared" ca="1" si="23"/>
        <v>0</v>
      </c>
      <c r="BV6" s="1701">
        <f t="shared" ca="1" si="24"/>
        <v>110359200000</v>
      </c>
      <c r="BW6" s="1701">
        <f t="shared" ca="1" si="25"/>
        <v>209682480000</v>
      </c>
      <c r="BX6" s="1701">
        <f t="shared" ca="1" si="26"/>
        <v>408329040000</v>
      </c>
      <c r="BY6" s="1701">
        <f t="shared" ca="1" si="27"/>
        <v>783550320000</v>
      </c>
      <c r="BZ6" s="1701">
        <f t="shared" ca="1" si="28"/>
        <v>1579421040000</v>
      </c>
      <c r="CA6" s="1701">
        <f t="shared" ca="1" si="29"/>
        <v>2992018800000</v>
      </c>
      <c r="CC6" s="1706">
        <f ca="1">AVERAGE(Costs!$BS6:$CA6)</f>
        <v>675928986666.66663</v>
      </c>
      <c r="CD6" s="1706">
        <f t="shared" ref="CD6:CD42" ca="1" si="56">(SUMPRODUCT(BT6:CA6,discount_factors)*5)+BS6</f>
        <v>1729226535268.1729</v>
      </c>
      <c r="CF6" s="1703">
        <f t="shared" ca="1" si="30"/>
        <v>0</v>
      </c>
      <c r="CG6" s="1703">
        <f t="shared" ca="1" si="31"/>
        <v>0</v>
      </c>
      <c r="CH6" s="1703">
        <f t="shared" ca="1" si="32"/>
        <v>0</v>
      </c>
      <c r="CI6" s="1703">
        <f t="shared" ca="1" si="33"/>
        <v>-375000000000</v>
      </c>
      <c r="CJ6" s="1703">
        <f t="shared" ca="1" si="34"/>
        <v>-262499999999.99994</v>
      </c>
      <c r="CK6" s="1703">
        <f t="shared" ca="1" si="35"/>
        <v>-532500000000.00012</v>
      </c>
      <c r="CL6" s="1703">
        <f t="shared" ca="1" si="36"/>
        <v>-997499999999.99976</v>
      </c>
      <c r="CM6" s="1703">
        <f t="shared" ca="1" si="37"/>
        <v>-1875000000000</v>
      </c>
      <c r="CN6" s="1703">
        <f t="shared" ca="1" si="38"/>
        <v>-3705000000000</v>
      </c>
      <c r="CP6" s="1706">
        <f ca="1">AVERAGE(Costs!$CF6:$CN6)</f>
        <v>-860833333333.33337</v>
      </c>
      <c r="CQ6" s="1706">
        <f t="shared" ca="1" si="48"/>
        <v>-2428931756256.8711</v>
      </c>
      <c r="CR6" s="1426" t="str">
        <f t="shared" ca="1" si="49"/>
        <v>ok</v>
      </c>
    </row>
    <row r="7" spans="1:96" x14ac:dyDescent="0.2">
      <c r="A7" s="1685" t="s">
        <v>864</v>
      </c>
      <c r="B7" s="1685" t="s">
        <v>1</v>
      </c>
      <c r="C7" s="1685" t="s">
        <v>4</v>
      </c>
      <c r="D7" s="2133"/>
      <c r="E7" s="1691">
        <f t="shared" ca="1" si="54"/>
        <v>0</v>
      </c>
      <c r="F7" s="1691">
        <f t="shared" ca="1" si="0"/>
        <v>0</v>
      </c>
      <c r="G7" s="1691">
        <f t="shared" ca="1" si="0"/>
        <v>0</v>
      </c>
      <c r="H7" s="1691">
        <f t="shared" ca="1" si="0"/>
        <v>630000000000</v>
      </c>
      <c r="I7" s="1691">
        <f t="shared" ca="1" si="0"/>
        <v>1260000000000</v>
      </c>
      <c r="J7" s="1691">
        <f t="shared" ca="1" si="0"/>
        <v>1890000000000</v>
      </c>
      <c r="K7" s="1691">
        <f t="shared" ca="1" si="0"/>
        <v>2520000000000</v>
      </c>
      <c r="L7" s="1691">
        <f t="shared" ca="1" si="0"/>
        <v>3150000000000</v>
      </c>
      <c r="M7" s="1691">
        <f t="shared" ca="1" si="0"/>
        <v>3780000000000</v>
      </c>
      <c r="N7" s="675"/>
      <c r="O7" s="1691">
        <f t="shared" ca="1" si="1"/>
        <v>0</v>
      </c>
      <c r="P7" s="1691">
        <f t="shared" ca="1" si="1"/>
        <v>0</v>
      </c>
      <c r="Q7" s="1691">
        <f t="shared" ca="1" si="1"/>
        <v>7875000000</v>
      </c>
      <c r="R7" s="1691">
        <f t="shared" ca="1" si="1"/>
        <v>15750000000</v>
      </c>
      <c r="S7" s="1691">
        <f t="shared" ca="1" si="1"/>
        <v>23625000000</v>
      </c>
      <c r="T7" s="1691">
        <f t="shared" ca="1" si="1"/>
        <v>31500000000</v>
      </c>
      <c r="U7" s="1691">
        <f t="shared" ca="1" si="1"/>
        <v>31500000000</v>
      </c>
      <c r="V7" s="1691">
        <f t="shared" ca="1" si="1"/>
        <v>39375000000</v>
      </c>
      <c r="W7" s="1691">
        <f t="shared" ca="1" si="1"/>
        <v>47250000000</v>
      </c>
      <c r="X7" s="675"/>
      <c r="Y7" s="1691">
        <f t="shared" ca="1" si="2"/>
        <v>0</v>
      </c>
      <c r="Z7" s="1691">
        <f t="shared" ca="1" si="2"/>
        <v>0</v>
      </c>
      <c r="AA7" s="1691">
        <f t="shared" ca="1" si="2"/>
        <v>0</v>
      </c>
      <c r="AB7" s="1691">
        <f t="shared" ca="1" si="2"/>
        <v>0</v>
      </c>
      <c r="AC7" s="1691">
        <f t="shared" ca="1" si="2"/>
        <v>0</v>
      </c>
      <c r="AD7" s="1691">
        <f t="shared" ca="1" si="2"/>
        <v>0</v>
      </c>
      <c r="AE7" s="1691">
        <f t="shared" ca="1" si="2"/>
        <v>0</v>
      </c>
      <c r="AF7" s="1691">
        <f t="shared" ca="1" si="2"/>
        <v>0</v>
      </c>
      <c r="AG7" s="1691">
        <f t="shared" ca="1" si="2"/>
        <v>0</v>
      </c>
      <c r="AH7" s="675"/>
      <c r="AI7" s="1691">
        <f t="shared" ca="1" si="3"/>
        <v>0</v>
      </c>
      <c r="AJ7" s="1691">
        <f t="shared" ca="1" si="4"/>
        <v>0</v>
      </c>
      <c r="AK7" s="1691">
        <f t="shared" ca="1" si="5"/>
        <v>7875000000</v>
      </c>
      <c r="AL7" s="1691">
        <f t="shared" ca="1" si="6"/>
        <v>645750000000</v>
      </c>
      <c r="AM7" s="1691">
        <f t="shared" ca="1" si="7"/>
        <v>1283625000000</v>
      </c>
      <c r="AN7" s="1691">
        <f t="shared" ca="1" si="8"/>
        <v>1921500000000</v>
      </c>
      <c r="AO7" s="1691">
        <f t="shared" ca="1" si="9"/>
        <v>2551500000000</v>
      </c>
      <c r="AP7" s="1691">
        <f t="shared" ca="1" si="10"/>
        <v>3189375000000</v>
      </c>
      <c r="AQ7" s="1691">
        <f t="shared" ca="1" si="11"/>
        <v>3827250000000</v>
      </c>
      <c r="AS7" s="1707">
        <f ca="1">AVERAGE(Costs!$AI7:$AQ7)</f>
        <v>1491875000000</v>
      </c>
      <c r="AT7" s="1707">
        <f t="shared" ca="1" si="55"/>
        <v>4964336530948.7803</v>
      </c>
      <c r="AU7" s="675"/>
      <c r="AV7" s="1700">
        <f>IFERROR(VLOOKUP($A7,Cost.FinanceCostTable,3,FALSE),'Global assumptions'!$D$35)</f>
        <v>0</v>
      </c>
      <c r="AW7" s="1692">
        <f>IFERROR(VLOOKUP($A7,Cost.FinanceCostTable,4,FALSE),'Global assumptions'!$E$35)</f>
        <v>20</v>
      </c>
      <c r="AX7" s="675"/>
      <c r="AY7" s="1691">
        <f t="shared" ca="1" si="12"/>
        <v>0</v>
      </c>
      <c r="AZ7" s="1691">
        <f t="shared" ca="1" si="13"/>
        <v>0</v>
      </c>
      <c r="BA7" s="1691">
        <f t="shared" ca="1" si="14"/>
        <v>0</v>
      </c>
      <c r="BB7" s="1691">
        <f t="shared" ca="1" si="15"/>
        <v>157500000000</v>
      </c>
      <c r="BC7" s="1691">
        <f t="shared" ca="1" si="16"/>
        <v>315000000000</v>
      </c>
      <c r="BD7" s="1691">
        <f t="shared" ca="1" si="17"/>
        <v>472500000000</v>
      </c>
      <c r="BE7" s="1691">
        <f t="shared" ca="1" si="18"/>
        <v>630000000000</v>
      </c>
      <c r="BF7" s="1691">
        <f t="shared" ca="1" si="19"/>
        <v>787500000000</v>
      </c>
      <c r="BG7" s="1691">
        <f t="shared" ca="1" si="20"/>
        <v>945000000000</v>
      </c>
      <c r="BH7" s="675"/>
      <c r="BI7" s="1691">
        <f t="shared" ca="1" si="39"/>
        <v>0</v>
      </c>
      <c r="BJ7" s="1691">
        <f t="shared" ca="1" si="40"/>
        <v>0</v>
      </c>
      <c r="BK7" s="1691">
        <f t="shared" ca="1" si="41"/>
        <v>0</v>
      </c>
      <c r="BL7" s="1691">
        <f t="shared" ca="1" si="42"/>
        <v>157500000000</v>
      </c>
      <c r="BM7" s="1691">
        <f t="shared" ca="1" si="43"/>
        <v>472500000000</v>
      </c>
      <c r="BN7" s="1691">
        <f t="shared" ca="1" si="44"/>
        <v>945000000000</v>
      </c>
      <c r="BO7" s="1691">
        <f t="shared" ca="1" si="45"/>
        <v>1575000000000</v>
      </c>
      <c r="BP7" s="1691">
        <f t="shared" ca="1" si="46"/>
        <v>2520000000000</v>
      </c>
      <c r="BQ7" s="1691">
        <f t="shared" ca="1" si="47"/>
        <v>2835000000000</v>
      </c>
      <c r="BR7" s="675"/>
      <c r="BS7" s="1702">
        <f t="shared" ca="1" si="21"/>
        <v>0</v>
      </c>
      <c r="BT7" s="1702">
        <f t="shared" ca="1" si="22"/>
        <v>0</v>
      </c>
      <c r="BU7" s="1702">
        <f t="shared" ca="1" si="23"/>
        <v>7875000000</v>
      </c>
      <c r="BV7" s="1702">
        <f t="shared" ca="1" si="24"/>
        <v>173250000000</v>
      </c>
      <c r="BW7" s="1702">
        <f t="shared" ca="1" si="25"/>
        <v>496125000000</v>
      </c>
      <c r="BX7" s="1702">
        <f t="shared" ca="1" si="26"/>
        <v>976500000000</v>
      </c>
      <c r="BY7" s="1702">
        <f t="shared" ca="1" si="27"/>
        <v>1606500000000</v>
      </c>
      <c r="BZ7" s="1702">
        <f t="shared" ca="1" si="28"/>
        <v>2559375000000</v>
      </c>
      <c r="CA7" s="1702">
        <f t="shared" ca="1" si="29"/>
        <v>2882250000000</v>
      </c>
      <c r="CC7" s="1707">
        <f ca="1">AVERAGE(Costs!$BS7:$CA7)</f>
        <v>966875000000</v>
      </c>
      <c r="CD7" s="1707">
        <f t="shared" ca="1" si="56"/>
        <v>2749399290691.5615</v>
      </c>
      <c r="CF7" s="1704">
        <f t="shared" ca="1" si="30"/>
        <v>0</v>
      </c>
      <c r="CG7" s="1704">
        <f t="shared" ca="1" si="31"/>
        <v>0</v>
      </c>
      <c r="CH7" s="1704">
        <f t="shared" ca="1" si="32"/>
        <v>0</v>
      </c>
      <c r="CI7" s="1704">
        <f t="shared" ca="1" si="33"/>
        <v>-472500000000</v>
      </c>
      <c r="CJ7" s="1704">
        <f t="shared" ca="1" si="34"/>
        <v>-787500000000</v>
      </c>
      <c r="CK7" s="1704">
        <f t="shared" ca="1" si="35"/>
        <v>-945000000000</v>
      </c>
      <c r="CL7" s="1704">
        <f t="shared" ca="1" si="36"/>
        <v>-945000000000</v>
      </c>
      <c r="CM7" s="1704">
        <f t="shared" ca="1" si="37"/>
        <v>-630000000000</v>
      </c>
      <c r="CN7" s="1704">
        <f t="shared" ca="1" si="38"/>
        <v>-945000000000</v>
      </c>
      <c r="CP7" s="1707">
        <f ca="1">AVERAGE(Costs!$CF7:$CN7)</f>
        <v>-525000000000</v>
      </c>
      <c r="CQ7" s="1707">
        <f t="shared" ca="1" si="48"/>
        <v>-2214937240257.2187</v>
      </c>
      <c r="CR7" s="1426" t="str">
        <f t="shared" ca="1" si="49"/>
        <v>ok</v>
      </c>
    </row>
    <row r="8" spans="1:96" x14ac:dyDescent="0.2">
      <c r="A8" s="1685" t="s">
        <v>2366</v>
      </c>
      <c r="B8" s="1685" t="s">
        <v>2584</v>
      </c>
      <c r="C8" s="1685" t="s">
        <v>4</v>
      </c>
      <c r="D8" s="2133"/>
      <c r="E8" s="1691">
        <f t="shared" ca="1" si="54"/>
        <v>0</v>
      </c>
      <c r="F8" s="1691">
        <f t="shared" ca="1" si="0"/>
        <v>0</v>
      </c>
      <c r="G8" s="1691">
        <f t="shared" ca="1" si="0"/>
        <v>120600000000.00003</v>
      </c>
      <c r="H8" s="1691">
        <f t="shared" ca="1" si="0"/>
        <v>119700000000</v>
      </c>
      <c r="I8" s="1691">
        <f t="shared" ca="1" si="0"/>
        <v>120600000000.00006</v>
      </c>
      <c r="J8" s="1691">
        <f t="shared" ca="1" si="0"/>
        <v>119700000000</v>
      </c>
      <c r="K8" s="1691">
        <f t="shared" ca="1" si="0"/>
        <v>120599999999.99995</v>
      </c>
      <c r="L8" s="1691">
        <f t="shared" ca="1" si="0"/>
        <v>119700000000.00009</v>
      </c>
      <c r="M8" s="1691">
        <f t="shared" ca="1" si="0"/>
        <v>120599999999.99986</v>
      </c>
      <c r="N8" s="675"/>
      <c r="O8" s="1691">
        <f t="shared" ca="1" si="1"/>
        <v>1425000</v>
      </c>
      <c r="P8" s="1691">
        <f t="shared" ca="1" si="1"/>
        <v>1425000</v>
      </c>
      <c r="Q8" s="1691">
        <f t="shared" ca="1" si="1"/>
        <v>2430000</v>
      </c>
      <c r="R8" s="1691">
        <f t="shared" ca="1" si="1"/>
        <v>3427500</v>
      </c>
      <c r="S8" s="1691">
        <f t="shared" ca="1" si="1"/>
        <v>4432500.0000000009</v>
      </c>
      <c r="T8" s="1691">
        <f t="shared" ca="1" si="1"/>
        <v>5430000.0000000009</v>
      </c>
      <c r="U8" s="1691">
        <f t="shared" ca="1" si="1"/>
        <v>6435000</v>
      </c>
      <c r="V8" s="1691">
        <f t="shared" ca="1" si="1"/>
        <v>7432500.0000000009</v>
      </c>
      <c r="W8" s="1691">
        <f t="shared" ca="1" si="1"/>
        <v>8437500</v>
      </c>
      <c r="X8" s="675"/>
      <c r="Y8" s="1691">
        <f t="shared" ca="1" si="2"/>
        <v>0</v>
      </c>
      <c r="Z8" s="1691">
        <f t="shared" ca="1" si="2"/>
        <v>0</v>
      </c>
      <c r="AA8" s="1691">
        <f t="shared" ca="1" si="2"/>
        <v>0</v>
      </c>
      <c r="AB8" s="1691">
        <f t="shared" ca="1" si="2"/>
        <v>0</v>
      </c>
      <c r="AC8" s="1691">
        <f t="shared" ca="1" si="2"/>
        <v>0</v>
      </c>
      <c r="AD8" s="1691">
        <f t="shared" ca="1" si="2"/>
        <v>0</v>
      </c>
      <c r="AE8" s="1691">
        <f t="shared" ca="1" si="2"/>
        <v>0</v>
      </c>
      <c r="AF8" s="1691">
        <f t="shared" ca="1" si="2"/>
        <v>0</v>
      </c>
      <c r="AG8" s="1691">
        <f t="shared" ca="1" si="2"/>
        <v>0</v>
      </c>
      <c r="AH8" s="675"/>
      <c r="AI8" s="1691">
        <f t="shared" ref="AI8:AI10" ca="1" si="57">SUM(E8,O8,Y8)</f>
        <v>1425000</v>
      </c>
      <c r="AJ8" s="1691">
        <f t="shared" ref="AJ8:AJ10" ca="1" si="58">SUM(F8,P8,Z8)</f>
        <v>1425000</v>
      </c>
      <c r="AK8" s="1691">
        <f t="shared" ref="AK8:AK10" ca="1" si="59">SUM(G8,Q8,AA8)</f>
        <v>120602430000.00003</v>
      </c>
      <c r="AL8" s="1691">
        <f t="shared" ref="AL8:AL10" ca="1" si="60">SUM(H8,R8,AB8)</f>
        <v>119703427500</v>
      </c>
      <c r="AM8" s="1691">
        <f t="shared" ref="AM8:AM10" ca="1" si="61">SUM(I8,S8,AC8)</f>
        <v>120604432500.00006</v>
      </c>
      <c r="AN8" s="1691">
        <f t="shared" ref="AN8:AN10" ca="1" si="62">SUM(J8,T8,AD8)</f>
        <v>119705430000</v>
      </c>
      <c r="AO8" s="1691">
        <f t="shared" ref="AO8:AO10" ca="1" si="63">SUM(K8,U8,AE8)</f>
        <v>120606434999.99995</v>
      </c>
      <c r="AP8" s="1691">
        <f t="shared" ref="AP8:AP10" ca="1" si="64">SUM(L8,V8,AF8)</f>
        <v>119707432500.00009</v>
      </c>
      <c r="AQ8" s="1691">
        <f t="shared" ref="AQ8:AQ10" ca="1" si="65">SUM(M8,W8,AG8)</f>
        <v>120608437499.99986</v>
      </c>
      <c r="AS8" s="1707">
        <f ca="1">AVERAGE(Costs!$AI8:$AQ8)</f>
        <v>93504541666.666687</v>
      </c>
      <c r="AT8" s="1707">
        <f t="shared" ref="AT8:AT10" ca="1" si="66">(SUMPRODUCT(AJ8:AQ8,discount_factors)*5)+AI8</f>
        <v>610513442407.625</v>
      </c>
      <c r="AU8" s="675"/>
      <c r="AV8" s="1700">
        <f>IFERROR(VLOOKUP($A8,Cost.FinanceCostTable,3,FALSE),'Global assumptions'!$D$35)</f>
        <v>0</v>
      </c>
      <c r="AW8" s="1692">
        <f>IFERROR(VLOOKUP($A8,Cost.FinanceCostTable,4,FALSE),'Global assumptions'!$E$35)</f>
        <v>5</v>
      </c>
      <c r="AX8" s="675"/>
      <c r="AY8" s="1691">
        <f t="shared" ref="AY8:AY10" ca="1" si="67">-PMT($AV8,$AW8,E8*3)</f>
        <v>0</v>
      </c>
      <c r="AZ8" s="1691">
        <f t="shared" ref="AZ8:AZ10" ca="1" si="68">-PMT($AV8,$AW8,F8*5)</f>
        <v>0</v>
      </c>
      <c r="BA8" s="1691">
        <f t="shared" ref="BA8:BA10" ca="1" si="69">-PMT($AV8,$AW8,G8*5)</f>
        <v>120600000000.00003</v>
      </c>
      <c r="BB8" s="1691">
        <f t="shared" ref="BB8:BB10" ca="1" si="70">-PMT($AV8,$AW8,H8*5)</f>
        <v>119700000000</v>
      </c>
      <c r="BC8" s="1691">
        <f t="shared" ref="BC8:BC10" ca="1" si="71">-PMT($AV8,$AW8,I8*5)</f>
        <v>120600000000.00005</v>
      </c>
      <c r="BD8" s="1691">
        <f t="shared" ref="BD8:BD10" ca="1" si="72">-PMT($AV8,$AW8,J8*5)</f>
        <v>119700000000</v>
      </c>
      <c r="BE8" s="1691">
        <f t="shared" ref="BE8:BE10" ca="1" si="73">-PMT($AV8,$AW8,K8*5)</f>
        <v>120599999999.99995</v>
      </c>
      <c r="BF8" s="1691">
        <f t="shared" ref="BF8:BF10" ca="1" si="74">-PMT($AV8,$AW8,L8*5)</f>
        <v>119700000000.00009</v>
      </c>
      <c r="BG8" s="1691">
        <f t="shared" ref="BG8:BG10" ca="1" si="75">-PMT($AV8,$AW8,M8*5)</f>
        <v>120599999999.99985</v>
      </c>
      <c r="BH8" s="675"/>
      <c r="BI8" s="1691">
        <f t="shared" ref="BI8:BI10" ca="1" si="76">AY8</f>
        <v>0</v>
      </c>
      <c r="BJ8" s="1691">
        <f t="shared" ref="BJ8:BJ10" ca="1" si="77">AZ8+IF(BJ$2-$BI$2&lt;$AW8,$AY8,0)</f>
        <v>0</v>
      </c>
      <c r="BK8" s="1691">
        <f t="shared" ref="BK8:BK10" ca="1" si="78">BA8+IF(BK$2-$BI$2&lt;$AW8,$AY8,0)+IF(BK$2-$BJ$2&lt;$AW8,$AZ8,0)</f>
        <v>120600000000.00003</v>
      </c>
      <c r="BL8" s="1691">
        <f t="shared" ref="BL8:BL10" ca="1" si="79">BB8+IF(BL$2-$BI$2&lt;$AW8,$AY8,0)+IF(BL$2-$BJ$2&lt;$AW8,$AZ8,0)+IF(BL$2-$BK$2&lt;$AW8,$BA8,0)</f>
        <v>119700000000</v>
      </c>
      <c r="BM8" s="1691">
        <f t="shared" ref="BM8:BM10" ca="1" si="80">BC8+IF(BM$2-$BI$2&lt;$AW8,$AY8,0)+IF(BM$2-$BJ$2&lt;$AW8,$AZ8,0)+IF(BM$2-$BK$2&lt;$AW8,$BA8,0)+IF(BM$2-$BL$2&lt;$AW8,$BB8,0)</f>
        <v>120600000000.00005</v>
      </c>
      <c r="BN8" s="1691">
        <f t="shared" ref="BN8:BN10" ca="1" si="81">BD8+IF(BN$2-$BI$2&lt;$AW8,$AY8,0)+IF(BN$2-$BJ$2&lt;$AW8,$AZ8,0)+IF(BN$2-$BK$2&lt;$AW8,$BA8,0)+IF(BN$2-$BL$2&lt;$AW8,$BB8,0)+IF(BN$2-$BM$2&lt;$AW8,$BC8,0)</f>
        <v>119700000000</v>
      </c>
      <c r="BO8" s="1691">
        <f t="shared" ref="BO8:BO10" ca="1" si="82">BE8+IF(BO$2-$BI$2&lt;$AW8,$AY8,0)+IF(BO$2-$BJ$2&lt;$AW8,$AZ8,0)+IF(BO$2-$BK$2&lt;$AW8,$BA8,0)+IF(BO$2-$BL$2&lt;$AW8,$BB8,0)+IF(BO$2-$BM$2&lt;$AW8,$BC8,0)+IF(BO$2-$BN$2&lt;$AW8,$BD8,0)</f>
        <v>120599999999.99995</v>
      </c>
      <c r="BP8" s="1691">
        <f t="shared" ref="BP8:BP10" ca="1" si="83">BF8+IF(BP$2-$BI$2&lt;$AW8,$AY8,0)+IF(BP$2-$BJ$2&lt;$AW8,$AZ8,0)+IF(BP$2-$BK$2&lt;$AW8,$BA8,0)+IF(BP$2-$BL$2&lt;$AW8,$BB8,0)+IF(BP$2-$BM$2&lt;$AW8,$BC8,0)+IF(BP$2-$BN$2&lt;$AW8,$BD8,0)+IF(BP$2-$BM$2&lt;$AW8,$BC8,0)+IF(BP$2-$BO$2&lt;$AW8,$BE8,0)</f>
        <v>119700000000.00009</v>
      </c>
      <c r="BQ8" s="1691">
        <f t="shared" ref="BQ8:BQ10" ca="1" si="84">BG8+IF(BQ$2-$BI$2&lt;$AW8,$AY8,0)+IF(BQ$2-$BJ$2&lt;$AW8,$AZ8,0)+IF(BQ$2-$BK$2&lt;$AW8,$BA8,0)+IF(BQ$2-$BL$2&lt;$AW8,$BB8,0)+IF(BQ$2-$BM$2&lt;$AW8,$BC8,0)+IF(BQ$2-$BN$2&lt;$AW8,$BD8,0)+IF(BQ$2-$BM$2&lt;$AW8,$BC8,0)+IF(BQ$2-$BO$2&lt;$AW8,$BE8,0)+IF(BQ$2-$BP$2&lt;$AW8,$BF8,0)</f>
        <v>120599999999.99985</v>
      </c>
      <c r="BR8" s="675"/>
      <c r="BS8" s="1702">
        <f t="shared" ref="BS8:BS10" ca="1" si="85">O8+Y8+BI8</f>
        <v>1425000</v>
      </c>
      <c r="BT8" s="1702">
        <f t="shared" ref="BT8:BT10" ca="1" si="86">P8+Z8+BJ8</f>
        <v>1425000</v>
      </c>
      <c r="BU8" s="1702">
        <f t="shared" ref="BU8:BU10" ca="1" si="87">Q8+AA8+BK8</f>
        <v>120602430000.00003</v>
      </c>
      <c r="BV8" s="1702">
        <f t="shared" ref="BV8:BV10" ca="1" si="88">R8+AB8+BL8</f>
        <v>119703427500</v>
      </c>
      <c r="BW8" s="1702">
        <f t="shared" ref="BW8:BW10" ca="1" si="89">S8+AC8+BM8</f>
        <v>120604432500.00005</v>
      </c>
      <c r="BX8" s="1702">
        <f t="shared" ref="BX8:BX10" ca="1" si="90">T8+AD8+BN8</f>
        <v>119705430000</v>
      </c>
      <c r="BY8" s="1702">
        <f t="shared" ref="BY8:BY10" ca="1" si="91">U8+AE8+BO8</f>
        <v>120606434999.99995</v>
      </c>
      <c r="BZ8" s="1702">
        <f t="shared" ref="BZ8:BZ10" ca="1" si="92">V8+AF8+BP8</f>
        <v>119707432500.00009</v>
      </c>
      <c r="CA8" s="1702">
        <f t="shared" ref="CA8:CA10" ca="1" si="93">W8+AG8+BQ8</f>
        <v>120608437499.99985</v>
      </c>
      <c r="CC8" s="1707">
        <f ca="1">AVERAGE(Costs!$BS8:$CA8)</f>
        <v>93504541666.666672</v>
      </c>
      <c r="CD8" s="1707">
        <f t="shared" ref="CD8:CD10" ca="1" si="94">(SUMPRODUCT(BT8:CA8,discount_factors)*5)+BS8</f>
        <v>610513442407.625</v>
      </c>
      <c r="CF8" s="1704">
        <f t="shared" ref="CF8:CF10" ca="1" si="95">BI8-E8</f>
        <v>0</v>
      </c>
      <c r="CG8" s="1704">
        <f t="shared" ref="CG8:CG10" ca="1" si="96">BJ8-F8</f>
        <v>0</v>
      </c>
      <c r="CH8" s="1704">
        <f t="shared" ref="CH8:CH10" ca="1" si="97">BK8-G8</f>
        <v>0</v>
      </c>
      <c r="CI8" s="1704">
        <f t="shared" ref="CI8:CI10" ca="1" si="98">BL8-H8</f>
        <v>0</v>
      </c>
      <c r="CJ8" s="1704">
        <f t="shared" ref="CJ8:CJ10" ca="1" si="99">BM8-I8</f>
        <v>0</v>
      </c>
      <c r="CK8" s="1704">
        <f t="shared" ref="CK8:CK10" ca="1" si="100">BN8-J8</f>
        <v>0</v>
      </c>
      <c r="CL8" s="1704">
        <f t="shared" ref="CL8:CL10" ca="1" si="101">BO8-K8</f>
        <v>0</v>
      </c>
      <c r="CM8" s="1704">
        <f t="shared" ref="CM8:CM10" ca="1" si="102">BP8-L8</f>
        <v>0</v>
      </c>
      <c r="CN8" s="1704">
        <f t="shared" ref="CN8:CN10" ca="1" si="103">BQ8-M8</f>
        <v>0</v>
      </c>
      <c r="CP8" s="1707">
        <f ca="1">AVERAGE(Costs!$CF8:$CN8)</f>
        <v>0</v>
      </c>
      <c r="CQ8" s="1707">
        <f t="shared" ref="CQ8:CQ10" ca="1" si="104">(SUMPRODUCT(CG8:CN8,discount_factors)*5)+CF8</f>
        <v>0</v>
      </c>
      <c r="CR8" s="1426" t="str">
        <f t="shared" ref="CR8:CR10" ca="1" si="105">IF(ABS(CD8-CQ8-AT8)&lt;1,"ok","err")</f>
        <v>ok</v>
      </c>
    </row>
    <row r="9" spans="1:96" s="2479" customFormat="1" x14ac:dyDescent="0.2">
      <c r="A9" s="1685" t="s">
        <v>2365</v>
      </c>
      <c r="B9" s="1685" t="s">
        <v>2363</v>
      </c>
      <c r="C9" s="1685" t="s">
        <v>4</v>
      </c>
      <c r="E9" s="1691">
        <f t="shared" ca="1" si="54"/>
        <v>0</v>
      </c>
      <c r="F9" s="1691">
        <f t="shared" ca="1" si="0"/>
        <v>0</v>
      </c>
      <c r="G9" s="1691">
        <f t="shared" ca="1" si="0"/>
        <v>0</v>
      </c>
      <c r="H9" s="1691">
        <f t="shared" ca="1" si="0"/>
        <v>117822857142.8568</v>
      </c>
      <c r="I9" s="1691">
        <f t="shared" ca="1" si="0"/>
        <v>58899428571.428413</v>
      </c>
      <c r="J9" s="1691">
        <f t="shared" ca="1" si="0"/>
        <v>58899428571.429588</v>
      </c>
      <c r="K9" s="1691">
        <f t="shared" ca="1" si="0"/>
        <v>58899428571.428391</v>
      </c>
      <c r="L9" s="1691">
        <f t="shared" ca="1" si="0"/>
        <v>58899428571.428421</v>
      </c>
      <c r="M9" s="1691">
        <f t="shared" ca="1" si="0"/>
        <v>58899428571.428391</v>
      </c>
      <c r="N9" s="675"/>
      <c r="O9" s="1691">
        <f t="shared" ca="1" si="1"/>
        <v>57600.000000000015</v>
      </c>
      <c r="P9" s="1691">
        <f t="shared" ca="1" si="1"/>
        <v>57600.000000000015</v>
      </c>
      <c r="Q9" s="1691">
        <f t="shared" ca="1" si="1"/>
        <v>57600.000000000015</v>
      </c>
      <c r="R9" s="1691">
        <f t="shared" ca="1" si="1"/>
        <v>941271.42857142608</v>
      </c>
      <c r="S9" s="1691">
        <f t="shared" ca="1" si="1"/>
        <v>1383017.1428571392</v>
      </c>
      <c r="T9" s="1691">
        <f t="shared" ca="1" si="1"/>
        <v>1824762.8571428612</v>
      </c>
      <c r="U9" s="1691">
        <f t="shared" ca="1" si="1"/>
        <v>2266508.5714285742</v>
      </c>
      <c r="V9" s="1691">
        <f t="shared" ca="1" si="1"/>
        <v>2708254.2857142878</v>
      </c>
      <c r="W9" s="1691">
        <f t="shared" ca="1" si="1"/>
        <v>3150000.0000000005</v>
      </c>
      <c r="X9" s="675"/>
      <c r="Y9" s="1691">
        <f t="shared" ca="1" si="2"/>
        <v>0</v>
      </c>
      <c r="Z9" s="1691">
        <f t="shared" ca="1" si="2"/>
        <v>0</v>
      </c>
      <c r="AA9" s="1691">
        <f t="shared" ca="1" si="2"/>
        <v>0</v>
      </c>
      <c r="AB9" s="1691">
        <f t="shared" ca="1" si="2"/>
        <v>0</v>
      </c>
      <c r="AC9" s="1691">
        <f t="shared" ca="1" si="2"/>
        <v>0</v>
      </c>
      <c r="AD9" s="1691">
        <f t="shared" ca="1" si="2"/>
        <v>0</v>
      </c>
      <c r="AE9" s="1691">
        <f t="shared" ca="1" si="2"/>
        <v>0</v>
      </c>
      <c r="AF9" s="1691">
        <f t="shared" ca="1" si="2"/>
        <v>0</v>
      </c>
      <c r="AG9" s="1691">
        <f t="shared" ca="1" si="2"/>
        <v>0</v>
      </c>
      <c r="AH9" s="675"/>
      <c r="AI9" s="1691">
        <f t="shared" ca="1" si="57"/>
        <v>57600.000000000015</v>
      </c>
      <c r="AJ9" s="1691">
        <f t="shared" ca="1" si="58"/>
        <v>57600.000000000015</v>
      </c>
      <c r="AK9" s="1691">
        <f t="shared" ca="1" si="59"/>
        <v>57600.000000000015</v>
      </c>
      <c r="AL9" s="1691">
        <f t="shared" ca="1" si="60"/>
        <v>117823798414.28537</v>
      </c>
      <c r="AM9" s="1691">
        <f t="shared" ca="1" si="61"/>
        <v>58900811588.571274</v>
      </c>
      <c r="AN9" s="1691">
        <f t="shared" ca="1" si="62"/>
        <v>58901253334.286728</v>
      </c>
      <c r="AO9" s="1691">
        <f t="shared" ca="1" si="63"/>
        <v>58901695079.999817</v>
      </c>
      <c r="AP9" s="1691">
        <f t="shared" ca="1" si="64"/>
        <v>58902136825.714134</v>
      </c>
      <c r="AQ9" s="1691">
        <f t="shared" ca="1" si="65"/>
        <v>58902578571.428391</v>
      </c>
      <c r="AS9" s="1707">
        <f ca="1">AVERAGE(Costs!$AI9:$AQ9)</f>
        <v>45814716290.476189</v>
      </c>
      <c r="AT9" s="1707">
        <f t="shared" ca="1" si="66"/>
        <v>255984498650.52924</v>
      </c>
      <c r="AU9" s="675"/>
      <c r="AV9" s="1700">
        <f>IFERROR(VLOOKUP($A9,Cost.FinanceCostTable,3,FALSE),'Global assumptions'!$D$35)</f>
        <v>0</v>
      </c>
      <c r="AW9" s="1692">
        <f>IFERROR(VLOOKUP($A9,Cost.FinanceCostTable,4,FALSE),'Global assumptions'!$E$35)</f>
        <v>5</v>
      </c>
      <c r="AX9" s="675"/>
      <c r="AY9" s="1691">
        <f t="shared" ca="1" si="67"/>
        <v>0</v>
      </c>
      <c r="AZ9" s="1691">
        <f t="shared" ca="1" si="68"/>
        <v>0</v>
      </c>
      <c r="BA9" s="1691">
        <f t="shared" ca="1" si="69"/>
        <v>0</v>
      </c>
      <c r="BB9" s="1691">
        <f t="shared" ca="1" si="70"/>
        <v>117822857142.85678</v>
      </c>
      <c r="BC9" s="1691">
        <f t="shared" ca="1" si="71"/>
        <v>58899428571.428421</v>
      </c>
      <c r="BD9" s="1691">
        <f t="shared" ca="1" si="72"/>
        <v>58899428571.429588</v>
      </c>
      <c r="BE9" s="1691">
        <f t="shared" ca="1" si="73"/>
        <v>58899428571.428391</v>
      </c>
      <c r="BF9" s="1691">
        <f t="shared" ca="1" si="74"/>
        <v>58899428571.428421</v>
      </c>
      <c r="BG9" s="1691">
        <f t="shared" ca="1" si="75"/>
        <v>58899428571.428391</v>
      </c>
      <c r="BH9" s="675"/>
      <c r="BI9" s="1691">
        <f t="shared" ca="1" si="76"/>
        <v>0</v>
      </c>
      <c r="BJ9" s="1691">
        <f t="shared" ca="1" si="77"/>
        <v>0</v>
      </c>
      <c r="BK9" s="1691">
        <f t="shared" ca="1" si="78"/>
        <v>0</v>
      </c>
      <c r="BL9" s="1691">
        <f t="shared" ca="1" si="79"/>
        <v>117822857142.85678</v>
      </c>
      <c r="BM9" s="1691">
        <f t="shared" ca="1" si="80"/>
        <v>58899428571.428421</v>
      </c>
      <c r="BN9" s="1691">
        <f t="shared" ca="1" si="81"/>
        <v>58899428571.429588</v>
      </c>
      <c r="BO9" s="1691">
        <f t="shared" ca="1" si="82"/>
        <v>58899428571.428391</v>
      </c>
      <c r="BP9" s="1691">
        <f t="shared" ca="1" si="83"/>
        <v>58899428571.428421</v>
      </c>
      <c r="BQ9" s="1691">
        <f t="shared" ca="1" si="84"/>
        <v>58899428571.428391</v>
      </c>
      <c r="BR9" s="675"/>
      <c r="BS9" s="1702">
        <f t="shared" ca="1" si="85"/>
        <v>57600.000000000015</v>
      </c>
      <c r="BT9" s="1702">
        <f t="shared" ca="1" si="86"/>
        <v>57600.000000000015</v>
      </c>
      <c r="BU9" s="1702">
        <f t="shared" ca="1" si="87"/>
        <v>57600.000000000015</v>
      </c>
      <c r="BV9" s="1702">
        <f t="shared" ca="1" si="88"/>
        <v>117823798414.28535</v>
      </c>
      <c r="BW9" s="1702">
        <f t="shared" ca="1" si="89"/>
        <v>58900811588.571281</v>
      </c>
      <c r="BX9" s="1702">
        <f t="shared" ca="1" si="90"/>
        <v>58901253334.286728</v>
      </c>
      <c r="BY9" s="1702">
        <f t="shared" ca="1" si="91"/>
        <v>58901695079.999817</v>
      </c>
      <c r="BZ9" s="1702">
        <f t="shared" ca="1" si="92"/>
        <v>58902136825.714134</v>
      </c>
      <c r="CA9" s="1702">
        <f t="shared" ca="1" si="93"/>
        <v>58902578571.428391</v>
      </c>
      <c r="CC9" s="1707">
        <f ca="1">AVERAGE(Costs!$BS9:$CA9)</f>
        <v>45814716290.476189</v>
      </c>
      <c r="CD9" s="1707">
        <f t="shared" ca="1" si="94"/>
        <v>255984498650.52924</v>
      </c>
      <c r="CF9" s="1704">
        <f t="shared" ca="1" si="95"/>
        <v>0</v>
      </c>
      <c r="CG9" s="1704">
        <f t="shared" ca="1" si="96"/>
        <v>0</v>
      </c>
      <c r="CH9" s="1704">
        <f t="shared" ca="1" si="97"/>
        <v>0</v>
      </c>
      <c r="CI9" s="1704">
        <f t="shared" ca="1" si="98"/>
        <v>0</v>
      </c>
      <c r="CJ9" s="1704">
        <f t="shared" ca="1" si="99"/>
        <v>0</v>
      </c>
      <c r="CK9" s="1704">
        <f t="shared" ca="1" si="100"/>
        <v>0</v>
      </c>
      <c r="CL9" s="1704">
        <f t="shared" ca="1" si="101"/>
        <v>0</v>
      </c>
      <c r="CM9" s="1704">
        <f t="shared" ca="1" si="102"/>
        <v>0</v>
      </c>
      <c r="CN9" s="1704">
        <f t="shared" ca="1" si="103"/>
        <v>0</v>
      </c>
      <c r="CP9" s="1707">
        <f ca="1">AVERAGE(Costs!$CF9:$CN9)</f>
        <v>0</v>
      </c>
      <c r="CQ9" s="1707">
        <f t="shared" ca="1" si="104"/>
        <v>0</v>
      </c>
      <c r="CR9" s="1426" t="str">
        <f t="shared" ca="1" si="105"/>
        <v>ok</v>
      </c>
    </row>
    <row r="10" spans="1:96" s="2479" customFormat="1" x14ac:dyDescent="0.2">
      <c r="A10" s="1685" t="s">
        <v>2364</v>
      </c>
      <c r="B10" s="1685" t="s">
        <v>2404</v>
      </c>
      <c r="C10" s="1685" t="s">
        <v>4</v>
      </c>
      <c r="E10" s="1691">
        <f t="shared" ca="1" si="54"/>
        <v>0</v>
      </c>
      <c r="F10" s="1691">
        <f t="shared" ca="1" si="0"/>
        <v>0</v>
      </c>
      <c r="G10" s="1691">
        <f t="shared" ca="1" si="0"/>
        <v>528300000000</v>
      </c>
      <c r="H10" s="1691">
        <f t="shared" ca="1" si="0"/>
        <v>887400000000</v>
      </c>
      <c r="I10" s="1691">
        <f t="shared" ca="1" si="0"/>
        <v>1336499999999.9995</v>
      </c>
      <c r="J10" s="1691">
        <f t="shared" ca="1" si="0"/>
        <v>2236950000000.0005</v>
      </c>
      <c r="K10" s="1691">
        <f t="shared" ca="1" si="0"/>
        <v>1336950000000.001</v>
      </c>
      <c r="L10" s="1691">
        <f t="shared" ca="1" si="0"/>
        <v>2315249999999.999</v>
      </c>
      <c r="M10" s="1691">
        <f t="shared" ca="1" si="0"/>
        <v>3202650000000</v>
      </c>
      <c r="N10" s="675"/>
      <c r="O10" s="1691">
        <f t="shared" ca="1" si="1"/>
        <v>0</v>
      </c>
      <c r="P10" s="1691">
        <f t="shared" ca="1" si="1"/>
        <v>0</v>
      </c>
      <c r="Q10" s="1691">
        <f t="shared" ca="1" si="1"/>
        <v>13207500</v>
      </c>
      <c r="R10" s="1691">
        <f t="shared" ca="1" si="1"/>
        <v>35392500</v>
      </c>
      <c r="S10" s="1691">
        <f t="shared" ca="1" si="1"/>
        <v>68804999.999999985</v>
      </c>
      <c r="T10" s="1691">
        <f t="shared" ca="1" si="1"/>
        <v>124728750</v>
      </c>
      <c r="U10" s="1691">
        <f t="shared" ca="1" si="1"/>
        <v>158152500.00000003</v>
      </c>
      <c r="V10" s="1691">
        <f t="shared" ca="1" si="1"/>
        <v>202826250</v>
      </c>
      <c r="W10" s="1691">
        <f t="shared" ca="1" si="1"/>
        <v>247500000</v>
      </c>
      <c r="X10" s="675"/>
      <c r="Y10" s="1691">
        <f t="shared" ca="1" si="2"/>
        <v>0</v>
      </c>
      <c r="Z10" s="1691">
        <f t="shared" ca="1" si="2"/>
        <v>0</v>
      </c>
      <c r="AA10" s="1691">
        <f t="shared" ca="1" si="2"/>
        <v>0</v>
      </c>
      <c r="AB10" s="1691">
        <f t="shared" ca="1" si="2"/>
        <v>0</v>
      </c>
      <c r="AC10" s="1691">
        <f t="shared" ca="1" si="2"/>
        <v>0</v>
      </c>
      <c r="AD10" s="1691">
        <f t="shared" ca="1" si="2"/>
        <v>0</v>
      </c>
      <c r="AE10" s="1691">
        <f t="shared" ca="1" si="2"/>
        <v>0</v>
      </c>
      <c r="AF10" s="1691">
        <f t="shared" ca="1" si="2"/>
        <v>0</v>
      </c>
      <c r="AG10" s="1691">
        <f t="shared" ca="1" si="2"/>
        <v>0</v>
      </c>
      <c r="AH10" s="675"/>
      <c r="AI10" s="1691">
        <f t="shared" ca="1" si="57"/>
        <v>0</v>
      </c>
      <c r="AJ10" s="1691">
        <f t="shared" ca="1" si="58"/>
        <v>0</v>
      </c>
      <c r="AK10" s="1691">
        <f t="shared" ca="1" si="59"/>
        <v>528313207500</v>
      </c>
      <c r="AL10" s="1691">
        <f t="shared" ca="1" si="60"/>
        <v>887435392500</v>
      </c>
      <c r="AM10" s="1691">
        <f t="shared" ca="1" si="61"/>
        <v>1336568804999.9995</v>
      </c>
      <c r="AN10" s="1691">
        <f t="shared" ca="1" si="62"/>
        <v>2237074728750.0005</v>
      </c>
      <c r="AO10" s="1691">
        <f t="shared" ca="1" si="63"/>
        <v>1337108152500.001</v>
      </c>
      <c r="AP10" s="1691">
        <f t="shared" ca="1" si="64"/>
        <v>2315452826249.999</v>
      </c>
      <c r="AQ10" s="1691">
        <f t="shared" ca="1" si="65"/>
        <v>3202897500000</v>
      </c>
      <c r="AS10" s="1707">
        <f ca="1">AVERAGE(Costs!$AI10:$AQ10)</f>
        <v>1316094512500</v>
      </c>
      <c r="AT10" s="1707">
        <f t="shared" ca="1" si="66"/>
        <v>5744754392830.5908</v>
      </c>
      <c r="AU10" s="675"/>
      <c r="AV10" s="1700">
        <f>IFERROR(VLOOKUP($A10,Cost.FinanceCostTable,3,FALSE),'Global assumptions'!$D$35)</f>
        <v>0</v>
      </c>
      <c r="AW10" s="1692">
        <f>IFERROR(VLOOKUP($A10,Cost.FinanceCostTable,4,FALSE),'Global assumptions'!$E$35)</f>
        <v>5</v>
      </c>
      <c r="AX10" s="675"/>
      <c r="AY10" s="1691">
        <f t="shared" ca="1" si="67"/>
        <v>0</v>
      </c>
      <c r="AZ10" s="1691">
        <f t="shared" ca="1" si="68"/>
        <v>0</v>
      </c>
      <c r="BA10" s="1691">
        <f t="shared" ca="1" si="69"/>
        <v>528300000000</v>
      </c>
      <c r="BB10" s="1691">
        <f t="shared" ca="1" si="70"/>
        <v>887400000000</v>
      </c>
      <c r="BC10" s="1691">
        <f t="shared" ca="1" si="71"/>
        <v>1336499999999.9995</v>
      </c>
      <c r="BD10" s="1691">
        <f t="shared" ca="1" si="72"/>
        <v>2236950000000.0005</v>
      </c>
      <c r="BE10" s="1691">
        <f t="shared" ca="1" si="73"/>
        <v>1336950000000.001</v>
      </c>
      <c r="BF10" s="1691">
        <f t="shared" ca="1" si="74"/>
        <v>2315249999999.999</v>
      </c>
      <c r="BG10" s="1691">
        <f t="shared" ca="1" si="75"/>
        <v>3202650000000</v>
      </c>
      <c r="BH10" s="675"/>
      <c r="BI10" s="1691">
        <f t="shared" ca="1" si="76"/>
        <v>0</v>
      </c>
      <c r="BJ10" s="1691">
        <f t="shared" ca="1" si="77"/>
        <v>0</v>
      </c>
      <c r="BK10" s="1691">
        <f t="shared" ca="1" si="78"/>
        <v>528300000000</v>
      </c>
      <c r="BL10" s="1691">
        <f t="shared" ca="1" si="79"/>
        <v>887400000000</v>
      </c>
      <c r="BM10" s="1691">
        <f t="shared" ca="1" si="80"/>
        <v>1336499999999.9995</v>
      </c>
      <c r="BN10" s="1691">
        <f t="shared" ca="1" si="81"/>
        <v>2236950000000.0005</v>
      </c>
      <c r="BO10" s="1691">
        <f t="shared" ca="1" si="82"/>
        <v>1336950000000.001</v>
      </c>
      <c r="BP10" s="1691">
        <f t="shared" ca="1" si="83"/>
        <v>2315249999999.999</v>
      </c>
      <c r="BQ10" s="1691">
        <f t="shared" ca="1" si="84"/>
        <v>3202650000000</v>
      </c>
      <c r="BR10" s="675"/>
      <c r="BS10" s="1702">
        <f t="shared" ca="1" si="85"/>
        <v>0</v>
      </c>
      <c r="BT10" s="1702">
        <f t="shared" ca="1" si="86"/>
        <v>0</v>
      </c>
      <c r="BU10" s="1702">
        <f t="shared" ca="1" si="87"/>
        <v>528313207500</v>
      </c>
      <c r="BV10" s="1702">
        <f t="shared" ca="1" si="88"/>
        <v>887435392500</v>
      </c>
      <c r="BW10" s="1702">
        <f t="shared" ca="1" si="89"/>
        <v>1336568804999.9995</v>
      </c>
      <c r="BX10" s="1702">
        <f t="shared" ca="1" si="90"/>
        <v>2237074728750.0005</v>
      </c>
      <c r="BY10" s="1702">
        <f t="shared" ca="1" si="91"/>
        <v>1337108152500.001</v>
      </c>
      <c r="BZ10" s="1702">
        <f t="shared" ca="1" si="92"/>
        <v>2315452826249.999</v>
      </c>
      <c r="CA10" s="1702">
        <f t="shared" ca="1" si="93"/>
        <v>3202897500000</v>
      </c>
      <c r="CC10" s="1707">
        <f ca="1">AVERAGE(Costs!$BS10:$CA10)</f>
        <v>1316094512500</v>
      </c>
      <c r="CD10" s="1707">
        <f t="shared" ca="1" si="94"/>
        <v>5744754392830.5908</v>
      </c>
      <c r="CF10" s="1704">
        <f t="shared" ca="1" si="95"/>
        <v>0</v>
      </c>
      <c r="CG10" s="1704">
        <f t="shared" ca="1" si="96"/>
        <v>0</v>
      </c>
      <c r="CH10" s="1704">
        <f t="shared" ca="1" si="97"/>
        <v>0</v>
      </c>
      <c r="CI10" s="1704">
        <f t="shared" ca="1" si="98"/>
        <v>0</v>
      </c>
      <c r="CJ10" s="1704">
        <f t="shared" ca="1" si="99"/>
        <v>0</v>
      </c>
      <c r="CK10" s="1704">
        <f t="shared" ca="1" si="100"/>
        <v>0</v>
      </c>
      <c r="CL10" s="1704">
        <f t="shared" ca="1" si="101"/>
        <v>0</v>
      </c>
      <c r="CM10" s="1704">
        <f t="shared" ca="1" si="102"/>
        <v>0</v>
      </c>
      <c r="CN10" s="1704">
        <f t="shared" ca="1" si="103"/>
        <v>0</v>
      </c>
      <c r="CP10" s="1707">
        <f ca="1">AVERAGE(Costs!$CF10:$CN10)</f>
        <v>0</v>
      </c>
      <c r="CQ10" s="1707">
        <f t="shared" ca="1" si="104"/>
        <v>0</v>
      </c>
      <c r="CR10" s="1426" t="str">
        <f t="shared" ca="1" si="105"/>
        <v>ok</v>
      </c>
    </row>
    <row r="11" spans="1:96" s="2479" customFormat="1" x14ac:dyDescent="0.2">
      <c r="A11" s="1685" t="s">
        <v>2376</v>
      </c>
      <c r="B11" s="1685" t="s">
        <v>1192</v>
      </c>
      <c r="C11" s="1685" t="s">
        <v>4</v>
      </c>
      <c r="E11" s="1691">
        <f t="shared" ca="1" si="54"/>
        <v>0</v>
      </c>
      <c r="F11" s="1691">
        <f t="shared" ca="1" si="0"/>
        <v>0</v>
      </c>
      <c r="G11" s="1691">
        <f t="shared" ca="1" si="0"/>
        <v>770849999999.99988</v>
      </c>
      <c r="H11" s="1691">
        <f t="shared" ca="1" si="0"/>
        <v>772200000000.00012</v>
      </c>
      <c r="I11" s="1691">
        <f t="shared" ca="1" si="0"/>
        <v>770850000000.00012</v>
      </c>
      <c r="J11" s="1691">
        <f t="shared" ca="1" si="0"/>
        <v>772199999999.99988</v>
      </c>
      <c r="K11" s="1691">
        <f t="shared" ca="1" si="0"/>
        <v>770849999999.99988</v>
      </c>
      <c r="L11" s="1691">
        <f t="shared" ca="1" si="0"/>
        <v>1543050000000.0002</v>
      </c>
      <c r="M11" s="1691">
        <f t="shared" ca="1" si="0"/>
        <v>2313899999999.9995</v>
      </c>
      <c r="N11" s="675"/>
      <c r="O11" s="1691">
        <f t="shared" ca="1" si="1"/>
        <v>0</v>
      </c>
      <c r="P11" s="1691">
        <f t="shared" ca="1" si="1"/>
        <v>0</v>
      </c>
      <c r="Q11" s="1691">
        <f t="shared" ca="1" si="1"/>
        <v>25694999.999999996</v>
      </c>
      <c r="R11" s="1691">
        <f t="shared" ca="1" si="1"/>
        <v>51435000</v>
      </c>
      <c r="S11" s="1691">
        <f t="shared" ca="1" si="1"/>
        <v>77130000</v>
      </c>
      <c r="T11" s="1691">
        <f t="shared" ca="1" si="1"/>
        <v>102870000</v>
      </c>
      <c r="U11" s="1691">
        <f t="shared" ca="1" si="1"/>
        <v>128565000</v>
      </c>
      <c r="V11" s="1691">
        <f t="shared" ca="1" si="1"/>
        <v>154305000</v>
      </c>
      <c r="W11" s="1691">
        <f t="shared" ca="1" si="1"/>
        <v>180000000</v>
      </c>
      <c r="X11" s="675"/>
      <c r="Y11" s="1691">
        <f t="shared" ca="1" si="2"/>
        <v>0</v>
      </c>
      <c r="Z11" s="1691">
        <f t="shared" ca="1" si="2"/>
        <v>0</v>
      </c>
      <c r="AA11" s="1691">
        <f t="shared" ca="1" si="2"/>
        <v>0</v>
      </c>
      <c r="AB11" s="1691">
        <f t="shared" ca="1" si="2"/>
        <v>0</v>
      </c>
      <c r="AC11" s="1691">
        <f t="shared" ca="1" si="2"/>
        <v>0</v>
      </c>
      <c r="AD11" s="1691">
        <f t="shared" ca="1" si="2"/>
        <v>0</v>
      </c>
      <c r="AE11" s="1691">
        <f t="shared" ca="1" si="2"/>
        <v>0</v>
      </c>
      <c r="AF11" s="1691">
        <f t="shared" ca="1" si="2"/>
        <v>0</v>
      </c>
      <c r="AG11" s="1691">
        <f t="shared" ca="1" si="2"/>
        <v>0</v>
      </c>
      <c r="AH11" s="675"/>
      <c r="AI11" s="1691">
        <f t="shared" ref="AI11:AQ11" ca="1" si="106">SUM(E11,O11,Y11)</f>
        <v>0</v>
      </c>
      <c r="AJ11" s="1691">
        <f t="shared" ca="1" si="106"/>
        <v>0</v>
      </c>
      <c r="AK11" s="1691">
        <f t="shared" ca="1" si="106"/>
        <v>770875694999.99988</v>
      </c>
      <c r="AL11" s="1691">
        <f t="shared" ca="1" si="106"/>
        <v>772251435000.00012</v>
      </c>
      <c r="AM11" s="1691">
        <f t="shared" ca="1" si="106"/>
        <v>770927130000.00012</v>
      </c>
      <c r="AN11" s="1691">
        <f t="shared" ca="1" si="106"/>
        <v>772302869999.99988</v>
      </c>
      <c r="AO11" s="1691">
        <f t="shared" ca="1" si="106"/>
        <v>770978564999.99988</v>
      </c>
      <c r="AP11" s="1691">
        <f t="shared" ca="1" si="106"/>
        <v>1543204305000.0002</v>
      </c>
      <c r="AQ11" s="1691">
        <f t="shared" ca="1" si="106"/>
        <v>2314079999999.9995</v>
      </c>
      <c r="AS11" s="1707">
        <f ca="1">AVERAGE(Costs!$AI11:$AQ11)</f>
        <v>857180000000</v>
      </c>
      <c r="AT11" s="1707">
        <f ca="1">(SUMPRODUCT(AJ11:AQ11,discount_factors)*5)+AI11</f>
        <v>4435508099580.1494</v>
      </c>
      <c r="AU11" s="675"/>
      <c r="AV11" s="1700">
        <f>IFERROR(VLOOKUP($A11,Cost.FinanceCostTable,3,FALSE),'Global assumptions'!$D$35)</f>
        <v>0</v>
      </c>
      <c r="AW11" s="1692">
        <f>IFERROR(VLOOKUP($A11,Cost.FinanceCostTable,4,FALSE),'Global assumptions'!$E$35)</f>
        <v>5</v>
      </c>
      <c r="AX11" s="675"/>
      <c r="AY11" s="1691">
        <f ca="1">-PMT($AV11,$AW11,E11*3)</f>
        <v>0</v>
      </c>
      <c r="AZ11" s="1691">
        <f t="shared" ref="AZ11:BG11" ca="1" si="107">-PMT($AV11,$AW11,F11*5)</f>
        <v>0</v>
      </c>
      <c r="BA11" s="1691">
        <f t="shared" ca="1" si="107"/>
        <v>770849999999.99988</v>
      </c>
      <c r="BB11" s="1691">
        <f t="shared" ca="1" si="107"/>
        <v>772200000000.00012</v>
      </c>
      <c r="BC11" s="1691">
        <f t="shared" ca="1" si="107"/>
        <v>770850000000.00012</v>
      </c>
      <c r="BD11" s="1691">
        <f t="shared" ca="1" si="107"/>
        <v>772199999999.99988</v>
      </c>
      <c r="BE11" s="1691">
        <f t="shared" ca="1" si="107"/>
        <v>770849999999.99988</v>
      </c>
      <c r="BF11" s="1691">
        <f t="shared" ca="1" si="107"/>
        <v>1543050000000.0002</v>
      </c>
      <c r="BG11" s="1691">
        <f t="shared" ca="1" si="107"/>
        <v>2313899999999.9995</v>
      </c>
      <c r="BH11" s="675"/>
      <c r="BI11" s="1691">
        <f ca="1">AY11</f>
        <v>0</v>
      </c>
      <c r="BJ11" s="1691">
        <f ca="1">AZ11+IF(BJ$2-$BI$2&lt;$AW11,$AY11,0)</f>
        <v>0</v>
      </c>
      <c r="BK11" s="1691">
        <f ca="1">BA11+IF(BK$2-$BI$2&lt;$AW11,$AY11,0)+IF(BK$2-$BJ$2&lt;$AW11,$AZ11,0)</f>
        <v>770849999999.99988</v>
      </c>
      <c r="BL11" s="1691">
        <f ca="1">BB11+IF(BL$2-$BI$2&lt;$AW11,$AY11,0)+IF(BL$2-$BJ$2&lt;$AW11,$AZ11,0)+IF(BL$2-$BK$2&lt;$AW11,$BA11,0)</f>
        <v>772200000000.00012</v>
      </c>
      <c r="BM11" s="1691">
        <f ca="1">BC11+IF(BM$2-$BI$2&lt;$AW11,$AY11,0)+IF(BM$2-$BJ$2&lt;$AW11,$AZ11,0)+IF(BM$2-$BK$2&lt;$AW11,$BA11,0)+IF(BM$2-$BL$2&lt;$AW11,$BB11,0)</f>
        <v>770850000000.00012</v>
      </c>
      <c r="BN11" s="1691">
        <f ca="1">BD11+IF(BN$2-$BI$2&lt;$AW11,$AY11,0)+IF(BN$2-$BJ$2&lt;$AW11,$AZ11,0)+IF(BN$2-$BK$2&lt;$AW11,$BA11,0)+IF(BN$2-$BL$2&lt;$AW11,$BB11,0)+IF(BN$2-$BM$2&lt;$AW11,$BC11,0)</f>
        <v>772199999999.99988</v>
      </c>
      <c r="BO11" s="1691">
        <f ca="1">BE11+IF(BO$2-$BI$2&lt;$AW11,$AY11,0)+IF(BO$2-$BJ$2&lt;$AW11,$AZ11,0)+IF(BO$2-$BK$2&lt;$AW11,$BA11,0)+IF(BO$2-$BL$2&lt;$AW11,$BB11,0)+IF(BO$2-$BM$2&lt;$AW11,$BC11,0)+IF(BO$2-$BN$2&lt;$AW11,$BD11,0)</f>
        <v>770849999999.99988</v>
      </c>
      <c r="BP11" s="1691">
        <f ca="1">BF11+IF(BP$2-$BI$2&lt;$AW11,$AY11,0)+IF(BP$2-$BJ$2&lt;$AW11,$AZ11,0)+IF(BP$2-$BK$2&lt;$AW11,$BA11,0)+IF(BP$2-$BL$2&lt;$AW11,$BB11,0)+IF(BP$2-$BM$2&lt;$AW11,$BC11,0)+IF(BP$2-$BN$2&lt;$AW11,$BD11,0)+IF(BP$2-$BM$2&lt;$AW11,$BC11,0)+IF(BP$2-$BO$2&lt;$AW11,$BE11,0)</f>
        <v>1543050000000.0002</v>
      </c>
      <c r="BQ11" s="1691">
        <f ca="1">BG11+IF(BQ$2-$BI$2&lt;$AW11,$AY11,0)+IF(BQ$2-$BJ$2&lt;$AW11,$AZ11,0)+IF(BQ$2-$BK$2&lt;$AW11,$BA11,0)+IF(BQ$2-$BL$2&lt;$AW11,$BB11,0)+IF(BQ$2-$BM$2&lt;$AW11,$BC11,0)+IF(BQ$2-$BN$2&lt;$AW11,$BD11,0)+IF(BQ$2-$BM$2&lt;$AW11,$BC11,0)+IF(BQ$2-$BO$2&lt;$AW11,$BE11,0)+IF(BQ$2-$BP$2&lt;$AW11,$BF11,0)</f>
        <v>2313899999999.9995</v>
      </c>
      <c r="BR11" s="675"/>
      <c r="BS11" s="1702">
        <f t="shared" ref="BS11:CA11" ca="1" si="108">O11+Y11+BI11</f>
        <v>0</v>
      </c>
      <c r="BT11" s="1702">
        <f t="shared" ca="1" si="108"/>
        <v>0</v>
      </c>
      <c r="BU11" s="1702">
        <f t="shared" ca="1" si="108"/>
        <v>770875694999.99988</v>
      </c>
      <c r="BV11" s="1702">
        <f t="shared" ca="1" si="108"/>
        <v>772251435000.00012</v>
      </c>
      <c r="BW11" s="1702">
        <f t="shared" ca="1" si="108"/>
        <v>770927130000.00012</v>
      </c>
      <c r="BX11" s="1702">
        <f t="shared" ca="1" si="108"/>
        <v>772302869999.99988</v>
      </c>
      <c r="BY11" s="1702">
        <f t="shared" ca="1" si="108"/>
        <v>770978564999.99988</v>
      </c>
      <c r="BZ11" s="1702">
        <f t="shared" ca="1" si="108"/>
        <v>1543204305000.0002</v>
      </c>
      <c r="CA11" s="1702">
        <f t="shared" ca="1" si="108"/>
        <v>2314079999999.9995</v>
      </c>
      <c r="CC11" s="1707">
        <f ca="1">AVERAGE(Costs!$BS11:$CA11)</f>
        <v>857180000000</v>
      </c>
      <c r="CD11" s="1707">
        <f ca="1">(SUMPRODUCT(BT11:CA11,discount_factors)*5)+BS11</f>
        <v>4435508099580.1494</v>
      </c>
      <c r="CF11" s="1704">
        <f t="shared" ref="CF11:CN11" ca="1" si="109">BI11-E11</f>
        <v>0</v>
      </c>
      <c r="CG11" s="1704">
        <f t="shared" ca="1" si="109"/>
        <v>0</v>
      </c>
      <c r="CH11" s="1704">
        <f t="shared" ca="1" si="109"/>
        <v>0</v>
      </c>
      <c r="CI11" s="1704">
        <f t="shared" ca="1" si="109"/>
        <v>0</v>
      </c>
      <c r="CJ11" s="1704">
        <f t="shared" ca="1" si="109"/>
        <v>0</v>
      </c>
      <c r="CK11" s="1704">
        <f t="shared" ca="1" si="109"/>
        <v>0</v>
      </c>
      <c r="CL11" s="1704">
        <f t="shared" ca="1" si="109"/>
        <v>0</v>
      </c>
      <c r="CM11" s="1704">
        <f t="shared" ca="1" si="109"/>
        <v>0</v>
      </c>
      <c r="CN11" s="1704">
        <f t="shared" ca="1" si="109"/>
        <v>0</v>
      </c>
      <c r="CP11" s="1707">
        <f ca="1">AVERAGE(Costs!$CF11:$CN11)</f>
        <v>0</v>
      </c>
      <c r="CQ11" s="1707">
        <f ca="1">(SUMPRODUCT(CG11:CN11,discount_factors)*5)+CF11</f>
        <v>0</v>
      </c>
      <c r="CR11" s="1426" t="str">
        <f ca="1">IF(ABS(CD11-CQ11-AT11)&lt;1,"ok","err")</f>
        <v>ok</v>
      </c>
    </row>
    <row r="12" spans="1:96" x14ac:dyDescent="0.2">
      <c r="A12" s="1683" t="s">
        <v>409</v>
      </c>
      <c r="B12" s="1683" t="s">
        <v>2371</v>
      </c>
      <c r="C12" s="1683" t="s">
        <v>4</v>
      </c>
      <c r="D12" s="2133"/>
      <c r="E12" s="1689">
        <f t="shared" ca="1" si="54"/>
        <v>0</v>
      </c>
      <c r="F12" s="1689">
        <f t="shared" ca="1" si="0"/>
        <v>65475000000</v>
      </c>
      <c r="G12" s="1689">
        <f t="shared" ca="1" si="0"/>
        <v>1399950000000</v>
      </c>
      <c r="H12" s="1689">
        <f t="shared" ca="1" si="0"/>
        <v>926100000000</v>
      </c>
      <c r="I12" s="1689">
        <f t="shared" ca="1" si="0"/>
        <v>924750000000</v>
      </c>
      <c r="J12" s="1689">
        <f t="shared" ca="1" si="0"/>
        <v>792450000000</v>
      </c>
      <c r="K12" s="1689">
        <f t="shared" ca="1" si="0"/>
        <v>953775000000</v>
      </c>
      <c r="L12" s="1689">
        <f t="shared" ca="1" si="0"/>
        <v>2567025000000.001</v>
      </c>
      <c r="M12" s="1689">
        <f t="shared" ca="1" si="0"/>
        <v>4398974999999.999</v>
      </c>
      <c r="N12" s="675"/>
      <c r="O12" s="1689">
        <f t="shared" ca="1" si="1"/>
        <v>33750</v>
      </c>
      <c r="P12" s="1689">
        <f t="shared" ca="1" si="1"/>
        <v>1125000</v>
      </c>
      <c r="Q12" s="1689">
        <f t="shared" ca="1" si="1"/>
        <v>24457500</v>
      </c>
      <c r="R12" s="1689">
        <f t="shared" ca="1" si="1"/>
        <v>39892500</v>
      </c>
      <c r="S12" s="1689">
        <f t="shared" ca="1" si="1"/>
        <v>55305000</v>
      </c>
      <c r="T12" s="1689">
        <f t="shared" ca="1" si="1"/>
        <v>68478750</v>
      </c>
      <c r="U12" s="1689">
        <f t="shared" ca="1" si="1"/>
        <v>83250000</v>
      </c>
      <c r="V12" s="1689">
        <f t="shared" ca="1" si="1"/>
        <v>101576250.00000001</v>
      </c>
      <c r="W12" s="1689">
        <f t="shared" ca="1" si="1"/>
        <v>135000000</v>
      </c>
      <c r="X12" s="675"/>
      <c r="Y12" s="1689">
        <f t="shared" ca="1" si="2"/>
        <v>0</v>
      </c>
      <c r="Z12" s="1689">
        <f t="shared" ca="1" si="2"/>
        <v>0</v>
      </c>
      <c r="AA12" s="1689">
        <f t="shared" ca="1" si="2"/>
        <v>0</v>
      </c>
      <c r="AB12" s="1689">
        <f t="shared" ca="1" si="2"/>
        <v>0</v>
      </c>
      <c r="AC12" s="1689">
        <f t="shared" ca="1" si="2"/>
        <v>0</v>
      </c>
      <c r="AD12" s="1689">
        <f t="shared" ca="1" si="2"/>
        <v>0</v>
      </c>
      <c r="AE12" s="1689">
        <f t="shared" ca="1" si="2"/>
        <v>0</v>
      </c>
      <c r="AF12" s="1689">
        <f t="shared" ca="1" si="2"/>
        <v>0</v>
      </c>
      <c r="AG12" s="1689">
        <f t="shared" ca="1" si="2"/>
        <v>0</v>
      </c>
      <c r="AH12" s="675"/>
      <c r="AI12" s="1689">
        <f t="shared" ca="1" si="3"/>
        <v>33750</v>
      </c>
      <c r="AJ12" s="1689">
        <f t="shared" ca="1" si="4"/>
        <v>65476125000</v>
      </c>
      <c r="AK12" s="1689">
        <f t="shared" ca="1" si="5"/>
        <v>1399974457500</v>
      </c>
      <c r="AL12" s="1689">
        <f t="shared" ca="1" si="6"/>
        <v>926139892500</v>
      </c>
      <c r="AM12" s="1689">
        <f t="shared" ca="1" si="7"/>
        <v>924805305000</v>
      </c>
      <c r="AN12" s="1689">
        <f t="shared" ca="1" si="8"/>
        <v>792518478750</v>
      </c>
      <c r="AO12" s="1689">
        <f t="shared" ca="1" si="9"/>
        <v>953858250000</v>
      </c>
      <c r="AP12" s="1689">
        <f t="shared" ca="1" si="10"/>
        <v>2567126576250.001</v>
      </c>
      <c r="AQ12" s="1689">
        <f t="shared" ca="1" si="11"/>
        <v>4399109999999.999</v>
      </c>
      <c r="AS12" s="1706">
        <f ca="1">AVERAGE(Costs!$AI12:$AQ12)</f>
        <v>1336556568750</v>
      </c>
      <c r="AT12" s="1706">
        <f t="shared" ca="1" si="55"/>
        <v>6909451526972.9004</v>
      </c>
      <c r="AU12" s="675"/>
      <c r="AV12" s="1699">
        <f>IFERROR(VLOOKUP($A12,Cost.FinanceCostTable,3,FALSE),'Global assumptions'!$D$35)</f>
        <v>0</v>
      </c>
      <c r="AW12" s="1690">
        <f>IFERROR(VLOOKUP($A12,Cost.FinanceCostTable,4,FALSE),'Global assumptions'!$E$35)</f>
        <v>25</v>
      </c>
      <c r="AX12" s="675"/>
      <c r="AY12" s="1689">
        <f t="shared" ca="1" si="12"/>
        <v>0</v>
      </c>
      <c r="AZ12" s="1689">
        <f t="shared" ca="1" si="13"/>
        <v>13095000000</v>
      </c>
      <c r="BA12" s="1689">
        <f t="shared" ca="1" si="14"/>
        <v>279990000000</v>
      </c>
      <c r="BB12" s="1689">
        <f t="shared" ca="1" si="15"/>
        <v>185220000000</v>
      </c>
      <c r="BC12" s="1689">
        <f t="shared" ca="1" si="16"/>
        <v>184950000000</v>
      </c>
      <c r="BD12" s="1689">
        <f t="shared" ca="1" si="17"/>
        <v>158490000000</v>
      </c>
      <c r="BE12" s="1689">
        <f t="shared" ca="1" si="18"/>
        <v>190755000000</v>
      </c>
      <c r="BF12" s="1689">
        <f t="shared" ca="1" si="19"/>
        <v>513405000000.00018</v>
      </c>
      <c r="BG12" s="1689">
        <f t="shared" ca="1" si="20"/>
        <v>879794999999.99988</v>
      </c>
      <c r="BH12" s="675"/>
      <c r="BI12" s="1689">
        <f t="shared" ca="1" si="39"/>
        <v>0</v>
      </c>
      <c r="BJ12" s="1689">
        <f t="shared" ca="1" si="40"/>
        <v>13095000000</v>
      </c>
      <c r="BK12" s="1689">
        <f t="shared" ca="1" si="41"/>
        <v>293085000000</v>
      </c>
      <c r="BL12" s="1689">
        <f t="shared" ca="1" si="42"/>
        <v>478305000000</v>
      </c>
      <c r="BM12" s="1689">
        <f t="shared" ca="1" si="43"/>
        <v>663255000000</v>
      </c>
      <c r="BN12" s="1689">
        <f t="shared" ca="1" si="44"/>
        <v>821745000000</v>
      </c>
      <c r="BO12" s="1689">
        <f t="shared" ca="1" si="45"/>
        <v>999405000000</v>
      </c>
      <c r="BP12" s="1689">
        <f t="shared" ca="1" si="46"/>
        <v>1417770000000.0002</v>
      </c>
      <c r="BQ12" s="1689">
        <f t="shared" ca="1" si="47"/>
        <v>2112345000000.0002</v>
      </c>
      <c r="BR12" s="675"/>
      <c r="BS12" s="1701">
        <f t="shared" ca="1" si="21"/>
        <v>33750</v>
      </c>
      <c r="BT12" s="1701">
        <f t="shared" ca="1" si="22"/>
        <v>13096125000</v>
      </c>
      <c r="BU12" s="1701">
        <f t="shared" ca="1" si="23"/>
        <v>293109457500</v>
      </c>
      <c r="BV12" s="1701">
        <f t="shared" ca="1" si="24"/>
        <v>478344892500</v>
      </c>
      <c r="BW12" s="1701">
        <f t="shared" ca="1" si="25"/>
        <v>663310305000</v>
      </c>
      <c r="BX12" s="1701">
        <f t="shared" ca="1" si="26"/>
        <v>821813478750</v>
      </c>
      <c r="BY12" s="1701">
        <f t="shared" ca="1" si="27"/>
        <v>999488250000</v>
      </c>
      <c r="BZ12" s="1701">
        <f t="shared" ca="1" si="28"/>
        <v>1417871576250.0002</v>
      </c>
      <c r="CA12" s="1701">
        <f t="shared" ca="1" si="29"/>
        <v>2112480000000.0002</v>
      </c>
      <c r="CC12" s="1706">
        <f ca="1">AVERAGE(Costs!$BS12:$CA12)</f>
        <v>755501568750</v>
      </c>
      <c r="CD12" s="1706">
        <f t="shared" ca="1" si="56"/>
        <v>3137754224340.874</v>
      </c>
      <c r="CF12" s="1703">
        <f t="shared" ca="1" si="30"/>
        <v>0</v>
      </c>
      <c r="CG12" s="1703">
        <f ca="1">BJ12-F12</f>
        <v>-52380000000</v>
      </c>
      <c r="CH12" s="1703">
        <f t="shared" ca="1" si="32"/>
        <v>-1106865000000</v>
      </c>
      <c r="CI12" s="1703">
        <f t="shared" ca="1" si="33"/>
        <v>-447795000000</v>
      </c>
      <c r="CJ12" s="1703">
        <f t="shared" ca="1" si="34"/>
        <v>-261495000000</v>
      </c>
      <c r="CK12" s="1703">
        <f t="shared" ca="1" si="35"/>
        <v>29295000000</v>
      </c>
      <c r="CL12" s="1703">
        <f t="shared" ca="1" si="36"/>
        <v>45630000000</v>
      </c>
      <c r="CM12" s="1703">
        <f t="shared" ca="1" si="37"/>
        <v>-1149255000000.0007</v>
      </c>
      <c r="CN12" s="1703">
        <f t="shared" ca="1" si="38"/>
        <v>-2286629999999.999</v>
      </c>
      <c r="CP12" s="1706">
        <f ca="1">AVERAGE(Costs!$CF12:$CN12)</f>
        <v>-581055000000</v>
      </c>
      <c r="CQ12" s="1706">
        <f t="shared" ca="1" si="48"/>
        <v>-3771697302632.0254</v>
      </c>
      <c r="CR12" s="1426" t="str">
        <f t="shared" ca="1" si="49"/>
        <v>ok</v>
      </c>
    </row>
    <row r="13" spans="1:96" x14ac:dyDescent="0.2">
      <c r="A13" s="1685" t="s">
        <v>400</v>
      </c>
      <c r="B13" s="1685" t="s">
        <v>1363</v>
      </c>
      <c r="C13" s="1685" t="s">
        <v>1189</v>
      </c>
      <c r="D13" s="2133"/>
      <c r="E13" s="1691">
        <f t="shared" ca="1" si="54"/>
        <v>232978798008.71423</v>
      </c>
      <c r="F13" s="1691">
        <f t="shared" ca="1" si="0"/>
        <v>271126199227.38275</v>
      </c>
      <c r="G13" s="1691">
        <f t="shared" ca="1" si="0"/>
        <v>431952836679.42914</v>
      </c>
      <c r="H13" s="1691">
        <f t="shared" ca="1" si="0"/>
        <v>319809273366.59344</v>
      </c>
      <c r="I13" s="1691">
        <f t="shared" ca="1" si="0"/>
        <v>357897605616.33612</v>
      </c>
      <c r="J13" s="1691">
        <f t="shared" ca="1" si="0"/>
        <v>373944552791.15948</v>
      </c>
      <c r="K13" s="1691">
        <f t="shared" ca="1" si="0"/>
        <v>401972603416.94916</v>
      </c>
      <c r="L13" s="1691">
        <f t="shared" ca="1" si="0"/>
        <v>415767963551.68134</v>
      </c>
      <c r="M13" s="1691">
        <f t="shared" ca="1" si="0"/>
        <v>315129338822.10071</v>
      </c>
      <c r="N13" s="675"/>
      <c r="O13" s="1691">
        <f t="shared" ref="O13:W20" ca="1" si="110">IFERROR(INDEX(INDIRECT($A13&amp;".Costs["&amp;O$2&amp;"]"), MATCH($O$1, INDIRECT($A13&amp;".Costs[Vector]"), 0)),0)</f>
        <v>310670433814.11688</v>
      </c>
      <c r="P13" s="1691">
        <f t="shared" ca="1" si="110"/>
        <v>339028377122.09686</v>
      </c>
      <c r="Q13" s="1691">
        <f t="shared" ca="1" si="110"/>
        <v>373722813625.14172</v>
      </c>
      <c r="R13" s="1691">
        <f t="shared" ca="1" si="110"/>
        <v>460490629349.88525</v>
      </c>
      <c r="S13" s="1691">
        <f t="shared" ca="1" si="110"/>
        <v>492326974160.30829</v>
      </c>
      <c r="T13" s="1691">
        <f t="shared" ca="1" si="110"/>
        <v>534389837330.7959</v>
      </c>
      <c r="U13" s="1691">
        <f t="shared" ca="1" si="110"/>
        <v>574093341274.46436</v>
      </c>
      <c r="V13" s="1691">
        <f t="shared" ca="1" si="110"/>
        <v>615908642221.63928</v>
      </c>
      <c r="W13" s="1691">
        <f t="shared" ca="1" si="110"/>
        <v>654403506767.13733</v>
      </c>
      <c r="X13" s="675"/>
      <c r="Y13" s="1691">
        <f t="shared" ref="Y13:AG20" ca="1" si="111">IFERROR(INDEX(INDIRECT($A13&amp;".Costs["&amp;Y$2&amp;"]"), MATCH($Y$1, INDIRECT($A13&amp;".Costs[Vector]"), 0)),0)</f>
        <v>0</v>
      </c>
      <c r="Z13" s="1691">
        <f t="shared" ca="1" si="111"/>
        <v>0</v>
      </c>
      <c r="AA13" s="1691">
        <f t="shared" ca="1" si="111"/>
        <v>0</v>
      </c>
      <c r="AB13" s="1691">
        <f t="shared" ca="1" si="111"/>
        <v>0</v>
      </c>
      <c r="AC13" s="1691">
        <f t="shared" ca="1" si="111"/>
        <v>0</v>
      </c>
      <c r="AD13" s="1691">
        <f t="shared" ca="1" si="111"/>
        <v>0</v>
      </c>
      <c r="AE13" s="1691">
        <f t="shared" ca="1" si="111"/>
        <v>0</v>
      </c>
      <c r="AF13" s="1691">
        <f t="shared" ca="1" si="111"/>
        <v>0</v>
      </c>
      <c r="AG13" s="1691">
        <f t="shared" ca="1" si="111"/>
        <v>0</v>
      </c>
      <c r="AH13" s="675"/>
      <c r="AI13" s="1691">
        <f t="shared" ca="1" si="3"/>
        <v>543649231822.83112</v>
      </c>
      <c r="AJ13" s="1691">
        <f t="shared" ca="1" si="4"/>
        <v>610154576349.47961</v>
      </c>
      <c r="AK13" s="1691">
        <f t="shared" ca="1" si="5"/>
        <v>805675650304.5708</v>
      </c>
      <c r="AL13" s="1691">
        <f t="shared" ca="1" si="6"/>
        <v>780299902716.47876</v>
      </c>
      <c r="AM13" s="1691">
        <f t="shared" ca="1" si="7"/>
        <v>850224579776.64441</v>
      </c>
      <c r="AN13" s="1691">
        <f t="shared" ca="1" si="8"/>
        <v>908334390121.95532</v>
      </c>
      <c r="AO13" s="1691">
        <f t="shared" ca="1" si="9"/>
        <v>976065944691.41357</v>
      </c>
      <c r="AP13" s="1691">
        <f t="shared" ca="1" si="10"/>
        <v>1031676605773.3206</v>
      </c>
      <c r="AQ13" s="1691">
        <f t="shared" ca="1" si="11"/>
        <v>969532845589.23804</v>
      </c>
      <c r="AS13" s="1707">
        <f ca="1">AVERAGE(Costs!$AI13:$AQ13)</f>
        <v>830623747460.65906</v>
      </c>
      <c r="AT13" s="1707">
        <f t="shared" ca="1" si="55"/>
        <v>6717529078694.5381</v>
      </c>
      <c r="AU13" s="675"/>
      <c r="AV13" s="1700">
        <f>IFERROR(VLOOKUP($A13,Cost.FinanceCostTable,3,FALSE),'Global assumptions'!$D$35)</f>
        <v>0</v>
      </c>
      <c r="AW13" s="1692">
        <f>IFERROR(VLOOKUP($A13,Cost.FinanceCostTable,4,FALSE),'Global assumptions'!$E$35)</f>
        <v>30</v>
      </c>
      <c r="AX13" s="675"/>
      <c r="AY13" s="1691">
        <f t="shared" ca="1" si="12"/>
        <v>23297879800.871422</v>
      </c>
      <c r="AZ13" s="1691">
        <f t="shared" ca="1" si="13"/>
        <v>45187699871.230461</v>
      </c>
      <c r="BA13" s="1691">
        <f t="shared" ca="1" si="14"/>
        <v>71992139446.571518</v>
      </c>
      <c r="BB13" s="1691">
        <f t="shared" ca="1" si="15"/>
        <v>53301545561.098907</v>
      </c>
      <c r="BC13" s="1691">
        <f t="shared" ca="1" si="16"/>
        <v>59649600936.056023</v>
      </c>
      <c r="BD13" s="1691">
        <f t="shared" ca="1" si="17"/>
        <v>62324092131.859909</v>
      </c>
      <c r="BE13" s="1691">
        <f t="shared" ca="1" si="18"/>
        <v>66995433902.82486</v>
      </c>
      <c r="BF13" s="1691">
        <f t="shared" ca="1" si="19"/>
        <v>69294660591.946884</v>
      </c>
      <c r="BG13" s="1691">
        <f t="shared" ca="1" si="20"/>
        <v>52521556470.350113</v>
      </c>
      <c r="BH13" s="675"/>
      <c r="BI13" s="1691">
        <f t="shared" ca="1" si="39"/>
        <v>23297879800.871422</v>
      </c>
      <c r="BJ13" s="1691">
        <f t="shared" ca="1" si="40"/>
        <v>68485579672.101883</v>
      </c>
      <c r="BK13" s="1691">
        <f t="shared" ca="1" si="41"/>
        <v>140477719118.6734</v>
      </c>
      <c r="BL13" s="1691">
        <f t="shared" ca="1" si="42"/>
        <v>193779264679.77234</v>
      </c>
      <c r="BM13" s="1691">
        <f t="shared" ca="1" si="43"/>
        <v>253428865615.82834</v>
      </c>
      <c r="BN13" s="1691">
        <f t="shared" ca="1" si="44"/>
        <v>315752957747.68823</v>
      </c>
      <c r="BO13" s="1691">
        <f t="shared" ca="1" si="45"/>
        <v>359450511849.64166</v>
      </c>
      <c r="BP13" s="1691">
        <f t="shared" ca="1" si="46"/>
        <v>443207073506.41418</v>
      </c>
      <c r="BQ13" s="1691">
        <f t="shared" ca="1" si="47"/>
        <v>423736490530.19275</v>
      </c>
      <c r="BR13" s="675"/>
      <c r="BS13" s="1702">
        <f t="shared" ca="1" si="21"/>
        <v>333968313614.98828</v>
      </c>
      <c r="BT13" s="1702">
        <f t="shared" ca="1" si="22"/>
        <v>407513956794.19873</v>
      </c>
      <c r="BU13" s="1702">
        <f t="shared" ca="1" si="23"/>
        <v>514200532743.81512</v>
      </c>
      <c r="BV13" s="1702">
        <f t="shared" ca="1" si="24"/>
        <v>654269894029.65759</v>
      </c>
      <c r="BW13" s="1702">
        <f t="shared" ca="1" si="25"/>
        <v>745755839776.1366</v>
      </c>
      <c r="BX13" s="1702">
        <f t="shared" ca="1" si="26"/>
        <v>850142795078.48413</v>
      </c>
      <c r="BY13" s="1702">
        <f t="shared" ca="1" si="27"/>
        <v>933543853124.10596</v>
      </c>
      <c r="BZ13" s="1702">
        <f t="shared" ca="1" si="28"/>
        <v>1059115715728.0535</v>
      </c>
      <c r="CA13" s="1702">
        <f t="shared" ca="1" si="29"/>
        <v>1078139997297.3301</v>
      </c>
      <c r="CC13" s="1707">
        <f ca="1">AVERAGE(Costs!$BS13:$CA13)</f>
        <v>730738988687.41895</v>
      </c>
      <c r="CD13" s="1707">
        <f t="shared" ca="1" si="56"/>
        <v>5079251634385.1328</v>
      </c>
      <c r="CF13" s="1704">
        <f t="shared" ca="1" si="30"/>
        <v>-209680918207.8428</v>
      </c>
      <c r="CG13" s="1704">
        <f t="shared" ca="1" si="31"/>
        <v>-202640619555.28088</v>
      </c>
      <c r="CH13" s="1704">
        <f t="shared" ca="1" si="32"/>
        <v>-291475117560.75574</v>
      </c>
      <c r="CI13" s="1704">
        <f t="shared" ca="1" si="33"/>
        <v>-126030008686.82111</v>
      </c>
      <c r="CJ13" s="1704">
        <f t="shared" ca="1" si="34"/>
        <v>-104468740000.50778</v>
      </c>
      <c r="CK13" s="1704">
        <f t="shared" ca="1" si="35"/>
        <v>-58191595043.471252</v>
      </c>
      <c r="CL13" s="1704">
        <f t="shared" ca="1" si="36"/>
        <v>-42522091567.307495</v>
      </c>
      <c r="CM13" s="1704">
        <f t="shared" ca="1" si="37"/>
        <v>27439109954.732849</v>
      </c>
      <c r="CN13" s="1704">
        <f t="shared" ca="1" si="38"/>
        <v>108607151708.09204</v>
      </c>
      <c r="CP13" s="1707">
        <f ca="1">AVERAGE(Costs!$CF13:$CN13)</f>
        <v>-99884758773.240234</v>
      </c>
      <c r="CQ13" s="1707">
        <f t="shared" ca="1" si="48"/>
        <v>-1638277444309.4031</v>
      </c>
      <c r="CR13" s="1426" t="str">
        <f t="shared" ca="1" si="49"/>
        <v>ok</v>
      </c>
    </row>
    <row r="14" spans="1:96" x14ac:dyDescent="0.2">
      <c r="A14" s="1683" t="s">
        <v>838</v>
      </c>
      <c r="B14" s="1683" t="s">
        <v>839</v>
      </c>
      <c r="C14" s="1683" t="s">
        <v>1189</v>
      </c>
      <c r="D14" s="2133"/>
      <c r="E14" s="1689">
        <f t="shared" ca="1" si="54"/>
        <v>0</v>
      </c>
      <c r="F14" s="1689">
        <f t="shared" ca="1" si="0"/>
        <v>0</v>
      </c>
      <c r="G14" s="1689">
        <f t="shared" ca="1" si="0"/>
        <v>0</v>
      </c>
      <c r="H14" s="1689">
        <f t="shared" ca="1" si="0"/>
        <v>0</v>
      </c>
      <c r="I14" s="1689">
        <f t="shared" ca="1" si="0"/>
        <v>0</v>
      </c>
      <c r="J14" s="1689">
        <f t="shared" ca="1" si="0"/>
        <v>0</v>
      </c>
      <c r="K14" s="1689">
        <f t="shared" ca="1" si="0"/>
        <v>0</v>
      </c>
      <c r="L14" s="1689">
        <f t="shared" ca="1" si="0"/>
        <v>0</v>
      </c>
      <c r="M14" s="1689">
        <f t="shared" ca="1" si="0"/>
        <v>0</v>
      </c>
      <c r="N14" s="675"/>
      <c r="O14" s="1689">
        <f t="shared" ca="1" si="110"/>
        <v>0</v>
      </c>
      <c r="P14" s="1689">
        <f t="shared" ca="1" si="110"/>
        <v>0</v>
      </c>
      <c r="Q14" s="1689">
        <f t="shared" ca="1" si="110"/>
        <v>0</v>
      </c>
      <c r="R14" s="1689">
        <f t="shared" ca="1" si="110"/>
        <v>0</v>
      </c>
      <c r="S14" s="1689">
        <f t="shared" ca="1" si="110"/>
        <v>0</v>
      </c>
      <c r="T14" s="1689">
        <f t="shared" ca="1" si="110"/>
        <v>0</v>
      </c>
      <c r="U14" s="1689">
        <f t="shared" ca="1" si="110"/>
        <v>0</v>
      </c>
      <c r="V14" s="1689">
        <f t="shared" ca="1" si="110"/>
        <v>0</v>
      </c>
      <c r="W14" s="1689">
        <f t="shared" ca="1" si="110"/>
        <v>0</v>
      </c>
      <c r="X14" s="675"/>
      <c r="Y14" s="1689">
        <f t="shared" ca="1" si="111"/>
        <v>0</v>
      </c>
      <c r="Z14" s="1689">
        <f t="shared" ca="1" si="111"/>
        <v>0</v>
      </c>
      <c r="AA14" s="1689">
        <f t="shared" ca="1" si="111"/>
        <v>0</v>
      </c>
      <c r="AB14" s="1689">
        <f t="shared" ca="1" si="111"/>
        <v>0</v>
      </c>
      <c r="AC14" s="1689">
        <f t="shared" ca="1" si="111"/>
        <v>0</v>
      </c>
      <c r="AD14" s="1689">
        <f t="shared" ca="1" si="111"/>
        <v>0</v>
      </c>
      <c r="AE14" s="1689">
        <f t="shared" ca="1" si="111"/>
        <v>0</v>
      </c>
      <c r="AF14" s="1689">
        <f t="shared" ca="1" si="111"/>
        <v>0</v>
      </c>
      <c r="AG14" s="1689">
        <f t="shared" ca="1" si="111"/>
        <v>0</v>
      </c>
      <c r="AH14" s="675"/>
      <c r="AI14" s="1689">
        <f t="shared" ca="1" si="3"/>
        <v>0</v>
      </c>
      <c r="AJ14" s="1689">
        <f t="shared" ca="1" si="4"/>
        <v>0</v>
      </c>
      <c r="AK14" s="1689">
        <f t="shared" ca="1" si="5"/>
        <v>0</v>
      </c>
      <c r="AL14" s="1689">
        <f t="shared" ca="1" si="6"/>
        <v>0</v>
      </c>
      <c r="AM14" s="1689">
        <f t="shared" ca="1" si="7"/>
        <v>0</v>
      </c>
      <c r="AN14" s="1689">
        <f t="shared" ca="1" si="8"/>
        <v>0</v>
      </c>
      <c r="AO14" s="1689">
        <f t="shared" ca="1" si="9"/>
        <v>0</v>
      </c>
      <c r="AP14" s="1689">
        <f t="shared" ca="1" si="10"/>
        <v>0</v>
      </c>
      <c r="AQ14" s="1689">
        <f t="shared" ca="1" si="11"/>
        <v>0</v>
      </c>
      <c r="AS14" s="1706">
        <f ca="1">AVERAGE(Costs!$AI14:$AQ14)</f>
        <v>0</v>
      </c>
      <c r="AT14" s="1706">
        <f t="shared" ca="1" si="55"/>
        <v>0</v>
      </c>
      <c r="AU14" s="675"/>
      <c r="AV14" s="1699">
        <f>IFERROR(VLOOKUP($A14,Cost.FinanceCostTable,3,FALSE),'Global assumptions'!$D$35)</f>
        <v>0</v>
      </c>
      <c r="AW14" s="1690">
        <f>IFERROR(VLOOKUP($A14,Cost.FinanceCostTable,4,FALSE),'Global assumptions'!$E$35)</f>
        <v>5</v>
      </c>
      <c r="AX14" s="675"/>
      <c r="AY14" s="1689">
        <f t="shared" ca="1" si="12"/>
        <v>0</v>
      </c>
      <c r="AZ14" s="1689">
        <f t="shared" ca="1" si="13"/>
        <v>0</v>
      </c>
      <c r="BA14" s="1689">
        <f t="shared" ca="1" si="14"/>
        <v>0</v>
      </c>
      <c r="BB14" s="1689">
        <f t="shared" ca="1" si="15"/>
        <v>0</v>
      </c>
      <c r="BC14" s="1689">
        <f t="shared" ca="1" si="16"/>
        <v>0</v>
      </c>
      <c r="BD14" s="1689">
        <f t="shared" ca="1" si="17"/>
        <v>0</v>
      </c>
      <c r="BE14" s="1689">
        <f t="shared" ca="1" si="18"/>
        <v>0</v>
      </c>
      <c r="BF14" s="1689">
        <f t="shared" ca="1" si="19"/>
        <v>0</v>
      </c>
      <c r="BG14" s="1689">
        <f t="shared" ca="1" si="20"/>
        <v>0</v>
      </c>
      <c r="BH14" s="675"/>
      <c r="BI14" s="1689">
        <f t="shared" ca="1" si="39"/>
        <v>0</v>
      </c>
      <c r="BJ14" s="1689">
        <f t="shared" ca="1" si="40"/>
        <v>0</v>
      </c>
      <c r="BK14" s="1689">
        <f t="shared" ca="1" si="41"/>
        <v>0</v>
      </c>
      <c r="BL14" s="1689">
        <f t="shared" ca="1" si="42"/>
        <v>0</v>
      </c>
      <c r="BM14" s="1689">
        <f t="shared" ca="1" si="43"/>
        <v>0</v>
      </c>
      <c r="BN14" s="1689">
        <f t="shared" ca="1" si="44"/>
        <v>0</v>
      </c>
      <c r="BO14" s="1689">
        <f t="shared" ca="1" si="45"/>
        <v>0</v>
      </c>
      <c r="BP14" s="1689">
        <f t="shared" ca="1" si="46"/>
        <v>0</v>
      </c>
      <c r="BQ14" s="1689">
        <f t="shared" ca="1" si="47"/>
        <v>0</v>
      </c>
      <c r="BR14" s="675"/>
      <c r="BS14" s="1701">
        <f t="shared" ca="1" si="21"/>
        <v>0</v>
      </c>
      <c r="BT14" s="1701">
        <f t="shared" ca="1" si="22"/>
        <v>0</v>
      </c>
      <c r="BU14" s="1701">
        <f t="shared" ca="1" si="23"/>
        <v>0</v>
      </c>
      <c r="BV14" s="1701">
        <f t="shared" ca="1" si="24"/>
        <v>0</v>
      </c>
      <c r="BW14" s="1701">
        <f t="shared" ca="1" si="25"/>
        <v>0</v>
      </c>
      <c r="BX14" s="1701">
        <f t="shared" ca="1" si="26"/>
        <v>0</v>
      </c>
      <c r="BY14" s="1701">
        <f t="shared" ca="1" si="27"/>
        <v>0</v>
      </c>
      <c r="BZ14" s="1701">
        <f t="shared" ca="1" si="28"/>
        <v>0</v>
      </c>
      <c r="CA14" s="1701">
        <f t="shared" ca="1" si="29"/>
        <v>0</v>
      </c>
      <c r="CC14" s="1706">
        <f ca="1">AVERAGE(Costs!$BS14:$CA14)</f>
        <v>0</v>
      </c>
      <c r="CD14" s="1706">
        <f t="shared" ca="1" si="56"/>
        <v>0</v>
      </c>
      <c r="CF14" s="1703">
        <f t="shared" ca="1" si="30"/>
        <v>0</v>
      </c>
      <c r="CG14" s="1703">
        <f t="shared" ca="1" si="31"/>
        <v>0</v>
      </c>
      <c r="CH14" s="1703">
        <f t="shared" ca="1" si="32"/>
        <v>0</v>
      </c>
      <c r="CI14" s="1703">
        <f t="shared" ca="1" si="33"/>
        <v>0</v>
      </c>
      <c r="CJ14" s="1703">
        <f t="shared" ca="1" si="34"/>
        <v>0</v>
      </c>
      <c r="CK14" s="1703">
        <f t="shared" ca="1" si="35"/>
        <v>0</v>
      </c>
      <c r="CL14" s="1703">
        <f t="shared" ca="1" si="36"/>
        <v>0</v>
      </c>
      <c r="CM14" s="1703">
        <f t="shared" ca="1" si="37"/>
        <v>0</v>
      </c>
      <c r="CN14" s="1703">
        <f t="shared" ca="1" si="38"/>
        <v>0</v>
      </c>
      <c r="CP14" s="1706">
        <f ca="1">AVERAGE(Costs!$CF14:$CN14)</f>
        <v>0</v>
      </c>
      <c r="CQ14" s="1706">
        <f t="shared" ca="1" si="48"/>
        <v>0</v>
      </c>
      <c r="CR14" s="1426" t="str">
        <f t="shared" ca="1" si="49"/>
        <v>ok</v>
      </c>
    </row>
    <row r="15" spans="1:96" x14ac:dyDescent="0.2">
      <c r="A15" s="1685" t="s">
        <v>1768</v>
      </c>
      <c r="B15" s="1685" t="s">
        <v>1190</v>
      </c>
      <c r="C15" s="1685" t="s">
        <v>1189</v>
      </c>
      <c r="D15" s="2133"/>
      <c r="E15" s="1691">
        <f t="shared" ca="1" si="54"/>
        <v>0</v>
      </c>
      <c r="F15" s="1691">
        <f t="shared" ca="1" si="0"/>
        <v>0</v>
      </c>
      <c r="G15" s="1691">
        <f t="shared" ca="1" si="0"/>
        <v>0</v>
      </c>
      <c r="H15" s="1691">
        <f t="shared" ca="1" si="0"/>
        <v>0</v>
      </c>
      <c r="I15" s="1691">
        <f t="shared" ca="1" si="0"/>
        <v>0</v>
      </c>
      <c r="J15" s="1691">
        <f t="shared" ca="1" si="0"/>
        <v>0</v>
      </c>
      <c r="K15" s="1691">
        <f t="shared" ca="1" si="0"/>
        <v>0</v>
      </c>
      <c r="L15" s="1691">
        <f t="shared" ca="1" si="0"/>
        <v>0</v>
      </c>
      <c r="M15" s="1691">
        <f t="shared" ca="1" si="0"/>
        <v>0</v>
      </c>
      <c r="N15" s="675"/>
      <c r="O15" s="1691">
        <f t="shared" ca="1" si="110"/>
        <v>0</v>
      </c>
      <c r="P15" s="1691">
        <f t="shared" ca="1" si="110"/>
        <v>0</v>
      </c>
      <c r="Q15" s="1691">
        <f t="shared" ca="1" si="110"/>
        <v>0</v>
      </c>
      <c r="R15" s="1691">
        <f t="shared" ca="1" si="110"/>
        <v>0</v>
      </c>
      <c r="S15" s="1691">
        <f t="shared" ca="1" si="110"/>
        <v>0</v>
      </c>
      <c r="T15" s="1691">
        <f t="shared" ca="1" si="110"/>
        <v>0</v>
      </c>
      <c r="U15" s="1691">
        <f t="shared" ca="1" si="110"/>
        <v>0</v>
      </c>
      <c r="V15" s="1691">
        <f t="shared" ca="1" si="110"/>
        <v>0</v>
      </c>
      <c r="W15" s="1691">
        <f t="shared" ca="1" si="110"/>
        <v>0</v>
      </c>
      <c r="X15" s="675"/>
      <c r="Y15" s="1691">
        <f t="shared" ca="1" si="111"/>
        <v>3007949625894.4443</v>
      </c>
      <c r="Z15" s="1691">
        <f t="shared" ca="1" si="111"/>
        <v>3317583454557.147</v>
      </c>
      <c r="AA15" s="1691">
        <f t="shared" ca="1" si="111"/>
        <v>3678861359400.3667</v>
      </c>
      <c r="AB15" s="1691">
        <f t="shared" ca="1" si="111"/>
        <v>4054031687644.2373</v>
      </c>
      <c r="AC15" s="1691">
        <f t="shared" ca="1" si="111"/>
        <v>4417792866192.6455</v>
      </c>
      <c r="AD15" s="1691">
        <f t="shared" ca="1" si="111"/>
        <v>4870517402558.7168</v>
      </c>
      <c r="AE15" s="1691">
        <f t="shared" ca="1" si="111"/>
        <v>5294906674359.4316</v>
      </c>
      <c r="AF15" s="1691">
        <f t="shared" ca="1" si="111"/>
        <v>5747333750624.0059</v>
      </c>
      <c r="AG15" s="1691">
        <f t="shared" ca="1" si="111"/>
        <v>6158958083179.7256</v>
      </c>
      <c r="AH15" s="675"/>
      <c r="AI15" s="1691">
        <f t="shared" ca="1" si="3"/>
        <v>3007949625894.4443</v>
      </c>
      <c r="AJ15" s="1691">
        <f t="shared" ca="1" si="4"/>
        <v>3317583454557.147</v>
      </c>
      <c r="AK15" s="1691">
        <f t="shared" ca="1" si="5"/>
        <v>3678861359400.3667</v>
      </c>
      <c r="AL15" s="1691">
        <f t="shared" ca="1" si="6"/>
        <v>4054031687644.2373</v>
      </c>
      <c r="AM15" s="1691">
        <f t="shared" ca="1" si="7"/>
        <v>4417792866192.6455</v>
      </c>
      <c r="AN15" s="1691">
        <f t="shared" ca="1" si="8"/>
        <v>4870517402558.7168</v>
      </c>
      <c r="AO15" s="1691">
        <f t="shared" ca="1" si="9"/>
        <v>5294906674359.4316</v>
      </c>
      <c r="AP15" s="1691">
        <f t="shared" ca="1" si="10"/>
        <v>5747333750624.0059</v>
      </c>
      <c r="AQ15" s="1691">
        <f t="shared" ca="1" si="11"/>
        <v>6158958083179.7256</v>
      </c>
      <c r="AS15" s="1707">
        <f ca="1">AVERAGE(Costs!$AI15:$AQ15)</f>
        <v>4505326100490.0801</v>
      </c>
      <c r="AT15" s="1707">
        <f t="shared" ca="1" si="55"/>
        <v>35034078633239.426</v>
      </c>
      <c r="AU15" s="675"/>
      <c r="AV15" s="1700">
        <f>IFERROR(VLOOKUP($A15,Cost.FinanceCostTable,3,FALSE),'Global assumptions'!$D$35)</f>
        <v>0</v>
      </c>
      <c r="AW15" s="1692">
        <f>IFERROR(VLOOKUP($A15,Cost.FinanceCostTable,4,FALSE),'Global assumptions'!$E$35)</f>
        <v>5</v>
      </c>
      <c r="AX15" s="675"/>
      <c r="AY15" s="1691">
        <f t="shared" ca="1" si="12"/>
        <v>0</v>
      </c>
      <c r="AZ15" s="1691">
        <f t="shared" ca="1" si="13"/>
        <v>0</v>
      </c>
      <c r="BA15" s="1691">
        <f t="shared" ca="1" si="14"/>
        <v>0</v>
      </c>
      <c r="BB15" s="1691">
        <f t="shared" ca="1" si="15"/>
        <v>0</v>
      </c>
      <c r="BC15" s="1691">
        <f t="shared" ca="1" si="16"/>
        <v>0</v>
      </c>
      <c r="BD15" s="1691">
        <f t="shared" ca="1" si="17"/>
        <v>0</v>
      </c>
      <c r="BE15" s="1691">
        <f t="shared" ca="1" si="18"/>
        <v>0</v>
      </c>
      <c r="BF15" s="1691">
        <f t="shared" ca="1" si="19"/>
        <v>0</v>
      </c>
      <c r="BG15" s="1691">
        <f t="shared" ca="1" si="20"/>
        <v>0</v>
      </c>
      <c r="BH15" s="675"/>
      <c r="BI15" s="1691">
        <f t="shared" ca="1" si="39"/>
        <v>0</v>
      </c>
      <c r="BJ15" s="1691">
        <f t="shared" ca="1" si="40"/>
        <v>0</v>
      </c>
      <c r="BK15" s="1691">
        <f t="shared" ca="1" si="41"/>
        <v>0</v>
      </c>
      <c r="BL15" s="1691">
        <f t="shared" ca="1" si="42"/>
        <v>0</v>
      </c>
      <c r="BM15" s="1691">
        <f t="shared" ca="1" si="43"/>
        <v>0</v>
      </c>
      <c r="BN15" s="1691">
        <f t="shared" ca="1" si="44"/>
        <v>0</v>
      </c>
      <c r="BO15" s="1691">
        <f t="shared" ca="1" si="45"/>
        <v>0</v>
      </c>
      <c r="BP15" s="1691">
        <f t="shared" ca="1" si="46"/>
        <v>0</v>
      </c>
      <c r="BQ15" s="1691">
        <f t="shared" ca="1" si="47"/>
        <v>0</v>
      </c>
      <c r="BR15" s="675"/>
      <c r="BS15" s="1702">
        <f t="shared" ca="1" si="21"/>
        <v>3007949625894.4443</v>
      </c>
      <c r="BT15" s="1702">
        <f t="shared" ca="1" si="22"/>
        <v>3317583454557.147</v>
      </c>
      <c r="BU15" s="1702">
        <f t="shared" ca="1" si="23"/>
        <v>3678861359400.3667</v>
      </c>
      <c r="BV15" s="1702">
        <f t="shared" ca="1" si="24"/>
        <v>4054031687644.2373</v>
      </c>
      <c r="BW15" s="1702">
        <f t="shared" ca="1" si="25"/>
        <v>4417792866192.6455</v>
      </c>
      <c r="BX15" s="1702">
        <f t="shared" ca="1" si="26"/>
        <v>4870517402558.7168</v>
      </c>
      <c r="BY15" s="1702">
        <f t="shared" ca="1" si="27"/>
        <v>5294906674359.4316</v>
      </c>
      <c r="BZ15" s="1702">
        <f t="shared" ca="1" si="28"/>
        <v>5747333750624.0059</v>
      </c>
      <c r="CA15" s="1702">
        <f t="shared" ca="1" si="29"/>
        <v>6158958083179.7256</v>
      </c>
      <c r="CC15" s="1707">
        <f ca="1">AVERAGE(Costs!$BS15:$CA15)</f>
        <v>4505326100490.0801</v>
      </c>
      <c r="CD15" s="1707">
        <f t="shared" ca="1" si="56"/>
        <v>35034078633239.426</v>
      </c>
      <c r="CF15" s="1704">
        <f t="shared" ca="1" si="30"/>
        <v>0</v>
      </c>
      <c r="CG15" s="1704">
        <f t="shared" ca="1" si="31"/>
        <v>0</v>
      </c>
      <c r="CH15" s="1704">
        <f t="shared" ca="1" si="32"/>
        <v>0</v>
      </c>
      <c r="CI15" s="1704">
        <f t="shared" ca="1" si="33"/>
        <v>0</v>
      </c>
      <c r="CJ15" s="1704">
        <f t="shared" ca="1" si="34"/>
        <v>0</v>
      </c>
      <c r="CK15" s="1704">
        <f t="shared" ca="1" si="35"/>
        <v>0</v>
      </c>
      <c r="CL15" s="1704">
        <f t="shared" ca="1" si="36"/>
        <v>0</v>
      </c>
      <c r="CM15" s="1704">
        <f t="shared" ca="1" si="37"/>
        <v>0</v>
      </c>
      <c r="CN15" s="1704">
        <f t="shared" ca="1" si="38"/>
        <v>0</v>
      </c>
      <c r="CP15" s="1707">
        <f ca="1">AVERAGE(Costs!$CF15:$CN15)</f>
        <v>0</v>
      </c>
      <c r="CQ15" s="1707">
        <f t="shared" ca="1" si="48"/>
        <v>0</v>
      </c>
      <c r="CR15" s="1426" t="str">
        <f t="shared" ca="1" si="49"/>
        <v>ok</v>
      </c>
    </row>
    <row r="16" spans="1:96" x14ac:dyDescent="0.2">
      <c r="A16" s="1683" t="s">
        <v>1769</v>
      </c>
      <c r="B16" s="1683" t="s">
        <v>1190</v>
      </c>
      <c r="C16" s="1683" t="s">
        <v>1189</v>
      </c>
      <c r="D16" s="2133"/>
      <c r="E16" s="1689">
        <f t="shared" ca="1" si="54"/>
        <v>0</v>
      </c>
      <c r="F16" s="1689">
        <f t="shared" ca="1" si="0"/>
        <v>0</v>
      </c>
      <c r="G16" s="1689">
        <f t="shared" ca="1" si="0"/>
        <v>0</v>
      </c>
      <c r="H16" s="1689">
        <f t="shared" ca="1" si="0"/>
        <v>0</v>
      </c>
      <c r="I16" s="1689">
        <f t="shared" ca="1" si="0"/>
        <v>0</v>
      </c>
      <c r="J16" s="1689">
        <f t="shared" ca="1" si="0"/>
        <v>0</v>
      </c>
      <c r="K16" s="1689">
        <f t="shared" ca="1" si="0"/>
        <v>0</v>
      </c>
      <c r="L16" s="1689">
        <f t="shared" ca="1" si="0"/>
        <v>0</v>
      </c>
      <c r="M16" s="1689">
        <f t="shared" ca="1" si="0"/>
        <v>0</v>
      </c>
      <c r="N16" s="675"/>
      <c r="O16" s="1689">
        <f t="shared" ca="1" si="110"/>
        <v>0</v>
      </c>
      <c r="P16" s="1689">
        <f t="shared" ca="1" si="110"/>
        <v>0</v>
      </c>
      <c r="Q16" s="1689">
        <f t="shared" ca="1" si="110"/>
        <v>0</v>
      </c>
      <c r="R16" s="1689">
        <f t="shared" ca="1" si="110"/>
        <v>0</v>
      </c>
      <c r="S16" s="1689">
        <f t="shared" ca="1" si="110"/>
        <v>0</v>
      </c>
      <c r="T16" s="1689">
        <f t="shared" ca="1" si="110"/>
        <v>0</v>
      </c>
      <c r="U16" s="1689">
        <f t="shared" ca="1" si="110"/>
        <v>0</v>
      </c>
      <c r="V16" s="1689">
        <f t="shared" ca="1" si="110"/>
        <v>0</v>
      </c>
      <c r="W16" s="1689">
        <f t="shared" ca="1" si="110"/>
        <v>0</v>
      </c>
      <c r="X16" s="675"/>
      <c r="Y16" s="1689">
        <f t="shared" ca="1" si="111"/>
        <v>0</v>
      </c>
      <c r="Z16" s="1689">
        <f t="shared" ca="1" si="111"/>
        <v>0</v>
      </c>
      <c r="AA16" s="1689">
        <f t="shared" ca="1" si="111"/>
        <v>0</v>
      </c>
      <c r="AB16" s="1689">
        <f t="shared" ca="1" si="111"/>
        <v>0</v>
      </c>
      <c r="AC16" s="1689">
        <f t="shared" ca="1" si="111"/>
        <v>0</v>
      </c>
      <c r="AD16" s="1689">
        <f t="shared" ca="1" si="111"/>
        <v>0</v>
      </c>
      <c r="AE16" s="1689">
        <f t="shared" ca="1" si="111"/>
        <v>0</v>
      </c>
      <c r="AF16" s="1689">
        <f t="shared" ca="1" si="111"/>
        <v>0</v>
      </c>
      <c r="AG16" s="1689">
        <f t="shared" ca="1" si="111"/>
        <v>0</v>
      </c>
      <c r="AH16" s="675"/>
      <c r="AI16" s="1689">
        <f t="shared" ca="1" si="3"/>
        <v>0</v>
      </c>
      <c r="AJ16" s="1689">
        <f t="shared" ca="1" si="4"/>
        <v>0</v>
      </c>
      <c r="AK16" s="1689">
        <f t="shared" ca="1" si="5"/>
        <v>0</v>
      </c>
      <c r="AL16" s="1689">
        <f t="shared" ca="1" si="6"/>
        <v>0</v>
      </c>
      <c r="AM16" s="1689">
        <f t="shared" ca="1" si="7"/>
        <v>0</v>
      </c>
      <c r="AN16" s="1689">
        <f t="shared" ca="1" si="8"/>
        <v>0</v>
      </c>
      <c r="AO16" s="1689">
        <f t="shared" ca="1" si="9"/>
        <v>0</v>
      </c>
      <c r="AP16" s="1689">
        <f t="shared" ca="1" si="10"/>
        <v>0</v>
      </c>
      <c r="AQ16" s="1689">
        <f t="shared" ca="1" si="11"/>
        <v>0</v>
      </c>
      <c r="AS16" s="1706">
        <f ca="1">AVERAGE(Costs!$AI16:$AQ16)</f>
        <v>0</v>
      </c>
      <c r="AT16" s="1706">
        <f t="shared" ca="1" si="55"/>
        <v>0</v>
      </c>
      <c r="AU16" s="675"/>
      <c r="AV16" s="1699">
        <f>IFERROR(VLOOKUP($A16,Cost.FinanceCostTable,3,FALSE),'Global assumptions'!$D$35)</f>
        <v>0</v>
      </c>
      <c r="AW16" s="1690">
        <f>IFERROR(VLOOKUP($A16,Cost.FinanceCostTable,4,FALSE),'Global assumptions'!$E$35)</f>
        <v>5</v>
      </c>
      <c r="AX16" s="675"/>
      <c r="AY16" s="1689">
        <f t="shared" ca="1" si="12"/>
        <v>0</v>
      </c>
      <c r="AZ16" s="1689">
        <f t="shared" ca="1" si="13"/>
        <v>0</v>
      </c>
      <c r="BA16" s="1689">
        <f t="shared" ca="1" si="14"/>
        <v>0</v>
      </c>
      <c r="BB16" s="1689">
        <f t="shared" ca="1" si="15"/>
        <v>0</v>
      </c>
      <c r="BC16" s="1689">
        <f t="shared" ca="1" si="16"/>
        <v>0</v>
      </c>
      <c r="BD16" s="1689">
        <f t="shared" ca="1" si="17"/>
        <v>0</v>
      </c>
      <c r="BE16" s="1689">
        <f t="shared" ca="1" si="18"/>
        <v>0</v>
      </c>
      <c r="BF16" s="1689">
        <f t="shared" ca="1" si="19"/>
        <v>0</v>
      </c>
      <c r="BG16" s="1689">
        <f t="shared" ca="1" si="20"/>
        <v>0</v>
      </c>
      <c r="BH16" s="675"/>
      <c r="BI16" s="1689">
        <f t="shared" ca="1" si="39"/>
        <v>0</v>
      </c>
      <c r="BJ16" s="1689">
        <f t="shared" ca="1" si="40"/>
        <v>0</v>
      </c>
      <c r="BK16" s="1689">
        <f t="shared" ca="1" si="41"/>
        <v>0</v>
      </c>
      <c r="BL16" s="1689">
        <f t="shared" ca="1" si="42"/>
        <v>0</v>
      </c>
      <c r="BM16" s="1689">
        <f t="shared" ca="1" si="43"/>
        <v>0</v>
      </c>
      <c r="BN16" s="1689">
        <f t="shared" ca="1" si="44"/>
        <v>0</v>
      </c>
      <c r="BO16" s="1689">
        <f t="shared" ca="1" si="45"/>
        <v>0</v>
      </c>
      <c r="BP16" s="1689">
        <f t="shared" ca="1" si="46"/>
        <v>0</v>
      </c>
      <c r="BQ16" s="1689">
        <f t="shared" ca="1" si="47"/>
        <v>0</v>
      </c>
      <c r="BR16" s="675"/>
      <c r="BS16" s="1701">
        <f t="shared" ca="1" si="21"/>
        <v>0</v>
      </c>
      <c r="BT16" s="1701">
        <f t="shared" ca="1" si="22"/>
        <v>0</v>
      </c>
      <c r="BU16" s="1701">
        <f t="shared" ca="1" si="23"/>
        <v>0</v>
      </c>
      <c r="BV16" s="1701">
        <f t="shared" ca="1" si="24"/>
        <v>0</v>
      </c>
      <c r="BW16" s="1701">
        <f t="shared" ca="1" si="25"/>
        <v>0</v>
      </c>
      <c r="BX16" s="1701">
        <f t="shared" ca="1" si="26"/>
        <v>0</v>
      </c>
      <c r="BY16" s="1701">
        <f t="shared" ca="1" si="27"/>
        <v>0</v>
      </c>
      <c r="BZ16" s="1701">
        <f t="shared" ca="1" si="28"/>
        <v>0</v>
      </c>
      <c r="CA16" s="1701">
        <f t="shared" ca="1" si="29"/>
        <v>0</v>
      </c>
      <c r="CC16" s="1706">
        <f ca="1">AVERAGE(Costs!$BS16:$CA16)</f>
        <v>0</v>
      </c>
      <c r="CD16" s="1706">
        <f t="shared" ca="1" si="56"/>
        <v>0</v>
      </c>
      <c r="CF16" s="1703">
        <f t="shared" ca="1" si="30"/>
        <v>0</v>
      </c>
      <c r="CG16" s="1703">
        <f t="shared" ca="1" si="31"/>
        <v>0</v>
      </c>
      <c r="CH16" s="1703">
        <f t="shared" ca="1" si="32"/>
        <v>0</v>
      </c>
      <c r="CI16" s="1703">
        <f t="shared" ca="1" si="33"/>
        <v>0</v>
      </c>
      <c r="CJ16" s="1703">
        <f t="shared" ca="1" si="34"/>
        <v>0</v>
      </c>
      <c r="CK16" s="1703">
        <f t="shared" ca="1" si="35"/>
        <v>0</v>
      </c>
      <c r="CL16" s="1703">
        <f t="shared" ca="1" si="36"/>
        <v>0</v>
      </c>
      <c r="CM16" s="1703">
        <f t="shared" ca="1" si="37"/>
        <v>0</v>
      </c>
      <c r="CN16" s="1703">
        <f t="shared" ca="1" si="38"/>
        <v>0</v>
      </c>
      <c r="CP16" s="1706">
        <f ca="1">AVERAGE(Costs!$CF16:$CN16)</f>
        <v>0</v>
      </c>
      <c r="CQ16" s="1706">
        <f t="shared" ca="1" si="48"/>
        <v>0</v>
      </c>
      <c r="CR16" s="1426" t="str">
        <f t="shared" ca="1" si="49"/>
        <v>ok</v>
      </c>
    </row>
    <row r="17" spans="1:96" x14ac:dyDescent="0.2">
      <c r="A17" s="1685" t="s">
        <v>1765</v>
      </c>
      <c r="B17" s="1685" t="s">
        <v>1767</v>
      </c>
      <c r="C17" s="1685" t="s">
        <v>1189</v>
      </c>
      <c r="D17" s="2133"/>
      <c r="E17" s="1691">
        <f t="shared" ca="1" si="54"/>
        <v>58935000000</v>
      </c>
      <c r="F17" s="1691">
        <f t="shared" ca="1" si="0"/>
        <v>58935000000</v>
      </c>
      <c r="G17" s="1691">
        <f t="shared" ca="1" si="0"/>
        <v>58935000000</v>
      </c>
      <c r="H17" s="1691">
        <f t="shared" ca="1" si="0"/>
        <v>58935000000</v>
      </c>
      <c r="I17" s="1691">
        <f t="shared" ca="1" si="0"/>
        <v>58935000000</v>
      </c>
      <c r="J17" s="1691">
        <f t="shared" ca="1" si="0"/>
        <v>58935000000</v>
      </c>
      <c r="K17" s="1691">
        <f t="shared" ca="1" si="0"/>
        <v>58935000000</v>
      </c>
      <c r="L17" s="1691">
        <f t="shared" ca="1" si="0"/>
        <v>58935000000</v>
      </c>
      <c r="M17" s="1691">
        <f t="shared" ca="1" si="0"/>
        <v>58935000000</v>
      </c>
      <c r="N17" s="675"/>
      <c r="O17" s="1691">
        <f t="shared" ca="1" si="110"/>
        <v>20454374000</v>
      </c>
      <c r="P17" s="1691">
        <f t="shared" ca="1" si="110"/>
        <v>28203527859.534302</v>
      </c>
      <c r="Q17" s="1691">
        <f t="shared" ca="1" si="110"/>
        <v>36600747377.963799</v>
      </c>
      <c r="R17" s="1691">
        <f t="shared" ca="1" si="110"/>
        <v>37529165690.604546</v>
      </c>
      <c r="S17" s="1691">
        <f t="shared" ca="1" si="110"/>
        <v>38747673049.660004</v>
      </c>
      <c r="T17" s="1691">
        <f t="shared" ca="1" si="110"/>
        <v>37918854516.344955</v>
      </c>
      <c r="U17" s="1691">
        <f t="shared" ca="1" si="110"/>
        <v>37105903395.535004</v>
      </c>
      <c r="V17" s="1691">
        <f t="shared" ca="1" si="110"/>
        <v>36308819687.230148</v>
      </c>
      <c r="W17" s="1691">
        <f t="shared" ca="1" si="110"/>
        <v>35527603391.430397</v>
      </c>
      <c r="X17" s="675"/>
      <c r="Y17" s="1691">
        <f t="shared" ca="1" si="111"/>
        <v>0</v>
      </c>
      <c r="Z17" s="1691">
        <f t="shared" ca="1" si="111"/>
        <v>0</v>
      </c>
      <c r="AA17" s="1691">
        <f t="shared" ca="1" si="111"/>
        <v>0</v>
      </c>
      <c r="AB17" s="1691">
        <f t="shared" ca="1" si="111"/>
        <v>0</v>
      </c>
      <c r="AC17" s="1691">
        <f t="shared" ca="1" si="111"/>
        <v>0</v>
      </c>
      <c r="AD17" s="1691">
        <f t="shared" ca="1" si="111"/>
        <v>0</v>
      </c>
      <c r="AE17" s="1691">
        <f t="shared" ca="1" si="111"/>
        <v>0</v>
      </c>
      <c r="AF17" s="1691">
        <f t="shared" ca="1" si="111"/>
        <v>0</v>
      </c>
      <c r="AG17" s="1691">
        <f t="shared" ca="1" si="111"/>
        <v>0</v>
      </c>
      <c r="AH17" s="675"/>
      <c r="AI17" s="1691">
        <f t="shared" ca="1" si="3"/>
        <v>79389374000</v>
      </c>
      <c r="AJ17" s="1691">
        <f t="shared" ca="1" si="4"/>
        <v>87138527859.534302</v>
      </c>
      <c r="AK17" s="1691">
        <f t="shared" ca="1" si="5"/>
        <v>95535747377.963806</v>
      </c>
      <c r="AL17" s="1691">
        <f t="shared" ca="1" si="6"/>
        <v>96464165690.604553</v>
      </c>
      <c r="AM17" s="1691">
        <f t="shared" ca="1" si="7"/>
        <v>97682673049.660004</v>
      </c>
      <c r="AN17" s="1691">
        <f t="shared" ca="1" si="8"/>
        <v>96853854516.344955</v>
      </c>
      <c r="AO17" s="1691">
        <f t="shared" ca="1" si="9"/>
        <v>96040903395.535004</v>
      </c>
      <c r="AP17" s="1691">
        <f t="shared" ca="1" si="10"/>
        <v>95243819687.230148</v>
      </c>
      <c r="AQ17" s="1691">
        <f t="shared" ca="1" si="11"/>
        <v>94462603391.430389</v>
      </c>
      <c r="AS17" s="1707">
        <f ca="1">AVERAGE(Costs!$AI17:$AQ17)</f>
        <v>93201296552.033691</v>
      </c>
      <c r="AT17" s="1707">
        <f t="shared" ca="1" si="55"/>
        <v>838047947318.30835</v>
      </c>
      <c r="AU17" s="675"/>
      <c r="AV17" s="1700">
        <f>IFERROR(VLOOKUP($A17,Cost.FinanceCostTable,3,FALSE),'Global assumptions'!$D$35)</f>
        <v>0</v>
      </c>
      <c r="AW17" s="1692">
        <f>IFERROR(VLOOKUP($A17,Cost.FinanceCostTable,4,FALSE),'Global assumptions'!$E$35)</f>
        <v>15</v>
      </c>
      <c r="AX17" s="675"/>
      <c r="AY17" s="1691">
        <f t="shared" ca="1" si="12"/>
        <v>11787000000</v>
      </c>
      <c r="AZ17" s="1691">
        <f t="shared" ca="1" si="13"/>
        <v>19645000000</v>
      </c>
      <c r="BA17" s="1691">
        <f t="shared" ca="1" si="14"/>
        <v>19645000000</v>
      </c>
      <c r="BB17" s="1691">
        <f t="shared" ca="1" si="15"/>
        <v>19645000000</v>
      </c>
      <c r="BC17" s="1691">
        <f t="shared" ca="1" si="16"/>
        <v>19645000000</v>
      </c>
      <c r="BD17" s="1691">
        <f t="shared" ca="1" si="17"/>
        <v>19645000000</v>
      </c>
      <c r="BE17" s="1691">
        <f t="shared" ca="1" si="18"/>
        <v>19645000000</v>
      </c>
      <c r="BF17" s="1691">
        <f t="shared" ca="1" si="19"/>
        <v>19645000000</v>
      </c>
      <c r="BG17" s="1691">
        <f t="shared" ca="1" si="20"/>
        <v>19645000000</v>
      </c>
      <c r="BH17" s="675"/>
      <c r="BI17" s="1691">
        <f t="shared" ca="1" si="39"/>
        <v>11787000000</v>
      </c>
      <c r="BJ17" s="1691">
        <f t="shared" ca="1" si="40"/>
        <v>31432000000</v>
      </c>
      <c r="BK17" s="1691">
        <f t="shared" ca="1" si="41"/>
        <v>51077000000</v>
      </c>
      <c r="BL17" s="1691">
        <f t="shared" ca="1" si="42"/>
        <v>58935000000</v>
      </c>
      <c r="BM17" s="1691">
        <f t="shared" ca="1" si="43"/>
        <v>58935000000</v>
      </c>
      <c r="BN17" s="1691">
        <f t="shared" ca="1" si="44"/>
        <v>58935000000</v>
      </c>
      <c r="BO17" s="1691">
        <f t="shared" ca="1" si="45"/>
        <v>58935000000</v>
      </c>
      <c r="BP17" s="1691">
        <f t="shared" ca="1" si="46"/>
        <v>58935000000</v>
      </c>
      <c r="BQ17" s="1691">
        <f t="shared" ca="1" si="47"/>
        <v>58935000000</v>
      </c>
      <c r="BR17" s="675"/>
      <c r="BS17" s="1702">
        <f t="shared" ca="1" si="21"/>
        <v>32241374000</v>
      </c>
      <c r="BT17" s="1702">
        <f t="shared" ca="1" si="22"/>
        <v>59635527859.534302</v>
      </c>
      <c r="BU17" s="1702">
        <f t="shared" ca="1" si="23"/>
        <v>87677747377.963806</v>
      </c>
      <c r="BV17" s="1702">
        <f t="shared" ca="1" si="24"/>
        <v>96464165690.604553</v>
      </c>
      <c r="BW17" s="1702">
        <f t="shared" ca="1" si="25"/>
        <v>97682673049.660004</v>
      </c>
      <c r="BX17" s="1702">
        <f t="shared" ca="1" si="26"/>
        <v>96853854516.344955</v>
      </c>
      <c r="BY17" s="1702">
        <f t="shared" ca="1" si="27"/>
        <v>96040903395.535004</v>
      </c>
      <c r="BZ17" s="1702">
        <f t="shared" ca="1" si="28"/>
        <v>95243819687.230148</v>
      </c>
      <c r="CA17" s="1702">
        <f t="shared" ca="1" si="29"/>
        <v>94462603391.430389</v>
      </c>
      <c r="CC17" s="1707">
        <f ca="1">AVERAGE(Costs!$BS17:$CA17)</f>
        <v>84033629885.36702</v>
      </c>
      <c r="CD17" s="1707">
        <f t="shared" ca="1" si="56"/>
        <v>690365955736.14233</v>
      </c>
      <c r="CF17" s="1704">
        <f t="shared" ca="1" si="30"/>
        <v>-47148000000</v>
      </c>
      <c r="CG17" s="1704">
        <f t="shared" ca="1" si="31"/>
        <v>-27503000000</v>
      </c>
      <c r="CH17" s="1704">
        <f t="shared" ca="1" si="32"/>
        <v>-7858000000</v>
      </c>
      <c r="CI17" s="1704">
        <f t="shared" ca="1" si="33"/>
        <v>0</v>
      </c>
      <c r="CJ17" s="1704">
        <f t="shared" ca="1" si="34"/>
        <v>0</v>
      </c>
      <c r="CK17" s="1704">
        <f t="shared" ca="1" si="35"/>
        <v>0</v>
      </c>
      <c r="CL17" s="1704">
        <f t="shared" ca="1" si="36"/>
        <v>0</v>
      </c>
      <c r="CM17" s="1704">
        <f t="shared" ca="1" si="37"/>
        <v>0</v>
      </c>
      <c r="CN17" s="1704">
        <f t="shared" ca="1" si="38"/>
        <v>0</v>
      </c>
      <c r="CP17" s="1707">
        <f ca="1">AVERAGE(Costs!$CF17:$CN17)</f>
        <v>-9167666666.666666</v>
      </c>
      <c r="CQ17" s="1707">
        <f t="shared" ca="1" si="48"/>
        <v>-147681991582.16599</v>
      </c>
      <c r="CR17" s="1426" t="str">
        <f t="shared" ca="1" si="49"/>
        <v>ok</v>
      </c>
    </row>
    <row r="18" spans="1:96" s="1483" customFormat="1" x14ac:dyDescent="0.2">
      <c r="A18" s="1683" t="s">
        <v>1766</v>
      </c>
      <c r="B18" s="1683" t="s">
        <v>1362</v>
      </c>
      <c r="C18" s="1683" t="s">
        <v>1189</v>
      </c>
      <c r="D18" s="2133"/>
      <c r="E18" s="1689">
        <f t="shared" ca="1" si="54"/>
        <v>337102418583.33331</v>
      </c>
      <c r="F18" s="1689">
        <f t="shared" ca="1" si="54"/>
        <v>265837122250.00003</v>
      </c>
      <c r="G18" s="1689">
        <f t="shared" ca="1" si="54"/>
        <v>290405159250</v>
      </c>
      <c r="H18" s="1689">
        <f t="shared" ca="1" si="54"/>
        <v>311357042875</v>
      </c>
      <c r="I18" s="1689">
        <f t="shared" ca="1" si="54"/>
        <v>332308926500</v>
      </c>
      <c r="J18" s="1689">
        <f t="shared" ca="1" si="54"/>
        <v>341449253875</v>
      </c>
      <c r="K18" s="1689">
        <f t="shared" ca="1" si="54"/>
        <v>350589581250</v>
      </c>
      <c r="L18" s="1689">
        <f t="shared" ca="1" si="54"/>
        <v>359729908625</v>
      </c>
      <c r="M18" s="1689">
        <f t="shared" ca="1" si="54"/>
        <v>368870236000</v>
      </c>
      <c r="N18" s="675"/>
      <c r="O18" s="1689">
        <f t="shared" ca="1" si="110"/>
        <v>599216395750</v>
      </c>
      <c r="P18" s="1689">
        <f t="shared" ca="1" si="110"/>
        <v>369800426750</v>
      </c>
      <c r="Q18" s="1689">
        <f t="shared" ca="1" si="110"/>
        <v>390384457750</v>
      </c>
      <c r="R18" s="1689">
        <f t="shared" ca="1" si="110"/>
        <v>407938738625</v>
      </c>
      <c r="S18" s="1689">
        <f t="shared" ca="1" si="110"/>
        <v>425493019500</v>
      </c>
      <c r="T18" s="1689">
        <f t="shared" ca="1" si="110"/>
        <v>433151131625</v>
      </c>
      <c r="U18" s="1689">
        <f t="shared" ca="1" si="110"/>
        <v>440809243750</v>
      </c>
      <c r="V18" s="1689">
        <f t="shared" ca="1" si="110"/>
        <v>448467355875</v>
      </c>
      <c r="W18" s="1689">
        <f t="shared" ca="1" si="110"/>
        <v>456125468000</v>
      </c>
      <c r="X18" s="675"/>
      <c r="Y18" s="1689">
        <f t="shared" ca="1" si="111"/>
        <v>0</v>
      </c>
      <c r="Z18" s="1689">
        <f t="shared" ca="1" si="111"/>
        <v>0</v>
      </c>
      <c r="AA18" s="1689">
        <f t="shared" ca="1" si="111"/>
        <v>0</v>
      </c>
      <c r="AB18" s="1689">
        <f t="shared" ca="1" si="111"/>
        <v>0</v>
      </c>
      <c r="AC18" s="1689">
        <f t="shared" ca="1" si="111"/>
        <v>0</v>
      </c>
      <c r="AD18" s="1689">
        <f t="shared" ca="1" si="111"/>
        <v>0</v>
      </c>
      <c r="AE18" s="1689">
        <f t="shared" ca="1" si="111"/>
        <v>0</v>
      </c>
      <c r="AF18" s="1689">
        <f t="shared" ca="1" si="111"/>
        <v>0</v>
      </c>
      <c r="AG18" s="1689">
        <f t="shared" ca="1" si="111"/>
        <v>0</v>
      </c>
      <c r="AH18" s="675"/>
      <c r="AI18" s="1689">
        <f t="shared" ca="1" si="3"/>
        <v>936318814333.33325</v>
      </c>
      <c r="AJ18" s="1689">
        <f t="shared" ca="1" si="4"/>
        <v>635637549000</v>
      </c>
      <c r="AK18" s="1689">
        <f t="shared" ca="1" si="5"/>
        <v>680789617000</v>
      </c>
      <c r="AL18" s="1689">
        <f t="shared" ca="1" si="6"/>
        <v>719295781500</v>
      </c>
      <c r="AM18" s="1689">
        <f t="shared" ca="1" si="7"/>
        <v>757801946000</v>
      </c>
      <c r="AN18" s="1689">
        <f t="shared" ca="1" si="8"/>
        <v>774600385500</v>
      </c>
      <c r="AO18" s="1689">
        <f t="shared" ca="1" si="9"/>
        <v>791398825000</v>
      </c>
      <c r="AP18" s="1689">
        <f t="shared" ca="1" si="10"/>
        <v>808197264500</v>
      </c>
      <c r="AQ18" s="1689">
        <f t="shared" ca="1" si="11"/>
        <v>824995704000</v>
      </c>
      <c r="AR18" s="1673"/>
      <c r="AS18" s="1706">
        <f ca="1">AVERAGE(Costs!$AI18:$AQ18)</f>
        <v>769892876314.81482</v>
      </c>
      <c r="AT18" s="1706">
        <f t="shared" ca="1" si="55"/>
        <v>6606172326809.9971</v>
      </c>
      <c r="AU18" s="675"/>
      <c r="AV18" s="1699">
        <f>IFERROR(VLOOKUP($A18,Cost.FinanceCostTable,3,FALSE),'Global assumptions'!$D$35)</f>
        <v>0</v>
      </c>
      <c r="AW18" s="1690">
        <f>IFERROR(VLOOKUP($A18,Cost.FinanceCostTable,4,FALSE),'Global assumptions'!$E$35)</f>
        <v>15</v>
      </c>
      <c r="AX18" s="675"/>
      <c r="AY18" s="1689">
        <f t="shared" ca="1" si="12"/>
        <v>67420483716.666664</v>
      </c>
      <c r="AZ18" s="1689">
        <f t="shared" ca="1" si="13"/>
        <v>88612374083.333344</v>
      </c>
      <c r="BA18" s="1689">
        <f t="shared" ca="1" si="14"/>
        <v>96801719750</v>
      </c>
      <c r="BB18" s="1689">
        <f t="shared" ca="1" si="15"/>
        <v>103785680958.33333</v>
      </c>
      <c r="BC18" s="1689">
        <f t="shared" ca="1" si="16"/>
        <v>110769642166.66667</v>
      </c>
      <c r="BD18" s="1689">
        <f t="shared" ca="1" si="17"/>
        <v>113816417958.33333</v>
      </c>
      <c r="BE18" s="1689">
        <f t="shared" ca="1" si="18"/>
        <v>116863193750</v>
      </c>
      <c r="BF18" s="1689">
        <f t="shared" ca="1" si="19"/>
        <v>119909969541.66667</v>
      </c>
      <c r="BG18" s="1689">
        <f t="shared" ca="1" si="20"/>
        <v>122956745333.33333</v>
      </c>
      <c r="BH18" s="675"/>
      <c r="BI18" s="1689">
        <f t="shared" ca="1" si="39"/>
        <v>67420483716.666664</v>
      </c>
      <c r="BJ18" s="1689">
        <f t="shared" ca="1" si="40"/>
        <v>156032857800</v>
      </c>
      <c r="BK18" s="1689">
        <f t="shared" ca="1" si="41"/>
        <v>252834577550</v>
      </c>
      <c r="BL18" s="1689">
        <f t="shared" ca="1" si="42"/>
        <v>289199774791.66669</v>
      </c>
      <c r="BM18" s="1689">
        <f t="shared" ca="1" si="43"/>
        <v>311357042875</v>
      </c>
      <c r="BN18" s="1689">
        <f t="shared" ca="1" si="44"/>
        <v>328371741083.33331</v>
      </c>
      <c r="BO18" s="1689">
        <f t="shared" ca="1" si="45"/>
        <v>341449253875</v>
      </c>
      <c r="BP18" s="1689">
        <f t="shared" ca="1" si="46"/>
        <v>350589581250</v>
      </c>
      <c r="BQ18" s="1689">
        <f t="shared" ca="1" si="47"/>
        <v>359729908625</v>
      </c>
      <c r="BR18" s="675"/>
      <c r="BS18" s="1701">
        <f t="shared" ca="1" si="21"/>
        <v>666636879466.66663</v>
      </c>
      <c r="BT18" s="1701">
        <f t="shared" ca="1" si="22"/>
        <v>525833284550</v>
      </c>
      <c r="BU18" s="1701">
        <f t="shared" ca="1" si="23"/>
        <v>643219035300</v>
      </c>
      <c r="BV18" s="1701">
        <f t="shared" ca="1" si="24"/>
        <v>697138513416.66675</v>
      </c>
      <c r="BW18" s="1701">
        <f t="shared" ca="1" si="25"/>
        <v>736850062375</v>
      </c>
      <c r="BX18" s="1701">
        <f t="shared" ca="1" si="26"/>
        <v>761522872708.33325</v>
      </c>
      <c r="BY18" s="1701">
        <f t="shared" ca="1" si="27"/>
        <v>782258497625</v>
      </c>
      <c r="BZ18" s="1701">
        <f t="shared" ca="1" si="28"/>
        <v>799056937125</v>
      </c>
      <c r="CA18" s="1701">
        <f t="shared" ca="1" si="29"/>
        <v>815855376625</v>
      </c>
      <c r="CB18" s="1673"/>
      <c r="CC18" s="1706">
        <f ca="1">AVERAGE(Costs!$BS18:$CA18)</f>
        <v>714263495465.74072</v>
      </c>
      <c r="CD18" s="1706">
        <f t="shared" ca="1" si="56"/>
        <v>5868210517128.627</v>
      </c>
      <c r="CE18" s="1352"/>
      <c r="CF18" s="1703">
        <f t="shared" ca="1" si="30"/>
        <v>-269681934866.66666</v>
      </c>
      <c r="CG18" s="1703">
        <f t="shared" ca="1" si="31"/>
        <v>-109804264450.00003</v>
      </c>
      <c r="CH18" s="1703">
        <f t="shared" ca="1" si="32"/>
        <v>-37570581700</v>
      </c>
      <c r="CI18" s="1703">
        <f t="shared" ca="1" si="33"/>
        <v>-22157268083.333313</v>
      </c>
      <c r="CJ18" s="1703">
        <f t="shared" ca="1" si="34"/>
        <v>-20951883625</v>
      </c>
      <c r="CK18" s="1703">
        <f t="shared" ca="1" si="35"/>
        <v>-13077512791.666687</v>
      </c>
      <c r="CL18" s="1703">
        <f t="shared" ca="1" si="36"/>
        <v>-9140327375</v>
      </c>
      <c r="CM18" s="1703">
        <f t="shared" ca="1" si="37"/>
        <v>-9140327375</v>
      </c>
      <c r="CN18" s="1703">
        <f t="shared" ca="1" si="38"/>
        <v>-9140327375</v>
      </c>
      <c r="CO18" s="1673"/>
      <c r="CP18" s="1706">
        <f ca="1">AVERAGE(Costs!$CF18:$CN18)</f>
        <v>-55629380849.074074</v>
      </c>
      <c r="CQ18" s="1706">
        <f t="shared" ca="1" si="48"/>
        <v>-737961809681.37109</v>
      </c>
      <c r="CR18" s="1426" t="str">
        <f t="shared" ca="1" si="49"/>
        <v>ok</v>
      </c>
    </row>
    <row r="19" spans="1:96" x14ac:dyDescent="0.2">
      <c r="A19" s="1683" t="s">
        <v>1611</v>
      </c>
      <c r="B19" s="1683" t="s">
        <v>43</v>
      </c>
      <c r="C19" s="1683" t="s">
        <v>4</v>
      </c>
      <c r="D19" s="2133"/>
      <c r="E19" s="1689">
        <f t="shared" ca="1" si="54"/>
        <v>0</v>
      </c>
      <c r="F19" s="1689">
        <f t="shared" ca="1" si="54"/>
        <v>0</v>
      </c>
      <c r="G19" s="1689">
        <f t="shared" ca="1" si="54"/>
        <v>0</v>
      </c>
      <c r="H19" s="1689">
        <f t="shared" ca="1" si="54"/>
        <v>0</v>
      </c>
      <c r="I19" s="1689">
        <f t="shared" ca="1" si="54"/>
        <v>0</v>
      </c>
      <c r="J19" s="1689">
        <f t="shared" ca="1" si="54"/>
        <v>0</v>
      </c>
      <c r="K19" s="1689">
        <f t="shared" ca="1" si="54"/>
        <v>0</v>
      </c>
      <c r="L19" s="1689">
        <f t="shared" ca="1" si="54"/>
        <v>0</v>
      </c>
      <c r="M19" s="1689">
        <f t="shared" ca="1" si="54"/>
        <v>0</v>
      </c>
      <c r="N19" s="675"/>
      <c r="O19" s="1689">
        <f t="shared" ca="1" si="110"/>
        <v>0</v>
      </c>
      <c r="P19" s="1689">
        <f t="shared" ca="1" si="110"/>
        <v>0</v>
      </c>
      <c r="Q19" s="1689">
        <f t="shared" ca="1" si="110"/>
        <v>0</v>
      </c>
      <c r="R19" s="1689">
        <f t="shared" ca="1" si="110"/>
        <v>0</v>
      </c>
      <c r="S19" s="1689">
        <f t="shared" ca="1" si="110"/>
        <v>0</v>
      </c>
      <c r="T19" s="1689">
        <f t="shared" ca="1" si="110"/>
        <v>0</v>
      </c>
      <c r="U19" s="1689">
        <f t="shared" ca="1" si="110"/>
        <v>0</v>
      </c>
      <c r="V19" s="1689">
        <f t="shared" ca="1" si="110"/>
        <v>0</v>
      </c>
      <c r="W19" s="1689">
        <f t="shared" ca="1" si="110"/>
        <v>0</v>
      </c>
      <c r="X19" s="675"/>
      <c r="Y19" s="1689">
        <f t="shared" ca="1" si="111"/>
        <v>0</v>
      </c>
      <c r="Z19" s="1689">
        <f t="shared" ca="1" si="111"/>
        <v>0</v>
      </c>
      <c r="AA19" s="1689">
        <f t="shared" ca="1" si="111"/>
        <v>0</v>
      </c>
      <c r="AB19" s="1689">
        <f t="shared" ca="1" si="111"/>
        <v>0</v>
      </c>
      <c r="AC19" s="1689">
        <f t="shared" ca="1" si="111"/>
        <v>0</v>
      </c>
      <c r="AD19" s="1689">
        <f t="shared" ca="1" si="111"/>
        <v>0</v>
      </c>
      <c r="AE19" s="1689">
        <f t="shared" ca="1" si="111"/>
        <v>0</v>
      </c>
      <c r="AF19" s="1689">
        <f t="shared" ca="1" si="111"/>
        <v>0</v>
      </c>
      <c r="AG19" s="1689">
        <f t="shared" ca="1" si="111"/>
        <v>0</v>
      </c>
      <c r="AH19" s="675"/>
      <c r="AI19" s="1689">
        <f t="shared" ca="1" si="3"/>
        <v>0</v>
      </c>
      <c r="AJ19" s="1689">
        <f t="shared" ca="1" si="4"/>
        <v>0</v>
      </c>
      <c r="AK19" s="1689">
        <f t="shared" ca="1" si="5"/>
        <v>0</v>
      </c>
      <c r="AL19" s="1689">
        <f t="shared" ca="1" si="6"/>
        <v>0</v>
      </c>
      <c r="AM19" s="1689">
        <f t="shared" ca="1" si="7"/>
        <v>0</v>
      </c>
      <c r="AN19" s="1689">
        <f t="shared" ca="1" si="8"/>
        <v>0</v>
      </c>
      <c r="AO19" s="1689">
        <f t="shared" ca="1" si="9"/>
        <v>0</v>
      </c>
      <c r="AP19" s="1689">
        <f t="shared" ca="1" si="10"/>
        <v>0</v>
      </c>
      <c r="AQ19" s="1689">
        <f t="shared" ca="1" si="11"/>
        <v>0</v>
      </c>
      <c r="AS19" s="1706">
        <f ca="1">AVERAGE(Costs!$AI19:$AQ19)</f>
        <v>0</v>
      </c>
      <c r="AT19" s="1706">
        <f t="shared" ca="1" si="55"/>
        <v>0</v>
      </c>
      <c r="AU19" s="675"/>
      <c r="AV19" s="1699">
        <f>IFERROR(VLOOKUP($A19,Cost.FinanceCostTable,3,FALSE),'Global assumptions'!$D$35)</f>
        <v>0</v>
      </c>
      <c r="AW19" s="1690">
        <f>IFERROR(VLOOKUP($A19,Cost.FinanceCostTable,4,FALSE),'Global assumptions'!$E$35)</f>
        <v>5</v>
      </c>
      <c r="AX19" s="675"/>
      <c r="AY19" s="1689">
        <f t="shared" ca="1" si="12"/>
        <v>0</v>
      </c>
      <c r="AZ19" s="1689">
        <f t="shared" ca="1" si="13"/>
        <v>0</v>
      </c>
      <c r="BA19" s="1689">
        <f t="shared" ca="1" si="14"/>
        <v>0</v>
      </c>
      <c r="BB19" s="1689">
        <f t="shared" ca="1" si="15"/>
        <v>0</v>
      </c>
      <c r="BC19" s="1689">
        <f t="shared" ca="1" si="16"/>
        <v>0</v>
      </c>
      <c r="BD19" s="1689">
        <f t="shared" ca="1" si="17"/>
        <v>0</v>
      </c>
      <c r="BE19" s="1689">
        <f t="shared" ca="1" si="18"/>
        <v>0</v>
      </c>
      <c r="BF19" s="1689">
        <f t="shared" ca="1" si="19"/>
        <v>0</v>
      </c>
      <c r="BG19" s="1689">
        <f t="shared" ca="1" si="20"/>
        <v>0</v>
      </c>
      <c r="BH19" s="675"/>
      <c r="BI19" s="1689">
        <f t="shared" ca="1" si="39"/>
        <v>0</v>
      </c>
      <c r="BJ19" s="1689">
        <f t="shared" ca="1" si="40"/>
        <v>0</v>
      </c>
      <c r="BK19" s="1689">
        <f t="shared" ca="1" si="41"/>
        <v>0</v>
      </c>
      <c r="BL19" s="1689">
        <f t="shared" ca="1" si="42"/>
        <v>0</v>
      </c>
      <c r="BM19" s="1689">
        <f t="shared" ca="1" si="43"/>
        <v>0</v>
      </c>
      <c r="BN19" s="1689">
        <f t="shared" ca="1" si="44"/>
        <v>0</v>
      </c>
      <c r="BO19" s="1689">
        <f t="shared" ca="1" si="45"/>
        <v>0</v>
      </c>
      <c r="BP19" s="1689">
        <f t="shared" ca="1" si="46"/>
        <v>0</v>
      </c>
      <c r="BQ19" s="1689">
        <f t="shared" ca="1" si="47"/>
        <v>0</v>
      </c>
      <c r="BR19" s="675"/>
      <c r="BS19" s="1701">
        <f t="shared" ca="1" si="21"/>
        <v>0</v>
      </c>
      <c r="BT19" s="1701">
        <f t="shared" ca="1" si="22"/>
        <v>0</v>
      </c>
      <c r="BU19" s="1701">
        <f t="shared" ca="1" si="23"/>
        <v>0</v>
      </c>
      <c r="BV19" s="1701">
        <f t="shared" ca="1" si="24"/>
        <v>0</v>
      </c>
      <c r="BW19" s="1701">
        <f t="shared" ca="1" si="25"/>
        <v>0</v>
      </c>
      <c r="BX19" s="1701">
        <f t="shared" ca="1" si="26"/>
        <v>0</v>
      </c>
      <c r="BY19" s="1701">
        <f t="shared" ca="1" si="27"/>
        <v>0</v>
      </c>
      <c r="BZ19" s="1701">
        <f t="shared" ca="1" si="28"/>
        <v>0</v>
      </c>
      <c r="CA19" s="1701">
        <f t="shared" ca="1" si="29"/>
        <v>0</v>
      </c>
      <c r="CC19" s="1706">
        <f ca="1">AVERAGE(Costs!$BS19:$CA19)</f>
        <v>0</v>
      </c>
      <c r="CD19" s="1706">
        <f t="shared" ca="1" si="56"/>
        <v>0</v>
      </c>
      <c r="CF19" s="1703">
        <f t="shared" ca="1" si="30"/>
        <v>0</v>
      </c>
      <c r="CG19" s="1703">
        <f t="shared" ca="1" si="31"/>
        <v>0</v>
      </c>
      <c r="CH19" s="1703">
        <f t="shared" ca="1" si="32"/>
        <v>0</v>
      </c>
      <c r="CI19" s="1703">
        <f t="shared" ca="1" si="33"/>
        <v>0</v>
      </c>
      <c r="CJ19" s="1703">
        <f t="shared" ca="1" si="34"/>
        <v>0</v>
      </c>
      <c r="CK19" s="1703">
        <f t="shared" ca="1" si="35"/>
        <v>0</v>
      </c>
      <c r="CL19" s="1703">
        <f t="shared" ca="1" si="36"/>
        <v>0</v>
      </c>
      <c r="CM19" s="1703">
        <f t="shared" ca="1" si="37"/>
        <v>0</v>
      </c>
      <c r="CN19" s="1703">
        <f t="shared" ca="1" si="38"/>
        <v>0</v>
      </c>
      <c r="CP19" s="1706">
        <f ca="1">AVERAGE(Costs!$CF19:$CN19)</f>
        <v>0</v>
      </c>
      <c r="CQ19" s="1706">
        <f t="shared" ca="1" si="48"/>
        <v>0</v>
      </c>
      <c r="CR19" s="1426" t="str">
        <f t="shared" ca="1" si="49"/>
        <v>ok</v>
      </c>
    </row>
    <row r="20" spans="1:96" x14ac:dyDescent="0.2">
      <c r="A20" s="1685" t="s">
        <v>1612</v>
      </c>
      <c r="B20" s="1685" t="s">
        <v>1610</v>
      </c>
      <c r="C20" s="1685" t="s">
        <v>4</v>
      </c>
      <c r="D20" s="2133"/>
      <c r="E20" s="1691">
        <f t="shared" ca="1" si="54"/>
        <v>0</v>
      </c>
      <c r="F20" s="1691">
        <f t="shared" ca="1" si="54"/>
        <v>0</v>
      </c>
      <c r="G20" s="1691">
        <f t="shared" ca="1" si="54"/>
        <v>0</v>
      </c>
      <c r="H20" s="1691">
        <f t="shared" ca="1" si="54"/>
        <v>0</v>
      </c>
      <c r="I20" s="1691">
        <f t="shared" ca="1" si="54"/>
        <v>0</v>
      </c>
      <c r="J20" s="1691">
        <f t="shared" ca="1" si="54"/>
        <v>0</v>
      </c>
      <c r="K20" s="1691">
        <f t="shared" ca="1" si="54"/>
        <v>0</v>
      </c>
      <c r="L20" s="1691">
        <f t="shared" ca="1" si="54"/>
        <v>0</v>
      </c>
      <c r="M20" s="1691">
        <f t="shared" ca="1" si="54"/>
        <v>0</v>
      </c>
      <c r="N20" s="675"/>
      <c r="O20" s="1691">
        <f t="shared" ca="1" si="110"/>
        <v>0</v>
      </c>
      <c r="P20" s="1691">
        <f t="shared" ca="1" si="110"/>
        <v>0</v>
      </c>
      <c r="Q20" s="1691">
        <f t="shared" ca="1" si="110"/>
        <v>0</v>
      </c>
      <c r="R20" s="1691">
        <f t="shared" ca="1" si="110"/>
        <v>0</v>
      </c>
      <c r="S20" s="1691">
        <f t="shared" ca="1" si="110"/>
        <v>0</v>
      </c>
      <c r="T20" s="1691">
        <f t="shared" ca="1" si="110"/>
        <v>0</v>
      </c>
      <c r="U20" s="1691">
        <f t="shared" ca="1" si="110"/>
        <v>0</v>
      </c>
      <c r="V20" s="1691">
        <f t="shared" ca="1" si="110"/>
        <v>0</v>
      </c>
      <c r="W20" s="1691">
        <f t="shared" ca="1" si="110"/>
        <v>0</v>
      </c>
      <c r="X20" s="675"/>
      <c r="Y20" s="1691">
        <f t="shared" ca="1" si="111"/>
        <v>0</v>
      </c>
      <c r="Z20" s="1691">
        <f t="shared" ca="1" si="111"/>
        <v>0</v>
      </c>
      <c r="AA20" s="1691">
        <f t="shared" ca="1" si="111"/>
        <v>0</v>
      </c>
      <c r="AB20" s="1691">
        <f t="shared" ca="1" si="111"/>
        <v>0</v>
      </c>
      <c r="AC20" s="1691">
        <f t="shared" ca="1" si="111"/>
        <v>0</v>
      </c>
      <c r="AD20" s="1691">
        <f t="shared" ca="1" si="111"/>
        <v>0</v>
      </c>
      <c r="AE20" s="1691">
        <f t="shared" ca="1" si="111"/>
        <v>0</v>
      </c>
      <c r="AF20" s="1691">
        <f t="shared" ca="1" si="111"/>
        <v>0</v>
      </c>
      <c r="AG20" s="1691">
        <f t="shared" ca="1" si="111"/>
        <v>0</v>
      </c>
      <c r="AH20" s="675"/>
      <c r="AI20" s="1691">
        <f t="shared" ca="1" si="3"/>
        <v>0</v>
      </c>
      <c r="AJ20" s="1691">
        <f t="shared" ca="1" si="4"/>
        <v>0</v>
      </c>
      <c r="AK20" s="1691">
        <f t="shared" ca="1" si="5"/>
        <v>0</v>
      </c>
      <c r="AL20" s="1691">
        <f t="shared" ca="1" si="6"/>
        <v>0</v>
      </c>
      <c r="AM20" s="1691">
        <f t="shared" ca="1" si="7"/>
        <v>0</v>
      </c>
      <c r="AN20" s="1691">
        <f t="shared" ca="1" si="8"/>
        <v>0</v>
      </c>
      <c r="AO20" s="1691">
        <f t="shared" ca="1" si="9"/>
        <v>0</v>
      </c>
      <c r="AP20" s="1691">
        <f t="shared" ca="1" si="10"/>
        <v>0</v>
      </c>
      <c r="AQ20" s="1691">
        <f t="shared" ca="1" si="11"/>
        <v>0</v>
      </c>
      <c r="AS20" s="1707">
        <f ca="1">AVERAGE(Costs!$AI20:$AQ20)</f>
        <v>0</v>
      </c>
      <c r="AT20" s="1707">
        <f t="shared" ca="1" si="55"/>
        <v>0</v>
      </c>
      <c r="AU20" s="675"/>
      <c r="AV20" s="1700">
        <f>IFERROR(VLOOKUP($A20,Cost.FinanceCostTable,3,FALSE),'Global assumptions'!$D$35)</f>
        <v>0</v>
      </c>
      <c r="AW20" s="1692">
        <f>IFERROR(VLOOKUP($A20,Cost.FinanceCostTable,4,FALSE),'Global assumptions'!$E$35)</f>
        <v>5</v>
      </c>
      <c r="AX20" s="675"/>
      <c r="AY20" s="1691">
        <f t="shared" ca="1" si="12"/>
        <v>0</v>
      </c>
      <c r="AZ20" s="1691">
        <f t="shared" ca="1" si="13"/>
        <v>0</v>
      </c>
      <c r="BA20" s="1691">
        <f t="shared" ca="1" si="14"/>
        <v>0</v>
      </c>
      <c r="BB20" s="1691">
        <f t="shared" ca="1" si="15"/>
        <v>0</v>
      </c>
      <c r="BC20" s="1691">
        <f t="shared" ca="1" si="16"/>
        <v>0</v>
      </c>
      <c r="BD20" s="1691">
        <f t="shared" ca="1" si="17"/>
        <v>0</v>
      </c>
      <c r="BE20" s="1691">
        <f t="shared" ca="1" si="18"/>
        <v>0</v>
      </c>
      <c r="BF20" s="1691">
        <f t="shared" ca="1" si="19"/>
        <v>0</v>
      </c>
      <c r="BG20" s="1691">
        <f t="shared" ca="1" si="20"/>
        <v>0</v>
      </c>
      <c r="BH20" s="675"/>
      <c r="BI20" s="1691">
        <f t="shared" ca="1" si="39"/>
        <v>0</v>
      </c>
      <c r="BJ20" s="1691">
        <f t="shared" ca="1" si="40"/>
        <v>0</v>
      </c>
      <c r="BK20" s="1691">
        <f t="shared" ca="1" si="41"/>
        <v>0</v>
      </c>
      <c r="BL20" s="1691">
        <f t="shared" ca="1" si="42"/>
        <v>0</v>
      </c>
      <c r="BM20" s="1691">
        <f t="shared" ca="1" si="43"/>
        <v>0</v>
      </c>
      <c r="BN20" s="1691">
        <f t="shared" ca="1" si="44"/>
        <v>0</v>
      </c>
      <c r="BO20" s="1691">
        <f t="shared" ca="1" si="45"/>
        <v>0</v>
      </c>
      <c r="BP20" s="1691">
        <f t="shared" ca="1" si="46"/>
        <v>0</v>
      </c>
      <c r="BQ20" s="1691">
        <f t="shared" ca="1" si="47"/>
        <v>0</v>
      </c>
      <c r="BR20" s="675"/>
      <c r="BS20" s="1702">
        <f t="shared" ca="1" si="21"/>
        <v>0</v>
      </c>
      <c r="BT20" s="1702">
        <f t="shared" ca="1" si="22"/>
        <v>0</v>
      </c>
      <c r="BU20" s="1702">
        <f t="shared" ca="1" si="23"/>
        <v>0</v>
      </c>
      <c r="BV20" s="1702">
        <f t="shared" ca="1" si="24"/>
        <v>0</v>
      </c>
      <c r="BW20" s="1702">
        <f t="shared" ca="1" si="25"/>
        <v>0</v>
      </c>
      <c r="BX20" s="1702">
        <f t="shared" ca="1" si="26"/>
        <v>0</v>
      </c>
      <c r="BY20" s="1702">
        <f t="shared" ca="1" si="27"/>
        <v>0</v>
      </c>
      <c r="BZ20" s="1702">
        <f t="shared" ca="1" si="28"/>
        <v>0</v>
      </c>
      <c r="CA20" s="1702">
        <f t="shared" ca="1" si="29"/>
        <v>0</v>
      </c>
      <c r="CC20" s="1707">
        <f ca="1">AVERAGE(Costs!$BS20:$CA20)</f>
        <v>0</v>
      </c>
      <c r="CD20" s="1707">
        <f t="shared" ca="1" si="56"/>
        <v>0</v>
      </c>
      <c r="CF20" s="1704">
        <f t="shared" ca="1" si="30"/>
        <v>0</v>
      </c>
      <c r="CG20" s="1704">
        <f t="shared" ca="1" si="31"/>
        <v>0</v>
      </c>
      <c r="CH20" s="1704">
        <f t="shared" ca="1" si="32"/>
        <v>0</v>
      </c>
      <c r="CI20" s="1704">
        <f t="shared" ca="1" si="33"/>
        <v>0</v>
      </c>
      <c r="CJ20" s="1704">
        <f t="shared" ca="1" si="34"/>
        <v>0</v>
      </c>
      <c r="CK20" s="1704">
        <f t="shared" ca="1" si="35"/>
        <v>0</v>
      </c>
      <c r="CL20" s="1704">
        <f t="shared" ca="1" si="36"/>
        <v>0</v>
      </c>
      <c r="CM20" s="1704">
        <f t="shared" ca="1" si="37"/>
        <v>0</v>
      </c>
      <c r="CN20" s="1704">
        <f t="shared" ca="1" si="38"/>
        <v>0</v>
      </c>
      <c r="CP20" s="1707">
        <f ca="1">AVERAGE(Costs!$CF20:$CN20)</f>
        <v>0</v>
      </c>
      <c r="CQ20" s="1707">
        <f t="shared" ca="1" si="48"/>
        <v>0</v>
      </c>
      <c r="CR20" s="1426" t="str">
        <f t="shared" ca="1" si="49"/>
        <v>ok</v>
      </c>
    </row>
    <row r="21" spans="1:96" x14ac:dyDescent="0.2">
      <c r="A21" s="1683" t="s">
        <v>313</v>
      </c>
      <c r="B21" s="1683" t="s">
        <v>306</v>
      </c>
      <c r="C21" s="1683" t="s">
        <v>4</v>
      </c>
      <c r="D21" s="2133"/>
      <c r="E21" s="1689">
        <f t="shared" ca="1" si="54"/>
        <v>84341629231.184036</v>
      </c>
      <c r="F21" s="1689">
        <f t="shared" ca="1" si="54"/>
        <v>269008530258.69403</v>
      </c>
      <c r="G21" s="1689">
        <f t="shared" ca="1" si="54"/>
        <v>440805993678.67261</v>
      </c>
      <c r="H21" s="1689">
        <f t="shared" ca="1" si="54"/>
        <v>662956552857.14282</v>
      </c>
      <c r="I21" s="1689">
        <f t="shared" ca="1" si="54"/>
        <v>941175000000.00012</v>
      </c>
      <c r="J21" s="1689">
        <f t="shared" ca="1" si="54"/>
        <v>1009632447142.8568</v>
      </c>
      <c r="K21" s="1689">
        <f t="shared" ca="1" si="54"/>
        <v>1253705394285.7139</v>
      </c>
      <c r="L21" s="1689">
        <f t="shared" ca="1" si="54"/>
        <v>1535918841428.5715</v>
      </c>
      <c r="M21" s="1689">
        <f t="shared" ca="1" si="54"/>
        <v>-2886340500000</v>
      </c>
      <c r="N21" s="675"/>
      <c r="O21" s="1689">
        <f t="shared" ref="O21:W27" ca="1" si="112">IFERROR(INDEX(INDIRECT($A21&amp;".Costs["&amp;O$2&amp;"]"), MATCH($O$1, INDIRECT($A21&amp;".Costs[Vector]"), 0)),0)</f>
        <v>39845192657.479767</v>
      </c>
      <c r="P21" s="1689">
        <f t="shared" ca="1" si="112"/>
        <v>69419337493.64975</v>
      </c>
      <c r="Q21" s="1689">
        <f t="shared" ca="1" si="112"/>
        <v>110682321428.57144</v>
      </c>
      <c r="R21" s="1689">
        <f t="shared" ca="1" si="112"/>
        <v>171170857142.85715</v>
      </c>
      <c r="S21" s="1689">
        <f t="shared" ca="1" si="112"/>
        <v>253534392857.14288</v>
      </c>
      <c r="T21" s="1689">
        <f t="shared" ca="1" si="112"/>
        <v>324410428571.42853</v>
      </c>
      <c r="U21" s="1689">
        <f t="shared" ca="1" si="112"/>
        <v>410023964285.71423</v>
      </c>
      <c r="V21" s="1689">
        <f t="shared" ca="1" si="112"/>
        <v>511762500000</v>
      </c>
      <c r="W21" s="1689">
        <f t="shared" ca="1" si="112"/>
        <v>0</v>
      </c>
      <c r="X21" s="675"/>
      <c r="Y21" s="1689">
        <f t="shared" ref="Y21:AG27" ca="1" si="113">IFERROR(INDEX(INDIRECT($A21&amp;".Costs["&amp;Y$2&amp;"]"), MATCH($Y$1, INDIRECT($A21&amp;".Costs[Vector]"), 0)),0)</f>
        <v>0</v>
      </c>
      <c r="Z21" s="1689">
        <f t="shared" ca="1" si="113"/>
        <v>0</v>
      </c>
      <c r="AA21" s="1689">
        <f t="shared" ca="1" si="113"/>
        <v>0</v>
      </c>
      <c r="AB21" s="1689">
        <f t="shared" ca="1" si="113"/>
        <v>0</v>
      </c>
      <c r="AC21" s="1689">
        <f t="shared" ca="1" si="113"/>
        <v>0</v>
      </c>
      <c r="AD21" s="1689">
        <f t="shared" ca="1" si="113"/>
        <v>0</v>
      </c>
      <c r="AE21" s="1689">
        <f t="shared" ca="1" si="113"/>
        <v>0</v>
      </c>
      <c r="AF21" s="1689">
        <f t="shared" ca="1" si="113"/>
        <v>0</v>
      </c>
      <c r="AG21" s="1689">
        <f t="shared" ca="1" si="113"/>
        <v>0</v>
      </c>
      <c r="AH21" s="675"/>
      <c r="AI21" s="1689">
        <f t="shared" ca="1" si="3"/>
        <v>124186821888.6638</v>
      </c>
      <c r="AJ21" s="1689">
        <f t="shared" ca="1" si="4"/>
        <v>338427867752.34375</v>
      </c>
      <c r="AK21" s="1689">
        <f t="shared" ca="1" si="5"/>
        <v>551488315107.24402</v>
      </c>
      <c r="AL21" s="1689">
        <f t="shared" ca="1" si="6"/>
        <v>834127410000</v>
      </c>
      <c r="AM21" s="1689">
        <f t="shared" ca="1" si="7"/>
        <v>1194709392857.1431</v>
      </c>
      <c r="AN21" s="1689">
        <f t="shared" ca="1" si="8"/>
        <v>1334042875714.2854</v>
      </c>
      <c r="AO21" s="1689">
        <f t="shared" ca="1" si="9"/>
        <v>1663729358571.4282</v>
      </c>
      <c r="AP21" s="1689">
        <f t="shared" ca="1" si="10"/>
        <v>2047681341428.5715</v>
      </c>
      <c r="AQ21" s="1689">
        <f t="shared" ca="1" si="11"/>
        <v>-2886340500000</v>
      </c>
      <c r="AS21" s="1706">
        <f ca="1">AVERAGE(Costs!$AI21:$AQ21)</f>
        <v>578005875924.40869</v>
      </c>
      <c r="AT21" s="1706">
        <f t="shared" ca="1" si="55"/>
        <v>5107419975385.0293</v>
      </c>
      <c r="AU21" s="675"/>
      <c r="AV21" s="1699">
        <f>IFERROR(VLOOKUP($A21,Cost.FinanceCostTable,3,FALSE),'Global assumptions'!$D$35)</f>
        <v>0</v>
      </c>
      <c r="AW21" s="1690">
        <f>IFERROR(VLOOKUP($A21,Cost.FinanceCostTable,4,FALSE),'Global assumptions'!$E$35)</f>
        <v>20</v>
      </c>
      <c r="AX21" s="675"/>
      <c r="AY21" s="1689">
        <f t="shared" ca="1" si="12"/>
        <v>12651244384.677607</v>
      </c>
      <c r="AZ21" s="1689">
        <f t="shared" ca="1" si="13"/>
        <v>67252132564.673508</v>
      </c>
      <c r="BA21" s="1689">
        <f t="shared" ca="1" si="14"/>
        <v>110201498419.66817</v>
      </c>
      <c r="BB21" s="1689">
        <f t="shared" ca="1" si="15"/>
        <v>165739138214.28571</v>
      </c>
      <c r="BC21" s="1689">
        <f t="shared" ca="1" si="16"/>
        <v>235293750000.00006</v>
      </c>
      <c r="BD21" s="1689">
        <f t="shared" ca="1" si="17"/>
        <v>252408111785.7142</v>
      </c>
      <c r="BE21" s="1689">
        <f t="shared" ca="1" si="18"/>
        <v>313426348571.42847</v>
      </c>
      <c r="BF21" s="1689">
        <f t="shared" ca="1" si="19"/>
        <v>383979710357.14288</v>
      </c>
      <c r="BG21" s="1689">
        <f t="shared" ca="1" si="20"/>
        <v>-721585125000</v>
      </c>
      <c r="BH21" s="675"/>
      <c r="BI21" s="1689">
        <f t="shared" ca="1" si="39"/>
        <v>12651244384.677607</v>
      </c>
      <c r="BJ21" s="1689">
        <f t="shared" ca="1" si="40"/>
        <v>79903376949.35112</v>
      </c>
      <c r="BK21" s="1689">
        <f t="shared" ca="1" si="41"/>
        <v>190104875369.01929</v>
      </c>
      <c r="BL21" s="1689">
        <f t="shared" ca="1" si="42"/>
        <v>355844013583.30499</v>
      </c>
      <c r="BM21" s="1689">
        <f t="shared" ca="1" si="43"/>
        <v>578486519198.62744</v>
      </c>
      <c r="BN21" s="1689">
        <f t="shared" ca="1" si="44"/>
        <v>763642498419.66821</v>
      </c>
      <c r="BO21" s="1689">
        <f t="shared" ca="1" si="45"/>
        <v>966867348571.42847</v>
      </c>
      <c r="BP21" s="1689">
        <f t="shared" ca="1" si="46"/>
        <v>1420401670714.2856</v>
      </c>
      <c r="BQ21" s="1689">
        <f t="shared" ca="1" si="47"/>
        <v>228229045714.28558</v>
      </c>
      <c r="BR21" s="675"/>
      <c r="BS21" s="1701">
        <f t="shared" ca="1" si="21"/>
        <v>52496437042.157372</v>
      </c>
      <c r="BT21" s="1701">
        <f t="shared" ca="1" si="22"/>
        <v>149322714443.00085</v>
      </c>
      <c r="BU21" s="1701">
        <f t="shared" ca="1" si="23"/>
        <v>300787196797.5907</v>
      </c>
      <c r="BV21" s="1701">
        <f t="shared" ca="1" si="24"/>
        <v>527014870726.16211</v>
      </c>
      <c r="BW21" s="1701">
        <f t="shared" ca="1" si="25"/>
        <v>832020912055.77026</v>
      </c>
      <c r="BX21" s="1701">
        <f t="shared" ca="1" si="26"/>
        <v>1088052926991.0967</v>
      </c>
      <c r="BY21" s="1701">
        <f t="shared" ca="1" si="27"/>
        <v>1376891312857.1426</v>
      </c>
      <c r="BZ21" s="1701">
        <f t="shared" ca="1" si="28"/>
        <v>1932164170714.2856</v>
      </c>
      <c r="CA21" s="1701">
        <f t="shared" ca="1" si="29"/>
        <v>228229045714.28558</v>
      </c>
      <c r="CC21" s="1706">
        <f ca="1">AVERAGE(Costs!$BS21:$CA21)</f>
        <v>720775509704.61011</v>
      </c>
      <c r="CD21" s="1706">
        <f t="shared" ca="1" si="56"/>
        <v>3768002070789.0474</v>
      </c>
      <c r="CF21" s="1703">
        <f t="shared" ca="1" si="30"/>
        <v>-71690384846.506424</v>
      </c>
      <c r="CG21" s="1703">
        <f t="shared" ca="1" si="31"/>
        <v>-189105153309.3429</v>
      </c>
      <c r="CH21" s="1703">
        <f t="shared" ca="1" si="32"/>
        <v>-250701118309.65332</v>
      </c>
      <c r="CI21" s="1703">
        <f t="shared" ca="1" si="33"/>
        <v>-307112539273.83783</v>
      </c>
      <c r="CJ21" s="1703">
        <f t="shared" ca="1" si="34"/>
        <v>-362688480801.37268</v>
      </c>
      <c r="CK21" s="1703">
        <f t="shared" ca="1" si="35"/>
        <v>-245989948723.1886</v>
      </c>
      <c r="CL21" s="1703">
        <f t="shared" ca="1" si="36"/>
        <v>-286838045714.2854</v>
      </c>
      <c r="CM21" s="1703">
        <f t="shared" ca="1" si="37"/>
        <v>-115517170714.28589</v>
      </c>
      <c r="CN21" s="1703">
        <f t="shared" ca="1" si="38"/>
        <v>3114569545714.2856</v>
      </c>
      <c r="CP21" s="1706">
        <f ca="1">AVERAGE(Costs!$CF21:$CN21)</f>
        <v>142769633780.20139</v>
      </c>
      <c r="CQ21" s="1706">
        <f t="shared" ca="1" si="48"/>
        <v>-1339417904595.981</v>
      </c>
      <c r="CR21" s="1426" t="str">
        <f t="shared" ca="1" si="49"/>
        <v>ok</v>
      </c>
    </row>
    <row r="22" spans="1:96" x14ac:dyDescent="0.2">
      <c r="A22" s="1685" t="s">
        <v>1713</v>
      </c>
      <c r="B22" s="1685" t="s">
        <v>2172</v>
      </c>
      <c r="C22" s="1685" t="s">
        <v>1974</v>
      </c>
      <c r="D22" s="2133"/>
      <c r="E22" s="1691">
        <f t="shared" ca="1" si="54"/>
        <v>0</v>
      </c>
      <c r="F22" s="1691">
        <f t="shared" ca="1" si="54"/>
        <v>0</v>
      </c>
      <c r="G22" s="1691">
        <f t="shared" ca="1" si="54"/>
        <v>0</v>
      </c>
      <c r="H22" s="1691">
        <f t="shared" ca="1" si="54"/>
        <v>0</v>
      </c>
      <c r="I22" s="1691">
        <f t="shared" ca="1" si="54"/>
        <v>0</v>
      </c>
      <c r="J22" s="1691">
        <f t="shared" ca="1" si="54"/>
        <v>0</v>
      </c>
      <c r="K22" s="1691">
        <f t="shared" ca="1" si="54"/>
        <v>0</v>
      </c>
      <c r="L22" s="1691">
        <f t="shared" ca="1" si="54"/>
        <v>0</v>
      </c>
      <c r="M22" s="1691">
        <f t="shared" ca="1" si="54"/>
        <v>0</v>
      </c>
      <c r="N22" s="675"/>
      <c r="O22" s="1691">
        <f t="shared" ca="1" si="112"/>
        <v>0</v>
      </c>
      <c r="P22" s="1691">
        <f t="shared" ca="1" si="112"/>
        <v>0</v>
      </c>
      <c r="Q22" s="1691">
        <f t="shared" ca="1" si="112"/>
        <v>0</v>
      </c>
      <c r="R22" s="1691">
        <f t="shared" ca="1" si="112"/>
        <v>0</v>
      </c>
      <c r="S22" s="1691">
        <f t="shared" ca="1" si="112"/>
        <v>0</v>
      </c>
      <c r="T22" s="1691">
        <f t="shared" ca="1" si="112"/>
        <v>0</v>
      </c>
      <c r="U22" s="1691">
        <f t="shared" ca="1" si="112"/>
        <v>0</v>
      </c>
      <c r="V22" s="1691">
        <f t="shared" ca="1" si="112"/>
        <v>0</v>
      </c>
      <c r="W22" s="1691">
        <f t="shared" ca="1" si="112"/>
        <v>0</v>
      </c>
      <c r="X22" s="675"/>
      <c r="Y22" s="1691">
        <f t="shared" ca="1" si="113"/>
        <v>0</v>
      </c>
      <c r="Z22" s="1691">
        <f t="shared" ca="1" si="113"/>
        <v>0</v>
      </c>
      <c r="AA22" s="1691">
        <f t="shared" ca="1" si="113"/>
        <v>0</v>
      </c>
      <c r="AB22" s="1691">
        <f t="shared" ca="1" si="113"/>
        <v>0</v>
      </c>
      <c r="AC22" s="1691">
        <f t="shared" ca="1" si="113"/>
        <v>0</v>
      </c>
      <c r="AD22" s="1691">
        <f t="shared" ca="1" si="113"/>
        <v>0</v>
      </c>
      <c r="AE22" s="1691">
        <f t="shared" ca="1" si="113"/>
        <v>0</v>
      </c>
      <c r="AF22" s="1691">
        <f t="shared" ca="1" si="113"/>
        <v>0</v>
      </c>
      <c r="AG22" s="1691">
        <f t="shared" ca="1" si="113"/>
        <v>0</v>
      </c>
      <c r="AH22" s="675"/>
      <c r="AI22" s="1691">
        <f t="shared" ca="1" si="3"/>
        <v>0</v>
      </c>
      <c r="AJ22" s="1691">
        <f t="shared" ca="1" si="4"/>
        <v>0</v>
      </c>
      <c r="AK22" s="1691">
        <f t="shared" ca="1" si="5"/>
        <v>0</v>
      </c>
      <c r="AL22" s="1691">
        <f t="shared" ca="1" si="6"/>
        <v>0</v>
      </c>
      <c r="AM22" s="1691">
        <f t="shared" ca="1" si="7"/>
        <v>0</v>
      </c>
      <c r="AN22" s="1691">
        <f t="shared" ca="1" si="8"/>
        <v>0</v>
      </c>
      <c r="AO22" s="1691">
        <f t="shared" ca="1" si="9"/>
        <v>0</v>
      </c>
      <c r="AP22" s="1691">
        <f t="shared" ca="1" si="10"/>
        <v>0</v>
      </c>
      <c r="AQ22" s="1691">
        <f t="shared" ca="1" si="11"/>
        <v>0</v>
      </c>
      <c r="AS22" s="1707">
        <f ca="1">AVERAGE(Costs!$AI22:$AQ22)</f>
        <v>0</v>
      </c>
      <c r="AT22" s="1707">
        <f t="shared" ca="1" si="55"/>
        <v>0</v>
      </c>
      <c r="AU22" s="675"/>
      <c r="AV22" s="1700">
        <f>IFERROR(VLOOKUP($A22,Cost.FinanceCostTable,3,FALSE),'Global assumptions'!$D$35)</f>
        <v>0</v>
      </c>
      <c r="AW22" s="1692">
        <f>IFERROR(VLOOKUP($A22,Cost.FinanceCostTable,4,FALSE),'Global assumptions'!$E$35)</f>
        <v>15</v>
      </c>
      <c r="AX22" s="675"/>
      <c r="AY22" s="1691">
        <f t="shared" ca="1" si="12"/>
        <v>0</v>
      </c>
      <c r="AZ22" s="1691">
        <f t="shared" ca="1" si="13"/>
        <v>0</v>
      </c>
      <c r="BA22" s="1691">
        <f t="shared" ca="1" si="14"/>
        <v>0</v>
      </c>
      <c r="BB22" s="1691">
        <f t="shared" ca="1" si="15"/>
        <v>0</v>
      </c>
      <c r="BC22" s="1691">
        <f t="shared" ca="1" si="16"/>
        <v>0</v>
      </c>
      <c r="BD22" s="1691">
        <f t="shared" ca="1" si="17"/>
        <v>0</v>
      </c>
      <c r="BE22" s="1691">
        <f t="shared" ca="1" si="18"/>
        <v>0</v>
      </c>
      <c r="BF22" s="1691">
        <f t="shared" ca="1" si="19"/>
        <v>0</v>
      </c>
      <c r="BG22" s="1691">
        <f t="shared" ca="1" si="20"/>
        <v>0</v>
      </c>
      <c r="BH22" s="675"/>
      <c r="BI22" s="1691">
        <f t="shared" ca="1" si="39"/>
        <v>0</v>
      </c>
      <c r="BJ22" s="1691">
        <f t="shared" ca="1" si="40"/>
        <v>0</v>
      </c>
      <c r="BK22" s="1691">
        <f t="shared" ca="1" si="41"/>
        <v>0</v>
      </c>
      <c r="BL22" s="1691">
        <f t="shared" ca="1" si="42"/>
        <v>0</v>
      </c>
      <c r="BM22" s="1691">
        <f t="shared" ca="1" si="43"/>
        <v>0</v>
      </c>
      <c r="BN22" s="1691">
        <f t="shared" ca="1" si="44"/>
        <v>0</v>
      </c>
      <c r="BO22" s="1691">
        <f t="shared" ca="1" si="45"/>
        <v>0</v>
      </c>
      <c r="BP22" s="1691">
        <f t="shared" ca="1" si="46"/>
        <v>0</v>
      </c>
      <c r="BQ22" s="1691">
        <f t="shared" ca="1" si="47"/>
        <v>0</v>
      </c>
      <c r="BR22" s="675"/>
      <c r="BS22" s="1702">
        <f t="shared" ca="1" si="21"/>
        <v>0</v>
      </c>
      <c r="BT22" s="1702">
        <f t="shared" ca="1" si="22"/>
        <v>0</v>
      </c>
      <c r="BU22" s="1702">
        <f t="shared" ca="1" si="23"/>
        <v>0</v>
      </c>
      <c r="BV22" s="1702">
        <f t="shared" ca="1" si="24"/>
        <v>0</v>
      </c>
      <c r="BW22" s="1702">
        <f t="shared" ca="1" si="25"/>
        <v>0</v>
      </c>
      <c r="BX22" s="1702">
        <f t="shared" ca="1" si="26"/>
        <v>0</v>
      </c>
      <c r="BY22" s="1702">
        <f t="shared" ca="1" si="27"/>
        <v>0</v>
      </c>
      <c r="BZ22" s="1702">
        <f t="shared" ca="1" si="28"/>
        <v>0</v>
      </c>
      <c r="CA22" s="1702">
        <f t="shared" ca="1" si="29"/>
        <v>0</v>
      </c>
      <c r="CC22" s="1707">
        <f ca="1">AVERAGE(Costs!$BS22:$CA22)</f>
        <v>0</v>
      </c>
      <c r="CD22" s="1707">
        <f t="shared" ca="1" si="56"/>
        <v>0</v>
      </c>
      <c r="CF22" s="1704">
        <f t="shared" ca="1" si="30"/>
        <v>0</v>
      </c>
      <c r="CG22" s="1704">
        <f t="shared" ca="1" si="31"/>
        <v>0</v>
      </c>
      <c r="CH22" s="1704">
        <f t="shared" ca="1" si="32"/>
        <v>0</v>
      </c>
      <c r="CI22" s="1704">
        <f t="shared" ca="1" si="33"/>
        <v>0</v>
      </c>
      <c r="CJ22" s="1704">
        <f t="shared" ca="1" si="34"/>
        <v>0</v>
      </c>
      <c r="CK22" s="1704">
        <f t="shared" ca="1" si="35"/>
        <v>0</v>
      </c>
      <c r="CL22" s="1704">
        <f t="shared" ca="1" si="36"/>
        <v>0</v>
      </c>
      <c r="CM22" s="1704">
        <f t="shared" ca="1" si="37"/>
        <v>0</v>
      </c>
      <c r="CN22" s="1704">
        <f t="shared" ca="1" si="38"/>
        <v>0</v>
      </c>
      <c r="CP22" s="1707">
        <f ca="1">AVERAGE(Costs!$CF22:$CN22)</f>
        <v>0</v>
      </c>
      <c r="CQ22" s="1707">
        <f t="shared" ca="1" si="48"/>
        <v>0</v>
      </c>
      <c r="CR22" s="1426" t="str">
        <f t="shared" ca="1" si="49"/>
        <v>ok</v>
      </c>
    </row>
    <row r="23" spans="1:96" x14ac:dyDescent="0.2">
      <c r="A23" s="1685" t="s">
        <v>388</v>
      </c>
      <c r="B23" s="1685" t="s">
        <v>2218</v>
      </c>
      <c r="C23" s="1685" t="s">
        <v>1974</v>
      </c>
      <c r="D23" s="2133"/>
      <c r="E23" s="1691">
        <f t="shared" ca="1" si="54"/>
        <v>0</v>
      </c>
      <c r="F23" s="1691">
        <f t="shared" ca="1" si="54"/>
        <v>121498252878.01523</v>
      </c>
      <c r="G23" s="1691">
        <f t="shared" ca="1" si="54"/>
        <v>121498252878.01534</v>
      </c>
      <c r="H23" s="1691">
        <f t="shared" ca="1" si="54"/>
        <v>121498252878.01668</v>
      </c>
      <c r="I23" s="1691">
        <f t="shared" ca="1" si="54"/>
        <v>121498252878.01389</v>
      </c>
      <c r="J23" s="1691">
        <f t="shared" ca="1" si="54"/>
        <v>121498252878.01665</v>
      </c>
      <c r="K23" s="1691">
        <f t="shared" ca="1" si="54"/>
        <v>121498252878.01523</v>
      </c>
      <c r="L23" s="1691">
        <f t="shared" ca="1" si="54"/>
        <v>121498252878.01535</v>
      </c>
      <c r="M23" s="1691">
        <f t="shared" ca="1" si="54"/>
        <v>121498252878.02243</v>
      </c>
      <c r="N23" s="675"/>
      <c r="O23" s="1691">
        <f t="shared" ca="1" si="112"/>
        <v>0</v>
      </c>
      <c r="P23" s="1691">
        <f t="shared" ca="1" si="112"/>
        <v>0</v>
      </c>
      <c r="Q23" s="1691">
        <f t="shared" ca="1" si="112"/>
        <v>0</v>
      </c>
      <c r="R23" s="1691">
        <f t="shared" ca="1" si="112"/>
        <v>0</v>
      </c>
      <c r="S23" s="1691">
        <f t="shared" ca="1" si="112"/>
        <v>0</v>
      </c>
      <c r="T23" s="1691">
        <f t="shared" ca="1" si="112"/>
        <v>0</v>
      </c>
      <c r="U23" s="1691">
        <f t="shared" ca="1" si="112"/>
        <v>0</v>
      </c>
      <c r="V23" s="1691">
        <f t="shared" ca="1" si="112"/>
        <v>0</v>
      </c>
      <c r="W23" s="1691">
        <f t="shared" ca="1" si="112"/>
        <v>0</v>
      </c>
      <c r="X23" s="675"/>
      <c r="Y23" s="1691">
        <f t="shared" ca="1" si="113"/>
        <v>0</v>
      </c>
      <c r="Z23" s="1691">
        <f t="shared" ca="1" si="113"/>
        <v>0</v>
      </c>
      <c r="AA23" s="1691">
        <f t="shared" ca="1" si="113"/>
        <v>0</v>
      </c>
      <c r="AB23" s="1691">
        <f t="shared" ca="1" si="113"/>
        <v>0</v>
      </c>
      <c r="AC23" s="1691">
        <f t="shared" ca="1" si="113"/>
        <v>0</v>
      </c>
      <c r="AD23" s="1691">
        <f t="shared" ca="1" si="113"/>
        <v>0</v>
      </c>
      <c r="AE23" s="1691">
        <f t="shared" ca="1" si="113"/>
        <v>0</v>
      </c>
      <c r="AF23" s="1691">
        <f t="shared" ca="1" si="113"/>
        <v>0</v>
      </c>
      <c r="AG23" s="1691">
        <f t="shared" ca="1" si="113"/>
        <v>0</v>
      </c>
      <c r="AH23" s="675"/>
      <c r="AI23" s="1691">
        <f t="shared" ca="1" si="3"/>
        <v>0</v>
      </c>
      <c r="AJ23" s="1691">
        <f t="shared" ca="1" si="4"/>
        <v>121498252878.01523</v>
      </c>
      <c r="AK23" s="1691">
        <f t="shared" ca="1" si="5"/>
        <v>121498252878.01534</v>
      </c>
      <c r="AL23" s="1691">
        <f t="shared" ca="1" si="6"/>
        <v>121498252878.01668</v>
      </c>
      <c r="AM23" s="1691">
        <f t="shared" ca="1" si="7"/>
        <v>121498252878.01389</v>
      </c>
      <c r="AN23" s="1691">
        <f t="shared" ca="1" si="8"/>
        <v>121498252878.01665</v>
      </c>
      <c r="AO23" s="1691">
        <f t="shared" ca="1" si="9"/>
        <v>121498252878.01523</v>
      </c>
      <c r="AP23" s="1691">
        <f t="shared" ca="1" si="10"/>
        <v>121498252878.01535</v>
      </c>
      <c r="AQ23" s="1691">
        <f t="shared" ca="1" si="11"/>
        <v>121498252878.02243</v>
      </c>
      <c r="AS23" s="1707">
        <f ca="1">AVERAGE(Costs!$AI23:$AQ23)</f>
        <v>107998447002.68121</v>
      </c>
      <c r="AT23" s="1707">
        <f t="shared" ca="1" si="55"/>
        <v>993966665996.08545</v>
      </c>
      <c r="AU23" s="675"/>
      <c r="AV23" s="1700">
        <f>IFERROR(VLOOKUP($A23,Cost.FinanceCostTable,3,FALSE),'Global assumptions'!$D$35)</f>
        <v>0</v>
      </c>
      <c r="AW23" s="1692">
        <f>IFERROR(VLOOKUP($A23,Cost.FinanceCostTable,4,FALSE),'Global assumptions'!$E$35)</f>
        <v>15</v>
      </c>
      <c r="AX23" s="675"/>
      <c r="AY23" s="1691">
        <f t="shared" ca="1" si="12"/>
        <v>0</v>
      </c>
      <c r="AZ23" s="1691">
        <f t="shared" ca="1" si="13"/>
        <v>40499417626.005081</v>
      </c>
      <c r="BA23" s="1691">
        <f t="shared" ca="1" si="14"/>
        <v>40499417626.005112</v>
      </c>
      <c r="BB23" s="1691">
        <f t="shared" ca="1" si="15"/>
        <v>40499417626.005562</v>
      </c>
      <c r="BC23" s="1691">
        <f t="shared" ca="1" si="16"/>
        <v>40499417626.004631</v>
      </c>
      <c r="BD23" s="1691">
        <f t="shared" ca="1" si="17"/>
        <v>40499417626.005547</v>
      </c>
      <c r="BE23" s="1691">
        <f t="shared" ca="1" si="18"/>
        <v>40499417626.005081</v>
      </c>
      <c r="BF23" s="1691">
        <f t="shared" ca="1" si="19"/>
        <v>40499417626.005119</v>
      </c>
      <c r="BG23" s="1691">
        <f t="shared" ca="1" si="20"/>
        <v>40499417626.007477</v>
      </c>
      <c r="BH23" s="675"/>
      <c r="BI23" s="1691">
        <f t="shared" ca="1" si="39"/>
        <v>0</v>
      </c>
      <c r="BJ23" s="1691">
        <f t="shared" ca="1" si="40"/>
        <v>40499417626.005081</v>
      </c>
      <c r="BK23" s="1691">
        <f t="shared" ca="1" si="41"/>
        <v>80998835252.010193</v>
      </c>
      <c r="BL23" s="1691">
        <f t="shared" ca="1" si="42"/>
        <v>121498252878.01576</v>
      </c>
      <c r="BM23" s="1691">
        <f t="shared" ca="1" si="43"/>
        <v>121498252878.01529</v>
      </c>
      <c r="BN23" s="1691">
        <f t="shared" ca="1" si="44"/>
        <v>121498252878.01575</v>
      </c>
      <c r="BO23" s="1691">
        <f t="shared" ca="1" si="45"/>
        <v>121498252878.01526</v>
      </c>
      <c r="BP23" s="1691">
        <f t="shared" ca="1" si="46"/>
        <v>121498252878.01575</v>
      </c>
      <c r="BQ23" s="1691">
        <f t="shared" ca="1" si="47"/>
        <v>121498252878.01767</v>
      </c>
      <c r="BR23" s="675"/>
      <c r="BS23" s="1702">
        <f t="shared" ca="1" si="21"/>
        <v>0</v>
      </c>
      <c r="BT23" s="1702">
        <f t="shared" ca="1" si="22"/>
        <v>40499417626.005081</v>
      </c>
      <c r="BU23" s="1702">
        <f t="shared" ca="1" si="23"/>
        <v>80998835252.010193</v>
      </c>
      <c r="BV23" s="1702">
        <f t="shared" ca="1" si="24"/>
        <v>121498252878.01576</v>
      </c>
      <c r="BW23" s="1702">
        <f t="shared" ca="1" si="25"/>
        <v>121498252878.01529</v>
      </c>
      <c r="BX23" s="1702">
        <f t="shared" ca="1" si="26"/>
        <v>121498252878.01575</v>
      </c>
      <c r="BY23" s="1702">
        <f t="shared" ca="1" si="27"/>
        <v>121498252878.01526</v>
      </c>
      <c r="BZ23" s="1702">
        <f t="shared" ca="1" si="28"/>
        <v>121498252878.01575</v>
      </c>
      <c r="CA23" s="1702">
        <f t="shared" ca="1" si="29"/>
        <v>121498252878.01767</v>
      </c>
      <c r="CC23" s="1707">
        <f ca="1">AVERAGE(Costs!$BS23:$CA23)</f>
        <v>94498641127.345642</v>
      </c>
      <c r="CD23" s="1707">
        <f t="shared" ca="1" si="56"/>
        <v>664425752783.88892</v>
      </c>
      <c r="CF23" s="1704">
        <f t="shared" ca="1" si="30"/>
        <v>0</v>
      </c>
      <c r="CG23" s="1704">
        <f t="shared" ca="1" si="31"/>
        <v>-80998835252.010147</v>
      </c>
      <c r="CH23" s="1704">
        <f t="shared" ca="1" si="32"/>
        <v>-40499417626.005142</v>
      </c>
      <c r="CI23" s="1704">
        <f t="shared" ca="1" si="33"/>
        <v>-9.1552734375E-4</v>
      </c>
      <c r="CJ23" s="1704">
        <f t="shared" ca="1" si="34"/>
        <v>1.40380859375E-3</v>
      </c>
      <c r="CK23" s="1704">
        <f t="shared" ca="1" si="35"/>
        <v>-9.002685546875E-4</v>
      </c>
      <c r="CL23" s="1704">
        <f t="shared" ca="1" si="36"/>
        <v>0</v>
      </c>
      <c r="CM23" s="1704">
        <f t="shared" ca="1" si="37"/>
        <v>3.96728515625E-4</v>
      </c>
      <c r="CN23" s="1704">
        <f t="shared" ca="1" si="38"/>
        <v>-4.7607421875E-3</v>
      </c>
      <c r="CP23" s="1707">
        <f ca="1">AVERAGE(Costs!$CF23:$CN23)</f>
        <v>-13499805875.335564</v>
      </c>
      <c r="CQ23" s="1707">
        <f t="shared" ca="1" si="48"/>
        <v>-329540913212.19653</v>
      </c>
      <c r="CR23" s="1426" t="str">
        <f t="shared" ca="1" si="49"/>
        <v>ok</v>
      </c>
    </row>
    <row r="24" spans="1:96" x14ac:dyDescent="0.2">
      <c r="A24" s="1683" t="s">
        <v>392</v>
      </c>
      <c r="B24" s="1683" t="s">
        <v>2217</v>
      </c>
      <c r="C24" s="1683" t="s">
        <v>1974</v>
      </c>
      <c r="D24" s="2133"/>
      <c r="E24" s="1689">
        <f t="shared" ca="1" si="54"/>
        <v>0</v>
      </c>
      <c r="F24" s="1689">
        <f t="shared" ca="1" si="54"/>
        <v>17962468513.164967</v>
      </c>
      <c r="G24" s="1689">
        <f t="shared" ca="1" si="54"/>
        <v>28235840043.648083</v>
      </c>
      <c r="H24" s="1689">
        <f t="shared" ca="1" si="54"/>
        <v>40489965614.785233</v>
      </c>
      <c r="I24" s="1689">
        <f t="shared" ca="1" si="54"/>
        <v>52273637470.733627</v>
      </c>
      <c r="J24" s="1689">
        <f t="shared" ca="1" si="54"/>
        <v>73401261758.067383</v>
      </c>
      <c r="K24" s="1689">
        <f t="shared" ca="1" si="54"/>
        <v>85958548580.883957</v>
      </c>
      <c r="L24" s="1689">
        <f t="shared" ca="1" si="54"/>
        <v>105721500199.90414</v>
      </c>
      <c r="M24" s="1689">
        <f t="shared" ca="1" si="54"/>
        <v>128667166641.49248</v>
      </c>
      <c r="N24" s="675"/>
      <c r="O24" s="1689">
        <f t="shared" ca="1" si="112"/>
        <v>0</v>
      </c>
      <c r="P24" s="1689">
        <f t="shared" ca="1" si="112"/>
        <v>0</v>
      </c>
      <c r="Q24" s="1689">
        <f t="shared" ca="1" si="112"/>
        <v>0</v>
      </c>
      <c r="R24" s="1689">
        <f t="shared" ca="1" si="112"/>
        <v>0</v>
      </c>
      <c r="S24" s="1689">
        <f t="shared" ca="1" si="112"/>
        <v>0</v>
      </c>
      <c r="T24" s="1689">
        <f t="shared" ca="1" si="112"/>
        <v>0</v>
      </c>
      <c r="U24" s="1689">
        <f t="shared" ca="1" si="112"/>
        <v>0</v>
      </c>
      <c r="V24" s="1689">
        <f t="shared" ca="1" si="112"/>
        <v>0</v>
      </c>
      <c r="W24" s="1689">
        <f t="shared" ca="1" si="112"/>
        <v>0</v>
      </c>
      <c r="X24" s="675"/>
      <c r="Y24" s="1689">
        <f t="shared" ca="1" si="113"/>
        <v>0</v>
      </c>
      <c r="Z24" s="1689">
        <f t="shared" ca="1" si="113"/>
        <v>0</v>
      </c>
      <c r="AA24" s="1689">
        <f t="shared" ca="1" si="113"/>
        <v>0</v>
      </c>
      <c r="AB24" s="1689">
        <f t="shared" ca="1" si="113"/>
        <v>0</v>
      </c>
      <c r="AC24" s="1689">
        <f t="shared" ca="1" si="113"/>
        <v>0</v>
      </c>
      <c r="AD24" s="1689">
        <f t="shared" ca="1" si="113"/>
        <v>0</v>
      </c>
      <c r="AE24" s="1689">
        <f t="shared" ca="1" si="113"/>
        <v>0</v>
      </c>
      <c r="AF24" s="1689">
        <f t="shared" ca="1" si="113"/>
        <v>0</v>
      </c>
      <c r="AG24" s="1689">
        <f t="shared" ca="1" si="113"/>
        <v>0</v>
      </c>
      <c r="AH24" s="675"/>
      <c r="AI24" s="1689">
        <f t="shared" ca="1" si="3"/>
        <v>0</v>
      </c>
      <c r="AJ24" s="1689">
        <f t="shared" ca="1" si="4"/>
        <v>17962468513.164967</v>
      </c>
      <c r="AK24" s="1689">
        <f t="shared" ca="1" si="5"/>
        <v>28235840043.648083</v>
      </c>
      <c r="AL24" s="1689">
        <f t="shared" ca="1" si="6"/>
        <v>40489965614.785233</v>
      </c>
      <c r="AM24" s="1689">
        <f t="shared" ca="1" si="7"/>
        <v>52273637470.733627</v>
      </c>
      <c r="AN24" s="1689">
        <f t="shared" ca="1" si="8"/>
        <v>73401261758.067383</v>
      </c>
      <c r="AO24" s="1689">
        <f t="shared" ca="1" si="9"/>
        <v>85958548580.883957</v>
      </c>
      <c r="AP24" s="1689">
        <f t="shared" ca="1" si="10"/>
        <v>105721500199.90414</v>
      </c>
      <c r="AQ24" s="1689">
        <f t="shared" ca="1" si="11"/>
        <v>128667166641.49248</v>
      </c>
      <c r="AS24" s="1706">
        <f ca="1">AVERAGE(Costs!$AI24:$AQ24)</f>
        <v>59190043202.519989</v>
      </c>
      <c r="AT24" s="1706">
        <f t="shared" ca="1" si="55"/>
        <v>309582074256.2226</v>
      </c>
      <c r="AU24" s="675"/>
      <c r="AV24" s="1699">
        <f>IFERROR(VLOOKUP($A24,Cost.FinanceCostTable,3,FALSE),'Global assumptions'!$D$35)</f>
        <v>0</v>
      </c>
      <c r="AW24" s="1690">
        <f>IFERROR(VLOOKUP($A24,Cost.FinanceCostTable,4,FALSE),'Global assumptions'!$E$35)</f>
        <v>15</v>
      </c>
      <c r="AX24" s="675"/>
      <c r="AY24" s="1689">
        <f t="shared" ca="1" si="12"/>
        <v>0</v>
      </c>
      <c r="AZ24" s="1689">
        <f t="shared" ca="1" si="13"/>
        <v>5987489504.3883219</v>
      </c>
      <c r="BA24" s="1689">
        <f t="shared" ca="1" si="14"/>
        <v>9411946681.2160282</v>
      </c>
      <c r="BB24" s="1689">
        <f t="shared" ca="1" si="15"/>
        <v>13496655204.92841</v>
      </c>
      <c r="BC24" s="1689">
        <f t="shared" ca="1" si="16"/>
        <v>17424545823.577877</v>
      </c>
      <c r="BD24" s="1689">
        <f t="shared" ca="1" si="17"/>
        <v>24467087252.689129</v>
      </c>
      <c r="BE24" s="1689">
        <f t="shared" ca="1" si="18"/>
        <v>28652849526.961319</v>
      </c>
      <c r="BF24" s="1689">
        <f t="shared" ca="1" si="19"/>
        <v>35240500066.63472</v>
      </c>
      <c r="BG24" s="1689">
        <f t="shared" ca="1" si="20"/>
        <v>42889055547.164162</v>
      </c>
      <c r="BH24" s="675"/>
      <c r="BI24" s="1689">
        <f t="shared" ca="1" si="39"/>
        <v>0</v>
      </c>
      <c r="BJ24" s="1689">
        <f t="shared" ca="1" si="40"/>
        <v>5987489504.3883219</v>
      </c>
      <c r="BK24" s="1689">
        <f t="shared" ca="1" si="41"/>
        <v>15399436185.604351</v>
      </c>
      <c r="BL24" s="1689">
        <f t="shared" ca="1" si="42"/>
        <v>28896091390.532761</v>
      </c>
      <c r="BM24" s="1689">
        <f t="shared" ca="1" si="43"/>
        <v>40333147709.722321</v>
      </c>
      <c r="BN24" s="1689">
        <f t="shared" ca="1" si="44"/>
        <v>55388288281.195419</v>
      </c>
      <c r="BO24" s="1689">
        <f t="shared" ca="1" si="45"/>
        <v>70544482603.228333</v>
      </c>
      <c r="BP24" s="1689">
        <f t="shared" ca="1" si="46"/>
        <v>88360436846.285172</v>
      </c>
      <c r="BQ24" s="1689">
        <f t="shared" ca="1" si="47"/>
        <v>106782405140.76021</v>
      </c>
      <c r="BR24" s="675"/>
      <c r="BS24" s="1701">
        <f t="shared" ca="1" si="21"/>
        <v>0</v>
      </c>
      <c r="BT24" s="1701">
        <f t="shared" ca="1" si="22"/>
        <v>5987489504.3883219</v>
      </c>
      <c r="BU24" s="1701">
        <f t="shared" ca="1" si="23"/>
        <v>15399436185.604351</v>
      </c>
      <c r="BV24" s="1701">
        <f t="shared" ca="1" si="24"/>
        <v>28896091390.532761</v>
      </c>
      <c r="BW24" s="1701">
        <f t="shared" ca="1" si="25"/>
        <v>40333147709.722321</v>
      </c>
      <c r="BX24" s="1701">
        <f t="shared" ca="1" si="26"/>
        <v>55388288281.195419</v>
      </c>
      <c r="BY24" s="1701">
        <f t="shared" ca="1" si="27"/>
        <v>70544482603.228333</v>
      </c>
      <c r="BZ24" s="1701">
        <f t="shared" ca="1" si="28"/>
        <v>88360436846.285172</v>
      </c>
      <c r="CA24" s="1701">
        <f t="shared" ca="1" si="29"/>
        <v>106782405140.76021</v>
      </c>
      <c r="CC24" s="1706">
        <f ca="1">AVERAGE(Costs!$BS24:$CA24)</f>
        <v>45743530851.301872</v>
      </c>
      <c r="CD24" s="1706">
        <f t="shared" ca="1" si="56"/>
        <v>203220954975.77481</v>
      </c>
      <c r="CF24" s="1703">
        <f t="shared" ca="1" si="30"/>
        <v>0</v>
      </c>
      <c r="CG24" s="1703">
        <f t="shared" ca="1" si="31"/>
        <v>-11974979008.776646</v>
      </c>
      <c r="CH24" s="1703">
        <f t="shared" ca="1" si="32"/>
        <v>-12836403858.043732</v>
      </c>
      <c r="CI24" s="1703">
        <f t="shared" ca="1" si="33"/>
        <v>-11593874224.252472</v>
      </c>
      <c r="CJ24" s="1703">
        <f t="shared" ca="1" si="34"/>
        <v>-11940489761.011307</v>
      </c>
      <c r="CK24" s="1703">
        <f t="shared" ca="1" si="35"/>
        <v>-18012973476.871964</v>
      </c>
      <c r="CL24" s="1703">
        <f t="shared" ca="1" si="36"/>
        <v>-15414065977.655624</v>
      </c>
      <c r="CM24" s="1703">
        <f t="shared" ca="1" si="37"/>
        <v>-17361063353.618973</v>
      </c>
      <c r="CN24" s="1703">
        <f t="shared" ca="1" si="38"/>
        <v>-21884761500.732269</v>
      </c>
      <c r="CP24" s="1706">
        <f ca="1">AVERAGE(Costs!$CF24:$CN24)</f>
        <v>-13446512351.218109</v>
      </c>
      <c r="CQ24" s="1706">
        <f t="shared" ca="1" si="48"/>
        <v>-106361119280.44785</v>
      </c>
      <c r="CR24" s="1426" t="str">
        <f t="shared" ca="1" si="49"/>
        <v>ok</v>
      </c>
    </row>
    <row r="25" spans="1:96" s="1575" customFormat="1" x14ac:dyDescent="0.2">
      <c r="A25" s="1685" t="s">
        <v>393</v>
      </c>
      <c r="B25" s="1685" t="s">
        <v>2221</v>
      </c>
      <c r="C25" s="1685" t="s">
        <v>1974</v>
      </c>
      <c r="D25" s="2133"/>
      <c r="E25" s="1691">
        <f t="shared" ca="1" si="54"/>
        <v>0</v>
      </c>
      <c r="F25" s="1691">
        <f t="shared" ca="1" si="54"/>
        <v>155703714398.94138</v>
      </c>
      <c r="G25" s="1691">
        <f t="shared" ca="1" si="54"/>
        <v>189328482574.54489</v>
      </c>
      <c r="H25" s="1691">
        <f t="shared" ca="1" si="54"/>
        <v>265367353952.396</v>
      </c>
      <c r="I25" s="1691">
        <f t="shared" ca="1" si="54"/>
        <v>248351371186.85913</v>
      </c>
      <c r="J25" s="1691">
        <f t="shared" ca="1" si="54"/>
        <v>266999859518.35443</v>
      </c>
      <c r="K25" s="1691">
        <f t="shared" ca="1" si="54"/>
        <v>91039092223.801178</v>
      </c>
      <c r="L25" s="1691">
        <f t="shared" ca="1" si="54"/>
        <v>85446333374.51738</v>
      </c>
      <c r="M25" s="1691">
        <f t="shared" ca="1" si="54"/>
        <v>165411024910.08194</v>
      </c>
      <c r="N25" s="675"/>
      <c r="O25" s="1691">
        <f t="shared" ca="1" si="112"/>
        <v>0</v>
      </c>
      <c r="P25" s="1691">
        <f t="shared" ca="1" si="112"/>
        <v>0</v>
      </c>
      <c r="Q25" s="1691">
        <f t="shared" ca="1" si="112"/>
        <v>0</v>
      </c>
      <c r="R25" s="1691">
        <f t="shared" ca="1" si="112"/>
        <v>0</v>
      </c>
      <c r="S25" s="1691">
        <f t="shared" ca="1" si="112"/>
        <v>0</v>
      </c>
      <c r="T25" s="1691">
        <f t="shared" ca="1" si="112"/>
        <v>0</v>
      </c>
      <c r="U25" s="1691">
        <f t="shared" ca="1" si="112"/>
        <v>0</v>
      </c>
      <c r="V25" s="1691">
        <f t="shared" ca="1" si="112"/>
        <v>0</v>
      </c>
      <c r="W25" s="1691">
        <f t="shared" ca="1" si="112"/>
        <v>0</v>
      </c>
      <c r="X25" s="675"/>
      <c r="Y25" s="1691">
        <f t="shared" ca="1" si="113"/>
        <v>0</v>
      </c>
      <c r="Z25" s="1691">
        <f t="shared" ca="1" si="113"/>
        <v>0</v>
      </c>
      <c r="AA25" s="1691">
        <f t="shared" ca="1" si="113"/>
        <v>0</v>
      </c>
      <c r="AB25" s="1691">
        <f t="shared" ca="1" si="113"/>
        <v>0</v>
      </c>
      <c r="AC25" s="1691">
        <f t="shared" ca="1" si="113"/>
        <v>0</v>
      </c>
      <c r="AD25" s="1691">
        <f t="shared" ca="1" si="113"/>
        <v>0</v>
      </c>
      <c r="AE25" s="1691">
        <f t="shared" ca="1" si="113"/>
        <v>0</v>
      </c>
      <c r="AF25" s="1691">
        <f t="shared" ca="1" si="113"/>
        <v>0</v>
      </c>
      <c r="AG25" s="1691">
        <f t="shared" ca="1" si="113"/>
        <v>0</v>
      </c>
      <c r="AH25" s="675"/>
      <c r="AI25" s="1691">
        <f t="shared" ca="1" si="3"/>
        <v>0</v>
      </c>
      <c r="AJ25" s="1691">
        <f t="shared" ca="1" si="4"/>
        <v>155703714398.94138</v>
      </c>
      <c r="AK25" s="1691">
        <f t="shared" ca="1" si="5"/>
        <v>189328482574.54489</v>
      </c>
      <c r="AL25" s="1691">
        <f t="shared" ca="1" si="6"/>
        <v>265367353952.396</v>
      </c>
      <c r="AM25" s="1691">
        <f t="shared" ca="1" si="7"/>
        <v>248351371186.85913</v>
      </c>
      <c r="AN25" s="1691">
        <f t="shared" ca="1" si="8"/>
        <v>266999859518.35443</v>
      </c>
      <c r="AO25" s="1691">
        <f t="shared" ca="1" si="9"/>
        <v>91039092223.801178</v>
      </c>
      <c r="AP25" s="1691">
        <f t="shared" ca="1" si="10"/>
        <v>85446333374.51738</v>
      </c>
      <c r="AQ25" s="1691">
        <f t="shared" ca="1" si="11"/>
        <v>165411024910.08194</v>
      </c>
      <c r="AR25" s="1673"/>
      <c r="AS25" s="1707">
        <f ca="1">AVERAGE(Costs!$AI25:$AQ25)</f>
        <v>163071914682.16629</v>
      </c>
      <c r="AT25" s="1707">
        <f t="shared" ca="1" si="55"/>
        <v>1556273720401.124</v>
      </c>
      <c r="AU25" s="675"/>
      <c r="AV25" s="1700">
        <f>IFERROR(VLOOKUP($A25,Cost.FinanceCostTable,3,FALSE),'Global assumptions'!$D$35)</f>
        <v>0</v>
      </c>
      <c r="AW25" s="1692">
        <f>IFERROR(VLOOKUP($A25,Cost.FinanceCostTable,4,FALSE),'Global assumptions'!$E$35)</f>
        <v>5</v>
      </c>
      <c r="AX25" s="675"/>
      <c r="AY25" s="1691">
        <f t="shared" ca="1" si="12"/>
        <v>0</v>
      </c>
      <c r="AZ25" s="1691">
        <f t="shared" ca="1" si="13"/>
        <v>155703714398.94138</v>
      </c>
      <c r="BA25" s="1691">
        <f t="shared" ca="1" si="14"/>
        <v>189328482574.54489</v>
      </c>
      <c r="BB25" s="1691">
        <f t="shared" ca="1" si="15"/>
        <v>265367353952.396</v>
      </c>
      <c r="BC25" s="1691">
        <f t="shared" ca="1" si="16"/>
        <v>248351371186.85913</v>
      </c>
      <c r="BD25" s="1691">
        <f t="shared" ca="1" si="17"/>
        <v>266999859518.35443</v>
      </c>
      <c r="BE25" s="1691">
        <f t="shared" ca="1" si="18"/>
        <v>91039092223.801178</v>
      </c>
      <c r="BF25" s="1691">
        <f t="shared" ca="1" si="19"/>
        <v>85446333374.51738</v>
      </c>
      <c r="BG25" s="1691">
        <f t="shared" ca="1" si="20"/>
        <v>165411024910.08194</v>
      </c>
      <c r="BH25" s="675"/>
      <c r="BI25" s="1691">
        <f t="shared" ca="1" si="39"/>
        <v>0</v>
      </c>
      <c r="BJ25" s="1691">
        <f t="shared" ca="1" si="40"/>
        <v>155703714398.94138</v>
      </c>
      <c r="BK25" s="1691">
        <f t="shared" ca="1" si="41"/>
        <v>189328482574.54489</v>
      </c>
      <c r="BL25" s="1691">
        <f t="shared" ca="1" si="42"/>
        <v>265367353952.396</v>
      </c>
      <c r="BM25" s="1691">
        <f t="shared" ca="1" si="43"/>
        <v>248351371186.85913</v>
      </c>
      <c r="BN25" s="1691">
        <f t="shared" ca="1" si="44"/>
        <v>266999859518.35443</v>
      </c>
      <c r="BO25" s="1691">
        <f t="shared" ca="1" si="45"/>
        <v>91039092223.801178</v>
      </c>
      <c r="BP25" s="1691">
        <f t="shared" ca="1" si="46"/>
        <v>85446333374.51738</v>
      </c>
      <c r="BQ25" s="1691">
        <f t="shared" ca="1" si="47"/>
        <v>165411024910.08194</v>
      </c>
      <c r="BR25" s="675"/>
      <c r="BS25" s="1702">
        <f t="shared" ca="1" si="21"/>
        <v>0</v>
      </c>
      <c r="BT25" s="1702">
        <f t="shared" ca="1" si="22"/>
        <v>155703714398.94138</v>
      </c>
      <c r="BU25" s="1702">
        <f t="shared" ca="1" si="23"/>
        <v>189328482574.54489</v>
      </c>
      <c r="BV25" s="1702">
        <f t="shared" ca="1" si="24"/>
        <v>265367353952.396</v>
      </c>
      <c r="BW25" s="1702">
        <f t="shared" ca="1" si="25"/>
        <v>248351371186.85913</v>
      </c>
      <c r="BX25" s="1702">
        <f t="shared" ca="1" si="26"/>
        <v>266999859518.35443</v>
      </c>
      <c r="BY25" s="1702">
        <f t="shared" ca="1" si="27"/>
        <v>91039092223.801178</v>
      </c>
      <c r="BZ25" s="1702">
        <f t="shared" ca="1" si="28"/>
        <v>85446333374.51738</v>
      </c>
      <c r="CA25" s="1702">
        <f t="shared" ca="1" si="29"/>
        <v>165411024910.08194</v>
      </c>
      <c r="CB25" s="1673"/>
      <c r="CC25" s="1707">
        <f ca="1">AVERAGE(Costs!$BS25:$CA25)</f>
        <v>163071914682.16629</v>
      </c>
      <c r="CD25" s="1707">
        <f t="shared" ca="1" si="56"/>
        <v>1556273720401.124</v>
      </c>
      <c r="CE25" s="1352"/>
      <c r="CF25" s="1704">
        <f t="shared" ca="1" si="30"/>
        <v>0</v>
      </c>
      <c r="CG25" s="1704">
        <f t="shared" ca="1" si="31"/>
        <v>0</v>
      </c>
      <c r="CH25" s="1704">
        <f t="shared" ca="1" si="32"/>
        <v>0</v>
      </c>
      <c r="CI25" s="1704">
        <f t="shared" ca="1" si="33"/>
        <v>0</v>
      </c>
      <c r="CJ25" s="1704">
        <f t="shared" ca="1" si="34"/>
        <v>0</v>
      </c>
      <c r="CK25" s="1704">
        <f t="shared" ca="1" si="35"/>
        <v>0</v>
      </c>
      <c r="CL25" s="1704">
        <f t="shared" ca="1" si="36"/>
        <v>0</v>
      </c>
      <c r="CM25" s="1704">
        <f t="shared" ca="1" si="37"/>
        <v>0</v>
      </c>
      <c r="CN25" s="1704">
        <f t="shared" ca="1" si="38"/>
        <v>0</v>
      </c>
      <c r="CO25" s="1673"/>
      <c r="CP25" s="1707">
        <f ca="1">AVERAGE(Costs!$CF25:$CN25)</f>
        <v>0</v>
      </c>
      <c r="CQ25" s="1707">
        <f t="shared" ca="1" si="48"/>
        <v>0</v>
      </c>
      <c r="CR25" s="1426" t="str">
        <f t="shared" ca="1" si="49"/>
        <v>ok</v>
      </c>
    </row>
    <row r="26" spans="1:96" s="1575" customFormat="1" x14ac:dyDescent="0.2">
      <c r="A26" s="1683" t="s">
        <v>360</v>
      </c>
      <c r="B26" s="1683" t="s">
        <v>176</v>
      </c>
      <c r="C26" s="1683" t="s">
        <v>33</v>
      </c>
      <c r="D26" s="2133"/>
      <c r="E26" s="1689">
        <f t="shared" ca="1" si="54"/>
        <v>76590000</v>
      </c>
      <c r="F26" s="1689">
        <f t="shared" ca="1" si="54"/>
        <v>83120107.859796286</v>
      </c>
      <c r="G26" s="1689">
        <f t="shared" ca="1" si="54"/>
        <v>90379388.523961619</v>
      </c>
      <c r="H26" s="1689">
        <f t="shared" ca="1" si="54"/>
        <v>98457928.261645809</v>
      </c>
      <c r="I26" s="1689">
        <f t="shared" ca="1" si="54"/>
        <v>104775754.78662921</v>
      </c>
      <c r="J26" s="1689">
        <f t="shared" ca="1" si="54"/>
        <v>111599227.90866104</v>
      </c>
      <c r="K26" s="1689">
        <f t="shared" ca="1" si="54"/>
        <v>118972674.64457786</v>
      </c>
      <c r="L26" s="1689">
        <f t="shared" ca="1" si="54"/>
        <v>126944444.74304739</v>
      </c>
      <c r="M26" s="1689">
        <f t="shared" ca="1" si="54"/>
        <v>135567280.96585682</v>
      </c>
      <c r="N26" s="675"/>
      <c r="O26" s="1689">
        <f t="shared" ca="1" si="112"/>
        <v>8074998000.000001</v>
      </c>
      <c r="P26" s="1689">
        <f t="shared" ca="1" si="112"/>
        <v>8453802524.8587542</v>
      </c>
      <c r="Q26" s="1689">
        <f t="shared" ca="1" si="112"/>
        <v>8860660453.5556984</v>
      </c>
      <c r="R26" s="1689">
        <f t="shared" ca="1" si="112"/>
        <v>9298513004.9925327</v>
      </c>
      <c r="S26" s="1689">
        <f t="shared" ca="1" si="112"/>
        <v>9636453164.6518288</v>
      </c>
      <c r="T26" s="1689">
        <f t="shared" ca="1" si="112"/>
        <v>9993030054.9012032</v>
      </c>
      <c r="U26" s="1689">
        <f t="shared" ca="1" si="112"/>
        <v>10369645614.507328</v>
      </c>
      <c r="V26" s="1689">
        <f t="shared" ca="1" si="112"/>
        <v>10767822679.74585</v>
      </c>
      <c r="W26" s="1689">
        <f t="shared" ca="1" si="112"/>
        <v>11189215923.482515</v>
      </c>
      <c r="X26" s="675"/>
      <c r="Y26" s="1689">
        <f t="shared" ca="1" si="113"/>
        <v>0</v>
      </c>
      <c r="Z26" s="1689">
        <f t="shared" ca="1" si="113"/>
        <v>0</v>
      </c>
      <c r="AA26" s="1689">
        <f t="shared" ca="1" si="113"/>
        <v>0</v>
      </c>
      <c r="AB26" s="1689">
        <f t="shared" ca="1" si="113"/>
        <v>0</v>
      </c>
      <c r="AC26" s="1689">
        <f t="shared" ca="1" si="113"/>
        <v>0</v>
      </c>
      <c r="AD26" s="1689">
        <f t="shared" ca="1" si="113"/>
        <v>0</v>
      </c>
      <c r="AE26" s="1689">
        <f t="shared" ca="1" si="113"/>
        <v>0</v>
      </c>
      <c r="AF26" s="1689">
        <f t="shared" ca="1" si="113"/>
        <v>0</v>
      </c>
      <c r="AG26" s="1689">
        <f t="shared" ca="1" si="113"/>
        <v>0</v>
      </c>
      <c r="AH26" s="675"/>
      <c r="AI26" s="1689">
        <f t="shared" ca="1" si="3"/>
        <v>8151588000.000001</v>
      </c>
      <c r="AJ26" s="1689">
        <f t="shared" ca="1" si="4"/>
        <v>8536922632.7185507</v>
      </c>
      <c r="AK26" s="1689">
        <f t="shared" ca="1" si="5"/>
        <v>8951039842.0796604</v>
      </c>
      <c r="AL26" s="1689">
        <f t="shared" ca="1" si="6"/>
        <v>9396970933.254179</v>
      </c>
      <c r="AM26" s="1689">
        <f t="shared" ca="1" si="7"/>
        <v>9741228919.4384575</v>
      </c>
      <c r="AN26" s="1689">
        <f t="shared" ca="1" si="8"/>
        <v>10104629282.809864</v>
      </c>
      <c r="AO26" s="1689">
        <f t="shared" ca="1" si="9"/>
        <v>10488618289.151905</v>
      </c>
      <c r="AP26" s="1689">
        <f t="shared" ca="1" si="10"/>
        <v>10894767124.488897</v>
      </c>
      <c r="AQ26" s="1689">
        <f t="shared" ca="1" si="11"/>
        <v>11324783204.448372</v>
      </c>
      <c r="AR26" s="1673"/>
      <c r="AS26" s="1706">
        <f ca="1">AVERAGE(Costs!$AI26:$AQ26)</f>
        <v>9732283136.4877625</v>
      </c>
      <c r="AT26" s="1706">
        <f t="shared" ca="1" si="55"/>
        <v>83174138921.261917</v>
      </c>
      <c r="AU26" s="675"/>
      <c r="AV26" s="1699">
        <f>IFERROR(VLOOKUP($A26,Cost.FinanceCostTable,3,FALSE),'Global assumptions'!$D$35)</f>
        <v>0</v>
      </c>
      <c r="AW26" s="1690">
        <f>IFERROR(VLOOKUP($A26,Cost.FinanceCostTable,4,FALSE),'Global assumptions'!$E$35)</f>
        <v>5</v>
      </c>
      <c r="AX26" s="675"/>
      <c r="AY26" s="1689">
        <f t="shared" ca="1" si="12"/>
        <v>45954000</v>
      </c>
      <c r="AZ26" s="1689">
        <f t="shared" ca="1" si="13"/>
        <v>83120107.859796286</v>
      </c>
      <c r="BA26" s="1689">
        <f t="shared" ca="1" si="14"/>
        <v>90379388.523961619</v>
      </c>
      <c r="BB26" s="1689">
        <f t="shared" ca="1" si="15"/>
        <v>98457928.261645809</v>
      </c>
      <c r="BC26" s="1689">
        <f t="shared" ca="1" si="16"/>
        <v>104775754.78662921</v>
      </c>
      <c r="BD26" s="1689">
        <f t="shared" ca="1" si="17"/>
        <v>111599227.90866104</v>
      </c>
      <c r="BE26" s="1689">
        <f t="shared" ca="1" si="18"/>
        <v>118972674.64457786</v>
      </c>
      <c r="BF26" s="1689">
        <f t="shared" ca="1" si="19"/>
        <v>126944444.74304739</v>
      </c>
      <c r="BG26" s="1689">
        <f t="shared" ca="1" si="20"/>
        <v>135567280.96585682</v>
      </c>
      <c r="BH26" s="675"/>
      <c r="BI26" s="1689">
        <f t="shared" ca="1" si="39"/>
        <v>45954000</v>
      </c>
      <c r="BJ26" s="1689">
        <f t="shared" ca="1" si="40"/>
        <v>83120107.859796286</v>
      </c>
      <c r="BK26" s="1689">
        <f t="shared" ca="1" si="41"/>
        <v>90379388.523961619</v>
      </c>
      <c r="BL26" s="1689">
        <f t="shared" ca="1" si="42"/>
        <v>98457928.261645809</v>
      </c>
      <c r="BM26" s="1689">
        <f t="shared" ca="1" si="43"/>
        <v>104775754.78662921</v>
      </c>
      <c r="BN26" s="1689">
        <f t="shared" ca="1" si="44"/>
        <v>111599227.90866104</v>
      </c>
      <c r="BO26" s="1689">
        <f t="shared" ca="1" si="45"/>
        <v>118972674.64457786</v>
      </c>
      <c r="BP26" s="1689">
        <f t="shared" ca="1" si="46"/>
        <v>126944444.74304739</v>
      </c>
      <c r="BQ26" s="1689">
        <f t="shared" ca="1" si="47"/>
        <v>135567280.96585682</v>
      </c>
      <c r="BR26" s="675"/>
      <c r="BS26" s="1701">
        <f t="shared" ca="1" si="21"/>
        <v>8120952000.000001</v>
      </c>
      <c r="BT26" s="1701">
        <f t="shared" ca="1" si="22"/>
        <v>8536922632.7185507</v>
      </c>
      <c r="BU26" s="1701">
        <f t="shared" ca="1" si="23"/>
        <v>8951039842.0796604</v>
      </c>
      <c r="BV26" s="1701">
        <f t="shared" ca="1" si="24"/>
        <v>9396970933.254179</v>
      </c>
      <c r="BW26" s="1701">
        <f t="shared" ca="1" si="25"/>
        <v>9741228919.4384575</v>
      </c>
      <c r="BX26" s="1701">
        <f t="shared" ca="1" si="26"/>
        <v>10104629282.809864</v>
      </c>
      <c r="BY26" s="1701">
        <f t="shared" ca="1" si="27"/>
        <v>10488618289.151905</v>
      </c>
      <c r="BZ26" s="1701">
        <f t="shared" ca="1" si="28"/>
        <v>10894767124.488897</v>
      </c>
      <c r="CA26" s="1701">
        <f t="shared" ca="1" si="29"/>
        <v>11324783204.448372</v>
      </c>
      <c r="CB26" s="1673"/>
      <c r="CC26" s="1706">
        <f ca="1">AVERAGE(Costs!$BS26:$CA26)</f>
        <v>9728879136.4877625</v>
      </c>
      <c r="CD26" s="1706">
        <f t="shared" ca="1" si="56"/>
        <v>83143502921.261917</v>
      </c>
      <c r="CF26" s="1703">
        <f t="shared" ca="1" si="30"/>
        <v>-30636000</v>
      </c>
      <c r="CG26" s="1703">
        <f t="shared" ca="1" si="31"/>
        <v>0</v>
      </c>
      <c r="CH26" s="1703">
        <f t="shared" ca="1" si="32"/>
        <v>0</v>
      </c>
      <c r="CI26" s="1703">
        <f t="shared" ca="1" si="33"/>
        <v>0</v>
      </c>
      <c r="CJ26" s="1703">
        <f t="shared" ca="1" si="34"/>
        <v>0</v>
      </c>
      <c r="CK26" s="1703">
        <f t="shared" ca="1" si="35"/>
        <v>0</v>
      </c>
      <c r="CL26" s="1703">
        <f t="shared" ca="1" si="36"/>
        <v>0</v>
      </c>
      <c r="CM26" s="1703">
        <f t="shared" ca="1" si="37"/>
        <v>0</v>
      </c>
      <c r="CN26" s="1703">
        <f t="shared" ca="1" si="38"/>
        <v>0</v>
      </c>
      <c r="CO26" s="1673"/>
      <c r="CP26" s="1706">
        <f ca="1">AVERAGE(Costs!$CF26:$CN26)</f>
        <v>-3404000</v>
      </c>
      <c r="CQ26" s="1706">
        <f t="shared" ca="1" si="48"/>
        <v>-30636000</v>
      </c>
      <c r="CR26" s="1426" t="str">
        <f t="shared" ca="1" si="49"/>
        <v>ok</v>
      </c>
    </row>
    <row r="27" spans="1:96" s="1575" customFormat="1" x14ac:dyDescent="0.2">
      <c r="A27" s="1685" t="s">
        <v>2592</v>
      </c>
      <c r="B27" s="1685" t="s">
        <v>1726</v>
      </c>
      <c r="C27" s="1685" t="s">
        <v>125</v>
      </c>
      <c r="D27" s="2133"/>
      <c r="E27" s="1691">
        <f t="shared" ca="1" si="54"/>
        <v>0</v>
      </c>
      <c r="F27" s="1691">
        <f t="shared" ca="1" si="54"/>
        <v>35423393765223.797</v>
      </c>
      <c r="G27" s="1691">
        <f t="shared" ca="1" si="54"/>
        <v>13690238641037.475</v>
      </c>
      <c r="H27" s="1691">
        <f t="shared" ca="1" si="54"/>
        <v>14500324931448.785</v>
      </c>
      <c r="I27" s="1691">
        <f t="shared" ca="1" si="54"/>
        <v>15449017461017.213</v>
      </c>
      <c r="J27" s="1691">
        <f t="shared" ca="1" si="54"/>
        <v>16583401209684.486</v>
      </c>
      <c r="K27" s="1691">
        <f t="shared" ca="1" si="54"/>
        <v>16807281328278.311</v>
      </c>
      <c r="L27" s="1691">
        <f t="shared" ca="1" si="54"/>
        <v>17925380570826.738</v>
      </c>
      <c r="M27" s="1691">
        <f t="shared" ca="1" si="54"/>
        <v>19286015500352.801</v>
      </c>
      <c r="N27" s="675"/>
      <c r="O27" s="1691">
        <f t="shared" ca="1" si="112"/>
        <v>65692822718465.781</v>
      </c>
      <c r="P27" s="1691">
        <f t="shared" ca="1" si="112"/>
        <v>573131191651013.87</v>
      </c>
      <c r="Q27" s="1691">
        <f t="shared" ca="1" si="112"/>
        <v>571480350718139.12</v>
      </c>
      <c r="R27" s="1691">
        <f t="shared" ca="1" si="112"/>
        <v>582191211880434.62</v>
      </c>
      <c r="S27" s="1691">
        <f t="shared" ca="1" si="112"/>
        <v>603217996759286.87</v>
      </c>
      <c r="T27" s="1691">
        <f t="shared" ca="1" si="112"/>
        <v>633911279979330.12</v>
      </c>
      <c r="U27" s="1691">
        <f t="shared" ca="1" si="112"/>
        <v>658221286343269</v>
      </c>
      <c r="V27" s="1691">
        <f t="shared" ca="1" si="112"/>
        <v>691302917348246.25</v>
      </c>
      <c r="W27" s="1691">
        <f t="shared" ca="1" si="112"/>
        <v>733898620852979.87</v>
      </c>
      <c r="X27" s="675"/>
      <c r="Y27" s="1691">
        <f t="shared" ca="1" si="113"/>
        <v>0</v>
      </c>
      <c r="Z27" s="1691">
        <f t="shared" ca="1" si="113"/>
        <v>0</v>
      </c>
      <c r="AA27" s="1691">
        <f t="shared" ca="1" si="113"/>
        <v>0</v>
      </c>
      <c r="AB27" s="1691">
        <f t="shared" ca="1" si="113"/>
        <v>0</v>
      </c>
      <c r="AC27" s="1691">
        <f t="shared" ca="1" si="113"/>
        <v>0</v>
      </c>
      <c r="AD27" s="1691">
        <f t="shared" ca="1" si="113"/>
        <v>0</v>
      </c>
      <c r="AE27" s="1691">
        <f t="shared" ca="1" si="113"/>
        <v>0</v>
      </c>
      <c r="AF27" s="1691">
        <f t="shared" ca="1" si="113"/>
        <v>0</v>
      </c>
      <c r="AG27" s="1691">
        <f t="shared" ca="1" si="113"/>
        <v>0</v>
      </c>
      <c r="AH27" s="675"/>
      <c r="AI27" s="1691">
        <f t="shared" ca="1" si="3"/>
        <v>65692822718465.781</v>
      </c>
      <c r="AJ27" s="1691">
        <f t="shared" ca="1" si="4"/>
        <v>608554585416237.62</v>
      </c>
      <c r="AK27" s="1691">
        <f t="shared" ca="1" si="5"/>
        <v>585170589359176.62</v>
      </c>
      <c r="AL27" s="1691">
        <f t="shared" ca="1" si="6"/>
        <v>596691536811883.37</v>
      </c>
      <c r="AM27" s="1691">
        <f t="shared" ca="1" si="7"/>
        <v>618667014220304.12</v>
      </c>
      <c r="AN27" s="1691">
        <f t="shared" ca="1" si="8"/>
        <v>650494681189014.62</v>
      </c>
      <c r="AO27" s="1691">
        <f t="shared" ca="1" si="9"/>
        <v>675028567671547.25</v>
      </c>
      <c r="AP27" s="1691">
        <f t="shared" ca="1" si="10"/>
        <v>709228297919073</v>
      </c>
      <c r="AQ27" s="1691">
        <f t="shared" ca="1" si="11"/>
        <v>753184636353332.62</v>
      </c>
      <c r="AR27" s="1673"/>
      <c r="AS27" s="1707">
        <f ca="1">AVERAGE(Costs!$AI27:$AQ27)</f>
        <v>584745859073226.12</v>
      </c>
      <c r="AT27" s="1707">
        <f t="shared" ca="1" si="55"/>
        <v>5086586884971215</v>
      </c>
      <c r="AU27" s="675"/>
      <c r="AV27" s="1700">
        <f>IFERROR(VLOOKUP($A27,Cost.FinanceCostTable,3,FALSE),'Global assumptions'!$D$35)</f>
        <v>0</v>
      </c>
      <c r="AW27" s="1692">
        <f>IFERROR(VLOOKUP($A27,Cost.FinanceCostTable,4,FALSE),'Global assumptions'!$E$35)</f>
        <v>5</v>
      </c>
      <c r="AX27" s="675"/>
      <c r="AY27" s="1691">
        <f t="shared" ca="1" si="12"/>
        <v>0</v>
      </c>
      <c r="AZ27" s="1691">
        <f t="shared" ca="1" si="13"/>
        <v>35423393765223.797</v>
      </c>
      <c r="BA27" s="1691">
        <f t="shared" ca="1" si="14"/>
        <v>13690238641037.475</v>
      </c>
      <c r="BB27" s="1691">
        <f t="shared" ca="1" si="15"/>
        <v>14500324931448.785</v>
      </c>
      <c r="BC27" s="1691">
        <f t="shared" ca="1" si="16"/>
        <v>15449017461017.213</v>
      </c>
      <c r="BD27" s="1691">
        <f t="shared" ca="1" si="17"/>
        <v>16583401209684.488</v>
      </c>
      <c r="BE27" s="1691">
        <f t="shared" ca="1" si="18"/>
        <v>16807281328278.309</v>
      </c>
      <c r="BF27" s="1691">
        <f t="shared" ca="1" si="19"/>
        <v>17925380570826.738</v>
      </c>
      <c r="BG27" s="1691">
        <f t="shared" ca="1" si="20"/>
        <v>19286015500352.801</v>
      </c>
      <c r="BH27" s="675"/>
      <c r="BI27" s="1691">
        <f t="shared" ca="1" si="39"/>
        <v>0</v>
      </c>
      <c r="BJ27" s="1691">
        <f t="shared" ca="1" si="40"/>
        <v>35423393765223.797</v>
      </c>
      <c r="BK27" s="1691">
        <f t="shared" ca="1" si="41"/>
        <v>13690238641037.475</v>
      </c>
      <c r="BL27" s="1691">
        <f t="shared" ca="1" si="42"/>
        <v>14500324931448.785</v>
      </c>
      <c r="BM27" s="1691">
        <f t="shared" ca="1" si="43"/>
        <v>15449017461017.213</v>
      </c>
      <c r="BN27" s="1691">
        <f t="shared" ca="1" si="44"/>
        <v>16583401209684.488</v>
      </c>
      <c r="BO27" s="1691">
        <f t="shared" ca="1" si="45"/>
        <v>16807281328278.309</v>
      </c>
      <c r="BP27" s="1691">
        <f t="shared" ca="1" si="46"/>
        <v>17925380570826.738</v>
      </c>
      <c r="BQ27" s="1691">
        <f t="shared" ca="1" si="47"/>
        <v>19286015500352.801</v>
      </c>
      <c r="BR27" s="675"/>
      <c r="BS27" s="1702">
        <f t="shared" ca="1" si="21"/>
        <v>65692822718465.781</v>
      </c>
      <c r="BT27" s="1702">
        <f t="shared" ca="1" si="22"/>
        <v>608554585416237.62</v>
      </c>
      <c r="BU27" s="1702">
        <f t="shared" ca="1" si="23"/>
        <v>585170589359176.62</v>
      </c>
      <c r="BV27" s="1702">
        <f t="shared" ca="1" si="24"/>
        <v>596691536811883.37</v>
      </c>
      <c r="BW27" s="1702">
        <f t="shared" ca="1" si="25"/>
        <v>618667014220304.12</v>
      </c>
      <c r="BX27" s="1702">
        <f t="shared" ca="1" si="26"/>
        <v>650494681189014.62</v>
      </c>
      <c r="BY27" s="1702">
        <f t="shared" ca="1" si="27"/>
        <v>675028567671547.25</v>
      </c>
      <c r="BZ27" s="1702">
        <f t="shared" ca="1" si="28"/>
        <v>709228297919073</v>
      </c>
      <c r="CA27" s="1702">
        <f t="shared" ca="1" si="29"/>
        <v>753184636353332.62</v>
      </c>
      <c r="CB27" s="1673"/>
      <c r="CC27" s="1707">
        <f ca="1">AVERAGE(Costs!$BS27:$CA27)</f>
        <v>584745859073226.12</v>
      </c>
      <c r="CD27" s="1707">
        <f t="shared" ca="1" si="56"/>
        <v>5086586884971215</v>
      </c>
      <c r="CF27" s="1704">
        <f t="shared" ca="1" si="30"/>
        <v>0</v>
      </c>
      <c r="CG27" s="1704">
        <f t="shared" ca="1" si="31"/>
        <v>0</v>
      </c>
      <c r="CH27" s="1704">
        <f t="shared" ca="1" si="32"/>
        <v>0</v>
      </c>
      <c r="CI27" s="1704">
        <f t="shared" ca="1" si="33"/>
        <v>0</v>
      </c>
      <c r="CJ27" s="1704">
        <f t="shared" ca="1" si="34"/>
        <v>0</v>
      </c>
      <c r="CK27" s="1704">
        <f t="shared" ca="1" si="35"/>
        <v>0</v>
      </c>
      <c r="CL27" s="1704">
        <f t="shared" ca="1" si="36"/>
        <v>0</v>
      </c>
      <c r="CM27" s="1704">
        <f t="shared" ca="1" si="37"/>
        <v>0</v>
      </c>
      <c r="CN27" s="1704">
        <f t="shared" ca="1" si="38"/>
        <v>0</v>
      </c>
      <c r="CO27" s="1673"/>
      <c r="CP27" s="1707">
        <f ca="1">AVERAGE(Costs!$CF27:$CN27)</f>
        <v>0</v>
      </c>
      <c r="CQ27" s="1707">
        <f t="shared" ca="1" si="48"/>
        <v>0</v>
      </c>
      <c r="CR27" s="1426" t="str">
        <f t="shared" ca="1" si="49"/>
        <v>ok</v>
      </c>
    </row>
    <row r="28" spans="1:96" s="1575" customFormat="1" x14ac:dyDescent="0.2">
      <c r="A28" s="1683" t="s">
        <v>1721</v>
      </c>
      <c r="B28" s="1683" t="s">
        <v>1727</v>
      </c>
      <c r="C28" s="1683" t="s">
        <v>125</v>
      </c>
      <c r="D28" s="2133"/>
      <c r="E28" s="1689">
        <f t="shared" ca="1" si="54"/>
        <v>0</v>
      </c>
      <c r="F28" s="1689">
        <f t="shared" ca="1" si="54"/>
        <v>6166430611933.5576</v>
      </c>
      <c r="G28" s="1689">
        <f t="shared" ca="1" si="54"/>
        <v>8909188741866.2148</v>
      </c>
      <c r="H28" s="1689">
        <f t="shared" ca="1" si="54"/>
        <v>12269761789551.855</v>
      </c>
      <c r="I28" s="1689">
        <f t="shared" ca="1" si="54"/>
        <v>16341120803601.951</v>
      </c>
      <c r="J28" s="1689">
        <f t="shared" ca="1" si="54"/>
        <v>21252117833171.156</v>
      </c>
      <c r="K28" s="1689">
        <f t="shared" ca="1" si="54"/>
        <v>25851794643007.086</v>
      </c>
      <c r="L28" s="1689">
        <f t="shared" ca="1" si="54"/>
        <v>31781424193985.32</v>
      </c>
      <c r="M28" s="1689">
        <f t="shared" ca="1" si="54"/>
        <v>38682401911653.187</v>
      </c>
      <c r="N28" s="675"/>
      <c r="O28" s="1689">
        <f t="shared" ref="O28:W34" ca="1" si="114">IFERROR(INDEX(INDIRECT($A28&amp;".Costs["&amp;O$2&amp;"]"), MATCH($O$1, INDIRECT($A28&amp;".Costs[Vector]"), 0)),0)</f>
        <v>0</v>
      </c>
      <c r="P28" s="1689">
        <f t="shared" ca="1" si="114"/>
        <v>44780253862999.453</v>
      </c>
      <c r="Q28" s="1689">
        <f t="shared" ca="1" si="114"/>
        <v>94132515634719.766</v>
      </c>
      <c r="R28" s="1689">
        <f t="shared" ca="1" si="114"/>
        <v>151154162175164.59</v>
      </c>
      <c r="S28" s="1689">
        <f t="shared" ca="1" si="114"/>
        <v>218629039849988.25</v>
      </c>
      <c r="T28" s="1689">
        <f t="shared" ca="1" si="114"/>
        <v>299415522662716.62</v>
      </c>
      <c r="U28" s="1689">
        <f t="shared" ca="1" si="114"/>
        <v>387079374354120.31</v>
      </c>
      <c r="V28" s="1689">
        <f t="shared" ca="1" si="114"/>
        <v>489421035084535.06</v>
      </c>
      <c r="W28" s="1689">
        <f t="shared" ca="1" si="114"/>
        <v>609081939859374.37</v>
      </c>
      <c r="X28" s="675"/>
      <c r="Y28" s="1689">
        <f t="shared" ref="Y28:AG34" ca="1" si="115">IFERROR(INDEX(INDIRECT($A28&amp;".Costs["&amp;Y$2&amp;"]"), MATCH($Y$1, INDIRECT($A28&amp;".Costs[Vector]"), 0)),0)</f>
        <v>0</v>
      </c>
      <c r="Z28" s="1689">
        <f t="shared" ca="1" si="115"/>
        <v>0</v>
      </c>
      <c r="AA28" s="1689">
        <f t="shared" ca="1" si="115"/>
        <v>0</v>
      </c>
      <c r="AB28" s="1689">
        <f t="shared" ca="1" si="115"/>
        <v>0</v>
      </c>
      <c r="AC28" s="1689">
        <f t="shared" ca="1" si="115"/>
        <v>0</v>
      </c>
      <c r="AD28" s="1689">
        <f t="shared" ca="1" si="115"/>
        <v>0</v>
      </c>
      <c r="AE28" s="1689">
        <f t="shared" ca="1" si="115"/>
        <v>0</v>
      </c>
      <c r="AF28" s="1689">
        <f t="shared" ca="1" si="115"/>
        <v>0</v>
      </c>
      <c r="AG28" s="1689">
        <f t="shared" ca="1" si="115"/>
        <v>0</v>
      </c>
      <c r="AH28" s="675"/>
      <c r="AI28" s="1689">
        <f t="shared" ca="1" si="3"/>
        <v>0</v>
      </c>
      <c r="AJ28" s="1689">
        <f t="shared" ca="1" si="4"/>
        <v>50946684474933.008</v>
      </c>
      <c r="AK28" s="1689">
        <f t="shared" ca="1" si="5"/>
        <v>103041704376585.98</v>
      </c>
      <c r="AL28" s="1689">
        <f t="shared" ca="1" si="6"/>
        <v>163423923964716.44</v>
      </c>
      <c r="AM28" s="1689">
        <f t="shared" ca="1" si="7"/>
        <v>234970160653590.19</v>
      </c>
      <c r="AN28" s="1689">
        <f t="shared" ca="1" si="8"/>
        <v>320667640495887.75</v>
      </c>
      <c r="AO28" s="1689">
        <f t="shared" ca="1" si="9"/>
        <v>412931168997127.37</v>
      </c>
      <c r="AP28" s="1689">
        <f t="shared" ca="1" si="10"/>
        <v>521202459278520.37</v>
      </c>
      <c r="AQ28" s="1689">
        <f t="shared" ca="1" si="11"/>
        <v>647764341771027.5</v>
      </c>
      <c r="AR28" s="1673"/>
      <c r="AS28" s="1706">
        <f ca="1">AVERAGE(Costs!$AI28:$AQ28)</f>
        <v>272772009334709.84</v>
      </c>
      <c r="AT28" s="1706">
        <f t="shared" ca="1" si="55"/>
        <v>1260295522890852.2</v>
      </c>
      <c r="AU28" s="675"/>
      <c r="AV28" s="1699">
        <f>IFERROR(VLOOKUP($A28,Cost.FinanceCostTable,3,FALSE),'Global assumptions'!$D$35)</f>
        <v>0</v>
      </c>
      <c r="AW28" s="1690">
        <f>IFERROR(VLOOKUP($A28,Cost.FinanceCostTable,4,FALSE),'Global assumptions'!$E$35)</f>
        <v>15</v>
      </c>
      <c r="AX28" s="675"/>
      <c r="AY28" s="1689">
        <f t="shared" ca="1" si="12"/>
        <v>0</v>
      </c>
      <c r="AZ28" s="1689">
        <f t="shared" ca="1" si="13"/>
        <v>2055476870644.5193</v>
      </c>
      <c r="BA28" s="1689">
        <f t="shared" ca="1" si="14"/>
        <v>2969729580622.0718</v>
      </c>
      <c r="BB28" s="1689">
        <f t="shared" ca="1" si="15"/>
        <v>4089920596517.2856</v>
      </c>
      <c r="BC28" s="1689">
        <f t="shared" ca="1" si="16"/>
        <v>5447040267867.3164</v>
      </c>
      <c r="BD28" s="1689">
        <f t="shared" ca="1" si="17"/>
        <v>7084039277723.7187</v>
      </c>
      <c r="BE28" s="1689">
        <f t="shared" ca="1" si="18"/>
        <v>8617264881002.3623</v>
      </c>
      <c r="BF28" s="1689">
        <f t="shared" ca="1" si="19"/>
        <v>10593808064661.773</v>
      </c>
      <c r="BG28" s="1689">
        <f t="shared" ca="1" si="20"/>
        <v>12894133970551.062</v>
      </c>
      <c r="BH28" s="675"/>
      <c r="BI28" s="1689">
        <f t="shared" ca="1" si="39"/>
        <v>0</v>
      </c>
      <c r="BJ28" s="1689">
        <f t="shared" ca="1" si="40"/>
        <v>2055476870644.5193</v>
      </c>
      <c r="BK28" s="1689">
        <f t="shared" ca="1" si="41"/>
        <v>5025206451266.5908</v>
      </c>
      <c r="BL28" s="1689">
        <f t="shared" ca="1" si="42"/>
        <v>9115127047783.877</v>
      </c>
      <c r="BM28" s="1689">
        <f t="shared" ca="1" si="43"/>
        <v>12506690445006.674</v>
      </c>
      <c r="BN28" s="1689">
        <f t="shared" ca="1" si="44"/>
        <v>16621000142108.32</v>
      </c>
      <c r="BO28" s="1689">
        <f t="shared" ca="1" si="45"/>
        <v>21148344426593.398</v>
      </c>
      <c r="BP28" s="1689">
        <f t="shared" ca="1" si="46"/>
        <v>26295112223387.855</v>
      </c>
      <c r="BQ28" s="1689">
        <f t="shared" ca="1" si="47"/>
        <v>32105206916215.199</v>
      </c>
      <c r="BR28" s="675"/>
      <c r="BS28" s="1701">
        <f t="shared" ca="1" si="21"/>
        <v>0</v>
      </c>
      <c r="BT28" s="1701">
        <f t="shared" ca="1" si="22"/>
        <v>46835730733643.969</v>
      </c>
      <c r="BU28" s="1701">
        <f t="shared" ca="1" si="23"/>
        <v>99157722085986.359</v>
      </c>
      <c r="BV28" s="1701">
        <f t="shared" ca="1" si="24"/>
        <v>160269289222948.47</v>
      </c>
      <c r="BW28" s="1701">
        <f t="shared" ca="1" si="25"/>
        <v>231135730294994.94</v>
      </c>
      <c r="BX28" s="1701">
        <f t="shared" ca="1" si="26"/>
        <v>316036522804824.94</v>
      </c>
      <c r="BY28" s="1701">
        <f t="shared" ca="1" si="27"/>
        <v>408227718780713.69</v>
      </c>
      <c r="BZ28" s="1701">
        <f t="shared" ca="1" si="28"/>
        <v>515716147307922.94</v>
      </c>
      <c r="CA28" s="1701">
        <f t="shared" ca="1" si="29"/>
        <v>641187146775589.62</v>
      </c>
      <c r="CB28" s="1673"/>
      <c r="CC28" s="1706">
        <f ca="1">AVERAGE(Costs!$BS28:$CA28)</f>
        <v>268729556445180.56</v>
      </c>
      <c r="CD28" s="1706">
        <f t="shared" ca="1" si="56"/>
        <v>1227176283592729.5</v>
      </c>
      <c r="CF28" s="1703">
        <f t="shared" ca="1" si="30"/>
        <v>0</v>
      </c>
      <c r="CG28" s="1703">
        <f t="shared" ca="1" si="31"/>
        <v>-4110953741289.0381</v>
      </c>
      <c r="CH28" s="1703">
        <f t="shared" ca="1" si="32"/>
        <v>-3883982290599.624</v>
      </c>
      <c r="CI28" s="1703">
        <f t="shared" ca="1" si="33"/>
        <v>-3154634741767.9785</v>
      </c>
      <c r="CJ28" s="1703">
        <f t="shared" ca="1" si="34"/>
        <v>-3834430358595.2773</v>
      </c>
      <c r="CK28" s="1703">
        <f t="shared" ca="1" si="35"/>
        <v>-4631117691062.8359</v>
      </c>
      <c r="CL28" s="1703">
        <f t="shared" ca="1" si="36"/>
        <v>-4703450216413.6875</v>
      </c>
      <c r="CM28" s="1703">
        <f t="shared" ca="1" si="37"/>
        <v>-5486311970597.4648</v>
      </c>
      <c r="CN28" s="1703">
        <f t="shared" ca="1" si="38"/>
        <v>-6577194995437.9883</v>
      </c>
      <c r="CO28" s="1673"/>
      <c r="CP28" s="1706">
        <f ca="1">AVERAGE(Costs!$CF28:$CN28)</f>
        <v>-4042452889529.3213</v>
      </c>
      <c r="CQ28" s="1706">
        <f t="shared" ca="1" si="48"/>
        <v>-33119239298122.75</v>
      </c>
      <c r="CR28" s="1426" t="str">
        <f t="shared" ca="1" si="49"/>
        <v>ok</v>
      </c>
    </row>
    <row r="29" spans="1:96" s="1575" customFormat="1" x14ac:dyDescent="0.2">
      <c r="A29" s="1685" t="s">
        <v>1722</v>
      </c>
      <c r="B29" s="1685" t="s">
        <v>1728</v>
      </c>
      <c r="C29" s="1685" t="s">
        <v>125</v>
      </c>
      <c r="D29" s="2133"/>
      <c r="E29" s="1691">
        <f t="shared" ca="1" si="54"/>
        <v>0</v>
      </c>
      <c r="F29" s="1691">
        <f t="shared" ca="1" si="54"/>
        <v>1445736119560.1792</v>
      </c>
      <c r="G29" s="1691">
        <f t="shared" ca="1" si="54"/>
        <v>2100566678129.0005</v>
      </c>
      <c r="H29" s="1691">
        <f t="shared" ca="1" si="54"/>
        <v>2895108591101.7012</v>
      </c>
      <c r="I29" s="1691">
        <f t="shared" ca="1" si="54"/>
        <v>3849588793112.0732</v>
      </c>
      <c r="J29" s="1691">
        <f t="shared" ca="1" si="54"/>
        <v>4991836684033.8848</v>
      </c>
      <c r="K29" s="1691">
        <f t="shared" ca="1" si="54"/>
        <v>6051340239535.7217</v>
      </c>
      <c r="L29" s="1691">
        <f t="shared" ca="1" si="54"/>
        <v>7407423731764.3857</v>
      </c>
      <c r="M29" s="1691">
        <f t="shared" ca="1" si="54"/>
        <v>8974071272980.5156</v>
      </c>
      <c r="N29" s="675"/>
      <c r="O29" s="1691">
        <f t="shared" ca="1" si="114"/>
        <v>0</v>
      </c>
      <c r="P29" s="1691">
        <f t="shared" ca="1" si="114"/>
        <v>9568007875154.8359</v>
      </c>
      <c r="Q29" s="1691">
        <f t="shared" ca="1" si="114"/>
        <v>20110536967450.656</v>
      </c>
      <c r="R29" s="1691">
        <f t="shared" ca="1" si="114"/>
        <v>32296375396529.488</v>
      </c>
      <c r="S29" s="1691">
        <f t="shared" ca="1" si="114"/>
        <v>46726610620730.359</v>
      </c>
      <c r="T29" s="1691">
        <f t="shared" ca="1" si="114"/>
        <v>64018571861908.383</v>
      </c>
      <c r="U29" s="1691">
        <f t="shared" ca="1" si="114"/>
        <v>82802588614721.25</v>
      </c>
      <c r="V29" s="1691">
        <f t="shared" ca="1" si="114"/>
        <v>104752402877834.28</v>
      </c>
      <c r="W29" s="1691">
        <f t="shared" ca="1" si="114"/>
        <v>130440050455213.41</v>
      </c>
      <c r="X29" s="675"/>
      <c r="Y29" s="1691">
        <f t="shared" ca="1" si="115"/>
        <v>0</v>
      </c>
      <c r="Z29" s="1691">
        <f t="shared" ca="1" si="115"/>
        <v>0</v>
      </c>
      <c r="AA29" s="1691">
        <f t="shared" ca="1" si="115"/>
        <v>0</v>
      </c>
      <c r="AB29" s="1691">
        <f t="shared" ca="1" si="115"/>
        <v>0</v>
      </c>
      <c r="AC29" s="1691">
        <f t="shared" ca="1" si="115"/>
        <v>0</v>
      </c>
      <c r="AD29" s="1691">
        <f t="shared" ca="1" si="115"/>
        <v>0</v>
      </c>
      <c r="AE29" s="1691">
        <f t="shared" ca="1" si="115"/>
        <v>0</v>
      </c>
      <c r="AF29" s="1691">
        <f t="shared" ca="1" si="115"/>
        <v>0</v>
      </c>
      <c r="AG29" s="1691">
        <f t="shared" ca="1" si="115"/>
        <v>0</v>
      </c>
      <c r="AH29" s="675"/>
      <c r="AI29" s="1691">
        <f t="shared" ca="1" si="3"/>
        <v>0</v>
      </c>
      <c r="AJ29" s="1691">
        <f t="shared" ca="1" si="4"/>
        <v>11013743994715.016</v>
      </c>
      <c r="AK29" s="1691">
        <f t="shared" ca="1" si="5"/>
        <v>22211103645579.656</v>
      </c>
      <c r="AL29" s="1691">
        <f t="shared" ca="1" si="6"/>
        <v>35191483987631.187</v>
      </c>
      <c r="AM29" s="1691">
        <f t="shared" ca="1" si="7"/>
        <v>50576199413842.43</v>
      </c>
      <c r="AN29" s="1691">
        <f t="shared" ca="1" si="8"/>
        <v>69010408545942.266</v>
      </c>
      <c r="AO29" s="1691">
        <f t="shared" ca="1" si="9"/>
        <v>88853928854256.969</v>
      </c>
      <c r="AP29" s="1691">
        <f t="shared" ca="1" si="10"/>
        <v>112159826609598.67</v>
      </c>
      <c r="AQ29" s="1691">
        <f t="shared" ca="1" si="11"/>
        <v>139414121728193.92</v>
      </c>
      <c r="AR29" s="1673"/>
      <c r="AS29" s="1707">
        <f ca="1">AVERAGE(Costs!$AI29:$AQ29)</f>
        <v>58714535197751.125</v>
      </c>
      <c r="AT29" s="1707">
        <f t="shared" ca="1" si="55"/>
        <v>271477553432616.56</v>
      </c>
      <c r="AU29" s="675"/>
      <c r="AV29" s="1700">
        <f>IFERROR(VLOOKUP($A29,Cost.FinanceCostTable,3,FALSE),'Global assumptions'!$D$35)</f>
        <v>0</v>
      </c>
      <c r="AW29" s="1692">
        <f>IFERROR(VLOOKUP($A29,Cost.FinanceCostTable,4,FALSE),'Global assumptions'!$E$35)</f>
        <v>15</v>
      </c>
      <c r="AX29" s="675"/>
      <c r="AY29" s="1691">
        <f t="shared" ca="1" si="12"/>
        <v>0</v>
      </c>
      <c r="AZ29" s="1691">
        <f t="shared" ca="1" si="13"/>
        <v>481912039853.39313</v>
      </c>
      <c r="BA29" s="1691">
        <f t="shared" ca="1" si="14"/>
        <v>700188892709.66675</v>
      </c>
      <c r="BB29" s="1691">
        <f t="shared" ca="1" si="15"/>
        <v>965036197033.90039</v>
      </c>
      <c r="BC29" s="1691">
        <f t="shared" ca="1" si="16"/>
        <v>1283196264370.6912</v>
      </c>
      <c r="BD29" s="1691">
        <f t="shared" ca="1" si="17"/>
        <v>1663945561344.6282</v>
      </c>
      <c r="BE29" s="1691">
        <f t="shared" ca="1" si="18"/>
        <v>2017113413178.574</v>
      </c>
      <c r="BF29" s="1691">
        <f t="shared" ca="1" si="19"/>
        <v>2469141243921.4619</v>
      </c>
      <c r="BG29" s="1691">
        <f t="shared" ca="1" si="20"/>
        <v>2991357090993.5054</v>
      </c>
      <c r="BH29" s="675"/>
      <c r="BI29" s="1691">
        <f t="shared" ca="1" si="39"/>
        <v>0</v>
      </c>
      <c r="BJ29" s="1691">
        <f t="shared" ca="1" si="40"/>
        <v>481912039853.39313</v>
      </c>
      <c r="BK29" s="1691">
        <f t="shared" ca="1" si="41"/>
        <v>1182100932563.0598</v>
      </c>
      <c r="BL29" s="1691">
        <f t="shared" ca="1" si="42"/>
        <v>2147137129596.9602</v>
      </c>
      <c r="BM29" s="1691">
        <f t="shared" ca="1" si="43"/>
        <v>2948421354114.2583</v>
      </c>
      <c r="BN29" s="1691">
        <f t="shared" ca="1" si="44"/>
        <v>3912178022749.2197</v>
      </c>
      <c r="BO29" s="1691">
        <f t="shared" ca="1" si="45"/>
        <v>4964255238893.8936</v>
      </c>
      <c r="BP29" s="1691">
        <f t="shared" ca="1" si="46"/>
        <v>6150200218444.6641</v>
      </c>
      <c r="BQ29" s="1691">
        <f t="shared" ca="1" si="47"/>
        <v>7477611748093.541</v>
      </c>
      <c r="BR29" s="675"/>
      <c r="BS29" s="1702">
        <f t="shared" ca="1" si="21"/>
        <v>0</v>
      </c>
      <c r="BT29" s="1702">
        <f t="shared" ca="1" si="22"/>
        <v>10049919915008.229</v>
      </c>
      <c r="BU29" s="1702">
        <f t="shared" ca="1" si="23"/>
        <v>21292637900013.715</v>
      </c>
      <c r="BV29" s="1702">
        <f t="shared" ca="1" si="24"/>
        <v>34443512526126.449</v>
      </c>
      <c r="BW29" s="1702">
        <f t="shared" ca="1" si="25"/>
        <v>49675031974844.617</v>
      </c>
      <c r="BX29" s="1702">
        <f t="shared" ca="1" si="26"/>
        <v>67930749884657.602</v>
      </c>
      <c r="BY29" s="1702">
        <f t="shared" ca="1" si="27"/>
        <v>87766843853615.141</v>
      </c>
      <c r="BZ29" s="1702">
        <f t="shared" ca="1" si="28"/>
        <v>110902603096278.94</v>
      </c>
      <c r="CA29" s="1702">
        <f t="shared" ca="1" si="29"/>
        <v>137917662203306.95</v>
      </c>
      <c r="CB29" s="1673"/>
      <c r="CC29" s="1707">
        <f ca="1">AVERAGE(Costs!$BS29:$CA29)</f>
        <v>57775440150427.961</v>
      </c>
      <c r="CD29" s="1707">
        <f t="shared" ca="1" si="56"/>
        <v>263710103425887.78</v>
      </c>
      <c r="CF29" s="1704">
        <f t="shared" ca="1" si="30"/>
        <v>0</v>
      </c>
      <c r="CG29" s="1704">
        <f t="shared" ca="1" si="31"/>
        <v>-963824079706.78613</v>
      </c>
      <c r="CH29" s="1704">
        <f t="shared" ca="1" si="32"/>
        <v>-918465745565.94067</v>
      </c>
      <c r="CI29" s="1704">
        <f t="shared" ca="1" si="33"/>
        <v>-747971461504.74097</v>
      </c>
      <c r="CJ29" s="1704">
        <f t="shared" ca="1" si="34"/>
        <v>-901167438997.81494</v>
      </c>
      <c r="CK29" s="1704">
        <f t="shared" ca="1" si="35"/>
        <v>-1079658661284.665</v>
      </c>
      <c r="CL29" s="1704">
        <f t="shared" ca="1" si="36"/>
        <v>-1087085000641.8281</v>
      </c>
      <c r="CM29" s="1704">
        <f t="shared" ca="1" si="37"/>
        <v>-1257223513319.7217</v>
      </c>
      <c r="CN29" s="1704">
        <f t="shared" ca="1" si="38"/>
        <v>-1496459524886.9746</v>
      </c>
      <c r="CO29" s="1673"/>
      <c r="CP29" s="1707">
        <f ca="1">AVERAGE(Costs!$CF29:$CN29)</f>
        <v>-939095047323.16357</v>
      </c>
      <c r="CQ29" s="1707">
        <f t="shared" ca="1" si="48"/>
        <v>-7767450006728.8047</v>
      </c>
      <c r="CR29" s="1426" t="str">
        <f t="shared" ca="1" si="49"/>
        <v>ok</v>
      </c>
    </row>
    <row r="30" spans="1:96" s="1575" customFormat="1" x14ac:dyDescent="0.2">
      <c r="A30" s="1683" t="s">
        <v>2593</v>
      </c>
      <c r="B30" s="1685" t="s">
        <v>1726</v>
      </c>
      <c r="C30" s="1683" t="s">
        <v>125</v>
      </c>
      <c r="D30" s="2133"/>
      <c r="E30" s="1689">
        <f t="shared" ca="1" si="54"/>
        <v>0</v>
      </c>
      <c r="F30" s="1689">
        <f t="shared" ca="1" si="54"/>
        <v>1515180093217.9602</v>
      </c>
      <c r="G30" s="1689">
        <f t="shared" ca="1" si="54"/>
        <v>2040866022428.2236</v>
      </c>
      <c r="H30" s="1689">
        <f t="shared" ca="1" si="54"/>
        <v>2636744759122.3604</v>
      </c>
      <c r="I30" s="1689">
        <f t="shared" ca="1" si="54"/>
        <v>3298255828474.959</v>
      </c>
      <c r="J30" s="1689">
        <f t="shared" ca="1" si="54"/>
        <v>4024071992254.6548</v>
      </c>
      <c r="K30" s="1689">
        <f t="shared" ca="1" si="54"/>
        <v>4565570735050.4717</v>
      </c>
      <c r="L30" s="1689">
        <f t="shared" ca="1" si="54"/>
        <v>5230965899474.2725</v>
      </c>
      <c r="M30" s="1689">
        <f t="shared" ca="1" si="54"/>
        <v>5907323704084.1826</v>
      </c>
      <c r="N30" s="675"/>
      <c r="O30" s="1689">
        <f t="shared" ca="1" si="114"/>
        <v>0</v>
      </c>
      <c r="P30" s="1689">
        <f t="shared" ca="1" si="114"/>
        <v>84063306204570.797</v>
      </c>
      <c r="Q30" s="1689">
        <f t="shared" ca="1" si="114"/>
        <v>168525510442969.66</v>
      </c>
      <c r="R30" s="1689">
        <f t="shared" ca="1" si="114"/>
        <v>257358482996620.56</v>
      </c>
      <c r="S30" s="1689">
        <f t="shared" ca="1" si="114"/>
        <v>352975737871226.5</v>
      </c>
      <c r="T30" s="1689">
        <f t="shared" ca="1" si="114"/>
        <v>456946601644971.56</v>
      </c>
      <c r="U30" s="1689">
        <f t="shared" ca="1" si="114"/>
        <v>556491498931874.37</v>
      </c>
      <c r="V30" s="1689">
        <f t="shared" ca="1" si="114"/>
        <v>660335552488551.75</v>
      </c>
      <c r="W30" s="1689">
        <f t="shared" ca="1" si="114"/>
        <v>767962238799878.62</v>
      </c>
      <c r="X30" s="675"/>
      <c r="Y30" s="1689">
        <f t="shared" ca="1" si="115"/>
        <v>0</v>
      </c>
      <c r="Z30" s="1689">
        <f t="shared" ca="1" si="115"/>
        <v>0</v>
      </c>
      <c r="AA30" s="1689">
        <f t="shared" ca="1" si="115"/>
        <v>0</v>
      </c>
      <c r="AB30" s="1689">
        <f t="shared" ca="1" si="115"/>
        <v>0</v>
      </c>
      <c r="AC30" s="1689">
        <f t="shared" ca="1" si="115"/>
        <v>0</v>
      </c>
      <c r="AD30" s="1689">
        <f t="shared" ca="1" si="115"/>
        <v>0</v>
      </c>
      <c r="AE30" s="1689">
        <f t="shared" ca="1" si="115"/>
        <v>0</v>
      </c>
      <c r="AF30" s="1689">
        <f t="shared" ca="1" si="115"/>
        <v>0</v>
      </c>
      <c r="AG30" s="1689">
        <f t="shared" ca="1" si="115"/>
        <v>0</v>
      </c>
      <c r="AH30" s="675"/>
      <c r="AI30" s="1689">
        <f t="shared" ref="AI30:AI42" ca="1" si="116">SUM(E30,O30,Y30)</f>
        <v>0</v>
      </c>
      <c r="AJ30" s="1689">
        <f t="shared" ref="AJ30:AJ42" ca="1" si="117">SUM(F30,P30,Z30)</f>
        <v>85578486297788.75</v>
      </c>
      <c r="AK30" s="1689">
        <f t="shared" ref="AK30:AK42" ca="1" si="118">SUM(G30,Q30,AA30)</f>
        <v>170566376465397.87</v>
      </c>
      <c r="AL30" s="1689">
        <f t="shared" ref="AL30:AL42" ca="1" si="119">SUM(H30,R30,AB30)</f>
        <v>259995227755742.94</v>
      </c>
      <c r="AM30" s="1689">
        <f t="shared" ref="AM30:AM42" ca="1" si="120">SUM(I30,S30,AC30)</f>
        <v>356273993699701.44</v>
      </c>
      <c r="AN30" s="1689">
        <f t="shared" ref="AN30:AN42" ca="1" si="121">SUM(J30,T30,AD30)</f>
        <v>460970673637226.19</v>
      </c>
      <c r="AO30" s="1689">
        <f t="shared" ref="AO30:AO42" ca="1" si="122">SUM(K30,U30,AE30)</f>
        <v>561057069666924.87</v>
      </c>
      <c r="AP30" s="1689">
        <f t="shared" ref="AP30:AP42" ca="1" si="123">SUM(L30,V30,AF30)</f>
        <v>665566518388026</v>
      </c>
      <c r="AQ30" s="1689">
        <f t="shared" ref="AQ30:AQ42" ca="1" si="124">SUM(M30,W30,AG30)</f>
        <v>773869562503962.75</v>
      </c>
      <c r="AR30" s="1673"/>
      <c r="AS30" s="1706">
        <f ca="1">AVERAGE(Costs!$AI30:$AQ30)</f>
        <v>370430878712752.31</v>
      </c>
      <c r="AT30" s="1706">
        <f t="shared" ca="1" si="55"/>
        <v>1873491310327960.2</v>
      </c>
      <c r="AU30" s="675"/>
      <c r="AV30" s="1699">
        <f>IFERROR(VLOOKUP($A30,Cost.FinanceCostTable,3,FALSE),'Global assumptions'!$D$35)</f>
        <v>0</v>
      </c>
      <c r="AW30" s="1690">
        <f>IFERROR(VLOOKUP($A30,Cost.FinanceCostTable,4,FALSE),'Global assumptions'!$E$35)</f>
        <v>5</v>
      </c>
      <c r="AX30" s="675"/>
      <c r="AY30" s="1689">
        <f t="shared" ref="AY30:AY42" ca="1" si="125">-PMT($AV30,$AW30,E30*3)</f>
        <v>0</v>
      </c>
      <c r="AZ30" s="1689">
        <f t="shared" ref="AZ30:AZ42" ca="1" si="126">-PMT($AV30,$AW30,F30*5)</f>
        <v>1515180093217.9602</v>
      </c>
      <c r="BA30" s="1689">
        <f t="shared" ref="BA30:BA42" ca="1" si="127">-PMT($AV30,$AW30,G30*5)</f>
        <v>2040866022428.2234</v>
      </c>
      <c r="BB30" s="1689">
        <f t="shared" ref="BB30:BB42" ca="1" si="128">-PMT($AV30,$AW30,H30*5)</f>
        <v>2636744759122.3604</v>
      </c>
      <c r="BC30" s="1689">
        <f t="shared" ref="BC30:BC42" ca="1" si="129">-PMT($AV30,$AW30,I30*5)</f>
        <v>3298255828474.959</v>
      </c>
      <c r="BD30" s="1689">
        <f t="shared" ref="BD30:BD42" ca="1" si="130">-PMT($AV30,$AW30,J30*5)</f>
        <v>4024071992254.6548</v>
      </c>
      <c r="BE30" s="1689">
        <f t="shared" ref="BE30:BE42" ca="1" si="131">-PMT($AV30,$AW30,K30*5)</f>
        <v>4565570735050.4717</v>
      </c>
      <c r="BF30" s="1689">
        <f t="shared" ref="BF30:BF42" ca="1" si="132">-PMT($AV30,$AW30,L30*5)</f>
        <v>5230965899474.2725</v>
      </c>
      <c r="BG30" s="1689">
        <f t="shared" ref="BG30:BG42" ca="1" si="133">-PMT($AV30,$AW30,M30*5)</f>
        <v>5907323704084.1826</v>
      </c>
      <c r="BH30" s="675"/>
      <c r="BI30" s="1689">
        <f t="shared" ca="1" si="39"/>
        <v>0</v>
      </c>
      <c r="BJ30" s="1689">
        <f t="shared" ca="1" si="40"/>
        <v>1515180093217.9602</v>
      </c>
      <c r="BK30" s="1689">
        <f t="shared" ca="1" si="41"/>
        <v>2040866022428.2234</v>
      </c>
      <c r="BL30" s="1689">
        <f t="shared" ca="1" si="42"/>
        <v>2636744759122.3604</v>
      </c>
      <c r="BM30" s="1689">
        <f t="shared" ca="1" si="43"/>
        <v>3298255828474.959</v>
      </c>
      <c r="BN30" s="1689">
        <f t="shared" ca="1" si="44"/>
        <v>4024071992254.6548</v>
      </c>
      <c r="BO30" s="1689">
        <f t="shared" ca="1" si="45"/>
        <v>4565570735050.4717</v>
      </c>
      <c r="BP30" s="1689">
        <f t="shared" ca="1" si="46"/>
        <v>5230965899474.2725</v>
      </c>
      <c r="BQ30" s="1689">
        <f t="shared" ca="1" si="47"/>
        <v>5907323704084.1826</v>
      </c>
      <c r="BR30" s="675"/>
      <c r="BS30" s="1701">
        <f t="shared" ref="BS30:BS42" ca="1" si="134">O30+Y30+BI30</f>
        <v>0</v>
      </c>
      <c r="BT30" s="1701">
        <f t="shared" ref="BT30:BT42" ca="1" si="135">P30+Z30+BJ30</f>
        <v>85578486297788.75</v>
      </c>
      <c r="BU30" s="1701">
        <f t="shared" ref="BU30:BU42" ca="1" si="136">Q30+AA30+BK30</f>
        <v>170566376465397.87</v>
      </c>
      <c r="BV30" s="1701">
        <f t="shared" ref="BV30:BV42" ca="1" si="137">R30+AB30+BL30</f>
        <v>259995227755742.94</v>
      </c>
      <c r="BW30" s="1701">
        <f t="shared" ref="BW30:BW42" ca="1" si="138">S30+AC30+BM30</f>
        <v>356273993699701.44</v>
      </c>
      <c r="BX30" s="1701">
        <f t="shared" ref="BX30:BX42" ca="1" si="139">T30+AD30+BN30</f>
        <v>460970673637226.19</v>
      </c>
      <c r="BY30" s="1701">
        <f t="shared" ref="BY30:BY42" ca="1" si="140">U30+AE30+BO30</f>
        <v>561057069666924.87</v>
      </c>
      <c r="BZ30" s="1701">
        <f t="shared" ref="BZ30:BZ42" ca="1" si="141">V30+AF30+BP30</f>
        <v>665566518388026</v>
      </c>
      <c r="CA30" s="1701">
        <f t="shared" ref="CA30:CA42" ca="1" si="142">W30+AG30+BQ30</f>
        <v>773869562503962.75</v>
      </c>
      <c r="CB30" s="1673"/>
      <c r="CC30" s="1706">
        <f ca="1">AVERAGE(Costs!$BS30:$CA30)</f>
        <v>370430878712752.31</v>
      </c>
      <c r="CD30" s="1706">
        <f t="shared" ca="1" si="56"/>
        <v>1873491310327960.2</v>
      </c>
      <c r="CF30" s="1703">
        <f t="shared" ref="CF30:CF42" ca="1" si="143">BI30-E30</f>
        <v>0</v>
      </c>
      <c r="CG30" s="1703">
        <f t="shared" ref="CG30:CG42" ca="1" si="144">BJ30-F30</f>
        <v>0</v>
      </c>
      <c r="CH30" s="1703">
        <f t="shared" ref="CH30:CH42" ca="1" si="145">BK30-G30</f>
        <v>0</v>
      </c>
      <c r="CI30" s="1703">
        <f t="shared" ref="CI30:CI42" ca="1" si="146">BL30-H30</f>
        <v>0</v>
      </c>
      <c r="CJ30" s="1703">
        <f t="shared" ref="CJ30:CJ42" ca="1" si="147">BM30-I30</f>
        <v>0</v>
      </c>
      <c r="CK30" s="1703">
        <f t="shared" ref="CK30:CK42" ca="1" si="148">BN30-J30</f>
        <v>0</v>
      </c>
      <c r="CL30" s="1703">
        <f t="shared" ref="CL30:CL42" ca="1" si="149">BO30-K30</f>
        <v>0</v>
      </c>
      <c r="CM30" s="1703">
        <f t="shared" ref="CM30:CM42" ca="1" si="150">BP30-L30</f>
        <v>0</v>
      </c>
      <c r="CN30" s="1703">
        <f t="shared" ref="CN30:CN42" ca="1" si="151">BQ30-M30</f>
        <v>0</v>
      </c>
      <c r="CO30" s="1673"/>
      <c r="CP30" s="1706">
        <f ca="1">AVERAGE(Costs!$CF30:$CN30)</f>
        <v>0</v>
      </c>
      <c r="CQ30" s="1706">
        <f t="shared" ca="1" si="48"/>
        <v>0</v>
      </c>
      <c r="CR30" s="1426" t="str">
        <f t="shared" ca="1" si="49"/>
        <v>ok</v>
      </c>
    </row>
    <row r="31" spans="1:96" x14ac:dyDescent="0.2">
      <c r="A31" s="1685" t="s">
        <v>1775</v>
      </c>
      <c r="B31" s="1685" t="s">
        <v>1730</v>
      </c>
      <c r="C31" s="1685" t="s">
        <v>125</v>
      </c>
      <c r="D31" s="2133"/>
      <c r="E31" s="1691">
        <f t="shared" ca="1" si="54"/>
        <v>0</v>
      </c>
      <c r="F31" s="1691">
        <f t="shared" ca="1" si="54"/>
        <v>5283932209.5220194</v>
      </c>
      <c r="G31" s="1691">
        <f t="shared" ca="1" si="54"/>
        <v>7098264966.6416845</v>
      </c>
      <c r="H31" s="1691">
        <f t="shared" ca="1" si="54"/>
        <v>9298190607.0739536</v>
      </c>
      <c r="I31" s="1691">
        <f t="shared" ca="1" si="54"/>
        <v>11953719161.323376</v>
      </c>
      <c r="J31" s="1691">
        <f t="shared" ca="1" si="54"/>
        <v>15146601982.311485</v>
      </c>
      <c r="K31" s="1691">
        <f t="shared" ca="1" si="54"/>
        <v>18379183496.169933</v>
      </c>
      <c r="L31" s="1691">
        <f t="shared" ca="1" si="54"/>
        <v>22252858687.719124</v>
      </c>
      <c r="M31" s="1691">
        <f t="shared" ca="1" si="54"/>
        <v>26733786060.975189</v>
      </c>
      <c r="N31" s="675"/>
      <c r="O31" s="1691">
        <f t="shared" ca="1" si="114"/>
        <v>7803451375.0367184</v>
      </c>
      <c r="P31" s="1691">
        <f t="shared" ca="1" si="114"/>
        <v>11036111218.261477</v>
      </c>
      <c r="Q31" s="1691">
        <f t="shared" ca="1" si="114"/>
        <v>14983616244.858467</v>
      </c>
      <c r="R31" s="1691">
        <f t="shared" ca="1" si="114"/>
        <v>19778017557.93996</v>
      </c>
      <c r="S31" s="1691">
        <f t="shared" ca="1" si="114"/>
        <v>25573727428.28371</v>
      </c>
      <c r="T31" s="1691">
        <f t="shared" ca="1" si="114"/>
        <v>32551115902.409725</v>
      </c>
      <c r="U31" s="1691">
        <f t="shared" ca="1" si="114"/>
        <v>39932291322.876472</v>
      </c>
      <c r="V31" s="1691">
        <f t="shared" ca="1" si="114"/>
        <v>48497323905.115623</v>
      </c>
      <c r="W31" s="1691">
        <f t="shared" ca="1" si="114"/>
        <v>58412688360.229774</v>
      </c>
      <c r="X31" s="675"/>
      <c r="Y31" s="1691">
        <f t="shared" ca="1" si="115"/>
        <v>0</v>
      </c>
      <c r="Z31" s="1691">
        <f t="shared" ca="1" si="115"/>
        <v>0</v>
      </c>
      <c r="AA31" s="1691">
        <f t="shared" ca="1" si="115"/>
        <v>0</v>
      </c>
      <c r="AB31" s="1691">
        <f t="shared" ca="1" si="115"/>
        <v>0</v>
      </c>
      <c r="AC31" s="1691">
        <f t="shared" ca="1" si="115"/>
        <v>0</v>
      </c>
      <c r="AD31" s="1691">
        <f t="shared" ca="1" si="115"/>
        <v>0</v>
      </c>
      <c r="AE31" s="1691">
        <f t="shared" ca="1" si="115"/>
        <v>0</v>
      </c>
      <c r="AF31" s="1691">
        <f t="shared" ca="1" si="115"/>
        <v>0</v>
      </c>
      <c r="AG31" s="1691">
        <f t="shared" ca="1" si="115"/>
        <v>0</v>
      </c>
      <c r="AH31" s="675"/>
      <c r="AI31" s="1691">
        <f t="shared" ca="1" si="116"/>
        <v>7803451375.0367184</v>
      </c>
      <c r="AJ31" s="1691">
        <f t="shared" ca="1" si="117"/>
        <v>16320043427.783497</v>
      </c>
      <c r="AK31" s="1691">
        <f t="shared" ca="1" si="118"/>
        <v>22081881211.500153</v>
      </c>
      <c r="AL31" s="1691">
        <f t="shared" ca="1" si="119"/>
        <v>29076208165.013916</v>
      </c>
      <c r="AM31" s="1691">
        <f t="shared" ca="1" si="120"/>
        <v>37527446589.607086</v>
      </c>
      <c r="AN31" s="1691">
        <f t="shared" ca="1" si="121"/>
        <v>47697717884.721207</v>
      </c>
      <c r="AO31" s="1691">
        <f t="shared" ca="1" si="122"/>
        <v>58311474819.046402</v>
      </c>
      <c r="AP31" s="1691">
        <f t="shared" ca="1" si="123"/>
        <v>70750182592.834747</v>
      </c>
      <c r="AQ31" s="1691">
        <f t="shared" ca="1" si="124"/>
        <v>85146474421.204956</v>
      </c>
      <c r="AS31" s="1707">
        <f ca="1">AVERAGE(Costs!$AI31:$AQ31)</f>
        <v>41634986720.749847</v>
      </c>
      <c r="AT31" s="1707">
        <f t="shared" ca="1" si="55"/>
        <v>238094899695.84619</v>
      </c>
      <c r="AU31" s="675"/>
      <c r="AV31" s="1700">
        <f>IFERROR(VLOOKUP($A31,Cost.FinanceCostTable,3,FALSE),'Global assumptions'!$D$35)</f>
        <v>0</v>
      </c>
      <c r="AW31" s="1692">
        <f>IFERROR(VLOOKUP($A31,Cost.FinanceCostTable,4,FALSE),'Global assumptions'!$E$35)</f>
        <v>5</v>
      </c>
      <c r="AX31" s="675"/>
      <c r="AY31" s="1691">
        <f t="shared" ca="1" si="125"/>
        <v>0</v>
      </c>
      <c r="AZ31" s="1691">
        <f t="shared" ca="1" si="126"/>
        <v>5283932209.5220194</v>
      </c>
      <c r="BA31" s="1691">
        <f t="shared" ca="1" si="127"/>
        <v>7098264966.6416836</v>
      </c>
      <c r="BB31" s="1691">
        <f t="shared" ca="1" si="128"/>
        <v>9298190607.0739536</v>
      </c>
      <c r="BC31" s="1691">
        <f t="shared" ca="1" si="129"/>
        <v>11953719161.323376</v>
      </c>
      <c r="BD31" s="1691">
        <f t="shared" ca="1" si="130"/>
        <v>15146601982.311487</v>
      </c>
      <c r="BE31" s="1691">
        <f t="shared" ca="1" si="131"/>
        <v>18379183496.169933</v>
      </c>
      <c r="BF31" s="1691">
        <f t="shared" ca="1" si="132"/>
        <v>22252858687.719124</v>
      </c>
      <c r="BG31" s="1691">
        <f t="shared" ca="1" si="133"/>
        <v>26733786060.975189</v>
      </c>
      <c r="BH31" s="675"/>
      <c r="BI31" s="1691">
        <f t="shared" ca="1" si="39"/>
        <v>0</v>
      </c>
      <c r="BJ31" s="1691">
        <f t="shared" ca="1" si="40"/>
        <v>5283932209.5220194</v>
      </c>
      <c r="BK31" s="1691">
        <f t="shared" ca="1" si="41"/>
        <v>7098264966.6416836</v>
      </c>
      <c r="BL31" s="1691">
        <f t="shared" ca="1" si="42"/>
        <v>9298190607.0739536</v>
      </c>
      <c r="BM31" s="1691">
        <f t="shared" ca="1" si="43"/>
        <v>11953719161.323376</v>
      </c>
      <c r="BN31" s="1691">
        <f t="shared" ca="1" si="44"/>
        <v>15146601982.311487</v>
      </c>
      <c r="BO31" s="1691">
        <f t="shared" ca="1" si="45"/>
        <v>18379183496.169933</v>
      </c>
      <c r="BP31" s="1691">
        <f t="shared" ca="1" si="46"/>
        <v>22252858687.719124</v>
      </c>
      <c r="BQ31" s="1691">
        <f t="shared" ca="1" si="47"/>
        <v>26733786060.975189</v>
      </c>
      <c r="BR31" s="675"/>
      <c r="BS31" s="1702">
        <f t="shared" ca="1" si="134"/>
        <v>7803451375.0367184</v>
      </c>
      <c r="BT31" s="1702">
        <f t="shared" ca="1" si="135"/>
        <v>16320043427.783497</v>
      </c>
      <c r="BU31" s="1702">
        <f t="shared" ca="1" si="136"/>
        <v>22081881211.500153</v>
      </c>
      <c r="BV31" s="1702">
        <f t="shared" ca="1" si="137"/>
        <v>29076208165.013916</v>
      </c>
      <c r="BW31" s="1702">
        <f t="shared" ca="1" si="138"/>
        <v>37527446589.607086</v>
      </c>
      <c r="BX31" s="1702">
        <f t="shared" ca="1" si="139"/>
        <v>47697717884.721214</v>
      </c>
      <c r="BY31" s="1702">
        <f t="shared" ca="1" si="140"/>
        <v>58311474819.046402</v>
      </c>
      <c r="BZ31" s="1702">
        <f t="shared" ca="1" si="141"/>
        <v>70750182592.834747</v>
      </c>
      <c r="CA31" s="1702">
        <f t="shared" ca="1" si="142"/>
        <v>85146474421.204956</v>
      </c>
      <c r="CC31" s="1707">
        <f ca="1">AVERAGE(Costs!$BS31:$CA31)</f>
        <v>41634986720.749847</v>
      </c>
      <c r="CD31" s="1707">
        <f t="shared" ca="1" si="56"/>
        <v>238094899695.84619</v>
      </c>
      <c r="CE31" s="1575"/>
      <c r="CF31" s="1704">
        <f t="shared" ca="1" si="143"/>
        <v>0</v>
      </c>
      <c r="CG31" s="1704">
        <f t="shared" ca="1" si="144"/>
        <v>0</v>
      </c>
      <c r="CH31" s="1704">
        <f t="shared" ca="1" si="145"/>
        <v>0</v>
      </c>
      <c r="CI31" s="1704">
        <f t="shared" ca="1" si="146"/>
        <v>0</v>
      </c>
      <c r="CJ31" s="1704">
        <f t="shared" ca="1" si="147"/>
        <v>0</v>
      </c>
      <c r="CK31" s="1704">
        <f t="shared" ca="1" si="148"/>
        <v>0</v>
      </c>
      <c r="CL31" s="1704">
        <f t="shared" ca="1" si="149"/>
        <v>0</v>
      </c>
      <c r="CM31" s="1704">
        <f t="shared" ca="1" si="150"/>
        <v>0</v>
      </c>
      <c r="CN31" s="1704">
        <f t="shared" ca="1" si="151"/>
        <v>0</v>
      </c>
      <c r="CP31" s="1707">
        <f ca="1">AVERAGE(Costs!$CF31:$CN31)</f>
        <v>0</v>
      </c>
      <c r="CQ31" s="1707">
        <f t="shared" ca="1" si="48"/>
        <v>0</v>
      </c>
      <c r="CR31" s="1426" t="str">
        <f t="shared" ca="1" si="49"/>
        <v>ok</v>
      </c>
    </row>
    <row r="32" spans="1:96" x14ac:dyDescent="0.2">
      <c r="A32" s="1683" t="s">
        <v>1724</v>
      </c>
      <c r="B32" s="1683" t="s">
        <v>19</v>
      </c>
      <c r="C32" s="1683" t="s">
        <v>125</v>
      </c>
      <c r="D32" s="2133"/>
      <c r="E32" s="1689">
        <f t="shared" ref="E32:M42" ca="1" si="152">IFERROR(INDEX(INDIRECT($A32&amp;".Costs["&amp;E$2&amp;"]"), MATCH($E$1, INDIRECT($A32&amp;".Costs[Vector]"), 0)),0)</f>
        <v>0</v>
      </c>
      <c r="F32" s="1689">
        <f t="shared" ca="1" si="152"/>
        <v>0</v>
      </c>
      <c r="G32" s="1689">
        <f t="shared" ca="1" si="152"/>
        <v>10912968586.432213</v>
      </c>
      <c r="H32" s="1689">
        <f t="shared" ca="1" si="152"/>
        <v>15015195237.925186</v>
      </c>
      <c r="I32" s="1689">
        <f t="shared" ca="1" si="152"/>
        <v>19486141665.05225</v>
      </c>
      <c r="J32" s="1689">
        <f t="shared" ca="1" si="152"/>
        <v>24855189349.219784</v>
      </c>
      <c r="K32" s="1689">
        <f t="shared" ca="1" si="152"/>
        <v>29023297884.083496</v>
      </c>
      <c r="L32" s="1689">
        <f t="shared" ca="1" si="152"/>
        <v>35469323987.293343</v>
      </c>
      <c r="M32" s="1689">
        <f t="shared" ca="1" si="152"/>
        <v>43561465901.725677</v>
      </c>
      <c r="N32" s="675"/>
      <c r="O32" s="1689">
        <f t="shared" ca="1" si="114"/>
        <v>1140224708017.6152</v>
      </c>
      <c r="P32" s="1689">
        <f t="shared" ca="1" si="114"/>
        <v>787536383227.64038</v>
      </c>
      <c r="Q32" s="1689">
        <f t="shared" ca="1" si="114"/>
        <v>864522845958.45996</v>
      </c>
      <c r="R32" s="1689">
        <f t="shared" ca="1" si="114"/>
        <v>991561913894.73145</v>
      </c>
      <c r="S32" s="1689">
        <f t="shared" ca="1" si="114"/>
        <v>1151332802966.8091</v>
      </c>
      <c r="T32" s="1689">
        <f t="shared" ca="1" si="114"/>
        <v>1342854485940.5957</v>
      </c>
      <c r="U32" s="1689">
        <f t="shared" ca="1" si="114"/>
        <v>1530972836188.6189</v>
      </c>
      <c r="V32" s="1689">
        <f t="shared" ca="1" si="114"/>
        <v>1746247383406.8845</v>
      </c>
      <c r="W32" s="1689">
        <f t="shared" ca="1" si="114"/>
        <v>1991533879491.3459</v>
      </c>
      <c r="X32" s="675"/>
      <c r="Y32" s="1689">
        <f t="shared" ca="1" si="115"/>
        <v>0</v>
      </c>
      <c r="Z32" s="1689">
        <f t="shared" ca="1" si="115"/>
        <v>0</v>
      </c>
      <c r="AA32" s="1689">
        <f t="shared" ca="1" si="115"/>
        <v>0</v>
      </c>
      <c r="AB32" s="1689">
        <f t="shared" ca="1" si="115"/>
        <v>0</v>
      </c>
      <c r="AC32" s="1689">
        <f t="shared" ca="1" si="115"/>
        <v>0</v>
      </c>
      <c r="AD32" s="1689">
        <f t="shared" ca="1" si="115"/>
        <v>0</v>
      </c>
      <c r="AE32" s="1689">
        <f t="shared" ca="1" si="115"/>
        <v>0</v>
      </c>
      <c r="AF32" s="1689">
        <f t="shared" ca="1" si="115"/>
        <v>0</v>
      </c>
      <c r="AG32" s="1689">
        <f t="shared" ca="1" si="115"/>
        <v>0</v>
      </c>
      <c r="AH32" s="675"/>
      <c r="AI32" s="1689">
        <f t="shared" ca="1" si="116"/>
        <v>1140224708017.6152</v>
      </c>
      <c r="AJ32" s="1689">
        <f t="shared" ca="1" si="117"/>
        <v>787536383227.64038</v>
      </c>
      <c r="AK32" s="1689">
        <f t="shared" ca="1" si="118"/>
        <v>875435814544.89221</v>
      </c>
      <c r="AL32" s="1689">
        <f t="shared" ca="1" si="119"/>
        <v>1006577109132.6566</v>
      </c>
      <c r="AM32" s="1689">
        <f t="shared" ca="1" si="120"/>
        <v>1170818944631.8613</v>
      </c>
      <c r="AN32" s="1689">
        <f t="shared" ca="1" si="121"/>
        <v>1367709675289.8154</v>
      </c>
      <c r="AO32" s="1689">
        <f t="shared" ca="1" si="122"/>
        <v>1559996134072.7024</v>
      </c>
      <c r="AP32" s="1689">
        <f t="shared" ca="1" si="123"/>
        <v>1781716707394.178</v>
      </c>
      <c r="AQ32" s="1689">
        <f t="shared" ca="1" si="124"/>
        <v>2035095345393.0715</v>
      </c>
      <c r="AS32" s="1706">
        <f ca="1">AVERAGE(Costs!$AI32:$AQ32)</f>
        <v>1302790091300.4927</v>
      </c>
      <c r="AT32" s="1706">
        <f t="shared" ca="1" si="55"/>
        <v>9300297206915.2656</v>
      </c>
      <c r="AU32" s="675"/>
      <c r="AV32" s="1699">
        <f>IFERROR(VLOOKUP($A32,Cost.FinanceCostTable,3,FALSE),'Global assumptions'!$D$35)</f>
        <v>0</v>
      </c>
      <c r="AW32" s="1690">
        <f>IFERROR(VLOOKUP($A32,Cost.FinanceCostTable,4,FALSE),'Global assumptions'!$E$35)</f>
        <v>30</v>
      </c>
      <c r="AX32" s="675"/>
      <c r="AY32" s="1689">
        <f t="shared" ca="1" si="125"/>
        <v>0</v>
      </c>
      <c r="AZ32" s="1689">
        <f t="shared" ca="1" si="126"/>
        <v>0</v>
      </c>
      <c r="BA32" s="1689">
        <f t="shared" ca="1" si="127"/>
        <v>1818828097.7387021</v>
      </c>
      <c r="BB32" s="1689">
        <f t="shared" ca="1" si="128"/>
        <v>2502532539.6541977</v>
      </c>
      <c r="BC32" s="1689">
        <f t="shared" ca="1" si="129"/>
        <v>3247690277.508708</v>
      </c>
      <c r="BD32" s="1689">
        <f t="shared" ca="1" si="130"/>
        <v>4142531558.2032976</v>
      </c>
      <c r="BE32" s="1689">
        <f t="shared" ca="1" si="131"/>
        <v>4837216314.013916</v>
      </c>
      <c r="BF32" s="1689">
        <f t="shared" ca="1" si="132"/>
        <v>5911553997.8822231</v>
      </c>
      <c r="BG32" s="1689">
        <f t="shared" ca="1" si="133"/>
        <v>7260244316.9542799</v>
      </c>
      <c r="BH32" s="675"/>
      <c r="BI32" s="1689">
        <f t="shared" ca="1" si="39"/>
        <v>0</v>
      </c>
      <c r="BJ32" s="1689">
        <f t="shared" ca="1" si="40"/>
        <v>0</v>
      </c>
      <c r="BK32" s="1689">
        <f t="shared" ca="1" si="41"/>
        <v>1818828097.7387021</v>
      </c>
      <c r="BL32" s="1689">
        <f t="shared" ca="1" si="42"/>
        <v>4321360637.3928995</v>
      </c>
      <c r="BM32" s="1689">
        <f t="shared" ca="1" si="43"/>
        <v>7569050914.9016075</v>
      </c>
      <c r="BN32" s="1689">
        <f t="shared" ca="1" si="44"/>
        <v>11711582473.104904</v>
      </c>
      <c r="BO32" s="1689">
        <f t="shared" ca="1" si="45"/>
        <v>16548798787.11882</v>
      </c>
      <c r="BP32" s="1689">
        <f t="shared" ca="1" si="46"/>
        <v>25708043062.509754</v>
      </c>
      <c r="BQ32" s="1689">
        <f t="shared" ca="1" si="47"/>
        <v>31149459281.725334</v>
      </c>
      <c r="BR32" s="675"/>
      <c r="BS32" s="1701">
        <f t="shared" ca="1" si="134"/>
        <v>1140224708017.6152</v>
      </c>
      <c r="BT32" s="1701">
        <f t="shared" ca="1" si="135"/>
        <v>787536383227.64038</v>
      </c>
      <c r="BU32" s="1701">
        <f t="shared" ca="1" si="136"/>
        <v>866341674056.19861</v>
      </c>
      <c r="BV32" s="1701">
        <f t="shared" ca="1" si="137"/>
        <v>995883274532.12439</v>
      </c>
      <c r="BW32" s="1701">
        <f t="shared" ca="1" si="138"/>
        <v>1158901853881.7107</v>
      </c>
      <c r="BX32" s="1701">
        <f t="shared" ca="1" si="139"/>
        <v>1354566068413.7007</v>
      </c>
      <c r="BY32" s="1701">
        <f t="shared" ca="1" si="140"/>
        <v>1547521634975.7378</v>
      </c>
      <c r="BZ32" s="1701">
        <f t="shared" ca="1" si="141"/>
        <v>1771955426469.3943</v>
      </c>
      <c r="CA32" s="1701">
        <f t="shared" ca="1" si="142"/>
        <v>2022683338773.0713</v>
      </c>
      <c r="CC32" s="1706">
        <f ca="1">AVERAGE(Costs!$BS32:$CA32)</f>
        <v>1293957151371.9106</v>
      </c>
      <c r="CD32" s="1706">
        <f t="shared" ca="1" si="56"/>
        <v>9246410040253.4062</v>
      </c>
      <c r="CF32" s="1703">
        <f t="shared" ca="1" si="143"/>
        <v>0</v>
      </c>
      <c r="CG32" s="1703">
        <f t="shared" ca="1" si="144"/>
        <v>0</v>
      </c>
      <c r="CH32" s="1703">
        <f t="shared" ca="1" si="145"/>
        <v>-9094140488.6935101</v>
      </c>
      <c r="CI32" s="1703">
        <f t="shared" ca="1" si="146"/>
        <v>-10693834600.532288</v>
      </c>
      <c r="CJ32" s="1703">
        <f t="shared" ca="1" si="147"/>
        <v>-11917090750.150642</v>
      </c>
      <c r="CK32" s="1703">
        <f t="shared" ca="1" si="148"/>
        <v>-13143606876.11488</v>
      </c>
      <c r="CL32" s="1703">
        <f t="shared" ca="1" si="149"/>
        <v>-12474499096.964676</v>
      </c>
      <c r="CM32" s="1703">
        <f t="shared" ca="1" si="150"/>
        <v>-9761280924.7835884</v>
      </c>
      <c r="CN32" s="1703">
        <f t="shared" ca="1" si="151"/>
        <v>-12412006620.000343</v>
      </c>
      <c r="CP32" s="1706">
        <f ca="1">AVERAGE(Costs!$CF32:$CN32)</f>
        <v>-8832939928.5822144</v>
      </c>
      <c r="CQ32" s="1706">
        <f t="shared" ca="1" si="48"/>
        <v>-53887166661.858765</v>
      </c>
      <c r="CR32" s="1426" t="str">
        <f t="shared" ca="1" si="49"/>
        <v>ok</v>
      </c>
    </row>
    <row r="33" spans="1:96" x14ac:dyDescent="0.2">
      <c r="A33" s="1685" t="s">
        <v>1725</v>
      </c>
      <c r="B33" s="1685" t="s">
        <v>397</v>
      </c>
      <c r="C33" s="1685" t="s">
        <v>125</v>
      </c>
      <c r="D33" s="2133"/>
      <c r="E33" s="1691">
        <f t="shared" ca="1" si="152"/>
        <v>0</v>
      </c>
      <c r="F33" s="1691">
        <f t="shared" ca="1" si="152"/>
        <v>0</v>
      </c>
      <c r="G33" s="1691">
        <f t="shared" ca="1" si="152"/>
        <v>0</v>
      </c>
      <c r="H33" s="1691">
        <f t="shared" ca="1" si="152"/>
        <v>0</v>
      </c>
      <c r="I33" s="1691">
        <f t="shared" ca="1" si="152"/>
        <v>0</v>
      </c>
      <c r="J33" s="1691">
        <f t="shared" ca="1" si="152"/>
        <v>0</v>
      </c>
      <c r="K33" s="1691">
        <f t="shared" ca="1" si="152"/>
        <v>0</v>
      </c>
      <c r="L33" s="1691">
        <f t="shared" ca="1" si="152"/>
        <v>0</v>
      </c>
      <c r="M33" s="1691">
        <f t="shared" ca="1" si="152"/>
        <v>0</v>
      </c>
      <c r="N33" s="675"/>
      <c r="O33" s="1691">
        <f t="shared" ca="1" si="114"/>
        <v>0</v>
      </c>
      <c r="P33" s="1691">
        <f t="shared" ca="1" si="114"/>
        <v>0</v>
      </c>
      <c r="Q33" s="1691">
        <f t="shared" ca="1" si="114"/>
        <v>0</v>
      </c>
      <c r="R33" s="1691">
        <f t="shared" ca="1" si="114"/>
        <v>0</v>
      </c>
      <c r="S33" s="1691">
        <f t="shared" ca="1" si="114"/>
        <v>0</v>
      </c>
      <c r="T33" s="1691">
        <f t="shared" ca="1" si="114"/>
        <v>0</v>
      </c>
      <c r="U33" s="1691">
        <f t="shared" ca="1" si="114"/>
        <v>0</v>
      </c>
      <c r="V33" s="1691">
        <f t="shared" ca="1" si="114"/>
        <v>0</v>
      </c>
      <c r="W33" s="1691">
        <f t="shared" ca="1" si="114"/>
        <v>0</v>
      </c>
      <c r="X33" s="675"/>
      <c r="Y33" s="1691">
        <f t="shared" ca="1" si="115"/>
        <v>0</v>
      </c>
      <c r="Z33" s="1691">
        <f t="shared" ca="1" si="115"/>
        <v>0</v>
      </c>
      <c r="AA33" s="1691">
        <f t="shared" ca="1" si="115"/>
        <v>0</v>
      </c>
      <c r="AB33" s="1691">
        <f t="shared" ca="1" si="115"/>
        <v>0</v>
      </c>
      <c r="AC33" s="1691">
        <f t="shared" ca="1" si="115"/>
        <v>0</v>
      </c>
      <c r="AD33" s="1691">
        <f t="shared" ca="1" si="115"/>
        <v>0</v>
      </c>
      <c r="AE33" s="1691">
        <f t="shared" ca="1" si="115"/>
        <v>0</v>
      </c>
      <c r="AF33" s="1691">
        <f t="shared" ca="1" si="115"/>
        <v>0</v>
      </c>
      <c r="AG33" s="1691">
        <f t="shared" ca="1" si="115"/>
        <v>0</v>
      </c>
      <c r="AH33" s="675"/>
      <c r="AI33" s="1691">
        <f t="shared" ca="1" si="116"/>
        <v>0</v>
      </c>
      <c r="AJ33" s="1691">
        <f t="shared" ca="1" si="117"/>
        <v>0</v>
      </c>
      <c r="AK33" s="1691">
        <f t="shared" ca="1" si="118"/>
        <v>0</v>
      </c>
      <c r="AL33" s="1691">
        <f t="shared" ca="1" si="119"/>
        <v>0</v>
      </c>
      <c r="AM33" s="1691">
        <f t="shared" ca="1" si="120"/>
        <v>0</v>
      </c>
      <c r="AN33" s="1691">
        <f t="shared" ca="1" si="121"/>
        <v>0</v>
      </c>
      <c r="AO33" s="1691">
        <f t="shared" ca="1" si="122"/>
        <v>0</v>
      </c>
      <c r="AP33" s="1691">
        <f t="shared" ca="1" si="123"/>
        <v>0</v>
      </c>
      <c r="AQ33" s="1691">
        <f t="shared" ca="1" si="124"/>
        <v>0</v>
      </c>
      <c r="AS33" s="1707">
        <f ca="1">AVERAGE(Costs!$AI33:$AQ33)</f>
        <v>0</v>
      </c>
      <c r="AT33" s="1707">
        <f t="shared" ca="1" si="55"/>
        <v>0</v>
      </c>
      <c r="AU33" s="675"/>
      <c r="AV33" s="1700">
        <f>IFERROR(VLOOKUP($A33,Cost.FinanceCostTable,3,FALSE),'Global assumptions'!$D$35)</f>
        <v>0</v>
      </c>
      <c r="AW33" s="1692">
        <f>IFERROR(VLOOKUP($A33,Cost.FinanceCostTable,4,FALSE),'Global assumptions'!$E$35)</f>
        <v>30</v>
      </c>
      <c r="AX33" s="675"/>
      <c r="AY33" s="1691">
        <f t="shared" ca="1" si="125"/>
        <v>0</v>
      </c>
      <c r="AZ33" s="1691">
        <f t="shared" ca="1" si="126"/>
        <v>0</v>
      </c>
      <c r="BA33" s="1691">
        <f t="shared" ca="1" si="127"/>
        <v>0</v>
      </c>
      <c r="BB33" s="1691">
        <f t="shared" ca="1" si="128"/>
        <v>0</v>
      </c>
      <c r="BC33" s="1691">
        <f t="shared" ca="1" si="129"/>
        <v>0</v>
      </c>
      <c r="BD33" s="1691">
        <f t="shared" ca="1" si="130"/>
        <v>0</v>
      </c>
      <c r="BE33" s="1691">
        <f t="shared" ca="1" si="131"/>
        <v>0</v>
      </c>
      <c r="BF33" s="1691">
        <f t="shared" ca="1" si="132"/>
        <v>0</v>
      </c>
      <c r="BG33" s="1691">
        <f t="shared" ca="1" si="133"/>
        <v>0</v>
      </c>
      <c r="BH33" s="675"/>
      <c r="BI33" s="1691">
        <f t="shared" ca="1" si="39"/>
        <v>0</v>
      </c>
      <c r="BJ33" s="1691">
        <f t="shared" ca="1" si="40"/>
        <v>0</v>
      </c>
      <c r="BK33" s="1691">
        <f t="shared" ca="1" si="41"/>
        <v>0</v>
      </c>
      <c r="BL33" s="1691">
        <f t="shared" ca="1" si="42"/>
        <v>0</v>
      </c>
      <c r="BM33" s="1691">
        <f t="shared" ca="1" si="43"/>
        <v>0</v>
      </c>
      <c r="BN33" s="1691">
        <f t="shared" ca="1" si="44"/>
        <v>0</v>
      </c>
      <c r="BO33" s="1691">
        <f t="shared" ca="1" si="45"/>
        <v>0</v>
      </c>
      <c r="BP33" s="1691">
        <f t="shared" ca="1" si="46"/>
        <v>0</v>
      </c>
      <c r="BQ33" s="1691">
        <f t="shared" ca="1" si="47"/>
        <v>0</v>
      </c>
      <c r="BR33" s="675"/>
      <c r="BS33" s="1702">
        <f t="shared" ca="1" si="134"/>
        <v>0</v>
      </c>
      <c r="BT33" s="1702">
        <f t="shared" ca="1" si="135"/>
        <v>0</v>
      </c>
      <c r="BU33" s="1702">
        <f t="shared" ca="1" si="136"/>
        <v>0</v>
      </c>
      <c r="BV33" s="1702">
        <f t="shared" ca="1" si="137"/>
        <v>0</v>
      </c>
      <c r="BW33" s="1702">
        <f t="shared" ca="1" si="138"/>
        <v>0</v>
      </c>
      <c r="BX33" s="1702">
        <f t="shared" ca="1" si="139"/>
        <v>0</v>
      </c>
      <c r="BY33" s="1702">
        <f t="shared" ca="1" si="140"/>
        <v>0</v>
      </c>
      <c r="BZ33" s="1702">
        <f t="shared" ca="1" si="141"/>
        <v>0</v>
      </c>
      <c r="CA33" s="1702">
        <f t="shared" ca="1" si="142"/>
        <v>0</v>
      </c>
      <c r="CC33" s="1707">
        <f ca="1">AVERAGE(Costs!$BS33:$CA33)</f>
        <v>0</v>
      </c>
      <c r="CD33" s="1707">
        <f t="shared" ca="1" si="56"/>
        <v>0</v>
      </c>
      <c r="CF33" s="1704">
        <f t="shared" ca="1" si="143"/>
        <v>0</v>
      </c>
      <c r="CG33" s="1704">
        <f t="shared" ca="1" si="144"/>
        <v>0</v>
      </c>
      <c r="CH33" s="1704">
        <f t="shared" ca="1" si="145"/>
        <v>0</v>
      </c>
      <c r="CI33" s="1704">
        <f t="shared" ca="1" si="146"/>
        <v>0</v>
      </c>
      <c r="CJ33" s="1704">
        <f t="shared" ca="1" si="147"/>
        <v>0</v>
      </c>
      <c r="CK33" s="1704">
        <f t="shared" ca="1" si="148"/>
        <v>0</v>
      </c>
      <c r="CL33" s="1704">
        <f t="shared" ca="1" si="149"/>
        <v>0</v>
      </c>
      <c r="CM33" s="1704">
        <f t="shared" ca="1" si="150"/>
        <v>0</v>
      </c>
      <c r="CN33" s="1704">
        <f t="shared" ca="1" si="151"/>
        <v>0</v>
      </c>
      <c r="CP33" s="1707">
        <f ca="1">AVERAGE(Costs!$CF33:$CN33)</f>
        <v>0</v>
      </c>
      <c r="CQ33" s="1707">
        <f t="shared" ca="1" si="48"/>
        <v>0</v>
      </c>
      <c r="CR33" s="1426" t="str">
        <f t="shared" ca="1" si="49"/>
        <v>ok</v>
      </c>
    </row>
    <row r="34" spans="1:96" x14ac:dyDescent="0.2">
      <c r="A34" s="1683" t="s">
        <v>375</v>
      </c>
      <c r="B34" s="1683" t="s">
        <v>606</v>
      </c>
      <c r="C34" s="1683" t="s">
        <v>125</v>
      </c>
      <c r="D34" s="2133"/>
      <c r="E34" s="1689">
        <f t="shared" ca="1" si="152"/>
        <v>0</v>
      </c>
      <c r="F34" s="1689">
        <f t="shared" ca="1" si="152"/>
        <v>786615496404.28113</v>
      </c>
      <c r="G34" s="1689">
        <f t="shared" ca="1" si="152"/>
        <v>908267204965.96155</v>
      </c>
      <c r="H34" s="1689">
        <f t="shared" ca="1" si="152"/>
        <v>1029918913527.6426</v>
      </c>
      <c r="I34" s="1689">
        <f t="shared" ca="1" si="152"/>
        <v>722269623623.87488</v>
      </c>
      <c r="J34" s="1689">
        <f t="shared" ca="1" si="152"/>
        <v>1096853562385.1501</v>
      </c>
      <c r="K34" s="1689">
        <f t="shared" ca="1" si="152"/>
        <v>562097301795.6676</v>
      </c>
      <c r="L34" s="1689">
        <f t="shared" ca="1" si="152"/>
        <v>1093909143339.3608</v>
      </c>
      <c r="M34" s="1689">
        <f t="shared" ca="1" si="152"/>
        <v>523659713393.08704</v>
      </c>
      <c r="N34" s="675"/>
      <c r="O34" s="1689">
        <f t="shared" ca="1" si="114"/>
        <v>187782908379.31549</v>
      </c>
      <c r="P34" s="1689">
        <f t="shared" ca="1" si="114"/>
        <v>237114044235.19125</v>
      </c>
      <c r="Q34" s="1689">
        <f t="shared" ca="1" si="114"/>
        <v>286445180091.06702</v>
      </c>
      <c r="R34" s="1689">
        <f t="shared" ca="1" si="114"/>
        <v>335776315946.94269</v>
      </c>
      <c r="S34" s="1689">
        <f t="shared" ca="1" si="114"/>
        <v>361650171891.29175</v>
      </c>
      <c r="T34" s="1689">
        <f t="shared" ca="1" si="114"/>
        <v>405270907152.92212</v>
      </c>
      <c r="U34" s="1689">
        <f t="shared" ca="1" si="114"/>
        <v>414013561314.53528</v>
      </c>
      <c r="V34" s="1689">
        <f t="shared" ca="1" si="114"/>
        <v>451923895981.92029</v>
      </c>
      <c r="W34" s="1689">
        <f t="shared" ca="1" si="114"/>
        <v>453989934684.00891</v>
      </c>
      <c r="X34" s="675"/>
      <c r="Y34" s="1689">
        <f t="shared" ca="1" si="115"/>
        <v>0</v>
      </c>
      <c r="Z34" s="1689">
        <f t="shared" ca="1" si="115"/>
        <v>0</v>
      </c>
      <c r="AA34" s="1689">
        <f t="shared" ca="1" si="115"/>
        <v>0</v>
      </c>
      <c r="AB34" s="1689">
        <f t="shared" ca="1" si="115"/>
        <v>0</v>
      </c>
      <c r="AC34" s="1689">
        <f t="shared" ca="1" si="115"/>
        <v>0</v>
      </c>
      <c r="AD34" s="1689">
        <f t="shared" ca="1" si="115"/>
        <v>0</v>
      </c>
      <c r="AE34" s="1689">
        <f t="shared" ca="1" si="115"/>
        <v>0</v>
      </c>
      <c r="AF34" s="1689">
        <f t="shared" ca="1" si="115"/>
        <v>0</v>
      </c>
      <c r="AG34" s="1689">
        <f t="shared" ca="1" si="115"/>
        <v>0</v>
      </c>
      <c r="AH34" s="675"/>
      <c r="AI34" s="1689">
        <f t="shared" ca="1" si="116"/>
        <v>187782908379.31549</v>
      </c>
      <c r="AJ34" s="1689">
        <f t="shared" ca="1" si="117"/>
        <v>1023729540639.4724</v>
      </c>
      <c r="AK34" s="1689">
        <f t="shared" ca="1" si="118"/>
        <v>1194712385057.0286</v>
      </c>
      <c r="AL34" s="1689">
        <f t="shared" ca="1" si="119"/>
        <v>1365695229474.5852</v>
      </c>
      <c r="AM34" s="1689">
        <f t="shared" ca="1" si="120"/>
        <v>1083919795515.1666</v>
      </c>
      <c r="AN34" s="1689">
        <f t="shared" ca="1" si="121"/>
        <v>1502124469538.0723</v>
      </c>
      <c r="AO34" s="1689">
        <f t="shared" ca="1" si="122"/>
        <v>976110863110.20288</v>
      </c>
      <c r="AP34" s="1689">
        <f t="shared" ca="1" si="123"/>
        <v>1545833039321.2812</v>
      </c>
      <c r="AQ34" s="1689">
        <f t="shared" ca="1" si="124"/>
        <v>977649648077.09595</v>
      </c>
      <c r="AS34" s="1706">
        <f ca="1">AVERAGE(Costs!$AI34:$AQ34)</f>
        <v>1095284208790.2467</v>
      </c>
      <c r="AT34" s="1706">
        <f t="shared" ca="1" si="55"/>
        <v>9672836289578.8574</v>
      </c>
      <c r="AU34" s="675"/>
      <c r="AV34" s="1699">
        <f>IFERROR(VLOOKUP($A34,Cost.FinanceCostTable,3,FALSE),'Global assumptions'!$D$35)</f>
        <v>0</v>
      </c>
      <c r="AW34" s="1690">
        <f>IFERROR(VLOOKUP($A34,Cost.FinanceCostTable,4,FALSE),'Global assumptions'!$E$35)</f>
        <v>10</v>
      </c>
      <c r="AX34" s="675"/>
      <c r="AY34" s="1689">
        <f t="shared" ca="1" si="125"/>
        <v>0</v>
      </c>
      <c r="AZ34" s="1689">
        <f t="shared" ca="1" si="126"/>
        <v>393307748202.14056</v>
      </c>
      <c r="BA34" s="1689">
        <f t="shared" ca="1" si="127"/>
        <v>454133602482.98077</v>
      </c>
      <c r="BB34" s="1689">
        <f t="shared" ca="1" si="128"/>
        <v>514959456763.82129</v>
      </c>
      <c r="BC34" s="1689">
        <f t="shared" ca="1" si="129"/>
        <v>361134811811.93744</v>
      </c>
      <c r="BD34" s="1689">
        <f t="shared" ca="1" si="130"/>
        <v>548426781192.57507</v>
      </c>
      <c r="BE34" s="1689">
        <f t="shared" ca="1" si="131"/>
        <v>281048650897.8338</v>
      </c>
      <c r="BF34" s="1689">
        <f t="shared" ca="1" si="132"/>
        <v>546954571669.68048</v>
      </c>
      <c r="BG34" s="1689">
        <f t="shared" ca="1" si="133"/>
        <v>261829856696.54352</v>
      </c>
      <c r="BH34" s="675"/>
      <c r="BI34" s="1689">
        <f t="shared" ca="1" si="39"/>
        <v>0</v>
      </c>
      <c r="BJ34" s="1689">
        <f t="shared" ca="1" si="40"/>
        <v>393307748202.14056</v>
      </c>
      <c r="BK34" s="1689">
        <f t="shared" ca="1" si="41"/>
        <v>847441350685.12134</v>
      </c>
      <c r="BL34" s="1689">
        <f t="shared" ca="1" si="42"/>
        <v>969093059246.802</v>
      </c>
      <c r="BM34" s="1689">
        <f t="shared" ca="1" si="43"/>
        <v>876094268575.75879</v>
      </c>
      <c r="BN34" s="1689">
        <f t="shared" ca="1" si="44"/>
        <v>909561593004.51245</v>
      </c>
      <c r="BO34" s="1689">
        <f t="shared" ca="1" si="45"/>
        <v>829475432090.40894</v>
      </c>
      <c r="BP34" s="1689">
        <f t="shared" ca="1" si="46"/>
        <v>828003222567.51428</v>
      </c>
      <c r="BQ34" s="1689">
        <f t="shared" ca="1" si="47"/>
        <v>808784428366.224</v>
      </c>
      <c r="BR34" s="675"/>
      <c r="BS34" s="1701">
        <f t="shared" ca="1" si="134"/>
        <v>187782908379.31549</v>
      </c>
      <c r="BT34" s="1701">
        <f t="shared" ca="1" si="135"/>
        <v>630421792437.33179</v>
      </c>
      <c r="BU34" s="1701">
        <f t="shared" ca="1" si="136"/>
        <v>1133886530776.1885</v>
      </c>
      <c r="BV34" s="1701">
        <f t="shared" ca="1" si="137"/>
        <v>1304869375193.7446</v>
      </c>
      <c r="BW34" s="1701">
        <f t="shared" ca="1" si="138"/>
        <v>1237744440467.0505</v>
      </c>
      <c r="BX34" s="1701">
        <f t="shared" ca="1" si="139"/>
        <v>1314832500157.4346</v>
      </c>
      <c r="BY34" s="1701">
        <f t="shared" ca="1" si="140"/>
        <v>1243488993404.9443</v>
      </c>
      <c r="BZ34" s="1701">
        <f t="shared" ca="1" si="141"/>
        <v>1279927118549.4346</v>
      </c>
      <c r="CA34" s="1701">
        <f t="shared" ca="1" si="142"/>
        <v>1262774363050.2329</v>
      </c>
      <c r="CC34" s="1706">
        <f ca="1">AVERAGE(Costs!$BS34:$CA34)</f>
        <v>1066192002490.6309</v>
      </c>
      <c r="CD34" s="1706">
        <f t="shared" ca="1" si="56"/>
        <v>8361286039746.5166</v>
      </c>
      <c r="CF34" s="1703">
        <f t="shared" ca="1" si="143"/>
        <v>0</v>
      </c>
      <c r="CG34" s="1703">
        <f t="shared" ca="1" si="144"/>
        <v>-393307748202.14056</v>
      </c>
      <c r="CH34" s="1703">
        <f t="shared" ca="1" si="145"/>
        <v>-60825854280.84021</v>
      </c>
      <c r="CI34" s="1703">
        <f t="shared" ca="1" si="146"/>
        <v>-60825854280.840576</v>
      </c>
      <c r="CJ34" s="1703">
        <f t="shared" ca="1" si="147"/>
        <v>153824644951.88391</v>
      </c>
      <c r="CK34" s="1703">
        <f t="shared" ca="1" si="148"/>
        <v>-187291969380.6377</v>
      </c>
      <c r="CL34" s="1703">
        <f t="shared" ca="1" si="149"/>
        <v>267378130294.74133</v>
      </c>
      <c r="CM34" s="1703">
        <f t="shared" ca="1" si="150"/>
        <v>-265905920771.84656</v>
      </c>
      <c r="CN34" s="1703">
        <f t="shared" ca="1" si="151"/>
        <v>285124714973.13696</v>
      </c>
      <c r="CP34" s="1706">
        <f ca="1">AVERAGE(Costs!$CF34:$CN34)</f>
        <v>-29092206299.615932</v>
      </c>
      <c r="CQ34" s="1706">
        <f t="shared" ca="1" si="48"/>
        <v>-1311550249832.3394</v>
      </c>
      <c r="CR34" s="1426" t="str">
        <f t="shared" ca="1" si="49"/>
        <v>ok</v>
      </c>
    </row>
    <row r="35" spans="1:96" s="1571" customFormat="1" x14ac:dyDescent="0.2">
      <c r="A35" s="1683" t="s">
        <v>405</v>
      </c>
      <c r="B35" s="1683" t="s">
        <v>111</v>
      </c>
      <c r="C35" s="1683" t="s">
        <v>33</v>
      </c>
      <c r="D35" s="2133"/>
      <c r="E35" s="1689">
        <f t="shared" ca="1" si="152"/>
        <v>0</v>
      </c>
      <c r="F35" s="1689">
        <f t="shared" ca="1" si="152"/>
        <v>30198242210.303642</v>
      </c>
      <c r="G35" s="1689">
        <f t="shared" ca="1" si="152"/>
        <v>30198242210.303642</v>
      </c>
      <c r="H35" s="1689">
        <f t="shared" ca="1" si="152"/>
        <v>28118451603.163177</v>
      </c>
      <c r="I35" s="1689">
        <f t="shared" ca="1" si="152"/>
        <v>24105531790.175594</v>
      </c>
      <c r="J35" s="1689">
        <f t="shared" ca="1" si="152"/>
        <v>20865863659.526875</v>
      </c>
      <c r="K35" s="1689">
        <f t="shared" ca="1" si="152"/>
        <v>19953683092.718067</v>
      </c>
      <c r="L35" s="1689">
        <f t="shared" ca="1" si="152"/>
        <v>19799289174.601326</v>
      </c>
      <c r="M35" s="1689">
        <f t="shared" ca="1" si="152"/>
        <v>19652627773.307987</v>
      </c>
      <c r="N35" s="675"/>
      <c r="O35" s="1689">
        <f t="shared" ref="O35:W42" ca="1" si="153">IFERROR(INDEX(INDIRECT($A35&amp;".Costs["&amp;O$2&amp;"]"), MATCH($O$1, INDIRECT($A35&amp;".Costs[Vector]"), 0)),0)</f>
        <v>85651242140.967972</v>
      </c>
      <c r="P35" s="1689">
        <f t="shared" ca="1" si="153"/>
        <v>85651242140.967972</v>
      </c>
      <c r="Q35" s="1689">
        <f t="shared" ca="1" si="153"/>
        <v>79752334262.352509</v>
      </c>
      <c r="R35" s="1689">
        <f t="shared" ca="1" si="153"/>
        <v>68370494081.031837</v>
      </c>
      <c r="S35" s="1689">
        <f t="shared" ca="1" si="153"/>
        <v>59181826820.793304</v>
      </c>
      <c r="T35" s="1689">
        <f t="shared" ca="1" si="153"/>
        <v>56594610053.011734</v>
      </c>
      <c r="U35" s="1689">
        <f t="shared" ca="1" si="153"/>
        <v>56156702747.890594</v>
      </c>
      <c r="V35" s="1689">
        <f t="shared" ca="1" si="153"/>
        <v>55740727171.980309</v>
      </c>
      <c r="W35" s="1689">
        <f t="shared" ca="1" si="153"/>
        <v>55324751596.070007</v>
      </c>
      <c r="X35" s="675"/>
      <c r="Y35" s="1689">
        <f t="shared" ref="Y35:AG42" ca="1" si="154">IFERROR(INDEX(INDIRECT($A35&amp;".Costs["&amp;Y$2&amp;"]"), MATCH($Y$1, INDIRECT($A35&amp;".Costs[Vector]"), 0)),0)</f>
        <v>0</v>
      </c>
      <c r="Z35" s="1689">
        <f t="shared" ca="1" si="154"/>
        <v>0</v>
      </c>
      <c r="AA35" s="1689">
        <f t="shared" ca="1" si="154"/>
        <v>0</v>
      </c>
      <c r="AB35" s="1689">
        <f t="shared" ca="1" si="154"/>
        <v>0</v>
      </c>
      <c r="AC35" s="1689">
        <f t="shared" ca="1" si="154"/>
        <v>0</v>
      </c>
      <c r="AD35" s="1689">
        <f t="shared" ca="1" si="154"/>
        <v>0</v>
      </c>
      <c r="AE35" s="1689">
        <f t="shared" ca="1" si="154"/>
        <v>0</v>
      </c>
      <c r="AF35" s="1689">
        <f t="shared" ca="1" si="154"/>
        <v>0</v>
      </c>
      <c r="AG35" s="1689">
        <f t="shared" ca="1" si="154"/>
        <v>0</v>
      </c>
      <c r="AH35" s="675"/>
      <c r="AI35" s="1689">
        <f t="shared" ca="1" si="116"/>
        <v>85651242140.967972</v>
      </c>
      <c r="AJ35" s="1689">
        <f t="shared" ca="1" si="117"/>
        <v>115849484351.27161</v>
      </c>
      <c r="AK35" s="1689">
        <f t="shared" ca="1" si="118"/>
        <v>109950576472.65616</v>
      </c>
      <c r="AL35" s="1689">
        <f t="shared" ca="1" si="119"/>
        <v>96488945684.195007</v>
      </c>
      <c r="AM35" s="1689">
        <f t="shared" ca="1" si="120"/>
        <v>83287358610.968903</v>
      </c>
      <c r="AN35" s="1689">
        <f t="shared" ca="1" si="121"/>
        <v>77460473712.538605</v>
      </c>
      <c r="AO35" s="1689">
        <f t="shared" ca="1" si="122"/>
        <v>76110385840.608658</v>
      </c>
      <c r="AP35" s="1689">
        <f t="shared" ca="1" si="123"/>
        <v>75540016346.581635</v>
      </c>
      <c r="AQ35" s="1689">
        <f t="shared" ca="1" si="124"/>
        <v>74977379369.377991</v>
      </c>
      <c r="AR35" s="1673"/>
      <c r="AS35" s="1706">
        <f ca="1">AVERAGE(Costs!$AI35:$AQ35)</f>
        <v>88368429169.907394</v>
      </c>
      <c r="AT35" s="1706">
        <f t="shared" ca="1" si="55"/>
        <v>926879132349.32324</v>
      </c>
      <c r="AU35" s="675"/>
      <c r="AV35" s="1699">
        <f>IFERROR(VLOOKUP($A35,Cost.FinanceCostTable,3,FALSE),'Global assumptions'!$D$35)</f>
        <v>0</v>
      </c>
      <c r="AW35" s="1690">
        <f>IFERROR(VLOOKUP($A35,Cost.FinanceCostTable,4,FALSE),'Global assumptions'!$E$35)</f>
        <v>15</v>
      </c>
      <c r="AX35" s="675"/>
      <c r="AY35" s="1689">
        <f t="shared" ca="1" si="125"/>
        <v>0</v>
      </c>
      <c r="AZ35" s="1689">
        <f t="shared" ca="1" si="126"/>
        <v>10066080736.767881</v>
      </c>
      <c r="BA35" s="1689">
        <f t="shared" ca="1" si="127"/>
        <v>10066080736.767881</v>
      </c>
      <c r="BB35" s="1689">
        <f t="shared" ca="1" si="128"/>
        <v>9372817201.0543919</v>
      </c>
      <c r="BC35" s="1689">
        <f t="shared" ca="1" si="129"/>
        <v>8035177263.3918648</v>
      </c>
      <c r="BD35" s="1689">
        <f t="shared" ca="1" si="130"/>
        <v>6955287886.5089579</v>
      </c>
      <c r="BE35" s="1689">
        <f t="shared" ca="1" si="131"/>
        <v>6651227697.5726891</v>
      </c>
      <c r="BF35" s="1689">
        <f t="shared" ca="1" si="132"/>
        <v>6599763058.2004414</v>
      </c>
      <c r="BG35" s="1689">
        <f t="shared" ca="1" si="133"/>
        <v>6550875924.4359951</v>
      </c>
      <c r="BH35" s="675"/>
      <c r="BI35" s="1689">
        <f t="shared" ca="1" si="39"/>
        <v>0</v>
      </c>
      <c r="BJ35" s="1689">
        <f t="shared" ca="1" si="40"/>
        <v>10066080736.767881</v>
      </c>
      <c r="BK35" s="1689">
        <f t="shared" ca="1" si="41"/>
        <v>20132161473.535763</v>
      </c>
      <c r="BL35" s="1689">
        <f t="shared" ca="1" si="42"/>
        <v>29504978674.590157</v>
      </c>
      <c r="BM35" s="1689">
        <f t="shared" ca="1" si="43"/>
        <v>27474075201.214134</v>
      </c>
      <c r="BN35" s="1689">
        <f t="shared" ca="1" si="44"/>
        <v>24363282350.955215</v>
      </c>
      <c r="BO35" s="1689">
        <f t="shared" ca="1" si="45"/>
        <v>21641692847.473511</v>
      </c>
      <c r="BP35" s="1689">
        <f t="shared" ca="1" si="46"/>
        <v>20206278642.282089</v>
      </c>
      <c r="BQ35" s="1689">
        <f t="shared" ca="1" si="47"/>
        <v>19801866680.209126</v>
      </c>
      <c r="BR35" s="675"/>
      <c r="BS35" s="1701">
        <f t="shared" ca="1" si="134"/>
        <v>85651242140.967972</v>
      </c>
      <c r="BT35" s="1701">
        <f t="shared" ca="1" si="135"/>
        <v>95717322877.735855</v>
      </c>
      <c r="BU35" s="1701">
        <f t="shared" ca="1" si="136"/>
        <v>99884495735.888275</v>
      </c>
      <c r="BV35" s="1701">
        <f t="shared" ca="1" si="137"/>
        <v>97875472755.621994</v>
      </c>
      <c r="BW35" s="1701">
        <f t="shared" ca="1" si="138"/>
        <v>86655902022.007446</v>
      </c>
      <c r="BX35" s="1701">
        <f t="shared" ca="1" si="139"/>
        <v>80957892403.966949</v>
      </c>
      <c r="BY35" s="1701">
        <f t="shared" ca="1" si="140"/>
        <v>77798395595.364105</v>
      </c>
      <c r="BZ35" s="1701">
        <f t="shared" ca="1" si="141"/>
        <v>75947005814.26239</v>
      </c>
      <c r="CA35" s="1701">
        <f t="shared" ca="1" si="142"/>
        <v>75126618276.279129</v>
      </c>
      <c r="CB35" s="1673"/>
      <c r="CC35" s="1706">
        <f ca="1">AVERAGE(Costs!$BS35:$CA35)</f>
        <v>86179371958.010452</v>
      </c>
      <c r="CD35" s="1706">
        <f t="shared" ca="1" si="56"/>
        <v>851365414622.1062</v>
      </c>
      <c r="CF35" s="1703">
        <f t="shared" ca="1" si="143"/>
        <v>0</v>
      </c>
      <c r="CG35" s="1703">
        <f t="shared" ca="1" si="144"/>
        <v>-20132161473.535759</v>
      </c>
      <c r="CH35" s="1703">
        <f t="shared" ca="1" si="145"/>
        <v>-10066080736.767879</v>
      </c>
      <c r="CI35" s="1703">
        <f t="shared" ca="1" si="146"/>
        <v>1386527071.4269791</v>
      </c>
      <c r="CJ35" s="1703">
        <f t="shared" ca="1" si="147"/>
        <v>3368543411.0385399</v>
      </c>
      <c r="CK35" s="1703">
        <f t="shared" ca="1" si="148"/>
        <v>3497418691.4283409</v>
      </c>
      <c r="CL35" s="1703">
        <f t="shared" ca="1" si="149"/>
        <v>1688009754.7554436</v>
      </c>
      <c r="CM35" s="1703">
        <f t="shared" ca="1" si="150"/>
        <v>406989467.68076324</v>
      </c>
      <c r="CN35" s="1703">
        <f t="shared" ca="1" si="151"/>
        <v>149238906.90113831</v>
      </c>
      <c r="CO35" s="1673"/>
      <c r="CP35" s="1706">
        <f ca="1">AVERAGE(Costs!$CF35:$CN35)</f>
        <v>-2189057211.8969369</v>
      </c>
      <c r="CQ35" s="1706">
        <f t="shared" ca="1" si="48"/>
        <v>-75513717727.216888</v>
      </c>
      <c r="CR35" s="1426" t="str">
        <f t="shared" ca="1" si="49"/>
        <v>ok</v>
      </c>
    </row>
    <row r="36" spans="1:96" x14ac:dyDescent="0.2">
      <c r="A36" s="1685" t="s">
        <v>1707</v>
      </c>
      <c r="B36" s="1685" t="s">
        <v>1710</v>
      </c>
      <c r="C36" s="1685" t="s">
        <v>1732</v>
      </c>
      <c r="D36" s="2133"/>
      <c r="E36" s="1691">
        <f t="shared" ca="1" si="152"/>
        <v>0</v>
      </c>
      <c r="F36" s="1691">
        <f t="shared" ca="1" si="152"/>
        <v>0</v>
      </c>
      <c r="G36" s="1691">
        <f t="shared" ca="1" si="152"/>
        <v>0</v>
      </c>
      <c r="H36" s="1691">
        <f t="shared" ca="1" si="152"/>
        <v>0</v>
      </c>
      <c r="I36" s="1691">
        <f t="shared" ca="1" si="152"/>
        <v>0</v>
      </c>
      <c r="J36" s="1691">
        <f t="shared" ca="1" si="152"/>
        <v>0</v>
      </c>
      <c r="K36" s="1691">
        <f t="shared" ca="1" si="152"/>
        <v>0</v>
      </c>
      <c r="L36" s="1691">
        <f t="shared" ca="1" si="152"/>
        <v>0</v>
      </c>
      <c r="M36" s="1691">
        <f t="shared" ca="1" si="152"/>
        <v>0</v>
      </c>
      <c r="N36" s="675"/>
      <c r="O36" s="1691">
        <f t="shared" ca="1" si="153"/>
        <v>0</v>
      </c>
      <c r="P36" s="1691">
        <f t="shared" ca="1" si="153"/>
        <v>0</v>
      </c>
      <c r="Q36" s="1691">
        <f t="shared" ca="1" si="153"/>
        <v>0</v>
      </c>
      <c r="R36" s="1691">
        <f t="shared" ca="1" si="153"/>
        <v>0</v>
      </c>
      <c r="S36" s="1691">
        <f t="shared" ca="1" si="153"/>
        <v>0</v>
      </c>
      <c r="T36" s="1691">
        <f t="shared" ca="1" si="153"/>
        <v>0</v>
      </c>
      <c r="U36" s="1691">
        <f t="shared" ca="1" si="153"/>
        <v>0</v>
      </c>
      <c r="V36" s="1691">
        <f t="shared" ca="1" si="153"/>
        <v>0</v>
      </c>
      <c r="W36" s="1691">
        <f t="shared" ca="1" si="153"/>
        <v>0</v>
      </c>
      <c r="X36" s="675"/>
      <c r="Y36" s="1691">
        <f t="shared" ca="1" si="154"/>
        <v>20845855878.530571</v>
      </c>
      <c r="Z36" s="1691">
        <f t="shared" ca="1" si="154"/>
        <v>20009444508.940948</v>
      </c>
      <c r="AA36" s="1691">
        <f t="shared" ca="1" si="154"/>
        <v>22279411151.805107</v>
      </c>
      <c r="AB36" s="1691">
        <f t="shared" ca="1" si="154"/>
        <v>51990124348.078651</v>
      </c>
      <c r="AC36" s="1691">
        <f t="shared" ca="1" si="154"/>
        <v>96401916471.96286</v>
      </c>
      <c r="AD36" s="1691">
        <f t="shared" ca="1" si="154"/>
        <v>143185199465.70953</v>
      </c>
      <c r="AE36" s="1691">
        <f t="shared" ca="1" si="154"/>
        <v>189968482459.45621</v>
      </c>
      <c r="AF36" s="1691">
        <f t="shared" ca="1" si="154"/>
        <v>236751765453.20291</v>
      </c>
      <c r="AG36" s="1691">
        <f t="shared" ca="1" si="154"/>
        <v>290529508854.88684</v>
      </c>
      <c r="AH36" s="675"/>
      <c r="AI36" s="1691">
        <f t="shared" ca="1" si="116"/>
        <v>20845855878.530571</v>
      </c>
      <c r="AJ36" s="1691">
        <f t="shared" ca="1" si="117"/>
        <v>20009444508.940948</v>
      </c>
      <c r="AK36" s="1691">
        <f t="shared" ca="1" si="118"/>
        <v>22279411151.805107</v>
      </c>
      <c r="AL36" s="1691">
        <f t="shared" ca="1" si="119"/>
        <v>51990124348.078651</v>
      </c>
      <c r="AM36" s="1691">
        <f t="shared" ca="1" si="120"/>
        <v>96401916471.96286</v>
      </c>
      <c r="AN36" s="1691">
        <f t="shared" ca="1" si="121"/>
        <v>143185199465.70953</v>
      </c>
      <c r="AO36" s="1691">
        <f t="shared" ca="1" si="122"/>
        <v>189968482459.45621</v>
      </c>
      <c r="AP36" s="1691">
        <f t="shared" ca="1" si="123"/>
        <v>236751765453.20291</v>
      </c>
      <c r="AQ36" s="1691">
        <f t="shared" ca="1" si="124"/>
        <v>290529508854.88684</v>
      </c>
      <c r="AS36" s="1707">
        <f ca="1">AVERAGE(Costs!$AI36:$AQ36)</f>
        <v>119106856510.28595</v>
      </c>
      <c r="AT36" s="1707">
        <f t="shared" ca="1" si="55"/>
        <v>500768785319.32556</v>
      </c>
      <c r="AU36" s="675"/>
      <c r="AV36" s="1700">
        <f>IFERROR(VLOOKUP($A36,Cost.FinanceCostTable,3,FALSE),'Global assumptions'!$D$35)</f>
        <v>0</v>
      </c>
      <c r="AW36" s="1692">
        <f>IFERROR(VLOOKUP($A36,Cost.FinanceCostTable,4,FALSE),'Global assumptions'!$E$35)</f>
        <v>5</v>
      </c>
      <c r="AX36" s="675"/>
      <c r="AY36" s="1691">
        <f t="shared" ca="1" si="125"/>
        <v>0</v>
      </c>
      <c r="AZ36" s="1691">
        <f t="shared" ca="1" si="126"/>
        <v>0</v>
      </c>
      <c r="BA36" s="1691">
        <f t="shared" ca="1" si="127"/>
        <v>0</v>
      </c>
      <c r="BB36" s="1691">
        <f t="shared" ca="1" si="128"/>
        <v>0</v>
      </c>
      <c r="BC36" s="1691">
        <f t="shared" ca="1" si="129"/>
        <v>0</v>
      </c>
      <c r="BD36" s="1691">
        <f t="shared" ca="1" si="130"/>
        <v>0</v>
      </c>
      <c r="BE36" s="1691">
        <f t="shared" ca="1" si="131"/>
        <v>0</v>
      </c>
      <c r="BF36" s="1691">
        <f t="shared" ca="1" si="132"/>
        <v>0</v>
      </c>
      <c r="BG36" s="1691">
        <f t="shared" ca="1" si="133"/>
        <v>0</v>
      </c>
      <c r="BH36" s="675"/>
      <c r="BI36" s="1691">
        <f t="shared" ca="1" si="39"/>
        <v>0</v>
      </c>
      <c r="BJ36" s="1691">
        <f t="shared" ca="1" si="40"/>
        <v>0</v>
      </c>
      <c r="BK36" s="1691">
        <f t="shared" ca="1" si="41"/>
        <v>0</v>
      </c>
      <c r="BL36" s="1691">
        <f t="shared" ca="1" si="42"/>
        <v>0</v>
      </c>
      <c r="BM36" s="1691">
        <f t="shared" ca="1" si="43"/>
        <v>0</v>
      </c>
      <c r="BN36" s="1691">
        <f t="shared" ca="1" si="44"/>
        <v>0</v>
      </c>
      <c r="BO36" s="1691">
        <f t="shared" ca="1" si="45"/>
        <v>0</v>
      </c>
      <c r="BP36" s="1691">
        <f t="shared" ca="1" si="46"/>
        <v>0</v>
      </c>
      <c r="BQ36" s="1691">
        <f t="shared" ca="1" si="47"/>
        <v>0</v>
      </c>
      <c r="BR36" s="675"/>
      <c r="BS36" s="1702">
        <f t="shared" ca="1" si="134"/>
        <v>20845855878.530571</v>
      </c>
      <c r="BT36" s="1702">
        <f t="shared" ca="1" si="135"/>
        <v>20009444508.940948</v>
      </c>
      <c r="BU36" s="1702">
        <f t="shared" ca="1" si="136"/>
        <v>22279411151.805107</v>
      </c>
      <c r="BV36" s="1702">
        <f t="shared" ca="1" si="137"/>
        <v>51990124348.078651</v>
      </c>
      <c r="BW36" s="1702">
        <f t="shared" ca="1" si="138"/>
        <v>96401916471.96286</v>
      </c>
      <c r="BX36" s="1702">
        <f t="shared" ca="1" si="139"/>
        <v>143185199465.70953</v>
      </c>
      <c r="BY36" s="1702">
        <f t="shared" ca="1" si="140"/>
        <v>189968482459.45621</v>
      </c>
      <c r="BZ36" s="1702">
        <f t="shared" ca="1" si="141"/>
        <v>236751765453.20291</v>
      </c>
      <c r="CA36" s="1702">
        <f t="shared" ca="1" si="142"/>
        <v>290529508854.88684</v>
      </c>
      <c r="CC36" s="1707">
        <f ca="1">AVERAGE(Costs!$BS36:$CA36)</f>
        <v>119106856510.28595</v>
      </c>
      <c r="CD36" s="1707">
        <f t="shared" ca="1" si="56"/>
        <v>500768785319.32556</v>
      </c>
      <c r="CE36" s="1571"/>
      <c r="CF36" s="1704">
        <f t="shared" ca="1" si="143"/>
        <v>0</v>
      </c>
      <c r="CG36" s="1704">
        <f t="shared" ca="1" si="144"/>
        <v>0</v>
      </c>
      <c r="CH36" s="1704">
        <f t="shared" ca="1" si="145"/>
        <v>0</v>
      </c>
      <c r="CI36" s="1704">
        <f t="shared" ca="1" si="146"/>
        <v>0</v>
      </c>
      <c r="CJ36" s="1704">
        <f t="shared" ca="1" si="147"/>
        <v>0</v>
      </c>
      <c r="CK36" s="1704">
        <f t="shared" ca="1" si="148"/>
        <v>0</v>
      </c>
      <c r="CL36" s="1704">
        <f t="shared" ca="1" si="149"/>
        <v>0</v>
      </c>
      <c r="CM36" s="1704">
        <f t="shared" ca="1" si="150"/>
        <v>0</v>
      </c>
      <c r="CN36" s="1704">
        <f t="shared" ca="1" si="151"/>
        <v>0</v>
      </c>
      <c r="CP36" s="1707">
        <f ca="1">AVERAGE(Costs!$CF36:$CN36)</f>
        <v>0</v>
      </c>
      <c r="CQ36" s="1707">
        <f t="shared" ca="1" si="48"/>
        <v>0</v>
      </c>
      <c r="CR36" s="1426" t="str">
        <f t="shared" ca="1" si="49"/>
        <v>ok</v>
      </c>
    </row>
    <row r="37" spans="1:96" x14ac:dyDescent="0.2">
      <c r="A37" s="1683" t="s">
        <v>1708</v>
      </c>
      <c r="B37" s="1683" t="s">
        <v>1711</v>
      </c>
      <c r="C37" s="1683" t="s">
        <v>1732</v>
      </c>
      <c r="D37" s="2133"/>
      <c r="E37" s="1689">
        <f t="shared" ca="1" si="152"/>
        <v>0</v>
      </c>
      <c r="F37" s="1689">
        <f t="shared" ca="1" si="152"/>
        <v>0</v>
      </c>
      <c r="G37" s="1689">
        <f t="shared" ca="1" si="152"/>
        <v>0</v>
      </c>
      <c r="H37" s="1689">
        <f t="shared" ca="1" si="152"/>
        <v>0</v>
      </c>
      <c r="I37" s="1689">
        <f t="shared" ca="1" si="152"/>
        <v>0</v>
      </c>
      <c r="J37" s="1689">
        <f t="shared" ca="1" si="152"/>
        <v>0</v>
      </c>
      <c r="K37" s="1689">
        <f t="shared" ca="1" si="152"/>
        <v>0</v>
      </c>
      <c r="L37" s="1689">
        <f t="shared" ca="1" si="152"/>
        <v>0</v>
      </c>
      <c r="M37" s="1689">
        <f t="shared" ca="1" si="152"/>
        <v>0</v>
      </c>
      <c r="N37" s="675"/>
      <c r="O37" s="1689">
        <f t="shared" ca="1" si="153"/>
        <v>0</v>
      </c>
      <c r="P37" s="1689">
        <f t="shared" ca="1" si="153"/>
        <v>0</v>
      </c>
      <c r="Q37" s="1689">
        <f t="shared" ca="1" si="153"/>
        <v>0</v>
      </c>
      <c r="R37" s="1689">
        <f t="shared" ca="1" si="153"/>
        <v>0</v>
      </c>
      <c r="S37" s="1689">
        <f t="shared" ca="1" si="153"/>
        <v>0</v>
      </c>
      <c r="T37" s="1689">
        <f t="shared" ca="1" si="153"/>
        <v>0</v>
      </c>
      <c r="U37" s="1689">
        <f t="shared" ca="1" si="153"/>
        <v>0</v>
      </c>
      <c r="V37" s="1689">
        <f t="shared" ca="1" si="153"/>
        <v>0</v>
      </c>
      <c r="W37" s="1689">
        <f t="shared" ca="1" si="153"/>
        <v>0</v>
      </c>
      <c r="X37" s="675"/>
      <c r="Y37" s="1689">
        <f t="shared" ca="1" si="154"/>
        <v>11881558667529.107</v>
      </c>
      <c r="Z37" s="1689">
        <f t="shared" ca="1" si="154"/>
        <v>12359918451742.887</v>
      </c>
      <c r="AA37" s="1689">
        <f t="shared" ca="1" si="154"/>
        <v>12746576248556.977</v>
      </c>
      <c r="AB37" s="1689">
        <f t="shared" ca="1" si="154"/>
        <v>13126400334168.012</v>
      </c>
      <c r="AC37" s="1689">
        <f t="shared" ca="1" si="154"/>
        <v>13499390708575.994</v>
      </c>
      <c r="AD37" s="1689">
        <f t="shared" ca="1" si="154"/>
        <v>13400855009973.248</v>
      </c>
      <c r="AE37" s="1689">
        <f t="shared" ca="1" si="154"/>
        <v>13302319311370.504</v>
      </c>
      <c r="AF37" s="1689">
        <f t="shared" ca="1" si="154"/>
        <v>13203783612767.76</v>
      </c>
      <c r="AG37" s="1689">
        <f t="shared" ca="1" si="154"/>
        <v>10323915305627.426</v>
      </c>
      <c r="AH37" s="675"/>
      <c r="AI37" s="1689">
        <f t="shared" ca="1" si="116"/>
        <v>11881558667529.107</v>
      </c>
      <c r="AJ37" s="1689">
        <f t="shared" ca="1" si="117"/>
        <v>12359918451742.887</v>
      </c>
      <c r="AK37" s="1689">
        <f t="shared" ca="1" si="118"/>
        <v>12746576248556.977</v>
      </c>
      <c r="AL37" s="1689">
        <f t="shared" ca="1" si="119"/>
        <v>13126400334168.012</v>
      </c>
      <c r="AM37" s="1689">
        <f t="shared" ca="1" si="120"/>
        <v>13499390708575.994</v>
      </c>
      <c r="AN37" s="1689">
        <f t="shared" ca="1" si="121"/>
        <v>13400855009973.248</v>
      </c>
      <c r="AO37" s="1689">
        <f t="shared" ca="1" si="122"/>
        <v>13302319311370.504</v>
      </c>
      <c r="AP37" s="1689">
        <f t="shared" ca="1" si="123"/>
        <v>13203783612767.76</v>
      </c>
      <c r="AQ37" s="1689">
        <f t="shared" ca="1" si="124"/>
        <v>10323915305627.426</v>
      </c>
      <c r="AS37" s="1706">
        <f ca="1">AVERAGE(Costs!$AI37:$AQ37)</f>
        <v>12649413072256.879</v>
      </c>
      <c r="AT37" s="1706">
        <f t="shared" ca="1" si="55"/>
        <v>116031556074103.73</v>
      </c>
      <c r="AU37" s="675"/>
      <c r="AV37" s="1699">
        <f>IFERROR(VLOOKUP($A37,Cost.FinanceCostTable,3,FALSE),'Global assumptions'!$D$35)</f>
        <v>0</v>
      </c>
      <c r="AW37" s="1690">
        <f>IFERROR(VLOOKUP($A37,Cost.FinanceCostTable,4,FALSE),'Global assumptions'!$E$35)</f>
        <v>5</v>
      </c>
      <c r="AX37" s="675"/>
      <c r="AY37" s="1689">
        <f t="shared" ca="1" si="125"/>
        <v>0</v>
      </c>
      <c r="AZ37" s="1689">
        <f t="shared" ca="1" si="126"/>
        <v>0</v>
      </c>
      <c r="BA37" s="1689">
        <f t="shared" ca="1" si="127"/>
        <v>0</v>
      </c>
      <c r="BB37" s="1689">
        <f t="shared" ca="1" si="128"/>
        <v>0</v>
      </c>
      <c r="BC37" s="1689">
        <f t="shared" ca="1" si="129"/>
        <v>0</v>
      </c>
      <c r="BD37" s="1689">
        <f t="shared" ca="1" si="130"/>
        <v>0</v>
      </c>
      <c r="BE37" s="1689">
        <f t="shared" ca="1" si="131"/>
        <v>0</v>
      </c>
      <c r="BF37" s="1689">
        <f t="shared" ca="1" si="132"/>
        <v>0</v>
      </c>
      <c r="BG37" s="1689">
        <f t="shared" ca="1" si="133"/>
        <v>0</v>
      </c>
      <c r="BH37" s="675"/>
      <c r="BI37" s="1689">
        <f t="shared" ca="1" si="39"/>
        <v>0</v>
      </c>
      <c r="BJ37" s="1689">
        <f t="shared" ca="1" si="40"/>
        <v>0</v>
      </c>
      <c r="BK37" s="1689">
        <f t="shared" ca="1" si="41"/>
        <v>0</v>
      </c>
      <c r="BL37" s="1689">
        <f t="shared" ca="1" si="42"/>
        <v>0</v>
      </c>
      <c r="BM37" s="1689">
        <f t="shared" ca="1" si="43"/>
        <v>0</v>
      </c>
      <c r="BN37" s="1689">
        <f t="shared" ca="1" si="44"/>
        <v>0</v>
      </c>
      <c r="BO37" s="1689">
        <f t="shared" ca="1" si="45"/>
        <v>0</v>
      </c>
      <c r="BP37" s="1689">
        <f t="shared" ca="1" si="46"/>
        <v>0</v>
      </c>
      <c r="BQ37" s="1689">
        <f t="shared" ca="1" si="47"/>
        <v>0</v>
      </c>
      <c r="BR37" s="675"/>
      <c r="BS37" s="1701">
        <f t="shared" ca="1" si="134"/>
        <v>11881558667529.107</v>
      </c>
      <c r="BT37" s="1701">
        <f t="shared" ca="1" si="135"/>
        <v>12359918451742.887</v>
      </c>
      <c r="BU37" s="1701">
        <f t="shared" ca="1" si="136"/>
        <v>12746576248556.977</v>
      </c>
      <c r="BV37" s="1701">
        <f t="shared" ca="1" si="137"/>
        <v>13126400334168.012</v>
      </c>
      <c r="BW37" s="1701">
        <f t="shared" ca="1" si="138"/>
        <v>13499390708575.994</v>
      </c>
      <c r="BX37" s="1701">
        <f t="shared" ca="1" si="139"/>
        <v>13400855009973.248</v>
      </c>
      <c r="BY37" s="1701">
        <f t="shared" ca="1" si="140"/>
        <v>13302319311370.504</v>
      </c>
      <c r="BZ37" s="1701">
        <f t="shared" ca="1" si="141"/>
        <v>13203783612767.76</v>
      </c>
      <c r="CA37" s="1701">
        <f t="shared" ca="1" si="142"/>
        <v>10323915305627.426</v>
      </c>
      <c r="CC37" s="1706">
        <f ca="1">AVERAGE(Costs!$BS37:$CA37)</f>
        <v>12649413072256.879</v>
      </c>
      <c r="CD37" s="1706">
        <f t="shared" ca="1" si="56"/>
        <v>116031556074103.73</v>
      </c>
      <c r="CF37" s="1703">
        <f t="shared" ca="1" si="143"/>
        <v>0</v>
      </c>
      <c r="CG37" s="1703">
        <f t="shared" ca="1" si="144"/>
        <v>0</v>
      </c>
      <c r="CH37" s="1703">
        <f t="shared" ca="1" si="145"/>
        <v>0</v>
      </c>
      <c r="CI37" s="1703">
        <f t="shared" ca="1" si="146"/>
        <v>0</v>
      </c>
      <c r="CJ37" s="1703">
        <f t="shared" ca="1" si="147"/>
        <v>0</v>
      </c>
      <c r="CK37" s="1703">
        <f t="shared" ca="1" si="148"/>
        <v>0</v>
      </c>
      <c r="CL37" s="1703">
        <f t="shared" ca="1" si="149"/>
        <v>0</v>
      </c>
      <c r="CM37" s="1703">
        <f t="shared" ca="1" si="150"/>
        <v>0</v>
      </c>
      <c r="CN37" s="1703">
        <f t="shared" ca="1" si="151"/>
        <v>0</v>
      </c>
      <c r="CP37" s="1706">
        <f ca="1">AVERAGE(Costs!$CF37:$CN37)</f>
        <v>0</v>
      </c>
      <c r="CQ37" s="1706">
        <f t="shared" ca="1" si="48"/>
        <v>0</v>
      </c>
      <c r="CR37" s="1426" t="str">
        <f t="shared" ca="1" si="49"/>
        <v>ok</v>
      </c>
    </row>
    <row r="38" spans="1:96" s="1571" customFormat="1" x14ac:dyDescent="0.2">
      <c r="A38" s="1685" t="s">
        <v>1709</v>
      </c>
      <c r="B38" s="1685" t="s">
        <v>1712</v>
      </c>
      <c r="C38" s="1685" t="s">
        <v>1732</v>
      </c>
      <c r="D38" s="2133"/>
      <c r="E38" s="1691">
        <f t="shared" ca="1" si="152"/>
        <v>0</v>
      </c>
      <c r="F38" s="1691">
        <f t="shared" ca="1" si="152"/>
        <v>0</v>
      </c>
      <c r="G38" s="1691">
        <f t="shared" ca="1" si="152"/>
        <v>0</v>
      </c>
      <c r="H38" s="1691">
        <f t="shared" ca="1" si="152"/>
        <v>0</v>
      </c>
      <c r="I38" s="1691">
        <f t="shared" ca="1" si="152"/>
        <v>0</v>
      </c>
      <c r="J38" s="1691">
        <f t="shared" ca="1" si="152"/>
        <v>0</v>
      </c>
      <c r="K38" s="1691">
        <f t="shared" ca="1" si="152"/>
        <v>0</v>
      </c>
      <c r="L38" s="1691">
        <f t="shared" ca="1" si="152"/>
        <v>0</v>
      </c>
      <c r="M38" s="1691">
        <f t="shared" ca="1" si="152"/>
        <v>0</v>
      </c>
      <c r="N38" s="675"/>
      <c r="O38" s="1691">
        <f t="shared" ca="1" si="153"/>
        <v>0</v>
      </c>
      <c r="P38" s="1691">
        <f t="shared" ca="1" si="153"/>
        <v>0</v>
      </c>
      <c r="Q38" s="1691">
        <f t="shared" ca="1" si="153"/>
        <v>0</v>
      </c>
      <c r="R38" s="1691">
        <f t="shared" ca="1" si="153"/>
        <v>0</v>
      </c>
      <c r="S38" s="1691">
        <f t="shared" ca="1" si="153"/>
        <v>0</v>
      </c>
      <c r="T38" s="1691">
        <f t="shared" ca="1" si="153"/>
        <v>0</v>
      </c>
      <c r="U38" s="1691">
        <f t="shared" ca="1" si="153"/>
        <v>0</v>
      </c>
      <c r="V38" s="1691">
        <f t="shared" ca="1" si="153"/>
        <v>0</v>
      </c>
      <c r="W38" s="1691">
        <f t="shared" ca="1" si="153"/>
        <v>0</v>
      </c>
      <c r="X38" s="675"/>
      <c r="Y38" s="1691">
        <f t="shared" ca="1" si="154"/>
        <v>2857910706082.9263</v>
      </c>
      <c r="Z38" s="1691">
        <f t="shared" ca="1" si="154"/>
        <v>3169767878384.0088</v>
      </c>
      <c r="AA38" s="1691">
        <f t="shared" ca="1" si="154"/>
        <v>3227233480231.1636</v>
      </c>
      <c r="AB38" s="1691">
        <f t="shared" ca="1" si="154"/>
        <v>3284643164360.6113</v>
      </c>
      <c r="AC38" s="1691">
        <f t="shared" ca="1" si="154"/>
        <v>3341996930772.3501</v>
      </c>
      <c r="AD38" s="1691">
        <f t="shared" ca="1" si="154"/>
        <v>3400908809297.9546</v>
      </c>
      <c r="AE38" s="1691">
        <f t="shared" ca="1" si="154"/>
        <v>3459820687823.5591</v>
      </c>
      <c r="AF38" s="1691">
        <f t="shared" ca="1" si="154"/>
        <v>3518732566349.1636</v>
      </c>
      <c r="AG38" s="1691">
        <f t="shared" ca="1" si="154"/>
        <v>3665900526655.2017</v>
      </c>
      <c r="AH38" s="675"/>
      <c r="AI38" s="1691">
        <f t="shared" ca="1" si="116"/>
        <v>2857910706082.9263</v>
      </c>
      <c r="AJ38" s="1691">
        <f t="shared" ca="1" si="117"/>
        <v>3169767878384.0088</v>
      </c>
      <c r="AK38" s="1691">
        <f t="shared" ca="1" si="118"/>
        <v>3227233480231.1636</v>
      </c>
      <c r="AL38" s="1691">
        <f t="shared" ca="1" si="119"/>
        <v>3284643164360.6113</v>
      </c>
      <c r="AM38" s="1691">
        <f t="shared" ca="1" si="120"/>
        <v>3341996930772.3501</v>
      </c>
      <c r="AN38" s="1691">
        <f t="shared" ca="1" si="121"/>
        <v>3400908809297.9546</v>
      </c>
      <c r="AO38" s="1691">
        <f t="shared" ca="1" si="122"/>
        <v>3459820687823.5591</v>
      </c>
      <c r="AP38" s="1691">
        <f t="shared" ca="1" si="123"/>
        <v>3518732566349.1636</v>
      </c>
      <c r="AQ38" s="1691">
        <f t="shared" ca="1" si="124"/>
        <v>3665900526655.2017</v>
      </c>
      <c r="AR38" s="1673"/>
      <c r="AS38" s="1707">
        <f ca="1">AVERAGE(Costs!$AI38:$AQ38)</f>
        <v>3325212749995.2158</v>
      </c>
      <c r="AT38" s="1707">
        <f t="shared" ca="1" si="55"/>
        <v>29547606355051.824</v>
      </c>
      <c r="AU38" s="675"/>
      <c r="AV38" s="1700">
        <f>IFERROR(VLOOKUP($A38,Cost.FinanceCostTable,3,FALSE),'Global assumptions'!$D$35)</f>
        <v>0</v>
      </c>
      <c r="AW38" s="1692">
        <f>IFERROR(VLOOKUP($A38,Cost.FinanceCostTable,4,FALSE),'Global assumptions'!$E$35)</f>
        <v>5</v>
      </c>
      <c r="AX38" s="675"/>
      <c r="AY38" s="1691">
        <f t="shared" ca="1" si="125"/>
        <v>0</v>
      </c>
      <c r="AZ38" s="1691">
        <f t="shared" ca="1" si="126"/>
        <v>0</v>
      </c>
      <c r="BA38" s="1691">
        <f t="shared" ca="1" si="127"/>
        <v>0</v>
      </c>
      <c r="BB38" s="1691">
        <f t="shared" ca="1" si="128"/>
        <v>0</v>
      </c>
      <c r="BC38" s="1691">
        <f t="shared" ca="1" si="129"/>
        <v>0</v>
      </c>
      <c r="BD38" s="1691">
        <f t="shared" ca="1" si="130"/>
        <v>0</v>
      </c>
      <c r="BE38" s="1691">
        <f t="shared" ca="1" si="131"/>
        <v>0</v>
      </c>
      <c r="BF38" s="1691">
        <f t="shared" ca="1" si="132"/>
        <v>0</v>
      </c>
      <c r="BG38" s="1691">
        <f t="shared" ca="1" si="133"/>
        <v>0</v>
      </c>
      <c r="BH38" s="675"/>
      <c r="BI38" s="1691">
        <f t="shared" ca="1" si="39"/>
        <v>0</v>
      </c>
      <c r="BJ38" s="1691">
        <f t="shared" ca="1" si="40"/>
        <v>0</v>
      </c>
      <c r="BK38" s="1691">
        <f t="shared" ca="1" si="41"/>
        <v>0</v>
      </c>
      <c r="BL38" s="1691">
        <f t="shared" ca="1" si="42"/>
        <v>0</v>
      </c>
      <c r="BM38" s="1691">
        <f t="shared" ca="1" si="43"/>
        <v>0</v>
      </c>
      <c r="BN38" s="1691">
        <f t="shared" ca="1" si="44"/>
        <v>0</v>
      </c>
      <c r="BO38" s="1691">
        <f t="shared" ca="1" si="45"/>
        <v>0</v>
      </c>
      <c r="BP38" s="1691">
        <f t="shared" ca="1" si="46"/>
        <v>0</v>
      </c>
      <c r="BQ38" s="1691">
        <f t="shared" ca="1" si="47"/>
        <v>0</v>
      </c>
      <c r="BR38" s="675"/>
      <c r="BS38" s="1702">
        <f t="shared" ca="1" si="134"/>
        <v>2857910706082.9263</v>
      </c>
      <c r="BT38" s="1702">
        <f t="shared" ca="1" si="135"/>
        <v>3169767878384.0088</v>
      </c>
      <c r="BU38" s="1702">
        <f t="shared" ca="1" si="136"/>
        <v>3227233480231.1636</v>
      </c>
      <c r="BV38" s="1702">
        <f t="shared" ca="1" si="137"/>
        <v>3284643164360.6113</v>
      </c>
      <c r="BW38" s="1702">
        <f t="shared" ca="1" si="138"/>
        <v>3341996930772.3501</v>
      </c>
      <c r="BX38" s="1702">
        <f t="shared" ca="1" si="139"/>
        <v>3400908809297.9546</v>
      </c>
      <c r="BY38" s="1702">
        <f t="shared" ca="1" si="140"/>
        <v>3459820687823.5591</v>
      </c>
      <c r="BZ38" s="1702">
        <f t="shared" ca="1" si="141"/>
        <v>3518732566349.1636</v>
      </c>
      <c r="CA38" s="1702">
        <f t="shared" ca="1" si="142"/>
        <v>3665900526655.2017</v>
      </c>
      <c r="CB38" s="1673"/>
      <c r="CC38" s="1707">
        <f ca="1">AVERAGE(Costs!$BS38:$CA38)</f>
        <v>3325212749995.2158</v>
      </c>
      <c r="CD38" s="1707">
        <f t="shared" ca="1" si="56"/>
        <v>29547606355051.824</v>
      </c>
      <c r="CE38" s="1352"/>
      <c r="CF38" s="1704">
        <f t="shared" ca="1" si="143"/>
        <v>0</v>
      </c>
      <c r="CG38" s="1704">
        <f t="shared" ca="1" si="144"/>
        <v>0</v>
      </c>
      <c r="CH38" s="1704">
        <f t="shared" ca="1" si="145"/>
        <v>0</v>
      </c>
      <c r="CI38" s="1704">
        <f t="shared" ca="1" si="146"/>
        <v>0</v>
      </c>
      <c r="CJ38" s="1704">
        <f t="shared" ca="1" si="147"/>
        <v>0</v>
      </c>
      <c r="CK38" s="1704">
        <f t="shared" ca="1" si="148"/>
        <v>0</v>
      </c>
      <c r="CL38" s="1704">
        <f t="shared" ca="1" si="149"/>
        <v>0</v>
      </c>
      <c r="CM38" s="1704">
        <f t="shared" ca="1" si="150"/>
        <v>0</v>
      </c>
      <c r="CN38" s="1704">
        <f t="shared" ca="1" si="151"/>
        <v>0</v>
      </c>
      <c r="CO38" s="1673"/>
      <c r="CP38" s="1707">
        <f ca="1">AVERAGE(Costs!$CF38:$CN38)</f>
        <v>0</v>
      </c>
      <c r="CQ38" s="1707">
        <f t="shared" ca="1" si="48"/>
        <v>0</v>
      </c>
      <c r="CR38" s="1426" t="str">
        <f t="shared" ca="1" si="49"/>
        <v>ok</v>
      </c>
    </row>
    <row r="39" spans="1:96" s="1571" customFormat="1" x14ac:dyDescent="0.2">
      <c r="A39" s="1683" t="s">
        <v>439</v>
      </c>
      <c r="B39" s="1683" t="s">
        <v>441</v>
      </c>
      <c r="C39" s="1683" t="s">
        <v>1732</v>
      </c>
      <c r="D39" s="2133"/>
      <c r="E39" s="1689">
        <f t="shared" ca="1" si="152"/>
        <v>0</v>
      </c>
      <c r="F39" s="1689">
        <f t="shared" ca="1" si="152"/>
        <v>7105059144.6593437</v>
      </c>
      <c r="G39" s="1689">
        <f t="shared" ca="1" si="152"/>
        <v>61341746976.239227</v>
      </c>
      <c r="H39" s="1689">
        <f t="shared" ca="1" si="152"/>
        <v>15389264846.227713</v>
      </c>
      <c r="I39" s="1689">
        <f t="shared" ca="1" si="152"/>
        <v>36000233537.913506</v>
      </c>
      <c r="J39" s="1689">
        <f t="shared" ca="1" si="152"/>
        <v>77397649627.414459</v>
      </c>
      <c r="K39" s="1689">
        <f t="shared" ca="1" si="152"/>
        <v>86049908386.466599</v>
      </c>
      <c r="L39" s="1689">
        <f t="shared" ca="1" si="152"/>
        <v>90418219806.67984</v>
      </c>
      <c r="M39" s="1689">
        <f t="shared" ca="1" si="152"/>
        <v>99534917810.173981</v>
      </c>
      <c r="N39" s="675"/>
      <c r="O39" s="1689">
        <f t="shared" ca="1" si="153"/>
        <v>0</v>
      </c>
      <c r="P39" s="1689">
        <f t="shared" ca="1" si="153"/>
        <v>19431875.925471503</v>
      </c>
      <c r="Q39" s="1689">
        <f t="shared" ca="1" si="153"/>
        <v>48242209.549303181</v>
      </c>
      <c r="R39" s="1689">
        <f t="shared" ca="1" si="153"/>
        <v>28568565.99273343</v>
      </c>
      <c r="S39" s="1689">
        <f t="shared" ca="1" si="153"/>
        <v>42616037.772373736</v>
      </c>
      <c r="T39" s="1689">
        <f t="shared" ca="1" si="153"/>
        <v>75951008.293809086</v>
      </c>
      <c r="U39" s="1689">
        <f t="shared" ca="1" si="153"/>
        <v>108250661.76337099</v>
      </c>
      <c r="V39" s="1689">
        <f t="shared" ca="1" si="153"/>
        <v>137449334.02260011</v>
      </c>
      <c r="W39" s="1689">
        <f t="shared" ca="1" si="153"/>
        <v>166544726.00638515</v>
      </c>
      <c r="X39" s="675"/>
      <c r="Y39" s="1689">
        <f t="shared" ca="1" si="154"/>
        <v>0</v>
      </c>
      <c r="Z39" s="1689">
        <f t="shared" ca="1" si="154"/>
        <v>0</v>
      </c>
      <c r="AA39" s="1689">
        <f t="shared" ca="1" si="154"/>
        <v>0</v>
      </c>
      <c r="AB39" s="1689">
        <f t="shared" ca="1" si="154"/>
        <v>0</v>
      </c>
      <c r="AC39" s="1689">
        <f t="shared" ca="1" si="154"/>
        <v>0</v>
      </c>
      <c r="AD39" s="1689">
        <f t="shared" ca="1" si="154"/>
        <v>0</v>
      </c>
      <c r="AE39" s="1689">
        <f t="shared" ca="1" si="154"/>
        <v>0</v>
      </c>
      <c r="AF39" s="1689">
        <f t="shared" ca="1" si="154"/>
        <v>0</v>
      </c>
      <c r="AG39" s="1689">
        <f t="shared" ca="1" si="154"/>
        <v>0</v>
      </c>
      <c r="AH39" s="675"/>
      <c r="AI39" s="1689">
        <f t="shared" ca="1" si="116"/>
        <v>0</v>
      </c>
      <c r="AJ39" s="1689">
        <f t="shared" ca="1" si="117"/>
        <v>7124491020.584815</v>
      </c>
      <c r="AK39" s="1689">
        <f t="shared" ca="1" si="118"/>
        <v>61389989185.788528</v>
      </c>
      <c r="AL39" s="1689">
        <f t="shared" ca="1" si="119"/>
        <v>15417833412.220446</v>
      </c>
      <c r="AM39" s="1689">
        <f t="shared" ca="1" si="120"/>
        <v>36042849575.685883</v>
      </c>
      <c r="AN39" s="1689">
        <f t="shared" ca="1" si="121"/>
        <v>77473600635.708267</v>
      </c>
      <c r="AO39" s="1689">
        <f t="shared" ca="1" si="122"/>
        <v>86158159048.229965</v>
      </c>
      <c r="AP39" s="1689">
        <f t="shared" ca="1" si="123"/>
        <v>90555669140.702438</v>
      </c>
      <c r="AQ39" s="1689">
        <f t="shared" ca="1" si="124"/>
        <v>99701462536.180359</v>
      </c>
      <c r="AR39" s="1673"/>
      <c r="AS39" s="1706">
        <f ca="1">AVERAGE(Costs!$AI39:$AQ39)</f>
        <v>52651561617.233414</v>
      </c>
      <c r="AT39" s="1706">
        <f t="shared" ca="1" si="55"/>
        <v>289784835992.11017</v>
      </c>
      <c r="AU39" s="675"/>
      <c r="AV39" s="1699">
        <f>IFERROR(VLOOKUP($A39,Cost.FinanceCostTable,3,FALSE),'Global assumptions'!$D$35)</f>
        <v>0</v>
      </c>
      <c r="AW39" s="1690">
        <f>IFERROR(VLOOKUP($A39,Cost.FinanceCostTable,4,FALSE),'Global assumptions'!$E$35)</f>
        <v>15</v>
      </c>
      <c r="AX39" s="675"/>
      <c r="AY39" s="1689">
        <f t="shared" ca="1" si="125"/>
        <v>0</v>
      </c>
      <c r="AZ39" s="1689">
        <f t="shared" ca="1" si="126"/>
        <v>2368353048.2197814</v>
      </c>
      <c r="BA39" s="1689">
        <f t="shared" ca="1" si="127"/>
        <v>20447248992.079746</v>
      </c>
      <c r="BB39" s="1689">
        <f t="shared" ca="1" si="128"/>
        <v>5129754948.7425709</v>
      </c>
      <c r="BC39" s="1689">
        <f t="shared" ca="1" si="129"/>
        <v>12000077845.971169</v>
      </c>
      <c r="BD39" s="1689">
        <f t="shared" ca="1" si="130"/>
        <v>25799216542.471485</v>
      </c>
      <c r="BE39" s="1689">
        <f t="shared" ca="1" si="131"/>
        <v>28683302795.488869</v>
      </c>
      <c r="BF39" s="1689">
        <f t="shared" ca="1" si="132"/>
        <v>30139406602.226612</v>
      </c>
      <c r="BG39" s="1689">
        <f t="shared" ca="1" si="133"/>
        <v>33178305936.724659</v>
      </c>
      <c r="BH39" s="675"/>
      <c r="BI39" s="1689">
        <f t="shared" ca="1" si="39"/>
        <v>0</v>
      </c>
      <c r="BJ39" s="1689">
        <f t="shared" ca="1" si="40"/>
        <v>2368353048.2197814</v>
      </c>
      <c r="BK39" s="1689">
        <f t="shared" ca="1" si="41"/>
        <v>22815602040.299526</v>
      </c>
      <c r="BL39" s="1689">
        <f t="shared" ca="1" si="42"/>
        <v>27945356989.042099</v>
      </c>
      <c r="BM39" s="1689">
        <f t="shared" ca="1" si="43"/>
        <v>37577081786.793488</v>
      </c>
      <c r="BN39" s="1689">
        <f t="shared" ca="1" si="44"/>
        <v>42929049337.185226</v>
      </c>
      <c r="BO39" s="1689">
        <f t="shared" ca="1" si="45"/>
        <v>66482597183.931519</v>
      </c>
      <c r="BP39" s="1689">
        <f t="shared" ca="1" si="46"/>
        <v>84621925940.186966</v>
      </c>
      <c r="BQ39" s="1689">
        <f t="shared" ca="1" si="47"/>
        <v>92001015334.44014</v>
      </c>
      <c r="BR39" s="675"/>
      <c r="BS39" s="1701">
        <f t="shared" ca="1" si="134"/>
        <v>0</v>
      </c>
      <c r="BT39" s="1701">
        <f t="shared" ca="1" si="135"/>
        <v>2387784924.1452527</v>
      </c>
      <c r="BU39" s="1701">
        <f t="shared" ca="1" si="136"/>
        <v>22863844249.848831</v>
      </c>
      <c r="BV39" s="1701">
        <f t="shared" ca="1" si="137"/>
        <v>27973925555.034832</v>
      </c>
      <c r="BW39" s="1701">
        <f t="shared" ca="1" si="138"/>
        <v>37619697824.565865</v>
      </c>
      <c r="BX39" s="1701">
        <f t="shared" ca="1" si="139"/>
        <v>43005000345.479034</v>
      </c>
      <c r="BY39" s="1701">
        <f t="shared" ca="1" si="140"/>
        <v>66590847845.694893</v>
      </c>
      <c r="BZ39" s="1701">
        <f t="shared" ca="1" si="141"/>
        <v>84759375274.209564</v>
      </c>
      <c r="CA39" s="1701">
        <f t="shared" ca="1" si="142"/>
        <v>92167560060.446518</v>
      </c>
      <c r="CB39" s="1673"/>
      <c r="CC39" s="1706">
        <f ca="1">AVERAGE(Costs!$BS39:$CA39)</f>
        <v>41929781786.602753</v>
      </c>
      <c r="CD39" s="1706">
        <f t="shared" ca="1" si="56"/>
        <v>192460354316.34381</v>
      </c>
      <c r="CF39" s="1703">
        <f t="shared" ca="1" si="143"/>
        <v>0</v>
      </c>
      <c r="CG39" s="1703">
        <f t="shared" ca="1" si="144"/>
        <v>-4736706096.4395618</v>
      </c>
      <c r="CH39" s="1703">
        <f t="shared" ca="1" si="145"/>
        <v>-38526144935.939697</v>
      </c>
      <c r="CI39" s="1703">
        <f t="shared" ca="1" si="146"/>
        <v>12556092142.814386</v>
      </c>
      <c r="CJ39" s="1703">
        <f t="shared" ca="1" si="147"/>
        <v>1576848248.879982</v>
      </c>
      <c r="CK39" s="1703">
        <f t="shared" ca="1" si="148"/>
        <v>-34468600290.229233</v>
      </c>
      <c r="CL39" s="1703">
        <f t="shared" ca="1" si="149"/>
        <v>-19567311202.53508</v>
      </c>
      <c r="CM39" s="1703">
        <f t="shared" ca="1" si="150"/>
        <v>-5796293866.4928741</v>
      </c>
      <c r="CN39" s="1703">
        <f t="shared" ca="1" si="151"/>
        <v>-7533902475.7338409</v>
      </c>
      <c r="CO39" s="1673"/>
      <c r="CP39" s="1706">
        <f ca="1">AVERAGE(Costs!$CF39:$CN39)</f>
        <v>-10721779830.630657</v>
      </c>
      <c r="CQ39" s="1706">
        <f t="shared" ca="1" si="48"/>
        <v>-97324481675.766388</v>
      </c>
      <c r="CR39" s="1426" t="str">
        <f t="shared" ca="1" si="49"/>
        <v>ok</v>
      </c>
    </row>
    <row r="40" spans="1:96" x14ac:dyDescent="0.2">
      <c r="A40" s="1685" t="s">
        <v>1698</v>
      </c>
      <c r="B40" s="1685" t="s">
        <v>1701</v>
      </c>
      <c r="C40" s="1685" t="s">
        <v>1732</v>
      </c>
      <c r="D40" s="2133"/>
      <c r="E40" s="1691">
        <f t="shared" ca="1" si="152"/>
        <v>0</v>
      </c>
      <c r="F40" s="1691">
        <f t="shared" ca="1" si="152"/>
        <v>0</v>
      </c>
      <c r="G40" s="1691">
        <f t="shared" ca="1" si="152"/>
        <v>0</v>
      </c>
      <c r="H40" s="1691">
        <f t="shared" ca="1" si="152"/>
        <v>0</v>
      </c>
      <c r="I40" s="1691">
        <f t="shared" ca="1" si="152"/>
        <v>0</v>
      </c>
      <c r="J40" s="1691">
        <f t="shared" ca="1" si="152"/>
        <v>0</v>
      </c>
      <c r="K40" s="1691">
        <f t="shared" ca="1" si="152"/>
        <v>0</v>
      </c>
      <c r="L40" s="1691">
        <f t="shared" ca="1" si="152"/>
        <v>0</v>
      </c>
      <c r="M40" s="1691">
        <f t="shared" ca="1" si="152"/>
        <v>0</v>
      </c>
      <c r="N40" s="675"/>
      <c r="O40" s="1691">
        <f t="shared" ca="1" si="153"/>
        <v>0</v>
      </c>
      <c r="P40" s="1691">
        <f t="shared" ca="1" si="153"/>
        <v>0</v>
      </c>
      <c r="Q40" s="1691">
        <f t="shared" ca="1" si="153"/>
        <v>0</v>
      </c>
      <c r="R40" s="1691">
        <f t="shared" ca="1" si="153"/>
        <v>0</v>
      </c>
      <c r="S40" s="1691">
        <f t="shared" ca="1" si="153"/>
        <v>0</v>
      </c>
      <c r="T40" s="1691">
        <f t="shared" ca="1" si="153"/>
        <v>0</v>
      </c>
      <c r="U40" s="1691">
        <f t="shared" ca="1" si="153"/>
        <v>0</v>
      </c>
      <c r="V40" s="1691">
        <f t="shared" ca="1" si="153"/>
        <v>0</v>
      </c>
      <c r="W40" s="1691">
        <f t="shared" ca="1" si="153"/>
        <v>0</v>
      </c>
      <c r="X40" s="675"/>
      <c r="Y40" s="1691">
        <f t="shared" ca="1" si="154"/>
        <v>-28962460960.214573</v>
      </c>
      <c r="Z40" s="1691">
        <f t="shared" ca="1" si="154"/>
        <v>-29984235741.156635</v>
      </c>
      <c r="AA40" s="1691">
        <f t="shared" ca="1" si="154"/>
        <v>39770856228.243439</v>
      </c>
      <c r="AB40" s="1691">
        <f t="shared" ca="1" si="154"/>
        <v>295572714771.06116</v>
      </c>
      <c r="AC40" s="1691">
        <f t="shared" ca="1" si="154"/>
        <v>687953034661.65234</v>
      </c>
      <c r="AD40" s="1691">
        <f t="shared" ca="1" si="154"/>
        <v>1295247128452.2917</v>
      </c>
      <c r="AE40" s="1691">
        <f t="shared" ca="1" si="154"/>
        <v>1941509499470.4687</v>
      </c>
      <c r="AF40" s="1691">
        <f t="shared" ca="1" si="154"/>
        <v>2582931736767.1851</v>
      </c>
      <c r="AG40" s="1691">
        <f t="shared" ca="1" si="154"/>
        <v>3304269894309.915</v>
      </c>
      <c r="AH40" s="675"/>
      <c r="AI40" s="1691">
        <f t="shared" ca="1" si="116"/>
        <v>-28962460960.214573</v>
      </c>
      <c r="AJ40" s="1691">
        <f t="shared" ca="1" si="117"/>
        <v>-29984235741.156635</v>
      </c>
      <c r="AK40" s="1691">
        <f t="shared" ca="1" si="118"/>
        <v>39770856228.243439</v>
      </c>
      <c r="AL40" s="1691">
        <f t="shared" ca="1" si="119"/>
        <v>295572714771.06116</v>
      </c>
      <c r="AM40" s="1691">
        <f t="shared" ca="1" si="120"/>
        <v>687953034661.65234</v>
      </c>
      <c r="AN40" s="1691">
        <f t="shared" ca="1" si="121"/>
        <v>1295247128452.2917</v>
      </c>
      <c r="AO40" s="1691">
        <f t="shared" ca="1" si="122"/>
        <v>1941509499470.4687</v>
      </c>
      <c r="AP40" s="1691">
        <f t="shared" ca="1" si="123"/>
        <v>2582931736767.1851</v>
      </c>
      <c r="AQ40" s="1691">
        <f t="shared" ca="1" si="124"/>
        <v>3304269894309.915</v>
      </c>
      <c r="AS40" s="1707">
        <f ca="1">AVERAGE(Costs!$AI40:$AQ40)</f>
        <v>1120923129773.2717</v>
      </c>
      <c r="AT40" s="1707">
        <f t="shared" ca="1" si="55"/>
        <v>3316712689929.1929</v>
      </c>
      <c r="AU40" s="675"/>
      <c r="AV40" s="1700">
        <f>IFERROR(VLOOKUP($A40,Cost.FinanceCostTable,3,FALSE),'Global assumptions'!$D$35)</f>
        <v>0</v>
      </c>
      <c r="AW40" s="1692">
        <f>IFERROR(VLOOKUP($A40,Cost.FinanceCostTable,4,FALSE),'Global assumptions'!$E$35)</f>
        <v>5</v>
      </c>
      <c r="AX40" s="675"/>
      <c r="AY40" s="1691">
        <f t="shared" ca="1" si="125"/>
        <v>0</v>
      </c>
      <c r="AZ40" s="1691">
        <f t="shared" ca="1" si="126"/>
        <v>0</v>
      </c>
      <c r="BA40" s="1691">
        <f t="shared" ca="1" si="127"/>
        <v>0</v>
      </c>
      <c r="BB40" s="1691">
        <f t="shared" ca="1" si="128"/>
        <v>0</v>
      </c>
      <c r="BC40" s="1691">
        <f t="shared" ca="1" si="129"/>
        <v>0</v>
      </c>
      <c r="BD40" s="1691">
        <f t="shared" ca="1" si="130"/>
        <v>0</v>
      </c>
      <c r="BE40" s="1691">
        <f t="shared" ca="1" si="131"/>
        <v>0</v>
      </c>
      <c r="BF40" s="1691">
        <f t="shared" ca="1" si="132"/>
        <v>0</v>
      </c>
      <c r="BG40" s="1691">
        <f t="shared" ca="1" si="133"/>
        <v>0</v>
      </c>
      <c r="BH40" s="675"/>
      <c r="BI40" s="1691">
        <f t="shared" ca="1" si="39"/>
        <v>0</v>
      </c>
      <c r="BJ40" s="1691">
        <f t="shared" ca="1" si="40"/>
        <v>0</v>
      </c>
      <c r="BK40" s="1691">
        <f t="shared" ca="1" si="41"/>
        <v>0</v>
      </c>
      <c r="BL40" s="1691">
        <f t="shared" ca="1" si="42"/>
        <v>0</v>
      </c>
      <c r="BM40" s="1691">
        <f t="shared" ca="1" si="43"/>
        <v>0</v>
      </c>
      <c r="BN40" s="1691">
        <f t="shared" ca="1" si="44"/>
        <v>0</v>
      </c>
      <c r="BO40" s="1691">
        <f t="shared" ca="1" si="45"/>
        <v>0</v>
      </c>
      <c r="BP40" s="1691">
        <f t="shared" ca="1" si="46"/>
        <v>0</v>
      </c>
      <c r="BQ40" s="1691">
        <f t="shared" ca="1" si="47"/>
        <v>0</v>
      </c>
      <c r="BR40" s="675"/>
      <c r="BS40" s="1702">
        <f t="shared" ca="1" si="134"/>
        <v>-28962460960.214573</v>
      </c>
      <c r="BT40" s="1702">
        <f t="shared" ca="1" si="135"/>
        <v>-29984235741.156635</v>
      </c>
      <c r="BU40" s="1702">
        <f t="shared" ca="1" si="136"/>
        <v>39770856228.243439</v>
      </c>
      <c r="BV40" s="1702">
        <f t="shared" ca="1" si="137"/>
        <v>295572714771.06116</v>
      </c>
      <c r="BW40" s="1702">
        <f t="shared" ca="1" si="138"/>
        <v>687953034661.65234</v>
      </c>
      <c r="BX40" s="1702">
        <f t="shared" ca="1" si="139"/>
        <v>1295247128452.2917</v>
      </c>
      <c r="BY40" s="1702">
        <f t="shared" ca="1" si="140"/>
        <v>1941509499470.4687</v>
      </c>
      <c r="BZ40" s="1702">
        <f t="shared" ca="1" si="141"/>
        <v>2582931736767.1851</v>
      </c>
      <c r="CA40" s="1702">
        <f t="shared" ca="1" si="142"/>
        <v>3304269894309.915</v>
      </c>
      <c r="CC40" s="1707">
        <f ca="1">AVERAGE(Costs!$BS40:$CA40)</f>
        <v>1120923129773.2717</v>
      </c>
      <c r="CD40" s="1707">
        <f t="shared" ca="1" si="56"/>
        <v>3316712689929.1929</v>
      </c>
      <c r="CE40" s="1571"/>
      <c r="CF40" s="1704">
        <f t="shared" ca="1" si="143"/>
        <v>0</v>
      </c>
      <c r="CG40" s="1704">
        <f t="shared" ca="1" si="144"/>
        <v>0</v>
      </c>
      <c r="CH40" s="1704">
        <f t="shared" ca="1" si="145"/>
        <v>0</v>
      </c>
      <c r="CI40" s="1704">
        <f t="shared" ca="1" si="146"/>
        <v>0</v>
      </c>
      <c r="CJ40" s="1704">
        <f t="shared" ca="1" si="147"/>
        <v>0</v>
      </c>
      <c r="CK40" s="1704">
        <f t="shared" ca="1" si="148"/>
        <v>0</v>
      </c>
      <c r="CL40" s="1704">
        <f t="shared" ca="1" si="149"/>
        <v>0</v>
      </c>
      <c r="CM40" s="1704">
        <f t="shared" ca="1" si="150"/>
        <v>0</v>
      </c>
      <c r="CN40" s="1704">
        <f t="shared" ca="1" si="151"/>
        <v>0</v>
      </c>
      <c r="CP40" s="1707">
        <f ca="1">AVERAGE(Costs!$CF40:$CN40)</f>
        <v>0</v>
      </c>
      <c r="CQ40" s="1707">
        <f t="shared" ca="1" si="48"/>
        <v>0</v>
      </c>
      <c r="CR40" s="1426" t="str">
        <f t="shared" ca="1" si="49"/>
        <v>ok</v>
      </c>
    </row>
    <row r="41" spans="1:96" s="1499" customFormat="1" x14ac:dyDescent="0.2">
      <c r="A41" s="1683" t="s">
        <v>1699</v>
      </c>
      <c r="B41" s="1683" t="s">
        <v>1702</v>
      </c>
      <c r="C41" s="1683" t="s">
        <v>1732</v>
      </c>
      <c r="D41" s="2133"/>
      <c r="E41" s="1689">
        <f t="shared" ca="1" si="152"/>
        <v>0</v>
      </c>
      <c r="F41" s="1689">
        <f t="shared" ca="1" si="152"/>
        <v>0</v>
      </c>
      <c r="G41" s="1689">
        <f t="shared" ca="1" si="152"/>
        <v>0</v>
      </c>
      <c r="H41" s="1689">
        <f t="shared" ca="1" si="152"/>
        <v>0</v>
      </c>
      <c r="I41" s="1689">
        <f t="shared" ca="1" si="152"/>
        <v>0</v>
      </c>
      <c r="J41" s="1689">
        <f t="shared" ca="1" si="152"/>
        <v>0</v>
      </c>
      <c r="K41" s="1689">
        <f t="shared" ca="1" si="152"/>
        <v>0</v>
      </c>
      <c r="L41" s="1689">
        <f t="shared" ca="1" si="152"/>
        <v>0</v>
      </c>
      <c r="M41" s="1689">
        <f t="shared" ca="1" si="152"/>
        <v>0</v>
      </c>
      <c r="N41" s="675"/>
      <c r="O41" s="1689">
        <f t="shared" ca="1" si="153"/>
        <v>0</v>
      </c>
      <c r="P41" s="1689">
        <f t="shared" ca="1" si="153"/>
        <v>0</v>
      </c>
      <c r="Q41" s="1689">
        <f t="shared" ca="1" si="153"/>
        <v>0</v>
      </c>
      <c r="R41" s="1689">
        <f t="shared" ca="1" si="153"/>
        <v>0</v>
      </c>
      <c r="S41" s="1689">
        <f t="shared" ca="1" si="153"/>
        <v>0</v>
      </c>
      <c r="T41" s="1689">
        <f t="shared" ca="1" si="153"/>
        <v>0</v>
      </c>
      <c r="U41" s="1689">
        <f t="shared" ca="1" si="153"/>
        <v>0</v>
      </c>
      <c r="V41" s="1689">
        <f t="shared" ca="1" si="153"/>
        <v>0</v>
      </c>
      <c r="W41" s="1689">
        <f t="shared" ca="1" si="153"/>
        <v>0</v>
      </c>
      <c r="X41" s="675"/>
      <c r="Y41" s="1689">
        <f t="shared" ca="1" si="154"/>
        <v>-9428228078494.5449</v>
      </c>
      <c r="Z41" s="1689">
        <f t="shared" ca="1" si="154"/>
        <v>-9112038585973.8223</v>
      </c>
      <c r="AA41" s="1689">
        <f t="shared" ca="1" si="154"/>
        <v>-9457342576949.5566</v>
      </c>
      <c r="AB41" s="1689">
        <f t="shared" ca="1" si="154"/>
        <v>-9358127661532.6445</v>
      </c>
      <c r="AC41" s="1689">
        <f t="shared" ca="1" si="154"/>
        <v>-8991387692756.8906</v>
      </c>
      <c r="AD41" s="1689">
        <f t="shared" ca="1" si="154"/>
        <v>-8861022540397.5781</v>
      </c>
      <c r="AE41" s="1689">
        <f t="shared" ca="1" si="154"/>
        <v>-8789005887943.5977</v>
      </c>
      <c r="AF41" s="1689">
        <f t="shared" ca="1" si="154"/>
        <v>-8724340574927.9004</v>
      </c>
      <c r="AG41" s="1689">
        <f t="shared" ca="1" si="154"/>
        <v>-8895566922704.9687</v>
      </c>
      <c r="AH41" s="675"/>
      <c r="AI41" s="1689">
        <f t="shared" ca="1" si="116"/>
        <v>-9428228078494.5449</v>
      </c>
      <c r="AJ41" s="1689">
        <f t="shared" ca="1" si="117"/>
        <v>-9112038585973.8223</v>
      </c>
      <c r="AK41" s="1689">
        <f t="shared" ca="1" si="118"/>
        <v>-9457342576949.5566</v>
      </c>
      <c r="AL41" s="1689">
        <f t="shared" ca="1" si="119"/>
        <v>-9358127661532.6445</v>
      </c>
      <c r="AM41" s="1689">
        <f t="shared" ca="1" si="120"/>
        <v>-8991387692756.8906</v>
      </c>
      <c r="AN41" s="1689">
        <f t="shared" ca="1" si="121"/>
        <v>-8861022540397.5781</v>
      </c>
      <c r="AO41" s="1689">
        <f t="shared" ca="1" si="122"/>
        <v>-8789005887943.5977</v>
      </c>
      <c r="AP41" s="1689">
        <f t="shared" ca="1" si="123"/>
        <v>-8724340574927.9004</v>
      </c>
      <c r="AQ41" s="1689">
        <f t="shared" ca="1" si="124"/>
        <v>-8895566922704.9687</v>
      </c>
      <c r="AR41" s="1673"/>
      <c r="AS41" s="1706">
        <f ca="1">AVERAGE(Costs!$AI41:$AQ41)</f>
        <v>-9068562280186.834</v>
      </c>
      <c r="AT41" s="1706">
        <f t="shared" ca="1" si="55"/>
        <v>-84493176810136.078</v>
      </c>
      <c r="AU41" s="675"/>
      <c r="AV41" s="1699">
        <f>IFERROR(VLOOKUP($A41,Cost.FinanceCostTable,3,FALSE),'Global assumptions'!$D$35)</f>
        <v>0</v>
      </c>
      <c r="AW41" s="1690">
        <f>IFERROR(VLOOKUP($A41,Cost.FinanceCostTable,4,FALSE),'Global assumptions'!$E$35)</f>
        <v>5</v>
      </c>
      <c r="AX41" s="675"/>
      <c r="AY41" s="1689">
        <f t="shared" ca="1" si="125"/>
        <v>0</v>
      </c>
      <c r="AZ41" s="1689">
        <f t="shared" ca="1" si="126"/>
        <v>0</v>
      </c>
      <c r="BA41" s="1689">
        <f t="shared" ca="1" si="127"/>
        <v>0</v>
      </c>
      <c r="BB41" s="1689">
        <f t="shared" ca="1" si="128"/>
        <v>0</v>
      </c>
      <c r="BC41" s="1689">
        <f t="shared" ca="1" si="129"/>
        <v>0</v>
      </c>
      <c r="BD41" s="1689">
        <f t="shared" ca="1" si="130"/>
        <v>0</v>
      </c>
      <c r="BE41" s="1689">
        <f t="shared" ca="1" si="131"/>
        <v>0</v>
      </c>
      <c r="BF41" s="1689">
        <f t="shared" ca="1" si="132"/>
        <v>0</v>
      </c>
      <c r="BG41" s="1689">
        <f t="shared" ca="1" si="133"/>
        <v>0</v>
      </c>
      <c r="BH41" s="675"/>
      <c r="BI41" s="1689">
        <f t="shared" ca="1" si="39"/>
        <v>0</v>
      </c>
      <c r="BJ41" s="1689">
        <f t="shared" ca="1" si="40"/>
        <v>0</v>
      </c>
      <c r="BK41" s="1689">
        <f t="shared" ca="1" si="41"/>
        <v>0</v>
      </c>
      <c r="BL41" s="1689">
        <f t="shared" ca="1" si="42"/>
        <v>0</v>
      </c>
      <c r="BM41" s="1689">
        <f t="shared" ca="1" si="43"/>
        <v>0</v>
      </c>
      <c r="BN41" s="1689">
        <f t="shared" ca="1" si="44"/>
        <v>0</v>
      </c>
      <c r="BO41" s="1689">
        <f t="shared" ca="1" si="45"/>
        <v>0</v>
      </c>
      <c r="BP41" s="1689">
        <f t="shared" ca="1" si="46"/>
        <v>0</v>
      </c>
      <c r="BQ41" s="1689">
        <f t="shared" ca="1" si="47"/>
        <v>0</v>
      </c>
      <c r="BR41" s="675"/>
      <c r="BS41" s="1701">
        <f t="shared" ca="1" si="134"/>
        <v>-9428228078494.5449</v>
      </c>
      <c r="BT41" s="1701">
        <f t="shared" ca="1" si="135"/>
        <v>-9112038585973.8223</v>
      </c>
      <c r="BU41" s="1701">
        <f t="shared" ca="1" si="136"/>
        <v>-9457342576949.5566</v>
      </c>
      <c r="BV41" s="1701">
        <f t="shared" ca="1" si="137"/>
        <v>-9358127661532.6445</v>
      </c>
      <c r="BW41" s="1701">
        <f t="shared" ca="1" si="138"/>
        <v>-8991387692756.8906</v>
      </c>
      <c r="BX41" s="1701">
        <f t="shared" ca="1" si="139"/>
        <v>-8861022540397.5781</v>
      </c>
      <c r="BY41" s="1701">
        <f t="shared" ca="1" si="140"/>
        <v>-8789005887943.5977</v>
      </c>
      <c r="BZ41" s="1701">
        <f t="shared" ca="1" si="141"/>
        <v>-8724340574927.9004</v>
      </c>
      <c r="CA41" s="1701">
        <f t="shared" ca="1" si="142"/>
        <v>-8895566922704.9687</v>
      </c>
      <c r="CB41" s="1673"/>
      <c r="CC41" s="1706">
        <f ca="1">AVERAGE(Costs!$BS41:$CA41)</f>
        <v>-9068562280186.834</v>
      </c>
      <c r="CD41" s="1706">
        <f t="shared" ca="1" si="56"/>
        <v>-84493176810136.078</v>
      </c>
      <c r="CE41" s="1352"/>
      <c r="CF41" s="1703">
        <f t="shared" ca="1" si="143"/>
        <v>0</v>
      </c>
      <c r="CG41" s="1703">
        <f t="shared" ca="1" si="144"/>
        <v>0</v>
      </c>
      <c r="CH41" s="1703">
        <f t="shared" ca="1" si="145"/>
        <v>0</v>
      </c>
      <c r="CI41" s="1703">
        <f t="shared" ca="1" si="146"/>
        <v>0</v>
      </c>
      <c r="CJ41" s="1703">
        <f t="shared" ca="1" si="147"/>
        <v>0</v>
      </c>
      <c r="CK41" s="1703">
        <f t="shared" ca="1" si="148"/>
        <v>0</v>
      </c>
      <c r="CL41" s="1703">
        <f t="shared" ca="1" si="149"/>
        <v>0</v>
      </c>
      <c r="CM41" s="1703">
        <f t="shared" ca="1" si="150"/>
        <v>0</v>
      </c>
      <c r="CN41" s="1703">
        <f t="shared" ca="1" si="151"/>
        <v>0</v>
      </c>
      <c r="CO41" s="1673"/>
      <c r="CP41" s="1706">
        <f ca="1">AVERAGE(Costs!$CF41:$CN41)</f>
        <v>0</v>
      </c>
      <c r="CQ41" s="1706">
        <f t="shared" ca="1" si="48"/>
        <v>0</v>
      </c>
      <c r="CR41" s="1426" t="str">
        <f t="shared" ca="1" si="49"/>
        <v>ok</v>
      </c>
    </row>
    <row r="42" spans="1:96" s="2127" customFormat="1" x14ac:dyDescent="0.2">
      <c r="A42" s="1685" t="s">
        <v>1700</v>
      </c>
      <c r="B42" s="1685" t="s">
        <v>1703</v>
      </c>
      <c r="C42" s="1685" t="s">
        <v>1732</v>
      </c>
      <c r="D42" s="2133"/>
      <c r="E42" s="1691">
        <f t="shared" ca="1" si="152"/>
        <v>0</v>
      </c>
      <c r="F42" s="1691">
        <f t="shared" ca="1" si="152"/>
        <v>0</v>
      </c>
      <c r="G42" s="1691">
        <f t="shared" ca="1" si="152"/>
        <v>0</v>
      </c>
      <c r="H42" s="1691">
        <f t="shared" ca="1" si="152"/>
        <v>0</v>
      </c>
      <c r="I42" s="1691">
        <f t="shared" ca="1" si="152"/>
        <v>0</v>
      </c>
      <c r="J42" s="1691">
        <f t="shared" ca="1" si="152"/>
        <v>0</v>
      </c>
      <c r="K42" s="1691">
        <f t="shared" ca="1" si="152"/>
        <v>0</v>
      </c>
      <c r="L42" s="1691">
        <f t="shared" ca="1" si="152"/>
        <v>0</v>
      </c>
      <c r="M42" s="1691">
        <f t="shared" ca="1" si="152"/>
        <v>0</v>
      </c>
      <c r="N42" s="675"/>
      <c r="O42" s="1691">
        <f t="shared" ca="1" si="153"/>
        <v>0</v>
      </c>
      <c r="P42" s="1691">
        <f t="shared" ca="1" si="153"/>
        <v>0</v>
      </c>
      <c r="Q42" s="1691">
        <f t="shared" ca="1" si="153"/>
        <v>0</v>
      </c>
      <c r="R42" s="1691">
        <f t="shared" ca="1" si="153"/>
        <v>0</v>
      </c>
      <c r="S42" s="1691">
        <f t="shared" ca="1" si="153"/>
        <v>0</v>
      </c>
      <c r="T42" s="1691">
        <f t="shared" ca="1" si="153"/>
        <v>0</v>
      </c>
      <c r="U42" s="1691">
        <f t="shared" ca="1" si="153"/>
        <v>0</v>
      </c>
      <c r="V42" s="1691">
        <f t="shared" ca="1" si="153"/>
        <v>0</v>
      </c>
      <c r="W42" s="1691">
        <f t="shared" ca="1" si="153"/>
        <v>0</v>
      </c>
      <c r="X42" s="675"/>
      <c r="Y42" s="1691">
        <f t="shared" ca="1" si="154"/>
        <v>-2669908701238.8242</v>
      </c>
      <c r="Z42" s="1691">
        <f t="shared" ca="1" si="154"/>
        <v>-3024335434329.9199</v>
      </c>
      <c r="AA42" s="1691">
        <f t="shared" ca="1" si="154"/>
        <v>-2855169763162.666</v>
      </c>
      <c r="AB42" s="1691">
        <f t="shared" ca="1" si="154"/>
        <v>-3100132445267.2563</v>
      </c>
      <c r="AC42" s="1691">
        <f t="shared" ca="1" si="154"/>
        <v>-3056549548958.6929</v>
      </c>
      <c r="AD42" s="1691">
        <f t="shared" ca="1" si="154"/>
        <v>-2761033506587.4409</v>
      </c>
      <c r="AE42" s="1691">
        <f t="shared" ca="1" si="154"/>
        <v>-2610677609590.5156</v>
      </c>
      <c r="AF42" s="1691">
        <f t="shared" ca="1" si="154"/>
        <v>-2418980174391</v>
      </c>
      <c r="AG42" s="1691">
        <f t="shared" ca="1" si="154"/>
        <v>-2228174324063.4741</v>
      </c>
      <c r="AH42" s="675"/>
      <c r="AI42" s="1691">
        <f t="shared" ca="1" si="116"/>
        <v>-2669908701238.8242</v>
      </c>
      <c r="AJ42" s="1691">
        <f t="shared" ca="1" si="117"/>
        <v>-3024335434329.9199</v>
      </c>
      <c r="AK42" s="1691">
        <f t="shared" ca="1" si="118"/>
        <v>-2855169763162.666</v>
      </c>
      <c r="AL42" s="1691">
        <f t="shared" ca="1" si="119"/>
        <v>-3100132445267.2563</v>
      </c>
      <c r="AM42" s="1691">
        <f t="shared" ca="1" si="120"/>
        <v>-3056549548958.6929</v>
      </c>
      <c r="AN42" s="1691">
        <f t="shared" ca="1" si="121"/>
        <v>-2761033506587.4409</v>
      </c>
      <c r="AO42" s="1691">
        <f t="shared" ca="1" si="122"/>
        <v>-2610677609590.5156</v>
      </c>
      <c r="AP42" s="1691">
        <f t="shared" ca="1" si="123"/>
        <v>-2418980174391</v>
      </c>
      <c r="AQ42" s="1691">
        <f t="shared" ca="1" si="124"/>
        <v>-2228174324063.4741</v>
      </c>
      <c r="AR42" s="1673"/>
      <c r="AS42" s="1707">
        <f ca="1">AVERAGE(Costs!$AI42:$AQ42)</f>
        <v>-2747217945287.7544</v>
      </c>
      <c r="AT42" s="1707">
        <f t="shared" ca="1" si="55"/>
        <v>-26640878413363.117</v>
      </c>
      <c r="AU42" s="675"/>
      <c r="AV42" s="1699">
        <f>IFERROR(VLOOKUP($A42,Cost.FinanceCostTable,3,FALSE),'Global assumptions'!$D$35)</f>
        <v>0</v>
      </c>
      <c r="AW42" s="1690">
        <f>IFERROR(VLOOKUP($A42,Cost.FinanceCostTable,4,FALSE),'Global assumptions'!$E$35)</f>
        <v>5</v>
      </c>
      <c r="AX42" s="675"/>
      <c r="AY42" s="1691">
        <f t="shared" ca="1" si="125"/>
        <v>0</v>
      </c>
      <c r="AZ42" s="1691">
        <f t="shared" ca="1" si="126"/>
        <v>0</v>
      </c>
      <c r="BA42" s="1691">
        <f t="shared" ca="1" si="127"/>
        <v>0</v>
      </c>
      <c r="BB42" s="1691">
        <f t="shared" ca="1" si="128"/>
        <v>0</v>
      </c>
      <c r="BC42" s="1691">
        <f t="shared" ca="1" si="129"/>
        <v>0</v>
      </c>
      <c r="BD42" s="1691">
        <f t="shared" ca="1" si="130"/>
        <v>0</v>
      </c>
      <c r="BE42" s="1691">
        <f t="shared" ca="1" si="131"/>
        <v>0</v>
      </c>
      <c r="BF42" s="1691">
        <f t="shared" ca="1" si="132"/>
        <v>0</v>
      </c>
      <c r="BG42" s="1691">
        <f t="shared" ca="1" si="133"/>
        <v>0</v>
      </c>
      <c r="BH42" s="675"/>
      <c r="BI42" s="1691">
        <f t="shared" ca="1" si="39"/>
        <v>0</v>
      </c>
      <c r="BJ42" s="1691">
        <f t="shared" ca="1" si="40"/>
        <v>0</v>
      </c>
      <c r="BK42" s="1691">
        <f t="shared" ca="1" si="41"/>
        <v>0</v>
      </c>
      <c r="BL42" s="1691">
        <f t="shared" ca="1" si="42"/>
        <v>0</v>
      </c>
      <c r="BM42" s="1691">
        <f t="shared" ca="1" si="43"/>
        <v>0</v>
      </c>
      <c r="BN42" s="1691">
        <f t="shared" ca="1" si="44"/>
        <v>0</v>
      </c>
      <c r="BO42" s="1691">
        <f t="shared" ca="1" si="45"/>
        <v>0</v>
      </c>
      <c r="BP42" s="1691">
        <f t="shared" ca="1" si="46"/>
        <v>0</v>
      </c>
      <c r="BQ42" s="1691">
        <f t="shared" ca="1" si="47"/>
        <v>0</v>
      </c>
      <c r="BR42" s="675"/>
      <c r="BS42" s="1702">
        <f t="shared" ca="1" si="134"/>
        <v>-2669908701238.8242</v>
      </c>
      <c r="BT42" s="1702">
        <f t="shared" ca="1" si="135"/>
        <v>-3024335434329.9199</v>
      </c>
      <c r="BU42" s="1702">
        <f t="shared" ca="1" si="136"/>
        <v>-2855169763162.666</v>
      </c>
      <c r="BV42" s="1702">
        <f t="shared" ca="1" si="137"/>
        <v>-3100132445267.2563</v>
      </c>
      <c r="BW42" s="1702">
        <f t="shared" ca="1" si="138"/>
        <v>-3056549548958.6929</v>
      </c>
      <c r="BX42" s="1702">
        <f t="shared" ca="1" si="139"/>
        <v>-2761033506587.4409</v>
      </c>
      <c r="BY42" s="1702">
        <f t="shared" ca="1" si="140"/>
        <v>-2610677609590.5156</v>
      </c>
      <c r="BZ42" s="1702">
        <f t="shared" ca="1" si="141"/>
        <v>-2418980174391</v>
      </c>
      <c r="CA42" s="1702">
        <f t="shared" ca="1" si="142"/>
        <v>-2228174324063.4741</v>
      </c>
      <c r="CB42" s="1673"/>
      <c r="CC42" s="1707">
        <f ca="1">AVERAGE(Costs!$BS42:$CA42)</f>
        <v>-2747217945287.7544</v>
      </c>
      <c r="CD42" s="1707">
        <f t="shared" ca="1" si="56"/>
        <v>-26640878413363.117</v>
      </c>
      <c r="CE42" s="1499"/>
      <c r="CF42" s="1704">
        <f t="shared" ca="1" si="143"/>
        <v>0</v>
      </c>
      <c r="CG42" s="1704">
        <f t="shared" ca="1" si="144"/>
        <v>0</v>
      </c>
      <c r="CH42" s="1704">
        <f t="shared" ca="1" si="145"/>
        <v>0</v>
      </c>
      <c r="CI42" s="1704">
        <f t="shared" ca="1" si="146"/>
        <v>0</v>
      </c>
      <c r="CJ42" s="1704">
        <f t="shared" ca="1" si="147"/>
        <v>0</v>
      </c>
      <c r="CK42" s="1704">
        <f t="shared" ca="1" si="148"/>
        <v>0</v>
      </c>
      <c r="CL42" s="1704">
        <f t="shared" ca="1" si="149"/>
        <v>0</v>
      </c>
      <c r="CM42" s="1704">
        <f t="shared" ca="1" si="150"/>
        <v>0</v>
      </c>
      <c r="CN42" s="1704">
        <f t="shared" ca="1" si="151"/>
        <v>0</v>
      </c>
      <c r="CO42" s="1673"/>
      <c r="CP42" s="1707">
        <f ca="1">AVERAGE(Costs!$CF42:$CN42)</f>
        <v>0</v>
      </c>
      <c r="CQ42" s="1707">
        <f t="shared" ca="1" si="48"/>
        <v>0</v>
      </c>
      <c r="CR42" s="1426" t="str">
        <f t="shared" ca="1" si="49"/>
        <v>ok</v>
      </c>
    </row>
    <row r="43" spans="1:96" s="2126" customFormat="1" x14ac:dyDescent="0.2">
      <c r="A43" s="1687" t="s">
        <v>105</v>
      </c>
      <c r="B43" s="1687" t="s">
        <v>105</v>
      </c>
      <c r="C43" s="1695" t="s">
        <v>105</v>
      </c>
      <c r="D43" s="2133"/>
      <c r="E43" s="1693">
        <f t="shared" ref="E43:M43" ca="1" si="155">SUM(E3:E42)</f>
        <v>713434435823.23169</v>
      </c>
      <c r="F43" s="1693">
        <f t="shared" ca="1" si="155"/>
        <v>46812572727538.312</v>
      </c>
      <c r="G43" s="1693">
        <f t="shared" ca="1" si="155"/>
        <v>32620410455659.324</v>
      </c>
      <c r="H43" s="1693">
        <f t="shared" ca="1" si="155"/>
        <v>39768869843661.773</v>
      </c>
      <c r="I43" s="1693">
        <f t="shared" ca="1" si="155"/>
        <v>47982102133962.687</v>
      </c>
      <c r="J43" s="1693">
        <f t="shared" ca="1" si="155"/>
        <v>59106943241910.594</v>
      </c>
      <c r="K43" s="1693">
        <f t="shared" ca="1" si="155"/>
        <v>66492542194408.133</v>
      </c>
      <c r="L43" s="1693">
        <f t="shared" ca="1" si="155"/>
        <v>82606717404120.219</v>
      </c>
      <c r="M43" s="1693">
        <f t="shared" ca="1" si="155"/>
        <v>95808705415114.047</v>
      </c>
      <c r="N43" s="1427"/>
      <c r="O43" s="1693">
        <f t="shared" ref="O43:W43" ca="1" si="156">SUM(O3:O42)</f>
        <v>68092563688950.312</v>
      </c>
      <c r="P43" s="1693">
        <f t="shared" ca="1" si="156"/>
        <v>713479066885787.12</v>
      </c>
      <c r="Q43" s="1693">
        <f t="shared" ca="1" si="156"/>
        <v>856422959339030.75</v>
      </c>
      <c r="R43" s="1693">
        <f t="shared" ca="1" si="156"/>
        <v>1025521429887630.7</v>
      </c>
      <c r="S43" s="1693">
        <f t="shared" ca="1" si="156"/>
        <v>1224397075430250.7</v>
      </c>
      <c r="T43" s="1693">
        <f t="shared" ca="1" si="156"/>
        <v>1457513220145220.2</v>
      </c>
      <c r="U43" s="1693">
        <f t="shared" ca="1" si="156"/>
        <v>1688163482543549.2</v>
      </c>
      <c r="V43" s="1693">
        <f t="shared" ca="1" si="156"/>
        <v>1949822117740185.2</v>
      </c>
      <c r="W43" s="1693">
        <f t="shared" ca="1" si="156"/>
        <v>2245233232690386</v>
      </c>
      <c r="X43" s="1427"/>
      <c r="Y43" s="1693">
        <f t="shared" ref="Y43:AG43" ca="1" si="157">SUM(Y3:Y42)</f>
        <v>5641165614691.4238</v>
      </c>
      <c r="Z43" s="1693">
        <f t="shared" ca="1" si="157"/>
        <v>6700920973148.0859</v>
      </c>
      <c r="AA43" s="1693">
        <f t="shared" ca="1" si="157"/>
        <v>7402209015456.332</v>
      </c>
      <c r="AB43" s="1693">
        <f t="shared" ca="1" si="157"/>
        <v>8386519918492.0996</v>
      </c>
      <c r="AC43" s="1693">
        <f t="shared" ca="1" si="157"/>
        <v>10056668014959.021</v>
      </c>
      <c r="AD43" s="1693">
        <f t="shared" ca="1" si="157"/>
        <v>11607582902762.902</v>
      </c>
      <c r="AE43" s="1693">
        <f t="shared" ca="1" si="157"/>
        <v>13017049357949.305</v>
      </c>
      <c r="AF43" s="1693">
        <f t="shared" ca="1" si="157"/>
        <v>14586558082642.416</v>
      </c>
      <c r="AG43" s="1693">
        <f t="shared" ca="1" si="157"/>
        <v>13471595071858.713</v>
      </c>
      <c r="AH43" s="1427"/>
      <c r="AI43" s="1693">
        <f t="shared" ref="AI43:AQ43" ca="1" si="158">SUM(AI3:AI42)</f>
        <v>74447163739464.937</v>
      </c>
      <c r="AJ43" s="1693">
        <f t="shared" ca="1" si="158"/>
        <v>766992560586473.5</v>
      </c>
      <c r="AK43" s="1693">
        <f t="shared" ca="1" si="158"/>
        <v>896445578810146.25</v>
      </c>
      <c r="AL43" s="1693">
        <f t="shared" ca="1" si="158"/>
        <v>1073676819649784.6</v>
      </c>
      <c r="AM43" s="1693">
        <f t="shared" ca="1" si="158"/>
        <v>1282435845579172.2</v>
      </c>
      <c r="AN43" s="1693">
        <f t="shared" ca="1" si="158"/>
        <v>1528227746289893.7</v>
      </c>
      <c r="AO43" s="1693">
        <f t="shared" ca="1" si="158"/>
        <v>1767673074095906.8</v>
      </c>
      <c r="AP43" s="1693">
        <f t="shared" ca="1" si="158"/>
        <v>2047015393226947.7</v>
      </c>
      <c r="AQ43" s="1693">
        <f t="shared" ca="1" si="158"/>
        <v>2354513533177358.5</v>
      </c>
      <c r="AR43" s="1427"/>
      <c r="AS43" s="1709">
        <f ca="1">AVERAGE(Costs!$AI43:$AQ43)</f>
        <v>1310158635017238.7</v>
      </c>
      <c r="AT43" s="1709">
        <f ca="1">(SUMPRODUCT(AJ43:AQ43,discount_factors)*5)+AI43</f>
        <v>8641775318821914</v>
      </c>
      <c r="AU43" s="1427"/>
      <c r="AV43" s="1693"/>
      <c r="AW43" s="1694"/>
      <c r="AX43" s="1427"/>
      <c r="AY43" s="1693">
        <f t="shared" ref="AY43:BG43" ca="1" si="159">SUM(AY3:AY42)</f>
        <v>115202561902.2157</v>
      </c>
      <c r="AZ43" s="1693">
        <f t="shared" ca="1" si="159"/>
        <v>40374804831292.742</v>
      </c>
      <c r="BA43" s="1693">
        <f t="shared" ca="1" si="159"/>
        <v>22252417745960.172</v>
      </c>
      <c r="BB43" s="1693">
        <f t="shared" ca="1" si="159"/>
        <v>26061335342770.844</v>
      </c>
      <c r="BC43" s="1693">
        <f t="shared" ca="1" si="159"/>
        <v>30314558830155.695</v>
      </c>
      <c r="BD43" s="1693">
        <f t="shared" ca="1" si="159"/>
        <v>36239389474241.852</v>
      </c>
      <c r="BE43" s="1693">
        <f t="shared" ca="1" si="159"/>
        <v>38610552175557.898</v>
      </c>
      <c r="BF43" s="1693">
        <f t="shared" ca="1" si="159"/>
        <v>46309620897474.039</v>
      </c>
      <c r="BG43" s="1693">
        <f t="shared" ca="1" si="159"/>
        <v>53177156005656.523</v>
      </c>
      <c r="BH43" s="1427"/>
      <c r="BI43" s="1693">
        <f t="shared" ref="BI43:BQ43" ca="1" si="160">SUM(BI3:BI42)</f>
        <v>115202561902.2157</v>
      </c>
      <c r="BJ43" s="1693">
        <f t="shared" ca="1" si="160"/>
        <v>40489961439194.961</v>
      </c>
      <c r="BK43" s="1693">
        <f t="shared" ca="1" si="160"/>
        <v>25642734559997.059</v>
      </c>
      <c r="BL43" s="1693">
        <f t="shared" ca="1" si="160"/>
        <v>33884182880453.691</v>
      </c>
      <c r="BM43" s="1693">
        <f t="shared" ca="1" si="160"/>
        <v>41478432688043.359</v>
      </c>
      <c r="BN43" s="1693">
        <f t="shared" ca="1" si="160"/>
        <v>51196538101672.344</v>
      </c>
      <c r="BO43" s="1693">
        <f t="shared" ca="1" si="160"/>
        <v>58487024276468.352</v>
      </c>
      <c r="BP43" s="1693">
        <f t="shared" ca="1" si="160"/>
        <v>71758700962619.437</v>
      </c>
      <c r="BQ43" s="1693">
        <f t="shared" ca="1" si="160"/>
        <v>84100120548120.016</v>
      </c>
      <c r="BR43" s="1427"/>
      <c r="BS43" s="1693">
        <f t="shared" ref="BS43:CA43" ca="1" si="161">SUM(BS3:BS42)</f>
        <v>73848931865543.937</v>
      </c>
      <c r="BT43" s="1693">
        <f t="shared" ca="1" si="161"/>
        <v>760669949298130.12</v>
      </c>
      <c r="BU43" s="1693">
        <f t="shared" ca="1" si="161"/>
        <v>889467902914484.37</v>
      </c>
      <c r="BV43" s="1693">
        <f t="shared" ca="1" si="161"/>
        <v>1067792132686576.6</v>
      </c>
      <c r="BW43" s="1693">
        <f t="shared" ca="1" si="161"/>
        <v>1275932176133253</v>
      </c>
      <c r="BX43" s="1693">
        <f t="shared" ca="1" si="161"/>
        <v>1520317341149655.7</v>
      </c>
      <c r="BY43" s="1693">
        <f t="shared" ca="1" si="161"/>
        <v>1759667556177967.2</v>
      </c>
      <c r="BZ43" s="1693">
        <f t="shared" ca="1" si="161"/>
        <v>2036167376785447.2</v>
      </c>
      <c r="CA43" s="1693">
        <f t="shared" ca="1" si="161"/>
        <v>2342804948310364.5</v>
      </c>
      <c r="CB43" s="1673"/>
      <c r="CC43" s="1709">
        <f ca="1">AVERAGE(Costs!$BS43:$CA43)</f>
        <v>1302963146146824.7</v>
      </c>
      <c r="CD43" s="1709">
        <f ca="1">(SUMPRODUCT(BT43:CA43,discount_factors)*5)+BS43</f>
        <v>8585097293416188</v>
      </c>
      <c r="CE43" s="1427"/>
      <c r="CF43" s="1693">
        <f t="shared" ref="CF43:CN43" ca="1" si="162">SUM(CF3:CF42)</f>
        <v>-598231873921.01587</v>
      </c>
      <c r="CG43" s="1693">
        <f t="shared" ca="1" si="162"/>
        <v>-6322611288343.3506</v>
      </c>
      <c r="CH43" s="1693">
        <f t="shared" ca="1" si="162"/>
        <v>-6977675895662.2627</v>
      </c>
      <c r="CI43" s="1693">
        <f t="shared" ca="1" si="162"/>
        <v>-5884686963208.0977</v>
      </c>
      <c r="CJ43" s="1693">
        <f t="shared" ca="1" si="162"/>
        <v>-6503669445919.3311</v>
      </c>
      <c r="CK43" s="1693">
        <f t="shared" ca="1" si="162"/>
        <v>-7910405140238.2539</v>
      </c>
      <c r="CL43" s="1693">
        <f t="shared" ca="1" si="162"/>
        <v>-8005517917939.7666</v>
      </c>
      <c r="CM43" s="1693">
        <f t="shared" ca="1" si="162"/>
        <v>-10848016441500.799</v>
      </c>
      <c r="CN43" s="1693">
        <f t="shared" ca="1" si="162"/>
        <v>-11708584866994.02</v>
      </c>
      <c r="CO43" s="1673"/>
      <c r="CP43" s="1709">
        <f ca="1">AVERAGE(Costs!$CF43:$CN43)</f>
        <v>-7195488870414.0986</v>
      </c>
      <c r="CQ43" s="1709">
        <f ca="1">SUM(CQ3:CQ42)</f>
        <v>-56678025405727.445</v>
      </c>
      <c r="CR43" s="1426" t="str">
        <f t="shared" ca="1" si="49"/>
        <v>err</v>
      </c>
    </row>
    <row r="44" spans="1:96" s="2126" customFormat="1" x14ac:dyDescent="0.2">
      <c r="D44" s="1427"/>
      <c r="N44" s="1427"/>
      <c r="X44" s="1427"/>
      <c r="AH44" s="1427"/>
      <c r="AT44" s="1427"/>
      <c r="AW44" s="1427"/>
      <c r="CC44" s="2150">
        <f>SUBTOTAL(101,Global.Assumptions[Population])</f>
        <v>251005304.02530885</v>
      </c>
      <c r="CD44" s="1245">
        <v>69156213.900000006</v>
      </c>
      <c r="CF44" s="2126" t="str">
        <f t="shared" ref="CF44" ca="1" si="163">IF(ROUND(BS43-CF43-AI43,0)=0,"ok",BS43-CF43-AI43)</f>
        <v>ok</v>
      </c>
      <c r="CG44" s="2126" t="str">
        <f t="shared" ref="CG44" ca="1" si="164">IF(ROUND(BT43-CG43-AJ43,0)=0,"ok",BT43-CG43-AJ43)</f>
        <v>ok</v>
      </c>
      <c r="CH44" s="2126" t="str">
        <f t="shared" ref="CH44" ca="1" si="165">IF(ROUND(BU43-CH43-AK43,0)=0,"ok",BU43-CH43-AK43)</f>
        <v>ok</v>
      </c>
      <c r="CI44" s="2126" t="str">
        <f t="shared" ref="CI44" ca="1" si="166">IF(ROUND(BV43-CI43-AL43,0)=0,"ok",BV43-CI43-AL43)</f>
        <v>ok</v>
      </c>
      <c r="CJ44" s="2126" t="str">
        <f t="shared" ref="CJ44" ca="1" si="167">IF(ROUND(BW43-CJ43-AM43,0)=0,"ok",BW43-CJ43-AM43)</f>
        <v>ok</v>
      </c>
      <c r="CK44" s="2126" t="str">
        <f t="shared" ref="CK44" ca="1" si="168">IF(ROUND(BX43-CK43-AN43,0)=0,"ok",BX43-CK43-AN43)</f>
        <v>ok</v>
      </c>
      <c r="CL44" s="2126" t="str">
        <f t="shared" ref="CL44" ca="1" si="169">IF(ROUND(BY43-CL43-AO43,0)=0,"ok",BY43-CL43-AO43)</f>
        <v>ok</v>
      </c>
      <c r="CM44" s="2126" t="str">
        <f t="shared" ref="CM44" ca="1" si="170">IF(ROUND(BZ43-CM43-AP43,0)=0,"ok",BZ43-CM43-AP43)</f>
        <v>ok</v>
      </c>
      <c r="CN44" s="2126" t="str">
        <f t="shared" ref="CN44" ca="1" si="171">IF(ROUND(CA43-CN43-AQ43,0)=0,"ok",CA43-CN43-AQ43)</f>
        <v>ok</v>
      </c>
      <c r="CP44" s="2126" t="str">
        <f ca="1">IF(ROUND(CC43-CP43-AS43,0)=0,"ok",CC43-CP43-AS43)</f>
        <v>ok</v>
      </c>
      <c r="CQ44" s="2126">
        <f ca="1">IF(ROUND(CD43-CQ43-AT43,0)=0,"ok",CD43-CQ43-AT43)</f>
        <v>1</v>
      </c>
    </row>
    <row r="45" spans="1:96" s="2126" customFormat="1" x14ac:dyDescent="0.2">
      <c r="B45" s="1427" t="str">
        <f>Preferences.moneyunits</f>
        <v>N</v>
      </c>
      <c r="E45" s="17" t="s">
        <v>1866</v>
      </c>
      <c r="F45" s="2126" t="s">
        <v>1867</v>
      </c>
      <c r="O45" s="17" t="s">
        <v>1868</v>
      </c>
      <c r="P45" s="2126" t="s">
        <v>1875</v>
      </c>
      <c r="Y45" s="17" t="s">
        <v>1869</v>
      </c>
      <c r="Z45" s="2126" t="s">
        <v>1870</v>
      </c>
      <c r="AI45" s="17" t="s">
        <v>1954</v>
      </c>
      <c r="AS45" s="2126" t="s">
        <v>1826</v>
      </c>
      <c r="AV45" s="2125" t="s">
        <v>1613</v>
      </c>
      <c r="AY45" s="17" t="s">
        <v>1956</v>
      </c>
      <c r="AZ45" s="2127"/>
      <c r="BA45" s="2127"/>
      <c r="BB45" s="2127"/>
      <c r="BC45" s="2127"/>
      <c r="BD45" s="2127"/>
      <c r="BE45" s="2127"/>
      <c r="BF45" s="2127"/>
      <c r="BG45" s="2127"/>
      <c r="BH45" s="2127"/>
      <c r="BI45" s="17" t="s">
        <v>1957</v>
      </c>
      <c r="BR45" s="2357" t="s">
        <v>2064</v>
      </c>
      <c r="BS45" s="17"/>
      <c r="CC45" s="2126" t="s">
        <v>1825</v>
      </c>
      <c r="CF45" s="2126" t="s">
        <v>1733</v>
      </c>
      <c r="CP45" s="2126" t="s">
        <v>1733</v>
      </c>
    </row>
    <row r="46" spans="1:96" s="2126" customFormat="1" ht="13.5" thickBot="1" x14ac:dyDescent="0.25">
      <c r="A46" s="1681" t="s">
        <v>69</v>
      </c>
      <c r="B46" s="1681" t="s">
        <v>65</v>
      </c>
      <c r="C46" s="1682" t="s">
        <v>67</v>
      </c>
      <c r="E46" s="1696" t="s">
        <v>241</v>
      </c>
      <c r="F46" s="1696" t="s">
        <v>268</v>
      </c>
      <c r="G46" s="1696" t="s">
        <v>269</v>
      </c>
      <c r="H46" s="1696" t="s">
        <v>270</v>
      </c>
      <c r="I46" s="1696" t="s">
        <v>271</v>
      </c>
      <c r="J46" s="1696" t="s">
        <v>272</v>
      </c>
      <c r="K46" s="1696" t="s">
        <v>273</v>
      </c>
      <c r="L46" s="1696" t="s">
        <v>274</v>
      </c>
      <c r="M46" s="1696" t="s">
        <v>275</v>
      </c>
      <c r="N46" s="1427"/>
      <c r="O46" s="1696" t="s">
        <v>241</v>
      </c>
      <c r="P46" s="1696" t="s">
        <v>268</v>
      </c>
      <c r="Q46" s="1696" t="s">
        <v>269</v>
      </c>
      <c r="R46" s="1696" t="s">
        <v>270</v>
      </c>
      <c r="S46" s="1696" t="s">
        <v>271</v>
      </c>
      <c r="T46" s="1696" t="s">
        <v>272</v>
      </c>
      <c r="U46" s="1696" t="s">
        <v>273</v>
      </c>
      <c r="V46" s="1696" t="s">
        <v>274</v>
      </c>
      <c r="W46" s="1696" t="s">
        <v>275</v>
      </c>
      <c r="X46" s="1427"/>
      <c r="Y46" s="1696" t="s">
        <v>241</v>
      </c>
      <c r="Z46" s="1696" t="s">
        <v>268</v>
      </c>
      <c r="AA46" s="1696" t="s">
        <v>269</v>
      </c>
      <c r="AB46" s="1696" t="s">
        <v>270</v>
      </c>
      <c r="AC46" s="1696" t="s">
        <v>271</v>
      </c>
      <c r="AD46" s="1696" t="s">
        <v>272</v>
      </c>
      <c r="AE46" s="1696" t="s">
        <v>273</v>
      </c>
      <c r="AF46" s="1696" t="s">
        <v>274</v>
      </c>
      <c r="AG46" s="1696" t="s">
        <v>275</v>
      </c>
      <c r="AH46" s="1427"/>
      <c r="AI46" s="1696" t="s">
        <v>241</v>
      </c>
      <c r="AJ46" s="1696" t="s">
        <v>268</v>
      </c>
      <c r="AK46" s="1696" t="s">
        <v>269</v>
      </c>
      <c r="AL46" s="1696" t="s">
        <v>270</v>
      </c>
      <c r="AM46" s="1696" t="s">
        <v>271</v>
      </c>
      <c r="AN46" s="1696" t="s">
        <v>272</v>
      </c>
      <c r="AO46" s="1696" t="s">
        <v>273</v>
      </c>
      <c r="AP46" s="1696" t="s">
        <v>274</v>
      </c>
      <c r="AQ46" s="1696" t="s">
        <v>275</v>
      </c>
      <c r="AS46" s="1705" t="s">
        <v>1734</v>
      </c>
      <c r="AT46" s="1705" t="s">
        <v>1389</v>
      </c>
      <c r="AU46" s="1427"/>
      <c r="AV46" s="1696" t="s">
        <v>1614</v>
      </c>
      <c r="AW46" s="1688" t="s">
        <v>1472</v>
      </c>
      <c r="AX46" s="1427"/>
      <c r="AY46" s="1696">
        <v>2010</v>
      </c>
      <c r="AZ46" s="1696">
        <v>2015</v>
      </c>
      <c r="BA46" s="1696">
        <v>2020</v>
      </c>
      <c r="BB46" s="1696">
        <v>2025</v>
      </c>
      <c r="BC46" s="1696">
        <v>2030</v>
      </c>
      <c r="BD46" s="1696">
        <v>2035</v>
      </c>
      <c r="BE46" s="1696">
        <v>2040</v>
      </c>
      <c r="BF46" s="1696">
        <v>2045</v>
      </c>
      <c r="BG46" s="1696">
        <v>2050</v>
      </c>
      <c r="BH46" s="1427"/>
      <c r="BI46" s="1696">
        <v>2010</v>
      </c>
      <c r="BJ46" s="1696">
        <v>2015</v>
      </c>
      <c r="BK46" s="1696">
        <v>2020</v>
      </c>
      <c r="BL46" s="1696">
        <v>2025</v>
      </c>
      <c r="BM46" s="1696">
        <v>2030</v>
      </c>
      <c r="BN46" s="1696">
        <v>2035</v>
      </c>
      <c r="BO46" s="1696">
        <v>2040</v>
      </c>
      <c r="BP46" s="1696">
        <v>2045</v>
      </c>
      <c r="BQ46" s="1696">
        <v>2050</v>
      </c>
      <c r="BR46" s="1427"/>
      <c r="BS46" s="1696" t="s">
        <v>241</v>
      </c>
      <c r="BT46" s="1696" t="s">
        <v>268</v>
      </c>
      <c r="BU46" s="1696" t="s">
        <v>269</v>
      </c>
      <c r="BV46" s="1696" t="s">
        <v>270</v>
      </c>
      <c r="BW46" s="1696" t="s">
        <v>271</v>
      </c>
      <c r="BX46" s="1696" t="s">
        <v>272</v>
      </c>
      <c r="BY46" s="1696" t="s">
        <v>273</v>
      </c>
      <c r="BZ46" s="1696" t="s">
        <v>274</v>
      </c>
      <c r="CA46" s="1696" t="s">
        <v>275</v>
      </c>
      <c r="CB46" s="1426"/>
      <c r="CC46" s="1705" t="s">
        <v>1734</v>
      </c>
      <c r="CD46" s="1705" t="s">
        <v>1389</v>
      </c>
      <c r="CF46" s="1696" t="s">
        <v>241</v>
      </c>
      <c r="CG46" s="1696" t="s">
        <v>268</v>
      </c>
      <c r="CH46" s="1696" t="s">
        <v>269</v>
      </c>
      <c r="CI46" s="1696" t="s">
        <v>270</v>
      </c>
      <c r="CJ46" s="1696" t="s">
        <v>271</v>
      </c>
      <c r="CK46" s="1696" t="s">
        <v>272</v>
      </c>
      <c r="CL46" s="1696" t="s">
        <v>273</v>
      </c>
      <c r="CM46" s="1696" t="s">
        <v>274</v>
      </c>
      <c r="CN46" s="1696" t="s">
        <v>275</v>
      </c>
      <c r="CP46" s="1705" t="s">
        <v>1734</v>
      </c>
      <c r="CQ46" s="1705" t="s">
        <v>1389</v>
      </c>
    </row>
    <row r="47" spans="1:96" s="2126" customFormat="1" ht="13.5" thickTop="1" x14ac:dyDescent="0.2">
      <c r="A47" s="1683" t="s">
        <v>288</v>
      </c>
      <c r="B47" s="1683" t="s">
        <v>2403</v>
      </c>
      <c r="C47" s="1683" t="s">
        <v>4</v>
      </c>
      <c r="E47" s="1689">
        <f t="shared" ref="E47:M56" ca="1" si="172">IFERROR(INDEX(INDIRECT($A47&amp;".Costs["&amp;E$2&amp;"]"), MATCH($E$45, INDIRECT($A47&amp;".Costs[Vector]"), 0)),0)</f>
        <v>0</v>
      </c>
      <c r="F47" s="1689">
        <f t="shared" ca="1" si="172"/>
        <v>258749999999.99997</v>
      </c>
      <c r="G47" s="1689">
        <f t="shared" ca="1" si="172"/>
        <v>599849999999.99988</v>
      </c>
      <c r="H47" s="1689">
        <f t="shared" ca="1" si="172"/>
        <v>555412500000</v>
      </c>
      <c r="I47" s="1689">
        <f t="shared" ca="1" si="172"/>
        <v>641700000000.00012</v>
      </c>
      <c r="J47" s="1689">
        <f t="shared" ca="1" si="172"/>
        <v>906187500000</v>
      </c>
      <c r="K47" s="1689">
        <f t="shared" ca="1" si="172"/>
        <v>1036012500000</v>
      </c>
      <c r="L47" s="1689">
        <f t="shared" ca="1" si="172"/>
        <v>1166287500000</v>
      </c>
      <c r="M47" s="1689">
        <f t="shared" ca="1" si="172"/>
        <v>1295775000000.0002</v>
      </c>
      <c r="N47" s="675"/>
      <c r="O47" s="1689">
        <f t="shared" ref="O47:W56" ca="1" si="173">IFERROR(INDEX(INDIRECT($A47&amp;".Costs["&amp;O$2&amp;"]"), MATCH($O$45, INDIRECT($A47&amp;".Costs[Vector]"), 0)),0)</f>
        <v>17100000</v>
      </c>
      <c r="P47" s="1689">
        <f t="shared" ca="1" si="173"/>
        <v>45600000</v>
      </c>
      <c r="Q47" s="1689">
        <f t="shared" ca="1" si="173"/>
        <v>110180999.99999999</v>
      </c>
      <c r="R47" s="1689">
        <f t="shared" ca="1" si="173"/>
        <v>152988000</v>
      </c>
      <c r="S47" s="1689">
        <f t="shared" ca="1" si="173"/>
        <v>196023000</v>
      </c>
      <c r="T47" s="1689">
        <f t="shared" ca="1" si="173"/>
        <v>261801000</v>
      </c>
      <c r="U47" s="1689">
        <f t="shared" ca="1" si="173"/>
        <v>327579000</v>
      </c>
      <c r="V47" s="1689">
        <f t="shared" ca="1" si="173"/>
        <v>393414000</v>
      </c>
      <c r="W47" s="1689">
        <f t="shared" ca="1" si="173"/>
        <v>459192000</v>
      </c>
      <c r="X47" s="675"/>
      <c r="Y47" s="1689">
        <f t="shared" ref="Y47:AG56" ca="1" si="174">IFERROR(INDEX(INDIRECT($A47&amp;".Costs["&amp;Y$2&amp;"]"), MATCH($Y$45, INDIRECT($A47&amp;".Costs[Vector]"), 0)),0)</f>
        <v>0</v>
      </c>
      <c r="Z47" s="1689">
        <f t="shared" ca="1" si="174"/>
        <v>0</v>
      </c>
      <c r="AA47" s="1689">
        <f t="shared" ca="1" si="174"/>
        <v>0</v>
      </c>
      <c r="AB47" s="1689">
        <f t="shared" ca="1" si="174"/>
        <v>0</v>
      </c>
      <c r="AC47" s="1689">
        <f t="shared" ca="1" si="174"/>
        <v>0</v>
      </c>
      <c r="AD47" s="1689">
        <f t="shared" ca="1" si="174"/>
        <v>0</v>
      </c>
      <c r="AE47" s="1689">
        <f t="shared" ca="1" si="174"/>
        <v>0</v>
      </c>
      <c r="AF47" s="1689">
        <f t="shared" ca="1" si="174"/>
        <v>0</v>
      </c>
      <c r="AG47" s="1689">
        <f t="shared" ca="1" si="174"/>
        <v>0</v>
      </c>
      <c r="AH47" s="675"/>
      <c r="AI47" s="1689">
        <f t="shared" ref="AI47:AI86" ca="1" si="175">SUM(E47,O47,Y47)</f>
        <v>17100000</v>
      </c>
      <c r="AJ47" s="1689">
        <f t="shared" ref="AJ47:AJ85" ca="1" si="176">SUM(F47,P47,Z47)</f>
        <v>258795599999.99997</v>
      </c>
      <c r="AK47" s="1689">
        <f t="shared" ref="AK47:AK86" ca="1" si="177">SUM(G47,Q47,AA47)</f>
        <v>599960180999.99988</v>
      </c>
      <c r="AL47" s="1689">
        <f t="shared" ref="AL47:AL86" ca="1" si="178">SUM(H47,R47,AB47)</f>
        <v>555565488000</v>
      </c>
      <c r="AM47" s="1689">
        <f t="shared" ref="AM47:AM86" ca="1" si="179">SUM(I47,S47,AC47)</f>
        <v>641896023000.00012</v>
      </c>
      <c r="AN47" s="1689">
        <f t="shared" ref="AN47:AN86" ca="1" si="180">SUM(J47,T47,AD47)</f>
        <v>906449301000</v>
      </c>
      <c r="AO47" s="1689">
        <f t="shared" ref="AO47:AO86" ca="1" si="181">SUM(K47,U47,AE47)</f>
        <v>1036340079000</v>
      </c>
      <c r="AP47" s="1689">
        <f t="shared" ref="AP47:AP86" ca="1" si="182">SUM(L47,V47,AF47)</f>
        <v>1166680914000</v>
      </c>
      <c r="AQ47" s="1689">
        <f t="shared" ref="AQ47:AQ86" ca="1" si="183">SUM(M47,W47,AG47)</f>
        <v>1296234192000.0002</v>
      </c>
      <c r="AS47" s="1706">
        <f ca="1">AVERAGE(Costs!$AI47:$AQ47)</f>
        <v>717993208666.66663</v>
      </c>
      <c r="AT47" s="1706">
        <f t="shared" ref="AT47:AT86" ca="1" si="184">(SUMPRODUCT(AJ47:AQ47,discount_factors)*5)+AI47</f>
        <v>4382101049614.8711</v>
      </c>
      <c r="AU47" s="675"/>
      <c r="AV47" s="1699">
        <f>IFERROR(VLOOKUP($A47,Cost.FinanceCostTable,5,FALSE),'Global assumptions'!$F$35)</f>
        <v>7.0000000000000007E-2</v>
      </c>
      <c r="AW47" s="1690">
        <f>IFERROR(VLOOKUP($A47,Cost.FinanceCostTable,6,FALSE),'Global assumptions'!$G$35)</f>
        <v>20</v>
      </c>
      <c r="AX47" s="675"/>
      <c r="AY47" s="1689">
        <f t="shared" ref="AY47:AY86" ca="1" si="185">-PMT($AV47,$AW47,E47*3)</f>
        <v>0</v>
      </c>
      <c r="AZ47" s="1689">
        <f t="shared" ref="AZ47:AZ86" ca="1" si="186">-PMT($AV47,$AW47,F47*5)</f>
        <v>122120847680.33702</v>
      </c>
      <c r="BA47" s="1689">
        <f t="shared" ref="BA47:BA86" ca="1" si="187">-PMT($AV47,$AW47,G47*5)</f>
        <v>283107982535.45959</v>
      </c>
      <c r="BB47" s="1689">
        <f t="shared" ref="BB47:BB86" ca="1" si="188">-PMT($AV47,$AW47,H47*5)</f>
        <v>262135054346.88004</v>
      </c>
      <c r="BC47" s="1689">
        <f t="shared" ref="BC47:BC86" ca="1" si="189">-PMT($AV47,$AW47,I47*5)</f>
        <v>302859702247.23596</v>
      </c>
      <c r="BD47" s="1689">
        <f t="shared" ref="BD47:BD86" ca="1" si="190">-PMT($AV47,$AW47,J47*5)</f>
        <v>427688446984.83264</v>
      </c>
      <c r="BE47" s="1689">
        <f t="shared" ref="BE47:BE86" ca="1" si="191">-PMT($AV47,$AW47,K47*5)</f>
        <v>488961254907.9234</v>
      </c>
      <c r="BF47" s="1689">
        <f t="shared" ref="BF47:BF86" ca="1" si="192">-PMT($AV47,$AW47,L47*5)</f>
        <v>550446446913.93665</v>
      </c>
      <c r="BG47" s="1689">
        <f t="shared" ref="BG47:BG86" ca="1" si="193">-PMT($AV47,$AW47,M47*5)</f>
        <v>611559966774.83582</v>
      </c>
      <c r="BH47" s="675"/>
      <c r="BI47" s="1689">
        <f ca="1">AY47</f>
        <v>0</v>
      </c>
      <c r="BJ47" s="1689">
        <f t="shared" ref="BJ47:BJ86" ca="1" si="194">AZ47+IF(BJ$2-$BI$2&lt;$AW47,$AY47,0)</f>
        <v>122120847680.33702</v>
      </c>
      <c r="BK47" s="1689">
        <f t="shared" ref="BK47:BK86" ca="1" si="195">BA47+IF(BK$2-$BI$2&lt;$AW47,$AY47,0)+IF(BK$2-$BJ$2&lt;$AW47,$AZ47,0)</f>
        <v>405228830215.79663</v>
      </c>
      <c r="BL47" s="1689">
        <f t="shared" ref="BL47:BL86" ca="1" si="196">BB47+IF(BL$2-$BI$2&lt;$AW47,$AY47,0)+IF(BL$2-$BJ$2&lt;$AW47,$AZ47,0)+IF(BL$2-$BK$2&lt;$AW47,$BA47,0)</f>
        <v>667363884562.67664</v>
      </c>
      <c r="BM47" s="1689">
        <f t="shared" ref="BM47:BM86" ca="1" si="197">BC47+IF(BM$2-$BI$2&lt;$AW47,$AY47,0)+IF(BM$2-$BJ$2&lt;$AW47,$AZ47,0)+IF(BM$2-$BK$2&lt;$AW47,$BA47,0)+IF(BM$2-$BL$2&lt;$AW47,$BB47,0)</f>
        <v>970223586809.9126</v>
      </c>
      <c r="BN47" s="1689">
        <f t="shared" ref="BN47:BN86" ca="1" si="198">BD47+IF(BN$2-$BI$2&lt;$AW47,$AY47,0)+IF(BN$2-$BJ$2&lt;$AW47,$AZ47,0)+IF(BN$2-$BK$2&lt;$AW47,$BA47,0)+IF(BN$2-$BL$2&lt;$AW47,$BB47,0)+IF(BN$2-$BM$2&lt;$AW47,$BC47,0)</f>
        <v>1275791186114.4082</v>
      </c>
      <c r="BO47" s="1689">
        <f t="shared" ref="BO47:BO86" ca="1" si="199">BE47+IF(BO$2-$BI$2&lt;$AW47,$AY47,0)+IF(BO$2-$BJ$2&lt;$AW47,$AZ47,0)+IF(BO$2-$BK$2&lt;$AW47,$BA47,0)+IF(BO$2-$BL$2&lt;$AW47,$BB47,0)+IF(BO$2-$BM$2&lt;$AW47,$BC47,0)+IF(BO$2-$BN$2&lt;$AW47,$BD47,0)</f>
        <v>1481644458486.8721</v>
      </c>
      <c r="BP47" s="1689">
        <f t="shared" ref="BP47:BP86" ca="1" si="200">BF47+IF(BP$2-$BI$2&lt;$AW47,$AY47,0)+IF(BP$2-$BJ$2&lt;$AW47,$AZ47,0)+IF(BP$2-$BK$2&lt;$AW47,$BA47,0)+IF(BP$2-$BL$2&lt;$AW47,$BB47,0)+IF(BP$2-$BM$2&lt;$AW47,$BC47,0)+IF(BP$2-$BN$2&lt;$AW47,$BD47,0)+IF(BP$2-$BM$2&lt;$AW47,$BC47,0)+IF(BP$2-$BO$2&lt;$AW47,$BE47,0)</f>
        <v>2072815553301.1646</v>
      </c>
      <c r="BQ47" s="1689">
        <f t="shared" ref="BQ47:BQ86" ca="1" si="201">BG47+IF(BQ$2-$BI$2&lt;$AW47,$AY47,0)+IF(BQ$2-$BJ$2&lt;$AW47,$AZ47,0)+IF(BQ$2-$BK$2&lt;$AW47,$BA47,0)+IF(BQ$2-$BL$2&lt;$AW47,$BB47,0)+IF(BQ$2-$BM$2&lt;$AW47,$BC47,0)+IF(BQ$2-$BN$2&lt;$AW47,$BD47,0)+IF(BQ$2-$BM$2&lt;$AW47,$BC47,0)+IF(BQ$2-$BO$2&lt;$AW47,$BE47,0)+IF(BQ$2-$BP$2&lt;$AW47,$BF47,0)</f>
        <v>2078656115581.5283</v>
      </c>
      <c r="BR47" s="675"/>
      <c r="BS47" s="1701">
        <f t="shared" ref="BS47:BS86" ca="1" si="202">O47+Y47+BI47</f>
        <v>17100000</v>
      </c>
      <c r="BT47" s="1701">
        <f t="shared" ref="BT47:BT86" ca="1" si="203">P47+Z47+BJ47</f>
        <v>122166447680.33702</v>
      </c>
      <c r="BU47" s="1701">
        <f t="shared" ref="BU47:BU86" ca="1" si="204">Q47+AA47+BK47</f>
        <v>405339011215.79663</v>
      </c>
      <c r="BV47" s="1701">
        <f t="shared" ref="BV47:BV86" ca="1" si="205">R47+AB47+BL47</f>
        <v>667516872562.67664</v>
      </c>
      <c r="BW47" s="1701">
        <f t="shared" ref="BW47:BW86" ca="1" si="206">S47+AC47+BM47</f>
        <v>970419609809.9126</v>
      </c>
      <c r="BX47" s="1701">
        <f t="shared" ref="BX47:BX86" ca="1" si="207">T47+AD47+BN47</f>
        <v>1276052987114.4082</v>
      </c>
      <c r="BY47" s="1701">
        <f t="shared" ref="BY47:BY86" ca="1" si="208">U47+AE47+BO47</f>
        <v>1481972037486.8721</v>
      </c>
      <c r="BZ47" s="1701">
        <f t="shared" ref="BZ47:BZ86" ca="1" si="209">V47+AF47+BP47</f>
        <v>2073208967301.1646</v>
      </c>
      <c r="CA47" s="1701">
        <f t="shared" ref="CA47:CA86" ca="1" si="210">W47+AG47+BQ47</f>
        <v>2079115307581.5283</v>
      </c>
      <c r="CC47" s="1706">
        <f ca="1">AVERAGE(Costs!$BS47:$CA47)</f>
        <v>1008423148972.5217</v>
      </c>
      <c r="CD47" s="1706">
        <f t="shared" ref="CD47:CD87" ca="1" si="211">(SUMPRODUCT(BT47:CA47,discount_factors)*5)+BS47</f>
        <v>4650162444153.7002</v>
      </c>
      <c r="CF47" s="1703">
        <f ca="1">BI47-E47</f>
        <v>0</v>
      </c>
      <c r="CG47" s="1703">
        <f t="shared" ref="CG47:CG87" ca="1" si="212">BJ47-F47</f>
        <v>-136629152319.66295</v>
      </c>
      <c r="CH47" s="1703">
        <f t="shared" ref="CH47:CH87" ca="1" si="213">BK47-G47</f>
        <v>-194621169784.20325</v>
      </c>
      <c r="CI47" s="1703">
        <f t="shared" ref="CI47:CI87" ca="1" si="214">BL47-H47</f>
        <v>111951384562.67664</v>
      </c>
      <c r="CJ47" s="1703">
        <f t="shared" ref="CJ47:CJ87" ca="1" si="215">BM47-I47</f>
        <v>328523586809.91248</v>
      </c>
      <c r="CK47" s="1703">
        <f t="shared" ref="CK47:CK87" ca="1" si="216">BN47-J47</f>
        <v>369603686114.4082</v>
      </c>
      <c r="CL47" s="1703">
        <f t="shared" ref="CL47:CL87" ca="1" si="217">BO47-K47</f>
        <v>445631958486.87207</v>
      </c>
      <c r="CM47" s="1703">
        <f t="shared" ref="CM47:CM87" ca="1" si="218">BP47-L47</f>
        <v>906528053301.16455</v>
      </c>
      <c r="CN47" s="1703">
        <f t="shared" ref="CN47:CN87" ca="1" si="219">BQ47-M47</f>
        <v>782881115581.52808</v>
      </c>
      <c r="CP47" s="1706">
        <f ca="1">AVERAGE(Costs!$CF47:$CN47)</f>
        <v>290429940305.8551</v>
      </c>
      <c r="CQ47" s="1706">
        <f ca="1">(SUMPRODUCT(CG47:CN47,discount_factors)*5)+CF47</f>
        <v>268061394538.8295</v>
      </c>
      <c r="CR47" s="1426" t="str">
        <f ca="1">IF(ABS(CD47-CQ47-AT47)&lt;1,"ok","err")</f>
        <v>ok</v>
      </c>
    </row>
    <row r="48" spans="1:96" s="2126" customFormat="1" x14ac:dyDescent="0.2">
      <c r="A48" s="1685" t="s">
        <v>352</v>
      </c>
      <c r="B48" s="1685" t="s">
        <v>2411</v>
      </c>
      <c r="C48" s="1685" t="s">
        <v>4</v>
      </c>
      <c r="E48" s="1691">
        <f t="shared" ca="1" si="172"/>
        <v>0</v>
      </c>
      <c r="F48" s="1691">
        <f t="shared" ca="1" si="172"/>
        <v>0</v>
      </c>
      <c r="G48" s="1691">
        <f t="shared" ca="1" si="172"/>
        <v>1125000000</v>
      </c>
      <c r="H48" s="1691">
        <f t="shared" ca="1" si="172"/>
        <v>1406250000</v>
      </c>
      <c r="I48" s="1691">
        <f t="shared" ca="1" si="172"/>
        <v>2250000000</v>
      </c>
      <c r="J48" s="1691">
        <f t="shared" ca="1" si="172"/>
        <v>1593750000</v>
      </c>
      <c r="K48" s="1691">
        <f t="shared" ca="1" si="172"/>
        <v>1687500000</v>
      </c>
      <c r="L48" s="1691">
        <f t="shared" ca="1" si="172"/>
        <v>1968750000</v>
      </c>
      <c r="M48" s="1691">
        <f t="shared" ca="1" si="172"/>
        <v>2250000000</v>
      </c>
      <c r="N48" s="675"/>
      <c r="O48" s="1691">
        <f t="shared" ca="1" si="173"/>
        <v>0</v>
      </c>
      <c r="P48" s="1691">
        <f t="shared" ca="1" si="173"/>
        <v>0</v>
      </c>
      <c r="Q48" s="1691">
        <f t="shared" ca="1" si="173"/>
        <v>28500</v>
      </c>
      <c r="R48" s="1691">
        <f t="shared" ca="1" si="173"/>
        <v>28500</v>
      </c>
      <c r="S48" s="1691">
        <f t="shared" ca="1" si="173"/>
        <v>14250</v>
      </c>
      <c r="T48" s="1691">
        <f t="shared" ca="1" si="173"/>
        <v>42750</v>
      </c>
      <c r="U48" s="1691">
        <f t="shared" ca="1" si="173"/>
        <v>57000</v>
      </c>
      <c r="V48" s="1691">
        <f t="shared" ca="1" si="173"/>
        <v>57000</v>
      </c>
      <c r="W48" s="1691">
        <f t="shared" ca="1" si="173"/>
        <v>57000</v>
      </c>
      <c r="X48" s="675"/>
      <c r="Y48" s="1691">
        <f t="shared" ca="1" si="174"/>
        <v>0</v>
      </c>
      <c r="Z48" s="1691">
        <f t="shared" ca="1" si="174"/>
        <v>0</v>
      </c>
      <c r="AA48" s="1691">
        <f t="shared" ca="1" si="174"/>
        <v>0</v>
      </c>
      <c r="AB48" s="1691">
        <f t="shared" ca="1" si="174"/>
        <v>0</v>
      </c>
      <c r="AC48" s="1691">
        <f t="shared" ca="1" si="174"/>
        <v>0</v>
      </c>
      <c r="AD48" s="1691">
        <f t="shared" ca="1" si="174"/>
        <v>0</v>
      </c>
      <c r="AE48" s="1691">
        <f t="shared" ca="1" si="174"/>
        <v>0</v>
      </c>
      <c r="AF48" s="1691">
        <f t="shared" ca="1" si="174"/>
        <v>0</v>
      </c>
      <c r="AG48" s="1691">
        <f t="shared" ca="1" si="174"/>
        <v>0</v>
      </c>
      <c r="AH48" s="675"/>
      <c r="AI48" s="1691">
        <f t="shared" ca="1" si="175"/>
        <v>0</v>
      </c>
      <c r="AJ48" s="1691">
        <f t="shared" ca="1" si="176"/>
        <v>0</v>
      </c>
      <c r="AK48" s="1691">
        <f t="shared" ca="1" si="177"/>
        <v>1125028500</v>
      </c>
      <c r="AL48" s="1691">
        <f t="shared" ca="1" si="178"/>
        <v>1406278500</v>
      </c>
      <c r="AM48" s="1691">
        <f t="shared" ca="1" si="179"/>
        <v>2250014250</v>
      </c>
      <c r="AN48" s="1691">
        <f t="shared" ca="1" si="180"/>
        <v>1593792750</v>
      </c>
      <c r="AO48" s="1691">
        <f t="shared" ca="1" si="181"/>
        <v>1687557000</v>
      </c>
      <c r="AP48" s="1691">
        <f t="shared" ca="1" si="182"/>
        <v>1968807000</v>
      </c>
      <c r="AQ48" s="1691">
        <f t="shared" ca="1" si="183"/>
        <v>2250057000</v>
      </c>
      <c r="AS48" s="1707">
        <f ca="1">AVERAGE(Costs!$AI48:$AQ48)</f>
        <v>1364615000</v>
      </c>
      <c r="AT48" s="1707">
        <f t="shared" ca="1" si="184"/>
        <v>7709691324.8467016</v>
      </c>
      <c r="AU48" s="675"/>
      <c r="AV48" s="1700">
        <f>IFERROR(VLOOKUP($A48,Cost.FinanceCostTable,5,FALSE),'Global assumptions'!$F$35)</f>
        <v>7.0000000000000007E-2</v>
      </c>
      <c r="AW48" s="1692">
        <f>IFERROR(VLOOKUP($A48,Cost.FinanceCostTable,6,FALSE),'Global assumptions'!$G$35)</f>
        <v>30</v>
      </c>
      <c r="AX48" s="675"/>
      <c r="AY48" s="1691">
        <f t="shared" ca="1" si="185"/>
        <v>0</v>
      </c>
      <c r="AZ48" s="1691">
        <f t="shared" ca="1" si="186"/>
        <v>0</v>
      </c>
      <c r="BA48" s="1691">
        <f t="shared" ca="1" si="187"/>
        <v>453298519.75000048</v>
      </c>
      <c r="BB48" s="1691">
        <f t="shared" ca="1" si="188"/>
        <v>566623149.6875006</v>
      </c>
      <c r="BC48" s="1691">
        <f t="shared" ca="1" si="189"/>
        <v>906597039.50000095</v>
      </c>
      <c r="BD48" s="1691">
        <f t="shared" ca="1" si="190"/>
        <v>642172902.97916734</v>
      </c>
      <c r="BE48" s="1691">
        <f t="shared" ca="1" si="191"/>
        <v>679947779.62500072</v>
      </c>
      <c r="BF48" s="1691">
        <f t="shared" ca="1" si="192"/>
        <v>793272409.56250083</v>
      </c>
      <c r="BG48" s="1691">
        <f t="shared" ca="1" si="193"/>
        <v>906597039.50000095</v>
      </c>
      <c r="BH48" s="675"/>
      <c r="BI48" s="1691">
        <f t="shared" ref="BI48:BI86" ca="1" si="220">AY48</f>
        <v>0</v>
      </c>
      <c r="BJ48" s="1691">
        <f t="shared" ca="1" si="194"/>
        <v>0</v>
      </c>
      <c r="BK48" s="1691">
        <f t="shared" ca="1" si="195"/>
        <v>453298519.75000048</v>
      </c>
      <c r="BL48" s="1691">
        <f t="shared" ca="1" si="196"/>
        <v>1019921669.4375011</v>
      </c>
      <c r="BM48" s="1691">
        <f t="shared" ca="1" si="197"/>
        <v>1926518708.9375019</v>
      </c>
      <c r="BN48" s="1691">
        <f t="shared" ca="1" si="198"/>
        <v>2568691611.9166694</v>
      </c>
      <c r="BO48" s="1691">
        <f t="shared" ca="1" si="199"/>
        <v>3248639391.5416703</v>
      </c>
      <c r="BP48" s="1691">
        <f t="shared" ca="1" si="200"/>
        <v>4948508840.6041718</v>
      </c>
      <c r="BQ48" s="1691">
        <f t="shared" ca="1" si="201"/>
        <v>5401807360.3541727</v>
      </c>
      <c r="BR48" s="675"/>
      <c r="BS48" s="1702">
        <f t="shared" ca="1" si="202"/>
        <v>0</v>
      </c>
      <c r="BT48" s="1702">
        <f t="shared" ca="1" si="203"/>
        <v>0</v>
      </c>
      <c r="BU48" s="1702">
        <f t="shared" ca="1" si="204"/>
        <v>453327019.75000048</v>
      </c>
      <c r="BV48" s="1702">
        <f t="shared" ca="1" si="205"/>
        <v>1019950169.4375011</v>
      </c>
      <c r="BW48" s="1702">
        <f t="shared" ca="1" si="206"/>
        <v>1926532958.9375019</v>
      </c>
      <c r="BX48" s="1702">
        <f t="shared" ca="1" si="207"/>
        <v>2568734361.9166694</v>
      </c>
      <c r="BY48" s="1702">
        <f t="shared" ca="1" si="208"/>
        <v>3248696391.5416703</v>
      </c>
      <c r="BZ48" s="1702">
        <f t="shared" ca="1" si="209"/>
        <v>4948565840.6041718</v>
      </c>
      <c r="CA48" s="1702">
        <f t="shared" ca="1" si="210"/>
        <v>5401864360.3541727</v>
      </c>
      <c r="CC48" s="1707">
        <f ca="1">AVERAGE(Costs!$BS48:$CA48)</f>
        <v>2174185678.0601873</v>
      </c>
      <c r="CD48" s="1707">
        <f t="shared" ca="1" si="211"/>
        <v>8017785342.5507822</v>
      </c>
      <c r="CF48" s="1704">
        <f t="shared" ref="CF48:CF87" ca="1" si="221">BI48-E48</f>
        <v>0</v>
      </c>
      <c r="CG48" s="1704">
        <f t="shared" ca="1" si="212"/>
        <v>0</v>
      </c>
      <c r="CH48" s="1704">
        <f t="shared" ca="1" si="213"/>
        <v>-671701480.24999952</v>
      </c>
      <c r="CI48" s="1704">
        <f t="shared" ca="1" si="214"/>
        <v>-386328330.56249893</v>
      </c>
      <c r="CJ48" s="1704">
        <f t="shared" ca="1" si="215"/>
        <v>-323481291.06249809</v>
      </c>
      <c r="CK48" s="1704">
        <f t="shared" ca="1" si="216"/>
        <v>974941611.91666937</v>
      </c>
      <c r="CL48" s="1704">
        <f t="shared" ca="1" si="217"/>
        <v>1561139391.5416703</v>
      </c>
      <c r="CM48" s="1704">
        <f t="shared" ca="1" si="218"/>
        <v>2979758840.6041718</v>
      </c>
      <c r="CN48" s="1704">
        <f t="shared" ca="1" si="219"/>
        <v>3151807360.3541727</v>
      </c>
      <c r="CP48" s="1707">
        <f ca="1">AVERAGE(Costs!$CF48:$CN48)</f>
        <v>809570678.06018746</v>
      </c>
      <c r="CQ48" s="1707">
        <f t="shared" ref="CQ48:CQ86" ca="1" si="222">(SUMPRODUCT(CG48:CN48,discount_factors)*5)+CF48</f>
        <v>308094017.70408082</v>
      </c>
      <c r="CR48" s="1426" t="str">
        <f t="shared" ref="CR48:CR87" ca="1" si="223">IF(ABS(CD48-CQ48-AT48)&lt;1,"ok","err")</f>
        <v>ok</v>
      </c>
    </row>
    <row r="49" spans="1:96" s="2126" customFormat="1" x14ac:dyDescent="0.2">
      <c r="A49" s="1685" t="s">
        <v>2146</v>
      </c>
      <c r="B49" s="1685" t="s">
        <v>2585</v>
      </c>
      <c r="C49" s="1685" t="s">
        <v>4</v>
      </c>
      <c r="D49" s="2370"/>
      <c r="E49" s="1691">
        <f t="shared" ca="1" si="172"/>
        <v>0</v>
      </c>
      <c r="F49" s="1691">
        <f t="shared" ca="1" si="172"/>
        <v>0</v>
      </c>
      <c r="G49" s="1691">
        <f t="shared" ca="1" si="172"/>
        <v>0</v>
      </c>
      <c r="H49" s="1691">
        <f t="shared" ca="1" si="172"/>
        <v>19800000</v>
      </c>
      <c r="I49" s="1691">
        <f t="shared" ca="1" si="172"/>
        <v>59895000</v>
      </c>
      <c r="J49" s="1691">
        <f t="shared" ca="1" si="172"/>
        <v>112860000</v>
      </c>
      <c r="K49" s="1691">
        <f t="shared" ca="1" si="172"/>
        <v>166320000</v>
      </c>
      <c r="L49" s="1691">
        <f t="shared" ca="1" si="172"/>
        <v>219285000</v>
      </c>
      <c r="M49" s="1691">
        <f t="shared" ca="1" si="172"/>
        <v>272250000</v>
      </c>
      <c r="N49" s="675"/>
      <c r="O49" s="1691">
        <f t="shared" ca="1" si="173"/>
        <v>0</v>
      </c>
      <c r="P49" s="1691">
        <f t="shared" ca="1" si="173"/>
        <v>0</v>
      </c>
      <c r="Q49" s="1691">
        <f t="shared" ca="1" si="173"/>
        <v>0</v>
      </c>
      <c r="R49" s="1691">
        <f t="shared" ca="1" si="173"/>
        <v>19800000</v>
      </c>
      <c r="S49" s="1691">
        <f t="shared" ca="1" si="173"/>
        <v>59895000</v>
      </c>
      <c r="T49" s="1691">
        <f t="shared" ca="1" si="173"/>
        <v>112860000</v>
      </c>
      <c r="U49" s="1691">
        <f t="shared" ca="1" si="173"/>
        <v>166320000</v>
      </c>
      <c r="V49" s="1691">
        <f t="shared" ca="1" si="173"/>
        <v>219285000</v>
      </c>
      <c r="W49" s="1691">
        <f t="shared" ca="1" si="173"/>
        <v>272250000</v>
      </c>
      <c r="X49" s="675"/>
      <c r="Y49" s="1691">
        <f t="shared" ca="1" si="174"/>
        <v>0</v>
      </c>
      <c r="Z49" s="1691">
        <f t="shared" ca="1" si="174"/>
        <v>0</v>
      </c>
      <c r="AA49" s="1691">
        <f t="shared" ca="1" si="174"/>
        <v>0</v>
      </c>
      <c r="AB49" s="1691">
        <f t="shared" ca="1" si="174"/>
        <v>0</v>
      </c>
      <c r="AC49" s="1691">
        <f t="shared" ca="1" si="174"/>
        <v>0</v>
      </c>
      <c r="AD49" s="1691">
        <f t="shared" ca="1" si="174"/>
        <v>0</v>
      </c>
      <c r="AE49" s="1691">
        <f t="shared" ca="1" si="174"/>
        <v>0</v>
      </c>
      <c r="AF49" s="1691">
        <f t="shared" ca="1" si="174"/>
        <v>0</v>
      </c>
      <c r="AG49" s="1691">
        <f t="shared" ca="1" si="174"/>
        <v>0</v>
      </c>
      <c r="AH49" s="675"/>
      <c r="AI49" s="1691">
        <f t="shared" ref="AI49:AQ49" ca="1" si="224">SUM(E49,O49,Y49)</f>
        <v>0</v>
      </c>
      <c r="AJ49" s="1691">
        <f t="shared" ca="1" si="224"/>
        <v>0</v>
      </c>
      <c r="AK49" s="1691">
        <f t="shared" ca="1" si="224"/>
        <v>0</v>
      </c>
      <c r="AL49" s="1691">
        <f t="shared" ca="1" si="224"/>
        <v>39600000</v>
      </c>
      <c r="AM49" s="1691">
        <f t="shared" ca="1" si="224"/>
        <v>119790000</v>
      </c>
      <c r="AN49" s="1691">
        <f t="shared" ca="1" si="224"/>
        <v>225720000</v>
      </c>
      <c r="AO49" s="1691">
        <f t="shared" ca="1" si="224"/>
        <v>332640000</v>
      </c>
      <c r="AP49" s="1691">
        <f t="shared" ca="1" si="224"/>
        <v>438570000</v>
      </c>
      <c r="AQ49" s="1691">
        <f t="shared" ca="1" si="224"/>
        <v>544500000</v>
      </c>
      <c r="AR49" s="2370"/>
      <c r="AS49" s="1707">
        <f ca="1">AVERAGE(Costs!$AI49:$AQ49)</f>
        <v>188980000</v>
      </c>
      <c r="AT49" s="1707">
        <f t="shared" ref="AT49:AT55" ca="1" si="225">(SUMPRODUCT(AJ49:AQ49,discount_factors)*5)+AI49</f>
        <v>560409232.10307705</v>
      </c>
      <c r="AU49" s="675"/>
      <c r="AV49" s="1700">
        <f>IFERROR(VLOOKUP($A49,Cost.FinanceCostTable,5,FALSE),'Global assumptions'!$F$35)</f>
        <v>7.0000000000000007E-2</v>
      </c>
      <c r="AW49" s="1692">
        <f>IFERROR(VLOOKUP($A49,Cost.FinanceCostTable,6,FALSE),'Global assumptions'!$G$35)</f>
        <v>15</v>
      </c>
      <c r="AX49" s="675"/>
      <c r="AY49" s="1691">
        <f ca="1">-PMT($AV49,$AW49,E49*3)</f>
        <v>0</v>
      </c>
      <c r="AZ49" s="1691">
        <f t="shared" ref="AZ49:BG49" ca="1" si="226">-PMT($AV49,$AW49,F49*5)</f>
        <v>0</v>
      </c>
      <c r="BA49" s="1691">
        <f t="shared" ca="1" si="226"/>
        <v>0</v>
      </c>
      <c r="BB49" s="1691">
        <f t="shared" ca="1" si="226"/>
        <v>10869667.845399648</v>
      </c>
      <c r="BC49" s="1691">
        <f t="shared" ca="1" si="226"/>
        <v>32880745.232333936</v>
      </c>
      <c r="BD49" s="1691">
        <f t="shared" ca="1" si="226"/>
        <v>61957106.718777999</v>
      </c>
      <c r="BE49" s="1691">
        <f t="shared" ca="1" si="226"/>
        <v>91305209.901357055</v>
      </c>
      <c r="BF49" s="1691">
        <f t="shared" ca="1" si="226"/>
        <v>120381571.38780111</v>
      </c>
      <c r="BG49" s="1691">
        <f t="shared" ca="1" si="226"/>
        <v>149457932.87424517</v>
      </c>
      <c r="BH49" s="675"/>
      <c r="BI49" s="1691">
        <f ca="1">AY49</f>
        <v>0</v>
      </c>
      <c r="BJ49" s="1691">
        <f ca="1">AZ49+IF(BJ$2-$BI$2&lt;$AW49,$AY49,0)</f>
        <v>0</v>
      </c>
      <c r="BK49" s="1691">
        <f ca="1">BA49+IF(BK$2-$BI$2&lt;$AW49,$AY49,0)+IF(BK$2-$BJ$2&lt;$AW49,$AZ49,0)</f>
        <v>0</v>
      </c>
      <c r="BL49" s="1691">
        <f ca="1">BB49+IF(BL$2-$BI$2&lt;$AW49,$AY49,0)+IF(BL$2-$BJ$2&lt;$AW49,$AZ49,0)+IF(BL$2-$BK$2&lt;$AW49,$BA49,0)</f>
        <v>10869667.845399648</v>
      </c>
      <c r="BM49" s="1691">
        <f ca="1">BC49+IF(BM$2-$BI$2&lt;$AW49,$AY49,0)+IF(BM$2-$BJ$2&lt;$AW49,$AZ49,0)+IF(BM$2-$BK$2&lt;$AW49,$BA49,0)+IF(BM$2-$BL$2&lt;$AW49,$BB49,0)</f>
        <v>43750413.077733584</v>
      </c>
      <c r="BN49" s="1691">
        <f ca="1">BD49+IF(BN$2-$BI$2&lt;$AW49,$AY49,0)+IF(BN$2-$BJ$2&lt;$AW49,$AZ49,0)+IF(BN$2-$BK$2&lt;$AW49,$BA49,0)+IF(BN$2-$BL$2&lt;$AW49,$BB49,0)+IF(BN$2-$BM$2&lt;$AW49,$BC49,0)</f>
        <v>105707519.79651159</v>
      </c>
      <c r="BO49" s="1691">
        <f ca="1">BE49+IF(BO$2-$BI$2&lt;$AW49,$AY49,0)+IF(BO$2-$BJ$2&lt;$AW49,$AZ49,0)+IF(BO$2-$BK$2&lt;$AW49,$BA49,0)+IF(BO$2-$BL$2&lt;$AW49,$BB49,0)+IF(BO$2-$BM$2&lt;$AW49,$BC49,0)+IF(BO$2-$BN$2&lt;$AW49,$BD49,0)</f>
        <v>186143061.85246897</v>
      </c>
      <c r="BP49" s="1691">
        <f ca="1">BF49+IF(BP$2-$BI$2&lt;$AW49,$AY49,0)+IF(BP$2-$BJ$2&lt;$AW49,$AZ49,0)+IF(BP$2-$BK$2&lt;$AW49,$BA49,0)+IF(BP$2-$BL$2&lt;$AW49,$BB49,0)+IF(BP$2-$BM$2&lt;$AW49,$BC49,0)+IF(BP$2-$BN$2&lt;$AW49,$BD49,0)+IF(BP$2-$BM$2&lt;$AW49,$BC49,0)+IF(BP$2-$BO$2&lt;$AW49,$BE49,0)</f>
        <v>273643888.00793618</v>
      </c>
      <c r="BQ49" s="1691">
        <f ca="1">BG49+IF(BQ$2-$BI$2&lt;$AW49,$AY49,0)+IF(BQ$2-$BJ$2&lt;$AW49,$AZ49,0)+IF(BQ$2-$BK$2&lt;$AW49,$BA49,0)+IF(BQ$2-$BL$2&lt;$AW49,$BB49,0)+IF(BQ$2-$BM$2&lt;$AW49,$BC49,0)+IF(BQ$2-$BN$2&lt;$AW49,$BD49,0)+IF(BQ$2-$BM$2&lt;$AW49,$BC49,0)+IF(BQ$2-$BO$2&lt;$AW49,$BE49,0)+IF(BQ$2-$BP$2&lt;$AW49,$BF49,0)</f>
        <v>361144714.16340333</v>
      </c>
      <c r="BR49" s="675"/>
      <c r="BS49" s="1702">
        <f t="shared" ref="BS49:CA49" ca="1" si="227">O49+Y49+BI49</f>
        <v>0</v>
      </c>
      <c r="BT49" s="1702">
        <f t="shared" ca="1" si="227"/>
        <v>0</v>
      </c>
      <c r="BU49" s="1702">
        <f t="shared" ca="1" si="227"/>
        <v>0</v>
      </c>
      <c r="BV49" s="1702">
        <f t="shared" ca="1" si="227"/>
        <v>30669667.845399648</v>
      </c>
      <c r="BW49" s="1702">
        <f t="shared" ca="1" si="227"/>
        <v>103645413.07773358</v>
      </c>
      <c r="BX49" s="1702">
        <f t="shared" ca="1" si="227"/>
        <v>218567519.79651159</v>
      </c>
      <c r="BY49" s="1702">
        <f t="shared" ca="1" si="227"/>
        <v>352463061.85246897</v>
      </c>
      <c r="BZ49" s="1702">
        <f t="shared" ca="1" si="227"/>
        <v>492928888.00793618</v>
      </c>
      <c r="CA49" s="1702">
        <f t="shared" ca="1" si="227"/>
        <v>633394714.16340327</v>
      </c>
      <c r="CB49" s="2370"/>
      <c r="CC49" s="1707">
        <f ca="1">AVERAGE(Costs!$BS49:$CA49)</f>
        <v>203518807.19371703</v>
      </c>
      <c r="CD49" s="1707">
        <f t="shared" ref="CD49:CD55" ca="1" si="228">(SUMPRODUCT(BT49:CA49,discount_factors)*5)+BS49</f>
        <v>572490241.02378464</v>
      </c>
      <c r="CE49" s="2370"/>
      <c r="CF49" s="1704">
        <f t="shared" ref="CF49:CN49" ca="1" si="229">BI49-E49</f>
        <v>0</v>
      </c>
      <c r="CG49" s="1704">
        <f t="shared" ca="1" si="229"/>
        <v>0</v>
      </c>
      <c r="CH49" s="1704">
        <f t="shared" ca="1" si="229"/>
        <v>0</v>
      </c>
      <c r="CI49" s="1704">
        <f t="shared" ca="1" si="229"/>
        <v>-8930332.154600352</v>
      </c>
      <c r="CJ49" s="1704">
        <f t="shared" ca="1" si="229"/>
        <v>-16144586.922266416</v>
      </c>
      <c r="CK49" s="1704">
        <f t="shared" ca="1" si="229"/>
        <v>-7152480.2034884095</v>
      </c>
      <c r="CL49" s="1704">
        <f t="shared" ca="1" si="229"/>
        <v>19823061.852468967</v>
      </c>
      <c r="CM49" s="1704">
        <f t="shared" ca="1" si="229"/>
        <v>54358888.00793618</v>
      </c>
      <c r="CN49" s="1704">
        <f t="shared" ca="1" si="229"/>
        <v>88894714.163403332</v>
      </c>
      <c r="CO49" s="2370"/>
      <c r="CP49" s="1707">
        <f ca="1">AVERAGE(Costs!$CF49:$CN49)</f>
        <v>14538807.193717033</v>
      </c>
      <c r="CQ49" s="1707">
        <f t="shared" ref="CQ49:CQ55" ca="1" si="230">(SUMPRODUCT(CG49:CN49,discount_factors)*5)+CF49</f>
        <v>12081008.920707468</v>
      </c>
      <c r="CR49" s="1426" t="str">
        <f ca="1">IF(ABS(CD49-CQ49-AT49)&lt;1,"ok","err")</f>
        <v>ok</v>
      </c>
    </row>
    <row r="50" spans="1:96" s="2126" customFormat="1" x14ac:dyDescent="0.2">
      <c r="A50" s="1683" t="s">
        <v>297</v>
      </c>
      <c r="B50" s="1683" t="s">
        <v>796</v>
      </c>
      <c r="C50" s="1683" t="s">
        <v>4</v>
      </c>
      <c r="E50" s="1689">
        <f t="shared" ca="1" si="172"/>
        <v>0</v>
      </c>
      <c r="F50" s="1689">
        <f t="shared" ca="1" si="172"/>
        <v>0</v>
      </c>
      <c r="G50" s="1689">
        <f t="shared" ca="1" si="172"/>
        <v>0</v>
      </c>
      <c r="H50" s="1689">
        <f t="shared" ca="1" si="172"/>
        <v>525000000000</v>
      </c>
      <c r="I50" s="1689">
        <f t="shared" ca="1" si="172"/>
        <v>472499999999.99994</v>
      </c>
      <c r="J50" s="1689">
        <f t="shared" ca="1" si="172"/>
        <v>945000000000.00012</v>
      </c>
      <c r="K50" s="1689">
        <f t="shared" ca="1" si="172"/>
        <v>1784999999999.9998</v>
      </c>
      <c r="L50" s="1689">
        <f t="shared" ca="1" si="172"/>
        <v>3465000000000</v>
      </c>
      <c r="M50" s="1689">
        <f t="shared" ca="1" si="172"/>
        <v>6720000000000</v>
      </c>
      <c r="N50" s="675"/>
      <c r="O50" s="1689">
        <f t="shared" ca="1" si="173"/>
        <v>0</v>
      </c>
      <c r="P50" s="1689">
        <f t="shared" ca="1" si="173"/>
        <v>0</v>
      </c>
      <c r="Q50" s="1689">
        <f t="shared" ca="1" si="173"/>
        <v>0</v>
      </c>
      <c r="R50" s="1689">
        <f t="shared" ca="1" si="173"/>
        <v>3860790000.000001</v>
      </c>
      <c r="S50" s="1689">
        <f t="shared" ca="1" si="173"/>
        <v>7335501000</v>
      </c>
      <c r="T50" s="1689">
        <f t="shared" ca="1" si="173"/>
        <v>14284923000.000004</v>
      </c>
      <c r="U50" s="1689">
        <f t="shared" ca="1" si="173"/>
        <v>27411609000.000008</v>
      </c>
      <c r="V50" s="1689">
        <f t="shared" ca="1" si="173"/>
        <v>52892823000.000015</v>
      </c>
      <c r="W50" s="1689">
        <f t="shared" ca="1" si="173"/>
        <v>102310935000.00002</v>
      </c>
      <c r="X50" s="675"/>
      <c r="Y50" s="1689">
        <f t="shared" ca="1" si="174"/>
        <v>0</v>
      </c>
      <c r="Z50" s="1689">
        <f t="shared" ca="1" si="174"/>
        <v>0</v>
      </c>
      <c r="AA50" s="1689">
        <f t="shared" ca="1" si="174"/>
        <v>0</v>
      </c>
      <c r="AB50" s="1689">
        <f t="shared" ca="1" si="174"/>
        <v>38570400000.000008</v>
      </c>
      <c r="AC50" s="1689">
        <f t="shared" ca="1" si="174"/>
        <v>73283760000</v>
      </c>
      <c r="AD50" s="1689">
        <f t="shared" ca="1" si="174"/>
        <v>142710480000.00003</v>
      </c>
      <c r="AE50" s="1689">
        <f t="shared" ca="1" si="174"/>
        <v>273849840000.00006</v>
      </c>
      <c r="AF50" s="1689">
        <f t="shared" ca="1" si="174"/>
        <v>528414480000.00012</v>
      </c>
      <c r="AG50" s="1689">
        <f t="shared" ca="1" si="174"/>
        <v>1022115600000.0001</v>
      </c>
      <c r="AH50" s="675"/>
      <c r="AI50" s="1689">
        <f t="shared" ref="AI50:AI55" ca="1" si="231">SUM(E50,O50,Y50)</f>
        <v>0</v>
      </c>
      <c r="AJ50" s="1689">
        <f t="shared" ref="AJ50:AJ55" ca="1" si="232">SUM(F50,P50,Z50)</f>
        <v>0</v>
      </c>
      <c r="AK50" s="1689">
        <f t="shared" ref="AK50:AK55" ca="1" si="233">SUM(G50,Q50,AA50)</f>
        <v>0</v>
      </c>
      <c r="AL50" s="1689">
        <f t="shared" ref="AL50:AL55" ca="1" si="234">SUM(H50,R50,AB50)</f>
        <v>567431190000</v>
      </c>
      <c r="AM50" s="1689">
        <f t="shared" ref="AM50:AM55" ca="1" si="235">SUM(I50,S50,AC50)</f>
        <v>553119261000</v>
      </c>
      <c r="AN50" s="1689">
        <f t="shared" ref="AN50:AN55" ca="1" si="236">SUM(J50,T50,AD50)</f>
        <v>1101995403000.0002</v>
      </c>
      <c r="AO50" s="1689">
        <f t="shared" ref="AO50:AO55" ca="1" si="237">SUM(K50,U50,AE50)</f>
        <v>2086261448999.9998</v>
      </c>
      <c r="AP50" s="1689">
        <f t="shared" ref="AP50:AP55" ca="1" si="238">SUM(L50,V50,AF50)</f>
        <v>4046307303000</v>
      </c>
      <c r="AQ50" s="1689">
        <f t="shared" ref="AQ50:AQ55" ca="1" si="239">SUM(M50,W50,AG50)</f>
        <v>7844426535000</v>
      </c>
      <c r="AS50" s="1706">
        <f ca="1">AVERAGE(Costs!$AI50:$AQ50)</f>
        <v>1799949015666.6667</v>
      </c>
      <c r="AT50" s="1706">
        <f t="shared" ca="1" si="225"/>
        <v>4869323284119.3369</v>
      </c>
      <c r="AU50" s="675"/>
      <c r="AV50" s="1699">
        <f>IFERROR(VLOOKUP($A50,Cost.FinanceCostTable,5,FALSE),'Global assumptions'!$F$35)</f>
        <v>7.0000000000000007E-2</v>
      </c>
      <c r="AW50" s="1690">
        <f>IFERROR(VLOOKUP($A50,Cost.FinanceCostTable,6,FALSE),'Global assumptions'!$G$35)</f>
        <v>30</v>
      </c>
      <c r="AX50" s="675"/>
      <c r="AY50" s="1689">
        <f t="shared" ref="AY50:AY55" ca="1" si="240">-PMT($AV50,$AW50,E50*3)</f>
        <v>0</v>
      </c>
      <c r="AZ50" s="1689">
        <f t="shared" ref="AZ50:AZ55" ca="1" si="241">-PMT($AV50,$AW50,F50*5)</f>
        <v>0</v>
      </c>
      <c r="BA50" s="1689">
        <f t="shared" ref="BA50:BA55" ca="1" si="242">-PMT($AV50,$AW50,G50*5)</f>
        <v>0</v>
      </c>
      <c r="BB50" s="1689">
        <f t="shared" ref="BB50:BB55" ca="1" si="243">-PMT($AV50,$AW50,H50*5)</f>
        <v>211539309216.6669</v>
      </c>
      <c r="BC50" s="1689">
        <f t="shared" ref="BC50:BC55" ca="1" si="244">-PMT($AV50,$AW50,I50*5)</f>
        <v>190385378295.00015</v>
      </c>
      <c r="BD50" s="1689">
        <f t="shared" ref="BD50:BD55" ca="1" si="245">-PMT($AV50,$AW50,J50*5)</f>
        <v>380770756590.00049</v>
      </c>
      <c r="BE50" s="1689">
        <f t="shared" ref="BE50:BE55" ca="1" si="246">-PMT($AV50,$AW50,K50*5)</f>
        <v>719233651336.66724</v>
      </c>
      <c r="BF50" s="1689">
        <f t="shared" ref="BF50:BF55" ca="1" si="247">-PMT($AV50,$AW50,L50*5)</f>
        <v>1396159440830.0015</v>
      </c>
      <c r="BG50" s="1689">
        <f t="shared" ref="BG50:BG55" ca="1" si="248">-PMT($AV50,$AW50,M50*5)</f>
        <v>2707703157973.3364</v>
      </c>
      <c r="BH50" s="675"/>
      <c r="BI50" s="1689">
        <f t="shared" ref="BI50:BI55" ca="1" si="249">AY50</f>
        <v>0</v>
      </c>
      <c r="BJ50" s="1689">
        <f t="shared" ref="BJ50:BJ55" ca="1" si="250">AZ50+IF(BJ$2-$BI$2&lt;$AW50,$AY50,0)</f>
        <v>0</v>
      </c>
      <c r="BK50" s="1689">
        <f t="shared" ref="BK50:BK55" ca="1" si="251">BA50+IF(BK$2-$BI$2&lt;$AW50,$AY50,0)+IF(BK$2-$BJ$2&lt;$AW50,$AZ50,0)</f>
        <v>0</v>
      </c>
      <c r="BL50" s="1689">
        <f t="shared" ref="BL50:BL55" ca="1" si="252">BB50+IF(BL$2-$BI$2&lt;$AW50,$AY50,0)+IF(BL$2-$BJ$2&lt;$AW50,$AZ50,0)+IF(BL$2-$BK$2&lt;$AW50,$BA50,0)</f>
        <v>211539309216.6669</v>
      </c>
      <c r="BM50" s="1689">
        <f t="shared" ref="BM50:BM55" ca="1" si="253">BC50+IF(BM$2-$BI$2&lt;$AW50,$AY50,0)+IF(BM$2-$BJ$2&lt;$AW50,$AZ50,0)+IF(BM$2-$BK$2&lt;$AW50,$BA50,0)+IF(BM$2-$BL$2&lt;$AW50,$BB50,0)</f>
        <v>401924687511.66705</v>
      </c>
      <c r="BN50" s="1689">
        <f t="shared" ref="BN50:BN55" ca="1" si="254">BD50+IF(BN$2-$BI$2&lt;$AW50,$AY50,0)+IF(BN$2-$BJ$2&lt;$AW50,$AZ50,0)+IF(BN$2-$BK$2&lt;$AW50,$BA50,0)+IF(BN$2-$BL$2&lt;$AW50,$BB50,0)+IF(BN$2-$BM$2&lt;$AW50,$BC50,0)</f>
        <v>782695444101.66748</v>
      </c>
      <c r="BO50" s="1689">
        <f t="shared" ref="BO50:BO55" ca="1" si="255">BE50+IF(BO$2-$BI$2&lt;$AW50,$AY50,0)+IF(BO$2-$BJ$2&lt;$AW50,$AZ50,0)+IF(BO$2-$BK$2&lt;$AW50,$BA50,0)+IF(BO$2-$BL$2&lt;$AW50,$BB50,0)+IF(BO$2-$BM$2&lt;$AW50,$BC50,0)+IF(BO$2-$BN$2&lt;$AW50,$BD50,0)</f>
        <v>1501929095438.3347</v>
      </c>
      <c r="BP50" s="1689">
        <f t="shared" ref="BP50:BP55" ca="1" si="256">BF50+IF(BP$2-$BI$2&lt;$AW50,$AY50,0)+IF(BP$2-$BJ$2&lt;$AW50,$AZ50,0)+IF(BP$2-$BK$2&lt;$AW50,$BA50,0)+IF(BP$2-$BL$2&lt;$AW50,$BB50,0)+IF(BP$2-$BM$2&lt;$AW50,$BC50,0)+IF(BP$2-$BN$2&lt;$AW50,$BD50,0)+IF(BP$2-$BM$2&lt;$AW50,$BC50,0)+IF(BP$2-$BO$2&lt;$AW50,$BE50,0)</f>
        <v>3088473914563.3369</v>
      </c>
      <c r="BQ50" s="1689">
        <f t="shared" ref="BQ50:BQ55" ca="1" si="257">BG50+IF(BQ$2-$BI$2&lt;$AW50,$AY50,0)+IF(BQ$2-$BJ$2&lt;$AW50,$AZ50,0)+IF(BQ$2-$BK$2&lt;$AW50,$BA50,0)+IF(BQ$2-$BL$2&lt;$AW50,$BB50,0)+IF(BQ$2-$BM$2&lt;$AW50,$BC50,0)+IF(BQ$2-$BN$2&lt;$AW50,$BD50,0)+IF(BQ$2-$BM$2&lt;$AW50,$BC50,0)+IF(BQ$2-$BO$2&lt;$AW50,$BE50,0)+IF(BQ$2-$BP$2&lt;$AW50,$BF50,0)</f>
        <v>5796177072536.6719</v>
      </c>
      <c r="BR50" s="675"/>
      <c r="BS50" s="1701">
        <f t="shared" ref="BS50:BS55" ca="1" si="258">O50+Y50+BI50</f>
        <v>0</v>
      </c>
      <c r="BT50" s="1701">
        <f t="shared" ref="BT50:BT55" ca="1" si="259">P50+Z50+BJ50</f>
        <v>0</v>
      </c>
      <c r="BU50" s="1701">
        <f t="shared" ref="BU50:BU55" ca="1" si="260">Q50+AA50+BK50</f>
        <v>0</v>
      </c>
      <c r="BV50" s="1701">
        <f t="shared" ref="BV50:BV55" ca="1" si="261">R50+AB50+BL50</f>
        <v>253970499216.6669</v>
      </c>
      <c r="BW50" s="1701">
        <f t="shared" ref="BW50:BW55" ca="1" si="262">S50+AC50+BM50</f>
        <v>482543948511.66705</v>
      </c>
      <c r="BX50" s="1701">
        <f t="shared" ref="BX50:BX55" ca="1" si="263">T50+AD50+BN50</f>
        <v>939690847101.66748</v>
      </c>
      <c r="BY50" s="1701">
        <f t="shared" ref="BY50:BY55" ca="1" si="264">U50+AE50+BO50</f>
        <v>1803190544438.3347</v>
      </c>
      <c r="BZ50" s="1701">
        <f t="shared" ref="BZ50:BZ55" ca="1" si="265">V50+AF50+BP50</f>
        <v>3669781217563.3369</v>
      </c>
      <c r="CA50" s="1701">
        <f t="shared" ref="CA50:CA55" ca="1" si="266">W50+AG50+BQ50</f>
        <v>6920603607536.6719</v>
      </c>
      <c r="CC50" s="1706">
        <f ca="1">AVERAGE(Costs!$BS50:$CA50)</f>
        <v>1563308962707.5937</v>
      </c>
      <c r="CD50" s="1706">
        <f t="shared" ca="1" si="228"/>
        <v>3995617991265.9673</v>
      </c>
      <c r="CF50" s="1703">
        <f t="shared" ref="CF50:CF55" ca="1" si="267">BI50-E50</f>
        <v>0</v>
      </c>
      <c r="CG50" s="1703">
        <f t="shared" ref="CG50:CG55" ca="1" si="268">BJ50-F50</f>
        <v>0</v>
      </c>
      <c r="CH50" s="1703">
        <f t="shared" ref="CH50:CH55" ca="1" si="269">BK50-G50</f>
        <v>0</v>
      </c>
      <c r="CI50" s="1703">
        <f t="shared" ref="CI50:CI55" ca="1" si="270">BL50-H50</f>
        <v>-313460690783.33313</v>
      </c>
      <c r="CJ50" s="1703">
        <f t="shared" ref="CJ50:CJ55" ca="1" si="271">BM50-I50</f>
        <v>-70575312488.332886</v>
      </c>
      <c r="CK50" s="1703">
        <f t="shared" ref="CK50:CK55" ca="1" si="272">BN50-J50</f>
        <v>-162304555898.33264</v>
      </c>
      <c r="CL50" s="1703">
        <f t="shared" ref="CL50:CL55" ca="1" si="273">BO50-K50</f>
        <v>-283070904561.66504</v>
      </c>
      <c r="CM50" s="1703">
        <f t="shared" ref="CM50:CM55" ca="1" si="274">BP50-L50</f>
        <v>-376526085436.66309</v>
      </c>
      <c r="CN50" s="1703">
        <f t="shared" ref="CN50:CN55" ca="1" si="275">BQ50-M50</f>
        <v>-923822927463.32812</v>
      </c>
      <c r="CP50" s="1706">
        <f ca="1">AVERAGE(Costs!$CF50:$CN50)</f>
        <v>-236640052959.07275</v>
      </c>
      <c r="CQ50" s="1706">
        <f t="shared" ca="1" si="230"/>
        <v>-873705292853.37012</v>
      </c>
      <c r="CR50" s="1426" t="str">
        <f t="shared" ref="CR50:CR55" ca="1" si="276">IF(ABS(CD50-CQ50-AT50)&lt;1,"ok","err")</f>
        <v>ok</v>
      </c>
    </row>
    <row r="51" spans="1:96" s="2126" customFormat="1" x14ac:dyDescent="0.2">
      <c r="A51" s="1685" t="s">
        <v>864</v>
      </c>
      <c r="B51" s="1685" t="s">
        <v>1</v>
      </c>
      <c r="C51" s="1685" t="s">
        <v>4</v>
      </c>
      <c r="E51" s="1691">
        <f t="shared" ca="1" si="172"/>
        <v>0</v>
      </c>
      <c r="F51" s="1691">
        <f t="shared" ca="1" si="172"/>
        <v>0</v>
      </c>
      <c r="G51" s="1691">
        <f t="shared" ca="1" si="172"/>
        <v>0</v>
      </c>
      <c r="H51" s="1691">
        <f t="shared" ca="1" si="172"/>
        <v>787500000000</v>
      </c>
      <c r="I51" s="1691">
        <f t="shared" ca="1" si="172"/>
        <v>1575000000000</v>
      </c>
      <c r="J51" s="1691">
        <f t="shared" ca="1" si="172"/>
        <v>2362500000000</v>
      </c>
      <c r="K51" s="1691">
        <f t="shared" ca="1" si="172"/>
        <v>3150000000000</v>
      </c>
      <c r="L51" s="1691">
        <f t="shared" ca="1" si="172"/>
        <v>3937500000000</v>
      </c>
      <c r="M51" s="1691">
        <f t="shared" ca="1" si="172"/>
        <v>4725000000000</v>
      </c>
      <c r="N51" s="675"/>
      <c r="O51" s="1691">
        <f t="shared" ca="1" si="173"/>
        <v>0</v>
      </c>
      <c r="P51" s="1691">
        <f t="shared" ca="1" si="173"/>
        <v>0</v>
      </c>
      <c r="Q51" s="1691">
        <f t="shared" ca="1" si="173"/>
        <v>9450000000</v>
      </c>
      <c r="R51" s="1691">
        <f t="shared" ca="1" si="173"/>
        <v>18900000000</v>
      </c>
      <c r="S51" s="1691">
        <f t="shared" ca="1" si="173"/>
        <v>28350000000</v>
      </c>
      <c r="T51" s="1691">
        <f t="shared" ca="1" si="173"/>
        <v>37800000000</v>
      </c>
      <c r="U51" s="1691">
        <f t="shared" ca="1" si="173"/>
        <v>37800000000</v>
      </c>
      <c r="V51" s="1691">
        <f t="shared" ca="1" si="173"/>
        <v>47250000000</v>
      </c>
      <c r="W51" s="1691">
        <f t="shared" ca="1" si="173"/>
        <v>56700000000</v>
      </c>
      <c r="X51" s="675"/>
      <c r="Y51" s="1691">
        <f t="shared" ca="1" si="174"/>
        <v>0</v>
      </c>
      <c r="Z51" s="1691">
        <f t="shared" ca="1" si="174"/>
        <v>0</v>
      </c>
      <c r="AA51" s="1691">
        <f t="shared" ca="1" si="174"/>
        <v>0</v>
      </c>
      <c r="AB51" s="1691">
        <f t="shared" ca="1" si="174"/>
        <v>0</v>
      </c>
      <c r="AC51" s="1691">
        <f t="shared" ca="1" si="174"/>
        <v>0</v>
      </c>
      <c r="AD51" s="1691">
        <f t="shared" ca="1" si="174"/>
        <v>0</v>
      </c>
      <c r="AE51" s="1691">
        <f t="shared" ca="1" si="174"/>
        <v>0</v>
      </c>
      <c r="AF51" s="1691">
        <f t="shared" ca="1" si="174"/>
        <v>0</v>
      </c>
      <c r="AG51" s="1691">
        <f t="shared" ca="1" si="174"/>
        <v>0</v>
      </c>
      <c r="AH51" s="675"/>
      <c r="AI51" s="1691">
        <f t="shared" ca="1" si="231"/>
        <v>0</v>
      </c>
      <c r="AJ51" s="1691">
        <f t="shared" ca="1" si="232"/>
        <v>0</v>
      </c>
      <c r="AK51" s="1691">
        <f t="shared" ca="1" si="233"/>
        <v>9450000000</v>
      </c>
      <c r="AL51" s="1691">
        <f t="shared" ca="1" si="234"/>
        <v>806400000000</v>
      </c>
      <c r="AM51" s="1691">
        <f t="shared" ca="1" si="235"/>
        <v>1603350000000</v>
      </c>
      <c r="AN51" s="1691">
        <f t="shared" ca="1" si="236"/>
        <v>2400300000000</v>
      </c>
      <c r="AO51" s="1691">
        <f t="shared" ca="1" si="237"/>
        <v>3187800000000</v>
      </c>
      <c r="AP51" s="1691">
        <f t="shared" ca="1" si="238"/>
        <v>3984750000000</v>
      </c>
      <c r="AQ51" s="1691">
        <f t="shared" ca="1" si="239"/>
        <v>4781700000000</v>
      </c>
      <c r="AS51" s="1707">
        <f ca="1">AVERAGE(Costs!$AI51:$AQ51)</f>
        <v>1863750000000</v>
      </c>
      <c r="AT51" s="1707">
        <f t="shared" ca="1" si="225"/>
        <v>6200672612654.6797</v>
      </c>
      <c r="AU51" s="675"/>
      <c r="AV51" s="1700">
        <f>IFERROR(VLOOKUP($A51,Cost.FinanceCostTable,5,FALSE),'Global assumptions'!$F$35)</f>
        <v>7.0000000000000007E-2</v>
      </c>
      <c r="AW51" s="1692">
        <f>IFERROR(VLOOKUP($A51,Cost.FinanceCostTable,6,FALSE),'Global assumptions'!$G$35)</f>
        <v>20</v>
      </c>
      <c r="AX51" s="675"/>
      <c r="AY51" s="1691">
        <f t="shared" ca="1" si="240"/>
        <v>0</v>
      </c>
      <c r="AZ51" s="1691">
        <f t="shared" ca="1" si="241"/>
        <v>0</v>
      </c>
      <c r="BA51" s="1691">
        <f t="shared" ca="1" si="242"/>
        <v>0</v>
      </c>
      <c r="BB51" s="1691">
        <f t="shared" ca="1" si="243"/>
        <v>371672145114.06927</v>
      </c>
      <c r="BC51" s="1691">
        <f t="shared" ca="1" si="244"/>
        <v>743344290228.13855</v>
      </c>
      <c r="BD51" s="1691">
        <f t="shared" ca="1" si="245"/>
        <v>1115016435342.2078</v>
      </c>
      <c r="BE51" s="1691">
        <f t="shared" ca="1" si="246"/>
        <v>1486688580456.2771</v>
      </c>
      <c r="BF51" s="1691">
        <f t="shared" ca="1" si="247"/>
        <v>1858360725570.3464</v>
      </c>
      <c r="BG51" s="1691">
        <f t="shared" ca="1" si="248"/>
        <v>2230032870684.4155</v>
      </c>
      <c r="BH51" s="675"/>
      <c r="BI51" s="1691">
        <f t="shared" ca="1" si="249"/>
        <v>0</v>
      </c>
      <c r="BJ51" s="1691">
        <f t="shared" ca="1" si="250"/>
        <v>0</v>
      </c>
      <c r="BK51" s="1691">
        <f t="shared" ca="1" si="251"/>
        <v>0</v>
      </c>
      <c r="BL51" s="1691">
        <f t="shared" ca="1" si="252"/>
        <v>371672145114.06927</v>
      </c>
      <c r="BM51" s="1691">
        <f t="shared" ca="1" si="253"/>
        <v>1115016435342.2078</v>
      </c>
      <c r="BN51" s="1691">
        <f t="shared" ca="1" si="254"/>
        <v>2230032870684.4155</v>
      </c>
      <c r="BO51" s="1691">
        <f t="shared" ca="1" si="255"/>
        <v>3716721451140.6924</v>
      </c>
      <c r="BP51" s="1691">
        <f t="shared" ca="1" si="256"/>
        <v>5946754321825.1084</v>
      </c>
      <c r="BQ51" s="1691">
        <f t="shared" ca="1" si="257"/>
        <v>6690098612053.2471</v>
      </c>
      <c r="BR51" s="675"/>
      <c r="BS51" s="1702">
        <f t="shared" ca="1" si="258"/>
        <v>0</v>
      </c>
      <c r="BT51" s="1702">
        <f t="shared" ca="1" si="259"/>
        <v>0</v>
      </c>
      <c r="BU51" s="1702">
        <f t="shared" ca="1" si="260"/>
        <v>9450000000</v>
      </c>
      <c r="BV51" s="1702">
        <f t="shared" ca="1" si="261"/>
        <v>390572145114.06927</v>
      </c>
      <c r="BW51" s="1702">
        <f t="shared" ca="1" si="262"/>
        <v>1143366435342.2078</v>
      </c>
      <c r="BX51" s="1702">
        <f t="shared" ca="1" si="263"/>
        <v>2267832870684.4155</v>
      </c>
      <c r="BY51" s="1702">
        <f t="shared" ca="1" si="264"/>
        <v>3754521451140.6924</v>
      </c>
      <c r="BZ51" s="1702">
        <f t="shared" ca="1" si="265"/>
        <v>5994004321825.1084</v>
      </c>
      <c r="CA51" s="1702">
        <f t="shared" ca="1" si="266"/>
        <v>6746798612053.2471</v>
      </c>
      <c r="CC51" s="1707">
        <f ca="1">AVERAGE(Costs!$BS51:$CA51)</f>
        <v>2256282870684.4155</v>
      </c>
      <c r="CD51" s="1707">
        <f t="shared" ca="1" si="228"/>
        <v>6377958087660.1738</v>
      </c>
      <c r="CF51" s="1704">
        <f t="shared" ca="1" si="267"/>
        <v>0</v>
      </c>
      <c r="CG51" s="1704">
        <f t="shared" ca="1" si="268"/>
        <v>0</v>
      </c>
      <c r="CH51" s="1704">
        <f t="shared" ca="1" si="269"/>
        <v>0</v>
      </c>
      <c r="CI51" s="1704">
        <f t="shared" ca="1" si="270"/>
        <v>-415827854885.93073</v>
      </c>
      <c r="CJ51" s="1704">
        <f t="shared" ca="1" si="271"/>
        <v>-459983564657.79224</v>
      </c>
      <c r="CK51" s="1704">
        <f t="shared" ca="1" si="272"/>
        <v>-132467129315.58447</v>
      </c>
      <c r="CL51" s="1704">
        <f t="shared" ca="1" si="273"/>
        <v>566721451140.69238</v>
      </c>
      <c r="CM51" s="1704">
        <f t="shared" ca="1" si="274"/>
        <v>2009254321825.1084</v>
      </c>
      <c r="CN51" s="1704">
        <f t="shared" ca="1" si="275"/>
        <v>1965098612053.2471</v>
      </c>
      <c r="CP51" s="1707">
        <f ca="1">AVERAGE(Costs!$CF51:$CN51)</f>
        <v>392532870684.41559</v>
      </c>
      <c r="CQ51" s="1707">
        <f t="shared" ca="1" si="230"/>
        <v>177285475005.49353</v>
      </c>
      <c r="CR51" s="1426" t="str">
        <f t="shared" ca="1" si="276"/>
        <v>ok</v>
      </c>
    </row>
    <row r="52" spans="1:96" s="2479" customFormat="1" x14ac:dyDescent="0.2">
      <c r="A52" s="1685" t="s">
        <v>2366</v>
      </c>
      <c r="B52" s="1685" t="s">
        <v>2584</v>
      </c>
      <c r="C52" s="1685" t="s">
        <v>4</v>
      </c>
      <c r="E52" s="1691">
        <f t="shared" ca="1" si="172"/>
        <v>0</v>
      </c>
      <c r="F52" s="1691">
        <f t="shared" ca="1" si="172"/>
        <v>0</v>
      </c>
      <c r="G52" s="1691">
        <f t="shared" ca="1" si="172"/>
        <v>140700000000.00003</v>
      </c>
      <c r="H52" s="1691">
        <f t="shared" ca="1" si="172"/>
        <v>139650000000</v>
      </c>
      <c r="I52" s="1691">
        <f t="shared" ca="1" si="172"/>
        <v>140700000000.00006</v>
      </c>
      <c r="J52" s="1691">
        <f t="shared" ca="1" si="172"/>
        <v>139650000000</v>
      </c>
      <c r="K52" s="1691">
        <f t="shared" ca="1" si="172"/>
        <v>140699999999.99994</v>
      </c>
      <c r="L52" s="1691">
        <f t="shared" ca="1" si="172"/>
        <v>139650000000.00012</v>
      </c>
      <c r="M52" s="1691">
        <f t="shared" ca="1" si="172"/>
        <v>140699999999.99985</v>
      </c>
      <c r="N52" s="675"/>
      <c r="O52" s="1691">
        <f t="shared" ca="1" si="173"/>
        <v>1710000</v>
      </c>
      <c r="P52" s="1691">
        <f t="shared" ca="1" si="173"/>
        <v>1710000</v>
      </c>
      <c r="Q52" s="1691">
        <f t="shared" ca="1" si="173"/>
        <v>2916000</v>
      </c>
      <c r="R52" s="1691">
        <f t="shared" ca="1" si="173"/>
        <v>4113000.0000000005</v>
      </c>
      <c r="S52" s="1691">
        <f t="shared" ca="1" si="173"/>
        <v>5319000.0000000009</v>
      </c>
      <c r="T52" s="1691">
        <f t="shared" ca="1" si="173"/>
        <v>6516000.0000000009</v>
      </c>
      <c r="U52" s="1691">
        <f t="shared" ca="1" si="173"/>
        <v>7722000</v>
      </c>
      <c r="V52" s="1691">
        <f t="shared" ca="1" si="173"/>
        <v>8919000.0000000019</v>
      </c>
      <c r="W52" s="1691">
        <f t="shared" ca="1" si="173"/>
        <v>10125000</v>
      </c>
      <c r="X52" s="675"/>
      <c r="Y52" s="1691">
        <f t="shared" ca="1" si="174"/>
        <v>0</v>
      </c>
      <c r="Z52" s="1691">
        <f t="shared" ca="1" si="174"/>
        <v>0</v>
      </c>
      <c r="AA52" s="1691">
        <f t="shared" ca="1" si="174"/>
        <v>0</v>
      </c>
      <c r="AB52" s="1691">
        <f t="shared" ca="1" si="174"/>
        <v>0</v>
      </c>
      <c r="AC52" s="1691">
        <f t="shared" ca="1" si="174"/>
        <v>0</v>
      </c>
      <c r="AD52" s="1691">
        <f t="shared" ca="1" si="174"/>
        <v>0</v>
      </c>
      <c r="AE52" s="1691">
        <f t="shared" ca="1" si="174"/>
        <v>0</v>
      </c>
      <c r="AF52" s="1691">
        <f t="shared" ca="1" si="174"/>
        <v>0</v>
      </c>
      <c r="AG52" s="1691">
        <f t="shared" ca="1" si="174"/>
        <v>0</v>
      </c>
      <c r="AH52" s="675"/>
      <c r="AI52" s="1691">
        <f t="shared" ca="1" si="231"/>
        <v>1710000</v>
      </c>
      <c r="AJ52" s="1691">
        <f t="shared" ca="1" si="232"/>
        <v>1710000</v>
      </c>
      <c r="AK52" s="1691">
        <f t="shared" ca="1" si="233"/>
        <v>140702916000.00003</v>
      </c>
      <c r="AL52" s="1691">
        <f t="shared" ca="1" si="234"/>
        <v>139654113000</v>
      </c>
      <c r="AM52" s="1691">
        <f t="shared" ca="1" si="235"/>
        <v>140705319000.00006</v>
      </c>
      <c r="AN52" s="1691">
        <f t="shared" ca="1" si="236"/>
        <v>139656516000</v>
      </c>
      <c r="AO52" s="1691">
        <f t="shared" ca="1" si="237"/>
        <v>140707721999.99994</v>
      </c>
      <c r="AP52" s="1691">
        <f t="shared" ca="1" si="238"/>
        <v>139658919000.00012</v>
      </c>
      <c r="AQ52" s="1691">
        <f t="shared" ca="1" si="239"/>
        <v>140710124999.99985</v>
      </c>
      <c r="AS52" s="1707">
        <f ca="1">AVERAGE(Costs!$AI52:$AQ52)</f>
        <v>109088783333.33333</v>
      </c>
      <c r="AT52" s="1707">
        <f t="shared" ca="1" si="225"/>
        <v>712266546681.30969</v>
      </c>
      <c r="AU52" s="675"/>
      <c r="AV52" s="1700">
        <f>IFERROR(VLOOKUP($A52,Cost.FinanceCostTable,5,FALSE),'Global assumptions'!$F$35)</f>
        <v>7.0000000000000007E-2</v>
      </c>
      <c r="AW52" s="1692">
        <f>IFERROR(VLOOKUP($A52,Cost.FinanceCostTable,6,FALSE),'Global assumptions'!$G$35)</f>
        <v>15</v>
      </c>
      <c r="AX52" s="675"/>
      <c r="AY52" s="1691">
        <f t="shared" ca="1" si="240"/>
        <v>0</v>
      </c>
      <c r="AZ52" s="1691">
        <f t="shared" ca="1" si="241"/>
        <v>0</v>
      </c>
      <c r="BA52" s="1691">
        <f t="shared" ca="1" si="242"/>
        <v>77240518477.158127</v>
      </c>
      <c r="BB52" s="1691">
        <f t="shared" ca="1" si="243"/>
        <v>76664096697.477814</v>
      </c>
      <c r="BC52" s="1691">
        <f t="shared" ca="1" si="244"/>
        <v>77240518477.158127</v>
      </c>
      <c r="BD52" s="1691">
        <f t="shared" ca="1" si="245"/>
        <v>76664096697.477814</v>
      </c>
      <c r="BE52" s="1691">
        <f t="shared" ca="1" si="246"/>
        <v>77240518477.158081</v>
      </c>
      <c r="BF52" s="1691">
        <f t="shared" ca="1" si="247"/>
        <v>76664096697.47789</v>
      </c>
      <c r="BG52" s="1691">
        <f t="shared" ca="1" si="248"/>
        <v>77240518477.15802</v>
      </c>
      <c r="BH52" s="675"/>
      <c r="BI52" s="1691">
        <f t="shared" ca="1" si="249"/>
        <v>0</v>
      </c>
      <c r="BJ52" s="1691">
        <f t="shared" ca="1" si="250"/>
        <v>0</v>
      </c>
      <c r="BK52" s="1691">
        <f t="shared" ca="1" si="251"/>
        <v>77240518477.158127</v>
      </c>
      <c r="BL52" s="1691">
        <f t="shared" ca="1" si="252"/>
        <v>153904615174.63593</v>
      </c>
      <c r="BM52" s="1691">
        <f t="shared" ca="1" si="253"/>
        <v>231145133651.79407</v>
      </c>
      <c r="BN52" s="1691">
        <f t="shared" ca="1" si="254"/>
        <v>230568711872.11377</v>
      </c>
      <c r="BO52" s="1691">
        <f t="shared" ca="1" si="255"/>
        <v>231145133651.79404</v>
      </c>
      <c r="BP52" s="1691">
        <f t="shared" ca="1" si="256"/>
        <v>230568711872.11377</v>
      </c>
      <c r="BQ52" s="1691">
        <f t="shared" ca="1" si="257"/>
        <v>231145133651.79401</v>
      </c>
      <c r="BR52" s="675"/>
      <c r="BS52" s="1702">
        <f t="shared" ca="1" si="258"/>
        <v>1710000</v>
      </c>
      <c r="BT52" s="1702">
        <f t="shared" ca="1" si="259"/>
        <v>1710000</v>
      </c>
      <c r="BU52" s="1702">
        <f t="shared" ca="1" si="260"/>
        <v>77243434477.158127</v>
      </c>
      <c r="BV52" s="1702">
        <f t="shared" ca="1" si="261"/>
        <v>153908728174.63593</v>
      </c>
      <c r="BW52" s="1702">
        <f t="shared" ca="1" si="262"/>
        <v>231150452651.79407</v>
      </c>
      <c r="BX52" s="1702">
        <f t="shared" ca="1" si="263"/>
        <v>230575227872.11377</v>
      </c>
      <c r="BY52" s="1702">
        <f t="shared" ca="1" si="264"/>
        <v>231152855651.79404</v>
      </c>
      <c r="BZ52" s="1702">
        <f t="shared" ca="1" si="265"/>
        <v>230577630872.11377</v>
      </c>
      <c r="CA52" s="1702">
        <f t="shared" ca="1" si="266"/>
        <v>231155258651.79401</v>
      </c>
      <c r="CC52" s="1707">
        <f ca="1">AVERAGE(Costs!$BS52:$CA52)</f>
        <v>153974112039.04486</v>
      </c>
      <c r="CD52" s="1707">
        <f t="shared" ca="1" si="228"/>
        <v>783847901573.72998</v>
      </c>
      <c r="CF52" s="1704">
        <f t="shared" ca="1" si="267"/>
        <v>0</v>
      </c>
      <c r="CG52" s="1704">
        <f t="shared" ca="1" si="268"/>
        <v>0</v>
      </c>
      <c r="CH52" s="1704">
        <f t="shared" ca="1" si="269"/>
        <v>-63459481522.841904</v>
      </c>
      <c r="CI52" s="1704">
        <f t="shared" ca="1" si="270"/>
        <v>14254615174.635925</v>
      </c>
      <c r="CJ52" s="1704">
        <f t="shared" ca="1" si="271"/>
        <v>90445133651.794006</v>
      </c>
      <c r="CK52" s="1704">
        <f t="shared" ca="1" si="272"/>
        <v>90918711872.11377</v>
      </c>
      <c r="CL52" s="1704">
        <f t="shared" ca="1" si="273"/>
        <v>90445133651.794098</v>
      </c>
      <c r="CM52" s="1704">
        <f t="shared" ca="1" si="274"/>
        <v>90918711872.113647</v>
      </c>
      <c r="CN52" s="1704">
        <f t="shared" ca="1" si="275"/>
        <v>90445133651.794159</v>
      </c>
      <c r="CP52" s="1707">
        <f ca="1">AVERAGE(Costs!$CF52:$CN52)</f>
        <v>44885328705.711517</v>
      </c>
      <c r="CQ52" s="1707">
        <f t="shared" ca="1" si="230"/>
        <v>71581354892.420334</v>
      </c>
      <c r="CR52" s="1426" t="str">
        <f t="shared" ca="1" si="276"/>
        <v>ok</v>
      </c>
    </row>
    <row r="53" spans="1:96" s="2126" customFormat="1" x14ac:dyDescent="0.2">
      <c r="A53" s="1685" t="s">
        <v>2365</v>
      </c>
      <c r="B53" s="1685" t="s">
        <v>2363</v>
      </c>
      <c r="C53" s="1685" t="s">
        <v>4</v>
      </c>
      <c r="E53" s="1691">
        <f t="shared" ca="1" si="172"/>
        <v>0</v>
      </c>
      <c r="F53" s="1691">
        <f t="shared" ca="1" si="172"/>
        <v>0</v>
      </c>
      <c r="G53" s="1691">
        <f t="shared" ca="1" si="172"/>
        <v>0</v>
      </c>
      <c r="H53" s="1691">
        <f t="shared" ca="1" si="172"/>
        <v>132550714285.71388</v>
      </c>
      <c r="I53" s="1691">
        <f t="shared" ca="1" si="172"/>
        <v>66261857142.856964</v>
      </c>
      <c r="J53" s="1691">
        <f t="shared" ca="1" si="172"/>
        <v>66261857142.858284</v>
      </c>
      <c r="K53" s="1691">
        <f t="shared" ca="1" si="172"/>
        <v>66261857142.856941</v>
      </c>
      <c r="L53" s="1691">
        <f t="shared" ca="1" si="172"/>
        <v>66261857142.856979</v>
      </c>
      <c r="M53" s="1691">
        <f t="shared" ca="1" si="172"/>
        <v>66261857142.856941</v>
      </c>
      <c r="N53" s="675"/>
      <c r="O53" s="1691">
        <f t="shared" ca="1" si="173"/>
        <v>76800</v>
      </c>
      <c r="P53" s="1691">
        <f t="shared" ca="1" si="173"/>
        <v>76800</v>
      </c>
      <c r="Q53" s="1691">
        <f t="shared" ca="1" si="173"/>
        <v>76800</v>
      </c>
      <c r="R53" s="1691">
        <f t="shared" ca="1" si="173"/>
        <v>1255028.5714285679</v>
      </c>
      <c r="S53" s="1691">
        <f t="shared" ca="1" si="173"/>
        <v>1844022.8571428519</v>
      </c>
      <c r="T53" s="1691">
        <f t="shared" ca="1" si="173"/>
        <v>2433017.1428571478</v>
      </c>
      <c r="U53" s="1691">
        <f t="shared" ca="1" si="173"/>
        <v>3022011.4285714319</v>
      </c>
      <c r="V53" s="1691">
        <f t="shared" ca="1" si="173"/>
        <v>3611005.7142857159</v>
      </c>
      <c r="W53" s="1691">
        <f t="shared" ca="1" si="173"/>
        <v>4200000</v>
      </c>
      <c r="X53" s="675"/>
      <c r="Y53" s="1691">
        <f t="shared" ca="1" si="174"/>
        <v>0</v>
      </c>
      <c r="Z53" s="1691">
        <f t="shared" ca="1" si="174"/>
        <v>0</v>
      </c>
      <c r="AA53" s="1691">
        <f t="shared" ca="1" si="174"/>
        <v>0</v>
      </c>
      <c r="AB53" s="1691">
        <f t="shared" ca="1" si="174"/>
        <v>0</v>
      </c>
      <c r="AC53" s="1691">
        <f t="shared" ca="1" si="174"/>
        <v>0</v>
      </c>
      <c r="AD53" s="1691">
        <f t="shared" ca="1" si="174"/>
        <v>0</v>
      </c>
      <c r="AE53" s="1691">
        <f t="shared" ca="1" si="174"/>
        <v>0</v>
      </c>
      <c r="AF53" s="1691">
        <f t="shared" ca="1" si="174"/>
        <v>0</v>
      </c>
      <c r="AG53" s="1691">
        <f t="shared" ca="1" si="174"/>
        <v>0</v>
      </c>
      <c r="AH53" s="675"/>
      <c r="AI53" s="1691">
        <f t="shared" ca="1" si="231"/>
        <v>76800</v>
      </c>
      <c r="AJ53" s="1691">
        <f t="shared" ca="1" si="232"/>
        <v>76800</v>
      </c>
      <c r="AK53" s="1691">
        <f t="shared" ca="1" si="233"/>
        <v>76800</v>
      </c>
      <c r="AL53" s="1691">
        <f t="shared" ca="1" si="234"/>
        <v>132551969314.28531</v>
      </c>
      <c r="AM53" s="1691">
        <f t="shared" ca="1" si="235"/>
        <v>66263701165.714104</v>
      </c>
      <c r="AN53" s="1691">
        <f t="shared" ca="1" si="236"/>
        <v>66264290160.001144</v>
      </c>
      <c r="AO53" s="1691">
        <f t="shared" ca="1" si="237"/>
        <v>66264879154.285515</v>
      </c>
      <c r="AP53" s="1691">
        <f t="shared" ca="1" si="238"/>
        <v>66265468148.571266</v>
      </c>
      <c r="AQ53" s="1691">
        <f t="shared" ca="1" si="239"/>
        <v>66266057142.856941</v>
      </c>
      <c r="AS53" s="1707">
        <f ca="1">AVERAGE(Costs!$AI53:$AQ53)</f>
        <v>51541843942.857147</v>
      </c>
      <c r="AT53" s="1707">
        <f t="shared" ca="1" si="225"/>
        <v>287983672354.79865</v>
      </c>
      <c r="AU53" s="675"/>
      <c r="AV53" s="1700">
        <f>IFERROR(VLOOKUP($A53,Cost.FinanceCostTable,5,FALSE),'Global assumptions'!$F$35)</f>
        <v>7.0000000000000007E-2</v>
      </c>
      <c r="AW53" s="1692">
        <f>IFERROR(VLOOKUP($A53,Cost.FinanceCostTable,6,FALSE),'Global assumptions'!$G$35)</f>
        <v>15</v>
      </c>
      <c r="AX53" s="675"/>
      <c r="AY53" s="1691">
        <f t="shared" ca="1" si="240"/>
        <v>0</v>
      </c>
      <c r="AZ53" s="1691">
        <f t="shared" ca="1" si="241"/>
        <v>0</v>
      </c>
      <c r="BA53" s="1691">
        <f t="shared" ca="1" si="242"/>
        <v>0</v>
      </c>
      <c r="BB53" s="1691">
        <f t="shared" ca="1" si="243"/>
        <v>72766779644.251511</v>
      </c>
      <c r="BC53" s="1691">
        <f t="shared" ca="1" si="244"/>
        <v>36375978684.95845</v>
      </c>
      <c r="BD53" s="1691">
        <f t="shared" ca="1" si="245"/>
        <v>36375978684.959175</v>
      </c>
      <c r="BE53" s="1691">
        <f t="shared" ca="1" si="246"/>
        <v>36375978684.958443</v>
      </c>
      <c r="BF53" s="1691">
        <f t="shared" ca="1" si="247"/>
        <v>36375978684.958458</v>
      </c>
      <c r="BG53" s="1691">
        <f t="shared" ca="1" si="248"/>
        <v>36375978684.958443</v>
      </c>
      <c r="BH53" s="675"/>
      <c r="BI53" s="1691">
        <f t="shared" ca="1" si="249"/>
        <v>0</v>
      </c>
      <c r="BJ53" s="1691">
        <f t="shared" ca="1" si="250"/>
        <v>0</v>
      </c>
      <c r="BK53" s="1691">
        <f t="shared" ca="1" si="251"/>
        <v>0</v>
      </c>
      <c r="BL53" s="1691">
        <f t="shared" ca="1" si="252"/>
        <v>72766779644.251511</v>
      </c>
      <c r="BM53" s="1691">
        <f t="shared" ca="1" si="253"/>
        <v>109142758329.20996</v>
      </c>
      <c r="BN53" s="1691">
        <f t="shared" ca="1" si="254"/>
        <v>145518737014.16913</v>
      </c>
      <c r="BO53" s="1691">
        <f t="shared" ca="1" si="255"/>
        <v>109127936054.87607</v>
      </c>
      <c r="BP53" s="1691">
        <f t="shared" ca="1" si="256"/>
        <v>109127936054.87607</v>
      </c>
      <c r="BQ53" s="1691">
        <f t="shared" ca="1" si="257"/>
        <v>109127936054.87534</v>
      </c>
      <c r="BR53" s="675"/>
      <c r="BS53" s="1702">
        <f t="shared" ca="1" si="258"/>
        <v>76800</v>
      </c>
      <c r="BT53" s="1702">
        <f t="shared" ca="1" si="259"/>
        <v>76800</v>
      </c>
      <c r="BU53" s="1702">
        <f t="shared" ca="1" si="260"/>
        <v>76800</v>
      </c>
      <c r="BV53" s="1702">
        <f t="shared" ca="1" si="261"/>
        <v>72768034672.822937</v>
      </c>
      <c r="BW53" s="1702">
        <f t="shared" ca="1" si="262"/>
        <v>109144602352.06711</v>
      </c>
      <c r="BX53" s="1702">
        <f t="shared" ca="1" si="263"/>
        <v>145521170031.31198</v>
      </c>
      <c r="BY53" s="1702">
        <f t="shared" ca="1" si="264"/>
        <v>109130958066.30464</v>
      </c>
      <c r="BZ53" s="1702">
        <f t="shared" ca="1" si="265"/>
        <v>109131547060.59035</v>
      </c>
      <c r="CA53" s="1702">
        <f t="shared" ca="1" si="266"/>
        <v>109132136054.87534</v>
      </c>
      <c r="CC53" s="1707">
        <f ca="1">AVERAGE(Costs!$BS53:$CA53)</f>
        <v>72758742070.885803</v>
      </c>
      <c r="CD53" s="1707">
        <f t="shared" ca="1" si="228"/>
        <v>316888044621.41718</v>
      </c>
      <c r="CF53" s="1704">
        <f t="shared" ca="1" si="267"/>
        <v>0</v>
      </c>
      <c r="CG53" s="1704">
        <f t="shared" ca="1" si="268"/>
        <v>0</v>
      </c>
      <c r="CH53" s="1704">
        <f t="shared" ca="1" si="269"/>
        <v>0</v>
      </c>
      <c r="CI53" s="1704">
        <f t="shared" ca="1" si="270"/>
        <v>-59783934641.462372</v>
      </c>
      <c r="CJ53" s="1704">
        <f t="shared" ca="1" si="271"/>
        <v>42880901186.352997</v>
      </c>
      <c r="CK53" s="1704">
        <f t="shared" ca="1" si="272"/>
        <v>79256879871.310852</v>
      </c>
      <c r="CL53" s="1704">
        <f t="shared" ca="1" si="273"/>
        <v>42866078912.019127</v>
      </c>
      <c r="CM53" s="1704">
        <f t="shared" ca="1" si="274"/>
        <v>42866078912.019089</v>
      </c>
      <c r="CN53" s="1704">
        <f t="shared" ca="1" si="275"/>
        <v>42866078912.018394</v>
      </c>
      <c r="CP53" s="1707">
        <f ca="1">AVERAGE(Costs!$CF53:$CN53)</f>
        <v>21216898128.028675</v>
      </c>
      <c r="CQ53" s="1707">
        <f t="shared" ca="1" si="230"/>
        <v>28904372266.618607</v>
      </c>
      <c r="CR53" s="1426" t="str">
        <f t="shared" ca="1" si="276"/>
        <v>ok</v>
      </c>
    </row>
    <row r="54" spans="1:96" s="2479" customFormat="1" x14ac:dyDescent="0.2">
      <c r="A54" s="1685" t="s">
        <v>2364</v>
      </c>
      <c r="B54" s="1685" t="s">
        <v>2404</v>
      </c>
      <c r="C54" s="1685" t="s">
        <v>4</v>
      </c>
      <c r="E54" s="1691">
        <f t="shared" ca="1" si="172"/>
        <v>0</v>
      </c>
      <c r="F54" s="1691">
        <f t="shared" ca="1" si="172"/>
        <v>0</v>
      </c>
      <c r="G54" s="1691">
        <f t="shared" ca="1" si="172"/>
        <v>616350000000</v>
      </c>
      <c r="H54" s="1691">
        <f t="shared" ca="1" si="172"/>
        <v>1035300000000</v>
      </c>
      <c r="I54" s="1691">
        <f t="shared" ca="1" si="172"/>
        <v>1559249999999.9995</v>
      </c>
      <c r="J54" s="1691">
        <f t="shared" ca="1" si="172"/>
        <v>2609775000000.0005</v>
      </c>
      <c r="K54" s="1691">
        <f t="shared" ca="1" si="172"/>
        <v>1559775000000.001</v>
      </c>
      <c r="L54" s="1691">
        <f t="shared" ca="1" si="172"/>
        <v>2701124999999.999</v>
      </c>
      <c r="M54" s="1691">
        <f t="shared" ca="1" si="172"/>
        <v>3736425000000</v>
      </c>
      <c r="N54" s="675"/>
      <c r="O54" s="1691">
        <f t="shared" ca="1" si="173"/>
        <v>0</v>
      </c>
      <c r="P54" s="1691">
        <f t="shared" ca="1" si="173"/>
        <v>0</v>
      </c>
      <c r="Q54" s="1691">
        <f t="shared" ca="1" si="173"/>
        <v>17610000</v>
      </c>
      <c r="R54" s="1691">
        <f t="shared" ca="1" si="173"/>
        <v>47190000</v>
      </c>
      <c r="S54" s="1691">
        <f t="shared" ca="1" si="173"/>
        <v>91739999.999999985</v>
      </c>
      <c r="T54" s="1691">
        <f t="shared" ca="1" si="173"/>
        <v>166305000</v>
      </c>
      <c r="U54" s="1691">
        <f t="shared" ca="1" si="173"/>
        <v>210870000.00000003</v>
      </c>
      <c r="V54" s="1691">
        <f t="shared" ca="1" si="173"/>
        <v>270435000</v>
      </c>
      <c r="W54" s="1691">
        <f t="shared" ca="1" si="173"/>
        <v>330000000</v>
      </c>
      <c r="X54" s="675"/>
      <c r="Y54" s="1691">
        <f t="shared" ca="1" si="174"/>
        <v>0</v>
      </c>
      <c r="Z54" s="1691">
        <f t="shared" ca="1" si="174"/>
        <v>0</v>
      </c>
      <c r="AA54" s="1691">
        <f t="shared" ca="1" si="174"/>
        <v>0</v>
      </c>
      <c r="AB54" s="1691">
        <f t="shared" ca="1" si="174"/>
        <v>0</v>
      </c>
      <c r="AC54" s="1691">
        <f t="shared" ca="1" si="174"/>
        <v>0</v>
      </c>
      <c r="AD54" s="1691">
        <f t="shared" ca="1" si="174"/>
        <v>0</v>
      </c>
      <c r="AE54" s="1691">
        <f t="shared" ca="1" si="174"/>
        <v>0</v>
      </c>
      <c r="AF54" s="1691">
        <f t="shared" ca="1" si="174"/>
        <v>0</v>
      </c>
      <c r="AG54" s="1691">
        <f t="shared" ca="1" si="174"/>
        <v>0</v>
      </c>
      <c r="AH54" s="675"/>
      <c r="AI54" s="1691">
        <f t="shared" ca="1" si="231"/>
        <v>0</v>
      </c>
      <c r="AJ54" s="1691">
        <f t="shared" ca="1" si="232"/>
        <v>0</v>
      </c>
      <c r="AK54" s="1691">
        <f t="shared" ca="1" si="233"/>
        <v>616367610000</v>
      </c>
      <c r="AL54" s="1691">
        <f t="shared" ca="1" si="234"/>
        <v>1035347190000</v>
      </c>
      <c r="AM54" s="1691">
        <f t="shared" ca="1" si="235"/>
        <v>1559341739999.9995</v>
      </c>
      <c r="AN54" s="1691">
        <f t="shared" ca="1" si="236"/>
        <v>2609941305000.0005</v>
      </c>
      <c r="AO54" s="1691">
        <f t="shared" ca="1" si="237"/>
        <v>1559985870000.001</v>
      </c>
      <c r="AP54" s="1691">
        <f t="shared" ca="1" si="238"/>
        <v>2701395434999.999</v>
      </c>
      <c r="AQ54" s="1691">
        <f t="shared" ca="1" si="239"/>
        <v>3736755000000</v>
      </c>
      <c r="AS54" s="1707">
        <f ca="1">AVERAGE(Costs!$AI54:$AQ54)</f>
        <v>1535459350000</v>
      </c>
      <c r="AT54" s="1707">
        <f t="shared" ca="1" si="225"/>
        <v>6702267582004.8926</v>
      </c>
      <c r="AU54" s="675"/>
      <c r="AV54" s="1700">
        <f>IFERROR(VLOOKUP($A54,Cost.FinanceCostTable,5,FALSE),'Global assumptions'!$F$35)</f>
        <v>7.0000000000000007E-2</v>
      </c>
      <c r="AW54" s="1692">
        <f>IFERROR(VLOOKUP($A54,Cost.FinanceCostTable,6,FALSE),'Global assumptions'!$G$35)</f>
        <v>15</v>
      </c>
      <c r="AX54" s="675"/>
      <c r="AY54" s="1691">
        <f t="shared" ca="1" si="240"/>
        <v>0</v>
      </c>
      <c r="AZ54" s="1691">
        <f t="shared" ca="1" si="241"/>
        <v>0</v>
      </c>
      <c r="BA54" s="1691">
        <f t="shared" ca="1" si="242"/>
        <v>338359584672.3269</v>
      </c>
      <c r="BB54" s="1691">
        <f t="shared" ca="1" si="243"/>
        <v>568351874764.76038</v>
      </c>
      <c r="BC54" s="1691">
        <f t="shared" ca="1" si="244"/>
        <v>855986342825.22205</v>
      </c>
      <c r="BD54" s="1691">
        <f t="shared" ca="1" si="245"/>
        <v>1432696333395.3469</v>
      </c>
      <c r="BE54" s="1691">
        <f t="shared" ca="1" si="246"/>
        <v>856274553715.06299</v>
      </c>
      <c r="BF54" s="1691">
        <f t="shared" ca="1" si="247"/>
        <v>1482845028227.531</v>
      </c>
      <c r="BG54" s="1691">
        <f t="shared" ca="1" si="248"/>
        <v>2051196902992.292</v>
      </c>
      <c r="BH54" s="675"/>
      <c r="BI54" s="1691">
        <f t="shared" ca="1" si="249"/>
        <v>0</v>
      </c>
      <c r="BJ54" s="1691">
        <f t="shared" ca="1" si="250"/>
        <v>0</v>
      </c>
      <c r="BK54" s="1691">
        <f t="shared" ca="1" si="251"/>
        <v>338359584672.3269</v>
      </c>
      <c r="BL54" s="1691">
        <f t="shared" ca="1" si="252"/>
        <v>906711459437.08728</v>
      </c>
      <c r="BM54" s="1691">
        <f t="shared" ca="1" si="253"/>
        <v>1762697802262.3091</v>
      </c>
      <c r="BN54" s="1691">
        <f t="shared" ca="1" si="254"/>
        <v>2857034550985.3296</v>
      </c>
      <c r="BO54" s="1691">
        <f t="shared" ca="1" si="255"/>
        <v>3144957229935.6318</v>
      </c>
      <c r="BP54" s="1691">
        <f t="shared" ca="1" si="256"/>
        <v>3771815915337.9409</v>
      </c>
      <c r="BQ54" s="1691">
        <f t="shared" ca="1" si="257"/>
        <v>4390316484934.8857</v>
      </c>
      <c r="BR54" s="675"/>
      <c r="BS54" s="1702">
        <f t="shared" ca="1" si="258"/>
        <v>0</v>
      </c>
      <c r="BT54" s="1702">
        <f t="shared" ca="1" si="259"/>
        <v>0</v>
      </c>
      <c r="BU54" s="1702">
        <f t="shared" ca="1" si="260"/>
        <v>338377194672.3269</v>
      </c>
      <c r="BV54" s="1702">
        <f t="shared" ca="1" si="261"/>
        <v>906758649437.08728</v>
      </c>
      <c r="BW54" s="1702">
        <f t="shared" ca="1" si="262"/>
        <v>1762789542262.3091</v>
      </c>
      <c r="BX54" s="1702">
        <f t="shared" ca="1" si="263"/>
        <v>2857200855985.3296</v>
      </c>
      <c r="BY54" s="1702">
        <f t="shared" ca="1" si="264"/>
        <v>3145168099935.6318</v>
      </c>
      <c r="BZ54" s="1702">
        <f t="shared" ca="1" si="265"/>
        <v>3772086350337.9409</v>
      </c>
      <c r="CA54" s="1702">
        <f t="shared" ca="1" si="266"/>
        <v>4390646484934.8857</v>
      </c>
      <c r="CC54" s="1707">
        <f ca="1">AVERAGE(Costs!$BS54:$CA54)</f>
        <v>1908114130840.6123</v>
      </c>
      <c r="CD54" s="1707">
        <f t="shared" ca="1" si="228"/>
        <v>7136066030334.4619</v>
      </c>
      <c r="CF54" s="1704">
        <f t="shared" ca="1" si="267"/>
        <v>0</v>
      </c>
      <c r="CG54" s="1704">
        <f t="shared" ca="1" si="268"/>
        <v>0</v>
      </c>
      <c r="CH54" s="1704">
        <f t="shared" ca="1" si="269"/>
        <v>-277990415327.6731</v>
      </c>
      <c r="CI54" s="1704">
        <f t="shared" ca="1" si="270"/>
        <v>-128588540562.91272</v>
      </c>
      <c r="CJ54" s="1704">
        <f t="shared" ca="1" si="271"/>
        <v>203447802262.30957</v>
      </c>
      <c r="CK54" s="1704">
        <f t="shared" ca="1" si="272"/>
        <v>247259550985.3291</v>
      </c>
      <c r="CL54" s="1704">
        <f t="shared" ca="1" si="273"/>
        <v>1585182229935.6309</v>
      </c>
      <c r="CM54" s="1704">
        <f t="shared" ca="1" si="274"/>
        <v>1070690915337.9419</v>
      </c>
      <c r="CN54" s="1704">
        <f t="shared" ca="1" si="275"/>
        <v>653891484934.88574</v>
      </c>
      <c r="CP54" s="1707">
        <f ca="1">AVERAGE(Costs!$CF54:$CN54)</f>
        <v>372654780840.61237</v>
      </c>
      <c r="CQ54" s="1707">
        <f t="shared" ca="1" si="230"/>
        <v>433798448329.56702</v>
      </c>
      <c r="CR54" s="1426" t="str">
        <f t="shared" ca="1" si="276"/>
        <v>ok</v>
      </c>
    </row>
    <row r="55" spans="1:96" s="2479" customFormat="1" x14ac:dyDescent="0.2">
      <c r="A55" s="1685" t="s">
        <v>2376</v>
      </c>
      <c r="B55" s="1685" t="s">
        <v>1192</v>
      </c>
      <c r="C55" s="1685" t="s">
        <v>4</v>
      </c>
      <c r="E55" s="1691">
        <f t="shared" ca="1" si="172"/>
        <v>0</v>
      </c>
      <c r="F55" s="1691">
        <f t="shared" ca="1" si="172"/>
        <v>0</v>
      </c>
      <c r="G55" s="1691">
        <f t="shared" ca="1" si="172"/>
        <v>856499999999.99988</v>
      </c>
      <c r="H55" s="1691">
        <f t="shared" ca="1" si="172"/>
        <v>858000000000.00012</v>
      </c>
      <c r="I55" s="1691">
        <f t="shared" ca="1" si="172"/>
        <v>856500000000.00012</v>
      </c>
      <c r="J55" s="1691">
        <f t="shared" ca="1" si="172"/>
        <v>857999999999.99988</v>
      </c>
      <c r="K55" s="1691">
        <f t="shared" ca="1" si="172"/>
        <v>856499999999.99988</v>
      </c>
      <c r="L55" s="1691">
        <f t="shared" ca="1" si="172"/>
        <v>1714500000000.0002</v>
      </c>
      <c r="M55" s="1691">
        <f t="shared" ca="1" si="172"/>
        <v>2570999999999.9995</v>
      </c>
      <c r="N55" s="675"/>
      <c r="O55" s="1691">
        <f t="shared" ca="1" si="173"/>
        <v>0</v>
      </c>
      <c r="P55" s="1691">
        <f t="shared" ca="1" si="173"/>
        <v>0</v>
      </c>
      <c r="Q55" s="1691">
        <f t="shared" ca="1" si="173"/>
        <v>29977499.999999996</v>
      </c>
      <c r="R55" s="1691">
        <f t="shared" ca="1" si="173"/>
        <v>60007500</v>
      </c>
      <c r="S55" s="1691">
        <f t="shared" ca="1" si="173"/>
        <v>89985000</v>
      </c>
      <c r="T55" s="1691">
        <f t="shared" ca="1" si="173"/>
        <v>120015000</v>
      </c>
      <c r="U55" s="1691">
        <f t="shared" ca="1" si="173"/>
        <v>149992500</v>
      </c>
      <c r="V55" s="1691">
        <f t="shared" ca="1" si="173"/>
        <v>180022500</v>
      </c>
      <c r="W55" s="1691">
        <f t="shared" ca="1" si="173"/>
        <v>210000000</v>
      </c>
      <c r="X55" s="675"/>
      <c r="Y55" s="1691">
        <f t="shared" ca="1" si="174"/>
        <v>0</v>
      </c>
      <c r="Z55" s="1691">
        <f t="shared" ca="1" si="174"/>
        <v>0</v>
      </c>
      <c r="AA55" s="1691">
        <f t="shared" ca="1" si="174"/>
        <v>0</v>
      </c>
      <c r="AB55" s="1691">
        <f t="shared" ca="1" si="174"/>
        <v>0</v>
      </c>
      <c r="AC55" s="1691">
        <f t="shared" ca="1" si="174"/>
        <v>0</v>
      </c>
      <c r="AD55" s="1691">
        <f t="shared" ca="1" si="174"/>
        <v>0</v>
      </c>
      <c r="AE55" s="1691">
        <f t="shared" ca="1" si="174"/>
        <v>0</v>
      </c>
      <c r="AF55" s="1691">
        <f t="shared" ca="1" si="174"/>
        <v>0</v>
      </c>
      <c r="AG55" s="1691">
        <f t="shared" ca="1" si="174"/>
        <v>0</v>
      </c>
      <c r="AH55" s="675"/>
      <c r="AI55" s="1691">
        <f t="shared" ca="1" si="231"/>
        <v>0</v>
      </c>
      <c r="AJ55" s="1691">
        <f t="shared" ca="1" si="232"/>
        <v>0</v>
      </c>
      <c r="AK55" s="1691">
        <f t="shared" ca="1" si="233"/>
        <v>856529977499.99988</v>
      </c>
      <c r="AL55" s="1691">
        <f t="shared" ca="1" si="234"/>
        <v>858060007500.00012</v>
      </c>
      <c r="AM55" s="1691">
        <f t="shared" ca="1" si="235"/>
        <v>856589985000.00012</v>
      </c>
      <c r="AN55" s="1691">
        <f t="shared" ca="1" si="236"/>
        <v>858120014999.99988</v>
      </c>
      <c r="AO55" s="1691">
        <f t="shared" ca="1" si="237"/>
        <v>856649992499.99988</v>
      </c>
      <c r="AP55" s="1691">
        <f t="shared" ca="1" si="238"/>
        <v>1714680022500.0002</v>
      </c>
      <c r="AQ55" s="1691">
        <f t="shared" ca="1" si="239"/>
        <v>2571209999999.9995</v>
      </c>
      <c r="AS55" s="1707">
        <f ca="1">AVERAGE(Costs!$AI55:$AQ55)</f>
        <v>952426666666.66663</v>
      </c>
      <c r="AT55" s="1707">
        <f t="shared" ca="1" si="225"/>
        <v>4928360624724.5957</v>
      </c>
      <c r="AU55" s="675"/>
      <c r="AV55" s="1700">
        <f>IFERROR(VLOOKUP($A55,Cost.FinanceCostTable,5,FALSE),'Global assumptions'!$F$35)</f>
        <v>7.0000000000000007E-2</v>
      </c>
      <c r="AW55" s="1692">
        <f>IFERROR(VLOOKUP($A55,Cost.FinanceCostTable,6,FALSE),'Global assumptions'!$G$35)</f>
        <v>15</v>
      </c>
      <c r="AX55" s="675"/>
      <c r="AY55" s="1691">
        <f t="shared" ca="1" si="240"/>
        <v>0</v>
      </c>
      <c r="AZ55" s="1691">
        <f t="shared" ca="1" si="241"/>
        <v>0</v>
      </c>
      <c r="BA55" s="1691">
        <f t="shared" ca="1" si="242"/>
        <v>470195480282.06049</v>
      </c>
      <c r="BB55" s="1691">
        <f t="shared" ca="1" si="243"/>
        <v>471018939967.31812</v>
      </c>
      <c r="BC55" s="1691">
        <f t="shared" ca="1" si="244"/>
        <v>470195480282.06055</v>
      </c>
      <c r="BD55" s="1691">
        <f t="shared" ca="1" si="245"/>
        <v>471018939967.31805</v>
      </c>
      <c r="BE55" s="1691">
        <f t="shared" ca="1" si="246"/>
        <v>470195480282.06049</v>
      </c>
      <c r="BF55" s="1691">
        <f t="shared" ca="1" si="247"/>
        <v>941214420249.37878</v>
      </c>
      <c r="BG55" s="1691">
        <f t="shared" ca="1" si="248"/>
        <v>1411409900531.439</v>
      </c>
      <c r="BH55" s="675"/>
      <c r="BI55" s="1691">
        <f t="shared" ca="1" si="249"/>
        <v>0</v>
      </c>
      <c r="BJ55" s="1691">
        <f t="shared" ca="1" si="250"/>
        <v>0</v>
      </c>
      <c r="BK55" s="1691">
        <f t="shared" ca="1" si="251"/>
        <v>470195480282.06049</v>
      </c>
      <c r="BL55" s="1691">
        <f t="shared" ca="1" si="252"/>
        <v>941214420249.37866</v>
      </c>
      <c r="BM55" s="1691">
        <f t="shared" ca="1" si="253"/>
        <v>1411409900531.4392</v>
      </c>
      <c r="BN55" s="1691">
        <f t="shared" ca="1" si="254"/>
        <v>1412233360216.6968</v>
      </c>
      <c r="BO55" s="1691">
        <f t="shared" ca="1" si="255"/>
        <v>1411409900531.4392</v>
      </c>
      <c r="BP55" s="1691">
        <f t="shared" ca="1" si="256"/>
        <v>1882428840498.7573</v>
      </c>
      <c r="BQ55" s="1691">
        <f t="shared" ca="1" si="257"/>
        <v>2822819801062.8784</v>
      </c>
      <c r="BR55" s="675"/>
      <c r="BS55" s="1702">
        <f t="shared" ca="1" si="258"/>
        <v>0</v>
      </c>
      <c r="BT55" s="1702">
        <f t="shared" ca="1" si="259"/>
        <v>0</v>
      </c>
      <c r="BU55" s="1702">
        <f t="shared" ca="1" si="260"/>
        <v>470225457782.06049</v>
      </c>
      <c r="BV55" s="1702">
        <f t="shared" ca="1" si="261"/>
        <v>941274427749.37866</v>
      </c>
      <c r="BW55" s="1702">
        <f t="shared" ca="1" si="262"/>
        <v>1411499885531.4392</v>
      </c>
      <c r="BX55" s="1702">
        <f t="shared" ca="1" si="263"/>
        <v>1412353375216.6968</v>
      </c>
      <c r="BY55" s="1702">
        <f t="shared" ca="1" si="264"/>
        <v>1411559893031.4392</v>
      </c>
      <c r="BZ55" s="1702">
        <f t="shared" ca="1" si="265"/>
        <v>1882608862998.7573</v>
      </c>
      <c r="CA55" s="1702">
        <f t="shared" ca="1" si="266"/>
        <v>2823029801062.8784</v>
      </c>
      <c r="CC55" s="1707">
        <f ca="1">AVERAGE(Costs!$BS55:$CA55)</f>
        <v>1150283522596.9612</v>
      </c>
      <c r="CD55" s="1707">
        <f t="shared" ca="1" si="228"/>
        <v>5205670915224.916</v>
      </c>
      <c r="CF55" s="1704">
        <f t="shared" ca="1" si="267"/>
        <v>0</v>
      </c>
      <c r="CG55" s="1704">
        <f t="shared" ca="1" si="268"/>
        <v>0</v>
      </c>
      <c r="CH55" s="1704">
        <f t="shared" ca="1" si="269"/>
        <v>-386304519717.93939</v>
      </c>
      <c r="CI55" s="1704">
        <f t="shared" ca="1" si="270"/>
        <v>83214420249.37854</v>
      </c>
      <c r="CJ55" s="1704">
        <f t="shared" ca="1" si="271"/>
        <v>554909900531.43909</v>
      </c>
      <c r="CK55" s="1704">
        <f t="shared" ca="1" si="272"/>
        <v>554233360216.6969</v>
      </c>
      <c r="CL55" s="1704">
        <f t="shared" ca="1" si="273"/>
        <v>554909900531.43933</v>
      </c>
      <c r="CM55" s="1704">
        <f t="shared" ca="1" si="274"/>
        <v>167928840498.75708</v>
      </c>
      <c r="CN55" s="1704">
        <f t="shared" ca="1" si="275"/>
        <v>251819801062.87891</v>
      </c>
      <c r="CP55" s="1707">
        <f ca="1">AVERAGE(Costs!$CF55:$CN55)</f>
        <v>197856855930.29453</v>
      </c>
      <c r="CQ55" s="1707">
        <f t="shared" ca="1" si="230"/>
        <v>277310290500.32092</v>
      </c>
      <c r="CR55" s="1426" t="str">
        <f t="shared" ca="1" si="276"/>
        <v>ok</v>
      </c>
    </row>
    <row r="56" spans="1:96" s="2126" customFormat="1" x14ac:dyDescent="0.2">
      <c r="A56" s="1683" t="s">
        <v>409</v>
      </c>
      <c r="B56" s="1683" t="s">
        <v>2371</v>
      </c>
      <c r="C56" s="1683" t="s">
        <v>4</v>
      </c>
      <c r="E56" s="1689">
        <f t="shared" ca="1" si="172"/>
        <v>0</v>
      </c>
      <c r="F56" s="1689">
        <f t="shared" ca="1" si="172"/>
        <v>72750000000</v>
      </c>
      <c r="G56" s="1689">
        <f t="shared" ca="1" si="172"/>
        <v>1555500000000</v>
      </c>
      <c r="H56" s="1689">
        <f t="shared" ca="1" si="172"/>
        <v>1029000000000</v>
      </c>
      <c r="I56" s="1689">
        <f t="shared" ca="1" si="172"/>
        <v>1027500000000</v>
      </c>
      <c r="J56" s="1689">
        <f t="shared" ca="1" si="172"/>
        <v>880500000000</v>
      </c>
      <c r="K56" s="1689">
        <f t="shared" ca="1" si="172"/>
        <v>1059750000000</v>
      </c>
      <c r="L56" s="1689">
        <f t="shared" ca="1" si="172"/>
        <v>2852250000000.001</v>
      </c>
      <c r="M56" s="1689">
        <f t="shared" ca="1" si="172"/>
        <v>4887749999999.999</v>
      </c>
      <c r="N56" s="675"/>
      <c r="O56" s="1689">
        <f t="shared" ca="1" si="173"/>
        <v>45000</v>
      </c>
      <c r="P56" s="1689">
        <f t="shared" ca="1" si="173"/>
        <v>1500000</v>
      </c>
      <c r="Q56" s="1689">
        <f t="shared" ca="1" si="173"/>
        <v>32610000</v>
      </c>
      <c r="R56" s="1689">
        <f t="shared" ca="1" si="173"/>
        <v>53190000</v>
      </c>
      <c r="S56" s="1689">
        <f t="shared" ca="1" si="173"/>
        <v>73740000</v>
      </c>
      <c r="T56" s="1689">
        <f t="shared" ca="1" si="173"/>
        <v>91305000</v>
      </c>
      <c r="U56" s="1689">
        <f t="shared" ca="1" si="173"/>
        <v>111000000</v>
      </c>
      <c r="V56" s="1689">
        <f t="shared" ca="1" si="173"/>
        <v>135435000.00000003</v>
      </c>
      <c r="W56" s="1689">
        <f t="shared" ca="1" si="173"/>
        <v>180000000</v>
      </c>
      <c r="X56" s="675"/>
      <c r="Y56" s="1689">
        <f t="shared" ca="1" si="174"/>
        <v>0</v>
      </c>
      <c r="Z56" s="1689">
        <f t="shared" ca="1" si="174"/>
        <v>0</v>
      </c>
      <c r="AA56" s="1689">
        <f t="shared" ca="1" si="174"/>
        <v>0</v>
      </c>
      <c r="AB56" s="1689">
        <f t="shared" ca="1" si="174"/>
        <v>0</v>
      </c>
      <c r="AC56" s="1689">
        <f t="shared" ca="1" si="174"/>
        <v>0</v>
      </c>
      <c r="AD56" s="1689">
        <f t="shared" ca="1" si="174"/>
        <v>0</v>
      </c>
      <c r="AE56" s="1689">
        <f t="shared" ca="1" si="174"/>
        <v>0</v>
      </c>
      <c r="AF56" s="1689">
        <f t="shared" ca="1" si="174"/>
        <v>0</v>
      </c>
      <c r="AG56" s="1689">
        <f t="shared" ca="1" si="174"/>
        <v>0</v>
      </c>
      <c r="AH56" s="675"/>
      <c r="AI56" s="1689">
        <f t="shared" ca="1" si="175"/>
        <v>45000</v>
      </c>
      <c r="AJ56" s="1689">
        <f t="shared" ca="1" si="176"/>
        <v>72751500000</v>
      </c>
      <c r="AK56" s="1689">
        <f t="shared" ca="1" si="177"/>
        <v>1555532610000</v>
      </c>
      <c r="AL56" s="1689">
        <f t="shared" ca="1" si="178"/>
        <v>1029053190000</v>
      </c>
      <c r="AM56" s="1689">
        <f t="shared" ca="1" si="179"/>
        <v>1027573740000</v>
      </c>
      <c r="AN56" s="1689">
        <f t="shared" ca="1" si="180"/>
        <v>880591305000</v>
      </c>
      <c r="AO56" s="1689">
        <f t="shared" ca="1" si="181"/>
        <v>1059861000000</v>
      </c>
      <c r="AP56" s="1689">
        <f t="shared" ca="1" si="182"/>
        <v>2852385435000.001</v>
      </c>
      <c r="AQ56" s="1689">
        <f t="shared" ca="1" si="183"/>
        <v>4887929999999.999</v>
      </c>
      <c r="AS56" s="1706">
        <f ca="1">AVERAGE(Costs!$AI56:$AQ56)</f>
        <v>1485075425000</v>
      </c>
      <c r="AT56" s="1706">
        <f t="shared" ca="1" si="184"/>
        <v>7677223668694.1611</v>
      </c>
      <c r="AU56" s="675"/>
      <c r="AV56" s="1699">
        <f>IFERROR(VLOOKUP($A56,Cost.FinanceCostTable,5,FALSE),'Global assumptions'!$F$35)</f>
        <v>7.0000000000000007E-2</v>
      </c>
      <c r="AW56" s="1690">
        <f>IFERROR(VLOOKUP($A56,Cost.FinanceCostTable,6,FALSE),'Global assumptions'!$G$35)</f>
        <v>25</v>
      </c>
      <c r="AX56" s="675"/>
      <c r="AY56" s="1689">
        <f t="shared" ca="1" si="185"/>
        <v>0</v>
      </c>
      <c r="AZ56" s="1689">
        <f t="shared" ca="1" si="186"/>
        <v>31213575639.01712</v>
      </c>
      <c r="BA56" s="1689">
        <f t="shared" ca="1" si="187"/>
        <v>667391297683.72693</v>
      </c>
      <c r="BB56" s="1689">
        <f t="shared" ca="1" si="188"/>
        <v>441495111100.32465</v>
      </c>
      <c r="BC56" s="1689">
        <f t="shared" ca="1" si="189"/>
        <v>440851532221.16962</v>
      </c>
      <c r="BD56" s="1689">
        <f t="shared" ca="1" si="190"/>
        <v>377780802063.98041</v>
      </c>
      <c r="BE56" s="1689">
        <f t="shared" ca="1" si="191"/>
        <v>454688478123.00195</v>
      </c>
      <c r="BF56" s="1689">
        <f t="shared" ca="1" si="192"/>
        <v>1223765238713.218</v>
      </c>
      <c r="BG56" s="1689">
        <f t="shared" ca="1" si="193"/>
        <v>2097101777726.5417</v>
      </c>
      <c r="BH56" s="675"/>
      <c r="BI56" s="1689">
        <f t="shared" ca="1" si="220"/>
        <v>0</v>
      </c>
      <c r="BJ56" s="1689">
        <f t="shared" ca="1" si="194"/>
        <v>31213575639.01712</v>
      </c>
      <c r="BK56" s="1689">
        <f t="shared" ca="1" si="195"/>
        <v>698604873322.74402</v>
      </c>
      <c r="BL56" s="1689">
        <f t="shared" ca="1" si="196"/>
        <v>1140099984423.0688</v>
      </c>
      <c r="BM56" s="1689">
        <f t="shared" ca="1" si="197"/>
        <v>1580951516644.2383</v>
      </c>
      <c r="BN56" s="1689">
        <f t="shared" ca="1" si="198"/>
        <v>1958732318708.2187</v>
      </c>
      <c r="BO56" s="1689">
        <f t="shared" ca="1" si="199"/>
        <v>2382207221192.2036</v>
      </c>
      <c r="BP56" s="1689">
        <f t="shared" ca="1" si="200"/>
        <v>3379432694442.8643</v>
      </c>
      <c r="BQ56" s="1689">
        <f t="shared" ca="1" si="201"/>
        <v>5035039361069.0811</v>
      </c>
      <c r="BR56" s="675"/>
      <c r="BS56" s="1701">
        <f t="shared" ca="1" si="202"/>
        <v>45000</v>
      </c>
      <c r="BT56" s="1701">
        <f t="shared" ca="1" si="203"/>
        <v>31215075639.01712</v>
      </c>
      <c r="BU56" s="1701">
        <f t="shared" ca="1" si="204"/>
        <v>698637483322.74402</v>
      </c>
      <c r="BV56" s="1701">
        <f t="shared" ca="1" si="205"/>
        <v>1140153174423.0688</v>
      </c>
      <c r="BW56" s="1701">
        <f t="shared" ca="1" si="206"/>
        <v>1581025256644.2383</v>
      </c>
      <c r="BX56" s="1701">
        <f t="shared" ca="1" si="207"/>
        <v>1958823623708.2187</v>
      </c>
      <c r="BY56" s="1701">
        <f t="shared" ca="1" si="208"/>
        <v>2382318221192.2036</v>
      </c>
      <c r="BZ56" s="1701">
        <f t="shared" ca="1" si="209"/>
        <v>3379568129442.8643</v>
      </c>
      <c r="CA56" s="1701">
        <f t="shared" ca="1" si="210"/>
        <v>5035219361069.0811</v>
      </c>
      <c r="CC56" s="1706">
        <f ca="1">AVERAGE(Costs!$BS56:$CA56)</f>
        <v>1800773374493.4932</v>
      </c>
      <c r="CD56" s="1706">
        <f t="shared" ca="1" si="211"/>
        <v>7478969523265.4053</v>
      </c>
      <c r="CF56" s="1703">
        <f t="shared" ca="1" si="221"/>
        <v>0</v>
      </c>
      <c r="CG56" s="1703">
        <f t="shared" ca="1" si="212"/>
        <v>-41536424360.98288</v>
      </c>
      <c r="CH56" s="1703">
        <f t="shared" ca="1" si="213"/>
        <v>-856895126677.25598</v>
      </c>
      <c r="CI56" s="1703">
        <f t="shared" ca="1" si="214"/>
        <v>111099984423.06885</v>
      </c>
      <c r="CJ56" s="1703">
        <f t="shared" ca="1" si="215"/>
        <v>553451516644.23828</v>
      </c>
      <c r="CK56" s="1703">
        <f t="shared" ca="1" si="216"/>
        <v>1078232318708.2187</v>
      </c>
      <c r="CL56" s="1703">
        <f t="shared" ca="1" si="217"/>
        <v>1322457221192.2036</v>
      </c>
      <c r="CM56" s="1703">
        <f t="shared" ca="1" si="218"/>
        <v>527182694442.86328</v>
      </c>
      <c r="CN56" s="1703">
        <f t="shared" ca="1" si="219"/>
        <v>147289361069.08203</v>
      </c>
      <c r="CP56" s="1706">
        <f ca="1">AVERAGE(Costs!$CF56:$CN56)</f>
        <v>315697949493.49292</v>
      </c>
      <c r="CQ56" s="1706">
        <f t="shared" ca="1" si="222"/>
        <v>-198254145428.75574</v>
      </c>
      <c r="CR56" s="1426" t="str">
        <f t="shared" ca="1" si="223"/>
        <v>ok</v>
      </c>
    </row>
    <row r="57" spans="1:96" s="2126" customFormat="1" x14ac:dyDescent="0.2">
      <c r="A57" s="1685" t="s">
        <v>400</v>
      </c>
      <c r="B57" s="1685" t="s">
        <v>1363</v>
      </c>
      <c r="C57" s="1685" t="s">
        <v>1189</v>
      </c>
      <c r="E57" s="1691">
        <f t="shared" ref="E57:M66" ca="1" si="277">IFERROR(INDEX(INDIRECT($A57&amp;".Costs["&amp;E$2&amp;"]"), MATCH($E$45, INDIRECT($A57&amp;".Costs[Vector]"), 0)),0)</f>
        <v>789484263864.43274</v>
      </c>
      <c r="F57" s="1691">
        <f t="shared" ca="1" si="277"/>
        <v>1226898727278.7593</v>
      </c>
      <c r="G57" s="1691">
        <f t="shared" ca="1" si="277"/>
        <v>1590237646229.8196</v>
      </c>
      <c r="H57" s="1691">
        <f t="shared" ca="1" si="277"/>
        <v>1271280119307.344</v>
      </c>
      <c r="I57" s="1691">
        <f t="shared" ca="1" si="277"/>
        <v>1458453472194.9846</v>
      </c>
      <c r="J57" s="1691">
        <f t="shared" ca="1" si="277"/>
        <v>1544300683487.9968</v>
      </c>
      <c r="K57" s="1691">
        <f t="shared" ca="1" si="277"/>
        <v>1668318358942.6514</v>
      </c>
      <c r="L57" s="1691">
        <f t="shared" ca="1" si="277"/>
        <v>1692126916691.6299</v>
      </c>
      <c r="M57" s="1691">
        <f t="shared" ca="1" si="277"/>
        <v>1171832765083.9768</v>
      </c>
      <c r="N57" s="675"/>
      <c r="O57" s="1691">
        <f t="shared" ref="O57:W66" ca="1" si="278">IFERROR(INDEX(INDIRECT($A57&amp;".Costs["&amp;O$2&amp;"]"), MATCH($O$45, INDIRECT($A57&amp;".Costs[Vector]"), 0)),0)</f>
        <v>2683656367433.7651</v>
      </c>
      <c r="P57" s="1691">
        <f t="shared" ca="1" si="278"/>
        <v>3058658714165.1562</v>
      </c>
      <c r="Q57" s="1691">
        <f t="shared" ca="1" si="278"/>
        <v>3525376411479.7554</v>
      </c>
      <c r="R57" s="1691">
        <f t="shared" ca="1" si="278"/>
        <v>4440047028571.4287</v>
      </c>
      <c r="S57" s="1691">
        <f t="shared" ca="1" si="278"/>
        <v>4813893177554.0625</v>
      </c>
      <c r="T57" s="1691">
        <f t="shared" ca="1" si="278"/>
        <v>5265069924284.4482</v>
      </c>
      <c r="U57" s="1691">
        <f t="shared" ca="1" si="278"/>
        <v>5702866527808.0068</v>
      </c>
      <c r="V57" s="1691">
        <f t="shared" ca="1" si="278"/>
        <v>6170843156769.3701</v>
      </c>
      <c r="W57" s="1691">
        <f t="shared" ca="1" si="278"/>
        <v>6618172826448.4531</v>
      </c>
      <c r="X57" s="675"/>
      <c r="Y57" s="1691">
        <f t="shared" ref="Y57:AG66" ca="1" si="279">IFERROR(INDEX(INDIRECT($A57&amp;".Costs["&amp;Y$2&amp;"]"), MATCH($Y$45, INDIRECT($A57&amp;".Costs[Vector]"), 0)),0)</f>
        <v>0</v>
      </c>
      <c r="Z57" s="1691">
        <f t="shared" ca="1" si="279"/>
        <v>0</v>
      </c>
      <c r="AA57" s="1691">
        <f t="shared" ca="1" si="279"/>
        <v>0</v>
      </c>
      <c r="AB57" s="1691">
        <f t="shared" ca="1" si="279"/>
        <v>0</v>
      </c>
      <c r="AC57" s="1691">
        <f t="shared" ca="1" si="279"/>
        <v>0</v>
      </c>
      <c r="AD57" s="1691">
        <f t="shared" ca="1" si="279"/>
        <v>0</v>
      </c>
      <c r="AE57" s="1691">
        <f t="shared" ca="1" si="279"/>
        <v>0</v>
      </c>
      <c r="AF57" s="1691">
        <f t="shared" ca="1" si="279"/>
        <v>0</v>
      </c>
      <c r="AG57" s="1691">
        <f t="shared" ca="1" si="279"/>
        <v>0</v>
      </c>
      <c r="AH57" s="675"/>
      <c r="AI57" s="1691">
        <f t="shared" ca="1" si="175"/>
        <v>3473140631298.1978</v>
      </c>
      <c r="AJ57" s="1691">
        <f t="shared" ca="1" si="176"/>
        <v>4285557441443.9155</v>
      </c>
      <c r="AK57" s="1691">
        <f t="shared" ca="1" si="177"/>
        <v>5115614057709.5752</v>
      </c>
      <c r="AL57" s="1691">
        <f t="shared" ca="1" si="178"/>
        <v>5711327147878.7725</v>
      </c>
      <c r="AM57" s="1691">
        <f t="shared" ca="1" si="179"/>
        <v>6272346649749.0469</v>
      </c>
      <c r="AN57" s="1691">
        <f t="shared" ca="1" si="180"/>
        <v>6809370607772.4453</v>
      </c>
      <c r="AO57" s="1691">
        <f t="shared" ca="1" si="181"/>
        <v>7371184886750.6582</v>
      </c>
      <c r="AP57" s="1691">
        <f t="shared" ca="1" si="182"/>
        <v>7862970073461</v>
      </c>
      <c r="AQ57" s="1691">
        <f t="shared" ca="1" si="183"/>
        <v>7790005591532.4297</v>
      </c>
      <c r="AS57" s="1707">
        <f ca="1">AVERAGE(Costs!$AI57:$AQ57)</f>
        <v>6076835231955.1152</v>
      </c>
      <c r="AT57" s="1707">
        <f t="shared" ca="1" si="184"/>
        <v>46996533443549.906</v>
      </c>
      <c r="AU57" s="675"/>
      <c r="AV57" s="1700">
        <f>IFERROR(VLOOKUP($A57,Cost.FinanceCostTable,5,FALSE),'Global assumptions'!$F$35)</f>
        <v>7.0000000000000007E-2</v>
      </c>
      <c r="AW57" s="1692">
        <f>IFERROR(VLOOKUP($A57,Cost.FinanceCostTable,6,FALSE),'Global assumptions'!$G$35)</f>
        <v>30</v>
      </c>
      <c r="AX57" s="675"/>
      <c r="AY57" s="1691">
        <f t="shared" ca="1" si="185"/>
        <v>190865092360.35529</v>
      </c>
      <c r="AZ57" s="1691">
        <f t="shared" ca="1" si="186"/>
        <v>494356779518.77435</v>
      </c>
      <c r="BA57" s="1691">
        <f t="shared" ca="1" si="187"/>
        <v>640757663188.17969</v>
      </c>
      <c r="BB57" s="1691">
        <f t="shared" ca="1" si="188"/>
        <v>512239463350.77606</v>
      </c>
      <c r="BC57" s="1691">
        <f t="shared" ca="1" si="189"/>
        <v>587657600062.43115</v>
      </c>
      <c r="BD57" s="1691">
        <f t="shared" ca="1" si="190"/>
        <v>622248190110.24268</v>
      </c>
      <c r="BE57" s="1691">
        <f t="shared" ca="1" si="191"/>
        <v>672218882293.73682</v>
      </c>
      <c r="BF57" s="1691">
        <f t="shared" ca="1" si="192"/>
        <v>681812112502.62061</v>
      </c>
      <c r="BG57" s="1691">
        <f t="shared" ca="1" si="193"/>
        <v>472168940272.99268</v>
      </c>
      <c r="BH57" s="675"/>
      <c r="BI57" s="1691">
        <f t="shared" ca="1" si="220"/>
        <v>190865092360.35529</v>
      </c>
      <c r="BJ57" s="1691">
        <f t="shared" ca="1" si="194"/>
        <v>685221871879.12964</v>
      </c>
      <c r="BK57" s="1691">
        <f t="shared" ca="1" si="195"/>
        <v>1325979535067.3093</v>
      </c>
      <c r="BL57" s="1691">
        <f t="shared" ca="1" si="196"/>
        <v>1838218998418.0854</v>
      </c>
      <c r="BM57" s="1691">
        <f t="shared" ca="1" si="197"/>
        <v>2425876598480.5166</v>
      </c>
      <c r="BN57" s="1691">
        <f t="shared" ca="1" si="198"/>
        <v>3048124788590.7593</v>
      </c>
      <c r="BO57" s="1691">
        <f t="shared" ca="1" si="199"/>
        <v>3529478578524.1406</v>
      </c>
      <c r="BP57" s="1691">
        <f t="shared" ca="1" si="200"/>
        <v>4304591511570.4185</v>
      </c>
      <c r="BQ57" s="1691">
        <f t="shared" ca="1" si="201"/>
        <v>4136002788655.2314</v>
      </c>
      <c r="BR57" s="675"/>
      <c r="BS57" s="1702">
        <f t="shared" ca="1" si="202"/>
        <v>2874521459794.1206</v>
      </c>
      <c r="BT57" s="1702">
        <f t="shared" ca="1" si="203"/>
        <v>3743880586044.2861</v>
      </c>
      <c r="BU57" s="1702">
        <f t="shared" ca="1" si="204"/>
        <v>4851355946547.0645</v>
      </c>
      <c r="BV57" s="1702">
        <f t="shared" ca="1" si="205"/>
        <v>6278266026989.5137</v>
      </c>
      <c r="BW57" s="1702">
        <f t="shared" ca="1" si="206"/>
        <v>7239769776034.5791</v>
      </c>
      <c r="BX57" s="1702">
        <f t="shared" ca="1" si="207"/>
        <v>8313194712875.207</v>
      </c>
      <c r="BY57" s="1702">
        <f t="shared" ca="1" si="208"/>
        <v>9232345106332.1484</v>
      </c>
      <c r="BZ57" s="1702">
        <f t="shared" ca="1" si="209"/>
        <v>10475434668339.789</v>
      </c>
      <c r="CA57" s="1702">
        <f t="shared" ca="1" si="210"/>
        <v>10754175615103.684</v>
      </c>
      <c r="CC57" s="1707">
        <f ca="1">AVERAGE(Costs!$BS57:$CA57)</f>
        <v>7084771544228.9326</v>
      </c>
      <c r="CD57" s="1707">
        <f t="shared" ca="1" si="211"/>
        <v>48109441301212.602</v>
      </c>
      <c r="CF57" s="1704">
        <f t="shared" ca="1" si="221"/>
        <v>-598619171504.07739</v>
      </c>
      <c r="CG57" s="1704">
        <f t="shared" ca="1" si="212"/>
        <v>-541676855399.62964</v>
      </c>
      <c r="CH57" s="1704">
        <f t="shared" ca="1" si="213"/>
        <v>-264258111162.51025</v>
      </c>
      <c r="CI57" s="1704">
        <f t="shared" ca="1" si="214"/>
        <v>566938879110.74146</v>
      </c>
      <c r="CJ57" s="1704">
        <f t="shared" ca="1" si="215"/>
        <v>967423126285.53198</v>
      </c>
      <c r="CK57" s="1704">
        <f t="shared" ca="1" si="216"/>
        <v>1503824105102.7625</v>
      </c>
      <c r="CL57" s="1704">
        <f t="shared" ca="1" si="217"/>
        <v>1861160219581.4893</v>
      </c>
      <c r="CM57" s="1704">
        <f t="shared" ca="1" si="218"/>
        <v>2612464594878.7886</v>
      </c>
      <c r="CN57" s="1704">
        <f t="shared" ca="1" si="219"/>
        <v>2964170023571.2549</v>
      </c>
      <c r="CP57" s="1707">
        <f ca="1">AVERAGE(Costs!$CF57:$CN57)</f>
        <v>1007936312273.8169</v>
      </c>
      <c r="CQ57" s="1707">
        <f t="shared" ca="1" si="222"/>
        <v>1112907857662.7039</v>
      </c>
      <c r="CR57" s="1426" t="str">
        <f t="shared" ca="1" si="223"/>
        <v>ok</v>
      </c>
    </row>
    <row r="58" spans="1:96" s="2126" customFormat="1" x14ac:dyDescent="0.2">
      <c r="A58" s="1683" t="s">
        <v>838</v>
      </c>
      <c r="B58" s="1683" t="s">
        <v>839</v>
      </c>
      <c r="C58" s="1683" t="s">
        <v>1189</v>
      </c>
      <c r="E58" s="1689">
        <f t="shared" ca="1" si="277"/>
        <v>0</v>
      </c>
      <c r="F58" s="1689">
        <f t="shared" ca="1" si="277"/>
        <v>0</v>
      </c>
      <c r="G58" s="1689">
        <f t="shared" ca="1" si="277"/>
        <v>0</v>
      </c>
      <c r="H58" s="1689">
        <f t="shared" ca="1" si="277"/>
        <v>0</v>
      </c>
      <c r="I58" s="1689">
        <f t="shared" ca="1" si="277"/>
        <v>0</v>
      </c>
      <c r="J58" s="1689">
        <f t="shared" ca="1" si="277"/>
        <v>0</v>
      </c>
      <c r="K58" s="1689">
        <f t="shared" ca="1" si="277"/>
        <v>0</v>
      </c>
      <c r="L58" s="1689">
        <f t="shared" ca="1" si="277"/>
        <v>0</v>
      </c>
      <c r="M58" s="1689">
        <f t="shared" ca="1" si="277"/>
        <v>0</v>
      </c>
      <c r="N58" s="675"/>
      <c r="O58" s="1689">
        <f t="shared" ca="1" si="278"/>
        <v>0</v>
      </c>
      <c r="P58" s="1689">
        <f t="shared" ca="1" si="278"/>
        <v>0</v>
      </c>
      <c r="Q58" s="1689">
        <f t="shared" ca="1" si="278"/>
        <v>0</v>
      </c>
      <c r="R58" s="1689">
        <f t="shared" ca="1" si="278"/>
        <v>0</v>
      </c>
      <c r="S58" s="1689">
        <f t="shared" ca="1" si="278"/>
        <v>0</v>
      </c>
      <c r="T58" s="1689">
        <f t="shared" ca="1" si="278"/>
        <v>0</v>
      </c>
      <c r="U58" s="1689">
        <f t="shared" ca="1" si="278"/>
        <v>0</v>
      </c>
      <c r="V58" s="1689">
        <f t="shared" ca="1" si="278"/>
        <v>0</v>
      </c>
      <c r="W58" s="1689">
        <f t="shared" ca="1" si="278"/>
        <v>0</v>
      </c>
      <c r="X58" s="675"/>
      <c r="Y58" s="1689">
        <f t="shared" ca="1" si="279"/>
        <v>0</v>
      </c>
      <c r="Z58" s="1689">
        <f t="shared" ca="1" si="279"/>
        <v>0</v>
      </c>
      <c r="AA58" s="1689">
        <f t="shared" ca="1" si="279"/>
        <v>0</v>
      </c>
      <c r="AB58" s="1689">
        <f t="shared" ca="1" si="279"/>
        <v>0</v>
      </c>
      <c r="AC58" s="1689">
        <f t="shared" ca="1" si="279"/>
        <v>0</v>
      </c>
      <c r="AD58" s="1689">
        <f t="shared" ca="1" si="279"/>
        <v>0</v>
      </c>
      <c r="AE58" s="1689">
        <f t="shared" ca="1" si="279"/>
        <v>0</v>
      </c>
      <c r="AF58" s="1689">
        <f t="shared" ca="1" si="279"/>
        <v>0</v>
      </c>
      <c r="AG58" s="1689">
        <f t="shared" ca="1" si="279"/>
        <v>0</v>
      </c>
      <c r="AH58" s="675"/>
      <c r="AI58" s="1689">
        <f t="shared" ca="1" si="175"/>
        <v>0</v>
      </c>
      <c r="AJ58" s="1689">
        <f t="shared" ca="1" si="176"/>
        <v>0</v>
      </c>
      <c r="AK58" s="1689">
        <f t="shared" ca="1" si="177"/>
        <v>0</v>
      </c>
      <c r="AL58" s="1689">
        <f t="shared" ca="1" si="178"/>
        <v>0</v>
      </c>
      <c r="AM58" s="1689">
        <f t="shared" ca="1" si="179"/>
        <v>0</v>
      </c>
      <c r="AN58" s="1689">
        <f t="shared" ca="1" si="180"/>
        <v>0</v>
      </c>
      <c r="AO58" s="1689">
        <f t="shared" ca="1" si="181"/>
        <v>0</v>
      </c>
      <c r="AP58" s="1689">
        <f t="shared" ca="1" si="182"/>
        <v>0</v>
      </c>
      <c r="AQ58" s="1689">
        <f t="shared" ca="1" si="183"/>
        <v>0</v>
      </c>
      <c r="AS58" s="1706">
        <f ca="1">AVERAGE(Costs!$AI58:$AQ58)</f>
        <v>0</v>
      </c>
      <c r="AT58" s="1706">
        <f t="shared" ca="1" si="184"/>
        <v>0</v>
      </c>
      <c r="AU58" s="675"/>
      <c r="AV58" s="1699">
        <f>IFERROR(VLOOKUP($A58,Cost.FinanceCostTable,5,FALSE),'Global assumptions'!$F$35)</f>
        <v>7.0000000000000007E-2</v>
      </c>
      <c r="AW58" s="1690">
        <f>IFERROR(VLOOKUP($A58,Cost.FinanceCostTable,6,FALSE),'Global assumptions'!$G$35)</f>
        <v>15</v>
      </c>
      <c r="AX58" s="675"/>
      <c r="AY58" s="1689">
        <f t="shared" ca="1" si="185"/>
        <v>0</v>
      </c>
      <c r="AZ58" s="1689">
        <f t="shared" ca="1" si="186"/>
        <v>0</v>
      </c>
      <c r="BA58" s="1689">
        <f t="shared" ca="1" si="187"/>
        <v>0</v>
      </c>
      <c r="BB58" s="1689">
        <f t="shared" ca="1" si="188"/>
        <v>0</v>
      </c>
      <c r="BC58" s="1689">
        <f t="shared" ca="1" si="189"/>
        <v>0</v>
      </c>
      <c r="BD58" s="1689">
        <f t="shared" ca="1" si="190"/>
        <v>0</v>
      </c>
      <c r="BE58" s="1689">
        <f t="shared" ca="1" si="191"/>
        <v>0</v>
      </c>
      <c r="BF58" s="1689">
        <f t="shared" ca="1" si="192"/>
        <v>0</v>
      </c>
      <c r="BG58" s="1689">
        <f t="shared" ca="1" si="193"/>
        <v>0</v>
      </c>
      <c r="BH58" s="675"/>
      <c r="BI58" s="1689">
        <f t="shared" ca="1" si="220"/>
        <v>0</v>
      </c>
      <c r="BJ58" s="1689">
        <f t="shared" ca="1" si="194"/>
        <v>0</v>
      </c>
      <c r="BK58" s="1689">
        <f t="shared" ca="1" si="195"/>
        <v>0</v>
      </c>
      <c r="BL58" s="1689">
        <f t="shared" ca="1" si="196"/>
        <v>0</v>
      </c>
      <c r="BM58" s="1689">
        <f t="shared" ca="1" si="197"/>
        <v>0</v>
      </c>
      <c r="BN58" s="1689">
        <f t="shared" ca="1" si="198"/>
        <v>0</v>
      </c>
      <c r="BO58" s="1689">
        <f t="shared" ca="1" si="199"/>
        <v>0</v>
      </c>
      <c r="BP58" s="1689">
        <f t="shared" ca="1" si="200"/>
        <v>0</v>
      </c>
      <c r="BQ58" s="1689">
        <f t="shared" ca="1" si="201"/>
        <v>0</v>
      </c>
      <c r="BR58" s="675"/>
      <c r="BS58" s="1701">
        <f t="shared" ca="1" si="202"/>
        <v>0</v>
      </c>
      <c r="BT58" s="1701">
        <f t="shared" ca="1" si="203"/>
        <v>0</v>
      </c>
      <c r="BU58" s="1701">
        <f t="shared" ca="1" si="204"/>
        <v>0</v>
      </c>
      <c r="BV58" s="1701">
        <f t="shared" ca="1" si="205"/>
        <v>0</v>
      </c>
      <c r="BW58" s="1701">
        <f t="shared" ca="1" si="206"/>
        <v>0</v>
      </c>
      <c r="BX58" s="1701">
        <f t="shared" ca="1" si="207"/>
        <v>0</v>
      </c>
      <c r="BY58" s="1701">
        <f t="shared" ca="1" si="208"/>
        <v>0</v>
      </c>
      <c r="BZ58" s="1701">
        <f t="shared" ca="1" si="209"/>
        <v>0</v>
      </c>
      <c r="CA58" s="1701">
        <f t="shared" ca="1" si="210"/>
        <v>0</v>
      </c>
      <c r="CC58" s="1706">
        <f ca="1">AVERAGE(Costs!$BS58:$CA58)</f>
        <v>0</v>
      </c>
      <c r="CD58" s="1706">
        <f t="shared" ca="1" si="211"/>
        <v>0</v>
      </c>
      <c r="CF58" s="1703">
        <f t="shared" ca="1" si="221"/>
        <v>0</v>
      </c>
      <c r="CG58" s="1703">
        <f t="shared" ca="1" si="212"/>
        <v>0</v>
      </c>
      <c r="CH58" s="1703">
        <f t="shared" ca="1" si="213"/>
        <v>0</v>
      </c>
      <c r="CI58" s="1703">
        <f t="shared" ca="1" si="214"/>
        <v>0</v>
      </c>
      <c r="CJ58" s="1703">
        <f t="shared" ca="1" si="215"/>
        <v>0</v>
      </c>
      <c r="CK58" s="1703">
        <f t="shared" ca="1" si="216"/>
        <v>0</v>
      </c>
      <c r="CL58" s="1703">
        <f t="shared" ca="1" si="217"/>
        <v>0</v>
      </c>
      <c r="CM58" s="1703">
        <f t="shared" ca="1" si="218"/>
        <v>0</v>
      </c>
      <c r="CN58" s="1703">
        <f t="shared" ca="1" si="219"/>
        <v>0</v>
      </c>
      <c r="CP58" s="1706">
        <f ca="1">AVERAGE(Costs!$CF58:$CN58)</f>
        <v>0</v>
      </c>
      <c r="CQ58" s="1706">
        <f t="shared" ca="1" si="222"/>
        <v>0</v>
      </c>
      <c r="CR58" s="1426" t="str">
        <f t="shared" ca="1" si="223"/>
        <v>ok</v>
      </c>
    </row>
    <row r="59" spans="1:96" s="2126" customFormat="1" x14ac:dyDescent="0.2">
      <c r="A59" s="1685" t="s">
        <v>1768</v>
      </c>
      <c r="B59" s="1685" t="s">
        <v>1190</v>
      </c>
      <c r="C59" s="1685" t="s">
        <v>1189</v>
      </c>
      <c r="E59" s="1691">
        <f t="shared" ca="1" si="277"/>
        <v>0</v>
      </c>
      <c r="F59" s="1691">
        <f t="shared" ca="1" si="277"/>
        <v>0</v>
      </c>
      <c r="G59" s="1691">
        <f t="shared" ca="1" si="277"/>
        <v>0</v>
      </c>
      <c r="H59" s="1691">
        <f t="shared" ca="1" si="277"/>
        <v>0</v>
      </c>
      <c r="I59" s="1691">
        <f t="shared" ca="1" si="277"/>
        <v>0</v>
      </c>
      <c r="J59" s="1691">
        <f t="shared" ca="1" si="277"/>
        <v>0</v>
      </c>
      <c r="K59" s="1691">
        <f t="shared" ca="1" si="277"/>
        <v>0</v>
      </c>
      <c r="L59" s="1691">
        <f t="shared" ca="1" si="277"/>
        <v>0</v>
      </c>
      <c r="M59" s="1691">
        <f t="shared" ca="1" si="277"/>
        <v>0</v>
      </c>
      <c r="N59" s="675"/>
      <c r="O59" s="1691">
        <f t="shared" ca="1" si="278"/>
        <v>0</v>
      </c>
      <c r="P59" s="1691">
        <f t="shared" ca="1" si="278"/>
        <v>0</v>
      </c>
      <c r="Q59" s="1691">
        <f t="shared" ca="1" si="278"/>
        <v>0</v>
      </c>
      <c r="R59" s="1691">
        <f t="shared" ca="1" si="278"/>
        <v>0</v>
      </c>
      <c r="S59" s="1691">
        <f t="shared" ca="1" si="278"/>
        <v>0</v>
      </c>
      <c r="T59" s="1691">
        <f t="shared" ca="1" si="278"/>
        <v>0</v>
      </c>
      <c r="U59" s="1691">
        <f t="shared" ca="1" si="278"/>
        <v>0</v>
      </c>
      <c r="V59" s="1691">
        <f t="shared" ca="1" si="278"/>
        <v>0</v>
      </c>
      <c r="W59" s="1691">
        <f t="shared" ca="1" si="278"/>
        <v>0</v>
      </c>
      <c r="X59" s="675"/>
      <c r="Y59" s="1691">
        <f t="shared" ca="1" si="279"/>
        <v>7453035033257.3877</v>
      </c>
      <c r="Z59" s="1691">
        <f t="shared" ca="1" si="279"/>
        <v>8294922865255.168</v>
      </c>
      <c r="AA59" s="1691">
        <f t="shared" ca="1" si="279"/>
        <v>9335233070437.6035</v>
      </c>
      <c r="AB59" s="1691">
        <f t="shared" ca="1" si="279"/>
        <v>10402322605378.352</v>
      </c>
      <c r="AC59" s="1691">
        <f t="shared" ca="1" si="279"/>
        <v>11291491123687.439</v>
      </c>
      <c r="AD59" s="1691">
        <f t="shared" ca="1" si="279"/>
        <v>12356126134226.092</v>
      </c>
      <c r="AE59" s="1691">
        <f t="shared" ca="1" si="279"/>
        <v>13396665325655.377</v>
      </c>
      <c r="AF59" s="1691">
        <f t="shared" ca="1" si="279"/>
        <v>14512301886414.234</v>
      </c>
      <c r="AG59" s="1691">
        <f t="shared" ca="1" si="279"/>
        <v>15587212479512.678</v>
      </c>
      <c r="AH59" s="675"/>
      <c r="AI59" s="1691">
        <f t="shared" ca="1" si="175"/>
        <v>7453035033257.3877</v>
      </c>
      <c r="AJ59" s="1691">
        <f t="shared" ca="1" si="176"/>
        <v>8294922865255.168</v>
      </c>
      <c r="AK59" s="1691">
        <f t="shared" ca="1" si="177"/>
        <v>9335233070437.6035</v>
      </c>
      <c r="AL59" s="1691">
        <f t="shared" ca="1" si="178"/>
        <v>10402322605378.352</v>
      </c>
      <c r="AM59" s="1691">
        <f t="shared" ca="1" si="179"/>
        <v>11291491123687.439</v>
      </c>
      <c r="AN59" s="1691">
        <f t="shared" ca="1" si="180"/>
        <v>12356126134226.092</v>
      </c>
      <c r="AO59" s="1691">
        <f t="shared" ca="1" si="181"/>
        <v>13396665325655.377</v>
      </c>
      <c r="AP59" s="1691">
        <f t="shared" ca="1" si="182"/>
        <v>14512301886414.234</v>
      </c>
      <c r="AQ59" s="1691">
        <f t="shared" ca="1" si="183"/>
        <v>15587212479512.678</v>
      </c>
      <c r="AS59" s="1707">
        <f ca="1">AVERAGE(Costs!$AI59:$AQ59)</f>
        <v>11403256724869.369</v>
      </c>
      <c r="AT59" s="1707">
        <f t="shared" ca="1" si="184"/>
        <v>88495711399953.031</v>
      </c>
      <c r="AU59" s="675"/>
      <c r="AV59" s="1700">
        <f>IFERROR(VLOOKUP($A59,Cost.FinanceCostTable,5,FALSE),'Global assumptions'!$F$35)</f>
        <v>7.0000000000000007E-2</v>
      </c>
      <c r="AW59" s="1692">
        <f>IFERROR(VLOOKUP($A59,Cost.FinanceCostTable,6,FALSE),'Global assumptions'!$G$35)</f>
        <v>15</v>
      </c>
      <c r="AX59" s="675"/>
      <c r="AY59" s="1691">
        <f t="shared" ca="1" si="185"/>
        <v>0</v>
      </c>
      <c r="AZ59" s="1691">
        <f t="shared" ca="1" si="186"/>
        <v>0</v>
      </c>
      <c r="BA59" s="1691">
        <f t="shared" ca="1" si="187"/>
        <v>0</v>
      </c>
      <c r="BB59" s="1691">
        <f t="shared" ca="1" si="188"/>
        <v>0</v>
      </c>
      <c r="BC59" s="1691">
        <f t="shared" ca="1" si="189"/>
        <v>0</v>
      </c>
      <c r="BD59" s="1691">
        <f t="shared" ca="1" si="190"/>
        <v>0</v>
      </c>
      <c r="BE59" s="1691">
        <f t="shared" ca="1" si="191"/>
        <v>0</v>
      </c>
      <c r="BF59" s="1691">
        <f t="shared" ca="1" si="192"/>
        <v>0</v>
      </c>
      <c r="BG59" s="1691">
        <f t="shared" ca="1" si="193"/>
        <v>0</v>
      </c>
      <c r="BH59" s="675"/>
      <c r="BI59" s="1691">
        <f t="shared" ca="1" si="220"/>
        <v>0</v>
      </c>
      <c r="BJ59" s="1691">
        <f t="shared" ca="1" si="194"/>
        <v>0</v>
      </c>
      <c r="BK59" s="1691">
        <f t="shared" ca="1" si="195"/>
        <v>0</v>
      </c>
      <c r="BL59" s="1691">
        <f t="shared" ca="1" si="196"/>
        <v>0</v>
      </c>
      <c r="BM59" s="1691">
        <f t="shared" ca="1" si="197"/>
        <v>0</v>
      </c>
      <c r="BN59" s="1691">
        <f t="shared" ca="1" si="198"/>
        <v>0</v>
      </c>
      <c r="BO59" s="1691">
        <f t="shared" ca="1" si="199"/>
        <v>0</v>
      </c>
      <c r="BP59" s="1691">
        <f t="shared" ca="1" si="200"/>
        <v>0</v>
      </c>
      <c r="BQ59" s="1691">
        <f t="shared" ca="1" si="201"/>
        <v>0</v>
      </c>
      <c r="BR59" s="675"/>
      <c r="BS59" s="1702">
        <f t="shared" ca="1" si="202"/>
        <v>7453035033257.3877</v>
      </c>
      <c r="BT59" s="1702">
        <f t="shared" ca="1" si="203"/>
        <v>8294922865255.168</v>
      </c>
      <c r="BU59" s="1702">
        <f t="shared" ca="1" si="204"/>
        <v>9335233070437.6035</v>
      </c>
      <c r="BV59" s="1702">
        <f t="shared" ca="1" si="205"/>
        <v>10402322605378.352</v>
      </c>
      <c r="BW59" s="1702">
        <f t="shared" ca="1" si="206"/>
        <v>11291491123687.439</v>
      </c>
      <c r="BX59" s="1702">
        <f t="shared" ca="1" si="207"/>
        <v>12356126134226.092</v>
      </c>
      <c r="BY59" s="1702">
        <f t="shared" ca="1" si="208"/>
        <v>13396665325655.377</v>
      </c>
      <c r="BZ59" s="1702">
        <f t="shared" ca="1" si="209"/>
        <v>14512301886414.234</v>
      </c>
      <c r="CA59" s="1702">
        <f t="shared" ca="1" si="210"/>
        <v>15587212479512.678</v>
      </c>
      <c r="CC59" s="1707">
        <f ca="1">AVERAGE(Costs!$BS59:$CA59)</f>
        <v>11403256724869.369</v>
      </c>
      <c r="CD59" s="1707">
        <f t="shared" ca="1" si="211"/>
        <v>88495711399953.031</v>
      </c>
      <c r="CF59" s="1704">
        <f t="shared" ca="1" si="221"/>
        <v>0</v>
      </c>
      <c r="CG59" s="1704">
        <f t="shared" ca="1" si="212"/>
        <v>0</v>
      </c>
      <c r="CH59" s="1704">
        <f t="shared" ca="1" si="213"/>
        <v>0</v>
      </c>
      <c r="CI59" s="1704">
        <f t="shared" ca="1" si="214"/>
        <v>0</v>
      </c>
      <c r="CJ59" s="1704">
        <f t="shared" ca="1" si="215"/>
        <v>0</v>
      </c>
      <c r="CK59" s="1704">
        <f t="shared" ca="1" si="216"/>
        <v>0</v>
      </c>
      <c r="CL59" s="1704">
        <f t="shared" ca="1" si="217"/>
        <v>0</v>
      </c>
      <c r="CM59" s="1704">
        <f t="shared" ca="1" si="218"/>
        <v>0</v>
      </c>
      <c r="CN59" s="1704">
        <f t="shared" ca="1" si="219"/>
        <v>0</v>
      </c>
      <c r="CP59" s="1707">
        <f ca="1">AVERAGE(Costs!$CF59:$CN59)</f>
        <v>0</v>
      </c>
      <c r="CQ59" s="1707">
        <f t="shared" ca="1" si="222"/>
        <v>0</v>
      </c>
      <c r="CR59" s="1426" t="str">
        <f t="shared" ca="1" si="223"/>
        <v>ok</v>
      </c>
    </row>
    <row r="60" spans="1:96" s="2126" customFormat="1" x14ac:dyDescent="0.2">
      <c r="A60" s="1683" t="s">
        <v>1769</v>
      </c>
      <c r="B60" s="1683" t="s">
        <v>1190</v>
      </c>
      <c r="C60" s="1683" t="s">
        <v>1189</v>
      </c>
      <c r="E60" s="1689">
        <f t="shared" ca="1" si="277"/>
        <v>0</v>
      </c>
      <c r="F60" s="1689">
        <f t="shared" ca="1" si="277"/>
        <v>0</v>
      </c>
      <c r="G60" s="1689">
        <f t="shared" ca="1" si="277"/>
        <v>0</v>
      </c>
      <c r="H60" s="1689">
        <f t="shared" ca="1" si="277"/>
        <v>0</v>
      </c>
      <c r="I60" s="1689">
        <f t="shared" ca="1" si="277"/>
        <v>0</v>
      </c>
      <c r="J60" s="1689">
        <f t="shared" ca="1" si="277"/>
        <v>0</v>
      </c>
      <c r="K60" s="1689">
        <f t="shared" ca="1" si="277"/>
        <v>0</v>
      </c>
      <c r="L60" s="1689">
        <f t="shared" ca="1" si="277"/>
        <v>0</v>
      </c>
      <c r="M60" s="1689">
        <f t="shared" ca="1" si="277"/>
        <v>0</v>
      </c>
      <c r="N60" s="675"/>
      <c r="O60" s="1689">
        <f t="shared" ca="1" si="278"/>
        <v>0</v>
      </c>
      <c r="P60" s="1689">
        <f t="shared" ca="1" si="278"/>
        <v>0</v>
      </c>
      <c r="Q60" s="1689">
        <f t="shared" ca="1" si="278"/>
        <v>0</v>
      </c>
      <c r="R60" s="1689">
        <f t="shared" ca="1" si="278"/>
        <v>0</v>
      </c>
      <c r="S60" s="1689">
        <f t="shared" ca="1" si="278"/>
        <v>0</v>
      </c>
      <c r="T60" s="1689">
        <f t="shared" ca="1" si="278"/>
        <v>0</v>
      </c>
      <c r="U60" s="1689">
        <f t="shared" ca="1" si="278"/>
        <v>0</v>
      </c>
      <c r="V60" s="1689">
        <f t="shared" ca="1" si="278"/>
        <v>0</v>
      </c>
      <c r="W60" s="1689">
        <f t="shared" ca="1" si="278"/>
        <v>0</v>
      </c>
      <c r="X60" s="675"/>
      <c r="Y60" s="1689">
        <f t="shared" ca="1" si="279"/>
        <v>0</v>
      </c>
      <c r="Z60" s="1689">
        <f t="shared" ca="1" si="279"/>
        <v>0</v>
      </c>
      <c r="AA60" s="1689">
        <f t="shared" ca="1" si="279"/>
        <v>0</v>
      </c>
      <c r="AB60" s="1689">
        <f t="shared" ca="1" si="279"/>
        <v>0</v>
      </c>
      <c r="AC60" s="1689">
        <f t="shared" ca="1" si="279"/>
        <v>0</v>
      </c>
      <c r="AD60" s="1689">
        <f t="shared" ca="1" si="279"/>
        <v>0</v>
      </c>
      <c r="AE60" s="1689">
        <f t="shared" ca="1" si="279"/>
        <v>0</v>
      </c>
      <c r="AF60" s="1689">
        <f t="shared" ca="1" si="279"/>
        <v>0</v>
      </c>
      <c r="AG60" s="1689">
        <f t="shared" ca="1" si="279"/>
        <v>0</v>
      </c>
      <c r="AH60" s="675"/>
      <c r="AI60" s="1689">
        <f t="shared" ca="1" si="175"/>
        <v>0</v>
      </c>
      <c r="AJ60" s="1689">
        <f t="shared" ca="1" si="176"/>
        <v>0</v>
      </c>
      <c r="AK60" s="1689">
        <f t="shared" ca="1" si="177"/>
        <v>0</v>
      </c>
      <c r="AL60" s="1689">
        <f t="shared" ca="1" si="178"/>
        <v>0</v>
      </c>
      <c r="AM60" s="1689">
        <f t="shared" ca="1" si="179"/>
        <v>0</v>
      </c>
      <c r="AN60" s="1689">
        <f t="shared" ca="1" si="180"/>
        <v>0</v>
      </c>
      <c r="AO60" s="1689">
        <f t="shared" ca="1" si="181"/>
        <v>0</v>
      </c>
      <c r="AP60" s="1689">
        <f t="shared" ca="1" si="182"/>
        <v>0</v>
      </c>
      <c r="AQ60" s="1689">
        <f t="shared" ca="1" si="183"/>
        <v>0</v>
      </c>
      <c r="AS60" s="1706">
        <f ca="1">AVERAGE(Costs!$AI60:$AQ60)</f>
        <v>0</v>
      </c>
      <c r="AT60" s="1706">
        <f t="shared" ca="1" si="184"/>
        <v>0</v>
      </c>
      <c r="AU60" s="675"/>
      <c r="AV60" s="1699">
        <f>IFERROR(VLOOKUP($A60,Cost.FinanceCostTable,5,FALSE),'Global assumptions'!$F$35)</f>
        <v>7.0000000000000007E-2</v>
      </c>
      <c r="AW60" s="1690">
        <f>IFERROR(VLOOKUP($A60,Cost.FinanceCostTable,6,FALSE),'Global assumptions'!$G$35)</f>
        <v>15</v>
      </c>
      <c r="AX60" s="675"/>
      <c r="AY60" s="1689">
        <f t="shared" ca="1" si="185"/>
        <v>0</v>
      </c>
      <c r="AZ60" s="1689">
        <f t="shared" ca="1" si="186"/>
        <v>0</v>
      </c>
      <c r="BA60" s="1689">
        <f t="shared" ca="1" si="187"/>
        <v>0</v>
      </c>
      <c r="BB60" s="1689">
        <f t="shared" ca="1" si="188"/>
        <v>0</v>
      </c>
      <c r="BC60" s="1689">
        <f t="shared" ca="1" si="189"/>
        <v>0</v>
      </c>
      <c r="BD60" s="1689">
        <f t="shared" ca="1" si="190"/>
        <v>0</v>
      </c>
      <c r="BE60" s="1689">
        <f t="shared" ca="1" si="191"/>
        <v>0</v>
      </c>
      <c r="BF60" s="1689">
        <f t="shared" ca="1" si="192"/>
        <v>0</v>
      </c>
      <c r="BG60" s="1689">
        <f t="shared" ca="1" si="193"/>
        <v>0</v>
      </c>
      <c r="BH60" s="675"/>
      <c r="BI60" s="1689">
        <f t="shared" ca="1" si="220"/>
        <v>0</v>
      </c>
      <c r="BJ60" s="1689">
        <f t="shared" ca="1" si="194"/>
        <v>0</v>
      </c>
      <c r="BK60" s="1689">
        <f t="shared" ca="1" si="195"/>
        <v>0</v>
      </c>
      <c r="BL60" s="1689">
        <f t="shared" ca="1" si="196"/>
        <v>0</v>
      </c>
      <c r="BM60" s="1689">
        <f t="shared" ca="1" si="197"/>
        <v>0</v>
      </c>
      <c r="BN60" s="1689">
        <f t="shared" ca="1" si="198"/>
        <v>0</v>
      </c>
      <c r="BO60" s="1689">
        <f t="shared" ca="1" si="199"/>
        <v>0</v>
      </c>
      <c r="BP60" s="1689">
        <f t="shared" ca="1" si="200"/>
        <v>0</v>
      </c>
      <c r="BQ60" s="1689">
        <f t="shared" ca="1" si="201"/>
        <v>0</v>
      </c>
      <c r="BR60" s="675"/>
      <c r="BS60" s="1701">
        <f t="shared" ca="1" si="202"/>
        <v>0</v>
      </c>
      <c r="BT60" s="1701">
        <f t="shared" ca="1" si="203"/>
        <v>0</v>
      </c>
      <c r="BU60" s="1701">
        <f t="shared" ca="1" si="204"/>
        <v>0</v>
      </c>
      <c r="BV60" s="1701">
        <f t="shared" ca="1" si="205"/>
        <v>0</v>
      </c>
      <c r="BW60" s="1701">
        <f t="shared" ca="1" si="206"/>
        <v>0</v>
      </c>
      <c r="BX60" s="1701">
        <f t="shared" ca="1" si="207"/>
        <v>0</v>
      </c>
      <c r="BY60" s="1701">
        <f t="shared" ca="1" si="208"/>
        <v>0</v>
      </c>
      <c r="BZ60" s="1701">
        <f t="shared" ca="1" si="209"/>
        <v>0</v>
      </c>
      <c r="CA60" s="1701">
        <f t="shared" ca="1" si="210"/>
        <v>0</v>
      </c>
      <c r="CC60" s="1706">
        <f ca="1">AVERAGE(Costs!$BS60:$CA60)</f>
        <v>0</v>
      </c>
      <c r="CD60" s="1706">
        <f t="shared" ca="1" si="211"/>
        <v>0</v>
      </c>
      <c r="CF60" s="1703">
        <f t="shared" ca="1" si="221"/>
        <v>0</v>
      </c>
      <c r="CG60" s="1703">
        <f t="shared" ca="1" si="212"/>
        <v>0</v>
      </c>
      <c r="CH60" s="1703">
        <f t="shared" ca="1" si="213"/>
        <v>0</v>
      </c>
      <c r="CI60" s="1703">
        <f t="shared" ca="1" si="214"/>
        <v>0</v>
      </c>
      <c r="CJ60" s="1703">
        <f t="shared" ca="1" si="215"/>
        <v>0</v>
      </c>
      <c r="CK60" s="1703">
        <f t="shared" ca="1" si="216"/>
        <v>0</v>
      </c>
      <c r="CL60" s="1703">
        <f t="shared" ca="1" si="217"/>
        <v>0</v>
      </c>
      <c r="CM60" s="1703">
        <f t="shared" ca="1" si="218"/>
        <v>0</v>
      </c>
      <c r="CN60" s="1703">
        <f t="shared" ca="1" si="219"/>
        <v>0</v>
      </c>
      <c r="CP60" s="1706">
        <f ca="1">AVERAGE(Costs!$CF60:$CN60)</f>
        <v>0</v>
      </c>
      <c r="CQ60" s="1706">
        <f t="shared" ca="1" si="222"/>
        <v>0</v>
      </c>
      <c r="CR60" s="1426" t="str">
        <f t="shared" ca="1" si="223"/>
        <v>ok</v>
      </c>
    </row>
    <row r="61" spans="1:96" s="2126" customFormat="1" x14ac:dyDescent="0.2">
      <c r="A61" s="1685" t="s">
        <v>1765</v>
      </c>
      <c r="B61" s="1685" t="s">
        <v>1767</v>
      </c>
      <c r="C61" s="1685" t="s">
        <v>1189</v>
      </c>
      <c r="E61" s="1691">
        <f t="shared" ca="1" si="277"/>
        <v>20454415126.621281</v>
      </c>
      <c r="F61" s="1691">
        <f t="shared" ca="1" si="277"/>
        <v>30197747622.443367</v>
      </c>
      <c r="G61" s="1691">
        <f t="shared" ca="1" si="277"/>
        <v>41062732257.248337</v>
      </c>
      <c r="H61" s="1691">
        <f t="shared" ca="1" si="277"/>
        <v>43672017735.347145</v>
      </c>
      <c r="I61" s="1691">
        <f t="shared" ca="1" si="277"/>
        <v>46783379724.669968</v>
      </c>
      <c r="J61" s="1691">
        <f t="shared" ca="1" si="277"/>
        <v>46402436681.01384</v>
      </c>
      <c r="K61" s="1691">
        <f t="shared" ca="1" si="277"/>
        <v>46048956434.543335</v>
      </c>
      <c r="L61" s="1691">
        <f t="shared" ca="1" si="277"/>
        <v>45722938355.661926</v>
      </c>
      <c r="M61" s="1691">
        <f t="shared" ca="1" si="277"/>
        <v>45424383757.39061</v>
      </c>
      <c r="N61" s="675"/>
      <c r="O61" s="1691">
        <f t="shared" ca="1" si="278"/>
        <v>20454374000</v>
      </c>
      <c r="P61" s="1691">
        <f t="shared" ca="1" si="278"/>
        <v>28901489891.395958</v>
      </c>
      <c r="Q61" s="1691">
        <f t="shared" ca="1" si="278"/>
        <v>38162426696.750694</v>
      </c>
      <c r="R61" s="1691">
        <f t="shared" ca="1" si="278"/>
        <v>39679147602.095711</v>
      </c>
      <c r="S61" s="1691">
        <f t="shared" ca="1" si="278"/>
        <v>41560153406.111496</v>
      </c>
      <c r="T61" s="1691">
        <f t="shared" ca="1" si="278"/>
        <v>40888090438.67453</v>
      </c>
      <c r="U61" s="1691">
        <f t="shared" ca="1" si="278"/>
        <v>40235953279.633377</v>
      </c>
      <c r="V61" s="1691">
        <f t="shared" ca="1" si="278"/>
        <v>39603741928.988052</v>
      </c>
      <c r="W61" s="1691">
        <f t="shared" ca="1" si="278"/>
        <v>38991456386.738556</v>
      </c>
      <c r="X61" s="675"/>
      <c r="Y61" s="1691">
        <f t="shared" ca="1" si="279"/>
        <v>0</v>
      </c>
      <c r="Z61" s="1691">
        <f t="shared" ca="1" si="279"/>
        <v>0</v>
      </c>
      <c r="AA61" s="1691">
        <f t="shared" ca="1" si="279"/>
        <v>0</v>
      </c>
      <c r="AB61" s="1691">
        <f t="shared" ca="1" si="279"/>
        <v>0</v>
      </c>
      <c r="AC61" s="1691">
        <f t="shared" ca="1" si="279"/>
        <v>0</v>
      </c>
      <c r="AD61" s="1691">
        <f t="shared" ca="1" si="279"/>
        <v>0</v>
      </c>
      <c r="AE61" s="1691">
        <f t="shared" ca="1" si="279"/>
        <v>0</v>
      </c>
      <c r="AF61" s="1691">
        <f t="shared" ca="1" si="279"/>
        <v>0</v>
      </c>
      <c r="AG61" s="1691">
        <f t="shared" ca="1" si="279"/>
        <v>0</v>
      </c>
      <c r="AH61" s="675"/>
      <c r="AI61" s="1691">
        <f t="shared" ca="1" si="175"/>
        <v>40908789126.621277</v>
      </c>
      <c r="AJ61" s="1691">
        <f t="shared" ca="1" si="176"/>
        <v>59099237513.839325</v>
      </c>
      <c r="AK61" s="1691">
        <f t="shared" ca="1" si="177"/>
        <v>79225158953.999023</v>
      </c>
      <c r="AL61" s="1691">
        <f t="shared" ca="1" si="178"/>
        <v>83351165337.442856</v>
      </c>
      <c r="AM61" s="1691">
        <f t="shared" ca="1" si="179"/>
        <v>88343533130.781464</v>
      </c>
      <c r="AN61" s="1691">
        <f t="shared" ca="1" si="180"/>
        <v>87290527119.68837</v>
      </c>
      <c r="AO61" s="1691">
        <f t="shared" ca="1" si="181"/>
        <v>86284909714.176712</v>
      </c>
      <c r="AP61" s="1691">
        <f t="shared" ca="1" si="182"/>
        <v>85326680284.649979</v>
      </c>
      <c r="AQ61" s="1691">
        <f t="shared" ca="1" si="183"/>
        <v>84415840144.129166</v>
      </c>
      <c r="AS61" s="1707">
        <f ca="1">AVERAGE(Costs!$AI61:$AQ61)</f>
        <v>77138426813.925354</v>
      </c>
      <c r="AT61" s="1707">
        <f t="shared" ca="1" si="184"/>
        <v>646635274615.84033</v>
      </c>
      <c r="AU61" s="675"/>
      <c r="AV61" s="1700">
        <f>IFERROR(VLOOKUP($A61,Cost.FinanceCostTable,5,FALSE),'Global assumptions'!$F$35)</f>
        <v>7.0000000000000007E-2</v>
      </c>
      <c r="AW61" s="1692">
        <f>IFERROR(VLOOKUP($A61,Cost.FinanceCostTable,6,FALSE),'Global assumptions'!$G$35)</f>
        <v>15</v>
      </c>
      <c r="AX61" s="675"/>
      <c r="AY61" s="1691">
        <f t="shared" ca="1" si="185"/>
        <v>6737354496.9179249</v>
      </c>
      <c r="AZ61" s="1691">
        <f t="shared" ca="1" si="186"/>
        <v>16577751835.109409</v>
      </c>
      <c r="BA61" s="1691">
        <f t="shared" ca="1" si="187"/>
        <v>22542336386.912483</v>
      </c>
      <c r="BB61" s="1691">
        <f t="shared" ca="1" si="188"/>
        <v>23974763985.940704</v>
      </c>
      <c r="BC61" s="1691">
        <f t="shared" ca="1" si="189"/>
        <v>25682818095.574089</v>
      </c>
      <c r="BD61" s="1691">
        <f t="shared" ca="1" si="190"/>
        <v>25473690603.020676</v>
      </c>
      <c r="BE61" s="1691">
        <f t="shared" ca="1" si="191"/>
        <v>25279639448.018429</v>
      </c>
      <c r="BF61" s="1691">
        <f t="shared" ca="1" si="192"/>
        <v>25100664284.935795</v>
      </c>
      <c r="BG61" s="1691">
        <f t="shared" ca="1" si="193"/>
        <v>24936765834.585999</v>
      </c>
      <c r="BH61" s="675"/>
      <c r="BI61" s="1691">
        <f t="shared" ca="1" si="220"/>
        <v>6737354496.9179249</v>
      </c>
      <c r="BJ61" s="1691">
        <f t="shared" ca="1" si="194"/>
        <v>23315106332.027336</v>
      </c>
      <c r="BK61" s="1691">
        <f t="shared" ca="1" si="195"/>
        <v>45857442718.939819</v>
      </c>
      <c r="BL61" s="1691">
        <f t="shared" ca="1" si="196"/>
        <v>63094852207.962593</v>
      </c>
      <c r="BM61" s="1691">
        <f t="shared" ca="1" si="197"/>
        <v>72199918468.427277</v>
      </c>
      <c r="BN61" s="1691">
        <f t="shared" ca="1" si="198"/>
        <v>75131272684.535461</v>
      </c>
      <c r="BO61" s="1691">
        <f t="shared" ca="1" si="199"/>
        <v>76436148146.61319</v>
      </c>
      <c r="BP61" s="1691">
        <f t="shared" ca="1" si="200"/>
        <v>75853994335.974899</v>
      </c>
      <c r="BQ61" s="1691">
        <f t="shared" ca="1" si="201"/>
        <v>75317069567.540222</v>
      </c>
      <c r="BR61" s="675"/>
      <c r="BS61" s="1702">
        <f t="shared" ca="1" si="202"/>
        <v>27191728496.917923</v>
      </c>
      <c r="BT61" s="1702">
        <f t="shared" ca="1" si="203"/>
        <v>52216596223.423294</v>
      </c>
      <c r="BU61" s="1702">
        <f t="shared" ca="1" si="204"/>
        <v>84019869415.690521</v>
      </c>
      <c r="BV61" s="1702">
        <f t="shared" ca="1" si="205"/>
        <v>102773999810.0583</v>
      </c>
      <c r="BW61" s="1702">
        <f t="shared" ca="1" si="206"/>
        <v>113760071874.53877</v>
      </c>
      <c r="BX61" s="1702">
        <f t="shared" ca="1" si="207"/>
        <v>116019363123.20999</v>
      </c>
      <c r="BY61" s="1702">
        <f t="shared" ca="1" si="208"/>
        <v>116672101426.24657</v>
      </c>
      <c r="BZ61" s="1702">
        <f t="shared" ca="1" si="209"/>
        <v>115457736264.96295</v>
      </c>
      <c r="CA61" s="1702">
        <f t="shared" ca="1" si="210"/>
        <v>114308525954.27878</v>
      </c>
      <c r="CC61" s="1707">
        <f ca="1">AVERAGE(Costs!$BS61:$CA61)</f>
        <v>93602221398.814133</v>
      </c>
      <c r="CD61" s="1707">
        <f t="shared" ca="1" si="211"/>
        <v>698717752673.72571</v>
      </c>
      <c r="CF61" s="1704">
        <f t="shared" ca="1" si="221"/>
        <v>-13717060629.703356</v>
      </c>
      <c r="CG61" s="1704">
        <f t="shared" ca="1" si="212"/>
        <v>-6882641290.4160309</v>
      </c>
      <c r="CH61" s="1704">
        <f t="shared" ca="1" si="213"/>
        <v>4794710461.6914825</v>
      </c>
      <c r="CI61" s="1704">
        <f t="shared" ca="1" si="214"/>
        <v>19422834472.615448</v>
      </c>
      <c r="CJ61" s="1704">
        <f t="shared" ca="1" si="215"/>
        <v>25416538743.757309</v>
      </c>
      <c r="CK61" s="1704">
        <f t="shared" ca="1" si="216"/>
        <v>28728836003.521622</v>
      </c>
      <c r="CL61" s="1704">
        <f t="shared" ca="1" si="217"/>
        <v>30387191712.069855</v>
      </c>
      <c r="CM61" s="1704">
        <f t="shared" ca="1" si="218"/>
        <v>30131055980.312973</v>
      </c>
      <c r="CN61" s="1704">
        <f t="shared" ca="1" si="219"/>
        <v>29892685810.149612</v>
      </c>
      <c r="CP61" s="1707">
        <f ca="1">AVERAGE(Costs!$CF61:$CN61)</f>
        <v>16463794584.888767</v>
      </c>
      <c r="CQ61" s="1707">
        <f t="shared" ca="1" si="222"/>
        <v>52082478057.885315</v>
      </c>
      <c r="CR61" s="1426" t="str">
        <f t="shared" ca="1" si="223"/>
        <v>ok</v>
      </c>
    </row>
    <row r="62" spans="1:96" s="2126" customFormat="1" x14ac:dyDescent="0.2">
      <c r="A62" s="1683" t="s">
        <v>1766</v>
      </c>
      <c r="B62" s="1683" t="s">
        <v>1362</v>
      </c>
      <c r="C62" s="1683" t="s">
        <v>1189</v>
      </c>
      <c r="E62" s="1689">
        <f t="shared" ca="1" si="277"/>
        <v>406481168583.33331</v>
      </c>
      <c r="F62" s="1689">
        <f t="shared" ca="1" si="277"/>
        <v>300215872250</v>
      </c>
      <c r="G62" s="1689">
        <f t="shared" ca="1" si="277"/>
        <v>324783909250</v>
      </c>
      <c r="H62" s="1689">
        <f t="shared" ca="1" si="277"/>
        <v>345735792875</v>
      </c>
      <c r="I62" s="1689">
        <f t="shared" ca="1" si="277"/>
        <v>366687676500</v>
      </c>
      <c r="J62" s="1689">
        <f t="shared" ca="1" si="277"/>
        <v>375828003875</v>
      </c>
      <c r="K62" s="1689">
        <f t="shared" ca="1" si="277"/>
        <v>384968331250</v>
      </c>
      <c r="L62" s="1689">
        <f t="shared" ca="1" si="277"/>
        <v>394108658625</v>
      </c>
      <c r="M62" s="1689">
        <f t="shared" ca="1" si="277"/>
        <v>403248986000</v>
      </c>
      <c r="N62" s="675"/>
      <c r="O62" s="1689">
        <f t="shared" ca="1" si="278"/>
        <v>781274024562.5</v>
      </c>
      <c r="P62" s="1689">
        <f t="shared" ca="1" si="278"/>
        <v>542765074812.50006</v>
      </c>
      <c r="Q62" s="1689">
        <f t="shared" ca="1" si="278"/>
        <v>576131125062.5</v>
      </c>
      <c r="R62" s="1689">
        <f t="shared" ca="1" si="278"/>
        <v>604586048093.75</v>
      </c>
      <c r="S62" s="1689">
        <f t="shared" ca="1" si="278"/>
        <v>633040971125</v>
      </c>
      <c r="T62" s="1689">
        <f t="shared" ca="1" si="278"/>
        <v>645454523843.75</v>
      </c>
      <c r="U62" s="1689">
        <f t="shared" ca="1" si="278"/>
        <v>657868076562.5</v>
      </c>
      <c r="V62" s="1689">
        <f t="shared" ca="1" si="278"/>
        <v>670281629281.25</v>
      </c>
      <c r="W62" s="1689">
        <f t="shared" ca="1" si="278"/>
        <v>682695182000</v>
      </c>
      <c r="X62" s="675"/>
      <c r="Y62" s="1689">
        <f t="shared" ca="1" si="279"/>
        <v>0</v>
      </c>
      <c r="Z62" s="1689">
        <f t="shared" ca="1" si="279"/>
        <v>0</v>
      </c>
      <c r="AA62" s="1689">
        <f t="shared" ca="1" si="279"/>
        <v>0</v>
      </c>
      <c r="AB62" s="1689">
        <f t="shared" ca="1" si="279"/>
        <v>0</v>
      </c>
      <c r="AC62" s="1689">
        <f t="shared" ca="1" si="279"/>
        <v>0</v>
      </c>
      <c r="AD62" s="1689">
        <f t="shared" ca="1" si="279"/>
        <v>0</v>
      </c>
      <c r="AE62" s="1689">
        <f t="shared" ca="1" si="279"/>
        <v>0</v>
      </c>
      <c r="AF62" s="1689">
        <f t="shared" ca="1" si="279"/>
        <v>0</v>
      </c>
      <c r="AG62" s="1689">
        <f t="shared" ca="1" si="279"/>
        <v>0</v>
      </c>
      <c r="AH62" s="675"/>
      <c r="AI62" s="1689">
        <f t="shared" ca="1" si="175"/>
        <v>1187755193145.8333</v>
      </c>
      <c r="AJ62" s="1689">
        <f t="shared" ca="1" si="176"/>
        <v>842980947062.5</v>
      </c>
      <c r="AK62" s="1689">
        <f t="shared" ca="1" si="177"/>
        <v>900915034312.5</v>
      </c>
      <c r="AL62" s="1689">
        <f t="shared" ca="1" si="178"/>
        <v>950321840968.75</v>
      </c>
      <c r="AM62" s="1689">
        <f t="shared" ca="1" si="179"/>
        <v>999728647625</v>
      </c>
      <c r="AN62" s="1689">
        <f t="shared" ca="1" si="180"/>
        <v>1021282527718.75</v>
      </c>
      <c r="AO62" s="1689">
        <f t="shared" ca="1" si="181"/>
        <v>1042836407812.5</v>
      </c>
      <c r="AP62" s="1689">
        <f t="shared" ca="1" si="182"/>
        <v>1064390287906.25</v>
      </c>
      <c r="AQ62" s="1689">
        <f t="shared" ca="1" si="183"/>
        <v>1085944168000</v>
      </c>
      <c r="AS62" s="1706">
        <f ca="1">AVERAGE(Costs!$AI62:$AQ62)</f>
        <v>1010683894950.2313</v>
      </c>
      <c r="AT62" s="1706">
        <f t="shared" ca="1" si="184"/>
        <v>8686849983152.4932</v>
      </c>
      <c r="AU62" s="675"/>
      <c r="AV62" s="1699">
        <f>IFERROR(VLOOKUP($A62,Cost.FinanceCostTable,5,FALSE),'Global assumptions'!$F$35)</f>
        <v>7.0000000000000007E-2</v>
      </c>
      <c r="AW62" s="1690">
        <f>IFERROR(VLOOKUP($A62,Cost.FinanceCostTable,6,FALSE),'Global assumptions'!$G$35)</f>
        <v>15</v>
      </c>
      <c r="AX62" s="675"/>
      <c r="AY62" s="1689">
        <f t="shared" ca="1" si="185"/>
        <v>133888342057.90097</v>
      </c>
      <c r="AZ62" s="1689">
        <f t="shared" ca="1" si="186"/>
        <v>164810445114.87036</v>
      </c>
      <c r="BA62" s="1689">
        <f t="shared" ca="1" si="187"/>
        <v>178297637125.14758</v>
      </c>
      <c r="BB62" s="1689">
        <f t="shared" ca="1" si="188"/>
        <v>189799658122.07779</v>
      </c>
      <c r="BC62" s="1689">
        <f t="shared" ca="1" si="189"/>
        <v>201301679119.00797</v>
      </c>
      <c r="BD62" s="1689">
        <f t="shared" ca="1" si="190"/>
        <v>206319473187.92029</v>
      </c>
      <c r="BE62" s="1689">
        <f t="shared" ca="1" si="191"/>
        <v>211337267256.83258</v>
      </c>
      <c r="BF62" s="1689">
        <f t="shared" ca="1" si="192"/>
        <v>216355061325.7449</v>
      </c>
      <c r="BG62" s="1689">
        <f t="shared" ca="1" si="193"/>
        <v>221372855394.6572</v>
      </c>
      <c r="BH62" s="675"/>
      <c r="BI62" s="1689">
        <f t="shared" ca="1" si="220"/>
        <v>133888342057.90097</v>
      </c>
      <c r="BJ62" s="1689">
        <f t="shared" ca="1" si="194"/>
        <v>298698787172.77136</v>
      </c>
      <c r="BK62" s="1689">
        <f t="shared" ca="1" si="195"/>
        <v>476996424297.91895</v>
      </c>
      <c r="BL62" s="1689">
        <f t="shared" ca="1" si="196"/>
        <v>532907740362.0957</v>
      </c>
      <c r="BM62" s="1689">
        <f t="shared" ca="1" si="197"/>
        <v>569398974366.23328</v>
      </c>
      <c r="BN62" s="1689">
        <f t="shared" ca="1" si="198"/>
        <v>597420810429.00598</v>
      </c>
      <c r="BO62" s="1689">
        <f t="shared" ca="1" si="199"/>
        <v>618958419563.76086</v>
      </c>
      <c r="BP62" s="1689">
        <f t="shared" ca="1" si="200"/>
        <v>634011801770.4978</v>
      </c>
      <c r="BQ62" s="1689">
        <f t="shared" ca="1" si="201"/>
        <v>649065183977.23462</v>
      </c>
      <c r="BR62" s="675"/>
      <c r="BS62" s="1701">
        <f t="shared" ca="1" si="202"/>
        <v>915162366620.401</v>
      </c>
      <c r="BT62" s="1701">
        <f t="shared" ca="1" si="203"/>
        <v>841463861985.27148</v>
      </c>
      <c r="BU62" s="1701">
        <f t="shared" ca="1" si="204"/>
        <v>1053127549360.4189</v>
      </c>
      <c r="BV62" s="1701">
        <f t="shared" ca="1" si="205"/>
        <v>1137493788455.8457</v>
      </c>
      <c r="BW62" s="1701">
        <f t="shared" ca="1" si="206"/>
        <v>1202439945491.2334</v>
      </c>
      <c r="BX62" s="1701">
        <f t="shared" ca="1" si="207"/>
        <v>1242875334272.7559</v>
      </c>
      <c r="BY62" s="1701">
        <f t="shared" ca="1" si="208"/>
        <v>1276826496126.2607</v>
      </c>
      <c r="BZ62" s="1701">
        <f t="shared" ca="1" si="209"/>
        <v>1304293431051.7478</v>
      </c>
      <c r="CA62" s="1701">
        <f t="shared" ca="1" si="210"/>
        <v>1331760365977.2346</v>
      </c>
      <c r="CC62" s="1706">
        <f ca="1">AVERAGE(Costs!$BS62:$CA62)</f>
        <v>1145049237704.5742</v>
      </c>
      <c r="CD62" s="1706">
        <f t="shared" ca="1" si="211"/>
        <v>9358684208103.5801</v>
      </c>
      <c r="CF62" s="1703">
        <f t="shared" ca="1" si="221"/>
        <v>-272592826525.43234</v>
      </c>
      <c r="CG62" s="1703">
        <f t="shared" ca="1" si="212"/>
        <v>-1517085077.2286377</v>
      </c>
      <c r="CH62" s="1703">
        <f t="shared" ca="1" si="213"/>
        <v>152212515047.91895</v>
      </c>
      <c r="CI62" s="1703">
        <f t="shared" ca="1" si="214"/>
        <v>187171947487.0957</v>
      </c>
      <c r="CJ62" s="1703">
        <f t="shared" ca="1" si="215"/>
        <v>202711297866.23328</v>
      </c>
      <c r="CK62" s="1703">
        <f t="shared" ca="1" si="216"/>
        <v>221592806554.00598</v>
      </c>
      <c r="CL62" s="1703">
        <f t="shared" ca="1" si="217"/>
        <v>233990088313.76086</v>
      </c>
      <c r="CM62" s="1703">
        <f t="shared" ca="1" si="218"/>
        <v>239903143145.4978</v>
      </c>
      <c r="CN62" s="1703">
        <f t="shared" ca="1" si="219"/>
        <v>245816197977.23462</v>
      </c>
      <c r="CP62" s="1706">
        <f ca="1">AVERAGE(Costs!$CF62:$CN62)</f>
        <v>134365342754.34291</v>
      </c>
      <c r="CQ62" s="1706">
        <f t="shared" ca="1" si="222"/>
        <v>671834224951.08789</v>
      </c>
      <c r="CR62" s="1426" t="str">
        <f t="shared" ca="1" si="223"/>
        <v>ok</v>
      </c>
    </row>
    <row r="63" spans="1:96" s="2126" customFormat="1" x14ac:dyDescent="0.2">
      <c r="A63" s="1683" t="s">
        <v>1611</v>
      </c>
      <c r="B63" s="1683" t="s">
        <v>43</v>
      </c>
      <c r="C63" s="1683" t="s">
        <v>4</v>
      </c>
      <c r="E63" s="1689">
        <f t="shared" ca="1" si="277"/>
        <v>0</v>
      </c>
      <c r="F63" s="1689">
        <f t="shared" ca="1" si="277"/>
        <v>0</v>
      </c>
      <c r="G63" s="1689">
        <f t="shared" ca="1" si="277"/>
        <v>0</v>
      </c>
      <c r="H63" s="1689">
        <f t="shared" ca="1" si="277"/>
        <v>0</v>
      </c>
      <c r="I63" s="1689">
        <f t="shared" ca="1" si="277"/>
        <v>0</v>
      </c>
      <c r="J63" s="1689">
        <f t="shared" ca="1" si="277"/>
        <v>0</v>
      </c>
      <c r="K63" s="1689">
        <f t="shared" ca="1" si="277"/>
        <v>0</v>
      </c>
      <c r="L63" s="1689">
        <f t="shared" ca="1" si="277"/>
        <v>0</v>
      </c>
      <c r="M63" s="1689">
        <f t="shared" ca="1" si="277"/>
        <v>0</v>
      </c>
      <c r="N63" s="675"/>
      <c r="O63" s="1689">
        <f t="shared" ca="1" si="278"/>
        <v>0</v>
      </c>
      <c r="P63" s="1689">
        <f t="shared" ca="1" si="278"/>
        <v>0</v>
      </c>
      <c r="Q63" s="1689">
        <f t="shared" ca="1" si="278"/>
        <v>0</v>
      </c>
      <c r="R63" s="1689">
        <f t="shared" ca="1" si="278"/>
        <v>0</v>
      </c>
      <c r="S63" s="1689">
        <f t="shared" ca="1" si="278"/>
        <v>0</v>
      </c>
      <c r="T63" s="1689">
        <f t="shared" ca="1" si="278"/>
        <v>0</v>
      </c>
      <c r="U63" s="1689">
        <f t="shared" ca="1" si="278"/>
        <v>0</v>
      </c>
      <c r="V63" s="1689">
        <f t="shared" ca="1" si="278"/>
        <v>0</v>
      </c>
      <c r="W63" s="1689">
        <f t="shared" ca="1" si="278"/>
        <v>0</v>
      </c>
      <c r="X63" s="675"/>
      <c r="Y63" s="1689">
        <f t="shared" ca="1" si="279"/>
        <v>0</v>
      </c>
      <c r="Z63" s="1689">
        <f t="shared" ca="1" si="279"/>
        <v>0</v>
      </c>
      <c r="AA63" s="1689">
        <f t="shared" ca="1" si="279"/>
        <v>0</v>
      </c>
      <c r="AB63" s="1689">
        <f t="shared" ca="1" si="279"/>
        <v>0</v>
      </c>
      <c r="AC63" s="1689">
        <f t="shared" ca="1" si="279"/>
        <v>0</v>
      </c>
      <c r="AD63" s="1689">
        <f t="shared" ca="1" si="279"/>
        <v>0</v>
      </c>
      <c r="AE63" s="1689">
        <f t="shared" ca="1" si="279"/>
        <v>0</v>
      </c>
      <c r="AF63" s="1689">
        <f t="shared" ca="1" si="279"/>
        <v>0</v>
      </c>
      <c r="AG63" s="1689">
        <f t="shared" ca="1" si="279"/>
        <v>0</v>
      </c>
      <c r="AH63" s="675"/>
      <c r="AI63" s="1689">
        <f t="shared" ca="1" si="175"/>
        <v>0</v>
      </c>
      <c r="AJ63" s="1689">
        <f t="shared" ca="1" si="176"/>
        <v>0</v>
      </c>
      <c r="AK63" s="1689">
        <f t="shared" ca="1" si="177"/>
        <v>0</v>
      </c>
      <c r="AL63" s="1689">
        <f t="shared" ca="1" si="178"/>
        <v>0</v>
      </c>
      <c r="AM63" s="1689">
        <f t="shared" ca="1" si="179"/>
        <v>0</v>
      </c>
      <c r="AN63" s="1689">
        <f t="shared" ca="1" si="180"/>
        <v>0</v>
      </c>
      <c r="AO63" s="1689">
        <f t="shared" ca="1" si="181"/>
        <v>0</v>
      </c>
      <c r="AP63" s="1689">
        <f t="shared" ca="1" si="182"/>
        <v>0</v>
      </c>
      <c r="AQ63" s="1689">
        <f t="shared" ca="1" si="183"/>
        <v>0</v>
      </c>
      <c r="AS63" s="1706">
        <f ca="1">AVERAGE(Costs!$AI63:$AQ63)</f>
        <v>0</v>
      </c>
      <c r="AT63" s="1706">
        <f t="shared" ca="1" si="184"/>
        <v>0</v>
      </c>
      <c r="AU63" s="675"/>
      <c r="AV63" s="1699">
        <f>IFERROR(VLOOKUP($A63,Cost.FinanceCostTable,5,FALSE),'Global assumptions'!$F$35)</f>
        <v>7.0000000000000007E-2</v>
      </c>
      <c r="AW63" s="1690">
        <f>IFERROR(VLOOKUP($A63,Cost.FinanceCostTable,6,FALSE),'Global assumptions'!$G$35)</f>
        <v>15</v>
      </c>
      <c r="AX63" s="675"/>
      <c r="AY63" s="1689">
        <f t="shared" ca="1" si="185"/>
        <v>0</v>
      </c>
      <c r="AZ63" s="1689">
        <f t="shared" ca="1" si="186"/>
        <v>0</v>
      </c>
      <c r="BA63" s="1689">
        <f t="shared" ca="1" si="187"/>
        <v>0</v>
      </c>
      <c r="BB63" s="1689">
        <f t="shared" ca="1" si="188"/>
        <v>0</v>
      </c>
      <c r="BC63" s="1689">
        <f t="shared" ca="1" si="189"/>
        <v>0</v>
      </c>
      <c r="BD63" s="1689">
        <f t="shared" ca="1" si="190"/>
        <v>0</v>
      </c>
      <c r="BE63" s="1689">
        <f t="shared" ca="1" si="191"/>
        <v>0</v>
      </c>
      <c r="BF63" s="1689">
        <f t="shared" ca="1" si="192"/>
        <v>0</v>
      </c>
      <c r="BG63" s="1689">
        <f t="shared" ca="1" si="193"/>
        <v>0</v>
      </c>
      <c r="BH63" s="675"/>
      <c r="BI63" s="1689">
        <f t="shared" ca="1" si="220"/>
        <v>0</v>
      </c>
      <c r="BJ63" s="1689">
        <f t="shared" ca="1" si="194"/>
        <v>0</v>
      </c>
      <c r="BK63" s="1689">
        <f t="shared" ca="1" si="195"/>
        <v>0</v>
      </c>
      <c r="BL63" s="1689">
        <f t="shared" ca="1" si="196"/>
        <v>0</v>
      </c>
      <c r="BM63" s="1689">
        <f t="shared" ca="1" si="197"/>
        <v>0</v>
      </c>
      <c r="BN63" s="1689">
        <f t="shared" ca="1" si="198"/>
        <v>0</v>
      </c>
      <c r="BO63" s="1689">
        <f t="shared" ca="1" si="199"/>
        <v>0</v>
      </c>
      <c r="BP63" s="1689">
        <f t="shared" ca="1" si="200"/>
        <v>0</v>
      </c>
      <c r="BQ63" s="1689">
        <f t="shared" ca="1" si="201"/>
        <v>0</v>
      </c>
      <c r="BR63" s="675"/>
      <c r="BS63" s="1701">
        <f t="shared" ca="1" si="202"/>
        <v>0</v>
      </c>
      <c r="BT63" s="1701">
        <f t="shared" ca="1" si="203"/>
        <v>0</v>
      </c>
      <c r="BU63" s="1701">
        <f t="shared" ca="1" si="204"/>
        <v>0</v>
      </c>
      <c r="BV63" s="1701">
        <f t="shared" ca="1" si="205"/>
        <v>0</v>
      </c>
      <c r="BW63" s="1701">
        <f t="shared" ca="1" si="206"/>
        <v>0</v>
      </c>
      <c r="BX63" s="1701">
        <f t="shared" ca="1" si="207"/>
        <v>0</v>
      </c>
      <c r="BY63" s="1701">
        <f t="shared" ca="1" si="208"/>
        <v>0</v>
      </c>
      <c r="BZ63" s="1701">
        <f t="shared" ca="1" si="209"/>
        <v>0</v>
      </c>
      <c r="CA63" s="1701">
        <f t="shared" ca="1" si="210"/>
        <v>0</v>
      </c>
      <c r="CC63" s="1706">
        <f ca="1">AVERAGE(Costs!$BS63:$CA63)</f>
        <v>0</v>
      </c>
      <c r="CD63" s="1706">
        <f t="shared" ca="1" si="211"/>
        <v>0</v>
      </c>
      <c r="CF63" s="1703">
        <f t="shared" ca="1" si="221"/>
        <v>0</v>
      </c>
      <c r="CG63" s="1703">
        <f t="shared" ca="1" si="212"/>
        <v>0</v>
      </c>
      <c r="CH63" s="1703">
        <f t="shared" ca="1" si="213"/>
        <v>0</v>
      </c>
      <c r="CI63" s="1703">
        <f t="shared" ca="1" si="214"/>
        <v>0</v>
      </c>
      <c r="CJ63" s="1703">
        <f t="shared" ca="1" si="215"/>
        <v>0</v>
      </c>
      <c r="CK63" s="1703">
        <f t="shared" ca="1" si="216"/>
        <v>0</v>
      </c>
      <c r="CL63" s="1703">
        <f t="shared" ca="1" si="217"/>
        <v>0</v>
      </c>
      <c r="CM63" s="1703">
        <f t="shared" ca="1" si="218"/>
        <v>0</v>
      </c>
      <c r="CN63" s="1703">
        <f t="shared" ca="1" si="219"/>
        <v>0</v>
      </c>
      <c r="CP63" s="1706">
        <f ca="1">AVERAGE(Costs!$CF63:$CN63)</f>
        <v>0</v>
      </c>
      <c r="CQ63" s="1706">
        <f t="shared" ca="1" si="222"/>
        <v>0</v>
      </c>
      <c r="CR63" s="1426" t="str">
        <f t="shared" ca="1" si="223"/>
        <v>ok</v>
      </c>
    </row>
    <row r="64" spans="1:96" s="2126" customFormat="1" x14ac:dyDescent="0.2">
      <c r="A64" s="1685" t="s">
        <v>1612</v>
      </c>
      <c r="B64" s="1685" t="s">
        <v>1610</v>
      </c>
      <c r="C64" s="1685" t="s">
        <v>4</v>
      </c>
      <c r="E64" s="1691">
        <f t="shared" ca="1" si="277"/>
        <v>0</v>
      </c>
      <c r="F64" s="1691">
        <f t="shared" ca="1" si="277"/>
        <v>0</v>
      </c>
      <c r="G64" s="1691">
        <f t="shared" ca="1" si="277"/>
        <v>0</v>
      </c>
      <c r="H64" s="1691">
        <f t="shared" ca="1" si="277"/>
        <v>0</v>
      </c>
      <c r="I64" s="1691">
        <f t="shared" ca="1" si="277"/>
        <v>0</v>
      </c>
      <c r="J64" s="1691">
        <f t="shared" ca="1" si="277"/>
        <v>0</v>
      </c>
      <c r="K64" s="1691">
        <f t="shared" ca="1" si="277"/>
        <v>0</v>
      </c>
      <c r="L64" s="1691">
        <f t="shared" ca="1" si="277"/>
        <v>0</v>
      </c>
      <c r="M64" s="1691">
        <f t="shared" ca="1" si="277"/>
        <v>0</v>
      </c>
      <c r="N64" s="675"/>
      <c r="O64" s="1691">
        <f t="shared" ca="1" si="278"/>
        <v>0</v>
      </c>
      <c r="P64" s="1691">
        <f t="shared" ca="1" si="278"/>
        <v>0</v>
      </c>
      <c r="Q64" s="1691">
        <f t="shared" ca="1" si="278"/>
        <v>0</v>
      </c>
      <c r="R64" s="1691">
        <f t="shared" ca="1" si="278"/>
        <v>0</v>
      </c>
      <c r="S64" s="1691">
        <f t="shared" ca="1" si="278"/>
        <v>0</v>
      </c>
      <c r="T64" s="1691">
        <f t="shared" ca="1" si="278"/>
        <v>0</v>
      </c>
      <c r="U64" s="1691">
        <f t="shared" ca="1" si="278"/>
        <v>0</v>
      </c>
      <c r="V64" s="1691">
        <f t="shared" ca="1" si="278"/>
        <v>0</v>
      </c>
      <c r="W64" s="1691">
        <f t="shared" ca="1" si="278"/>
        <v>0</v>
      </c>
      <c r="X64" s="675"/>
      <c r="Y64" s="1691">
        <f t="shared" ca="1" si="279"/>
        <v>0</v>
      </c>
      <c r="Z64" s="1691">
        <f t="shared" ca="1" si="279"/>
        <v>0</v>
      </c>
      <c r="AA64" s="1691">
        <f t="shared" ca="1" si="279"/>
        <v>0</v>
      </c>
      <c r="AB64" s="1691">
        <f t="shared" ca="1" si="279"/>
        <v>0</v>
      </c>
      <c r="AC64" s="1691">
        <f t="shared" ca="1" si="279"/>
        <v>0</v>
      </c>
      <c r="AD64" s="1691">
        <f t="shared" ca="1" si="279"/>
        <v>0</v>
      </c>
      <c r="AE64" s="1691">
        <f t="shared" ca="1" si="279"/>
        <v>0</v>
      </c>
      <c r="AF64" s="1691">
        <f t="shared" ca="1" si="279"/>
        <v>0</v>
      </c>
      <c r="AG64" s="1691">
        <f t="shared" ca="1" si="279"/>
        <v>0</v>
      </c>
      <c r="AH64" s="675"/>
      <c r="AI64" s="1691">
        <f t="shared" ca="1" si="175"/>
        <v>0</v>
      </c>
      <c r="AJ64" s="1691">
        <f t="shared" ca="1" si="176"/>
        <v>0</v>
      </c>
      <c r="AK64" s="1691">
        <f t="shared" ca="1" si="177"/>
        <v>0</v>
      </c>
      <c r="AL64" s="1691">
        <f t="shared" ca="1" si="178"/>
        <v>0</v>
      </c>
      <c r="AM64" s="1691">
        <f t="shared" ca="1" si="179"/>
        <v>0</v>
      </c>
      <c r="AN64" s="1691">
        <f t="shared" ca="1" si="180"/>
        <v>0</v>
      </c>
      <c r="AO64" s="1691">
        <f t="shared" ca="1" si="181"/>
        <v>0</v>
      </c>
      <c r="AP64" s="1691">
        <f t="shared" ca="1" si="182"/>
        <v>0</v>
      </c>
      <c r="AQ64" s="1691">
        <f t="shared" ca="1" si="183"/>
        <v>0</v>
      </c>
      <c r="AS64" s="1707">
        <f ca="1">AVERAGE(Costs!$AI64:$AQ64)</f>
        <v>0</v>
      </c>
      <c r="AT64" s="1707">
        <f t="shared" ca="1" si="184"/>
        <v>0</v>
      </c>
      <c r="AU64" s="675"/>
      <c r="AV64" s="1700">
        <f>IFERROR(VLOOKUP($A64,Cost.FinanceCostTable,5,FALSE),'Global assumptions'!$F$35)</f>
        <v>7.0000000000000007E-2</v>
      </c>
      <c r="AW64" s="1692">
        <f>IFERROR(VLOOKUP($A64,Cost.FinanceCostTable,6,FALSE),'Global assumptions'!$G$35)</f>
        <v>15</v>
      </c>
      <c r="AX64" s="675"/>
      <c r="AY64" s="1691">
        <f t="shared" ca="1" si="185"/>
        <v>0</v>
      </c>
      <c r="AZ64" s="1691">
        <f t="shared" ca="1" si="186"/>
        <v>0</v>
      </c>
      <c r="BA64" s="1691">
        <f t="shared" ca="1" si="187"/>
        <v>0</v>
      </c>
      <c r="BB64" s="1691">
        <f t="shared" ca="1" si="188"/>
        <v>0</v>
      </c>
      <c r="BC64" s="1691">
        <f t="shared" ca="1" si="189"/>
        <v>0</v>
      </c>
      <c r="BD64" s="1691">
        <f t="shared" ca="1" si="190"/>
        <v>0</v>
      </c>
      <c r="BE64" s="1691">
        <f t="shared" ca="1" si="191"/>
        <v>0</v>
      </c>
      <c r="BF64" s="1691">
        <f t="shared" ca="1" si="192"/>
        <v>0</v>
      </c>
      <c r="BG64" s="1691">
        <f t="shared" ca="1" si="193"/>
        <v>0</v>
      </c>
      <c r="BH64" s="675"/>
      <c r="BI64" s="1691">
        <f t="shared" ca="1" si="220"/>
        <v>0</v>
      </c>
      <c r="BJ64" s="1691">
        <f t="shared" ca="1" si="194"/>
        <v>0</v>
      </c>
      <c r="BK64" s="1691">
        <f t="shared" ca="1" si="195"/>
        <v>0</v>
      </c>
      <c r="BL64" s="1691">
        <f t="shared" ca="1" si="196"/>
        <v>0</v>
      </c>
      <c r="BM64" s="1691">
        <f t="shared" ca="1" si="197"/>
        <v>0</v>
      </c>
      <c r="BN64" s="1691">
        <f t="shared" ca="1" si="198"/>
        <v>0</v>
      </c>
      <c r="BO64" s="1691">
        <f t="shared" ca="1" si="199"/>
        <v>0</v>
      </c>
      <c r="BP64" s="1691">
        <f t="shared" ca="1" si="200"/>
        <v>0</v>
      </c>
      <c r="BQ64" s="1691">
        <f t="shared" ca="1" si="201"/>
        <v>0</v>
      </c>
      <c r="BR64" s="675"/>
      <c r="BS64" s="1702">
        <f t="shared" ca="1" si="202"/>
        <v>0</v>
      </c>
      <c r="BT64" s="1702">
        <f t="shared" ca="1" si="203"/>
        <v>0</v>
      </c>
      <c r="BU64" s="1702">
        <f t="shared" ca="1" si="204"/>
        <v>0</v>
      </c>
      <c r="BV64" s="1702">
        <f t="shared" ca="1" si="205"/>
        <v>0</v>
      </c>
      <c r="BW64" s="1702">
        <f t="shared" ca="1" si="206"/>
        <v>0</v>
      </c>
      <c r="BX64" s="1702">
        <f t="shared" ca="1" si="207"/>
        <v>0</v>
      </c>
      <c r="BY64" s="1702">
        <f t="shared" ca="1" si="208"/>
        <v>0</v>
      </c>
      <c r="BZ64" s="1702">
        <f t="shared" ca="1" si="209"/>
        <v>0</v>
      </c>
      <c r="CA64" s="1702">
        <f t="shared" ca="1" si="210"/>
        <v>0</v>
      </c>
      <c r="CC64" s="1707">
        <f ca="1">AVERAGE(Costs!$BS64:$CA64)</f>
        <v>0</v>
      </c>
      <c r="CD64" s="1707">
        <f t="shared" ca="1" si="211"/>
        <v>0</v>
      </c>
      <c r="CF64" s="1704">
        <f t="shared" ca="1" si="221"/>
        <v>0</v>
      </c>
      <c r="CG64" s="1704">
        <f t="shared" ca="1" si="212"/>
        <v>0</v>
      </c>
      <c r="CH64" s="1704">
        <f t="shared" ca="1" si="213"/>
        <v>0</v>
      </c>
      <c r="CI64" s="1704">
        <f t="shared" ca="1" si="214"/>
        <v>0</v>
      </c>
      <c r="CJ64" s="1704">
        <f t="shared" ca="1" si="215"/>
        <v>0</v>
      </c>
      <c r="CK64" s="1704">
        <f t="shared" ca="1" si="216"/>
        <v>0</v>
      </c>
      <c r="CL64" s="1704">
        <f t="shared" ca="1" si="217"/>
        <v>0</v>
      </c>
      <c r="CM64" s="1704">
        <f t="shared" ca="1" si="218"/>
        <v>0</v>
      </c>
      <c r="CN64" s="1704">
        <f t="shared" ca="1" si="219"/>
        <v>0</v>
      </c>
      <c r="CP64" s="1707">
        <f ca="1">AVERAGE(Costs!$CF64:$CN64)</f>
        <v>0</v>
      </c>
      <c r="CQ64" s="1707">
        <f t="shared" ca="1" si="222"/>
        <v>0</v>
      </c>
      <c r="CR64" s="1426" t="str">
        <f t="shared" ca="1" si="223"/>
        <v>ok</v>
      </c>
    </row>
    <row r="65" spans="1:96" s="2126" customFormat="1" x14ac:dyDescent="0.2">
      <c r="A65" s="1683" t="s">
        <v>313</v>
      </c>
      <c r="B65" s="1683" t="s">
        <v>306</v>
      </c>
      <c r="C65" s="1683" t="s">
        <v>4</v>
      </c>
      <c r="E65" s="1689">
        <f t="shared" ca="1" si="277"/>
        <v>104081159476.7803</v>
      </c>
      <c r="F65" s="1689">
        <f t="shared" ca="1" si="277"/>
        <v>331967973510.72876</v>
      </c>
      <c r="G65" s="1689">
        <f t="shared" ca="1" si="277"/>
        <v>543973353901.3407</v>
      </c>
      <c r="H65" s="1689">
        <f t="shared" ca="1" si="277"/>
        <v>818116597142.85693</v>
      </c>
      <c r="I65" s="1689">
        <f t="shared" ca="1" si="277"/>
        <v>1161450000000.0005</v>
      </c>
      <c r="J65" s="1689">
        <f t="shared" ca="1" si="277"/>
        <v>1245929402857.1423</v>
      </c>
      <c r="K65" s="1689">
        <f t="shared" ca="1" si="277"/>
        <v>1547125805714.2856</v>
      </c>
      <c r="L65" s="1689">
        <f t="shared" ca="1" si="277"/>
        <v>1895389208571.4285</v>
      </c>
      <c r="M65" s="1689">
        <f t="shared" ca="1" si="277"/>
        <v>-3561866999999.999</v>
      </c>
      <c r="N65" s="675"/>
      <c r="O65" s="1689">
        <f t="shared" ca="1" si="278"/>
        <v>119535577972.4393</v>
      </c>
      <c r="P65" s="1689">
        <f t="shared" ca="1" si="278"/>
        <v>208258012480.94925</v>
      </c>
      <c r="Q65" s="1689">
        <f t="shared" ca="1" si="278"/>
        <v>332046964285.71429</v>
      </c>
      <c r="R65" s="1689">
        <f t="shared" ca="1" si="278"/>
        <v>513512571428.57141</v>
      </c>
      <c r="S65" s="1689">
        <f t="shared" ca="1" si="278"/>
        <v>760603178571.42871</v>
      </c>
      <c r="T65" s="1689">
        <f t="shared" ca="1" si="278"/>
        <v>973231285714.28564</v>
      </c>
      <c r="U65" s="1689">
        <f t="shared" ca="1" si="278"/>
        <v>1230071892857.1426</v>
      </c>
      <c r="V65" s="1689">
        <f t="shared" ca="1" si="278"/>
        <v>1535287500000</v>
      </c>
      <c r="W65" s="1689">
        <f t="shared" ca="1" si="278"/>
        <v>0</v>
      </c>
      <c r="X65" s="675"/>
      <c r="Y65" s="1689">
        <f t="shared" ca="1" si="279"/>
        <v>0</v>
      </c>
      <c r="Z65" s="1689">
        <f t="shared" ca="1" si="279"/>
        <v>0</v>
      </c>
      <c r="AA65" s="1689">
        <f t="shared" ca="1" si="279"/>
        <v>0</v>
      </c>
      <c r="AB65" s="1689">
        <f t="shared" ca="1" si="279"/>
        <v>0</v>
      </c>
      <c r="AC65" s="1689">
        <f t="shared" ca="1" si="279"/>
        <v>0</v>
      </c>
      <c r="AD65" s="1689">
        <f t="shared" ca="1" si="279"/>
        <v>0</v>
      </c>
      <c r="AE65" s="1689">
        <f t="shared" ca="1" si="279"/>
        <v>0</v>
      </c>
      <c r="AF65" s="1689">
        <f t="shared" ca="1" si="279"/>
        <v>0</v>
      </c>
      <c r="AG65" s="1689">
        <f t="shared" ca="1" si="279"/>
        <v>0</v>
      </c>
      <c r="AH65" s="675"/>
      <c r="AI65" s="1689">
        <f t="shared" ca="1" si="175"/>
        <v>223616737449.2196</v>
      </c>
      <c r="AJ65" s="1689">
        <f t="shared" ca="1" si="176"/>
        <v>540225985991.67798</v>
      </c>
      <c r="AK65" s="1689">
        <f t="shared" ca="1" si="177"/>
        <v>876020318187.05493</v>
      </c>
      <c r="AL65" s="1689">
        <f t="shared" ca="1" si="178"/>
        <v>1331629168571.4282</v>
      </c>
      <c r="AM65" s="1689">
        <f t="shared" ca="1" si="179"/>
        <v>1922053178571.4292</v>
      </c>
      <c r="AN65" s="1689">
        <f t="shared" ca="1" si="180"/>
        <v>2219160688571.4277</v>
      </c>
      <c r="AO65" s="1689">
        <f t="shared" ca="1" si="181"/>
        <v>2777197698571.4282</v>
      </c>
      <c r="AP65" s="1689">
        <f t="shared" ca="1" si="182"/>
        <v>3430676708571.4287</v>
      </c>
      <c r="AQ65" s="1689">
        <f t="shared" ca="1" si="183"/>
        <v>-3561866999999.999</v>
      </c>
      <c r="AS65" s="1706">
        <f ca="1">AVERAGE(Costs!$AI65:$AQ65)</f>
        <v>1084301498276.1216</v>
      </c>
      <c r="AT65" s="1706">
        <f t="shared" ca="1" si="184"/>
        <v>8520353448474.0107</v>
      </c>
      <c r="AU65" s="675"/>
      <c r="AV65" s="1699">
        <f>IFERROR(VLOOKUP($A65,Cost.FinanceCostTable,5,FALSE),'Global assumptions'!$F$35)</f>
        <v>7.0000000000000007E-2</v>
      </c>
      <c r="AW65" s="1690">
        <f>IFERROR(VLOOKUP($A65,Cost.FinanceCostTable,6,FALSE),'Global assumptions'!$G$35)</f>
        <v>20</v>
      </c>
      <c r="AX65" s="675"/>
      <c r="AY65" s="1689">
        <f t="shared" ca="1" si="185"/>
        <v>29473575473.291035</v>
      </c>
      <c r="AZ65" s="1689">
        <f t="shared" ca="1" si="186"/>
        <v>156677141363.68646</v>
      </c>
      <c r="BA65" s="1689">
        <f t="shared" ca="1" si="187"/>
        <v>256736182005.595</v>
      </c>
      <c r="BB65" s="1689">
        <f t="shared" ca="1" si="188"/>
        <v>386122096017.15363</v>
      </c>
      <c r="BC65" s="1689">
        <f t="shared" ca="1" si="189"/>
        <v>548163318022.52179</v>
      </c>
      <c r="BD65" s="1689">
        <f t="shared" ca="1" si="190"/>
        <v>588034608026.16577</v>
      </c>
      <c r="BE65" s="1689">
        <f t="shared" ca="1" si="191"/>
        <v>730188656471.31604</v>
      </c>
      <c r="BF65" s="1689">
        <f t="shared" ca="1" si="192"/>
        <v>894556664096.25513</v>
      </c>
      <c r="BG65" s="1689">
        <f t="shared" ca="1" si="193"/>
        <v>-1681075236191.7644</v>
      </c>
      <c r="BH65" s="675"/>
      <c r="BI65" s="1689">
        <f t="shared" ca="1" si="220"/>
        <v>29473575473.291035</v>
      </c>
      <c r="BJ65" s="1689">
        <f t="shared" ca="1" si="194"/>
        <v>186150716836.97751</v>
      </c>
      <c r="BK65" s="1689">
        <f t="shared" ca="1" si="195"/>
        <v>442886898842.57251</v>
      </c>
      <c r="BL65" s="1689">
        <f t="shared" ca="1" si="196"/>
        <v>829008994859.72607</v>
      </c>
      <c r="BM65" s="1689">
        <f t="shared" ca="1" si="197"/>
        <v>1347698737408.9568</v>
      </c>
      <c r="BN65" s="1689">
        <f t="shared" ca="1" si="198"/>
        <v>1779056204071.436</v>
      </c>
      <c r="BO65" s="1689">
        <f t="shared" ca="1" si="199"/>
        <v>2252508678537.1572</v>
      </c>
      <c r="BP65" s="1689">
        <f t="shared" ca="1" si="200"/>
        <v>3309106564638.7803</v>
      </c>
      <c r="BQ65" s="1689">
        <f t="shared" ca="1" si="201"/>
        <v>531704692401.97253</v>
      </c>
      <c r="BR65" s="675"/>
      <c r="BS65" s="1701">
        <f t="shared" ca="1" si="202"/>
        <v>149009153445.73035</v>
      </c>
      <c r="BT65" s="1701">
        <f t="shared" ca="1" si="203"/>
        <v>394408729317.92676</v>
      </c>
      <c r="BU65" s="1701">
        <f t="shared" ca="1" si="204"/>
        <v>774933863128.28687</v>
      </c>
      <c r="BV65" s="1701">
        <f t="shared" ca="1" si="205"/>
        <v>1342521566288.2974</v>
      </c>
      <c r="BW65" s="1701">
        <f t="shared" ca="1" si="206"/>
        <v>2108301915980.3855</v>
      </c>
      <c r="BX65" s="1701">
        <f t="shared" ca="1" si="207"/>
        <v>2752287489785.7217</v>
      </c>
      <c r="BY65" s="1701">
        <f t="shared" ca="1" si="208"/>
        <v>3482580571394.2998</v>
      </c>
      <c r="BZ65" s="1701">
        <f t="shared" ca="1" si="209"/>
        <v>4844394064638.7803</v>
      </c>
      <c r="CA65" s="1701">
        <f t="shared" ca="1" si="210"/>
        <v>531704692401.97253</v>
      </c>
      <c r="CC65" s="1706">
        <f ca="1">AVERAGE(Costs!$BS65:$CA65)</f>
        <v>1820015782931.2668</v>
      </c>
      <c r="CD65" s="1706">
        <f t="shared" ca="1" si="211"/>
        <v>9620029928403.043</v>
      </c>
      <c r="CF65" s="1703">
        <f t="shared" ca="1" si="221"/>
        <v>-74607584003.489273</v>
      </c>
      <c r="CG65" s="1703">
        <f t="shared" ca="1" si="212"/>
        <v>-145817256673.75125</v>
      </c>
      <c r="CH65" s="1703">
        <f t="shared" ca="1" si="213"/>
        <v>-101086455058.76819</v>
      </c>
      <c r="CI65" s="1703">
        <f t="shared" ca="1" si="214"/>
        <v>10892397716.869141</v>
      </c>
      <c r="CJ65" s="1703">
        <f t="shared" ca="1" si="215"/>
        <v>186248737408.9563</v>
      </c>
      <c r="CK65" s="1703">
        <f t="shared" ca="1" si="216"/>
        <v>533126801214.2937</v>
      </c>
      <c r="CL65" s="1703">
        <f t="shared" ca="1" si="217"/>
        <v>705382872822.87158</v>
      </c>
      <c r="CM65" s="1703">
        <f t="shared" ca="1" si="218"/>
        <v>1413717356067.3518</v>
      </c>
      <c r="CN65" s="1703">
        <f t="shared" ca="1" si="219"/>
        <v>4093571692401.9717</v>
      </c>
      <c r="CP65" s="1706">
        <f ca="1">AVERAGE(Costs!$CF65:$CN65)</f>
        <v>735714284655.14502</v>
      </c>
      <c r="CQ65" s="1706">
        <f t="shared" ca="1" si="222"/>
        <v>1099676479929.032</v>
      </c>
      <c r="CR65" s="1426" t="str">
        <f t="shared" ca="1" si="223"/>
        <v>ok</v>
      </c>
    </row>
    <row r="66" spans="1:96" s="2126" customFormat="1" x14ac:dyDescent="0.2">
      <c r="A66" s="1685" t="s">
        <v>1713</v>
      </c>
      <c r="B66" s="1685" t="s">
        <v>2172</v>
      </c>
      <c r="C66" s="1685" t="s">
        <v>1974</v>
      </c>
      <c r="E66" s="1691">
        <f t="shared" ca="1" si="277"/>
        <v>0</v>
      </c>
      <c r="F66" s="1691">
        <f t="shared" ca="1" si="277"/>
        <v>0</v>
      </c>
      <c r="G66" s="1691">
        <f t="shared" ca="1" si="277"/>
        <v>0</v>
      </c>
      <c r="H66" s="1691">
        <f t="shared" ca="1" si="277"/>
        <v>0</v>
      </c>
      <c r="I66" s="1691">
        <f t="shared" ca="1" si="277"/>
        <v>0</v>
      </c>
      <c r="J66" s="1691">
        <f t="shared" ca="1" si="277"/>
        <v>0</v>
      </c>
      <c r="K66" s="1691">
        <f t="shared" ca="1" si="277"/>
        <v>0</v>
      </c>
      <c r="L66" s="1691">
        <f t="shared" ca="1" si="277"/>
        <v>0</v>
      </c>
      <c r="M66" s="1691">
        <f t="shared" ca="1" si="277"/>
        <v>0</v>
      </c>
      <c r="N66" s="675"/>
      <c r="O66" s="1691">
        <f t="shared" ca="1" si="278"/>
        <v>0</v>
      </c>
      <c r="P66" s="1691">
        <f t="shared" ca="1" si="278"/>
        <v>0</v>
      </c>
      <c r="Q66" s="1691">
        <f t="shared" ca="1" si="278"/>
        <v>0</v>
      </c>
      <c r="R66" s="1691">
        <f t="shared" ca="1" si="278"/>
        <v>0</v>
      </c>
      <c r="S66" s="1691">
        <f t="shared" ca="1" si="278"/>
        <v>0</v>
      </c>
      <c r="T66" s="1691">
        <f t="shared" ca="1" si="278"/>
        <v>0</v>
      </c>
      <c r="U66" s="1691">
        <f t="shared" ca="1" si="278"/>
        <v>0</v>
      </c>
      <c r="V66" s="1691">
        <f t="shared" ca="1" si="278"/>
        <v>0</v>
      </c>
      <c r="W66" s="1691">
        <f t="shared" ca="1" si="278"/>
        <v>0</v>
      </c>
      <c r="X66" s="675"/>
      <c r="Y66" s="1691">
        <f t="shared" ca="1" si="279"/>
        <v>0</v>
      </c>
      <c r="Z66" s="1691">
        <f t="shared" ca="1" si="279"/>
        <v>0</v>
      </c>
      <c r="AA66" s="1691">
        <f t="shared" ca="1" si="279"/>
        <v>0</v>
      </c>
      <c r="AB66" s="1691">
        <f t="shared" ca="1" si="279"/>
        <v>0</v>
      </c>
      <c r="AC66" s="1691">
        <f t="shared" ca="1" si="279"/>
        <v>0</v>
      </c>
      <c r="AD66" s="1691">
        <f t="shared" ca="1" si="279"/>
        <v>0</v>
      </c>
      <c r="AE66" s="1691">
        <f t="shared" ca="1" si="279"/>
        <v>0</v>
      </c>
      <c r="AF66" s="1691">
        <f t="shared" ca="1" si="279"/>
        <v>0</v>
      </c>
      <c r="AG66" s="1691">
        <f t="shared" ca="1" si="279"/>
        <v>0</v>
      </c>
      <c r="AH66" s="675"/>
      <c r="AI66" s="1691">
        <f t="shared" ca="1" si="175"/>
        <v>0</v>
      </c>
      <c r="AJ66" s="1691">
        <f t="shared" ca="1" si="176"/>
        <v>0</v>
      </c>
      <c r="AK66" s="1691">
        <f t="shared" ca="1" si="177"/>
        <v>0</v>
      </c>
      <c r="AL66" s="1691">
        <f t="shared" ca="1" si="178"/>
        <v>0</v>
      </c>
      <c r="AM66" s="1691">
        <f t="shared" ca="1" si="179"/>
        <v>0</v>
      </c>
      <c r="AN66" s="1691">
        <f t="shared" ca="1" si="180"/>
        <v>0</v>
      </c>
      <c r="AO66" s="1691">
        <f t="shared" ca="1" si="181"/>
        <v>0</v>
      </c>
      <c r="AP66" s="1691">
        <f t="shared" ca="1" si="182"/>
        <v>0</v>
      </c>
      <c r="AQ66" s="1691">
        <f t="shared" ca="1" si="183"/>
        <v>0</v>
      </c>
      <c r="AS66" s="1707">
        <f ca="1">AVERAGE(Costs!$AI66:$AQ66)</f>
        <v>0</v>
      </c>
      <c r="AT66" s="1707">
        <f t="shared" ca="1" si="184"/>
        <v>0</v>
      </c>
      <c r="AU66" s="675"/>
      <c r="AV66" s="1700">
        <f>IFERROR(VLOOKUP($A66,Cost.FinanceCostTable,5,FALSE),'Global assumptions'!$F$35)</f>
        <v>7.0000000000000007E-2</v>
      </c>
      <c r="AW66" s="1692">
        <f>IFERROR(VLOOKUP($A66,Cost.FinanceCostTable,6,FALSE),'Global assumptions'!$G$35)</f>
        <v>15</v>
      </c>
      <c r="AX66" s="675"/>
      <c r="AY66" s="1691">
        <f t="shared" ca="1" si="185"/>
        <v>0</v>
      </c>
      <c r="AZ66" s="1691">
        <f t="shared" ca="1" si="186"/>
        <v>0</v>
      </c>
      <c r="BA66" s="1691">
        <f t="shared" ca="1" si="187"/>
        <v>0</v>
      </c>
      <c r="BB66" s="1691">
        <f t="shared" ca="1" si="188"/>
        <v>0</v>
      </c>
      <c r="BC66" s="1691">
        <f t="shared" ca="1" si="189"/>
        <v>0</v>
      </c>
      <c r="BD66" s="1691">
        <f t="shared" ca="1" si="190"/>
        <v>0</v>
      </c>
      <c r="BE66" s="1691">
        <f t="shared" ca="1" si="191"/>
        <v>0</v>
      </c>
      <c r="BF66" s="1691">
        <f t="shared" ca="1" si="192"/>
        <v>0</v>
      </c>
      <c r="BG66" s="1691">
        <f t="shared" ca="1" si="193"/>
        <v>0</v>
      </c>
      <c r="BH66" s="675"/>
      <c r="BI66" s="1691">
        <f t="shared" ca="1" si="220"/>
        <v>0</v>
      </c>
      <c r="BJ66" s="1691">
        <f t="shared" ca="1" si="194"/>
        <v>0</v>
      </c>
      <c r="BK66" s="1691">
        <f t="shared" ca="1" si="195"/>
        <v>0</v>
      </c>
      <c r="BL66" s="1691">
        <f t="shared" ca="1" si="196"/>
        <v>0</v>
      </c>
      <c r="BM66" s="1691">
        <f t="shared" ca="1" si="197"/>
        <v>0</v>
      </c>
      <c r="BN66" s="1691">
        <f t="shared" ca="1" si="198"/>
        <v>0</v>
      </c>
      <c r="BO66" s="1691">
        <f t="shared" ca="1" si="199"/>
        <v>0</v>
      </c>
      <c r="BP66" s="1691">
        <f t="shared" ca="1" si="200"/>
        <v>0</v>
      </c>
      <c r="BQ66" s="1691">
        <f t="shared" ca="1" si="201"/>
        <v>0</v>
      </c>
      <c r="BR66" s="675"/>
      <c r="BS66" s="1702">
        <f t="shared" ca="1" si="202"/>
        <v>0</v>
      </c>
      <c r="BT66" s="1702">
        <f t="shared" ca="1" si="203"/>
        <v>0</v>
      </c>
      <c r="BU66" s="1702">
        <f t="shared" ca="1" si="204"/>
        <v>0</v>
      </c>
      <c r="BV66" s="1702">
        <f t="shared" ca="1" si="205"/>
        <v>0</v>
      </c>
      <c r="BW66" s="1702">
        <f t="shared" ca="1" si="206"/>
        <v>0</v>
      </c>
      <c r="BX66" s="1702">
        <f t="shared" ca="1" si="207"/>
        <v>0</v>
      </c>
      <c r="BY66" s="1702">
        <f t="shared" ca="1" si="208"/>
        <v>0</v>
      </c>
      <c r="BZ66" s="1702">
        <f t="shared" ca="1" si="209"/>
        <v>0</v>
      </c>
      <c r="CA66" s="1702">
        <f t="shared" ca="1" si="210"/>
        <v>0</v>
      </c>
      <c r="CC66" s="1707">
        <f ca="1">AVERAGE(Costs!$BS66:$CA66)</f>
        <v>0</v>
      </c>
      <c r="CD66" s="1707">
        <f t="shared" ca="1" si="211"/>
        <v>0</v>
      </c>
      <c r="CF66" s="1704">
        <f t="shared" ca="1" si="221"/>
        <v>0</v>
      </c>
      <c r="CG66" s="1704">
        <f t="shared" ca="1" si="212"/>
        <v>0</v>
      </c>
      <c r="CH66" s="1704">
        <f t="shared" ca="1" si="213"/>
        <v>0</v>
      </c>
      <c r="CI66" s="1704">
        <f t="shared" ca="1" si="214"/>
        <v>0</v>
      </c>
      <c r="CJ66" s="1704">
        <f t="shared" ca="1" si="215"/>
        <v>0</v>
      </c>
      <c r="CK66" s="1704">
        <f t="shared" ca="1" si="216"/>
        <v>0</v>
      </c>
      <c r="CL66" s="1704">
        <f t="shared" ca="1" si="217"/>
        <v>0</v>
      </c>
      <c r="CM66" s="1704">
        <f t="shared" ca="1" si="218"/>
        <v>0</v>
      </c>
      <c r="CN66" s="1704">
        <f t="shared" ca="1" si="219"/>
        <v>0</v>
      </c>
      <c r="CP66" s="1707">
        <f ca="1">AVERAGE(Costs!$CF66:$CN66)</f>
        <v>0</v>
      </c>
      <c r="CQ66" s="1707">
        <f t="shared" ca="1" si="222"/>
        <v>0</v>
      </c>
      <c r="CR66" s="1426" t="str">
        <f t="shared" ca="1" si="223"/>
        <v>ok</v>
      </c>
    </row>
    <row r="67" spans="1:96" s="2126" customFormat="1" x14ac:dyDescent="0.2">
      <c r="A67" s="1685" t="s">
        <v>388</v>
      </c>
      <c r="B67" s="1685" t="s">
        <v>2218</v>
      </c>
      <c r="C67" s="1685" t="s">
        <v>1974</v>
      </c>
      <c r="E67" s="1691">
        <f t="shared" ref="E67:M76" ca="1" si="280">IFERROR(INDEX(INDIRECT($A67&amp;".Costs["&amp;E$2&amp;"]"), MATCH($E$45, INDIRECT($A67&amp;".Costs[Vector]"), 0)),0)</f>
        <v>0</v>
      </c>
      <c r="F67" s="1691">
        <f t="shared" ca="1" si="280"/>
        <v>164022641385.32056</v>
      </c>
      <c r="G67" s="1691">
        <f t="shared" ca="1" si="280"/>
        <v>164022641385.32071</v>
      </c>
      <c r="H67" s="1691">
        <f t="shared" ca="1" si="280"/>
        <v>164022641385.32251</v>
      </c>
      <c r="I67" s="1691">
        <f t="shared" ca="1" si="280"/>
        <v>164022641385.31873</v>
      </c>
      <c r="J67" s="1691">
        <f t="shared" ca="1" si="280"/>
        <v>164022641385.32248</v>
      </c>
      <c r="K67" s="1691">
        <f t="shared" ca="1" si="280"/>
        <v>164022641385.32056</v>
      </c>
      <c r="L67" s="1691">
        <f t="shared" ca="1" si="280"/>
        <v>164022641385.32071</v>
      </c>
      <c r="M67" s="1691">
        <f t="shared" ca="1" si="280"/>
        <v>164022641385.33026</v>
      </c>
      <c r="N67" s="675"/>
      <c r="O67" s="1691">
        <f t="shared" ref="O67:W76" ca="1" si="281">IFERROR(INDEX(INDIRECT($A67&amp;".Costs["&amp;O$2&amp;"]"), MATCH($O$45, INDIRECT($A67&amp;".Costs[Vector]"), 0)),0)</f>
        <v>0</v>
      </c>
      <c r="P67" s="1691">
        <f t="shared" ca="1" si="281"/>
        <v>0</v>
      </c>
      <c r="Q67" s="1691">
        <f t="shared" ca="1" si="281"/>
        <v>0</v>
      </c>
      <c r="R67" s="1691">
        <f t="shared" ca="1" si="281"/>
        <v>0</v>
      </c>
      <c r="S67" s="1691">
        <f t="shared" ca="1" si="281"/>
        <v>0</v>
      </c>
      <c r="T67" s="1691">
        <f t="shared" ca="1" si="281"/>
        <v>0</v>
      </c>
      <c r="U67" s="1691">
        <f t="shared" ca="1" si="281"/>
        <v>0</v>
      </c>
      <c r="V67" s="1691">
        <f t="shared" ca="1" si="281"/>
        <v>0</v>
      </c>
      <c r="W67" s="1691">
        <f t="shared" ca="1" si="281"/>
        <v>0</v>
      </c>
      <c r="X67" s="675"/>
      <c r="Y67" s="1691">
        <f t="shared" ref="Y67:AG76" ca="1" si="282">IFERROR(INDEX(INDIRECT($A67&amp;".Costs["&amp;Y$2&amp;"]"), MATCH($Y$45, INDIRECT($A67&amp;".Costs[Vector]"), 0)),0)</f>
        <v>0</v>
      </c>
      <c r="Z67" s="1691">
        <f t="shared" ca="1" si="282"/>
        <v>0</v>
      </c>
      <c r="AA67" s="1691">
        <f t="shared" ca="1" si="282"/>
        <v>0</v>
      </c>
      <c r="AB67" s="1691">
        <f t="shared" ca="1" si="282"/>
        <v>0</v>
      </c>
      <c r="AC67" s="1691">
        <f t="shared" ca="1" si="282"/>
        <v>0</v>
      </c>
      <c r="AD67" s="1691">
        <f t="shared" ca="1" si="282"/>
        <v>0</v>
      </c>
      <c r="AE67" s="1691">
        <f t="shared" ca="1" si="282"/>
        <v>0</v>
      </c>
      <c r="AF67" s="1691">
        <f t="shared" ca="1" si="282"/>
        <v>0</v>
      </c>
      <c r="AG67" s="1691">
        <f t="shared" ca="1" si="282"/>
        <v>0</v>
      </c>
      <c r="AH67" s="675"/>
      <c r="AI67" s="1691">
        <f t="shared" ca="1" si="175"/>
        <v>0</v>
      </c>
      <c r="AJ67" s="1691">
        <f t="shared" ca="1" si="176"/>
        <v>164022641385.32056</v>
      </c>
      <c r="AK67" s="1691">
        <f t="shared" ca="1" si="177"/>
        <v>164022641385.32071</v>
      </c>
      <c r="AL67" s="1691">
        <f t="shared" ca="1" si="178"/>
        <v>164022641385.32251</v>
      </c>
      <c r="AM67" s="1691">
        <f t="shared" ca="1" si="179"/>
        <v>164022641385.31873</v>
      </c>
      <c r="AN67" s="1691">
        <f t="shared" ca="1" si="180"/>
        <v>164022641385.32248</v>
      </c>
      <c r="AO67" s="1691">
        <f t="shared" ca="1" si="181"/>
        <v>164022641385.32056</v>
      </c>
      <c r="AP67" s="1691">
        <f t="shared" ca="1" si="182"/>
        <v>164022641385.32071</v>
      </c>
      <c r="AQ67" s="1691">
        <f t="shared" ca="1" si="183"/>
        <v>164022641385.33026</v>
      </c>
      <c r="AS67" s="1707">
        <f ca="1">AVERAGE(Costs!$AI67:$AQ67)</f>
        <v>145797903453.61963</v>
      </c>
      <c r="AT67" s="1707">
        <f t="shared" ca="1" si="184"/>
        <v>1341854999094.7153</v>
      </c>
      <c r="AU67" s="675"/>
      <c r="AV67" s="1700">
        <f>IFERROR(VLOOKUP($A67,Cost.FinanceCostTable,5,FALSE),'Global assumptions'!$F$35)</f>
        <v>7.0000000000000007E-2</v>
      </c>
      <c r="AW67" s="1692">
        <f>IFERROR(VLOOKUP($A67,Cost.FinanceCostTable,6,FALSE),'Global assumptions'!$G$35)</f>
        <v>15</v>
      </c>
      <c r="AX67" s="675"/>
      <c r="AY67" s="1691">
        <f t="shared" ca="1" si="185"/>
        <v>0</v>
      </c>
      <c r="AZ67" s="1691">
        <f t="shared" ca="1" si="186"/>
        <v>90044021766.845276</v>
      </c>
      <c r="BA67" s="1691">
        <f t="shared" ca="1" si="187"/>
        <v>90044021766.845367</v>
      </c>
      <c r="BB67" s="1691">
        <f t="shared" ca="1" si="188"/>
        <v>90044021766.846359</v>
      </c>
      <c r="BC67" s="1691">
        <f t="shared" ca="1" si="189"/>
        <v>90044021766.844269</v>
      </c>
      <c r="BD67" s="1691">
        <f t="shared" ca="1" si="190"/>
        <v>90044021766.846344</v>
      </c>
      <c r="BE67" s="1691">
        <f t="shared" ca="1" si="191"/>
        <v>90044021766.845276</v>
      </c>
      <c r="BF67" s="1691">
        <f t="shared" ca="1" si="192"/>
        <v>90044021766.845367</v>
      </c>
      <c r="BG67" s="1691">
        <f t="shared" ca="1" si="193"/>
        <v>90044021766.850616</v>
      </c>
      <c r="BH67" s="675"/>
      <c r="BI67" s="1691">
        <f t="shared" ca="1" si="220"/>
        <v>0</v>
      </c>
      <c r="BJ67" s="1691">
        <f t="shared" ca="1" si="194"/>
        <v>90044021766.845276</v>
      </c>
      <c r="BK67" s="1691">
        <f t="shared" ca="1" si="195"/>
        <v>180088043533.69064</v>
      </c>
      <c r="BL67" s="1691">
        <f t="shared" ca="1" si="196"/>
        <v>270132065300.53702</v>
      </c>
      <c r="BM67" s="1691">
        <f t="shared" ca="1" si="197"/>
        <v>270132065300.53601</v>
      </c>
      <c r="BN67" s="1691">
        <f t="shared" ca="1" si="198"/>
        <v>270132065300.53696</v>
      </c>
      <c r="BO67" s="1691">
        <f t="shared" ca="1" si="199"/>
        <v>270132065300.53589</v>
      </c>
      <c r="BP67" s="1691">
        <f t="shared" ca="1" si="200"/>
        <v>270132065300.53699</v>
      </c>
      <c r="BQ67" s="1691">
        <f t="shared" ca="1" si="201"/>
        <v>270132065300.54126</v>
      </c>
      <c r="BR67" s="675"/>
      <c r="BS67" s="1702">
        <f t="shared" ca="1" si="202"/>
        <v>0</v>
      </c>
      <c r="BT67" s="1702">
        <f t="shared" ca="1" si="203"/>
        <v>90044021766.845276</v>
      </c>
      <c r="BU67" s="1702">
        <f t="shared" ca="1" si="204"/>
        <v>180088043533.69064</v>
      </c>
      <c r="BV67" s="1702">
        <f t="shared" ca="1" si="205"/>
        <v>270132065300.53702</v>
      </c>
      <c r="BW67" s="1702">
        <f t="shared" ca="1" si="206"/>
        <v>270132065300.53601</v>
      </c>
      <c r="BX67" s="1702">
        <f t="shared" ca="1" si="207"/>
        <v>270132065300.53696</v>
      </c>
      <c r="BY67" s="1702">
        <f t="shared" ca="1" si="208"/>
        <v>270132065300.53589</v>
      </c>
      <c r="BZ67" s="1702">
        <f t="shared" ca="1" si="209"/>
        <v>270132065300.53699</v>
      </c>
      <c r="CA67" s="1702">
        <f t="shared" ca="1" si="210"/>
        <v>270132065300.54126</v>
      </c>
      <c r="CC67" s="1707">
        <f ca="1">AVERAGE(Costs!$BS67:$CA67)</f>
        <v>210102717455.97333</v>
      </c>
      <c r="CD67" s="1707">
        <f t="shared" ca="1" si="211"/>
        <v>1477245117413.9646</v>
      </c>
      <c r="CF67" s="1704">
        <f t="shared" ca="1" si="221"/>
        <v>0</v>
      </c>
      <c r="CG67" s="1704">
        <f t="shared" ca="1" si="212"/>
        <v>-73978619618.475281</v>
      </c>
      <c r="CH67" s="1704">
        <f t="shared" ca="1" si="213"/>
        <v>16065402148.369934</v>
      </c>
      <c r="CI67" s="1704">
        <f t="shared" ca="1" si="214"/>
        <v>106109423915.21451</v>
      </c>
      <c r="CJ67" s="1704">
        <f t="shared" ca="1" si="215"/>
        <v>106109423915.21729</v>
      </c>
      <c r="CK67" s="1704">
        <f t="shared" ca="1" si="216"/>
        <v>106109423915.21448</v>
      </c>
      <c r="CL67" s="1704">
        <f t="shared" ca="1" si="217"/>
        <v>106109423915.21533</v>
      </c>
      <c r="CM67" s="1704">
        <f t="shared" ca="1" si="218"/>
        <v>106109423915.21628</v>
      </c>
      <c r="CN67" s="1704">
        <f t="shared" ca="1" si="219"/>
        <v>106109423915.211</v>
      </c>
      <c r="CP67" s="1707">
        <f ca="1">AVERAGE(Costs!$CF67:$CN67)</f>
        <v>64304814002.353729</v>
      </c>
      <c r="CQ67" s="1707">
        <f t="shared" ca="1" si="222"/>
        <v>135390118319.2491</v>
      </c>
      <c r="CR67" s="1426" t="str">
        <f t="shared" ca="1" si="223"/>
        <v>ok</v>
      </c>
    </row>
    <row r="68" spans="1:96" s="2126" customFormat="1" x14ac:dyDescent="0.2">
      <c r="A68" s="1683" t="s">
        <v>392</v>
      </c>
      <c r="B68" s="1683" t="s">
        <v>2217</v>
      </c>
      <c r="C68" s="1683" t="s">
        <v>1974</v>
      </c>
      <c r="E68" s="1689">
        <f t="shared" ca="1" si="280"/>
        <v>0</v>
      </c>
      <c r="F68" s="1689">
        <f t="shared" ca="1" si="280"/>
        <v>35050395992.30365</v>
      </c>
      <c r="G68" s="1689">
        <f t="shared" ca="1" si="280"/>
        <v>55087673938.71344</v>
      </c>
      <c r="H68" s="1689">
        <f t="shared" ca="1" si="280"/>
        <v>78981163419.082245</v>
      </c>
      <c r="I68" s="1689">
        <f t="shared" ca="1" si="280"/>
        <v>101952756546.37553</v>
      </c>
      <c r="J68" s="1689">
        <f t="shared" ca="1" si="280"/>
        <v>143148136513.75653</v>
      </c>
      <c r="K68" s="1689">
        <f t="shared" ca="1" si="280"/>
        <v>167623469987.00195</v>
      </c>
      <c r="L68" s="1689">
        <f t="shared" ca="1" si="280"/>
        <v>206151272913.3559</v>
      </c>
      <c r="M68" s="1689">
        <f t="shared" ca="1" si="280"/>
        <v>263767691615.05957</v>
      </c>
      <c r="N68" s="675"/>
      <c r="O68" s="1689">
        <f t="shared" ca="1" si="281"/>
        <v>0</v>
      </c>
      <c r="P68" s="1689">
        <f t="shared" ca="1" si="281"/>
        <v>0</v>
      </c>
      <c r="Q68" s="1689">
        <f t="shared" ca="1" si="281"/>
        <v>0</v>
      </c>
      <c r="R68" s="1689">
        <f t="shared" ca="1" si="281"/>
        <v>0</v>
      </c>
      <c r="S68" s="1689">
        <f t="shared" ca="1" si="281"/>
        <v>0</v>
      </c>
      <c r="T68" s="1689">
        <f t="shared" ca="1" si="281"/>
        <v>0</v>
      </c>
      <c r="U68" s="1689">
        <f t="shared" ca="1" si="281"/>
        <v>0</v>
      </c>
      <c r="V68" s="1689">
        <f t="shared" ca="1" si="281"/>
        <v>0</v>
      </c>
      <c r="W68" s="1689">
        <f t="shared" ca="1" si="281"/>
        <v>0</v>
      </c>
      <c r="X68" s="675"/>
      <c r="Y68" s="1689">
        <f t="shared" ca="1" si="282"/>
        <v>0</v>
      </c>
      <c r="Z68" s="1689">
        <f t="shared" ca="1" si="282"/>
        <v>0</v>
      </c>
      <c r="AA68" s="1689">
        <f t="shared" ca="1" si="282"/>
        <v>0</v>
      </c>
      <c r="AB68" s="1689">
        <f t="shared" ca="1" si="282"/>
        <v>0</v>
      </c>
      <c r="AC68" s="1689">
        <f t="shared" ca="1" si="282"/>
        <v>0</v>
      </c>
      <c r="AD68" s="1689">
        <f t="shared" ca="1" si="282"/>
        <v>0</v>
      </c>
      <c r="AE68" s="1689">
        <f t="shared" ca="1" si="282"/>
        <v>0</v>
      </c>
      <c r="AF68" s="1689">
        <f t="shared" ca="1" si="282"/>
        <v>0</v>
      </c>
      <c r="AG68" s="1689">
        <f t="shared" ca="1" si="282"/>
        <v>0</v>
      </c>
      <c r="AH68" s="675"/>
      <c r="AI68" s="1689">
        <f t="shared" ca="1" si="175"/>
        <v>0</v>
      </c>
      <c r="AJ68" s="1689">
        <f t="shared" ca="1" si="176"/>
        <v>35050395992.30365</v>
      </c>
      <c r="AK68" s="1689">
        <f t="shared" ca="1" si="177"/>
        <v>55087673938.71344</v>
      </c>
      <c r="AL68" s="1689">
        <f t="shared" ca="1" si="178"/>
        <v>78981163419.082245</v>
      </c>
      <c r="AM68" s="1689">
        <f t="shared" ca="1" si="179"/>
        <v>101952756546.37553</v>
      </c>
      <c r="AN68" s="1689">
        <f t="shared" ca="1" si="180"/>
        <v>143148136513.75653</v>
      </c>
      <c r="AO68" s="1689">
        <f t="shared" ca="1" si="181"/>
        <v>167623469987.00195</v>
      </c>
      <c r="AP68" s="1689">
        <f t="shared" ca="1" si="182"/>
        <v>206151272913.3559</v>
      </c>
      <c r="AQ68" s="1689">
        <f t="shared" ca="1" si="183"/>
        <v>263767691615.05957</v>
      </c>
      <c r="AS68" s="1706">
        <f ca="1">AVERAGE(Costs!$AI68:$AQ68)</f>
        <v>116862506769.51654</v>
      </c>
      <c r="AT68" s="1706">
        <f t="shared" ca="1" si="184"/>
        <v>606607305855.68994</v>
      </c>
      <c r="AU68" s="675"/>
      <c r="AV68" s="1699">
        <f>IFERROR(VLOOKUP($A68,Cost.FinanceCostTable,5,FALSE),'Global assumptions'!$F$35)</f>
        <v>7.0000000000000007E-2</v>
      </c>
      <c r="AW68" s="1690">
        <f>IFERROR(VLOOKUP($A68,Cost.FinanceCostTable,6,FALSE),'Global assumptions'!$G$35)</f>
        <v>15</v>
      </c>
      <c r="AX68" s="675"/>
      <c r="AY68" s="1689">
        <f t="shared" ca="1" si="185"/>
        <v>0</v>
      </c>
      <c r="AZ68" s="1689">
        <f t="shared" ca="1" si="186"/>
        <v>19241725367.983215</v>
      </c>
      <c r="BA68" s="1689">
        <f t="shared" ca="1" si="187"/>
        <v>30241652428.762306</v>
      </c>
      <c r="BB68" s="1689">
        <f t="shared" ca="1" si="188"/>
        <v>43358535980.235016</v>
      </c>
      <c r="BC68" s="1689">
        <f t="shared" ca="1" si="189"/>
        <v>55969323211.211952</v>
      </c>
      <c r="BD68" s="1689">
        <f t="shared" ca="1" si="190"/>
        <v>78584479625.88176</v>
      </c>
      <c r="BE68" s="1689">
        <f t="shared" ca="1" si="191"/>
        <v>92020779891.516571</v>
      </c>
      <c r="BF68" s="1689">
        <f t="shared" ca="1" si="192"/>
        <v>113171508205.78345</v>
      </c>
      <c r="BG68" s="1689">
        <f t="shared" ca="1" si="193"/>
        <v>144801373545.6315</v>
      </c>
      <c r="BH68" s="675"/>
      <c r="BI68" s="1689">
        <f t="shared" ca="1" si="220"/>
        <v>0</v>
      </c>
      <c r="BJ68" s="1689">
        <f t="shared" ca="1" si="194"/>
        <v>19241725367.983215</v>
      </c>
      <c r="BK68" s="1689">
        <f t="shared" ca="1" si="195"/>
        <v>49483377796.745522</v>
      </c>
      <c r="BL68" s="1689">
        <f t="shared" ca="1" si="196"/>
        <v>92841913776.98053</v>
      </c>
      <c r="BM68" s="1689">
        <f t="shared" ca="1" si="197"/>
        <v>129569511620.20927</v>
      </c>
      <c r="BN68" s="1689">
        <f t="shared" ca="1" si="198"/>
        <v>177912338817.32874</v>
      </c>
      <c r="BO68" s="1689">
        <f t="shared" ca="1" si="199"/>
        <v>226574582728.61029</v>
      </c>
      <c r="BP68" s="1689">
        <f t="shared" ca="1" si="200"/>
        <v>283776767723.18176</v>
      </c>
      <c r="BQ68" s="1689">
        <f t="shared" ca="1" si="201"/>
        <v>349993661642.93152</v>
      </c>
      <c r="BR68" s="675"/>
      <c r="BS68" s="1701">
        <f t="shared" ca="1" si="202"/>
        <v>0</v>
      </c>
      <c r="BT68" s="1701">
        <f t="shared" ca="1" si="203"/>
        <v>19241725367.983215</v>
      </c>
      <c r="BU68" s="1701">
        <f t="shared" ca="1" si="204"/>
        <v>49483377796.745522</v>
      </c>
      <c r="BV68" s="1701">
        <f t="shared" ca="1" si="205"/>
        <v>92841913776.98053</v>
      </c>
      <c r="BW68" s="1701">
        <f t="shared" ca="1" si="206"/>
        <v>129569511620.20927</v>
      </c>
      <c r="BX68" s="1701">
        <f t="shared" ca="1" si="207"/>
        <v>177912338817.32874</v>
      </c>
      <c r="BY68" s="1701">
        <f t="shared" ca="1" si="208"/>
        <v>226574582728.61029</v>
      </c>
      <c r="BZ68" s="1701">
        <f t="shared" ca="1" si="209"/>
        <v>283776767723.18176</v>
      </c>
      <c r="CA68" s="1701">
        <f t="shared" ca="1" si="210"/>
        <v>349993661642.93152</v>
      </c>
      <c r="CC68" s="1706">
        <f ca="1">AVERAGE(Costs!$BS68:$CA68)</f>
        <v>147710431052.66342</v>
      </c>
      <c r="CD68" s="1706">
        <f t="shared" ca="1" si="211"/>
        <v>654346822564.66272</v>
      </c>
      <c r="CF68" s="1703">
        <f t="shared" ca="1" si="221"/>
        <v>0</v>
      </c>
      <c r="CG68" s="1703">
        <f t="shared" ca="1" si="212"/>
        <v>-15808670624.320435</v>
      </c>
      <c r="CH68" s="1703">
        <f t="shared" ca="1" si="213"/>
        <v>-5604296141.9679184</v>
      </c>
      <c r="CI68" s="1703">
        <f t="shared" ca="1" si="214"/>
        <v>13860750357.898285</v>
      </c>
      <c r="CJ68" s="1703">
        <f t="shared" ca="1" si="215"/>
        <v>27616755073.83374</v>
      </c>
      <c r="CK68" s="1703">
        <f t="shared" ca="1" si="216"/>
        <v>34764202303.572205</v>
      </c>
      <c r="CL68" s="1703">
        <f t="shared" ca="1" si="217"/>
        <v>58951112741.608337</v>
      </c>
      <c r="CM68" s="1703">
        <f t="shared" ca="1" si="218"/>
        <v>77625494809.825867</v>
      </c>
      <c r="CN68" s="1703">
        <f t="shared" ca="1" si="219"/>
        <v>86225970027.871948</v>
      </c>
      <c r="CP68" s="1706">
        <f ca="1">AVERAGE(Costs!$CF68:$CN68)</f>
        <v>30847924283.146893</v>
      </c>
      <c r="CQ68" s="1706">
        <f t="shared" ca="1" si="222"/>
        <v>47739516708.972748</v>
      </c>
      <c r="CR68" s="1426" t="str">
        <f t="shared" ca="1" si="223"/>
        <v>ok</v>
      </c>
    </row>
    <row r="69" spans="1:96" s="2126" customFormat="1" x14ac:dyDescent="0.2">
      <c r="A69" s="1685" t="s">
        <v>393</v>
      </c>
      <c r="B69" s="1685" t="s">
        <v>2221</v>
      </c>
      <c r="C69" s="1685" t="s">
        <v>1974</v>
      </c>
      <c r="E69" s="1691">
        <f t="shared" ca="1" si="280"/>
        <v>0</v>
      </c>
      <c r="F69" s="1691">
        <f t="shared" ca="1" si="280"/>
        <v>210200014438.57086</v>
      </c>
      <c r="G69" s="1691">
        <f t="shared" ca="1" si="280"/>
        <v>255593451475.63559</v>
      </c>
      <c r="H69" s="1691">
        <f t="shared" ca="1" si="280"/>
        <v>358245927835.73462</v>
      </c>
      <c r="I69" s="1691">
        <f t="shared" ca="1" si="280"/>
        <v>335274351102.25983</v>
      </c>
      <c r="J69" s="1691">
        <f t="shared" ca="1" si="280"/>
        <v>360449810349.77844</v>
      </c>
      <c r="K69" s="1691">
        <f t="shared" ca="1" si="280"/>
        <v>122902774502.13159</v>
      </c>
      <c r="L69" s="1691">
        <f t="shared" ca="1" si="280"/>
        <v>115352550055.59846</v>
      </c>
      <c r="M69" s="1691">
        <f t="shared" ca="1" si="280"/>
        <v>223304883628.61063</v>
      </c>
      <c r="N69" s="675"/>
      <c r="O69" s="1691">
        <f t="shared" ca="1" si="281"/>
        <v>0</v>
      </c>
      <c r="P69" s="1691">
        <f t="shared" ca="1" si="281"/>
        <v>0</v>
      </c>
      <c r="Q69" s="1691">
        <f t="shared" ca="1" si="281"/>
        <v>0</v>
      </c>
      <c r="R69" s="1691">
        <f t="shared" ca="1" si="281"/>
        <v>0</v>
      </c>
      <c r="S69" s="1691">
        <f t="shared" ca="1" si="281"/>
        <v>0</v>
      </c>
      <c r="T69" s="1691">
        <f t="shared" ca="1" si="281"/>
        <v>0</v>
      </c>
      <c r="U69" s="1691">
        <f t="shared" ca="1" si="281"/>
        <v>0</v>
      </c>
      <c r="V69" s="1691">
        <f t="shared" ca="1" si="281"/>
        <v>0</v>
      </c>
      <c r="W69" s="1691">
        <f t="shared" ca="1" si="281"/>
        <v>0</v>
      </c>
      <c r="X69" s="675"/>
      <c r="Y69" s="1691">
        <f t="shared" ca="1" si="282"/>
        <v>0</v>
      </c>
      <c r="Z69" s="1691">
        <f t="shared" ca="1" si="282"/>
        <v>0</v>
      </c>
      <c r="AA69" s="1691">
        <f t="shared" ca="1" si="282"/>
        <v>0</v>
      </c>
      <c r="AB69" s="1691">
        <f t="shared" ca="1" si="282"/>
        <v>0</v>
      </c>
      <c r="AC69" s="1691">
        <f t="shared" ca="1" si="282"/>
        <v>0</v>
      </c>
      <c r="AD69" s="1691">
        <f t="shared" ca="1" si="282"/>
        <v>0</v>
      </c>
      <c r="AE69" s="1691">
        <f t="shared" ca="1" si="282"/>
        <v>0</v>
      </c>
      <c r="AF69" s="1691">
        <f t="shared" ca="1" si="282"/>
        <v>0</v>
      </c>
      <c r="AG69" s="1691">
        <f t="shared" ca="1" si="282"/>
        <v>0</v>
      </c>
      <c r="AH69" s="675"/>
      <c r="AI69" s="1691">
        <f t="shared" ca="1" si="175"/>
        <v>0</v>
      </c>
      <c r="AJ69" s="1691">
        <f t="shared" ca="1" si="176"/>
        <v>210200014438.57086</v>
      </c>
      <c r="AK69" s="1691">
        <f t="shared" ca="1" si="177"/>
        <v>255593451475.63559</v>
      </c>
      <c r="AL69" s="1691">
        <f t="shared" ca="1" si="178"/>
        <v>358245927835.73462</v>
      </c>
      <c r="AM69" s="1691">
        <f t="shared" ca="1" si="179"/>
        <v>335274351102.25983</v>
      </c>
      <c r="AN69" s="1691">
        <f t="shared" ca="1" si="180"/>
        <v>360449810349.77844</v>
      </c>
      <c r="AO69" s="1691">
        <f t="shared" ca="1" si="181"/>
        <v>122902774502.13159</v>
      </c>
      <c r="AP69" s="1691">
        <f t="shared" ca="1" si="182"/>
        <v>115352550055.59846</v>
      </c>
      <c r="AQ69" s="1691">
        <f t="shared" ca="1" si="183"/>
        <v>223304883628.61063</v>
      </c>
      <c r="AS69" s="1707">
        <f ca="1">AVERAGE(Costs!$AI69:$AQ69)</f>
        <v>220147084820.92444</v>
      </c>
      <c r="AT69" s="1707">
        <f t="shared" ca="1" si="184"/>
        <v>2100969522541.5173</v>
      </c>
      <c r="AU69" s="675"/>
      <c r="AV69" s="1700">
        <f>IFERROR(VLOOKUP($A69,Cost.FinanceCostTable,5,FALSE),'Global assumptions'!$F$35)</f>
        <v>7.0000000000000007E-2</v>
      </c>
      <c r="AW69" s="1692">
        <f>IFERROR(VLOOKUP($A69,Cost.FinanceCostTable,6,FALSE),'Global assumptions'!$G$35)</f>
        <v>15</v>
      </c>
      <c r="AX69" s="675"/>
      <c r="AY69" s="1691">
        <f t="shared" ca="1" si="185"/>
        <v>0</v>
      </c>
      <c r="AZ69" s="1691">
        <f t="shared" ca="1" si="186"/>
        <v>115394158487.14522</v>
      </c>
      <c r="BA69" s="1691">
        <f t="shared" ca="1" si="187"/>
        <v>140313935404.01169</v>
      </c>
      <c r="BB69" s="1691">
        <f t="shared" ca="1" si="188"/>
        <v>196667385986.9418</v>
      </c>
      <c r="BC69" s="1691">
        <f t="shared" ca="1" si="189"/>
        <v>184056607755.73059</v>
      </c>
      <c r="BD69" s="1691">
        <f t="shared" ca="1" si="190"/>
        <v>197877258254.51453</v>
      </c>
      <c r="BE69" s="1691">
        <f t="shared" ca="1" si="191"/>
        <v>67470320005.869881</v>
      </c>
      <c r="BF69" s="1691">
        <f t="shared" ca="1" si="192"/>
        <v>63325449708.292526</v>
      </c>
      <c r="BG69" s="1691">
        <f t="shared" ca="1" si="193"/>
        <v>122588379459.52623</v>
      </c>
      <c r="BH69" s="675"/>
      <c r="BI69" s="1691">
        <f t="shared" ca="1" si="220"/>
        <v>0</v>
      </c>
      <c r="BJ69" s="1691">
        <f t="shared" ca="1" si="194"/>
        <v>115394158487.14522</v>
      </c>
      <c r="BK69" s="1691">
        <f t="shared" ca="1" si="195"/>
        <v>255708093891.15692</v>
      </c>
      <c r="BL69" s="1691">
        <f t="shared" ca="1" si="196"/>
        <v>452375479878.09875</v>
      </c>
      <c r="BM69" s="1691">
        <f t="shared" ca="1" si="197"/>
        <v>521037929146.68408</v>
      </c>
      <c r="BN69" s="1691">
        <f t="shared" ca="1" si="198"/>
        <v>578601251997.18689</v>
      </c>
      <c r="BO69" s="1691">
        <f t="shared" ca="1" si="199"/>
        <v>449404186016.11499</v>
      </c>
      <c r="BP69" s="1691">
        <f t="shared" ca="1" si="200"/>
        <v>328673027968.67694</v>
      </c>
      <c r="BQ69" s="1691">
        <f t="shared" ca="1" si="201"/>
        <v>253384149173.68866</v>
      </c>
      <c r="BR69" s="675"/>
      <c r="BS69" s="1702">
        <f t="shared" ca="1" si="202"/>
        <v>0</v>
      </c>
      <c r="BT69" s="1702">
        <f t="shared" ca="1" si="203"/>
        <v>115394158487.14522</v>
      </c>
      <c r="BU69" s="1702">
        <f t="shared" ca="1" si="204"/>
        <v>255708093891.15692</v>
      </c>
      <c r="BV69" s="1702">
        <f t="shared" ca="1" si="205"/>
        <v>452375479878.09875</v>
      </c>
      <c r="BW69" s="1702">
        <f t="shared" ca="1" si="206"/>
        <v>521037929146.68408</v>
      </c>
      <c r="BX69" s="1702">
        <f t="shared" ca="1" si="207"/>
        <v>578601251997.18689</v>
      </c>
      <c r="BY69" s="1702">
        <f t="shared" ca="1" si="208"/>
        <v>449404186016.11499</v>
      </c>
      <c r="BZ69" s="1702">
        <f t="shared" ca="1" si="209"/>
        <v>328673027968.67694</v>
      </c>
      <c r="CA69" s="1702">
        <f t="shared" ca="1" si="210"/>
        <v>253384149173.68866</v>
      </c>
      <c r="CC69" s="1707">
        <f ca="1">AVERAGE(Costs!$BS69:$CA69)</f>
        <v>328286475173.19464</v>
      </c>
      <c r="CD69" s="1707">
        <f t="shared" ca="1" si="211"/>
        <v>2310957652757.3677</v>
      </c>
      <c r="CF69" s="1704">
        <f t="shared" ca="1" si="221"/>
        <v>0</v>
      </c>
      <c r="CG69" s="1704">
        <f t="shared" ca="1" si="212"/>
        <v>-94805855951.425644</v>
      </c>
      <c r="CH69" s="1704">
        <f t="shared" ca="1" si="213"/>
        <v>114642415.52133179</v>
      </c>
      <c r="CI69" s="1704">
        <f t="shared" ca="1" si="214"/>
        <v>94129552042.364136</v>
      </c>
      <c r="CJ69" s="1704">
        <f t="shared" ca="1" si="215"/>
        <v>185763578044.42426</v>
      </c>
      <c r="CK69" s="1704">
        <f t="shared" ca="1" si="216"/>
        <v>218151441647.40845</v>
      </c>
      <c r="CL69" s="1704">
        <f t="shared" ca="1" si="217"/>
        <v>326501411513.9834</v>
      </c>
      <c r="CM69" s="1704">
        <f t="shared" ca="1" si="218"/>
        <v>213320477913.07849</v>
      </c>
      <c r="CN69" s="1704">
        <f t="shared" ca="1" si="219"/>
        <v>30079265545.078033</v>
      </c>
      <c r="CP69" s="1707">
        <f ca="1">AVERAGE(Costs!$CF69:$CN69)</f>
        <v>108139390352.27026</v>
      </c>
      <c r="CQ69" s="1707">
        <f t="shared" ca="1" si="222"/>
        <v>209988130215.8504</v>
      </c>
      <c r="CR69" s="1426" t="str">
        <f t="shared" ca="1" si="223"/>
        <v>ok</v>
      </c>
    </row>
    <row r="70" spans="1:96" s="2126" customFormat="1" x14ac:dyDescent="0.2">
      <c r="A70" s="1683" t="s">
        <v>360</v>
      </c>
      <c r="B70" s="1683" t="s">
        <v>176</v>
      </c>
      <c r="C70" s="1683" t="s">
        <v>33</v>
      </c>
      <c r="E70" s="1689">
        <f t="shared" ca="1" si="280"/>
        <v>4517533500</v>
      </c>
      <c r="F70" s="1689">
        <f t="shared" ca="1" si="280"/>
        <v>4902701028.596983</v>
      </c>
      <c r="G70" s="1689">
        <f t="shared" ca="1" si="280"/>
        <v>5330877599.7716694</v>
      </c>
      <c r="H70" s="1689">
        <f t="shared" ca="1" si="280"/>
        <v>5807376801.9660749</v>
      </c>
      <c r="I70" s="1689">
        <f t="shared" ca="1" si="280"/>
        <v>6180023269.8313475</v>
      </c>
      <c r="J70" s="1689">
        <f t="shared" ca="1" si="280"/>
        <v>6582494459.4791908</v>
      </c>
      <c r="K70" s="1689">
        <f t="shared" ca="1" si="280"/>
        <v>7017404926.1193514</v>
      </c>
      <c r="L70" s="1689">
        <f t="shared" ca="1" si="280"/>
        <v>7487606499.0940771</v>
      </c>
      <c r="M70" s="1689">
        <f t="shared" ca="1" si="280"/>
        <v>7996210122.3027878</v>
      </c>
      <c r="N70" s="675"/>
      <c r="O70" s="1689">
        <f t="shared" ca="1" si="281"/>
        <v>476290298700.00006</v>
      </c>
      <c r="P70" s="1689">
        <f t="shared" ca="1" si="281"/>
        <v>498633452257.91895</v>
      </c>
      <c r="Q70" s="1689">
        <f t="shared" ca="1" si="281"/>
        <v>522631289085.5603</v>
      </c>
      <c r="R70" s="1689">
        <f t="shared" ca="1" si="281"/>
        <v>548457292077.80957</v>
      </c>
      <c r="S70" s="1689">
        <f t="shared" ca="1" si="281"/>
        <v>568390129161.71375</v>
      </c>
      <c r="T70" s="1689">
        <f t="shared" ca="1" si="281"/>
        <v>589422222738.2561</v>
      </c>
      <c r="U70" s="1689">
        <f t="shared" ca="1" si="281"/>
        <v>611636263829.0238</v>
      </c>
      <c r="V70" s="1689">
        <f t="shared" ca="1" si="281"/>
        <v>635122074393.67603</v>
      </c>
      <c r="W70" s="1689">
        <f t="shared" ca="1" si="281"/>
        <v>659977252553.4104</v>
      </c>
      <c r="X70" s="675"/>
      <c r="Y70" s="1689">
        <f t="shared" ca="1" si="282"/>
        <v>0</v>
      </c>
      <c r="Z70" s="1689">
        <f t="shared" ca="1" si="282"/>
        <v>0</v>
      </c>
      <c r="AA70" s="1689">
        <f t="shared" ca="1" si="282"/>
        <v>0</v>
      </c>
      <c r="AB70" s="1689">
        <f t="shared" ca="1" si="282"/>
        <v>0</v>
      </c>
      <c r="AC70" s="1689">
        <f t="shared" ca="1" si="282"/>
        <v>0</v>
      </c>
      <c r="AD70" s="1689">
        <f t="shared" ca="1" si="282"/>
        <v>0</v>
      </c>
      <c r="AE70" s="1689">
        <f t="shared" ca="1" si="282"/>
        <v>0</v>
      </c>
      <c r="AF70" s="1689">
        <f t="shared" ca="1" si="282"/>
        <v>0</v>
      </c>
      <c r="AG70" s="1689">
        <f t="shared" ca="1" si="282"/>
        <v>0</v>
      </c>
      <c r="AH70" s="675"/>
      <c r="AI70" s="1689">
        <f t="shared" ca="1" si="175"/>
        <v>480807832200.00006</v>
      </c>
      <c r="AJ70" s="1689">
        <f t="shared" ca="1" si="176"/>
        <v>503536153286.51593</v>
      </c>
      <c r="AK70" s="1689">
        <f t="shared" ca="1" si="177"/>
        <v>527962166685.33197</v>
      </c>
      <c r="AL70" s="1689">
        <f t="shared" ca="1" si="178"/>
        <v>554264668879.77563</v>
      </c>
      <c r="AM70" s="1689">
        <f t="shared" ca="1" si="179"/>
        <v>574570152431.54504</v>
      </c>
      <c r="AN70" s="1689">
        <f t="shared" ca="1" si="180"/>
        <v>596004717197.73535</v>
      </c>
      <c r="AO70" s="1689">
        <f t="shared" ca="1" si="181"/>
        <v>618653668755.14319</v>
      </c>
      <c r="AP70" s="1689">
        <f t="shared" ca="1" si="182"/>
        <v>642609680892.77014</v>
      </c>
      <c r="AQ70" s="1689">
        <f t="shared" ca="1" si="183"/>
        <v>667973462675.71313</v>
      </c>
      <c r="AS70" s="1706">
        <f ca="1">AVERAGE(Costs!$AI70:$AQ70)</f>
        <v>574042500333.83667</v>
      </c>
      <c r="AT70" s="1706">
        <f t="shared" ca="1" si="184"/>
        <v>4905887960705.7666</v>
      </c>
      <c r="AU70" s="675"/>
      <c r="AV70" s="1699">
        <f>IFERROR(VLOOKUP($A70,Cost.FinanceCostTable,5,FALSE),'Global assumptions'!$F$35)</f>
        <v>7.0000000000000007E-2</v>
      </c>
      <c r="AW70" s="1690">
        <f>IFERROR(VLOOKUP($A70,Cost.FinanceCostTable,6,FALSE),'Global assumptions'!$G$35)</f>
        <v>15</v>
      </c>
      <c r="AX70" s="675"/>
      <c r="AY70" s="1689">
        <f t="shared" ca="1" si="185"/>
        <v>1488002685.6201737</v>
      </c>
      <c r="AZ70" s="1689">
        <f t="shared" ca="1" si="186"/>
        <v>2691451097.2802224</v>
      </c>
      <c r="BA70" s="1689">
        <f t="shared" ca="1" si="187"/>
        <v>2926508526.9696651</v>
      </c>
      <c r="BB70" s="1689">
        <f t="shared" ca="1" si="188"/>
        <v>3188093782.3459845</v>
      </c>
      <c r="BC70" s="1689">
        <f t="shared" ca="1" si="189"/>
        <v>3392666677.7731004</v>
      </c>
      <c r="BD70" s="1689">
        <f t="shared" ca="1" si="190"/>
        <v>3613612543.8748636</v>
      </c>
      <c r="BE70" s="1689">
        <f t="shared" ca="1" si="191"/>
        <v>3852366701.1913433</v>
      </c>
      <c r="BF70" s="1689">
        <f t="shared" ca="1" si="192"/>
        <v>4110494727.3842583</v>
      </c>
      <c r="BG70" s="1689">
        <f t="shared" ca="1" si="193"/>
        <v>4389704447.0431213</v>
      </c>
      <c r="BH70" s="675"/>
      <c r="BI70" s="1689">
        <f t="shared" ca="1" si="220"/>
        <v>1488002685.6201737</v>
      </c>
      <c r="BJ70" s="1689">
        <f t="shared" ca="1" si="194"/>
        <v>4179453782.9003963</v>
      </c>
      <c r="BK70" s="1689">
        <f t="shared" ca="1" si="195"/>
        <v>7105962309.8700619</v>
      </c>
      <c r="BL70" s="1689">
        <f t="shared" ca="1" si="196"/>
        <v>8806053406.5958729</v>
      </c>
      <c r="BM70" s="1689">
        <f t="shared" ca="1" si="197"/>
        <v>9507268987.0887489</v>
      </c>
      <c r="BN70" s="1689">
        <f t="shared" ca="1" si="198"/>
        <v>10194373003.993948</v>
      </c>
      <c r="BO70" s="1689">
        <f t="shared" ca="1" si="199"/>
        <v>10858645922.839306</v>
      </c>
      <c r="BP70" s="1689">
        <f t="shared" ca="1" si="200"/>
        <v>11576473972.450466</v>
      </c>
      <c r="BQ70" s="1689">
        <f t="shared" ca="1" si="201"/>
        <v>12352565875.618723</v>
      </c>
      <c r="BR70" s="675"/>
      <c r="BS70" s="1701">
        <f t="shared" ca="1" si="202"/>
        <v>477778301385.62024</v>
      </c>
      <c r="BT70" s="1701">
        <f t="shared" ca="1" si="203"/>
        <v>502812906040.81934</v>
      </c>
      <c r="BU70" s="1701">
        <f t="shared" ca="1" si="204"/>
        <v>529737251395.43036</v>
      </c>
      <c r="BV70" s="1701">
        <f t="shared" ca="1" si="205"/>
        <v>557263345484.4054</v>
      </c>
      <c r="BW70" s="1701">
        <f t="shared" ca="1" si="206"/>
        <v>577897398148.80249</v>
      </c>
      <c r="BX70" s="1701">
        <f t="shared" ca="1" si="207"/>
        <v>599616595742.25</v>
      </c>
      <c r="BY70" s="1701">
        <f t="shared" ca="1" si="208"/>
        <v>622494909751.86316</v>
      </c>
      <c r="BZ70" s="1701">
        <f t="shared" ca="1" si="209"/>
        <v>646698548366.12646</v>
      </c>
      <c r="CA70" s="1701">
        <f t="shared" ca="1" si="210"/>
        <v>672329818429.02917</v>
      </c>
      <c r="CC70" s="1706">
        <f ca="1">AVERAGE(Costs!$BS70:$CA70)</f>
        <v>576292119416.03857</v>
      </c>
      <c r="CD70" s="1706">
        <f t="shared" ca="1" si="211"/>
        <v>4914804049458.1924</v>
      </c>
      <c r="CF70" s="1703">
        <f t="shared" ca="1" si="221"/>
        <v>-3029530814.3798265</v>
      </c>
      <c r="CG70" s="1703">
        <f t="shared" ca="1" si="212"/>
        <v>-723247245.69658661</v>
      </c>
      <c r="CH70" s="1703">
        <f t="shared" ca="1" si="213"/>
        <v>1775084710.0983925</v>
      </c>
      <c r="CI70" s="1703">
        <f t="shared" ca="1" si="214"/>
        <v>2998676604.6297979</v>
      </c>
      <c r="CJ70" s="1703">
        <f t="shared" ca="1" si="215"/>
        <v>3327245717.2574015</v>
      </c>
      <c r="CK70" s="1703">
        <f t="shared" ca="1" si="216"/>
        <v>3611878544.5147572</v>
      </c>
      <c r="CL70" s="1703">
        <f t="shared" ca="1" si="217"/>
        <v>3841240996.7199545</v>
      </c>
      <c r="CM70" s="1703">
        <f t="shared" ca="1" si="218"/>
        <v>4088867473.356389</v>
      </c>
      <c r="CN70" s="1703">
        <f t="shared" ca="1" si="219"/>
        <v>4356355753.3159351</v>
      </c>
      <c r="CP70" s="1706">
        <f ca="1">AVERAGE(Costs!$CF70:$CN70)</f>
        <v>2249619082.2018018</v>
      </c>
      <c r="CQ70" s="1706">
        <f t="shared" ca="1" si="222"/>
        <v>8916088752.4266205</v>
      </c>
      <c r="CR70" s="1426" t="str">
        <f t="shared" ca="1" si="223"/>
        <v>ok</v>
      </c>
    </row>
    <row r="71" spans="1:96" s="2126" customFormat="1" x14ac:dyDescent="0.2">
      <c r="A71" s="1685" t="s">
        <v>2592</v>
      </c>
      <c r="B71" s="1685" t="s">
        <v>1726</v>
      </c>
      <c r="C71" s="1685" t="s">
        <v>125</v>
      </c>
      <c r="E71" s="1691">
        <f t="shared" ca="1" si="280"/>
        <v>0</v>
      </c>
      <c r="F71" s="1691">
        <f t="shared" ca="1" si="280"/>
        <v>44195505359739.883</v>
      </c>
      <c r="G71" s="1691">
        <f t="shared" ca="1" si="280"/>
        <v>17026345606906.605</v>
      </c>
      <c r="H71" s="1691">
        <f t="shared" ca="1" si="280"/>
        <v>18035985022127.328</v>
      </c>
      <c r="I71" s="1691">
        <f t="shared" ca="1" si="280"/>
        <v>19218564355839.84</v>
      </c>
      <c r="J71" s="1691">
        <f t="shared" ca="1" si="280"/>
        <v>20632866729247.98</v>
      </c>
      <c r="K71" s="1691">
        <f t="shared" ca="1" si="280"/>
        <v>20914102339491.352</v>
      </c>
      <c r="L71" s="1691">
        <f t="shared" ca="1" si="280"/>
        <v>22309661889373.293</v>
      </c>
      <c r="M71" s="1691">
        <f t="shared" ca="1" si="280"/>
        <v>24007965266890.613</v>
      </c>
      <c r="N71" s="675"/>
      <c r="O71" s="1691">
        <f t="shared" ca="1" si="281"/>
        <v>65692822718465.781</v>
      </c>
      <c r="P71" s="1691">
        <f t="shared" ca="1" si="281"/>
        <v>573131191651013.87</v>
      </c>
      <c r="Q71" s="1691">
        <f t="shared" ca="1" si="281"/>
        <v>571480350718139.12</v>
      </c>
      <c r="R71" s="1691">
        <f t="shared" ca="1" si="281"/>
        <v>582191211880434.62</v>
      </c>
      <c r="S71" s="1691">
        <f t="shared" ca="1" si="281"/>
        <v>603217996759286.87</v>
      </c>
      <c r="T71" s="1691">
        <f t="shared" ca="1" si="281"/>
        <v>633911279979330.12</v>
      </c>
      <c r="U71" s="1691">
        <f t="shared" ca="1" si="281"/>
        <v>658221286343269</v>
      </c>
      <c r="V71" s="1691">
        <f t="shared" ca="1" si="281"/>
        <v>691302917348246.25</v>
      </c>
      <c r="W71" s="1691">
        <f t="shared" ca="1" si="281"/>
        <v>733898620852979.87</v>
      </c>
      <c r="X71" s="675"/>
      <c r="Y71" s="1691">
        <f t="shared" ca="1" si="282"/>
        <v>0</v>
      </c>
      <c r="Z71" s="1691">
        <f t="shared" ca="1" si="282"/>
        <v>0</v>
      </c>
      <c r="AA71" s="1691">
        <f t="shared" ca="1" si="282"/>
        <v>0</v>
      </c>
      <c r="AB71" s="1691">
        <f t="shared" ca="1" si="282"/>
        <v>0</v>
      </c>
      <c r="AC71" s="1691">
        <f t="shared" ca="1" si="282"/>
        <v>0</v>
      </c>
      <c r="AD71" s="1691">
        <f t="shared" ca="1" si="282"/>
        <v>0</v>
      </c>
      <c r="AE71" s="1691">
        <f t="shared" ca="1" si="282"/>
        <v>0</v>
      </c>
      <c r="AF71" s="1691">
        <f t="shared" ca="1" si="282"/>
        <v>0</v>
      </c>
      <c r="AG71" s="1691">
        <f t="shared" ca="1" si="282"/>
        <v>0</v>
      </c>
      <c r="AH71" s="675"/>
      <c r="AI71" s="1691">
        <f t="shared" ca="1" si="175"/>
        <v>65692822718465.781</v>
      </c>
      <c r="AJ71" s="1691">
        <f t="shared" ca="1" si="176"/>
        <v>617326697010753.75</v>
      </c>
      <c r="AK71" s="1691">
        <f t="shared" ca="1" si="177"/>
        <v>588506696325045.75</v>
      </c>
      <c r="AL71" s="1691">
        <f t="shared" ca="1" si="178"/>
        <v>600227196902562</v>
      </c>
      <c r="AM71" s="1691">
        <f t="shared" ca="1" si="179"/>
        <v>622436561115126.75</v>
      </c>
      <c r="AN71" s="1691">
        <f t="shared" ca="1" si="180"/>
        <v>654544146708578.12</v>
      </c>
      <c r="AO71" s="1691">
        <f t="shared" ca="1" si="181"/>
        <v>679135388682760.37</v>
      </c>
      <c r="AP71" s="1691">
        <f t="shared" ca="1" si="182"/>
        <v>713612579237619.5</v>
      </c>
      <c r="AQ71" s="1691">
        <f t="shared" ca="1" si="183"/>
        <v>757906586119870.5</v>
      </c>
      <c r="AS71" s="1707">
        <f ca="1">AVERAGE(Costs!$AI71:$AQ71)</f>
        <v>588820963868975.75</v>
      </c>
      <c r="AT71" s="1707">
        <f t="shared" ca="1" si="184"/>
        <v>5132421547235711</v>
      </c>
      <c r="AU71" s="675"/>
      <c r="AV71" s="1700">
        <f>IFERROR(VLOOKUP($A71,Cost.FinanceCostTable,5,FALSE),'Global assumptions'!$F$35)</f>
        <v>7.0000000000000007E-2</v>
      </c>
      <c r="AW71" s="1692">
        <f>IFERROR(VLOOKUP($A71,Cost.FinanceCostTable,6,FALSE),'Global assumptions'!$G$35)</f>
        <v>15</v>
      </c>
      <c r="AX71" s="675"/>
      <c r="AY71" s="1691">
        <f t="shared" ca="1" si="185"/>
        <v>0</v>
      </c>
      <c r="AZ71" s="1691">
        <f t="shared" ca="1" si="186"/>
        <v>24262144622219.816</v>
      </c>
      <c r="BA71" s="1691">
        <f t="shared" ca="1" si="187"/>
        <v>9347006129699.7109</v>
      </c>
      <c r="BB71" s="1691">
        <f t="shared" ca="1" si="188"/>
        <v>9901271033087.2266</v>
      </c>
      <c r="BC71" s="1691">
        <f t="shared" ca="1" si="189"/>
        <v>10550475303707.885</v>
      </c>
      <c r="BD71" s="1691">
        <f t="shared" ca="1" si="190"/>
        <v>11326889295218.334</v>
      </c>
      <c r="BE71" s="1691">
        <f t="shared" ca="1" si="191"/>
        <v>11481280086614.48</v>
      </c>
      <c r="BF71" s="1691">
        <f t="shared" ca="1" si="192"/>
        <v>12247404771750.447</v>
      </c>
      <c r="BG71" s="1691">
        <f t="shared" ca="1" si="193"/>
        <v>13179727681565.275</v>
      </c>
      <c r="BH71" s="675"/>
      <c r="BI71" s="1691">
        <f t="shared" ca="1" si="220"/>
        <v>0</v>
      </c>
      <c r="BJ71" s="1691">
        <f t="shared" ca="1" si="194"/>
        <v>24262144622219.816</v>
      </c>
      <c r="BK71" s="1691">
        <f t="shared" ca="1" si="195"/>
        <v>33609150751919.527</v>
      </c>
      <c r="BL71" s="1691">
        <f t="shared" ca="1" si="196"/>
        <v>43510421785006.75</v>
      </c>
      <c r="BM71" s="1691">
        <f t="shared" ca="1" si="197"/>
        <v>29798752466494.82</v>
      </c>
      <c r="BN71" s="1691">
        <f t="shared" ca="1" si="198"/>
        <v>31778635632013.445</v>
      </c>
      <c r="BO71" s="1691">
        <f t="shared" ca="1" si="199"/>
        <v>33358644685540.703</v>
      </c>
      <c r="BP71" s="1691">
        <f t="shared" ca="1" si="200"/>
        <v>35055574153583.262</v>
      </c>
      <c r="BQ71" s="1691">
        <f t="shared" ca="1" si="201"/>
        <v>36908412539930.203</v>
      </c>
      <c r="BR71" s="675"/>
      <c r="BS71" s="1702">
        <f t="shared" ca="1" si="202"/>
        <v>65692822718465.781</v>
      </c>
      <c r="BT71" s="1702">
        <f t="shared" ca="1" si="203"/>
        <v>597393336273233.75</v>
      </c>
      <c r="BU71" s="1702">
        <f t="shared" ca="1" si="204"/>
        <v>605089501470058.62</v>
      </c>
      <c r="BV71" s="1702">
        <f t="shared" ca="1" si="205"/>
        <v>625701633665441.37</v>
      </c>
      <c r="BW71" s="1702">
        <f t="shared" ca="1" si="206"/>
        <v>633016749225781.75</v>
      </c>
      <c r="BX71" s="1702">
        <f t="shared" ca="1" si="207"/>
        <v>665689915611343.62</v>
      </c>
      <c r="BY71" s="1702">
        <f t="shared" ca="1" si="208"/>
        <v>691579931028809.75</v>
      </c>
      <c r="BZ71" s="1702">
        <f t="shared" ca="1" si="209"/>
        <v>726358491501829.5</v>
      </c>
      <c r="CA71" s="1702">
        <f t="shared" ca="1" si="210"/>
        <v>770807033392910.12</v>
      </c>
      <c r="CC71" s="1707">
        <f ca="1">AVERAGE(Costs!$BS71:$CA71)</f>
        <v>597925490543097.12</v>
      </c>
      <c r="CD71" s="1707">
        <f t="shared" ca="1" si="211"/>
        <v>5155468996017322</v>
      </c>
      <c r="CF71" s="1704">
        <f t="shared" ca="1" si="221"/>
        <v>0</v>
      </c>
      <c r="CG71" s="1704">
        <f t="shared" ca="1" si="212"/>
        <v>-19933360737520.066</v>
      </c>
      <c r="CH71" s="1704">
        <f t="shared" ca="1" si="213"/>
        <v>16582805145012.922</v>
      </c>
      <c r="CI71" s="1704">
        <f t="shared" ca="1" si="214"/>
        <v>25474436762879.422</v>
      </c>
      <c r="CJ71" s="1704">
        <f t="shared" ca="1" si="215"/>
        <v>10580188110654.98</v>
      </c>
      <c r="CK71" s="1704">
        <f t="shared" ca="1" si="216"/>
        <v>11145768902765.465</v>
      </c>
      <c r="CL71" s="1704">
        <f t="shared" ca="1" si="217"/>
        <v>12444542346049.352</v>
      </c>
      <c r="CM71" s="1704">
        <f t="shared" ca="1" si="218"/>
        <v>12745912264209.969</v>
      </c>
      <c r="CN71" s="1704">
        <f t="shared" ca="1" si="219"/>
        <v>12900447273039.59</v>
      </c>
      <c r="CP71" s="1707">
        <f ca="1">AVERAGE(Costs!$CF71:$CN71)</f>
        <v>9104526674121.291</v>
      </c>
      <c r="CQ71" s="1707">
        <f t="shared" ca="1" si="222"/>
        <v>23047448781610.523</v>
      </c>
      <c r="CR71" s="1426" t="str">
        <f t="shared" ca="1" si="223"/>
        <v>ok</v>
      </c>
    </row>
    <row r="72" spans="1:96" s="2126" customFormat="1" x14ac:dyDescent="0.2">
      <c r="A72" s="1683" t="s">
        <v>1721</v>
      </c>
      <c r="B72" s="1683" t="s">
        <v>1727</v>
      </c>
      <c r="C72" s="1683" t="s">
        <v>125</v>
      </c>
      <c r="E72" s="1689">
        <f t="shared" ca="1" si="280"/>
        <v>0</v>
      </c>
      <c r="F72" s="1689">
        <f t="shared" ca="1" si="280"/>
        <v>7853122751420.4326</v>
      </c>
      <c r="G72" s="1689">
        <f t="shared" ca="1" si="280"/>
        <v>11359849866350.049</v>
      </c>
      <c r="H72" s="1689">
        <f t="shared" ca="1" si="280"/>
        <v>15647388479170.508</v>
      </c>
      <c r="I72" s="1689">
        <f t="shared" ca="1" si="280"/>
        <v>20832307728899.371</v>
      </c>
      <c r="J72" s="1689">
        <f t="shared" ca="1" si="280"/>
        <v>27075927297877.359</v>
      </c>
      <c r="K72" s="1689">
        <f t="shared" ca="1" si="280"/>
        <v>32911691589132.094</v>
      </c>
      <c r="L72" s="1689">
        <f t="shared" ca="1" si="280"/>
        <v>40423418547710.43</v>
      </c>
      <c r="M72" s="1689">
        <f t="shared" ca="1" si="280"/>
        <v>49152151730130.461</v>
      </c>
      <c r="N72" s="675"/>
      <c r="O72" s="1689">
        <f t="shared" ca="1" si="281"/>
        <v>0</v>
      </c>
      <c r="P72" s="1689">
        <f t="shared" ca="1" si="281"/>
        <v>44780253862999.453</v>
      </c>
      <c r="Q72" s="1689">
        <f t="shared" ca="1" si="281"/>
        <v>94132515634719.766</v>
      </c>
      <c r="R72" s="1689">
        <f t="shared" ca="1" si="281"/>
        <v>151154162175164.59</v>
      </c>
      <c r="S72" s="1689">
        <f t="shared" ca="1" si="281"/>
        <v>218629039849988.25</v>
      </c>
      <c r="T72" s="1689">
        <f t="shared" ca="1" si="281"/>
        <v>299415522662716.62</v>
      </c>
      <c r="U72" s="1689">
        <f t="shared" ca="1" si="281"/>
        <v>387079374354120.31</v>
      </c>
      <c r="V72" s="1689">
        <f t="shared" ca="1" si="281"/>
        <v>489421035084535.06</v>
      </c>
      <c r="W72" s="1689">
        <f t="shared" ca="1" si="281"/>
        <v>609081939859374.37</v>
      </c>
      <c r="X72" s="675"/>
      <c r="Y72" s="1689">
        <f t="shared" ca="1" si="282"/>
        <v>0</v>
      </c>
      <c r="Z72" s="1689">
        <f t="shared" ca="1" si="282"/>
        <v>0</v>
      </c>
      <c r="AA72" s="1689">
        <f t="shared" ca="1" si="282"/>
        <v>0</v>
      </c>
      <c r="AB72" s="1689">
        <f t="shared" ca="1" si="282"/>
        <v>0</v>
      </c>
      <c r="AC72" s="1689">
        <f t="shared" ca="1" si="282"/>
        <v>0</v>
      </c>
      <c r="AD72" s="1689">
        <f t="shared" ca="1" si="282"/>
        <v>0</v>
      </c>
      <c r="AE72" s="1689">
        <f t="shared" ca="1" si="282"/>
        <v>0</v>
      </c>
      <c r="AF72" s="1689">
        <f t="shared" ca="1" si="282"/>
        <v>0</v>
      </c>
      <c r="AG72" s="1689">
        <f t="shared" ca="1" si="282"/>
        <v>0</v>
      </c>
      <c r="AH72" s="675"/>
      <c r="AI72" s="1689">
        <f t="shared" ca="1" si="175"/>
        <v>0</v>
      </c>
      <c r="AJ72" s="1689">
        <f t="shared" ca="1" si="176"/>
        <v>52633376614419.883</v>
      </c>
      <c r="AK72" s="1689">
        <f t="shared" ca="1" si="177"/>
        <v>105492365501069.81</v>
      </c>
      <c r="AL72" s="1689">
        <f t="shared" ca="1" si="178"/>
        <v>166801550654335.09</v>
      </c>
      <c r="AM72" s="1689">
        <f t="shared" ca="1" si="179"/>
        <v>239461347578887.62</v>
      </c>
      <c r="AN72" s="1689">
        <f t="shared" ca="1" si="180"/>
        <v>326491449960594</v>
      </c>
      <c r="AO72" s="1689">
        <f t="shared" ca="1" si="181"/>
        <v>419991065943252.37</v>
      </c>
      <c r="AP72" s="1689">
        <f t="shared" ca="1" si="182"/>
        <v>529844453632245.5</v>
      </c>
      <c r="AQ72" s="1689">
        <f t="shared" ca="1" si="183"/>
        <v>658234091589504.87</v>
      </c>
      <c r="AS72" s="1706">
        <f ca="1">AVERAGE(Costs!$AI72:$AQ72)</f>
        <v>277661077941589.87</v>
      </c>
      <c r="AT72" s="1706">
        <f t="shared" ca="1" si="184"/>
        <v>1286715952470778</v>
      </c>
      <c r="AU72" s="675"/>
      <c r="AV72" s="1699">
        <f>IFERROR(VLOOKUP($A72,Cost.FinanceCostTable,5,FALSE),'Global assumptions'!$F$35)</f>
        <v>7.0000000000000007E-2</v>
      </c>
      <c r="AW72" s="1690">
        <f>IFERROR(VLOOKUP($A72,Cost.FinanceCostTable,6,FALSE),'Global assumptions'!$G$35)</f>
        <v>15</v>
      </c>
      <c r="AX72" s="675"/>
      <c r="AY72" s="1689">
        <f t="shared" ca="1" si="185"/>
        <v>0</v>
      </c>
      <c r="AZ72" s="1689">
        <f t="shared" ca="1" si="186"/>
        <v>4311153326115.7114</v>
      </c>
      <c r="BA72" s="1689">
        <f t="shared" ca="1" si="187"/>
        <v>6236252263678.4141</v>
      </c>
      <c r="BB72" s="1689">
        <f t="shared" ca="1" si="188"/>
        <v>8589995728106.8975</v>
      </c>
      <c r="BC72" s="1689">
        <f t="shared" ca="1" si="189"/>
        <v>11436377043751.924</v>
      </c>
      <c r="BD72" s="1689">
        <f t="shared" ca="1" si="190"/>
        <v>14863956380510.914</v>
      </c>
      <c r="BE72" s="1689">
        <f t="shared" ca="1" si="191"/>
        <v>18067634131520.16</v>
      </c>
      <c r="BF72" s="1689">
        <f t="shared" ca="1" si="192"/>
        <v>22191370342887.871</v>
      </c>
      <c r="BG72" s="1689">
        <f t="shared" ca="1" si="193"/>
        <v>26983210262283.02</v>
      </c>
      <c r="BH72" s="675"/>
      <c r="BI72" s="1689">
        <f t="shared" ca="1" si="220"/>
        <v>0</v>
      </c>
      <c r="BJ72" s="1689">
        <f t="shared" ca="1" si="194"/>
        <v>4311153326115.7114</v>
      </c>
      <c r="BK72" s="1689">
        <f t="shared" ca="1" si="195"/>
        <v>10547405589794.125</v>
      </c>
      <c r="BL72" s="1689">
        <f t="shared" ca="1" si="196"/>
        <v>19137401317901.023</v>
      </c>
      <c r="BM72" s="1689">
        <f t="shared" ca="1" si="197"/>
        <v>26262625035537.234</v>
      </c>
      <c r="BN72" s="1689">
        <f t="shared" ca="1" si="198"/>
        <v>34890329152369.734</v>
      </c>
      <c r="BO72" s="1689">
        <f t="shared" ca="1" si="199"/>
        <v>44367967555783</v>
      </c>
      <c r="BP72" s="1689">
        <f t="shared" ca="1" si="200"/>
        <v>55122960854918.937</v>
      </c>
      <c r="BQ72" s="1689">
        <f t="shared" ca="1" si="201"/>
        <v>67242214736691.047</v>
      </c>
      <c r="BR72" s="675"/>
      <c r="BS72" s="1701">
        <f t="shared" ca="1" si="202"/>
        <v>0</v>
      </c>
      <c r="BT72" s="1701">
        <f t="shared" ca="1" si="203"/>
        <v>49091407189115.164</v>
      </c>
      <c r="BU72" s="1701">
        <f t="shared" ca="1" si="204"/>
        <v>104679921224513.89</v>
      </c>
      <c r="BV72" s="1701">
        <f t="shared" ca="1" si="205"/>
        <v>170291563493065.62</v>
      </c>
      <c r="BW72" s="1701">
        <f t="shared" ca="1" si="206"/>
        <v>244891664885525.5</v>
      </c>
      <c r="BX72" s="1701">
        <f t="shared" ca="1" si="207"/>
        <v>334305851815086.37</v>
      </c>
      <c r="BY72" s="1701">
        <f t="shared" ca="1" si="208"/>
        <v>431447341909903.31</v>
      </c>
      <c r="BZ72" s="1701">
        <f t="shared" ca="1" si="209"/>
        <v>544543995939454</v>
      </c>
      <c r="CA72" s="1701">
        <f t="shared" ca="1" si="210"/>
        <v>676324154596065.37</v>
      </c>
      <c r="CC72" s="1706">
        <f ca="1">AVERAGE(Costs!$BS72:$CA72)</f>
        <v>283952877894747.75</v>
      </c>
      <c r="CD72" s="1706">
        <f t="shared" ca="1" si="211"/>
        <v>1296746005701457.3</v>
      </c>
      <c r="CF72" s="1703">
        <f t="shared" ca="1" si="221"/>
        <v>0</v>
      </c>
      <c r="CG72" s="1703">
        <f t="shared" ca="1" si="212"/>
        <v>-3541969425304.7212</v>
      </c>
      <c r="CH72" s="1703">
        <f t="shared" ca="1" si="213"/>
        <v>-812444276555.92383</v>
      </c>
      <c r="CI72" s="1703">
        <f t="shared" ca="1" si="214"/>
        <v>3490012838730.5156</v>
      </c>
      <c r="CJ72" s="1703">
        <f t="shared" ca="1" si="215"/>
        <v>5430317306637.8633</v>
      </c>
      <c r="CK72" s="1703">
        <f t="shared" ca="1" si="216"/>
        <v>7814401854492.375</v>
      </c>
      <c r="CL72" s="1703">
        <f t="shared" ca="1" si="217"/>
        <v>11456275966650.906</v>
      </c>
      <c r="CM72" s="1703">
        <f t="shared" ca="1" si="218"/>
        <v>14699542307208.508</v>
      </c>
      <c r="CN72" s="1703">
        <f t="shared" ca="1" si="219"/>
        <v>18090063006560.586</v>
      </c>
      <c r="CP72" s="1706">
        <f ca="1">AVERAGE(Costs!$CF72:$CN72)</f>
        <v>6291799953157.79</v>
      </c>
      <c r="CQ72" s="1706">
        <f t="shared" ca="1" si="222"/>
        <v>10030053230678.898</v>
      </c>
      <c r="CR72" s="1426" t="str">
        <f t="shared" ca="1" si="223"/>
        <v>ok</v>
      </c>
    </row>
    <row r="73" spans="1:96" s="2126" customFormat="1" x14ac:dyDescent="0.2">
      <c r="A73" s="1685" t="s">
        <v>1722</v>
      </c>
      <c r="B73" s="1685" t="s">
        <v>1728</v>
      </c>
      <c r="C73" s="1685" t="s">
        <v>125</v>
      </c>
      <c r="E73" s="1691">
        <f t="shared" ca="1" si="280"/>
        <v>0</v>
      </c>
      <c r="F73" s="1691">
        <f t="shared" ca="1" si="280"/>
        <v>1927648159413.5723</v>
      </c>
      <c r="G73" s="1691">
        <f t="shared" ca="1" si="280"/>
        <v>2800755570838.667</v>
      </c>
      <c r="H73" s="1691">
        <f t="shared" ca="1" si="280"/>
        <v>3860144788135.6011</v>
      </c>
      <c r="I73" s="1691">
        <f t="shared" ca="1" si="280"/>
        <v>5132785057482.7637</v>
      </c>
      <c r="J73" s="1691">
        <f t="shared" ca="1" si="280"/>
        <v>6655782245378.5137</v>
      </c>
      <c r="K73" s="1691">
        <f t="shared" ca="1" si="280"/>
        <v>8068453652714.2969</v>
      </c>
      <c r="L73" s="1691">
        <f t="shared" ca="1" si="280"/>
        <v>9876564975685.8477</v>
      </c>
      <c r="M73" s="1691">
        <f t="shared" ca="1" si="280"/>
        <v>8163377876538.5967</v>
      </c>
      <c r="N73" s="675"/>
      <c r="O73" s="1691">
        <f t="shared" ca="1" si="281"/>
        <v>0</v>
      </c>
      <c r="P73" s="1691">
        <f t="shared" ca="1" si="281"/>
        <v>9568007875154.8359</v>
      </c>
      <c r="Q73" s="1691">
        <f t="shared" ca="1" si="281"/>
        <v>20110536967450.656</v>
      </c>
      <c r="R73" s="1691">
        <f t="shared" ca="1" si="281"/>
        <v>32296375396529.488</v>
      </c>
      <c r="S73" s="1691">
        <f t="shared" ca="1" si="281"/>
        <v>46726610620730.359</v>
      </c>
      <c r="T73" s="1691">
        <f t="shared" ca="1" si="281"/>
        <v>64018571861908.383</v>
      </c>
      <c r="U73" s="1691">
        <f t="shared" ca="1" si="281"/>
        <v>82802588614721.25</v>
      </c>
      <c r="V73" s="1691">
        <f t="shared" ca="1" si="281"/>
        <v>104752402877834.28</v>
      </c>
      <c r="W73" s="1691">
        <f t="shared" ca="1" si="281"/>
        <v>130440050455213.41</v>
      </c>
      <c r="X73" s="675"/>
      <c r="Y73" s="1691">
        <f t="shared" ca="1" si="282"/>
        <v>0</v>
      </c>
      <c r="Z73" s="1691">
        <f t="shared" ca="1" si="282"/>
        <v>0</v>
      </c>
      <c r="AA73" s="1691">
        <f t="shared" ca="1" si="282"/>
        <v>0</v>
      </c>
      <c r="AB73" s="1691">
        <f t="shared" ca="1" si="282"/>
        <v>0</v>
      </c>
      <c r="AC73" s="1691">
        <f t="shared" ca="1" si="282"/>
        <v>0</v>
      </c>
      <c r="AD73" s="1691">
        <f t="shared" ca="1" si="282"/>
        <v>0</v>
      </c>
      <c r="AE73" s="1691">
        <f t="shared" ca="1" si="282"/>
        <v>0</v>
      </c>
      <c r="AF73" s="1691">
        <f t="shared" ca="1" si="282"/>
        <v>0</v>
      </c>
      <c r="AG73" s="1691">
        <f t="shared" ca="1" si="282"/>
        <v>0</v>
      </c>
      <c r="AH73" s="675"/>
      <c r="AI73" s="1691">
        <f t="shared" ca="1" si="175"/>
        <v>0</v>
      </c>
      <c r="AJ73" s="1691">
        <f t="shared" ca="1" si="176"/>
        <v>11495656034568.408</v>
      </c>
      <c r="AK73" s="1691">
        <f t="shared" ca="1" si="177"/>
        <v>22911292538289.324</v>
      </c>
      <c r="AL73" s="1691">
        <f t="shared" ca="1" si="178"/>
        <v>36156520184665.086</v>
      </c>
      <c r="AM73" s="1691">
        <f t="shared" ca="1" si="179"/>
        <v>51859395678213.125</v>
      </c>
      <c r="AN73" s="1691">
        <f t="shared" ca="1" si="180"/>
        <v>70674354107286.891</v>
      </c>
      <c r="AO73" s="1691">
        <f t="shared" ca="1" si="181"/>
        <v>90871042267435.547</v>
      </c>
      <c r="AP73" s="1691">
        <f t="shared" ca="1" si="182"/>
        <v>114628967853520.12</v>
      </c>
      <c r="AQ73" s="1691">
        <f t="shared" ca="1" si="183"/>
        <v>138603428331752</v>
      </c>
      <c r="AS73" s="1707">
        <f ca="1">AVERAGE(Costs!$AI73:$AQ73)</f>
        <v>59688961888414.5</v>
      </c>
      <c r="AT73" s="1707">
        <f t="shared" ca="1" si="184"/>
        <v>278215594434311.31</v>
      </c>
      <c r="AU73" s="675"/>
      <c r="AV73" s="1700">
        <f>IFERROR(VLOOKUP($A73,Cost.FinanceCostTable,5,FALSE),'Global assumptions'!$F$35)</f>
        <v>7.0000000000000007E-2</v>
      </c>
      <c r="AW73" s="1692">
        <f>IFERROR(VLOOKUP($A73,Cost.FinanceCostTable,6,FALSE),'Global assumptions'!$G$35)</f>
        <v>15</v>
      </c>
      <c r="AX73" s="675"/>
      <c r="AY73" s="1691">
        <f t="shared" ca="1" si="185"/>
        <v>0</v>
      </c>
      <c r="AZ73" s="1691">
        <f t="shared" ca="1" si="186"/>
        <v>1058227031091.996</v>
      </c>
      <c r="BA73" s="1691">
        <f t="shared" ca="1" si="187"/>
        <v>1537539533897.4241</v>
      </c>
      <c r="BB73" s="1691">
        <f t="shared" ca="1" si="188"/>
        <v>2119115741524.4736</v>
      </c>
      <c r="BC73" s="1691">
        <f t="shared" ca="1" si="189"/>
        <v>2817761045286.272</v>
      </c>
      <c r="BD73" s="1691">
        <f t="shared" ca="1" si="190"/>
        <v>3653845568614.7832</v>
      </c>
      <c r="BE73" s="1691">
        <f t="shared" ca="1" si="191"/>
        <v>4429364203586.1582</v>
      </c>
      <c r="BF73" s="1691">
        <f t="shared" ca="1" si="192"/>
        <v>5421968724202.667</v>
      </c>
      <c r="BG73" s="1691">
        <f t="shared" ca="1" si="193"/>
        <v>4481475051235.2754</v>
      </c>
      <c r="BH73" s="675"/>
      <c r="BI73" s="1691">
        <f t="shared" ca="1" si="220"/>
        <v>0</v>
      </c>
      <c r="BJ73" s="1691">
        <f t="shared" ca="1" si="194"/>
        <v>1058227031091.996</v>
      </c>
      <c r="BK73" s="1691">
        <f t="shared" ca="1" si="195"/>
        <v>2595766564989.4199</v>
      </c>
      <c r="BL73" s="1691">
        <f t="shared" ca="1" si="196"/>
        <v>4714882306513.8936</v>
      </c>
      <c r="BM73" s="1691">
        <f t="shared" ca="1" si="197"/>
        <v>6474416320708.1699</v>
      </c>
      <c r="BN73" s="1691">
        <f t="shared" ca="1" si="198"/>
        <v>8590722355425.5293</v>
      </c>
      <c r="BO73" s="1691">
        <f t="shared" ca="1" si="199"/>
        <v>10900970817487.213</v>
      </c>
      <c r="BP73" s="1691">
        <f t="shared" ca="1" si="200"/>
        <v>13505178496403.607</v>
      </c>
      <c r="BQ73" s="1691">
        <f t="shared" ca="1" si="201"/>
        <v>14332807979024.102</v>
      </c>
      <c r="BR73" s="675"/>
      <c r="BS73" s="1702">
        <f t="shared" ca="1" si="202"/>
        <v>0</v>
      </c>
      <c r="BT73" s="1702">
        <f t="shared" ca="1" si="203"/>
        <v>10626234906246.832</v>
      </c>
      <c r="BU73" s="1702">
        <f t="shared" ca="1" si="204"/>
        <v>22706303532440.078</v>
      </c>
      <c r="BV73" s="1702">
        <f t="shared" ca="1" si="205"/>
        <v>37011257703043.383</v>
      </c>
      <c r="BW73" s="1702">
        <f t="shared" ca="1" si="206"/>
        <v>53201026941438.531</v>
      </c>
      <c r="BX73" s="1702">
        <f t="shared" ca="1" si="207"/>
        <v>72609294217333.906</v>
      </c>
      <c r="BY73" s="1702">
        <f t="shared" ca="1" si="208"/>
        <v>93703559432208.469</v>
      </c>
      <c r="BZ73" s="1702">
        <f t="shared" ca="1" si="209"/>
        <v>118257581374237.89</v>
      </c>
      <c r="CA73" s="1702">
        <f t="shared" ca="1" si="210"/>
        <v>144772858434237.5</v>
      </c>
      <c r="CC73" s="1707">
        <f ca="1">AVERAGE(Costs!$BS73:$CA73)</f>
        <v>61432012949020.734</v>
      </c>
      <c r="CD73" s="1707">
        <f t="shared" ca="1" si="211"/>
        <v>281058321542862.87</v>
      </c>
      <c r="CF73" s="1704">
        <f t="shared" ca="1" si="221"/>
        <v>0</v>
      </c>
      <c r="CG73" s="1704">
        <f t="shared" ca="1" si="212"/>
        <v>-869421128321.57629</v>
      </c>
      <c r="CH73" s="1704">
        <f t="shared" ca="1" si="213"/>
        <v>-204989005849.24707</v>
      </c>
      <c r="CI73" s="1704">
        <f t="shared" ca="1" si="214"/>
        <v>854737518378.29248</v>
      </c>
      <c r="CJ73" s="1704">
        <f t="shared" ca="1" si="215"/>
        <v>1341631263225.4062</v>
      </c>
      <c r="CK73" s="1704">
        <f t="shared" ca="1" si="216"/>
        <v>1934940110047.0156</v>
      </c>
      <c r="CL73" s="1704">
        <f t="shared" ca="1" si="217"/>
        <v>2832517164772.916</v>
      </c>
      <c r="CM73" s="1704">
        <f t="shared" ca="1" si="218"/>
        <v>3628613520717.7598</v>
      </c>
      <c r="CN73" s="1704">
        <f t="shared" ca="1" si="219"/>
        <v>6169430102485.5049</v>
      </c>
      <c r="CP73" s="1707">
        <f ca="1">AVERAGE(Costs!$CF73:$CN73)</f>
        <v>1743051060606.23</v>
      </c>
      <c r="CQ73" s="1707">
        <f t="shared" ca="1" si="222"/>
        <v>2842727108551.5176</v>
      </c>
      <c r="CR73" s="1426" t="str">
        <f t="shared" ca="1" si="223"/>
        <v>ok</v>
      </c>
    </row>
    <row r="74" spans="1:96" s="2126" customFormat="1" x14ac:dyDescent="0.2">
      <c r="A74" s="1683" t="s">
        <v>2593</v>
      </c>
      <c r="B74" s="1683" t="s">
        <v>1726</v>
      </c>
      <c r="C74" s="1683" t="s">
        <v>125</v>
      </c>
      <c r="E74" s="1689">
        <f t="shared" ca="1" si="280"/>
        <v>0</v>
      </c>
      <c r="F74" s="1689">
        <f t="shared" ca="1" si="280"/>
        <v>1886845250328.5645</v>
      </c>
      <c r="G74" s="1689">
        <f t="shared" ca="1" si="280"/>
        <v>2540809778017.6177</v>
      </c>
      <c r="H74" s="1689">
        <f t="shared" ca="1" si="280"/>
        <v>3282516167038.3848</v>
      </c>
      <c r="I74" s="1689">
        <f t="shared" ca="1" si="280"/>
        <v>4106308864352.5088</v>
      </c>
      <c r="J74" s="1689">
        <f t="shared" ca="1" si="280"/>
        <v>5010580994172.0752</v>
      </c>
      <c r="K74" s="1689">
        <f t="shared" ca="1" si="280"/>
        <v>5685668933028.0928</v>
      </c>
      <c r="L74" s="1689">
        <f t="shared" ca="1" si="280"/>
        <v>6515533484336.957</v>
      </c>
      <c r="M74" s="1689">
        <f t="shared" ca="1" si="280"/>
        <v>7359476477886.709</v>
      </c>
      <c r="N74" s="675"/>
      <c r="O74" s="1689">
        <f t="shared" ca="1" si="281"/>
        <v>0</v>
      </c>
      <c r="P74" s="1689">
        <f t="shared" ca="1" si="281"/>
        <v>84063306204570.797</v>
      </c>
      <c r="Q74" s="1689">
        <f t="shared" ca="1" si="281"/>
        <v>168525510442969.66</v>
      </c>
      <c r="R74" s="1689">
        <f t="shared" ca="1" si="281"/>
        <v>257358482996620.56</v>
      </c>
      <c r="S74" s="1689">
        <f t="shared" ca="1" si="281"/>
        <v>352975737871226.5</v>
      </c>
      <c r="T74" s="1689">
        <f t="shared" ca="1" si="281"/>
        <v>456946601644971.56</v>
      </c>
      <c r="U74" s="1689">
        <f t="shared" ca="1" si="281"/>
        <v>556491498931874.37</v>
      </c>
      <c r="V74" s="1689">
        <f t="shared" ca="1" si="281"/>
        <v>660335552488551.75</v>
      </c>
      <c r="W74" s="1689">
        <f t="shared" ca="1" si="281"/>
        <v>767962238799878.62</v>
      </c>
      <c r="X74" s="675"/>
      <c r="Y74" s="1689">
        <f t="shared" ca="1" si="282"/>
        <v>0</v>
      </c>
      <c r="Z74" s="1689">
        <f t="shared" ca="1" si="282"/>
        <v>0</v>
      </c>
      <c r="AA74" s="1689">
        <f t="shared" ca="1" si="282"/>
        <v>0</v>
      </c>
      <c r="AB74" s="1689">
        <f t="shared" ca="1" si="282"/>
        <v>0</v>
      </c>
      <c r="AC74" s="1689">
        <f t="shared" ca="1" si="282"/>
        <v>0</v>
      </c>
      <c r="AD74" s="1689">
        <f t="shared" ca="1" si="282"/>
        <v>0</v>
      </c>
      <c r="AE74" s="1689">
        <f t="shared" ca="1" si="282"/>
        <v>0</v>
      </c>
      <c r="AF74" s="1689">
        <f t="shared" ca="1" si="282"/>
        <v>0</v>
      </c>
      <c r="AG74" s="1689">
        <f t="shared" ca="1" si="282"/>
        <v>0</v>
      </c>
      <c r="AH74" s="675"/>
      <c r="AI74" s="1689">
        <f t="shared" ca="1" si="175"/>
        <v>0</v>
      </c>
      <c r="AJ74" s="1689">
        <f t="shared" ca="1" si="176"/>
        <v>85950151454899.359</v>
      </c>
      <c r="AK74" s="1689">
        <f t="shared" ca="1" si="177"/>
        <v>171066320220987.28</v>
      </c>
      <c r="AL74" s="1689">
        <f t="shared" ca="1" si="178"/>
        <v>260640999163658.94</v>
      </c>
      <c r="AM74" s="1689">
        <f t="shared" ca="1" si="179"/>
        <v>357082046735579</v>
      </c>
      <c r="AN74" s="1689">
        <f t="shared" ca="1" si="180"/>
        <v>461957182639143.62</v>
      </c>
      <c r="AO74" s="1689">
        <f t="shared" ca="1" si="181"/>
        <v>562177167864902.44</v>
      </c>
      <c r="AP74" s="1689">
        <f t="shared" ca="1" si="182"/>
        <v>666851085972888.75</v>
      </c>
      <c r="AQ74" s="1689">
        <f t="shared" ca="1" si="183"/>
        <v>775321715277765.37</v>
      </c>
      <c r="AS74" s="1706">
        <f ca="1">AVERAGE(Costs!$AI74:$AQ74)</f>
        <v>371227407703313.81</v>
      </c>
      <c r="AT74" s="1706">
        <f t="shared" ca="1" si="184"/>
        <v>1878385799276809.7</v>
      </c>
      <c r="AU74" s="675"/>
      <c r="AV74" s="1699">
        <f>IFERROR(VLOOKUP($A74,Cost.FinanceCostTable,5,FALSE),'Global assumptions'!$F$35)</f>
        <v>7.0000000000000007E-2</v>
      </c>
      <c r="AW74" s="1690">
        <f>IFERROR(VLOOKUP($A74,Cost.FinanceCostTable,6,FALSE),'Global assumptions'!$G$35)</f>
        <v>15</v>
      </c>
      <c r="AX74" s="675"/>
      <c r="AY74" s="1689">
        <f t="shared" ca="1" si="185"/>
        <v>0</v>
      </c>
      <c r="AZ74" s="1689">
        <f t="shared" ca="1" si="186"/>
        <v>1035827330643.5074</v>
      </c>
      <c r="BA74" s="1689">
        <f t="shared" ca="1" si="187"/>
        <v>1394836280070.4602</v>
      </c>
      <c r="BB74" s="1689">
        <f t="shared" ca="1" si="188"/>
        <v>1802013153174.8298</v>
      </c>
      <c r="BC74" s="1689">
        <f t="shared" ca="1" si="189"/>
        <v>2254253203340.0005</v>
      </c>
      <c r="BD74" s="1689">
        <f t="shared" ca="1" si="190"/>
        <v>2750674298945.5962</v>
      </c>
      <c r="BE74" s="1689">
        <f t="shared" ca="1" si="191"/>
        <v>3121279433379.959</v>
      </c>
      <c r="BF74" s="1689">
        <f t="shared" ca="1" si="192"/>
        <v>3576852768198.0884</v>
      </c>
      <c r="BG74" s="1689">
        <f t="shared" ca="1" si="193"/>
        <v>4040154789427.2837</v>
      </c>
      <c r="BH74" s="675"/>
      <c r="BI74" s="1689">
        <f t="shared" ca="1" si="220"/>
        <v>0</v>
      </c>
      <c r="BJ74" s="1689">
        <f t="shared" ca="1" si="194"/>
        <v>1035827330643.5074</v>
      </c>
      <c r="BK74" s="1689">
        <f t="shared" ca="1" si="195"/>
        <v>2430663610713.9678</v>
      </c>
      <c r="BL74" s="1689">
        <f t="shared" ca="1" si="196"/>
        <v>4232676763888.7979</v>
      </c>
      <c r="BM74" s="1689">
        <f t="shared" ca="1" si="197"/>
        <v>5451102636585.291</v>
      </c>
      <c r="BN74" s="1689">
        <f t="shared" ca="1" si="198"/>
        <v>6806940655460.4258</v>
      </c>
      <c r="BO74" s="1689">
        <f t="shared" ca="1" si="199"/>
        <v>8126206935665.5547</v>
      </c>
      <c r="BP74" s="1689">
        <f t="shared" ca="1" si="200"/>
        <v>9448806500523.6445</v>
      </c>
      <c r="BQ74" s="1689">
        <f t="shared" ca="1" si="201"/>
        <v>10738286991005.33</v>
      </c>
      <c r="BR74" s="675"/>
      <c r="BS74" s="1701">
        <f t="shared" ca="1" si="202"/>
        <v>0</v>
      </c>
      <c r="BT74" s="1701">
        <f t="shared" ca="1" si="203"/>
        <v>85099133535214.297</v>
      </c>
      <c r="BU74" s="1701">
        <f t="shared" ca="1" si="204"/>
        <v>170956174053683.62</v>
      </c>
      <c r="BV74" s="1701">
        <f t="shared" ca="1" si="205"/>
        <v>261591159760509.37</v>
      </c>
      <c r="BW74" s="1701">
        <f t="shared" ca="1" si="206"/>
        <v>358426840507811.81</v>
      </c>
      <c r="BX74" s="1701">
        <f t="shared" ca="1" si="207"/>
        <v>463753542300432</v>
      </c>
      <c r="BY74" s="1701">
        <f t="shared" ca="1" si="208"/>
        <v>564617705867539.87</v>
      </c>
      <c r="BZ74" s="1701">
        <f t="shared" ca="1" si="209"/>
        <v>669784358989075.37</v>
      </c>
      <c r="CA74" s="1701">
        <f t="shared" ca="1" si="210"/>
        <v>778700525790884</v>
      </c>
      <c r="CC74" s="1706">
        <f ca="1">AVERAGE(Costs!$BS74:$CA74)</f>
        <v>372547715645016.75</v>
      </c>
      <c r="CD74" s="1706">
        <f t="shared" ca="1" si="211"/>
        <v>1880641916869331.2</v>
      </c>
      <c r="CF74" s="1703">
        <f t="shared" ca="1" si="221"/>
        <v>0</v>
      </c>
      <c r="CG74" s="1703">
        <f t="shared" ca="1" si="212"/>
        <v>-851017919685.05701</v>
      </c>
      <c r="CH74" s="1703">
        <f t="shared" ca="1" si="213"/>
        <v>-110146167303.6499</v>
      </c>
      <c r="CI74" s="1703">
        <f t="shared" ca="1" si="214"/>
        <v>950160596850.41309</v>
      </c>
      <c r="CJ74" s="1703">
        <f t="shared" ca="1" si="215"/>
        <v>1344793772232.7822</v>
      </c>
      <c r="CK74" s="1703">
        <f t="shared" ca="1" si="216"/>
        <v>1796359661288.3506</v>
      </c>
      <c r="CL74" s="1703">
        <f t="shared" ca="1" si="217"/>
        <v>2440538002637.4619</v>
      </c>
      <c r="CM74" s="1703">
        <f t="shared" ca="1" si="218"/>
        <v>2933273016186.6875</v>
      </c>
      <c r="CN74" s="1703">
        <f t="shared" ca="1" si="219"/>
        <v>3378810513118.6211</v>
      </c>
      <c r="CP74" s="1706">
        <f ca="1">AVERAGE(Costs!$CF74:$CN74)</f>
        <v>1320307941702.8455</v>
      </c>
      <c r="CQ74" s="1706">
        <f t="shared" ca="1" si="222"/>
        <v>2256117592522.2134</v>
      </c>
      <c r="CR74" s="1426" t="str">
        <f t="shared" ca="1" si="223"/>
        <v>ok</v>
      </c>
    </row>
    <row r="75" spans="1:96" s="2126" customFormat="1" x14ac:dyDescent="0.2">
      <c r="A75" s="1685" t="s">
        <v>1775</v>
      </c>
      <c r="B75" s="1685" t="s">
        <v>1730</v>
      </c>
      <c r="C75" s="1685" t="s">
        <v>125</v>
      </c>
      <c r="E75" s="1691">
        <f t="shared" ca="1" si="280"/>
        <v>0</v>
      </c>
      <c r="F75" s="1691">
        <f t="shared" ca="1" si="280"/>
        <v>6340718651.4264231</v>
      </c>
      <c r="G75" s="1691">
        <f t="shared" ca="1" si="280"/>
        <v>8517917959.9700212</v>
      </c>
      <c r="H75" s="1691">
        <f t="shared" ca="1" si="280"/>
        <v>11157828728.488743</v>
      </c>
      <c r="I75" s="1691">
        <f t="shared" ca="1" si="280"/>
        <v>14344462993.588051</v>
      </c>
      <c r="J75" s="1691">
        <f t="shared" ca="1" si="280"/>
        <v>18175922378.773781</v>
      </c>
      <c r="K75" s="1691">
        <f t="shared" ca="1" si="280"/>
        <v>22055020195.403919</v>
      </c>
      <c r="L75" s="1691">
        <f t="shared" ca="1" si="280"/>
        <v>26703430425.262951</v>
      </c>
      <c r="M75" s="1691">
        <f t="shared" ca="1" si="280"/>
        <v>32080543273.170227</v>
      </c>
      <c r="N75" s="675"/>
      <c r="O75" s="1691">
        <f t="shared" ca="1" si="281"/>
        <v>9754314218.7958984</v>
      </c>
      <c r="P75" s="1691">
        <f t="shared" ca="1" si="281"/>
        <v>13795139022.826845</v>
      </c>
      <c r="Q75" s="1691">
        <f t="shared" ca="1" si="281"/>
        <v>18729520306.073086</v>
      </c>
      <c r="R75" s="1691">
        <f t="shared" ca="1" si="281"/>
        <v>24722521947.42495</v>
      </c>
      <c r="S75" s="1691">
        <f t="shared" ca="1" si="281"/>
        <v>31967159285.354637</v>
      </c>
      <c r="T75" s="1691">
        <f t="shared" ca="1" si="281"/>
        <v>40688894878.012154</v>
      </c>
      <c r="U75" s="1691">
        <f t="shared" ca="1" si="281"/>
        <v>49915364153.595589</v>
      </c>
      <c r="V75" s="1691">
        <f t="shared" ca="1" si="281"/>
        <v>60621654881.394531</v>
      </c>
      <c r="W75" s="1691">
        <f t="shared" ca="1" si="281"/>
        <v>73015860450.287216</v>
      </c>
      <c r="X75" s="675"/>
      <c r="Y75" s="1691">
        <f t="shared" ca="1" si="282"/>
        <v>0</v>
      </c>
      <c r="Z75" s="1691">
        <f t="shared" ca="1" si="282"/>
        <v>0</v>
      </c>
      <c r="AA75" s="1691">
        <f t="shared" ca="1" si="282"/>
        <v>0</v>
      </c>
      <c r="AB75" s="1691">
        <f t="shared" ca="1" si="282"/>
        <v>0</v>
      </c>
      <c r="AC75" s="1691">
        <f t="shared" ca="1" si="282"/>
        <v>0</v>
      </c>
      <c r="AD75" s="1691">
        <f t="shared" ca="1" si="282"/>
        <v>0</v>
      </c>
      <c r="AE75" s="1691">
        <f t="shared" ca="1" si="282"/>
        <v>0</v>
      </c>
      <c r="AF75" s="1691">
        <f t="shared" ca="1" si="282"/>
        <v>0</v>
      </c>
      <c r="AG75" s="1691">
        <f t="shared" ca="1" si="282"/>
        <v>0</v>
      </c>
      <c r="AH75" s="675"/>
      <c r="AI75" s="1691">
        <f t="shared" ca="1" si="175"/>
        <v>9754314218.7958984</v>
      </c>
      <c r="AJ75" s="1691">
        <f t="shared" ca="1" si="176"/>
        <v>20135857674.253269</v>
      </c>
      <c r="AK75" s="1691">
        <f t="shared" ca="1" si="177"/>
        <v>27247438266.043106</v>
      </c>
      <c r="AL75" s="1691">
        <f t="shared" ca="1" si="178"/>
        <v>35880350675.913696</v>
      </c>
      <c r="AM75" s="1691">
        <f t="shared" ca="1" si="179"/>
        <v>46311622278.942688</v>
      </c>
      <c r="AN75" s="1691">
        <f t="shared" ca="1" si="180"/>
        <v>58864817256.785934</v>
      </c>
      <c r="AO75" s="1691">
        <f t="shared" ca="1" si="181"/>
        <v>71970384348.999512</v>
      </c>
      <c r="AP75" s="1691">
        <f t="shared" ca="1" si="182"/>
        <v>87325085306.657486</v>
      </c>
      <c r="AQ75" s="1691">
        <f t="shared" ca="1" si="183"/>
        <v>105096403723.45744</v>
      </c>
      <c r="AS75" s="1707">
        <f ca="1">AVERAGE(Costs!$AI75:$AQ75)</f>
        <v>51398474861.094337</v>
      </c>
      <c r="AT75" s="1707">
        <f t="shared" ca="1" si="184"/>
        <v>293940704311.04584</v>
      </c>
      <c r="AU75" s="675"/>
      <c r="AV75" s="1700">
        <f>IFERROR(VLOOKUP($A75,Cost.FinanceCostTable,5,FALSE),'Global assumptions'!$F$35)</f>
        <v>7.0000000000000007E-2</v>
      </c>
      <c r="AW75" s="1692">
        <f>IFERROR(VLOOKUP($A75,Cost.FinanceCostTable,6,FALSE),'Global assumptions'!$G$35)</f>
        <v>5</v>
      </c>
      <c r="AX75" s="675"/>
      <c r="AY75" s="1691">
        <f t="shared" ca="1" si="185"/>
        <v>0</v>
      </c>
      <c r="AZ75" s="1691">
        <f t="shared" ca="1" si="186"/>
        <v>7732211375.768816</v>
      </c>
      <c r="BA75" s="1691">
        <f t="shared" ca="1" si="187"/>
        <v>10387204632.258705</v>
      </c>
      <c r="BB75" s="1691">
        <f t="shared" ca="1" si="188"/>
        <v>13606452985.245167</v>
      </c>
      <c r="BC75" s="1691">
        <f t="shared" ca="1" si="189"/>
        <v>17492405204.473907</v>
      </c>
      <c r="BD75" s="1691">
        <f t="shared" ca="1" si="190"/>
        <v>22164691655.358246</v>
      </c>
      <c r="BE75" s="1691">
        <f t="shared" ca="1" si="191"/>
        <v>26895070956.87796</v>
      </c>
      <c r="BF75" s="1691">
        <f t="shared" ca="1" si="192"/>
        <v>32563590951.921494</v>
      </c>
      <c r="BG75" s="1691">
        <f t="shared" ca="1" si="193"/>
        <v>39120729884.750198</v>
      </c>
      <c r="BH75" s="675"/>
      <c r="BI75" s="1691">
        <f t="shared" ca="1" si="220"/>
        <v>0</v>
      </c>
      <c r="BJ75" s="1691">
        <f t="shared" ca="1" si="194"/>
        <v>7732211375.768816</v>
      </c>
      <c r="BK75" s="1691">
        <f t="shared" ca="1" si="195"/>
        <v>10387204632.258705</v>
      </c>
      <c r="BL75" s="1691">
        <f t="shared" ca="1" si="196"/>
        <v>13606452985.245167</v>
      </c>
      <c r="BM75" s="1691">
        <f t="shared" ca="1" si="197"/>
        <v>17492405204.473907</v>
      </c>
      <c r="BN75" s="1691">
        <f t="shared" ca="1" si="198"/>
        <v>22164691655.358246</v>
      </c>
      <c r="BO75" s="1691">
        <f t="shared" ca="1" si="199"/>
        <v>26895070956.87796</v>
      </c>
      <c r="BP75" s="1691">
        <f t="shared" ca="1" si="200"/>
        <v>32563590951.921494</v>
      </c>
      <c r="BQ75" s="1691">
        <f t="shared" ca="1" si="201"/>
        <v>39120729884.750198</v>
      </c>
      <c r="BR75" s="675"/>
      <c r="BS75" s="1702">
        <f t="shared" ca="1" si="202"/>
        <v>9754314218.7958984</v>
      </c>
      <c r="BT75" s="1702">
        <f t="shared" ca="1" si="203"/>
        <v>21527350398.595661</v>
      </c>
      <c r="BU75" s="1702">
        <f t="shared" ca="1" si="204"/>
        <v>29116724938.331791</v>
      </c>
      <c r="BV75" s="1702">
        <f t="shared" ca="1" si="205"/>
        <v>38328974932.67012</v>
      </c>
      <c r="BW75" s="1702">
        <f t="shared" ca="1" si="206"/>
        <v>49459564489.828545</v>
      </c>
      <c r="BX75" s="1702">
        <f t="shared" ca="1" si="207"/>
        <v>62853586533.370399</v>
      </c>
      <c r="BY75" s="1702">
        <f t="shared" ca="1" si="208"/>
        <v>76810435110.473541</v>
      </c>
      <c r="BZ75" s="1702">
        <f t="shared" ca="1" si="209"/>
        <v>93185245833.316025</v>
      </c>
      <c r="CA75" s="1702">
        <f t="shared" ca="1" si="210"/>
        <v>112136590335.03741</v>
      </c>
      <c r="CC75" s="1707">
        <f ca="1">AVERAGE(Costs!$BS75:$CA75)</f>
        <v>54796976310.0466</v>
      </c>
      <c r="CD75" s="1707">
        <f t="shared" ca="1" si="211"/>
        <v>313311881485.237</v>
      </c>
      <c r="CF75" s="1704">
        <f t="shared" ca="1" si="221"/>
        <v>0</v>
      </c>
      <c r="CG75" s="1704">
        <f t="shared" ca="1" si="212"/>
        <v>1391492724.3423929</v>
      </c>
      <c r="CH75" s="1704">
        <f t="shared" ca="1" si="213"/>
        <v>1869286672.2886839</v>
      </c>
      <c r="CI75" s="1704">
        <f t="shared" ca="1" si="214"/>
        <v>2448624256.756424</v>
      </c>
      <c r="CJ75" s="1704">
        <f t="shared" ca="1" si="215"/>
        <v>3147942210.8858566</v>
      </c>
      <c r="CK75" s="1704">
        <f t="shared" ca="1" si="216"/>
        <v>3988769276.584465</v>
      </c>
      <c r="CL75" s="1704">
        <f t="shared" ca="1" si="217"/>
        <v>4840050761.474041</v>
      </c>
      <c r="CM75" s="1704">
        <f t="shared" ca="1" si="218"/>
        <v>5860160526.6585426</v>
      </c>
      <c r="CN75" s="1704">
        <f t="shared" ca="1" si="219"/>
        <v>7040186611.5799713</v>
      </c>
      <c r="CP75" s="1707">
        <f ca="1">AVERAGE(Costs!$CF75:$CN75)</f>
        <v>3398501448.9522643</v>
      </c>
      <c r="CQ75" s="1707">
        <f t="shared" ca="1" si="222"/>
        <v>19371177174.191235</v>
      </c>
      <c r="CR75" s="1426" t="str">
        <f t="shared" ca="1" si="223"/>
        <v>ok</v>
      </c>
    </row>
    <row r="76" spans="1:96" s="2126" customFormat="1" x14ac:dyDescent="0.2">
      <c r="A76" s="1683" t="s">
        <v>1724</v>
      </c>
      <c r="B76" s="1683" t="s">
        <v>19</v>
      </c>
      <c r="C76" s="1683" t="s">
        <v>125</v>
      </c>
      <c r="E76" s="1689">
        <f t="shared" ca="1" si="280"/>
        <v>0</v>
      </c>
      <c r="F76" s="1689">
        <f t="shared" ca="1" si="280"/>
        <v>0</v>
      </c>
      <c r="G76" s="1689">
        <f t="shared" ca="1" si="280"/>
        <v>10912968586.432213</v>
      </c>
      <c r="H76" s="1689">
        <f t="shared" ca="1" si="280"/>
        <v>15015195237.925186</v>
      </c>
      <c r="I76" s="1689">
        <f t="shared" ca="1" si="280"/>
        <v>19486141665.05225</v>
      </c>
      <c r="J76" s="1689">
        <f t="shared" ca="1" si="280"/>
        <v>24855189349.219784</v>
      </c>
      <c r="K76" s="1689">
        <f t="shared" ca="1" si="280"/>
        <v>29023297884.083496</v>
      </c>
      <c r="L76" s="1689">
        <f t="shared" ca="1" si="280"/>
        <v>35469323987.293343</v>
      </c>
      <c r="M76" s="1689">
        <f t="shared" ca="1" si="280"/>
        <v>43561465901.725677</v>
      </c>
      <c r="N76" s="675"/>
      <c r="O76" s="1689">
        <f t="shared" ca="1" si="281"/>
        <v>1140224708017.6152</v>
      </c>
      <c r="P76" s="1689">
        <f t="shared" ca="1" si="281"/>
        <v>787536383227.64038</v>
      </c>
      <c r="Q76" s="1689">
        <f t="shared" ca="1" si="281"/>
        <v>864522845958.45996</v>
      </c>
      <c r="R76" s="1689">
        <f t="shared" ca="1" si="281"/>
        <v>991561913894.73145</v>
      </c>
      <c r="S76" s="1689">
        <f t="shared" ca="1" si="281"/>
        <v>1151332802966.8091</v>
      </c>
      <c r="T76" s="1689">
        <f t="shared" ca="1" si="281"/>
        <v>1342854485940.5957</v>
      </c>
      <c r="U76" s="1689">
        <f t="shared" ca="1" si="281"/>
        <v>1530972836188.6189</v>
      </c>
      <c r="V76" s="1689">
        <f t="shared" ca="1" si="281"/>
        <v>1746247383406.8845</v>
      </c>
      <c r="W76" s="1689">
        <f t="shared" ca="1" si="281"/>
        <v>1991533879491.3459</v>
      </c>
      <c r="X76" s="675"/>
      <c r="Y76" s="1689">
        <f t="shared" ca="1" si="282"/>
        <v>0</v>
      </c>
      <c r="Z76" s="1689">
        <f t="shared" ca="1" si="282"/>
        <v>0</v>
      </c>
      <c r="AA76" s="1689">
        <f t="shared" ca="1" si="282"/>
        <v>0</v>
      </c>
      <c r="AB76" s="1689">
        <f t="shared" ca="1" si="282"/>
        <v>0</v>
      </c>
      <c r="AC76" s="1689">
        <f t="shared" ca="1" si="282"/>
        <v>0</v>
      </c>
      <c r="AD76" s="1689">
        <f t="shared" ca="1" si="282"/>
        <v>0</v>
      </c>
      <c r="AE76" s="1689">
        <f t="shared" ca="1" si="282"/>
        <v>0</v>
      </c>
      <c r="AF76" s="1689">
        <f t="shared" ca="1" si="282"/>
        <v>0</v>
      </c>
      <c r="AG76" s="1689">
        <f t="shared" ca="1" si="282"/>
        <v>0</v>
      </c>
      <c r="AH76" s="675"/>
      <c r="AI76" s="1689">
        <f t="shared" ca="1" si="175"/>
        <v>1140224708017.6152</v>
      </c>
      <c r="AJ76" s="1689">
        <f t="shared" ca="1" si="176"/>
        <v>787536383227.64038</v>
      </c>
      <c r="AK76" s="1689">
        <f t="shared" ca="1" si="177"/>
        <v>875435814544.89221</v>
      </c>
      <c r="AL76" s="1689">
        <f t="shared" ca="1" si="178"/>
        <v>1006577109132.6566</v>
      </c>
      <c r="AM76" s="1689">
        <f t="shared" ca="1" si="179"/>
        <v>1170818944631.8613</v>
      </c>
      <c r="AN76" s="1689">
        <f t="shared" ca="1" si="180"/>
        <v>1367709675289.8154</v>
      </c>
      <c r="AO76" s="1689">
        <f t="shared" ca="1" si="181"/>
        <v>1559996134072.7024</v>
      </c>
      <c r="AP76" s="1689">
        <f t="shared" ca="1" si="182"/>
        <v>1781716707394.178</v>
      </c>
      <c r="AQ76" s="1689">
        <f t="shared" ca="1" si="183"/>
        <v>2035095345393.0715</v>
      </c>
      <c r="AS76" s="1706">
        <f ca="1">AVERAGE(Costs!$AI76:$AQ76)</f>
        <v>1302790091300.4927</v>
      </c>
      <c r="AT76" s="1706">
        <f t="shared" ca="1" si="184"/>
        <v>9300297206915.2656</v>
      </c>
      <c r="AU76" s="675"/>
      <c r="AV76" s="1699">
        <f>IFERROR(VLOOKUP($A76,Cost.FinanceCostTable,5,FALSE),'Global assumptions'!$F$35)</f>
        <v>7.0000000000000007E-2</v>
      </c>
      <c r="AW76" s="1690">
        <f>IFERROR(VLOOKUP($A76,Cost.FinanceCostTable,6,FALSE),'Global assumptions'!$G$35)</f>
        <v>30</v>
      </c>
      <c r="AX76" s="675"/>
      <c r="AY76" s="1689">
        <f t="shared" ca="1" si="185"/>
        <v>0</v>
      </c>
      <c r="AZ76" s="1689">
        <f t="shared" ca="1" si="186"/>
        <v>0</v>
      </c>
      <c r="BA76" s="1689">
        <f t="shared" ca="1" si="187"/>
        <v>4397184450.0515356</v>
      </c>
      <c r="BB76" s="1689">
        <f t="shared" ca="1" si="188"/>
        <v>6050102911.2077723</v>
      </c>
      <c r="BC76" s="1689">
        <f t="shared" ca="1" si="189"/>
        <v>7851590375.4728842</v>
      </c>
      <c r="BD76" s="1689">
        <f t="shared" ca="1" si="190"/>
        <v>10014951591.206495</v>
      </c>
      <c r="BE76" s="1689">
        <f t="shared" ca="1" si="191"/>
        <v>11694415972.549664</v>
      </c>
      <c r="BF76" s="1689">
        <f t="shared" ca="1" si="192"/>
        <v>14291726275.531784</v>
      </c>
      <c r="BG76" s="1689">
        <f t="shared" ca="1" si="193"/>
        <v>17552309343.459885</v>
      </c>
      <c r="BH76" s="675"/>
      <c r="BI76" s="1689">
        <f t="shared" ca="1" si="220"/>
        <v>0</v>
      </c>
      <c r="BJ76" s="1689">
        <f t="shared" ca="1" si="194"/>
        <v>0</v>
      </c>
      <c r="BK76" s="1689">
        <f t="shared" ca="1" si="195"/>
        <v>4397184450.0515356</v>
      </c>
      <c r="BL76" s="1689">
        <f t="shared" ca="1" si="196"/>
        <v>10447287361.259308</v>
      </c>
      <c r="BM76" s="1689">
        <f t="shared" ca="1" si="197"/>
        <v>18298877736.732193</v>
      </c>
      <c r="BN76" s="1689">
        <f t="shared" ca="1" si="198"/>
        <v>28313829327.938686</v>
      </c>
      <c r="BO76" s="1689">
        <f t="shared" ca="1" si="199"/>
        <v>40008245300.48835</v>
      </c>
      <c r="BP76" s="1689">
        <f t="shared" ca="1" si="200"/>
        <v>62151561951.493027</v>
      </c>
      <c r="BQ76" s="1689">
        <f t="shared" ca="1" si="201"/>
        <v>75306686844.901367</v>
      </c>
      <c r="BR76" s="675"/>
      <c r="BS76" s="1701">
        <f t="shared" ca="1" si="202"/>
        <v>1140224708017.6152</v>
      </c>
      <c r="BT76" s="1701">
        <f t="shared" ca="1" si="203"/>
        <v>787536383227.64038</v>
      </c>
      <c r="BU76" s="1701">
        <f t="shared" ca="1" si="204"/>
        <v>868920030408.51147</v>
      </c>
      <c r="BV76" s="1701">
        <f t="shared" ca="1" si="205"/>
        <v>1002009201255.9907</v>
      </c>
      <c r="BW76" s="1701">
        <f t="shared" ca="1" si="206"/>
        <v>1169631680703.5413</v>
      </c>
      <c r="BX76" s="1701">
        <f t="shared" ca="1" si="207"/>
        <v>1371168315268.5344</v>
      </c>
      <c r="BY76" s="1701">
        <f t="shared" ca="1" si="208"/>
        <v>1570981081489.1072</v>
      </c>
      <c r="BZ76" s="1701">
        <f t="shared" ca="1" si="209"/>
        <v>1808398945358.3774</v>
      </c>
      <c r="CA76" s="1701">
        <f t="shared" ca="1" si="210"/>
        <v>2066840566336.2473</v>
      </c>
      <c r="CC76" s="1706">
        <f ca="1">AVERAGE(Costs!$BS76:$CA76)</f>
        <v>1309523434673.9519</v>
      </c>
      <c r="CD76" s="1706">
        <f t="shared" ca="1" si="211"/>
        <v>9299494085178.5234</v>
      </c>
      <c r="CF76" s="1703">
        <f t="shared" ca="1" si="221"/>
        <v>0</v>
      </c>
      <c r="CG76" s="1703">
        <f t="shared" ca="1" si="212"/>
        <v>0</v>
      </c>
      <c r="CH76" s="1703">
        <f t="shared" ca="1" si="213"/>
        <v>-6515784136.3806772</v>
      </c>
      <c r="CI76" s="1703">
        <f t="shared" ca="1" si="214"/>
        <v>-4567907876.6658783</v>
      </c>
      <c r="CJ76" s="1703">
        <f t="shared" ca="1" si="215"/>
        <v>-1187263928.3200569</v>
      </c>
      <c r="CK76" s="1703">
        <f t="shared" ca="1" si="216"/>
        <v>3458639978.7189026</v>
      </c>
      <c r="CL76" s="1703">
        <f t="shared" ca="1" si="217"/>
        <v>10984947416.404854</v>
      </c>
      <c r="CM76" s="1703">
        <f t="shared" ca="1" si="218"/>
        <v>26682237964.199684</v>
      </c>
      <c r="CN76" s="1703">
        <f t="shared" ca="1" si="219"/>
        <v>31745220943.17569</v>
      </c>
      <c r="CP76" s="1706">
        <f ca="1">AVERAGE(Costs!$CF76:$CN76)</f>
        <v>6733343373.4591694</v>
      </c>
      <c r="CQ76" s="1706">
        <f t="shared" ca="1" si="222"/>
        <v>-803121736.74227357</v>
      </c>
      <c r="CR76" s="1426" t="str">
        <f t="shared" ca="1" si="223"/>
        <v>ok</v>
      </c>
    </row>
    <row r="77" spans="1:96" s="2126" customFormat="1" x14ac:dyDescent="0.2">
      <c r="A77" s="1685" t="s">
        <v>1725</v>
      </c>
      <c r="B77" s="1685" t="s">
        <v>397</v>
      </c>
      <c r="C77" s="1685" t="s">
        <v>125</v>
      </c>
      <c r="E77" s="1691">
        <f t="shared" ref="E77:M86" ca="1" si="283">IFERROR(INDEX(INDIRECT($A77&amp;".Costs["&amp;E$2&amp;"]"), MATCH($E$45, INDIRECT($A77&amp;".Costs[Vector]"), 0)),0)</f>
        <v>0</v>
      </c>
      <c r="F77" s="1691">
        <f t="shared" ca="1" si="283"/>
        <v>0</v>
      </c>
      <c r="G77" s="1691">
        <f t="shared" ca="1" si="283"/>
        <v>0</v>
      </c>
      <c r="H77" s="1691">
        <f t="shared" ca="1" si="283"/>
        <v>0</v>
      </c>
      <c r="I77" s="1691">
        <f t="shared" ca="1" si="283"/>
        <v>0</v>
      </c>
      <c r="J77" s="1691">
        <f t="shared" ca="1" si="283"/>
        <v>0</v>
      </c>
      <c r="K77" s="1691">
        <f t="shared" ca="1" si="283"/>
        <v>0</v>
      </c>
      <c r="L77" s="1691">
        <f t="shared" ca="1" si="283"/>
        <v>0</v>
      </c>
      <c r="M77" s="1691">
        <f t="shared" ca="1" si="283"/>
        <v>0</v>
      </c>
      <c r="N77" s="675"/>
      <c r="O77" s="1691">
        <f t="shared" ref="O77:W86" ca="1" si="284">IFERROR(INDEX(INDIRECT($A77&amp;".Costs["&amp;O$2&amp;"]"), MATCH($O$45, INDIRECT($A77&amp;".Costs[Vector]"), 0)),0)</f>
        <v>0</v>
      </c>
      <c r="P77" s="1691">
        <f t="shared" ca="1" si="284"/>
        <v>0</v>
      </c>
      <c r="Q77" s="1691">
        <f t="shared" ca="1" si="284"/>
        <v>0</v>
      </c>
      <c r="R77" s="1691">
        <f t="shared" ca="1" si="284"/>
        <v>0</v>
      </c>
      <c r="S77" s="1691">
        <f t="shared" ca="1" si="284"/>
        <v>0</v>
      </c>
      <c r="T77" s="1691">
        <f t="shared" ca="1" si="284"/>
        <v>0</v>
      </c>
      <c r="U77" s="1691">
        <f t="shared" ca="1" si="284"/>
        <v>0</v>
      </c>
      <c r="V77" s="1691">
        <f t="shared" ca="1" si="284"/>
        <v>0</v>
      </c>
      <c r="W77" s="1691">
        <f t="shared" ca="1" si="284"/>
        <v>0</v>
      </c>
      <c r="X77" s="675"/>
      <c r="Y77" s="1691">
        <f t="shared" ref="Y77:AG86" ca="1" si="285">IFERROR(INDEX(INDIRECT($A77&amp;".Costs["&amp;Y$2&amp;"]"), MATCH($Y$45, INDIRECT($A77&amp;".Costs[Vector]"), 0)),0)</f>
        <v>0</v>
      </c>
      <c r="Z77" s="1691">
        <f t="shared" ca="1" si="285"/>
        <v>0</v>
      </c>
      <c r="AA77" s="1691">
        <f t="shared" ca="1" si="285"/>
        <v>0</v>
      </c>
      <c r="AB77" s="1691">
        <f t="shared" ca="1" si="285"/>
        <v>0</v>
      </c>
      <c r="AC77" s="1691">
        <f t="shared" ca="1" si="285"/>
        <v>0</v>
      </c>
      <c r="AD77" s="1691">
        <f t="shared" ca="1" si="285"/>
        <v>0</v>
      </c>
      <c r="AE77" s="1691">
        <f t="shared" ca="1" si="285"/>
        <v>0</v>
      </c>
      <c r="AF77" s="1691">
        <f t="shared" ca="1" si="285"/>
        <v>0</v>
      </c>
      <c r="AG77" s="1691">
        <f t="shared" ca="1" si="285"/>
        <v>0</v>
      </c>
      <c r="AH77" s="675"/>
      <c r="AI77" s="1691">
        <f t="shared" ca="1" si="175"/>
        <v>0</v>
      </c>
      <c r="AJ77" s="1691">
        <f t="shared" ca="1" si="176"/>
        <v>0</v>
      </c>
      <c r="AK77" s="1691">
        <f t="shared" ca="1" si="177"/>
        <v>0</v>
      </c>
      <c r="AL77" s="1691">
        <f t="shared" ca="1" si="178"/>
        <v>0</v>
      </c>
      <c r="AM77" s="1691">
        <f t="shared" ca="1" si="179"/>
        <v>0</v>
      </c>
      <c r="AN77" s="1691">
        <f t="shared" ca="1" si="180"/>
        <v>0</v>
      </c>
      <c r="AO77" s="1691">
        <f t="shared" ca="1" si="181"/>
        <v>0</v>
      </c>
      <c r="AP77" s="1691">
        <f t="shared" ca="1" si="182"/>
        <v>0</v>
      </c>
      <c r="AQ77" s="1691">
        <f t="shared" ca="1" si="183"/>
        <v>0</v>
      </c>
      <c r="AS77" s="1707">
        <f ca="1">AVERAGE(Costs!$AI77:$AQ77)</f>
        <v>0</v>
      </c>
      <c r="AT77" s="1707">
        <f t="shared" ca="1" si="184"/>
        <v>0</v>
      </c>
      <c r="AU77" s="675"/>
      <c r="AV77" s="1700">
        <f>IFERROR(VLOOKUP($A77,Cost.FinanceCostTable,5,FALSE),'Global assumptions'!$F$35)</f>
        <v>7.0000000000000007E-2</v>
      </c>
      <c r="AW77" s="1692">
        <f>IFERROR(VLOOKUP($A77,Cost.FinanceCostTable,6,FALSE),'Global assumptions'!$G$35)</f>
        <v>30</v>
      </c>
      <c r="AX77" s="675"/>
      <c r="AY77" s="1691">
        <f t="shared" ca="1" si="185"/>
        <v>0</v>
      </c>
      <c r="AZ77" s="1691">
        <f t="shared" ca="1" si="186"/>
        <v>0</v>
      </c>
      <c r="BA77" s="1691">
        <f t="shared" ca="1" si="187"/>
        <v>0</v>
      </c>
      <c r="BB77" s="1691">
        <f t="shared" ca="1" si="188"/>
        <v>0</v>
      </c>
      <c r="BC77" s="1691">
        <f t="shared" ca="1" si="189"/>
        <v>0</v>
      </c>
      <c r="BD77" s="1691">
        <f t="shared" ca="1" si="190"/>
        <v>0</v>
      </c>
      <c r="BE77" s="1691">
        <f t="shared" ca="1" si="191"/>
        <v>0</v>
      </c>
      <c r="BF77" s="1691">
        <f t="shared" ca="1" si="192"/>
        <v>0</v>
      </c>
      <c r="BG77" s="1691">
        <f t="shared" ca="1" si="193"/>
        <v>0</v>
      </c>
      <c r="BH77" s="675"/>
      <c r="BI77" s="1691">
        <f t="shared" ca="1" si="220"/>
        <v>0</v>
      </c>
      <c r="BJ77" s="1691">
        <f t="shared" ca="1" si="194"/>
        <v>0</v>
      </c>
      <c r="BK77" s="1691">
        <f t="shared" ca="1" si="195"/>
        <v>0</v>
      </c>
      <c r="BL77" s="1691">
        <f t="shared" ca="1" si="196"/>
        <v>0</v>
      </c>
      <c r="BM77" s="1691">
        <f t="shared" ca="1" si="197"/>
        <v>0</v>
      </c>
      <c r="BN77" s="1691">
        <f t="shared" ca="1" si="198"/>
        <v>0</v>
      </c>
      <c r="BO77" s="1691">
        <f t="shared" ca="1" si="199"/>
        <v>0</v>
      </c>
      <c r="BP77" s="1691">
        <f t="shared" ca="1" si="200"/>
        <v>0</v>
      </c>
      <c r="BQ77" s="1691">
        <f t="shared" ca="1" si="201"/>
        <v>0</v>
      </c>
      <c r="BR77" s="675"/>
      <c r="BS77" s="1702">
        <f t="shared" ca="1" si="202"/>
        <v>0</v>
      </c>
      <c r="BT77" s="1702">
        <f t="shared" ca="1" si="203"/>
        <v>0</v>
      </c>
      <c r="BU77" s="1702">
        <f t="shared" ca="1" si="204"/>
        <v>0</v>
      </c>
      <c r="BV77" s="1702">
        <f t="shared" ca="1" si="205"/>
        <v>0</v>
      </c>
      <c r="BW77" s="1702">
        <f t="shared" ca="1" si="206"/>
        <v>0</v>
      </c>
      <c r="BX77" s="1702">
        <f t="shared" ca="1" si="207"/>
        <v>0</v>
      </c>
      <c r="BY77" s="1702">
        <f t="shared" ca="1" si="208"/>
        <v>0</v>
      </c>
      <c r="BZ77" s="1702">
        <f t="shared" ca="1" si="209"/>
        <v>0</v>
      </c>
      <c r="CA77" s="1702">
        <f t="shared" ca="1" si="210"/>
        <v>0</v>
      </c>
      <c r="CC77" s="1707">
        <f ca="1">AVERAGE(Costs!$BS77:$CA77)</f>
        <v>0</v>
      </c>
      <c r="CD77" s="1707">
        <f t="shared" ca="1" si="211"/>
        <v>0</v>
      </c>
      <c r="CF77" s="1704">
        <f t="shared" ca="1" si="221"/>
        <v>0</v>
      </c>
      <c r="CG77" s="1704">
        <f t="shared" ca="1" si="212"/>
        <v>0</v>
      </c>
      <c r="CH77" s="1704">
        <f t="shared" ca="1" si="213"/>
        <v>0</v>
      </c>
      <c r="CI77" s="1704">
        <f t="shared" ca="1" si="214"/>
        <v>0</v>
      </c>
      <c r="CJ77" s="1704">
        <f t="shared" ca="1" si="215"/>
        <v>0</v>
      </c>
      <c r="CK77" s="1704">
        <f t="shared" ca="1" si="216"/>
        <v>0</v>
      </c>
      <c r="CL77" s="1704">
        <f t="shared" ca="1" si="217"/>
        <v>0</v>
      </c>
      <c r="CM77" s="1704">
        <f t="shared" ca="1" si="218"/>
        <v>0</v>
      </c>
      <c r="CN77" s="1704">
        <f t="shared" ca="1" si="219"/>
        <v>0</v>
      </c>
      <c r="CP77" s="1707">
        <f ca="1">AVERAGE(Costs!$CF77:$CN77)</f>
        <v>0</v>
      </c>
      <c r="CQ77" s="1707">
        <f t="shared" ca="1" si="222"/>
        <v>0</v>
      </c>
      <c r="CR77" s="1426" t="str">
        <f t="shared" ca="1" si="223"/>
        <v>ok</v>
      </c>
    </row>
    <row r="78" spans="1:96" s="2126" customFormat="1" x14ac:dyDescent="0.2">
      <c r="A78" s="1683" t="s">
        <v>375</v>
      </c>
      <c r="B78" s="1683" t="s">
        <v>606</v>
      </c>
      <c r="C78" s="1683" t="s">
        <v>125</v>
      </c>
      <c r="E78" s="1689">
        <f t="shared" ca="1" si="283"/>
        <v>0</v>
      </c>
      <c r="F78" s="1689">
        <f t="shared" ca="1" si="283"/>
        <v>786615496404.28113</v>
      </c>
      <c r="G78" s="1689">
        <f t="shared" ca="1" si="283"/>
        <v>908267204965.96155</v>
      </c>
      <c r="H78" s="1689">
        <f t="shared" ca="1" si="283"/>
        <v>1029918913527.6426</v>
      </c>
      <c r="I78" s="1689">
        <f t="shared" ca="1" si="283"/>
        <v>722269623623.87488</v>
      </c>
      <c r="J78" s="1689">
        <f t="shared" ca="1" si="283"/>
        <v>1096853562385.1501</v>
      </c>
      <c r="K78" s="1689">
        <f t="shared" ca="1" si="283"/>
        <v>562097301795.6676</v>
      </c>
      <c r="L78" s="1689">
        <f t="shared" ca="1" si="283"/>
        <v>1093909143339.3608</v>
      </c>
      <c r="M78" s="1689">
        <f t="shared" ca="1" si="283"/>
        <v>523659713393.08704</v>
      </c>
      <c r="N78" s="675"/>
      <c r="O78" s="1689">
        <f t="shared" ca="1" si="284"/>
        <v>187782908379.31549</v>
      </c>
      <c r="P78" s="1689">
        <f t="shared" ca="1" si="284"/>
        <v>237114044235.19125</v>
      </c>
      <c r="Q78" s="1689">
        <f t="shared" ca="1" si="284"/>
        <v>286445180091.06702</v>
      </c>
      <c r="R78" s="1689">
        <f t="shared" ca="1" si="284"/>
        <v>335776315946.94269</v>
      </c>
      <c r="S78" s="1689">
        <f t="shared" ca="1" si="284"/>
        <v>361650171891.29175</v>
      </c>
      <c r="T78" s="1689">
        <f t="shared" ca="1" si="284"/>
        <v>405270907152.92212</v>
      </c>
      <c r="U78" s="1689">
        <f t="shared" ca="1" si="284"/>
        <v>414013561314.53528</v>
      </c>
      <c r="V78" s="1689">
        <f t="shared" ca="1" si="284"/>
        <v>451923895981.92029</v>
      </c>
      <c r="W78" s="1689">
        <f t="shared" ca="1" si="284"/>
        <v>453989934684.00891</v>
      </c>
      <c r="X78" s="675"/>
      <c r="Y78" s="1689">
        <f t="shared" ca="1" si="285"/>
        <v>0</v>
      </c>
      <c r="Z78" s="1689">
        <f t="shared" ca="1" si="285"/>
        <v>0</v>
      </c>
      <c r="AA78" s="1689">
        <f t="shared" ca="1" si="285"/>
        <v>0</v>
      </c>
      <c r="AB78" s="1689">
        <f t="shared" ca="1" si="285"/>
        <v>0</v>
      </c>
      <c r="AC78" s="1689">
        <f t="shared" ca="1" si="285"/>
        <v>0</v>
      </c>
      <c r="AD78" s="1689">
        <f t="shared" ca="1" si="285"/>
        <v>0</v>
      </c>
      <c r="AE78" s="1689">
        <f t="shared" ca="1" si="285"/>
        <v>0</v>
      </c>
      <c r="AF78" s="1689">
        <f t="shared" ca="1" si="285"/>
        <v>0</v>
      </c>
      <c r="AG78" s="1689">
        <f t="shared" ca="1" si="285"/>
        <v>0</v>
      </c>
      <c r="AH78" s="675"/>
      <c r="AI78" s="1689">
        <f t="shared" ca="1" si="175"/>
        <v>187782908379.31549</v>
      </c>
      <c r="AJ78" s="1689">
        <f t="shared" ca="1" si="176"/>
        <v>1023729540639.4724</v>
      </c>
      <c r="AK78" s="1689">
        <f t="shared" ca="1" si="177"/>
        <v>1194712385057.0286</v>
      </c>
      <c r="AL78" s="1689">
        <f t="shared" ca="1" si="178"/>
        <v>1365695229474.5852</v>
      </c>
      <c r="AM78" s="1689">
        <f t="shared" ca="1" si="179"/>
        <v>1083919795515.1666</v>
      </c>
      <c r="AN78" s="1689">
        <f t="shared" ca="1" si="180"/>
        <v>1502124469538.0723</v>
      </c>
      <c r="AO78" s="1689">
        <f t="shared" ca="1" si="181"/>
        <v>976110863110.20288</v>
      </c>
      <c r="AP78" s="1689">
        <f t="shared" ca="1" si="182"/>
        <v>1545833039321.2812</v>
      </c>
      <c r="AQ78" s="1689">
        <f t="shared" ca="1" si="183"/>
        <v>977649648077.09595</v>
      </c>
      <c r="AS78" s="1706">
        <f ca="1">AVERAGE(Costs!$AI78:$AQ78)</f>
        <v>1095284208790.2467</v>
      </c>
      <c r="AT78" s="1706">
        <f t="shared" ca="1" si="184"/>
        <v>9672836289578.8574</v>
      </c>
      <c r="AU78" s="675"/>
      <c r="AV78" s="1699">
        <f>IFERROR(VLOOKUP($A78,Cost.FinanceCostTable,5,FALSE),'Global assumptions'!$F$35)</f>
        <v>7.0000000000000007E-2</v>
      </c>
      <c r="AW78" s="1690">
        <f>IFERROR(VLOOKUP($A78,Cost.FinanceCostTable,6,FALSE),'Global assumptions'!$G$35)</f>
        <v>10</v>
      </c>
      <c r="AX78" s="675"/>
      <c r="AY78" s="1689">
        <f t="shared" ca="1" si="185"/>
        <v>0</v>
      </c>
      <c r="AZ78" s="1689">
        <f t="shared" ca="1" si="186"/>
        <v>559981749923.43945</v>
      </c>
      <c r="BA78" s="1689">
        <f t="shared" ca="1" si="187"/>
        <v>646584082261.08557</v>
      </c>
      <c r="BB78" s="1689">
        <f t="shared" ca="1" si="188"/>
        <v>733186414598.7323</v>
      </c>
      <c r="BC78" s="1689">
        <f t="shared" ca="1" si="189"/>
        <v>514174726537.0047</v>
      </c>
      <c r="BD78" s="1689">
        <f t="shared" ca="1" si="190"/>
        <v>780836355350.05713</v>
      </c>
      <c r="BE78" s="1689">
        <f t="shared" ca="1" si="191"/>
        <v>400150050597.28503</v>
      </c>
      <c r="BF78" s="1689">
        <f t="shared" ca="1" si="192"/>
        <v>778740260196.44543</v>
      </c>
      <c r="BG78" s="1689">
        <f t="shared" ca="1" si="193"/>
        <v>372786811359.17639</v>
      </c>
      <c r="BH78" s="675"/>
      <c r="BI78" s="1689">
        <f t="shared" ca="1" si="220"/>
        <v>0</v>
      </c>
      <c r="BJ78" s="1689">
        <f t="shared" ca="1" si="194"/>
        <v>559981749923.43945</v>
      </c>
      <c r="BK78" s="1689">
        <f t="shared" ca="1" si="195"/>
        <v>1206565832184.5249</v>
      </c>
      <c r="BL78" s="1689">
        <f t="shared" ca="1" si="196"/>
        <v>1379770496859.8179</v>
      </c>
      <c r="BM78" s="1689">
        <f t="shared" ca="1" si="197"/>
        <v>1247361141135.7371</v>
      </c>
      <c r="BN78" s="1689">
        <f t="shared" ca="1" si="198"/>
        <v>1295011081887.0618</v>
      </c>
      <c r="BO78" s="1689">
        <f t="shared" ca="1" si="199"/>
        <v>1180986405947.3423</v>
      </c>
      <c r="BP78" s="1689">
        <f t="shared" ca="1" si="200"/>
        <v>1178890310793.7305</v>
      </c>
      <c r="BQ78" s="1689">
        <f t="shared" ca="1" si="201"/>
        <v>1151527071555.6218</v>
      </c>
      <c r="BR78" s="675"/>
      <c r="BS78" s="1701">
        <f t="shared" ca="1" si="202"/>
        <v>187782908379.31549</v>
      </c>
      <c r="BT78" s="1701">
        <f t="shared" ca="1" si="203"/>
        <v>797095794158.63074</v>
      </c>
      <c r="BU78" s="1701">
        <f t="shared" ca="1" si="204"/>
        <v>1493011012275.5918</v>
      </c>
      <c r="BV78" s="1701">
        <f t="shared" ca="1" si="205"/>
        <v>1715546812806.7605</v>
      </c>
      <c r="BW78" s="1701">
        <f t="shared" ca="1" si="206"/>
        <v>1609011313027.0288</v>
      </c>
      <c r="BX78" s="1701">
        <f t="shared" ca="1" si="207"/>
        <v>1700281989039.9839</v>
      </c>
      <c r="BY78" s="1701">
        <f t="shared" ca="1" si="208"/>
        <v>1594999967261.8774</v>
      </c>
      <c r="BZ78" s="1701">
        <f t="shared" ca="1" si="209"/>
        <v>1630814206775.6509</v>
      </c>
      <c r="CA78" s="1701">
        <f t="shared" ca="1" si="210"/>
        <v>1605517006239.6309</v>
      </c>
      <c r="CC78" s="1706">
        <f ca="1">AVERAGE(Costs!$BS78:$CA78)</f>
        <v>1370451223329.3857</v>
      </c>
      <c r="CD78" s="1706">
        <f t="shared" ca="1" si="211"/>
        <v>10776938465576.709</v>
      </c>
      <c r="CF78" s="1703">
        <f t="shared" ca="1" si="221"/>
        <v>0</v>
      </c>
      <c r="CG78" s="1703">
        <f t="shared" ca="1" si="212"/>
        <v>-226633746480.84167</v>
      </c>
      <c r="CH78" s="1703">
        <f t="shared" ca="1" si="213"/>
        <v>298298627218.56335</v>
      </c>
      <c r="CI78" s="1703">
        <f t="shared" ca="1" si="214"/>
        <v>349851583332.17529</v>
      </c>
      <c r="CJ78" s="1703">
        <f t="shared" ca="1" si="215"/>
        <v>525091517511.86218</v>
      </c>
      <c r="CK78" s="1703">
        <f t="shared" ca="1" si="216"/>
        <v>198157519501.91162</v>
      </c>
      <c r="CL78" s="1703">
        <f t="shared" ca="1" si="217"/>
        <v>618889104151.67468</v>
      </c>
      <c r="CM78" s="1703">
        <f t="shared" ca="1" si="218"/>
        <v>84981167454.369629</v>
      </c>
      <c r="CN78" s="1703">
        <f t="shared" ca="1" si="219"/>
        <v>627867358162.53479</v>
      </c>
      <c r="CP78" s="1706">
        <f ca="1">AVERAGE(Costs!$CF78:$CN78)</f>
        <v>275167014539.13892</v>
      </c>
      <c r="CQ78" s="1706">
        <f t="shared" ca="1" si="222"/>
        <v>1104102175997.8513</v>
      </c>
      <c r="CR78" s="1426" t="str">
        <f t="shared" ca="1" si="223"/>
        <v>ok</v>
      </c>
    </row>
    <row r="79" spans="1:96" s="2126" customFormat="1" x14ac:dyDescent="0.2">
      <c r="A79" s="1683" t="s">
        <v>405</v>
      </c>
      <c r="B79" s="1683" t="s">
        <v>111</v>
      </c>
      <c r="C79" s="1683" t="s">
        <v>33</v>
      </c>
      <c r="E79" s="1689">
        <f t="shared" ca="1" si="283"/>
        <v>0</v>
      </c>
      <c r="F79" s="1689">
        <f t="shared" ca="1" si="283"/>
        <v>41689156973.067757</v>
      </c>
      <c r="G79" s="1689">
        <f t="shared" ca="1" si="283"/>
        <v>41689156973.067757</v>
      </c>
      <c r="H79" s="1689">
        <f t="shared" ca="1" si="283"/>
        <v>38817972733.655075</v>
      </c>
      <c r="I79" s="1689">
        <f t="shared" ca="1" si="283"/>
        <v>33278072667.985291</v>
      </c>
      <c r="J79" s="1689">
        <f t="shared" ca="1" si="283"/>
        <v>28805658932.818371</v>
      </c>
      <c r="K79" s="1689">
        <f t="shared" ca="1" si="283"/>
        <v>27546379052.464966</v>
      </c>
      <c r="L79" s="1689">
        <f t="shared" ca="1" si="283"/>
        <v>27333235776.004341</v>
      </c>
      <c r="M79" s="1689">
        <f t="shared" ca="1" si="283"/>
        <v>27130767362.848759</v>
      </c>
      <c r="N79" s="675"/>
      <c r="O79" s="1689">
        <f t="shared" ca="1" si="284"/>
        <v>91086388403.551987</v>
      </c>
      <c r="P79" s="1689">
        <f t="shared" ca="1" si="284"/>
        <v>91086388403.551987</v>
      </c>
      <c r="Q79" s="1689">
        <f t="shared" ca="1" si="284"/>
        <v>84813155222.601547</v>
      </c>
      <c r="R79" s="1689">
        <f t="shared" ca="1" si="284"/>
        <v>72709060879.210251</v>
      </c>
      <c r="S79" s="1689">
        <f t="shared" ca="1" si="284"/>
        <v>62937311000.795341</v>
      </c>
      <c r="T79" s="1689">
        <f t="shared" ca="1" si="284"/>
        <v>60185917961.959129</v>
      </c>
      <c r="U79" s="1689">
        <f t="shared" ca="1" si="284"/>
        <v>59720222498.799721</v>
      </c>
      <c r="V79" s="1689">
        <f t="shared" ca="1" si="284"/>
        <v>59277850480.290108</v>
      </c>
      <c r="W79" s="1689">
        <f t="shared" ca="1" si="284"/>
        <v>58835478461.780479</v>
      </c>
      <c r="X79" s="675"/>
      <c r="Y79" s="1689">
        <f t="shared" ca="1" si="285"/>
        <v>0</v>
      </c>
      <c r="Z79" s="1689">
        <f t="shared" ca="1" si="285"/>
        <v>0</v>
      </c>
      <c r="AA79" s="1689">
        <f t="shared" ca="1" si="285"/>
        <v>0</v>
      </c>
      <c r="AB79" s="1689">
        <f t="shared" ca="1" si="285"/>
        <v>0</v>
      </c>
      <c r="AC79" s="1689">
        <f t="shared" ca="1" si="285"/>
        <v>0</v>
      </c>
      <c r="AD79" s="1689">
        <f t="shared" ca="1" si="285"/>
        <v>0</v>
      </c>
      <c r="AE79" s="1689">
        <f t="shared" ca="1" si="285"/>
        <v>0</v>
      </c>
      <c r="AF79" s="1689">
        <f t="shared" ca="1" si="285"/>
        <v>0</v>
      </c>
      <c r="AG79" s="1689">
        <f t="shared" ca="1" si="285"/>
        <v>0</v>
      </c>
      <c r="AH79" s="675"/>
      <c r="AI79" s="1689">
        <f t="shared" ca="1" si="175"/>
        <v>91086388403.551987</v>
      </c>
      <c r="AJ79" s="1689">
        <f t="shared" ca="1" si="176"/>
        <v>132775545376.61975</v>
      </c>
      <c r="AK79" s="1689">
        <f t="shared" ca="1" si="177"/>
        <v>126502312195.66931</v>
      </c>
      <c r="AL79" s="1689">
        <f t="shared" ca="1" si="178"/>
        <v>111527033612.86533</v>
      </c>
      <c r="AM79" s="1689">
        <f t="shared" ca="1" si="179"/>
        <v>96215383668.78064</v>
      </c>
      <c r="AN79" s="1689">
        <f t="shared" ca="1" si="180"/>
        <v>88991576894.777496</v>
      </c>
      <c r="AO79" s="1689">
        <f t="shared" ca="1" si="181"/>
        <v>87266601551.264679</v>
      </c>
      <c r="AP79" s="1689">
        <f t="shared" ca="1" si="182"/>
        <v>86611086256.294449</v>
      </c>
      <c r="AQ79" s="1689">
        <f t="shared" ca="1" si="183"/>
        <v>85966245824.629242</v>
      </c>
      <c r="AS79" s="1706">
        <f ca="1">AVERAGE(Costs!$AI79:$AQ79)</f>
        <v>100771352642.71698</v>
      </c>
      <c r="AT79" s="1706">
        <f t="shared" ca="1" si="184"/>
        <v>1057976007527.6316</v>
      </c>
      <c r="AU79" s="675"/>
      <c r="AV79" s="1699">
        <f>IFERROR(VLOOKUP($A79,Cost.FinanceCostTable,5,FALSE),'Global assumptions'!$F$35)</f>
        <v>7.0000000000000007E-2</v>
      </c>
      <c r="AW79" s="1690">
        <f>IFERROR(VLOOKUP($A79,Cost.FinanceCostTable,6,FALSE),'Global assumptions'!$G$35)</f>
        <v>15</v>
      </c>
      <c r="AX79" s="675"/>
      <c r="AY79" s="1689">
        <f t="shared" ca="1" si="185"/>
        <v>0</v>
      </c>
      <c r="AZ79" s="1689">
        <f t="shared" ca="1" si="186"/>
        <v>22886226719.796619</v>
      </c>
      <c r="BA79" s="1689">
        <f t="shared" ca="1" si="187"/>
        <v>22886226719.796619</v>
      </c>
      <c r="BB79" s="1689">
        <f t="shared" ca="1" si="188"/>
        <v>21310023739.727821</v>
      </c>
      <c r="BC79" s="1689">
        <f t="shared" ca="1" si="189"/>
        <v>18268767496.771343</v>
      </c>
      <c r="BD79" s="1689">
        <f t="shared" ca="1" si="190"/>
        <v>15813532558.96995</v>
      </c>
      <c r="BE79" s="1689">
        <f t="shared" ca="1" si="191"/>
        <v>15122221749.685297</v>
      </c>
      <c r="BF79" s="1689">
        <f t="shared" ca="1" si="192"/>
        <v>15005211819.45261</v>
      </c>
      <c r="BG79" s="1689">
        <f t="shared" ca="1" si="193"/>
        <v>14894062102.271482</v>
      </c>
      <c r="BH79" s="675"/>
      <c r="BI79" s="1689">
        <f t="shared" ca="1" si="220"/>
        <v>0</v>
      </c>
      <c r="BJ79" s="1689">
        <f t="shared" ca="1" si="194"/>
        <v>22886226719.796619</v>
      </c>
      <c r="BK79" s="1689">
        <f t="shared" ca="1" si="195"/>
        <v>45772453439.593239</v>
      </c>
      <c r="BL79" s="1689">
        <f t="shared" ca="1" si="196"/>
        <v>67082477179.32106</v>
      </c>
      <c r="BM79" s="1689">
        <f t="shared" ca="1" si="197"/>
        <v>62465017956.295784</v>
      </c>
      <c r="BN79" s="1689">
        <f t="shared" ca="1" si="198"/>
        <v>55392323795.469116</v>
      </c>
      <c r="BO79" s="1689">
        <f t="shared" ca="1" si="199"/>
        <v>49204521805.42659</v>
      </c>
      <c r="BP79" s="1689">
        <f t="shared" ca="1" si="200"/>
        <v>45940966128.107857</v>
      </c>
      <c r="BQ79" s="1689">
        <f t="shared" ca="1" si="201"/>
        <v>45021495671.409393</v>
      </c>
      <c r="BR79" s="675"/>
      <c r="BS79" s="1701">
        <f t="shared" ca="1" si="202"/>
        <v>91086388403.551987</v>
      </c>
      <c r="BT79" s="1701">
        <f t="shared" ca="1" si="203"/>
        <v>113972615123.3486</v>
      </c>
      <c r="BU79" s="1701">
        <f t="shared" ca="1" si="204"/>
        <v>130585608662.19479</v>
      </c>
      <c r="BV79" s="1701">
        <f t="shared" ca="1" si="205"/>
        <v>139791538058.53131</v>
      </c>
      <c r="BW79" s="1701">
        <f t="shared" ca="1" si="206"/>
        <v>125402328957.09113</v>
      </c>
      <c r="BX79" s="1701">
        <f t="shared" ca="1" si="207"/>
        <v>115578241757.42825</v>
      </c>
      <c r="BY79" s="1701">
        <f t="shared" ca="1" si="208"/>
        <v>108924744304.22632</v>
      </c>
      <c r="BZ79" s="1701">
        <f t="shared" ca="1" si="209"/>
        <v>105218816608.39796</v>
      </c>
      <c r="CA79" s="1701">
        <f t="shared" ca="1" si="210"/>
        <v>103856974133.18988</v>
      </c>
      <c r="CC79" s="1706">
        <f ca="1">AVERAGE(Costs!$BS79:$CA79)</f>
        <v>114935250667.55113</v>
      </c>
      <c r="CD79" s="1706">
        <f t="shared" ca="1" si="211"/>
        <v>1089884616695.1553</v>
      </c>
      <c r="CF79" s="1703">
        <f t="shared" ca="1" si="221"/>
        <v>0</v>
      </c>
      <c r="CG79" s="1703">
        <f t="shared" ca="1" si="212"/>
        <v>-18802930253.271137</v>
      </c>
      <c r="CH79" s="1703">
        <f t="shared" ca="1" si="213"/>
        <v>4083296466.5254822</v>
      </c>
      <c r="CI79" s="1703">
        <f t="shared" ca="1" si="214"/>
        <v>28264504445.665985</v>
      </c>
      <c r="CJ79" s="1703">
        <f t="shared" ca="1" si="215"/>
        <v>29186945288.310493</v>
      </c>
      <c r="CK79" s="1703">
        <f t="shared" ca="1" si="216"/>
        <v>26586664862.650745</v>
      </c>
      <c r="CL79" s="1703">
        <f t="shared" ca="1" si="217"/>
        <v>21658142752.961624</v>
      </c>
      <c r="CM79" s="1703">
        <f t="shared" ca="1" si="218"/>
        <v>18607730352.103516</v>
      </c>
      <c r="CN79" s="1703">
        <f t="shared" ca="1" si="219"/>
        <v>17890728308.560635</v>
      </c>
      <c r="CP79" s="1706">
        <f ca="1">AVERAGE(Costs!$CF79:$CN79)</f>
        <v>14163898024.834148</v>
      </c>
      <c r="CQ79" s="1706">
        <f t="shared" ca="1" si="222"/>
        <v>31908609167.523518</v>
      </c>
      <c r="CR79" s="1426" t="str">
        <f t="shared" ca="1" si="223"/>
        <v>ok</v>
      </c>
    </row>
    <row r="80" spans="1:96" s="2126" customFormat="1" x14ac:dyDescent="0.2">
      <c r="A80" s="1685" t="s">
        <v>1707</v>
      </c>
      <c r="B80" s="1685" t="s">
        <v>1710</v>
      </c>
      <c r="C80" s="1685" t="s">
        <v>1732</v>
      </c>
      <c r="E80" s="1691">
        <f t="shared" ca="1" si="283"/>
        <v>0</v>
      </c>
      <c r="F80" s="1691">
        <f t="shared" ca="1" si="283"/>
        <v>0</v>
      </c>
      <c r="G80" s="1691">
        <f t="shared" ca="1" si="283"/>
        <v>0</v>
      </c>
      <c r="H80" s="1691">
        <f t="shared" ca="1" si="283"/>
        <v>0</v>
      </c>
      <c r="I80" s="1691">
        <f t="shared" ca="1" si="283"/>
        <v>0</v>
      </c>
      <c r="J80" s="1691">
        <f t="shared" ca="1" si="283"/>
        <v>0</v>
      </c>
      <c r="K80" s="1691">
        <f t="shared" ca="1" si="283"/>
        <v>0</v>
      </c>
      <c r="L80" s="1691">
        <f t="shared" ca="1" si="283"/>
        <v>0</v>
      </c>
      <c r="M80" s="1691">
        <f t="shared" ca="1" si="283"/>
        <v>0</v>
      </c>
      <c r="N80" s="675"/>
      <c r="O80" s="1691">
        <f t="shared" ca="1" si="284"/>
        <v>0</v>
      </c>
      <c r="P80" s="1691">
        <f t="shared" ca="1" si="284"/>
        <v>0</v>
      </c>
      <c r="Q80" s="1691">
        <f t="shared" ca="1" si="284"/>
        <v>0</v>
      </c>
      <c r="R80" s="1691">
        <f t="shared" ca="1" si="284"/>
        <v>0</v>
      </c>
      <c r="S80" s="1691">
        <f t="shared" ca="1" si="284"/>
        <v>0</v>
      </c>
      <c r="T80" s="1691">
        <f t="shared" ca="1" si="284"/>
        <v>0</v>
      </c>
      <c r="U80" s="1691">
        <f t="shared" ca="1" si="284"/>
        <v>0</v>
      </c>
      <c r="V80" s="1691">
        <f t="shared" ca="1" si="284"/>
        <v>0</v>
      </c>
      <c r="W80" s="1691">
        <f t="shared" ca="1" si="284"/>
        <v>0</v>
      </c>
      <c r="X80" s="675"/>
      <c r="Y80" s="1691">
        <f t="shared" ca="1" si="285"/>
        <v>20845855878.530571</v>
      </c>
      <c r="Z80" s="1691">
        <f t="shared" ca="1" si="285"/>
        <v>21650089233.957085</v>
      </c>
      <c r="AA80" s="1691">
        <f t="shared" ca="1" si="285"/>
        <v>26092328817.6754</v>
      </c>
      <c r="AB80" s="1691">
        <f t="shared" ca="1" si="285"/>
        <v>65945365013.826942</v>
      </c>
      <c r="AC80" s="1691">
        <f t="shared" ca="1" si="285"/>
        <v>132552635148.94893</v>
      </c>
      <c r="AD80" s="1691">
        <f t="shared" ca="1" si="285"/>
        <v>196879649265.35062</v>
      </c>
      <c r="AE80" s="1691">
        <f t="shared" ca="1" si="285"/>
        <v>261206663381.75232</v>
      </c>
      <c r="AF80" s="1691">
        <f t="shared" ca="1" si="285"/>
        <v>325533677498.15399</v>
      </c>
      <c r="AG80" s="1691">
        <f t="shared" ca="1" si="285"/>
        <v>399478074675.46942</v>
      </c>
      <c r="AH80" s="675"/>
      <c r="AI80" s="1691">
        <f t="shared" ca="1" si="175"/>
        <v>20845855878.530571</v>
      </c>
      <c r="AJ80" s="1691">
        <f t="shared" ca="1" si="176"/>
        <v>21650089233.957085</v>
      </c>
      <c r="AK80" s="1691">
        <f t="shared" ca="1" si="177"/>
        <v>26092328817.6754</v>
      </c>
      <c r="AL80" s="1691">
        <f t="shared" ca="1" si="178"/>
        <v>65945365013.826942</v>
      </c>
      <c r="AM80" s="1691">
        <f t="shared" ca="1" si="179"/>
        <v>132552635148.94893</v>
      </c>
      <c r="AN80" s="1691">
        <f t="shared" ca="1" si="180"/>
        <v>196879649265.35062</v>
      </c>
      <c r="AO80" s="1691">
        <f t="shared" ca="1" si="181"/>
        <v>261206663381.75232</v>
      </c>
      <c r="AP80" s="1691">
        <f t="shared" ca="1" si="182"/>
        <v>325533677498.15399</v>
      </c>
      <c r="AQ80" s="1691">
        <f t="shared" ca="1" si="183"/>
        <v>399478074675.46942</v>
      </c>
      <c r="AS80" s="1707">
        <f ca="1">AVERAGE(Costs!$AI80:$AQ80)</f>
        <v>161131593212.62949</v>
      </c>
      <c r="AT80" s="1707">
        <f t="shared" ca="1" si="184"/>
        <v>647150050294.12915</v>
      </c>
      <c r="AU80" s="675"/>
      <c r="AV80" s="1700">
        <f>IFERROR(VLOOKUP($A80,Cost.FinanceCostTable,5,FALSE),'Global assumptions'!$F$35)</f>
        <v>7.0000000000000007E-2</v>
      </c>
      <c r="AW80" s="1692">
        <f>IFERROR(VLOOKUP($A80,Cost.FinanceCostTable,6,FALSE),'Global assumptions'!$G$35)</f>
        <v>15</v>
      </c>
      <c r="AX80" s="675"/>
      <c r="AY80" s="1691">
        <f t="shared" ca="1" si="185"/>
        <v>0</v>
      </c>
      <c r="AZ80" s="1691">
        <f t="shared" ca="1" si="186"/>
        <v>0</v>
      </c>
      <c r="BA80" s="1691">
        <f t="shared" ca="1" si="187"/>
        <v>0</v>
      </c>
      <c r="BB80" s="1691">
        <f t="shared" ca="1" si="188"/>
        <v>0</v>
      </c>
      <c r="BC80" s="1691">
        <f t="shared" ca="1" si="189"/>
        <v>0</v>
      </c>
      <c r="BD80" s="1691">
        <f t="shared" ca="1" si="190"/>
        <v>0</v>
      </c>
      <c r="BE80" s="1691">
        <f t="shared" ca="1" si="191"/>
        <v>0</v>
      </c>
      <c r="BF80" s="1691">
        <f t="shared" ca="1" si="192"/>
        <v>0</v>
      </c>
      <c r="BG80" s="1691">
        <f t="shared" ca="1" si="193"/>
        <v>0</v>
      </c>
      <c r="BH80" s="675"/>
      <c r="BI80" s="1691">
        <f t="shared" ca="1" si="220"/>
        <v>0</v>
      </c>
      <c r="BJ80" s="1691">
        <f t="shared" ca="1" si="194"/>
        <v>0</v>
      </c>
      <c r="BK80" s="1691">
        <f t="shared" ca="1" si="195"/>
        <v>0</v>
      </c>
      <c r="BL80" s="1691">
        <f t="shared" ca="1" si="196"/>
        <v>0</v>
      </c>
      <c r="BM80" s="1691">
        <f t="shared" ca="1" si="197"/>
        <v>0</v>
      </c>
      <c r="BN80" s="1691">
        <f t="shared" ca="1" si="198"/>
        <v>0</v>
      </c>
      <c r="BO80" s="1691">
        <f t="shared" ca="1" si="199"/>
        <v>0</v>
      </c>
      <c r="BP80" s="1691">
        <f t="shared" ca="1" si="200"/>
        <v>0</v>
      </c>
      <c r="BQ80" s="1691">
        <f t="shared" ca="1" si="201"/>
        <v>0</v>
      </c>
      <c r="BR80" s="675"/>
      <c r="BS80" s="1702">
        <f t="shared" ca="1" si="202"/>
        <v>20845855878.530571</v>
      </c>
      <c r="BT80" s="1702">
        <f t="shared" ca="1" si="203"/>
        <v>21650089233.957085</v>
      </c>
      <c r="BU80" s="1702">
        <f t="shared" ca="1" si="204"/>
        <v>26092328817.6754</v>
      </c>
      <c r="BV80" s="1702">
        <f t="shared" ca="1" si="205"/>
        <v>65945365013.826942</v>
      </c>
      <c r="BW80" s="1702">
        <f t="shared" ca="1" si="206"/>
        <v>132552635148.94893</v>
      </c>
      <c r="BX80" s="1702">
        <f t="shared" ca="1" si="207"/>
        <v>196879649265.35062</v>
      </c>
      <c r="BY80" s="1702">
        <f t="shared" ca="1" si="208"/>
        <v>261206663381.75232</v>
      </c>
      <c r="BZ80" s="1702">
        <f t="shared" ca="1" si="209"/>
        <v>325533677498.15399</v>
      </c>
      <c r="CA80" s="1702">
        <f t="shared" ca="1" si="210"/>
        <v>399478074675.46942</v>
      </c>
      <c r="CC80" s="1707">
        <f ca="1">AVERAGE(Costs!$BS80:$CA80)</f>
        <v>161131593212.62949</v>
      </c>
      <c r="CD80" s="1707">
        <f t="shared" ca="1" si="211"/>
        <v>647150050294.12915</v>
      </c>
      <c r="CF80" s="1704">
        <f t="shared" ca="1" si="221"/>
        <v>0</v>
      </c>
      <c r="CG80" s="1704">
        <f t="shared" ca="1" si="212"/>
        <v>0</v>
      </c>
      <c r="CH80" s="1704">
        <f t="shared" ca="1" si="213"/>
        <v>0</v>
      </c>
      <c r="CI80" s="1704">
        <f t="shared" ca="1" si="214"/>
        <v>0</v>
      </c>
      <c r="CJ80" s="1704">
        <f t="shared" ca="1" si="215"/>
        <v>0</v>
      </c>
      <c r="CK80" s="1704">
        <f t="shared" ca="1" si="216"/>
        <v>0</v>
      </c>
      <c r="CL80" s="1704">
        <f t="shared" ca="1" si="217"/>
        <v>0</v>
      </c>
      <c r="CM80" s="1704">
        <f t="shared" ca="1" si="218"/>
        <v>0</v>
      </c>
      <c r="CN80" s="1704">
        <f t="shared" ca="1" si="219"/>
        <v>0</v>
      </c>
      <c r="CP80" s="1707">
        <f ca="1">AVERAGE(Costs!$CF80:$CN80)</f>
        <v>0</v>
      </c>
      <c r="CQ80" s="1707">
        <f t="shared" ca="1" si="222"/>
        <v>0</v>
      </c>
      <c r="CR80" s="1426" t="str">
        <f t="shared" ca="1" si="223"/>
        <v>ok</v>
      </c>
    </row>
    <row r="81" spans="1:96" s="2126" customFormat="1" x14ac:dyDescent="0.2">
      <c r="A81" s="1683" t="s">
        <v>1708</v>
      </c>
      <c r="B81" s="1683" t="s">
        <v>1711</v>
      </c>
      <c r="C81" s="1683" t="s">
        <v>1732</v>
      </c>
      <c r="E81" s="1689">
        <f t="shared" ca="1" si="283"/>
        <v>0</v>
      </c>
      <c r="F81" s="1689">
        <f t="shared" ca="1" si="283"/>
        <v>0</v>
      </c>
      <c r="G81" s="1689">
        <f t="shared" ca="1" si="283"/>
        <v>0</v>
      </c>
      <c r="H81" s="1689">
        <f t="shared" ca="1" si="283"/>
        <v>0</v>
      </c>
      <c r="I81" s="1689">
        <f t="shared" ca="1" si="283"/>
        <v>0</v>
      </c>
      <c r="J81" s="1689">
        <f t="shared" ca="1" si="283"/>
        <v>0</v>
      </c>
      <c r="K81" s="1689">
        <f t="shared" ca="1" si="283"/>
        <v>0</v>
      </c>
      <c r="L81" s="1689">
        <f t="shared" ca="1" si="283"/>
        <v>0</v>
      </c>
      <c r="M81" s="1689">
        <f t="shared" ca="1" si="283"/>
        <v>0</v>
      </c>
      <c r="N81" s="675"/>
      <c r="O81" s="1689">
        <f t="shared" ca="1" si="284"/>
        <v>0</v>
      </c>
      <c r="P81" s="1689">
        <f t="shared" ca="1" si="284"/>
        <v>0</v>
      </c>
      <c r="Q81" s="1689">
        <f t="shared" ca="1" si="284"/>
        <v>0</v>
      </c>
      <c r="R81" s="1689">
        <f t="shared" ca="1" si="284"/>
        <v>0</v>
      </c>
      <c r="S81" s="1689">
        <f t="shared" ca="1" si="284"/>
        <v>0</v>
      </c>
      <c r="T81" s="1689">
        <f t="shared" ca="1" si="284"/>
        <v>0</v>
      </c>
      <c r="U81" s="1689">
        <f t="shared" ca="1" si="284"/>
        <v>0</v>
      </c>
      <c r="V81" s="1689">
        <f t="shared" ca="1" si="284"/>
        <v>0</v>
      </c>
      <c r="W81" s="1689">
        <f t="shared" ca="1" si="284"/>
        <v>0</v>
      </c>
      <c r="X81" s="675"/>
      <c r="Y81" s="1689">
        <f t="shared" ca="1" si="285"/>
        <v>11881558667529.107</v>
      </c>
      <c r="Z81" s="1689">
        <f t="shared" ca="1" si="285"/>
        <v>13506951067727.602</v>
      </c>
      <c r="AA81" s="1689">
        <f t="shared" ca="1" si="285"/>
        <v>15024255300298.055</v>
      </c>
      <c r="AB81" s="1689">
        <f t="shared" ca="1" si="285"/>
        <v>16518339641437.1</v>
      </c>
      <c r="AC81" s="1689">
        <f t="shared" ca="1" si="285"/>
        <v>17989204091144.738</v>
      </c>
      <c r="AD81" s="1689">
        <f t="shared" ca="1" si="285"/>
        <v>17857896032085.285</v>
      </c>
      <c r="AE81" s="1689">
        <f t="shared" ca="1" si="285"/>
        <v>17726587973025.836</v>
      </c>
      <c r="AF81" s="1689">
        <f t="shared" ca="1" si="285"/>
        <v>17595279913966.387</v>
      </c>
      <c r="AG81" s="1689">
        <f t="shared" ca="1" si="285"/>
        <v>17894786529754.203</v>
      </c>
      <c r="AH81" s="675"/>
      <c r="AI81" s="1689">
        <f t="shared" ca="1" si="175"/>
        <v>11881558667529.107</v>
      </c>
      <c r="AJ81" s="1689">
        <f t="shared" ca="1" si="176"/>
        <v>13506951067727.602</v>
      </c>
      <c r="AK81" s="1689">
        <f t="shared" ca="1" si="177"/>
        <v>15024255300298.055</v>
      </c>
      <c r="AL81" s="1689">
        <f t="shared" ca="1" si="178"/>
        <v>16518339641437.1</v>
      </c>
      <c r="AM81" s="1689">
        <f t="shared" ca="1" si="179"/>
        <v>17989204091144.738</v>
      </c>
      <c r="AN81" s="1689">
        <f t="shared" ca="1" si="180"/>
        <v>17857896032085.285</v>
      </c>
      <c r="AO81" s="1689">
        <f t="shared" ca="1" si="181"/>
        <v>17726587973025.836</v>
      </c>
      <c r="AP81" s="1689">
        <f t="shared" ca="1" si="182"/>
        <v>17595279913966.387</v>
      </c>
      <c r="AQ81" s="1689">
        <f t="shared" ca="1" si="183"/>
        <v>17894786529754.203</v>
      </c>
      <c r="AS81" s="1706">
        <f ca="1">AVERAGE(Costs!$AI81:$AQ81)</f>
        <v>16221651024107.59</v>
      </c>
      <c r="AT81" s="1706">
        <f t="shared" ca="1" si="184"/>
        <v>137404551498339.44</v>
      </c>
      <c r="AU81" s="675"/>
      <c r="AV81" s="1699">
        <f>IFERROR(VLOOKUP($A81,Cost.FinanceCostTable,5,FALSE),'Global assumptions'!$F$35)</f>
        <v>7.0000000000000007E-2</v>
      </c>
      <c r="AW81" s="1690">
        <f>IFERROR(VLOOKUP($A81,Cost.FinanceCostTable,6,FALSE),'Global assumptions'!$G$35)</f>
        <v>15</v>
      </c>
      <c r="AX81" s="675"/>
      <c r="AY81" s="1689">
        <f t="shared" ca="1" si="185"/>
        <v>0</v>
      </c>
      <c r="AZ81" s="1689">
        <f t="shared" ca="1" si="186"/>
        <v>0</v>
      </c>
      <c r="BA81" s="1689">
        <f t="shared" ca="1" si="187"/>
        <v>0</v>
      </c>
      <c r="BB81" s="1689">
        <f t="shared" ca="1" si="188"/>
        <v>0</v>
      </c>
      <c r="BC81" s="1689">
        <f t="shared" ca="1" si="189"/>
        <v>0</v>
      </c>
      <c r="BD81" s="1689">
        <f t="shared" ca="1" si="190"/>
        <v>0</v>
      </c>
      <c r="BE81" s="1689">
        <f t="shared" ca="1" si="191"/>
        <v>0</v>
      </c>
      <c r="BF81" s="1689">
        <f t="shared" ca="1" si="192"/>
        <v>0</v>
      </c>
      <c r="BG81" s="1689">
        <f t="shared" ca="1" si="193"/>
        <v>0</v>
      </c>
      <c r="BH81" s="675"/>
      <c r="BI81" s="1689">
        <f t="shared" ca="1" si="220"/>
        <v>0</v>
      </c>
      <c r="BJ81" s="1689">
        <f t="shared" ca="1" si="194"/>
        <v>0</v>
      </c>
      <c r="BK81" s="1689">
        <f t="shared" ca="1" si="195"/>
        <v>0</v>
      </c>
      <c r="BL81" s="1689">
        <f t="shared" ca="1" si="196"/>
        <v>0</v>
      </c>
      <c r="BM81" s="1689">
        <f t="shared" ca="1" si="197"/>
        <v>0</v>
      </c>
      <c r="BN81" s="1689">
        <f t="shared" ca="1" si="198"/>
        <v>0</v>
      </c>
      <c r="BO81" s="1689">
        <f t="shared" ca="1" si="199"/>
        <v>0</v>
      </c>
      <c r="BP81" s="1689">
        <f t="shared" ca="1" si="200"/>
        <v>0</v>
      </c>
      <c r="BQ81" s="1689">
        <f t="shared" ca="1" si="201"/>
        <v>0</v>
      </c>
      <c r="BR81" s="675"/>
      <c r="BS81" s="1701">
        <f t="shared" ca="1" si="202"/>
        <v>11881558667529.107</v>
      </c>
      <c r="BT81" s="1701">
        <f t="shared" ca="1" si="203"/>
        <v>13506951067727.602</v>
      </c>
      <c r="BU81" s="1701">
        <f t="shared" ca="1" si="204"/>
        <v>15024255300298.055</v>
      </c>
      <c r="BV81" s="1701">
        <f t="shared" ca="1" si="205"/>
        <v>16518339641437.1</v>
      </c>
      <c r="BW81" s="1701">
        <f t="shared" ca="1" si="206"/>
        <v>17989204091144.738</v>
      </c>
      <c r="BX81" s="1701">
        <f t="shared" ca="1" si="207"/>
        <v>17857896032085.285</v>
      </c>
      <c r="BY81" s="1701">
        <f t="shared" ca="1" si="208"/>
        <v>17726587973025.836</v>
      </c>
      <c r="BZ81" s="1701">
        <f t="shared" ca="1" si="209"/>
        <v>17595279913966.387</v>
      </c>
      <c r="CA81" s="1701">
        <f t="shared" ca="1" si="210"/>
        <v>17894786529754.203</v>
      </c>
      <c r="CC81" s="1706">
        <f ca="1">AVERAGE(Costs!$BS81:$CA81)</f>
        <v>16221651024107.59</v>
      </c>
      <c r="CD81" s="1706">
        <f t="shared" ca="1" si="211"/>
        <v>137404551498339.44</v>
      </c>
      <c r="CF81" s="1703">
        <f t="shared" ca="1" si="221"/>
        <v>0</v>
      </c>
      <c r="CG81" s="1703">
        <f t="shared" ca="1" si="212"/>
        <v>0</v>
      </c>
      <c r="CH81" s="1703">
        <f t="shared" ca="1" si="213"/>
        <v>0</v>
      </c>
      <c r="CI81" s="1703">
        <f t="shared" ca="1" si="214"/>
        <v>0</v>
      </c>
      <c r="CJ81" s="1703">
        <f t="shared" ca="1" si="215"/>
        <v>0</v>
      </c>
      <c r="CK81" s="1703">
        <f t="shared" ca="1" si="216"/>
        <v>0</v>
      </c>
      <c r="CL81" s="1703">
        <f t="shared" ca="1" si="217"/>
        <v>0</v>
      </c>
      <c r="CM81" s="1703">
        <f t="shared" ca="1" si="218"/>
        <v>0</v>
      </c>
      <c r="CN81" s="1703">
        <f t="shared" ca="1" si="219"/>
        <v>0</v>
      </c>
      <c r="CP81" s="1706">
        <f ca="1">AVERAGE(Costs!$CF81:$CN81)</f>
        <v>0</v>
      </c>
      <c r="CQ81" s="1706">
        <f t="shared" ca="1" si="222"/>
        <v>0</v>
      </c>
      <c r="CR81" s="1426" t="str">
        <f t="shared" ca="1" si="223"/>
        <v>ok</v>
      </c>
    </row>
    <row r="82" spans="1:96" s="2126" customFormat="1" x14ac:dyDescent="0.2">
      <c r="A82" s="1685" t="s">
        <v>1709</v>
      </c>
      <c r="B82" s="1685" t="s">
        <v>1712</v>
      </c>
      <c r="C82" s="1685" t="s">
        <v>1732</v>
      </c>
      <c r="E82" s="1691">
        <f t="shared" ca="1" si="283"/>
        <v>0</v>
      </c>
      <c r="F82" s="1691">
        <f t="shared" ca="1" si="283"/>
        <v>0</v>
      </c>
      <c r="G82" s="1691">
        <f t="shared" ca="1" si="283"/>
        <v>0</v>
      </c>
      <c r="H82" s="1691">
        <f t="shared" ca="1" si="283"/>
        <v>0</v>
      </c>
      <c r="I82" s="1691">
        <f t="shared" ca="1" si="283"/>
        <v>0</v>
      </c>
      <c r="J82" s="1691">
        <f t="shared" ca="1" si="283"/>
        <v>0</v>
      </c>
      <c r="K82" s="1691">
        <f t="shared" ca="1" si="283"/>
        <v>0</v>
      </c>
      <c r="L82" s="1691">
        <f t="shared" ca="1" si="283"/>
        <v>0</v>
      </c>
      <c r="M82" s="1691">
        <f t="shared" ca="1" si="283"/>
        <v>0</v>
      </c>
      <c r="N82" s="675"/>
      <c r="O82" s="1691">
        <f t="shared" ca="1" si="284"/>
        <v>0</v>
      </c>
      <c r="P82" s="1691">
        <f t="shared" ca="1" si="284"/>
        <v>0</v>
      </c>
      <c r="Q82" s="1691">
        <f t="shared" ca="1" si="284"/>
        <v>0</v>
      </c>
      <c r="R82" s="1691">
        <f t="shared" ca="1" si="284"/>
        <v>0</v>
      </c>
      <c r="S82" s="1691">
        <f t="shared" ca="1" si="284"/>
        <v>0</v>
      </c>
      <c r="T82" s="1691">
        <f t="shared" ca="1" si="284"/>
        <v>0</v>
      </c>
      <c r="U82" s="1691">
        <f t="shared" ca="1" si="284"/>
        <v>0</v>
      </c>
      <c r="V82" s="1691">
        <f t="shared" ca="1" si="284"/>
        <v>0</v>
      </c>
      <c r="W82" s="1691">
        <f t="shared" ca="1" si="284"/>
        <v>0</v>
      </c>
      <c r="X82" s="675"/>
      <c r="Y82" s="1691">
        <f t="shared" ca="1" si="285"/>
        <v>2857910706082.9263</v>
      </c>
      <c r="Z82" s="1691">
        <f t="shared" ca="1" si="285"/>
        <v>3609387502716.7217</v>
      </c>
      <c r="AA82" s="1691">
        <f t="shared" ca="1" si="285"/>
        <v>4122837139598.147</v>
      </c>
      <c r="AB82" s="1691">
        <f t="shared" ca="1" si="285"/>
        <v>4652595269463.4209</v>
      </c>
      <c r="AC82" s="1691">
        <f t="shared" ca="1" si="285"/>
        <v>5198661892312.5439</v>
      </c>
      <c r="AD82" s="1691">
        <f t="shared" ca="1" si="285"/>
        <v>5290302592241.2617</v>
      </c>
      <c r="AE82" s="1691">
        <f t="shared" ca="1" si="285"/>
        <v>5381943292169.9805</v>
      </c>
      <c r="AF82" s="1691">
        <f t="shared" ca="1" si="285"/>
        <v>5473583992098.6982</v>
      </c>
      <c r="AG82" s="1691">
        <f t="shared" ca="1" si="285"/>
        <v>5702511930352.5352</v>
      </c>
      <c r="AH82" s="675"/>
      <c r="AI82" s="1691">
        <f t="shared" ca="1" si="175"/>
        <v>2857910706082.9263</v>
      </c>
      <c r="AJ82" s="1691">
        <f t="shared" ca="1" si="176"/>
        <v>3609387502716.7217</v>
      </c>
      <c r="AK82" s="1691">
        <f t="shared" ca="1" si="177"/>
        <v>4122837139598.147</v>
      </c>
      <c r="AL82" s="1691">
        <f t="shared" ca="1" si="178"/>
        <v>4652595269463.4209</v>
      </c>
      <c r="AM82" s="1691">
        <f t="shared" ca="1" si="179"/>
        <v>5198661892312.5439</v>
      </c>
      <c r="AN82" s="1691">
        <f t="shared" ca="1" si="180"/>
        <v>5290302592241.2617</v>
      </c>
      <c r="AO82" s="1691">
        <f t="shared" ca="1" si="181"/>
        <v>5381943292169.9805</v>
      </c>
      <c r="AP82" s="1691">
        <f t="shared" ca="1" si="182"/>
        <v>5473583992098.6982</v>
      </c>
      <c r="AQ82" s="1691">
        <f t="shared" ca="1" si="183"/>
        <v>5702511930352.5352</v>
      </c>
      <c r="AS82" s="1707">
        <f ca="1">AVERAGE(Costs!$AI82:$AQ82)</f>
        <v>4698859368559.582</v>
      </c>
      <c r="AT82" s="1707">
        <f t="shared" ca="1" si="184"/>
        <v>37996325972289.68</v>
      </c>
      <c r="AU82" s="675"/>
      <c r="AV82" s="1700">
        <f>IFERROR(VLOOKUP($A82,Cost.FinanceCostTable,5,FALSE),'Global assumptions'!$F$35)</f>
        <v>7.0000000000000007E-2</v>
      </c>
      <c r="AW82" s="1692">
        <f>IFERROR(VLOOKUP($A82,Cost.FinanceCostTable,6,FALSE),'Global assumptions'!$G$35)</f>
        <v>15</v>
      </c>
      <c r="AX82" s="675"/>
      <c r="AY82" s="1691">
        <f t="shared" ca="1" si="185"/>
        <v>0</v>
      </c>
      <c r="AZ82" s="1691">
        <f t="shared" ca="1" si="186"/>
        <v>0</v>
      </c>
      <c r="BA82" s="1691">
        <f t="shared" ca="1" si="187"/>
        <v>0</v>
      </c>
      <c r="BB82" s="1691">
        <f t="shared" ca="1" si="188"/>
        <v>0</v>
      </c>
      <c r="BC82" s="1691">
        <f t="shared" ca="1" si="189"/>
        <v>0</v>
      </c>
      <c r="BD82" s="1691">
        <f t="shared" ca="1" si="190"/>
        <v>0</v>
      </c>
      <c r="BE82" s="1691">
        <f t="shared" ca="1" si="191"/>
        <v>0</v>
      </c>
      <c r="BF82" s="1691">
        <f t="shared" ca="1" si="192"/>
        <v>0</v>
      </c>
      <c r="BG82" s="1691">
        <f t="shared" ca="1" si="193"/>
        <v>0</v>
      </c>
      <c r="BH82" s="675"/>
      <c r="BI82" s="1691">
        <f t="shared" ca="1" si="220"/>
        <v>0</v>
      </c>
      <c r="BJ82" s="1691">
        <f t="shared" ca="1" si="194"/>
        <v>0</v>
      </c>
      <c r="BK82" s="1691">
        <f t="shared" ca="1" si="195"/>
        <v>0</v>
      </c>
      <c r="BL82" s="1691">
        <f t="shared" ca="1" si="196"/>
        <v>0</v>
      </c>
      <c r="BM82" s="1691">
        <f t="shared" ca="1" si="197"/>
        <v>0</v>
      </c>
      <c r="BN82" s="1691">
        <f t="shared" ca="1" si="198"/>
        <v>0</v>
      </c>
      <c r="BO82" s="1691">
        <f t="shared" ca="1" si="199"/>
        <v>0</v>
      </c>
      <c r="BP82" s="1691">
        <f t="shared" ca="1" si="200"/>
        <v>0</v>
      </c>
      <c r="BQ82" s="1691">
        <f t="shared" ca="1" si="201"/>
        <v>0</v>
      </c>
      <c r="BR82" s="675"/>
      <c r="BS82" s="1702">
        <f t="shared" ca="1" si="202"/>
        <v>2857910706082.9263</v>
      </c>
      <c r="BT82" s="1702">
        <f t="shared" ca="1" si="203"/>
        <v>3609387502716.7217</v>
      </c>
      <c r="BU82" s="1702">
        <f t="shared" ca="1" si="204"/>
        <v>4122837139598.147</v>
      </c>
      <c r="BV82" s="1702">
        <f t="shared" ca="1" si="205"/>
        <v>4652595269463.4209</v>
      </c>
      <c r="BW82" s="1702">
        <f t="shared" ca="1" si="206"/>
        <v>5198661892312.5439</v>
      </c>
      <c r="BX82" s="1702">
        <f t="shared" ca="1" si="207"/>
        <v>5290302592241.2617</v>
      </c>
      <c r="BY82" s="1702">
        <f t="shared" ca="1" si="208"/>
        <v>5381943292169.9805</v>
      </c>
      <c r="BZ82" s="1702">
        <f t="shared" ca="1" si="209"/>
        <v>5473583992098.6982</v>
      </c>
      <c r="CA82" s="1702">
        <f t="shared" ca="1" si="210"/>
        <v>5702511930352.5352</v>
      </c>
      <c r="CC82" s="1707">
        <f ca="1">AVERAGE(Costs!$BS82:$CA82)</f>
        <v>4698859368559.582</v>
      </c>
      <c r="CD82" s="1707">
        <f t="shared" ca="1" si="211"/>
        <v>37996325972289.68</v>
      </c>
      <c r="CF82" s="1704">
        <f t="shared" ca="1" si="221"/>
        <v>0</v>
      </c>
      <c r="CG82" s="1704">
        <f t="shared" ca="1" si="212"/>
        <v>0</v>
      </c>
      <c r="CH82" s="1704">
        <f t="shared" ca="1" si="213"/>
        <v>0</v>
      </c>
      <c r="CI82" s="1704">
        <f t="shared" ca="1" si="214"/>
        <v>0</v>
      </c>
      <c r="CJ82" s="1704">
        <f t="shared" ca="1" si="215"/>
        <v>0</v>
      </c>
      <c r="CK82" s="1704">
        <f t="shared" ca="1" si="216"/>
        <v>0</v>
      </c>
      <c r="CL82" s="1704">
        <f t="shared" ca="1" si="217"/>
        <v>0</v>
      </c>
      <c r="CM82" s="1704">
        <f t="shared" ca="1" si="218"/>
        <v>0</v>
      </c>
      <c r="CN82" s="1704">
        <f t="shared" ca="1" si="219"/>
        <v>0</v>
      </c>
      <c r="CP82" s="1707">
        <f ca="1">AVERAGE(Costs!$CF82:$CN82)</f>
        <v>0</v>
      </c>
      <c r="CQ82" s="1707">
        <f t="shared" ca="1" si="222"/>
        <v>0</v>
      </c>
      <c r="CR82" s="1426" t="str">
        <f t="shared" ca="1" si="223"/>
        <v>ok</v>
      </c>
    </row>
    <row r="83" spans="1:96" s="2126" customFormat="1" x14ac:dyDescent="0.2">
      <c r="A83" s="1683" t="s">
        <v>439</v>
      </c>
      <c r="B83" s="1683" t="s">
        <v>441</v>
      </c>
      <c r="C83" s="1683" t="s">
        <v>1732</v>
      </c>
      <c r="E83" s="1689">
        <f t="shared" ca="1" si="283"/>
        <v>0</v>
      </c>
      <c r="F83" s="1689">
        <f t="shared" ca="1" si="283"/>
        <v>7105059144.6593437</v>
      </c>
      <c r="G83" s="1689">
        <f t="shared" ca="1" si="283"/>
        <v>66709149836.660164</v>
      </c>
      <c r="H83" s="1689">
        <f t="shared" ca="1" si="283"/>
        <v>18082386194.317562</v>
      </c>
      <c r="I83" s="1689">
        <f t="shared" ca="1" si="283"/>
        <v>45450294841.615807</v>
      </c>
      <c r="J83" s="1689">
        <f t="shared" ca="1" si="283"/>
        <v>104486826997.00952</v>
      </c>
      <c r="K83" s="1689">
        <f t="shared" ca="1" si="283"/>
        <v>123696743305.54573</v>
      </c>
      <c r="L83" s="1689">
        <f t="shared" ca="1" si="283"/>
        <v>137887785205.18677</v>
      </c>
      <c r="M83" s="1689">
        <f t="shared" ca="1" si="283"/>
        <v>160500054968.90555</v>
      </c>
      <c r="N83" s="675"/>
      <c r="O83" s="1689">
        <f t="shared" ca="1" si="284"/>
        <v>37863951.554610923</v>
      </c>
      <c r="P83" s="1689">
        <f t="shared" ca="1" si="284"/>
        <v>33034189.073301554</v>
      </c>
      <c r="Q83" s="1689">
        <f t="shared" ca="1" si="284"/>
        <v>82011756.233815402</v>
      </c>
      <c r="R83" s="1689">
        <f t="shared" ca="1" si="284"/>
        <v>48566562.187646829</v>
      </c>
      <c r="S83" s="1689">
        <f t="shared" ca="1" si="284"/>
        <v>72447264.21303536</v>
      </c>
      <c r="T83" s="1689">
        <f t="shared" ca="1" si="284"/>
        <v>129116714.09947544</v>
      </c>
      <c r="U83" s="1689">
        <f t="shared" ca="1" si="284"/>
        <v>184026124.9977307</v>
      </c>
      <c r="V83" s="1689">
        <f t="shared" ca="1" si="284"/>
        <v>233663867.83842018</v>
      </c>
      <c r="W83" s="1689">
        <f t="shared" ca="1" si="284"/>
        <v>283126034.21085477</v>
      </c>
      <c r="X83" s="675"/>
      <c r="Y83" s="1689">
        <f t="shared" ca="1" si="285"/>
        <v>0</v>
      </c>
      <c r="Z83" s="1689">
        <f t="shared" ca="1" si="285"/>
        <v>0</v>
      </c>
      <c r="AA83" s="1689">
        <f t="shared" ca="1" si="285"/>
        <v>0</v>
      </c>
      <c r="AB83" s="1689">
        <f t="shared" ca="1" si="285"/>
        <v>0</v>
      </c>
      <c r="AC83" s="1689">
        <f t="shared" ca="1" si="285"/>
        <v>0</v>
      </c>
      <c r="AD83" s="1689">
        <f t="shared" ca="1" si="285"/>
        <v>0</v>
      </c>
      <c r="AE83" s="1689">
        <f t="shared" ca="1" si="285"/>
        <v>0</v>
      </c>
      <c r="AF83" s="1689">
        <f t="shared" ca="1" si="285"/>
        <v>0</v>
      </c>
      <c r="AG83" s="1689">
        <f t="shared" ca="1" si="285"/>
        <v>0</v>
      </c>
      <c r="AH83" s="675"/>
      <c r="AI83" s="1689">
        <f t="shared" ca="1" si="175"/>
        <v>37863951.554610923</v>
      </c>
      <c r="AJ83" s="1689">
        <f t="shared" ca="1" si="176"/>
        <v>7138093333.732645</v>
      </c>
      <c r="AK83" s="1689">
        <f t="shared" ca="1" si="177"/>
        <v>66791161592.893982</v>
      </c>
      <c r="AL83" s="1689">
        <f t="shared" ca="1" si="178"/>
        <v>18130952756.505207</v>
      </c>
      <c r="AM83" s="1689">
        <f t="shared" ca="1" si="179"/>
        <v>45522742105.828842</v>
      </c>
      <c r="AN83" s="1689">
        <f t="shared" ca="1" si="180"/>
        <v>104615943711.10899</v>
      </c>
      <c r="AO83" s="1689">
        <f t="shared" ca="1" si="181"/>
        <v>123880769430.54346</v>
      </c>
      <c r="AP83" s="1689">
        <f t="shared" ca="1" si="182"/>
        <v>138121449073.02518</v>
      </c>
      <c r="AQ83" s="1689">
        <f t="shared" ca="1" si="183"/>
        <v>160783181003.11639</v>
      </c>
      <c r="AS83" s="1706">
        <f ca="1">AVERAGE(Costs!$AI83:$AQ83)</f>
        <v>73891350773.145477</v>
      </c>
      <c r="AT83" s="1706">
        <f t="shared" ca="1" si="184"/>
        <v>358685332886.31897</v>
      </c>
      <c r="AU83" s="675"/>
      <c r="AV83" s="1699">
        <f>IFERROR(VLOOKUP($A83,Cost.FinanceCostTable,5,FALSE),'Global assumptions'!$F$35)</f>
        <v>7.0000000000000007E-2</v>
      </c>
      <c r="AW83" s="1690">
        <f>IFERROR(VLOOKUP($A83,Cost.FinanceCostTable,6,FALSE),'Global assumptions'!$G$35)</f>
        <v>15</v>
      </c>
      <c r="AX83" s="675"/>
      <c r="AY83" s="1689">
        <f t="shared" ca="1" si="185"/>
        <v>0</v>
      </c>
      <c r="AZ83" s="1689">
        <f t="shared" ca="1" si="186"/>
        <v>3900486511.3316364</v>
      </c>
      <c r="BA83" s="1689">
        <f t="shared" ca="1" si="187"/>
        <v>36621530352.196571</v>
      </c>
      <c r="BB83" s="1689">
        <f t="shared" ca="1" si="188"/>
        <v>9926744029.5187931</v>
      </c>
      <c r="BC83" s="1689">
        <f t="shared" ca="1" si="189"/>
        <v>24950990323.426506</v>
      </c>
      <c r="BD83" s="1689">
        <f t="shared" ca="1" si="190"/>
        <v>57360459781.678299</v>
      </c>
      <c r="BE83" s="1689">
        <f t="shared" ca="1" si="191"/>
        <v>67906187539.84568</v>
      </c>
      <c r="BF83" s="1689">
        <f t="shared" ca="1" si="192"/>
        <v>75696688137.28241</v>
      </c>
      <c r="BG83" s="1689">
        <f t="shared" ca="1" si="193"/>
        <v>88110216499.009521</v>
      </c>
      <c r="BH83" s="675"/>
      <c r="BI83" s="1689">
        <f t="shared" ca="1" si="220"/>
        <v>0</v>
      </c>
      <c r="BJ83" s="1689">
        <f t="shared" ca="1" si="194"/>
        <v>3900486511.3316364</v>
      </c>
      <c r="BK83" s="1689">
        <f t="shared" ca="1" si="195"/>
        <v>40522016863.528206</v>
      </c>
      <c r="BL83" s="1689">
        <f t="shared" ca="1" si="196"/>
        <v>50448760893.046997</v>
      </c>
      <c r="BM83" s="1689">
        <f t="shared" ca="1" si="197"/>
        <v>71499264705.141876</v>
      </c>
      <c r="BN83" s="1689">
        <f t="shared" ca="1" si="198"/>
        <v>92238194134.623596</v>
      </c>
      <c r="BO83" s="1689">
        <f t="shared" ca="1" si="199"/>
        <v>150217637644.9505</v>
      </c>
      <c r="BP83" s="1689">
        <f t="shared" ca="1" si="200"/>
        <v>200963335458.8064</v>
      </c>
      <c r="BQ83" s="1689">
        <f t="shared" ca="1" si="201"/>
        <v>231713092176.1376</v>
      </c>
      <c r="BR83" s="675"/>
      <c r="BS83" s="1701">
        <f t="shared" ca="1" si="202"/>
        <v>37863951.554610923</v>
      </c>
      <c r="BT83" s="1701">
        <f t="shared" ca="1" si="203"/>
        <v>3933520700.4049377</v>
      </c>
      <c r="BU83" s="1701">
        <f t="shared" ca="1" si="204"/>
        <v>40604028619.762024</v>
      </c>
      <c r="BV83" s="1701">
        <f t="shared" ca="1" si="205"/>
        <v>50497327455.234642</v>
      </c>
      <c r="BW83" s="1701">
        <f t="shared" ca="1" si="206"/>
        <v>71571711969.354904</v>
      </c>
      <c r="BX83" s="1701">
        <f t="shared" ca="1" si="207"/>
        <v>92367310848.723068</v>
      </c>
      <c r="BY83" s="1701">
        <f t="shared" ca="1" si="208"/>
        <v>150401663769.94824</v>
      </c>
      <c r="BZ83" s="1701">
        <f t="shared" ca="1" si="209"/>
        <v>201196999326.64481</v>
      </c>
      <c r="CA83" s="1701">
        <f t="shared" ca="1" si="210"/>
        <v>231996218210.34845</v>
      </c>
      <c r="CC83" s="1706">
        <f ca="1">AVERAGE(Costs!$BS83:$CA83)</f>
        <v>93622960539.108398</v>
      </c>
      <c r="CD83" s="1706">
        <f t="shared" ca="1" si="211"/>
        <v>389077554666.00018</v>
      </c>
      <c r="CF83" s="1703">
        <f t="shared" ca="1" si="221"/>
        <v>0</v>
      </c>
      <c r="CG83" s="1703">
        <f t="shared" ca="1" si="212"/>
        <v>-3204572633.3277073</v>
      </c>
      <c r="CH83" s="1703">
        <f t="shared" ca="1" si="213"/>
        <v>-26187132973.131958</v>
      </c>
      <c r="CI83" s="1703">
        <f t="shared" ca="1" si="214"/>
        <v>32366374698.729435</v>
      </c>
      <c r="CJ83" s="1703">
        <f t="shared" ca="1" si="215"/>
        <v>26048969863.52607</v>
      </c>
      <c r="CK83" s="1703">
        <f t="shared" ca="1" si="216"/>
        <v>-12248632862.385925</v>
      </c>
      <c r="CL83" s="1703">
        <f t="shared" ca="1" si="217"/>
        <v>26520894339.40477</v>
      </c>
      <c r="CM83" s="1703">
        <f t="shared" ca="1" si="218"/>
        <v>63075550253.619629</v>
      </c>
      <c r="CN83" s="1703">
        <f t="shared" ca="1" si="219"/>
        <v>71213037207.232056</v>
      </c>
      <c r="CP83" s="1706">
        <f ca="1">AVERAGE(Costs!$CF83:$CN83)</f>
        <v>19731609765.962933</v>
      </c>
      <c r="CQ83" s="1706">
        <f t="shared" ca="1" si="222"/>
        <v>30392221779.681252</v>
      </c>
      <c r="CR83" s="1426" t="str">
        <f t="shared" ca="1" si="223"/>
        <v>ok</v>
      </c>
    </row>
    <row r="84" spans="1:96" s="2126" customFormat="1" x14ac:dyDescent="0.2">
      <c r="A84" s="1685" t="s">
        <v>1698</v>
      </c>
      <c r="B84" s="1685" t="s">
        <v>1701</v>
      </c>
      <c r="C84" s="1685" t="s">
        <v>1732</v>
      </c>
      <c r="E84" s="1691">
        <f t="shared" ca="1" si="283"/>
        <v>0</v>
      </c>
      <c r="F84" s="1691">
        <f t="shared" ca="1" si="283"/>
        <v>0</v>
      </c>
      <c r="G84" s="1691">
        <f t="shared" ca="1" si="283"/>
        <v>0</v>
      </c>
      <c r="H84" s="1691">
        <f t="shared" ca="1" si="283"/>
        <v>0</v>
      </c>
      <c r="I84" s="1691">
        <f t="shared" ca="1" si="283"/>
        <v>0</v>
      </c>
      <c r="J84" s="1691">
        <f t="shared" ca="1" si="283"/>
        <v>0</v>
      </c>
      <c r="K84" s="1691">
        <f t="shared" ca="1" si="283"/>
        <v>0</v>
      </c>
      <c r="L84" s="1691">
        <f t="shared" ca="1" si="283"/>
        <v>0</v>
      </c>
      <c r="M84" s="1691">
        <f t="shared" ca="1" si="283"/>
        <v>0</v>
      </c>
      <c r="N84" s="675"/>
      <c r="O84" s="1691">
        <f t="shared" ca="1" si="284"/>
        <v>0</v>
      </c>
      <c r="P84" s="1691">
        <f t="shared" ca="1" si="284"/>
        <v>0</v>
      </c>
      <c r="Q84" s="1691">
        <f t="shared" ca="1" si="284"/>
        <v>0</v>
      </c>
      <c r="R84" s="1691">
        <f t="shared" ca="1" si="284"/>
        <v>0</v>
      </c>
      <c r="S84" s="1691">
        <f t="shared" ca="1" si="284"/>
        <v>0</v>
      </c>
      <c r="T84" s="1691">
        <f t="shared" ca="1" si="284"/>
        <v>0</v>
      </c>
      <c r="U84" s="1691">
        <f t="shared" ca="1" si="284"/>
        <v>0</v>
      </c>
      <c r="V84" s="1691">
        <f t="shared" ca="1" si="284"/>
        <v>0</v>
      </c>
      <c r="W84" s="1691">
        <f t="shared" ca="1" si="284"/>
        <v>0</v>
      </c>
      <c r="X84" s="675"/>
      <c r="Y84" s="1691">
        <f t="shared" ca="1" si="285"/>
        <v>-28962460960.214573</v>
      </c>
      <c r="Z84" s="1691">
        <f t="shared" ca="1" si="285"/>
        <v>-32442748678.90398</v>
      </c>
      <c r="AA84" s="1691">
        <f t="shared" ca="1" si="285"/>
        <v>46577274910.775391</v>
      </c>
      <c r="AB84" s="1691">
        <f t="shared" ca="1" si="285"/>
        <v>374910635589.3092</v>
      </c>
      <c r="AC84" s="1691">
        <f t="shared" ca="1" si="285"/>
        <v>945935422659.77197</v>
      </c>
      <c r="AD84" s="1691">
        <f t="shared" ca="1" si="285"/>
        <v>1780964801621.9014</v>
      </c>
      <c r="AE84" s="1691">
        <f t="shared" ca="1" si="285"/>
        <v>2669575561771.8945</v>
      </c>
      <c r="AF84" s="1691">
        <f t="shared" ca="1" si="285"/>
        <v>3551531138054.8799</v>
      </c>
      <c r="AG84" s="1691">
        <f t="shared" ca="1" si="285"/>
        <v>4543371104676.1338</v>
      </c>
      <c r="AH84" s="675"/>
      <c r="AI84" s="1691">
        <f t="shared" ca="1" si="175"/>
        <v>-28962460960.214573</v>
      </c>
      <c r="AJ84" s="1691">
        <f t="shared" ca="1" si="176"/>
        <v>-32442748678.90398</v>
      </c>
      <c r="AK84" s="1691">
        <f t="shared" ca="1" si="177"/>
        <v>46577274910.775391</v>
      </c>
      <c r="AL84" s="1691">
        <f t="shared" ca="1" si="178"/>
        <v>374910635589.3092</v>
      </c>
      <c r="AM84" s="1691">
        <f t="shared" ca="1" si="179"/>
        <v>945935422659.77197</v>
      </c>
      <c r="AN84" s="1691">
        <f t="shared" ca="1" si="180"/>
        <v>1780964801621.9014</v>
      </c>
      <c r="AO84" s="1691">
        <f t="shared" ca="1" si="181"/>
        <v>2669575561771.8945</v>
      </c>
      <c r="AP84" s="1691">
        <f t="shared" ca="1" si="182"/>
        <v>3551531138054.8799</v>
      </c>
      <c r="AQ84" s="1691">
        <f t="shared" ca="1" si="183"/>
        <v>4543371104676.1338</v>
      </c>
      <c r="AS84" s="1707">
        <f ca="1">AVERAGE(Costs!$AI84:$AQ84)</f>
        <v>1539051192182.8386</v>
      </c>
      <c r="AT84" s="1707">
        <f t="shared" ca="1" si="184"/>
        <v>4545280913510.3574</v>
      </c>
      <c r="AU84" s="675"/>
      <c r="AV84" s="1700">
        <f>IFERROR(VLOOKUP($A84,Cost.FinanceCostTable,5,FALSE),'Global assumptions'!$F$35)</f>
        <v>7.0000000000000007E-2</v>
      </c>
      <c r="AW84" s="1692">
        <f>IFERROR(VLOOKUP($A84,Cost.FinanceCostTable,6,FALSE),'Global assumptions'!$G$35)</f>
        <v>15</v>
      </c>
      <c r="AX84" s="675"/>
      <c r="AY84" s="1691">
        <f t="shared" ca="1" si="185"/>
        <v>0</v>
      </c>
      <c r="AZ84" s="1691">
        <f t="shared" ca="1" si="186"/>
        <v>0</v>
      </c>
      <c r="BA84" s="1691">
        <f t="shared" ca="1" si="187"/>
        <v>0</v>
      </c>
      <c r="BB84" s="1691">
        <f t="shared" ca="1" si="188"/>
        <v>0</v>
      </c>
      <c r="BC84" s="1691">
        <f t="shared" ca="1" si="189"/>
        <v>0</v>
      </c>
      <c r="BD84" s="1691">
        <f t="shared" ca="1" si="190"/>
        <v>0</v>
      </c>
      <c r="BE84" s="1691">
        <f t="shared" ca="1" si="191"/>
        <v>0</v>
      </c>
      <c r="BF84" s="1691">
        <f t="shared" ca="1" si="192"/>
        <v>0</v>
      </c>
      <c r="BG84" s="1691">
        <f t="shared" ca="1" si="193"/>
        <v>0</v>
      </c>
      <c r="BH84" s="675"/>
      <c r="BI84" s="1691">
        <f t="shared" ca="1" si="220"/>
        <v>0</v>
      </c>
      <c r="BJ84" s="1691">
        <f t="shared" ca="1" si="194"/>
        <v>0</v>
      </c>
      <c r="BK84" s="1691">
        <f t="shared" ca="1" si="195"/>
        <v>0</v>
      </c>
      <c r="BL84" s="1691">
        <f t="shared" ca="1" si="196"/>
        <v>0</v>
      </c>
      <c r="BM84" s="1691">
        <f t="shared" ca="1" si="197"/>
        <v>0</v>
      </c>
      <c r="BN84" s="1691">
        <f t="shared" ca="1" si="198"/>
        <v>0</v>
      </c>
      <c r="BO84" s="1691">
        <f t="shared" ca="1" si="199"/>
        <v>0</v>
      </c>
      <c r="BP84" s="1691">
        <f t="shared" ca="1" si="200"/>
        <v>0</v>
      </c>
      <c r="BQ84" s="1691">
        <f t="shared" ca="1" si="201"/>
        <v>0</v>
      </c>
      <c r="BR84" s="675"/>
      <c r="BS84" s="1702">
        <f t="shared" ca="1" si="202"/>
        <v>-28962460960.214573</v>
      </c>
      <c r="BT84" s="1702">
        <f t="shared" ca="1" si="203"/>
        <v>-32442748678.90398</v>
      </c>
      <c r="BU84" s="1702">
        <f t="shared" ca="1" si="204"/>
        <v>46577274910.775391</v>
      </c>
      <c r="BV84" s="1702">
        <f t="shared" ca="1" si="205"/>
        <v>374910635589.3092</v>
      </c>
      <c r="BW84" s="1702">
        <f t="shared" ca="1" si="206"/>
        <v>945935422659.77197</v>
      </c>
      <c r="BX84" s="1702">
        <f t="shared" ca="1" si="207"/>
        <v>1780964801621.9014</v>
      </c>
      <c r="BY84" s="1702">
        <f t="shared" ca="1" si="208"/>
        <v>2669575561771.8945</v>
      </c>
      <c r="BZ84" s="1702">
        <f t="shared" ca="1" si="209"/>
        <v>3551531138054.8799</v>
      </c>
      <c r="CA84" s="1702">
        <f t="shared" ca="1" si="210"/>
        <v>4543371104676.1338</v>
      </c>
      <c r="CC84" s="1707">
        <f ca="1">AVERAGE(Costs!$BS84:$CA84)</f>
        <v>1539051192182.8386</v>
      </c>
      <c r="CD84" s="1707">
        <f t="shared" ca="1" si="211"/>
        <v>4545280913510.3574</v>
      </c>
      <c r="CF84" s="1704">
        <f t="shared" ca="1" si="221"/>
        <v>0</v>
      </c>
      <c r="CG84" s="1704">
        <f t="shared" ca="1" si="212"/>
        <v>0</v>
      </c>
      <c r="CH84" s="1704">
        <f t="shared" ca="1" si="213"/>
        <v>0</v>
      </c>
      <c r="CI84" s="1704">
        <f t="shared" ca="1" si="214"/>
        <v>0</v>
      </c>
      <c r="CJ84" s="1704">
        <f t="shared" ca="1" si="215"/>
        <v>0</v>
      </c>
      <c r="CK84" s="1704">
        <f t="shared" ca="1" si="216"/>
        <v>0</v>
      </c>
      <c r="CL84" s="1704">
        <f t="shared" ca="1" si="217"/>
        <v>0</v>
      </c>
      <c r="CM84" s="1704">
        <f t="shared" ca="1" si="218"/>
        <v>0</v>
      </c>
      <c r="CN84" s="1704">
        <f t="shared" ca="1" si="219"/>
        <v>0</v>
      </c>
      <c r="CP84" s="1707">
        <f ca="1">AVERAGE(Costs!$CF84:$CN84)</f>
        <v>0</v>
      </c>
      <c r="CQ84" s="1707">
        <f t="shared" ca="1" si="222"/>
        <v>0</v>
      </c>
      <c r="CR84" s="1426" t="str">
        <f t="shared" ca="1" si="223"/>
        <v>ok</v>
      </c>
    </row>
    <row r="85" spans="1:96" s="2126" customFormat="1" x14ac:dyDescent="0.2">
      <c r="A85" s="1683" t="s">
        <v>1699</v>
      </c>
      <c r="B85" s="1683" t="s">
        <v>1702</v>
      </c>
      <c r="C85" s="1683" t="s">
        <v>1732</v>
      </c>
      <c r="E85" s="1689">
        <f t="shared" ca="1" si="283"/>
        <v>0</v>
      </c>
      <c r="F85" s="1689">
        <f t="shared" ca="1" si="283"/>
        <v>0</v>
      </c>
      <c r="G85" s="1689">
        <f t="shared" ca="1" si="283"/>
        <v>0</v>
      </c>
      <c r="H85" s="1689">
        <f t="shared" ca="1" si="283"/>
        <v>0</v>
      </c>
      <c r="I85" s="1689">
        <f t="shared" ca="1" si="283"/>
        <v>0</v>
      </c>
      <c r="J85" s="1689">
        <f t="shared" ca="1" si="283"/>
        <v>0</v>
      </c>
      <c r="K85" s="1689">
        <f t="shared" ca="1" si="283"/>
        <v>0</v>
      </c>
      <c r="L85" s="1689">
        <f t="shared" ca="1" si="283"/>
        <v>0</v>
      </c>
      <c r="M85" s="1689">
        <f t="shared" ca="1" si="283"/>
        <v>0</v>
      </c>
      <c r="N85" s="675"/>
      <c r="O85" s="1689">
        <f t="shared" ca="1" si="284"/>
        <v>0</v>
      </c>
      <c r="P85" s="1689">
        <f t="shared" ca="1" si="284"/>
        <v>0</v>
      </c>
      <c r="Q85" s="1689">
        <f t="shared" ca="1" si="284"/>
        <v>0</v>
      </c>
      <c r="R85" s="1689">
        <f t="shared" ca="1" si="284"/>
        <v>0</v>
      </c>
      <c r="S85" s="1689">
        <f t="shared" ca="1" si="284"/>
        <v>0</v>
      </c>
      <c r="T85" s="1689">
        <f t="shared" ca="1" si="284"/>
        <v>0</v>
      </c>
      <c r="U85" s="1689">
        <f t="shared" ca="1" si="284"/>
        <v>0</v>
      </c>
      <c r="V85" s="1689">
        <f t="shared" ca="1" si="284"/>
        <v>0</v>
      </c>
      <c r="W85" s="1689">
        <f t="shared" ca="1" si="284"/>
        <v>0</v>
      </c>
      <c r="X85" s="675"/>
      <c r="Y85" s="1689">
        <f t="shared" ca="1" si="285"/>
        <v>-9428228078494.5449</v>
      </c>
      <c r="Z85" s="1689">
        <f t="shared" ca="1" si="285"/>
        <v>-10644323401498.516</v>
      </c>
      <c r="AA85" s="1689">
        <f t="shared" ca="1" si="285"/>
        <v>-12728280544149.398</v>
      </c>
      <c r="AB85" s="1689">
        <f t="shared" ca="1" si="285"/>
        <v>-14354816803205.408</v>
      </c>
      <c r="AC85" s="1689">
        <f t="shared" ca="1" si="285"/>
        <v>-15585072000778.609</v>
      </c>
      <c r="AD85" s="1689">
        <f t="shared" ca="1" si="285"/>
        <v>-15359105736689.133</v>
      </c>
      <c r="AE85" s="1689">
        <f t="shared" ca="1" si="285"/>
        <v>-15234276872435.566</v>
      </c>
      <c r="AF85" s="1689">
        <f t="shared" ca="1" si="285"/>
        <v>-15122190329875.025</v>
      </c>
      <c r="AG85" s="1689">
        <f t="shared" ca="1" si="285"/>
        <v>-15418982666021.941</v>
      </c>
      <c r="AH85" s="675"/>
      <c r="AI85" s="1689">
        <f t="shared" ca="1" si="175"/>
        <v>-9428228078494.5449</v>
      </c>
      <c r="AJ85" s="1689">
        <f t="shared" ca="1" si="176"/>
        <v>-10644323401498.516</v>
      </c>
      <c r="AK85" s="1689">
        <f t="shared" ca="1" si="177"/>
        <v>-12728280544149.398</v>
      </c>
      <c r="AL85" s="1689">
        <f t="shared" ca="1" si="178"/>
        <v>-14354816803205.408</v>
      </c>
      <c r="AM85" s="1689">
        <f t="shared" ca="1" si="179"/>
        <v>-15585072000778.609</v>
      </c>
      <c r="AN85" s="1689">
        <f t="shared" ca="1" si="180"/>
        <v>-15359105736689.133</v>
      </c>
      <c r="AO85" s="1689">
        <f t="shared" ca="1" si="181"/>
        <v>-15234276872435.566</v>
      </c>
      <c r="AP85" s="1689">
        <f t="shared" ca="1" si="182"/>
        <v>-15122190329875.025</v>
      </c>
      <c r="AQ85" s="1689">
        <f t="shared" ca="1" si="183"/>
        <v>-15418982666021.941</v>
      </c>
      <c r="AS85" s="1706">
        <f ca="1">AVERAGE(Costs!$AI85:$AQ85)</f>
        <v>-13763919603683.127</v>
      </c>
      <c r="AT85" s="1706">
        <f t="shared" ca="1" si="184"/>
        <v>-114254996913165.55</v>
      </c>
      <c r="AU85" s="675"/>
      <c r="AV85" s="1699">
        <f>IFERROR(VLOOKUP($A85,Cost.FinanceCostTable,5,FALSE),'Global assumptions'!$F$35)</f>
        <v>7.0000000000000007E-2</v>
      </c>
      <c r="AW85" s="1690">
        <f>IFERROR(VLOOKUP($A85,Cost.FinanceCostTable,6,FALSE),'Global assumptions'!$G$35)</f>
        <v>15</v>
      </c>
      <c r="AX85" s="675"/>
      <c r="AY85" s="1689">
        <f t="shared" ca="1" si="185"/>
        <v>0</v>
      </c>
      <c r="AZ85" s="1689">
        <f t="shared" ca="1" si="186"/>
        <v>0</v>
      </c>
      <c r="BA85" s="1689">
        <f t="shared" ca="1" si="187"/>
        <v>0</v>
      </c>
      <c r="BB85" s="1689">
        <f t="shared" ca="1" si="188"/>
        <v>0</v>
      </c>
      <c r="BC85" s="1689">
        <f t="shared" ca="1" si="189"/>
        <v>0</v>
      </c>
      <c r="BD85" s="1689">
        <f t="shared" ca="1" si="190"/>
        <v>0</v>
      </c>
      <c r="BE85" s="1689">
        <f t="shared" ca="1" si="191"/>
        <v>0</v>
      </c>
      <c r="BF85" s="1689">
        <f t="shared" ca="1" si="192"/>
        <v>0</v>
      </c>
      <c r="BG85" s="1689">
        <f t="shared" ca="1" si="193"/>
        <v>0</v>
      </c>
      <c r="BH85" s="675"/>
      <c r="BI85" s="1689">
        <f t="shared" ca="1" si="220"/>
        <v>0</v>
      </c>
      <c r="BJ85" s="1689">
        <f t="shared" ca="1" si="194"/>
        <v>0</v>
      </c>
      <c r="BK85" s="1689">
        <f t="shared" ca="1" si="195"/>
        <v>0</v>
      </c>
      <c r="BL85" s="1689">
        <f t="shared" ca="1" si="196"/>
        <v>0</v>
      </c>
      <c r="BM85" s="1689">
        <f t="shared" ca="1" si="197"/>
        <v>0</v>
      </c>
      <c r="BN85" s="1689">
        <f t="shared" ca="1" si="198"/>
        <v>0</v>
      </c>
      <c r="BO85" s="1689">
        <f t="shared" ca="1" si="199"/>
        <v>0</v>
      </c>
      <c r="BP85" s="1689">
        <f t="shared" ca="1" si="200"/>
        <v>0</v>
      </c>
      <c r="BQ85" s="1689">
        <f t="shared" ca="1" si="201"/>
        <v>0</v>
      </c>
      <c r="BR85" s="675"/>
      <c r="BS85" s="1701">
        <f t="shared" ca="1" si="202"/>
        <v>-9428228078494.5449</v>
      </c>
      <c r="BT85" s="1701">
        <f t="shared" ca="1" si="203"/>
        <v>-10644323401498.516</v>
      </c>
      <c r="BU85" s="1701">
        <f t="shared" ca="1" si="204"/>
        <v>-12728280544149.398</v>
      </c>
      <c r="BV85" s="1701">
        <f t="shared" ca="1" si="205"/>
        <v>-14354816803205.408</v>
      </c>
      <c r="BW85" s="1701">
        <f t="shared" ca="1" si="206"/>
        <v>-15585072000778.609</v>
      </c>
      <c r="BX85" s="1701">
        <f t="shared" ca="1" si="207"/>
        <v>-15359105736689.133</v>
      </c>
      <c r="BY85" s="1701">
        <f t="shared" ca="1" si="208"/>
        <v>-15234276872435.566</v>
      </c>
      <c r="BZ85" s="1701">
        <f t="shared" ca="1" si="209"/>
        <v>-15122190329875.025</v>
      </c>
      <c r="CA85" s="1701">
        <f t="shared" ca="1" si="210"/>
        <v>-15418982666021.941</v>
      </c>
      <c r="CC85" s="1706">
        <f ca="1">AVERAGE(Costs!$BS85:$CA85)</f>
        <v>-13763919603683.127</v>
      </c>
      <c r="CD85" s="1706">
        <f t="shared" ca="1" si="211"/>
        <v>-114254996913165.55</v>
      </c>
      <c r="CF85" s="1703">
        <f t="shared" ca="1" si="221"/>
        <v>0</v>
      </c>
      <c r="CG85" s="1703">
        <f t="shared" ca="1" si="212"/>
        <v>0</v>
      </c>
      <c r="CH85" s="1703">
        <f t="shared" ca="1" si="213"/>
        <v>0</v>
      </c>
      <c r="CI85" s="1703">
        <f t="shared" ca="1" si="214"/>
        <v>0</v>
      </c>
      <c r="CJ85" s="1703">
        <f t="shared" ca="1" si="215"/>
        <v>0</v>
      </c>
      <c r="CK85" s="1703">
        <f t="shared" ca="1" si="216"/>
        <v>0</v>
      </c>
      <c r="CL85" s="1703">
        <f t="shared" ca="1" si="217"/>
        <v>0</v>
      </c>
      <c r="CM85" s="1703">
        <f t="shared" ca="1" si="218"/>
        <v>0</v>
      </c>
      <c r="CN85" s="1703">
        <f t="shared" ca="1" si="219"/>
        <v>0</v>
      </c>
      <c r="CP85" s="1706">
        <f ca="1">AVERAGE(Costs!$CF85:$CN85)</f>
        <v>0</v>
      </c>
      <c r="CQ85" s="1706">
        <f t="shared" ca="1" si="222"/>
        <v>0</v>
      </c>
      <c r="CR85" s="1426" t="str">
        <f t="shared" ca="1" si="223"/>
        <v>ok</v>
      </c>
    </row>
    <row r="86" spans="1:96" s="580" customFormat="1" x14ac:dyDescent="0.2">
      <c r="A86" s="2134" t="s">
        <v>1700</v>
      </c>
      <c r="B86" s="2134" t="s">
        <v>1703</v>
      </c>
      <c r="C86" s="2134" t="s">
        <v>1732</v>
      </c>
      <c r="E86" s="2135">
        <f t="shared" ca="1" si="283"/>
        <v>0</v>
      </c>
      <c r="F86" s="2135">
        <f t="shared" ca="1" si="283"/>
        <v>0</v>
      </c>
      <c r="G86" s="2135">
        <f t="shared" ca="1" si="283"/>
        <v>0</v>
      </c>
      <c r="H86" s="2135">
        <f t="shared" ca="1" si="283"/>
        <v>0</v>
      </c>
      <c r="I86" s="2135">
        <f t="shared" ca="1" si="283"/>
        <v>0</v>
      </c>
      <c r="J86" s="2135">
        <f t="shared" ca="1" si="283"/>
        <v>0</v>
      </c>
      <c r="K86" s="2135">
        <f t="shared" ca="1" si="283"/>
        <v>0</v>
      </c>
      <c r="L86" s="2135">
        <f t="shared" ca="1" si="283"/>
        <v>0</v>
      </c>
      <c r="M86" s="2135">
        <f t="shared" ca="1" si="283"/>
        <v>0</v>
      </c>
      <c r="N86" s="2731"/>
      <c r="O86" s="2135">
        <f t="shared" ca="1" si="284"/>
        <v>0</v>
      </c>
      <c r="P86" s="2135">
        <f t="shared" ca="1" si="284"/>
        <v>0</v>
      </c>
      <c r="Q86" s="2135">
        <f t="shared" ca="1" si="284"/>
        <v>0</v>
      </c>
      <c r="R86" s="2135">
        <f t="shared" ca="1" si="284"/>
        <v>0</v>
      </c>
      <c r="S86" s="2135">
        <f t="shared" ca="1" si="284"/>
        <v>0</v>
      </c>
      <c r="T86" s="2135">
        <f t="shared" ca="1" si="284"/>
        <v>0</v>
      </c>
      <c r="U86" s="2135">
        <f t="shared" ca="1" si="284"/>
        <v>0</v>
      </c>
      <c r="V86" s="2135">
        <f t="shared" ca="1" si="284"/>
        <v>0</v>
      </c>
      <c r="W86" s="2135">
        <f t="shared" ca="1" si="284"/>
        <v>0</v>
      </c>
      <c r="X86" s="2731"/>
      <c r="Y86" s="2135">
        <f t="shared" ca="1" si="285"/>
        <v>-2669908701238.8242</v>
      </c>
      <c r="Z86" s="2135">
        <f t="shared" ca="1" si="285"/>
        <v>-3451501456127.9312</v>
      </c>
      <c r="AA86" s="2135">
        <f t="shared" ca="1" si="285"/>
        <v>-3657183741579.146</v>
      </c>
      <c r="AB86" s="2135">
        <f t="shared" ca="1" si="285"/>
        <v>-4399070620658.5664</v>
      </c>
      <c r="AC86" s="2135">
        <f t="shared" ca="1" si="285"/>
        <v>-4754632631713.5225</v>
      </c>
      <c r="AD86" s="2135">
        <f t="shared" ca="1" si="285"/>
        <v>-4400891914783.083</v>
      </c>
      <c r="AE86" s="2135">
        <f t="shared" ca="1" si="285"/>
        <v>-4061054059363.0239</v>
      </c>
      <c r="AF86" s="2135">
        <f t="shared" ca="1" si="285"/>
        <v>-3762858049052.6665</v>
      </c>
      <c r="AG86" s="2135">
        <f t="shared" ca="1" si="285"/>
        <v>-3466048948543.1816</v>
      </c>
      <c r="AH86" s="2731"/>
      <c r="AI86" s="2135">
        <f t="shared" ca="1" si="175"/>
        <v>-2669908701238.8242</v>
      </c>
      <c r="AJ86" s="2135">
        <f ca="1">SUM(F86,P86,Z86)</f>
        <v>-3451501456127.9312</v>
      </c>
      <c r="AK86" s="2135">
        <f t="shared" ca="1" si="177"/>
        <v>-3657183741579.146</v>
      </c>
      <c r="AL86" s="2135">
        <f t="shared" ca="1" si="178"/>
        <v>-4399070620658.5664</v>
      </c>
      <c r="AM86" s="2135">
        <f t="shared" ca="1" si="179"/>
        <v>-4754632631713.5225</v>
      </c>
      <c r="AN86" s="2135">
        <f t="shared" ca="1" si="180"/>
        <v>-4400891914783.083</v>
      </c>
      <c r="AO86" s="2135">
        <f t="shared" ca="1" si="181"/>
        <v>-4061054059363.0239</v>
      </c>
      <c r="AP86" s="2135">
        <f t="shared" ca="1" si="182"/>
        <v>-3762858049052.6665</v>
      </c>
      <c r="AQ86" s="2135">
        <f t="shared" ca="1" si="183"/>
        <v>-3466048948543.1816</v>
      </c>
      <c r="AS86" s="2732">
        <f ca="1">AVERAGE(Costs!$AI86:$AQ86)</f>
        <v>-3847016680339.9941</v>
      </c>
      <c r="AT86" s="2732">
        <f t="shared" ca="1" si="184"/>
        <v>-34098401826260.969</v>
      </c>
      <c r="AU86" s="2731"/>
      <c r="AV86" s="2735">
        <f>IFERROR(VLOOKUP($A86,Cost.FinanceCostTable,5,FALSE),'Global assumptions'!$F$35)</f>
        <v>7.0000000000000007E-2</v>
      </c>
      <c r="AW86" s="2736">
        <f>IFERROR(VLOOKUP($A86,Cost.FinanceCostTable,6,FALSE),'Global assumptions'!$G$35)</f>
        <v>15</v>
      </c>
      <c r="AX86" s="2731"/>
      <c r="AY86" s="2135">
        <f t="shared" ca="1" si="185"/>
        <v>0</v>
      </c>
      <c r="AZ86" s="2135">
        <f t="shared" ca="1" si="186"/>
        <v>0</v>
      </c>
      <c r="BA86" s="2135">
        <f t="shared" ca="1" si="187"/>
        <v>0</v>
      </c>
      <c r="BB86" s="2135">
        <f t="shared" ca="1" si="188"/>
        <v>0</v>
      </c>
      <c r="BC86" s="2135">
        <f t="shared" ca="1" si="189"/>
        <v>0</v>
      </c>
      <c r="BD86" s="2135">
        <f t="shared" ca="1" si="190"/>
        <v>0</v>
      </c>
      <c r="BE86" s="2135">
        <f t="shared" ca="1" si="191"/>
        <v>0</v>
      </c>
      <c r="BF86" s="2135">
        <f t="shared" ca="1" si="192"/>
        <v>0</v>
      </c>
      <c r="BG86" s="2135">
        <f t="shared" ca="1" si="193"/>
        <v>0</v>
      </c>
      <c r="BH86" s="2731"/>
      <c r="BI86" s="2135">
        <f t="shared" ca="1" si="220"/>
        <v>0</v>
      </c>
      <c r="BJ86" s="2135">
        <f t="shared" ca="1" si="194"/>
        <v>0</v>
      </c>
      <c r="BK86" s="2135">
        <f t="shared" ca="1" si="195"/>
        <v>0</v>
      </c>
      <c r="BL86" s="2135">
        <f t="shared" ca="1" si="196"/>
        <v>0</v>
      </c>
      <c r="BM86" s="2135">
        <f t="shared" ca="1" si="197"/>
        <v>0</v>
      </c>
      <c r="BN86" s="2135">
        <f t="shared" ca="1" si="198"/>
        <v>0</v>
      </c>
      <c r="BO86" s="2135">
        <f t="shared" ca="1" si="199"/>
        <v>0</v>
      </c>
      <c r="BP86" s="2135">
        <f t="shared" ca="1" si="200"/>
        <v>0</v>
      </c>
      <c r="BQ86" s="2135">
        <f t="shared" ca="1" si="201"/>
        <v>0</v>
      </c>
      <c r="BR86" s="2731"/>
      <c r="BS86" s="2733">
        <f t="shared" ca="1" si="202"/>
        <v>-2669908701238.8242</v>
      </c>
      <c r="BT86" s="2733">
        <f t="shared" ca="1" si="203"/>
        <v>-3451501456127.9312</v>
      </c>
      <c r="BU86" s="2733">
        <f t="shared" ca="1" si="204"/>
        <v>-3657183741579.146</v>
      </c>
      <c r="BV86" s="2733">
        <f t="shared" ca="1" si="205"/>
        <v>-4399070620658.5664</v>
      </c>
      <c r="BW86" s="2733">
        <f t="shared" ca="1" si="206"/>
        <v>-4754632631713.5225</v>
      </c>
      <c r="BX86" s="2733">
        <f t="shared" ca="1" si="207"/>
        <v>-4400891914783.083</v>
      </c>
      <c r="BY86" s="2733">
        <f t="shared" ca="1" si="208"/>
        <v>-4061054059363.0239</v>
      </c>
      <c r="BZ86" s="2733">
        <f t="shared" ca="1" si="209"/>
        <v>-3762858049052.6665</v>
      </c>
      <c r="CA86" s="2733">
        <f t="shared" ca="1" si="210"/>
        <v>-3466048948543.1816</v>
      </c>
      <c r="CC86" s="2732">
        <f ca="1">AVERAGE(Costs!$BS86:$CA86)</f>
        <v>-3847016680339.9941</v>
      </c>
      <c r="CD86" s="2732">
        <f t="shared" ca="1" si="211"/>
        <v>-34098401826260.969</v>
      </c>
      <c r="CF86" s="2734">
        <f t="shared" ca="1" si="221"/>
        <v>0</v>
      </c>
      <c r="CG86" s="2734">
        <f t="shared" ca="1" si="212"/>
        <v>0</v>
      </c>
      <c r="CH86" s="2734">
        <f t="shared" ca="1" si="213"/>
        <v>0</v>
      </c>
      <c r="CI86" s="2734">
        <f t="shared" ca="1" si="214"/>
        <v>0</v>
      </c>
      <c r="CJ86" s="2734">
        <f t="shared" ca="1" si="215"/>
        <v>0</v>
      </c>
      <c r="CK86" s="2734">
        <f t="shared" ca="1" si="216"/>
        <v>0</v>
      </c>
      <c r="CL86" s="2734">
        <f t="shared" ca="1" si="217"/>
        <v>0</v>
      </c>
      <c r="CM86" s="2734">
        <f t="shared" ca="1" si="218"/>
        <v>0</v>
      </c>
      <c r="CN86" s="2734">
        <f t="shared" ca="1" si="219"/>
        <v>0</v>
      </c>
      <c r="CP86" s="2732">
        <f ca="1">AVERAGE(Costs!$CF86:$CN86)</f>
        <v>0</v>
      </c>
      <c r="CQ86" s="2732">
        <f t="shared" ca="1" si="222"/>
        <v>0</v>
      </c>
      <c r="CR86" s="1073" t="str">
        <f t="shared" ca="1" si="223"/>
        <v>ok</v>
      </c>
    </row>
    <row r="87" spans="1:96" s="1673" customFormat="1" x14ac:dyDescent="0.2">
      <c r="A87" s="1687" t="s">
        <v>105</v>
      </c>
      <c r="B87" s="1687" t="s">
        <v>105</v>
      </c>
      <c r="C87" s="1695" t="s">
        <v>105</v>
      </c>
      <c r="D87" s="1427"/>
      <c r="E87" s="1693">
        <f t="shared" ref="E87:M87" ca="1" si="286">SUM(E47:E86)</f>
        <v>1325018540551.1677</v>
      </c>
      <c r="F87" s="1693">
        <f t="shared" ca="1" si="286"/>
        <v>59339828025582.609</v>
      </c>
      <c r="G87" s="1693">
        <f t="shared" ca="1" si="286"/>
        <v>41513974506472.875</v>
      </c>
      <c r="H87" s="1693">
        <f t="shared" ca="1" si="286"/>
        <v>50088727653682.219</v>
      </c>
      <c r="I87" s="1693">
        <f t="shared" ca="1" si="286"/>
        <v>60107320655232.898</v>
      </c>
      <c r="J87" s="1693">
        <f t="shared" ca="1" si="286"/>
        <v>73304579003471.266</v>
      </c>
      <c r="K87" s="1693">
        <f t="shared" ca="1" si="286"/>
        <v>82108216176883.922</v>
      </c>
      <c r="L87" s="1693">
        <f t="shared" ca="1" si="286"/>
        <v>101011606001079.56</v>
      </c>
      <c r="M87" s="1693">
        <f t="shared" ca="1" si="286"/>
        <v>112333068565081.62</v>
      </c>
      <c r="N87" s="1427"/>
      <c r="O87" s="1693">
        <f t="shared" ref="O87:W87" ca="1" si="287">SUM(O47:O86)</f>
        <v>71202938475905.297</v>
      </c>
      <c r="P87" s="1693">
        <f t="shared" ca="1" si="287"/>
        <v>717009590213225.25</v>
      </c>
      <c r="Q87" s="1693">
        <f t="shared" ca="1" si="287"/>
        <v>860507498093024</v>
      </c>
      <c r="R87" s="1693">
        <f t="shared" ca="1" si="287"/>
        <v>1030594432277782.1</v>
      </c>
      <c r="S87" s="1693">
        <f t="shared" ca="1" si="287"/>
        <v>1230011036664731.2</v>
      </c>
      <c r="T87" s="1693">
        <f t="shared" ca="1" si="287"/>
        <v>1463708017719360.7</v>
      </c>
      <c r="U87" s="1693">
        <f t="shared" ca="1" si="287"/>
        <v>1694958421140112.7</v>
      </c>
      <c r="V87" s="1693">
        <f t="shared" ca="1" si="287"/>
        <v>1957282704351664.7</v>
      </c>
      <c r="W87" s="1693">
        <f t="shared" ca="1" si="287"/>
        <v>2252120821722956.5</v>
      </c>
      <c r="X87" s="1427"/>
      <c r="Y87" s="1693">
        <f t="shared" ref="Y87:AG87" ca="1" si="288">SUM(Y47:Y86)</f>
        <v>10086251022054.365</v>
      </c>
      <c r="Z87" s="1693">
        <f t="shared" ca="1" si="288"/>
        <v>11304643918628.1</v>
      </c>
      <c r="AA87" s="1693">
        <f t="shared" ca="1" si="288"/>
        <v>12169530828333.713</v>
      </c>
      <c r="AB87" s="1693">
        <f t="shared" ca="1" si="288"/>
        <v>13298796493018.035</v>
      </c>
      <c r="AC87" s="1693">
        <f t="shared" ca="1" si="288"/>
        <v>15291424292461.305</v>
      </c>
      <c r="AD87" s="1693">
        <f t="shared" ca="1" si="288"/>
        <v>17864882037967.668</v>
      </c>
      <c r="AE87" s="1693">
        <f t="shared" ca="1" si="288"/>
        <v>20414497724206.254</v>
      </c>
      <c r="AF87" s="1693">
        <f t="shared" ca="1" si="288"/>
        <v>23101596709104.66</v>
      </c>
      <c r="AG87" s="1693">
        <f t="shared" ca="1" si="288"/>
        <v>26264444104405.898</v>
      </c>
      <c r="AH87" s="1427"/>
      <c r="AI87" s="1693">
        <f t="shared" ref="AI87:AQ87" ca="1" si="289">SUM(AI47:AI86)</f>
        <v>82614208038510.828</v>
      </c>
      <c r="AJ87" s="1693">
        <f t="shared" ca="1" si="289"/>
        <v>787654062157436</v>
      </c>
      <c r="AK87" s="1693">
        <f t="shared" ca="1" si="289"/>
        <v>914191003427830.25</v>
      </c>
      <c r="AL87" s="1693">
        <f t="shared" ca="1" si="289"/>
        <v>1093981956424482.4</v>
      </c>
      <c r="AM87" s="1693">
        <f t="shared" ca="1" si="289"/>
        <v>1305409781612426</v>
      </c>
      <c r="AN87" s="1693">
        <f t="shared" ca="1" si="289"/>
        <v>1554877478760799.2</v>
      </c>
      <c r="AO87" s="1693">
        <f t="shared" ca="1" si="289"/>
        <v>1797481135041203.5</v>
      </c>
      <c r="AP87" s="1693">
        <f t="shared" ca="1" si="289"/>
        <v>2081395907061849.5</v>
      </c>
      <c r="AQ87" s="1693">
        <f t="shared" ca="1" si="289"/>
        <v>2390718334392443.5</v>
      </c>
      <c r="AR87" s="1427"/>
      <c r="AS87" s="1709">
        <f ca="1">AVERAGE(Costs!$AI87:$AQ87)</f>
        <v>1334258207435220.2</v>
      </c>
      <c r="AT87" s="1709">
        <f ca="1">(SUMPRODUCT(AJ87:AQ87,discount_factors)*5)+AI87</f>
        <v>8826732411133185</v>
      </c>
      <c r="AU87" s="1427"/>
      <c r="AV87" s="1693"/>
      <c r="AW87" s="1694"/>
      <c r="AX87" s="1427"/>
      <c r="AY87" s="1693">
        <f t="shared" ref="AY87:BG87" ca="1" si="290">SUM(AY47:AY86)</f>
        <v>362452367074.08539</v>
      </c>
      <c r="AZ87" s="1693">
        <f t="shared" ca="1" si="290"/>
        <v>32474980882472.418</v>
      </c>
      <c r="BA87" s="1693">
        <f t="shared" ca="1" si="290"/>
        <v>22435118534764.305</v>
      </c>
      <c r="BB87" s="1693">
        <f t="shared" ca="1" si="290"/>
        <v>27118090216819.453</v>
      </c>
      <c r="BC87" s="1693">
        <f t="shared" ca="1" si="290"/>
        <v>32456051811779.996</v>
      </c>
      <c r="BD87" s="1693">
        <f t="shared" ca="1" si="290"/>
        <v>39612466788081.18</v>
      </c>
      <c r="BE87" s="1693">
        <f t="shared" ca="1" si="290"/>
        <v>44104167484724.961</v>
      </c>
      <c r="BF87" s="1693">
        <f t="shared" ca="1" si="290"/>
        <v>54009115090905.367</v>
      </c>
      <c r="BG87" s="1693">
        <f t="shared" ca="1" si="290"/>
        <v>59839935847046.398</v>
      </c>
      <c r="BH87" s="1427"/>
      <c r="BI87" s="1693">
        <f t="shared" ref="BI87:BQ87" ca="1" si="291">SUM(BI47:BI86)</f>
        <v>362452367074.08539</v>
      </c>
      <c r="BJ87" s="1693">
        <f t="shared" ca="1" si="291"/>
        <v>32837433249546.504</v>
      </c>
      <c r="BK87" s="1693">
        <f t="shared" ca="1" si="291"/>
        <v>55264819572935.047</v>
      </c>
      <c r="BL87" s="1693">
        <f t="shared" ca="1" si="291"/>
        <v>81670427135958.359</v>
      </c>
      <c r="BM87" s="1693">
        <f t="shared" ca="1" si="291"/>
        <v>82333916260047.344</v>
      </c>
      <c r="BN87" s="1693">
        <f t="shared" ca="1" si="291"/>
        <v>100991602599793.09</v>
      </c>
      <c r="BO87" s="1693">
        <f t="shared" ca="1" si="291"/>
        <v>119618030389756.55</v>
      </c>
      <c r="BP87" s="1693">
        <f t="shared" ca="1" si="291"/>
        <v>144357392018618.78</v>
      </c>
      <c r="BQ87" s="1693">
        <f t="shared" ca="1" si="291"/>
        <v>164201506968397.75</v>
      </c>
      <c r="BR87" s="1427"/>
      <c r="BS87" s="1693">
        <f t="shared" ref="BS87:CA87" ca="1" si="292">SUM(BS47:BS86)</f>
        <v>81651641865033.734</v>
      </c>
      <c r="BT87" s="1693">
        <f t="shared" ca="1" si="292"/>
        <v>761151667381400</v>
      </c>
      <c r="BU87" s="1693">
        <f t="shared" ca="1" si="292"/>
        <v>927941848494292.62</v>
      </c>
      <c r="BV87" s="1693">
        <f t="shared" ca="1" si="292"/>
        <v>1125563655906758.1</v>
      </c>
      <c r="BW87" s="1693">
        <f t="shared" ca="1" si="292"/>
        <v>1327636377217240</v>
      </c>
      <c r="BX87" s="1693">
        <f t="shared" ca="1" si="292"/>
        <v>1582564502357121.5</v>
      </c>
      <c r="BY87" s="1693">
        <f t="shared" ca="1" si="292"/>
        <v>1834990949254076.2</v>
      </c>
      <c r="BZ87" s="1693">
        <f t="shared" ca="1" si="292"/>
        <v>2124741693079389</v>
      </c>
      <c r="CA87" s="1693">
        <f t="shared" ca="1" si="292"/>
        <v>2442586772795759.5</v>
      </c>
      <c r="CB87" s="2126"/>
      <c r="CC87" s="1709">
        <f ca="1">AVERAGE(Costs!$BS87:$CA87)</f>
        <v>1356536567594563.5</v>
      </c>
      <c r="CD87" s="1709">
        <f t="shared" ca="1" si="211"/>
        <v>8869617565875805</v>
      </c>
      <c r="CE87" s="1427"/>
      <c r="CF87" s="1693">
        <f t="shared" ca="1" si="221"/>
        <v>-962566173477.08228</v>
      </c>
      <c r="CG87" s="1693">
        <f t="shared" ca="1" si="212"/>
        <v>-26502394776036.105</v>
      </c>
      <c r="CH87" s="1693">
        <f t="shared" ca="1" si="213"/>
        <v>13750845066462.172</v>
      </c>
      <c r="CI87" s="1693">
        <f t="shared" ca="1" si="214"/>
        <v>31581699482276.141</v>
      </c>
      <c r="CJ87" s="1693">
        <f t="shared" ca="1" si="215"/>
        <v>22226595604814.445</v>
      </c>
      <c r="CK87" s="1693">
        <f t="shared" ca="1" si="216"/>
        <v>27687023596321.828</v>
      </c>
      <c r="CL87" s="1693">
        <f t="shared" ca="1" si="217"/>
        <v>37509814212872.625</v>
      </c>
      <c r="CM87" s="1693">
        <f t="shared" ca="1" si="218"/>
        <v>43345786017539.219</v>
      </c>
      <c r="CN87" s="1693">
        <f t="shared" ca="1" si="219"/>
        <v>51868438403316.125</v>
      </c>
      <c r="CO87" s="2126"/>
      <c r="CP87" s="1709">
        <f ca="1">AVERAGE(Costs!$CF87:$CN87)</f>
        <v>22278360159343.266</v>
      </c>
      <c r="CQ87" s="1709">
        <f ca="1">(SUMPRODUCT(CG87:CN87,discount_factors)*5)+CF87</f>
        <v>42885154742620.641</v>
      </c>
      <c r="CR87" s="1426" t="str">
        <f t="shared" ca="1" si="223"/>
        <v>err</v>
      </c>
    </row>
    <row r="88" spans="1:96" s="1673" customFormat="1" x14ac:dyDescent="0.2">
      <c r="A88" s="1352"/>
      <c r="B88" s="1352"/>
      <c r="C88" s="1352"/>
      <c r="D88" s="82"/>
      <c r="E88" s="1352"/>
      <c r="F88" s="1352"/>
      <c r="G88" s="1352"/>
      <c r="H88" s="1352"/>
      <c r="I88" s="1352"/>
      <c r="J88" s="1352"/>
      <c r="K88" s="1352"/>
      <c r="L88" s="1352"/>
      <c r="M88" s="1352"/>
      <c r="N88" s="82"/>
      <c r="O88" s="1352"/>
      <c r="P88" s="1352"/>
      <c r="Q88" s="1352"/>
      <c r="R88" s="1352"/>
      <c r="S88" s="1352"/>
      <c r="T88" s="1352"/>
      <c r="U88" s="1352"/>
      <c r="V88" s="1352"/>
      <c r="W88" s="588"/>
      <c r="X88" s="1532"/>
      <c r="Y88" s="2138"/>
      <c r="Z88" s="2138"/>
      <c r="AA88" s="2138"/>
      <c r="AB88" s="2138"/>
      <c r="AC88" s="2138"/>
      <c r="AD88" s="2138"/>
      <c r="AE88" s="2138"/>
      <c r="AF88" s="2138"/>
      <c r="AG88" s="2138"/>
      <c r="AH88" s="82"/>
      <c r="AI88" s="1352"/>
      <c r="AJ88" s="1352"/>
      <c r="AK88" s="1352"/>
      <c r="AL88" s="1352"/>
      <c r="AM88" s="1352"/>
      <c r="AN88" s="1352"/>
      <c r="AO88" s="1352"/>
      <c r="AP88" s="1352"/>
      <c r="AQ88" s="1352"/>
      <c r="AS88" s="1352"/>
      <c r="AT88" s="1427"/>
      <c r="AU88" s="1489"/>
      <c r="AV88" s="1489"/>
      <c r="AW88" s="1427"/>
      <c r="AX88" s="1489"/>
      <c r="AY88" s="1352"/>
      <c r="AZ88" s="1352"/>
      <c r="BA88" s="1352"/>
      <c r="BB88" s="1352"/>
      <c r="BC88" s="1352"/>
      <c r="BD88" s="1352"/>
      <c r="BE88" s="1352"/>
      <c r="BF88" s="1352"/>
      <c r="BG88" s="1489"/>
      <c r="BH88" s="1489"/>
      <c r="BI88" s="1352"/>
      <c r="BJ88" s="1352"/>
      <c r="BK88" s="1352"/>
      <c r="BL88" s="1352"/>
      <c r="BM88" s="1352"/>
      <c r="BN88" s="1352"/>
      <c r="BO88" s="1352"/>
      <c r="BP88" s="1352"/>
      <c r="BQ88" s="1352"/>
      <c r="BR88" s="1352"/>
      <c r="BS88" s="1352"/>
      <c r="BT88" s="1352"/>
      <c r="BU88" s="1352"/>
      <c r="BV88" s="1352"/>
      <c r="BW88" s="1352"/>
      <c r="BX88" s="1352"/>
      <c r="BY88" s="1352"/>
      <c r="BZ88" s="1352"/>
      <c r="CA88" s="1245">
        <f ca="1">((AVERAGE(BS87:CA87))/CD44)*1000000</f>
        <v>19615541266560.914</v>
      </c>
      <c r="CD88" s="1245"/>
      <c r="CE88" s="1352"/>
      <c r="CF88" s="1426" t="str">
        <f t="shared" ref="CF88:CN88" ca="1" si="293">IF(ROUND(BS43-CF43-AI43,0)=0,"ok",BS43-CF43-AI43)</f>
        <v>ok</v>
      </c>
      <c r="CG88" s="1426" t="str">
        <f t="shared" ca="1" si="293"/>
        <v>ok</v>
      </c>
      <c r="CH88" s="1426" t="str">
        <f t="shared" ca="1" si="293"/>
        <v>ok</v>
      </c>
      <c r="CI88" s="1426" t="str">
        <f t="shared" ca="1" si="293"/>
        <v>ok</v>
      </c>
      <c r="CJ88" s="1426" t="str">
        <f t="shared" ca="1" si="293"/>
        <v>ok</v>
      </c>
      <c r="CK88" s="1426" t="str">
        <f t="shared" ca="1" si="293"/>
        <v>ok</v>
      </c>
      <c r="CL88" s="1426" t="str">
        <f t="shared" ca="1" si="293"/>
        <v>ok</v>
      </c>
      <c r="CM88" s="1426" t="str">
        <f t="shared" ca="1" si="293"/>
        <v>ok</v>
      </c>
      <c r="CN88" s="1426" t="str">
        <f t="shared" ca="1" si="293"/>
        <v>ok</v>
      </c>
      <c r="CP88" s="1426" t="str">
        <f ca="1">IF(ROUND(CC43-CP43-AS43,0)=0,"ok",CC43-CP43-AS43)</f>
        <v>ok</v>
      </c>
      <c r="CQ88" s="1426">
        <f ca="1">IF(ROUND(CD43-CQ43-AT43,0)=0,"ok",CD43-CQ43-AT43)</f>
        <v>1</v>
      </c>
      <c r="CR88" s="1352"/>
    </row>
    <row r="89" spans="1:96" s="1673" customFormat="1" x14ac:dyDescent="0.2">
      <c r="D89" s="1427"/>
      <c r="N89" s="1427"/>
      <c r="X89" s="1427"/>
      <c r="AH89" s="1427"/>
      <c r="AT89" s="1427"/>
      <c r="AW89" s="1427"/>
      <c r="CA89" s="1661"/>
    </row>
    <row r="90" spans="1:96" s="1673" customFormat="1" x14ac:dyDescent="0.2">
      <c r="B90" s="1427" t="str">
        <f>Preferences.moneyunits</f>
        <v>N</v>
      </c>
      <c r="E90" s="17" t="s">
        <v>1391</v>
      </c>
      <c r="F90" s="1673" t="s">
        <v>1392</v>
      </c>
      <c r="O90" s="17" t="s">
        <v>1393</v>
      </c>
      <c r="P90" s="1673" t="s">
        <v>1394</v>
      </c>
      <c r="Y90" s="17" t="s">
        <v>1395</v>
      </c>
      <c r="Z90" s="1673" t="s">
        <v>1396</v>
      </c>
      <c r="AI90" s="17" t="s">
        <v>1397</v>
      </c>
      <c r="AS90" s="1680" t="s">
        <v>1826</v>
      </c>
      <c r="AT90" s="1680"/>
      <c r="AU90" s="1680"/>
      <c r="AV90" s="1679" t="s">
        <v>1613</v>
      </c>
      <c r="AW90" s="1680"/>
      <c r="AY90" s="17" t="s">
        <v>1956</v>
      </c>
      <c r="AZ90" s="2127"/>
      <c r="BA90" s="2127"/>
      <c r="BB90" s="2127"/>
      <c r="BC90" s="2127"/>
      <c r="BD90" s="2127"/>
      <c r="BE90" s="2127"/>
      <c r="BF90" s="2127"/>
      <c r="BG90" s="2127"/>
      <c r="BH90" s="2127"/>
      <c r="BI90" s="17" t="s">
        <v>1957</v>
      </c>
      <c r="BR90" s="2357" t="s">
        <v>2064</v>
      </c>
      <c r="BS90" s="17"/>
      <c r="CA90" s="1245">
        <f ca="1">((AVERAGE(BS87:CA87))/CD44)*1000000</f>
        <v>19615541266560.914</v>
      </c>
      <c r="CC90" s="1680" t="s">
        <v>1825</v>
      </c>
      <c r="CD90" s="1680"/>
      <c r="CF90" s="1673" t="s">
        <v>1733</v>
      </c>
      <c r="CP90" s="1680" t="s">
        <v>1733</v>
      </c>
      <c r="CQ90" s="1680"/>
    </row>
    <row r="91" spans="1:96" s="1673" customFormat="1" ht="13.5" thickBot="1" x14ac:dyDescent="0.25">
      <c r="A91" s="1681" t="s">
        <v>69</v>
      </c>
      <c r="B91" s="1681" t="s">
        <v>65</v>
      </c>
      <c r="C91" s="1682" t="s">
        <v>67</v>
      </c>
      <c r="E91" s="1696" t="s">
        <v>241</v>
      </c>
      <c r="F91" s="1696" t="s">
        <v>268</v>
      </c>
      <c r="G91" s="1696" t="s">
        <v>269</v>
      </c>
      <c r="H91" s="1696" t="s">
        <v>270</v>
      </c>
      <c r="I91" s="1696" t="s">
        <v>271</v>
      </c>
      <c r="J91" s="1696" t="s">
        <v>272</v>
      </c>
      <c r="K91" s="1696" t="s">
        <v>273</v>
      </c>
      <c r="L91" s="1696" t="s">
        <v>274</v>
      </c>
      <c r="M91" s="1696" t="s">
        <v>275</v>
      </c>
      <c r="N91" s="1427"/>
      <c r="O91" s="1696" t="s">
        <v>241</v>
      </c>
      <c r="P91" s="1696" t="s">
        <v>268</v>
      </c>
      <c r="Q91" s="1696" t="s">
        <v>269</v>
      </c>
      <c r="R91" s="1696" t="s">
        <v>270</v>
      </c>
      <c r="S91" s="1696" t="s">
        <v>271</v>
      </c>
      <c r="T91" s="1696" t="s">
        <v>272</v>
      </c>
      <c r="U91" s="1696" t="s">
        <v>273</v>
      </c>
      <c r="V91" s="1696" t="s">
        <v>274</v>
      </c>
      <c r="W91" s="1696" t="s">
        <v>275</v>
      </c>
      <c r="X91" s="1427"/>
      <c r="Y91" s="1696" t="s">
        <v>241</v>
      </c>
      <c r="Z91" s="1696" t="s">
        <v>268</v>
      </c>
      <c r="AA91" s="1696" t="s">
        <v>269</v>
      </c>
      <c r="AB91" s="1696" t="s">
        <v>270</v>
      </c>
      <c r="AC91" s="1696" t="s">
        <v>271</v>
      </c>
      <c r="AD91" s="1696" t="s">
        <v>272</v>
      </c>
      <c r="AE91" s="1696" t="s">
        <v>273</v>
      </c>
      <c r="AF91" s="1696" t="s">
        <v>274</v>
      </c>
      <c r="AG91" s="1696" t="s">
        <v>275</v>
      </c>
      <c r="AH91" s="1427"/>
      <c r="AI91" s="1696" t="s">
        <v>241</v>
      </c>
      <c r="AJ91" s="1696" t="s">
        <v>268</v>
      </c>
      <c r="AK91" s="1696" t="s">
        <v>269</v>
      </c>
      <c r="AL91" s="1696" t="s">
        <v>270</v>
      </c>
      <c r="AM91" s="1696" t="s">
        <v>271</v>
      </c>
      <c r="AN91" s="1696" t="s">
        <v>272</v>
      </c>
      <c r="AO91" s="1696" t="s">
        <v>273</v>
      </c>
      <c r="AP91" s="1696" t="s">
        <v>274</v>
      </c>
      <c r="AQ91" s="1696" t="s">
        <v>275</v>
      </c>
      <c r="AS91" s="1705" t="s">
        <v>1734</v>
      </c>
      <c r="AT91" s="1705" t="s">
        <v>1389</v>
      </c>
      <c r="AU91" s="1427"/>
      <c r="AV91" s="1696" t="s">
        <v>1614</v>
      </c>
      <c r="AW91" s="1688" t="s">
        <v>1472</v>
      </c>
      <c r="AX91" s="1427"/>
      <c r="AY91" s="1696">
        <v>2010</v>
      </c>
      <c r="AZ91" s="1696">
        <v>2015</v>
      </c>
      <c r="BA91" s="1696">
        <v>2020</v>
      </c>
      <c r="BB91" s="1696">
        <v>2025</v>
      </c>
      <c r="BC91" s="1696">
        <v>2030</v>
      </c>
      <c r="BD91" s="1696">
        <v>2035</v>
      </c>
      <c r="BE91" s="1696">
        <v>2040</v>
      </c>
      <c r="BF91" s="1696">
        <v>2045</v>
      </c>
      <c r="BG91" s="1696">
        <v>2050</v>
      </c>
      <c r="BH91" s="1427"/>
      <c r="BI91" s="1696">
        <v>2010</v>
      </c>
      <c r="BJ91" s="1696">
        <v>2015</v>
      </c>
      <c r="BK91" s="1696">
        <v>2020</v>
      </c>
      <c r="BL91" s="1696">
        <v>2025</v>
      </c>
      <c r="BM91" s="1696">
        <v>2030</v>
      </c>
      <c r="BN91" s="1696">
        <v>2035</v>
      </c>
      <c r="BO91" s="1696">
        <v>2040</v>
      </c>
      <c r="BP91" s="1696">
        <v>2045</v>
      </c>
      <c r="BQ91" s="1696">
        <v>2050</v>
      </c>
      <c r="BR91" s="1427"/>
      <c r="BS91" s="1696" t="s">
        <v>241</v>
      </c>
      <c r="BT91" s="1696" t="s">
        <v>268</v>
      </c>
      <c r="BU91" s="1696" t="s">
        <v>269</v>
      </c>
      <c r="BV91" s="1696" t="s">
        <v>270</v>
      </c>
      <c r="BW91" s="1696" t="s">
        <v>271</v>
      </c>
      <c r="BX91" s="1696" t="s">
        <v>272</v>
      </c>
      <c r="BY91" s="1696" t="s">
        <v>273</v>
      </c>
      <c r="BZ91" s="1696" t="s">
        <v>274</v>
      </c>
      <c r="CA91" s="1696" t="s">
        <v>275</v>
      </c>
      <c r="CB91" s="1426"/>
      <c r="CC91" s="1705" t="s">
        <v>1734</v>
      </c>
      <c r="CD91" s="1705" t="s">
        <v>1389</v>
      </c>
      <c r="CF91" s="1696" t="s">
        <v>241</v>
      </c>
      <c r="CG91" s="1696" t="s">
        <v>268</v>
      </c>
      <c r="CH91" s="1696" t="s">
        <v>269</v>
      </c>
      <c r="CI91" s="1696" t="s">
        <v>270</v>
      </c>
      <c r="CJ91" s="1696" t="s">
        <v>271</v>
      </c>
      <c r="CK91" s="1696" t="s">
        <v>272</v>
      </c>
      <c r="CL91" s="1696" t="s">
        <v>273</v>
      </c>
      <c r="CM91" s="1696" t="s">
        <v>274</v>
      </c>
      <c r="CN91" s="1696" t="s">
        <v>275</v>
      </c>
      <c r="CP91" s="1705" t="s">
        <v>1734</v>
      </c>
      <c r="CQ91" s="1705" t="s">
        <v>1389</v>
      </c>
    </row>
    <row r="92" spans="1:96" s="1673" customFormat="1" ht="13.5" thickTop="1" x14ac:dyDescent="0.2">
      <c r="A92" s="1683" t="s">
        <v>288</v>
      </c>
      <c r="B92" s="1683" t="s">
        <v>2403</v>
      </c>
      <c r="C92" s="1683" t="s">
        <v>4</v>
      </c>
      <c r="E92" s="1689">
        <f t="shared" ref="E92:M101" ca="1" si="294">IFERROR(INDEX(INDIRECT($A92&amp;".Costs["&amp;E$2&amp;"]"), MATCH($E$90, INDIRECT($A92&amp;".Costs[Vector]"), 0)),0)</f>
        <v>0</v>
      </c>
      <c r="F92" s="1689">
        <f t="shared" ca="1" si="294"/>
        <v>293250000000</v>
      </c>
      <c r="G92" s="1689">
        <f t="shared" ca="1" si="294"/>
        <v>679829999999.99988</v>
      </c>
      <c r="H92" s="1689">
        <f t="shared" ca="1" si="294"/>
        <v>629467500000</v>
      </c>
      <c r="I92" s="1689">
        <f t="shared" ca="1" si="294"/>
        <v>727260000000.00012</v>
      </c>
      <c r="J92" s="1689">
        <f t="shared" ca="1" si="294"/>
        <v>1027012500000</v>
      </c>
      <c r="K92" s="1689">
        <f t="shared" ca="1" si="294"/>
        <v>1174147500000</v>
      </c>
      <c r="L92" s="1689">
        <f t="shared" ca="1" si="294"/>
        <v>1321792500000</v>
      </c>
      <c r="M92" s="1689">
        <f t="shared" ca="1" si="294"/>
        <v>1468545000000.0002</v>
      </c>
      <c r="N92" s="675"/>
      <c r="O92" s="1689">
        <f t="shared" ref="O92:W101" ca="1" si="295">IFERROR(INDEX(INDIRECT($A92&amp;".Costs["&amp;O$2&amp;"]"), MATCH($O$90, INDIRECT($A92&amp;".Costs[Vector]"), 0)),0)</f>
        <v>29250000</v>
      </c>
      <c r="P92" s="1689">
        <f t="shared" ca="1" si="295"/>
        <v>78000000</v>
      </c>
      <c r="Q92" s="1689">
        <f t="shared" ca="1" si="295"/>
        <v>188467499.99999997</v>
      </c>
      <c r="R92" s="1689">
        <f t="shared" ca="1" si="295"/>
        <v>261690000</v>
      </c>
      <c r="S92" s="1689">
        <f t="shared" ca="1" si="295"/>
        <v>335302500</v>
      </c>
      <c r="T92" s="1689">
        <f t="shared" ca="1" si="295"/>
        <v>447817500</v>
      </c>
      <c r="U92" s="1689">
        <f t="shared" ca="1" si="295"/>
        <v>560332500</v>
      </c>
      <c r="V92" s="1689">
        <f t="shared" ca="1" si="295"/>
        <v>672945000</v>
      </c>
      <c r="W92" s="1689">
        <f t="shared" ca="1" si="295"/>
        <v>785460000</v>
      </c>
      <c r="X92" s="675"/>
      <c r="Y92" s="1689">
        <f t="shared" ref="Y92:AG101" ca="1" si="296">IFERROR(INDEX(INDIRECT($A92&amp;".Costs["&amp;Y$2&amp;"]"), MATCH($Y$90, INDIRECT($A92&amp;".Costs[Vector]"), 0)),0)</f>
        <v>0</v>
      </c>
      <c r="Z92" s="1689">
        <f t="shared" ca="1" si="296"/>
        <v>0</v>
      </c>
      <c r="AA92" s="1689">
        <f t="shared" ca="1" si="296"/>
        <v>0</v>
      </c>
      <c r="AB92" s="1689">
        <f t="shared" ca="1" si="296"/>
        <v>0</v>
      </c>
      <c r="AC92" s="1689">
        <f t="shared" ca="1" si="296"/>
        <v>0</v>
      </c>
      <c r="AD92" s="1689">
        <f t="shared" ca="1" si="296"/>
        <v>0</v>
      </c>
      <c r="AE92" s="1689">
        <f t="shared" ca="1" si="296"/>
        <v>0</v>
      </c>
      <c r="AF92" s="1689">
        <f t="shared" ca="1" si="296"/>
        <v>0</v>
      </c>
      <c r="AG92" s="1689">
        <f t="shared" ca="1" si="296"/>
        <v>0</v>
      </c>
      <c r="AH92" s="675"/>
      <c r="AI92" s="1689">
        <f t="shared" ref="AI92:AI118" ca="1" si="297">SUM(E92,O92,Y92)</f>
        <v>29250000</v>
      </c>
      <c r="AJ92" s="1689">
        <f t="shared" ref="AJ92:AJ118" ca="1" si="298">SUM(F92,P92,Z92)</f>
        <v>293328000000</v>
      </c>
      <c r="AK92" s="1689">
        <f t="shared" ref="AK92:AK118" ca="1" si="299">SUM(G92,Q92,AA92)</f>
        <v>680018467499.99988</v>
      </c>
      <c r="AL92" s="1689">
        <f t="shared" ref="AL92:AL118" ca="1" si="300">SUM(H92,R92,AB92)</f>
        <v>629729190000</v>
      </c>
      <c r="AM92" s="1689">
        <f t="shared" ref="AM92:AM118" ca="1" si="301">SUM(I92,S92,AC92)</f>
        <v>727595302500.00012</v>
      </c>
      <c r="AN92" s="1689">
        <f t="shared" ref="AN92:AN118" ca="1" si="302">SUM(J92,T92,AD92)</f>
        <v>1027460317500</v>
      </c>
      <c r="AO92" s="1689">
        <f t="shared" ref="AO92:AO118" ca="1" si="303">SUM(K92,U92,AE92)</f>
        <v>1174707832500</v>
      </c>
      <c r="AP92" s="1689">
        <f t="shared" ref="AP92:AP118" ca="1" si="304">SUM(L92,V92,AF92)</f>
        <v>1322465445000</v>
      </c>
      <c r="AQ92" s="1689">
        <f t="shared" ref="AQ92:AQ118" ca="1" si="305">SUM(M92,W92,AG92)</f>
        <v>1469330460000.0002</v>
      </c>
      <c r="AS92" s="1706">
        <f ca="1">AVERAGE(Costs!$AI92:$AQ92)</f>
        <v>813851585000</v>
      </c>
      <c r="AT92" s="1706">
        <f t="shared" ref="AT92:AT131" ca="1" si="306">(SUMPRODUCT(AJ92:AQ92,discount_factors)*5)+AI92</f>
        <v>4967021703985.8359</v>
      </c>
      <c r="AU92" s="675"/>
      <c r="AV92" s="1700">
        <f>IFERROR(VLOOKUP($A92,Cost.FinanceCostTable,7,FALSE),'Global assumptions'!$H$35)</f>
        <v>0.1</v>
      </c>
      <c r="AW92" s="1690">
        <f>IFERROR(VLOOKUP($A92,Cost.FinanceCostTable,8,FALSE),'Global assumptions'!$I$35)</f>
        <v>20</v>
      </c>
      <c r="AX92" s="675"/>
      <c r="AY92" s="1689">
        <f t="shared" ref="AY92:AY118" ca="1" si="307">-PMT($AV92,$AW92,E92*3)</f>
        <v>0</v>
      </c>
      <c r="AZ92" s="1689">
        <f t="shared" ref="AZ92:AZ118" ca="1" si="308">-PMT($AV92,$AW92,F92*5)</f>
        <v>172225174822.74527</v>
      </c>
      <c r="BA92" s="1689">
        <f t="shared" ref="BA92:BA118" ca="1" si="309">-PMT($AV92,$AW92,G92*5)</f>
        <v>399262883545.59894</v>
      </c>
      <c r="BB92" s="1689">
        <f t="shared" ref="BB92:BB118" ca="1" si="310">-PMT($AV92,$AW92,H92*5)</f>
        <v>369685081782.56232</v>
      </c>
      <c r="BC92" s="1689">
        <f t="shared" ref="BC92:BC118" ca="1" si="311">-PMT($AV92,$AW92,I92*5)</f>
        <v>427118433560.40833</v>
      </c>
      <c r="BD92" s="1689">
        <f t="shared" ref="BD92:BD118" ca="1" si="312">-PMT($AV92,$AW92,J92*5)</f>
        <v>603162514433.57092</v>
      </c>
      <c r="BE92" s="1689">
        <f t="shared" ref="BE92:BE118" ca="1" si="313">-PMT($AV92,$AW92,K92*5)</f>
        <v>689574623888.11353</v>
      </c>
      <c r="BF92" s="1689">
        <f t="shared" ref="BF92:BF118" ca="1" si="314">-PMT($AV92,$AW92,L92*5)</f>
        <v>776286255385.82617</v>
      </c>
      <c r="BG92" s="1689">
        <f t="shared" ref="BG92:BG118" ca="1" si="315">-PMT($AV92,$AW92,M92*5)</f>
        <v>862473723307.99146</v>
      </c>
      <c r="BH92" s="675"/>
      <c r="BI92" s="1689">
        <f ca="1">AY92</f>
        <v>0</v>
      </c>
      <c r="BJ92" s="1689">
        <f t="shared" ref="BJ92:BJ118" ca="1" si="316">AZ92+IF(BJ$2-$BI$2&lt;$AW92,$AY92,0)</f>
        <v>172225174822.74527</v>
      </c>
      <c r="BK92" s="1689">
        <f t="shared" ref="BK92:BK118" ca="1" si="317">BA92+IF(BK$2-$BI$2&lt;$AW92,$AY92,0)+IF(BK$2-$BJ$2&lt;$AW92,$AZ92,0)</f>
        <v>571488058368.34424</v>
      </c>
      <c r="BL92" s="1689">
        <f t="shared" ref="BL92:BL118" ca="1" si="318">BB92+IF(BL$2-$BI$2&lt;$AW92,$AY92,0)+IF(BL$2-$BJ$2&lt;$AW92,$AZ92,0)+IF(BL$2-$BK$2&lt;$AW92,$BA92,0)</f>
        <v>941173140150.90649</v>
      </c>
      <c r="BM92" s="1689">
        <f t="shared" ref="BM92:BM118" ca="1" si="319">BC92+IF(BM$2-$BI$2&lt;$AW92,$AY92,0)+IF(BM$2-$BJ$2&lt;$AW92,$AZ92,0)+IF(BM$2-$BK$2&lt;$AW92,$BA92,0)+IF(BM$2-$BL$2&lt;$AW92,$BB92,0)</f>
        <v>1368291573711.3147</v>
      </c>
      <c r="BN92" s="1689">
        <f t="shared" ref="BN92:BN118" ca="1" si="320">BD92+IF(BN$2-$BI$2&lt;$AW92,$AY92,0)+IF(BN$2-$BJ$2&lt;$AW92,$AZ92,0)+IF(BN$2-$BK$2&lt;$AW92,$BA92,0)+IF(BN$2-$BL$2&lt;$AW92,$BB92,0)+IF(BN$2-$BM$2&lt;$AW92,$BC92,0)</f>
        <v>1799228913322.1406</v>
      </c>
      <c r="BO92" s="1689">
        <f t="shared" ref="BO92:BO118" ca="1" si="321">BE92+IF(BO$2-$BI$2&lt;$AW92,$AY92,0)+IF(BO$2-$BJ$2&lt;$AW92,$AZ92,0)+IF(BO$2-$BK$2&lt;$AW92,$BA92,0)+IF(BO$2-$BL$2&lt;$AW92,$BB92,0)+IF(BO$2-$BM$2&lt;$AW92,$BC92,0)+IF(BO$2-$BN$2&lt;$AW92,$BD92,0)</f>
        <v>2089540653664.6548</v>
      </c>
      <c r="BP92" s="1689">
        <f t="shared" ref="BP92:BP118" ca="1" si="322">BF92+IF(BP$2-$BI$2&lt;$AW92,$AY92,0)+IF(BP$2-$BJ$2&lt;$AW92,$AZ92,0)+IF(BP$2-$BK$2&lt;$AW92,$BA92,0)+IF(BP$2-$BL$2&lt;$AW92,$BB92,0)+IF(BP$2-$BM$2&lt;$AW92,$BC92,0)+IF(BP$2-$BN$2&lt;$AW92,$BD92,0)+IF(BP$2-$BM$2&lt;$AW92,$BC92,0)+IF(BP$2-$BO$2&lt;$AW92,$BE92,0)</f>
        <v>2923260260828.3271</v>
      </c>
      <c r="BQ92" s="1689">
        <f t="shared" ref="BQ92:BQ118" ca="1" si="323">BG92+IF(BQ$2-$BI$2&lt;$AW92,$AY92,0)+IF(BQ$2-$BJ$2&lt;$AW92,$AZ92,0)+IF(BQ$2-$BK$2&lt;$AW92,$BA92,0)+IF(BQ$2-$BL$2&lt;$AW92,$BB92,0)+IF(BQ$2-$BM$2&lt;$AW92,$BC92,0)+IF(BQ$2-$BN$2&lt;$AW92,$BD92,0)+IF(BQ$2-$BM$2&lt;$AW92,$BC92,0)+IF(BQ$2-$BO$2&lt;$AW92,$BE92,0)+IF(BQ$2-$BP$2&lt;$AW92,$BF92,0)</f>
        <v>2931497117015.502</v>
      </c>
      <c r="BR92" s="675"/>
      <c r="BS92" s="1701">
        <f t="shared" ref="BS92:BS118" ca="1" si="324">O92+Y92+BI92</f>
        <v>29250000</v>
      </c>
      <c r="BT92" s="1701">
        <f t="shared" ref="BT92:BT118" ca="1" si="325">P92+Z92+BJ92</f>
        <v>172303174822.74527</v>
      </c>
      <c r="BU92" s="1701">
        <f t="shared" ref="BU92:BU118" ca="1" si="326">Q92+AA92+BK92</f>
        <v>571676525868.34424</v>
      </c>
      <c r="BV92" s="1701">
        <f t="shared" ref="BV92:BV118" ca="1" si="327">R92+AB92+BL92</f>
        <v>941434830150.90649</v>
      </c>
      <c r="BW92" s="1701">
        <f t="shared" ref="BW92:BW118" ca="1" si="328">S92+AC92+BM92</f>
        <v>1368626876211.3147</v>
      </c>
      <c r="BX92" s="1701">
        <f t="shared" ref="BX92:BX118" ca="1" si="329">T92+AD92+BN92</f>
        <v>1799676730822.1406</v>
      </c>
      <c r="BY92" s="1701">
        <f t="shared" ref="BY92:BY118" ca="1" si="330">U92+AE92+BO92</f>
        <v>2090100986164.6548</v>
      </c>
      <c r="BZ92" s="1701">
        <f t="shared" ref="BZ92:BZ118" ca="1" si="331">V92+AF92+BP92</f>
        <v>2923933205828.3271</v>
      </c>
      <c r="CA92" s="1701">
        <f t="shared" ref="CA92:CA118" ca="1" si="332">W92+AG92+BQ92</f>
        <v>2932282577015.502</v>
      </c>
      <c r="CC92" s="1706">
        <f ca="1">AVERAGE(Costs!$BS92:$CA92)</f>
        <v>1422229350764.8818</v>
      </c>
      <c r="CD92" s="1706">
        <f t="shared" ref="CD92:CD118" ca="1" si="333">(SUMPRODUCT(BT92:CA92,discount_factors)*5)+BS92</f>
        <v>6558386576144.2637</v>
      </c>
      <c r="CF92" s="1703">
        <f t="shared" ref="CF92:CF118" ca="1" si="334">BI92-E92</f>
        <v>0</v>
      </c>
      <c r="CG92" s="1703">
        <f t="shared" ref="CG92:CG118" ca="1" si="335">BJ92-F92</f>
        <v>-121024825177.25473</v>
      </c>
      <c r="CH92" s="1703">
        <f t="shared" ref="CH92:CH118" ca="1" si="336">BK92-G92</f>
        <v>-108341941631.65564</v>
      </c>
      <c r="CI92" s="1703">
        <f t="shared" ref="CI92:CI118" ca="1" si="337">BL92-H92</f>
        <v>311705640150.90649</v>
      </c>
      <c r="CJ92" s="1703">
        <f t="shared" ref="CJ92:CJ118" ca="1" si="338">BM92-I92</f>
        <v>641031573711.31458</v>
      </c>
      <c r="CK92" s="1703">
        <f t="shared" ref="CK92:CK118" ca="1" si="339">BN92-J92</f>
        <v>772216413322.14062</v>
      </c>
      <c r="CL92" s="1703">
        <f t="shared" ref="CL92:CL118" ca="1" si="340">BO92-K92</f>
        <v>915393153664.65479</v>
      </c>
      <c r="CM92" s="1703">
        <f t="shared" ref="CM92:CM118" ca="1" si="341">BP92-L92</f>
        <v>1601467760828.3271</v>
      </c>
      <c r="CN92" s="1703">
        <f t="shared" ref="CN92:CN118" ca="1" si="342">BQ92-M92</f>
        <v>1462952117015.5017</v>
      </c>
      <c r="CP92" s="1706">
        <f ca="1">AVERAGE(Costs!$CF92:$CN92)</f>
        <v>608377765764.88159</v>
      </c>
      <c r="CQ92" s="1706">
        <f ca="1">(SUMPRODUCT(CG92:CN92,discount_factors)*5)+CF92</f>
        <v>1591364872158.4277</v>
      </c>
      <c r="CR92" s="1426" t="str">
        <f ca="1">IF(ABS(CD92-CQ92-AT92)&lt;1,"ok","err")</f>
        <v>ok</v>
      </c>
    </row>
    <row r="93" spans="1:96" s="1673" customFormat="1" x14ac:dyDescent="0.2">
      <c r="A93" s="1685" t="s">
        <v>352</v>
      </c>
      <c r="B93" s="1685" t="s">
        <v>2411</v>
      </c>
      <c r="C93" s="1685" t="s">
        <v>4</v>
      </c>
      <c r="E93" s="1691">
        <f t="shared" ca="1" si="294"/>
        <v>0</v>
      </c>
      <c r="F93" s="1691">
        <f t="shared" ca="1" si="294"/>
        <v>0</v>
      </c>
      <c r="G93" s="1691">
        <f t="shared" ca="1" si="294"/>
        <v>1275000000</v>
      </c>
      <c r="H93" s="1691">
        <f t="shared" ca="1" si="294"/>
        <v>1593750000</v>
      </c>
      <c r="I93" s="1691">
        <f t="shared" ca="1" si="294"/>
        <v>2550000000</v>
      </c>
      <c r="J93" s="1691">
        <f t="shared" ca="1" si="294"/>
        <v>1806250000</v>
      </c>
      <c r="K93" s="1691">
        <f t="shared" ca="1" si="294"/>
        <v>1912500000</v>
      </c>
      <c r="L93" s="1691">
        <f t="shared" ca="1" si="294"/>
        <v>2231250000</v>
      </c>
      <c r="M93" s="1691">
        <f t="shared" ca="1" si="294"/>
        <v>2550000000</v>
      </c>
      <c r="N93" s="675"/>
      <c r="O93" s="1691">
        <f t="shared" ca="1" si="295"/>
        <v>0</v>
      </c>
      <c r="P93" s="1691">
        <f t="shared" ca="1" si="295"/>
        <v>0</v>
      </c>
      <c r="Q93" s="1691">
        <f t="shared" ca="1" si="295"/>
        <v>48750</v>
      </c>
      <c r="R93" s="1691">
        <f t="shared" ca="1" si="295"/>
        <v>48750</v>
      </c>
      <c r="S93" s="1691">
        <f t="shared" ca="1" si="295"/>
        <v>24375</v>
      </c>
      <c r="T93" s="1691">
        <f t="shared" ca="1" si="295"/>
        <v>73125</v>
      </c>
      <c r="U93" s="1691">
        <f t="shared" ca="1" si="295"/>
        <v>97500</v>
      </c>
      <c r="V93" s="1691">
        <f t="shared" ca="1" si="295"/>
        <v>97500</v>
      </c>
      <c r="W93" s="1691">
        <f t="shared" ca="1" si="295"/>
        <v>97500</v>
      </c>
      <c r="X93" s="675"/>
      <c r="Y93" s="1691">
        <f t="shared" ca="1" si="296"/>
        <v>0</v>
      </c>
      <c r="Z93" s="1691">
        <f t="shared" ca="1" si="296"/>
        <v>0</v>
      </c>
      <c r="AA93" s="1691">
        <f t="shared" ca="1" si="296"/>
        <v>0</v>
      </c>
      <c r="AB93" s="1691">
        <f t="shared" ca="1" si="296"/>
        <v>0</v>
      </c>
      <c r="AC93" s="1691">
        <f t="shared" ca="1" si="296"/>
        <v>0</v>
      </c>
      <c r="AD93" s="1691">
        <f t="shared" ca="1" si="296"/>
        <v>0</v>
      </c>
      <c r="AE93" s="1691">
        <f t="shared" ca="1" si="296"/>
        <v>0</v>
      </c>
      <c r="AF93" s="1691">
        <f t="shared" ca="1" si="296"/>
        <v>0</v>
      </c>
      <c r="AG93" s="1691">
        <f t="shared" ca="1" si="296"/>
        <v>0</v>
      </c>
      <c r="AH93" s="675"/>
      <c r="AI93" s="1691">
        <f t="shared" ca="1" si="297"/>
        <v>0</v>
      </c>
      <c r="AJ93" s="1691">
        <f t="shared" ca="1" si="298"/>
        <v>0</v>
      </c>
      <c r="AK93" s="1691">
        <f t="shared" ca="1" si="299"/>
        <v>1275048750</v>
      </c>
      <c r="AL93" s="1691">
        <f t="shared" ca="1" si="300"/>
        <v>1593798750</v>
      </c>
      <c r="AM93" s="1691">
        <f t="shared" ca="1" si="301"/>
        <v>2550024375</v>
      </c>
      <c r="AN93" s="1691">
        <f t="shared" ca="1" si="302"/>
        <v>1806323125</v>
      </c>
      <c r="AO93" s="1691">
        <f t="shared" ca="1" si="303"/>
        <v>1912597500</v>
      </c>
      <c r="AP93" s="1691">
        <f t="shared" ca="1" si="304"/>
        <v>2231347500</v>
      </c>
      <c r="AQ93" s="1691">
        <f t="shared" ca="1" si="305"/>
        <v>2550097500</v>
      </c>
      <c r="AS93" s="1707">
        <f ca="1">AVERAGE(Costs!$AI93:$AQ93)</f>
        <v>1546581944.4444444</v>
      </c>
      <c r="AT93" s="1707">
        <f t="shared" ca="1" si="306"/>
        <v>8737743643.1355057</v>
      </c>
      <c r="AU93" s="675"/>
      <c r="AV93" s="1700">
        <f>IFERROR(VLOOKUP($A93,Cost.FinanceCostTable,7,FALSE),'Global assumptions'!$H$35)</f>
        <v>0.1</v>
      </c>
      <c r="AW93" s="1692">
        <f>IFERROR(VLOOKUP($A93,Cost.FinanceCostTable,8,FALSE),'Global assumptions'!$I$35)</f>
        <v>30</v>
      </c>
      <c r="AX93" s="675"/>
      <c r="AY93" s="1691">
        <f t="shared" ca="1" si="307"/>
        <v>0</v>
      </c>
      <c r="AZ93" s="1691">
        <f t="shared" ca="1" si="308"/>
        <v>0</v>
      </c>
      <c r="BA93" s="1691">
        <f t="shared" ca="1" si="309"/>
        <v>676255207.61054134</v>
      </c>
      <c r="BB93" s="1691">
        <f t="shared" ca="1" si="310"/>
        <v>845319009.51317656</v>
      </c>
      <c r="BC93" s="1691">
        <f t="shared" ca="1" si="311"/>
        <v>1352510415.2210827</v>
      </c>
      <c r="BD93" s="1691">
        <f t="shared" ca="1" si="312"/>
        <v>958028210.7816</v>
      </c>
      <c r="BE93" s="1691">
        <f t="shared" ca="1" si="313"/>
        <v>1014382811.415812</v>
      </c>
      <c r="BF93" s="1691">
        <f t="shared" ca="1" si="314"/>
        <v>1183446613.3184471</v>
      </c>
      <c r="BG93" s="1691">
        <f t="shared" ca="1" si="315"/>
        <v>1352510415.2210827</v>
      </c>
      <c r="BH93" s="675"/>
      <c r="BI93" s="1691">
        <f t="shared" ref="BI93:BI131" ca="1" si="343">AY93</f>
        <v>0</v>
      </c>
      <c r="BJ93" s="1691">
        <f t="shared" ca="1" si="316"/>
        <v>0</v>
      </c>
      <c r="BK93" s="1691">
        <f t="shared" ca="1" si="317"/>
        <v>676255207.61054134</v>
      </c>
      <c r="BL93" s="1691">
        <f t="shared" ca="1" si="318"/>
        <v>1521574217.1237178</v>
      </c>
      <c r="BM93" s="1691">
        <f t="shared" ca="1" si="319"/>
        <v>2874084632.3448005</v>
      </c>
      <c r="BN93" s="1691">
        <f t="shared" ca="1" si="320"/>
        <v>3832112843.1264005</v>
      </c>
      <c r="BO93" s="1691">
        <f t="shared" ca="1" si="321"/>
        <v>4846495654.5422125</v>
      </c>
      <c r="BP93" s="1691">
        <f t="shared" ca="1" si="322"/>
        <v>7382452683.0817413</v>
      </c>
      <c r="BQ93" s="1691">
        <f t="shared" ca="1" si="323"/>
        <v>8058707890.6922836</v>
      </c>
      <c r="BR93" s="675"/>
      <c r="BS93" s="1702">
        <f t="shared" ca="1" si="324"/>
        <v>0</v>
      </c>
      <c r="BT93" s="1702">
        <f t="shared" ca="1" si="325"/>
        <v>0</v>
      </c>
      <c r="BU93" s="1702">
        <f t="shared" ca="1" si="326"/>
        <v>676303957.61054134</v>
      </c>
      <c r="BV93" s="1702">
        <f t="shared" ca="1" si="327"/>
        <v>1521622967.1237178</v>
      </c>
      <c r="BW93" s="1702">
        <f t="shared" ca="1" si="328"/>
        <v>2874109007.3448005</v>
      </c>
      <c r="BX93" s="1702">
        <f t="shared" ca="1" si="329"/>
        <v>3832185968.1264005</v>
      </c>
      <c r="BY93" s="1702">
        <f t="shared" ca="1" si="330"/>
        <v>4846593154.5422125</v>
      </c>
      <c r="BZ93" s="1702">
        <f t="shared" ca="1" si="331"/>
        <v>7382550183.0817413</v>
      </c>
      <c r="CA93" s="1702">
        <f t="shared" ca="1" si="332"/>
        <v>8058805390.6922836</v>
      </c>
      <c r="CC93" s="1707">
        <f ca="1">AVERAGE(Costs!$BS93:$CA93)</f>
        <v>3243574514.2801886</v>
      </c>
      <c r="CD93" s="1707">
        <f t="shared" ca="1" si="333"/>
        <v>11961400507.670729</v>
      </c>
      <c r="CF93" s="1704">
        <f t="shared" ca="1" si="334"/>
        <v>0</v>
      </c>
      <c r="CG93" s="1704">
        <f t="shared" ca="1" si="335"/>
        <v>0</v>
      </c>
      <c r="CH93" s="1704">
        <f t="shared" ca="1" si="336"/>
        <v>-598744792.38945866</v>
      </c>
      <c r="CI93" s="1704">
        <f t="shared" ca="1" si="337"/>
        <v>-72175782.876282215</v>
      </c>
      <c r="CJ93" s="1704">
        <f t="shared" ca="1" si="338"/>
        <v>324084632.34480047</v>
      </c>
      <c r="CK93" s="1704">
        <f t="shared" ca="1" si="339"/>
        <v>2025862843.1264005</v>
      </c>
      <c r="CL93" s="1704">
        <f t="shared" ca="1" si="340"/>
        <v>2933995654.5422125</v>
      </c>
      <c r="CM93" s="1704">
        <f t="shared" ca="1" si="341"/>
        <v>5151202683.0817413</v>
      </c>
      <c r="CN93" s="1704">
        <f t="shared" ca="1" si="342"/>
        <v>5508707890.6922836</v>
      </c>
      <c r="CP93" s="1707">
        <f ca="1">AVERAGE(Costs!$CF93:$CN93)</f>
        <v>1696992569.8357441</v>
      </c>
      <c r="CQ93" s="1707">
        <f t="shared" ref="CQ93:CQ131" ca="1" si="344">(SUMPRODUCT(CG93:CN93,discount_factors)*5)+CF93</f>
        <v>3223656864.5352244</v>
      </c>
      <c r="CR93" s="1426" t="str">
        <f t="shared" ref="CR93:CR132" ca="1" si="345">IF(ABS(CD93-CQ93-AT93)&lt;1,"ok","err")</f>
        <v>ok</v>
      </c>
    </row>
    <row r="94" spans="1:96" s="1673" customFormat="1" x14ac:dyDescent="0.2">
      <c r="A94" s="1685" t="s">
        <v>2146</v>
      </c>
      <c r="B94" s="1685" t="s">
        <v>2585</v>
      </c>
      <c r="C94" s="1685" t="s">
        <v>4</v>
      </c>
      <c r="D94" s="2370"/>
      <c r="E94" s="1691">
        <f t="shared" ca="1" si="294"/>
        <v>0</v>
      </c>
      <c r="F94" s="1691">
        <f t="shared" ca="1" si="294"/>
        <v>0</v>
      </c>
      <c r="G94" s="1691">
        <f t="shared" ca="1" si="294"/>
        <v>0</v>
      </c>
      <c r="H94" s="1691">
        <f t="shared" ca="1" si="294"/>
        <v>324000000000</v>
      </c>
      <c r="I94" s="1691">
        <f t="shared" ca="1" si="294"/>
        <v>980100000000</v>
      </c>
      <c r="J94" s="1691">
        <f t="shared" ca="1" si="294"/>
        <v>1846800000000.0002</v>
      </c>
      <c r="K94" s="1691">
        <f t="shared" ca="1" si="294"/>
        <v>2721600000000.0005</v>
      </c>
      <c r="L94" s="1691">
        <f t="shared" ca="1" si="294"/>
        <v>3588300000000</v>
      </c>
      <c r="M94" s="1691">
        <f t="shared" ca="1" si="294"/>
        <v>4455000000000</v>
      </c>
      <c r="N94" s="675"/>
      <c r="O94" s="1691">
        <f t="shared" ca="1" si="295"/>
        <v>0</v>
      </c>
      <c r="P94" s="1691">
        <f t="shared" ca="1" si="295"/>
        <v>0</v>
      </c>
      <c r="Q94" s="1691">
        <f t="shared" ca="1" si="295"/>
        <v>0</v>
      </c>
      <c r="R94" s="1691">
        <f t="shared" ca="1" si="295"/>
        <v>22000000</v>
      </c>
      <c r="S94" s="1691">
        <f t="shared" ca="1" si="295"/>
        <v>66550000</v>
      </c>
      <c r="T94" s="1691">
        <f t="shared" ca="1" si="295"/>
        <v>125400000</v>
      </c>
      <c r="U94" s="1691">
        <f t="shared" ca="1" si="295"/>
        <v>184800000</v>
      </c>
      <c r="V94" s="1691">
        <f t="shared" ca="1" si="295"/>
        <v>243649999.99999997</v>
      </c>
      <c r="W94" s="1691">
        <f t="shared" ca="1" si="295"/>
        <v>302500000</v>
      </c>
      <c r="X94" s="675"/>
      <c r="Y94" s="1691">
        <f t="shared" ca="1" si="296"/>
        <v>0</v>
      </c>
      <c r="Z94" s="1691">
        <f t="shared" ca="1" si="296"/>
        <v>0</v>
      </c>
      <c r="AA94" s="1691">
        <f t="shared" ca="1" si="296"/>
        <v>0</v>
      </c>
      <c r="AB94" s="1691">
        <f t="shared" ca="1" si="296"/>
        <v>0</v>
      </c>
      <c r="AC94" s="1691">
        <f t="shared" ca="1" si="296"/>
        <v>0</v>
      </c>
      <c r="AD94" s="1691">
        <f t="shared" ca="1" si="296"/>
        <v>0</v>
      </c>
      <c r="AE94" s="1691">
        <f t="shared" ca="1" si="296"/>
        <v>0</v>
      </c>
      <c r="AF94" s="1691">
        <f t="shared" ca="1" si="296"/>
        <v>0</v>
      </c>
      <c r="AG94" s="1691">
        <f t="shared" ca="1" si="296"/>
        <v>0</v>
      </c>
      <c r="AH94" s="675"/>
      <c r="AI94" s="1691">
        <f t="shared" ref="AI94:AQ94" ca="1" si="346">SUM(E94,O94,Y94)</f>
        <v>0</v>
      </c>
      <c r="AJ94" s="1691">
        <f t="shared" ca="1" si="346"/>
        <v>0</v>
      </c>
      <c r="AK94" s="1691">
        <f t="shared" ca="1" si="346"/>
        <v>0</v>
      </c>
      <c r="AL94" s="1691">
        <f t="shared" ca="1" si="346"/>
        <v>324022000000</v>
      </c>
      <c r="AM94" s="1691">
        <f t="shared" ca="1" si="346"/>
        <v>980166550000</v>
      </c>
      <c r="AN94" s="1691">
        <f t="shared" ca="1" si="346"/>
        <v>1846925400000.0002</v>
      </c>
      <c r="AO94" s="1691">
        <f t="shared" ca="1" si="346"/>
        <v>2721784800000.0005</v>
      </c>
      <c r="AP94" s="1691">
        <f t="shared" ca="1" si="346"/>
        <v>3588543650000</v>
      </c>
      <c r="AQ94" s="1691">
        <f t="shared" ca="1" si="346"/>
        <v>4455302500000</v>
      </c>
      <c r="AR94" s="2370"/>
      <c r="AS94" s="1707">
        <f ca="1">AVERAGE(Costs!$AI94:$AQ94)</f>
        <v>1546304988888.8889</v>
      </c>
      <c r="AT94" s="1707">
        <f t="shared" ref="AT94:AT101" ca="1" si="347">(SUMPRODUCT(AJ94:AQ94,discount_factors)*5)+AI94</f>
        <v>4585477782942.0029</v>
      </c>
      <c r="AU94" s="675"/>
      <c r="AV94" s="1700">
        <f>IFERROR(VLOOKUP($A94,Cost.FinanceCostTable,7,FALSE),'Global assumptions'!$H$35)</f>
        <v>0.1</v>
      </c>
      <c r="AW94" s="1692">
        <f>IFERROR(VLOOKUP($A94,Cost.FinanceCostTable,8,FALSE),'Global assumptions'!$I$35)</f>
        <v>15</v>
      </c>
      <c r="AX94" s="675"/>
      <c r="AY94" s="1691">
        <f ca="1">-PMT($AV94,$AW94,E94*3)</f>
        <v>0</v>
      </c>
      <c r="AZ94" s="1691">
        <f t="shared" ref="AZ94:BG94" ca="1" si="348">-PMT($AV94,$AW94,F94*5)</f>
        <v>0</v>
      </c>
      <c r="BA94" s="1691">
        <f t="shared" ca="1" si="348"/>
        <v>0</v>
      </c>
      <c r="BB94" s="1691">
        <f t="shared" ca="1" si="348"/>
        <v>212987518557.543</v>
      </c>
      <c r="BC94" s="1691">
        <f t="shared" ca="1" si="348"/>
        <v>644287243636.56763</v>
      </c>
      <c r="BD94" s="1691">
        <f t="shared" ca="1" si="348"/>
        <v>1214028855777.9954</v>
      </c>
      <c r="BE94" s="1691">
        <f t="shared" ca="1" si="348"/>
        <v>1789095155883.3613</v>
      </c>
      <c r="BF94" s="1691">
        <f t="shared" ca="1" si="348"/>
        <v>2358836768024.7886</v>
      </c>
      <c r="BG94" s="1691">
        <f t="shared" ca="1" si="348"/>
        <v>2928578380166.2168</v>
      </c>
      <c r="BH94" s="675"/>
      <c r="BI94" s="1691">
        <f ca="1">AY94</f>
        <v>0</v>
      </c>
      <c r="BJ94" s="1691">
        <f ca="1">AZ94+IF(BJ$2-$BI$2&lt;$AW94,$AY94,0)</f>
        <v>0</v>
      </c>
      <c r="BK94" s="1691">
        <f ca="1">BA94+IF(BK$2-$BI$2&lt;$AW94,$AY94,0)+IF(BK$2-$BJ$2&lt;$AW94,$AZ94,0)</f>
        <v>0</v>
      </c>
      <c r="BL94" s="1691">
        <f ca="1">BB94+IF(BL$2-$BI$2&lt;$AW94,$AY94,0)+IF(BL$2-$BJ$2&lt;$AW94,$AZ94,0)+IF(BL$2-$BK$2&lt;$AW94,$BA94,0)</f>
        <v>212987518557.543</v>
      </c>
      <c r="BM94" s="1691">
        <f ca="1">BC94+IF(BM$2-$BI$2&lt;$AW94,$AY94,0)+IF(BM$2-$BJ$2&lt;$AW94,$AZ94,0)+IF(BM$2-$BK$2&lt;$AW94,$BA94,0)+IF(BM$2-$BL$2&lt;$AW94,$BB94,0)</f>
        <v>857274762194.1106</v>
      </c>
      <c r="BN94" s="1691">
        <f ca="1">BD94+IF(BN$2-$BI$2&lt;$AW94,$AY94,0)+IF(BN$2-$BJ$2&lt;$AW94,$AZ94,0)+IF(BN$2-$BK$2&lt;$AW94,$BA94,0)+IF(BN$2-$BL$2&lt;$AW94,$BB94,0)+IF(BN$2-$BM$2&lt;$AW94,$BC94,0)</f>
        <v>2071303617972.106</v>
      </c>
      <c r="BO94" s="1691">
        <f ca="1">BE94+IF(BO$2-$BI$2&lt;$AW94,$AY94,0)+IF(BO$2-$BJ$2&lt;$AW94,$AZ94,0)+IF(BO$2-$BK$2&lt;$AW94,$BA94,0)+IF(BO$2-$BL$2&lt;$AW94,$BB94,0)+IF(BO$2-$BM$2&lt;$AW94,$BC94,0)+IF(BO$2-$BN$2&lt;$AW94,$BD94,0)</f>
        <v>3647411255297.9238</v>
      </c>
      <c r="BP94" s="1691">
        <f ca="1">BF94+IF(BP$2-$BI$2&lt;$AW94,$AY94,0)+IF(BP$2-$BJ$2&lt;$AW94,$AZ94,0)+IF(BP$2-$BK$2&lt;$AW94,$BA94,0)+IF(BP$2-$BL$2&lt;$AW94,$BB94,0)+IF(BP$2-$BM$2&lt;$AW94,$BC94,0)+IF(BP$2-$BN$2&lt;$AW94,$BD94,0)+IF(BP$2-$BM$2&lt;$AW94,$BC94,0)+IF(BP$2-$BO$2&lt;$AW94,$BE94,0)</f>
        <v>5361960779686.1455</v>
      </c>
      <c r="BQ94" s="1691">
        <f ca="1">BG94+IF(BQ$2-$BI$2&lt;$AW94,$AY94,0)+IF(BQ$2-$BJ$2&lt;$AW94,$AZ94,0)+IF(BQ$2-$BK$2&lt;$AW94,$BA94,0)+IF(BQ$2-$BL$2&lt;$AW94,$BB94,0)+IF(BQ$2-$BM$2&lt;$AW94,$BC94,0)+IF(BQ$2-$BN$2&lt;$AW94,$BD94,0)+IF(BQ$2-$BM$2&lt;$AW94,$BC94,0)+IF(BQ$2-$BO$2&lt;$AW94,$BE94,0)+IF(BQ$2-$BP$2&lt;$AW94,$BF94,0)</f>
        <v>7076510304074.3672</v>
      </c>
      <c r="BR94" s="675"/>
      <c r="BS94" s="1702">
        <f t="shared" ref="BS94:CA94" ca="1" si="349">O94+Y94+BI94</f>
        <v>0</v>
      </c>
      <c r="BT94" s="1702">
        <f t="shared" ca="1" si="349"/>
        <v>0</v>
      </c>
      <c r="BU94" s="1702">
        <f t="shared" ca="1" si="349"/>
        <v>0</v>
      </c>
      <c r="BV94" s="1702">
        <f t="shared" ca="1" si="349"/>
        <v>213009518557.543</v>
      </c>
      <c r="BW94" s="1702">
        <f t="shared" ca="1" si="349"/>
        <v>857341312194.1106</v>
      </c>
      <c r="BX94" s="1702">
        <f t="shared" ca="1" si="349"/>
        <v>2071429017972.106</v>
      </c>
      <c r="BY94" s="1702">
        <f t="shared" ca="1" si="349"/>
        <v>3647596055297.9238</v>
      </c>
      <c r="BZ94" s="1702">
        <f t="shared" ca="1" si="349"/>
        <v>5362204429686.1455</v>
      </c>
      <c r="CA94" s="1702">
        <f t="shared" ca="1" si="349"/>
        <v>7076812804074.3672</v>
      </c>
      <c r="CB94" s="2370"/>
      <c r="CC94" s="1707">
        <f ca="1">AVERAGE(Costs!$BS94:$CA94)</f>
        <v>2136488126420.2439</v>
      </c>
      <c r="CD94" s="1707">
        <f t="shared" ref="CD94:CD101" ca="1" si="350">(SUMPRODUCT(BT94:CA94,discount_factors)*5)+BS94</f>
        <v>5727550740651.2461</v>
      </c>
      <c r="CE94" s="2370"/>
      <c r="CF94" s="1704">
        <f t="shared" ref="CF94:CN94" ca="1" si="351">BI94-E94</f>
        <v>0</v>
      </c>
      <c r="CG94" s="1704">
        <f t="shared" ca="1" si="351"/>
        <v>0</v>
      </c>
      <c r="CH94" s="1704">
        <f t="shared" ca="1" si="351"/>
        <v>0</v>
      </c>
      <c r="CI94" s="1704">
        <f t="shared" ca="1" si="351"/>
        <v>-111012481442.457</v>
      </c>
      <c r="CJ94" s="1704">
        <f t="shared" ca="1" si="351"/>
        <v>-122825237805.8894</v>
      </c>
      <c r="CK94" s="1704">
        <f t="shared" ca="1" si="351"/>
        <v>224503617972.10571</v>
      </c>
      <c r="CL94" s="1704">
        <f t="shared" ca="1" si="351"/>
        <v>925811255297.92334</v>
      </c>
      <c r="CM94" s="1704">
        <f t="shared" ca="1" si="351"/>
        <v>1773660779686.1455</v>
      </c>
      <c r="CN94" s="1704">
        <f t="shared" ca="1" si="351"/>
        <v>2621510304074.3672</v>
      </c>
      <c r="CO94" s="2370"/>
      <c r="CP94" s="1707">
        <f ca="1">AVERAGE(Costs!$CF94:$CN94)</f>
        <v>590183137531.35498</v>
      </c>
      <c r="CQ94" s="1707">
        <f t="shared" ref="CQ94:CQ101" ca="1" si="352">(SUMPRODUCT(CG94:CN94,discount_factors)*5)+CF94</f>
        <v>1142072957709.2439</v>
      </c>
      <c r="CR94" s="1426" t="str">
        <f ca="1">IF(ABS(CD94-CQ94-AT94)&lt;1,"ok","err")</f>
        <v>ok</v>
      </c>
    </row>
    <row r="95" spans="1:96" s="1673" customFormat="1" x14ac:dyDescent="0.2">
      <c r="A95" s="1683" t="s">
        <v>297</v>
      </c>
      <c r="B95" s="1683" t="s">
        <v>796</v>
      </c>
      <c r="C95" s="1683" t="s">
        <v>4</v>
      </c>
      <c r="E95" s="1689">
        <f t="shared" ca="1" si="294"/>
        <v>0</v>
      </c>
      <c r="F95" s="1689">
        <f t="shared" ca="1" si="294"/>
        <v>0</v>
      </c>
      <c r="G95" s="1689">
        <f t="shared" ca="1" si="294"/>
        <v>0</v>
      </c>
      <c r="H95" s="1689">
        <f t="shared" ca="1" si="294"/>
        <v>600000000000</v>
      </c>
      <c r="I95" s="1689">
        <f t="shared" ca="1" si="294"/>
        <v>539999999999.99994</v>
      </c>
      <c r="J95" s="1689">
        <f t="shared" ca="1" si="294"/>
        <v>1080000000000.0001</v>
      </c>
      <c r="K95" s="1689">
        <f t="shared" ca="1" si="294"/>
        <v>2039999999999.9998</v>
      </c>
      <c r="L95" s="1689">
        <f t="shared" ca="1" si="294"/>
        <v>3960000000000</v>
      </c>
      <c r="M95" s="1689">
        <f t="shared" ca="1" si="294"/>
        <v>7680000000000</v>
      </c>
      <c r="N95" s="675"/>
      <c r="O95" s="1689">
        <f t="shared" ca="1" si="295"/>
        <v>0</v>
      </c>
      <c r="P95" s="1689">
        <f t="shared" ca="1" si="295"/>
        <v>0</v>
      </c>
      <c r="Q95" s="1689">
        <f t="shared" ca="1" si="295"/>
        <v>0</v>
      </c>
      <c r="R95" s="1689">
        <f t="shared" ca="1" si="295"/>
        <v>4825800000.000001</v>
      </c>
      <c r="S95" s="1689">
        <f t="shared" ca="1" si="295"/>
        <v>9169020000</v>
      </c>
      <c r="T95" s="1689">
        <f t="shared" ca="1" si="295"/>
        <v>17855460000.000004</v>
      </c>
      <c r="U95" s="1689">
        <f t="shared" ca="1" si="295"/>
        <v>34263180000.000008</v>
      </c>
      <c r="V95" s="1689">
        <f t="shared" ca="1" si="295"/>
        <v>66113460000.000015</v>
      </c>
      <c r="W95" s="1689">
        <f t="shared" ca="1" si="295"/>
        <v>127883700000.00002</v>
      </c>
      <c r="X95" s="675"/>
      <c r="Y95" s="1689">
        <f t="shared" ca="1" si="296"/>
        <v>0</v>
      </c>
      <c r="Z95" s="1689">
        <f t="shared" ca="1" si="296"/>
        <v>0</v>
      </c>
      <c r="AA95" s="1689">
        <f t="shared" ca="1" si="296"/>
        <v>0</v>
      </c>
      <c r="AB95" s="1689">
        <f t="shared" ca="1" si="296"/>
        <v>48213000000.000008</v>
      </c>
      <c r="AC95" s="1689">
        <f t="shared" ca="1" si="296"/>
        <v>91604700000</v>
      </c>
      <c r="AD95" s="1689">
        <f t="shared" ca="1" si="296"/>
        <v>178388100000.00006</v>
      </c>
      <c r="AE95" s="1689">
        <f t="shared" ca="1" si="296"/>
        <v>342312300000.00006</v>
      </c>
      <c r="AF95" s="1689">
        <f t="shared" ca="1" si="296"/>
        <v>660518100000.00012</v>
      </c>
      <c r="AG95" s="1689">
        <f t="shared" ca="1" si="296"/>
        <v>1277644500000.0002</v>
      </c>
      <c r="AH95" s="675"/>
      <c r="AI95" s="1689">
        <f t="shared" ref="AI95:AI101" ca="1" si="353">SUM(E95,O95,Y95)</f>
        <v>0</v>
      </c>
      <c r="AJ95" s="1689">
        <f t="shared" ref="AJ95:AJ101" ca="1" si="354">SUM(F95,P95,Z95)</f>
        <v>0</v>
      </c>
      <c r="AK95" s="1689">
        <f t="shared" ref="AK95:AK101" ca="1" si="355">SUM(G95,Q95,AA95)</f>
        <v>0</v>
      </c>
      <c r="AL95" s="1689">
        <f t="shared" ref="AL95:AL101" ca="1" si="356">SUM(H95,R95,AB95)</f>
        <v>653038800000</v>
      </c>
      <c r="AM95" s="1689">
        <f t="shared" ref="AM95:AM101" ca="1" si="357">SUM(I95,S95,AC95)</f>
        <v>640773720000</v>
      </c>
      <c r="AN95" s="1689">
        <f t="shared" ref="AN95:AN101" ca="1" si="358">SUM(J95,T95,AD95)</f>
        <v>1276243560000.0002</v>
      </c>
      <c r="AO95" s="1689">
        <f t="shared" ref="AO95:AO101" ca="1" si="359">SUM(K95,U95,AE95)</f>
        <v>2416575480000</v>
      </c>
      <c r="AP95" s="1689">
        <f t="shared" ref="AP95:AP101" ca="1" si="360">SUM(L95,V95,AF95)</f>
        <v>4686631560000</v>
      </c>
      <c r="AQ95" s="1689">
        <f t="shared" ref="AQ95:AQ101" ca="1" si="361">SUM(M95,W95,AG95)</f>
        <v>9085528200000</v>
      </c>
      <c r="AS95" s="1706">
        <f ca="1">AVERAGE(Costs!$AI95:$AQ95)</f>
        <v>2084310146666.6667</v>
      </c>
      <c r="AT95" s="1706">
        <f t="shared" ca="1" si="347"/>
        <v>5634892568122.002</v>
      </c>
      <c r="AU95" s="675"/>
      <c r="AV95" s="1699">
        <f>IFERROR(VLOOKUP($A95,Cost.FinanceCostTable,7,FALSE),'Global assumptions'!$H$35)</f>
        <v>0.1</v>
      </c>
      <c r="AW95" s="1690">
        <f>IFERROR(VLOOKUP($A95,Cost.FinanceCostTable,8,FALSE),'Global assumptions'!$I$35)</f>
        <v>30</v>
      </c>
      <c r="AX95" s="675"/>
      <c r="AY95" s="1689">
        <f t="shared" ref="AY95:AY101" ca="1" si="362">-PMT($AV95,$AW95,E95*3)</f>
        <v>0</v>
      </c>
      <c r="AZ95" s="1689">
        <f t="shared" ref="AZ95:AZ101" ca="1" si="363">-PMT($AV95,$AW95,F95*5)</f>
        <v>0</v>
      </c>
      <c r="BA95" s="1689">
        <f t="shared" ref="BA95:BA101" ca="1" si="364">-PMT($AV95,$AW95,G95*5)</f>
        <v>0</v>
      </c>
      <c r="BB95" s="1689">
        <f t="shared" ref="BB95:BB101" ca="1" si="365">-PMT($AV95,$AW95,H95*5)</f>
        <v>318237744757.90179</v>
      </c>
      <c r="BC95" s="1689">
        <f t="shared" ref="BC95:BC101" ca="1" si="366">-PMT($AV95,$AW95,I95*5)</f>
        <v>286413970282.11151</v>
      </c>
      <c r="BD95" s="1689">
        <f t="shared" ref="BD95:BD101" ca="1" si="367">-PMT($AV95,$AW95,J95*5)</f>
        <v>572827940564.22327</v>
      </c>
      <c r="BE95" s="1689">
        <f t="shared" ref="BE95:BE101" ca="1" si="368">-PMT($AV95,$AW95,K95*5)</f>
        <v>1082008332176.8658</v>
      </c>
      <c r="BF95" s="1689">
        <f t="shared" ref="BF95:BF101" ca="1" si="369">-PMT($AV95,$AW95,L95*5)</f>
        <v>2100369115402.1516</v>
      </c>
      <c r="BG95" s="1689">
        <f t="shared" ref="BG95:BG101" ca="1" si="370">-PMT($AV95,$AW95,M95*5)</f>
        <v>4073443132901.1426</v>
      </c>
      <c r="BH95" s="675"/>
      <c r="BI95" s="1689">
        <f t="shared" ref="BI95:BI101" ca="1" si="371">AY95</f>
        <v>0</v>
      </c>
      <c r="BJ95" s="1689">
        <f t="shared" ref="BJ95:BJ101" ca="1" si="372">AZ95+IF(BJ$2-$BI$2&lt;$AW95,$AY95,0)</f>
        <v>0</v>
      </c>
      <c r="BK95" s="1689">
        <f t="shared" ref="BK95:BK101" ca="1" si="373">BA95+IF(BK$2-$BI$2&lt;$AW95,$AY95,0)+IF(BK$2-$BJ$2&lt;$AW95,$AZ95,0)</f>
        <v>0</v>
      </c>
      <c r="BL95" s="1689">
        <f t="shared" ref="BL95:BL101" ca="1" si="374">BB95+IF(BL$2-$BI$2&lt;$AW95,$AY95,0)+IF(BL$2-$BJ$2&lt;$AW95,$AZ95,0)+IF(BL$2-$BK$2&lt;$AW95,$BA95,0)</f>
        <v>318237744757.90179</v>
      </c>
      <c r="BM95" s="1689">
        <f t="shared" ref="BM95:BM101" ca="1" si="375">BC95+IF(BM$2-$BI$2&lt;$AW95,$AY95,0)+IF(BM$2-$BJ$2&lt;$AW95,$AZ95,0)+IF(BM$2-$BK$2&lt;$AW95,$BA95,0)+IF(BM$2-$BL$2&lt;$AW95,$BB95,0)</f>
        <v>604651715040.01331</v>
      </c>
      <c r="BN95" s="1689">
        <f t="shared" ref="BN95:BN101" ca="1" si="376">BD95+IF(BN$2-$BI$2&lt;$AW95,$AY95,0)+IF(BN$2-$BJ$2&lt;$AW95,$AZ95,0)+IF(BN$2-$BK$2&lt;$AW95,$BA95,0)+IF(BN$2-$BL$2&lt;$AW95,$BB95,0)+IF(BN$2-$BM$2&lt;$AW95,$BC95,0)</f>
        <v>1177479655604.2366</v>
      </c>
      <c r="BO95" s="1689">
        <f t="shared" ref="BO95:BO101" ca="1" si="377">BE95+IF(BO$2-$BI$2&lt;$AW95,$AY95,0)+IF(BO$2-$BJ$2&lt;$AW95,$AZ95,0)+IF(BO$2-$BK$2&lt;$AW95,$BA95,0)+IF(BO$2-$BL$2&lt;$AW95,$BB95,0)+IF(BO$2-$BM$2&lt;$AW95,$BC95,0)+IF(BO$2-$BN$2&lt;$AW95,$BD95,0)</f>
        <v>2259487987781.1025</v>
      </c>
      <c r="BP95" s="1689">
        <f t="shared" ref="BP95:BP101" ca="1" si="378">BF95+IF(BP$2-$BI$2&lt;$AW95,$AY95,0)+IF(BP$2-$BJ$2&lt;$AW95,$AZ95,0)+IF(BP$2-$BK$2&lt;$AW95,$BA95,0)+IF(BP$2-$BL$2&lt;$AW95,$BB95,0)+IF(BP$2-$BM$2&lt;$AW95,$BC95,0)+IF(BP$2-$BN$2&lt;$AW95,$BD95,0)+IF(BP$2-$BM$2&lt;$AW95,$BC95,0)+IF(BP$2-$BO$2&lt;$AW95,$BE95,0)</f>
        <v>4646271073465.3652</v>
      </c>
      <c r="BQ95" s="1689">
        <f t="shared" ref="BQ95:BQ101" ca="1" si="379">BG95+IF(BQ$2-$BI$2&lt;$AW95,$AY95,0)+IF(BQ$2-$BJ$2&lt;$AW95,$AZ95,0)+IF(BQ$2-$BK$2&lt;$AW95,$BA95,0)+IF(BQ$2-$BL$2&lt;$AW95,$BB95,0)+IF(BQ$2-$BM$2&lt;$AW95,$BC95,0)+IF(BQ$2-$BN$2&lt;$AW95,$BD95,0)+IF(BQ$2-$BM$2&lt;$AW95,$BC95,0)+IF(BQ$2-$BO$2&lt;$AW95,$BE95,0)+IF(BQ$2-$BP$2&lt;$AW95,$BF95,0)</f>
        <v>8719714206366.5088</v>
      </c>
      <c r="BR95" s="675"/>
      <c r="BS95" s="1701">
        <f t="shared" ref="BS95:BS101" ca="1" si="380">O95+Y95+BI95</f>
        <v>0</v>
      </c>
      <c r="BT95" s="1701">
        <f t="shared" ref="BT95:BT101" ca="1" si="381">P95+Z95+BJ95</f>
        <v>0</v>
      </c>
      <c r="BU95" s="1701">
        <f t="shared" ref="BU95:BU101" ca="1" si="382">Q95+AA95+BK95</f>
        <v>0</v>
      </c>
      <c r="BV95" s="1701">
        <f t="shared" ref="BV95:BV101" ca="1" si="383">R95+AB95+BL95</f>
        <v>371276544757.90179</v>
      </c>
      <c r="BW95" s="1701">
        <f t="shared" ref="BW95:BW101" ca="1" si="384">S95+AC95+BM95</f>
        <v>705425435040.01331</v>
      </c>
      <c r="BX95" s="1701">
        <f t="shared" ref="BX95:BX101" ca="1" si="385">T95+AD95+BN95</f>
        <v>1373723215604.2366</v>
      </c>
      <c r="BY95" s="1701">
        <f t="shared" ref="BY95:BY101" ca="1" si="386">U95+AE95+BO95</f>
        <v>2636063467781.1025</v>
      </c>
      <c r="BZ95" s="1701">
        <f t="shared" ref="BZ95:BZ101" ca="1" si="387">V95+AF95+BP95</f>
        <v>5372902633465.3652</v>
      </c>
      <c r="CA95" s="1701">
        <f t="shared" ref="CA95:CA101" ca="1" si="388">W95+AG95+BQ95</f>
        <v>10125242406366.51</v>
      </c>
      <c r="CC95" s="1706">
        <f ca="1">AVERAGE(Costs!$BS95:$CA95)</f>
        <v>2287181522557.2363</v>
      </c>
      <c r="CD95" s="1706">
        <f t="shared" ca="1" si="350"/>
        <v>5844873242749.748</v>
      </c>
      <c r="CF95" s="1703">
        <f t="shared" ref="CF95:CF101" ca="1" si="389">BI95-E95</f>
        <v>0</v>
      </c>
      <c r="CG95" s="1703">
        <f t="shared" ref="CG95:CG101" ca="1" si="390">BJ95-F95</f>
        <v>0</v>
      </c>
      <c r="CH95" s="1703">
        <f t="shared" ref="CH95:CH101" ca="1" si="391">BK95-G95</f>
        <v>0</v>
      </c>
      <c r="CI95" s="1703">
        <f t="shared" ref="CI95:CI101" ca="1" si="392">BL95-H95</f>
        <v>-281762255242.09821</v>
      </c>
      <c r="CJ95" s="1703">
        <f t="shared" ref="CJ95:CJ101" ca="1" si="393">BM95-I95</f>
        <v>64651715040.013367</v>
      </c>
      <c r="CK95" s="1703">
        <f t="shared" ref="CK95:CK101" ca="1" si="394">BN95-J95</f>
        <v>97479655604.23645</v>
      </c>
      <c r="CL95" s="1703">
        <f t="shared" ref="CL95:CL101" ca="1" si="395">BO95-K95</f>
        <v>219487987781.10278</v>
      </c>
      <c r="CM95" s="1703">
        <f t="shared" ref="CM95:CM101" ca="1" si="396">BP95-L95</f>
        <v>686271073465.36523</v>
      </c>
      <c r="CN95" s="1703">
        <f t="shared" ref="CN95:CN101" ca="1" si="397">BQ95-M95</f>
        <v>1039714206366.5088</v>
      </c>
      <c r="CP95" s="1706">
        <f ca="1">AVERAGE(Costs!$CF95:$CN95)</f>
        <v>202871375890.56982</v>
      </c>
      <c r="CQ95" s="1706">
        <f t="shared" ca="1" si="352"/>
        <v>209980674627.74622</v>
      </c>
      <c r="CR95" s="1426" t="str">
        <f t="shared" ref="CR95:CR101" ca="1" si="398">IF(ABS(CD95-CQ95-AT95)&lt;1,"ok","err")</f>
        <v>ok</v>
      </c>
    </row>
    <row r="96" spans="1:96" s="1673" customFormat="1" x14ac:dyDescent="0.2">
      <c r="A96" s="1685" t="s">
        <v>864</v>
      </c>
      <c r="B96" s="1685" t="s">
        <v>1</v>
      </c>
      <c r="C96" s="1685" t="s">
        <v>4</v>
      </c>
      <c r="E96" s="1691">
        <f t="shared" ca="1" si="294"/>
        <v>0</v>
      </c>
      <c r="F96" s="1691">
        <f t="shared" ca="1" si="294"/>
        <v>0</v>
      </c>
      <c r="G96" s="1691">
        <f t="shared" ca="1" si="294"/>
        <v>0</v>
      </c>
      <c r="H96" s="1691">
        <f t="shared" ca="1" si="294"/>
        <v>945000000000</v>
      </c>
      <c r="I96" s="1691">
        <f t="shared" ca="1" si="294"/>
        <v>1890000000000</v>
      </c>
      <c r="J96" s="1691">
        <f t="shared" ca="1" si="294"/>
        <v>2835000000000</v>
      </c>
      <c r="K96" s="1691">
        <f t="shared" ca="1" si="294"/>
        <v>3780000000000</v>
      </c>
      <c r="L96" s="1691">
        <f t="shared" ca="1" si="294"/>
        <v>4725000000000</v>
      </c>
      <c r="M96" s="1691">
        <f t="shared" ca="1" si="294"/>
        <v>5670000000000</v>
      </c>
      <c r="N96" s="675"/>
      <c r="O96" s="1691">
        <f t="shared" ca="1" si="295"/>
        <v>0</v>
      </c>
      <c r="P96" s="1691">
        <f t="shared" ca="1" si="295"/>
        <v>0</v>
      </c>
      <c r="Q96" s="1691">
        <f t="shared" ca="1" si="295"/>
        <v>11025000000</v>
      </c>
      <c r="R96" s="1691">
        <f t="shared" ca="1" si="295"/>
        <v>22050000000</v>
      </c>
      <c r="S96" s="1691">
        <f t="shared" ca="1" si="295"/>
        <v>33075000000</v>
      </c>
      <c r="T96" s="1691">
        <f t="shared" ca="1" si="295"/>
        <v>44100000000</v>
      </c>
      <c r="U96" s="1691">
        <f t="shared" ca="1" si="295"/>
        <v>44100000000</v>
      </c>
      <c r="V96" s="1691">
        <f t="shared" ca="1" si="295"/>
        <v>55125000000</v>
      </c>
      <c r="W96" s="1691">
        <f t="shared" ca="1" si="295"/>
        <v>66150000000</v>
      </c>
      <c r="X96" s="675"/>
      <c r="Y96" s="1691">
        <f t="shared" ca="1" si="296"/>
        <v>0</v>
      </c>
      <c r="Z96" s="1691">
        <f t="shared" ca="1" si="296"/>
        <v>0</v>
      </c>
      <c r="AA96" s="1691">
        <f t="shared" ca="1" si="296"/>
        <v>0</v>
      </c>
      <c r="AB96" s="1691">
        <f t="shared" ca="1" si="296"/>
        <v>0</v>
      </c>
      <c r="AC96" s="1691">
        <f t="shared" ca="1" si="296"/>
        <v>0</v>
      </c>
      <c r="AD96" s="1691">
        <f t="shared" ca="1" si="296"/>
        <v>0</v>
      </c>
      <c r="AE96" s="1691">
        <f t="shared" ca="1" si="296"/>
        <v>0</v>
      </c>
      <c r="AF96" s="1691">
        <f t="shared" ca="1" si="296"/>
        <v>0</v>
      </c>
      <c r="AG96" s="1691">
        <f t="shared" ca="1" si="296"/>
        <v>0</v>
      </c>
      <c r="AH96" s="675"/>
      <c r="AI96" s="1691">
        <f t="shared" ca="1" si="353"/>
        <v>0</v>
      </c>
      <c r="AJ96" s="1691">
        <f t="shared" ca="1" si="354"/>
        <v>0</v>
      </c>
      <c r="AK96" s="1691">
        <f t="shared" ca="1" si="355"/>
        <v>11025000000</v>
      </c>
      <c r="AL96" s="1691">
        <f t="shared" ca="1" si="356"/>
        <v>967050000000</v>
      </c>
      <c r="AM96" s="1691">
        <f t="shared" ca="1" si="357"/>
        <v>1923075000000</v>
      </c>
      <c r="AN96" s="1691">
        <f t="shared" ca="1" si="358"/>
        <v>2879100000000</v>
      </c>
      <c r="AO96" s="1691">
        <f t="shared" ca="1" si="359"/>
        <v>3824100000000</v>
      </c>
      <c r="AP96" s="1691">
        <f t="shared" ca="1" si="360"/>
        <v>4780125000000</v>
      </c>
      <c r="AQ96" s="1691">
        <f t="shared" ca="1" si="361"/>
        <v>5736150000000</v>
      </c>
      <c r="AS96" s="1707">
        <f ca="1">AVERAGE(Costs!$AI96:$AQ96)</f>
        <v>2235625000000</v>
      </c>
      <c r="AT96" s="1707">
        <f t="shared" ca="1" si="347"/>
        <v>7437008694360.5781</v>
      </c>
      <c r="AU96" s="675"/>
      <c r="AV96" s="1700">
        <f>IFERROR(VLOOKUP($A96,Cost.FinanceCostTable,7,FALSE),'Global assumptions'!$H$35)</f>
        <v>0.1</v>
      </c>
      <c r="AW96" s="1692">
        <f>IFERROR(VLOOKUP($A96,Cost.FinanceCostTable,8,FALSE),'Global assumptions'!$I$35)</f>
        <v>20</v>
      </c>
      <c r="AX96" s="675"/>
      <c r="AY96" s="1691">
        <f t="shared" ca="1" si="362"/>
        <v>0</v>
      </c>
      <c r="AZ96" s="1691">
        <f t="shared" ca="1" si="363"/>
        <v>0</v>
      </c>
      <c r="BA96" s="1691">
        <f t="shared" ca="1" si="364"/>
        <v>0</v>
      </c>
      <c r="BB96" s="1691">
        <f t="shared" ca="1" si="365"/>
        <v>554996727050.27881</v>
      </c>
      <c r="BC96" s="1691">
        <f t="shared" ca="1" si="366"/>
        <v>1109993454100.5576</v>
      </c>
      <c r="BD96" s="1691">
        <f t="shared" ca="1" si="367"/>
        <v>1664990181150.8367</v>
      </c>
      <c r="BE96" s="1691">
        <f t="shared" ca="1" si="368"/>
        <v>2219986908201.1152</v>
      </c>
      <c r="BF96" s="1691">
        <f t="shared" ca="1" si="369"/>
        <v>2774983635251.3945</v>
      </c>
      <c r="BG96" s="1691">
        <f t="shared" ca="1" si="370"/>
        <v>3329980362301.6733</v>
      </c>
      <c r="BH96" s="675"/>
      <c r="BI96" s="1691">
        <f t="shared" ca="1" si="371"/>
        <v>0</v>
      </c>
      <c r="BJ96" s="1691">
        <f t="shared" ca="1" si="372"/>
        <v>0</v>
      </c>
      <c r="BK96" s="1691">
        <f t="shared" ca="1" si="373"/>
        <v>0</v>
      </c>
      <c r="BL96" s="1691">
        <f t="shared" ca="1" si="374"/>
        <v>554996727050.27881</v>
      </c>
      <c r="BM96" s="1691">
        <f t="shared" ca="1" si="375"/>
        <v>1664990181150.8364</v>
      </c>
      <c r="BN96" s="1691">
        <f t="shared" ca="1" si="376"/>
        <v>3329980362301.6729</v>
      </c>
      <c r="BO96" s="1691">
        <f t="shared" ca="1" si="377"/>
        <v>5549967270502.7881</v>
      </c>
      <c r="BP96" s="1691">
        <f t="shared" ca="1" si="378"/>
        <v>8879947632804.4609</v>
      </c>
      <c r="BQ96" s="1691">
        <f t="shared" ca="1" si="379"/>
        <v>9989941086905.0195</v>
      </c>
      <c r="BR96" s="675"/>
      <c r="BS96" s="1702">
        <f t="shared" ca="1" si="380"/>
        <v>0</v>
      </c>
      <c r="BT96" s="1702">
        <f t="shared" ca="1" si="381"/>
        <v>0</v>
      </c>
      <c r="BU96" s="1702">
        <f t="shared" ca="1" si="382"/>
        <v>11025000000</v>
      </c>
      <c r="BV96" s="1702">
        <f t="shared" ca="1" si="383"/>
        <v>577046727050.27881</v>
      </c>
      <c r="BW96" s="1702">
        <f t="shared" ca="1" si="384"/>
        <v>1698065181150.8364</v>
      </c>
      <c r="BX96" s="1702">
        <f t="shared" ca="1" si="385"/>
        <v>3374080362301.6729</v>
      </c>
      <c r="BY96" s="1702">
        <f t="shared" ca="1" si="386"/>
        <v>5594067270502.7881</v>
      </c>
      <c r="BZ96" s="1702">
        <f t="shared" ca="1" si="387"/>
        <v>8935072632804.4609</v>
      </c>
      <c r="CA96" s="1702">
        <f t="shared" ca="1" si="388"/>
        <v>10056091086905.02</v>
      </c>
      <c r="CC96" s="1707">
        <f ca="1">AVERAGE(Costs!$BS96:$CA96)</f>
        <v>3360605362301.6733</v>
      </c>
      <c r="CD96" s="1707">
        <f t="shared" ca="1" si="350"/>
        <v>9486625124390.1875</v>
      </c>
      <c r="CF96" s="1704">
        <f t="shared" ca="1" si="389"/>
        <v>0</v>
      </c>
      <c r="CG96" s="1704">
        <f t="shared" ca="1" si="390"/>
        <v>0</v>
      </c>
      <c r="CH96" s="1704">
        <f t="shared" ca="1" si="391"/>
        <v>0</v>
      </c>
      <c r="CI96" s="1704">
        <f t="shared" ca="1" si="392"/>
        <v>-390003272949.72119</v>
      </c>
      <c r="CJ96" s="1704">
        <f t="shared" ca="1" si="393"/>
        <v>-225009818849.16357</v>
      </c>
      <c r="CK96" s="1704">
        <f t="shared" ca="1" si="394"/>
        <v>494980362301.67285</v>
      </c>
      <c r="CL96" s="1704">
        <f t="shared" ca="1" si="395"/>
        <v>1769967270502.7881</v>
      </c>
      <c r="CM96" s="1704">
        <f t="shared" ca="1" si="396"/>
        <v>4154947632804.4609</v>
      </c>
      <c r="CN96" s="1704">
        <f t="shared" ca="1" si="397"/>
        <v>4319941086905.0195</v>
      </c>
      <c r="CP96" s="1707">
        <f ca="1">AVERAGE(Costs!$CF96:$CN96)</f>
        <v>1124980362301.6729</v>
      </c>
      <c r="CQ96" s="1707">
        <f t="shared" ca="1" si="352"/>
        <v>2049616430029.6094</v>
      </c>
      <c r="CR96" s="1426" t="str">
        <f t="shared" ca="1" si="398"/>
        <v>ok</v>
      </c>
    </row>
    <row r="97" spans="1:96" s="2479" customFormat="1" x14ac:dyDescent="0.2">
      <c r="A97" s="1685" t="s">
        <v>2366</v>
      </c>
      <c r="B97" s="1685" t="s">
        <v>2584</v>
      </c>
      <c r="C97" s="1685" t="s">
        <v>4</v>
      </c>
      <c r="E97" s="1691">
        <f t="shared" ca="1" si="294"/>
        <v>0</v>
      </c>
      <c r="F97" s="1691">
        <f t="shared" ca="1" si="294"/>
        <v>0</v>
      </c>
      <c r="G97" s="1691">
        <f t="shared" ca="1" si="294"/>
        <v>160800000000.00003</v>
      </c>
      <c r="H97" s="1691">
        <f t="shared" ca="1" si="294"/>
        <v>159600000000</v>
      </c>
      <c r="I97" s="1691">
        <f t="shared" ca="1" si="294"/>
        <v>160800000000.00006</v>
      </c>
      <c r="J97" s="1691">
        <f t="shared" ca="1" si="294"/>
        <v>159600000000</v>
      </c>
      <c r="K97" s="1691">
        <f t="shared" ca="1" si="294"/>
        <v>160799999999.99994</v>
      </c>
      <c r="L97" s="1691">
        <f t="shared" ca="1" si="294"/>
        <v>159600000000.00012</v>
      </c>
      <c r="M97" s="1691">
        <f t="shared" ca="1" si="294"/>
        <v>160799999999.99982</v>
      </c>
      <c r="N97" s="675"/>
      <c r="O97" s="1691">
        <f t="shared" ca="1" si="295"/>
        <v>1995000</v>
      </c>
      <c r="P97" s="1691">
        <f t="shared" ca="1" si="295"/>
        <v>1995000</v>
      </c>
      <c r="Q97" s="1691">
        <f t="shared" ca="1" si="295"/>
        <v>3402000</v>
      </c>
      <c r="R97" s="1691">
        <f t="shared" ca="1" si="295"/>
        <v>4798500</v>
      </c>
      <c r="S97" s="1691">
        <f t="shared" ca="1" si="295"/>
        <v>6205500.0000000009</v>
      </c>
      <c r="T97" s="1691">
        <f t="shared" ca="1" si="295"/>
        <v>7602000.0000000009</v>
      </c>
      <c r="U97" s="1691">
        <f t="shared" ca="1" si="295"/>
        <v>9009000</v>
      </c>
      <c r="V97" s="1691">
        <f t="shared" ca="1" si="295"/>
        <v>10405500.000000002</v>
      </c>
      <c r="W97" s="1691">
        <f t="shared" ca="1" si="295"/>
        <v>11812500</v>
      </c>
      <c r="X97" s="675"/>
      <c r="Y97" s="1691">
        <f t="shared" ca="1" si="296"/>
        <v>0</v>
      </c>
      <c r="Z97" s="1691">
        <f t="shared" ca="1" si="296"/>
        <v>0</v>
      </c>
      <c r="AA97" s="1691">
        <f t="shared" ca="1" si="296"/>
        <v>0</v>
      </c>
      <c r="AB97" s="1691">
        <f t="shared" ca="1" si="296"/>
        <v>0</v>
      </c>
      <c r="AC97" s="1691">
        <f t="shared" ca="1" si="296"/>
        <v>0</v>
      </c>
      <c r="AD97" s="1691">
        <f t="shared" ca="1" si="296"/>
        <v>0</v>
      </c>
      <c r="AE97" s="1691">
        <f t="shared" ca="1" si="296"/>
        <v>0</v>
      </c>
      <c r="AF97" s="1691">
        <f t="shared" ca="1" si="296"/>
        <v>0</v>
      </c>
      <c r="AG97" s="1691">
        <f t="shared" ca="1" si="296"/>
        <v>0</v>
      </c>
      <c r="AH97" s="675"/>
      <c r="AI97" s="1691">
        <f t="shared" ca="1" si="353"/>
        <v>1995000</v>
      </c>
      <c r="AJ97" s="1691">
        <f t="shared" ca="1" si="354"/>
        <v>1995000</v>
      </c>
      <c r="AK97" s="1691">
        <f t="shared" ca="1" si="355"/>
        <v>160803402000.00003</v>
      </c>
      <c r="AL97" s="1691">
        <f t="shared" ca="1" si="356"/>
        <v>159604798500</v>
      </c>
      <c r="AM97" s="1691">
        <f t="shared" ca="1" si="357"/>
        <v>160806205500.00006</v>
      </c>
      <c r="AN97" s="1691">
        <f t="shared" ca="1" si="358"/>
        <v>159607602000</v>
      </c>
      <c r="AO97" s="1691">
        <f t="shared" ca="1" si="359"/>
        <v>160809008999.99994</v>
      </c>
      <c r="AP97" s="1691">
        <f t="shared" ca="1" si="360"/>
        <v>159610405500.00012</v>
      </c>
      <c r="AQ97" s="1691">
        <f t="shared" ca="1" si="361"/>
        <v>160811812499.99982</v>
      </c>
      <c r="AS97" s="1707">
        <f ca="1">AVERAGE(Costs!$AI97:$AQ97)</f>
        <v>124673025000</v>
      </c>
      <c r="AT97" s="1707">
        <f t="shared" ca="1" si="347"/>
        <v>814019650954.99451</v>
      </c>
      <c r="AU97" s="675"/>
      <c r="AV97" s="1700">
        <f>IFERROR(VLOOKUP($A97,Cost.FinanceCostTable,7,FALSE),'Global assumptions'!$H$35)</f>
        <v>0.1</v>
      </c>
      <c r="AW97" s="1692">
        <f>IFERROR(VLOOKUP($A97,Cost.FinanceCostTable,8,FALSE),'Global assumptions'!$I$35)</f>
        <v>15</v>
      </c>
      <c r="AX97" s="675"/>
      <c r="AY97" s="1691">
        <f t="shared" ca="1" si="362"/>
        <v>0</v>
      </c>
      <c r="AZ97" s="1691">
        <f t="shared" ca="1" si="363"/>
        <v>0</v>
      </c>
      <c r="BA97" s="1691">
        <f t="shared" ca="1" si="364"/>
        <v>105704916617.4473</v>
      </c>
      <c r="BB97" s="1691">
        <f t="shared" ca="1" si="365"/>
        <v>104916073956.12305</v>
      </c>
      <c r="BC97" s="1691">
        <f t="shared" ca="1" si="366"/>
        <v>105704916617.44731</v>
      </c>
      <c r="BD97" s="1691">
        <f t="shared" ca="1" si="367"/>
        <v>104916073956.12305</v>
      </c>
      <c r="BE97" s="1691">
        <f t="shared" ca="1" si="368"/>
        <v>105704916617.44725</v>
      </c>
      <c r="BF97" s="1691">
        <f t="shared" ca="1" si="369"/>
        <v>104916073956.12312</v>
      </c>
      <c r="BG97" s="1691">
        <f t="shared" ca="1" si="370"/>
        <v>105704916617.44714</v>
      </c>
      <c r="BH97" s="675"/>
      <c r="BI97" s="1691">
        <f t="shared" ca="1" si="371"/>
        <v>0</v>
      </c>
      <c r="BJ97" s="1691">
        <f t="shared" ca="1" si="372"/>
        <v>0</v>
      </c>
      <c r="BK97" s="1691">
        <f t="shared" ca="1" si="373"/>
        <v>105704916617.4473</v>
      </c>
      <c r="BL97" s="1691">
        <f t="shared" ca="1" si="374"/>
        <v>210620990573.57034</v>
      </c>
      <c r="BM97" s="1691">
        <f t="shared" ca="1" si="375"/>
        <v>316325907191.01764</v>
      </c>
      <c r="BN97" s="1691">
        <f t="shared" ca="1" si="376"/>
        <v>315537064529.69342</v>
      </c>
      <c r="BO97" s="1691">
        <f t="shared" ca="1" si="377"/>
        <v>316325907191.01758</v>
      </c>
      <c r="BP97" s="1691">
        <f t="shared" ca="1" si="378"/>
        <v>315537064529.69342</v>
      </c>
      <c r="BQ97" s="1691">
        <f t="shared" ca="1" si="379"/>
        <v>316325907191.01752</v>
      </c>
      <c r="BR97" s="675"/>
      <c r="BS97" s="1702">
        <f t="shared" ca="1" si="380"/>
        <v>1995000</v>
      </c>
      <c r="BT97" s="1702">
        <f t="shared" ca="1" si="381"/>
        <v>1995000</v>
      </c>
      <c r="BU97" s="1702">
        <f t="shared" ca="1" si="382"/>
        <v>105708318617.4473</v>
      </c>
      <c r="BV97" s="1702">
        <f t="shared" ca="1" si="383"/>
        <v>210625789073.57034</v>
      </c>
      <c r="BW97" s="1702">
        <f t="shared" ca="1" si="384"/>
        <v>316332112691.01764</v>
      </c>
      <c r="BX97" s="1702">
        <f t="shared" ca="1" si="385"/>
        <v>315544666529.69342</v>
      </c>
      <c r="BY97" s="1702">
        <f t="shared" ca="1" si="386"/>
        <v>316334916191.01758</v>
      </c>
      <c r="BZ97" s="1702">
        <f t="shared" ca="1" si="387"/>
        <v>315547470029.69342</v>
      </c>
      <c r="CA97" s="1702">
        <f t="shared" ca="1" si="388"/>
        <v>316337719691.01752</v>
      </c>
      <c r="CC97" s="1707">
        <f ca="1">AVERAGE(Costs!$BS97:$CA97)</f>
        <v>210714998091.49524</v>
      </c>
      <c r="CD97" s="1707">
        <f t="shared" ca="1" si="350"/>
        <v>1072702434421.5623</v>
      </c>
      <c r="CF97" s="1704">
        <f t="shared" ca="1" si="389"/>
        <v>0</v>
      </c>
      <c r="CG97" s="1704">
        <f t="shared" ca="1" si="390"/>
        <v>0</v>
      </c>
      <c r="CH97" s="1704">
        <f t="shared" ca="1" si="391"/>
        <v>-55095083382.552734</v>
      </c>
      <c r="CI97" s="1704">
        <f t="shared" ca="1" si="392"/>
        <v>51020990573.570343</v>
      </c>
      <c r="CJ97" s="1704">
        <f t="shared" ca="1" si="393"/>
        <v>155525907191.01758</v>
      </c>
      <c r="CK97" s="1704">
        <f t="shared" ca="1" si="394"/>
        <v>155937064529.69342</v>
      </c>
      <c r="CL97" s="1704">
        <f t="shared" ca="1" si="395"/>
        <v>155525907191.01764</v>
      </c>
      <c r="CM97" s="1704">
        <f t="shared" ca="1" si="396"/>
        <v>155937064529.6933</v>
      </c>
      <c r="CN97" s="1704">
        <f t="shared" ca="1" si="397"/>
        <v>155525907191.0177</v>
      </c>
      <c r="CP97" s="1707">
        <f ca="1">AVERAGE(Costs!$CF97:$CN97)</f>
        <v>86041973091.495255</v>
      </c>
      <c r="CQ97" s="1707">
        <f t="shared" ca="1" si="352"/>
        <v>258682783466.56784</v>
      </c>
      <c r="CR97" s="1426" t="str">
        <f t="shared" ca="1" si="398"/>
        <v>ok</v>
      </c>
    </row>
    <row r="98" spans="1:96" s="1673" customFormat="1" x14ac:dyDescent="0.2">
      <c r="A98" s="1683" t="s">
        <v>2365</v>
      </c>
      <c r="B98" s="1683" t="s">
        <v>2363</v>
      </c>
      <c r="C98" s="1683" t="s">
        <v>4</v>
      </c>
      <c r="E98" s="1689">
        <f t="shared" ca="1" si="294"/>
        <v>0</v>
      </c>
      <c r="F98" s="1689">
        <f t="shared" ca="1" si="294"/>
        <v>0</v>
      </c>
      <c r="G98" s="1689">
        <f t="shared" ca="1" si="294"/>
        <v>0</v>
      </c>
      <c r="H98" s="1689">
        <f t="shared" ca="1" si="294"/>
        <v>147278571428.57098</v>
      </c>
      <c r="I98" s="1689">
        <f t="shared" ca="1" si="294"/>
        <v>73624285714.285522</v>
      </c>
      <c r="J98" s="1689">
        <f t="shared" ca="1" si="294"/>
        <v>73624285714.286987</v>
      </c>
      <c r="K98" s="1689">
        <f t="shared" ca="1" si="294"/>
        <v>73624285714.285492</v>
      </c>
      <c r="L98" s="1689">
        <f t="shared" ca="1" si="294"/>
        <v>73624285714.285522</v>
      </c>
      <c r="M98" s="1689">
        <f t="shared" ca="1" si="294"/>
        <v>73624285714.285492</v>
      </c>
      <c r="N98" s="675"/>
      <c r="O98" s="1689">
        <f t="shared" ca="1" si="295"/>
        <v>96000</v>
      </c>
      <c r="P98" s="1689">
        <f t="shared" ca="1" si="295"/>
        <v>96000</v>
      </c>
      <c r="Q98" s="1689">
        <f t="shared" ca="1" si="295"/>
        <v>96000</v>
      </c>
      <c r="R98" s="1689">
        <f t="shared" ca="1" si="295"/>
        <v>1568785.7142857099</v>
      </c>
      <c r="S98" s="1689">
        <f t="shared" ca="1" si="295"/>
        <v>2305028.5714285648</v>
      </c>
      <c r="T98" s="1689">
        <f t="shared" ca="1" si="295"/>
        <v>3041271.4285714347</v>
      </c>
      <c r="U98" s="1689">
        <f t="shared" ca="1" si="295"/>
        <v>3777514.2857142896</v>
      </c>
      <c r="V98" s="1689">
        <f t="shared" ca="1" si="295"/>
        <v>4513757.1428571455</v>
      </c>
      <c r="W98" s="1689">
        <f t="shared" ca="1" si="295"/>
        <v>5250000</v>
      </c>
      <c r="X98" s="675"/>
      <c r="Y98" s="1689">
        <f t="shared" ca="1" si="296"/>
        <v>0</v>
      </c>
      <c r="Z98" s="1689">
        <f t="shared" ca="1" si="296"/>
        <v>0</v>
      </c>
      <c r="AA98" s="1689">
        <f t="shared" ca="1" si="296"/>
        <v>0</v>
      </c>
      <c r="AB98" s="1689">
        <f t="shared" ca="1" si="296"/>
        <v>0</v>
      </c>
      <c r="AC98" s="1689">
        <f t="shared" ca="1" si="296"/>
        <v>0</v>
      </c>
      <c r="AD98" s="1689">
        <f t="shared" ca="1" si="296"/>
        <v>0</v>
      </c>
      <c r="AE98" s="1689">
        <f t="shared" ca="1" si="296"/>
        <v>0</v>
      </c>
      <c r="AF98" s="1689">
        <f t="shared" ca="1" si="296"/>
        <v>0</v>
      </c>
      <c r="AG98" s="1689">
        <f t="shared" ca="1" si="296"/>
        <v>0</v>
      </c>
      <c r="AH98" s="675"/>
      <c r="AI98" s="1689">
        <f t="shared" ca="1" si="353"/>
        <v>96000</v>
      </c>
      <c r="AJ98" s="1689">
        <f t="shared" ca="1" si="354"/>
        <v>96000</v>
      </c>
      <c r="AK98" s="1689">
        <f t="shared" ca="1" si="355"/>
        <v>96000</v>
      </c>
      <c r="AL98" s="1689">
        <f t="shared" ca="1" si="356"/>
        <v>147280140214.28528</v>
      </c>
      <c r="AM98" s="1689">
        <f t="shared" ca="1" si="357"/>
        <v>73626590742.856949</v>
      </c>
      <c r="AN98" s="1689">
        <f t="shared" ca="1" si="358"/>
        <v>73627326985.715561</v>
      </c>
      <c r="AO98" s="1689">
        <f t="shared" ca="1" si="359"/>
        <v>73628063228.571213</v>
      </c>
      <c r="AP98" s="1689">
        <f t="shared" ca="1" si="360"/>
        <v>73628799471.428375</v>
      </c>
      <c r="AQ98" s="1689">
        <f t="shared" ca="1" si="361"/>
        <v>73629535714.285492</v>
      </c>
      <c r="AS98" s="1706">
        <f ca="1">AVERAGE(Costs!$AI98:$AQ98)</f>
        <v>57268971595.238106</v>
      </c>
      <c r="AT98" s="1706">
        <f t="shared" ca="1" si="347"/>
        <v>319982846059.06793</v>
      </c>
      <c r="AU98" s="675"/>
      <c r="AV98" s="1699">
        <f>IFERROR(VLOOKUP($A98,Cost.FinanceCostTable,7,FALSE),'Global assumptions'!$H$35)</f>
        <v>0.1</v>
      </c>
      <c r="AW98" s="1690">
        <f>IFERROR(VLOOKUP($A98,Cost.FinanceCostTable,8,FALSE),'Global assumptions'!$I$35)</f>
        <v>15</v>
      </c>
      <c r="AX98" s="675"/>
      <c r="AY98" s="1689">
        <f t="shared" ca="1" si="362"/>
        <v>0</v>
      </c>
      <c r="AZ98" s="1689">
        <f t="shared" ca="1" si="363"/>
        <v>0</v>
      </c>
      <c r="BA98" s="1689">
        <f t="shared" ca="1" si="364"/>
        <v>0</v>
      </c>
      <c r="BB98" s="1689">
        <f t="shared" ca="1" si="365"/>
        <v>96816350201.454285</v>
      </c>
      <c r="BC98" s="1689">
        <f t="shared" ca="1" si="366"/>
        <v>48398314567.460602</v>
      </c>
      <c r="BD98" s="1689">
        <f t="shared" ca="1" si="367"/>
        <v>48398314567.461571</v>
      </c>
      <c r="BE98" s="1689">
        <f t="shared" ca="1" si="368"/>
        <v>48398314567.460594</v>
      </c>
      <c r="BF98" s="1689">
        <f t="shared" ca="1" si="369"/>
        <v>48398314567.460602</v>
      </c>
      <c r="BG98" s="1689">
        <f t="shared" ca="1" si="370"/>
        <v>48398314567.460594</v>
      </c>
      <c r="BH98" s="675"/>
      <c r="BI98" s="1689">
        <f t="shared" ca="1" si="371"/>
        <v>0</v>
      </c>
      <c r="BJ98" s="1689">
        <f t="shared" ca="1" si="372"/>
        <v>0</v>
      </c>
      <c r="BK98" s="1689">
        <f t="shared" ca="1" si="373"/>
        <v>0</v>
      </c>
      <c r="BL98" s="1689">
        <f t="shared" ca="1" si="374"/>
        <v>96816350201.454285</v>
      </c>
      <c r="BM98" s="1689">
        <f t="shared" ca="1" si="375"/>
        <v>145214664768.91489</v>
      </c>
      <c r="BN98" s="1689">
        <f t="shared" ca="1" si="376"/>
        <v>193612979336.37646</v>
      </c>
      <c r="BO98" s="1689">
        <f t="shared" ca="1" si="377"/>
        <v>145194943702.38278</v>
      </c>
      <c r="BP98" s="1689">
        <f t="shared" ca="1" si="378"/>
        <v>145194943702.38278</v>
      </c>
      <c r="BQ98" s="1689">
        <f t="shared" ca="1" si="379"/>
        <v>145194943702.38177</v>
      </c>
      <c r="BR98" s="675"/>
      <c r="BS98" s="1701">
        <f t="shared" ca="1" si="380"/>
        <v>96000</v>
      </c>
      <c r="BT98" s="1701">
        <f t="shared" ca="1" si="381"/>
        <v>96000</v>
      </c>
      <c r="BU98" s="1701">
        <f t="shared" ca="1" si="382"/>
        <v>96000</v>
      </c>
      <c r="BV98" s="1701">
        <f t="shared" ca="1" si="383"/>
        <v>96817918987.168564</v>
      </c>
      <c r="BW98" s="1701">
        <f t="shared" ca="1" si="384"/>
        <v>145216969797.48633</v>
      </c>
      <c r="BX98" s="1701">
        <f t="shared" ca="1" si="385"/>
        <v>193616020607.80502</v>
      </c>
      <c r="BY98" s="1701">
        <f t="shared" ca="1" si="386"/>
        <v>145198721216.66849</v>
      </c>
      <c r="BZ98" s="1701">
        <f t="shared" ca="1" si="387"/>
        <v>145199457459.52563</v>
      </c>
      <c r="CA98" s="1701">
        <f t="shared" ca="1" si="388"/>
        <v>145200193702.38177</v>
      </c>
      <c r="CC98" s="1706">
        <f ca="1">AVERAGE(Costs!$BS98:$CA98)</f>
        <v>96805507752.337326</v>
      </c>
      <c r="CD98" s="1706">
        <f t="shared" ca="1" si="350"/>
        <v>421619623499.76984</v>
      </c>
      <c r="CF98" s="1703">
        <f t="shared" ca="1" si="389"/>
        <v>0</v>
      </c>
      <c r="CG98" s="1703">
        <f t="shared" ca="1" si="390"/>
        <v>0</v>
      </c>
      <c r="CH98" s="1703">
        <f t="shared" ca="1" si="391"/>
        <v>0</v>
      </c>
      <c r="CI98" s="1703">
        <f t="shared" ca="1" si="392"/>
        <v>-50462221227.116699</v>
      </c>
      <c r="CJ98" s="1703">
        <f t="shared" ca="1" si="393"/>
        <v>71590379054.629364</v>
      </c>
      <c r="CK98" s="1703">
        <f t="shared" ca="1" si="394"/>
        <v>119988693622.08948</v>
      </c>
      <c r="CL98" s="1703">
        <f t="shared" ca="1" si="395"/>
        <v>71570657988.09729</v>
      </c>
      <c r="CM98" s="1703">
        <f t="shared" ca="1" si="396"/>
        <v>71570657988.09726</v>
      </c>
      <c r="CN98" s="1703">
        <f t="shared" ca="1" si="397"/>
        <v>71570657988.096283</v>
      </c>
      <c r="CP98" s="1706">
        <f ca="1">AVERAGE(Costs!$CF98:$CN98)</f>
        <v>39536536157.099213</v>
      </c>
      <c r="CQ98" s="1706">
        <f t="shared" ca="1" si="352"/>
        <v>101636777440.70192</v>
      </c>
      <c r="CR98" s="1426" t="str">
        <f t="shared" ca="1" si="398"/>
        <v>ok</v>
      </c>
    </row>
    <row r="99" spans="1:96" s="2479" customFormat="1" x14ac:dyDescent="0.2">
      <c r="A99" s="1683" t="s">
        <v>2364</v>
      </c>
      <c r="B99" s="1683" t="s">
        <v>2404</v>
      </c>
      <c r="C99" s="1683" t="s">
        <v>4</v>
      </c>
      <c r="E99" s="1689">
        <f t="shared" ca="1" si="294"/>
        <v>0</v>
      </c>
      <c r="F99" s="1689">
        <f t="shared" ca="1" si="294"/>
        <v>0</v>
      </c>
      <c r="G99" s="1689">
        <f t="shared" ca="1" si="294"/>
        <v>704400000000</v>
      </c>
      <c r="H99" s="1689">
        <f t="shared" ca="1" si="294"/>
        <v>1183200000000</v>
      </c>
      <c r="I99" s="1689">
        <f t="shared" ca="1" si="294"/>
        <v>1781999999999.9993</v>
      </c>
      <c r="J99" s="1689">
        <f t="shared" ca="1" si="294"/>
        <v>2982600000000.0005</v>
      </c>
      <c r="K99" s="1689">
        <f t="shared" ca="1" si="294"/>
        <v>1782600000000.0012</v>
      </c>
      <c r="L99" s="1689">
        <f t="shared" ca="1" si="294"/>
        <v>3086999999999.9985</v>
      </c>
      <c r="M99" s="1689">
        <f t="shared" ca="1" si="294"/>
        <v>4270200000000.0005</v>
      </c>
      <c r="N99" s="675"/>
      <c r="O99" s="1689">
        <f t="shared" ca="1" si="295"/>
        <v>0</v>
      </c>
      <c r="P99" s="1689">
        <f t="shared" ca="1" si="295"/>
        <v>0</v>
      </c>
      <c r="Q99" s="1689">
        <f t="shared" ca="1" si="295"/>
        <v>20251500.000000004</v>
      </c>
      <c r="R99" s="1689">
        <f t="shared" ca="1" si="295"/>
        <v>54268500.000000015</v>
      </c>
      <c r="S99" s="1689">
        <f t="shared" ca="1" si="295"/>
        <v>105501000</v>
      </c>
      <c r="T99" s="1689">
        <f t="shared" ca="1" si="295"/>
        <v>191250750.00000003</v>
      </c>
      <c r="U99" s="1689">
        <f t="shared" ca="1" si="295"/>
        <v>242500500.00000009</v>
      </c>
      <c r="V99" s="1689">
        <f t="shared" ca="1" si="295"/>
        <v>311000250.00000006</v>
      </c>
      <c r="W99" s="1689">
        <f t="shared" ca="1" si="295"/>
        <v>379500000.00000006</v>
      </c>
      <c r="X99" s="675"/>
      <c r="Y99" s="1689">
        <f t="shared" ca="1" si="296"/>
        <v>0</v>
      </c>
      <c r="Z99" s="1689">
        <f t="shared" ca="1" si="296"/>
        <v>0</v>
      </c>
      <c r="AA99" s="1689">
        <f t="shared" ca="1" si="296"/>
        <v>0</v>
      </c>
      <c r="AB99" s="1689">
        <f t="shared" ca="1" si="296"/>
        <v>0</v>
      </c>
      <c r="AC99" s="1689">
        <f t="shared" ca="1" si="296"/>
        <v>0</v>
      </c>
      <c r="AD99" s="1689">
        <f t="shared" ca="1" si="296"/>
        <v>0</v>
      </c>
      <c r="AE99" s="1689">
        <f t="shared" ca="1" si="296"/>
        <v>0</v>
      </c>
      <c r="AF99" s="1689">
        <f t="shared" ca="1" si="296"/>
        <v>0</v>
      </c>
      <c r="AG99" s="1689">
        <f t="shared" ca="1" si="296"/>
        <v>0</v>
      </c>
      <c r="AH99" s="675"/>
      <c r="AI99" s="1689">
        <f t="shared" ca="1" si="353"/>
        <v>0</v>
      </c>
      <c r="AJ99" s="1689">
        <f t="shared" ca="1" si="354"/>
        <v>0</v>
      </c>
      <c r="AK99" s="1689">
        <f t="shared" ca="1" si="355"/>
        <v>704420251500</v>
      </c>
      <c r="AL99" s="1689">
        <f t="shared" ca="1" si="356"/>
        <v>1183254268500</v>
      </c>
      <c r="AM99" s="1689">
        <f t="shared" ca="1" si="357"/>
        <v>1782105500999.9993</v>
      </c>
      <c r="AN99" s="1689">
        <f t="shared" ca="1" si="358"/>
        <v>2982791250750.0005</v>
      </c>
      <c r="AO99" s="1689">
        <f t="shared" ca="1" si="359"/>
        <v>1782842500500.0012</v>
      </c>
      <c r="AP99" s="1689">
        <f t="shared" ca="1" si="360"/>
        <v>3087311000249.9985</v>
      </c>
      <c r="AQ99" s="1689">
        <f t="shared" ca="1" si="361"/>
        <v>4270579500000.0005</v>
      </c>
      <c r="AS99" s="1706">
        <f ca="1">AVERAGE(Costs!$AI99:$AQ99)</f>
        <v>1754811585833.3333</v>
      </c>
      <c r="AT99" s="1706">
        <f t="shared" ca="1" si="347"/>
        <v>7659737472217.167</v>
      </c>
      <c r="AU99" s="675"/>
      <c r="AV99" s="1699">
        <f>IFERROR(VLOOKUP($A99,Cost.FinanceCostTable,7,FALSE),'Global assumptions'!$H$35)</f>
        <v>0.1</v>
      </c>
      <c r="AW99" s="1690">
        <f>IFERROR(VLOOKUP($A99,Cost.FinanceCostTable,8,FALSE),'Global assumptions'!$I$35)</f>
        <v>15</v>
      </c>
      <c r="AX99" s="675"/>
      <c r="AY99" s="1689">
        <f t="shared" ca="1" si="362"/>
        <v>0</v>
      </c>
      <c r="AZ99" s="1689">
        <f t="shared" ca="1" si="363"/>
        <v>0</v>
      </c>
      <c r="BA99" s="1689">
        <f t="shared" ca="1" si="364"/>
        <v>463050642197.32501</v>
      </c>
      <c r="BB99" s="1689">
        <f t="shared" ca="1" si="365"/>
        <v>777798864065.69409</v>
      </c>
      <c r="BC99" s="1689">
        <f t="shared" ca="1" si="366"/>
        <v>1171431352066.4861</v>
      </c>
      <c r="BD99" s="1689">
        <f t="shared" ca="1" si="367"/>
        <v>1960668434721.3826</v>
      </c>
      <c r="BE99" s="1689">
        <f t="shared" ca="1" si="368"/>
        <v>1171825773397.1494</v>
      </c>
      <c r="BF99" s="1689">
        <f t="shared" ca="1" si="369"/>
        <v>2029297746256.5891</v>
      </c>
      <c r="BG99" s="1689">
        <f t="shared" ca="1" si="370"/>
        <v>2807096610322.2852</v>
      </c>
      <c r="BH99" s="675"/>
      <c r="BI99" s="1689">
        <f t="shared" ca="1" si="371"/>
        <v>0</v>
      </c>
      <c r="BJ99" s="1689">
        <f t="shared" ca="1" si="372"/>
        <v>0</v>
      </c>
      <c r="BK99" s="1689">
        <f t="shared" ca="1" si="373"/>
        <v>463050642197.32501</v>
      </c>
      <c r="BL99" s="1689">
        <f t="shared" ca="1" si="374"/>
        <v>1240849506263.019</v>
      </c>
      <c r="BM99" s="1689">
        <f t="shared" ca="1" si="375"/>
        <v>2412280858329.5049</v>
      </c>
      <c r="BN99" s="1689">
        <f t="shared" ca="1" si="376"/>
        <v>3909898650853.5625</v>
      </c>
      <c r="BO99" s="1689">
        <f t="shared" ca="1" si="377"/>
        <v>4303925560185.0186</v>
      </c>
      <c r="BP99" s="1689">
        <f t="shared" ca="1" si="378"/>
        <v>5161791954375.1211</v>
      </c>
      <c r="BQ99" s="1689">
        <f t="shared" ca="1" si="379"/>
        <v>6008220129976.0234</v>
      </c>
      <c r="BR99" s="675"/>
      <c r="BS99" s="1701">
        <f t="shared" ca="1" si="380"/>
        <v>0</v>
      </c>
      <c r="BT99" s="1701">
        <f t="shared" ca="1" si="381"/>
        <v>0</v>
      </c>
      <c r="BU99" s="1701">
        <f t="shared" ca="1" si="382"/>
        <v>463070893697.32501</v>
      </c>
      <c r="BV99" s="1701">
        <f t="shared" ca="1" si="383"/>
        <v>1240903774763.019</v>
      </c>
      <c r="BW99" s="1701">
        <f t="shared" ca="1" si="384"/>
        <v>2412386359329.5049</v>
      </c>
      <c r="BX99" s="1701">
        <f t="shared" ca="1" si="385"/>
        <v>3910089901603.5625</v>
      </c>
      <c r="BY99" s="1701">
        <f t="shared" ca="1" si="386"/>
        <v>4304168060685.0186</v>
      </c>
      <c r="BZ99" s="1701">
        <f t="shared" ca="1" si="387"/>
        <v>5162102954625.1211</v>
      </c>
      <c r="CA99" s="1701">
        <f t="shared" ca="1" si="388"/>
        <v>6008599629976.0234</v>
      </c>
      <c r="CC99" s="1706">
        <f ca="1">AVERAGE(Costs!$BS99:$CA99)</f>
        <v>2611257952742.1748</v>
      </c>
      <c r="CD99" s="1706">
        <f t="shared" ca="1" si="350"/>
        <v>9765728809790.9648</v>
      </c>
      <c r="CF99" s="1703">
        <f t="shared" ca="1" si="389"/>
        <v>0</v>
      </c>
      <c r="CG99" s="1703">
        <f t="shared" ca="1" si="390"/>
        <v>0</v>
      </c>
      <c r="CH99" s="1703">
        <f t="shared" ca="1" si="391"/>
        <v>-241349357802.67499</v>
      </c>
      <c r="CI99" s="1703">
        <f t="shared" ca="1" si="392"/>
        <v>57649506263.019043</v>
      </c>
      <c r="CJ99" s="1703">
        <f t="shared" ca="1" si="393"/>
        <v>630280858329.50562</v>
      </c>
      <c r="CK99" s="1703">
        <f t="shared" ca="1" si="394"/>
        <v>927298650853.56201</v>
      </c>
      <c r="CL99" s="1703">
        <f t="shared" ca="1" si="395"/>
        <v>2521325560185.0176</v>
      </c>
      <c r="CM99" s="1703">
        <f t="shared" ca="1" si="396"/>
        <v>2074791954375.1226</v>
      </c>
      <c r="CN99" s="1703">
        <f t="shared" ca="1" si="397"/>
        <v>1738020129976.0229</v>
      </c>
      <c r="CP99" s="1706">
        <f ca="1">AVERAGE(Costs!$CF99:$CN99)</f>
        <v>856446366908.84155</v>
      </c>
      <c r="CQ99" s="1706">
        <f t="shared" ca="1" si="352"/>
        <v>2105991337573.7998</v>
      </c>
      <c r="CR99" s="1426" t="str">
        <f t="shared" ca="1" si="398"/>
        <v>ok</v>
      </c>
    </row>
    <row r="100" spans="1:96" s="2479" customFormat="1" x14ac:dyDescent="0.2">
      <c r="A100" s="1683" t="s">
        <v>2376</v>
      </c>
      <c r="B100" s="1683" t="s">
        <v>1192</v>
      </c>
      <c r="C100" s="1683" t="s">
        <v>4</v>
      </c>
      <c r="E100" s="1689">
        <f t="shared" ca="1" si="294"/>
        <v>0</v>
      </c>
      <c r="F100" s="1689">
        <f t="shared" ca="1" si="294"/>
        <v>0</v>
      </c>
      <c r="G100" s="1689">
        <f t="shared" ca="1" si="294"/>
        <v>942149999999.99988</v>
      </c>
      <c r="H100" s="1689">
        <f t="shared" ca="1" si="294"/>
        <v>943800000000.00012</v>
      </c>
      <c r="I100" s="1689">
        <f t="shared" ca="1" si="294"/>
        <v>942150000000.00012</v>
      </c>
      <c r="J100" s="1689">
        <f t="shared" ca="1" si="294"/>
        <v>943799999999.99976</v>
      </c>
      <c r="K100" s="1689">
        <f t="shared" ca="1" si="294"/>
        <v>942149999999.99988</v>
      </c>
      <c r="L100" s="1689">
        <f t="shared" ca="1" si="294"/>
        <v>1885950000000.0002</v>
      </c>
      <c r="M100" s="1689">
        <f t="shared" ca="1" si="294"/>
        <v>2828099999999.9995</v>
      </c>
      <c r="N100" s="675"/>
      <c r="O100" s="1689">
        <f t="shared" ca="1" si="295"/>
        <v>0</v>
      </c>
      <c r="P100" s="1689">
        <f t="shared" ca="1" si="295"/>
        <v>0</v>
      </c>
      <c r="Q100" s="1689">
        <f t="shared" ca="1" si="295"/>
        <v>34260000</v>
      </c>
      <c r="R100" s="1689">
        <f t="shared" ca="1" si="295"/>
        <v>68580000</v>
      </c>
      <c r="S100" s="1689">
        <f t="shared" ca="1" si="295"/>
        <v>102840000</v>
      </c>
      <c r="T100" s="1689">
        <f t="shared" ca="1" si="295"/>
        <v>137160000</v>
      </c>
      <c r="U100" s="1689">
        <f t="shared" ca="1" si="295"/>
        <v>171420000</v>
      </c>
      <c r="V100" s="1689">
        <f t="shared" ca="1" si="295"/>
        <v>205740000</v>
      </c>
      <c r="W100" s="1689">
        <f t="shared" ca="1" si="295"/>
        <v>240000000</v>
      </c>
      <c r="X100" s="675"/>
      <c r="Y100" s="1689">
        <f t="shared" ca="1" si="296"/>
        <v>0</v>
      </c>
      <c r="Z100" s="1689">
        <f t="shared" ca="1" si="296"/>
        <v>0</v>
      </c>
      <c r="AA100" s="1689">
        <f t="shared" ca="1" si="296"/>
        <v>0</v>
      </c>
      <c r="AB100" s="1689">
        <f t="shared" ca="1" si="296"/>
        <v>0</v>
      </c>
      <c r="AC100" s="1689">
        <f t="shared" ca="1" si="296"/>
        <v>0</v>
      </c>
      <c r="AD100" s="1689">
        <f t="shared" ca="1" si="296"/>
        <v>0</v>
      </c>
      <c r="AE100" s="1689">
        <f t="shared" ca="1" si="296"/>
        <v>0</v>
      </c>
      <c r="AF100" s="1689">
        <f t="shared" ca="1" si="296"/>
        <v>0</v>
      </c>
      <c r="AG100" s="1689">
        <f t="shared" ca="1" si="296"/>
        <v>0</v>
      </c>
      <c r="AH100" s="675"/>
      <c r="AI100" s="1689">
        <f t="shared" ca="1" si="353"/>
        <v>0</v>
      </c>
      <c r="AJ100" s="1689">
        <f t="shared" ca="1" si="354"/>
        <v>0</v>
      </c>
      <c r="AK100" s="1689">
        <f t="shared" ca="1" si="355"/>
        <v>942184259999.99988</v>
      </c>
      <c r="AL100" s="1689">
        <f t="shared" ca="1" si="356"/>
        <v>943868580000.00012</v>
      </c>
      <c r="AM100" s="1689">
        <f t="shared" ca="1" si="357"/>
        <v>942252840000.00012</v>
      </c>
      <c r="AN100" s="1689">
        <f t="shared" ca="1" si="358"/>
        <v>943937159999.99976</v>
      </c>
      <c r="AO100" s="1689">
        <f t="shared" ca="1" si="359"/>
        <v>942321419999.99988</v>
      </c>
      <c r="AP100" s="1689">
        <f t="shared" ca="1" si="360"/>
        <v>1886155740000.0002</v>
      </c>
      <c r="AQ100" s="1689">
        <f t="shared" ca="1" si="361"/>
        <v>2828339999999.9995</v>
      </c>
      <c r="AS100" s="1706">
        <f ca="1">AVERAGE(Costs!$AI100:$AQ100)</f>
        <v>1047673333333.3334</v>
      </c>
      <c r="AT100" s="1706">
        <f t="shared" ca="1" si="347"/>
        <v>5421213149869.04</v>
      </c>
      <c r="AU100" s="675"/>
      <c r="AV100" s="1699">
        <f>IFERROR(VLOOKUP($A100,Cost.FinanceCostTable,7,FALSE),'Global assumptions'!$H$35)</f>
        <v>0.1</v>
      </c>
      <c r="AW100" s="1690">
        <f>IFERROR(VLOOKUP($A100,Cost.FinanceCostTable,8,FALSE),'Global assumptions'!$I$35)</f>
        <v>15</v>
      </c>
      <c r="AX100" s="675"/>
      <c r="AY100" s="1689">
        <f t="shared" ca="1" si="362"/>
        <v>0</v>
      </c>
      <c r="AZ100" s="1689">
        <f t="shared" ca="1" si="363"/>
        <v>0</v>
      </c>
      <c r="BA100" s="1689">
        <f t="shared" ca="1" si="364"/>
        <v>619340094472.1886</v>
      </c>
      <c r="BB100" s="1689">
        <f t="shared" ca="1" si="365"/>
        <v>620424753131.50964</v>
      </c>
      <c r="BC100" s="1689">
        <f t="shared" ca="1" si="366"/>
        <v>619340094472.18884</v>
      </c>
      <c r="BD100" s="1689">
        <f t="shared" ca="1" si="367"/>
        <v>620424753131.5094</v>
      </c>
      <c r="BE100" s="1689">
        <f t="shared" ca="1" si="368"/>
        <v>619340094472.1886</v>
      </c>
      <c r="BF100" s="1689">
        <f t="shared" ca="1" si="369"/>
        <v>1239764847603.6985</v>
      </c>
      <c r="BG100" s="1689">
        <f t="shared" ca="1" si="370"/>
        <v>1859104942075.8867</v>
      </c>
      <c r="BH100" s="675"/>
      <c r="BI100" s="1689">
        <f t="shared" ca="1" si="371"/>
        <v>0</v>
      </c>
      <c r="BJ100" s="1689">
        <f t="shared" ca="1" si="372"/>
        <v>0</v>
      </c>
      <c r="BK100" s="1689">
        <f t="shared" ca="1" si="373"/>
        <v>619340094472.1886</v>
      </c>
      <c r="BL100" s="1689">
        <f t="shared" ca="1" si="374"/>
        <v>1239764847603.6982</v>
      </c>
      <c r="BM100" s="1689">
        <f t="shared" ca="1" si="375"/>
        <v>1859104942075.8872</v>
      </c>
      <c r="BN100" s="1689">
        <f t="shared" ca="1" si="376"/>
        <v>1860189600735.208</v>
      </c>
      <c r="BO100" s="1689">
        <f t="shared" ca="1" si="377"/>
        <v>1859104942075.8867</v>
      </c>
      <c r="BP100" s="1689">
        <f t="shared" ca="1" si="378"/>
        <v>2479529695207.3965</v>
      </c>
      <c r="BQ100" s="1689">
        <f t="shared" ca="1" si="379"/>
        <v>3718209884151.7734</v>
      </c>
      <c r="BR100" s="675"/>
      <c r="BS100" s="1701">
        <f t="shared" ca="1" si="380"/>
        <v>0</v>
      </c>
      <c r="BT100" s="1701">
        <f t="shared" ca="1" si="381"/>
        <v>0</v>
      </c>
      <c r="BU100" s="1701">
        <f t="shared" ca="1" si="382"/>
        <v>619374354472.1886</v>
      </c>
      <c r="BV100" s="1701">
        <f t="shared" ca="1" si="383"/>
        <v>1239833427603.6982</v>
      </c>
      <c r="BW100" s="1701">
        <f t="shared" ca="1" si="384"/>
        <v>1859207782075.8872</v>
      </c>
      <c r="BX100" s="1701">
        <f t="shared" ca="1" si="385"/>
        <v>1860326760735.208</v>
      </c>
      <c r="BY100" s="1701">
        <f t="shared" ca="1" si="386"/>
        <v>1859276362075.8867</v>
      </c>
      <c r="BZ100" s="1701">
        <f t="shared" ca="1" si="387"/>
        <v>2479735435207.3965</v>
      </c>
      <c r="CA100" s="1701">
        <f t="shared" ca="1" si="388"/>
        <v>3718449884151.7734</v>
      </c>
      <c r="CC100" s="1706">
        <f ca="1">AVERAGE(Costs!$BS100:$CA100)</f>
        <v>1515133778480.2266</v>
      </c>
      <c r="CD100" s="1706">
        <f t="shared" ca="1" si="350"/>
        <v>6856827347565.2676</v>
      </c>
      <c r="CF100" s="1703">
        <f t="shared" ca="1" si="389"/>
        <v>0</v>
      </c>
      <c r="CG100" s="1703">
        <f t="shared" ca="1" si="390"/>
        <v>0</v>
      </c>
      <c r="CH100" s="1703">
        <f t="shared" ca="1" si="391"/>
        <v>-322809905527.81128</v>
      </c>
      <c r="CI100" s="1703">
        <f t="shared" ca="1" si="392"/>
        <v>295964847603.69812</v>
      </c>
      <c r="CJ100" s="1703">
        <f t="shared" ca="1" si="393"/>
        <v>916954942075.88708</v>
      </c>
      <c r="CK100" s="1703">
        <f t="shared" ca="1" si="394"/>
        <v>916389600735.20825</v>
      </c>
      <c r="CL100" s="1703">
        <f t="shared" ca="1" si="395"/>
        <v>916954942075.88684</v>
      </c>
      <c r="CM100" s="1703">
        <f t="shared" ca="1" si="396"/>
        <v>593579695207.39624</v>
      </c>
      <c r="CN100" s="1703">
        <f t="shared" ca="1" si="397"/>
        <v>890109884151.77393</v>
      </c>
      <c r="CP100" s="1706">
        <f ca="1">AVERAGE(Costs!$CF100:$CN100)</f>
        <v>467460445146.89331</v>
      </c>
      <c r="CQ100" s="1706">
        <f t="shared" ca="1" si="352"/>
        <v>1435614197696.2271</v>
      </c>
      <c r="CR100" s="1426" t="str">
        <f t="shared" ca="1" si="398"/>
        <v>ok</v>
      </c>
    </row>
    <row r="101" spans="1:96" s="1673" customFormat="1" x14ac:dyDescent="0.2">
      <c r="A101" s="1683" t="s">
        <v>409</v>
      </c>
      <c r="B101" s="1683" t="s">
        <v>2371</v>
      </c>
      <c r="C101" s="1683" t="s">
        <v>4</v>
      </c>
      <c r="E101" s="1689">
        <f t="shared" ca="1" si="294"/>
        <v>0</v>
      </c>
      <c r="F101" s="1689">
        <f t="shared" ca="1" si="294"/>
        <v>80025000000</v>
      </c>
      <c r="G101" s="1689">
        <f t="shared" ca="1" si="294"/>
        <v>1711050000000</v>
      </c>
      <c r="H101" s="1689">
        <f t="shared" ca="1" si="294"/>
        <v>1131900000000</v>
      </c>
      <c r="I101" s="1689">
        <f t="shared" ca="1" si="294"/>
        <v>1130250000000</v>
      </c>
      <c r="J101" s="1689">
        <f t="shared" ca="1" si="294"/>
        <v>968550000000</v>
      </c>
      <c r="K101" s="1689">
        <f t="shared" ca="1" si="294"/>
        <v>1165725000000</v>
      </c>
      <c r="L101" s="1689">
        <f t="shared" ca="1" si="294"/>
        <v>3137475000000.001</v>
      </c>
      <c r="M101" s="1689">
        <f t="shared" ca="1" si="294"/>
        <v>5376524999999.998</v>
      </c>
      <c r="N101" s="675"/>
      <c r="O101" s="1689">
        <f t="shared" ca="1" si="295"/>
        <v>52500</v>
      </c>
      <c r="P101" s="1689">
        <f t="shared" ca="1" si="295"/>
        <v>1750000</v>
      </c>
      <c r="Q101" s="1689">
        <f t="shared" ca="1" si="295"/>
        <v>38045000</v>
      </c>
      <c r="R101" s="1689">
        <f t="shared" ca="1" si="295"/>
        <v>62055000</v>
      </c>
      <c r="S101" s="1689">
        <f t="shared" ca="1" si="295"/>
        <v>86030000</v>
      </c>
      <c r="T101" s="1689">
        <f t="shared" ca="1" si="295"/>
        <v>106522500</v>
      </c>
      <c r="U101" s="1689">
        <f t="shared" ca="1" si="295"/>
        <v>129500000</v>
      </c>
      <c r="V101" s="1689">
        <f t="shared" ca="1" si="295"/>
        <v>158007500.00000003</v>
      </c>
      <c r="W101" s="1689">
        <f t="shared" ca="1" si="295"/>
        <v>210000000</v>
      </c>
      <c r="X101" s="675"/>
      <c r="Y101" s="1689">
        <f t="shared" ca="1" si="296"/>
        <v>0</v>
      </c>
      <c r="Z101" s="1689">
        <f t="shared" ca="1" si="296"/>
        <v>0</v>
      </c>
      <c r="AA101" s="1689">
        <f t="shared" ca="1" si="296"/>
        <v>0</v>
      </c>
      <c r="AB101" s="1689">
        <f t="shared" ca="1" si="296"/>
        <v>0</v>
      </c>
      <c r="AC101" s="1689">
        <f t="shared" ca="1" si="296"/>
        <v>0</v>
      </c>
      <c r="AD101" s="1689">
        <f t="shared" ca="1" si="296"/>
        <v>0</v>
      </c>
      <c r="AE101" s="1689">
        <f t="shared" ca="1" si="296"/>
        <v>0</v>
      </c>
      <c r="AF101" s="1689">
        <f t="shared" ca="1" si="296"/>
        <v>0</v>
      </c>
      <c r="AG101" s="1689">
        <f t="shared" ca="1" si="296"/>
        <v>0</v>
      </c>
      <c r="AH101" s="675"/>
      <c r="AI101" s="1689">
        <f t="shared" ca="1" si="353"/>
        <v>52500</v>
      </c>
      <c r="AJ101" s="1689">
        <f t="shared" ca="1" si="354"/>
        <v>80026750000</v>
      </c>
      <c r="AK101" s="1689">
        <f t="shared" ca="1" si="355"/>
        <v>1711088045000</v>
      </c>
      <c r="AL101" s="1689">
        <f t="shared" ca="1" si="356"/>
        <v>1131962055000</v>
      </c>
      <c r="AM101" s="1689">
        <f t="shared" ca="1" si="357"/>
        <v>1130336030000</v>
      </c>
      <c r="AN101" s="1689">
        <f t="shared" ca="1" si="358"/>
        <v>968656522500</v>
      </c>
      <c r="AO101" s="1689">
        <f t="shared" ca="1" si="359"/>
        <v>1165854500000</v>
      </c>
      <c r="AP101" s="1689">
        <f t="shared" ca="1" si="360"/>
        <v>3137633007500.001</v>
      </c>
      <c r="AQ101" s="1689">
        <f t="shared" ca="1" si="361"/>
        <v>5376734999999.998</v>
      </c>
      <c r="AS101" s="1706">
        <f ca="1">AVERAGE(Costs!$AI101:$AQ101)</f>
        <v>1633587995833.333</v>
      </c>
      <c r="AT101" s="1706">
        <f t="shared" ca="1" si="347"/>
        <v>8444968157719.9531</v>
      </c>
      <c r="AU101" s="675"/>
      <c r="AV101" s="1699">
        <f>IFERROR(VLOOKUP($A101,Cost.FinanceCostTable,7,FALSE),'Global assumptions'!$H$35)</f>
        <v>0.1</v>
      </c>
      <c r="AW101" s="1690">
        <f>IFERROR(VLOOKUP($A101,Cost.FinanceCostTable,8,FALSE),'Global assumptions'!$I$35)</f>
        <v>25</v>
      </c>
      <c r="AX101" s="675"/>
      <c r="AY101" s="1689">
        <f t="shared" ca="1" si="362"/>
        <v>0</v>
      </c>
      <c r="AZ101" s="1689">
        <f t="shared" ca="1" si="363"/>
        <v>44080999885.032097</v>
      </c>
      <c r="BA101" s="1689">
        <f t="shared" ca="1" si="364"/>
        <v>942515399603.67578</v>
      </c>
      <c r="BB101" s="1689">
        <f t="shared" ca="1" si="365"/>
        <v>623496204559.42297</v>
      </c>
      <c r="BC101" s="1689">
        <f t="shared" ca="1" si="366"/>
        <v>622587317963.85535</v>
      </c>
      <c r="BD101" s="1689">
        <f t="shared" ca="1" si="367"/>
        <v>533516431598.22345</v>
      </c>
      <c r="BE101" s="1689">
        <f t="shared" ca="1" si="368"/>
        <v>642128379768.5603</v>
      </c>
      <c r="BF101" s="1689">
        <f t="shared" ca="1" si="369"/>
        <v>1728247861471.9287</v>
      </c>
      <c r="BG101" s="1689">
        <f t="shared" ca="1" si="370"/>
        <v>2961606971657.2583</v>
      </c>
      <c r="BH101" s="675"/>
      <c r="BI101" s="1689">
        <f t="shared" ca="1" si="371"/>
        <v>0</v>
      </c>
      <c r="BJ101" s="1689">
        <f t="shared" ca="1" si="372"/>
        <v>44080999885.032097</v>
      </c>
      <c r="BK101" s="1689">
        <f t="shared" ca="1" si="373"/>
        <v>986596399488.70789</v>
      </c>
      <c r="BL101" s="1689">
        <f t="shared" ca="1" si="374"/>
        <v>1610092604048.1309</v>
      </c>
      <c r="BM101" s="1689">
        <f t="shared" ca="1" si="375"/>
        <v>2232679922011.9863</v>
      </c>
      <c r="BN101" s="1689">
        <f t="shared" ca="1" si="376"/>
        <v>2766196353610.2095</v>
      </c>
      <c r="BO101" s="1689">
        <f t="shared" ca="1" si="377"/>
        <v>3364243733493.7383</v>
      </c>
      <c r="BP101" s="1689">
        <f t="shared" ca="1" si="378"/>
        <v>4772563513325.8467</v>
      </c>
      <c r="BQ101" s="1689">
        <f t="shared" ca="1" si="379"/>
        <v>7110674280423.6816</v>
      </c>
      <c r="BR101" s="675"/>
      <c r="BS101" s="1701">
        <f t="shared" ca="1" si="380"/>
        <v>52500</v>
      </c>
      <c r="BT101" s="1701">
        <f t="shared" ca="1" si="381"/>
        <v>44082749885.032097</v>
      </c>
      <c r="BU101" s="1701">
        <f t="shared" ca="1" si="382"/>
        <v>986634444488.70789</v>
      </c>
      <c r="BV101" s="1701">
        <f t="shared" ca="1" si="383"/>
        <v>1610154659048.1309</v>
      </c>
      <c r="BW101" s="1701">
        <f t="shared" ca="1" si="384"/>
        <v>2232765952011.9863</v>
      </c>
      <c r="BX101" s="1701">
        <f t="shared" ca="1" si="385"/>
        <v>2766302876110.2095</v>
      </c>
      <c r="BY101" s="1701">
        <f t="shared" ca="1" si="386"/>
        <v>3364373233493.7383</v>
      </c>
      <c r="BZ101" s="1701">
        <f t="shared" ca="1" si="387"/>
        <v>4772721520825.8467</v>
      </c>
      <c r="CA101" s="1701">
        <f t="shared" ca="1" si="388"/>
        <v>7110884280423.6816</v>
      </c>
      <c r="CC101" s="1706">
        <f ca="1">AVERAGE(Costs!$BS101:$CA101)</f>
        <v>2543102196531.9263</v>
      </c>
      <c r="CD101" s="1706">
        <f t="shared" ca="1" si="350"/>
        <v>10562004012592.371</v>
      </c>
      <c r="CF101" s="1703">
        <f t="shared" ca="1" si="389"/>
        <v>0</v>
      </c>
      <c r="CG101" s="1703">
        <f t="shared" ca="1" si="390"/>
        <v>-35944000114.967903</v>
      </c>
      <c r="CH101" s="1703">
        <f t="shared" ca="1" si="391"/>
        <v>-724453600511.29211</v>
      </c>
      <c r="CI101" s="1703">
        <f t="shared" ca="1" si="392"/>
        <v>478192604048.13086</v>
      </c>
      <c r="CJ101" s="1703">
        <f t="shared" ca="1" si="393"/>
        <v>1102429922011.9863</v>
      </c>
      <c r="CK101" s="1703">
        <f t="shared" ca="1" si="394"/>
        <v>1797646353610.2095</v>
      </c>
      <c r="CL101" s="1703">
        <f t="shared" ca="1" si="395"/>
        <v>2198518733493.7383</v>
      </c>
      <c r="CM101" s="1703">
        <f t="shared" ca="1" si="396"/>
        <v>1635088513325.8457</v>
      </c>
      <c r="CN101" s="1703">
        <f t="shared" ca="1" si="397"/>
        <v>1734149280423.6836</v>
      </c>
      <c r="CP101" s="1706">
        <f ca="1">AVERAGE(Costs!$CF101:$CN101)</f>
        <v>909514200698.59265</v>
      </c>
      <c r="CQ101" s="1706">
        <f t="shared" ca="1" si="352"/>
        <v>2117035854872.4185</v>
      </c>
      <c r="CR101" s="1426" t="str">
        <f t="shared" ca="1" si="398"/>
        <v>ok</v>
      </c>
    </row>
    <row r="102" spans="1:96" s="1673" customFormat="1" x14ac:dyDescent="0.2">
      <c r="A102" s="1685" t="s">
        <v>400</v>
      </c>
      <c r="B102" s="1685" t="s">
        <v>1363</v>
      </c>
      <c r="C102" s="1685" t="s">
        <v>1189</v>
      </c>
      <c r="E102" s="1691">
        <f t="shared" ref="E102:M111" ca="1" si="399">IFERROR(INDEX(INDIRECT($A102&amp;".Costs["&amp;E$2&amp;"]"), MATCH($E$90, INDIRECT($A102&amp;".Costs[Vector]"), 0)),0)</f>
        <v>2292606160849.2207</v>
      </c>
      <c r="F102" s="1691">
        <f t="shared" ca="1" si="399"/>
        <v>3208340340768.9702</v>
      </c>
      <c r="G102" s="1691">
        <f t="shared" ca="1" si="399"/>
        <v>4106493435328.7104</v>
      </c>
      <c r="H102" s="1691">
        <f t="shared" ca="1" si="399"/>
        <v>3470414023938.7778</v>
      </c>
      <c r="I102" s="1691">
        <f t="shared" ca="1" si="399"/>
        <v>3870117487519.7158</v>
      </c>
      <c r="J102" s="1691">
        <f t="shared" ca="1" si="399"/>
        <v>4200978344905.6846</v>
      </c>
      <c r="K102" s="1691">
        <f t="shared" ca="1" si="399"/>
        <v>4540720357275.8379</v>
      </c>
      <c r="L102" s="1691">
        <f t="shared" ca="1" si="399"/>
        <v>4723312134553.0742</v>
      </c>
      <c r="M102" s="1691">
        <f t="shared" ca="1" si="399"/>
        <v>3560878539582.8887</v>
      </c>
      <c r="N102" s="675"/>
      <c r="O102" s="1691">
        <f t="shared" ref="O102:W111" ca="1" si="400">IFERROR(INDEX(INDIRECT($A102&amp;".Costs["&amp;O$2&amp;"]"), MATCH($O$90, INDIRECT($A102&amp;".Costs[Vector]"), 0)),0)</f>
        <v>7083507697270.208</v>
      </c>
      <c r="P102" s="1691">
        <f t="shared" ca="1" si="400"/>
        <v>8103625158165.376</v>
      </c>
      <c r="Q102" s="1691">
        <f t="shared" ca="1" si="400"/>
        <v>9371117347175.9082</v>
      </c>
      <c r="R102" s="1691">
        <f t="shared" ca="1" si="400"/>
        <v>11821492456386.23</v>
      </c>
      <c r="S102" s="1691">
        <f t="shared" ca="1" si="400"/>
        <v>12828551647829.125</v>
      </c>
      <c r="T102" s="1691">
        <f t="shared" ca="1" si="400"/>
        <v>14037494478852.973</v>
      </c>
      <c r="U102" s="1691">
        <f t="shared" ca="1" si="400"/>
        <v>15212260497899.424</v>
      </c>
      <c r="V102" s="1691">
        <f t="shared" ca="1" si="400"/>
        <v>16468958982056.012</v>
      </c>
      <c r="W102" s="1691">
        <f t="shared" ca="1" si="400"/>
        <v>17671615151416.605</v>
      </c>
      <c r="X102" s="675"/>
      <c r="Y102" s="1691">
        <f t="shared" ref="Y102:AG111" ca="1" si="401">IFERROR(INDEX(INDIRECT($A102&amp;".Costs["&amp;Y$2&amp;"]"), MATCH($Y$90, INDIRECT($A102&amp;".Costs[Vector]"), 0)),0)</f>
        <v>0</v>
      </c>
      <c r="Z102" s="1691">
        <f t="shared" ca="1" si="401"/>
        <v>0</v>
      </c>
      <c r="AA102" s="1691">
        <f t="shared" ca="1" si="401"/>
        <v>0</v>
      </c>
      <c r="AB102" s="1691">
        <f t="shared" ca="1" si="401"/>
        <v>0</v>
      </c>
      <c r="AC102" s="1691">
        <f t="shared" ca="1" si="401"/>
        <v>0</v>
      </c>
      <c r="AD102" s="1691">
        <f t="shared" ca="1" si="401"/>
        <v>0</v>
      </c>
      <c r="AE102" s="1691">
        <f t="shared" ca="1" si="401"/>
        <v>0</v>
      </c>
      <c r="AF102" s="1691">
        <f t="shared" ca="1" si="401"/>
        <v>0</v>
      </c>
      <c r="AG102" s="1691">
        <f t="shared" ca="1" si="401"/>
        <v>0</v>
      </c>
      <c r="AH102" s="675"/>
      <c r="AI102" s="1691">
        <f t="shared" ca="1" si="297"/>
        <v>9376113858119.4297</v>
      </c>
      <c r="AJ102" s="1691">
        <f t="shared" ca="1" si="298"/>
        <v>11311965498934.346</v>
      </c>
      <c r="AK102" s="1691">
        <f t="shared" ca="1" si="299"/>
        <v>13477610782504.619</v>
      </c>
      <c r="AL102" s="1691">
        <f t="shared" ca="1" si="300"/>
        <v>15291906480325.008</v>
      </c>
      <c r="AM102" s="1691">
        <f t="shared" ca="1" si="301"/>
        <v>16698669135348.84</v>
      </c>
      <c r="AN102" s="1691">
        <f t="shared" ca="1" si="302"/>
        <v>18238472823758.656</v>
      </c>
      <c r="AO102" s="1691">
        <f t="shared" ca="1" si="303"/>
        <v>19752980855175.262</v>
      </c>
      <c r="AP102" s="1691">
        <f t="shared" ca="1" si="304"/>
        <v>21192271116609.086</v>
      </c>
      <c r="AQ102" s="1691">
        <f t="shared" ca="1" si="305"/>
        <v>21232493690999.492</v>
      </c>
      <c r="AS102" s="1707">
        <f ca="1">AVERAGE(Costs!$AI102:$AQ102)</f>
        <v>16285831582419.416</v>
      </c>
      <c r="AT102" s="1707">
        <f t="shared" ca="1" si="306"/>
        <v>125032916101834.81</v>
      </c>
      <c r="AU102" s="675"/>
      <c r="AV102" s="1700">
        <f>IFERROR(VLOOKUP($A102,Cost.FinanceCostTable,7,FALSE),'Global assumptions'!$H$35)</f>
        <v>0.1</v>
      </c>
      <c r="AW102" s="1692">
        <f>IFERROR(VLOOKUP($A102,Cost.FinanceCostTable,8,FALSE),'Global assumptions'!$I$35)</f>
        <v>30</v>
      </c>
      <c r="AX102" s="675"/>
      <c r="AY102" s="1691">
        <f t="shared" ca="1" si="307"/>
        <v>729593814246.72742</v>
      </c>
      <c r="AZ102" s="1691">
        <f t="shared" ca="1" si="308"/>
        <v>1701691657436.8586</v>
      </c>
      <c r="BA102" s="1691">
        <f t="shared" ca="1" si="309"/>
        <v>2178068682870.2285</v>
      </c>
      <c r="BB102" s="1691">
        <f t="shared" ca="1" si="310"/>
        <v>1840694553924.1191</v>
      </c>
      <c r="BC102" s="1691">
        <f t="shared" ca="1" si="311"/>
        <v>2052695768627.3188</v>
      </c>
      <c r="BD102" s="1691">
        <f t="shared" ca="1" si="312"/>
        <v>2228183123765.9463</v>
      </c>
      <c r="BE102" s="1691">
        <f t="shared" ca="1" si="313"/>
        <v>2408381010126.2607</v>
      </c>
      <c r="BF102" s="1691">
        <f t="shared" ca="1" si="314"/>
        <v>2505227002479.6689</v>
      </c>
      <c r="BG102" s="1691">
        <f t="shared" ca="1" si="315"/>
        <v>1888676592989.449</v>
      </c>
      <c r="BH102" s="675"/>
      <c r="BI102" s="1691">
        <f t="shared" ca="1" si="343"/>
        <v>729593814246.72742</v>
      </c>
      <c r="BJ102" s="1691">
        <f t="shared" ca="1" si="316"/>
        <v>2431285471683.5859</v>
      </c>
      <c r="BK102" s="1691">
        <f t="shared" ca="1" si="317"/>
        <v>4609354154553.8145</v>
      </c>
      <c r="BL102" s="1691">
        <f t="shared" ca="1" si="318"/>
        <v>6450048708477.9336</v>
      </c>
      <c r="BM102" s="1691">
        <f t="shared" ca="1" si="319"/>
        <v>8502744477105.2529</v>
      </c>
      <c r="BN102" s="1691">
        <f t="shared" ca="1" si="320"/>
        <v>10730927600871.199</v>
      </c>
      <c r="BO102" s="1691">
        <f t="shared" ca="1" si="321"/>
        <v>12409714796750.73</v>
      </c>
      <c r="BP102" s="1691">
        <f t="shared" ca="1" si="322"/>
        <v>15265945910420.859</v>
      </c>
      <c r="BQ102" s="1691">
        <f t="shared" ca="1" si="323"/>
        <v>14976553820540.082</v>
      </c>
      <c r="BR102" s="675"/>
      <c r="BS102" s="1702">
        <f t="shared" ca="1" si="324"/>
        <v>7813101511516.9355</v>
      </c>
      <c r="BT102" s="1702">
        <f t="shared" ca="1" si="325"/>
        <v>10534910629848.961</v>
      </c>
      <c r="BU102" s="1702">
        <f t="shared" ca="1" si="326"/>
        <v>13980471501729.723</v>
      </c>
      <c r="BV102" s="1702">
        <f t="shared" ca="1" si="327"/>
        <v>18271541164864.164</v>
      </c>
      <c r="BW102" s="1702">
        <f t="shared" ca="1" si="328"/>
        <v>21331296124934.379</v>
      </c>
      <c r="BX102" s="1702">
        <f t="shared" ca="1" si="329"/>
        <v>24768422079724.172</v>
      </c>
      <c r="BY102" s="1702">
        <f t="shared" ca="1" si="330"/>
        <v>27621975294650.156</v>
      </c>
      <c r="BZ102" s="1702">
        <f t="shared" ca="1" si="331"/>
        <v>31734904892476.871</v>
      </c>
      <c r="CA102" s="1702">
        <f t="shared" ca="1" si="332"/>
        <v>32648168971956.687</v>
      </c>
      <c r="CC102" s="1707">
        <f ca="1">AVERAGE(Costs!$BS102:$CA102)</f>
        <v>20967199130189.113</v>
      </c>
      <c r="CD102" s="1707">
        <f t="shared" ca="1" si="333"/>
        <v>139344486302391.3</v>
      </c>
      <c r="CF102" s="1704">
        <f t="shared" ca="1" si="334"/>
        <v>-1563012346602.4932</v>
      </c>
      <c r="CG102" s="1704">
        <f t="shared" ca="1" si="335"/>
        <v>-777054869085.38428</v>
      </c>
      <c r="CH102" s="1704">
        <f t="shared" ca="1" si="336"/>
        <v>502860719225.104</v>
      </c>
      <c r="CI102" s="1704">
        <f t="shared" ca="1" si="337"/>
        <v>2979634684539.1558</v>
      </c>
      <c r="CJ102" s="1704">
        <f t="shared" ca="1" si="338"/>
        <v>4632626989585.5371</v>
      </c>
      <c r="CK102" s="1704">
        <f t="shared" ca="1" si="339"/>
        <v>6529949255965.5146</v>
      </c>
      <c r="CL102" s="1704">
        <f t="shared" ca="1" si="340"/>
        <v>7868994439474.8926</v>
      </c>
      <c r="CM102" s="1704">
        <f t="shared" ca="1" si="341"/>
        <v>10542633775867.785</v>
      </c>
      <c r="CN102" s="1704">
        <f t="shared" ca="1" si="342"/>
        <v>11415675280957.193</v>
      </c>
      <c r="CP102" s="1707">
        <f ca="1">AVERAGE(Costs!$CF102:$CN102)</f>
        <v>4681367547769.7002</v>
      </c>
      <c r="CQ102" s="1707">
        <f t="shared" ca="1" si="344"/>
        <v>14311570200556.465</v>
      </c>
      <c r="CR102" s="1426" t="str">
        <f t="shared" ca="1" si="345"/>
        <v>ok</v>
      </c>
    </row>
    <row r="103" spans="1:96" s="1673" customFormat="1" x14ac:dyDescent="0.2">
      <c r="A103" s="1683" t="s">
        <v>838</v>
      </c>
      <c r="B103" s="1683" t="s">
        <v>839</v>
      </c>
      <c r="C103" s="1683" t="s">
        <v>1189</v>
      </c>
      <c r="E103" s="1689">
        <f t="shared" ca="1" si="399"/>
        <v>0</v>
      </c>
      <c r="F103" s="1689">
        <f t="shared" ca="1" si="399"/>
        <v>0</v>
      </c>
      <c r="G103" s="1689">
        <f t="shared" ca="1" si="399"/>
        <v>0</v>
      </c>
      <c r="H103" s="1689">
        <f t="shared" ca="1" si="399"/>
        <v>0</v>
      </c>
      <c r="I103" s="1689">
        <f t="shared" ca="1" si="399"/>
        <v>0</v>
      </c>
      <c r="J103" s="1689">
        <f t="shared" ca="1" si="399"/>
        <v>0</v>
      </c>
      <c r="K103" s="1689">
        <f t="shared" ca="1" si="399"/>
        <v>0</v>
      </c>
      <c r="L103" s="1689">
        <f t="shared" ca="1" si="399"/>
        <v>0</v>
      </c>
      <c r="M103" s="1689">
        <f t="shared" ca="1" si="399"/>
        <v>0</v>
      </c>
      <c r="N103" s="675"/>
      <c r="O103" s="1689">
        <f t="shared" ca="1" si="400"/>
        <v>0</v>
      </c>
      <c r="P103" s="1689">
        <f t="shared" ca="1" si="400"/>
        <v>0</v>
      </c>
      <c r="Q103" s="1689">
        <f t="shared" ca="1" si="400"/>
        <v>0</v>
      </c>
      <c r="R103" s="1689">
        <f t="shared" ca="1" si="400"/>
        <v>0</v>
      </c>
      <c r="S103" s="1689">
        <f t="shared" ca="1" si="400"/>
        <v>0</v>
      </c>
      <c r="T103" s="1689">
        <f t="shared" ca="1" si="400"/>
        <v>0</v>
      </c>
      <c r="U103" s="1689">
        <f t="shared" ca="1" si="400"/>
        <v>0</v>
      </c>
      <c r="V103" s="1689">
        <f t="shared" ca="1" si="400"/>
        <v>0</v>
      </c>
      <c r="W103" s="1689">
        <f t="shared" ca="1" si="400"/>
        <v>0</v>
      </c>
      <c r="X103" s="675"/>
      <c r="Y103" s="1689">
        <f t="shared" ca="1" si="401"/>
        <v>0</v>
      </c>
      <c r="Z103" s="1689">
        <f t="shared" ca="1" si="401"/>
        <v>0</v>
      </c>
      <c r="AA103" s="1689">
        <f t="shared" ca="1" si="401"/>
        <v>0</v>
      </c>
      <c r="AB103" s="1689">
        <f t="shared" ca="1" si="401"/>
        <v>0</v>
      </c>
      <c r="AC103" s="1689">
        <f t="shared" ca="1" si="401"/>
        <v>0</v>
      </c>
      <c r="AD103" s="1689">
        <f t="shared" ca="1" si="401"/>
        <v>0</v>
      </c>
      <c r="AE103" s="1689">
        <f t="shared" ca="1" si="401"/>
        <v>0</v>
      </c>
      <c r="AF103" s="1689">
        <f t="shared" ca="1" si="401"/>
        <v>0</v>
      </c>
      <c r="AG103" s="1689">
        <f t="shared" ca="1" si="401"/>
        <v>0</v>
      </c>
      <c r="AH103" s="675"/>
      <c r="AI103" s="1689">
        <f t="shared" ca="1" si="297"/>
        <v>0</v>
      </c>
      <c r="AJ103" s="1689">
        <f t="shared" ca="1" si="298"/>
        <v>0</v>
      </c>
      <c r="AK103" s="1689">
        <f t="shared" ca="1" si="299"/>
        <v>0</v>
      </c>
      <c r="AL103" s="1689">
        <f t="shared" ca="1" si="300"/>
        <v>0</v>
      </c>
      <c r="AM103" s="1689">
        <f t="shared" ca="1" si="301"/>
        <v>0</v>
      </c>
      <c r="AN103" s="1689">
        <f t="shared" ca="1" si="302"/>
        <v>0</v>
      </c>
      <c r="AO103" s="1689">
        <f t="shared" ca="1" si="303"/>
        <v>0</v>
      </c>
      <c r="AP103" s="1689">
        <f t="shared" ca="1" si="304"/>
        <v>0</v>
      </c>
      <c r="AQ103" s="1689">
        <f t="shared" ca="1" si="305"/>
        <v>0</v>
      </c>
      <c r="AS103" s="1706">
        <f ca="1">AVERAGE(Costs!$AI103:$AQ103)</f>
        <v>0</v>
      </c>
      <c r="AT103" s="1706">
        <f t="shared" ca="1" si="306"/>
        <v>0</v>
      </c>
      <c r="AU103" s="675"/>
      <c r="AV103" s="1699">
        <f>IFERROR(VLOOKUP($A103,Cost.FinanceCostTable,7,FALSE),'Global assumptions'!$H$35)</f>
        <v>0.1</v>
      </c>
      <c r="AW103" s="1690">
        <f>IFERROR(VLOOKUP($A103,Cost.FinanceCostTable,8,FALSE),'Global assumptions'!$I$35)</f>
        <v>15</v>
      </c>
      <c r="AX103" s="675"/>
      <c r="AY103" s="1689">
        <f t="shared" ca="1" si="307"/>
        <v>0</v>
      </c>
      <c r="AZ103" s="1689">
        <f t="shared" ca="1" si="308"/>
        <v>0</v>
      </c>
      <c r="BA103" s="1689">
        <f t="shared" ca="1" si="309"/>
        <v>0</v>
      </c>
      <c r="BB103" s="1689">
        <f t="shared" ca="1" si="310"/>
        <v>0</v>
      </c>
      <c r="BC103" s="1689">
        <f t="shared" ca="1" si="311"/>
        <v>0</v>
      </c>
      <c r="BD103" s="1689">
        <f t="shared" ca="1" si="312"/>
        <v>0</v>
      </c>
      <c r="BE103" s="1689">
        <f t="shared" ca="1" si="313"/>
        <v>0</v>
      </c>
      <c r="BF103" s="1689">
        <f t="shared" ca="1" si="314"/>
        <v>0</v>
      </c>
      <c r="BG103" s="1689">
        <f t="shared" ca="1" si="315"/>
        <v>0</v>
      </c>
      <c r="BH103" s="675"/>
      <c r="BI103" s="1689">
        <f t="shared" ca="1" si="343"/>
        <v>0</v>
      </c>
      <c r="BJ103" s="1689">
        <f t="shared" ca="1" si="316"/>
        <v>0</v>
      </c>
      <c r="BK103" s="1689">
        <f t="shared" ca="1" si="317"/>
        <v>0</v>
      </c>
      <c r="BL103" s="1689">
        <f t="shared" ca="1" si="318"/>
        <v>0</v>
      </c>
      <c r="BM103" s="1689">
        <f t="shared" ca="1" si="319"/>
        <v>0</v>
      </c>
      <c r="BN103" s="1689">
        <f t="shared" ca="1" si="320"/>
        <v>0</v>
      </c>
      <c r="BO103" s="1689">
        <f t="shared" ca="1" si="321"/>
        <v>0</v>
      </c>
      <c r="BP103" s="1689">
        <f t="shared" ca="1" si="322"/>
        <v>0</v>
      </c>
      <c r="BQ103" s="1689">
        <f t="shared" ca="1" si="323"/>
        <v>0</v>
      </c>
      <c r="BR103" s="675"/>
      <c r="BS103" s="1701">
        <f t="shared" ca="1" si="324"/>
        <v>0</v>
      </c>
      <c r="BT103" s="1701">
        <f t="shared" ca="1" si="325"/>
        <v>0</v>
      </c>
      <c r="BU103" s="1701">
        <f t="shared" ca="1" si="326"/>
        <v>0</v>
      </c>
      <c r="BV103" s="1701">
        <f t="shared" ca="1" si="327"/>
        <v>0</v>
      </c>
      <c r="BW103" s="1701">
        <f t="shared" ca="1" si="328"/>
        <v>0</v>
      </c>
      <c r="BX103" s="1701">
        <f t="shared" ca="1" si="329"/>
        <v>0</v>
      </c>
      <c r="BY103" s="1701">
        <f t="shared" ca="1" si="330"/>
        <v>0</v>
      </c>
      <c r="BZ103" s="1701">
        <f t="shared" ca="1" si="331"/>
        <v>0</v>
      </c>
      <c r="CA103" s="1701">
        <f t="shared" ca="1" si="332"/>
        <v>0</v>
      </c>
      <c r="CC103" s="1706">
        <f ca="1">AVERAGE(Costs!$BS103:$CA103)</f>
        <v>0</v>
      </c>
      <c r="CD103" s="1706">
        <f t="shared" ca="1" si="333"/>
        <v>0</v>
      </c>
      <c r="CF103" s="1703">
        <f t="shared" ca="1" si="334"/>
        <v>0</v>
      </c>
      <c r="CG103" s="1703">
        <f t="shared" ca="1" si="335"/>
        <v>0</v>
      </c>
      <c r="CH103" s="1703">
        <f t="shared" ca="1" si="336"/>
        <v>0</v>
      </c>
      <c r="CI103" s="1703">
        <f t="shared" ca="1" si="337"/>
        <v>0</v>
      </c>
      <c r="CJ103" s="1703">
        <f t="shared" ca="1" si="338"/>
        <v>0</v>
      </c>
      <c r="CK103" s="1703">
        <f t="shared" ca="1" si="339"/>
        <v>0</v>
      </c>
      <c r="CL103" s="1703">
        <f t="shared" ca="1" si="340"/>
        <v>0</v>
      </c>
      <c r="CM103" s="1703">
        <f t="shared" ca="1" si="341"/>
        <v>0</v>
      </c>
      <c r="CN103" s="1703">
        <f t="shared" ca="1" si="342"/>
        <v>0</v>
      </c>
      <c r="CP103" s="1706">
        <f ca="1">AVERAGE(Costs!$CF103:$CN103)</f>
        <v>0</v>
      </c>
      <c r="CQ103" s="1706">
        <f t="shared" ca="1" si="344"/>
        <v>0</v>
      </c>
      <c r="CR103" s="1426" t="str">
        <f t="shared" ca="1" si="345"/>
        <v>ok</v>
      </c>
    </row>
    <row r="104" spans="1:96" s="1673" customFormat="1" x14ac:dyDescent="0.2">
      <c r="A104" s="1685" t="s">
        <v>1768</v>
      </c>
      <c r="B104" s="1685" t="s">
        <v>1190</v>
      </c>
      <c r="C104" s="1685" t="s">
        <v>1189</v>
      </c>
      <c r="E104" s="1691">
        <f t="shared" ca="1" si="399"/>
        <v>0</v>
      </c>
      <c r="F104" s="1691">
        <f t="shared" ca="1" si="399"/>
        <v>0</v>
      </c>
      <c r="G104" s="1691">
        <f t="shared" ca="1" si="399"/>
        <v>0</v>
      </c>
      <c r="H104" s="1691">
        <f t="shared" ca="1" si="399"/>
        <v>0</v>
      </c>
      <c r="I104" s="1691">
        <f t="shared" ca="1" si="399"/>
        <v>0</v>
      </c>
      <c r="J104" s="1691">
        <f t="shared" ca="1" si="399"/>
        <v>0</v>
      </c>
      <c r="K104" s="1691">
        <f t="shared" ca="1" si="399"/>
        <v>0</v>
      </c>
      <c r="L104" s="1691">
        <f t="shared" ca="1" si="399"/>
        <v>0</v>
      </c>
      <c r="M104" s="1691">
        <f t="shared" ca="1" si="399"/>
        <v>0</v>
      </c>
      <c r="N104" s="675"/>
      <c r="O104" s="1691">
        <f t="shared" ca="1" si="400"/>
        <v>0</v>
      </c>
      <c r="P104" s="1691">
        <f t="shared" ca="1" si="400"/>
        <v>0</v>
      </c>
      <c r="Q104" s="1691">
        <f t="shared" ca="1" si="400"/>
        <v>0</v>
      </c>
      <c r="R104" s="1691">
        <f t="shared" ca="1" si="400"/>
        <v>0</v>
      </c>
      <c r="S104" s="1691">
        <f t="shared" ca="1" si="400"/>
        <v>0</v>
      </c>
      <c r="T104" s="1691">
        <f t="shared" ca="1" si="400"/>
        <v>0</v>
      </c>
      <c r="U104" s="1691">
        <f t="shared" ca="1" si="400"/>
        <v>0</v>
      </c>
      <c r="V104" s="1691">
        <f t="shared" ca="1" si="400"/>
        <v>0</v>
      </c>
      <c r="W104" s="1691">
        <f t="shared" ca="1" si="400"/>
        <v>0</v>
      </c>
      <c r="X104" s="675"/>
      <c r="Y104" s="1691">
        <f t="shared" ca="1" si="401"/>
        <v>15369744869625.002</v>
      </c>
      <c r="Z104" s="1691">
        <f t="shared" ca="1" si="401"/>
        <v>16916238203292.145</v>
      </c>
      <c r="AA104" s="1691">
        <f t="shared" ca="1" si="401"/>
        <v>18752924903032.484</v>
      </c>
      <c r="AB104" s="1691">
        <f t="shared" ca="1" si="401"/>
        <v>20650544724235.172</v>
      </c>
      <c r="AC104" s="1691">
        <f t="shared" ca="1" si="401"/>
        <v>22371751093087.285</v>
      </c>
      <c r="AD104" s="1691">
        <f t="shared" ca="1" si="401"/>
        <v>24380689414201.098</v>
      </c>
      <c r="AE104" s="1691">
        <f t="shared" ca="1" si="401"/>
        <v>26389562226390.703</v>
      </c>
      <c r="AF104" s="1691">
        <f t="shared" ca="1" si="401"/>
        <v>28545227929485.027</v>
      </c>
      <c r="AG104" s="1691">
        <f t="shared" ca="1" si="401"/>
        <v>30682032016553.418</v>
      </c>
      <c r="AH104" s="675"/>
      <c r="AI104" s="1691">
        <f t="shared" ca="1" si="297"/>
        <v>15369744869625.002</v>
      </c>
      <c r="AJ104" s="1691">
        <f t="shared" ca="1" si="298"/>
        <v>16916238203292.145</v>
      </c>
      <c r="AK104" s="1691">
        <f t="shared" ca="1" si="299"/>
        <v>18752924903032.484</v>
      </c>
      <c r="AL104" s="1691">
        <f t="shared" ca="1" si="300"/>
        <v>20650544724235.172</v>
      </c>
      <c r="AM104" s="1691">
        <f t="shared" ca="1" si="301"/>
        <v>22371751093087.285</v>
      </c>
      <c r="AN104" s="1691">
        <f t="shared" ca="1" si="302"/>
        <v>24380689414201.098</v>
      </c>
      <c r="AO104" s="1691">
        <f t="shared" ca="1" si="303"/>
        <v>26389562226390.703</v>
      </c>
      <c r="AP104" s="1691">
        <f t="shared" ca="1" si="304"/>
        <v>28545227929485.027</v>
      </c>
      <c r="AQ104" s="1691">
        <f t="shared" ca="1" si="305"/>
        <v>30682032016553.418</v>
      </c>
      <c r="AS104" s="1707">
        <f ca="1">AVERAGE(Costs!$AI104:$AQ104)</f>
        <v>22673190597766.922</v>
      </c>
      <c r="AT104" s="1707">
        <f t="shared" ca="1" si="306"/>
        <v>177793750598892</v>
      </c>
      <c r="AU104" s="675"/>
      <c r="AV104" s="1700">
        <f>IFERROR(VLOOKUP($A104,Cost.FinanceCostTable,7,FALSE),'Global assumptions'!$H$35)</f>
        <v>0.1</v>
      </c>
      <c r="AW104" s="1692">
        <f>IFERROR(VLOOKUP($A104,Cost.FinanceCostTable,8,FALSE),'Global assumptions'!$I$35)</f>
        <v>15</v>
      </c>
      <c r="AX104" s="675"/>
      <c r="AY104" s="1691">
        <f t="shared" ca="1" si="307"/>
        <v>0</v>
      </c>
      <c r="AZ104" s="1691">
        <f t="shared" ca="1" si="308"/>
        <v>0</v>
      </c>
      <c r="BA104" s="1691">
        <f t="shared" ca="1" si="309"/>
        <v>0</v>
      </c>
      <c r="BB104" s="1691">
        <f t="shared" ca="1" si="310"/>
        <v>0</v>
      </c>
      <c r="BC104" s="1691">
        <f t="shared" ca="1" si="311"/>
        <v>0</v>
      </c>
      <c r="BD104" s="1691">
        <f t="shared" ca="1" si="312"/>
        <v>0</v>
      </c>
      <c r="BE104" s="1691">
        <f t="shared" ca="1" si="313"/>
        <v>0</v>
      </c>
      <c r="BF104" s="1691">
        <f t="shared" ca="1" si="314"/>
        <v>0</v>
      </c>
      <c r="BG104" s="1691">
        <f t="shared" ca="1" si="315"/>
        <v>0</v>
      </c>
      <c r="BH104" s="675"/>
      <c r="BI104" s="1691">
        <f t="shared" ca="1" si="343"/>
        <v>0</v>
      </c>
      <c r="BJ104" s="1691">
        <f t="shared" ca="1" si="316"/>
        <v>0</v>
      </c>
      <c r="BK104" s="1691">
        <f t="shared" ca="1" si="317"/>
        <v>0</v>
      </c>
      <c r="BL104" s="1691">
        <f t="shared" ca="1" si="318"/>
        <v>0</v>
      </c>
      <c r="BM104" s="1691">
        <f t="shared" ca="1" si="319"/>
        <v>0</v>
      </c>
      <c r="BN104" s="1691">
        <f t="shared" ca="1" si="320"/>
        <v>0</v>
      </c>
      <c r="BO104" s="1691">
        <f t="shared" ca="1" si="321"/>
        <v>0</v>
      </c>
      <c r="BP104" s="1691">
        <f t="shared" ca="1" si="322"/>
        <v>0</v>
      </c>
      <c r="BQ104" s="1691">
        <f t="shared" ca="1" si="323"/>
        <v>0</v>
      </c>
      <c r="BR104" s="675"/>
      <c r="BS104" s="1702">
        <f t="shared" ca="1" si="324"/>
        <v>15369744869625.002</v>
      </c>
      <c r="BT104" s="1702">
        <f t="shared" ca="1" si="325"/>
        <v>16916238203292.145</v>
      </c>
      <c r="BU104" s="1702">
        <f t="shared" ca="1" si="326"/>
        <v>18752924903032.484</v>
      </c>
      <c r="BV104" s="1702">
        <f t="shared" ca="1" si="327"/>
        <v>20650544724235.172</v>
      </c>
      <c r="BW104" s="1702">
        <f t="shared" ca="1" si="328"/>
        <v>22371751093087.285</v>
      </c>
      <c r="BX104" s="1702">
        <f t="shared" ca="1" si="329"/>
        <v>24380689414201.098</v>
      </c>
      <c r="BY104" s="1702">
        <f t="shared" ca="1" si="330"/>
        <v>26389562226390.703</v>
      </c>
      <c r="BZ104" s="1702">
        <f t="shared" ca="1" si="331"/>
        <v>28545227929485.027</v>
      </c>
      <c r="CA104" s="1702">
        <f t="shared" ca="1" si="332"/>
        <v>30682032016553.418</v>
      </c>
      <c r="CC104" s="1707">
        <f ca="1">AVERAGE(Costs!$BS104:$CA104)</f>
        <v>22673190597766.922</v>
      </c>
      <c r="CD104" s="1707">
        <f t="shared" ca="1" si="333"/>
        <v>177793750598892</v>
      </c>
      <c r="CF104" s="1704">
        <f t="shared" ca="1" si="334"/>
        <v>0</v>
      </c>
      <c r="CG104" s="1704">
        <f t="shared" ca="1" si="335"/>
        <v>0</v>
      </c>
      <c r="CH104" s="1704">
        <f t="shared" ca="1" si="336"/>
        <v>0</v>
      </c>
      <c r="CI104" s="1704">
        <f t="shared" ca="1" si="337"/>
        <v>0</v>
      </c>
      <c r="CJ104" s="1704">
        <f t="shared" ca="1" si="338"/>
        <v>0</v>
      </c>
      <c r="CK104" s="1704">
        <f t="shared" ca="1" si="339"/>
        <v>0</v>
      </c>
      <c r="CL104" s="1704">
        <f t="shared" ca="1" si="340"/>
        <v>0</v>
      </c>
      <c r="CM104" s="1704">
        <f t="shared" ca="1" si="341"/>
        <v>0</v>
      </c>
      <c r="CN104" s="1704">
        <f t="shared" ca="1" si="342"/>
        <v>0</v>
      </c>
      <c r="CP104" s="1707">
        <f ca="1">AVERAGE(Costs!$CF104:$CN104)</f>
        <v>0</v>
      </c>
      <c r="CQ104" s="1707">
        <f t="shared" ca="1" si="344"/>
        <v>0</v>
      </c>
      <c r="CR104" s="1426" t="str">
        <f t="shared" ca="1" si="345"/>
        <v>ok</v>
      </c>
    </row>
    <row r="105" spans="1:96" s="1673" customFormat="1" x14ac:dyDescent="0.2">
      <c r="A105" s="1683" t="s">
        <v>1769</v>
      </c>
      <c r="B105" s="1683" t="s">
        <v>1190</v>
      </c>
      <c r="C105" s="1683" t="s">
        <v>1189</v>
      </c>
      <c r="E105" s="1689">
        <f t="shared" ca="1" si="399"/>
        <v>0</v>
      </c>
      <c r="F105" s="1689">
        <f t="shared" ca="1" si="399"/>
        <v>0</v>
      </c>
      <c r="G105" s="1689">
        <f t="shared" ca="1" si="399"/>
        <v>0</v>
      </c>
      <c r="H105" s="1689">
        <f t="shared" ca="1" si="399"/>
        <v>0</v>
      </c>
      <c r="I105" s="1689">
        <f t="shared" ca="1" si="399"/>
        <v>0</v>
      </c>
      <c r="J105" s="1689">
        <f t="shared" ca="1" si="399"/>
        <v>0</v>
      </c>
      <c r="K105" s="1689">
        <f t="shared" ca="1" si="399"/>
        <v>0</v>
      </c>
      <c r="L105" s="1689">
        <f t="shared" ca="1" si="399"/>
        <v>0</v>
      </c>
      <c r="M105" s="1689">
        <f t="shared" ca="1" si="399"/>
        <v>0</v>
      </c>
      <c r="N105" s="675"/>
      <c r="O105" s="1689">
        <f t="shared" ca="1" si="400"/>
        <v>0</v>
      </c>
      <c r="P105" s="1689">
        <f t="shared" ca="1" si="400"/>
        <v>0</v>
      </c>
      <c r="Q105" s="1689">
        <f t="shared" ca="1" si="400"/>
        <v>0</v>
      </c>
      <c r="R105" s="1689">
        <f t="shared" ca="1" si="400"/>
        <v>0</v>
      </c>
      <c r="S105" s="1689">
        <f t="shared" ca="1" si="400"/>
        <v>0</v>
      </c>
      <c r="T105" s="1689">
        <f t="shared" ca="1" si="400"/>
        <v>0</v>
      </c>
      <c r="U105" s="1689">
        <f t="shared" ca="1" si="400"/>
        <v>0</v>
      </c>
      <c r="V105" s="1689">
        <f t="shared" ca="1" si="400"/>
        <v>0</v>
      </c>
      <c r="W105" s="1689">
        <f t="shared" ca="1" si="400"/>
        <v>0</v>
      </c>
      <c r="X105" s="675"/>
      <c r="Y105" s="1689">
        <f t="shared" ca="1" si="401"/>
        <v>0</v>
      </c>
      <c r="Z105" s="1689">
        <f t="shared" ca="1" si="401"/>
        <v>0</v>
      </c>
      <c r="AA105" s="1689">
        <f t="shared" ca="1" si="401"/>
        <v>0</v>
      </c>
      <c r="AB105" s="1689">
        <f t="shared" ca="1" si="401"/>
        <v>0</v>
      </c>
      <c r="AC105" s="1689">
        <f t="shared" ca="1" si="401"/>
        <v>0</v>
      </c>
      <c r="AD105" s="1689">
        <f t="shared" ca="1" si="401"/>
        <v>0</v>
      </c>
      <c r="AE105" s="1689">
        <f t="shared" ca="1" si="401"/>
        <v>0</v>
      </c>
      <c r="AF105" s="1689">
        <f t="shared" ca="1" si="401"/>
        <v>0</v>
      </c>
      <c r="AG105" s="1689">
        <f t="shared" ca="1" si="401"/>
        <v>0</v>
      </c>
      <c r="AH105" s="675"/>
      <c r="AI105" s="1689">
        <f t="shared" ca="1" si="297"/>
        <v>0</v>
      </c>
      <c r="AJ105" s="1689">
        <f t="shared" ca="1" si="298"/>
        <v>0</v>
      </c>
      <c r="AK105" s="1689">
        <f t="shared" ca="1" si="299"/>
        <v>0</v>
      </c>
      <c r="AL105" s="1689">
        <f t="shared" ca="1" si="300"/>
        <v>0</v>
      </c>
      <c r="AM105" s="1689">
        <f t="shared" ca="1" si="301"/>
        <v>0</v>
      </c>
      <c r="AN105" s="1689">
        <f t="shared" ca="1" si="302"/>
        <v>0</v>
      </c>
      <c r="AO105" s="1689">
        <f t="shared" ca="1" si="303"/>
        <v>0</v>
      </c>
      <c r="AP105" s="1689">
        <f t="shared" ca="1" si="304"/>
        <v>0</v>
      </c>
      <c r="AQ105" s="1689">
        <f t="shared" ca="1" si="305"/>
        <v>0</v>
      </c>
      <c r="AS105" s="1706">
        <f ca="1">AVERAGE(Costs!$AI105:$AQ105)</f>
        <v>0</v>
      </c>
      <c r="AT105" s="1706">
        <f t="shared" ca="1" si="306"/>
        <v>0</v>
      </c>
      <c r="AU105" s="675"/>
      <c r="AV105" s="1699">
        <f>IFERROR(VLOOKUP($A105,Cost.FinanceCostTable,7,FALSE),'Global assumptions'!$H$35)</f>
        <v>0.1</v>
      </c>
      <c r="AW105" s="1690">
        <f>IFERROR(VLOOKUP($A105,Cost.FinanceCostTable,8,FALSE),'Global assumptions'!$I$35)</f>
        <v>15</v>
      </c>
      <c r="AX105" s="675"/>
      <c r="AY105" s="1689">
        <f t="shared" ca="1" si="307"/>
        <v>0</v>
      </c>
      <c r="AZ105" s="1689">
        <f t="shared" ca="1" si="308"/>
        <v>0</v>
      </c>
      <c r="BA105" s="1689">
        <f t="shared" ca="1" si="309"/>
        <v>0</v>
      </c>
      <c r="BB105" s="1689">
        <f t="shared" ca="1" si="310"/>
        <v>0</v>
      </c>
      <c r="BC105" s="1689">
        <f t="shared" ca="1" si="311"/>
        <v>0</v>
      </c>
      <c r="BD105" s="1689">
        <f t="shared" ca="1" si="312"/>
        <v>0</v>
      </c>
      <c r="BE105" s="1689">
        <f t="shared" ca="1" si="313"/>
        <v>0</v>
      </c>
      <c r="BF105" s="1689">
        <f t="shared" ca="1" si="314"/>
        <v>0</v>
      </c>
      <c r="BG105" s="1689">
        <f t="shared" ca="1" si="315"/>
        <v>0</v>
      </c>
      <c r="BH105" s="675"/>
      <c r="BI105" s="1689">
        <f t="shared" ca="1" si="343"/>
        <v>0</v>
      </c>
      <c r="BJ105" s="1689">
        <f t="shared" ca="1" si="316"/>
        <v>0</v>
      </c>
      <c r="BK105" s="1689">
        <f t="shared" ca="1" si="317"/>
        <v>0</v>
      </c>
      <c r="BL105" s="1689">
        <f t="shared" ca="1" si="318"/>
        <v>0</v>
      </c>
      <c r="BM105" s="1689">
        <f t="shared" ca="1" si="319"/>
        <v>0</v>
      </c>
      <c r="BN105" s="1689">
        <f t="shared" ca="1" si="320"/>
        <v>0</v>
      </c>
      <c r="BO105" s="1689">
        <f t="shared" ca="1" si="321"/>
        <v>0</v>
      </c>
      <c r="BP105" s="1689">
        <f t="shared" ca="1" si="322"/>
        <v>0</v>
      </c>
      <c r="BQ105" s="1689">
        <f t="shared" ca="1" si="323"/>
        <v>0</v>
      </c>
      <c r="BR105" s="675"/>
      <c r="BS105" s="1701">
        <f t="shared" ca="1" si="324"/>
        <v>0</v>
      </c>
      <c r="BT105" s="1701">
        <f t="shared" ca="1" si="325"/>
        <v>0</v>
      </c>
      <c r="BU105" s="1701">
        <f t="shared" ca="1" si="326"/>
        <v>0</v>
      </c>
      <c r="BV105" s="1701">
        <f t="shared" ca="1" si="327"/>
        <v>0</v>
      </c>
      <c r="BW105" s="1701">
        <f t="shared" ca="1" si="328"/>
        <v>0</v>
      </c>
      <c r="BX105" s="1701">
        <f t="shared" ca="1" si="329"/>
        <v>0</v>
      </c>
      <c r="BY105" s="1701">
        <f t="shared" ca="1" si="330"/>
        <v>0</v>
      </c>
      <c r="BZ105" s="1701">
        <f t="shared" ca="1" si="331"/>
        <v>0</v>
      </c>
      <c r="CA105" s="1701">
        <f t="shared" ca="1" si="332"/>
        <v>0</v>
      </c>
      <c r="CC105" s="1706">
        <f ca="1">AVERAGE(Costs!$BS105:$CA105)</f>
        <v>0</v>
      </c>
      <c r="CD105" s="1706">
        <f t="shared" ca="1" si="333"/>
        <v>0</v>
      </c>
      <c r="CF105" s="1703">
        <f t="shared" ca="1" si="334"/>
        <v>0</v>
      </c>
      <c r="CG105" s="1703">
        <f t="shared" ca="1" si="335"/>
        <v>0</v>
      </c>
      <c r="CH105" s="1703">
        <f t="shared" ca="1" si="336"/>
        <v>0</v>
      </c>
      <c r="CI105" s="1703">
        <f t="shared" ca="1" si="337"/>
        <v>0</v>
      </c>
      <c r="CJ105" s="1703">
        <f t="shared" ca="1" si="338"/>
        <v>0</v>
      </c>
      <c r="CK105" s="1703">
        <f t="shared" ca="1" si="339"/>
        <v>0</v>
      </c>
      <c r="CL105" s="1703">
        <f t="shared" ca="1" si="340"/>
        <v>0</v>
      </c>
      <c r="CM105" s="1703">
        <f t="shared" ca="1" si="341"/>
        <v>0</v>
      </c>
      <c r="CN105" s="1703">
        <f t="shared" ca="1" si="342"/>
        <v>0</v>
      </c>
      <c r="CP105" s="1706">
        <f ca="1">AVERAGE(Costs!$CF105:$CN105)</f>
        <v>0</v>
      </c>
      <c r="CQ105" s="1706">
        <f t="shared" ca="1" si="344"/>
        <v>0</v>
      </c>
      <c r="CR105" s="1426" t="str">
        <f t="shared" ca="1" si="345"/>
        <v>ok</v>
      </c>
    </row>
    <row r="106" spans="1:96" s="1673" customFormat="1" x14ac:dyDescent="0.2">
      <c r="A106" s="1685" t="s">
        <v>1765</v>
      </c>
      <c r="B106" s="1685" t="s">
        <v>1767</v>
      </c>
      <c r="C106" s="1685" t="s">
        <v>1189</v>
      </c>
      <c r="E106" s="1691">
        <f t="shared" ca="1" si="399"/>
        <v>20454376010</v>
      </c>
      <c r="F106" s="1691">
        <f t="shared" ca="1" si="399"/>
        <v>26763634267.14669</v>
      </c>
      <c r="G106" s="1691">
        <f t="shared" ca="1" si="399"/>
        <v>33340963939.469994</v>
      </c>
      <c r="H106" s="1691">
        <f t="shared" ca="1" si="399"/>
        <v>33038989061.27002</v>
      </c>
      <c r="I106" s="1691">
        <f t="shared" ca="1" si="399"/>
        <v>32835925943.997658</v>
      </c>
      <c r="J106" s="1691">
        <f t="shared" ca="1" si="399"/>
        <v>31685983243.51403</v>
      </c>
      <c r="K106" s="1691">
        <f t="shared" ca="1" si="399"/>
        <v>30541912191.990974</v>
      </c>
      <c r="L106" s="1691">
        <f t="shared" ca="1" si="399"/>
        <v>29374178132.660564</v>
      </c>
      <c r="M106" s="1691">
        <f t="shared" ca="1" si="399"/>
        <v>28237700160.085972</v>
      </c>
      <c r="N106" s="675"/>
      <c r="O106" s="1691">
        <f t="shared" ca="1" si="400"/>
        <v>20454415126.621281</v>
      </c>
      <c r="P106" s="1691">
        <f t="shared" ca="1" si="400"/>
        <v>30197747622.443367</v>
      </c>
      <c r="Q106" s="1691">
        <f t="shared" ca="1" si="400"/>
        <v>41062732257.248337</v>
      </c>
      <c r="R106" s="1691">
        <f t="shared" ca="1" si="400"/>
        <v>43672017735.347145</v>
      </c>
      <c r="S106" s="1691">
        <f t="shared" ca="1" si="400"/>
        <v>46783379724.669968</v>
      </c>
      <c r="T106" s="1691">
        <f t="shared" ca="1" si="400"/>
        <v>46402436681.01384</v>
      </c>
      <c r="U106" s="1691">
        <f t="shared" ca="1" si="400"/>
        <v>46048956434.543335</v>
      </c>
      <c r="V106" s="1691">
        <f t="shared" ca="1" si="400"/>
        <v>45722938355.661926</v>
      </c>
      <c r="W106" s="1691">
        <f t="shared" ca="1" si="400"/>
        <v>45424383757.39061</v>
      </c>
      <c r="X106" s="675"/>
      <c r="Y106" s="1691">
        <f t="shared" ca="1" si="401"/>
        <v>0</v>
      </c>
      <c r="Z106" s="1691">
        <f t="shared" ca="1" si="401"/>
        <v>0</v>
      </c>
      <c r="AA106" s="1691">
        <f t="shared" ca="1" si="401"/>
        <v>0</v>
      </c>
      <c r="AB106" s="1691">
        <f t="shared" ca="1" si="401"/>
        <v>0</v>
      </c>
      <c r="AC106" s="1691">
        <f t="shared" ca="1" si="401"/>
        <v>0</v>
      </c>
      <c r="AD106" s="1691">
        <f t="shared" ca="1" si="401"/>
        <v>0</v>
      </c>
      <c r="AE106" s="1691">
        <f t="shared" ca="1" si="401"/>
        <v>0</v>
      </c>
      <c r="AF106" s="1691">
        <f t="shared" ca="1" si="401"/>
        <v>0</v>
      </c>
      <c r="AG106" s="1691">
        <f t="shared" ca="1" si="401"/>
        <v>0</v>
      </c>
      <c r="AH106" s="675"/>
      <c r="AI106" s="1691">
        <f t="shared" ca="1" si="297"/>
        <v>40908791136.621277</v>
      </c>
      <c r="AJ106" s="1691">
        <f t="shared" ca="1" si="298"/>
        <v>56961381889.590057</v>
      </c>
      <c r="AK106" s="1691">
        <f t="shared" ca="1" si="299"/>
        <v>74403696196.718323</v>
      </c>
      <c r="AL106" s="1691">
        <f t="shared" ca="1" si="300"/>
        <v>76711006796.617157</v>
      </c>
      <c r="AM106" s="1691">
        <f t="shared" ca="1" si="301"/>
        <v>79619305668.667633</v>
      </c>
      <c r="AN106" s="1691">
        <f t="shared" ca="1" si="302"/>
        <v>78088419924.527863</v>
      </c>
      <c r="AO106" s="1691">
        <f t="shared" ca="1" si="303"/>
        <v>76590868626.534302</v>
      </c>
      <c r="AP106" s="1691">
        <f t="shared" ca="1" si="304"/>
        <v>75097116488.322495</v>
      </c>
      <c r="AQ106" s="1691">
        <f t="shared" ca="1" si="305"/>
        <v>73662083917.476578</v>
      </c>
      <c r="AS106" s="1707">
        <f ca="1">AVERAGE(Costs!$AI106:$AQ106)</f>
        <v>70226963405.008408</v>
      </c>
      <c r="AT106" s="1707">
        <f t="shared" ca="1" si="306"/>
        <v>604425962678.84277</v>
      </c>
      <c r="AU106" s="675"/>
      <c r="AV106" s="1700">
        <f>IFERROR(VLOOKUP($A106,Cost.FinanceCostTable,7,FALSE),'Global assumptions'!$H$35)</f>
        <v>0.1</v>
      </c>
      <c r="AW106" s="1692">
        <f>IFERROR(VLOOKUP($A106,Cost.FinanceCostTable,8,FALSE),'Global assumptions'!$I$35)</f>
        <v>15</v>
      </c>
      <c r="AX106" s="675"/>
      <c r="AY106" s="1691">
        <f t="shared" ca="1" si="307"/>
        <v>8067642203.7274771</v>
      </c>
      <c r="AZ106" s="1691">
        <f t="shared" ca="1" si="308"/>
        <v>17593580401.670372</v>
      </c>
      <c r="BA106" s="1691">
        <f t="shared" ca="1" si="309"/>
        <v>21917312270.939007</v>
      </c>
      <c r="BB106" s="1691">
        <f t="shared" ca="1" si="310"/>
        <v>21718803382.128731</v>
      </c>
      <c r="BC106" s="1691">
        <f t="shared" ca="1" si="311"/>
        <v>21585316007.257126</v>
      </c>
      <c r="BD106" s="1691">
        <f t="shared" ca="1" si="312"/>
        <v>20829379457.073895</v>
      </c>
      <c r="BE106" s="1691">
        <f t="shared" ca="1" si="313"/>
        <v>20077302746.217674</v>
      </c>
      <c r="BF106" s="1691">
        <f t="shared" ca="1" si="314"/>
        <v>19309670710.316719</v>
      </c>
      <c r="BG106" s="1691">
        <f t="shared" ca="1" si="315"/>
        <v>18562585453.29829</v>
      </c>
      <c r="BH106" s="675"/>
      <c r="BI106" s="1691">
        <f t="shared" ca="1" si="343"/>
        <v>8067642203.7274771</v>
      </c>
      <c r="BJ106" s="1691">
        <f t="shared" ca="1" si="316"/>
        <v>25661222605.39785</v>
      </c>
      <c r="BK106" s="1691">
        <f t="shared" ca="1" si="317"/>
        <v>47578534876.336853</v>
      </c>
      <c r="BL106" s="1691">
        <f t="shared" ca="1" si="318"/>
        <v>61229696054.738113</v>
      </c>
      <c r="BM106" s="1691">
        <f t="shared" ca="1" si="319"/>
        <v>65221431660.324867</v>
      </c>
      <c r="BN106" s="1691">
        <f t="shared" ca="1" si="320"/>
        <v>64133498846.459747</v>
      </c>
      <c r="BO106" s="1691">
        <f t="shared" ca="1" si="321"/>
        <v>62491998210.548691</v>
      </c>
      <c r="BP106" s="1691">
        <f t="shared" ca="1" si="322"/>
        <v>60216352913.608284</v>
      </c>
      <c r="BQ106" s="1691">
        <f t="shared" ca="1" si="323"/>
        <v>57949558909.83268</v>
      </c>
      <c r="BR106" s="675"/>
      <c r="BS106" s="1702">
        <f t="shared" ca="1" si="324"/>
        <v>28522057330.348759</v>
      </c>
      <c r="BT106" s="1702">
        <f t="shared" ca="1" si="325"/>
        <v>55858970227.841217</v>
      </c>
      <c r="BU106" s="1702">
        <f t="shared" ca="1" si="326"/>
        <v>88641267133.58519</v>
      </c>
      <c r="BV106" s="1702">
        <f t="shared" ca="1" si="327"/>
        <v>104901713790.08527</v>
      </c>
      <c r="BW106" s="1702">
        <f t="shared" ca="1" si="328"/>
        <v>112004811384.99484</v>
      </c>
      <c r="BX106" s="1702">
        <f t="shared" ca="1" si="329"/>
        <v>110535935527.47359</v>
      </c>
      <c r="BY106" s="1702">
        <f t="shared" ca="1" si="330"/>
        <v>108540954645.09203</v>
      </c>
      <c r="BZ106" s="1702">
        <f t="shared" ca="1" si="331"/>
        <v>105939291269.2702</v>
      </c>
      <c r="CA106" s="1702">
        <f t="shared" ca="1" si="332"/>
        <v>103373942667.2233</v>
      </c>
      <c r="CC106" s="1707">
        <f ca="1">AVERAGE(Costs!$BS106:$CA106)</f>
        <v>90924327108.434906</v>
      </c>
      <c r="CD106" s="1707">
        <f t="shared" ca="1" si="333"/>
        <v>711962669268.56299</v>
      </c>
      <c r="CF106" s="1704">
        <f t="shared" ca="1" si="334"/>
        <v>-12386733806.272522</v>
      </c>
      <c r="CG106" s="1704">
        <f t="shared" ca="1" si="335"/>
        <v>-1102411661.7488403</v>
      </c>
      <c r="CH106" s="1704">
        <f t="shared" ca="1" si="336"/>
        <v>14237570936.866859</v>
      </c>
      <c r="CI106" s="1704">
        <f t="shared" ca="1" si="337"/>
        <v>28190706993.468094</v>
      </c>
      <c r="CJ106" s="1704">
        <f t="shared" ca="1" si="338"/>
        <v>32385505716.327209</v>
      </c>
      <c r="CK106" s="1704">
        <f t="shared" ca="1" si="339"/>
        <v>32447515602.945717</v>
      </c>
      <c r="CL106" s="1704">
        <f t="shared" ca="1" si="340"/>
        <v>31950086018.557716</v>
      </c>
      <c r="CM106" s="1704">
        <f t="shared" ca="1" si="341"/>
        <v>30842174780.94772</v>
      </c>
      <c r="CN106" s="1704">
        <f t="shared" ca="1" si="342"/>
        <v>29711858749.746708</v>
      </c>
      <c r="CP106" s="1707">
        <f ca="1">AVERAGE(Costs!$CF106:$CN106)</f>
        <v>20697363703.426517</v>
      </c>
      <c r="CQ106" s="1707">
        <f t="shared" ca="1" si="344"/>
        <v>107536706589.72006</v>
      </c>
      <c r="CR106" s="1426" t="str">
        <f t="shared" ca="1" si="345"/>
        <v>ok</v>
      </c>
    </row>
    <row r="107" spans="1:96" s="1673" customFormat="1" x14ac:dyDescent="0.2">
      <c r="A107" s="1683" t="s">
        <v>1766</v>
      </c>
      <c r="B107" s="1683" t="s">
        <v>1362</v>
      </c>
      <c r="C107" s="1683" t="s">
        <v>1189</v>
      </c>
      <c r="E107" s="1689">
        <f t="shared" ca="1" si="399"/>
        <v>535327418583.33331</v>
      </c>
      <c r="F107" s="1689">
        <f t="shared" ca="1" si="399"/>
        <v>364062122250</v>
      </c>
      <c r="G107" s="1689">
        <f t="shared" ca="1" si="399"/>
        <v>388630159250</v>
      </c>
      <c r="H107" s="1689">
        <f t="shared" ca="1" si="399"/>
        <v>409582042875</v>
      </c>
      <c r="I107" s="1689">
        <f t="shared" ca="1" si="399"/>
        <v>430533926500</v>
      </c>
      <c r="J107" s="1689">
        <f t="shared" ca="1" si="399"/>
        <v>439674253875</v>
      </c>
      <c r="K107" s="1689">
        <f t="shared" ca="1" si="399"/>
        <v>448814581250</v>
      </c>
      <c r="L107" s="1689">
        <f t="shared" ca="1" si="399"/>
        <v>457954908625</v>
      </c>
      <c r="M107" s="1689">
        <f t="shared" ca="1" si="399"/>
        <v>467095236000</v>
      </c>
      <c r="N107" s="675"/>
      <c r="O107" s="1689">
        <f t="shared" ca="1" si="400"/>
        <v>1119381049500</v>
      </c>
      <c r="P107" s="1689">
        <f t="shared" ca="1" si="400"/>
        <v>863985135500</v>
      </c>
      <c r="Q107" s="1689">
        <f t="shared" ca="1" si="400"/>
        <v>921089221500</v>
      </c>
      <c r="R107" s="1689">
        <f t="shared" ca="1" si="400"/>
        <v>969788194249.99988</v>
      </c>
      <c r="S107" s="1689">
        <f t="shared" ca="1" si="400"/>
        <v>1018487167000</v>
      </c>
      <c r="T107" s="1689">
        <f t="shared" ca="1" si="400"/>
        <v>1039732252250</v>
      </c>
      <c r="U107" s="1689">
        <f t="shared" ca="1" si="400"/>
        <v>1060977337500</v>
      </c>
      <c r="V107" s="1689">
        <f t="shared" ca="1" si="400"/>
        <v>1082222422750</v>
      </c>
      <c r="W107" s="1689">
        <f t="shared" ca="1" si="400"/>
        <v>1103467508000</v>
      </c>
      <c r="X107" s="675"/>
      <c r="Y107" s="1689">
        <f t="shared" ca="1" si="401"/>
        <v>0</v>
      </c>
      <c r="Z107" s="1689">
        <f t="shared" ca="1" si="401"/>
        <v>0</v>
      </c>
      <c r="AA107" s="1689">
        <f t="shared" ca="1" si="401"/>
        <v>0</v>
      </c>
      <c r="AB107" s="1689">
        <f t="shared" ca="1" si="401"/>
        <v>0</v>
      </c>
      <c r="AC107" s="1689">
        <f t="shared" ca="1" si="401"/>
        <v>0</v>
      </c>
      <c r="AD107" s="1689">
        <f t="shared" ca="1" si="401"/>
        <v>0</v>
      </c>
      <c r="AE107" s="1689">
        <f t="shared" ca="1" si="401"/>
        <v>0</v>
      </c>
      <c r="AF107" s="1689">
        <f t="shared" ca="1" si="401"/>
        <v>0</v>
      </c>
      <c r="AG107" s="1689">
        <f t="shared" ca="1" si="401"/>
        <v>0</v>
      </c>
      <c r="AH107" s="675"/>
      <c r="AI107" s="1689">
        <f t="shared" ca="1" si="297"/>
        <v>1654708468083.3333</v>
      </c>
      <c r="AJ107" s="1689">
        <f t="shared" ca="1" si="298"/>
        <v>1228047257750</v>
      </c>
      <c r="AK107" s="1689">
        <f t="shared" ca="1" si="299"/>
        <v>1309719380750</v>
      </c>
      <c r="AL107" s="1689">
        <f t="shared" ca="1" si="300"/>
        <v>1379370237125</v>
      </c>
      <c r="AM107" s="1689">
        <f t="shared" ca="1" si="301"/>
        <v>1449021093500</v>
      </c>
      <c r="AN107" s="1689">
        <f t="shared" ca="1" si="302"/>
        <v>1479406506125</v>
      </c>
      <c r="AO107" s="1689">
        <f t="shared" ca="1" si="303"/>
        <v>1509791918750</v>
      </c>
      <c r="AP107" s="1689">
        <f t="shared" ca="1" si="304"/>
        <v>1540177331375</v>
      </c>
      <c r="AQ107" s="1689">
        <f t="shared" ca="1" si="305"/>
        <v>1570562744000</v>
      </c>
      <c r="AS107" s="1706">
        <f ca="1">AVERAGE(Costs!$AI107:$AQ107)</f>
        <v>1457867215273.1479</v>
      </c>
      <c r="AT107" s="1706">
        <f t="shared" ca="1" si="306"/>
        <v>12550965630645.697</v>
      </c>
      <c r="AU107" s="675"/>
      <c r="AV107" s="1699">
        <f>IFERROR(VLOOKUP($A107,Cost.FinanceCostTable,7,FALSE),'Global assumptions'!$H$35)</f>
        <v>0.1</v>
      </c>
      <c r="AW107" s="1690">
        <f>IFERROR(VLOOKUP($A107,Cost.FinanceCostTable,8,FALSE),'Global assumptions'!$I$35)</f>
        <v>15</v>
      </c>
      <c r="AX107" s="675"/>
      <c r="AY107" s="1689">
        <f t="shared" ca="1" si="307"/>
        <v>211144552777.55426</v>
      </c>
      <c r="AZ107" s="1689">
        <f t="shared" ca="1" si="308"/>
        <v>239323111169.19864</v>
      </c>
      <c r="BA107" s="1689">
        <f t="shared" ca="1" si="309"/>
        <v>255473374244.6922</v>
      </c>
      <c r="BB107" s="1689">
        <f t="shared" ca="1" si="310"/>
        <v>269246490610.10937</v>
      </c>
      <c r="BC107" s="1689">
        <f t="shared" ca="1" si="311"/>
        <v>283019606975.52655</v>
      </c>
      <c r="BD107" s="1689">
        <f t="shared" ca="1" si="312"/>
        <v>289028173785.41803</v>
      </c>
      <c r="BE107" s="1689">
        <f t="shared" ca="1" si="313"/>
        <v>295036740595.30951</v>
      </c>
      <c r="BF107" s="1689">
        <f t="shared" ca="1" si="314"/>
        <v>301045307405.20093</v>
      </c>
      <c r="BG107" s="1689">
        <f t="shared" ca="1" si="315"/>
        <v>307053874215.09241</v>
      </c>
      <c r="BH107" s="675"/>
      <c r="BI107" s="1689">
        <f t="shared" ca="1" si="343"/>
        <v>211144552777.55426</v>
      </c>
      <c r="BJ107" s="1689">
        <f t="shared" ca="1" si="316"/>
        <v>450467663946.75293</v>
      </c>
      <c r="BK107" s="1689">
        <f t="shared" ca="1" si="317"/>
        <v>705941038191.44507</v>
      </c>
      <c r="BL107" s="1689">
        <f t="shared" ca="1" si="318"/>
        <v>764042976024.00024</v>
      </c>
      <c r="BM107" s="1689">
        <f t="shared" ca="1" si="319"/>
        <v>807739471830.32812</v>
      </c>
      <c r="BN107" s="1689">
        <f t="shared" ca="1" si="320"/>
        <v>841294271371.05396</v>
      </c>
      <c r="BO107" s="1689">
        <f t="shared" ca="1" si="321"/>
        <v>867084521356.25415</v>
      </c>
      <c r="BP107" s="1689">
        <f t="shared" ca="1" si="322"/>
        <v>885110221785.92847</v>
      </c>
      <c r="BQ107" s="1689">
        <f t="shared" ca="1" si="323"/>
        <v>903135922215.60278</v>
      </c>
      <c r="BR107" s="675"/>
      <c r="BS107" s="1701">
        <f t="shared" ca="1" si="324"/>
        <v>1330525602277.5542</v>
      </c>
      <c r="BT107" s="1701">
        <f t="shared" ca="1" si="325"/>
        <v>1314452799446.7529</v>
      </c>
      <c r="BU107" s="1701">
        <f t="shared" ca="1" si="326"/>
        <v>1627030259691.4451</v>
      </c>
      <c r="BV107" s="1701">
        <f t="shared" ca="1" si="327"/>
        <v>1733831170274</v>
      </c>
      <c r="BW107" s="1701">
        <f t="shared" ca="1" si="328"/>
        <v>1826226638830.3281</v>
      </c>
      <c r="BX107" s="1701">
        <f t="shared" ca="1" si="329"/>
        <v>1881026523621.054</v>
      </c>
      <c r="BY107" s="1701">
        <f t="shared" ca="1" si="330"/>
        <v>1928061858856.2542</v>
      </c>
      <c r="BZ107" s="1701">
        <f t="shared" ca="1" si="331"/>
        <v>1967332644535.9285</v>
      </c>
      <c r="CA107" s="1701">
        <f t="shared" ca="1" si="332"/>
        <v>2006603430215.6028</v>
      </c>
      <c r="CC107" s="1706">
        <f ca="1">AVERAGE(Costs!$BS107:$CA107)</f>
        <v>1735010103083.2134</v>
      </c>
      <c r="CD107" s="1706">
        <f t="shared" ca="1" si="333"/>
        <v>14315088974493.061</v>
      </c>
      <c r="CF107" s="1703">
        <f t="shared" ca="1" si="334"/>
        <v>-324182865805.77905</v>
      </c>
      <c r="CG107" s="1703">
        <f t="shared" ca="1" si="335"/>
        <v>86405541696.75293</v>
      </c>
      <c r="CH107" s="1703">
        <f t="shared" ca="1" si="336"/>
        <v>317310878941.44507</v>
      </c>
      <c r="CI107" s="1703">
        <f t="shared" ca="1" si="337"/>
        <v>354460933149.00024</v>
      </c>
      <c r="CJ107" s="1703">
        <f t="shared" ca="1" si="338"/>
        <v>377205545330.32812</v>
      </c>
      <c r="CK107" s="1703">
        <f t="shared" ca="1" si="339"/>
        <v>401620017496.05396</v>
      </c>
      <c r="CL107" s="1703">
        <f t="shared" ca="1" si="340"/>
        <v>418269940106.25415</v>
      </c>
      <c r="CM107" s="1703">
        <f t="shared" ca="1" si="341"/>
        <v>427155313160.92847</v>
      </c>
      <c r="CN107" s="1703">
        <f t="shared" ca="1" si="342"/>
        <v>436040686215.60278</v>
      </c>
      <c r="CP107" s="1706">
        <f ca="1">AVERAGE(Costs!$CF107:$CN107)</f>
        <v>277142887810.06519</v>
      </c>
      <c r="CQ107" s="1706">
        <f t="shared" ca="1" si="344"/>
        <v>1764123343847.3652</v>
      </c>
      <c r="CR107" s="1426" t="str">
        <f t="shared" ca="1" si="345"/>
        <v>ok</v>
      </c>
    </row>
    <row r="108" spans="1:96" s="1673" customFormat="1" x14ac:dyDescent="0.2">
      <c r="A108" s="1683" t="s">
        <v>1611</v>
      </c>
      <c r="B108" s="1683" t="s">
        <v>43</v>
      </c>
      <c r="C108" s="1683" t="s">
        <v>4</v>
      </c>
      <c r="E108" s="1689">
        <f t="shared" ca="1" si="399"/>
        <v>0</v>
      </c>
      <c r="F108" s="1689">
        <f t="shared" ca="1" si="399"/>
        <v>0</v>
      </c>
      <c r="G108" s="1689">
        <f t="shared" ca="1" si="399"/>
        <v>0</v>
      </c>
      <c r="H108" s="1689">
        <f t="shared" ca="1" si="399"/>
        <v>0</v>
      </c>
      <c r="I108" s="1689">
        <f t="shared" ca="1" si="399"/>
        <v>0</v>
      </c>
      <c r="J108" s="1689">
        <f t="shared" ca="1" si="399"/>
        <v>0</v>
      </c>
      <c r="K108" s="1689">
        <f t="shared" ca="1" si="399"/>
        <v>0</v>
      </c>
      <c r="L108" s="1689">
        <f t="shared" ca="1" si="399"/>
        <v>0</v>
      </c>
      <c r="M108" s="1689">
        <f t="shared" ca="1" si="399"/>
        <v>0</v>
      </c>
      <c r="N108" s="675"/>
      <c r="O108" s="1689">
        <f t="shared" ca="1" si="400"/>
        <v>0</v>
      </c>
      <c r="P108" s="1689">
        <f t="shared" ca="1" si="400"/>
        <v>0</v>
      </c>
      <c r="Q108" s="1689">
        <f t="shared" ca="1" si="400"/>
        <v>0</v>
      </c>
      <c r="R108" s="1689">
        <f t="shared" ca="1" si="400"/>
        <v>0</v>
      </c>
      <c r="S108" s="1689">
        <f t="shared" ca="1" si="400"/>
        <v>0</v>
      </c>
      <c r="T108" s="1689">
        <f t="shared" ca="1" si="400"/>
        <v>0</v>
      </c>
      <c r="U108" s="1689">
        <f t="shared" ca="1" si="400"/>
        <v>0</v>
      </c>
      <c r="V108" s="1689">
        <f t="shared" ca="1" si="400"/>
        <v>0</v>
      </c>
      <c r="W108" s="1689">
        <f t="shared" ca="1" si="400"/>
        <v>0</v>
      </c>
      <c r="X108" s="675"/>
      <c r="Y108" s="1689">
        <f t="shared" ca="1" si="401"/>
        <v>0</v>
      </c>
      <c r="Z108" s="1689">
        <f t="shared" ca="1" si="401"/>
        <v>0</v>
      </c>
      <c r="AA108" s="1689">
        <f t="shared" ca="1" si="401"/>
        <v>0</v>
      </c>
      <c r="AB108" s="1689">
        <f t="shared" ca="1" si="401"/>
        <v>0</v>
      </c>
      <c r="AC108" s="1689">
        <f t="shared" ca="1" si="401"/>
        <v>0</v>
      </c>
      <c r="AD108" s="1689">
        <f t="shared" ca="1" si="401"/>
        <v>0</v>
      </c>
      <c r="AE108" s="1689">
        <f t="shared" ca="1" si="401"/>
        <v>0</v>
      </c>
      <c r="AF108" s="1689">
        <f t="shared" ca="1" si="401"/>
        <v>0</v>
      </c>
      <c r="AG108" s="1689">
        <f t="shared" ca="1" si="401"/>
        <v>0</v>
      </c>
      <c r="AH108" s="675"/>
      <c r="AI108" s="1689">
        <f t="shared" ca="1" si="297"/>
        <v>0</v>
      </c>
      <c r="AJ108" s="1689">
        <f t="shared" ca="1" si="298"/>
        <v>0</v>
      </c>
      <c r="AK108" s="1689">
        <f t="shared" ca="1" si="299"/>
        <v>0</v>
      </c>
      <c r="AL108" s="1689">
        <f t="shared" ca="1" si="300"/>
        <v>0</v>
      </c>
      <c r="AM108" s="1689">
        <f t="shared" ca="1" si="301"/>
        <v>0</v>
      </c>
      <c r="AN108" s="1689">
        <f t="shared" ca="1" si="302"/>
        <v>0</v>
      </c>
      <c r="AO108" s="1689">
        <f t="shared" ca="1" si="303"/>
        <v>0</v>
      </c>
      <c r="AP108" s="1689">
        <f t="shared" ca="1" si="304"/>
        <v>0</v>
      </c>
      <c r="AQ108" s="1689">
        <f t="shared" ca="1" si="305"/>
        <v>0</v>
      </c>
      <c r="AS108" s="1706">
        <f ca="1">AVERAGE(Costs!$AI108:$AQ108)</f>
        <v>0</v>
      </c>
      <c r="AT108" s="1706">
        <f t="shared" ca="1" si="306"/>
        <v>0</v>
      </c>
      <c r="AU108" s="675"/>
      <c r="AV108" s="1699">
        <f>IFERROR(VLOOKUP($A108,Cost.FinanceCostTable,7,FALSE),'Global assumptions'!$H$35)</f>
        <v>0.1</v>
      </c>
      <c r="AW108" s="1690">
        <f>IFERROR(VLOOKUP($A108,Cost.FinanceCostTable,8,FALSE),'Global assumptions'!$I$35)</f>
        <v>15</v>
      </c>
      <c r="AX108" s="675"/>
      <c r="AY108" s="1689">
        <f t="shared" ca="1" si="307"/>
        <v>0</v>
      </c>
      <c r="AZ108" s="1689">
        <f t="shared" ca="1" si="308"/>
        <v>0</v>
      </c>
      <c r="BA108" s="1689">
        <f t="shared" ca="1" si="309"/>
        <v>0</v>
      </c>
      <c r="BB108" s="1689">
        <f t="shared" ca="1" si="310"/>
        <v>0</v>
      </c>
      <c r="BC108" s="1689">
        <f t="shared" ca="1" si="311"/>
        <v>0</v>
      </c>
      <c r="BD108" s="1689">
        <f t="shared" ca="1" si="312"/>
        <v>0</v>
      </c>
      <c r="BE108" s="1689">
        <f t="shared" ca="1" si="313"/>
        <v>0</v>
      </c>
      <c r="BF108" s="1689">
        <f t="shared" ca="1" si="314"/>
        <v>0</v>
      </c>
      <c r="BG108" s="1689">
        <f t="shared" ca="1" si="315"/>
        <v>0</v>
      </c>
      <c r="BH108" s="675"/>
      <c r="BI108" s="1689">
        <f t="shared" ca="1" si="343"/>
        <v>0</v>
      </c>
      <c r="BJ108" s="1689">
        <f t="shared" ca="1" si="316"/>
        <v>0</v>
      </c>
      <c r="BK108" s="1689">
        <f t="shared" ca="1" si="317"/>
        <v>0</v>
      </c>
      <c r="BL108" s="1689">
        <f t="shared" ca="1" si="318"/>
        <v>0</v>
      </c>
      <c r="BM108" s="1689">
        <f t="shared" ca="1" si="319"/>
        <v>0</v>
      </c>
      <c r="BN108" s="1689">
        <f t="shared" ca="1" si="320"/>
        <v>0</v>
      </c>
      <c r="BO108" s="1689">
        <f t="shared" ca="1" si="321"/>
        <v>0</v>
      </c>
      <c r="BP108" s="1689">
        <f t="shared" ca="1" si="322"/>
        <v>0</v>
      </c>
      <c r="BQ108" s="1689">
        <f t="shared" ca="1" si="323"/>
        <v>0</v>
      </c>
      <c r="BR108" s="675"/>
      <c r="BS108" s="1701">
        <f t="shared" ca="1" si="324"/>
        <v>0</v>
      </c>
      <c r="BT108" s="1701">
        <f t="shared" ca="1" si="325"/>
        <v>0</v>
      </c>
      <c r="BU108" s="1701">
        <f t="shared" ca="1" si="326"/>
        <v>0</v>
      </c>
      <c r="BV108" s="1701">
        <f t="shared" ca="1" si="327"/>
        <v>0</v>
      </c>
      <c r="BW108" s="1701">
        <f t="shared" ca="1" si="328"/>
        <v>0</v>
      </c>
      <c r="BX108" s="1701">
        <f t="shared" ca="1" si="329"/>
        <v>0</v>
      </c>
      <c r="BY108" s="1701">
        <f t="shared" ca="1" si="330"/>
        <v>0</v>
      </c>
      <c r="BZ108" s="1701">
        <f t="shared" ca="1" si="331"/>
        <v>0</v>
      </c>
      <c r="CA108" s="1701">
        <f t="shared" ca="1" si="332"/>
        <v>0</v>
      </c>
      <c r="CC108" s="1706">
        <f ca="1">AVERAGE(Costs!$BS108:$CA108)</f>
        <v>0</v>
      </c>
      <c r="CD108" s="1706">
        <f t="shared" ca="1" si="333"/>
        <v>0</v>
      </c>
      <c r="CF108" s="1703">
        <f t="shared" ca="1" si="334"/>
        <v>0</v>
      </c>
      <c r="CG108" s="1703">
        <f t="shared" ca="1" si="335"/>
        <v>0</v>
      </c>
      <c r="CH108" s="1703">
        <f t="shared" ca="1" si="336"/>
        <v>0</v>
      </c>
      <c r="CI108" s="1703">
        <f t="shared" ca="1" si="337"/>
        <v>0</v>
      </c>
      <c r="CJ108" s="1703">
        <f t="shared" ca="1" si="338"/>
        <v>0</v>
      </c>
      <c r="CK108" s="1703">
        <f t="shared" ca="1" si="339"/>
        <v>0</v>
      </c>
      <c r="CL108" s="1703">
        <f t="shared" ca="1" si="340"/>
        <v>0</v>
      </c>
      <c r="CM108" s="1703">
        <f t="shared" ca="1" si="341"/>
        <v>0</v>
      </c>
      <c r="CN108" s="1703">
        <f t="shared" ca="1" si="342"/>
        <v>0</v>
      </c>
      <c r="CP108" s="1706">
        <f ca="1">AVERAGE(Costs!$CF108:$CN108)</f>
        <v>0</v>
      </c>
      <c r="CQ108" s="1706">
        <f t="shared" ca="1" si="344"/>
        <v>0</v>
      </c>
      <c r="CR108" s="1426" t="str">
        <f t="shared" ca="1" si="345"/>
        <v>ok</v>
      </c>
    </row>
    <row r="109" spans="1:96" s="1673" customFormat="1" x14ac:dyDescent="0.2">
      <c r="A109" s="1685" t="s">
        <v>1612</v>
      </c>
      <c r="B109" s="1685" t="s">
        <v>1610</v>
      </c>
      <c r="C109" s="1685" t="s">
        <v>4</v>
      </c>
      <c r="E109" s="1691">
        <f t="shared" ca="1" si="399"/>
        <v>0</v>
      </c>
      <c r="F109" s="1691">
        <f t="shared" ca="1" si="399"/>
        <v>0</v>
      </c>
      <c r="G109" s="1691">
        <f t="shared" ca="1" si="399"/>
        <v>0</v>
      </c>
      <c r="H109" s="1691">
        <f t="shared" ca="1" si="399"/>
        <v>0</v>
      </c>
      <c r="I109" s="1691">
        <f t="shared" ca="1" si="399"/>
        <v>0</v>
      </c>
      <c r="J109" s="1691">
        <f t="shared" ca="1" si="399"/>
        <v>0</v>
      </c>
      <c r="K109" s="1691">
        <f t="shared" ca="1" si="399"/>
        <v>0</v>
      </c>
      <c r="L109" s="1691">
        <f t="shared" ca="1" si="399"/>
        <v>0</v>
      </c>
      <c r="M109" s="1691">
        <f t="shared" ca="1" si="399"/>
        <v>0</v>
      </c>
      <c r="N109" s="675"/>
      <c r="O109" s="1691">
        <f t="shared" ca="1" si="400"/>
        <v>0</v>
      </c>
      <c r="P109" s="1691">
        <f t="shared" ca="1" si="400"/>
        <v>0</v>
      </c>
      <c r="Q109" s="1691">
        <f t="shared" ca="1" si="400"/>
        <v>0</v>
      </c>
      <c r="R109" s="1691">
        <f t="shared" ca="1" si="400"/>
        <v>0</v>
      </c>
      <c r="S109" s="1691">
        <f t="shared" ca="1" si="400"/>
        <v>0</v>
      </c>
      <c r="T109" s="1691">
        <f t="shared" ca="1" si="400"/>
        <v>0</v>
      </c>
      <c r="U109" s="1691">
        <f t="shared" ca="1" si="400"/>
        <v>0</v>
      </c>
      <c r="V109" s="1691">
        <f t="shared" ca="1" si="400"/>
        <v>0</v>
      </c>
      <c r="W109" s="1691">
        <f t="shared" ca="1" si="400"/>
        <v>0</v>
      </c>
      <c r="X109" s="675"/>
      <c r="Y109" s="1691">
        <f t="shared" ca="1" si="401"/>
        <v>0</v>
      </c>
      <c r="Z109" s="1691">
        <f t="shared" ca="1" si="401"/>
        <v>0</v>
      </c>
      <c r="AA109" s="1691">
        <f t="shared" ca="1" si="401"/>
        <v>0</v>
      </c>
      <c r="AB109" s="1691">
        <f t="shared" ca="1" si="401"/>
        <v>0</v>
      </c>
      <c r="AC109" s="1691">
        <f t="shared" ca="1" si="401"/>
        <v>0</v>
      </c>
      <c r="AD109" s="1691">
        <f t="shared" ca="1" si="401"/>
        <v>0</v>
      </c>
      <c r="AE109" s="1691">
        <f t="shared" ca="1" si="401"/>
        <v>0</v>
      </c>
      <c r="AF109" s="1691">
        <f t="shared" ca="1" si="401"/>
        <v>0</v>
      </c>
      <c r="AG109" s="1691">
        <f t="shared" ca="1" si="401"/>
        <v>0</v>
      </c>
      <c r="AH109" s="675"/>
      <c r="AI109" s="1691">
        <f t="shared" ca="1" si="297"/>
        <v>0</v>
      </c>
      <c r="AJ109" s="1691">
        <f t="shared" ca="1" si="298"/>
        <v>0</v>
      </c>
      <c r="AK109" s="1691">
        <f t="shared" ca="1" si="299"/>
        <v>0</v>
      </c>
      <c r="AL109" s="1691">
        <f t="shared" ca="1" si="300"/>
        <v>0</v>
      </c>
      <c r="AM109" s="1691">
        <f t="shared" ca="1" si="301"/>
        <v>0</v>
      </c>
      <c r="AN109" s="1691">
        <f t="shared" ca="1" si="302"/>
        <v>0</v>
      </c>
      <c r="AO109" s="1691">
        <f t="shared" ca="1" si="303"/>
        <v>0</v>
      </c>
      <c r="AP109" s="1691">
        <f t="shared" ca="1" si="304"/>
        <v>0</v>
      </c>
      <c r="AQ109" s="1691">
        <f t="shared" ca="1" si="305"/>
        <v>0</v>
      </c>
      <c r="AS109" s="1707">
        <f ca="1">AVERAGE(Costs!$AI109:$AQ109)</f>
        <v>0</v>
      </c>
      <c r="AT109" s="1707">
        <f t="shared" ca="1" si="306"/>
        <v>0</v>
      </c>
      <c r="AU109" s="675"/>
      <c r="AV109" s="1700">
        <f>IFERROR(VLOOKUP($A109,Cost.FinanceCostTable,7,FALSE),'Global assumptions'!$H$35)</f>
        <v>0.1</v>
      </c>
      <c r="AW109" s="1692">
        <f>IFERROR(VLOOKUP($A109,Cost.FinanceCostTable,8,FALSE),'Global assumptions'!$I$35)</f>
        <v>15</v>
      </c>
      <c r="AX109" s="675"/>
      <c r="AY109" s="1691">
        <f t="shared" ca="1" si="307"/>
        <v>0</v>
      </c>
      <c r="AZ109" s="1691">
        <f t="shared" ca="1" si="308"/>
        <v>0</v>
      </c>
      <c r="BA109" s="1691">
        <f t="shared" ca="1" si="309"/>
        <v>0</v>
      </c>
      <c r="BB109" s="1691">
        <f t="shared" ca="1" si="310"/>
        <v>0</v>
      </c>
      <c r="BC109" s="1691">
        <f t="shared" ca="1" si="311"/>
        <v>0</v>
      </c>
      <c r="BD109" s="1691">
        <f t="shared" ca="1" si="312"/>
        <v>0</v>
      </c>
      <c r="BE109" s="1691">
        <f t="shared" ca="1" si="313"/>
        <v>0</v>
      </c>
      <c r="BF109" s="1691">
        <f t="shared" ca="1" si="314"/>
        <v>0</v>
      </c>
      <c r="BG109" s="1691">
        <f t="shared" ca="1" si="315"/>
        <v>0</v>
      </c>
      <c r="BH109" s="675"/>
      <c r="BI109" s="1691">
        <f t="shared" ca="1" si="343"/>
        <v>0</v>
      </c>
      <c r="BJ109" s="1691">
        <f t="shared" ca="1" si="316"/>
        <v>0</v>
      </c>
      <c r="BK109" s="1691">
        <f t="shared" ca="1" si="317"/>
        <v>0</v>
      </c>
      <c r="BL109" s="1691">
        <f t="shared" ca="1" si="318"/>
        <v>0</v>
      </c>
      <c r="BM109" s="1691">
        <f t="shared" ca="1" si="319"/>
        <v>0</v>
      </c>
      <c r="BN109" s="1691">
        <f t="shared" ca="1" si="320"/>
        <v>0</v>
      </c>
      <c r="BO109" s="1691">
        <f t="shared" ca="1" si="321"/>
        <v>0</v>
      </c>
      <c r="BP109" s="1691">
        <f t="shared" ca="1" si="322"/>
        <v>0</v>
      </c>
      <c r="BQ109" s="1691">
        <f t="shared" ca="1" si="323"/>
        <v>0</v>
      </c>
      <c r="BR109" s="675"/>
      <c r="BS109" s="1702">
        <f t="shared" ca="1" si="324"/>
        <v>0</v>
      </c>
      <c r="BT109" s="1702">
        <f t="shared" ca="1" si="325"/>
        <v>0</v>
      </c>
      <c r="BU109" s="1702">
        <f t="shared" ca="1" si="326"/>
        <v>0</v>
      </c>
      <c r="BV109" s="1702">
        <f t="shared" ca="1" si="327"/>
        <v>0</v>
      </c>
      <c r="BW109" s="1702">
        <f t="shared" ca="1" si="328"/>
        <v>0</v>
      </c>
      <c r="BX109" s="1702">
        <f t="shared" ca="1" si="329"/>
        <v>0</v>
      </c>
      <c r="BY109" s="1702">
        <f t="shared" ca="1" si="330"/>
        <v>0</v>
      </c>
      <c r="BZ109" s="1702">
        <f t="shared" ca="1" si="331"/>
        <v>0</v>
      </c>
      <c r="CA109" s="1702">
        <f t="shared" ca="1" si="332"/>
        <v>0</v>
      </c>
      <c r="CC109" s="1707">
        <f ca="1">AVERAGE(Costs!$BS109:$CA109)</f>
        <v>0</v>
      </c>
      <c r="CD109" s="1707">
        <f t="shared" ca="1" si="333"/>
        <v>0</v>
      </c>
      <c r="CF109" s="1704">
        <f t="shared" ca="1" si="334"/>
        <v>0</v>
      </c>
      <c r="CG109" s="1704">
        <f t="shared" ca="1" si="335"/>
        <v>0</v>
      </c>
      <c r="CH109" s="1704">
        <f t="shared" ca="1" si="336"/>
        <v>0</v>
      </c>
      <c r="CI109" s="1704">
        <f t="shared" ca="1" si="337"/>
        <v>0</v>
      </c>
      <c r="CJ109" s="1704">
        <f t="shared" ca="1" si="338"/>
        <v>0</v>
      </c>
      <c r="CK109" s="1704">
        <f t="shared" ca="1" si="339"/>
        <v>0</v>
      </c>
      <c r="CL109" s="1704">
        <f t="shared" ca="1" si="340"/>
        <v>0</v>
      </c>
      <c r="CM109" s="1704">
        <f t="shared" ca="1" si="341"/>
        <v>0</v>
      </c>
      <c r="CN109" s="1704">
        <f t="shared" ca="1" si="342"/>
        <v>0</v>
      </c>
      <c r="CP109" s="1707">
        <f ca="1">AVERAGE(Costs!$CF109:$CN109)</f>
        <v>0</v>
      </c>
      <c r="CQ109" s="1707">
        <f t="shared" ca="1" si="344"/>
        <v>0</v>
      </c>
      <c r="CR109" s="1426" t="str">
        <f t="shared" ca="1" si="345"/>
        <v>ok</v>
      </c>
    </row>
    <row r="110" spans="1:96" s="1673" customFormat="1" x14ac:dyDescent="0.2">
      <c r="A110" s="1683" t="s">
        <v>313</v>
      </c>
      <c r="B110" s="1683" t="s">
        <v>306</v>
      </c>
      <c r="C110" s="1683" t="s">
        <v>4</v>
      </c>
      <c r="E110" s="1689">
        <f t="shared" ca="1" si="399"/>
        <v>757280160331.05652</v>
      </c>
      <c r="F110" s="1689">
        <f t="shared" ca="1" si="399"/>
        <v>3103614373037.8057</v>
      </c>
      <c r="G110" s="1689">
        <f t="shared" ca="1" si="399"/>
        <v>5085681916431.0693</v>
      </c>
      <c r="H110" s="1689">
        <f t="shared" ca="1" si="399"/>
        <v>7648684910357.1426</v>
      </c>
      <c r="I110" s="1689">
        <f t="shared" ca="1" si="399"/>
        <v>10858556250000.002</v>
      </c>
      <c r="J110" s="1689">
        <f t="shared" ca="1" si="399"/>
        <v>11648365839642.854</v>
      </c>
      <c r="K110" s="1689">
        <f t="shared" ca="1" si="399"/>
        <v>14464292554285.709</v>
      </c>
      <c r="L110" s="1689">
        <f t="shared" ca="1" si="399"/>
        <v>17720255143928.574</v>
      </c>
      <c r="M110" s="1689">
        <f t="shared" ca="1" si="399"/>
        <v>-33300385875000</v>
      </c>
      <c r="N110" s="675"/>
      <c r="O110" s="1689">
        <f t="shared" ca="1" si="400"/>
        <v>23907115594.487862</v>
      </c>
      <c r="P110" s="1689">
        <f t="shared" ca="1" si="400"/>
        <v>208258012480.94925</v>
      </c>
      <c r="Q110" s="1689">
        <f t="shared" ca="1" si="400"/>
        <v>332046964285.71429</v>
      </c>
      <c r="R110" s="1689">
        <f t="shared" ca="1" si="400"/>
        <v>513512571428.57141</v>
      </c>
      <c r="S110" s="1689">
        <f t="shared" ca="1" si="400"/>
        <v>760603178571.42871</v>
      </c>
      <c r="T110" s="1689">
        <f t="shared" ca="1" si="400"/>
        <v>973231285714.28564</v>
      </c>
      <c r="U110" s="1689">
        <f t="shared" ca="1" si="400"/>
        <v>1230071892857.1426</v>
      </c>
      <c r="V110" s="1689">
        <f t="shared" ca="1" si="400"/>
        <v>1535287500000</v>
      </c>
      <c r="W110" s="1689">
        <f t="shared" ca="1" si="400"/>
        <v>0</v>
      </c>
      <c r="X110" s="675"/>
      <c r="Y110" s="1689">
        <f t="shared" ca="1" si="401"/>
        <v>0</v>
      </c>
      <c r="Z110" s="1689">
        <f t="shared" ca="1" si="401"/>
        <v>0</v>
      </c>
      <c r="AA110" s="1689">
        <f t="shared" ca="1" si="401"/>
        <v>0</v>
      </c>
      <c r="AB110" s="1689">
        <f t="shared" ca="1" si="401"/>
        <v>0</v>
      </c>
      <c r="AC110" s="1689">
        <f t="shared" ca="1" si="401"/>
        <v>0</v>
      </c>
      <c r="AD110" s="1689">
        <f t="shared" ca="1" si="401"/>
        <v>0</v>
      </c>
      <c r="AE110" s="1689">
        <f t="shared" ca="1" si="401"/>
        <v>0</v>
      </c>
      <c r="AF110" s="1689">
        <f t="shared" ca="1" si="401"/>
        <v>0</v>
      </c>
      <c r="AG110" s="1689">
        <f t="shared" ca="1" si="401"/>
        <v>0</v>
      </c>
      <c r="AH110" s="675"/>
      <c r="AI110" s="1689">
        <f t="shared" ca="1" si="297"/>
        <v>781187275925.54443</v>
      </c>
      <c r="AJ110" s="1689">
        <f t="shared" ca="1" si="298"/>
        <v>3311872385518.7549</v>
      </c>
      <c r="AK110" s="1689">
        <f t="shared" ca="1" si="299"/>
        <v>5417728880716.7832</v>
      </c>
      <c r="AL110" s="1689">
        <f t="shared" ca="1" si="300"/>
        <v>8162197481785.7139</v>
      </c>
      <c r="AM110" s="1689">
        <f t="shared" ca="1" si="301"/>
        <v>11619159428571.43</v>
      </c>
      <c r="AN110" s="1689">
        <f t="shared" ca="1" si="302"/>
        <v>12621597125357.139</v>
      </c>
      <c r="AO110" s="1689">
        <f t="shared" ca="1" si="303"/>
        <v>15694364447142.852</v>
      </c>
      <c r="AP110" s="1689">
        <f t="shared" ca="1" si="304"/>
        <v>19255542643928.574</v>
      </c>
      <c r="AQ110" s="1689">
        <f t="shared" ca="1" si="305"/>
        <v>-33300385875000</v>
      </c>
      <c r="AS110" s="1706">
        <f ca="1">AVERAGE(Costs!$AI110:$AQ110)</f>
        <v>4840362643771.8662</v>
      </c>
      <c r="AT110" s="1706">
        <f t="shared" ca="1" si="306"/>
        <v>47893553040300.797</v>
      </c>
      <c r="AU110" s="675"/>
      <c r="AV110" s="1699">
        <f>IFERROR(VLOOKUP($A110,Cost.FinanceCostTable,7,FALSE),'Global assumptions'!$H$35)</f>
        <v>0.1</v>
      </c>
      <c r="AW110" s="1690">
        <f>IFERROR(VLOOKUP($A110,Cost.FinanceCostTable,8,FALSE),'Global assumptions'!$I$35)</f>
        <v>20</v>
      </c>
      <c r="AX110" s="675"/>
      <c r="AY110" s="1689">
        <f t="shared" ca="1" si="307"/>
        <v>266849530440.5376</v>
      </c>
      <c r="AZ110" s="1689">
        <f t="shared" ca="1" si="308"/>
        <v>1822746898478.5029</v>
      </c>
      <c r="BA110" s="1689">
        <f t="shared" ca="1" si="309"/>
        <v>2986811448082.5752</v>
      </c>
      <c r="BB110" s="1689">
        <f t="shared" ca="1" si="310"/>
        <v>4492058297869.915</v>
      </c>
      <c r="BC110" s="1689">
        <f t="shared" ca="1" si="311"/>
        <v>6377209713482.9102</v>
      </c>
      <c r="BD110" s="1689">
        <f t="shared" ca="1" si="312"/>
        <v>6841063403688.9492</v>
      </c>
      <c r="BE110" s="1689">
        <f t="shared" ca="1" si="313"/>
        <v>8494851880133.6367</v>
      </c>
      <c r="BF110" s="1689">
        <f t="shared" ca="1" si="314"/>
        <v>10407072600398.123</v>
      </c>
      <c r="BG110" s="1689">
        <f t="shared" ca="1" si="315"/>
        <v>-19557254148292.418</v>
      </c>
      <c r="BH110" s="675"/>
      <c r="BI110" s="1689">
        <f t="shared" ca="1" si="343"/>
        <v>266849530440.5376</v>
      </c>
      <c r="BJ110" s="1689">
        <f t="shared" ca="1" si="316"/>
        <v>2089596428919.0405</v>
      </c>
      <c r="BK110" s="1689">
        <f t="shared" ca="1" si="317"/>
        <v>5076407877001.6152</v>
      </c>
      <c r="BL110" s="1689">
        <f t="shared" ca="1" si="318"/>
        <v>9568466174871.5312</v>
      </c>
      <c r="BM110" s="1689">
        <f t="shared" ca="1" si="319"/>
        <v>15678826357913.902</v>
      </c>
      <c r="BN110" s="1689">
        <f t="shared" ca="1" si="320"/>
        <v>20697142863124.348</v>
      </c>
      <c r="BO110" s="1689">
        <f t="shared" ca="1" si="321"/>
        <v>26205183295175.41</v>
      </c>
      <c r="BP110" s="1689">
        <f t="shared" ca="1" si="322"/>
        <v>38497407311186.531</v>
      </c>
      <c r="BQ110" s="1689">
        <f t="shared" ca="1" si="323"/>
        <v>6185733735928.291</v>
      </c>
      <c r="BR110" s="675"/>
      <c r="BS110" s="1701">
        <f t="shared" ca="1" si="324"/>
        <v>290756646035.02545</v>
      </c>
      <c r="BT110" s="1701">
        <f t="shared" ca="1" si="325"/>
        <v>2297854441399.9897</v>
      </c>
      <c r="BU110" s="1701">
        <f t="shared" ca="1" si="326"/>
        <v>5408454841287.3291</v>
      </c>
      <c r="BV110" s="1701">
        <f t="shared" ca="1" si="327"/>
        <v>10081978746300.104</v>
      </c>
      <c r="BW110" s="1701">
        <f t="shared" ca="1" si="328"/>
        <v>16439429536485.332</v>
      </c>
      <c r="BX110" s="1701">
        <f t="shared" ca="1" si="329"/>
        <v>21670374148838.633</v>
      </c>
      <c r="BY110" s="1701">
        <f t="shared" ca="1" si="330"/>
        <v>27435255188032.555</v>
      </c>
      <c r="BZ110" s="1701">
        <f t="shared" ca="1" si="331"/>
        <v>40032694811186.531</v>
      </c>
      <c r="CA110" s="1701">
        <f t="shared" ca="1" si="332"/>
        <v>6185733735928.291</v>
      </c>
      <c r="CC110" s="1706">
        <f ca="1">AVERAGE(Costs!$BS110:$CA110)</f>
        <v>14426948010610.422</v>
      </c>
      <c r="CD110" s="1706">
        <f t="shared" ca="1" si="333"/>
        <v>71212229255220.031</v>
      </c>
      <c r="CF110" s="1703">
        <f t="shared" ca="1" si="334"/>
        <v>-490430629890.51892</v>
      </c>
      <c r="CG110" s="1703">
        <f t="shared" ca="1" si="335"/>
        <v>-1014017944118.7651</v>
      </c>
      <c r="CH110" s="1703">
        <f t="shared" ca="1" si="336"/>
        <v>-9274039429.4541016</v>
      </c>
      <c r="CI110" s="1703">
        <f t="shared" ca="1" si="337"/>
        <v>1919781264514.3887</v>
      </c>
      <c r="CJ110" s="1703">
        <f t="shared" ca="1" si="338"/>
        <v>4820270107913.9004</v>
      </c>
      <c r="CK110" s="1703">
        <f t="shared" ca="1" si="339"/>
        <v>9048777023481.4941</v>
      </c>
      <c r="CL110" s="1703">
        <f t="shared" ca="1" si="340"/>
        <v>11740890740889.701</v>
      </c>
      <c r="CM110" s="1703">
        <f t="shared" ca="1" si="341"/>
        <v>20777152167257.957</v>
      </c>
      <c r="CN110" s="1703">
        <f t="shared" ca="1" si="342"/>
        <v>39486119610928.289</v>
      </c>
      <c r="CP110" s="1706">
        <f ca="1">AVERAGE(Costs!$CF110:$CN110)</f>
        <v>9586585366838.5547</v>
      </c>
      <c r="CQ110" s="1706">
        <f t="shared" ca="1" si="344"/>
        <v>23318676214919.23</v>
      </c>
      <c r="CR110" s="1426" t="str">
        <f t="shared" ca="1" si="345"/>
        <v>ok</v>
      </c>
    </row>
    <row r="111" spans="1:96" s="1673" customFormat="1" x14ac:dyDescent="0.2">
      <c r="A111" s="1685" t="s">
        <v>1713</v>
      </c>
      <c r="B111" s="1685" t="s">
        <v>2172</v>
      </c>
      <c r="C111" s="1685" t="s">
        <v>1974</v>
      </c>
      <c r="E111" s="1691">
        <f t="shared" ca="1" si="399"/>
        <v>0</v>
      </c>
      <c r="F111" s="1691">
        <f t="shared" ca="1" si="399"/>
        <v>0</v>
      </c>
      <c r="G111" s="1691">
        <f t="shared" ca="1" si="399"/>
        <v>0</v>
      </c>
      <c r="H111" s="1691">
        <f t="shared" ca="1" si="399"/>
        <v>0</v>
      </c>
      <c r="I111" s="1691">
        <f t="shared" ca="1" si="399"/>
        <v>0</v>
      </c>
      <c r="J111" s="1691">
        <f t="shared" ca="1" si="399"/>
        <v>0</v>
      </c>
      <c r="K111" s="1691">
        <f t="shared" ca="1" si="399"/>
        <v>0</v>
      </c>
      <c r="L111" s="1691">
        <f t="shared" ca="1" si="399"/>
        <v>0</v>
      </c>
      <c r="M111" s="1691">
        <f t="shared" ca="1" si="399"/>
        <v>0</v>
      </c>
      <c r="N111" s="675"/>
      <c r="O111" s="1691">
        <f t="shared" ca="1" si="400"/>
        <v>0</v>
      </c>
      <c r="P111" s="1691">
        <f t="shared" ca="1" si="400"/>
        <v>0</v>
      </c>
      <c r="Q111" s="1691">
        <f t="shared" ca="1" si="400"/>
        <v>0</v>
      </c>
      <c r="R111" s="1691">
        <f t="shared" ca="1" si="400"/>
        <v>0</v>
      </c>
      <c r="S111" s="1691">
        <f t="shared" ca="1" si="400"/>
        <v>0</v>
      </c>
      <c r="T111" s="1691">
        <f t="shared" ca="1" si="400"/>
        <v>0</v>
      </c>
      <c r="U111" s="1691">
        <f t="shared" ca="1" si="400"/>
        <v>0</v>
      </c>
      <c r="V111" s="1691">
        <f t="shared" ca="1" si="400"/>
        <v>0</v>
      </c>
      <c r="W111" s="1691">
        <f t="shared" ca="1" si="400"/>
        <v>0</v>
      </c>
      <c r="X111" s="675"/>
      <c r="Y111" s="1691">
        <f t="shared" ca="1" si="401"/>
        <v>0</v>
      </c>
      <c r="Z111" s="1691">
        <f t="shared" ca="1" si="401"/>
        <v>0</v>
      </c>
      <c r="AA111" s="1691">
        <f t="shared" ca="1" si="401"/>
        <v>0</v>
      </c>
      <c r="AB111" s="1691">
        <f t="shared" ca="1" si="401"/>
        <v>0</v>
      </c>
      <c r="AC111" s="1691">
        <f t="shared" ca="1" si="401"/>
        <v>0</v>
      </c>
      <c r="AD111" s="1691">
        <f t="shared" ca="1" si="401"/>
        <v>0</v>
      </c>
      <c r="AE111" s="1691">
        <f t="shared" ca="1" si="401"/>
        <v>0</v>
      </c>
      <c r="AF111" s="1691">
        <f t="shared" ca="1" si="401"/>
        <v>0</v>
      </c>
      <c r="AG111" s="1691">
        <f t="shared" ca="1" si="401"/>
        <v>0</v>
      </c>
      <c r="AH111" s="675"/>
      <c r="AI111" s="1691">
        <f t="shared" ca="1" si="297"/>
        <v>0</v>
      </c>
      <c r="AJ111" s="1691">
        <f t="shared" ca="1" si="298"/>
        <v>0</v>
      </c>
      <c r="AK111" s="1691">
        <f t="shared" ca="1" si="299"/>
        <v>0</v>
      </c>
      <c r="AL111" s="1691">
        <f t="shared" ca="1" si="300"/>
        <v>0</v>
      </c>
      <c r="AM111" s="1691">
        <f t="shared" ca="1" si="301"/>
        <v>0</v>
      </c>
      <c r="AN111" s="1691">
        <f t="shared" ca="1" si="302"/>
        <v>0</v>
      </c>
      <c r="AO111" s="1691">
        <f t="shared" ca="1" si="303"/>
        <v>0</v>
      </c>
      <c r="AP111" s="1691">
        <f t="shared" ca="1" si="304"/>
        <v>0</v>
      </c>
      <c r="AQ111" s="1691">
        <f t="shared" ca="1" si="305"/>
        <v>0</v>
      </c>
      <c r="AS111" s="1707">
        <f ca="1">AVERAGE(Costs!$AI111:$AQ111)</f>
        <v>0</v>
      </c>
      <c r="AT111" s="1707">
        <f t="shared" ca="1" si="306"/>
        <v>0</v>
      </c>
      <c r="AU111" s="675"/>
      <c r="AV111" s="1700">
        <f>IFERROR(VLOOKUP($A111,Cost.FinanceCostTable,7,FALSE),'Global assumptions'!$H$35)</f>
        <v>0.1</v>
      </c>
      <c r="AW111" s="1692">
        <f>IFERROR(VLOOKUP($A111,Cost.FinanceCostTable,8,FALSE),'Global assumptions'!$I$35)</f>
        <v>15</v>
      </c>
      <c r="AX111" s="675"/>
      <c r="AY111" s="1691">
        <f t="shared" ca="1" si="307"/>
        <v>0</v>
      </c>
      <c r="AZ111" s="1691">
        <f t="shared" ca="1" si="308"/>
        <v>0</v>
      </c>
      <c r="BA111" s="1691">
        <f t="shared" ca="1" si="309"/>
        <v>0</v>
      </c>
      <c r="BB111" s="1691">
        <f t="shared" ca="1" si="310"/>
        <v>0</v>
      </c>
      <c r="BC111" s="1691">
        <f t="shared" ca="1" si="311"/>
        <v>0</v>
      </c>
      <c r="BD111" s="1691">
        <f t="shared" ca="1" si="312"/>
        <v>0</v>
      </c>
      <c r="BE111" s="1691">
        <f t="shared" ca="1" si="313"/>
        <v>0</v>
      </c>
      <c r="BF111" s="1691">
        <f t="shared" ca="1" si="314"/>
        <v>0</v>
      </c>
      <c r="BG111" s="1691">
        <f t="shared" ca="1" si="315"/>
        <v>0</v>
      </c>
      <c r="BH111" s="675"/>
      <c r="BI111" s="1691">
        <f t="shared" ca="1" si="343"/>
        <v>0</v>
      </c>
      <c r="BJ111" s="1691">
        <f t="shared" ca="1" si="316"/>
        <v>0</v>
      </c>
      <c r="BK111" s="1691">
        <f t="shared" ca="1" si="317"/>
        <v>0</v>
      </c>
      <c r="BL111" s="1691">
        <f t="shared" ca="1" si="318"/>
        <v>0</v>
      </c>
      <c r="BM111" s="1691">
        <f t="shared" ca="1" si="319"/>
        <v>0</v>
      </c>
      <c r="BN111" s="1691">
        <f t="shared" ca="1" si="320"/>
        <v>0</v>
      </c>
      <c r="BO111" s="1691">
        <f t="shared" ca="1" si="321"/>
        <v>0</v>
      </c>
      <c r="BP111" s="1691">
        <f t="shared" ca="1" si="322"/>
        <v>0</v>
      </c>
      <c r="BQ111" s="1691">
        <f t="shared" ca="1" si="323"/>
        <v>0</v>
      </c>
      <c r="BR111" s="675"/>
      <c r="BS111" s="1702">
        <f t="shared" ca="1" si="324"/>
        <v>0</v>
      </c>
      <c r="BT111" s="1702">
        <f t="shared" ca="1" si="325"/>
        <v>0</v>
      </c>
      <c r="BU111" s="1702">
        <f t="shared" ca="1" si="326"/>
        <v>0</v>
      </c>
      <c r="BV111" s="1702">
        <f t="shared" ca="1" si="327"/>
        <v>0</v>
      </c>
      <c r="BW111" s="1702">
        <f t="shared" ca="1" si="328"/>
        <v>0</v>
      </c>
      <c r="BX111" s="1702">
        <f t="shared" ca="1" si="329"/>
        <v>0</v>
      </c>
      <c r="BY111" s="1702">
        <f t="shared" ca="1" si="330"/>
        <v>0</v>
      </c>
      <c r="BZ111" s="1702">
        <f t="shared" ca="1" si="331"/>
        <v>0</v>
      </c>
      <c r="CA111" s="1702">
        <f t="shared" ca="1" si="332"/>
        <v>0</v>
      </c>
      <c r="CC111" s="1707">
        <f ca="1">AVERAGE(Costs!$BS111:$CA111)</f>
        <v>0</v>
      </c>
      <c r="CD111" s="1707">
        <f t="shared" ca="1" si="333"/>
        <v>0</v>
      </c>
      <c r="CF111" s="1704">
        <f t="shared" ca="1" si="334"/>
        <v>0</v>
      </c>
      <c r="CG111" s="1704">
        <f t="shared" ca="1" si="335"/>
        <v>0</v>
      </c>
      <c r="CH111" s="1704">
        <f t="shared" ca="1" si="336"/>
        <v>0</v>
      </c>
      <c r="CI111" s="1704">
        <f t="shared" ca="1" si="337"/>
        <v>0</v>
      </c>
      <c r="CJ111" s="1704">
        <f t="shared" ca="1" si="338"/>
        <v>0</v>
      </c>
      <c r="CK111" s="1704">
        <f t="shared" ca="1" si="339"/>
        <v>0</v>
      </c>
      <c r="CL111" s="1704">
        <f t="shared" ca="1" si="340"/>
        <v>0</v>
      </c>
      <c r="CM111" s="1704">
        <f t="shared" ca="1" si="341"/>
        <v>0</v>
      </c>
      <c r="CN111" s="1704">
        <f t="shared" ca="1" si="342"/>
        <v>0</v>
      </c>
      <c r="CP111" s="1707">
        <f ca="1">AVERAGE(Costs!$CF111:$CN111)</f>
        <v>0</v>
      </c>
      <c r="CQ111" s="1707">
        <f t="shared" ca="1" si="344"/>
        <v>0</v>
      </c>
      <c r="CR111" s="1426" t="str">
        <f t="shared" ca="1" si="345"/>
        <v>ok</v>
      </c>
    </row>
    <row r="112" spans="1:96" s="1673" customFormat="1" x14ac:dyDescent="0.2">
      <c r="A112" s="1685" t="s">
        <v>388</v>
      </c>
      <c r="B112" s="1685" t="s">
        <v>2218</v>
      </c>
      <c r="C112" s="1685" t="s">
        <v>1974</v>
      </c>
      <c r="E112" s="1691">
        <f t="shared" ref="E112:M121" ca="1" si="402">IFERROR(INDEX(INDIRECT($A112&amp;".Costs["&amp;E$2&amp;"]"), MATCH($E$90, INDIRECT($A112&amp;".Costs[Vector]"), 0)),0)</f>
        <v>0</v>
      </c>
      <c r="F112" s="1691">
        <f t="shared" ca="1" si="402"/>
        <v>242996505756.03046</v>
      </c>
      <c r="G112" s="1691">
        <f t="shared" ca="1" si="402"/>
        <v>242996505756.03067</v>
      </c>
      <c r="H112" s="1691">
        <f t="shared" ca="1" si="402"/>
        <v>242996505756.03336</v>
      </c>
      <c r="I112" s="1691">
        <f t="shared" ca="1" si="402"/>
        <v>242996505756.02777</v>
      </c>
      <c r="J112" s="1691">
        <f t="shared" ca="1" si="402"/>
        <v>242996505756.03329</v>
      </c>
      <c r="K112" s="1691">
        <f t="shared" ca="1" si="402"/>
        <v>242996505756.03046</v>
      </c>
      <c r="L112" s="1691">
        <f t="shared" ca="1" si="402"/>
        <v>242996505756.0307</v>
      </c>
      <c r="M112" s="1691">
        <f t="shared" ca="1" si="402"/>
        <v>242996505756.04486</v>
      </c>
      <c r="N112" s="675"/>
      <c r="O112" s="1691">
        <f t="shared" ref="O112:W121" ca="1" si="403">IFERROR(INDEX(INDIRECT($A112&amp;".Costs["&amp;O$2&amp;"]"), MATCH($O$90, INDIRECT($A112&amp;".Costs[Vector]"), 0)),0)</f>
        <v>0</v>
      </c>
      <c r="P112" s="1691">
        <f t="shared" ca="1" si="403"/>
        <v>0</v>
      </c>
      <c r="Q112" s="1691">
        <f t="shared" ca="1" si="403"/>
        <v>0</v>
      </c>
      <c r="R112" s="1691">
        <f t="shared" ca="1" si="403"/>
        <v>0</v>
      </c>
      <c r="S112" s="1691">
        <f t="shared" ca="1" si="403"/>
        <v>0</v>
      </c>
      <c r="T112" s="1691">
        <f t="shared" ca="1" si="403"/>
        <v>0</v>
      </c>
      <c r="U112" s="1691">
        <f t="shared" ca="1" si="403"/>
        <v>0</v>
      </c>
      <c r="V112" s="1691">
        <f t="shared" ca="1" si="403"/>
        <v>0</v>
      </c>
      <c r="W112" s="1691">
        <f t="shared" ca="1" si="403"/>
        <v>0</v>
      </c>
      <c r="X112" s="675"/>
      <c r="Y112" s="1691">
        <f t="shared" ref="Y112:AG121" ca="1" si="404">IFERROR(INDEX(INDIRECT($A112&amp;".Costs["&amp;Y$2&amp;"]"), MATCH($Y$90, INDIRECT($A112&amp;".Costs[Vector]"), 0)),0)</f>
        <v>0</v>
      </c>
      <c r="Z112" s="1691">
        <f t="shared" ca="1" si="404"/>
        <v>0</v>
      </c>
      <c r="AA112" s="1691">
        <f t="shared" ca="1" si="404"/>
        <v>0</v>
      </c>
      <c r="AB112" s="1691">
        <f t="shared" ca="1" si="404"/>
        <v>0</v>
      </c>
      <c r="AC112" s="1691">
        <f t="shared" ca="1" si="404"/>
        <v>0</v>
      </c>
      <c r="AD112" s="1691">
        <f t="shared" ca="1" si="404"/>
        <v>0</v>
      </c>
      <c r="AE112" s="1691">
        <f t="shared" ca="1" si="404"/>
        <v>0</v>
      </c>
      <c r="AF112" s="1691">
        <f t="shared" ca="1" si="404"/>
        <v>0</v>
      </c>
      <c r="AG112" s="1691">
        <f t="shared" ca="1" si="404"/>
        <v>0</v>
      </c>
      <c r="AH112" s="675"/>
      <c r="AI112" s="1691">
        <f t="shared" ca="1" si="297"/>
        <v>0</v>
      </c>
      <c r="AJ112" s="1691">
        <f t="shared" ca="1" si="298"/>
        <v>242996505756.03046</v>
      </c>
      <c r="AK112" s="1691">
        <f t="shared" ca="1" si="299"/>
        <v>242996505756.03067</v>
      </c>
      <c r="AL112" s="1691">
        <f t="shared" ca="1" si="300"/>
        <v>242996505756.03336</v>
      </c>
      <c r="AM112" s="1691">
        <f t="shared" ca="1" si="301"/>
        <v>242996505756.02777</v>
      </c>
      <c r="AN112" s="1691">
        <f t="shared" ca="1" si="302"/>
        <v>242996505756.03329</v>
      </c>
      <c r="AO112" s="1691">
        <f t="shared" ca="1" si="303"/>
        <v>242996505756.03046</v>
      </c>
      <c r="AP112" s="1691">
        <f t="shared" ca="1" si="304"/>
        <v>242996505756.0307</v>
      </c>
      <c r="AQ112" s="1691">
        <f t="shared" ca="1" si="305"/>
        <v>242996505756.04486</v>
      </c>
      <c r="AS112" s="1707">
        <f ca="1">AVERAGE(Costs!$AI112:$AQ112)</f>
        <v>215996894005.36243</v>
      </c>
      <c r="AT112" s="1707">
        <f t="shared" ca="1" si="306"/>
        <v>1987933331992.1709</v>
      </c>
      <c r="AU112" s="675"/>
      <c r="AV112" s="1700">
        <f>IFERROR(VLOOKUP($A112,Cost.FinanceCostTable,7,FALSE),'Global assumptions'!$H$35)</f>
        <v>0.1</v>
      </c>
      <c r="AW112" s="1692">
        <f>IFERROR(VLOOKUP($A112,Cost.FinanceCostTable,8,FALSE),'Global assumptions'!$I$35)</f>
        <v>15</v>
      </c>
      <c r="AX112" s="675"/>
      <c r="AY112" s="1691">
        <f t="shared" ca="1" si="307"/>
        <v>0</v>
      </c>
      <c r="AZ112" s="1691">
        <f t="shared" ca="1" si="308"/>
        <v>159738341910.89706</v>
      </c>
      <c r="BA112" s="1691">
        <f t="shared" ca="1" si="309"/>
        <v>159738341910.89719</v>
      </c>
      <c r="BB112" s="1691">
        <f t="shared" ca="1" si="310"/>
        <v>159738341910.89896</v>
      </c>
      <c r="BC112" s="1691">
        <f t="shared" ca="1" si="311"/>
        <v>159738341910.89529</v>
      </c>
      <c r="BD112" s="1691">
        <f t="shared" ca="1" si="312"/>
        <v>159738341910.8989</v>
      </c>
      <c r="BE112" s="1691">
        <f t="shared" ca="1" si="313"/>
        <v>159738341910.89706</v>
      </c>
      <c r="BF112" s="1691">
        <f t="shared" ca="1" si="314"/>
        <v>159738341910.89722</v>
      </c>
      <c r="BG112" s="1691">
        <f t="shared" ca="1" si="315"/>
        <v>159738341910.90652</v>
      </c>
      <c r="BH112" s="675"/>
      <c r="BI112" s="1691">
        <f t="shared" ca="1" si="343"/>
        <v>0</v>
      </c>
      <c r="BJ112" s="1691">
        <f t="shared" ca="1" si="316"/>
        <v>159738341910.89706</v>
      </c>
      <c r="BK112" s="1691">
        <f t="shared" ca="1" si="317"/>
        <v>319476683821.79425</v>
      </c>
      <c r="BL112" s="1691">
        <f t="shared" ca="1" si="318"/>
        <v>479215025732.69324</v>
      </c>
      <c r="BM112" s="1691">
        <f t="shared" ca="1" si="319"/>
        <v>479215025732.69141</v>
      </c>
      <c r="BN112" s="1691">
        <f t="shared" ca="1" si="320"/>
        <v>479215025732.69312</v>
      </c>
      <c r="BO112" s="1691">
        <f t="shared" ca="1" si="321"/>
        <v>479215025732.69128</v>
      </c>
      <c r="BP112" s="1691">
        <f t="shared" ca="1" si="322"/>
        <v>479215025732.69324</v>
      </c>
      <c r="BQ112" s="1691">
        <f t="shared" ca="1" si="323"/>
        <v>479215025732.70081</v>
      </c>
      <c r="BR112" s="675"/>
      <c r="BS112" s="1702">
        <f t="shared" ca="1" si="324"/>
        <v>0</v>
      </c>
      <c r="BT112" s="1702">
        <f t="shared" ca="1" si="325"/>
        <v>159738341910.89706</v>
      </c>
      <c r="BU112" s="1702">
        <f t="shared" ca="1" si="326"/>
        <v>319476683821.79425</v>
      </c>
      <c r="BV112" s="1702">
        <f t="shared" ca="1" si="327"/>
        <v>479215025732.69324</v>
      </c>
      <c r="BW112" s="1702">
        <f t="shared" ca="1" si="328"/>
        <v>479215025732.69141</v>
      </c>
      <c r="BX112" s="1702">
        <f t="shared" ca="1" si="329"/>
        <v>479215025732.69312</v>
      </c>
      <c r="BY112" s="1702">
        <f t="shared" ca="1" si="330"/>
        <v>479215025732.69128</v>
      </c>
      <c r="BZ112" s="1702">
        <f t="shared" ca="1" si="331"/>
        <v>479215025732.69324</v>
      </c>
      <c r="CA112" s="1702">
        <f t="shared" ca="1" si="332"/>
        <v>479215025732.70081</v>
      </c>
      <c r="CC112" s="1707">
        <f ca="1">AVERAGE(Costs!$BS112:$CA112)</f>
        <v>372722797792.09497</v>
      </c>
      <c r="CD112" s="1707">
        <f t="shared" ca="1" si="333"/>
        <v>2620636895392</v>
      </c>
      <c r="CF112" s="1704">
        <f t="shared" ca="1" si="334"/>
        <v>0</v>
      </c>
      <c r="CG112" s="1704">
        <f t="shared" ca="1" si="335"/>
        <v>-83258163845.133392</v>
      </c>
      <c r="CH112" s="1704">
        <f t="shared" ca="1" si="336"/>
        <v>76480178065.76358</v>
      </c>
      <c r="CI112" s="1704">
        <f t="shared" ca="1" si="337"/>
        <v>236218519976.65988</v>
      </c>
      <c r="CJ112" s="1704">
        <f t="shared" ca="1" si="338"/>
        <v>236218519976.66364</v>
      </c>
      <c r="CK112" s="1704">
        <f t="shared" ca="1" si="339"/>
        <v>236218519976.65982</v>
      </c>
      <c r="CL112" s="1704">
        <f t="shared" ca="1" si="340"/>
        <v>236218519976.66083</v>
      </c>
      <c r="CM112" s="1704">
        <f t="shared" ca="1" si="341"/>
        <v>236218519976.66254</v>
      </c>
      <c r="CN112" s="1704">
        <f t="shared" ca="1" si="342"/>
        <v>236218519976.65594</v>
      </c>
      <c r="CP112" s="1707">
        <f ca="1">AVERAGE(Costs!$CF112:$CN112)</f>
        <v>156725903786.73254</v>
      </c>
      <c r="CQ112" s="1707">
        <f t="shared" ca="1" si="344"/>
        <v>632703563399.82947</v>
      </c>
      <c r="CR112" s="1426" t="str">
        <f t="shared" ca="1" si="345"/>
        <v>ok</v>
      </c>
    </row>
    <row r="113" spans="1:96" s="1673" customFormat="1" x14ac:dyDescent="0.2">
      <c r="A113" s="1683" t="s">
        <v>392</v>
      </c>
      <c r="B113" s="1683" t="s">
        <v>2217</v>
      </c>
      <c r="C113" s="1683" t="s">
        <v>1974</v>
      </c>
      <c r="E113" s="1689">
        <f t="shared" ca="1" si="402"/>
        <v>0</v>
      </c>
      <c r="F113" s="1689">
        <f t="shared" ca="1" si="402"/>
        <v>71849874052.659866</v>
      </c>
      <c r="G113" s="1689">
        <f t="shared" ca="1" si="402"/>
        <v>112943360174.59233</v>
      </c>
      <c r="H113" s="1689">
        <f t="shared" ca="1" si="402"/>
        <v>161959862459.14093</v>
      </c>
      <c r="I113" s="1689">
        <f t="shared" ca="1" si="402"/>
        <v>209094549882.93451</v>
      </c>
      <c r="J113" s="1689">
        <f t="shared" ca="1" si="402"/>
        <v>293605047032.26953</v>
      </c>
      <c r="K113" s="1689">
        <f t="shared" ca="1" si="402"/>
        <v>343834194323.53583</v>
      </c>
      <c r="L113" s="1689">
        <f t="shared" ca="1" si="402"/>
        <v>422886000799.61658</v>
      </c>
      <c r="M113" s="1689">
        <f t="shared" ca="1" si="402"/>
        <v>514668666565.96991</v>
      </c>
      <c r="N113" s="675"/>
      <c r="O113" s="1689">
        <f t="shared" ca="1" si="403"/>
        <v>0</v>
      </c>
      <c r="P113" s="1689">
        <f t="shared" ca="1" si="403"/>
        <v>0</v>
      </c>
      <c r="Q113" s="1689">
        <f t="shared" ca="1" si="403"/>
        <v>0</v>
      </c>
      <c r="R113" s="1689">
        <f t="shared" ca="1" si="403"/>
        <v>0</v>
      </c>
      <c r="S113" s="1689">
        <f t="shared" ca="1" si="403"/>
        <v>0</v>
      </c>
      <c r="T113" s="1689">
        <f t="shared" ca="1" si="403"/>
        <v>0</v>
      </c>
      <c r="U113" s="1689">
        <f t="shared" ca="1" si="403"/>
        <v>0</v>
      </c>
      <c r="V113" s="1689">
        <f t="shared" ca="1" si="403"/>
        <v>0</v>
      </c>
      <c r="W113" s="1689">
        <f t="shared" ca="1" si="403"/>
        <v>0</v>
      </c>
      <c r="X113" s="675"/>
      <c r="Y113" s="1689">
        <f t="shared" ca="1" si="404"/>
        <v>0</v>
      </c>
      <c r="Z113" s="1689">
        <f t="shared" ca="1" si="404"/>
        <v>0</v>
      </c>
      <c r="AA113" s="1689">
        <f t="shared" ca="1" si="404"/>
        <v>0</v>
      </c>
      <c r="AB113" s="1689">
        <f t="shared" ca="1" si="404"/>
        <v>0</v>
      </c>
      <c r="AC113" s="1689">
        <f t="shared" ca="1" si="404"/>
        <v>0</v>
      </c>
      <c r="AD113" s="1689">
        <f t="shared" ca="1" si="404"/>
        <v>0</v>
      </c>
      <c r="AE113" s="1689">
        <f t="shared" ca="1" si="404"/>
        <v>0</v>
      </c>
      <c r="AF113" s="1689">
        <f t="shared" ca="1" si="404"/>
        <v>0</v>
      </c>
      <c r="AG113" s="1689">
        <f t="shared" ca="1" si="404"/>
        <v>0</v>
      </c>
      <c r="AH113" s="675"/>
      <c r="AI113" s="1689">
        <f t="shared" ca="1" si="297"/>
        <v>0</v>
      </c>
      <c r="AJ113" s="1689">
        <f t="shared" ca="1" si="298"/>
        <v>71849874052.659866</v>
      </c>
      <c r="AK113" s="1689">
        <f t="shared" ca="1" si="299"/>
        <v>112943360174.59233</v>
      </c>
      <c r="AL113" s="1689">
        <f t="shared" ca="1" si="300"/>
        <v>161959862459.14093</v>
      </c>
      <c r="AM113" s="1689">
        <f t="shared" ca="1" si="301"/>
        <v>209094549882.93451</v>
      </c>
      <c r="AN113" s="1689">
        <f t="shared" ca="1" si="302"/>
        <v>293605047032.26953</v>
      </c>
      <c r="AO113" s="1689">
        <f t="shared" ca="1" si="303"/>
        <v>343834194323.53583</v>
      </c>
      <c r="AP113" s="1689">
        <f t="shared" ca="1" si="304"/>
        <v>422886000799.61658</v>
      </c>
      <c r="AQ113" s="1689">
        <f t="shared" ca="1" si="305"/>
        <v>514668666565.96991</v>
      </c>
      <c r="AS113" s="1706">
        <f ca="1">AVERAGE(Costs!$AI113:$AQ113)</f>
        <v>236760172810.07996</v>
      </c>
      <c r="AT113" s="1706">
        <f t="shared" ca="1" si="306"/>
        <v>1238328297024.8904</v>
      </c>
      <c r="AU113" s="675"/>
      <c r="AV113" s="1699">
        <f>IFERROR(VLOOKUP($A113,Cost.FinanceCostTable,7,FALSE),'Global assumptions'!$H$35)</f>
        <v>0.1</v>
      </c>
      <c r="AW113" s="1690">
        <f>IFERROR(VLOOKUP($A113,Cost.FinanceCostTable,8,FALSE),'Global assumptions'!$I$35)</f>
        <v>15</v>
      </c>
      <c r="AX113" s="675"/>
      <c r="AY113" s="1689">
        <f t="shared" ca="1" si="307"/>
        <v>0</v>
      </c>
      <c r="AZ113" s="1689">
        <f t="shared" ca="1" si="308"/>
        <v>47231871552.925995</v>
      </c>
      <c r="BA113" s="1689">
        <f t="shared" ca="1" si="309"/>
        <v>74245450682.522385</v>
      </c>
      <c r="BB113" s="1689">
        <f t="shared" ca="1" si="310"/>
        <v>106467374108.31293</v>
      </c>
      <c r="BC113" s="1689">
        <f t="shared" ca="1" si="311"/>
        <v>137452250998.37228</v>
      </c>
      <c r="BD113" s="1689">
        <f t="shared" ca="1" si="312"/>
        <v>193006822232.63516</v>
      </c>
      <c r="BE113" s="1689">
        <f t="shared" ca="1" si="313"/>
        <v>226025900753.70969</v>
      </c>
      <c r="BF113" s="1689">
        <f t="shared" ca="1" si="314"/>
        <v>277992098589.60956</v>
      </c>
      <c r="BG113" s="1689">
        <f t="shared" ca="1" si="315"/>
        <v>338327167195.07849</v>
      </c>
      <c r="BH113" s="675"/>
      <c r="BI113" s="1689">
        <f t="shared" ca="1" si="343"/>
        <v>0</v>
      </c>
      <c r="BJ113" s="1689">
        <f t="shared" ca="1" si="316"/>
        <v>47231871552.925995</v>
      </c>
      <c r="BK113" s="1689">
        <f t="shared" ca="1" si="317"/>
        <v>121477322235.44838</v>
      </c>
      <c r="BL113" s="1689">
        <f t="shared" ca="1" si="318"/>
        <v>227944696343.76129</v>
      </c>
      <c r="BM113" s="1689">
        <f t="shared" ca="1" si="319"/>
        <v>318165075789.20758</v>
      </c>
      <c r="BN113" s="1689">
        <f t="shared" ca="1" si="320"/>
        <v>436926447339.32043</v>
      </c>
      <c r="BO113" s="1689">
        <f t="shared" ca="1" si="321"/>
        <v>556484973984.71716</v>
      </c>
      <c r="BP113" s="1689">
        <f t="shared" ca="1" si="322"/>
        <v>697024821575.95447</v>
      </c>
      <c r="BQ113" s="1689">
        <f t="shared" ca="1" si="323"/>
        <v>842345166538.39771</v>
      </c>
      <c r="BR113" s="675"/>
      <c r="BS113" s="1701">
        <f t="shared" ca="1" si="324"/>
        <v>0</v>
      </c>
      <c r="BT113" s="1701">
        <f t="shared" ca="1" si="325"/>
        <v>47231871552.925995</v>
      </c>
      <c r="BU113" s="1701">
        <f t="shared" ca="1" si="326"/>
        <v>121477322235.44838</v>
      </c>
      <c r="BV113" s="1701">
        <f t="shared" ca="1" si="327"/>
        <v>227944696343.76129</v>
      </c>
      <c r="BW113" s="1701">
        <f t="shared" ca="1" si="328"/>
        <v>318165075789.20758</v>
      </c>
      <c r="BX113" s="1701">
        <f t="shared" ca="1" si="329"/>
        <v>436926447339.32043</v>
      </c>
      <c r="BY113" s="1701">
        <f t="shared" ca="1" si="330"/>
        <v>556484973984.71716</v>
      </c>
      <c r="BZ113" s="1701">
        <f t="shared" ca="1" si="331"/>
        <v>697024821575.95447</v>
      </c>
      <c r="CA113" s="1701">
        <f t="shared" ca="1" si="332"/>
        <v>842345166538.39771</v>
      </c>
      <c r="CC113" s="1706">
        <f ca="1">AVERAGE(Costs!$BS113:$CA113)</f>
        <v>360844486151.08148</v>
      </c>
      <c r="CD113" s="1706">
        <f t="shared" ca="1" si="333"/>
        <v>1603093589599.4238</v>
      </c>
      <c r="CF113" s="1703">
        <f t="shared" ca="1" si="334"/>
        <v>0</v>
      </c>
      <c r="CG113" s="1703">
        <f t="shared" ca="1" si="335"/>
        <v>-24618002499.733871</v>
      </c>
      <c r="CH113" s="1703">
        <f t="shared" ca="1" si="336"/>
        <v>8533962060.8560486</v>
      </c>
      <c r="CI113" s="1703">
        <f t="shared" ca="1" si="337"/>
        <v>65984833884.620361</v>
      </c>
      <c r="CJ113" s="1703">
        <f t="shared" ca="1" si="338"/>
        <v>109070525906.27307</v>
      </c>
      <c r="CK113" s="1703">
        <f t="shared" ca="1" si="339"/>
        <v>143321400307.0509</v>
      </c>
      <c r="CL113" s="1703">
        <f t="shared" ca="1" si="340"/>
        <v>212650779661.18134</v>
      </c>
      <c r="CM113" s="1703">
        <f t="shared" ca="1" si="341"/>
        <v>274138820776.33789</v>
      </c>
      <c r="CN113" s="1703">
        <f t="shared" ca="1" si="342"/>
        <v>327676499972.4278</v>
      </c>
      <c r="CP113" s="1706">
        <f ca="1">AVERAGE(Costs!$CF113:$CN113)</f>
        <v>124084313341.0015</v>
      </c>
      <c r="CQ113" s="1706">
        <f t="shared" ca="1" si="344"/>
        <v>364765292574.53357</v>
      </c>
      <c r="CR113" s="1426" t="str">
        <f t="shared" ca="1" si="345"/>
        <v>ok</v>
      </c>
    </row>
    <row r="114" spans="1:96" s="1673" customFormat="1" x14ac:dyDescent="0.2">
      <c r="A114" s="1685" t="s">
        <v>393</v>
      </c>
      <c r="B114" s="1685" t="s">
        <v>2221</v>
      </c>
      <c r="C114" s="1685" t="s">
        <v>1974</v>
      </c>
      <c r="E114" s="1691">
        <f t="shared" ca="1" si="402"/>
        <v>0</v>
      </c>
      <c r="F114" s="1691">
        <f t="shared" ca="1" si="402"/>
        <v>311407428797.88275</v>
      </c>
      <c r="G114" s="1691">
        <f t="shared" ca="1" si="402"/>
        <v>378656965149.08978</v>
      </c>
      <c r="H114" s="1691">
        <f t="shared" ca="1" si="402"/>
        <v>530734707904.79199</v>
      </c>
      <c r="I114" s="1691">
        <f t="shared" ca="1" si="402"/>
        <v>496702742373.71826</v>
      </c>
      <c r="J114" s="1691">
        <f t="shared" ca="1" si="402"/>
        <v>533999719036.70886</v>
      </c>
      <c r="K114" s="1691">
        <f t="shared" ca="1" si="402"/>
        <v>182078184447.60236</v>
      </c>
      <c r="L114" s="1691">
        <f t="shared" ca="1" si="402"/>
        <v>170892666749.03476</v>
      </c>
      <c r="M114" s="1691">
        <f t="shared" ca="1" si="402"/>
        <v>330822049820.16388</v>
      </c>
      <c r="N114" s="675"/>
      <c r="O114" s="1691">
        <f t="shared" ca="1" si="403"/>
        <v>0</v>
      </c>
      <c r="P114" s="1691">
        <f t="shared" ca="1" si="403"/>
        <v>0</v>
      </c>
      <c r="Q114" s="1691">
        <f t="shared" ca="1" si="403"/>
        <v>0</v>
      </c>
      <c r="R114" s="1691">
        <f t="shared" ca="1" si="403"/>
        <v>0</v>
      </c>
      <c r="S114" s="1691">
        <f t="shared" ca="1" si="403"/>
        <v>0</v>
      </c>
      <c r="T114" s="1691">
        <f t="shared" ca="1" si="403"/>
        <v>0</v>
      </c>
      <c r="U114" s="1691">
        <f t="shared" ca="1" si="403"/>
        <v>0</v>
      </c>
      <c r="V114" s="1691">
        <f t="shared" ca="1" si="403"/>
        <v>0</v>
      </c>
      <c r="W114" s="1691">
        <f t="shared" ca="1" si="403"/>
        <v>0</v>
      </c>
      <c r="X114" s="675"/>
      <c r="Y114" s="1691">
        <f t="shared" ca="1" si="404"/>
        <v>0</v>
      </c>
      <c r="Z114" s="1691">
        <f t="shared" ca="1" si="404"/>
        <v>0</v>
      </c>
      <c r="AA114" s="1691">
        <f t="shared" ca="1" si="404"/>
        <v>0</v>
      </c>
      <c r="AB114" s="1691">
        <f t="shared" ca="1" si="404"/>
        <v>0</v>
      </c>
      <c r="AC114" s="1691">
        <f t="shared" ca="1" si="404"/>
        <v>0</v>
      </c>
      <c r="AD114" s="1691">
        <f t="shared" ca="1" si="404"/>
        <v>0</v>
      </c>
      <c r="AE114" s="1691">
        <f t="shared" ca="1" si="404"/>
        <v>0</v>
      </c>
      <c r="AF114" s="1691">
        <f t="shared" ca="1" si="404"/>
        <v>0</v>
      </c>
      <c r="AG114" s="1691">
        <f t="shared" ca="1" si="404"/>
        <v>0</v>
      </c>
      <c r="AH114" s="675"/>
      <c r="AI114" s="1691">
        <f t="shared" ca="1" si="297"/>
        <v>0</v>
      </c>
      <c r="AJ114" s="1691">
        <f t="shared" ca="1" si="298"/>
        <v>311407428797.88275</v>
      </c>
      <c r="AK114" s="1691">
        <f t="shared" ca="1" si="299"/>
        <v>378656965149.08978</v>
      </c>
      <c r="AL114" s="1691">
        <f t="shared" ca="1" si="300"/>
        <v>530734707904.79199</v>
      </c>
      <c r="AM114" s="1691">
        <f t="shared" ca="1" si="301"/>
        <v>496702742373.71826</v>
      </c>
      <c r="AN114" s="1691">
        <f t="shared" ca="1" si="302"/>
        <v>533999719036.70886</v>
      </c>
      <c r="AO114" s="1691">
        <f t="shared" ca="1" si="303"/>
        <v>182078184447.60236</v>
      </c>
      <c r="AP114" s="1691">
        <f t="shared" ca="1" si="304"/>
        <v>170892666749.03476</v>
      </c>
      <c r="AQ114" s="1691">
        <f t="shared" ca="1" si="305"/>
        <v>330822049820.16388</v>
      </c>
      <c r="AS114" s="1707">
        <f ca="1">AVERAGE(Costs!$AI114:$AQ114)</f>
        <v>326143829364.33258</v>
      </c>
      <c r="AT114" s="1707">
        <f t="shared" ca="1" si="306"/>
        <v>3112547440802.248</v>
      </c>
      <c r="AU114" s="675"/>
      <c r="AV114" s="1700">
        <f>IFERROR(VLOOKUP($A114,Cost.FinanceCostTable,7,FALSE),'Global assumptions'!$H$35)</f>
        <v>0.1</v>
      </c>
      <c r="AW114" s="1692">
        <f>IFERROR(VLOOKUP($A114,Cost.FinanceCostTable,8,FALSE),'Global assumptions'!$I$35)</f>
        <v>15</v>
      </c>
      <c r="AX114" s="675"/>
      <c r="AY114" s="1691">
        <f t="shared" ca="1" si="307"/>
        <v>0</v>
      </c>
      <c r="AZ114" s="1691">
        <f t="shared" ca="1" si="308"/>
        <v>204709554074.21545</v>
      </c>
      <c r="BA114" s="1691">
        <f t="shared" ca="1" si="309"/>
        <v>248917306764.30457</v>
      </c>
      <c r="BB114" s="1691">
        <f t="shared" ca="1" si="310"/>
        <v>348888482867.29645</v>
      </c>
      <c r="BC114" s="1691">
        <f t="shared" ca="1" si="311"/>
        <v>326516927650.94086</v>
      </c>
      <c r="BD114" s="1691">
        <f t="shared" ca="1" si="312"/>
        <v>351034799592.75861</v>
      </c>
      <c r="BE114" s="1691">
        <f t="shared" ca="1" si="313"/>
        <v>119692532990.60941</v>
      </c>
      <c r="BF114" s="1691">
        <f t="shared" ca="1" si="314"/>
        <v>112339521699.25325</v>
      </c>
      <c r="BG114" s="1691">
        <f t="shared" ca="1" si="315"/>
        <v>217472121837.39682</v>
      </c>
      <c r="BH114" s="675"/>
      <c r="BI114" s="1691">
        <f t="shared" ca="1" si="343"/>
        <v>0</v>
      </c>
      <c r="BJ114" s="1691">
        <f t="shared" ca="1" si="316"/>
        <v>204709554074.21545</v>
      </c>
      <c r="BK114" s="1691">
        <f t="shared" ca="1" si="317"/>
        <v>453626860838.52002</v>
      </c>
      <c r="BL114" s="1691">
        <f t="shared" ca="1" si="318"/>
        <v>802515343705.81653</v>
      </c>
      <c r="BM114" s="1691">
        <f t="shared" ca="1" si="319"/>
        <v>924322717282.54175</v>
      </c>
      <c r="BN114" s="1691">
        <f t="shared" ca="1" si="320"/>
        <v>1026440210110.9958</v>
      </c>
      <c r="BO114" s="1691">
        <f t="shared" ca="1" si="321"/>
        <v>797244260234.30884</v>
      </c>
      <c r="BP114" s="1691">
        <f t="shared" ca="1" si="322"/>
        <v>583066854282.62122</v>
      </c>
      <c r="BQ114" s="1691">
        <f t="shared" ca="1" si="323"/>
        <v>449504176527.25946</v>
      </c>
      <c r="BR114" s="675"/>
      <c r="BS114" s="1702">
        <f t="shared" ca="1" si="324"/>
        <v>0</v>
      </c>
      <c r="BT114" s="1702">
        <f t="shared" ca="1" si="325"/>
        <v>204709554074.21545</v>
      </c>
      <c r="BU114" s="1702">
        <f t="shared" ca="1" si="326"/>
        <v>453626860838.52002</v>
      </c>
      <c r="BV114" s="1702">
        <f t="shared" ca="1" si="327"/>
        <v>802515343705.81653</v>
      </c>
      <c r="BW114" s="1702">
        <f t="shared" ca="1" si="328"/>
        <v>924322717282.54175</v>
      </c>
      <c r="BX114" s="1702">
        <f t="shared" ca="1" si="329"/>
        <v>1026440210110.9958</v>
      </c>
      <c r="BY114" s="1702">
        <f t="shared" ca="1" si="330"/>
        <v>797244260234.30884</v>
      </c>
      <c r="BZ114" s="1702">
        <f t="shared" ca="1" si="331"/>
        <v>583066854282.62122</v>
      </c>
      <c r="CA114" s="1702">
        <f t="shared" ca="1" si="332"/>
        <v>449504176527.25946</v>
      </c>
      <c r="CC114" s="1707">
        <f ca="1">AVERAGE(Costs!$BS114:$CA114)</f>
        <v>582381108561.80884</v>
      </c>
      <c r="CD114" s="1707">
        <f t="shared" ca="1" si="333"/>
        <v>4099645222795.7153</v>
      </c>
      <c r="CF114" s="1704">
        <f t="shared" ca="1" si="334"/>
        <v>0</v>
      </c>
      <c r="CG114" s="1704">
        <f t="shared" ca="1" si="335"/>
        <v>-106697874723.6673</v>
      </c>
      <c r="CH114" s="1704">
        <f t="shared" ca="1" si="336"/>
        <v>74969895689.430237</v>
      </c>
      <c r="CI114" s="1704">
        <f t="shared" ca="1" si="337"/>
        <v>271780635801.02454</v>
      </c>
      <c r="CJ114" s="1704">
        <f t="shared" ca="1" si="338"/>
        <v>427619974908.82349</v>
      </c>
      <c r="CK114" s="1704">
        <f t="shared" ca="1" si="339"/>
        <v>492440491074.28699</v>
      </c>
      <c r="CL114" s="1704">
        <f t="shared" ca="1" si="340"/>
        <v>615166075786.70654</v>
      </c>
      <c r="CM114" s="1704">
        <f t="shared" ca="1" si="341"/>
        <v>412174187533.58643</v>
      </c>
      <c r="CN114" s="1704">
        <f t="shared" ca="1" si="342"/>
        <v>118682126707.09558</v>
      </c>
      <c r="CP114" s="1707">
        <f ca="1">AVERAGE(Costs!$CF114:$CN114)</f>
        <v>256237279197.47629</v>
      </c>
      <c r="CQ114" s="1707">
        <f t="shared" ca="1" si="344"/>
        <v>987097781993.46582</v>
      </c>
      <c r="CR114" s="1426" t="str">
        <f t="shared" ca="1" si="345"/>
        <v>ok</v>
      </c>
    </row>
    <row r="115" spans="1:96" s="1673" customFormat="1" x14ac:dyDescent="0.2">
      <c r="A115" s="1683" t="s">
        <v>360</v>
      </c>
      <c r="B115" s="1683" t="s">
        <v>176</v>
      </c>
      <c r="C115" s="1683" t="s">
        <v>33</v>
      </c>
      <c r="E115" s="1689">
        <f t="shared" ca="1" si="402"/>
        <v>12765000000</v>
      </c>
      <c r="F115" s="1689">
        <f t="shared" ca="1" si="402"/>
        <v>13853351309.966045</v>
      </c>
      <c r="G115" s="1689">
        <f t="shared" ca="1" si="402"/>
        <v>15063231420.660271</v>
      </c>
      <c r="H115" s="1689">
        <f t="shared" ca="1" si="402"/>
        <v>16409654710.274302</v>
      </c>
      <c r="I115" s="1689">
        <f t="shared" ca="1" si="402"/>
        <v>17462625797.771538</v>
      </c>
      <c r="J115" s="1689">
        <f t="shared" ca="1" si="402"/>
        <v>18599871318.110176</v>
      </c>
      <c r="K115" s="1689">
        <f t="shared" ca="1" si="402"/>
        <v>19828779107.429646</v>
      </c>
      <c r="L115" s="1689">
        <f t="shared" ca="1" si="402"/>
        <v>21157407457.174561</v>
      </c>
      <c r="M115" s="1689">
        <f t="shared" ca="1" si="402"/>
        <v>22594546827.642807</v>
      </c>
      <c r="N115" s="675"/>
      <c r="O115" s="1689">
        <f t="shared" ca="1" si="403"/>
        <v>1345833000000.0002</v>
      </c>
      <c r="P115" s="1689">
        <f t="shared" ca="1" si="403"/>
        <v>1408967087476.4592</v>
      </c>
      <c r="Q115" s="1689">
        <f t="shared" ca="1" si="403"/>
        <v>1476776742259.2832</v>
      </c>
      <c r="R115" s="1689">
        <f t="shared" ca="1" si="403"/>
        <v>1549752167498.7554</v>
      </c>
      <c r="S115" s="1689">
        <f t="shared" ca="1" si="403"/>
        <v>1606075527441.9717</v>
      </c>
      <c r="T115" s="1689">
        <f t="shared" ca="1" si="403"/>
        <v>1665505009150.2007</v>
      </c>
      <c r="U115" s="1689">
        <f t="shared" ca="1" si="403"/>
        <v>1728274269084.5544</v>
      </c>
      <c r="V115" s="1689">
        <f t="shared" ca="1" si="403"/>
        <v>1794637113290.9751</v>
      </c>
      <c r="W115" s="1689">
        <f t="shared" ca="1" si="403"/>
        <v>1864869320580.4192</v>
      </c>
      <c r="X115" s="675"/>
      <c r="Y115" s="1689">
        <f t="shared" ca="1" si="404"/>
        <v>0</v>
      </c>
      <c r="Z115" s="1689">
        <f t="shared" ca="1" si="404"/>
        <v>0</v>
      </c>
      <c r="AA115" s="1689">
        <f t="shared" ca="1" si="404"/>
        <v>0</v>
      </c>
      <c r="AB115" s="1689">
        <f t="shared" ca="1" si="404"/>
        <v>0</v>
      </c>
      <c r="AC115" s="1689">
        <f t="shared" ca="1" si="404"/>
        <v>0</v>
      </c>
      <c r="AD115" s="1689">
        <f t="shared" ca="1" si="404"/>
        <v>0</v>
      </c>
      <c r="AE115" s="1689">
        <f t="shared" ca="1" si="404"/>
        <v>0</v>
      </c>
      <c r="AF115" s="1689">
        <f t="shared" ca="1" si="404"/>
        <v>0</v>
      </c>
      <c r="AG115" s="1689">
        <f t="shared" ca="1" si="404"/>
        <v>0</v>
      </c>
      <c r="AH115" s="675"/>
      <c r="AI115" s="1689">
        <f t="shared" ca="1" si="297"/>
        <v>1358598000000.0002</v>
      </c>
      <c r="AJ115" s="1689">
        <f t="shared" ca="1" si="298"/>
        <v>1422820438786.4253</v>
      </c>
      <c r="AK115" s="1689">
        <f t="shared" ca="1" si="299"/>
        <v>1491839973679.9434</v>
      </c>
      <c r="AL115" s="1689">
        <f t="shared" ca="1" si="300"/>
        <v>1566161822209.0298</v>
      </c>
      <c r="AM115" s="1689">
        <f t="shared" ca="1" si="301"/>
        <v>1623538153239.7432</v>
      </c>
      <c r="AN115" s="1689">
        <f t="shared" ca="1" si="302"/>
        <v>1684104880468.3108</v>
      </c>
      <c r="AO115" s="1689">
        <f t="shared" ca="1" si="303"/>
        <v>1748103048191.9841</v>
      </c>
      <c r="AP115" s="1689">
        <f t="shared" ca="1" si="304"/>
        <v>1815794520748.1497</v>
      </c>
      <c r="AQ115" s="1689">
        <f t="shared" ca="1" si="305"/>
        <v>1887463867408.062</v>
      </c>
      <c r="AS115" s="1706">
        <f ca="1">AVERAGE(Costs!$AI115:$AQ115)</f>
        <v>1622047189414.6279</v>
      </c>
      <c r="AT115" s="1706">
        <f t="shared" ca="1" si="306"/>
        <v>13862356486876.99</v>
      </c>
      <c r="AU115" s="675"/>
      <c r="AV115" s="1699">
        <f>IFERROR(VLOOKUP($A115,Cost.FinanceCostTable,7,FALSE),'Global assumptions'!$H$35)</f>
        <v>0.1</v>
      </c>
      <c r="AW115" s="1690">
        <f>IFERROR(VLOOKUP($A115,Cost.FinanceCostTable,8,FALSE),'Global assumptions'!$I$35)</f>
        <v>15</v>
      </c>
      <c r="AX115" s="675"/>
      <c r="AY115" s="1689">
        <f t="shared" ca="1" si="307"/>
        <v>5034788285.9019194</v>
      </c>
      <c r="AZ115" s="1689">
        <f t="shared" ca="1" si="308"/>
        <v>9106762096.3443089</v>
      </c>
      <c r="BA115" s="1689">
        <f t="shared" ca="1" si="309"/>
        <v>9902099635.0137177</v>
      </c>
      <c r="BB115" s="1689">
        <f t="shared" ca="1" si="310"/>
        <v>10787196410.8871</v>
      </c>
      <c r="BC115" s="1689">
        <f t="shared" ca="1" si="311"/>
        <v>11479386840.01943</v>
      </c>
      <c r="BD115" s="1689">
        <f t="shared" ca="1" si="312"/>
        <v>12226976659.055256</v>
      </c>
      <c r="BE115" s="1689">
        <f t="shared" ca="1" si="313"/>
        <v>13034822401.595964</v>
      </c>
      <c r="BF115" s="1689">
        <f t="shared" ca="1" si="314"/>
        <v>13908221337.698969</v>
      </c>
      <c r="BG115" s="1689">
        <f t="shared" ca="1" si="315"/>
        <v>14852952042.443974</v>
      </c>
      <c r="BH115" s="675"/>
      <c r="BI115" s="1689">
        <f t="shared" ca="1" si="343"/>
        <v>5034788285.9019194</v>
      </c>
      <c r="BJ115" s="1689">
        <f t="shared" ca="1" si="316"/>
        <v>14141550382.246227</v>
      </c>
      <c r="BK115" s="1689">
        <f t="shared" ca="1" si="317"/>
        <v>24043650017.259949</v>
      </c>
      <c r="BL115" s="1689">
        <f t="shared" ca="1" si="318"/>
        <v>29796058142.245125</v>
      </c>
      <c r="BM115" s="1689">
        <f t="shared" ca="1" si="319"/>
        <v>32168682885.92025</v>
      </c>
      <c r="BN115" s="1689">
        <f t="shared" ca="1" si="320"/>
        <v>34493559909.961784</v>
      </c>
      <c r="BO115" s="1689">
        <f t="shared" ca="1" si="321"/>
        <v>36741185900.670654</v>
      </c>
      <c r="BP115" s="1689">
        <f t="shared" ca="1" si="322"/>
        <v>39170020398.350189</v>
      </c>
      <c r="BQ115" s="1689">
        <f t="shared" ca="1" si="323"/>
        <v>41795995781.738907</v>
      </c>
      <c r="BR115" s="675"/>
      <c r="BS115" s="1701">
        <f t="shared" ca="1" si="324"/>
        <v>1350867788285.9021</v>
      </c>
      <c r="BT115" s="1701">
        <f t="shared" ca="1" si="325"/>
        <v>1423108637858.7056</v>
      </c>
      <c r="BU115" s="1701">
        <f t="shared" ca="1" si="326"/>
        <v>1500820392276.5432</v>
      </c>
      <c r="BV115" s="1701">
        <f t="shared" ca="1" si="327"/>
        <v>1579548225641.0005</v>
      </c>
      <c r="BW115" s="1701">
        <f t="shared" ca="1" si="328"/>
        <v>1638244210327.8918</v>
      </c>
      <c r="BX115" s="1701">
        <f t="shared" ca="1" si="329"/>
        <v>1699998569060.1624</v>
      </c>
      <c r="BY115" s="1701">
        <f t="shared" ca="1" si="330"/>
        <v>1765015454985.2251</v>
      </c>
      <c r="BZ115" s="1701">
        <f t="shared" ca="1" si="331"/>
        <v>1833807133689.3252</v>
      </c>
      <c r="CA115" s="1701">
        <f t="shared" ca="1" si="332"/>
        <v>1906665316362.1582</v>
      </c>
      <c r="CC115" s="1706">
        <f ca="1">AVERAGE(Costs!$BS115:$CA115)</f>
        <v>1633119525387.4346</v>
      </c>
      <c r="CD115" s="1706">
        <f t="shared" ca="1" si="333"/>
        <v>13920512555654.66</v>
      </c>
      <c r="CF115" s="1703">
        <f t="shared" ca="1" si="334"/>
        <v>-7730211714.0980806</v>
      </c>
      <c r="CG115" s="1703">
        <f t="shared" ca="1" si="335"/>
        <v>288199072.28018188</v>
      </c>
      <c r="CH115" s="1703">
        <f t="shared" ca="1" si="336"/>
        <v>8980418596.599678</v>
      </c>
      <c r="CI115" s="1703">
        <f t="shared" ca="1" si="337"/>
        <v>13386403431.970823</v>
      </c>
      <c r="CJ115" s="1703">
        <f t="shared" ca="1" si="338"/>
        <v>14706057088.148712</v>
      </c>
      <c r="CK115" s="1703">
        <f t="shared" ca="1" si="339"/>
        <v>15893688591.851608</v>
      </c>
      <c r="CL115" s="1703">
        <f t="shared" ca="1" si="340"/>
        <v>16912406793.241009</v>
      </c>
      <c r="CM115" s="1703">
        <f t="shared" ca="1" si="341"/>
        <v>18012612941.175629</v>
      </c>
      <c r="CN115" s="1703">
        <f t="shared" ca="1" si="342"/>
        <v>19201448954.0961</v>
      </c>
      <c r="CP115" s="1706">
        <f ca="1">AVERAGE(Costs!$CF115:$CN115)</f>
        <v>11072335972.807295</v>
      </c>
      <c r="CQ115" s="1706">
        <f t="shared" ca="1" si="344"/>
        <v>58156068777.673798</v>
      </c>
      <c r="CR115" s="1426" t="str">
        <f t="shared" ca="1" si="345"/>
        <v>ok</v>
      </c>
    </row>
    <row r="116" spans="1:96" s="1673" customFormat="1" x14ac:dyDescent="0.2">
      <c r="A116" s="1685" t="s">
        <v>2592</v>
      </c>
      <c r="B116" s="1685" t="s">
        <v>1726</v>
      </c>
      <c r="C116" s="1685" t="s">
        <v>125</v>
      </c>
      <c r="E116" s="1691">
        <f t="shared" ca="1" si="402"/>
        <v>0</v>
      </c>
      <c r="F116" s="1691">
        <f t="shared" ca="1" si="402"/>
        <v>53135090647835.695</v>
      </c>
      <c r="G116" s="1691">
        <f t="shared" ca="1" si="402"/>
        <v>20535357961556.211</v>
      </c>
      <c r="H116" s="1691">
        <f t="shared" ca="1" si="402"/>
        <v>21750487397173.176</v>
      </c>
      <c r="I116" s="1691">
        <f t="shared" ca="1" si="402"/>
        <v>23173526191525.816</v>
      </c>
      <c r="J116" s="1691">
        <f t="shared" ca="1" si="402"/>
        <v>24875101814526.73</v>
      </c>
      <c r="K116" s="1691">
        <f t="shared" ca="1" si="402"/>
        <v>25210921992417.465</v>
      </c>
      <c r="L116" s="1691">
        <f t="shared" ca="1" si="402"/>
        <v>26888070856240.105</v>
      </c>
      <c r="M116" s="1691">
        <f t="shared" ca="1" si="402"/>
        <v>28929023250529.203</v>
      </c>
      <c r="N116" s="675"/>
      <c r="O116" s="1691">
        <f t="shared" ca="1" si="403"/>
        <v>58457573779767.336</v>
      </c>
      <c r="P116" s="1691">
        <f t="shared" ca="1" si="403"/>
        <v>573131191651013.87</v>
      </c>
      <c r="Q116" s="1691">
        <f t="shared" ca="1" si="403"/>
        <v>571480350718139.12</v>
      </c>
      <c r="R116" s="1691">
        <f t="shared" ca="1" si="403"/>
        <v>582191211880434.62</v>
      </c>
      <c r="S116" s="1691">
        <f t="shared" ca="1" si="403"/>
        <v>603217996759286.87</v>
      </c>
      <c r="T116" s="1691">
        <f t="shared" ca="1" si="403"/>
        <v>633911279979330.12</v>
      </c>
      <c r="U116" s="1691">
        <f t="shared" ca="1" si="403"/>
        <v>658221286343269</v>
      </c>
      <c r="V116" s="1691">
        <f t="shared" ca="1" si="403"/>
        <v>691302917348246.25</v>
      </c>
      <c r="W116" s="1691">
        <f t="shared" ca="1" si="403"/>
        <v>733898620852979.87</v>
      </c>
      <c r="X116" s="675"/>
      <c r="Y116" s="1691">
        <f t="shared" ca="1" si="404"/>
        <v>0</v>
      </c>
      <c r="Z116" s="1691">
        <f t="shared" ca="1" si="404"/>
        <v>0</v>
      </c>
      <c r="AA116" s="1691">
        <f t="shared" ca="1" si="404"/>
        <v>0</v>
      </c>
      <c r="AB116" s="1691">
        <f t="shared" ca="1" si="404"/>
        <v>0</v>
      </c>
      <c r="AC116" s="1691">
        <f t="shared" ca="1" si="404"/>
        <v>0</v>
      </c>
      <c r="AD116" s="1691">
        <f t="shared" ca="1" si="404"/>
        <v>0</v>
      </c>
      <c r="AE116" s="1691">
        <f t="shared" ca="1" si="404"/>
        <v>0</v>
      </c>
      <c r="AF116" s="1691">
        <f t="shared" ca="1" si="404"/>
        <v>0</v>
      </c>
      <c r="AG116" s="1691">
        <f t="shared" ca="1" si="404"/>
        <v>0</v>
      </c>
      <c r="AH116" s="675"/>
      <c r="AI116" s="1691">
        <f t="shared" ca="1" si="297"/>
        <v>58457573779767.336</v>
      </c>
      <c r="AJ116" s="1691">
        <f t="shared" ca="1" si="298"/>
        <v>626266282298849.62</v>
      </c>
      <c r="AK116" s="1691">
        <f t="shared" ca="1" si="299"/>
        <v>592015708679695.37</v>
      </c>
      <c r="AL116" s="1691">
        <f t="shared" ca="1" si="300"/>
        <v>603941699277607.75</v>
      </c>
      <c r="AM116" s="1691">
        <f t="shared" ca="1" si="301"/>
        <v>626391522950812.75</v>
      </c>
      <c r="AN116" s="1691">
        <f t="shared" ca="1" si="302"/>
        <v>658786381793856.87</v>
      </c>
      <c r="AO116" s="1691">
        <f t="shared" ca="1" si="303"/>
        <v>683432208335686.5</v>
      </c>
      <c r="AP116" s="1691">
        <f t="shared" ca="1" si="304"/>
        <v>718190988204486.37</v>
      </c>
      <c r="AQ116" s="1691">
        <f t="shared" ca="1" si="305"/>
        <v>762827644103509.12</v>
      </c>
      <c r="AS116" s="1707">
        <f ca="1">AVERAGE(Costs!$AI116:$AQ116)</f>
        <v>592256667713808</v>
      </c>
      <c r="AT116" s="1707">
        <f t="shared" ca="1" si="306"/>
        <v>5172459922118008</v>
      </c>
      <c r="AU116" s="675"/>
      <c r="AV116" s="1700">
        <f>IFERROR(VLOOKUP($A116,Cost.FinanceCostTable,7,FALSE),'Global assumptions'!$H$35)</f>
        <v>0.1</v>
      </c>
      <c r="AW116" s="1692">
        <f>IFERROR(VLOOKUP($A116,Cost.FinanceCostTable,8,FALSE),'Global assumptions'!$I$35)</f>
        <v>15</v>
      </c>
      <c r="AX116" s="675"/>
      <c r="AY116" s="1691">
        <f t="shared" ca="1" si="307"/>
        <v>0</v>
      </c>
      <c r="AZ116" s="1691">
        <f t="shared" ca="1" si="308"/>
        <v>34929355263619.246</v>
      </c>
      <c r="BA116" s="1691">
        <f t="shared" ca="1" si="309"/>
        <v>13499305354699.822</v>
      </c>
      <c r="BB116" s="1691">
        <f t="shared" ca="1" si="310"/>
        <v>14298093636237.738</v>
      </c>
      <c r="BC116" s="1691">
        <f t="shared" ca="1" si="311"/>
        <v>15233555060991.711</v>
      </c>
      <c r="BD116" s="1691">
        <f t="shared" ca="1" si="312"/>
        <v>16352117930068.779</v>
      </c>
      <c r="BE116" s="1691">
        <f t="shared" ca="1" si="313"/>
        <v>16572875665780.197</v>
      </c>
      <c r="BF116" s="1691">
        <f t="shared" ca="1" si="314"/>
        <v>17675381143425.836</v>
      </c>
      <c r="BG116" s="1691">
        <f t="shared" ca="1" si="315"/>
        <v>19017039742048.398</v>
      </c>
      <c r="BH116" s="675"/>
      <c r="BI116" s="1691">
        <f t="shared" ca="1" si="343"/>
        <v>0</v>
      </c>
      <c r="BJ116" s="1691">
        <f t="shared" ca="1" si="316"/>
        <v>34929355263619.246</v>
      </c>
      <c r="BK116" s="1691">
        <f t="shared" ca="1" si="317"/>
        <v>48428660618319.07</v>
      </c>
      <c r="BL116" s="1691">
        <f t="shared" ca="1" si="318"/>
        <v>62726754254556.805</v>
      </c>
      <c r="BM116" s="1691">
        <f t="shared" ca="1" si="319"/>
        <v>43030954051929.266</v>
      </c>
      <c r="BN116" s="1691">
        <f t="shared" ca="1" si="320"/>
        <v>45883766627298.227</v>
      </c>
      <c r="BO116" s="1691">
        <f t="shared" ca="1" si="321"/>
        <v>48158548656840.687</v>
      </c>
      <c r="BP116" s="1691">
        <f t="shared" ca="1" si="322"/>
        <v>50600374739274.812</v>
      </c>
      <c r="BQ116" s="1691">
        <f t="shared" ca="1" si="323"/>
        <v>53265296551254.43</v>
      </c>
      <c r="BR116" s="675"/>
      <c r="BS116" s="1702">
        <f t="shared" ca="1" si="324"/>
        <v>58457573779767.336</v>
      </c>
      <c r="BT116" s="1702">
        <f t="shared" ca="1" si="325"/>
        <v>608060546914633.12</v>
      </c>
      <c r="BU116" s="1702">
        <f t="shared" ca="1" si="326"/>
        <v>619909011336458.25</v>
      </c>
      <c r="BV116" s="1702">
        <f t="shared" ca="1" si="327"/>
        <v>644917966134991.37</v>
      </c>
      <c r="BW116" s="1702">
        <f t="shared" ca="1" si="328"/>
        <v>646248950811216.12</v>
      </c>
      <c r="BX116" s="1702">
        <f t="shared" ca="1" si="329"/>
        <v>679795046606628.37</v>
      </c>
      <c r="BY116" s="1702">
        <f t="shared" ca="1" si="330"/>
        <v>706379835000109.75</v>
      </c>
      <c r="BZ116" s="1702">
        <f t="shared" ca="1" si="331"/>
        <v>741903292087521</v>
      </c>
      <c r="CA116" s="1702">
        <f t="shared" ca="1" si="332"/>
        <v>787163917404234.25</v>
      </c>
      <c r="CC116" s="1707">
        <f ca="1">AVERAGE(Costs!$BS116:$CA116)</f>
        <v>610315126675062.12</v>
      </c>
      <c r="CD116" s="1707">
        <f t="shared" ca="1" si="333"/>
        <v>5260834496080336</v>
      </c>
      <c r="CF116" s="1704">
        <f t="shared" ca="1" si="334"/>
        <v>0</v>
      </c>
      <c r="CG116" s="1704">
        <f t="shared" ca="1" si="335"/>
        <v>-18205735384216.449</v>
      </c>
      <c r="CH116" s="1704">
        <f t="shared" ca="1" si="336"/>
        <v>27893302656762.859</v>
      </c>
      <c r="CI116" s="1704">
        <f t="shared" ca="1" si="337"/>
        <v>40976266857383.625</v>
      </c>
      <c r="CJ116" s="1704">
        <f t="shared" ca="1" si="338"/>
        <v>19857427860403.449</v>
      </c>
      <c r="CK116" s="1704">
        <f t="shared" ca="1" si="339"/>
        <v>21008664812771.496</v>
      </c>
      <c r="CL116" s="1704">
        <f t="shared" ca="1" si="340"/>
        <v>22947626664423.223</v>
      </c>
      <c r="CM116" s="1704">
        <f t="shared" ca="1" si="341"/>
        <v>23712303883034.707</v>
      </c>
      <c r="CN116" s="1704">
        <f t="shared" ca="1" si="342"/>
        <v>24336273300725.227</v>
      </c>
      <c r="CP116" s="1707">
        <f ca="1">AVERAGE(Costs!$CF116:$CN116)</f>
        <v>18058458961254.234</v>
      </c>
      <c r="CQ116" s="1707">
        <f t="shared" ca="1" si="344"/>
        <v>88374573962329.672</v>
      </c>
      <c r="CR116" s="1426" t="str">
        <f t="shared" ca="1" si="345"/>
        <v>err</v>
      </c>
    </row>
    <row r="117" spans="1:96" s="1673" customFormat="1" x14ac:dyDescent="0.2">
      <c r="A117" s="1683" t="s">
        <v>1721</v>
      </c>
      <c r="B117" s="1683" t="s">
        <v>1727</v>
      </c>
      <c r="C117" s="1683" t="s">
        <v>125</v>
      </c>
      <c r="E117" s="1689">
        <f t="shared" ca="1" si="402"/>
        <v>0</v>
      </c>
      <c r="F117" s="1689">
        <f t="shared" ca="1" si="402"/>
        <v>10936338057387.211</v>
      </c>
      <c r="G117" s="1689">
        <f t="shared" ca="1" si="402"/>
        <v>15814444237283.154</v>
      </c>
      <c r="H117" s="1689">
        <f t="shared" ca="1" si="402"/>
        <v>21782269373946.434</v>
      </c>
      <c r="I117" s="1689">
        <f t="shared" ca="1" si="402"/>
        <v>29002868130700.344</v>
      </c>
      <c r="J117" s="1689">
        <f t="shared" ca="1" si="402"/>
        <v>37701986214462.937</v>
      </c>
      <c r="K117" s="1689">
        <f t="shared" ca="1" si="402"/>
        <v>45837588910635.633</v>
      </c>
      <c r="L117" s="1689">
        <f t="shared" ca="1" si="402"/>
        <v>56314130644703.094</v>
      </c>
      <c r="M117" s="1689">
        <f t="shared" ca="1" si="402"/>
        <v>68493352685957.055</v>
      </c>
      <c r="N117" s="675"/>
      <c r="O117" s="1689">
        <f t="shared" ca="1" si="403"/>
        <v>0</v>
      </c>
      <c r="P117" s="1689">
        <f t="shared" ca="1" si="403"/>
        <v>44780253862999.453</v>
      </c>
      <c r="Q117" s="1689">
        <f t="shared" ca="1" si="403"/>
        <v>94132515634719.766</v>
      </c>
      <c r="R117" s="1689">
        <f t="shared" ca="1" si="403"/>
        <v>151154162175164.59</v>
      </c>
      <c r="S117" s="1689">
        <f t="shared" ca="1" si="403"/>
        <v>218629039849988.25</v>
      </c>
      <c r="T117" s="1689">
        <f t="shared" ca="1" si="403"/>
        <v>299415522662716.62</v>
      </c>
      <c r="U117" s="1689">
        <f t="shared" ca="1" si="403"/>
        <v>387079374354120.31</v>
      </c>
      <c r="V117" s="1689">
        <f t="shared" ca="1" si="403"/>
        <v>489421035084535.06</v>
      </c>
      <c r="W117" s="1689">
        <f t="shared" ca="1" si="403"/>
        <v>609081939859374.37</v>
      </c>
      <c r="X117" s="675"/>
      <c r="Y117" s="1689">
        <f t="shared" ca="1" si="404"/>
        <v>0</v>
      </c>
      <c r="Z117" s="1689">
        <f t="shared" ca="1" si="404"/>
        <v>0</v>
      </c>
      <c r="AA117" s="1689">
        <f t="shared" ca="1" si="404"/>
        <v>0</v>
      </c>
      <c r="AB117" s="1689">
        <f t="shared" ca="1" si="404"/>
        <v>0</v>
      </c>
      <c r="AC117" s="1689">
        <f t="shared" ca="1" si="404"/>
        <v>0</v>
      </c>
      <c r="AD117" s="1689">
        <f t="shared" ca="1" si="404"/>
        <v>0</v>
      </c>
      <c r="AE117" s="1689">
        <f t="shared" ca="1" si="404"/>
        <v>0</v>
      </c>
      <c r="AF117" s="1689">
        <f t="shared" ca="1" si="404"/>
        <v>0</v>
      </c>
      <c r="AG117" s="1689">
        <f t="shared" ca="1" si="404"/>
        <v>0</v>
      </c>
      <c r="AH117" s="675"/>
      <c r="AI117" s="1689">
        <f t="shared" ca="1" si="297"/>
        <v>0</v>
      </c>
      <c r="AJ117" s="1689">
        <f t="shared" ca="1" si="298"/>
        <v>55716591920386.664</v>
      </c>
      <c r="AK117" s="1689">
        <f t="shared" ca="1" si="299"/>
        <v>109946959872002.92</v>
      </c>
      <c r="AL117" s="1689">
        <f t="shared" ca="1" si="300"/>
        <v>172936431549111.03</v>
      </c>
      <c r="AM117" s="1689">
        <f t="shared" ca="1" si="301"/>
        <v>247631907980688.59</v>
      </c>
      <c r="AN117" s="1689">
        <f t="shared" ca="1" si="302"/>
        <v>337117508877179.56</v>
      </c>
      <c r="AO117" s="1689">
        <f t="shared" ca="1" si="303"/>
        <v>432916963264755.94</v>
      </c>
      <c r="AP117" s="1689">
        <f t="shared" ca="1" si="304"/>
        <v>545735165729238.12</v>
      </c>
      <c r="AQ117" s="1689">
        <f t="shared" ca="1" si="305"/>
        <v>677575292545331.37</v>
      </c>
      <c r="AS117" s="1706">
        <f ca="1">AVERAGE(Costs!$AI117:$AQ117)</f>
        <v>286619646859854.94</v>
      </c>
      <c r="AT117" s="1706">
        <f t="shared" ca="1" si="306"/>
        <v>1334950175822853.7</v>
      </c>
      <c r="AU117" s="675"/>
      <c r="AV117" s="1699">
        <f>IFERROR(VLOOKUP($A117,Cost.FinanceCostTable,7,FALSE),'Global assumptions'!$H$35)</f>
        <v>0.1</v>
      </c>
      <c r="AW117" s="1690">
        <f>IFERROR(VLOOKUP($A117,Cost.FinanceCostTable,8,FALSE),'Global assumptions'!$I$35)</f>
        <v>15</v>
      </c>
      <c r="AX117" s="675"/>
      <c r="AY117" s="1689">
        <f t="shared" ca="1" si="307"/>
        <v>0</v>
      </c>
      <c r="AZ117" s="1689">
        <f t="shared" ca="1" si="308"/>
        <v>7189208348609.0205</v>
      </c>
      <c r="BA117" s="1689">
        <f t="shared" ca="1" si="309"/>
        <v>10395923566251.773</v>
      </c>
      <c r="BB117" s="1689">
        <f t="shared" ca="1" si="310"/>
        <v>14318986118854.373</v>
      </c>
      <c r="BC117" s="1689">
        <f t="shared" ca="1" si="311"/>
        <v>19065583068547.879</v>
      </c>
      <c r="BD117" s="1689">
        <f t="shared" ca="1" si="312"/>
        <v>24784112618855.422</v>
      </c>
      <c r="BE117" s="1689">
        <f t="shared" ca="1" si="313"/>
        <v>30132204687459.984</v>
      </c>
      <c r="BF117" s="1689">
        <f t="shared" ca="1" si="314"/>
        <v>37019157239940.133</v>
      </c>
      <c r="BG117" s="1689">
        <f t="shared" ca="1" si="315"/>
        <v>45025398846508.07</v>
      </c>
      <c r="BH117" s="675"/>
      <c r="BI117" s="1689">
        <f t="shared" ca="1" si="343"/>
        <v>0</v>
      </c>
      <c r="BJ117" s="1689">
        <f t="shared" ca="1" si="316"/>
        <v>7189208348609.0205</v>
      </c>
      <c r="BK117" s="1689">
        <f t="shared" ca="1" si="317"/>
        <v>17585131914860.793</v>
      </c>
      <c r="BL117" s="1689">
        <f t="shared" ca="1" si="318"/>
        <v>31904118033715.168</v>
      </c>
      <c r="BM117" s="1689">
        <f t="shared" ca="1" si="319"/>
        <v>43780492753654.023</v>
      </c>
      <c r="BN117" s="1689">
        <f t="shared" ca="1" si="320"/>
        <v>58168681806257.672</v>
      </c>
      <c r="BO117" s="1689">
        <f t="shared" ca="1" si="321"/>
        <v>73981900374863.281</v>
      </c>
      <c r="BP117" s="1689">
        <f t="shared" ca="1" si="322"/>
        <v>91935474546255.531</v>
      </c>
      <c r="BQ117" s="1689">
        <f t="shared" ca="1" si="323"/>
        <v>112176760773908.19</v>
      </c>
      <c r="BR117" s="675"/>
      <c r="BS117" s="1701">
        <f t="shared" ca="1" si="324"/>
        <v>0</v>
      </c>
      <c r="BT117" s="1701">
        <f t="shared" ca="1" si="325"/>
        <v>51969462211608.477</v>
      </c>
      <c r="BU117" s="1701">
        <f t="shared" ca="1" si="326"/>
        <v>111717647549580.56</v>
      </c>
      <c r="BV117" s="1701">
        <f t="shared" ca="1" si="327"/>
        <v>183058280208879.75</v>
      </c>
      <c r="BW117" s="1701">
        <f t="shared" ca="1" si="328"/>
        <v>262409532603642.28</v>
      </c>
      <c r="BX117" s="1701">
        <f t="shared" ca="1" si="329"/>
        <v>357584204468974.31</v>
      </c>
      <c r="BY117" s="1701">
        <f t="shared" ca="1" si="330"/>
        <v>461061274728983.62</v>
      </c>
      <c r="BZ117" s="1701">
        <f t="shared" ca="1" si="331"/>
        <v>581356509630790.62</v>
      </c>
      <c r="CA117" s="1701">
        <f t="shared" ca="1" si="332"/>
        <v>721258700633282.5</v>
      </c>
      <c r="CC117" s="1706">
        <f ca="1">AVERAGE(Costs!$BS117:$CA117)</f>
        <v>303379512448415.75</v>
      </c>
      <c r="CD117" s="1706">
        <f t="shared" ca="1" si="333"/>
        <v>1385456791445219.5</v>
      </c>
      <c r="CF117" s="1703">
        <f t="shared" ca="1" si="334"/>
        <v>0</v>
      </c>
      <c r="CG117" s="1703">
        <f t="shared" ca="1" si="335"/>
        <v>-3747129708778.1904</v>
      </c>
      <c r="CH117" s="1703">
        <f t="shared" ca="1" si="336"/>
        <v>1770687677577.6387</v>
      </c>
      <c r="CI117" s="1703">
        <f t="shared" ca="1" si="337"/>
        <v>10121848659768.734</v>
      </c>
      <c r="CJ117" s="1703">
        <f t="shared" ca="1" si="338"/>
        <v>14777624622953.68</v>
      </c>
      <c r="CK117" s="1703">
        <f t="shared" ca="1" si="339"/>
        <v>20466695591794.734</v>
      </c>
      <c r="CL117" s="1703">
        <f t="shared" ca="1" si="340"/>
        <v>28144311464227.648</v>
      </c>
      <c r="CM117" s="1703">
        <f t="shared" ca="1" si="341"/>
        <v>35621343901552.437</v>
      </c>
      <c r="CN117" s="1703">
        <f t="shared" ca="1" si="342"/>
        <v>43683408087951.133</v>
      </c>
      <c r="CP117" s="1706">
        <f ca="1">AVERAGE(Costs!$CF117:$CN117)</f>
        <v>16759865588560.867</v>
      </c>
      <c r="CQ117" s="1706">
        <f t="shared" ca="1" si="344"/>
        <v>50506615622365.641</v>
      </c>
      <c r="CR117" s="1426" t="str">
        <f t="shared" ca="1" si="345"/>
        <v>ok</v>
      </c>
    </row>
    <row r="118" spans="1:96" s="1673" customFormat="1" x14ac:dyDescent="0.2">
      <c r="A118" s="1685" t="s">
        <v>1722</v>
      </c>
      <c r="B118" s="1685" t="s">
        <v>1728</v>
      </c>
      <c r="C118" s="1685" t="s">
        <v>125</v>
      </c>
      <c r="E118" s="1691">
        <f t="shared" ca="1" si="402"/>
        <v>0</v>
      </c>
      <c r="F118" s="1691">
        <f t="shared" ca="1" si="402"/>
        <v>2409560199266.9653</v>
      </c>
      <c r="G118" s="1691">
        <f t="shared" ca="1" si="402"/>
        <v>3500944463548.334</v>
      </c>
      <c r="H118" s="1691">
        <f t="shared" ca="1" si="402"/>
        <v>4825180985169.502</v>
      </c>
      <c r="I118" s="1691">
        <f t="shared" ca="1" si="402"/>
        <v>6415981321853.4541</v>
      </c>
      <c r="J118" s="1691">
        <f t="shared" ca="1" si="402"/>
        <v>8319727806723.1426</v>
      </c>
      <c r="K118" s="1691">
        <f t="shared" ca="1" si="402"/>
        <v>10085567065892.871</v>
      </c>
      <c r="L118" s="1691">
        <f t="shared" ca="1" si="402"/>
        <v>12345706219607.309</v>
      </c>
      <c r="M118" s="1691">
        <f t="shared" ca="1" si="402"/>
        <v>14956785454967.527</v>
      </c>
      <c r="N118" s="675"/>
      <c r="O118" s="1691">
        <f t="shared" ca="1" si="403"/>
        <v>0</v>
      </c>
      <c r="P118" s="1691">
        <f t="shared" ca="1" si="403"/>
        <v>9568007875154.8359</v>
      </c>
      <c r="Q118" s="1691">
        <f t="shared" ca="1" si="403"/>
        <v>20110536967450.656</v>
      </c>
      <c r="R118" s="1691">
        <f t="shared" ca="1" si="403"/>
        <v>32296375396529.488</v>
      </c>
      <c r="S118" s="1691">
        <f t="shared" ca="1" si="403"/>
        <v>46726610620730.359</v>
      </c>
      <c r="T118" s="1691">
        <f t="shared" ca="1" si="403"/>
        <v>64018571861908.383</v>
      </c>
      <c r="U118" s="1691">
        <f t="shared" ca="1" si="403"/>
        <v>82802588614721.25</v>
      </c>
      <c r="V118" s="1691">
        <f t="shared" ca="1" si="403"/>
        <v>104752402877834.28</v>
      </c>
      <c r="W118" s="1691">
        <f t="shared" ca="1" si="403"/>
        <v>130440050455213.41</v>
      </c>
      <c r="X118" s="675"/>
      <c r="Y118" s="1691">
        <f t="shared" ca="1" si="404"/>
        <v>0</v>
      </c>
      <c r="Z118" s="1691">
        <f t="shared" ca="1" si="404"/>
        <v>0</v>
      </c>
      <c r="AA118" s="1691">
        <f t="shared" ca="1" si="404"/>
        <v>0</v>
      </c>
      <c r="AB118" s="1691">
        <f t="shared" ca="1" si="404"/>
        <v>0</v>
      </c>
      <c r="AC118" s="1691">
        <f t="shared" ca="1" si="404"/>
        <v>0</v>
      </c>
      <c r="AD118" s="1691">
        <f t="shared" ca="1" si="404"/>
        <v>0</v>
      </c>
      <c r="AE118" s="1691">
        <f t="shared" ca="1" si="404"/>
        <v>0</v>
      </c>
      <c r="AF118" s="1691">
        <f t="shared" ca="1" si="404"/>
        <v>0</v>
      </c>
      <c r="AG118" s="1691">
        <f t="shared" ca="1" si="404"/>
        <v>0</v>
      </c>
      <c r="AH118" s="675"/>
      <c r="AI118" s="1691">
        <f t="shared" ca="1" si="297"/>
        <v>0</v>
      </c>
      <c r="AJ118" s="1691">
        <f t="shared" ca="1" si="298"/>
        <v>11977568074421.801</v>
      </c>
      <c r="AK118" s="1691">
        <f t="shared" ca="1" si="299"/>
        <v>23611481430998.992</v>
      </c>
      <c r="AL118" s="1691">
        <f t="shared" ca="1" si="300"/>
        <v>37121556381698.992</v>
      </c>
      <c r="AM118" s="1691">
        <f t="shared" ca="1" si="301"/>
        <v>53142591942583.812</v>
      </c>
      <c r="AN118" s="1691">
        <f t="shared" ca="1" si="302"/>
        <v>72338299668631.531</v>
      </c>
      <c r="AO118" s="1691">
        <f t="shared" ca="1" si="303"/>
        <v>92888155680614.125</v>
      </c>
      <c r="AP118" s="1691">
        <f t="shared" ca="1" si="304"/>
        <v>117098109097441.59</v>
      </c>
      <c r="AQ118" s="1691">
        <f t="shared" ca="1" si="305"/>
        <v>145396835910180.94</v>
      </c>
      <c r="AS118" s="1707">
        <f ca="1">AVERAGE(Costs!$AI118:$AQ118)</f>
        <v>61508288687396.867</v>
      </c>
      <c r="AT118" s="1707">
        <f t="shared" ca="1" si="306"/>
        <v>286574941764002.94</v>
      </c>
      <c r="AU118" s="675"/>
      <c r="AV118" s="1700">
        <f>IFERROR(VLOOKUP($A118,Cost.FinanceCostTable,7,FALSE),'Global assumptions'!$H$35)</f>
        <v>0.1</v>
      </c>
      <c r="AW118" s="1692">
        <f>IFERROR(VLOOKUP($A118,Cost.FinanceCostTable,8,FALSE),'Global assumptions'!$I$35)</f>
        <v>15</v>
      </c>
      <c r="AX118" s="675"/>
      <c r="AY118" s="1691">
        <f t="shared" ca="1" si="307"/>
        <v>0</v>
      </c>
      <c r="AZ118" s="1691">
        <f t="shared" ca="1" si="308"/>
        <v>1583969900175.5859</v>
      </c>
      <c r="BA118" s="1691">
        <f t="shared" ca="1" si="309"/>
        <v>2301411956478.1733</v>
      </c>
      <c r="BB118" s="1691">
        <f t="shared" ca="1" si="310"/>
        <v>3171923841426.8301</v>
      </c>
      <c r="BC118" s="1691">
        <f t="shared" ca="1" si="311"/>
        <v>4217666484114.543</v>
      </c>
      <c r="BD118" s="1691">
        <f t="shared" ca="1" si="312"/>
        <v>5469130187123.9258</v>
      </c>
      <c r="BE118" s="1691">
        <f t="shared" ca="1" si="313"/>
        <v>6629937971019.1445</v>
      </c>
      <c r="BF118" s="1691">
        <f t="shared" ca="1" si="314"/>
        <v>8115683125168.4756</v>
      </c>
      <c r="BG118" s="1691">
        <f t="shared" ca="1" si="315"/>
        <v>9832125369293.4746</v>
      </c>
      <c r="BH118" s="675"/>
      <c r="BI118" s="1691">
        <f t="shared" ca="1" si="343"/>
        <v>0</v>
      </c>
      <c r="BJ118" s="1691">
        <f t="shared" ca="1" si="316"/>
        <v>1583969900175.5859</v>
      </c>
      <c r="BK118" s="1691">
        <f t="shared" ca="1" si="317"/>
        <v>3885381856653.7593</v>
      </c>
      <c r="BL118" s="1691">
        <f t="shared" ca="1" si="318"/>
        <v>7057305698080.5898</v>
      </c>
      <c r="BM118" s="1691">
        <f t="shared" ca="1" si="319"/>
        <v>9691002282019.5469</v>
      </c>
      <c r="BN118" s="1691">
        <f t="shared" ca="1" si="320"/>
        <v>12858720512665.299</v>
      </c>
      <c r="BO118" s="1691">
        <f t="shared" ca="1" si="321"/>
        <v>16316734642257.613</v>
      </c>
      <c r="BP118" s="1691">
        <f t="shared" ca="1" si="322"/>
        <v>20214751283311.547</v>
      </c>
      <c r="BQ118" s="1691">
        <f t="shared" ca="1" si="323"/>
        <v>24577746465481.094</v>
      </c>
      <c r="BR118" s="675"/>
      <c r="BS118" s="1702">
        <f t="shared" ca="1" si="324"/>
        <v>0</v>
      </c>
      <c r="BT118" s="1702">
        <f t="shared" ca="1" si="325"/>
        <v>11151977775330.422</v>
      </c>
      <c r="BU118" s="1702">
        <f t="shared" ca="1" si="326"/>
        <v>23995918824104.414</v>
      </c>
      <c r="BV118" s="1702">
        <f t="shared" ca="1" si="327"/>
        <v>39353681094610.078</v>
      </c>
      <c r="BW118" s="1702">
        <f t="shared" ca="1" si="328"/>
        <v>56417612902749.906</v>
      </c>
      <c r="BX118" s="1702">
        <f t="shared" ca="1" si="329"/>
        <v>76877292374573.687</v>
      </c>
      <c r="BY118" s="1702">
        <f t="shared" ca="1" si="330"/>
        <v>99119323256978.859</v>
      </c>
      <c r="BZ118" s="1702">
        <f t="shared" ca="1" si="331"/>
        <v>124967154161145.83</v>
      </c>
      <c r="CA118" s="1702">
        <f t="shared" ca="1" si="332"/>
        <v>155017796920694.5</v>
      </c>
      <c r="CC118" s="1707">
        <f ca="1">AVERAGE(Costs!$BS118:$CA118)</f>
        <v>65211195256687.531</v>
      </c>
      <c r="CD118" s="1707">
        <f t="shared" ca="1" si="333"/>
        <v>297735221146176.62</v>
      </c>
      <c r="CF118" s="1704">
        <f t="shared" ca="1" si="334"/>
        <v>0</v>
      </c>
      <c r="CG118" s="1704">
        <f t="shared" ca="1" si="335"/>
        <v>-825590299091.37939</v>
      </c>
      <c r="CH118" s="1704">
        <f t="shared" ca="1" si="336"/>
        <v>384437393105.42529</v>
      </c>
      <c r="CI118" s="1704">
        <f t="shared" ca="1" si="337"/>
        <v>2232124712911.0879</v>
      </c>
      <c r="CJ118" s="1704">
        <f t="shared" ca="1" si="338"/>
        <v>3275020960166.0928</v>
      </c>
      <c r="CK118" s="1704">
        <f t="shared" ca="1" si="339"/>
        <v>4538992705942.1562</v>
      </c>
      <c r="CL118" s="1704">
        <f t="shared" ca="1" si="340"/>
        <v>6231167576364.7422</v>
      </c>
      <c r="CM118" s="1704">
        <f t="shared" ca="1" si="341"/>
        <v>7869045063704.2383</v>
      </c>
      <c r="CN118" s="1704">
        <f t="shared" ca="1" si="342"/>
        <v>9620961010513.5664</v>
      </c>
      <c r="CP118" s="1707">
        <f ca="1">AVERAGE(Costs!$CF118:$CN118)</f>
        <v>3702906569290.6587</v>
      </c>
      <c r="CQ118" s="1707">
        <f t="shared" ca="1" si="344"/>
        <v>11160279382173.67</v>
      </c>
      <c r="CR118" s="1426" t="str">
        <f t="shared" ca="1" si="345"/>
        <v>ok</v>
      </c>
    </row>
    <row r="119" spans="1:96" s="1673" customFormat="1" x14ac:dyDescent="0.2">
      <c r="A119" s="1683" t="s">
        <v>2593</v>
      </c>
      <c r="B119" s="1683" t="s">
        <v>1726</v>
      </c>
      <c r="C119" s="1683" t="s">
        <v>125</v>
      </c>
      <c r="E119" s="1689">
        <f t="shared" ca="1" si="402"/>
        <v>0</v>
      </c>
      <c r="F119" s="1689">
        <f t="shared" ca="1" si="402"/>
        <v>2272770139826.9399</v>
      </c>
      <c r="G119" s="1689">
        <f t="shared" ca="1" si="402"/>
        <v>3061299033642.3359</v>
      </c>
      <c r="H119" s="1689">
        <f t="shared" ca="1" si="402"/>
        <v>3955117138683.5405</v>
      </c>
      <c r="I119" s="1689">
        <f t="shared" ca="1" si="402"/>
        <v>4947383742712.4385</v>
      </c>
      <c r="J119" s="1689">
        <f t="shared" ca="1" si="402"/>
        <v>6036107988381.9824</v>
      </c>
      <c r="K119" s="1689">
        <f t="shared" ca="1" si="402"/>
        <v>6848356102575.707</v>
      </c>
      <c r="L119" s="1689">
        <f t="shared" ca="1" si="402"/>
        <v>7846448849211.4082</v>
      </c>
      <c r="M119" s="1689">
        <f t="shared" ca="1" si="402"/>
        <v>8860985556126.2734</v>
      </c>
      <c r="N119" s="675"/>
      <c r="O119" s="1689">
        <f t="shared" ca="1" si="403"/>
        <v>0</v>
      </c>
      <c r="P119" s="1689">
        <f t="shared" ca="1" si="403"/>
        <v>84063306204570.797</v>
      </c>
      <c r="Q119" s="1689">
        <f t="shared" ca="1" si="403"/>
        <v>168525510442969.66</v>
      </c>
      <c r="R119" s="1689">
        <f t="shared" ca="1" si="403"/>
        <v>257358482996620.56</v>
      </c>
      <c r="S119" s="1689">
        <f t="shared" ca="1" si="403"/>
        <v>352975737871226.5</v>
      </c>
      <c r="T119" s="1689">
        <f t="shared" ca="1" si="403"/>
        <v>456946601644971.56</v>
      </c>
      <c r="U119" s="1689">
        <f t="shared" ca="1" si="403"/>
        <v>556491498931874.37</v>
      </c>
      <c r="V119" s="1689">
        <f t="shared" ca="1" si="403"/>
        <v>660335552488551.75</v>
      </c>
      <c r="W119" s="1689">
        <f t="shared" ca="1" si="403"/>
        <v>767962238799878.62</v>
      </c>
      <c r="X119" s="675"/>
      <c r="Y119" s="1689">
        <f t="shared" ca="1" si="404"/>
        <v>0</v>
      </c>
      <c r="Z119" s="1689">
        <f t="shared" ca="1" si="404"/>
        <v>0</v>
      </c>
      <c r="AA119" s="1689">
        <f t="shared" ca="1" si="404"/>
        <v>0</v>
      </c>
      <c r="AB119" s="1689">
        <f t="shared" ca="1" si="404"/>
        <v>0</v>
      </c>
      <c r="AC119" s="1689">
        <f t="shared" ca="1" si="404"/>
        <v>0</v>
      </c>
      <c r="AD119" s="1689">
        <f t="shared" ca="1" si="404"/>
        <v>0</v>
      </c>
      <c r="AE119" s="1689">
        <f t="shared" ca="1" si="404"/>
        <v>0</v>
      </c>
      <c r="AF119" s="1689">
        <f t="shared" ca="1" si="404"/>
        <v>0</v>
      </c>
      <c r="AG119" s="1689">
        <f t="shared" ca="1" si="404"/>
        <v>0</v>
      </c>
      <c r="AH119" s="675"/>
      <c r="AI119" s="1689">
        <f t="shared" ref="AI119:AI131" ca="1" si="405">SUM(E119,O119,Y119)</f>
        <v>0</v>
      </c>
      <c r="AJ119" s="1689">
        <f t="shared" ref="AJ119:AJ131" ca="1" si="406">SUM(F119,P119,Z119)</f>
        <v>86336076344397.734</v>
      </c>
      <c r="AK119" s="1689">
        <f t="shared" ref="AK119:AK131" ca="1" si="407">SUM(G119,Q119,AA119)</f>
        <v>171586809476612</v>
      </c>
      <c r="AL119" s="1689">
        <f t="shared" ref="AL119:AL131" ca="1" si="408">SUM(H119,R119,AB119)</f>
        <v>261313600135304.09</v>
      </c>
      <c r="AM119" s="1689">
        <f t="shared" ref="AM119:AM131" ca="1" si="409">SUM(I119,S119,AC119)</f>
        <v>357923121613938.94</v>
      </c>
      <c r="AN119" s="1689">
        <f t="shared" ref="AN119:AN131" ca="1" si="410">SUM(J119,T119,AD119)</f>
        <v>462982709633353.56</v>
      </c>
      <c r="AO119" s="1689">
        <f t="shared" ref="AO119:AO131" ca="1" si="411">SUM(K119,U119,AE119)</f>
        <v>563339855034450.12</v>
      </c>
      <c r="AP119" s="1689">
        <f t="shared" ref="AP119:AP131" ca="1" si="412">SUM(L119,V119,AF119)</f>
        <v>668182001337763.12</v>
      </c>
      <c r="AQ119" s="1689">
        <f t="shared" ref="AQ119:AQ131" ca="1" si="413">SUM(M119,W119,AG119)</f>
        <v>776823224356004.87</v>
      </c>
      <c r="AS119" s="1706">
        <f ca="1">AVERAGE(Costs!$AI119:$AQ119)</f>
        <v>372054155325758.25</v>
      </c>
      <c r="AT119" s="1706">
        <f t="shared" ca="1" si="306"/>
        <v>1883473010393034.5</v>
      </c>
      <c r="AU119" s="675"/>
      <c r="AV119" s="1699">
        <f>IFERROR(VLOOKUP($A119,Cost.FinanceCostTable,7,FALSE),'Global assumptions'!$H$35)</f>
        <v>0.1</v>
      </c>
      <c r="AW119" s="1690">
        <f>IFERROR(VLOOKUP($A119,Cost.FinanceCostTable,8,FALSE),'Global assumptions'!$I$35)</f>
        <v>15</v>
      </c>
      <c r="AX119" s="675"/>
      <c r="AY119" s="1689">
        <f t="shared" ref="AY119:AY131" ca="1" si="414">-PMT($AV119,$AW119,E119*3)</f>
        <v>0</v>
      </c>
      <c r="AZ119" s="1689">
        <f t="shared" ref="AZ119:AZ131" ca="1" si="415">-PMT($AV119,$AW119,F119*5)</f>
        <v>1494048371399.4443</v>
      </c>
      <c r="BA119" s="1689">
        <f t="shared" ref="BA119:BA131" ca="1" si="416">-PMT($AV119,$AW119,G119*5)</f>
        <v>2012402730673.1035</v>
      </c>
      <c r="BB119" s="1689">
        <f t="shared" ref="BB119:BB131" ca="1" si="417">-PMT($AV119,$AW119,H119*5)</f>
        <v>2599970941273.5093</v>
      </c>
      <c r="BC119" s="1689">
        <f t="shared" ref="BC119:BC131" ca="1" si="418">-PMT($AV119,$AW119,I119*5)</f>
        <v>3252256131827.9385</v>
      </c>
      <c r="BD119" s="1689">
        <f t="shared" ref="BD119:BD131" ca="1" si="419">-PMT($AV119,$AW119,J119*5)</f>
        <v>3967949574663.0898</v>
      </c>
      <c r="BE119" s="1689">
        <f t="shared" ref="BE119:BE131" ca="1" si="420">-PMT($AV119,$AW119,K119*5)</f>
        <v>4501896211376.5625</v>
      </c>
      <c r="BF119" s="1689">
        <f t="shared" ref="BF119:BF131" ca="1" si="421">-PMT($AV119,$AW119,L119*5)</f>
        <v>5158011326796.9961</v>
      </c>
      <c r="BG119" s="1689">
        <f t="shared" ref="BG119:BG131" ca="1" si="422">-PMT($AV119,$AW119,M119*5)</f>
        <v>5824936190041.8682</v>
      </c>
      <c r="BH119" s="675"/>
      <c r="BI119" s="1689">
        <f t="shared" ca="1" si="343"/>
        <v>0</v>
      </c>
      <c r="BJ119" s="1689">
        <f t="shared" ref="BJ119:BJ131" ca="1" si="423">AZ119+IF(BJ$2-$BI$2&lt;$AW119,$AY119,0)</f>
        <v>1494048371399.4443</v>
      </c>
      <c r="BK119" s="1689">
        <f t="shared" ref="BK119:BK131" ca="1" si="424">BA119+IF(BK$2-$BI$2&lt;$AW119,$AY119,0)+IF(BK$2-$BJ$2&lt;$AW119,$AZ119,0)</f>
        <v>3506451102072.5479</v>
      </c>
      <c r="BL119" s="1689">
        <f t="shared" ref="BL119:BL131" ca="1" si="425">BB119+IF(BL$2-$BI$2&lt;$AW119,$AY119,0)+IF(BL$2-$BJ$2&lt;$AW119,$AZ119,0)+IF(BL$2-$BK$2&lt;$AW119,$BA119,0)</f>
        <v>6106422043346.0566</v>
      </c>
      <c r="BM119" s="1689">
        <f t="shared" ref="BM119:BM131" ca="1" si="426">BC119+IF(BM$2-$BI$2&lt;$AW119,$AY119,0)+IF(BM$2-$BJ$2&lt;$AW119,$AZ119,0)+IF(BM$2-$BK$2&lt;$AW119,$BA119,0)+IF(BM$2-$BL$2&lt;$AW119,$BB119,0)</f>
        <v>7864629803774.5508</v>
      </c>
      <c r="BN119" s="1689">
        <f t="shared" ref="BN119:BN131" ca="1" si="427">BD119+IF(BN$2-$BI$2&lt;$AW119,$AY119,0)+IF(BN$2-$BJ$2&lt;$AW119,$AZ119,0)+IF(BN$2-$BK$2&lt;$AW119,$BA119,0)+IF(BN$2-$BL$2&lt;$AW119,$BB119,0)+IF(BN$2-$BM$2&lt;$AW119,$BC119,0)</f>
        <v>9820176647764.5391</v>
      </c>
      <c r="BO119" s="1689">
        <f t="shared" ref="BO119:BO131" ca="1" si="428">BE119+IF(BO$2-$BI$2&lt;$AW119,$AY119,0)+IF(BO$2-$BJ$2&lt;$AW119,$AZ119,0)+IF(BO$2-$BK$2&lt;$AW119,$BA119,0)+IF(BO$2-$BL$2&lt;$AW119,$BB119,0)+IF(BO$2-$BM$2&lt;$AW119,$BC119,0)+IF(BO$2-$BN$2&lt;$AW119,$BD119,0)</f>
        <v>11722101917867.59</v>
      </c>
      <c r="BP119" s="1689">
        <f t="shared" ref="BP119:BP131" ca="1" si="429">BF119+IF(BP$2-$BI$2&lt;$AW119,$AY119,0)+IF(BP$2-$BJ$2&lt;$AW119,$AZ119,0)+IF(BP$2-$BK$2&lt;$AW119,$BA119,0)+IF(BP$2-$BL$2&lt;$AW119,$BB119,0)+IF(BP$2-$BM$2&lt;$AW119,$BC119,0)+IF(BP$2-$BN$2&lt;$AW119,$BD119,0)+IF(BP$2-$BM$2&lt;$AW119,$BC119,0)+IF(BP$2-$BO$2&lt;$AW119,$BE119,0)</f>
        <v>13627857112836.648</v>
      </c>
      <c r="BQ119" s="1689">
        <f t="shared" ref="BQ119:BQ131" ca="1" si="430">BG119+IF(BQ$2-$BI$2&lt;$AW119,$AY119,0)+IF(BQ$2-$BJ$2&lt;$AW119,$AZ119,0)+IF(BQ$2-$BK$2&lt;$AW119,$BA119,0)+IF(BQ$2-$BL$2&lt;$AW119,$BB119,0)+IF(BQ$2-$BM$2&lt;$AW119,$BC119,0)+IF(BQ$2-$BN$2&lt;$AW119,$BD119,0)+IF(BQ$2-$BM$2&lt;$AW119,$BC119,0)+IF(BQ$2-$BO$2&lt;$AW119,$BE119,0)+IF(BQ$2-$BP$2&lt;$AW119,$BF119,0)</f>
        <v>15484843728215.426</v>
      </c>
      <c r="BR119" s="675"/>
      <c r="BS119" s="1701">
        <f t="shared" ref="BS119:BS131" ca="1" si="431">O119+Y119+BI119</f>
        <v>0</v>
      </c>
      <c r="BT119" s="1701">
        <f t="shared" ref="BT119:BT131" ca="1" si="432">P119+Z119+BJ119</f>
        <v>85557354575970.234</v>
      </c>
      <c r="BU119" s="1701">
        <f t="shared" ref="BU119:BU131" ca="1" si="433">Q119+AA119+BK119</f>
        <v>172031961545042.22</v>
      </c>
      <c r="BV119" s="1701">
        <f t="shared" ref="BV119:BV131" ca="1" si="434">R119+AB119+BL119</f>
        <v>263464905039966.62</v>
      </c>
      <c r="BW119" s="1701">
        <f t="shared" ref="BW119:BW131" ca="1" si="435">S119+AC119+BM119</f>
        <v>360840367675001.06</v>
      </c>
      <c r="BX119" s="1701">
        <f t="shared" ref="BX119:BX131" ca="1" si="436">T119+AD119+BN119</f>
        <v>466766778292736.12</v>
      </c>
      <c r="BY119" s="1701">
        <f t="shared" ref="BY119:BY131" ca="1" si="437">U119+AE119+BO119</f>
        <v>568213600849742</v>
      </c>
      <c r="BZ119" s="1701">
        <f t="shared" ref="BZ119:BZ131" ca="1" si="438">V119+AF119+BP119</f>
        <v>673963409601388.37</v>
      </c>
      <c r="CA119" s="1701">
        <f t="shared" ref="CA119:CA131" ca="1" si="439">W119+AG119+BQ119</f>
        <v>783447082528094</v>
      </c>
      <c r="CC119" s="1706">
        <f ca="1">AVERAGE(Costs!$BS119:$CA119)</f>
        <v>374920606678660.06</v>
      </c>
      <c r="CD119" s="1706">
        <f t="shared" ref="CD119:CD132" ca="1" si="440">(SUMPRODUCT(BT119:CA119,discount_factors)*5)+BS119</f>
        <v>1892640817532606.2</v>
      </c>
      <c r="CF119" s="1703">
        <f t="shared" ref="CF119:CF132" ca="1" si="441">BI119-E119</f>
        <v>0</v>
      </c>
      <c r="CG119" s="1703">
        <f t="shared" ref="CG119:CG132" ca="1" si="442">BJ119-F119</f>
        <v>-778721768427.49561</v>
      </c>
      <c r="CH119" s="1703">
        <f t="shared" ref="CH119:CH132" ca="1" si="443">BK119-G119</f>
        <v>445152068430.21191</v>
      </c>
      <c r="CI119" s="1703">
        <f t="shared" ref="CI119:CI132" ca="1" si="444">BL119-H119</f>
        <v>2151304904662.5161</v>
      </c>
      <c r="CJ119" s="1703">
        <f t="shared" ref="CJ119:CJ132" ca="1" si="445">BM119-I119</f>
        <v>2917246061062.1123</v>
      </c>
      <c r="CK119" s="1703">
        <f t="shared" ref="CK119:CK132" ca="1" si="446">BN119-J119</f>
        <v>3784068659382.5566</v>
      </c>
      <c r="CL119" s="1703">
        <f t="shared" ref="CL119:CL132" ca="1" si="447">BO119-K119</f>
        <v>4873745815291.8828</v>
      </c>
      <c r="CM119" s="1703">
        <f t="shared" ref="CM119:CM132" ca="1" si="448">BP119-L119</f>
        <v>5781408263625.2402</v>
      </c>
      <c r="CN119" s="1703">
        <f t="shared" ref="CN119:CN132" ca="1" si="449">BQ119-M119</f>
        <v>6623858172089.1523</v>
      </c>
      <c r="CP119" s="1706">
        <f ca="1">AVERAGE(Costs!$CF119:$CN119)</f>
        <v>2866451352901.7974</v>
      </c>
      <c r="CQ119" s="1706">
        <f t="shared" ca="1" si="344"/>
        <v>9167807139571.5801</v>
      </c>
      <c r="CR119" s="1426" t="str">
        <f t="shared" ca="1" si="345"/>
        <v>ok</v>
      </c>
    </row>
    <row r="120" spans="1:96" s="1673" customFormat="1" x14ac:dyDescent="0.2">
      <c r="A120" s="1685" t="s">
        <v>1775</v>
      </c>
      <c r="B120" s="1685" t="s">
        <v>1730</v>
      </c>
      <c r="C120" s="1685" t="s">
        <v>125</v>
      </c>
      <c r="E120" s="1691">
        <f t="shared" ca="1" si="402"/>
        <v>0</v>
      </c>
      <c r="F120" s="1691">
        <f t="shared" ca="1" si="402"/>
        <v>7045242946.0293589</v>
      </c>
      <c r="G120" s="1691">
        <f t="shared" ca="1" si="402"/>
        <v>9464353288.8555794</v>
      </c>
      <c r="H120" s="1691">
        <f t="shared" ca="1" si="402"/>
        <v>12397587476.098604</v>
      </c>
      <c r="I120" s="1691">
        <f t="shared" ca="1" si="402"/>
        <v>15938292215.097834</v>
      </c>
      <c r="J120" s="1691">
        <f t="shared" ca="1" si="402"/>
        <v>20195469309.748646</v>
      </c>
      <c r="K120" s="1691">
        <f t="shared" ca="1" si="402"/>
        <v>24505577994.893242</v>
      </c>
      <c r="L120" s="1691">
        <f t="shared" ca="1" si="402"/>
        <v>29670478250.292168</v>
      </c>
      <c r="M120" s="1691">
        <f t="shared" ca="1" si="402"/>
        <v>35645048081.300255</v>
      </c>
      <c r="N120" s="675"/>
      <c r="O120" s="1691">
        <f t="shared" ca="1" si="403"/>
        <v>11705177062.555077</v>
      </c>
      <c r="P120" s="1691">
        <f t="shared" ca="1" si="403"/>
        <v>16554166827.392214</v>
      </c>
      <c r="Q120" s="1691">
        <f t="shared" ca="1" si="403"/>
        <v>22475424367.287701</v>
      </c>
      <c r="R120" s="1691">
        <f t="shared" ca="1" si="403"/>
        <v>29667026336.909939</v>
      </c>
      <c r="S120" s="1691">
        <f t="shared" ca="1" si="403"/>
        <v>38360591142.425568</v>
      </c>
      <c r="T120" s="1691">
        <f t="shared" ca="1" si="403"/>
        <v>48826673853.614586</v>
      </c>
      <c r="U120" s="1691">
        <f t="shared" ca="1" si="403"/>
        <v>59898436984.314705</v>
      </c>
      <c r="V120" s="1691">
        <f t="shared" ca="1" si="403"/>
        <v>72745985857.673447</v>
      </c>
      <c r="W120" s="1691">
        <f t="shared" ca="1" si="403"/>
        <v>87619032540.344666</v>
      </c>
      <c r="X120" s="675"/>
      <c r="Y120" s="1691">
        <f t="shared" ca="1" si="404"/>
        <v>0</v>
      </c>
      <c r="Z120" s="1691">
        <f t="shared" ca="1" si="404"/>
        <v>0</v>
      </c>
      <c r="AA120" s="1691">
        <f t="shared" ca="1" si="404"/>
        <v>0</v>
      </c>
      <c r="AB120" s="1691">
        <f t="shared" ca="1" si="404"/>
        <v>0</v>
      </c>
      <c r="AC120" s="1691">
        <f t="shared" ca="1" si="404"/>
        <v>0</v>
      </c>
      <c r="AD120" s="1691">
        <f t="shared" ca="1" si="404"/>
        <v>0</v>
      </c>
      <c r="AE120" s="1691">
        <f t="shared" ca="1" si="404"/>
        <v>0</v>
      </c>
      <c r="AF120" s="1691">
        <f t="shared" ca="1" si="404"/>
        <v>0</v>
      </c>
      <c r="AG120" s="1691">
        <f t="shared" ca="1" si="404"/>
        <v>0</v>
      </c>
      <c r="AH120" s="675"/>
      <c r="AI120" s="1691">
        <f t="shared" ca="1" si="405"/>
        <v>11705177062.555077</v>
      </c>
      <c r="AJ120" s="1691">
        <f t="shared" ca="1" si="406"/>
        <v>23599409773.421574</v>
      </c>
      <c r="AK120" s="1691">
        <f t="shared" ca="1" si="407"/>
        <v>31939777656.14328</v>
      </c>
      <c r="AL120" s="1691">
        <f t="shared" ca="1" si="408"/>
        <v>42064613813.008545</v>
      </c>
      <c r="AM120" s="1691">
        <f t="shared" ca="1" si="409"/>
        <v>54298883357.523399</v>
      </c>
      <c r="AN120" s="1691">
        <f t="shared" ca="1" si="410"/>
        <v>69022143163.363235</v>
      </c>
      <c r="AO120" s="1691">
        <f t="shared" ca="1" si="411"/>
        <v>84404014979.207947</v>
      </c>
      <c r="AP120" s="1691">
        <f t="shared" ca="1" si="412"/>
        <v>102416464107.96561</v>
      </c>
      <c r="AQ120" s="1691">
        <f t="shared" ca="1" si="413"/>
        <v>123264080621.64493</v>
      </c>
      <c r="AS120" s="1707">
        <f ca="1">AVERAGE(Costs!$AI120:$AQ120)</f>
        <v>60301618281.648178</v>
      </c>
      <c r="AT120" s="1707">
        <f t="shared" ca="1" si="306"/>
        <v>344882615181.22949</v>
      </c>
      <c r="AU120" s="675"/>
      <c r="AV120" s="1700">
        <f>IFERROR(VLOOKUP($A120,Cost.FinanceCostTable,7,FALSE),'Global assumptions'!$H$35)</f>
        <v>0.1</v>
      </c>
      <c r="AW120" s="1692">
        <f>IFERROR(VLOOKUP($A120,Cost.FinanceCostTable,8,FALSE),'Global assumptions'!$I$35)</f>
        <v>5</v>
      </c>
      <c r="AX120" s="675"/>
      <c r="AY120" s="1691">
        <f t="shared" ca="1" si="414"/>
        <v>0</v>
      </c>
      <c r="AZ120" s="1691">
        <f t="shared" ca="1" si="415"/>
        <v>9292586703.7474785</v>
      </c>
      <c r="BA120" s="1691">
        <f t="shared" ca="1" si="416"/>
        <v>12483362774.757826</v>
      </c>
      <c r="BB120" s="1691">
        <f t="shared" ca="1" si="417"/>
        <v>16352261720.636488</v>
      </c>
      <c r="BC120" s="1691">
        <f t="shared" ca="1" si="418"/>
        <v>21022406672.566555</v>
      </c>
      <c r="BD120" s="1691">
        <f t="shared" ca="1" si="419"/>
        <v>26637569636.896442</v>
      </c>
      <c r="BE120" s="1691">
        <f t="shared" ca="1" si="420"/>
        <v>32322548702.359932</v>
      </c>
      <c r="BF120" s="1691">
        <f t="shared" ca="1" si="421"/>
        <v>39134987082.011803</v>
      </c>
      <c r="BG120" s="1691">
        <f t="shared" ca="1" si="422"/>
        <v>47015369433.272911</v>
      </c>
      <c r="BH120" s="675"/>
      <c r="BI120" s="1691">
        <f t="shared" ca="1" si="343"/>
        <v>0</v>
      </c>
      <c r="BJ120" s="1691">
        <f t="shared" ca="1" si="423"/>
        <v>9292586703.7474785</v>
      </c>
      <c r="BK120" s="1691">
        <f t="shared" ca="1" si="424"/>
        <v>12483362774.757826</v>
      </c>
      <c r="BL120" s="1691">
        <f t="shared" ca="1" si="425"/>
        <v>16352261720.636488</v>
      </c>
      <c r="BM120" s="1691">
        <f t="shared" ca="1" si="426"/>
        <v>21022406672.566555</v>
      </c>
      <c r="BN120" s="1691">
        <f t="shared" ca="1" si="427"/>
        <v>26637569636.896442</v>
      </c>
      <c r="BO120" s="1691">
        <f t="shared" ca="1" si="428"/>
        <v>32322548702.359932</v>
      </c>
      <c r="BP120" s="1691">
        <f t="shared" ca="1" si="429"/>
        <v>39134987082.011803</v>
      </c>
      <c r="BQ120" s="1691">
        <f t="shared" ca="1" si="430"/>
        <v>47015369433.272911</v>
      </c>
      <c r="BR120" s="675"/>
      <c r="BS120" s="1702">
        <f t="shared" ca="1" si="431"/>
        <v>11705177062.555077</v>
      </c>
      <c r="BT120" s="1702">
        <f t="shared" ca="1" si="432"/>
        <v>25846753531.139694</v>
      </c>
      <c r="BU120" s="1702">
        <f t="shared" ca="1" si="433"/>
        <v>34958787142.045525</v>
      </c>
      <c r="BV120" s="1702">
        <f t="shared" ca="1" si="434"/>
        <v>46019288057.546425</v>
      </c>
      <c r="BW120" s="1702">
        <f t="shared" ca="1" si="435"/>
        <v>59382997814.992126</v>
      </c>
      <c r="BX120" s="1702">
        <f t="shared" ca="1" si="436"/>
        <v>75464243490.511032</v>
      </c>
      <c r="BY120" s="1702">
        <f t="shared" ca="1" si="437"/>
        <v>92220985686.674637</v>
      </c>
      <c r="BZ120" s="1702">
        <f t="shared" ca="1" si="438"/>
        <v>111880972939.68524</v>
      </c>
      <c r="CA120" s="1702">
        <f t="shared" ca="1" si="439"/>
        <v>134634401973.61758</v>
      </c>
      <c r="CC120" s="1707">
        <f ca="1">AVERAGE(Costs!$BS120:$CA120)</f>
        <v>65790400855.418594</v>
      </c>
      <c r="CD120" s="1707">
        <f t="shared" ca="1" si="440"/>
        <v>376168221882.94189</v>
      </c>
      <c r="CF120" s="1704">
        <f t="shared" ca="1" si="441"/>
        <v>0</v>
      </c>
      <c r="CG120" s="1704">
        <f t="shared" ca="1" si="442"/>
        <v>2247343757.7181196</v>
      </c>
      <c r="CH120" s="1704">
        <f t="shared" ca="1" si="443"/>
        <v>3019009485.9022465</v>
      </c>
      <c r="CI120" s="1704">
        <f t="shared" ca="1" si="444"/>
        <v>3954674244.5378838</v>
      </c>
      <c r="CJ120" s="1704">
        <f t="shared" ca="1" si="445"/>
        <v>5084114457.4687214</v>
      </c>
      <c r="CK120" s="1704">
        <f t="shared" ca="1" si="446"/>
        <v>6442100327.1477966</v>
      </c>
      <c r="CL120" s="1704">
        <f t="shared" ca="1" si="447"/>
        <v>7816970707.4666901</v>
      </c>
      <c r="CM120" s="1704">
        <f t="shared" ca="1" si="448"/>
        <v>9464508831.719635</v>
      </c>
      <c r="CN120" s="1704">
        <f t="shared" ca="1" si="449"/>
        <v>11370321351.972656</v>
      </c>
      <c r="CP120" s="1707">
        <f ca="1">AVERAGE(Costs!$CF120:$CN120)</f>
        <v>5488782573.7704163</v>
      </c>
      <c r="CQ120" s="1707">
        <f t="shared" ca="1" si="344"/>
        <v>31285606701.712364</v>
      </c>
      <c r="CR120" s="1426" t="str">
        <f t="shared" ca="1" si="345"/>
        <v>ok</v>
      </c>
    </row>
    <row r="121" spans="1:96" s="1673" customFormat="1" x14ac:dyDescent="0.2">
      <c r="A121" s="1683" t="s">
        <v>1724</v>
      </c>
      <c r="B121" s="1683" t="s">
        <v>19</v>
      </c>
      <c r="C121" s="1683" t="s">
        <v>125</v>
      </c>
      <c r="E121" s="1689">
        <f t="shared" ca="1" si="402"/>
        <v>0</v>
      </c>
      <c r="F121" s="1689">
        <f t="shared" ca="1" si="402"/>
        <v>0</v>
      </c>
      <c r="G121" s="1689">
        <f t="shared" ca="1" si="402"/>
        <v>10912968586.432213</v>
      </c>
      <c r="H121" s="1689">
        <f t="shared" ca="1" si="402"/>
        <v>15015195237.925186</v>
      </c>
      <c r="I121" s="1689">
        <f t="shared" ca="1" si="402"/>
        <v>19486141665.05225</v>
      </c>
      <c r="J121" s="1689">
        <f t="shared" ca="1" si="402"/>
        <v>24855189349.219784</v>
      </c>
      <c r="K121" s="1689">
        <f t="shared" ca="1" si="402"/>
        <v>29023297884.083496</v>
      </c>
      <c r="L121" s="1689">
        <f t="shared" ca="1" si="402"/>
        <v>35469323987.293343</v>
      </c>
      <c r="M121" s="1689">
        <f t="shared" ca="1" si="402"/>
        <v>43561465901.725677</v>
      </c>
      <c r="N121" s="675"/>
      <c r="O121" s="1689">
        <f t="shared" ca="1" si="403"/>
        <v>1140224708017.6152</v>
      </c>
      <c r="P121" s="1689">
        <f t="shared" ca="1" si="403"/>
        <v>787536383227.64038</v>
      </c>
      <c r="Q121" s="1689">
        <f t="shared" ca="1" si="403"/>
        <v>864522845958.45996</v>
      </c>
      <c r="R121" s="1689">
        <f t="shared" ca="1" si="403"/>
        <v>991561913894.73145</v>
      </c>
      <c r="S121" s="1689">
        <f t="shared" ca="1" si="403"/>
        <v>1151332802966.8091</v>
      </c>
      <c r="T121" s="1689">
        <f t="shared" ca="1" si="403"/>
        <v>1342854485940.5957</v>
      </c>
      <c r="U121" s="1689">
        <f t="shared" ca="1" si="403"/>
        <v>1530972836188.6189</v>
      </c>
      <c r="V121" s="1689">
        <f t="shared" ca="1" si="403"/>
        <v>1746247383406.8845</v>
      </c>
      <c r="W121" s="1689">
        <f t="shared" ca="1" si="403"/>
        <v>1991533879491.3459</v>
      </c>
      <c r="X121" s="675"/>
      <c r="Y121" s="1689">
        <f t="shared" ca="1" si="404"/>
        <v>0</v>
      </c>
      <c r="Z121" s="1689">
        <f t="shared" ca="1" si="404"/>
        <v>0</v>
      </c>
      <c r="AA121" s="1689">
        <f t="shared" ca="1" si="404"/>
        <v>0</v>
      </c>
      <c r="AB121" s="1689">
        <f t="shared" ca="1" si="404"/>
        <v>0</v>
      </c>
      <c r="AC121" s="1689">
        <f t="shared" ca="1" si="404"/>
        <v>0</v>
      </c>
      <c r="AD121" s="1689">
        <f t="shared" ca="1" si="404"/>
        <v>0</v>
      </c>
      <c r="AE121" s="1689">
        <f t="shared" ca="1" si="404"/>
        <v>0</v>
      </c>
      <c r="AF121" s="1689">
        <f t="shared" ca="1" si="404"/>
        <v>0</v>
      </c>
      <c r="AG121" s="1689">
        <f t="shared" ca="1" si="404"/>
        <v>0</v>
      </c>
      <c r="AH121" s="675"/>
      <c r="AI121" s="1689">
        <f t="shared" ca="1" si="405"/>
        <v>1140224708017.6152</v>
      </c>
      <c r="AJ121" s="1689">
        <f t="shared" ca="1" si="406"/>
        <v>787536383227.64038</v>
      </c>
      <c r="AK121" s="1689">
        <f t="shared" ca="1" si="407"/>
        <v>875435814544.89221</v>
      </c>
      <c r="AL121" s="1689">
        <f t="shared" ca="1" si="408"/>
        <v>1006577109132.6566</v>
      </c>
      <c r="AM121" s="1689">
        <f t="shared" ca="1" si="409"/>
        <v>1170818944631.8613</v>
      </c>
      <c r="AN121" s="1689">
        <f t="shared" ca="1" si="410"/>
        <v>1367709675289.8154</v>
      </c>
      <c r="AO121" s="1689">
        <f t="shared" ca="1" si="411"/>
        <v>1559996134072.7024</v>
      </c>
      <c r="AP121" s="1689">
        <f t="shared" ca="1" si="412"/>
        <v>1781716707394.178</v>
      </c>
      <c r="AQ121" s="1689">
        <f t="shared" ca="1" si="413"/>
        <v>2035095345393.0715</v>
      </c>
      <c r="AS121" s="1706">
        <f ca="1">AVERAGE(Costs!$AI121:$AQ121)</f>
        <v>1302790091300.4927</v>
      </c>
      <c r="AT121" s="1706">
        <f t="shared" ca="1" si="306"/>
        <v>9300297206915.2656</v>
      </c>
      <c r="AU121" s="675"/>
      <c r="AV121" s="1699">
        <f>IFERROR(VLOOKUP($A121,Cost.FinanceCostTable,7,FALSE),'Global assumptions'!$H$35)</f>
        <v>0.1</v>
      </c>
      <c r="AW121" s="1690">
        <f>IFERROR(VLOOKUP($A121,Cost.FinanceCostTable,8,FALSE),'Global assumptions'!$I$35)</f>
        <v>30</v>
      </c>
      <c r="AX121" s="675"/>
      <c r="AY121" s="1689">
        <f t="shared" ca="1" si="414"/>
        <v>0</v>
      </c>
      <c r="AZ121" s="1689">
        <f t="shared" ca="1" si="415"/>
        <v>0</v>
      </c>
      <c r="BA121" s="1689">
        <f t="shared" ca="1" si="416"/>
        <v>5788197519.2666912</v>
      </c>
      <c r="BB121" s="1689">
        <f t="shared" ca="1" si="417"/>
        <v>7964003116.028162</v>
      </c>
      <c r="BC121" s="1689">
        <f t="shared" ca="1" si="418"/>
        <v>10335376295.865355</v>
      </c>
      <c r="BD121" s="1689">
        <f t="shared" ca="1" si="419"/>
        <v>13183099006.710541</v>
      </c>
      <c r="BE121" s="1689">
        <f t="shared" ca="1" si="420"/>
        <v>15393848106.77919</v>
      </c>
      <c r="BF121" s="1689">
        <f t="shared" ca="1" si="421"/>
        <v>18812796123.005966</v>
      </c>
      <c r="BG121" s="1689">
        <f t="shared" ca="1" si="422"/>
        <v>23104837778.18903</v>
      </c>
      <c r="BH121" s="675"/>
      <c r="BI121" s="1689">
        <f t="shared" ca="1" si="343"/>
        <v>0</v>
      </c>
      <c r="BJ121" s="1689">
        <f t="shared" ca="1" si="423"/>
        <v>0</v>
      </c>
      <c r="BK121" s="1689">
        <f t="shared" ca="1" si="424"/>
        <v>5788197519.2666912</v>
      </c>
      <c r="BL121" s="1689">
        <f t="shared" ca="1" si="425"/>
        <v>13752200635.294853</v>
      </c>
      <c r="BM121" s="1689">
        <f t="shared" ca="1" si="426"/>
        <v>24087576931.16021</v>
      </c>
      <c r="BN121" s="1689">
        <f t="shared" ca="1" si="427"/>
        <v>37270675937.87075</v>
      </c>
      <c r="BO121" s="1689">
        <f t="shared" ca="1" si="428"/>
        <v>52664524044.64994</v>
      </c>
      <c r="BP121" s="1689">
        <f t="shared" ca="1" si="429"/>
        <v>81812696463.521271</v>
      </c>
      <c r="BQ121" s="1689">
        <f t="shared" ca="1" si="430"/>
        <v>99129336722.443604</v>
      </c>
      <c r="BR121" s="675"/>
      <c r="BS121" s="1701">
        <f t="shared" ca="1" si="431"/>
        <v>1140224708017.6152</v>
      </c>
      <c r="BT121" s="1701">
        <f t="shared" ca="1" si="432"/>
        <v>787536383227.64038</v>
      </c>
      <c r="BU121" s="1701">
        <f t="shared" ca="1" si="433"/>
        <v>870311043477.72668</v>
      </c>
      <c r="BV121" s="1701">
        <f t="shared" ca="1" si="434"/>
        <v>1005314114530.0262</v>
      </c>
      <c r="BW121" s="1701">
        <f t="shared" ca="1" si="435"/>
        <v>1175420379897.9692</v>
      </c>
      <c r="BX121" s="1701">
        <f t="shared" ca="1" si="436"/>
        <v>1380125161878.4666</v>
      </c>
      <c r="BY121" s="1701">
        <f t="shared" ca="1" si="437"/>
        <v>1583637360233.2688</v>
      </c>
      <c r="BZ121" s="1701">
        <f t="shared" ca="1" si="438"/>
        <v>1828060079870.4058</v>
      </c>
      <c r="CA121" s="1701">
        <f t="shared" ca="1" si="439"/>
        <v>2090663216213.7896</v>
      </c>
      <c r="CC121" s="1706">
        <f ca="1">AVERAGE(Costs!$BS121:$CA121)</f>
        <v>1317921383038.5454</v>
      </c>
      <c r="CD121" s="1706">
        <f t="shared" ca="1" si="440"/>
        <v>9328132717767.6172</v>
      </c>
      <c r="CF121" s="1703">
        <f t="shared" ca="1" si="441"/>
        <v>0</v>
      </c>
      <c r="CG121" s="1703">
        <f t="shared" ca="1" si="442"/>
        <v>0</v>
      </c>
      <c r="CH121" s="1703">
        <f t="shared" ca="1" si="443"/>
        <v>-5124771067.1655216</v>
      </c>
      <c r="CI121" s="1703">
        <f t="shared" ca="1" si="444"/>
        <v>-1262994602.6303329</v>
      </c>
      <c r="CJ121" s="1703">
        <f t="shared" ca="1" si="445"/>
        <v>4601435266.1079597</v>
      </c>
      <c r="CK121" s="1703">
        <f t="shared" ca="1" si="446"/>
        <v>12415486588.650967</v>
      </c>
      <c r="CL121" s="1703">
        <f t="shared" ca="1" si="447"/>
        <v>23641226160.566444</v>
      </c>
      <c r="CM121" s="1703">
        <f t="shared" ca="1" si="448"/>
        <v>46343372476.227928</v>
      </c>
      <c r="CN121" s="1703">
        <f t="shared" ca="1" si="449"/>
        <v>55567870820.717926</v>
      </c>
      <c r="CP121" s="1706">
        <f ca="1">AVERAGE(Costs!$CF121:$CN121)</f>
        <v>15131291738.052818</v>
      </c>
      <c r="CQ121" s="1706">
        <f t="shared" ca="1" si="344"/>
        <v>27835510852.350807</v>
      </c>
      <c r="CR121" s="1426" t="str">
        <f t="shared" ca="1" si="345"/>
        <v>ok</v>
      </c>
    </row>
    <row r="122" spans="1:96" s="1673" customFormat="1" x14ac:dyDescent="0.2">
      <c r="A122" s="1685" t="s">
        <v>1725</v>
      </c>
      <c r="B122" s="1685" t="s">
        <v>397</v>
      </c>
      <c r="C122" s="1685" t="s">
        <v>125</v>
      </c>
      <c r="E122" s="1691">
        <f t="shared" ref="E122:M131" ca="1" si="450">IFERROR(INDEX(INDIRECT($A122&amp;".Costs["&amp;E$2&amp;"]"), MATCH($E$90, INDIRECT($A122&amp;".Costs[Vector]"), 0)),0)</f>
        <v>0</v>
      </c>
      <c r="F122" s="1691">
        <f t="shared" ca="1" si="450"/>
        <v>0</v>
      </c>
      <c r="G122" s="1691">
        <f t="shared" ca="1" si="450"/>
        <v>0</v>
      </c>
      <c r="H122" s="1691">
        <f t="shared" ca="1" si="450"/>
        <v>0</v>
      </c>
      <c r="I122" s="1691">
        <f t="shared" ca="1" si="450"/>
        <v>0</v>
      </c>
      <c r="J122" s="1691">
        <f t="shared" ca="1" si="450"/>
        <v>0</v>
      </c>
      <c r="K122" s="1691">
        <f t="shared" ca="1" si="450"/>
        <v>0</v>
      </c>
      <c r="L122" s="1691">
        <f t="shared" ca="1" si="450"/>
        <v>0</v>
      </c>
      <c r="M122" s="1691">
        <f t="shared" ca="1" si="450"/>
        <v>0</v>
      </c>
      <c r="N122" s="675"/>
      <c r="O122" s="1691">
        <f t="shared" ref="O122:W131" ca="1" si="451">IFERROR(INDEX(INDIRECT($A122&amp;".Costs["&amp;O$2&amp;"]"), MATCH($O$90, INDIRECT($A122&amp;".Costs[Vector]"), 0)),0)</f>
        <v>0</v>
      </c>
      <c r="P122" s="1691">
        <f t="shared" ca="1" si="451"/>
        <v>0</v>
      </c>
      <c r="Q122" s="1691">
        <f t="shared" ca="1" si="451"/>
        <v>0</v>
      </c>
      <c r="R122" s="1691">
        <f t="shared" ca="1" si="451"/>
        <v>0</v>
      </c>
      <c r="S122" s="1691">
        <f t="shared" ca="1" si="451"/>
        <v>0</v>
      </c>
      <c r="T122" s="1691">
        <f t="shared" ca="1" si="451"/>
        <v>0</v>
      </c>
      <c r="U122" s="1691">
        <f t="shared" ca="1" si="451"/>
        <v>0</v>
      </c>
      <c r="V122" s="1691">
        <f t="shared" ca="1" si="451"/>
        <v>0</v>
      </c>
      <c r="W122" s="1691">
        <f t="shared" ca="1" si="451"/>
        <v>0</v>
      </c>
      <c r="X122" s="675"/>
      <c r="Y122" s="1691">
        <f t="shared" ref="Y122:AG131" ca="1" si="452">IFERROR(INDEX(INDIRECT($A122&amp;".Costs["&amp;Y$2&amp;"]"), MATCH($Y$90, INDIRECT($A122&amp;".Costs[Vector]"), 0)),0)</f>
        <v>0</v>
      </c>
      <c r="Z122" s="1691">
        <f t="shared" ca="1" si="452"/>
        <v>0</v>
      </c>
      <c r="AA122" s="1691">
        <f t="shared" ca="1" si="452"/>
        <v>0</v>
      </c>
      <c r="AB122" s="1691">
        <f t="shared" ca="1" si="452"/>
        <v>0</v>
      </c>
      <c r="AC122" s="1691">
        <f t="shared" ca="1" si="452"/>
        <v>0</v>
      </c>
      <c r="AD122" s="1691">
        <f t="shared" ca="1" si="452"/>
        <v>0</v>
      </c>
      <c r="AE122" s="1691">
        <f t="shared" ca="1" si="452"/>
        <v>0</v>
      </c>
      <c r="AF122" s="1691">
        <f t="shared" ca="1" si="452"/>
        <v>0</v>
      </c>
      <c r="AG122" s="1691">
        <f t="shared" ca="1" si="452"/>
        <v>0</v>
      </c>
      <c r="AH122" s="675"/>
      <c r="AI122" s="1691">
        <f t="shared" ca="1" si="405"/>
        <v>0</v>
      </c>
      <c r="AJ122" s="1691">
        <f t="shared" ca="1" si="406"/>
        <v>0</v>
      </c>
      <c r="AK122" s="1691">
        <f t="shared" ca="1" si="407"/>
        <v>0</v>
      </c>
      <c r="AL122" s="1691">
        <f t="shared" ca="1" si="408"/>
        <v>0</v>
      </c>
      <c r="AM122" s="1691">
        <f t="shared" ca="1" si="409"/>
        <v>0</v>
      </c>
      <c r="AN122" s="1691">
        <f t="shared" ca="1" si="410"/>
        <v>0</v>
      </c>
      <c r="AO122" s="1691">
        <f t="shared" ca="1" si="411"/>
        <v>0</v>
      </c>
      <c r="AP122" s="1691">
        <f t="shared" ca="1" si="412"/>
        <v>0</v>
      </c>
      <c r="AQ122" s="1691">
        <f t="shared" ca="1" si="413"/>
        <v>0</v>
      </c>
      <c r="AS122" s="1707">
        <f ca="1">AVERAGE(Costs!$AI122:$AQ122)</f>
        <v>0</v>
      </c>
      <c r="AT122" s="1707">
        <f t="shared" ca="1" si="306"/>
        <v>0</v>
      </c>
      <c r="AU122" s="675"/>
      <c r="AV122" s="1700">
        <f>IFERROR(VLOOKUP($A122,Cost.FinanceCostTable,7,FALSE),'Global assumptions'!$H$35)</f>
        <v>0.1</v>
      </c>
      <c r="AW122" s="1692">
        <f>IFERROR(VLOOKUP($A122,Cost.FinanceCostTable,8,FALSE),'Global assumptions'!$I$35)</f>
        <v>30</v>
      </c>
      <c r="AX122" s="675"/>
      <c r="AY122" s="1691">
        <f t="shared" ca="1" si="414"/>
        <v>0</v>
      </c>
      <c r="AZ122" s="1691">
        <f t="shared" ca="1" si="415"/>
        <v>0</v>
      </c>
      <c r="BA122" s="1691">
        <f t="shared" ca="1" si="416"/>
        <v>0</v>
      </c>
      <c r="BB122" s="1691">
        <f t="shared" ca="1" si="417"/>
        <v>0</v>
      </c>
      <c r="BC122" s="1691">
        <f t="shared" ca="1" si="418"/>
        <v>0</v>
      </c>
      <c r="BD122" s="1691">
        <f t="shared" ca="1" si="419"/>
        <v>0</v>
      </c>
      <c r="BE122" s="1691">
        <f t="shared" ca="1" si="420"/>
        <v>0</v>
      </c>
      <c r="BF122" s="1691">
        <f t="shared" ca="1" si="421"/>
        <v>0</v>
      </c>
      <c r="BG122" s="1691">
        <f t="shared" ca="1" si="422"/>
        <v>0</v>
      </c>
      <c r="BH122" s="675"/>
      <c r="BI122" s="1691">
        <f t="shared" ca="1" si="343"/>
        <v>0</v>
      </c>
      <c r="BJ122" s="1691">
        <f t="shared" ca="1" si="423"/>
        <v>0</v>
      </c>
      <c r="BK122" s="1691">
        <f t="shared" ca="1" si="424"/>
        <v>0</v>
      </c>
      <c r="BL122" s="1691">
        <f t="shared" ca="1" si="425"/>
        <v>0</v>
      </c>
      <c r="BM122" s="1691">
        <f t="shared" ca="1" si="426"/>
        <v>0</v>
      </c>
      <c r="BN122" s="1691">
        <f t="shared" ca="1" si="427"/>
        <v>0</v>
      </c>
      <c r="BO122" s="1691">
        <f t="shared" ca="1" si="428"/>
        <v>0</v>
      </c>
      <c r="BP122" s="1691">
        <f t="shared" ca="1" si="429"/>
        <v>0</v>
      </c>
      <c r="BQ122" s="1691">
        <f t="shared" ca="1" si="430"/>
        <v>0</v>
      </c>
      <c r="BR122" s="675"/>
      <c r="BS122" s="1702">
        <f t="shared" ca="1" si="431"/>
        <v>0</v>
      </c>
      <c r="BT122" s="1702">
        <f t="shared" ca="1" si="432"/>
        <v>0</v>
      </c>
      <c r="BU122" s="1702">
        <f t="shared" ca="1" si="433"/>
        <v>0</v>
      </c>
      <c r="BV122" s="1702">
        <f t="shared" ca="1" si="434"/>
        <v>0</v>
      </c>
      <c r="BW122" s="1702">
        <f t="shared" ca="1" si="435"/>
        <v>0</v>
      </c>
      <c r="BX122" s="1702">
        <f t="shared" ca="1" si="436"/>
        <v>0</v>
      </c>
      <c r="BY122" s="1702">
        <f t="shared" ca="1" si="437"/>
        <v>0</v>
      </c>
      <c r="BZ122" s="1702">
        <f t="shared" ca="1" si="438"/>
        <v>0</v>
      </c>
      <c r="CA122" s="1702">
        <f t="shared" ca="1" si="439"/>
        <v>0</v>
      </c>
      <c r="CC122" s="1707">
        <f ca="1">AVERAGE(Costs!$BS122:$CA122)</f>
        <v>0</v>
      </c>
      <c r="CD122" s="1707">
        <f t="shared" ca="1" si="440"/>
        <v>0</v>
      </c>
      <c r="CF122" s="1704">
        <f t="shared" ca="1" si="441"/>
        <v>0</v>
      </c>
      <c r="CG122" s="1704">
        <f t="shared" ca="1" si="442"/>
        <v>0</v>
      </c>
      <c r="CH122" s="1704">
        <f t="shared" ca="1" si="443"/>
        <v>0</v>
      </c>
      <c r="CI122" s="1704">
        <f t="shared" ca="1" si="444"/>
        <v>0</v>
      </c>
      <c r="CJ122" s="1704">
        <f t="shared" ca="1" si="445"/>
        <v>0</v>
      </c>
      <c r="CK122" s="1704">
        <f t="shared" ca="1" si="446"/>
        <v>0</v>
      </c>
      <c r="CL122" s="1704">
        <f t="shared" ca="1" si="447"/>
        <v>0</v>
      </c>
      <c r="CM122" s="1704">
        <f t="shared" ca="1" si="448"/>
        <v>0</v>
      </c>
      <c r="CN122" s="1704">
        <f t="shared" ca="1" si="449"/>
        <v>0</v>
      </c>
      <c r="CP122" s="1707">
        <f ca="1">AVERAGE(Costs!$CF122:$CN122)</f>
        <v>0</v>
      </c>
      <c r="CQ122" s="1707">
        <f t="shared" ca="1" si="344"/>
        <v>0</v>
      </c>
      <c r="CR122" s="1426" t="str">
        <f t="shared" ca="1" si="345"/>
        <v>ok</v>
      </c>
    </row>
    <row r="123" spans="1:96" s="1673" customFormat="1" x14ac:dyDescent="0.2">
      <c r="A123" s="1683" t="s">
        <v>375</v>
      </c>
      <c r="B123" s="1683" t="s">
        <v>606</v>
      </c>
      <c r="C123" s="1683" t="s">
        <v>125</v>
      </c>
      <c r="E123" s="1689">
        <f t="shared" ca="1" si="450"/>
        <v>0</v>
      </c>
      <c r="F123" s="1689">
        <f t="shared" ca="1" si="450"/>
        <v>786615496404.28113</v>
      </c>
      <c r="G123" s="1689">
        <f t="shared" ca="1" si="450"/>
        <v>908267204965.96155</v>
      </c>
      <c r="H123" s="1689">
        <f t="shared" ca="1" si="450"/>
        <v>1029918913527.6426</v>
      </c>
      <c r="I123" s="1689">
        <f t="shared" ca="1" si="450"/>
        <v>722269623623.87488</v>
      </c>
      <c r="J123" s="1689">
        <f t="shared" ca="1" si="450"/>
        <v>1096853562385.1501</v>
      </c>
      <c r="K123" s="1689">
        <f t="shared" ca="1" si="450"/>
        <v>562097301795.6676</v>
      </c>
      <c r="L123" s="1689">
        <f t="shared" ca="1" si="450"/>
        <v>1093909143339.3608</v>
      </c>
      <c r="M123" s="1689">
        <f t="shared" ca="1" si="450"/>
        <v>523659713393.08704</v>
      </c>
      <c r="N123" s="675"/>
      <c r="O123" s="1689">
        <f t="shared" ca="1" si="451"/>
        <v>187782908379.31549</v>
      </c>
      <c r="P123" s="1689">
        <f t="shared" ca="1" si="451"/>
        <v>237114044235.19125</v>
      </c>
      <c r="Q123" s="1689">
        <f t="shared" ca="1" si="451"/>
        <v>286445180091.06702</v>
      </c>
      <c r="R123" s="1689">
        <f t="shared" ca="1" si="451"/>
        <v>335776315946.94269</v>
      </c>
      <c r="S123" s="1689">
        <f t="shared" ca="1" si="451"/>
        <v>361650171891.29175</v>
      </c>
      <c r="T123" s="1689">
        <f t="shared" ca="1" si="451"/>
        <v>405270907152.92212</v>
      </c>
      <c r="U123" s="1689">
        <f t="shared" ca="1" si="451"/>
        <v>414013561314.53528</v>
      </c>
      <c r="V123" s="1689">
        <f t="shared" ca="1" si="451"/>
        <v>451923895981.92029</v>
      </c>
      <c r="W123" s="1689">
        <f t="shared" ca="1" si="451"/>
        <v>453989934684.00891</v>
      </c>
      <c r="X123" s="675"/>
      <c r="Y123" s="1689">
        <f t="shared" ca="1" si="452"/>
        <v>0</v>
      </c>
      <c r="Z123" s="1689">
        <f t="shared" ca="1" si="452"/>
        <v>0</v>
      </c>
      <c r="AA123" s="1689">
        <f t="shared" ca="1" si="452"/>
        <v>0</v>
      </c>
      <c r="AB123" s="1689">
        <f t="shared" ca="1" si="452"/>
        <v>0</v>
      </c>
      <c r="AC123" s="1689">
        <f t="shared" ca="1" si="452"/>
        <v>0</v>
      </c>
      <c r="AD123" s="1689">
        <f t="shared" ca="1" si="452"/>
        <v>0</v>
      </c>
      <c r="AE123" s="1689">
        <f t="shared" ca="1" si="452"/>
        <v>0</v>
      </c>
      <c r="AF123" s="1689">
        <f t="shared" ca="1" si="452"/>
        <v>0</v>
      </c>
      <c r="AG123" s="1689">
        <f t="shared" ca="1" si="452"/>
        <v>0</v>
      </c>
      <c r="AH123" s="675"/>
      <c r="AI123" s="1689">
        <f t="shared" ca="1" si="405"/>
        <v>187782908379.31549</v>
      </c>
      <c r="AJ123" s="1689">
        <f t="shared" ca="1" si="406"/>
        <v>1023729540639.4724</v>
      </c>
      <c r="AK123" s="1689">
        <f t="shared" ca="1" si="407"/>
        <v>1194712385057.0286</v>
      </c>
      <c r="AL123" s="1689">
        <f t="shared" ca="1" si="408"/>
        <v>1365695229474.5852</v>
      </c>
      <c r="AM123" s="1689">
        <f t="shared" ca="1" si="409"/>
        <v>1083919795515.1666</v>
      </c>
      <c r="AN123" s="1689">
        <f t="shared" ca="1" si="410"/>
        <v>1502124469538.0723</v>
      </c>
      <c r="AO123" s="1689">
        <f t="shared" ca="1" si="411"/>
        <v>976110863110.20288</v>
      </c>
      <c r="AP123" s="1689">
        <f t="shared" ca="1" si="412"/>
        <v>1545833039321.2812</v>
      </c>
      <c r="AQ123" s="1689">
        <f t="shared" ca="1" si="413"/>
        <v>977649648077.09595</v>
      </c>
      <c r="AS123" s="1706">
        <f ca="1">AVERAGE(Costs!$AI123:$AQ123)</f>
        <v>1095284208790.2467</v>
      </c>
      <c r="AT123" s="1706">
        <f t="shared" ca="1" si="306"/>
        <v>9672836289578.8574</v>
      </c>
      <c r="AU123" s="675"/>
      <c r="AV123" s="1699">
        <f>IFERROR(VLOOKUP($A123,Cost.FinanceCostTable,7,FALSE),'Global assumptions'!$H$35)</f>
        <v>0.1</v>
      </c>
      <c r="AW123" s="1690">
        <f>IFERROR(VLOOKUP($A123,Cost.FinanceCostTable,8,FALSE),'Global assumptions'!$I$35)</f>
        <v>10</v>
      </c>
      <c r="AX123" s="675"/>
      <c r="AY123" s="1689">
        <f t="shared" ca="1" si="414"/>
        <v>0</v>
      </c>
      <c r="AZ123" s="1689">
        <f t="shared" ca="1" si="415"/>
        <v>640090247915.08826</v>
      </c>
      <c r="BA123" s="1689">
        <f t="shared" ca="1" si="416"/>
        <v>739081524655.10266</v>
      </c>
      <c r="BB123" s="1689">
        <f t="shared" ca="1" si="417"/>
        <v>838072801395.11768</v>
      </c>
      <c r="BC123" s="1689">
        <f t="shared" ca="1" si="418"/>
        <v>587730275541.55286</v>
      </c>
      <c r="BD123" s="1689">
        <f t="shared" ca="1" si="419"/>
        <v>892539330693.30432</v>
      </c>
      <c r="BE123" s="1689">
        <f t="shared" ca="1" si="420"/>
        <v>457393736715.65112</v>
      </c>
      <c r="BF123" s="1689">
        <f t="shared" ca="1" si="421"/>
        <v>890143377491.77148</v>
      </c>
      <c r="BG123" s="1689">
        <f t="shared" ca="1" si="422"/>
        <v>426116034201.104</v>
      </c>
      <c r="BH123" s="675"/>
      <c r="BI123" s="1689">
        <f t="shared" ca="1" si="343"/>
        <v>0</v>
      </c>
      <c r="BJ123" s="1689">
        <f t="shared" ca="1" si="423"/>
        <v>640090247915.08826</v>
      </c>
      <c r="BK123" s="1689">
        <f t="shared" ca="1" si="424"/>
        <v>1379171772570.1909</v>
      </c>
      <c r="BL123" s="1689">
        <f t="shared" ca="1" si="425"/>
        <v>1577154326050.2202</v>
      </c>
      <c r="BM123" s="1689">
        <f t="shared" ca="1" si="426"/>
        <v>1425803076936.6704</v>
      </c>
      <c r="BN123" s="1689">
        <f t="shared" ca="1" si="427"/>
        <v>1480269606234.8572</v>
      </c>
      <c r="BO123" s="1689">
        <f t="shared" ca="1" si="428"/>
        <v>1349933067408.9556</v>
      </c>
      <c r="BP123" s="1689">
        <f t="shared" ca="1" si="429"/>
        <v>1347537114207.4226</v>
      </c>
      <c r="BQ123" s="1689">
        <f t="shared" ca="1" si="430"/>
        <v>1316259411692.8755</v>
      </c>
      <c r="BR123" s="675"/>
      <c r="BS123" s="1701">
        <f t="shared" ca="1" si="431"/>
        <v>187782908379.31549</v>
      </c>
      <c r="BT123" s="1701">
        <f t="shared" ca="1" si="432"/>
        <v>877204292150.27954</v>
      </c>
      <c r="BU123" s="1701">
        <f t="shared" ca="1" si="433"/>
        <v>1665616952661.2578</v>
      </c>
      <c r="BV123" s="1701">
        <f t="shared" ca="1" si="434"/>
        <v>1912930641997.1628</v>
      </c>
      <c r="BW123" s="1701">
        <f t="shared" ca="1" si="435"/>
        <v>1787453248827.9622</v>
      </c>
      <c r="BX123" s="1701">
        <f t="shared" ca="1" si="436"/>
        <v>1885540513387.7793</v>
      </c>
      <c r="BY123" s="1701">
        <f t="shared" ca="1" si="437"/>
        <v>1763946628723.4907</v>
      </c>
      <c r="BZ123" s="1701">
        <f t="shared" ca="1" si="438"/>
        <v>1799461010189.3428</v>
      </c>
      <c r="CA123" s="1701">
        <f t="shared" ca="1" si="439"/>
        <v>1770249346376.8843</v>
      </c>
      <c r="CC123" s="1706">
        <f ca="1">AVERAGE(Costs!$BS123:$CA123)</f>
        <v>1516687282521.4971</v>
      </c>
      <c r="CD123" s="1706">
        <f t="shared" ca="1" si="440"/>
        <v>11937973093081.008</v>
      </c>
      <c r="CF123" s="1703">
        <f t="shared" ca="1" si="441"/>
        <v>0</v>
      </c>
      <c r="CG123" s="1703">
        <f t="shared" ca="1" si="442"/>
        <v>-146525248489.19287</v>
      </c>
      <c r="CH123" s="1703">
        <f t="shared" ca="1" si="443"/>
        <v>470904567604.22937</v>
      </c>
      <c r="CI123" s="1703">
        <f t="shared" ca="1" si="444"/>
        <v>547235412522.57764</v>
      </c>
      <c r="CJ123" s="1703">
        <f t="shared" ca="1" si="445"/>
        <v>703533453312.79553</v>
      </c>
      <c r="CK123" s="1703">
        <f t="shared" ca="1" si="446"/>
        <v>383416043849.70703</v>
      </c>
      <c r="CL123" s="1703">
        <f t="shared" ca="1" si="447"/>
        <v>787835765613.28796</v>
      </c>
      <c r="CM123" s="1703">
        <f t="shared" ca="1" si="448"/>
        <v>253627970868.06177</v>
      </c>
      <c r="CN123" s="1703">
        <f t="shared" ca="1" si="449"/>
        <v>792599698299.78845</v>
      </c>
      <c r="CP123" s="1706">
        <f ca="1">AVERAGE(Costs!$CF123:$CN123)</f>
        <v>421403073731.25061</v>
      </c>
      <c r="CQ123" s="1706">
        <f t="shared" ca="1" si="344"/>
        <v>2265136803502.1509</v>
      </c>
      <c r="CR123" s="1426" t="str">
        <f t="shared" ca="1" si="345"/>
        <v>ok</v>
      </c>
    </row>
    <row r="124" spans="1:96" s="1673" customFormat="1" x14ac:dyDescent="0.2">
      <c r="A124" s="1683" t="s">
        <v>405</v>
      </c>
      <c r="B124" s="1683" t="s">
        <v>111</v>
      </c>
      <c r="C124" s="1683" t="s">
        <v>33</v>
      </c>
      <c r="E124" s="1689">
        <f t="shared" ca="1" si="450"/>
        <v>0</v>
      </c>
      <c r="F124" s="1689">
        <f t="shared" ca="1" si="450"/>
        <v>63029427246.772545</v>
      </c>
      <c r="G124" s="1689">
        <f t="shared" ca="1" si="450"/>
        <v>63029427246.772545</v>
      </c>
      <c r="H124" s="1689">
        <f t="shared" ca="1" si="450"/>
        <v>58688511975.997169</v>
      </c>
      <c r="I124" s="1689">
        <f t="shared" ca="1" si="450"/>
        <v>50312791441.060448</v>
      </c>
      <c r="J124" s="1689">
        <f t="shared" ca="1" si="450"/>
        <v>43550993011.7883</v>
      </c>
      <c r="K124" s="1689">
        <f t="shared" ca="1" si="450"/>
        <v>41647100120.566353</v>
      </c>
      <c r="L124" s="1689">
        <f t="shared" ca="1" si="450"/>
        <v>41324850892.895653</v>
      </c>
      <c r="M124" s="1689">
        <f t="shared" ca="1" si="450"/>
        <v>41018740886.281624</v>
      </c>
      <c r="N124" s="675"/>
      <c r="O124" s="1689">
        <f t="shared" ca="1" si="451"/>
        <v>101180231462.63658</v>
      </c>
      <c r="P124" s="1689">
        <f t="shared" ca="1" si="451"/>
        <v>101180231462.63658</v>
      </c>
      <c r="Q124" s="1689">
        <f t="shared" ca="1" si="451"/>
        <v>94211822720.206894</v>
      </c>
      <c r="R124" s="1689">
        <f t="shared" ca="1" si="451"/>
        <v>80766399218.684418</v>
      </c>
      <c r="S124" s="1689">
        <f t="shared" ca="1" si="451"/>
        <v>69911781620.799118</v>
      </c>
      <c r="T124" s="1689">
        <f t="shared" ca="1" si="451"/>
        <v>66855489792.86142</v>
      </c>
      <c r="U124" s="1689">
        <f t="shared" ca="1" si="451"/>
        <v>66338187750.488083</v>
      </c>
      <c r="V124" s="1689">
        <f t="shared" ca="1" si="451"/>
        <v>65846793767.151146</v>
      </c>
      <c r="W124" s="1689">
        <f t="shared" ca="1" si="451"/>
        <v>65355399783.814201</v>
      </c>
      <c r="X124" s="675"/>
      <c r="Y124" s="1689">
        <f t="shared" ca="1" si="452"/>
        <v>0</v>
      </c>
      <c r="Z124" s="1689">
        <f t="shared" ca="1" si="452"/>
        <v>0</v>
      </c>
      <c r="AA124" s="1689">
        <f t="shared" ca="1" si="452"/>
        <v>0</v>
      </c>
      <c r="AB124" s="1689">
        <f t="shared" ca="1" si="452"/>
        <v>0</v>
      </c>
      <c r="AC124" s="1689">
        <f t="shared" ca="1" si="452"/>
        <v>0</v>
      </c>
      <c r="AD124" s="1689">
        <f t="shared" ca="1" si="452"/>
        <v>0</v>
      </c>
      <c r="AE124" s="1689">
        <f t="shared" ca="1" si="452"/>
        <v>0</v>
      </c>
      <c r="AF124" s="1689">
        <f t="shared" ca="1" si="452"/>
        <v>0</v>
      </c>
      <c r="AG124" s="1689">
        <f t="shared" ca="1" si="452"/>
        <v>0</v>
      </c>
      <c r="AH124" s="675"/>
      <c r="AI124" s="1689">
        <f t="shared" ca="1" si="405"/>
        <v>101180231462.63658</v>
      </c>
      <c r="AJ124" s="1689">
        <f t="shared" ca="1" si="406"/>
        <v>164209658709.40912</v>
      </c>
      <c r="AK124" s="1689">
        <f t="shared" ca="1" si="407"/>
        <v>157241249966.97943</v>
      </c>
      <c r="AL124" s="1689">
        <f t="shared" ca="1" si="408"/>
        <v>139454911194.68158</v>
      </c>
      <c r="AM124" s="1689">
        <f t="shared" ca="1" si="409"/>
        <v>120224573061.85956</v>
      </c>
      <c r="AN124" s="1689">
        <f t="shared" ca="1" si="410"/>
        <v>110406482804.64972</v>
      </c>
      <c r="AO124" s="1689">
        <f t="shared" ca="1" si="411"/>
        <v>107985287871.05444</v>
      </c>
      <c r="AP124" s="1689">
        <f t="shared" ca="1" si="412"/>
        <v>107171644660.0468</v>
      </c>
      <c r="AQ124" s="1689">
        <f t="shared" ca="1" si="413"/>
        <v>106374140670.09583</v>
      </c>
      <c r="AS124" s="1706">
        <f ca="1">AVERAGE(Costs!$AI124:$AQ124)</f>
        <v>123805353377.93478</v>
      </c>
      <c r="AT124" s="1706">
        <f t="shared" ca="1" si="306"/>
        <v>1301441632858.7756</v>
      </c>
      <c r="AU124" s="675"/>
      <c r="AV124" s="1699">
        <f>IFERROR(VLOOKUP($A124,Cost.FinanceCostTable,7,FALSE),'Global assumptions'!$H$35)</f>
        <v>0.1</v>
      </c>
      <c r="AW124" s="1690">
        <f>IFERROR(VLOOKUP($A124,Cost.FinanceCostTable,8,FALSE),'Global assumptions'!$I$35)</f>
        <v>15</v>
      </c>
      <c r="AX124" s="675"/>
      <c r="AY124" s="1689">
        <f t="shared" ca="1" si="414"/>
        <v>0</v>
      </c>
      <c r="AZ124" s="1689">
        <f t="shared" ca="1" si="415"/>
        <v>41433584275.905174</v>
      </c>
      <c r="BA124" s="1689">
        <f t="shared" ca="1" si="416"/>
        <v>41433584275.905174</v>
      </c>
      <c r="BB124" s="1689">
        <f t="shared" ca="1" si="417"/>
        <v>38580001646.920624</v>
      </c>
      <c r="BC124" s="1689">
        <f t="shared" ca="1" si="418"/>
        <v>33074063582.514362</v>
      </c>
      <c r="BD124" s="1689">
        <f t="shared" ca="1" si="419"/>
        <v>28629067692.27681</v>
      </c>
      <c r="BE124" s="1689">
        <f t="shared" ca="1" si="420"/>
        <v>27377507746.286968</v>
      </c>
      <c r="BF124" s="1689">
        <f t="shared" ca="1" si="421"/>
        <v>27165671130.982441</v>
      </c>
      <c r="BG124" s="1689">
        <f t="shared" ca="1" si="422"/>
        <v>26964443937.419617</v>
      </c>
      <c r="BH124" s="675"/>
      <c r="BI124" s="1689">
        <f t="shared" ca="1" si="343"/>
        <v>0</v>
      </c>
      <c r="BJ124" s="1689">
        <f t="shared" ca="1" si="423"/>
        <v>41433584275.905174</v>
      </c>
      <c r="BK124" s="1689">
        <f t="shared" ca="1" si="424"/>
        <v>82867168551.810349</v>
      </c>
      <c r="BL124" s="1689">
        <f t="shared" ca="1" si="425"/>
        <v>121447170198.73099</v>
      </c>
      <c r="BM124" s="1689">
        <f t="shared" ca="1" si="426"/>
        <v>113087649505.34016</v>
      </c>
      <c r="BN124" s="1689">
        <f t="shared" ca="1" si="427"/>
        <v>100283132921.71179</v>
      </c>
      <c r="BO124" s="1689">
        <f t="shared" ca="1" si="428"/>
        <v>89080639021.07814</v>
      </c>
      <c r="BP124" s="1689">
        <f t="shared" ca="1" si="429"/>
        <v>83172246569.546219</v>
      </c>
      <c r="BQ124" s="1689">
        <f t="shared" ca="1" si="430"/>
        <v>81507622814.689026</v>
      </c>
      <c r="BR124" s="675"/>
      <c r="BS124" s="1701">
        <f t="shared" ca="1" si="431"/>
        <v>101180231462.63658</v>
      </c>
      <c r="BT124" s="1701">
        <f t="shared" ca="1" si="432"/>
        <v>142613815738.54175</v>
      </c>
      <c r="BU124" s="1701">
        <f t="shared" ca="1" si="433"/>
        <v>177078991272.01724</v>
      </c>
      <c r="BV124" s="1701">
        <f t="shared" ca="1" si="434"/>
        <v>202213569417.41541</v>
      </c>
      <c r="BW124" s="1701">
        <f t="shared" ca="1" si="435"/>
        <v>182999431126.13928</v>
      </c>
      <c r="BX124" s="1701">
        <f t="shared" ca="1" si="436"/>
        <v>167138622714.57321</v>
      </c>
      <c r="BY124" s="1701">
        <f t="shared" ca="1" si="437"/>
        <v>155418826771.56622</v>
      </c>
      <c r="BZ124" s="1701">
        <f t="shared" ca="1" si="438"/>
        <v>149019040336.69736</v>
      </c>
      <c r="CA124" s="1701">
        <f t="shared" ca="1" si="439"/>
        <v>146863022598.50323</v>
      </c>
      <c r="CC124" s="1706">
        <f ca="1">AVERAGE(Costs!$BS124:$CA124)</f>
        <v>158280616826.45447</v>
      </c>
      <c r="CD124" s="1706">
        <f t="shared" ca="1" si="440"/>
        <v>1453160520292.6829</v>
      </c>
      <c r="CF124" s="1703">
        <f t="shared" ca="1" si="441"/>
        <v>0</v>
      </c>
      <c r="CG124" s="1703">
        <f t="shared" ca="1" si="442"/>
        <v>-21595842970.867371</v>
      </c>
      <c r="CH124" s="1703">
        <f t="shared" ca="1" si="443"/>
        <v>19837741305.037804</v>
      </c>
      <c r="CI124" s="1703">
        <f t="shared" ca="1" si="444"/>
        <v>62758658222.733818</v>
      </c>
      <c r="CJ124" s="1703">
        <f t="shared" ca="1" si="445"/>
        <v>62774858064.279716</v>
      </c>
      <c r="CK124" s="1703">
        <f t="shared" ca="1" si="446"/>
        <v>56732139909.923492</v>
      </c>
      <c r="CL124" s="1703">
        <f t="shared" ca="1" si="447"/>
        <v>47433538900.511787</v>
      </c>
      <c r="CM124" s="1703">
        <f t="shared" ca="1" si="448"/>
        <v>41847395676.650566</v>
      </c>
      <c r="CN124" s="1703">
        <f t="shared" ca="1" si="449"/>
        <v>40488881928.407402</v>
      </c>
      <c r="CP124" s="1706">
        <f ca="1">AVERAGE(Costs!$CF124:$CN124)</f>
        <v>34475263448.519684</v>
      </c>
      <c r="CQ124" s="1706">
        <f t="shared" ca="1" si="344"/>
        <v>151718887433.9072</v>
      </c>
      <c r="CR124" s="1426" t="str">
        <f t="shared" ca="1" si="345"/>
        <v>ok</v>
      </c>
    </row>
    <row r="125" spans="1:96" s="1673" customFormat="1" x14ac:dyDescent="0.2">
      <c r="A125" s="1685" t="s">
        <v>1707</v>
      </c>
      <c r="B125" s="1685" t="s">
        <v>1710</v>
      </c>
      <c r="C125" s="1685" t="s">
        <v>1732</v>
      </c>
      <c r="E125" s="1691">
        <f t="shared" ca="1" si="450"/>
        <v>0</v>
      </c>
      <c r="F125" s="1691">
        <f t="shared" ca="1" si="450"/>
        <v>0</v>
      </c>
      <c r="G125" s="1691">
        <f t="shared" ca="1" si="450"/>
        <v>0</v>
      </c>
      <c r="H125" s="1691">
        <f t="shared" ca="1" si="450"/>
        <v>0</v>
      </c>
      <c r="I125" s="1691">
        <f t="shared" ca="1" si="450"/>
        <v>0</v>
      </c>
      <c r="J125" s="1691">
        <f t="shared" ca="1" si="450"/>
        <v>0</v>
      </c>
      <c r="K125" s="1691">
        <f t="shared" ca="1" si="450"/>
        <v>0</v>
      </c>
      <c r="L125" s="1691">
        <f t="shared" ca="1" si="450"/>
        <v>0</v>
      </c>
      <c r="M125" s="1691">
        <f t="shared" ca="1" si="450"/>
        <v>0</v>
      </c>
      <c r="N125" s="675"/>
      <c r="O125" s="1691">
        <f t="shared" ca="1" si="451"/>
        <v>0</v>
      </c>
      <c r="P125" s="1691">
        <f t="shared" ca="1" si="451"/>
        <v>0</v>
      </c>
      <c r="Q125" s="1691">
        <f t="shared" ca="1" si="451"/>
        <v>0</v>
      </c>
      <c r="R125" s="1691">
        <f t="shared" ca="1" si="451"/>
        <v>0</v>
      </c>
      <c r="S125" s="1691">
        <f t="shared" ca="1" si="451"/>
        <v>0</v>
      </c>
      <c r="T125" s="1691">
        <f t="shared" ca="1" si="451"/>
        <v>0</v>
      </c>
      <c r="U125" s="1691">
        <f t="shared" ca="1" si="451"/>
        <v>0</v>
      </c>
      <c r="V125" s="1691">
        <f t="shared" ca="1" si="451"/>
        <v>0</v>
      </c>
      <c r="W125" s="1691">
        <f t="shared" ca="1" si="451"/>
        <v>0</v>
      </c>
      <c r="X125" s="675"/>
      <c r="Y125" s="1691">
        <f t="shared" ca="1" si="452"/>
        <v>20845855878.530571</v>
      </c>
      <c r="Z125" s="1691">
        <f t="shared" ca="1" si="452"/>
        <v>24111056321.481281</v>
      </c>
      <c r="AA125" s="1691">
        <f t="shared" ca="1" si="452"/>
        <v>31811705316.480846</v>
      </c>
      <c r="AB125" s="1691">
        <f t="shared" ca="1" si="452"/>
        <v>86878226012.449387</v>
      </c>
      <c r="AC125" s="1691">
        <f t="shared" ca="1" si="452"/>
        <v>186778713164.42807</v>
      </c>
      <c r="AD125" s="1691">
        <f t="shared" ca="1" si="452"/>
        <v>277421323964.81226</v>
      </c>
      <c r="AE125" s="1691">
        <f t="shared" ca="1" si="452"/>
        <v>368063934765.19647</v>
      </c>
      <c r="AF125" s="1691">
        <f t="shared" ca="1" si="452"/>
        <v>458706545565.58069</v>
      </c>
      <c r="AG125" s="1691">
        <f t="shared" ca="1" si="452"/>
        <v>562900923406.34326</v>
      </c>
      <c r="AH125" s="675"/>
      <c r="AI125" s="1691">
        <f t="shared" ca="1" si="405"/>
        <v>20845855878.530571</v>
      </c>
      <c r="AJ125" s="1691">
        <f t="shared" ca="1" si="406"/>
        <v>24111056321.481281</v>
      </c>
      <c r="AK125" s="1691">
        <f t="shared" ca="1" si="407"/>
        <v>31811705316.480846</v>
      </c>
      <c r="AL125" s="1691">
        <f t="shared" ca="1" si="408"/>
        <v>86878226012.449387</v>
      </c>
      <c r="AM125" s="1691">
        <f t="shared" ca="1" si="409"/>
        <v>186778713164.42807</v>
      </c>
      <c r="AN125" s="1691">
        <f t="shared" ca="1" si="410"/>
        <v>277421323964.81226</v>
      </c>
      <c r="AO125" s="1691">
        <f t="shared" ca="1" si="411"/>
        <v>368063934765.19647</v>
      </c>
      <c r="AP125" s="1691">
        <f t="shared" ca="1" si="412"/>
        <v>458706545565.58069</v>
      </c>
      <c r="AQ125" s="1691">
        <f t="shared" ca="1" si="413"/>
        <v>562900923406.34326</v>
      </c>
      <c r="AS125" s="1707">
        <f ca="1">AVERAGE(Costs!$AI125:$AQ125)</f>
        <v>224168698266.14474</v>
      </c>
      <c r="AT125" s="1707">
        <f t="shared" ca="1" si="306"/>
        <v>866721947756.33447</v>
      </c>
      <c r="AU125" s="675"/>
      <c r="AV125" s="1700">
        <f>IFERROR(VLOOKUP($A125,Cost.FinanceCostTable,7,FALSE),'Global assumptions'!$H$35)</f>
        <v>0.1</v>
      </c>
      <c r="AW125" s="1692">
        <f>IFERROR(VLOOKUP($A125,Cost.FinanceCostTable,8,FALSE),'Global assumptions'!$I$35)</f>
        <v>15</v>
      </c>
      <c r="AX125" s="675"/>
      <c r="AY125" s="1691">
        <f t="shared" ca="1" si="414"/>
        <v>0</v>
      </c>
      <c r="AZ125" s="1691">
        <f t="shared" ca="1" si="415"/>
        <v>0</v>
      </c>
      <c r="BA125" s="1691">
        <f t="shared" ca="1" si="416"/>
        <v>0</v>
      </c>
      <c r="BB125" s="1691">
        <f t="shared" ca="1" si="417"/>
        <v>0</v>
      </c>
      <c r="BC125" s="1691">
        <f t="shared" ca="1" si="418"/>
        <v>0</v>
      </c>
      <c r="BD125" s="1691">
        <f t="shared" ca="1" si="419"/>
        <v>0</v>
      </c>
      <c r="BE125" s="1691">
        <f t="shared" ca="1" si="420"/>
        <v>0</v>
      </c>
      <c r="BF125" s="1691">
        <f t="shared" ca="1" si="421"/>
        <v>0</v>
      </c>
      <c r="BG125" s="1691">
        <f t="shared" ca="1" si="422"/>
        <v>0</v>
      </c>
      <c r="BH125" s="675"/>
      <c r="BI125" s="1691">
        <f t="shared" ca="1" si="343"/>
        <v>0</v>
      </c>
      <c r="BJ125" s="1691">
        <f t="shared" ca="1" si="423"/>
        <v>0</v>
      </c>
      <c r="BK125" s="1691">
        <f t="shared" ca="1" si="424"/>
        <v>0</v>
      </c>
      <c r="BL125" s="1691">
        <f t="shared" ca="1" si="425"/>
        <v>0</v>
      </c>
      <c r="BM125" s="1691">
        <f t="shared" ca="1" si="426"/>
        <v>0</v>
      </c>
      <c r="BN125" s="1691">
        <f t="shared" ca="1" si="427"/>
        <v>0</v>
      </c>
      <c r="BO125" s="1691">
        <f t="shared" ca="1" si="428"/>
        <v>0</v>
      </c>
      <c r="BP125" s="1691">
        <f t="shared" ca="1" si="429"/>
        <v>0</v>
      </c>
      <c r="BQ125" s="1691">
        <f t="shared" ca="1" si="430"/>
        <v>0</v>
      </c>
      <c r="BR125" s="675"/>
      <c r="BS125" s="1702">
        <f t="shared" ca="1" si="431"/>
        <v>20845855878.530571</v>
      </c>
      <c r="BT125" s="1702">
        <f t="shared" ca="1" si="432"/>
        <v>24111056321.481281</v>
      </c>
      <c r="BU125" s="1702">
        <f t="shared" ca="1" si="433"/>
        <v>31811705316.480846</v>
      </c>
      <c r="BV125" s="1702">
        <f t="shared" ca="1" si="434"/>
        <v>86878226012.449387</v>
      </c>
      <c r="BW125" s="1702">
        <f t="shared" ca="1" si="435"/>
        <v>186778713164.42807</v>
      </c>
      <c r="BX125" s="1702">
        <f t="shared" ca="1" si="436"/>
        <v>277421323964.81226</v>
      </c>
      <c r="BY125" s="1702">
        <f t="shared" ca="1" si="437"/>
        <v>368063934765.19647</v>
      </c>
      <c r="BZ125" s="1702">
        <f t="shared" ca="1" si="438"/>
        <v>458706545565.58069</v>
      </c>
      <c r="CA125" s="1702">
        <f t="shared" ca="1" si="439"/>
        <v>562900923406.34326</v>
      </c>
      <c r="CC125" s="1707">
        <f ca="1">AVERAGE(Costs!$BS125:$CA125)</f>
        <v>224168698266.14474</v>
      </c>
      <c r="CD125" s="1707">
        <f t="shared" ca="1" si="440"/>
        <v>866721947756.33447</v>
      </c>
      <c r="CF125" s="1704">
        <f t="shared" ca="1" si="441"/>
        <v>0</v>
      </c>
      <c r="CG125" s="1704">
        <f t="shared" ca="1" si="442"/>
        <v>0</v>
      </c>
      <c r="CH125" s="1704">
        <f t="shared" ca="1" si="443"/>
        <v>0</v>
      </c>
      <c r="CI125" s="1704">
        <f t="shared" ca="1" si="444"/>
        <v>0</v>
      </c>
      <c r="CJ125" s="1704">
        <f t="shared" ca="1" si="445"/>
        <v>0</v>
      </c>
      <c r="CK125" s="1704">
        <f t="shared" ca="1" si="446"/>
        <v>0</v>
      </c>
      <c r="CL125" s="1704">
        <f t="shared" ca="1" si="447"/>
        <v>0</v>
      </c>
      <c r="CM125" s="1704">
        <f t="shared" ca="1" si="448"/>
        <v>0</v>
      </c>
      <c r="CN125" s="1704">
        <f t="shared" ca="1" si="449"/>
        <v>0</v>
      </c>
      <c r="CP125" s="1707">
        <f ca="1">AVERAGE(Costs!$CF125:$CN125)</f>
        <v>0</v>
      </c>
      <c r="CQ125" s="1707">
        <f t="shared" ca="1" si="344"/>
        <v>0</v>
      </c>
      <c r="CR125" s="1426" t="str">
        <f t="shared" ca="1" si="345"/>
        <v>ok</v>
      </c>
    </row>
    <row r="126" spans="1:96" s="1673" customFormat="1" x14ac:dyDescent="0.2">
      <c r="A126" s="1683" t="s">
        <v>1708</v>
      </c>
      <c r="B126" s="1683" t="s">
        <v>1711</v>
      </c>
      <c r="C126" s="1683" t="s">
        <v>1732</v>
      </c>
      <c r="E126" s="1689">
        <f t="shared" ca="1" si="450"/>
        <v>0</v>
      </c>
      <c r="F126" s="1689">
        <f t="shared" ca="1" si="450"/>
        <v>0</v>
      </c>
      <c r="G126" s="1689">
        <f t="shared" ca="1" si="450"/>
        <v>0</v>
      </c>
      <c r="H126" s="1689">
        <f t="shared" ca="1" si="450"/>
        <v>0</v>
      </c>
      <c r="I126" s="1689">
        <f t="shared" ca="1" si="450"/>
        <v>0</v>
      </c>
      <c r="J126" s="1689">
        <f t="shared" ca="1" si="450"/>
        <v>0</v>
      </c>
      <c r="K126" s="1689">
        <f t="shared" ca="1" si="450"/>
        <v>0</v>
      </c>
      <c r="L126" s="1689">
        <f t="shared" ca="1" si="450"/>
        <v>0</v>
      </c>
      <c r="M126" s="1689">
        <f t="shared" ca="1" si="450"/>
        <v>0</v>
      </c>
      <c r="N126" s="675"/>
      <c r="O126" s="1689">
        <f t="shared" ca="1" si="451"/>
        <v>0</v>
      </c>
      <c r="P126" s="1689">
        <f t="shared" ca="1" si="451"/>
        <v>0</v>
      </c>
      <c r="Q126" s="1689">
        <f t="shared" ca="1" si="451"/>
        <v>0</v>
      </c>
      <c r="R126" s="1689">
        <f t="shared" ca="1" si="451"/>
        <v>0</v>
      </c>
      <c r="S126" s="1689">
        <f t="shared" ca="1" si="451"/>
        <v>0</v>
      </c>
      <c r="T126" s="1689">
        <f t="shared" ca="1" si="451"/>
        <v>0</v>
      </c>
      <c r="U126" s="1689">
        <f t="shared" ca="1" si="451"/>
        <v>0</v>
      </c>
      <c r="V126" s="1689">
        <f t="shared" ca="1" si="451"/>
        <v>0</v>
      </c>
      <c r="W126" s="1689">
        <f t="shared" ca="1" si="451"/>
        <v>0</v>
      </c>
      <c r="X126" s="675"/>
      <c r="Y126" s="1689">
        <f t="shared" ca="1" si="452"/>
        <v>11881558667529.107</v>
      </c>
      <c r="Z126" s="1689">
        <f t="shared" ca="1" si="452"/>
        <v>14921037857598.611</v>
      </c>
      <c r="AA126" s="1689">
        <f t="shared" ca="1" si="452"/>
        <v>17832227640184.77</v>
      </c>
      <c r="AB126" s="1689">
        <f t="shared" ca="1" si="452"/>
        <v>20699996291484.223</v>
      </c>
      <c r="AC126" s="1689">
        <f t="shared" ca="1" si="452"/>
        <v>23524343811496.969</v>
      </c>
      <c r="AD126" s="1689">
        <f t="shared" ca="1" si="452"/>
        <v>23352633272726.914</v>
      </c>
      <c r="AE126" s="1689">
        <f t="shared" ca="1" si="452"/>
        <v>23180922733956.863</v>
      </c>
      <c r="AF126" s="1689">
        <f t="shared" ca="1" si="452"/>
        <v>23009212195186.812</v>
      </c>
      <c r="AG126" s="1689">
        <f t="shared" ca="1" si="452"/>
        <v>23400874692755.496</v>
      </c>
      <c r="AH126" s="675"/>
      <c r="AI126" s="1689">
        <f t="shared" ca="1" si="405"/>
        <v>11881558667529.107</v>
      </c>
      <c r="AJ126" s="1689">
        <f t="shared" ca="1" si="406"/>
        <v>14921037857598.611</v>
      </c>
      <c r="AK126" s="1689">
        <f t="shared" ca="1" si="407"/>
        <v>17832227640184.77</v>
      </c>
      <c r="AL126" s="1689">
        <f t="shared" ca="1" si="408"/>
        <v>20699996291484.223</v>
      </c>
      <c r="AM126" s="1689">
        <f t="shared" ca="1" si="409"/>
        <v>23524343811496.969</v>
      </c>
      <c r="AN126" s="1689">
        <f t="shared" ca="1" si="410"/>
        <v>23352633272726.914</v>
      </c>
      <c r="AO126" s="1689">
        <f t="shared" ca="1" si="411"/>
        <v>23180922733956.863</v>
      </c>
      <c r="AP126" s="1689">
        <f t="shared" ca="1" si="412"/>
        <v>23009212195186.812</v>
      </c>
      <c r="AQ126" s="1689">
        <f t="shared" ca="1" si="413"/>
        <v>23400874692755.496</v>
      </c>
      <c r="AS126" s="1706">
        <f ca="1">AVERAGE(Costs!$AI126:$AQ126)</f>
        <v>20200311906991.082</v>
      </c>
      <c r="AT126" s="1706">
        <f t="shared" ca="1" si="306"/>
        <v>162937577708879.94</v>
      </c>
      <c r="AU126" s="675"/>
      <c r="AV126" s="1699">
        <f>IFERROR(VLOOKUP($A126,Cost.FinanceCostTable,7,FALSE),'Global assumptions'!$H$35)</f>
        <v>0.1</v>
      </c>
      <c r="AW126" s="1690">
        <f>IFERROR(VLOOKUP($A126,Cost.FinanceCostTable,8,FALSE),'Global assumptions'!$I$35)</f>
        <v>15</v>
      </c>
      <c r="AX126" s="675"/>
      <c r="AY126" s="1689">
        <f t="shared" ca="1" si="414"/>
        <v>0</v>
      </c>
      <c r="AZ126" s="1689">
        <f t="shared" ca="1" si="415"/>
        <v>0</v>
      </c>
      <c r="BA126" s="1689">
        <f t="shared" ca="1" si="416"/>
        <v>0</v>
      </c>
      <c r="BB126" s="1689">
        <f t="shared" ca="1" si="417"/>
        <v>0</v>
      </c>
      <c r="BC126" s="1689">
        <f t="shared" ca="1" si="418"/>
        <v>0</v>
      </c>
      <c r="BD126" s="1689">
        <f t="shared" ca="1" si="419"/>
        <v>0</v>
      </c>
      <c r="BE126" s="1689">
        <f t="shared" ca="1" si="420"/>
        <v>0</v>
      </c>
      <c r="BF126" s="1689">
        <f t="shared" ca="1" si="421"/>
        <v>0</v>
      </c>
      <c r="BG126" s="1689">
        <f t="shared" ca="1" si="422"/>
        <v>0</v>
      </c>
      <c r="BH126" s="675"/>
      <c r="BI126" s="1689">
        <f t="shared" ca="1" si="343"/>
        <v>0</v>
      </c>
      <c r="BJ126" s="1689">
        <f t="shared" ca="1" si="423"/>
        <v>0</v>
      </c>
      <c r="BK126" s="1689">
        <f t="shared" ca="1" si="424"/>
        <v>0</v>
      </c>
      <c r="BL126" s="1689">
        <f t="shared" ca="1" si="425"/>
        <v>0</v>
      </c>
      <c r="BM126" s="1689">
        <f t="shared" ca="1" si="426"/>
        <v>0</v>
      </c>
      <c r="BN126" s="1689">
        <f t="shared" ca="1" si="427"/>
        <v>0</v>
      </c>
      <c r="BO126" s="1689">
        <f t="shared" ca="1" si="428"/>
        <v>0</v>
      </c>
      <c r="BP126" s="1689">
        <f t="shared" ca="1" si="429"/>
        <v>0</v>
      </c>
      <c r="BQ126" s="1689">
        <f t="shared" ca="1" si="430"/>
        <v>0</v>
      </c>
      <c r="BR126" s="675"/>
      <c r="BS126" s="1701">
        <f t="shared" ca="1" si="431"/>
        <v>11881558667529.107</v>
      </c>
      <c r="BT126" s="1701">
        <f t="shared" ca="1" si="432"/>
        <v>14921037857598.611</v>
      </c>
      <c r="BU126" s="1701">
        <f t="shared" ca="1" si="433"/>
        <v>17832227640184.77</v>
      </c>
      <c r="BV126" s="1701">
        <f t="shared" ca="1" si="434"/>
        <v>20699996291484.223</v>
      </c>
      <c r="BW126" s="1701">
        <f t="shared" ca="1" si="435"/>
        <v>23524343811496.969</v>
      </c>
      <c r="BX126" s="1701">
        <f t="shared" ca="1" si="436"/>
        <v>23352633272726.914</v>
      </c>
      <c r="BY126" s="1701">
        <f t="shared" ca="1" si="437"/>
        <v>23180922733956.863</v>
      </c>
      <c r="BZ126" s="1701">
        <f t="shared" ca="1" si="438"/>
        <v>23009212195186.812</v>
      </c>
      <c r="CA126" s="1701">
        <f t="shared" ca="1" si="439"/>
        <v>23400874692755.496</v>
      </c>
      <c r="CC126" s="1706">
        <f ca="1">AVERAGE(Costs!$BS126:$CA126)</f>
        <v>20200311906991.082</v>
      </c>
      <c r="CD126" s="1706">
        <f t="shared" ca="1" si="440"/>
        <v>162937577708879.94</v>
      </c>
      <c r="CF126" s="1703">
        <f t="shared" ca="1" si="441"/>
        <v>0</v>
      </c>
      <c r="CG126" s="1703">
        <f t="shared" ca="1" si="442"/>
        <v>0</v>
      </c>
      <c r="CH126" s="1703">
        <f t="shared" ca="1" si="443"/>
        <v>0</v>
      </c>
      <c r="CI126" s="1703">
        <f t="shared" ca="1" si="444"/>
        <v>0</v>
      </c>
      <c r="CJ126" s="1703">
        <f t="shared" ca="1" si="445"/>
        <v>0</v>
      </c>
      <c r="CK126" s="1703">
        <f t="shared" ca="1" si="446"/>
        <v>0</v>
      </c>
      <c r="CL126" s="1703">
        <f t="shared" ca="1" si="447"/>
        <v>0</v>
      </c>
      <c r="CM126" s="1703">
        <f t="shared" ca="1" si="448"/>
        <v>0</v>
      </c>
      <c r="CN126" s="1703">
        <f t="shared" ca="1" si="449"/>
        <v>0</v>
      </c>
      <c r="CP126" s="1706">
        <f ca="1">AVERAGE(Costs!$CF126:$CN126)</f>
        <v>0</v>
      </c>
      <c r="CQ126" s="1706">
        <f t="shared" ca="1" si="344"/>
        <v>0</v>
      </c>
      <c r="CR126" s="1426" t="str">
        <f t="shared" ca="1" si="345"/>
        <v>ok</v>
      </c>
    </row>
    <row r="127" spans="1:96" s="1673" customFormat="1" x14ac:dyDescent="0.2">
      <c r="A127" s="1685" t="s">
        <v>1709</v>
      </c>
      <c r="B127" s="1685" t="s">
        <v>1712</v>
      </c>
      <c r="C127" s="1685" t="s">
        <v>1732</v>
      </c>
      <c r="E127" s="1691">
        <f t="shared" ca="1" si="450"/>
        <v>0</v>
      </c>
      <c r="F127" s="1691">
        <f t="shared" ca="1" si="450"/>
        <v>0</v>
      </c>
      <c r="G127" s="1691">
        <f t="shared" ca="1" si="450"/>
        <v>0</v>
      </c>
      <c r="H127" s="1691">
        <f t="shared" ca="1" si="450"/>
        <v>0</v>
      </c>
      <c r="I127" s="1691">
        <f t="shared" ca="1" si="450"/>
        <v>0</v>
      </c>
      <c r="J127" s="1691">
        <f t="shared" ca="1" si="450"/>
        <v>0</v>
      </c>
      <c r="K127" s="1691">
        <f t="shared" ca="1" si="450"/>
        <v>0</v>
      </c>
      <c r="L127" s="1691">
        <f t="shared" ca="1" si="450"/>
        <v>0</v>
      </c>
      <c r="M127" s="1691">
        <f t="shared" ca="1" si="450"/>
        <v>0</v>
      </c>
      <c r="N127" s="675"/>
      <c r="O127" s="1691">
        <f t="shared" ca="1" si="451"/>
        <v>0</v>
      </c>
      <c r="P127" s="1691">
        <f t="shared" ca="1" si="451"/>
        <v>0</v>
      </c>
      <c r="Q127" s="1691">
        <f t="shared" ca="1" si="451"/>
        <v>0</v>
      </c>
      <c r="R127" s="1691">
        <f t="shared" ca="1" si="451"/>
        <v>0</v>
      </c>
      <c r="S127" s="1691">
        <f t="shared" ca="1" si="451"/>
        <v>0</v>
      </c>
      <c r="T127" s="1691">
        <f t="shared" ca="1" si="451"/>
        <v>0</v>
      </c>
      <c r="U127" s="1691">
        <f t="shared" ca="1" si="451"/>
        <v>0</v>
      </c>
      <c r="V127" s="1691">
        <f t="shared" ca="1" si="451"/>
        <v>0</v>
      </c>
      <c r="W127" s="1691">
        <f t="shared" ca="1" si="451"/>
        <v>0</v>
      </c>
      <c r="X127" s="675"/>
      <c r="Y127" s="1691">
        <f t="shared" ca="1" si="452"/>
        <v>2857910706082.9263</v>
      </c>
      <c r="Z127" s="1691">
        <f t="shared" ca="1" si="452"/>
        <v>4136931051915.9785</v>
      </c>
      <c r="AA127" s="1691">
        <f t="shared" ca="1" si="452"/>
        <v>5197561530838.5273</v>
      </c>
      <c r="AB127" s="1691">
        <f t="shared" ca="1" si="452"/>
        <v>6294137795586.7939</v>
      </c>
      <c r="AC127" s="1691">
        <f t="shared" ca="1" si="452"/>
        <v>7426659846160.7783</v>
      </c>
      <c r="AD127" s="1691">
        <f t="shared" ca="1" si="452"/>
        <v>7557575131773.2324</v>
      </c>
      <c r="AE127" s="1691">
        <f t="shared" ca="1" si="452"/>
        <v>7688490417385.6865</v>
      </c>
      <c r="AF127" s="1691">
        <f t="shared" ca="1" si="452"/>
        <v>7819405702998.1406</v>
      </c>
      <c r="AG127" s="1691">
        <f t="shared" ca="1" si="452"/>
        <v>8146445614789.3369</v>
      </c>
      <c r="AH127" s="675"/>
      <c r="AI127" s="1691">
        <f t="shared" ca="1" si="405"/>
        <v>2857910706082.9263</v>
      </c>
      <c r="AJ127" s="1691">
        <f t="shared" ca="1" si="406"/>
        <v>4136931051915.9785</v>
      </c>
      <c r="AK127" s="1691">
        <f t="shared" ca="1" si="407"/>
        <v>5197561530838.5273</v>
      </c>
      <c r="AL127" s="1691">
        <f t="shared" ca="1" si="408"/>
        <v>6294137795586.7939</v>
      </c>
      <c r="AM127" s="1691">
        <f t="shared" ca="1" si="409"/>
        <v>7426659846160.7783</v>
      </c>
      <c r="AN127" s="1691">
        <f t="shared" ca="1" si="410"/>
        <v>7557575131773.2324</v>
      </c>
      <c r="AO127" s="1691">
        <f t="shared" ca="1" si="411"/>
        <v>7688490417385.6865</v>
      </c>
      <c r="AP127" s="1691">
        <f t="shared" ca="1" si="412"/>
        <v>7819405702998.1406</v>
      </c>
      <c r="AQ127" s="1691">
        <f t="shared" ca="1" si="413"/>
        <v>8146445614789.3369</v>
      </c>
      <c r="AS127" s="1707">
        <f ca="1">AVERAGE(Costs!$AI127:$AQ127)</f>
        <v>6347235310836.8223</v>
      </c>
      <c r="AT127" s="1707">
        <f t="shared" ca="1" si="306"/>
        <v>48134789512975.117</v>
      </c>
      <c r="AU127" s="675"/>
      <c r="AV127" s="1700">
        <f>IFERROR(VLOOKUP($A127,Cost.FinanceCostTable,7,FALSE),'Global assumptions'!$H$35)</f>
        <v>0.1</v>
      </c>
      <c r="AW127" s="1692">
        <f>IFERROR(VLOOKUP($A127,Cost.FinanceCostTable,8,FALSE),'Global assumptions'!$I$35)</f>
        <v>15</v>
      </c>
      <c r="AX127" s="675"/>
      <c r="AY127" s="1691">
        <f t="shared" ca="1" si="414"/>
        <v>0</v>
      </c>
      <c r="AZ127" s="1691">
        <f t="shared" ca="1" si="415"/>
        <v>0</v>
      </c>
      <c r="BA127" s="1691">
        <f t="shared" ca="1" si="416"/>
        <v>0</v>
      </c>
      <c r="BB127" s="1691">
        <f t="shared" ca="1" si="417"/>
        <v>0</v>
      </c>
      <c r="BC127" s="1691">
        <f t="shared" ca="1" si="418"/>
        <v>0</v>
      </c>
      <c r="BD127" s="1691">
        <f t="shared" ca="1" si="419"/>
        <v>0</v>
      </c>
      <c r="BE127" s="1691">
        <f t="shared" ca="1" si="420"/>
        <v>0</v>
      </c>
      <c r="BF127" s="1691">
        <f t="shared" ca="1" si="421"/>
        <v>0</v>
      </c>
      <c r="BG127" s="1691">
        <f t="shared" ca="1" si="422"/>
        <v>0</v>
      </c>
      <c r="BH127" s="675"/>
      <c r="BI127" s="1691">
        <f t="shared" ca="1" si="343"/>
        <v>0</v>
      </c>
      <c r="BJ127" s="1691">
        <f t="shared" ca="1" si="423"/>
        <v>0</v>
      </c>
      <c r="BK127" s="1691">
        <f t="shared" ca="1" si="424"/>
        <v>0</v>
      </c>
      <c r="BL127" s="1691">
        <f t="shared" ca="1" si="425"/>
        <v>0</v>
      </c>
      <c r="BM127" s="1691">
        <f t="shared" ca="1" si="426"/>
        <v>0</v>
      </c>
      <c r="BN127" s="1691">
        <f t="shared" ca="1" si="427"/>
        <v>0</v>
      </c>
      <c r="BO127" s="1691">
        <f t="shared" ca="1" si="428"/>
        <v>0</v>
      </c>
      <c r="BP127" s="1691">
        <f t="shared" ca="1" si="429"/>
        <v>0</v>
      </c>
      <c r="BQ127" s="1691">
        <f t="shared" ca="1" si="430"/>
        <v>0</v>
      </c>
      <c r="BR127" s="675"/>
      <c r="BS127" s="1702">
        <f t="shared" ca="1" si="431"/>
        <v>2857910706082.9263</v>
      </c>
      <c r="BT127" s="1702">
        <f t="shared" ca="1" si="432"/>
        <v>4136931051915.9785</v>
      </c>
      <c r="BU127" s="1702">
        <f t="shared" ca="1" si="433"/>
        <v>5197561530838.5273</v>
      </c>
      <c r="BV127" s="1702">
        <f t="shared" ca="1" si="434"/>
        <v>6294137795586.7939</v>
      </c>
      <c r="BW127" s="1702">
        <f t="shared" ca="1" si="435"/>
        <v>7426659846160.7783</v>
      </c>
      <c r="BX127" s="1702">
        <f t="shared" ca="1" si="436"/>
        <v>7557575131773.2324</v>
      </c>
      <c r="BY127" s="1702">
        <f t="shared" ca="1" si="437"/>
        <v>7688490417385.6865</v>
      </c>
      <c r="BZ127" s="1702">
        <f t="shared" ca="1" si="438"/>
        <v>7819405702998.1406</v>
      </c>
      <c r="CA127" s="1702">
        <f t="shared" ca="1" si="439"/>
        <v>8146445614789.3369</v>
      </c>
      <c r="CC127" s="1707">
        <f ca="1">AVERAGE(Costs!$BS127:$CA127)</f>
        <v>6347235310836.8223</v>
      </c>
      <c r="CD127" s="1707">
        <f t="shared" ca="1" si="440"/>
        <v>48134789512975.117</v>
      </c>
      <c r="CF127" s="1704">
        <f t="shared" ca="1" si="441"/>
        <v>0</v>
      </c>
      <c r="CG127" s="1704">
        <f t="shared" ca="1" si="442"/>
        <v>0</v>
      </c>
      <c r="CH127" s="1704">
        <f t="shared" ca="1" si="443"/>
        <v>0</v>
      </c>
      <c r="CI127" s="1704">
        <f t="shared" ca="1" si="444"/>
        <v>0</v>
      </c>
      <c r="CJ127" s="1704">
        <f t="shared" ca="1" si="445"/>
        <v>0</v>
      </c>
      <c r="CK127" s="1704">
        <f t="shared" ca="1" si="446"/>
        <v>0</v>
      </c>
      <c r="CL127" s="1704">
        <f t="shared" ca="1" si="447"/>
        <v>0</v>
      </c>
      <c r="CM127" s="1704">
        <f t="shared" ca="1" si="448"/>
        <v>0</v>
      </c>
      <c r="CN127" s="1704">
        <f t="shared" ca="1" si="449"/>
        <v>0</v>
      </c>
      <c r="CP127" s="1707">
        <f ca="1">AVERAGE(Costs!$CF127:$CN127)</f>
        <v>0</v>
      </c>
      <c r="CQ127" s="1707">
        <f t="shared" ca="1" si="344"/>
        <v>0</v>
      </c>
      <c r="CR127" s="1426" t="str">
        <f t="shared" ca="1" si="345"/>
        <v>ok</v>
      </c>
    </row>
    <row r="128" spans="1:96" s="1673" customFormat="1" x14ac:dyDescent="0.2">
      <c r="A128" s="1683" t="s">
        <v>439</v>
      </c>
      <c r="B128" s="1683" t="s">
        <v>441</v>
      </c>
      <c r="C128" s="1683" t="s">
        <v>1732</v>
      </c>
      <c r="E128" s="1689">
        <f t="shared" ca="1" si="450"/>
        <v>0</v>
      </c>
      <c r="F128" s="1689">
        <f t="shared" ca="1" si="450"/>
        <v>7105059144.6593437</v>
      </c>
      <c r="G128" s="1689">
        <f t="shared" ca="1" si="450"/>
        <v>76677183720.299042</v>
      </c>
      <c r="H128" s="1689">
        <f t="shared" ca="1" si="450"/>
        <v>23083897269.341568</v>
      </c>
      <c r="I128" s="1689">
        <f t="shared" ca="1" si="450"/>
        <v>63000408691.34864</v>
      </c>
      <c r="J128" s="1689">
        <f t="shared" ca="1" si="450"/>
        <v>154795299254.82892</v>
      </c>
      <c r="K128" s="1689">
        <f t="shared" ca="1" si="450"/>
        <v>193612293869.54984</v>
      </c>
      <c r="L128" s="1689">
        <f t="shared" ca="1" si="450"/>
        <v>226045549516.69962</v>
      </c>
      <c r="M128" s="1689">
        <f t="shared" ca="1" si="450"/>
        <v>273721023977.97842</v>
      </c>
      <c r="N128" s="675"/>
      <c r="O128" s="1689">
        <f t="shared" ca="1" si="451"/>
        <v>37863951.554610923</v>
      </c>
      <c r="P128" s="1689">
        <f t="shared" ca="1" si="451"/>
        <v>58295627.776414506</v>
      </c>
      <c r="Q128" s="1689">
        <f t="shared" ca="1" si="451"/>
        <v>144726628.64790955</v>
      </c>
      <c r="R128" s="1689">
        <f t="shared" ca="1" si="451"/>
        <v>85705697.978200287</v>
      </c>
      <c r="S128" s="1689">
        <f t="shared" ca="1" si="451"/>
        <v>127848113.31712122</v>
      </c>
      <c r="T128" s="1689">
        <f t="shared" ca="1" si="451"/>
        <v>227853024.88142726</v>
      </c>
      <c r="U128" s="1689">
        <f t="shared" ca="1" si="451"/>
        <v>324751985.29011303</v>
      </c>
      <c r="V128" s="1689">
        <f t="shared" ca="1" si="451"/>
        <v>412348002.06780034</v>
      </c>
      <c r="W128" s="1689">
        <f t="shared" ca="1" si="451"/>
        <v>499634178.01915544</v>
      </c>
      <c r="X128" s="675"/>
      <c r="Y128" s="1689">
        <f t="shared" ca="1" si="452"/>
        <v>0</v>
      </c>
      <c r="Z128" s="1689">
        <f t="shared" ca="1" si="452"/>
        <v>0</v>
      </c>
      <c r="AA128" s="1689">
        <f t="shared" ca="1" si="452"/>
        <v>0</v>
      </c>
      <c r="AB128" s="1689">
        <f t="shared" ca="1" si="452"/>
        <v>0</v>
      </c>
      <c r="AC128" s="1689">
        <f t="shared" ca="1" si="452"/>
        <v>0</v>
      </c>
      <c r="AD128" s="1689">
        <f t="shared" ca="1" si="452"/>
        <v>0</v>
      </c>
      <c r="AE128" s="1689">
        <f t="shared" ca="1" si="452"/>
        <v>0</v>
      </c>
      <c r="AF128" s="1689">
        <f t="shared" ca="1" si="452"/>
        <v>0</v>
      </c>
      <c r="AG128" s="1689">
        <f t="shared" ca="1" si="452"/>
        <v>0</v>
      </c>
      <c r="AH128" s="675"/>
      <c r="AI128" s="1689">
        <f t="shared" ca="1" si="405"/>
        <v>37863951.554610923</v>
      </c>
      <c r="AJ128" s="1689">
        <f t="shared" ca="1" si="406"/>
        <v>7163354772.4357586</v>
      </c>
      <c r="AK128" s="1689">
        <f t="shared" ca="1" si="407"/>
        <v>76821910348.946945</v>
      </c>
      <c r="AL128" s="1689">
        <f t="shared" ca="1" si="408"/>
        <v>23169602967.319767</v>
      </c>
      <c r="AM128" s="1689">
        <f t="shared" ca="1" si="409"/>
        <v>63128256804.665764</v>
      </c>
      <c r="AN128" s="1689">
        <f t="shared" ca="1" si="410"/>
        <v>155023152279.71036</v>
      </c>
      <c r="AO128" s="1689">
        <f t="shared" ca="1" si="411"/>
        <v>193937045854.83994</v>
      </c>
      <c r="AP128" s="1689">
        <f t="shared" ca="1" si="412"/>
        <v>226457897518.76743</v>
      </c>
      <c r="AQ128" s="1689">
        <f t="shared" ca="1" si="413"/>
        <v>274220658155.99759</v>
      </c>
      <c r="AS128" s="1706">
        <f ca="1">AVERAGE(Costs!$AI128:$AQ128)</f>
        <v>113328860294.91534</v>
      </c>
      <c r="AT128" s="1706">
        <f t="shared" ca="1" si="306"/>
        <v>486573079779.81934</v>
      </c>
      <c r="AU128" s="675"/>
      <c r="AV128" s="1699">
        <f>IFERROR(VLOOKUP($A128,Cost.FinanceCostTable,7,FALSE),'Global assumptions'!$H$35)</f>
        <v>0.1</v>
      </c>
      <c r="AW128" s="1690">
        <f>IFERROR(VLOOKUP($A128,Cost.FinanceCostTable,8,FALSE),'Global assumptions'!$I$35)</f>
        <v>15</v>
      </c>
      <c r="AX128" s="675"/>
      <c r="AY128" s="1689">
        <f t="shared" ca="1" si="414"/>
        <v>0</v>
      </c>
      <c r="AZ128" s="1689">
        <f t="shared" ca="1" si="415"/>
        <v>4670644803.7826319</v>
      </c>
      <c r="BA128" s="1689">
        <f t="shared" ca="1" si="416"/>
        <v>50405194723.973236</v>
      </c>
      <c r="BB128" s="1689">
        <f t="shared" ca="1" si="417"/>
        <v>15174635796.40217</v>
      </c>
      <c r="BC128" s="1689">
        <f t="shared" ca="1" si="418"/>
        <v>41414508380.498192</v>
      </c>
      <c r="BD128" s="1689">
        <f t="shared" ca="1" si="419"/>
        <v>101757613187.21696</v>
      </c>
      <c r="BE128" s="1689">
        <f t="shared" ca="1" si="420"/>
        <v>127274697634.2877</v>
      </c>
      <c r="BF128" s="1689">
        <f t="shared" ca="1" si="421"/>
        <v>148595310717.71008</v>
      </c>
      <c r="BG128" s="1689">
        <f t="shared" ca="1" si="422"/>
        <v>179935684179.319</v>
      </c>
      <c r="BH128" s="675"/>
      <c r="BI128" s="1689">
        <f t="shared" ca="1" si="343"/>
        <v>0</v>
      </c>
      <c r="BJ128" s="1689">
        <f t="shared" ca="1" si="423"/>
        <v>4670644803.7826319</v>
      </c>
      <c r="BK128" s="1689">
        <f t="shared" ca="1" si="424"/>
        <v>55075839527.755867</v>
      </c>
      <c r="BL128" s="1689">
        <f t="shared" ca="1" si="425"/>
        <v>70250475324.158035</v>
      </c>
      <c r="BM128" s="1689">
        <f t="shared" ca="1" si="426"/>
        <v>106994338900.87361</v>
      </c>
      <c r="BN128" s="1689">
        <f t="shared" ca="1" si="427"/>
        <v>158346757364.11734</v>
      </c>
      <c r="BO128" s="1689">
        <f t="shared" ca="1" si="428"/>
        <v>270446819202.00287</v>
      </c>
      <c r="BP128" s="1689">
        <f t="shared" ca="1" si="429"/>
        <v>377627621539.21478</v>
      </c>
      <c r="BQ128" s="1689">
        <f t="shared" ca="1" si="430"/>
        <v>455805692531.31677</v>
      </c>
      <c r="BR128" s="675"/>
      <c r="BS128" s="1701">
        <f t="shared" ca="1" si="431"/>
        <v>37863951.554610923</v>
      </c>
      <c r="BT128" s="1701">
        <f t="shared" ca="1" si="432"/>
        <v>4728940431.5590467</v>
      </c>
      <c r="BU128" s="1701">
        <f t="shared" ca="1" si="433"/>
        <v>55220566156.403778</v>
      </c>
      <c r="BV128" s="1701">
        <f t="shared" ca="1" si="434"/>
        <v>70336181022.13623</v>
      </c>
      <c r="BW128" s="1701">
        <f t="shared" ca="1" si="435"/>
        <v>107122187014.19073</v>
      </c>
      <c r="BX128" s="1701">
        <f t="shared" ca="1" si="436"/>
        <v>158574610388.99878</v>
      </c>
      <c r="BY128" s="1701">
        <f t="shared" ca="1" si="437"/>
        <v>270771571187.29297</v>
      </c>
      <c r="BZ128" s="1701">
        <f t="shared" ca="1" si="438"/>
        <v>378039969541.28259</v>
      </c>
      <c r="CA128" s="1701">
        <f t="shared" ca="1" si="439"/>
        <v>456305326709.33594</v>
      </c>
      <c r="CC128" s="1706">
        <f ca="1">AVERAGE(Costs!$BS128:$CA128)</f>
        <v>166793024044.75052</v>
      </c>
      <c r="CD128" s="1706">
        <f t="shared" ca="1" si="440"/>
        <v>626473151563.55017</v>
      </c>
      <c r="CF128" s="1703">
        <f t="shared" ca="1" si="441"/>
        <v>0</v>
      </c>
      <c r="CG128" s="1703">
        <f t="shared" ca="1" si="442"/>
        <v>-2434414340.8767118</v>
      </c>
      <c r="CH128" s="1703">
        <f t="shared" ca="1" si="443"/>
        <v>-21601344192.543175</v>
      </c>
      <c r="CI128" s="1703">
        <f t="shared" ca="1" si="444"/>
        <v>47166578054.816467</v>
      </c>
      <c r="CJ128" s="1703">
        <f t="shared" ca="1" si="445"/>
        <v>43993930209.524971</v>
      </c>
      <c r="CK128" s="1703">
        <f t="shared" ca="1" si="446"/>
        <v>3551458109.2884216</v>
      </c>
      <c r="CL128" s="1703">
        <f t="shared" ca="1" si="447"/>
        <v>76834525332.453033</v>
      </c>
      <c r="CM128" s="1703">
        <f t="shared" ca="1" si="448"/>
        <v>151582072022.51517</v>
      </c>
      <c r="CN128" s="1703">
        <f t="shared" ca="1" si="449"/>
        <v>182084668553.33835</v>
      </c>
      <c r="CP128" s="1706">
        <f ca="1">AVERAGE(Costs!$CF128:$CN128)</f>
        <v>53464163749.835175</v>
      </c>
      <c r="CQ128" s="1706">
        <f t="shared" ca="1" si="344"/>
        <v>139900071783.73077</v>
      </c>
      <c r="CR128" s="1426" t="str">
        <f t="shared" ca="1" si="345"/>
        <v>ok</v>
      </c>
    </row>
    <row r="129" spans="1:96" s="1673" customFormat="1" x14ac:dyDescent="0.2">
      <c r="A129" s="1685" t="s">
        <v>1698</v>
      </c>
      <c r="B129" s="1685" t="s">
        <v>1701</v>
      </c>
      <c r="C129" s="1685" t="s">
        <v>1732</v>
      </c>
      <c r="E129" s="1691">
        <f t="shared" ca="1" si="450"/>
        <v>0</v>
      </c>
      <c r="F129" s="1691">
        <f t="shared" ca="1" si="450"/>
        <v>0</v>
      </c>
      <c r="G129" s="1691">
        <f t="shared" ca="1" si="450"/>
        <v>0</v>
      </c>
      <c r="H129" s="1691">
        <f t="shared" ca="1" si="450"/>
        <v>0</v>
      </c>
      <c r="I129" s="1691">
        <f t="shared" ca="1" si="450"/>
        <v>0</v>
      </c>
      <c r="J129" s="1691">
        <f t="shared" ca="1" si="450"/>
        <v>0</v>
      </c>
      <c r="K129" s="1691">
        <f t="shared" ca="1" si="450"/>
        <v>0</v>
      </c>
      <c r="L129" s="1691">
        <f t="shared" ca="1" si="450"/>
        <v>0</v>
      </c>
      <c r="M129" s="1691">
        <f t="shared" ca="1" si="450"/>
        <v>0</v>
      </c>
      <c r="N129" s="675"/>
      <c r="O129" s="1691">
        <f t="shared" ca="1" si="451"/>
        <v>0</v>
      </c>
      <c r="P129" s="1691">
        <f t="shared" ca="1" si="451"/>
        <v>0</v>
      </c>
      <c r="Q129" s="1691">
        <f t="shared" ca="1" si="451"/>
        <v>0</v>
      </c>
      <c r="R129" s="1691">
        <f t="shared" ca="1" si="451"/>
        <v>0</v>
      </c>
      <c r="S129" s="1691">
        <f t="shared" ca="1" si="451"/>
        <v>0</v>
      </c>
      <c r="T129" s="1691">
        <f t="shared" ca="1" si="451"/>
        <v>0</v>
      </c>
      <c r="U129" s="1691">
        <f t="shared" ca="1" si="451"/>
        <v>0</v>
      </c>
      <c r="V129" s="1691">
        <f t="shared" ca="1" si="451"/>
        <v>0</v>
      </c>
      <c r="W129" s="1691">
        <f t="shared" ca="1" si="451"/>
        <v>0</v>
      </c>
      <c r="X129" s="675"/>
      <c r="Y129" s="1691">
        <f t="shared" ca="1" si="452"/>
        <v>-28962460960.214573</v>
      </c>
      <c r="Z129" s="1691">
        <f t="shared" ca="1" si="452"/>
        <v>-36130518085.524994</v>
      </c>
      <c r="AA129" s="1691">
        <f t="shared" ca="1" si="452"/>
        <v>56786902934.573326</v>
      </c>
      <c r="AB129" s="1691">
        <f t="shared" ca="1" si="452"/>
        <v>493917516816.68134</v>
      </c>
      <c r="AC129" s="1691">
        <f t="shared" ca="1" si="452"/>
        <v>1332909004656.9517</v>
      </c>
      <c r="AD129" s="1691">
        <f t="shared" ca="1" si="452"/>
        <v>2509541311376.3159</v>
      </c>
      <c r="AE129" s="1691">
        <f t="shared" ca="1" si="452"/>
        <v>3761674655224.0337</v>
      </c>
      <c r="AF129" s="1691">
        <f t="shared" ca="1" si="452"/>
        <v>5004430239986.4219</v>
      </c>
      <c r="AG129" s="1691">
        <f t="shared" ca="1" si="452"/>
        <v>6402022920225.4609</v>
      </c>
      <c r="AH129" s="675"/>
      <c r="AI129" s="1691">
        <f t="shared" ca="1" si="405"/>
        <v>-28962460960.214573</v>
      </c>
      <c r="AJ129" s="1691">
        <f t="shared" ca="1" si="406"/>
        <v>-36130518085.524994</v>
      </c>
      <c r="AK129" s="1691">
        <f t="shared" ca="1" si="407"/>
        <v>56786902934.573326</v>
      </c>
      <c r="AL129" s="1691">
        <f t="shared" ca="1" si="408"/>
        <v>493917516816.68134</v>
      </c>
      <c r="AM129" s="1691">
        <f t="shared" ca="1" si="409"/>
        <v>1332909004656.9517</v>
      </c>
      <c r="AN129" s="1691">
        <f t="shared" ca="1" si="410"/>
        <v>2509541311376.3159</v>
      </c>
      <c r="AO129" s="1691">
        <f t="shared" ca="1" si="411"/>
        <v>3761674655224.0337</v>
      </c>
      <c r="AP129" s="1691">
        <f t="shared" ca="1" si="412"/>
        <v>5004430239986.4219</v>
      </c>
      <c r="AQ129" s="1691">
        <f t="shared" ca="1" si="413"/>
        <v>6402022920225.4609</v>
      </c>
      <c r="AS129" s="1707">
        <f ca="1">AVERAGE(Costs!$AI129:$AQ129)</f>
        <v>2166243285797.1887</v>
      </c>
      <c r="AT129" s="1707">
        <f t="shared" ca="1" si="306"/>
        <v>6388133248882.1045</v>
      </c>
      <c r="AU129" s="675"/>
      <c r="AV129" s="1700">
        <f>IFERROR(VLOOKUP($A129,Cost.FinanceCostTable,7,FALSE),'Global assumptions'!$H$35)</f>
        <v>0.1</v>
      </c>
      <c r="AW129" s="1692">
        <f>IFERROR(VLOOKUP($A129,Cost.FinanceCostTable,8,FALSE),'Global assumptions'!$I$35)</f>
        <v>15</v>
      </c>
      <c r="AX129" s="675"/>
      <c r="AY129" s="1691">
        <f t="shared" ca="1" si="414"/>
        <v>0</v>
      </c>
      <c r="AZ129" s="1691">
        <f t="shared" ca="1" si="415"/>
        <v>0</v>
      </c>
      <c r="BA129" s="1691">
        <f t="shared" ca="1" si="416"/>
        <v>0</v>
      </c>
      <c r="BB129" s="1691">
        <f t="shared" ca="1" si="417"/>
        <v>0</v>
      </c>
      <c r="BC129" s="1691">
        <f t="shared" ca="1" si="418"/>
        <v>0</v>
      </c>
      <c r="BD129" s="1691">
        <f t="shared" ca="1" si="419"/>
        <v>0</v>
      </c>
      <c r="BE129" s="1691">
        <f t="shared" ca="1" si="420"/>
        <v>0</v>
      </c>
      <c r="BF129" s="1691">
        <f t="shared" ca="1" si="421"/>
        <v>0</v>
      </c>
      <c r="BG129" s="1691">
        <f t="shared" ca="1" si="422"/>
        <v>0</v>
      </c>
      <c r="BH129" s="675"/>
      <c r="BI129" s="1691">
        <f t="shared" ca="1" si="343"/>
        <v>0</v>
      </c>
      <c r="BJ129" s="1691">
        <f t="shared" ca="1" si="423"/>
        <v>0</v>
      </c>
      <c r="BK129" s="1691">
        <f t="shared" ca="1" si="424"/>
        <v>0</v>
      </c>
      <c r="BL129" s="1691">
        <f t="shared" ca="1" si="425"/>
        <v>0</v>
      </c>
      <c r="BM129" s="1691">
        <f t="shared" ca="1" si="426"/>
        <v>0</v>
      </c>
      <c r="BN129" s="1691">
        <f t="shared" ca="1" si="427"/>
        <v>0</v>
      </c>
      <c r="BO129" s="1691">
        <f t="shared" ca="1" si="428"/>
        <v>0</v>
      </c>
      <c r="BP129" s="1691">
        <f t="shared" ca="1" si="429"/>
        <v>0</v>
      </c>
      <c r="BQ129" s="1691">
        <f t="shared" ca="1" si="430"/>
        <v>0</v>
      </c>
      <c r="BR129" s="675"/>
      <c r="BS129" s="1702">
        <f t="shared" ca="1" si="431"/>
        <v>-28962460960.214573</v>
      </c>
      <c r="BT129" s="1702">
        <f t="shared" ca="1" si="432"/>
        <v>-36130518085.524994</v>
      </c>
      <c r="BU129" s="1702">
        <f t="shared" ca="1" si="433"/>
        <v>56786902934.573326</v>
      </c>
      <c r="BV129" s="1702">
        <f t="shared" ca="1" si="434"/>
        <v>493917516816.68134</v>
      </c>
      <c r="BW129" s="1702">
        <f t="shared" ca="1" si="435"/>
        <v>1332909004656.9517</v>
      </c>
      <c r="BX129" s="1702">
        <f t="shared" ca="1" si="436"/>
        <v>2509541311376.3159</v>
      </c>
      <c r="BY129" s="1702">
        <f t="shared" ca="1" si="437"/>
        <v>3761674655224.0337</v>
      </c>
      <c r="BZ129" s="1702">
        <f t="shared" ca="1" si="438"/>
        <v>5004430239986.4219</v>
      </c>
      <c r="CA129" s="1702">
        <f t="shared" ca="1" si="439"/>
        <v>6402022920225.4609</v>
      </c>
      <c r="CC129" s="1707">
        <f ca="1">AVERAGE(Costs!$BS129:$CA129)</f>
        <v>2166243285797.1887</v>
      </c>
      <c r="CD129" s="1707">
        <f t="shared" ca="1" si="440"/>
        <v>6388133248882.1045</v>
      </c>
      <c r="CF129" s="1704">
        <f t="shared" ca="1" si="441"/>
        <v>0</v>
      </c>
      <c r="CG129" s="1704">
        <f t="shared" ca="1" si="442"/>
        <v>0</v>
      </c>
      <c r="CH129" s="1704">
        <f t="shared" ca="1" si="443"/>
        <v>0</v>
      </c>
      <c r="CI129" s="1704">
        <f t="shared" ca="1" si="444"/>
        <v>0</v>
      </c>
      <c r="CJ129" s="1704">
        <f t="shared" ca="1" si="445"/>
        <v>0</v>
      </c>
      <c r="CK129" s="1704">
        <f t="shared" ca="1" si="446"/>
        <v>0</v>
      </c>
      <c r="CL129" s="1704">
        <f t="shared" ca="1" si="447"/>
        <v>0</v>
      </c>
      <c r="CM129" s="1704">
        <f t="shared" ca="1" si="448"/>
        <v>0</v>
      </c>
      <c r="CN129" s="1704">
        <f t="shared" ca="1" si="449"/>
        <v>0</v>
      </c>
      <c r="CP129" s="1707">
        <f ca="1">AVERAGE(Costs!$CF129:$CN129)</f>
        <v>0</v>
      </c>
      <c r="CQ129" s="1707">
        <f t="shared" ca="1" si="344"/>
        <v>0</v>
      </c>
      <c r="CR129" s="1426" t="str">
        <f t="shared" ca="1" si="345"/>
        <v>ok</v>
      </c>
    </row>
    <row r="130" spans="1:96" s="2215" customFormat="1" x14ac:dyDescent="0.2">
      <c r="A130" s="1683" t="s">
        <v>1699</v>
      </c>
      <c r="B130" s="1683" t="s">
        <v>1702</v>
      </c>
      <c r="C130" s="1683" t="s">
        <v>1732</v>
      </c>
      <c r="D130" s="1673"/>
      <c r="E130" s="1689">
        <f t="shared" ca="1" si="450"/>
        <v>0</v>
      </c>
      <c r="F130" s="1689">
        <f t="shared" ca="1" si="450"/>
        <v>0</v>
      </c>
      <c r="G130" s="1689">
        <f t="shared" ca="1" si="450"/>
        <v>0</v>
      </c>
      <c r="H130" s="1689">
        <f t="shared" ca="1" si="450"/>
        <v>0</v>
      </c>
      <c r="I130" s="1689">
        <f t="shared" ca="1" si="450"/>
        <v>0</v>
      </c>
      <c r="J130" s="1689">
        <f t="shared" ca="1" si="450"/>
        <v>0</v>
      </c>
      <c r="K130" s="1689">
        <f t="shared" ca="1" si="450"/>
        <v>0</v>
      </c>
      <c r="L130" s="1689">
        <f t="shared" ca="1" si="450"/>
        <v>0</v>
      </c>
      <c r="M130" s="1689">
        <f t="shared" ca="1" si="450"/>
        <v>0</v>
      </c>
      <c r="N130" s="675"/>
      <c r="O130" s="1689">
        <f t="shared" ca="1" si="451"/>
        <v>0</v>
      </c>
      <c r="P130" s="1689">
        <f t="shared" ca="1" si="451"/>
        <v>0</v>
      </c>
      <c r="Q130" s="1689">
        <f t="shared" ca="1" si="451"/>
        <v>0</v>
      </c>
      <c r="R130" s="1689">
        <f t="shared" ca="1" si="451"/>
        <v>0</v>
      </c>
      <c r="S130" s="1689">
        <f t="shared" ca="1" si="451"/>
        <v>0</v>
      </c>
      <c r="T130" s="1689">
        <f t="shared" ca="1" si="451"/>
        <v>0</v>
      </c>
      <c r="U130" s="1689">
        <f t="shared" ca="1" si="451"/>
        <v>0</v>
      </c>
      <c r="V130" s="1689">
        <f t="shared" ca="1" si="451"/>
        <v>0</v>
      </c>
      <c r="W130" s="1689">
        <f t="shared" ca="1" si="451"/>
        <v>0</v>
      </c>
      <c r="X130" s="675"/>
      <c r="Y130" s="1689">
        <f t="shared" ca="1" si="452"/>
        <v>-9428228078494.5449</v>
      </c>
      <c r="Z130" s="1689">
        <f t="shared" ca="1" si="452"/>
        <v>-11758712358243.752</v>
      </c>
      <c r="AA130" s="1689">
        <f t="shared" ca="1" si="452"/>
        <v>-15107144520294.74</v>
      </c>
      <c r="AB130" s="1689">
        <f t="shared" ca="1" si="452"/>
        <v>-17988772542603.785</v>
      </c>
      <c r="AC130" s="1689">
        <f t="shared" ca="1" si="452"/>
        <v>-20380478770248.953</v>
      </c>
      <c r="AD130" s="1689">
        <f t="shared" ca="1" si="452"/>
        <v>-20084984424901.176</v>
      </c>
      <c r="AE130" s="1689">
        <f t="shared" ca="1" si="452"/>
        <v>-19921746679338.82</v>
      </c>
      <c r="AF130" s="1689">
        <f t="shared" ca="1" si="452"/>
        <v>-19775171969836.574</v>
      </c>
      <c r="AG130" s="1689">
        <f t="shared" ca="1" si="452"/>
        <v>-20163285024797.926</v>
      </c>
      <c r="AH130" s="675"/>
      <c r="AI130" s="1689">
        <f t="shared" ca="1" si="405"/>
        <v>-9428228078494.5449</v>
      </c>
      <c r="AJ130" s="1689">
        <f t="shared" ca="1" si="406"/>
        <v>-11758712358243.752</v>
      </c>
      <c r="AK130" s="1689">
        <f t="shared" ca="1" si="407"/>
        <v>-15107144520294.74</v>
      </c>
      <c r="AL130" s="1689">
        <f t="shared" ca="1" si="408"/>
        <v>-17988772542603.785</v>
      </c>
      <c r="AM130" s="1689">
        <f t="shared" ca="1" si="409"/>
        <v>-20380478770248.953</v>
      </c>
      <c r="AN130" s="1689">
        <f t="shared" ca="1" si="410"/>
        <v>-20084984424901.176</v>
      </c>
      <c r="AO130" s="1689">
        <f t="shared" ca="1" si="411"/>
        <v>-19921746679338.82</v>
      </c>
      <c r="AP130" s="1689">
        <f t="shared" ca="1" si="412"/>
        <v>-19775171969836.574</v>
      </c>
      <c r="AQ130" s="1689">
        <f t="shared" ca="1" si="413"/>
        <v>-20163285024797.926</v>
      </c>
      <c r="AR130" s="1673"/>
      <c r="AS130" s="1706">
        <f ca="1">AVERAGE(Costs!$AI130:$AQ130)</f>
        <v>-17178724929862.254</v>
      </c>
      <c r="AT130" s="1706">
        <f t="shared" ca="1" si="306"/>
        <v>-135899956988096.12</v>
      </c>
      <c r="AU130" s="675"/>
      <c r="AV130" s="1699">
        <f>IFERROR(VLOOKUP($A130,Cost.FinanceCostTable,7,FALSE),'Global assumptions'!$H$35)</f>
        <v>0.1</v>
      </c>
      <c r="AW130" s="1690">
        <f>IFERROR(VLOOKUP($A130,Cost.FinanceCostTable,8,FALSE),'Global assumptions'!$I$35)</f>
        <v>15</v>
      </c>
      <c r="AX130" s="675"/>
      <c r="AY130" s="1689">
        <f t="shared" ca="1" si="414"/>
        <v>0</v>
      </c>
      <c r="AZ130" s="1689">
        <f t="shared" ca="1" si="415"/>
        <v>0</v>
      </c>
      <c r="BA130" s="1689">
        <f t="shared" ca="1" si="416"/>
        <v>0</v>
      </c>
      <c r="BB130" s="1689">
        <f t="shared" ca="1" si="417"/>
        <v>0</v>
      </c>
      <c r="BC130" s="1689">
        <f t="shared" ca="1" si="418"/>
        <v>0</v>
      </c>
      <c r="BD130" s="1689">
        <f t="shared" ca="1" si="419"/>
        <v>0</v>
      </c>
      <c r="BE130" s="1689">
        <f t="shared" ca="1" si="420"/>
        <v>0</v>
      </c>
      <c r="BF130" s="1689">
        <f t="shared" ca="1" si="421"/>
        <v>0</v>
      </c>
      <c r="BG130" s="1689">
        <f t="shared" ca="1" si="422"/>
        <v>0</v>
      </c>
      <c r="BH130" s="675"/>
      <c r="BI130" s="1689">
        <f t="shared" ca="1" si="343"/>
        <v>0</v>
      </c>
      <c r="BJ130" s="1689">
        <f t="shared" ca="1" si="423"/>
        <v>0</v>
      </c>
      <c r="BK130" s="1689">
        <f t="shared" ca="1" si="424"/>
        <v>0</v>
      </c>
      <c r="BL130" s="1689">
        <f t="shared" ca="1" si="425"/>
        <v>0</v>
      </c>
      <c r="BM130" s="1689">
        <f t="shared" ca="1" si="426"/>
        <v>0</v>
      </c>
      <c r="BN130" s="1689">
        <f t="shared" ca="1" si="427"/>
        <v>0</v>
      </c>
      <c r="BO130" s="1689">
        <f t="shared" ca="1" si="428"/>
        <v>0</v>
      </c>
      <c r="BP130" s="1689">
        <f t="shared" ca="1" si="429"/>
        <v>0</v>
      </c>
      <c r="BQ130" s="1689">
        <f t="shared" ca="1" si="430"/>
        <v>0</v>
      </c>
      <c r="BR130" s="675"/>
      <c r="BS130" s="1701">
        <f t="shared" ca="1" si="431"/>
        <v>-9428228078494.5449</v>
      </c>
      <c r="BT130" s="1701">
        <f t="shared" ca="1" si="432"/>
        <v>-11758712358243.752</v>
      </c>
      <c r="BU130" s="1701">
        <f t="shared" ca="1" si="433"/>
        <v>-15107144520294.74</v>
      </c>
      <c r="BV130" s="1701">
        <f t="shared" ca="1" si="434"/>
        <v>-17988772542603.785</v>
      </c>
      <c r="BW130" s="1701">
        <f t="shared" ca="1" si="435"/>
        <v>-20380478770248.953</v>
      </c>
      <c r="BX130" s="1701">
        <f t="shared" ca="1" si="436"/>
        <v>-20084984424901.176</v>
      </c>
      <c r="BY130" s="1701">
        <f t="shared" ca="1" si="437"/>
        <v>-19921746679338.82</v>
      </c>
      <c r="BZ130" s="1701">
        <f t="shared" ca="1" si="438"/>
        <v>-19775171969836.574</v>
      </c>
      <c r="CA130" s="1701">
        <f t="shared" ca="1" si="439"/>
        <v>-20163285024797.926</v>
      </c>
      <c r="CB130" s="1673"/>
      <c r="CC130" s="1706">
        <f ca="1">AVERAGE(Costs!$BS130:$CA130)</f>
        <v>-17178724929862.254</v>
      </c>
      <c r="CD130" s="1706">
        <f t="shared" ca="1" si="440"/>
        <v>-135899956988096.12</v>
      </c>
      <c r="CE130" s="1673"/>
      <c r="CF130" s="1703">
        <f t="shared" ca="1" si="441"/>
        <v>0</v>
      </c>
      <c r="CG130" s="1703">
        <f t="shared" ca="1" si="442"/>
        <v>0</v>
      </c>
      <c r="CH130" s="1703">
        <f t="shared" ca="1" si="443"/>
        <v>0</v>
      </c>
      <c r="CI130" s="1703">
        <f t="shared" ca="1" si="444"/>
        <v>0</v>
      </c>
      <c r="CJ130" s="1703">
        <f t="shared" ca="1" si="445"/>
        <v>0</v>
      </c>
      <c r="CK130" s="1703">
        <f t="shared" ca="1" si="446"/>
        <v>0</v>
      </c>
      <c r="CL130" s="1703">
        <f t="shared" ca="1" si="447"/>
        <v>0</v>
      </c>
      <c r="CM130" s="1703">
        <f t="shared" ca="1" si="448"/>
        <v>0</v>
      </c>
      <c r="CN130" s="1703">
        <f t="shared" ca="1" si="449"/>
        <v>0</v>
      </c>
      <c r="CO130" s="1673"/>
      <c r="CP130" s="1706">
        <f ca="1">AVERAGE(Costs!$CF130:$CN130)</f>
        <v>0</v>
      </c>
      <c r="CQ130" s="1706">
        <f t="shared" ca="1" si="344"/>
        <v>0</v>
      </c>
      <c r="CR130" s="1426" t="str">
        <f t="shared" ca="1" si="345"/>
        <v>ok</v>
      </c>
    </row>
    <row r="131" spans="1:96" s="2737" customFormat="1" x14ac:dyDescent="0.2">
      <c r="A131" s="2134" t="s">
        <v>1700</v>
      </c>
      <c r="B131" s="2134" t="s">
        <v>1703</v>
      </c>
      <c r="C131" s="2134" t="s">
        <v>1732</v>
      </c>
      <c r="D131" s="580"/>
      <c r="E131" s="2135">
        <f t="shared" ca="1" si="450"/>
        <v>0</v>
      </c>
      <c r="F131" s="2135">
        <f t="shared" ca="1" si="450"/>
        <v>0</v>
      </c>
      <c r="G131" s="2135">
        <f t="shared" ca="1" si="450"/>
        <v>0</v>
      </c>
      <c r="H131" s="2135">
        <f t="shared" ca="1" si="450"/>
        <v>0</v>
      </c>
      <c r="I131" s="2135">
        <f t="shared" ca="1" si="450"/>
        <v>0</v>
      </c>
      <c r="J131" s="2135">
        <f t="shared" ca="1" si="450"/>
        <v>0</v>
      </c>
      <c r="K131" s="2135">
        <f t="shared" ca="1" si="450"/>
        <v>0</v>
      </c>
      <c r="L131" s="2135">
        <f t="shared" ca="1" si="450"/>
        <v>0</v>
      </c>
      <c r="M131" s="2135">
        <f t="shared" ca="1" si="450"/>
        <v>0</v>
      </c>
      <c r="N131" s="2731"/>
      <c r="O131" s="2135">
        <f t="shared" ca="1" si="451"/>
        <v>0</v>
      </c>
      <c r="P131" s="2135">
        <f t="shared" ca="1" si="451"/>
        <v>0</v>
      </c>
      <c r="Q131" s="2135">
        <f t="shared" ca="1" si="451"/>
        <v>0</v>
      </c>
      <c r="R131" s="2135">
        <f t="shared" ca="1" si="451"/>
        <v>0</v>
      </c>
      <c r="S131" s="2135">
        <f t="shared" ca="1" si="451"/>
        <v>0</v>
      </c>
      <c r="T131" s="2135">
        <f t="shared" ca="1" si="451"/>
        <v>0</v>
      </c>
      <c r="U131" s="2135">
        <f t="shared" ca="1" si="451"/>
        <v>0</v>
      </c>
      <c r="V131" s="2135">
        <f t="shared" ca="1" si="451"/>
        <v>0</v>
      </c>
      <c r="W131" s="2135">
        <f t="shared" ca="1" si="451"/>
        <v>0</v>
      </c>
      <c r="X131" s="2731"/>
      <c r="Y131" s="2135">
        <f t="shared" ca="1" si="452"/>
        <v>-2669908701238.8242</v>
      </c>
      <c r="Z131" s="2135">
        <f t="shared" ca="1" si="452"/>
        <v>-3964100682285.5444</v>
      </c>
      <c r="AA131" s="2135">
        <f t="shared" ca="1" si="452"/>
        <v>-4619600515678.9199</v>
      </c>
      <c r="AB131" s="2135">
        <f t="shared" ca="1" si="452"/>
        <v>-5957796431128.1357</v>
      </c>
      <c r="AC131" s="2135">
        <f t="shared" ca="1" si="452"/>
        <v>-6792332331019.3174</v>
      </c>
      <c r="AD131" s="2135">
        <f t="shared" ca="1" si="452"/>
        <v>-6286988449690.1191</v>
      </c>
      <c r="AE131" s="2135">
        <f t="shared" ca="1" si="452"/>
        <v>-5801505799090.0342</v>
      </c>
      <c r="AF131" s="2135">
        <f t="shared" ca="1" si="452"/>
        <v>-5375511498646.667</v>
      </c>
      <c r="AG131" s="2135">
        <f t="shared" ca="1" si="452"/>
        <v>-4951498497918.832</v>
      </c>
      <c r="AH131" s="2731"/>
      <c r="AI131" s="2135">
        <f t="shared" ca="1" si="405"/>
        <v>-2669908701238.8242</v>
      </c>
      <c r="AJ131" s="2135">
        <f t="shared" ca="1" si="406"/>
        <v>-3964100682285.5444</v>
      </c>
      <c r="AK131" s="2135">
        <f t="shared" ca="1" si="407"/>
        <v>-4619600515678.9199</v>
      </c>
      <c r="AL131" s="2135">
        <f t="shared" ca="1" si="408"/>
        <v>-5957796431128.1357</v>
      </c>
      <c r="AM131" s="2135">
        <f t="shared" ca="1" si="409"/>
        <v>-6792332331019.3174</v>
      </c>
      <c r="AN131" s="2135">
        <f t="shared" ca="1" si="410"/>
        <v>-6286988449690.1191</v>
      </c>
      <c r="AO131" s="2135">
        <f t="shared" ca="1" si="411"/>
        <v>-5801505799090.0342</v>
      </c>
      <c r="AP131" s="2135">
        <f t="shared" ca="1" si="412"/>
        <v>-5375511498646.667</v>
      </c>
      <c r="AQ131" s="2135">
        <f t="shared" ca="1" si="413"/>
        <v>-4951498497918.832</v>
      </c>
      <c r="AR131" s="580"/>
      <c r="AS131" s="2732">
        <f ca="1">AVERAGE(Costs!$AI131:$AQ131)</f>
        <v>-5157693656299.5986</v>
      </c>
      <c r="AT131" s="2732">
        <f t="shared" ca="1" si="306"/>
        <v>-43009711521555.312</v>
      </c>
      <c r="AU131" s="2731"/>
      <c r="AV131" s="2735">
        <f>IFERROR(VLOOKUP($A131,Cost.FinanceCostTable,7,FALSE),'Global assumptions'!$H$35)</f>
        <v>0.1</v>
      </c>
      <c r="AW131" s="2736">
        <f>IFERROR(VLOOKUP($A131,Cost.FinanceCostTable,8,FALSE),'Global assumptions'!$I$35)</f>
        <v>15</v>
      </c>
      <c r="AX131" s="2731"/>
      <c r="AY131" s="2135">
        <f t="shared" ca="1" si="414"/>
        <v>0</v>
      </c>
      <c r="AZ131" s="2135">
        <f t="shared" ca="1" si="415"/>
        <v>0</v>
      </c>
      <c r="BA131" s="2135">
        <f t="shared" ca="1" si="416"/>
        <v>0</v>
      </c>
      <c r="BB131" s="2135">
        <f t="shared" ca="1" si="417"/>
        <v>0</v>
      </c>
      <c r="BC131" s="2135">
        <f t="shared" ca="1" si="418"/>
        <v>0</v>
      </c>
      <c r="BD131" s="2135">
        <f t="shared" ca="1" si="419"/>
        <v>0</v>
      </c>
      <c r="BE131" s="2135">
        <f t="shared" ca="1" si="420"/>
        <v>0</v>
      </c>
      <c r="BF131" s="2135">
        <f t="shared" ca="1" si="421"/>
        <v>0</v>
      </c>
      <c r="BG131" s="2135">
        <f t="shared" ca="1" si="422"/>
        <v>0</v>
      </c>
      <c r="BH131" s="2731"/>
      <c r="BI131" s="2135">
        <f t="shared" ca="1" si="343"/>
        <v>0</v>
      </c>
      <c r="BJ131" s="2135">
        <f t="shared" ca="1" si="423"/>
        <v>0</v>
      </c>
      <c r="BK131" s="2135">
        <f t="shared" ca="1" si="424"/>
        <v>0</v>
      </c>
      <c r="BL131" s="2135">
        <f t="shared" ca="1" si="425"/>
        <v>0</v>
      </c>
      <c r="BM131" s="2135">
        <f t="shared" ca="1" si="426"/>
        <v>0</v>
      </c>
      <c r="BN131" s="2135">
        <f t="shared" ca="1" si="427"/>
        <v>0</v>
      </c>
      <c r="BO131" s="2135">
        <f t="shared" ca="1" si="428"/>
        <v>0</v>
      </c>
      <c r="BP131" s="2135">
        <f t="shared" ca="1" si="429"/>
        <v>0</v>
      </c>
      <c r="BQ131" s="2135">
        <f t="shared" ca="1" si="430"/>
        <v>0</v>
      </c>
      <c r="BR131" s="2731"/>
      <c r="BS131" s="2733">
        <f t="shared" ca="1" si="431"/>
        <v>-2669908701238.8242</v>
      </c>
      <c r="BT131" s="2733">
        <f t="shared" ca="1" si="432"/>
        <v>-3964100682285.5444</v>
      </c>
      <c r="BU131" s="2733">
        <f t="shared" ca="1" si="433"/>
        <v>-4619600515678.9199</v>
      </c>
      <c r="BV131" s="2733">
        <f t="shared" ca="1" si="434"/>
        <v>-5957796431128.1357</v>
      </c>
      <c r="BW131" s="2733">
        <f t="shared" ca="1" si="435"/>
        <v>-6792332331019.3174</v>
      </c>
      <c r="BX131" s="2733">
        <f t="shared" ca="1" si="436"/>
        <v>-6286988449690.1191</v>
      </c>
      <c r="BY131" s="2733">
        <f t="shared" ca="1" si="437"/>
        <v>-5801505799090.0342</v>
      </c>
      <c r="BZ131" s="2733">
        <f t="shared" ca="1" si="438"/>
        <v>-5375511498646.667</v>
      </c>
      <c r="CA131" s="2733">
        <f t="shared" ca="1" si="439"/>
        <v>-4951498497918.832</v>
      </c>
      <c r="CB131" s="580"/>
      <c r="CC131" s="2732">
        <f ca="1">AVERAGE(Costs!$BS131:$CA131)</f>
        <v>-5157693656299.5986</v>
      </c>
      <c r="CD131" s="2732">
        <f t="shared" ca="1" si="440"/>
        <v>-43009711521555.312</v>
      </c>
      <c r="CE131" s="580"/>
      <c r="CF131" s="2734">
        <f t="shared" ca="1" si="441"/>
        <v>0</v>
      </c>
      <c r="CG131" s="2734">
        <f t="shared" ca="1" si="442"/>
        <v>0</v>
      </c>
      <c r="CH131" s="2734">
        <f t="shared" ca="1" si="443"/>
        <v>0</v>
      </c>
      <c r="CI131" s="2734">
        <f t="shared" ca="1" si="444"/>
        <v>0</v>
      </c>
      <c r="CJ131" s="2734">
        <f t="shared" ca="1" si="445"/>
        <v>0</v>
      </c>
      <c r="CK131" s="2734">
        <f t="shared" ca="1" si="446"/>
        <v>0</v>
      </c>
      <c r="CL131" s="2734">
        <f t="shared" ca="1" si="447"/>
        <v>0</v>
      </c>
      <c r="CM131" s="2734">
        <f t="shared" ca="1" si="448"/>
        <v>0</v>
      </c>
      <c r="CN131" s="2734">
        <f t="shared" ca="1" si="449"/>
        <v>0</v>
      </c>
      <c r="CO131" s="580"/>
      <c r="CP131" s="2732">
        <f ca="1">AVERAGE(Costs!$CF131:$CN131)</f>
        <v>0</v>
      </c>
      <c r="CQ131" s="2732">
        <f t="shared" ca="1" si="344"/>
        <v>0</v>
      </c>
      <c r="CR131" s="1073" t="str">
        <f t="shared" ca="1" si="345"/>
        <v>ok</v>
      </c>
    </row>
    <row r="132" spans="1:96" s="2215" customFormat="1" x14ac:dyDescent="0.2">
      <c r="A132" s="1687" t="s">
        <v>105</v>
      </c>
      <c r="B132" s="1687" t="s">
        <v>105</v>
      </c>
      <c r="C132" s="1695" t="s">
        <v>105</v>
      </c>
      <c r="D132" s="1427"/>
      <c r="E132" s="1693">
        <f t="shared" ref="E132:M132" ca="1" si="453">SUM(E92:E131)</f>
        <v>3618433115773.6108</v>
      </c>
      <c r="F132" s="1693">
        <f t="shared" ca="1" si="453"/>
        <v>77333716900299.016</v>
      </c>
      <c r="G132" s="1693">
        <f t="shared" ca="1" si="453"/>
        <v>58543708371287.984</v>
      </c>
      <c r="H132" s="1693">
        <f t="shared" ca="1" si="453"/>
        <v>72031819518950.656</v>
      </c>
      <c r="I132" s="1693">
        <f t="shared" ca="1" si="453"/>
        <v>88797800943916.922</v>
      </c>
      <c r="J132" s="1693">
        <f t="shared" ca="1" si="453"/>
        <v>107601872937929.98</v>
      </c>
      <c r="K132" s="1693">
        <f t="shared" ca="1" si="453"/>
        <v>122948985997538.86</v>
      </c>
      <c r="L132" s="1693">
        <f t="shared" ca="1" si="453"/>
        <v>150550577897463.87</v>
      </c>
      <c r="M132" s="1693">
        <f t="shared" ca="1" si="453"/>
        <v>126010004595247.53</v>
      </c>
      <c r="N132" s="1427"/>
      <c r="O132" s="1693">
        <f t="shared" ref="O132:W132" ca="1" si="454">SUM(O92:O131)</f>
        <v>69491619339632.328</v>
      </c>
      <c r="P132" s="1693">
        <f t="shared" ca="1" si="454"/>
        <v>723300317697364.87</v>
      </c>
      <c r="Q132" s="1693">
        <f t="shared" ca="1" si="454"/>
        <v>867670116341273</v>
      </c>
      <c r="R132" s="1693">
        <f t="shared" ca="1" si="454"/>
        <v>1039363658026679.2</v>
      </c>
      <c r="S132" s="1693">
        <f t="shared" ca="1" si="454"/>
        <v>1239474217975937.2</v>
      </c>
      <c r="T132" s="1693">
        <f t="shared" ca="1" si="454"/>
        <v>1473981351348486.2</v>
      </c>
      <c r="U132" s="1693">
        <f t="shared" ca="1" si="454"/>
        <v>1706023593588998</v>
      </c>
      <c r="V132" s="1693">
        <f t="shared" ca="1" si="454"/>
        <v>1969198757982143</v>
      </c>
      <c r="W132" s="1693">
        <f t="shared" ca="1" si="454"/>
        <v>2264863192531878.5</v>
      </c>
      <c r="X132" s="1427"/>
      <c r="Y132" s="1693">
        <f t="shared" ref="Y132:AG132" ca="1" si="455">SUM(Y92:Y131)</f>
        <v>18002960858421.98</v>
      </c>
      <c r="Z132" s="1693">
        <f t="shared" ca="1" si="455"/>
        <v>20239374610513.395</v>
      </c>
      <c r="AA132" s="1693">
        <f t="shared" ca="1" si="455"/>
        <v>22144567646333.172</v>
      </c>
      <c r="AB132" s="1693">
        <f t="shared" ca="1" si="455"/>
        <v>24327118580403.398</v>
      </c>
      <c r="AC132" s="1693">
        <f t="shared" ca="1" si="455"/>
        <v>27761236067298.152</v>
      </c>
      <c r="AD132" s="1693">
        <f t="shared" ca="1" si="455"/>
        <v>31884275679451.086</v>
      </c>
      <c r="AE132" s="1693">
        <f t="shared" ca="1" si="455"/>
        <v>36007773789293.633</v>
      </c>
      <c r="AF132" s="1693">
        <f t="shared" ca="1" si="455"/>
        <v>40346817244738.742</v>
      </c>
      <c r="AG132" s="1693">
        <f t="shared" ca="1" si="455"/>
        <v>45357137145013.312</v>
      </c>
      <c r="AH132" s="1427"/>
      <c r="AI132" s="1693">
        <f t="shared" ref="AI132:AQ132" ca="1" si="456">SUM(AI92:AI131)</f>
        <v>91113013313827.906</v>
      </c>
      <c r="AJ132" s="1693">
        <f t="shared" ca="1" si="456"/>
        <v>820873409208177.25</v>
      </c>
      <c r="AK132" s="1693">
        <f t="shared" ca="1" si="456"/>
        <v>948358392358894.25</v>
      </c>
      <c r="AL132" s="1693">
        <f t="shared" ca="1" si="456"/>
        <v>1135722596126033</v>
      </c>
      <c r="AM132" s="1693">
        <f t="shared" ca="1" si="456"/>
        <v>1356033254987152.7</v>
      </c>
      <c r="AN132" s="1693">
        <f t="shared" ca="1" si="456"/>
        <v>1613467499965867.5</v>
      </c>
      <c r="AO132" s="1693">
        <f t="shared" ca="1" si="456"/>
        <v>1864980353375830.5</v>
      </c>
      <c r="AP132" s="1693">
        <f t="shared" ca="1" si="456"/>
        <v>2160096153124345.5</v>
      </c>
      <c r="AQ132" s="1693">
        <f t="shared" ca="1" si="456"/>
        <v>2436230334272139</v>
      </c>
      <c r="AR132" s="1427"/>
      <c r="AS132" s="1709">
        <f ca="1">AVERAGE(Costs!$AI132:$AQ132)</f>
        <v>1380763889636918.7</v>
      </c>
      <c r="AT132" s="1709">
        <f ca="1">(SUMPRODUCT(AJ132:AQ132,discount_factors)*5)+AI132</f>
        <v>9167351471491976</v>
      </c>
      <c r="AU132" s="1427"/>
      <c r="AV132" s="1693"/>
      <c r="AW132" s="1694"/>
      <c r="AX132" s="1427"/>
      <c r="AY132" s="1693">
        <f t="shared" ref="AY132:BG132" ca="1" si="457">SUM(AY92:AY131)</f>
        <v>1220690327954.4485</v>
      </c>
      <c r="AZ132" s="1693">
        <f t="shared" ca="1" si="457"/>
        <v>50310516899330.219</v>
      </c>
      <c r="BA132" s="1693">
        <f t="shared" ca="1" si="457"/>
        <v>37523859680156.898</v>
      </c>
      <c r="BB132" s="1693">
        <f t="shared" ca="1" si="457"/>
        <v>46234922419623.219</v>
      </c>
      <c r="BC132" s="1693">
        <f t="shared" ca="1" si="457"/>
        <v>56868962296130.633</v>
      </c>
      <c r="BD132" s="1693">
        <f t="shared" ca="1" si="457"/>
        <v>69055059540132.469</v>
      </c>
      <c r="BE132" s="1693">
        <f t="shared" ca="1" si="457"/>
        <v>78602592287983.172</v>
      </c>
      <c r="BF132" s="1693">
        <f t="shared" ca="1" si="457"/>
        <v>96051001806940.969</v>
      </c>
      <c r="BG132" s="1693">
        <f t="shared" ca="1" si="457"/>
        <v>82767805869104.937</v>
      </c>
      <c r="BH132" s="1427"/>
      <c r="BI132" s="1693">
        <f t="shared" ref="BI132:BQ132" ca="1" si="458">SUM(BI92:BI131)</f>
        <v>1220690327954.4485</v>
      </c>
      <c r="BJ132" s="1693">
        <f t="shared" ca="1" si="458"/>
        <v>51531207227284.664</v>
      </c>
      <c r="BK132" s="1693">
        <f t="shared" ca="1" si="458"/>
        <v>89045774320737.812</v>
      </c>
      <c r="BL132" s="1693">
        <f t="shared" ca="1" si="458"/>
        <v>134403876146404.03</v>
      </c>
      <c r="BM132" s="1693">
        <f t="shared" ca="1" si="458"/>
        <v>144330165791630.06</v>
      </c>
      <c r="BN132" s="1693">
        <f t="shared" ca="1" si="458"/>
        <v>180271986124495.56</v>
      </c>
      <c r="BO132" s="1693">
        <f t="shared" ca="1" si="458"/>
        <v>216927941997102.69</v>
      </c>
      <c r="BP132" s="1693">
        <f t="shared" ca="1" si="458"/>
        <v>269508338236444.62</v>
      </c>
      <c r="BQ132" s="1693">
        <f t="shared" ca="1" si="458"/>
        <v>277464944921924.62</v>
      </c>
      <c r="BR132" s="1427"/>
      <c r="BS132" s="1693">
        <f t="shared" ref="BS132:CA132" ca="1" si="459">SUM(BS92:BS131)</f>
        <v>88715270526008.75</v>
      </c>
      <c r="BT132" s="1693">
        <f t="shared" ca="1" si="459"/>
        <v>795070899535162.87</v>
      </c>
      <c r="BU132" s="1693">
        <f t="shared" ca="1" si="459"/>
        <v>978860458308344</v>
      </c>
      <c r="BV132" s="1693">
        <f t="shared" ca="1" si="459"/>
        <v>1198094652753486.7</v>
      </c>
      <c r="BW132" s="1693">
        <f t="shared" ca="1" si="459"/>
        <v>1411565619834866</v>
      </c>
      <c r="BX132" s="1693">
        <f t="shared" ca="1" si="459"/>
        <v>1686137613152433.2</v>
      </c>
      <c r="BY132" s="1693">
        <f t="shared" ca="1" si="459"/>
        <v>1958959309375394.5</v>
      </c>
      <c r="BZ132" s="1693">
        <f t="shared" ca="1" si="459"/>
        <v>2279053913463326.5</v>
      </c>
      <c r="CA132" s="1693">
        <f t="shared" ca="1" si="459"/>
        <v>2587685274598816.5</v>
      </c>
      <c r="CB132" s="1673"/>
      <c r="CC132" s="1709">
        <f ca="1">AVERAGE(Costs!$BS132:$CA132)</f>
        <v>1442682556838648.7</v>
      </c>
      <c r="CD132" s="1709">
        <f t="shared" ca="1" si="440"/>
        <v>9381736473193788</v>
      </c>
      <c r="CE132" s="1427"/>
      <c r="CF132" s="1693">
        <f t="shared" ca="1" si="441"/>
        <v>-2397742787819.1621</v>
      </c>
      <c r="CG132" s="1693">
        <f t="shared" ca="1" si="442"/>
        <v>-25802509673014.352</v>
      </c>
      <c r="CH132" s="1693">
        <f t="shared" ca="1" si="443"/>
        <v>30502065949449.828</v>
      </c>
      <c r="CI132" s="1693">
        <f t="shared" ca="1" si="444"/>
        <v>62372056627453.375</v>
      </c>
      <c r="CJ132" s="1693">
        <f t="shared" ca="1" si="445"/>
        <v>55532364847713.141</v>
      </c>
      <c r="CK132" s="1693">
        <f t="shared" ca="1" si="446"/>
        <v>72670113186565.578</v>
      </c>
      <c r="CL132" s="1693">
        <f t="shared" ca="1" si="447"/>
        <v>93978955999563.828</v>
      </c>
      <c r="CM132" s="1693">
        <f t="shared" ca="1" si="448"/>
        <v>118957760338980.75</v>
      </c>
      <c r="CN132" s="1693">
        <f t="shared" ca="1" si="449"/>
        <v>151454940326677.09</v>
      </c>
      <c r="CO132" s="1673"/>
      <c r="CP132" s="1709">
        <f ca="1">AVERAGE(Costs!$CF132:$CN132)</f>
        <v>61918667201730.016</v>
      </c>
      <c r="CQ132" s="1709">
        <f ca="1">(SUMPRODUCT(CG132:CN132,discount_factors)*5)+CF132</f>
        <v>214385001701812.06</v>
      </c>
      <c r="CR132" s="1426" t="str">
        <f t="shared" ca="1" si="345"/>
        <v>ok</v>
      </c>
    </row>
    <row r="133" spans="1:96" s="2215" customFormat="1" x14ac:dyDescent="0.2">
      <c r="A133" s="1673"/>
      <c r="B133" s="1673"/>
      <c r="C133" s="1673"/>
      <c r="D133" s="1427"/>
      <c r="E133" s="1673"/>
      <c r="F133" s="1673"/>
      <c r="G133" s="1673"/>
      <c r="H133" s="1673"/>
      <c r="I133" s="1673"/>
      <c r="J133" s="1673"/>
      <c r="K133" s="1673"/>
      <c r="L133" s="1673"/>
      <c r="M133" s="1673"/>
      <c r="N133" s="1427"/>
      <c r="O133" s="1673"/>
      <c r="P133" s="1673"/>
      <c r="Q133" s="1673"/>
      <c r="R133" s="1673"/>
      <c r="S133" s="1673"/>
      <c r="T133" s="1673"/>
      <c r="U133" s="1673"/>
      <c r="V133" s="1673"/>
      <c r="W133" s="1673"/>
      <c r="X133" s="1427"/>
      <c r="Y133" s="1673"/>
      <c r="Z133" s="1673"/>
      <c r="AA133" s="1673"/>
      <c r="AB133" s="1673"/>
      <c r="AC133" s="1673"/>
      <c r="AD133" s="1673"/>
      <c r="AE133" s="1673"/>
      <c r="AF133" s="1673"/>
      <c r="AG133" s="1673"/>
      <c r="AH133" s="1427"/>
      <c r="AI133" s="1673"/>
      <c r="AJ133" s="1673"/>
      <c r="AK133" s="1673"/>
      <c r="AL133" s="1673"/>
      <c r="AM133" s="1673"/>
      <c r="AN133" s="1673"/>
      <c r="AO133" s="1673"/>
      <c r="AP133" s="1673"/>
      <c r="AQ133" s="1673"/>
      <c r="AR133" s="1673"/>
      <c r="AS133" s="1673"/>
      <c r="AT133" s="1427"/>
      <c r="AU133" s="1673"/>
      <c r="AV133" s="1673"/>
      <c r="AW133" s="1427"/>
      <c r="AX133" s="1673"/>
      <c r="AY133" s="1673"/>
      <c r="AZ133" s="1673"/>
      <c r="BA133" s="1673"/>
      <c r="BB133" s="1673"/>
      <c r="BC133" s="1673"/>
      <c r="BD133" s="1673"/>
      <c r="BE133" s="1673"/>
      <c r="BF133" s="1673"/>
      <c r="BG133" s="1673"/>
      <c r="BH133" s="1673"/>
      <c r="BI133" s="1673"/>
      <c r="BJ133" s="1673"/>
      <c r="BK133" s="1673"/>
      <c r="BL133" s="1673"/>
      <c r="BM133" s="1673"/>
      <c r="BN133" s="1673"/>
      <c r="BO133" s="1673"/>
      <c r="BP133" s="1673"/>
      <c r="BQ133" s="1673"/>
      <c r="BR133" s="1673"/>
      <c r="BS133" s="1673"/>
      <c r="BT133" s="1673"/>
      <c r="BU133" s="1673"/>
      <c r="BV133" s="1673"/>
      <c r="BW133" s="1673"/>
      <c r="BX133" s="1673"/>
      <c r="BY133" s="1673"/>
      <c r="BZ133" s="1673"/>
      <c r="CA133" s="1673"/>
      <c r="CB133" s="1673"/>
      <c r="CC133" s="1673"/>
      <c r="CD133" s="1673"/>
      <c r="CE133" s="1673"/>
      <c r="CF133" s="1426" t="str">
        <f t="shared" ref="CF133:CN133" ca="1" si="460">IF(ROUND(BS132-CF132-AI132,0)=0,"ok",BS132-CF132-AI132)</f>
        <v>ok</v>
      </c>
      <c r="CG133" s="1426" t="str">
        <f t="shared" ca="1" si="460"/>
        <v>ok</v>
      </c>
      <c r="CH133" s="1426" t="str">
        <f t="shared" ca="1" si="460"/>
        <v>ok</v>
      </c>
      <c r="CI133" s="1426">
        <f t="shared" ca="1" si="460"/>
        <v>0.5</v>
      </c>
      <c r="CJ133" s="1426" t="str">
        <f t="shared" ca="1" si="460"/>
        <v>ok</v>
      </c>
      <c r="CK133" s="1426" t="str">
        <f t="shared" ca="1" si="460"/>
        <v>ok</v>
      </c>
      <c r="CL133" s="1426" t="str">
        <f t="shared" ca="1" si="460"/>
        <v>ok</v>
      </c>
      <c r="CM133" s="1426" t="str">
        <f t="shared" ca="1" si="460"/>
        <v>ok</v>
      </c>
      <c r="CN133" s="1426">
        <f t="shared" ca="1" si="460"/>
        <v>0.5</v>
      </c>
      <c r="CO133" s="1673"/>
      <c r="CP133" s="1426" t="str">
        <f ca="1">IF(ROUND(CC132-CP132-AS132,0)=0,"ok",CC132-CP132-AS132)</f>
        <v>ok</v>
      </c>
      <c r="CQ133" s="1426" t="str">
        <f ca="1">IF(ROUND(CD132-CQ132-AT132,0)=0,"ok",CD132-CQ132-AT132)</f>
        <v>ok</v>
      </c>
      <c r="CR133" s="1673"/>
    </row>
    <row r="134" spans="1:96" s="2215" customFormat="1" x14ac:dyDescent="0.2">
      <c r="C134" s="1427" t="str">
        <f>Preferences.moneyunits</f>
        <v>N</v>
      </c>
      <c r="E134" s="17" t="s">
        <v>1382</v>
      </c>
      <c r="F134" s="2215" t="s">
        <v>1383</v>
      </c>
      <c r="O134" s="17" t="s">
        <v>1384</v>
      </c>
      <c r="P134" s="2215" t="s">
        <v>1385</v>
      </c>
      <c r="Y134" s="17" t="s">
        <v>1386</v>
      </c>
      <c r="Z134" s="2215" t="s">
        <v>1387</v>
      </c>
      <c r="AI134" s="17" t="s">
        <v>1388</v>
      </c>
      <c r="AS134" s="2215" t="s">
        <v>1826</v>
      </c>
      <c r="AV134" s="2214" t="s">
        <v>1613</v>
      </c>
      <c r="AY134" s="17" t="s">
        <v>1956</v>
      </c>
      <c r="BI134" s="17" t="s">
        <v>1957</v>
      </c>
      <c r="BS134" s="17" t="s">
        <v>2064</v>
      </c>
      <c r="CC134" s="2215" t="s">
        <v>1825</v>
      </c>
      <c r="CF134" s="2215" t="s">
        <v>1733</v>
      </c>
      <c r="CP134" s="2215" t="s">
        <v>1733</v>
      </c>
    </row>
    <row r="135" spans="1:96" s="2215" customFormat="1" ht="13.5" thickBot="1" x14ac:dyDescent="0.25">
      <c r="C135" s="1682" t="s">
        <v>67</v>
      </c>
      <c r="E135" s="1696" t="s">
        <v>241</v>
      </c>
      <c r="F135" s="1696" t="s">
        <v>268</v>
      </c>
      <c r="G135" s="1696" t="s">
        <v>269</v>
      </c>
      <c r="H135" s="1696" t="s">
        <v>270</v>
      </c>
      <c r="I135" s="1696" t="s">
        <v>271</v>
      </c>
      <c r="J135" s="1696" t="s">
        <v>272</v>
      </c>
      <c r="K135" s="1696" t="s">
        <v>273</v>
      </c>
      <c r="L135" s="1696" t="s">
        <v>274</v>
      </c>
      <c r="M135" s="1696" t="s">
        <v>275</v>
      </c>
      <c r="N135" s="1427"/>
      <c r="O135" s="1696" t="s">
        <v>241</v>
      </c>
      <c r="P135" s="1696" t="s">
        <v>268</v>
      </c>
      <c r="Q135" s="1696" t="s">
        <v>269</v>
      </c>
      <c r="R135" s="1696" t="s">
        <v>270</v>
      </c>
      <c r="S135" s="1696" t="s">
        <v>271</v>
      </c>
      <c r="T135" s="1696" t="s">
        <v>272</v>
      </c>
      <c r="U135" s="1696" t="s">
        <v>273</v>
      </c>
      <c r="V135" s="1696" t="s">
        <v>274</v>
      </c>
      <c r="W135" s="1696" t="s">
        <v>275</v>
      </c>
      <c r="X135" s="1427"/>
      <c r="Y135" s="1696" t="s">
        <v>241</v>
      </c>
      <c r="Z135" s="1696" t="s">
        <v>268</v>
      </c>
      <c r="AA135" s="1696" t="s">
        <v>269</v>
      </c>
      <c r="AB135" s="1696" t="s">
        <v>270</v>
      </c>
      <c r="AC135" s="1696" t="s">
        <v>271</v>
      </c>
      <c r="AD135" s="1696" t="s">
        <v>272</v>
      </c>
      <c r="AE135" s="1696" t="s">
        <v>273</v>
      </c>
      <c r="AF135" s="1696" t="s">
        <v>274</v>
      </c>
      <c r="AG135" s="1696" t="s">
        <v>275</v>
      </c>
      <c r="AH135" s="1427"/>
      <c r="AI135" s="1696" t="s">
        <v>241</v>
      </c>
      <c r="AJ135" s="1696" t="s">
        <v>268</v>
      </c>
      <c r="AK135" s="1696" t="s">
        <v>269</v>
      </c>
      <c r="AL135" s="1696" t="s">
        <v>270</v>
      </c>
      <c r="AM135" s="1696" t="s">
        <v>271</v>
      </c>
      <c r="AN135" s="1696" t="s">
        <v>272</v>
      </c>
      <c r="AO135" s="1696" t="s">
        <v>273</v>
      </c>
      <c r="AP135" s="1696" t="s">
        <v>274</v>
      </c>
      <c r="AQ135" s="1696" t="s">
        <v>275</v>
      </c>
      <c r="AS135" s="1705" t="s">
        <v>1734</v>
      </c>
      <c r="AT135" s="1705" t="s">
        <v>1389</v>
      </c>
      <c r="AU135" s="1427"/>
      <c r="AV135" s="1696" t="s">
        <v>1614</v>
      </c>
      <c r="AW135" s="1688" t="s">
        <v>1472</v>
      </c>
      <c r="AX135" s="1427"/>
      <c r="AY135" s="1696">
        <v>2010</v>
      </c>
      <c r="AZ135" s="1696">
        <v>2015</v>
      </c>
      <c r="BA135" s="1696">
        <v>2020</v>
      </c>
      <c r="BB135" s="1696">
        <v>2025</v>
      </c>
      <c r="BC135" s="1696">
        <v>2030</v>
      </c>
      <c r="BD135" s="1696">
        <v>2035</v>
      </c>
      <c r="BE135" s="1696">
        <v>2040</v>
      </c>
      <c r="BF135" s="1696">
        <v>2045</v>
      </c>
      <c r="BG135" s="1696">
        <v>2050</v>
      </c>
      <c r="BH135" s="1427"/>
      <c r="BI135" s="1696">
        <v>2010</v>
      </c>
      <c r="BJ135" s="1696">
        <v>2015</v>
      </c>
      <c r="BK135" s="1696">
        <v>2020</v>
      </c>
      <c r="BL135" s="1696">
        <v>2025</v>
      </c>
      <c r="BM135" s="1696">
        <v>2030</v>
      </c>
      <c r="BN135" s="1696">
        <v>2035</v>
      </c>
      <c r="BO135" s="1696">
        <v>2040</v>
      </c>
      <c r="BP135" s="1696">
        <v>2045</v>
      </c>
      <c r="BQ135" s="1696">
        <v>2050</v>
      </c>
      <c r="BR135" s="1427"/>
      <c r="BS135" s="1696" t="s">
        <v>241</v>
      </c>
      <c r="BT135" s="1696" t="s">
        <v>268</v>
      </c>
      <c r="BU135" s="1696" t="s">
        <v>269</v>
      </c>
      <c r="BV135" s="1696" t="s">
        <v>270</v>
      </c>
      <c r="BW135" s="1696" t="s">
        <v>271</v>
      </c>
      <c r="BX135" s="1696" t="s">
        <v>272</v>
      </c>
      <c r="BY135" s="1696" t="s">
        <v>273</v>
      </c>
      <c r="BZ135" s="1696" t="s">
        <v>274</v>
      </c>
      <c r="CA135" s="1696" t="s">
        <v>275</v>
      </c>
      <c r="CB135" s="1426"/>
      <c r="CC135" s="1705" t="s">
        <v>1734</v>
      </c>
      <c r="CD135" s="1705" t="s">
        <v>1389</v>
      </c>
      <c r="CF135" s="1696" t="s">
        <v>241</v>
      </c>
      <c r="CG135" s="1696" t="s">
        <v>268</v>
      </c>
      <c r="CH135" s="1696" t="s">
        <v>269</v>
      </c>
      <c r="CI135" s="1696" t="s">
        <v>270</v>
      </c>
      <c r="CJ135" s="1696" t="s">
        <v>271</v>
      </c>
      <c r="CK135" s="1696" t="s">
        <v>272</v>
      </c>
      <c r="CL135" s="1696" t="s">
        <v>273</v>
      </c>
      <c r="CM135" s="1696" t="s">
        <v>274</v>
      </c>
      <c r="CN135" s="1696" t="s">
        <v>275</v>
      </c>
      <c r="CP135" s="1705" t="s">
        <v>1734</v>
      </c>
      <c r="CQ135" s="1705" t="s">
        <v>1389</v>
      </c>
    </row>
    <row r="136" spans="1:96" s="2215" customFormat="1" ht="13.5" thickTop="1" x14ac:dyDescent="0.2">
      <c r="C136" s="1683" t="s">
        <v>1732</v>
      </c>
      <c r="E136" s="1689">
        <f t="shared" ref="E136:M142" ca="1" si="461">SUMIF($C$3:$C$42,$C136,E$3:E$42)</f>
        <v>0</v>
      </c>
      <c r="F136" s="1689">
        <f t="shared" ca="1" si="461"/>
        <v>7105059144.6593437</v>
      </c>
      <c r="G136" s="1689">
        <f t="shared" ca="1" si="461"/>
        <v>61341746976.239227</v>
      </c>
      <c r="H136" s="1689">
        <f t="shared" ca="1" si="461"/>
        <v>15389264846.227713</v>
      </c>
      <c r="I136" s="1689">
        <f t="shared" ca="1" si="461"/>
        <v>36000233537.913506</v>
      </c>
      <c r="J136" s="1689">
        <f t="shared" ca="1" si="461"/>
        <v>77397649627.414459</v>
      </c>
      <c r="K136" s="1689">
        <f t="shared" ca="1" si="461"/>
        <v>86049908386.466599</v>
      </c>
      <c r="L136" s="1689">
        <f t="shared" ca="1" si="461"/>
        <v>90418219806.67984</v>
      </c>
      <c r="M136" s="1689">
        <f t="shared" ca="1" si="461"/>
        <v>99534917810.173981</v>
      </c>
      <c r="N136" s="675"/>
      <c r="O136" s="1689">
        <f t="shared" ref="O136:W142" ca="1" si="462">SUMIF($C$3:$C$42,$C136,O$3:O$42)</f>
        <v>0</v>
      </c>
      <c r="P136" s="1689">
        <f t="shared" ca="1" si="462"/>
        <v>19431875.925471503</v>
      </c>
      <c r="Q136" s="1689">
        <f t="shared" ca="1" si="462"/>
        <v>48242209.549303181</v>
      </c>
      <c r="R136" s="1689">
        <f t="shared" ca="1" si="462"/>
        <v>28568565.99273343</v>
      </c>
      <c r="S136" s="1689">
        <f t="shared" ca="1" si="462"/>
        <v>42616037.772373736</v>
      </c>
      <c r="T136" s="1689">
        <f t="shared" ca="1" si="462"/>
        <v>75951008.293809086</v>
      </c>
      <c r="U136" s="1689">
        <f t="shared" ca="1" si="462"/>
        <v>108250661.76337099</v>
      </c>
      <c r="V136" s="1689">
        <f t="shared" ca="1" si="462"/>
        <v>137449334.02260011</v>
      </c>
      <c r="W136" s="1689">
        <f t="shared" ca="1" si="462"/>
        <v>166544726.00638515</v>
      </c>
      <c r="X136" s="675"/>
      <c r="Y136" s="1689">
        <f t="shared" ref="Y136:AG142" ca="1" si="463">SUMIF($C$3:$C$42,$C136,Y$3:Y$42)</f>
        <v>2633215988796.9805</v>
      </c>
      <c r="Z136" s="1689">
        <f t="shared" ca="1" si="463"/>
        <v>3383337518590.9375</v>
      </c>
      <c r="AA136" s="1689">
        <f t="shared" ca="1" si="463"/>
        <v>3723347656055.9668</v>
      </c>
      <c r="AB136" s="1689">
        <f t="shared" ca="1" si="463"/>
        <v>4300346230847.8608</v>
      </c>
      <c r="AC136" s="1689">
        <f t="shared" ca="1" si="463"/>
        <v>5577805348766.377</v>
      </c>
      <c r="AD136" s="1689">
        <f t="shared" ca="1" si="463"/>
        <v>6618140100204.1836</v>
      </c>
      <c r="AE136" s="1689">
        <f t="shared" ca="1" si="463"/>
        <v>7493934483589.875</v>
      </c>
      <c r="AF136" s="1689">
        <f t="shared" ca="1" si="463"/>
        <v>8398878932018.4121</v>
      </c>
      <c r="AG136" s="1689">
        <f t="shared" ca="1" si="463"/>
        <v>6460873988678.9863</v>
      </c>
      <c r="AH136" s="675"/>
      <c r="AI136" s="1689">
        <f t="shared" ref="AI136:AQ142" ca="1" si="464">SUMIF($C$3:$C$42,$C136,AI$3:AI$42)</f>
        <v>2633215988796.9805</v>
      </c>
      <c r="AJ136" s="1689">
        <f t="shared" ca="1" si="464"/>
        <v>3390462009611.5215</v>
      </c>
      <c r="AK136" s="1689">
        <f t="shared" ca="1" si="464"/>
        <v>3784737645241.7559</v>
      </c>
      <c r="AL136" s="1689">
        <f t="shared" ca="1" si="464"/>
        <v>4315764064260.0815</v>
      </c>
      <c r="AM136" s="1689">
        <f t="shared" ca="1" si="464"/>
        <v>5613848198342.0605</v>
      </c>
      <c r="AN136" s="1689">
        <f t="shared" ca="1" si="464"/>
        <v>6695613700839.8945</v>
      </c>
      <c r="AO136" s="1689">
        <f t="shared" ca="1" si="464"/>
        <v>7580092642638.1055</v>
      </c>
      <c r="AP136" s="1689">
        <f t="shared" ca="1" si="464"/>
        <v>8489434601159.1152</v>
      </c>
      <c r="AQ136" s="1689">
        <f t="shared" ca="1" si="464"/>
        <v>6560575451215.166</v>
      </c>
      <c r="AS136" s="1706">
        <f t="shared" ref="AS136:AT142" ca="1" si="465">SUMIF($C$3:$C$42,$C136,AS$3:AS$42)</f>
        <v>5451527144678.2969</v>
      </c>
      <c r="AT136" s="1706">
        <f t="shared" ca="1" si="465"/>
        <v>38552373516896.992</v>
      </c>
      <c r="AU136" s="675"/>
      <c r="AV136" s="1699"/>
      <c r="AW136" s="1690"/>
      <c r="AX136" s="675"/>
      <c r="AY136" s="1689">
        <f t="shared" ref="AY136:BG142" ca="1" si="466">SUMIF($C$3:$C$42,$C136,AY$3:AY$42)</f>
        <v>0</v>
      </c>
      <c r="AZ136" s="1689">
        <f t="shared" ca="1" si="466"/>
        <v>2368353048.2197814</v>
      </c>
      <c r="BA136" s="1689">
        <f t="shared" ca="1" si="466"/>
        <v>20447248992.079746</v>
      </c>
      <c r="BB136" s="1689">
        <f t="shared" ca="1" si="466"/>
        <v>5129754948.7425709</v>
      </c>
      <c r="BC136" s="1689">
        <f t="shared" ca="1" si="466"/>
        <v>12000077845.971169</v>
      </c>
      <c r="BD136" s="1689">
        <f t="shared" ca="1" si="466"/>
        <v>25799216542.471485</v>
      </c>
      <c r="BE136" s="1689">
        <f t="shared" ca="1" si="466"/>
        <v>28683302795.488869</v>
      </c>
      <c r="BF136" s="1689">
        <f t="shared" ca="1" si="466"/>
        <v>30139406602.226612</v>
      </c>
      <c r="BG136" s="1689">
        <f t="shared" ca="1" si="466"/>
        <v>33178305936.724659</v>
      </c>
      <c r="BH136" s="675"/>
      <c r="BI136" s="1689">
        <f t="shared" ref="BI136:BQ142" ca="1" si="467">SUMIF($C$3:$C$42,$C136,BI$3:BI$42)</f>
        <v>0</v>
      </c>
      <c r="BJ136" s="1689">
        <f t="shared" ca="1" si="467"/>
        <v>2368353048.2197814</v>
      </c>
      <c r="BK136" s="1689">
        <f t="shared" ca="1" si="467"/>
        <v>22815602040.299526</v>
      </c>
      <c r="BL136" s="1689">
        <f t="shared" ca="1" si="467"/>
        <v>27945356989.042099</v>
      </c>
      <c r="BM136" s="1689">
        <f t="shared" ca="1" si="467"/>
        <v>37577081786.793488</v>
      </c>
      <c r="BN136" s="1689">
        <f t="shared" ca="1" si="467"/>
        <v>42929049337.185226</v>
      </c>
      <c r="BO136" s="1689">
        <f t="shared" ca="1" si="467"/>
        <v>66482597183.931519</v>
      </c>
      <c r="BP136" s="1689">
        <f t="shared" ca="1" si="467"/>
        <v>84621925940.186966</v>
      </c>
      <c r="BQ136" s="1689">
        <f t="shared" ca="1" si="467"/>
        <v>92001015334.44014</v>
      </c>
      <c r="BR136" s="675"/>
      <c r="BS136" s="1701">
        <f t="shared" ref="BS136:CA142" ca="1" si="468">SUMIF($C$3:$C$42,$C136,BS$3:BS$42)</f>
        <v>2633215988796.9805</v>
      </c>
      <c r="BT136" s="1701">
        <f t="shared" ca="1" si="468"/>
        <v>3385725303515.082</v>
      </c>
      <c r="BU136" s="1701">
        <f t="shared" ca="1" si="468"/>
        <v>3746211500305.8164</v>
      </c>
      <c r="BV136" s="1701">
        <f t="shared" ca="1" si="468"/>
        <v>4328320156402.896</v>
      </c>
      <c r="BW136" s="1701">
        <f t="shared" ca="1" si="468"/>
        <v>5615425046590.9395</v>
      </c>
      <c r="BX136" s="1701">
        <f t="shared" ca="1" si="468"/>
        <v>6661145100549.6641</v>
      </c>
      <c r="BY136" s="1701">
        <f t="shared" ca="1" si="468"/>
        <v>7560525331435.5703</v>
      </c>
      <c r="BZ136" s="1701">
        <f t="shared" ca="1" si="468"/>
        <v>8483638307292.6191</v>
      </c>
      <c r="CA136" s="1701">
        <f t="shared" ca="1" si="468"/>
        <v>6553041548739.4316</v>
      </c>
      <c r="CC136" s="1706">
        <f t="shared" ref="CC136:CD142" ca="1" si="469">SUMIF($C$3:$C$42,$C136,CC$3:CC$42)</f>
        <v>5440805364847.666</v>
      </c>
      <c r="CD136" s="1706">
        <f t="shared" ca="1" si="469"/>
        <v>38455049035221.211</v>
      </c>
      <c r="CF136" s="1703">
        <f t="shared" ref="CF136:CN142" ca="1" si="470">SUMIF($C$3:$C$42,$C136,CF$3:CF$42)</f>
        <v>0</v>
      </c>
      <c r="CG136" s="1703">
        <f t="shared" ca="1" si="470"/>
        <v>-4736706096.4395618</v>
      </c>
      <c r="CH136" s="1703">
        <f t="shared" ca="1" si="470"/>
        <v>-38526144935.939697</v>
      </c>
      <c r="CI136" s="1703">
        <f t="shared" ca="1" si="470"/>
        <v>12556092142.814386</v>
      </c>
      <c r="CJ136" s="1703">
        <f t="shared" ca="1" si="470"/>
        <v>1576848248.879982</v>
      </c>
      <c r="CK136" s="1703">
        <f t="shared" ca="1" si="470"/>
        <v>-34468600290.229233</v>
      </c>
      <c r="CL136" s="1703">
        <f t="shared" ca="1" si="470"/>
        <v>-19567311202.53508</v>
      </c>
      <c r="CM136" s="1703">
        <f t="shared" ca="1" si="470"/>
        <v>-5796293866.4928741</v>
      </c>
      <c r="CN136" s="1703">
        <f t="shared" ca="1" si="470"/>
        <v>-7533902475.7338409</v>
      </c>
      <c r="CP136" s="1706">
        <f t="shared" ref="CP136:CQ142" ca="1" si="471">SUMIF($C$3:$C$42,$C136,CP$3:CP$42)</f>
        <v>-10721779830.630657</v>
      </c>
      <c r="CQ136" s="1706">
        <f t="shared" ca="1" si="471"/>
        <v>-97324481675.766388</v>
      </c>
      <c r="CR136" s="1426" t="str">
        <f t="shared" ref="CR136:CR143" ca="1" si="472">IF(ABS(CD136-CQ136-AT136)&lt;1,"ok","err")</f>
        <v>ok</v>
      </c>
    </row>
    <row r="137" spans="1:96" s="2215" customFormat="1" x14ac:dyDescent="0.2">
      <c r="C137" s="1685" t="s">
        <v>1189</v>
      </c>
      <c r="E137" s="1691">
        <f t="shared" ca="1" si="461"/>
        <v>629016216592.04761</v>
      </c>
      <c r="F137" s="1691">
        <f t="shared" ca="1" si="461"/>
        <v>595898321477.38281</v>
      </c>
      <c r="G137" s="1691">
        <f t="shared" ca="1" si="461"/>
        <v>781292995929.4292</v>
      </c>
      <c r="H137" s="1691">
        <f t="shared" ca="1" si="461"/>
        <v>690101316241.59351</v>
      </c>
      <c r="I137" s="1691">
        <f t="shared" ca="1" si="461"/>
        <v>749141532116.33618</v>
      </c>
      <c r="J137" s="1691">
        <f t="shared" ca="1" si="461"/>
        <v>774328806666.15942</v>
      </c>
      <c r="K137" s="1691">
        <f t="shared" ca="1" si="461"/>
        <v>811497184666.94922</v>
      </c>
      <c r="L137" s="1691">
        <f t="shared" ca="1" si="461"/>
        <v>834432872176.6814</v>
      </c>
      <c r="M137" s="1691">
        <f t="shared" ca="1" si="461"/>
        <v>742934574822.10071</v>
      </c>
      <c r="N137" s="675"/>
      <c r="O137" s="1691">
        <f t="shared" ca="1" si="462"/>
        <v>930341203564.11694</v>
      </c>
      <c r="P137" s="1691">
        <f t="shared" ca="1" si="462"/>
        <v>737032331731.6311</v>
      </c>
      <c r="Q137" s="1691">
        <f t="shared" ca="1" si="462"/>
        <v>800708018753.10547</v>
      </c>
      <c r="R137" s="1691">
        <f t="shared" ca="1" si="462"/>
        <v>905958533665.48975</v>
      </c>
      <c r="S137" s="1691">
        <f t="shared" ca="1" si="462"/>
        <v>956567666709.96826</v>
      </c>
      <c r="T137" s="1691">
        <f t="shared" ca="1" si="462"/>
        <v>1005459823472.1409</v>
      </c>
      <c r="U137" s="1691">
        <f t="shared" ca="1" si="462"/>
        <v>1052008488419.9994</v>
      </c>
      <c r="V137" s="1691">
        <f t="shared" ca="1" si="462"/>
        <v>1100684817783.8694</v>
      </c>
      <c r="W137" s="1691">
        <f t="shared" ca="1" si="462"/>
        <v>1146056578158.5679</v>
      </c>
      <c r="X137" s="675"/>
      <c r="Y137" s="1691">
        <f t="shared" ca="1" si="463"/>
        <v>3007949625894.4443</v>
      </c>
      <c r="Z137" s="1691">
        <f t="shared" ca="1" si="463"/>
        <v>3317583454557.147</v>
      </c>
      <c r="AA137" s="1691">
        <f t="shared" ca="1" si="463"/>
        <v>3678861359400.3667</v>
      </c>
      <c r="AB137" s="1691">
        <f t="shared" ca="1" si="463"/>
        <v>4054031687644.2373</v>
      </c>
      <c r="AC137" s="1691">
        <f t="shared" ca="1" si="463"/>
        <v>4417792866192.6455</v>
      </c>
      <c r="AD137" s="1691">
        <f t="shared" ca="1" si="463"/>
        <v>4870517402558.7168</v>
      </c>
      <c r="AE137" s="1691">
        <f t="shared" ca="1" si="463"/>
        <v>5294906674359.4316</v>
      </c>
      <c r="AF137" s="1691">
        <f t="shared" ca="1" si="463"/>
        <v>5747333750624.0059</v>
      </c>
      <c r="AG137" s="1691">
        <f t="shared" ca="1" si="463"/>
        <v>6158958083179.7256</v>
      </c>
      <c r="AH137" s="675"/>
      <c r="AI137" s="1691">
        <f t="shared" ca="1" si="464"/>
        <v>4567307046050.6084</v>
      </c>
      <c r="AJ137" s="1691">
        <f t="shared" ca="1" si="464"/>
        <v>4650514107766.1602</v>
      </c>
      <c r="AK137" s="1691">
        <f t="shared" ca="1" si="464"/>
        <v>5260862374082.9014</v>
      </c>
      <c r="AL137" s="1691">
        <f t="shared" ca="1" si="464"/>
        <v>5650091537551.3203</v>
      </c>
      <c r="AM137" s="1691">
        <f t="shared" ca="1" si="464"/>
        <v>6123502065018.9502</v>
      </c>
      <c r="AN137" s="1691">
        <f t="shared" ca="1" si="464"/>
        <v>6650306032697.0166</v>
      </c>
      <c r="AO137" s="1691">
        <f t="shared" ca="1" si="464"/>
        <v>7158412347446.3809</v>
      </c>
      <c r="AP137" s="1691">
        <f t="shared" ca="1" si="464"/>
        <v>7682451440584.5566</v>
      </c>
      <c r="AQ137" s="1691">
        <f t="shared" ca="1" si="464"/>
        <v>8047949236160.3945</v>
      </c>
      <c r="AS137" s="1707">
        <f t="shared" ca="1" si="465"/>
        <v>6199044020817.5879</v>
      </c>
      <c r="AT137" s="1707">
        <f t="shared" ca="1" si="465"/>
        <v>49195827986062.266</v>
      </c>
      <c r="AU137" s="675"/>
      <c r="AV137" s="1700"/>
      <c r="AW137" s="1692"/>
      <c r="AX137" s="675"/>
      <c r="AY137" s="1691">
        <f t="shared" ca="1" si="466"/>
        <v>102505363517.53809</v>
      </c>
      <c r="AZ137" s="1691">
        <f t="shared" ca="1" si="466"/>
        <v>153445073954.56381</v>
      </c>
      <c r="BA137" s="1691">
        <f t="shared" ca="1" si="466"/>
        <v>188438859196.57153</v>
      </c>
      <c r="BB137" s="1691">
        <f t="shared" ca="1" si="466"/>
        <v>176732226519.43225</v>
      </c>
      <c r="BC137" s="1691">
        <f t="shared" ca="1" si="466"/>
        <v>190064243102.72272</v>
      </c>
      <c r="BD137" s="1691">
        <f t="shared" ca="1" si="466"/>
        <v>195785510090.19324</v>
      </c>
      <c r="BE137" s="1691">
        <f t="shared" ca="1" si="466"/>
        <v>203503627652.82486</v>
      </c>
      <c r="BF137" s="1691">
        <f t="shared" ca="1" si="466"/>
        <v>208849630133.61356</v>
      </c>
      <c r="BG137" s="1691">
        <f t="shared" ca="1" si="466"/>
        <v>195123301803.68344</v>
      </c>
      <c r="BH137" s="675"/>
      <c r="BI137" s="1691">
        <f t="shared" ca="1" si="467"/>
        <v>102505363517.53809</v>
      </c>
      <c r="BJ137" s="1691">
        <f t="shared" ca="1" si="467"/>
        <v>255950437472.10187</v>
      </c>
      <c r="BK137" s="1691">
        <f t="shared" ca="1" si="467"/>
        <v>444389296668.6734</v>
      </c>
      <c r="BL137" s="1691">
        <f t="shared" ca="1" si="467"/>
        <v>541914039471.43903</v>
      </c>
      <c r="BM137" s="1691">
        <f t="shared" ca="1" si="467"/>
        <v>623720908490.82837</v>
      </c>
      <c r="BN137" s="1691">
        <f t="shared" ca="1" si="467"/>
        <v>703059698831.02148</v>
      </c>
      <c r="BO137" s="1691">
        <f t="shared" ca="1" si="467"/>
        <v>759834765724.6416</v>
      </c>
      <c r="BP137" s="1691">
        <f t="shared" ca="1" si="467"/>
        <v>852731654756.41418</v>
      </c>
      <c r="BQ137" s="1691">
        <f t="shared" ca="1" si="467"/>
        <v>842401399155.19275</v>
      </c>
      <c r="BR137" s="675"/>
      <c r="BS137" s="1702">
        <f t="shared" ca="1" si="468"/>
        <v>4040796192976.0991</v>
      </c>
      <c r="BT137" s="1702">
        <f t="shared" ca="1" si="468"/>
        <v>4310566223760.8799</v>
      </c>
      <c r="BU137" s="1702">
        <f t="shared" ca="1" si="468"/>
        <v>4923958674822.1455</v>
      </c>
      <c r="BV137" s="1702">
        <f t="shared" ca="1" si="468"/>
        <v>5501904260781.166</v>
      </c>
      <c r="BW137" s="1702">
        <f t="shared" ca="1" si="468"/>
        <v>5998081441393.4424</v>
      </c>
      <c r="BX137" s="1702">
        <f t="shared" ca="1" si="468"/>
        <v>6579036924861.8789</v>
      </c>
      <c r="BY137" s="1702">
        <f t="shared" ca="1" si="468"/>
        <v>7106749928504.0723</v>
      </c>
      <c r="BZ137" s="1702">
        <f t="shared" ca="1" si="468"/>
        <v>7700750223164.29</v>
      </c>
      <c r="CA137" s="1702">
        <f t="shared" ca="1" si="468"/>
        <v>8147416060493.4863</v>
      </c>
      <c r="CC137" s="1707">
        <f t="shared" ca="1" si="469"/>
        <v>6034362214528.6074</v>
      </c>
      <c r="CD137" s="1707">
        <f t="shared" ca="1" si="469"/>
        <v>46671906740489.328</v>
      </c>
      <c r="CF137" s="1704">
        <f t="shared" ca="1" si="470"/>
        <v>-526510853074.50946</v>
      </c>
      <c r="CG137" s="1704">
        <f t="shared" ca="1" si="470"/>
        <v>-339947884005.28088</v>
      </c>
      <c r="CH137" s="1704">
        <f t="shared" ca="1" si="470"/>
        <v>-336903699260.75574</v>
      </c>
      <c r="CI137" s="1704">
        <f t="shared" ca="1" si="470"/>
        <v>-148187276770.15442</v>
      </c>
      <c r="CJ137" s="1704">
        <f t="shared" ca="1" si="470"/>
        <v>-125420623625.50778</v>
      </c>
      <c r="CK137" s="1704">
        <f t="shared" ca="1" si="470"/>
        <v>-71269107835.137939</v>
      </c>
      <c r="CL137" s="1704">
        <f t="shared" ca="1" si="470"/>
        <v>-51662418942.307495</v>
      </c>
      <c r="CM137" s="1704">
        <f t="shared" ca="1" si="470"/>
        <v>18298782579.732849</v>
      </c>
      <c r="CN137" s="1704">
        <f t="shared" ca="1" si="470"/>
        <v>99466824333.092041</v>
      </c>
      <c r="CP137" s="1707">
        <f t="shared" ca="1" si="471"/>
        <v>-164681806288.98099</v>
      </c>
      <c r="CQ137" s="1707">
        <f t="shared" ca="1" si="471"/>
        <v>-2523921245572.9404</v>
      </c>
      <c r="CR137" s="1426" t="str">
        <f t="shared" ca="1" si="472"/>
        <v>ok</v>
      </c>
    </row>
    <row r="138" spans="1:96" s="2215" customFormat="1" x14ac:dyDescent="0.2">
      <c r="C138" s="1683" t="s">
        <v>4</v>
      </c>
      <c r="E138" s="1689">
        <f t="shared" ca="1" si="461"/>
        <v>84341629231.184036</v>
      </c>
      <c r="F138" s="1689">
        <f t="shared" ca="1" si="461"/>
        <v>541483530258.69397</v>
      </c>
      <c r="G138" s="1689">
        <f t="shared" ca="1" si="461"/>
        <v>3741285993678.6729</v>
      </c>
      <c r="H138" s="1689">
        <f t="shared" ca="1" si="461"/>
        <v>5251634409999.999</v>
      </c>
      <c r="I138" s="1689">
        <f t="shared" ca="1" si="461"/>
        <v>7058934428571.4277</v>
      </c>
      <c r="J138" s="1689">
        <f t="shared" ca="1" si="461"/>
        <v>9784056875714.2871</v>
      </c>
      <c r="K138" s="1689">
        <f t="shared" ca="1" si="461"/>
        <v>11390939822857.145</v>
      </c>
      <c r="L138" s="1689">
        <f t="shared" ca="1" si="461"/>
        <v>17852448269999.996</v>
      </c>
      <c r="M138" s="1689">
        <f t="shared" ca="1" si="461"/>
        <v>21087103928571.426</v>
      </c>
      <c r="N138" s="675"/>
      <c r="O138" s="1689">
        <f t="shared" ca="1" si="462"/>
        <v>39862459007.479767</v>
      </c>
      <c r="P138" s="1689">
        <f t="shared" ca="1" si="462"/>
        <v>69463945093.64975</v>
      </c>
      <c r="Q138" s="1689">
        <f t="shared" ca="1" si="462"/>
        <v>118724677778.57144</v>
      </c>
      <c r="R138" s="1689">
        <f t="shared" ca="1" si="462"/>
        <v>190425082164.28571</v>
      </c>
      <c r="S138" s="1689">
        <f t="shared" ca="1" si="462"/>
        <v>283705063999.28577</v>
      </c>
      <c r="T138" s="1689">
        <f t="shared" ca="1" si="462"/>
        <v>368444072709.28564</v>
      </c>
      <c r="U138" s="1689">
        <f t="shared" ca="1" si="462"/>
        <v>465172523294.28564</v>
      </c>
      <c r="V138" s="1689">
        <f t="shared" ca="1" si="462"/>
        <v>596210520754.28577</v>
      </c>
      <c r="W138" s="1689">
        <f t="shared" ca="1" si="462"/>
        <v>133709130000.00002</v>
      </c>
      <c r="X138" s="675"/>
      <c r="Y138" s="1689">
        <f t="shared" ca="1" si="463"/>
        <v>0</v>
      </c>
      <c r="Z138" s="1689">
        <f t="shared" ca="1" si="463"/>
        <v>0</v>
      </c>
      <c r="AA138" s="1689">
        <f t="shared" ca="1" si="463"/>
        <v>0</v>
      </c>
      <c r="AB138" s="1689">
        <f t="shared" ca="1" si="463"/>
        <v>32142000000.000008</v>
      </c>
      <c r="AC138" s="1689">
        <f t="shared" ca="1" si="463"/>
        <v>61069800000</v>
      </c>
      <c r="AD138" s="1689">
        <f t="shared" ca="1" si="463"/>
        <v>118925400000.00003</v>
      </c>
      <c r="AE138" s="1689">
        <f t="shared" ca="1" si="463"/>
        <v>228208200000.00006</v>
      </c>
      <c r="AF138" s="1689">
        <f t="shared" ca="1" si="463"/>
        <v>440345400000.00012</v>
      </c>
      <c r="AG138" s="1689">
        <f t="shared" ca="1" si="463"/>
        <v>851763000000.00012</v>
      </c>
      <c r="AH138" s="675"/>
      <c r="AI138" s="1689">
        <f t="shared" ca="1" si="464"/>
        <v>124204088238.6638</v>
      </c>
      <c r="AJ138" s="1689">
        <f t="shared" ca="1" si="464"/>
        <v>610947475352.34375</v>
      </c>
      <c r="AK138" s="1689">
        <f t="shared" ca="1" si="464"/>
        <v>3860010671457.2441</v>
      </c>
      <c r="AL138" s="1689">
        <f t="shared" ca="1" si="464"/>
        <v>5474201492164.2852</v>
      </c>
      <c r="AM138" s="1689">
        <f t="shared" ca="1" si="464"/>
        <v>7403709292570.7129</v>
      </c>
      <c r="AN138" s="1689">
        <f t="shared" ca="1" si="464"/>
        <v>10271426348423.572</v>
      </c>
      <c r="AO138" s="1689">
        <f t="shared" ca="1" si="464"/>
        <v>12084320546151.428</v>
      </c>
      <c r="AP138" s="1689">
        <f t="shared" ca="1" si="464"/>
        <v>18889004190754.285</v>
      </c>
      <c r="AQ138" s="1689">
        <f t="shared" ca="1" si="464"/>
        <v>22072576058571.43</v>
      </c>
      <c r="AS138" s="1706">
        <f t="shared" ca="1" si="465"/>
        <v>8976711129298.2187</v>
      </c>
      <c r="AT138" s="1706">
        <f t="shared" ca="1" si="465"/>
        <v>39094741568196.352</v>
      </c>
      <c r="AU138" s="675"/>
      <c r="AV138" s="1699"/>
      <c r="AW138" s="1690"/>
      <c r="AX138" s="675"/>
      <c r="AY138" s="1689">
        <f t="shared" ca="1" si="466"/>
        <v>12651244384.677607</v>
      </c>
      <c r="AZ138" s="1689">
        <f t="shared" ca="1" si="466"/>
        <v>132097132564.67349</v>
      </c>
      <c r="BA138" s="1689">
        <f t="shared" ca="1" si="466"/>
        <v>1930061498419.6682</v>
      </c>
      <c r="BB138" s="1689">
        <f t="shared" ca="1" si="466"/>
        <v>2831851995357.1426</v>
      </c>
      <c r="BC138" s="1689">
        <f t="shared" ca="1" si="466"/>
        <v>3944233178571.4277</v>
      </c>
      <c r="BD138" s="1689">
        <f t="shared" ca="1" si="466"/>
        <v>5755597540357.1436</v>
      </c>
      <c r="BE138" s="1689">
        <f t="shared" ca="1" si="466"/>
        <v>5899908277142.8584</v>
      </c>
      <c r="BF138" s="1689">
        <f t="shared" ca="1" si="466"/>
        <v>9108304138928.5703</v>
      </c>
      <c r="BG138" s="1689">
        <f t="shared" ca="1" si="466"/>
        <v>11318714303571.43</v>
      </c>
      <c r="BH138" s="675"/>
      <c r="BI138" s="1689">
        <f t="shared" ca="1" si="467"/>
        <v>12651244384.677607</v>
      </c>
      <c r="BJ138" s="1689">
        <f t="shared" ca="1" si="467"/>
        <v>144748376949.3511</v>
      </c>
      <c r="BK138" s="1689">
        <f t="shared" ca="1" si="467"/>
        <v>2074809875369.0193</v>
      </c>
      <c r="BL138" s="1689">
        <f t="shared" ca="1" si="467"/>
        <v>3486911870726.1621</v>
      </c>
      <c r="BM138" s="1689">
        <f t="shared" ca="1" si="467"/>
        <v>5281370947770.0547</v>
      </c>
      <c r="BN138" s="1689">
        <f t="shared" ca="1" si="467"/>
        <v>7905116926991.0977</v>
      </c>
      <c r="BO138" s="1689">
        <f t="shared" ca="1" si="467"/>
        <v>9006009277142.8574</v>
      </c>
      <c r="BP138" s="1689">
        <f t="shared" ca="1" si="467"/>
        <v>14028086099285.713</v>
      </c>
      <c r="BQ138" s="1689">
        <f t="shared" ca="1" si="467"/>
        <v>17109263474285.713</v>
      </c>
      <c r="BR138" s="675"/>
      <c r="BS138" s="1701">
        <f t="shared" ca="1" si="468"/>
        <v>52513703392.157372</v>
      </c>
      <c r="BT138" s="1701">
        <f t="shared" ca="1" si="468"/>
        <v>214212322043.00085</v>
      </c>
      <c r="BU138" s="1701">
        <f t="shared" ca="1" si="468"/>
        <v>2193534553147.5908</v>
      </c>
      <c r="BV138" s="1701">
        <f t="shared" ca="1" si="468"/>
        <v>3709478952890.4478</v>
      </c>
      <c r="BW138" s="1701">
        <f t="shared" ca="1" si="468"/>
        <v>5626145811769.3408</v>
      </c>
      <c r="BX138" s="1701">
        <f t="shared" ca="1" si="468"/>
        <v>8392486399700.3838</v>
      </c>
      <c r="BY138" s="1701">
        <f t="shared" ca="1" si="468"/>
        <v>9699390000437.1445</v>
      </c>
      <c r="BZ138" s="1701">
        <f t="shared" ca="1" si="468"/>
        <v>15064642020039.998</v>
      </c>
      <c r="CA138" s="1701">
        <f t="shared" ca="1" si="468"/>
        <v>18094735604285.715</v>
      </c>
      <c r="CC138" s="1706">
        <f t="shared" ca="1" si="469"/>
        <v>7005237707522.8643</v>
      </c>
      <c r="CD138" s="1706">
        <f t="shared" ca="1" si="469"/>
        <v>27801534997283.223</v>
      </c>
      <c r="CF138" s="1703">
        <f t="shared" ca="1" si="470"/>
        <v>-71690384846.506424</v>
      </c>
      <c r="CG138" s="1703">
        <f t="shared" ca="1" si="470"/>
        <v>-396735153309.3429</v>
      </c>
      <c r="CH138" s="1703">
        <f t="shared" ca="1" si="470"/>
        <v>-1666476118309.6533</v>
      </c>
      <c r="CI138" s="1703">
        <f t="shared" ca="1" si="470"/>
        <v>-1764722539273.8379</v>
      </c>
      <c r="CJ138" s="1703">
        <f t="shared" ca="1" si="470"/>
        <v>-1777563480801.3726</v>
      </c>
      <c r="CK138" s="1703">
        <f t="shared" ca="1" si="470"/>
        <v>-1878939948723.1885</v>
      </c>
      <c r="CL138" s="1703">
        <f t="shared" ca="1" si="470"/>
        <v>-2384930545714.2852</v>
      </c>
      <c r="CM138" s="1703">
        <f t="shared" ca="1" si="470"/>
        <v>-3824362170714.2871</v>
      </c>
      <c r="CN138" s="1703">
        <f t="shared" ca="1" si="470"/>
        <v>-3977840454285.7134</v>
      </c>
      <c r="CP138" s="1706">
        <f t="shared" ca="1" si="471"/>
        <v>-1971473421775.3542</v>
      </c>
      <c r="CQ138" s="1706">
        <f t="shared" ca="1" si="471"/>
        <v>-11293206570913.125</v>
      </c>
      <c r="CR138" s="1426" t="str">
        <f t="shared" ca="1" si="472"/>
        <v>ok</v>
      </c>
    </row>
    <row r="139" spans="1:96" s="2215" customFormat="1" x14ac:dyDescent="0.2">
      <c r="C139" s="1685" t="s">
        <v>1974</v>
      </c>
      <c r="E139" s="1691">
        <f t="shared" ca="1" si="461"/>
        <v>0</v>
      </c>
      <c r="F139" s="1691">
        <f t="shared" ca="1" si="461"/>
        <v>295164435790.12158</v>
      </c>
      <c r="G139" s="1691">
        <f t="shared" ca="1" si="461"/>
        <v>339062575496.20831</v>
      </c>
      <c r="H139" s="1691">
        <f t="shared" ca="1" si="461"/>
        <v>427355572445.19788</v>
      </c>
      <c r="I139" s="1691">
        <f t="shared" ca="1" si="461"/>
        <v>422123261535.60663</v>
      </c>
      <c r="J139" s="1691">
        <f t="shared" ca="1" si="461"/>
        <v>461899374154.43848</v>
      </c>
      <c r="K139" s="1691">
        <f t="shared" ca="1" si="461"/>
        <v>298495893682.70032</v>
      </c>
      <c r="L139" s="1691">
        <f t="shared" ca="1" si="461"/>
        <v>312666086452.43689</v>
      </c>
      <c r="M139" s="1691">
        <f t="shared" ca="1" si="461"/>
        <v>415576444429.5968</v>
      </c>
      <c r="N139" s="675"/>
      <c r="O139" s="1691">
        <f t="shared" ca="1" si="462"/>
        <v>0</v>
      </c>
      <c r="P139" s="1691">
        <f t="shared" ca="1" si="462"/>
        <v>0</v>
      </c>
      <c r="Q139" s="1691">
        <f t="shared" ca="1" si="462"/>
        <v>0</v>
      </c>
      <c r="R139" s="1691">
        <f t="shared" ca="1" si="462"/>
        <v>0</v>
      </c>
      <c r="S139" s="1691">
        <f t="shared" ca="1" si="462"/>
        <v>0</v>
      </c>
      <c r="T139" s="1691">
        <f t="shared" ca="1" si="462"/>
        <v>0</v>
      </c>
      <c r="U139" s="1691">
        <f t="shared" ca="1" si="462"/>
        <v>0</v>
      </c>
      <c r="V139" s="1691">
        <f t="shared" ca="1" si="462"/>
        <v>0</v>
      </c>
      <c r="W139" s="1691">
        <f t="shared" ca="1" si="462"/>
        <v>0</v>
      </c>
      <c r="X139" s="675"/>
      <c r="Y139" s="1691">
        <f t="shared" ca="1" si="463"/>
        <v>0</v>
      </c>
      <c r="Z139" s="1691">
        <f t="shared" ca="1" si="463"/>
        <v>0</v>
      </c>
      <c r="AA139" s="1691">
        <f t="shared" ca="1" si="463"/>
        <v>0</v>
      </c>
      <c r="AB139" s="1691">
        <f t="shared" ca="1" si="463"/>
        <v>0</v>
      </c>
      <c r="AC139" s="1691">
        <f t="shared" ca="1" si="463"/>
        <v>0</v>
      </c>
      <c r="AD139" s="1691">
        <f t="shared" ca="1" si="463"/>
        <v>0</v>
      </c>
      <c r="AE139" s="1691">
        <f t="shared" ca="1" si="463"/>
        <v>0</v>
      </c>
      <c r="AF139" s="1691">
        <f t="shared" ca="1" si="463"/>
        <v>0</v>
      </c>
      <c r="AG139" s="1691">
        <f t="shared" ca="1" si="463"/>
        <v>0</v>
      </c>
      <c r="AH139" s="675"/>
      <c r="AI139" s="1691">
        <f t="shared" ca="1" si="464"/>
        <v>0</v>
      </c>
      <c r="AJ139" s="1691">
        <f t="shared" ca="1" si="464"/>
        <v>295164435790.12158</v>
      </c>
      <c r="AK139" s="1691">
        <f t="shared" ca="1" si="464"/>
        <v>339062575496.20831</v>
      </c>
      <c r="AL139" s="1691">
        <f t="shared" ca="1" si="464"/>
        <v>427355572445.19788</v>
      </c>
      <c r="AM139" s="1691">
        <f t="shared" ca="1" si="464"/>
        <v>422123261535.60663</v>
      </c>
      <c r="AN139" s="1691">
        <f t="shared" ca="1" si="464"/>
        <v>461899374154.43848</v>
      </c>
      <c r="AO139" s="1691">
        <f t="shared" ca="1" si="464"/>
        <v>298495893682.70032</v>
      </c>
      <c r="AP139" s="1691">
        <f t="shared" ca="1" si="464"/>
        <v>312666086452.43689</v>
      </c>
      <c r="AQ139" s="1691">
        <f t="shared" ca="1" si="464"/>
        <v>415576444429.5968</v>
      </c>
      <c r="AS139" s="1707">
        <f t="shared" ca="1" si="465"/>
        <v>330260404887.36749</v>
      </c>
      <c r="AT139" s="1707">
        <f t="shared" ca="1" si="465"/>
        <v>2859822460653.4321</v>
      </c>
      <c r="AU139" s="675"/>
      <c r="AV139" s="1700"/>
      <c r="AW139" s="1692"/>
      <c r="AX139" s="675"/>
      <c r="AY139" s="1691">
        <f t="shared" ca="1" si="466"/>
        <v>0</v>
      </c>
      <c r="AZ139" s="1691">
        <f t="shared" ca="1" si="466"/>
        <v>202190621529.33478</v>
      </c>
      <c r="BA139" s="1691">
        <f t="shared" ca="1" si="466"/>
        <v>239239846881.76602</v>
      </c>
      <c r="BB139" s="1691">
        <f t="shared" ca="1" si="466"/>
        <v>319363426783.32996</v>
      </c>
      <c r="BC139" s="1691">
        <f t="shared" ca="1" si="466"/>
        <v>306275334636.44165</v>
      </c>
      <c r="BD139" s="1691">
        <f t="shared" ca="1" si="466"/>
        <v>331966364397.04907</v>
      </c>
      <c r="BE139" s="1691">
        <f t="shared" ca="1" si="466"/>
        <v>160191359376.76758</v>
      </c>
      <c r="BF139" s="1691">
        <f t="shared" ca="1" si="466"/>
        <v>161186251067.15723</v>
      </c>
      <c r="BG139" s="1691">
        <f t="shared" ca="1" si="466"/>
        <v>248799498083.25357</v>
      </c>
      <c r="BH139" s="675"/>
      <c r="BI139" s="1691">
        <f t="shared" ca="1" si="467"/>
        <v>0</v>
      </c>
      <c r="BJ139" s="1691">
        <f t="shared" ca="1" si="467"/>
        <v>202190621529.33478</v>
      </c>
      <c r="BK139" s="1691">
        <f t="shared" ca="1" si="467"/>
        <v>285726754012.15942</v>
      </c>
      <c r="BL139" s="1691">
        <f t="shared" ca="1" si="467"/>
        <v>415761698220.94452</v>
      </c>
      <c r="BM139" s="1691">
        <f t="shared" ca="1" si="467"/>
        <v>410182771774.59674</v>
      </c>
      <c r="BN139" s="1691">
        <f t="shared" ca="1" si="467"/>
        <v>443886400677.56561</v>
      </c>
      <c r="BO139" s="1691">
        <f t="shared" ca="1" si="467"/>
        <v>283081827705.0448</v>
      </c>
      <c r="BP139" s="1691">
        <f t="shared" ca="1" si="467"/>
        <v>295305023098.8183</v>
      </c>
      <c r="BQ139" s="1691">
        <f t="shared" ca="1" si="467"/>
        <v>393691682928.85986</v>
      </c>
      <c r="BR139" s="675"/>
      <c r="BS139" s="1702">
        <f t="shared" ca="1" si="468"/>
        <v>0</v>
      </c>
      <c r="BT139" s="1702">
        <f t="shared" ca="1" si="468"/>
        <v>202190621529.33478</v>
      </c>
      <c r="BU139" s="1702">
        <f t="shared" ca="1" si="468"/>
        <v>285726754012.15942</v>
      </c>
      <c r="BV139" s="1702">
        <f t="shared" ca="1" si="468"/>
        <v>415761698220.94452</v>
      </c>
      <c r="BW139" s="1702">
        <f t="shared" ca="1" si="468"/>
        <v>410182771774.59674</v>
      </c>
      <c r="BX139" s="1702">
        <f t="shared" ca="1" si="468"/>
        <v>443886400677.56561</v>
      </c>
      <c r="BY139" s="1702">
        <f t="shared" ca="1" si="468"/>
        <v>283081827705.0448</v>
      </c>
      <c r="BZ139" s="1702">
        <f t="shared" ca="1" si="468"/>
        <v>295305023098.8183</v>
      </c>
      <c r="CA139" s="1702">
        <f t="shared" ca="1" si="468"/>
        <v>393691682928.85986</v>
      </c>
      <c r="CC139" s="1707">
        <f t="shared" ca="1" si="469"/>
        <v>303314086660.81384</v>
      </c>
      <c r="CD139" s="1707">
        <f t="shared" ca="1" si="469"/>
        <v>2423920428160.7876</v>
      </c>
      <c r="CF139" s="1704">
        <f t="shared" ca="1" si="470"/>
        <v>0</v>
      </c>
      <c r="CG139" s="1704">
        <f t="shared" ca="1" si="470"/>
        <v>-92973814260.786789</v>
      </c>
      <c r="CH139" s="1704">
        <f t="shared" ca="1" si="470"/>
        <v>-53335821484.048874</v>
      </c>
      <c r="CI139" s="1704">
        <f t="shared" ca="1" si="470"/>
        <v>-11593874224.253387</v>
      </c>
      <c r="CJ139" s="1704">
        <f t="shared" ca="1" si="470"/>
        <v>-11940489761.009903</v>
      </c>
      <c r="CK139" s="1704">
        <f t="shared" ca="1" si="470"/>
        <v>-18012973476.872864</v>
      </c>
      <c r="CL139" s="1704">
        <f t="shared" ca="1" si="470"/>
        <v>-15414065977.655624</v>
      </c>
      <c r="CM139" s="1704">
        <f t="shared" ca="1" si="470"/>
        <v>-17361063353.618576</v>
      </c>
      <c r="CN139" s="1704">
        <f t="shared" ca="1" si="470"/>
        <v>-21884761500.73703</v>
      </c>
      <c r="CP139" s="1707">
        <f t="shared" ca="1" si="471"/>
        <v>-26946318226.553673</v>
      </c>
      <c r="CQ139" s="1707">
        <f t="shared" ca="1" si="471"/>
        <v>-435902032492.64441</v>
      </c>
      <c r="CR139" s="1426" t="str">
        <f t="shared" ca="1" si="472"/>
        <v>ok</v>
      </c>
    </row>
    <row r="140" spans="1:96" s="2215" customFormat="1" x14ac:dyDescent="0.2">
      <c r="C140" s="1683" t="s">
        <v>125</v>
      </c>
      <c r="E140" s="1689">
        <f t="shared" ca="1" si="461"/>
        <v>0</v>
      </c>
      <c r="F140" s="1689">
        <f t="shared" ca="1" si="461"/>
        <v>45342640018549.297</v>
      </c>
      <c r="G140" s="1689">
        <f t="shared" ca="1" si="461"/>
        <v>27667138521979.945</v>
      </c>
      <c r="H140" s="1689">
        <f t="shared" ca="1" si="461"/>
        <v>33356172370597.344</v>
      </c>
      <c r="I140" s="1689">
        <f t="shared" ca="1" si="461"/>
        <v>39691692370656.445</v>
      </c>
      <c r="J140" s="1689">
        <f t="shared" ca="1" si="461"/>
        <v>47988283072860.859</v>
      </c>
      <c r="K140" s="1689">
        <f t="shared" ca="1" si="461"/>
        <v>53885486729047.508</v>
      </c>
      <c r="L140" s="1689">
        <f t="shared" ca="1" si="461"/>
        <v>63496825722065.094</v>
      </c>
      <c r="M140" s="1689">
        <f t="shared" ca="1" si="461"/>
        <v>73443767354426.469</v>
      </c>
      <c r="N140" s="675"/>
      <c r="O140" s="1689">
        <f t="shared" ca="1" si="462"/>
        <v>67028633786237.75</v>
      </c>
      <c r="P140" s="1689">
        <f t="shared" ca="1" si="462"/>
        <v>712578446132420.12</v>
      </c>
      <c r="Q140" s="1689">
        <f t="shared" ca="1" si="462"/>
        <v>855414865405573.62</v>
      </c>
      <c r="R140" s="1689">
        <f t="shared" ca="1" si="462"/>
        <v>1024347348696149</v>
      </c>
      <c r="S140" s="1689">
        <f t="shared" ca="1" si="462"/>
        <v>1223087941803518.2</v>
      </c>
      <c r="T140" s="1689">
        <f t="shared" ca="1" si="462"/>
        <v>1456072652657922.7</v>
      </c>
      <c r="U140" s="1689">
        <f t="shared" ca="1" si="462"/>
        <v>1686579666932811</v>
      </c>
      <c r="V140" s="1689">
        <f t="shared" ca="1" si="462"/>
        <v>1948058576402461.2</v>
      </c>
      <c r="W140" s="1689">
        <f t="shared" ca="1" si="462"/>
        <v>2243886786469982</v>
      </c>
      <c r="X140" s="675"/>
      <c r="Y140" s="1689">
        <f t="shared" ca="1" si="463"/>
        <v>0</v>
      </c>
      <c r="Z140" s="1689">
        <f t="shared" ca="1" si="463"/>
        <v>0</v>
      </c>
      <c r="AA140" s="1689">
        <f t="shared" ca="1" si="463"/>
        <v>0</v>
      </c>
      <c r="AB140" s="1689">
        <f t="shared" ca="1" si="463"/>
        <v>0</v>
      </c>
      <c r="AC140" s="1689">
        <f t="shared" ca="1" si="463"/>
        <v>0</v>
      </c>
      <c r="AD140" s="1689">
        <f t="shared" ca="1" si="463"/>
        <v>0</v>
      </c>
      <c r="AE140" s="1689">
        <f t="shared" ca="1" si="463"/>
        <v>0</v>
      </c>
      <c r="AF140" s="1689">
        <f t="shared" ca="1" si="463"/>
        <v>0</v>
      </c>
      <c r="AG140" s="1689">
        <f t="shared" ca="1" si="463"/>
        <v>0</v>
      </c>
      <c r="AH140" s="675"/>
      <c r="AI140" s="1689">
        <f t="shared" ca="1" si="464"/>
        <v>67028633786237.75</v>
      </c>
      <c r="AJ140" s="1689">
        <f t="shared" ca="1" si="464"/>
        <v>757921086150969.25</v>
      </c>
      <c r="AK140" s="1689">
        <f t="shared" ca="1" si="464"/>
        <v>883082003927553.5</v>
      </c>
      <c r="AL140" s="1689">
        <f t="shared" ca="1" si="464"/>
        <v>1057703521066746.2</v>
      </c>
      <c r="AM140" s="1689">
        <f t="shared" ca="1" si="464"/>
        <v>1262779634174174.5</v>
      </c>
      <c r="AN140" s="1689">
        <f t="shared" ca="1" si="464"/>
        <v>1504060935730783.2</v>
      </c>
      <c r="AO140" s="1689">
        <f t="shared" ca="1" si="464"/>
        <v>1740465153661858.5</v>
      </c>
      <c r="AP140" s="1689">
        <f t="shared" ca="1" si="464"/>
        <v>2011555402124526.5</v>
      </c>
      <c r="AQ140" s="1689">
        <f t="shared" ca="1" si="464"/>
        <v>2317330553824408</v>
      </c>
      <c r="AS140" s="1706">
        <f t="shared" ca="1" si="465"/>
        <v>1289102991605251</v>
      </c>
      <c r="AT140" s="1706">
        <f t="shared" ca="1" si="465"/>
        <v>8511062500018834</v>
      </c>
      <c r="AU140" s="675"/>
      <c r="AV140" s="1699"/>
      <c r="AW140" s="1690"/>
      <c r="AX140" s="675"/>
      <c r="AY140" s="1689">
        <f t="shared" ca="1" si="466"/>
        <v>0</v>
      </c>
      <c r="AZ140" s="1689">
        <f t="shared" ca="1" si="466"/>
        <v>39874554449351.328</v>
      </c>
      <c r="BA140" s="1689">
        <f t="shared" ca="1" si="466"/>
        <v>19864073832344.797</v>
      </c>
      <c r="BB140" s="1689">
        <f t="shared" ca="1" si="466"/>
        <v>22718786664032.875</v>
      </c>
      <c r="BC140" s="1689">
        <f t="shared" ca="1" si="466"/>
        <v>25853846042980.949</v>
      </c>
      <c r="BD140" s="1689">
        <f t="shared" ca="1" si="466"/>
        <v>29923173955740.582</v>
      </c>
      <c r="BE140" s="1689">
        <f t="shared" ca="1" si="466"/>
        <v>32311495408217.738</v>
      </c>
      <c r="BF140" s="1689">
        <f t="shared" ca="1" si="466"/>
        <v>36794414763239.523</v>
      </c>
      <c r="BG140" s="1689">
        <f t="shared" ca="1" si="466"/>
        <v>41374654153056.023</v>
      </c>
      <c r="BH140" s="675"/>
      <c r="BI140" s="1689">
        <f t="shared" ca="1" si="467"/>
        <v>0</v>
      </c>
      <c r="BJ140" s="1689">
        <f t="shared" ca="1" si="467"/>
        <v>39874554449351.328</v>
      </c>
      <c r="BK140" s="1689">
        <f t="shared" ca="1" si="467"/>
        <v>22794770491044.848</v>
      </c>
      <c r="BL140" s="1689">
        <f t="shared" ca="1" si="467"/>
        <v>29382046478443.254</v>
      </c>
      <c r="BM140" s="1689">
        <f t="shared" ca="1" si="467"/>
        <v>35098002127265.086</v>
      </c>
      <c r="BN140" s="1689">
        <f t="shared" ca="1" si="467"/>
        <v>42077071144256.617</v>
      </c>
      <c r="BO140" s="1689">
        <f t="shared" ca="1" si="467"/>
        <v>48349855143189.758</v>
      </c>
      <c r="BP140" s="1689">
        <f t="shared" ca="1" si="467"/>
        <v>56477623036451.273</v>
      </c>
      <c r="BQ140" s="1689">
        <f t="shared" ca="1" si="467"/>
        <v>65642825542454.648</v>
      </c>
      <c r="BR140" s="675"/>
      <c r="BS140" s="1701">
        <f t="shared" ca="1" si="468"/>
        <v>67028633786237.75</v>
      </c>
      <c r="BT140" s="1701">
        <f t="shared" ca="1" si="468"/>
        <v>752453000581771.37</v>
      </c>
      <c r="BU140" s="1701">
        <f t="shared" ca="1" si="468"/>
        <v>878209635896618.62</v>
      </c>
      <c r="BV140" s="1701">
        <f t="shared" ca="1" si="468"/>
        <v>1053729395174592.1</v>
      </c>
      <c r="BW140" s="1701">
        <f t="shared" ca="1" si="468"/>
        <v>1258185943930783.2</v>
      </c>
      <c r="BX140" s="1701">
        <f t="shared" ca="1" si="468"/>
        <v>1498149723802179.2</v>
      </c>
      <c r="BY140" s="1701">
        <f t="shared" ca="1" si="468"/>
        <v>1734929522076000.7</v>
      </c>
      <c r="BZ140" s="1701">
        <f t="shared" ca="1" si="468"/>
        <v>2004536199438912.7</v>
      </c>
      <c r="CA140" s="1701">
        <f t="shared" ca="1" si="468"/>
        <v>2309529612012436</v>
      </c>
      <c r="CC140" s="1706">
        <f t="shared" ca="1" si="469"/>
        <v>1284083518522170.5</v>
      </c>
      <c r="CD140" s="1706">
        <f t="shared" ca="1" si="469"/>
        <v>8468810373297488</v>
      </c>
      <c r="CF140" s="1703">
        <f t="shared" ca="1" si="470"/>
        <v>0</v>
      </c>
      <c r="CG140" s="1703">
        <f t="shared" ca="1" si="470"/>
        <v>-5468085569197.9648</v>
      </c>
      <c r="CH140" s="1703">
        <f t="shared" ca="1" si="470"/>
        <v>-4872368030935.0977</v>
      </c>
      <c r="CI140" s="1703">
        <f t="shared" ca="1" si="470"/>
        <v>-3974125892154.0928</v>
      </c>
      <c r="CJ140" s="1703">
        <f t="shared" ca="1" si="470"/>
        <v>-4593690243391.3584</v>
      </c>
      <c r="CK140" s="1703">
        <f t="shared" ca="1" si="470"/>
        <v>-5911211928604.2539</v>
      </c>
      <c r="CL140" s="1703">
        <f t="shared" ca="1" si="470"/>
        <v>-5535631585857.7393</v>
      </c>
      <c r="CM140" s="1703">
        <f t="shared" ca="1" si="470"/>
        <v>-7019202685613.8164</v>
      </c>
      <c r="CN140" s="1703">
        <f t="shared" ca="1" si="470"/>
        <v>-7800941811971.8262</v>
      </c>
      <c r="CP140" s="1706">
        <f t="shared" ca="1" si="471"/>
        <v>-5019473083080.6826</v>
      </c>
      <c r="CQ140" s="1706">
        <f t="shared" ca="1" si="471"/>
        <v>-42252126721345.75</v>
      </c>
      <c r="CR140" s="1426" t="str">
        <f t="shared" ca="1" si="472"/>
        <v>ok</v>
      </c>
    </row>
    <row r="141" spans="1:96" s="1426" customFormat="1" x14ac:dyDescent="0.2">
      <c r="A141" s="2215"/>
      <c r="B141" s="2215"/>
      <c r="C141" s="1685" t="s">
        <v>33</v>
      </c>
      <c r="D141" s="2215"/>
      <c r="E141" s="1691">
        <f t="shared" ca="1" si="461"/>
        <v>76590000</v>
      </c>
      <c r="F141" s="1691">
        <f t="shared" ca="1" si="461"/>
        <v>30281362318.163437</v>
      </c>
      <c r="G141" s="1691">
        <f t="shared" ca="1" si="461"/>
        <v>30288621598.827602</v>
      </c>
      <c r="H141" s="1691">
        <f t="shared" ca="1" si="461"/>
        <v>28216909531.424824</v>
      </c>
      <c r="I141" s="1691">
        <f t="shared" ca="1" si="461"/>
        <v>24210307544.962223</v>
      </c>
      <c r="J141" s="1691">
        <f t="shared" ca="1" si="461"/>
        <v>20977462887.435535</v>
      </c>
      <c r="K141" s="1691">
        <f t="shared" ca="1" si="461"/>
        <v>20072655767.362644</v>
      </c>
      <c r="L141" s="1691">
        <f t="shared" ca="1" si="461"/>
        <v>19926233619.344372</v>
      </c>
      <c r="M141" s="1691">
        <f t="shared" ca="1" si="461"/>
        <v>19788195054.273846</v>
      </c>
      <c r="N141" s="675"/>
      <c r="O141" s="1691">
        <f t="shared" ca="1" si="462"/>
        <v>93726240140.967972</v>
      </c>
      <c r="P141" s="1691">
        <f t="shared" ca="1" si="462"/>
        <v>94105044665.826721</v>
      </c>
      <c r="Q141" s="1691">
        <f t="shared" ca="1" si="462"/>
        <v>88612994715.908203</v>
      </c>
      <c r="R141" s="1691">
        <f t="shared" ca="1" si="462"/>
        <v>77669007086.024368</v>
      </c>
      <c r="S141" s="1691">
        <f t="shared" ca="1" si="462"/>
        <v>68818279985.445129</v>
      </c>
      <c r="T141" s="1691">
        <f t="shared" ca="1" si="462"/>
        <v>66587640107.912933</v>
      </c>
      <c r="U141" s="1691">
        <f t="shared" ca="1" si="462"/>
        <v>66526348362.397919</v>
      </c>
      <c r="V141" s="1691">
        <f t="shared" ca="1" si="462"/>
        <v>66508549851.726158</v>
      </c>
      <c r="W141" s="1691">
        <f t="shared" ca="1" si="462"/>
        <v>66513967519.552521</v>
      </c>
      <c r="X141" s="675"/>
      <c r="Y141" s="1691">
        <f t="shared" ca="1" si="463"/>
        <v>0</v>
      </c>
      <c r="Z141" s="1691">
        <f t="shared" ca="1" si="463"/>
        <v>0</v>
      </c>
      <c r="AA141" s="1691">
        <f t="shared" ca="1" si="463"/>
        <v>0</v>
      </c>
      <c r="AB141" s="1691">
        <f t="shared" ca="1" si="463"/>
        <v>0</v>
      </c>
      <c r="AC141" s="1691">
        <f t="shared" ca="1" si="463"/>
        <v>0</v>
      </c>
      <c r="AD141" s="1691">
        <f t="shared" ca="1" si="463"/>
        <v>0</v>
      </c>
      <c r="AE141" s="1691">
        <f t="shared" ca="1" si="463"/>
        <v>0</v>
      </c>
      <c r="AF141" s="1691">
        <f t="shared" ca="1" si="463"/>
        <v>0</v>
      </c>
      <c r="AG141" s="1691">
        <f t="shared" ca="1" si="463"/>
        <v>0</v>
      </c>
      <c r="AH141" s="675"/>
      <c r="AI141" s="1691">
        <f t="shared" ca="1" si="464"/>
        <v>93802830140.967972</v>
      </c>
      <c r="AJ141" s="1691">
        <f t="shared" ca="1" si="464"/>
        <v>124386406983.99016</v>
      </c>
      <c r="AK141" s="1691">
        <f t="shared" ca="1" si="464"/>
        <v>118901616314.73582</v>
      </c>
      <c r="AL141" s="1691">
        <f t="shared" ca="1" si="464"/>
        <v>105885916617.44919</v>
      </c>
      <c r="AM141" s="1691">
        <f t="shared" ca="1" si="464"/>
        <v>93028587530.407364</v>
      </c>
      <c r="AN141" s="1691">
        <f t="shared" ca="1" si="464"/>
        <v>87565102995.348465</v>
      </c>
      <c r="AO141" s="1691">
        <f t="shared" ca="1" si="464"/>
        <v>86599004129.760559</v>
      </c>
      <c r="AP141" s="1691">
        <f t="shared" ca="1" si="464"/>
        <v>86434783471.070526</v>
      </c>
      <c r="AQ141" s="1691">
        <f t="shared" ca="1" si="464"/>
        <v>86302162573.826355</v>
      </c>
      <c r="AR141" s="2215"/>
      <c r="AS141" s="1707">
        <f t="shared" ca="1" si="465"/>
        <v>98100712306.395157</v>
      </c>
      <c r="AT141" s="1707">
        <f t="shared" ca="1" si="465"/>
        <v>1010053271270.5852</v>
      </c>
      <c r="AU141" s="675"/>
      <c r="AV141" s="1700"/>
      <c r="AW141" s="1692"/>
      <c r="AX141" s="675"/>
      <c r="AY141" s="1691">
        <f t="shared" ca="1" si="466"/>
        <v>45954000</v>
      </c>
      <c r="AZ141" s="1691">
        <f t="shared" ca="1" si="466"/>
        <v>10149200844.627678</v>
      </c>
      <c r="BA141" s="1691">
        <f t="shared" ca="1" si="466"/>
        <v>10156460125.291843</v>
      </c>
      <c r="BB141" s="1691">
        <f t="shared" ca="1" si="466"/>
        <v>9471275129.3160381</v>
      </c>
      <c r="BC141" s="1691">
        <f t="shared" ca="1" si="466"/>
        <v>8139953018.1784945</v>
      </c>
      <c r="BD141" s="1691">
        <f t="shared" ca="1" si="466"/>
        <v>7066887114.4176188</v>
      </c>
      <c r="BE141" s="1691">
        <f t="shared" ca="1" si="466"/>
        <v>6770200372.217267</v>
      </c>
      <c r="BF141" s="1691">
        <f t="shared" ca="1" si="466"/>
        <v>6726707502.9434891</v>
      </c>
      <c r="BG141" s="1691">
        <f t="shared" ca="1" si="466"/>
        <v>6686443205.4018517</v>
      </c>
      <c r="BH141" s="675"/>
      <c r="BI141" s="1691">
        <f t="shared" ca="1" si="467"/>
        <v>45954000</v>
      </c>
      <c r="BJ141" s="1691">
        <f t="shared" ca="1" si="467"/>
        <v>10149200844.627678</v>
      </c>
      <c r="BK141" s="1691">
        <f t="shared" ca="1" si="467"/>
        <v>20222540862.059723</v>
      </c>
      <c r="BL141" s="1691">
        <f t="shared" ca="1" si="467"/>
        <v>29603436602.851803</v>
      </c>
      <c r="BM141" s="1691">
        <f t="shared" ca="1" si="467"/>
        <v>27578850956.000763</v>
      </c>
      <c r="BN141" s="1691">
        <f t="shared" ca="1" si="467"/>
        <v>24474881578.863876</v>
      </c>
      <c r="BO141" s="1691">
        <f t="shared" ca="1" si="467"/>
        <v>21760665522.118088</v>
      </c>
      <c r="BP141" s="1691">
        <f t="shared" ca="1" si="467"/>
        <v>20333223087.025135</v>
      </c>
      <c r="BQ141" s="1691">
        <f t="shared" ca="1" si="467"/>
        <v>19937433961.174984</v>
      </c>
      <c r="BR141" s="675"/>
      <c r="BS141" s="1702">
        <f t="shared" ca="1" si="468"/>
        <v>93772194140.967972</v>
      </c>
      <c r="BT141" s="1702">
        <f t="shared" ca="1" si="468"/>
        <v>104254245510.45441</v>
      </c>
      <c r="BU141" s="1702">
        <f t="shared" ca="1" si="468"/>
        <v>108835535577.96794</v>
      </c>
      <c r="BV141" s="1702">
        <f t="shared" ca="1" si="468"/>
        <v>107272443688.87617</v>
      </c>
      <c r="BW141" s="1702">
        <f t="shared" ca="1" si="468"/>
        <v>96397130941.445908</v>
      </c>
      <c r="BX141" s="1702">
        <f t="shared" ca="1" si="468"/>
        <v>91062521686.77681</v>
      </c>
      <c r="BY141" s="1702">
        <f t="shared" ca="1" si="468"/>
        <v>88287013884.516006</v>
      </c>
      <c r="BZ141" s="1702">
        <f t="shared" ca="1" si="468"/>
        <v>86841772938.751282</v>
      </c>
      <c r="CA141" s="1702">
        <f t="shared" ca="1" si="468"/>
        <v>86451401480.727509</v>
      </c>
      <c r="CB141" s="2215"/>
      <c r="CC141" s="1707">
        <f t="shared" ca="1" si="469"/>
        <v>95908251094.498215</v>
      </c>
      <c r="CD141" s="1707">
        <f t="shared" ca="1" si="469"/>
        <v>934508917543.36816</v>
      </c>
      <c r="CE141" s="2215"/>
      <c r="CF141" s="1704">
        <f t="shared" ca="1" si="470"/>
        <v>-30636000</v>
      </c>
      <c r="CG141" s="1704">
        <f t="shared" ca="1" si="470"/>
        <v>-20132161473.535759</v>
      </c>
      <c r="CH141" s="1704">
        <f t="shared" ca="1" si="470"/>
        <v>-10066080736.767879</v>
      </c>
      <c r="CI141" s="1704">
        <f t="shared" ca="1" si="470"/>
        <v>1386527071.4269791</v>
      </c>
      <c r="CJ141" s="1704">
        <f t="shared" ca="1" si="470"/>
        <v>3368543411.0385399</v>
      </c>
      <c r="CK141" s="1704">
        <f t="shared" ca="1" si="470"/>
        <v>3497418691.4283409</v>
      </c>
      <c r="CL141" s="1704">
        <f t="shared" ca="1" si="470"/>
        <v>1688009754.7554436</v>
      </c>
      <c r="CM141" s="1704">
        <f t="shared" ca="1" si="470"/>
        <v>406989467.68076324</v>
      </c>
      <c r="CN141" s="1704">
        <f t="shared" ca="1" si="470"/>
        <v>149238906.90113831</v>
      </c>
      <c r="CO141" s="2215"/>
      <c r="CP141" s="1707">
        <f t="shared" ca="1" si="471"/>
        <v>-2192461211.8969369</v>
      </c>
      <c r="CQ141" s="1707">
        <f t="shared" ca="1" si="471"/>
        <v>-75544353727.216888</v>
      </c>
      <c r="CR141" s="1426" t="str">
        <f t="shared" ca="1" si="472"/>
        <v>ok</v>
      </c>
    </row>
    <row r="142" spans="1:96" x14ac:dyDescent="0.2">
      <c r="A142" s="2215"/>
      <c r="B142" s="2215"/>
      <c r="C142" s="1697" t="s">
        <v>102</v>
      </c>
      <c r="D142" s="2215"/>
      <c r="E142" s="1698">
        <f t="shared" si="461"/>
        <v>0</v>
      </c>
      <c r="F142" s="1698">
        <f t="shared" si="461"/>
        <v>0</v>
      </c>
      <c r="G142" s="1698">
        <f t="shared" si="461"/>
        <v>0</v>
      </c>
      <c r="H142" s="1698">
        <f t="shared" si="461"/>
        <v>0</v>
      </c>
      <c r="I142" s="1698">
        <f t="shared" si="461"/>
        <v>0</v>
      </c>
      <c r="J142" s="1698">
        <f t="shared" si="461"/>
        <v>0</v>
      </c>
      <c r="K142" s="1698">
        <f t="shared" si="461"/>
        <v>0</v>
      </c>
      <c r="L142" s="1698">
        <f t="shared" si="461"/>
        <v>0</v>
      </c>
      <c r="M142" s="1698">
        <f t="shared" si="461"/>
        <v>0</v>
      </c>
      <c r="N142" s="675"/>
      <c r="O142" s="1698">
        <f t="shared" si="462"/>
        <v>0</v>
      </c>
      <c r="P142" s="1698">
        <f t="shared" si="462"/>
        <v>0</v>
      </c>
      <c r="Q142" s="1698">
        <f t="shared" si="462"/>
        <v>0</v>
      </c>
      <c r="R142" s="1698">
        <f t="shared" si="462"/>
        <v>0</v>
      </c>
      <c r="S142" s="1698">
        <f t="shared" si="462"/>
        <v>0</v>
      </c>
      <c r="T142" s="1698">
        <f t="shared" si="462"/>
        <v>0</v>
      </c>
      <c r="U142" s="1698">
        <f t="shared" si="462"/>
        <v>0</v>
      </c>
      <c r="V142" s="1698">
        <f t="shared" si="462"/>
        <v>0</v>
      </c>
      <c r="W142" s="1698">
        <f t="shared" si="462"/>
        <v>0</v>
      </c>
      <c r="X142" s="675"/>
      <c r="Y142" s="1698">
        <f t="shared" si="463"/>
        <v>0</v>
      </c>
      <c r="Z142" s="1698">
        <f t="shared" si="463"/>
        <v>0</v>
      </c>
      <c r="AA142" s="1698">
        <f t="shared" si="463"/>
        <v>0</v>
      </c>
      <c r="AB142" s="1698">
        <f t="shared" si="463"/>
        <v>0</v>
      </c>
      <c r="AC142" s="1698">
        <f t="shared" si="463"/>
        <v>0</v>
      </c>
      <c r="AD142" s="1698">
        <f t="shared" si="463"/>
        <v>0</v>
      </c>
      <c r="AE142" s="1698">
        <f t="shared" si="463"/>
        <v>0</v>
      </c>
      <c r="AF142" s="1698">
        <f t="shared" si="463"/>
        <v>0</v>
      </c>
      <c r="AG142" s="1698">
        <f t="shared" si="463"/>
        <v>0</v>
      </c>
      <c r="AH142" s="675"/>
      <c r="AI142" s="1698">
        <f t="shared" si="464"/>
        <v>0</v>
      </c>
      <c r="AJ142" s="1698">
        <f t="shared" si="464"/>
        <v>0</v>
      </c>
      <c r="AK142" s="1698">
        <f t="shared" si="464"/>
        <v>0</v>
      </c>
      <c r="AL142" s="1698">
        <f t="shared" si="464"/>
        <v>0</v>
      </c>
      <c r="AM142" s="1698">
        <f t="shared" si="464"/>
        <v>0</v>
      </c>
      <c r="AN142" s="1698">
        <f t="shared" si="464"/>
        <v>0</v>
      </c>
      <c r="AO142" s="1698">
        <f t="shared" si="464"/>
        <v>0</v>
      </c>
      <c r="AP142" s="1698">
        <f t="shared" si="464"/>
        <v>0</v>
      </c>
      <c r="AQ142" s="1698">
        <f t="shared" si="464"/>
        <v>0</v>
      </c>
      <c r="AR142" s="2215"/>
      <c r="AS142" s="1708">
        <f t="shared" si="465"/>
        <v>0</v>
      </c>
      <c r="AT142" s="1708">
        <f t="shared" si="465"/>
        <v>0</v>
      </c>
      <c r="AU142" s="675"/>
      <c r="AV142" s="1699"/>
      <c r="AW142" s="1690"/>
      <c r="AX142" s="675"/>
      <c r="AY142" s="1698">
        <f t="shared" si="466"/>
        <v>0</v>
      </c>
      <c r="AZ142" s="1698">
        <f t="shared" si="466"/>
        <v>0</v>
      </c>
      <c r="BA142" s="1698">
        <f t="shared" si="466"/>
        <v>0</v>
      </c>
      <c r="BB142" s="1698">
        <f t="shared" si="466"/>
        <v>0</v>
      </c>
      <c r="BC142" s="1698">
        <f t="shared" si="466"/>
        <v>0</v>
      </c>
      <c r="BD142" s="1698">
        <f t="shared" si="466"/>
        <v>0</v>
      </c>
      <c r="BE142" s="1698">
        <f t="shared" si="466"/>
        <v>0</v>
      </c>
      <c r="BF142" s="1698">
        <f t="shared" si="466"/>
        <v>0</v>
      </c>
      <c r="BG142" s="1698">
        <f t="shared" si="466"/>
        <v>0</v>
      </c>
      <c r="BH142" s="675"/>
      <c r="BI142" s="1698">
        <f t="shared" si="467"/>
        <v>0</v>
      </c>
      <c r="BJ142" s="1698">
        <f t="shared" si="467"/>
        <v>0</v>
      </c>
      <c r="BK142" s="1698">
        <f t="shared" si="467"/>
        <v>0</v>
      </c>
      <c r="BL142" s="1698">
        <f t="shared" si="467"/>
        <v>0</v>
      </c>
      <c r="BM142" s="1698">
        <f t="shared" si="467"/>
        <v>0</v>
      </c>
      <c r="BN142" s="1698">
        <f t="shared" si="467"/>
        <v>0</v>
      </c>
      <c r="BO142" s="1698">
        <f t="shared" si="467"/>
        <v>0</v>
      </c>
      <c r="BP142" s="1698">
        <f t="shared" si="467"/>
        <v>0</v>
      </c>
      <c r="BQ142" s="1698">
        <f t="shared" si="467"/>
        <v>0</v>
      </c>
      <c r="BR142" s="675"/>
      <c r="BS142" s="1698">
        <f t="shared" si="468"/>
        <v>0</v>
      </c>
      <c r="BT142" s="1698">
        <f t="shared" si="468"/>
        <v>0</v>
      </c>
      <c r="BU142" s="1698">
        <f t="shared" si="468"/>
        <v>0</v>
      </c>
      <c r="BV142" s="1698">
        <f t="shared" si="468"/>
        <v>0</v>
      </c>
      <c r="BW142" s="1698">
        <f t="shared" si="468"/>
        <v>0</v>
      </c>
      <c r="BX142" s="1698">
        <f t="shared" si="468"/>
        <v>0</v>
      </c>
      <c r="BY142" s="1698">
        <f t="shared" si="468"/>
        <v>0</v>
      </c>
      <c r="BZ142" s="1698">
        <f t="shared" si="468"/>
        <v>0</v>
      </c>
      <c r="CA142" s="1698">
        <f t="shared" si="468"/>
        <v>0</v>
      </c>
      <c r="CB142" s="2215"/>
      <c r="CC142" s="1708">
        <f t="shared" si="469"/>
        <v>0</v>
      </c>
      <c r="CD142" s="1708">
        <f t="shared" si="469"/>
        <v>0</v>
      </c>
      <c r="CE142" s="2215"/>
      <c r="CF142" s="1698">
        <f t="shared" si="470"/>
        <v>0</v>
      </c>
      <c r="CG142" s="1698">
        <f t="shared" si="470"/>
        <v>0</v>
      </c>
      <c r="CH142" s="1698">
        <f t="shared" si="470"/>
        <v>0</v>
      </c>
      <c r="CI142" s="1698">
        <f t="shared" si="470"/>
        <v>0</v>
      </c>
      <c r="CJ142" s="1698">
        <f t="shared" si="470"/>
        <v>0</v>
      </c>
      <c r="CK142" s="1698">
        <f t="shared" si="470"/>
        <v>0</v>
      </c>
      <c r="CL142" s="1698">
        <f t="shared" si="470"/>
        <v>0</v>
      </c>
      <c r="CM142" s="1698">
        <f t="shared" si="470"/>
        <v>0</v>
      </c>
      <c r="CN142" s="1698">
        <f t="shared" si="470"/>
        <v>0</v>
      </c>
      <c r="CO142" s="2215"/>
      <c r="CP142" s="1708">
        <f t="shared" si="471"/>
        <v>0</v>
      </c>
      <c r="CQ142" s="1708">
        <f t="shared" si="471"/>
        <v>0</v>
      </c>
      <c r="CR142" s="1426" t="str">
        <f t="shared" si="472"/>
        <v>ok</v>
      </c>
    </row>
    <row r="143" spans="1:96" s="2215" customFormat="1" x14ac:dyDescent="0.2">
      <c r="C143" s="1685" t="s">
        <v>105</v>
      </c>
      <c r="E143" s="2216">
        <f ca="1">SUM(E136:E142)</f>
        <v>713434435823.23169</v>
      </c>
      <c r="F143" s="1691">
        <f t="shared" ref="F143:M143" ca="1" si="473">SUM(F136:F142)</f>
        <v>46812572727538.32</v>
      </c>
      <c r="G143" s="1691">
        <f t="shared" ca="1" si="473"/>
        <v>32620410455659.324</v>
      </c>
      <c r="H143" s="1691">
        <f t="shared" ca="1" si="473"/>
        <v>39768869843661.781</v>
      </c>
      <c r="I143" s="1691">
        <f t="shared" ca="1" si="473"/>
        <v>47982102133962.687</v>
      </c>
      <c r="J143" s="1691">
        <f t="shared" ca="1" si="473"/>
        <v>59106943241910.594</v>
      </c>
      <c r="K143" s="1691">
        <f t="shared" ca="1" si="473"/>
        <v>66492542194408.125</v>
      </c>
      <c r="L143" s="1691">
        <f t="shared" ca="1" si="473"/>
        <v>82606717404120.234</v>
      </c>
      <c r="M143" s="1691">
        <f t="shared" ca="1" si="473"/>
        <v>95808705415114.047</v>
      </c>
      <c r="N143" s="675"/>
      <c r="O143" s="1691">
        <f t="shared" ref="O143:W143" ca="1" si="474">SUM(O136:O142)</f>
        <v>68092563688950.312</v>
      </c>
      <c r="P143" s="1691">
        <f t="shared" ca="1" si="474"/>
        <v>713479066885787.25</v>
      </c>
      <c r="Q143" s="1691">
        <f t="shared" ca="1" si="474"/>
        <v>856422959339030.75</v>
      </c>
      <c r="R143" s="1691">
        <f t="shared" ca="1" si="474"/>
        <v>1025521429887630.7</v>
      </c>
      <c r="S143" s="1691">
        <f t="shared" ca="1" si="474"/>
        <v>1224397075430250.7</v>
      </c>
      <c r="T143" s="1691">
        <f t="shared" ca="1" si="474"/>
        <v>1457513220145220.5</v>
      </c>
      <c r="U143" s="1691">
        <f t="shared" ca="1" si="474"/>
        <v>1688163482543549.5</v>
      </c>
      <c r="V143" s="1691">
        <f t="shared" ca="1" si="474"/>
        <v>1949822117740185.2</v>
      </c>
      <c r="W143" s="1691">
        <f t="shared" ca="1" si="474"/>
        <v>2245233232690386</v>
      </c>
      <c r="X143" s="675"/>
      <c r="Y143" s="1691">
        <f t="shared" ref="Y143:AG143" ca="1" si="475">SUM(Y136:Y142)</f>
        <v>5641165614691.4248</v>
      </c>
      <c r="Z143" s="1691">
        <f t="shared" ca="1" si="475"/>
        <v>6700920973148.084</v>
      </c>
      <c r="AA143" s="1691">
        <f t="shared" ca="1" si="475"/>
        <v>7402209015456.334</v>
      </c>
      <c r="AB143" s="1691">
        <f t="shared" ca="1" si="475"/>
        <v>8386519918492.0977</v>
      </c>
      <c r="AC143" s="1691">
        <f t="shared" ca="1" si="475"/>
        <v>10056668014959.023</v>
      </c>
      <c r="AD143" s="1691">
        <f t="shared" ca="1" si="475"/>
        <v>11607582902762.9</v>
      </c>
      <c r="AE143" s="1691">
        <f t="shared" ca="1" si="475"/>
        <v>13017049357949.307</v>
      </c>
      <c r="AF143" s="1691">
        <f t="shared" ca="1" si="475"/>
        <v>14586558082642.418</v>
      </c>
      <c r="AG143" s="1691">
        <f t="shared" ca="1" si="475"/>
        <v>13471595071858.711</v>
      </c>
      <c r="AH143" s="675"/>
      <c r="AI143" s="1691">
        <f t="shared" ref="AI143:AQ143" ca="1" si="476">SUM(AI136:AI142)</f>
        <v>74447163739464.969</v>
      </c>
      <c r="AJ143" s="1691">
        <f t="shared" ca="1" si="476"/>
        <v>766992560586473.37</v>
      </c>
      <c r="AK143" s="1691">
        <f t="shared" ca="1" si="476"/>
        <v>896445578810146.37</v>
      </c>
      <c r="AL143" s="1691">
        <f t="shared" ca="1" si="476"/>
        <v>1073676819649784.6</v>
      </c>
      <c r="AM143" s="1691">
        <f t="shared" ca="1" si="476"/>
        <v>1282435845579172.2</v>
      </c>
      <c r="AN143" s="1691">
        <f t="shared" ca="1" si="476"/>
        <v>1528227746289893.5</v>
      </c>
      <c r="AO143" s="1691">
        <f t="shared" ca="1" si="476"/>
        <v>1767673074095906.8</v>
      </c>
      <c r="AP143" s="1691">
        <f t="shared" ca="1" si="476"/>
        <v>2047015393226948</v>
      </c>
      <c r="AQ143" s="1691">
        <f t="shared" ca="1" si="476"/>
        <v>2354513533177358.5</v>
      </c>
      <c r="AS143" s="1707">
        <f ca="1">SUM(AS136:AS142)</f>
        <v>1310158635017239</v>
      </c>
      <c r="AT143" s="1707">
        <f ca="1">SUM(AT136:AT142)</f>
        <v>8641775318821914</v>
      </c>
      <c r="AU143" s="675"/>
      <c r="AV143" s="1700"/>
      <c r="AW143" s="1692"/>
      <c r="AX143" s="675"/>
      <c r="AY143" s="1691">
        <f t="shared" ref="AY143:BG143" ca="1" si="477">SUM(AY136:AY142)</f>
        <v>115202561902.2157</v>
      </c>
      <c r="AZ143" s="1691">
        <f t="shared" ca="1" si="477"/>
        <v>40374804831292.742</v>
      </c>
      <c r="BA143" s="1691">
        <f t="shared" ca="1" si="477"/>
        <v>22252417745960.176</v>
      </c>
      <c r="BB143" s="1691">
        <f t="shared" ca="1" si="477"/>
        <v>26061335342770.84</v>
      </c>
      <c r="BC143" s="1691">
        <f t="shared" ca="1" si="477"/>
        <v>30314558830155.691</v>
      </c>
      <c r="BD143" s="1691">
        <f t="shared" ca="1" si="477"/>
        <v>36239389474241.852</v>
      </c>
      <c r="BE143" s="1691">
        <f t="shared" ca="1" si="477"/>
        <v>38610552175557.898</v>
      </c>
      <c r="BF143" s="1691">
        <f t="shared" ca="1" si="477"/>
        <v>46309620897474.039</v>
      </c>
      <c r="BG143" s="1691">
        <f t="shared" ca="1" si="477"/>
        <v>53177156005656.516</v>
      </c>
      <c r="BH143" s="675"/>
      <c r="BI143" s="1691">
        <f t="shared" ref="BI143:BQ143" ca="1" si="478">SUM(BI136:BI142)</f>
        <v>115202561902.2157</v>
      </c>
      <c r="BJ143" s="1691">
        <f t="shared" ca="1" si="478"/>
        <v>40489961439194.961</v>
      </c>
      <c r="BK143" s="1691">
        <f t="shared" ca="1" si="478"/>
        <v>25642734559997.059</v>
      </c>
      <c r="BL143" s="1691">
        <f t="shared" ca="1" si="478"/>
        <v>33884182880453.695</v>
      </c>
      <c r="BM143" s="1691">
        <f t="shared" ca="1" si="478"/>
        <v>41478432688043.359</v>
      </c>
      <c r="BN143" s="1691">
        <f t="shared" ca="1" si="478"/>
        <v>51196538101672.352</v>
      </c>
      <c r="BO143" s="1691">
        <f t="shared" ca="1" si="478"/>
        <v>58487024276468.352</v>
      </c>
      <c r="BP143" s="1691">
        <f t="shared" ca="1" si="478"/>
        <v>71758700962619.437</v>
      </c>
      <c r="BQ143" s="1691">
        <f t="shared" ca="1" si="478"/>
        <v>84100120548120.031</v>
      </c>
      <c r="BR143" s="675"/>
      <c r="BS143" s="1702">
        <f t="shared" ref="BS143:CA143" ca="1" si="479">SUM(BS136:BS142)</f>
        <v>73848931865543.953</v>
      </c>
      <c r="BT143" s="1702">
        <f t="shared" ca="1" si="479"/>
        <v>760669949298130.12</v>
      </c>
      <c r="BU143" s="1702">
        <f t="shared" ca="1" si="479"/>
        <v>889467902914484.37</v>
      </c>
      <c r="BV143" s="1702">
        <f t="shared" ca="1" si="479"/>
        <v>1067792132686576.5</v>
      </c>
      <c r="BW143" s="1702">
        <f t="shared" ca="1" si="479"/>
        <v>1275932176133253</v>
      </c>
      <c r="BX143" s="1702">
        <f t="shared" ca="1" si="479"/>
        <v>1520317341149655.5</v>
      </c>
      <c r="BY143" s="1702">
        <f t="shared" ca="1" si="479"/>
        <v>1759667556177967</v>
      </c>
      <c r="BZ143" s="1702">
        <f t="shared" ca="1" si="479"/>
        <v>2036167376785447.2</v>
      </c>
      <c r="CA143" s="1702">
        <f t="shared" ca="1" si="479"/>
        <v>2342804948310364</v>
      </c>
      <c r="CC143" s="1707">
        <f ca="1">SUM(CC136:CC142)</f>
        <v>1302963146146825</v>
      </c>
      <c r="CD143" s="1707">
        <f ca="1">SUM(CD136:CD142)</f>
        <v>8585097293416186</v>
      </c>
      <c r="CF143" s="1704">
        <f t="shared" ref="CF143:CN143" ca="1" si="480">SUM(CF136:CF142)</f>
        <v>-598231873921.01587</v>
      </c>
      <c r="CG143" s="1704">
        <f t="shared" ca="1" si="480"/>
        <v>-6322611288343.3506</v>
      </c>
      <c r="CH143" s="1704">
        <f t="shared" ca="1" si="480"/>
        <v>-6977675895662.2627</v>
      </c>
      <c r="CI143" s="1704">
        <f t="shared" ca="1" si="480"/>
        <v>-5884686963208.0977</v>
      </c>
      <c r="CJ143" s="1704">
        <f t="shared" ca="1" si="480"/>
        <v>-6503669445919.3311</v>
      </c>
      <c r="CK143" s="1704">
        <f t="shared" ca="1" si="480"/>
        <v>-7910405140238.2539</v>
      </c>
      <c r="CL143" s="1704">
        <f t="shared" ca="1" si="480"/>
        <v>-8005517917939.7676</v>
      </c>
      <c r="CM143" s="1704">
        <f t="shared" ca="1" si="480"/>
        <v>-10848016441500.801</v>
      </c>
      <c r="CN143" s="1704">
        <f t="shared" ca="1" si="480"/>
        <v>-11708584866994.018</v>
      </c>
      <c r="CP143" s="1707">
        <f ca="1">SUM(CP136:CP142)</f>
        <v>-7195488870414.0986</v>
      </c>
      <c r="CQ143" s="1707">
        <f ca="1">SUM(CQ136:CQ142)</f>
        <v>-56678025405727.445</v>
      </c>
      <c r="CR143" s="1426" t="str">
        <f t="shared" ca="1" si="472"/>
        <v>err</v>
      </c>
    </row>
    <row r="144" spans="1:96" s="2215" customFormat="1" x14ac:dyDescent="0.2">
      <c r="A144" s="1426"/>
      <c r="B144" s="1426"/>
      <c r="C144" s="1426"/>
      <c r="D144" s="1426"/>
      <c r="E144" s="2217" t="str">
        <f t="shared" ref="E144:M144" ca="1" si="481">IF(ROUND(E143-E43,0)=0,"ok",E143-E43)</f>
        <v>ok</v>
      </c>
      <c r="F144" s="2217" t="str">
        <f t="shared" ca="1" si="481"/>
        <v>ok</v>
      </c>
      <c r="G144" s="2217" t="str">
        <f t="shared" ca="1" si="481"/>
        <v>ok</v>
      </c>
      <c r="H144" s="2217" t="str">
        <f t="shared" ca="1" si="481"/>
        <v>ok</v>
      </c>
      <c r="I144" s="2217" t="str">
        <f t="shared" ca="1" si="481"/>
        <v>ok</v>
      </c>
      <c r="J144" s="2217" t="str">
        <f t="shared" ca="1" si="481"/>
        <v>ok</v>
      </c>
      <c r="K144" s="2217" t="str">
        <f t="shared" ca="1" si="481"/>
        <v>ok</v>
      </c>
      <c r="L144" s="2217" t="str">
        <f t="shared" ca="1" si="481"/>
        <v>ok</v>
      </c>
      <c r="M144" s="2217" t="str">
        <f t="shared" ca="1" si="481"/>
        <v>ok</v>
      </c>
      <c r="N144" s="1426"/>
      <c r="O144" s="2217" t="str">
        <f t="shared" ref="O144:W144" ca="1" si="482">IF(ROUND(O143-O43,0)=0,"ok",O143-O43)</f>
        <v>ok</v>
      </c>
      <c r="P144" s="2217" t="str">
        <f t="shared" ca="1" si="482"/>
        <v>ok</v>
      </c>
      <c r="Q144" s="2217" t="str">
        <f t="shared" ca="1" si="482"/>
        <v>ok</v>
      </c>
      <c r="R144" s="2217" t="str">
        <f t="shared" ca="1" si="482"/>
        <v>ok</v>
      </c>
      <c r="S144" s="2217" t="str">
        <f t="shared" ca="1" si="482"/>
        <v>ok</v>
      </c>
      <c r="T144" s="2217" t="str">
        <f t="shared" ca="1" si="482"/>
        <v>ok</v>
      </c>
      <c r="U144" s="2217" t="str">
        <f t="shared" ca="1" si="482"/>
        <v>ok</v>
      </c>
      <c r="V144" s="2217" t="str">
        <f t="shared" ca="1" si="482"/>
        <v>ok</v>
      </c>
      <c r="W144" s="2217" t="str">
        <f t="shared" ca="1" si="482"/>
        <v>ok</v>
      </c>
      <c r="X144" s="1426"/>
      <c r="Y144" s="2217" t="str">
        <f t="shared" ref="Y144:AG144" ca="1" si="483">IF(ROUND(Y143-Y43,0)=0,"ok",Y143-Y43)</f>
        <v>ok</v>
      </c>
      <c r="Z144" s="2217" t="str">
        <f t="shared" ca="1" si="483"/>
        <v>ok</v>
      </c>
      <c r="AA144" s="2217" t="str">
        <f t="shared" ca="1" si="483"/>
        <v>ok</v>
      </c>
      <c r="AB144" s="2217" t="str">
        <f t="shared" ca="1" si="483"/>
        <v>ok</v>
      </c>
      <c r="AC144" s="2217" t="str">
        <f t="shared" ca="1" si="483"/>
        <v>ok</v>
      </c>
      <c r="AD144" s="2217" t="str">
        <f t="shared" ca="1" si="483"/>
        <v>ok</v>
      </c>
      <c r="AE144" s="2217" t="str">
        <f t="shared" ca="1" si="483"/>
        <v>ok</v>
      </c>
      <c r="AF144" s="2217" t="str">
        <f t="shared" ca="1" si="483"/>
        <v>ok</v>
      </c>
      <c r="AG144" s="2217" t="str">
        <f t="shared" ca="1" si="483"/>
        <v>ok</v>
      </c>
      <c r="AH144" s="1426"/>
      <c r="AI144" s="2217" t="str">
        <f t="shared" ref="AI144:AQ144" ca="1" si="484">IF(ROUND(AI143-AI43,0)=0,"ok",AI143-AI43)</f>
        <v>ok</v>
      </c>
      <c r="AJ144" s="2217" t="str">
        <f t="shared" ca="1" si="484"/>
        <v>ok</v>
      </c>
      <c r="AK144" s="2217" t="str">
        <f t="shared" ca="1" si="484"/>
        <v>ok</v>
      </c>
      <c r="AL144" s="2217" t="str">
        <f t="shared" ca="1" si="484"/>
        <v>ok</v>
      </c>
      <c r="AM144" s="2217" t="str">
        <f t="shared" ca="1" si="484"/>
        <v>ok</v>
      </c>
      <c r="AN144" s="2217" t="str">
        <f t="shared" ca="1" si="484"/>
        <v>ok</v>
      </c>
      <c r="AO144" s="2217" t="str">
        <f t="shared" ca="1" si="484"/>
        <v>ok</v>
      </c>
      <c r="AP144" s="2217" t="str">
        <f t="shared" ca="1" si="484"/>
        <v>ok</v>
      </c>
      <c r="AQ144" s="2217" t="str">
        <f t="shared" ca="1" si="484"/>
        <v>ok</v>
      </c>
      <c r="AR144" s="1426"/>
      <c r="AS144" s="2217" t="str">
        <f ca="1">IF(ROUND(AS143-AS43,0)=0,"ok",AS143-AS43)</f>
        <v>ok</v>
      </c>
      <c r="AT144" s="2217" t="str">
        <f ca="1">IF(ROUND(AT143-AT43,0)=0,"ok",AT143-AT43)</f>
        <v>ok</v>
      </c>
      <c r="AU144" s="1426"/>
      <c r="AV144" s="1426"/>
      <c r="AW144" s="1426"/>
      <c r="AX144" s="1426"/>
      <c r="AY144" s="2217" t="str">
        <f t="shared" ref="AY144:BG144" ca="1" si="485">IF(ROUND(AY143-AY43,0)=0,"ok",AY143-AY43)</f>
        <v>ok</v>
      </c>
      <c r="AZ144" s="2217" t="str">
        <f t="shared" ca="1" si="485"/>
        <v>ok</v>
      </c>
      <c r="BA144" s="2217" t="str">
        <f t="shared" ca="1" si="485"/>
        <v>ok</v>
      </c>
      <c r="BB144" s="2217" t="str">
        <f t="shared" ca="1" si="485"/>
        <v>ok</v>
      </c>
      <c r="BC144" s="2217" t="str">
        <f t="shared" ca="1" si="485"/>
        <v>ok</v>
      </c>
      <c r="BD144" s="2217" t="str">
        <f t="shared" ca="1" si="485"/>
        <v>ok</v>
      </c>
      <c r="BE144" s="2217" t="str">
        <f t="shared" ca="1" si="485"/>
        <v>ok</v>
      </c>
      <c r="BF144" s="2217" t="str">
        <f t="shared" ca="1" si="485"/>
        <v>ok</v>
      </c>
      <c r="BG144" s="2217" t="str">
        <f t="shared" ca="1" si="485"/>
        <v>ok</v>
      </c>
      <c r="BH144" s="1426"/>
      <c r="BI144" s="2217" t="str">
        <f t="shared" ref="BI144:BQ144" ca="1" si="486">IF(ROUND(BI143-BI43,0)=0,"ok",BI143-BI43)</f>
        <v>ok</v>
      </c>
      <c r="BJ144" s="2217" t="str">
        <f t="shared" ca="1" si="486"/>
        <v>ok</v>
      </c>
      <c r="BK144" s="2217" t="str">
        <f t="shared" ca="1" si="486"/>
        <v>ok</v>
      </c>
      <c r="BL144" s="2217" t="str">
        <f t="shared" ca="1" si="486"/>
        <v>ok</v>
      </c>
      <c r="BM144" s="2217" t="str">
        <f t="shared" ca="1" si="486"/>
        <v>ok</v>
      </c>
      <c r="BN144" s="2217" t="str">
        <f t="shared" ca="1" si="486"/>
        <v>ok</v>
      </c>
      <c r="BO144" s="2217" t="str">
        <f t="shared" ca="1" si="486"/>
        <v>ok</v>
      </c>
      <c r="BP144" s="2217" t="str">
        <f t="shared" ca="1" si="486"/>
        <v>ok</v>
      </c>
      <c r="BQ144" s="2217" t="str">
        <f t="shared" ca="1" si="486"/>
        <v>ok</v>
      </c>
      <c r="BR144" s="1426"/>
      <c r="BS144" s="2217" t="str">
        <f t="shared" ref="BS144:CA144" ca="1" si="487">IF(ROUND(BS143-BS43,0)=0,"ok",BS143-BS43)</f>
        <v>ok</v>
      </c>
      <c r="BT144" s="2217" t="str">
        <f t="shared" ca="1" si="487"/>
        <v>ok</v>
      </c>
      <c r="BU144" s="2217" t="str">
        <f t="shared" ca="1" si="487"/>
        <v>ok</v>
      </c>
      <c r="BV144" s="2217" t="str">
        <f t="shared" ca="1" si="487"/>
        <v>ok</v>
      </c>
      <c r="BW144" s="2217" t="str">
        <f t="shared" ca="1" si="487"/>
        <v>ok</v>
      </c>
      <c r="BX144" s="2217" t="str">
        <f t="shared" ca="1" si="487"/>
        <v>ok</v>
      </c>
      <c r="BY144" s="2217" t="str">
        <f t="shared" ca="1" si="487"/>
        <v>ok</v>
      </c>
      <c r="BZ144" s="2217" t="str">
        <f t="shared" ca="1" si="487"/>
        <v>ok</v>
      </c>
      <c r="CA144" s="2217">
        <f t="shared" ca="1" si="487"/>
        <v>-0.5</v>
      </c>
      <c r="CB144" s="1426"/>
      <c r="CC144" s="2217" t="str">
        <f ca="1">IF(ROUND(CC143-CC43,0)=0,"ok",CC143-CC43)</f>
        <v>ok</v>
      </c>
      <c r="CD144" s="2217">
        <f ca="1">IF(ROUND(CD143-CD43,0)=0,"ok",CD143-CD43)</f>
        <v>-2</v>
      </c>
      <c r="CE144" s="1426"/>
      <c r="CF144" s="2217" t="str">
        <f t="shared" ref="CF144:CN144" ca="1" si="488">IF(ROUND(CF143-CF43,0)=0,"ok",CF143-CF43)</f>
        <v>ok</v>
      </c>
      <c r="CG144" s="2217" t="str">
        <f t="shared" ca="1" si="488"/>
        <v>ok</v>
      </c>
      <c r="CH144" s="2217" t="str">
        <f t="shared" ca="1" si="488"/>
        <v>ok</v>
      </c>
      <c r="CI144" s="2217" t="str">
        <f t="shared" ca="1" si="488"/>
        <v>ok</v>
      </c>
      <c r="CJ144" s="2217" t="str">
        <f t="shared" ca="1" si="488"/>
        <v>ok</v>
      </c>
      <c r="CK144" s="2217" t="str">
        <f t="shared" ca="1" si="488"/>
        <v>ok</v>
      </c>
      <c r="CL144" s="2217" t="str">
        <f t="shared" ca="1" si="488"/>
        <v>ok</v>
      </c>
      <c r="CM144" s="2217" t="str">
        <f t="shared" ca="1" si="488"/>
        <v>ok</v>
      </c>
      <c r="CN144" s="2217" t="str">
        <f t="shared" ca="1" si="488"/>
        <v>ok</v>
      </c>
      <c r="CO144" s="1426"/>
      <c r="CP144" s="2217" t="str">
        <f ca="1">IF(ROUND(CP143-CP43,0)=0,"ok",CP143-CP43)</f>
        <v>ok</v>
      </c>
      <c r="CQ144" s="2217" t="str">
        <f ca="1">IF(ROUND(CQ143-CQ43,0)=0,"ok",CQ143-CQ43)</f>
        <v>ok</v>
      </c>
    </row>
    <row r="145" spans="1:96" s="2215" customFormat="1" x14ac:dyDescent="0.2">
      <c r="C145" s="1352"/>
      <c r="D145" s="1352"/>
      <c r="E145" s="1352"/>
      <c r="F145" s="1352"/>
      <c r="G145" s="1352"/>
      <c r="H145" s="1352"/>
      <c r="I145" s="1352"/>
      <c r="J145" s="1352"/>
      <c r="K145" s="1352"/>
      <c r="L145" s="1352"/>
      <c r="M145" s="1352"/>
      <c r="N145" s="1352"/>
      <c r="O145" s="1352"/>
      <c r="P145" s="1352"/>
      <c r="Q145" s="1352"/>
      <c r="R145" s="1352"/>
      <c r="S145" s="1352"/>
      <c r="T145" s="1352"/>
      <c r="U145" s="1352"/>
      <c r="V145" s="1352"/>
      <c r="W145" s="1352"/>
      <c r="X145" s="1352"/>
      <c r="Y145" s="1352"/>
      <c r="Z145" s="1352"/>
      <c r="AA145" s="1352"/>
      <c r="AB145" s="1352"/>
      <c r="AC145" s="1352"/>
      <c r="AD145" s="1352"/>
      <c r="AE145" s="1352"/>
      <c r="AF145" s="1352"/>
      <c r="AG145" s="1352"/>
      <c r="AH145" s="1352"/>
      <c r="AI145" s="1352"/>
      <c r="AJ145" s="1352"/>
      <c r="AK145" s="1352"/>
      <c r="AL145" s="1352"/>
      <c r="AM145" s="1352"/>
      <c r="AN145" s="1352"/>
      <c r="AO145" s="1352"/>
      <c r="AP145" s="1352"/>
      <c r="AQ145" s="1352"/>
      <c r="AR145" s="1673"/>
      <c r="AS145" s="1501"/>
      <c r="AT145" s="1489"/>
      <c r="AU145" s="1489"/>
      <c r="AV145" s="1489"/>
      <c r="AW145" s="1489"/>
      <c r="AX145" s="1489"/>
      <c r="AY145" s="1352"/>
      <c r="AZ145" s="1352"/>
      <c r="BA145" s="1352"/>
      <c r="BB145" s="1352"/>
      <c r="BC145" s="1352"/>
      <c r="BD145" s="1352"/>
      <c r="BE145" s="1352"/>
      <c r="BF145" s="1352"/>
      <c r="BG145" s="1489"/>
      <c r="BH145" s="1489"/>
      <c r="BI145" s="1352"/>
      <c r="BJ145" s="1352"/>
      <c r="BK145" s="1352"/>
      <c r="BL145" s="1352"/>
      <c r="BM145" s="1352"/>
      <c r="BN145" s="1352"/>
      <c r="BO145" s="1352"/>
      <c r="BP145" s="1352"/>
      <c r="BQ145" s="1352"/>
      <c r="BR145" s="1489"/>
      <c r="BS145" s="1352"/>
      <c r="BT145" s="1352"/>
      <c r="BU145" s="1352"/>
      <c r="BV145" s="1352"/>
      <c r="BW145" s="1352"/>
      <c r="BX145" s="1352"/>
      <c r="BY145" s="1352"/>
      <c r="BZ145" s="1352"/>
      <c r="CA145" s="1352"/>
      <c r="CB145" s="1673"/>
      <c r="CC145" s="1673"/>
      <c r="CD145" s="1673"/>
      <c r="CE145" s="1352"/>
      <c r="CF145" s="1352"/>
      <c r="CG145" s="1352"/>
      <c r="CH145" s="1352"/>
      <c r="CI145" s="1352"/>
      <c r="CJ145" s="1352"/>
      <c r="CK145" s="1352"/>
      <c r="CL145" s="1352"/>
      <c r="CM145" s="1352"/>
      <c r="CN145" s="1352"/>
      <c r="CO145" s="1673"/>
      <c r="CP145" s="1673"/>
      <c r="CQ145" s="1673"/>
      <c r="CR145" s="1352"/>
    </row>
    <row r="146" spans="1:96" s="2215" customFormat="1" x14ac:dyDescent="0.2">
      <c r="C146" s="1427" t="str">
        <f>Preferences.moneyunits</f>
        <v>N</v>
      </c>
      <c r="E146" s="17" t="s">
        <v>1866</v>
      </c>
      <c r="F146" s="2215" t="s">
        <v>1867</v>
      </c>
      <c r="O146" s="17" t="s">
        <v>1868</v>
      </c>
      <c r="P146" s="2215" t="s">
        <v>1875</v>
      </c>
      <c r="Y146" s="17" t="s">
        <v>1869</v>
      </c>
      <c r="Z146" s="2215" t="s">
        <v>1870</v>
      </c>
      <c r="AI146" s="17" t="s">
        <v>1954</v>
      </c>
      <c r="AS146" s="2215" t="s">
        <v>1826</v>
      </c>
      <c r="AV146" s="2214" t="s">
        <v>1613</v>
      </c>
      <c r="AY146" s="17" t="s">
        <v>1956</v>
      </c>
      <c r="BI146" s="17" t="s">
        <v>1957</v>
      </c>
      <c r="BR146" s="2357" t="s">
        <v>2064</v>
      </c>
      <c r="BS146" s="17"/>
      <c r="CC146" s="2215" t="s">
        <v>1825</v>
      </c>
      <c r="CF146" s="2215" t="s">
        <v>1733</v>
      </c>
      <c r="CP146" s="2215" t="s">
        <v>1733</v>
      </c>
    </row>
    <row r="147" spans="1:96" s="2215" customFormat="1" ht="13.5" thickBot="1" x14ac:dyDescent="0.25">
      <c r="C147" s="1682" t="s">
        <v>67</v>
      </c>
      <c r="E147" s="1696" t="s">
        <v>241</v>
      </c>
      <c r="F147" s="1696" t="s">
        <v>268</v>
      </c>
      <c r="G147" s="1696" t="s">
        <v>269</v>
      </c>
      <c r="H147" s="1696" t="s">
        <v>270</v>
      </c>
      <c r="I147" s="1696" t="s">
        <v>271</v>
      </c>
      <c r="J147" s="1696" t="s">
        <v>272</v>
      </c>
      <c r="K147" s="1696" t="s">
        <v>273</v>
      </c>
      <c r="L147" s="1696" t="s">
        <v>274</v>
      </c>
      <c r="M147" s="1696" t="s">
        <v>275</v>
      </c>
      <c r="N147" s="1427"/>
      <c r="O147" s="1696" t="s">
        <v>241</v>
      </c>
      <c r="P147" s="1696" t="s">
        <v>268</v>
      </c>
      <c r="Q147" s="1696" t="s">
        <v>269</v>
      </c>
      <c r="R147" s="1696" t="s">
        <v>270</v>
      </c>
      <c r="S147" s="1696" t="s">
        <v>271</v>
      </c>
      <c r="T147" s="1696" t="s">
        <v>272</v>
      </c>
      <c r="U147" s="1696" t="s">
        <v>273</v>
      </c>
      <c r="V147" s="1696" t="s">
        <v>274</v>
      </c>
      <c r="W147" s="1696" t="s">
        <v>275</v>
      </c>
      <c r="X147" s="1427"/>
      <c r="Y147" s="1696" t="s">
        <v>241</v>
      </c>
      <c r="Z147" s="1696" t="s">
        <v>268</v>
      </c>
      <c r="AA147" s="1696" t="s">
        <v>269</v>
      </c>
      <c r="AB147" s="1696" t="s">
        <v>270</v>
      </c>
      <c r="AC147" s="1696" t="s">
        <v>271</v>
      </c>
      <c r="AD147" s="1696" t="s">
        <v>272</v>
      </c>
      <c r="AE147" s="1696" t="s">
        <v>273</v>
      </c>
      <c r="AF147" s="1696" t="s">
        <v>274</v>
      </c>
      <c r="AG147" s="1696" t="s">
        <v>275</v>
      </c>
      <c r="AH147" s="1427"/>
      <c r="AI147" s="1696" t="s">
        <v>241</v>
      </c>
      <c r="AJ147" s="1696" t="s">
        <v>268</v>
      </c>
      <c r="AK147" s="1696" t="s">
        <v>269</v>
      </c>
      <c r="AL147" s="1696" t="s">
        <v>270</v>
      </c>
      <c r="AM147" s="1696" t="s">
        <v>271</v>
      </c>
      <c r="AN147" s="1696" t="s">
        <v>272</v>
      </c>
      <c r="AO147" s="1696" t="s">
        <v>273</v>
      </c>
      <c r="AP147" s="1696" t="s">
        <v>274</v>
      </c>
      <c r="AQ147" s="1696" t="s">
        <v>275</v>
      </c>
      <c r="AS147" s="1705" t="s">
        <v>1734</v>
      </c>
      <c r="AT147" s="1705" t="s">
        <v>1389</v>
      </c>
      <c r="AU147" s="1427"/>
      <c r="AV147" s="1696" t="s">
        <v>1614</v>
      </c>
      <c r="AW147" s="1688" t="s">
        <v>1472</v>
      </c>
      <c r="AX147" s="1427"/>
      <c r="AY147" s="1696">
        <v>2010</v>
      </c>
      <c r="AZ147" s="1696">
        <v>2015</v>
      </c>
      <c r="BA147" s="1696">
        <v>2020</v>
      </c>
      <c r="BB147" s="1696">
        <v>2025</v>
      </c>
      <c r="BC147" s="1696">
        <v>2030</v>
      </c>
      <c r="BD147" s="1696">
        <v>2035</v>
      </c>
      <c r="BE147" s="1696">
        <v>2040</v>
      </c>
      <c r="BF147" s="1696">
        <v>2045</v>
      </c>
      <c r="BG147" s="1696">
        <v>2050</v>
      </c>
      <c r="BH147" s="1427"/>
      <c r="BI147" s="1696">
        <v>2010</v>
      </c>
      <c r="BJ147" s="1696">
        <v>2015</v>
      </c>
      <c r="BK147" s="1696">
        <v>2020</v>
      </c>
      <c r="BL147" s="1696">
        <v>2025</v>
      </c>
      <c r="BM147" s="1696">
        <v>2030</v>
      </c>
      <c r="BN147" s="1696">
        <v>2035</v>
      </c>
      <c r="BO147" s="1696">
        <v>2040</v>
      </c>
      <c r="BP147" s="1696">
        <v>2045</v>
      </c>
      <c r="BQ147" s="1696">
        <v>2050</v>
      </c>
      <c r="BR147" s="1427"/>
      <c r="BS147" s="1696" t="s">
        <v>241</v>
      </c>
      <c r="BT147" s="1696" t="s">
        <v>268</v>
      </c>
      <c r="BU147" s="1696" t="s">
        <v>269</v>
      </c>
      <c r="BV147" s="1696" t="s">
        <v>270</v>
      </c>
      <c r="BW147" s="1696" t="s">
        <v>271</v>
      </c>
      <c r="BX147" s="1696" t="s">
        <v>272</v>
      </c>
      <c r="BY147" s="1696" t="s">
        <v>273</v>
      </c>
      <c r="BZ147" s="1696" t="s">
        <v>274</v>
      </c>
      <c r="CA147" s="1696" t="s">
        <v>275</v>
      </c>
      <c r="CB147" s="1426"/>
      <c r="CC147" s="1705" t="s">
        <v>1734</v>
      </c>
      <c r="CD147" s="1705" t="s">
        <v>1389</v>
      </c>
      <c r="CF147" s="1696" t="s">
        <v>241</v>
      </c>
      <c r="CG147" s="1696" t="s">
        <v>268</v>
      </c>
      <c r="CH147" s="1696" t="s">
        <v>269</v>
      </c>
      <c r="CI147" s="1696" t="s">
        <v>270</v>
      </c>
      <c r="CJ147" s="1696" t="s">
        <v>271</v>
      </c>
      <c r="CK147" s="1696" t="s">
        <v>272</v>
      </c>
      <c r="CL147" s="1696" t="s">
        <v>273</v>
      </c>
      <c r="CM147" s="1696" t="s">
        <v>274</v>
      </c>
      <c r="CN147" s="1696" t="s">
        <v>275</v>
      </c>
      <c r="CP147" s="1705" t="s">
        <v>1734</v>
      </c>
      <c r="CQ147" s="1705" t="s">
        <v>1389</v>
      </c>
    </row>
    <row r="148" spans="1:96" s="2215" customFormat="1" ht="13.5" thickTop="1" x14ac:dyDescent="0.2">
      <c r="C148" s="1683" t="s">
        <v>1732</v>
      </c>
      <c r="E148" s="1689">
        <f t="shared" ref="E148:M154" ca="1" si="489">SUMIF($C$47:$C$86,$C148,E$47:E$86)</f>
        <v>0</v>
      </c>
      <c r="F148" s="1689">
        <f t="shared" ca="1" si="489"/>
        <v>7105059144.6593437</v>
      </c>
      <c r="G148" s="1689">
        <f t="shared" ca="1" si="489"/>
        <v>66709149836.660164</v>
      </c>
      <c r="H148" s="1689">
        <f t="shared" ca="1" si="489"/>
        <v>18082386194.317562</v>
      </c>
      <c r="I148" s="1689">
        <f t="shared" ca="1" si="489"/>
        <v>45450294841.615807</v>
      </c>
      <c r="J148" s="1689">
        <f t="shared" ca="1" si="489"/>
        <v>104486826997.00952</v>
      </c>
      <c r="K148" s="1689">
        <f t="shared" ca="1" si="489"/>
        <v>123696743305.54573</v>
      </c>
      <c r="L148" s="1689">
        <f t="shared" ca="1" si="489"/>
        <v>137887785205.18677</v>
      </c>
      <c r="M148" s="1689">
        <f t="shared" ca="1" si="489"/>
        <v>160500054968.90555</v>
      </c>
      <c r="N148" s="675"/>
      <c r="O148" s="1689">
        <f t="shared" ref="O148:W154" ca="1" si="490">SUMIF($C$47:$C$86,$C148,O$47:O$86)</f>
        <v>37863951.554610923</v>
      </c>
      <c r="P148" s="1689">
        <f t="shared" ca="1" si="490"/>
        <v>33034189.073301554</v>
      </c>
      <c r="Q148" s="1689">
        <f t="shared" ca="1" si="490"/>
        <v>82011756.233815402</v>
      </c>
      <c r="R148" s="1689">
        <f t="shared" ca="1" si="490"/>
        <v>48566562.187646829</v>
      </c>
      <c r="S148" s="1689">
        <f t="shared" ca="1" si="490"/>
        <v>72447264.21303536</v>
      </c>
      <c r="T148" s="1689">
        <f t="shared" ca="1" si="490"/>
        <v>129116714.09947544</v>
      </c>
      <c r="U148" s="1689">
        <f t="shared" ca="1" si="490"/>
        <v>184026124.9977307</v>
      </c>
      <c r="V148" s="1689">
        <f t="shared" ca="1" si="490"/>
        <v>233663867.83842018</v>
      </c>
      <c r="W148" s="1689">
        <f t="shared" ca="1" si="490"/>
        <v>283126034.21085477</v>
      </c>
      <c r="X148" s="675"/>
      <c r="Y148" s="1689">
        <f t="shared" ref="Y148:AG154" ca="1" si="491">SUMIF($C$47:$C$86,$C148,Y$47:Y$86)</f>
        <v>2633215988796.9805</v>
      </c>
      <c r="Z148" s="1689">
        <f t="shared" ca="1" si="491"/>
        <v>3009721053372.9302</v>
      </c>
      <c r="AA148" s="1689">
        <f t="shared" ca="1" si="491"/>
        <v>2834297757896.1118</v>
      </c>
      <c r="AB148" s="1689">
        <f t="shared" ca="1" si="491"/>
        <v>2857903487639.6816</v>
      </c>
      <c r="AC148" s="1689">
        <f t="shared" ca="1" si="491"/>
        <v>3926649408773.8721</v>
      </c>
      <c r="AD148" s="1689">
        <f t="shared" ca="1" si="491"/>
        <v>5366045423741.585</v>
      </c>
      <c r="AE148" s="1689">
        <f t="shared" ca="1" si="491"/>
        <v>6743982558550.875</v>
      </c>
      <c r="AF148" s="1689">
        <f t="shared" ca="1" si="491"/>
        <v>8060880342690.4258</v>
      </c>
      <c r="AG148" s="1689">
        <f t="shared" ca="1" si="491"/>
        <v>9655116024893.2168</v>
      </c>
      <c r="AH148" s="675"/>
      <c r="AI148" s="1689">
        <f t="shared" ref="AI148:AQ154" ca="1" si="492">SUMIF($C$47:$C$86,$C148,AI$47:AI$86)</f>
        <v>2633253852748.5352</v>
      </c>
      <c r="AJ148" s="1689">
        <f t="shared" ca="1" si="492"/>
        <v>3016859146706.6626</v>
      </c>
      <c r="AK148" s="1689">
        <f t="shared" ca="1" si="492"/>
        <v>2901088919489.0024</v>
      </c>
      <c r="AL148" s="1689">
        <f t="shared" ca="1" si="492"/>
        <v>2876034440396.1855</v>
      </c>
      <c r="AM148" s="1689">
        <f t="shared" ca="1" si="492"/>
        <v>3972172150879.7002</v>
      </c>
      <c r="AN148" s="1689">
        <f t="shared" ca="1" si="492"/>
        <v>5470661367452.6943</v>
      </c>
      <c r="AO148" s="1689">
        <f t="shared" ca="1" si="492"/>
        <v>6867863327981.418</v>
      </c>
      <c r="AP148" s="1689">
        <f t="shared" ca="1" si="492"/>
        <v>8199001791763.4492</v>
      </c>
      <c r="AQ148" s="1689">
        <f t="shared" ca="1" si="492"/>
        <v>9815899205896.334</v>
      </c>
      <c r="AS148" s="1706">
        <f t="shared" ref="AS148:AT154" ca="1" si="493">SUMIF($C$47:$C$86,$C148,AS$47:AS$86)</f>
        <v>5083648244812.6641</v>
      </c>
      <c r="AT148" s="1706">
        <f t="shared" ca="1" si="493"/>
        <v>32598595027893.391</v>
      </c>
      <c r="AU148" s="675"/>
      <c r="AV148" s="1699"/>
      <c r="AW148" s="1690"/>
      <c r="AX148" s="675"/>
      <c r="AY148" s="1689">
        <f t="shared" ref="AY148:BG154" ca="1" si="494">SUMIF($C$47:$C$86,$C148,AY$47:AY$86)</f>
        <v>0</v>
      </c>
      <c r="AZ148" s="1689">
        <f t="shared" ca="1" si="494"/>
        <v>3900486511.3316364</v>
      </c>
      <c r="BA148" s="1689">
        <f t="shared" ca="1" si="494"/>
        <v>36621530352.196571</v>
      </c>
      <c r="BB148" s="1689">
        <f t="shared" ca="1" si="494"/>
        <v>9926744029.5187931</v>
      </c>
      <c r="BC148" s="1689">
        <f t="shared" ca="1" si="494"/>
        <v>24950990323.426506</v>
      </c>
      <c r="BD148" s="1689">
        <f t="shared" ca="1" si="494"/>
        <v>57360459781.678299</v>
      </c>
      <c r="BE148" s="1689">
        <f t="shared" ca="1" si="494"/>
        <v>67906187539.84568</v>
      </c>
      <c r="BF148" s="1689">
        <f t="shared" ca="1" si="494"/>
        <v>75696688137.28241</v>
      </c>
      <c r="BG148" s="1689">
        <f t="shared" ca="1" si="494"/>
        <v>88110216499.009521</v>
      </c>
      <c r="BH148" s="675"/>
      <c r="BI148" s="1689">
        <f t="shared" ref="BI148:BQ154" ca="1" si="495">SUMIF($C$47:$C$86,$C148,BI$47:BI$86)</f>
        <v>0</v>
      </c>
      <c r="BJ148" s="1689">
        <f t="shared" ca="1" si="495"/>
        <v>3900486511.3316364</v>
      </c>
      <c r="BK148" s="1689">
        <f t="shared" ca="1" si="495"/>
        <v>40522016863.528206</v>
      </c>
      <c r="BL148" s="1689">
        <f t="shared" ca="1" si="495"/>
        <v>50448760893.046997</v>
      </c>
      <c r="BM148" s="1689">
        <f t="shared" ca="1" si="495"/>
        <v>71499264705.141876</v>
      </c>
      <c r="BN148" s="1689">
        <f t="shared" ca="1" si="495"/>
        <v>92238194134.623596</v>
      </c>
      <c r="BO148" s="1689">
        <f t="shared" ca="1" si="495"/>
        <v>150217637644.9505</v>
      </c>
      <c r="BP148" s="1689">
        <f t="shared" ca="1" si="495"/>
        <v>200963335458.8064</v>
      </c>
      <c r="BQ148" s="1689">
        <f t="shared" ca="1" si="495"/>
        <v>231713092176.1376</v>
      </c>
      <c r="BR148" s="675"/>
      <c r="BS148" s="1701">
        <f t="shared" ref="BS148:CA154" ca="1" si="496">SUMIF($C$47:$C$86,$C148,BS$47:BS$86)</f>
        <v>2633253852748.5352</v>
      </c>
      <c r="BT148" s="1701">
        <f t="shared" ca="1" si="496"/>
        <v>3013654574073.3345</v>
      </c>
      <c r="BU148" s="1701">
        <f t="shared" ca="1" si="496"/>
        <v>2874901786515.8696</v>
      </c>
      <c r="BV148" s="1701">
        <f t="shared" ca="1" si="496"/>
        <v>2908400815094.916</v>
      </c>
      <c r="BW148" s="1701">
        <f t="shared" ca="1" si="496"/>
        <v>3998221120743.2275</v>
      </c>
      <c r="BX148" s="1701">
        <f t="shared" ca="1" si="496"/>
        <v>5458412734590.3076</v>
      </c>
      <c r="BY148" s="1701">
        <f t="shared" ca="1" si="496"/>
        <v>6894384222320.8242</v>
      </c>
      <c r="BZ148" s="1701">
        <f t="shared" ca="1" si="496"/>
        <v>8262077342017.0703</v>
      </c>
      <c r="CA148" s="1701">
        <f t="shared" ca="1" si="496"/>
        <v>9887112243103.5645</v>
      </c>
      <c r="CC148" s="1706">
        <f t="shared" ref="CC148:CD154" ca="1" si="497">SUMIF($C$47:$C$86,$C148,CC$47:CC$86)</f>
        <v>5103379854578.6289</v>
      </c>
      <c r="CD148" s="1706">
        <f t="shared" ca="1" si="497"/>
        <v>32628987249673.078</v>
      </c>
      <c r="CF148" s="1703">
        <f t="shared" ref="CF148:CN154" ca="1" si="498">SUMIF($C$47:$C$86,$C148,CF$47:CF$86)</f>
        <v>0</v>
      </c>
      <c r="CG148" s="1703">
        <f t="shared" ca="1" si="498"/>
        <v>-3204572633.3277073</v>
      </c>
      <c r="CH148" s="1703">
        <f t="shared" ca="1" si="498"/>
        <v>-26187132973.131958</v>
      </c>
      <c r="CI148" s="1703">
        <f t="shared" ca="1" si="498"/>
        <v>32366374698.729435</v>
      </c>
      <c r="CJ148" s="1703">
        <f t="shared" ca="1" si="498"/>
        <v>26048969863.52607</v>
      </c>
      <c r="CK148" s="1703">
        <f t="shared" ca="1" si="498"/>
        <v>-12248632862.385925</v>
      </c>
      <c r="CL148" s="1703">
        <f t="shared" ca="1" si="498"/>
        <v>26520894339.40477</v>
      </c>
      <c r="CM148" s="1703">
        <f t="shared" ca="1" si="498"/>
        <v>63075550253.619629</v>
      </c>
      <c r="CN148" s="1703">
        <f t="shared" ca="1" si="498"/>
        <v>71213037207.232056</v>
      </c>
      <c r="CP148" s="1706">
        <f t="shared" ref="CP148:CQ154" ca="1" si="499">SUMIF($C$47:$C$86,$C148,CP$47:CP$86)</f>
        <v>19731609765.962933</v>
      </c>
      <c r="CQ148" s="1706">
        <f t="shared" ca="1" si="499"/>
        <v>30392221779.681252</v>
      </c>
      <c r="CR148" s="1426" t="str">
        <f t="shared" ref="CR148:CR155" ca="1" si="500">IF(ABS(CD148-CQ148-AT148)&lt;1,"ok","err")</f>
        <v>ok</v>
      </c>
    </row>
    <row r="149" spans="1:96" s="2215" customFormat="1" x14ac:dyDescent="0.2">
      <c r="C149" s="1685" t="s">
        <v>1189</v>
      </c>
      <c r="E149" s="1691">
        <f t="shared" ca="1" si="489"/>
        <v>1216419847574.3875</v>
      </c>
      <c r="F149" s="1691">
        <f t="shared" ca="1" si="489"/>
        <v>1557312347151.2026</v>
      </c>
      <c r="G149" s="1691">
        <f t="shared" ca="1" si="489"/>
        <v>1956084287737.0679</v>
      </c>
      <c r="H149" s="1691">
        <f t="shared" ca="1" si="489"/>
        <v>1660687929917.6912</v>
      </c>
      <c r="I149" s="1691">
        <f t="shared" ca="1" si="489"/>
        <v>1871924528419.6545</v>
      </c>
      <c r="J149" s="1691">
        <f t="shared" ca="1" si="489"/>
        <v>1966531124044.0107</v>
      </c>
      <c r="K149" s="1691">
        <f t="shared" ca="1" si="489"/>
        <v>2099335646627.1948</v>
      </c>
      <c r="L149" s="1691">
        <f t="shared" ca="1" si="489"/>
        <v>2131958513672.2917</v>
      </c>
      <c r="M149" s="1691">
        <f t="shared" ca="1" si="489"/>
        <v>1620506134841.3674</v>
      </c>
      <c r="N149" s="675"/>
      <c r="O149" s="1691">
        <f t="shared" ca="1" si="490"/>
        <v>3485384765996.2651</v>
      </c>
      <c r="P149" s="1691">
        <f t="shared" ca="1" si="490"/>
        <v>3630325278869.0522</v>
      </c>
      <c r="Q149" s="1691">
        <f t="shared" ca="1" si="490"/>
        <v>4139669963239.0059</v>
      </c>
      <c r="R149" s="1691">
        <f t="shared" ca="1" si="490"/>
        <v>5084312224267.2744</v>
      </c>
      <c r="S149" s="1691">
        <f t="shared" ca="1" si="490"/>
        <v>5488494302085.1738</v>
      </c>
      <c r="T149" s="1691">
        <f t="shared" ca="1" si="490"/>
        <v>5951412538566.873</v>
      </c>
      <c r="U149" s="1691">
        <f t="shared" ca="1" si="490"/>
        <v>6400970557650.1406</v>
      </c>
      <c r="V149" s="1691">
        <f t="shared" ca="1" si="490"/>
        <v>6880728527979.6084</v>
      </c>
      <c r="W149" s="1691">
        <f t="shared" ca="1" si="490"/>
        <v>7339859464835.1914</v>
      </c>
      <c r="X149" s="675"/>
      <c r="Y149" s="1691">
        <f t="shared" ca="1" si="491"/>
        <v>7453035033257.3877</v>
      </c>
      <c r="Z149" s="1691">
        <f t="shared" ca="1" si="491"/>
        <v>8294922865255.168</v>
      </c>
      <c r="AA149" s="1691">
        <f t="shared" ca="1" si="491"/>
        <v>9335233070437.6035</v>
      </c>
      <c r="AB149" s="1691">
        <f t="shared" ca="1" si="491"/>
        <v>10402322605378.352</v>
      </c>
      <c r="AC149" s="1691">
        <f t="shared" ca="1" si="491"/>
        <v>11291491123687.439</v>
      </c>
      <c r="AD149" s="1691">
        <f t="shared" ca="1" si="491"/>
        <v>12356126134226.092</v>
      </c>
      <c r="AE149" s="1691">
        <f t="shared" ca="1" si="491"/>
        <v>13396665325655.377</v>
      </c>
      <c r="AF149" s="1691">
        <f t="shared" ca="1" si="491"/>
        <v>14512301886414.234</v>
      </c>
      <c r="AG149" s="1691">
        <f t="shared" ca="1" si="491"/>
        <v>15587212479512.678</v>
      </c>
      <c r="AH149" s="675"/>
      <c r="AI149" s="1691">
        <f t="shared" ca="1" si="492"/>
        <v>12154839646828.041</v>
      </c>
      <c r="AJ149" s="1691">
        <f t="shared" ca="1" si="492"/>
        <v>13482560491275.424</v>
      </c>
      <c r="AK149" s="1691">
        <f t="shared" ca="1" si="492"/>
        <v>15430987321413.68</v>
      </c>
      <c r="AL149" s="1691">
        <f t="shared" ca="1" si="492"/>
        <v>17147322759563.318</v>
      </c>
      <c r="AM149" s="1691">
        <f t="shared" ca="1" si="492"/>
        <v>18651909954192.27</v>
      </c>
      <c r="AN149" s="1691">
        <f t="shared" ca="1" si="492"/>
        <v>20274069796836.977</v>
      </c>
      <c r="AO149" s="1691">
        <f t="shared" ca="1" si="492"/>
        <v>21896971529932.711</v>
      </c>
      <c r="AP149" s="1691">
        <f t="shared" ca="1" si="492"/>
        <v>23524988928066.133</v>
      </c>
      <c r="AQ149" s="1691">
        <f t="shared" ca="1" si="492"/>
        <v>24547578079189.238</v>
      </c>
      <c r="AS149" s="1707">
        <f t="shared" ca="1" si="493"/>
        <v>18567914278588.641</v>
      </c>
      <c r="AT149" s="1707">
        <f t="shared" ca="1" si="493"/>
        <v>144825730101271.28</v>
      </c>
      <c r="AU149" s="675"/>
      <c r="AV149" s="1700"/>
      <c r="AW149" s="1692"/>
      <c r="AX149" s="675"/>
      <c r="AY149" s="1691">
        <f t="shared" ca="1" si="494"/>
        <v>331490788915.17419</v>
      </c>
      <c r="AZ149" s="1691">
        <f t="shared" ca="1" si="494"/>
        <v>675744976468.75415</v>
      </c>
      <c r="BA149" s="1691">
        <f t="shared" ca="1" si="494"/>
        <v>841597636700.23975</v>
      </c>
      <c r="BB149" s="1691">
        <f t="shared" ca="1" si="494"/>
        <v>726013885458.79456</v>
      </c>
      <c r="BC149" s="1691">
        <f t="shared" ca="1" si="494"/>
        <v>814642097277.01318</v>
      </c>
      <c r="BD149" s="1691">
        <f t="shared" ca="1" si="494"/>
        <v>854041353901.18359</v>
      </c>
      <c r="BE149" s="1691">
        <f t="shared" ca="1" si="494"/>
        <v>908835788998.58789</v>
      </c>
      <c r="BF149" s="1691">
        <f t="shared" ca="1" si="494"/>
        <v>923267838113.30127</v>
      </c>
      <c r="BG149" s="1691">
        <f t="shared" ca="1" si="494"/>
        <v>718478561502.23584</v>
      </c>
      <c r="BH149" s="675"/>
      <c r="BI149" s="1691">
        <f t="shared" ca="1" si="495"/>
        <v>331490788915.17419</v>
      </c>
      <c r="BJ149" s="1691">
        <f t="shared" ca="1" si="495"/>
        <v>1007235765383.9283</v>
      </c>
      <c r="BK149" s="1691">
        <f t="shared" ca="1" si="495"/>
        <v>1848833402084.168</v>
      </c>
      <c r="BL149" s="1691">
        <f t="shared" ca="1" si="495"/>
        <v>2434221590988.1436</v>
      </c>
      <c r="BM149" s="1691">
        <f t="shared" ca="1" si="495"/>
        <v>3067475491315.1772</v>
      </c>
      <c r="BN149" s="1691">
        <f t="shared" ca="1" si="495"/>
        <v>3720676871704.3008</v>
      </c>
      <c r="BO149" s="1691">
        <f t="shared" ca="1" si="495"/>
        <v>4224873146234.5146</v>
      </c>
      <c r="BP149" s="1691">
        <f t="shared" ca="1" si="495"/>
        <v>5014457307676.8916</v>
      </c>
      <c r="BQ149" s="1691">
        <f t="shared" ca="1" si="495"/>
        <v>4860385042200.0059</v>
      </c>
      <c r="BR149" s="675"/>
      <c r="BS149" s="1702">
        <f t="shared" ca="1" si="496"/>
        <v>11269910588168.826</v>
      </c>
      <c r="BT149" s="1702">
        <f t="shared" ca="1" si="496"/>
        <v>12932483909508.148</v>
      </c>
      <c r="BU149" s="1702">
        <f t="shared" ca="1" si="496"/>
        <v>15323736435760.777</v>
      </c>
      <c r="BV149" s="1702">
        <f t="shared" ca="1" si="496"/>
        <v>17920856420633.77</v>
      </c>
      <c r="BW149" s="1702">
        <f t="shared" ca="1" si="496"/>
        <v>19847460917087.793</v>
      </c>
      <c r="BX149" s="1702">
        <f t="shared" ca="1" si="496"/>
        <v>22028215544497.266</v>
      </c>
      <c r="BY149" s="1702">
        <f t="shared" ca="1" si="496"/>
        <v>24022509029540.031</v>
      </c>
      <c r="BZ149" s="1702">
        <f t="shared" ca="1" si="496"/>
        <v>26407487722070.734</v>
      </c>
      <c r="CA149" s="1702">
        <f t="shared" ca="1" si="496"/>
        <v>27787456986547.871</v>
      </c>
      <c r="CC149" s="1707">
        <f t="shared" ca="1" si="497"/>
        <v>19726679728201.687</v>
      </c>
      <c r="CD149" s="1707">
        <f t="shared" ca="1" si="497"/>
        <v>146662554661942.94</v>
      </c>
      <c r="CF149" s="1704">
        <f t="shared" ca="1" si="498"/>
        <v>-884929058659.21313</v>
      </c>
      <c r="CG149" s="1704">
        <f t="shared" ca="1" si="498"/>
        <v>-550076581767.27429</v>
      </c>
      <c r="CH149" s="1704">
        <f t="shared" ca="1" si="498"/>
        <v>-107250885652.89984</v>
      </c>
      <c r="CI149" s="1704">
        <f t="shared" ca="1" si="498"/>
        <v>773533661070.45264</v>
      </c>
      <c r="CJ149" s="1704">
        <f t="shared" ca="1" si="498"/>
        <v>1195550962895.5225</v>
      </c>
      <c r="CK149" s="1704">
        <f t="shared" ca="1" si="498"/>
        <v>1754145747660.29</v>
      </c>
      <c r="CL149" s="1704">
        <f t="shared" ca="1" si="498"/>
        <v>2125537499607.3198</v>
      </c>
      <c r="CM149" s="1704">
        <f t="shared" ca="1" si="498"/>
        <v>2882498794004.5996</v>
      </c>
      <c r="CN149" s="1704">
        <f t="shared" ca="1" si="498"/>
        <v>3239878907358.6387</v>
      </c>
      <c r="CP149" s="1707">
        <f t="shared" ca="1" si="499"/>
        <v>1158765449613.0486</v>
      </c>
      <c r="CQ149" s="1707">
        <f t="shared" ca="1" si="499"/>
        <v>1836824560671.677</v>
      </c>
      <c r="CR149" s="1426" t="str">
        <f t="shared" ca="1" si="500"/>
        <v>ok</v>
      </c>
    </row>
    <row r="150" spans="1:96" s="2215" customFormat="1" x14ac:dyDescent="0.2">
      <c r="C150" s="1683" t="s">
        <v>4</v>
      </c>
      <c r="E150" s="1689">
        <f t="shared" ca="1" si="489"/>
        <v>104081159476.7803</v>
      </c>
      <c r="F150" s="1689">
        <f t="shared" ca="1" si="489"/>
        <v>663467973510.72876</v>
      </c>
      <c r="G150" s="1689">
        <f t="shared" ca="1" si="489"/>
        <v>4313998353901.3408</v>
      </c>
      <c r="H150" s="1689">
        <f t="shared" ca="1" si="489"/>
        <v>5881955861428.5703</v>
      </c>
      <c r="I150" s="1689">
        <f t="shared" ca="1" si="489"/>
        <v>7503171752142.8574</v>
      </c>
      <c r="J150" s="1689">
        <f t="shared" ca="1" si="489"/>
        <v>10015510370000.002</v>
      </c>
      <c r="K150" s="1689">
        <f t="shared" ca="1" si="489"/>
        <v>11202978982857.145</v>
      </c>
      <c r="L150" s="1689">
        <f t="shared" ca="1" si="489"/>
        <v>17940151600714.285</v>
      </c>
      <c r="M150" s="1689">
        <f t="shared" ca="1" si="489"/>
        <v>20583567107142.855</v>
      </c>
      <c r="N150" s="675"/>
      <c r="O150" s="1689">
        <f t="shared" ca="1" si="490"/>
        <v>119554509772.4393</v>
      </c>
      <c r="P150" s="1689">
        <f t="shared" ca="1" si="490"/>
        <v>208306899280.94925</v>
      </c>
      <c r="Q150" s="1689">
        <f t="shared" ca="1" si="490"/>
        <v>341690364085.71429</v>
      </c>
      <c r="R150" s="1689">
        <f t="shared" ca="1" si="490"/>
        <v>536611933457.14282</v>
      </c>
      <c r="S150" s="1689">
        <f t="shared" ca="1" si="490"/>
        <v>796807239844.28589</v>
      </c>
      <c r="T150" s="1689">
        <f t="shared" ca="1" si="490"/>
        <v>1026077486481.4285</v>
      </c>
      <c r="U150" s="1689">
        <f t="shared" ca="1" si="490"/>
        <v>1296260064368.571</v>
      </c>
      <c r="V150" s="1689">
        <f t="shared" ca="1" si="490"/>
        <v>1636641501505.7144</v>
      </c>
      <c r="W150" s="1689">
        <f t="shared" ca="1" si="490"/>
        <v>160476759000</v>
      </c>
      <c r="X150" s="675"/>
      <c r="Y150" s="1689">
        <f t="shared" ca="1" si="491"/>
        <v>0</v>
      </c>
      <c r="Z150" s="1689">
        <f t="shared" ca="1" si="491"/>
        <v>0</v>
      </c>
      <c r="AA150" s="1689">
        <f t="shared" ca="1" si="491"/>
        <v>0</v>
      </c>
      <c r="AB150" s="1689">
        <f t="shared" ca="1" si="491"/>
        <v>38570400000.000008</v>
      </c>
      <c r="AC150" s="1689">
        <f t="shared" ca="1" si="491"/>
        <v>73283760000</v>
      </c>
      <c r="AD150" s="1689">
        <f t="shared" ca="1" si="491"/>
        <v>142710480000.00003</v>
      </c>
      <c r="AE150" s="1689">
        <f t="shared" ca="1" si="491"/>
        <v>273849840000.00006</v>
      </c>
      <c r="AF150" s="1689">
        <f t="shared" ca="1" si="491"/>
        <v>528414480000.00012</v>
      </c>
      <c r="AG150" s="1689">
        <f t="shared" ca="1" si="491"/>
        <v>1022115600000.0001</v>
      </c>
      <c r="AH150" s="675"/>
      <c r="AI150" s="1689">
        <f t="shared" ca="1" si="492"/>
        <v>223635669249.2196</v>
      </c>
      <c r="AJ150" s="1689">
        <f t="shared" ca="1" si="492"/>
        <v>871774872791.67798</v>
      </c>
      <c r="AK150" s="1689">
        <f t="shared" ca="1" si="492"/>
        <v>4655688717987.0547</v>
      </c>
      <c r="AL150" s="1689">
        <f t="shared" ca="1" si="492"/>
        <v>6457138194885.7129</v>
      </c>
      <c r="AM150" s="1689">
        <f t="shared" ca="1" si="492"/>
        <v>8373262751987.1426</v>
      </c>
      <c r="AN150" s="1689">
        <f t="shared" ca="1" si="492"/>
        <v>11184298336481.43</v>
      </c>
      <c r="AO150" s="1689">
        <f t="shared" ca="1" si="492"/>
        <v>12773088887225.713</v>
      </c>
      <c r="AP150" s="1689">
        <f t="shared" ca="1" si="492"/>
        <v>20105207582220</v>
      </c>
      <c r="AQ150" s="1689">
        <f t="shared" ca="1" si="492"/>
        <v>21766159466142.859</v>
      </c>
      <c r="AS150" s="1706">
        <f t="shared" ca="1" si="493"/>
        <v>9601139386552.3125</v>
      </c>
      <c r="AT150" s="1706">
        <f t="shared" ca="1" si="493"/>
        <v>44288822589879.609</v>
      </c>
      <c r="AU150" s="675"/>
      <c r="AV150" s="1699"/>
      <c r="AW150" s="1690"/>
      <c r="AX150" s="675"/>
      <c r="AY150" s="1689">
        <f t="shared" ca="1" si="494"/>
        <v>29473575473.291035</v>
      </c>
      <c r="AZ150" s="1689">
        <f t="shared" ca="1" si="494"/>
        <v>310011564683.04059</v>
      </c>
      <c r="BA150" s="1689">
        <f t="shared" ca="1" si="494"/>
        <v>2093484344176.0769</v>
      </c>
      <c r="BB150" s="1689">
        <f t="shared" ca="1" si="494"/>
        <v>2862342899686.4351</v>
      </c>
      <c r="BC150" s="1689">
        <f t="shared" ca="1" si="494"/>
        <v>3666342019068.1978</v>
      </c>
      <c r="BD150" s="1689">
        <f t="shared" ca="1" si="494"/>
        <v>4906750527761.9863</v>
      </c>
      <c r="BE150" s="1689">
        <f t="shared" ca="1" si="494"/>
        <v>5320618405443.9531</v>
      </c>
      <c r="BF150" s="1689">
        <f t="shared" ca="1" si="494"/>
        <v>8461301693964.0537</v>
      </c>
      <c r="BG150" s="1689">
        <f t="shared" ca="1" si="494"/>
        <v>9542601892625.5859</v>
      </c>
      <c r="BH150" s="675"/>
      <c r="BI150" s="1689">
        <f t="shared" ca="1" si="495"/>
        <v>29473575473.291035</v>
      </c>
      <c r="BJ150" s="1689">
        <f t="shared" ca="1" si="495"/>
        <v>339485140156.33167</v>
      </c>
      <c r="BK150" s="1689">
        <f t="shared" ca="1" si="495"/>
        <v>2432969484332.4092</v>
      </c>
      <c r="BL150" s="1689">
        <f t="shared" ca="1" si="495"/>
        <v>5295312384018.8437</v>
      </c>
      <c r="BM150" s="1689">
        <f t="shared" ca="1" si="495"/>
        <v>8932180827613.75</v>
      </c>
      <c r="BN150" s="1689">
        <f t="shared" ca="1" si="495"/>
        <v>12674337782900.168</v>
      </c>
      <c r="BO150" s="1689">
        <f t="shared" ca="1" si="495"/>
        <v>16235085887422.395</v>
      </c>
      <c r="BP150" s="1689">
        <f t="shared" ca="1" si="495"/>
        <v>23795746605263.559</v>
      </c>
      <c r="BQ150" s="1689">
        <f t="shared" ca="1" si="495"/>
        <v>27690848161421.453</v>
      </c>
      <c r="BR150" s="675"/>
      <c r="BS150" s="1701">
        <f t="shared" ca="1" si="496"/>
        <v>149028085245.73035</v>
      </c>
      <c r="BT150" s="1701">
        <f t="shared" ca="1" si="496"/>
        <v>547792039437.28088</v>
      </c>
      <c r="BU150" s="1701">
        <f t="shared" ca="1" si="496"/>
        <v>2774659848418.123</v>
      </c>
      <c r="BV150" s="1701">
        <f t="shared" ca="1" si="496"/>
        <v>5870494717475.9863</v>
      </c>
      <c r="BW150" s="1701">
        <f t="shared" ca="1" si="496"/>
        <v>9802271827458.0352</v>
      </c>
      <c r="BX150" s="1701">
        <f t="shared" ca="1" si="496"/>
        <v>13843125749381.598</v>
      </c>
      <c r="BY150" s="1701">
        <f t="shared" ca="1" si="496"/>
        <v>17805195791790.965</v>
      </c>
      <c r="BZ150" s="1701">
        <f t="shared" ca="1" si="496"/>
        <v>25960802586769.27</v>
      </c>
      <c r="CA150" s="1701">
        <f t="shared" ca="1" si="496"/>
        <v>28873440520421.453</v>
      </c>
      <c r="CC150" s="1706">
        <f t="shared" ca="1" si="497"/>
        <v>11736312351822.049</v>
      </c>
      <c r="CD150" s="1706">
        <f t="shared" ca="1" si="497"/>
        <v>45573801142086.391</v>
      </c>
      <c r="CF150" s="1703">
        <f t="shared" ca="1" si="498"/>
        <v>-74607584003.489273</v>
      </c>
      <c r="CG150" s="1703">
        <f t="shared" ca="1" si="498"/>
        <v>-323982833354.39709</v>
      </c>
      <c r="CH150" s="1703">
        <f t="shared" ca="1" si="498"/>
        <v>-1881028869568.9316</v>
      </c>
      <c r="CI150" s="1703">
        <f t="shared" ca="1" si="498"/>
        <v>-586643477409.72705</v>
      </c>
      <c r="CJ150" s="1703">
        <f t="shared" ca="1" si="498"/>
        <v>1429009075470.8928</v>
      </c>
      <c r="CK150" s="1703">
        <f t="shared" ca="1" si="498"/>
        <v>2658827412900.167</v>
      </c>
      <c r="CL150" s="1703">
        <f t="shared" ca="1" si="498"/>
        <v>5032106904565.252</v>
      </c>
      <c r="CM150" s="1703">
        <f t="shared" ca="1" si="498"/>
        <v>5855595004549.2686</v>
      </c>
      <c r="CN150" s="1703">
        <f t="shared" ca="1" si="498"/>
        <v>7107281054278.5957</v>
      </c>
      <c r="CP150" s="1706">
        <f t="shared" ca="1" si="499"/>
        <v>2135172965269.7368</v>
      </c>
      <c r="CQ150" s="1706">
        <f t="shared" ca="1" si="499"/>
        <v>1284978552206.7808</v>
      </c>
      <c r="CR150" s="1426" t="str">
        <f t="shared" ca="1" si="500"/>
        <v>ok</v>
      </c>
    </row>
    <row r="151" spans="1:96" s="2215" customFormat="1" x14ac:dyDescent="0.2">
      <c r="C151" s="1685" t="s">
        <v>1974</v>
      </c>
      <c r="E151" s="1691">
        <f t="shared" ca="1" si="489"/>
        <v>0</v>
      </c>
      <c r="F151" s="1691">
        <f t="shared" ca="1" si="489"/>
        <v>409273051816.19507</v>
      </c>
      <c r="G151" s="1691">
        <f t="shared" ca="1" si="489"/>
        <v>474703766799.66974</v>
      </c>
      <c r="H151" s="1691">
        <f t="shared" ca="1" si="489"/>
        <v>601249732640.1394</v>
      </c>
      <c r="I151" s="1691">
        <f t="shared" ca="1" si="489"/>
        <v>601249749033.9541</v>
      </c>
      <c r="J151" s="1691">
        <f t="shared" ca="1" si="489"/>
        <v>667620588248.85742</v>
      </c>
      <c r="K151" s="1691">
        <f t="shared" ca="1" si="489"/>
        <v>454548885874.4541</v>
      </c>
      <c r="L151" s="1691">
        <f t="shared" ca="1" si="489"/>
        <v>485526464354.27509</v>
      </c>
      <c r="M151" s="1691">
        <f t="shared" ca="1" si="489"/>
        <v>651095216629.00049</v>
      </c>
      <c r="N151" s="675"/>
      <c r="O151" s="1691">
        <f t="shared" ca="1" si="490"/>
        <v>0</v>
      </c>
      <c r="P151" s="1691">
        <f t="shared" ca="1" si="490"/>
        <v>0</v>
      </c>
      <c r="Q151" s="1691">
        <f t="shared" ca="1" si="490"/>
        <v>0</v>
      </c>
      <c r="R151" s="1691">
        <f t="shared" ca="1" si="490"/>
        <v>0</v>
      </c>
      <c r="S151" s="1691">
        <f t="shared" ca="1" si="490"/>
        <v>0</v>
      </c>
      <c r="T151" s="1691">
        <f t="shared" ca="1" si="490"/>
        <v>0</v>
      </c>
      <c r="U151" s="1691">
        <f t="shared" ca="1" si="490"/>
        <v>0</v>
      </c>
      <c r="V151" s="1691">
        <f t="shared" ca="1" si="490"/>
        <v>0</v>
      </c>
      <c r="W151" s="1691">
        <f t="shared" ca="1" si="490"/>
        <v>0</v>
      </c>
      <c r="X151" s="675"/>
      <c r="Y151" s="1691">
        <f t="shared" ca="1" si="491"/>
        <v>0</v>
      </c>
      <c r="Z151" s="1691">
        <f t="shared" ca="1" si="491"/>
        <v>0</v>
      </c>
      <c r="AA151" s="1691">
        <f t="shared" ca="1" si="491"/>
        <v>0</v>
      </c>
      <c r="AB151" s="1691">
        <f t="shared" ca="1" si="491"/>
        <v>0</v>
      </c>
      <c r="AC151" s="1691">
        <f t="shared" ca="1" si="491"/>
        <v>0</v>
      </c>
      <c r="AD151" s="1691">
        <f t="shared" ca="1" si="491"/>
        <v>0</v>
      </c>
      <c r="AE151" s="1691">
        <f t="shared" ca="1" si="491"/>
        <v>0</v>
      </c>
      <c r="AF151" s="1691">
        <f t="shared" ca="1" si="491"/>
        <v>0</v>
      </c>
      <c r="AG151" s="1691">
        <f t="shared" ca="1" si="491"/>
        <v>0</v>
      </c>
      <c r="AH151" s="675"/>
      <c r="AI151" s="1691">
        <f t="shared" ca="1" si="492"/>
        <v>0</v>
      </c>
      <c r="AJ151" s="1691">
        <f t="shared" ca="1" si="492"/>
        <v>409273051816.19507</v>
      </c>
      <c r="AK151" s="1691">
        <f t="shared" ca="1" si="492"/>
        <v>474703766799.66974</v>
      </c>
      <c r="AL151" s="1691">
        <f t="shared" ca="1" si="492"/>
        <v>601249732640.1394</v>
      </c>
      <c r="AM151" s="1691">
        <f t="shared" ca="1" si="492"/>
        <v>601249749033.9541</v>
      </c>
      <c r="AN151" s="1691">
        <f t="shared" ca="1" si="492"/>
        <v>667620588248.85742</v>
      </c>
      <c r="AO151" s="1691">
        <f t="shared" ca="1" si="492"/>
        <v>454548885874.4541</v>
      </c>
      <c r="AP151" s="1691">
        <f t="shared" ca="1" si="492"/>
        <v>485526464354.27509</v>
      </c>
      <c r="AQ151" s="1691">
        <f t="shared" ca="1" si="492"/>
        <v>651095216629.00049</v>
      </c>
      <c r="AS151" s="1707">
        <f t="shared" ca="1" si="493"/>
        <v>482807495044.06061</v>
      </c>
      <c r="AT151" s="1707">
        <f t="shared" ca="1" si="493"/>
        <v>4049431827491.9229</v>
      </c>
      <c r="AU151" s="675"/>
      <c r="AV151" s="1700"/>
      <c r="AW151" s="1692"/>
      <c r="AX151" s="675"/>
      <c r="AY151" s="1691">
        <f t="shared" ca="1" si="494"/>
        <v>0</v>
      </c>
      <c r="AZ151" s="1691">
        <f t="shared" ca="1" si="494"/>
        <v>224679905621.97369</v>
      </c>
      <c r="BA151" s="1691">
        <f t="shared" ca="1" si="494"/>
        <v>260599609599.61935</v>
      </c>
      <c r="BB151" s="1691">
        <f t="shared" ca="1" si="494"/>
        <v>330069943734.02319</v>
      </c>
      <c r="BC151" s="1691">
        <f t="shared" ca="1" si="494"/>
        <v>330069952733.7868</v>
      </c>
      <c r="BD151" s="1691">
        <f t="shared" ca="1" si="494"/>
        <v>366505759647.24261</v>
      </c>
      <c r="BE151" s="1691">
        <f t="shared" ca="1" si="494"/>
        <v>249535121664.23172</v>
      </c>
      <c r="BF151" s="1691">
        <f t="shared" ca="1" si="494"/>
        <v>266540979680.92133</v>
      </c>
      <c r="BG151" s="1691">
        <f t="shared" ca="1" si="494"/>
        <v>357433774772.00836</v>
      </c>
      <c r="BH151" s="675"/>
      <c r="BI151" s="1691">
        <f t="shared" ca="1" si="495"/>
        <v>0</v>
      </c>
      <c r="BJ151" s="1691">
        <f t="shared" ca="1" si="495"/>
        <v>224679905621.97369</v>
      </c>
      <c r="BK151" s="1691">
        <f t="shared" ca="1" si="495"/>
        <v>485279515221.59308</v>
      </c>
      <c r="BL151" s="1691">
        <f t="shared" ca="1" si="495"/>
        <v>815349458955.61633</v>
      </c>
      <c r="BM151" s="1691">
        <f t="shared" ca="1" si="495"/>
        <v>920739506067.42944</v>
      </c>
      <c r="BN151" s="1691">
        <f t="shared" ca="1" si="495"/>
        <v>1026645656115.0526</v>
      </c>
      <c r="BO151" s="1691">
        <f t="shared" ca="1" si="495"/>
        <v>946110834045.26123</v>
      </c>
      <c r="BP151" s="1691">
        <f t="shared" ca="1" si="495"/>
        <v>882581860992.39575</v>
      </c>
      <c r="BQ151" s="1691">
        <f t="shared" ca="1" si="495"/>
        <v>873509876117.16138</v>
      </c>
      <c r="BR151" s="675"/>
      <c r="BS151" s="1702">
        <f t="shared" ca="1" si="496"/>
        <v>0</v>
      </c>
      <c r="BT151" s="1702">
        <f t="shared" ca="1" si="496"/>
        <v>224679905621.97369</v>
      </c>
      <c r="BU151" s="1702">
        <f t="shared" ca="1" si="496"/>
        <v>485279515221.59308</v>
      </c>
      <c r="BV151" s="1702">
        <f t="shared" ca="1" si="496"/>
        <v>815349458955.61633</v>
      </c>
      <c r="BW151" s="1702">
        <f t="shared" ca="1" si="496"/>
        <v>920739506067.42944</v>
      </c>
      <c r="BX151" s="1702">
        <f t="shared" ca="1" si="496"/>
        <v>1026645656115.0526</v>
      </c>
      <c r="BY151" s="1702">
        <f t="shared" ca="1" si="496"/>
        <v>946110834045.26123</v>
      </c>
      <c r="BZ151" s="1702">
        <f t="shared" ca="1" si="496"/>
        <v>882581860992.39575</v>
      </c>
      <c r="CA151" s="1702">
        <f t="shared" ca="1" si="496"/>
        <v>873509876117.16138</v>
      </c>
      <c r="CC151" s="1707">
        <f t="shared" ca="1" si="497"/>
        <v>686099623681.8313</v>
      </c>
      <c r="CD151" s="1707">
        <f t="shared" ca="1" si="497"/>
        <v>4442549592735.9951</v>
      </c>
      <c r="CF151" s="1704">
        <f t="shared" ca="1" si="498"/>
        <v>0</v>
      </c>
      <c r="CG151" s="1704">
        <f t="shared" ca="1" si="498"/>
        <v>-184593146194.22137</v>
      </c>
      <c r="CH151" s="1704">
        <f t="shared" ca="1" si="498"/>
        <v>10575748421.923347</v>
      </c>
      <c r="CI151" s="1704">
        <f t="shared" ca="1" si="498"/>
        <v>214099726315.47693</v>
      </c>
      <c r="CJ151" s="1704">
        <f t="shared" ca="1" si="498"/>
        <v>319489757033.47528</v>
      </c>
      <c r="CK151" s="1704">
        <f t="shared" ca="1" si="498"/>
        <v>359025067866.19513</v>
      </c>
      <c r="CL151" s="1704">
        <f t="shared" ca="1" si="498"/>
        <v>491561948170.80707</v>
      </c>
      <c r="CM151" s="1704">
        <f t="shared" ca="1" si="498"/>
        <v>397055396638.12061</v>
      </c>
      <c r="CN151" s="1704">
        <f t="shared" ca="1" si="498"/>
        <v>222414659488.16098</v>
      </c>
      <c r="CP151" s="1707">
        <f t="shared" ca="1" si="499"/>
        <v>203292128637.77087</v>
      </c>
      <c r="CQ151" s="1707">
        <f t="shared" ca="1" si="499"/>
        <v>393117765244.07227</v>
      </c>
      <c r="CR151" s="1426" t="str">
        <f t="shared" ca="1" si="500"/>
        <v>ok</v>
      </c>
    </row>
    <row r="152" spans="1:96" s="2215" customFormat="1" x14ac:dyDescent="0.2">
      <c r="C152" s="1683" t="s">
        <v>125</v>
      </c>
      <c r="E152" s="1689">
        <f t="shared" ca="1" si="489"/>
        <v>0</v>
      </c>
      <c r="F152" s="1689">
        <f t="shared" ca="1" si="489"/>
        <v>56656077735958.156</v>
      </c>
      <c r="G152" s="1689">
        <f t="shared" ca="1" si="489"/>
        <v>34655458913625.305</v>
      </c>
      <c r="H152" s="1689">
        <f t="shared" ca="1" si="489"/>
        <v>41882126393965.875</v>
      </c>
      <c r="I152" s="1689">
        <f t="shared" ca="1" si="489"/>
        <v>50046066234857</v>
      </c>
      <c r="J152" s="1689">
        <f t="shared" ca="1" si="489"/>
        <v>60515041940789.078</v>
      </c>
      <c r="K152" s="1689">
        <f t="shared" ca="1" si="489"/>
        <v>68193092134240.992</v>
      </c>
      <c r="L152" s="1689">
        <f t="shared" ca="1" si="489"/>
        <v>80281260794858.437</v>
      </c>
      <c r="M152" s="1689">
        <f t="shared" ca="1" si="489"/>
        <v>89282273074014.359</v>
      </c>
      <c r="N152" s="675"/>
      <c r="O152" s="1689">
        <f t="shared" ca="1" si="490"/>
        <v>67030584649081.508</v>
      </c>
      <c r="P152" s="1689">
        <f t="shared" ca="1" si="490"/>
        <v>712581205160224.75</v>
      </c>
      <c r="Q152" s="1689">
        <f t="shared" ca="1" si="490"/>
        <v>855418611309634.87</v>
      </c>
      <c r="R152" s="1689">
        <f t="shared" ca="1" si="490"/>
        <v>1024352293200538.4</v>
      </c>
      <c r="S152" s="1689">
        <f t="shared" ca="1" si="490"/>
        <v>1223094335235375.2</v>
      </c>
      <c r="T152" s="1689">
        <f t="shared" ca="1" si="490"/>
        <v>1456080790436898.2</v>
      </c>
      <c r="U152" s="1689">
        <f t="shared" ca="1" si="490"/>
        <v>1686589650005641.5</v>
      </c>
      <c r="V152" s="1689">
        <f t="shared" ca="1" si="490"/>
        <v>1948070700733437.7</v>
      </c>
      <c r="W152" s="1689">
        <f t="shared" ca="1" si="490"/>
        <v>2243901389642072</v>
      </c>
      <c r="X152" s="675"/>
      <c r="Y152" s="1689">
        <f t="shared" ca="1" si="491"/>
        <v>0</v>
      </c>
      <c r="Z152" s="1689">
        <f t="shared" ca="1" si="491"/>
        <v>0</v>
      </c>
      <c r="AA152" s="1689">
        <f t="shared" ca="1" si="491"/>
        <v>0</v>
      </c>
      <c r="AB152" s="1689">
        <f t="shared" ca="1" si="491"/>
        <v>0</v>
      </c>
      <c r="AC152" s="1689">
        <f t="shared" ca="1" si="491"/>
        <v>0</v>
      </c>
      <c r="AD152" s="1689">
        <f t="shared" ca="1" si="491"/>
        <v>0</v>
      </c>
      <c r="AE152" s="1689">
        <f t="shared" ca="1" si="491"/>
        <v>0</v>
      </c>
      <c r="AF152" s="1689">
        <f t="shared" ca="1" si="491"/>
        <v>0</v>
      </c>
      <c r="AG152" s="1689">
        <f t="shared" ca="1" si="491"/>
        <v>0</v>
      </c>
      <c r="AH152" s="675"/>
      <c r="AI152" s="1689">
        <f t="shared" ca="1" si="492"/>
        <v>67030584649081.508</v>
      </c>
      <c r="AJ152" s="1689">
        <f t="shared" ca="1" si="492"/>
        <v>769237282896182.75</v>
      </c>
      <c r="AK152" s="1689">
        <f t="shared" ca="1" si="492"/>
        <v>890074070223260</v>
      </c>
      <c r="AL152" s="1689">
        <f t="shared" ca="1" si="492"/>
        <v>1066234419594504.4</v>
      </c>
      <c r="AM152" s="1689">
        <f t="shared" ca="1" si="492"/>
        <v>1273140401470232.5</v>
      </c>
      <c r="AN152" s="1689">
        <f t="shared" ca="1" si="492"/>
        <v>1516595832377687</v>
      </c>
      <c r="AO152" s="1689">
        <f t="shared" ca="1" si="492"/>
        <v>1754782742139882.7</v>
      </c>
      <c r="AP152" s="1689">
        <f t="shared" ca="1" si="492"/>
        <v>2028351961528296</v>
      </c>
      <c r="AQ152" s="1689">
        <f t="shared" ca="1" si="492"/>
        <v>2333183662716086.5</v>
      </c>
      <c r="AS152" s="1706">
        <f t="shared" ca="1" si="493"/>
        <v>1299847884177245.7</v>
      </c>
      <c r="AT152" s="1706">
        <f t="shared" ca="1" si="493"/>
        <v>8595005967618415</v>
      </c>
      <c r="AU152" s="675"/>
      <c r="AV152" s="1699"/>
      <c r="AW152" s="1690"/>
      <c r="AX152" s="675"/>
      <c r="AY152" s="1689">
        <f t="shared" ca="1" si="494"/>
        <v>0</v>
      </c>
      <c r="AZ152" s="1689">
        <f t="shared" ca="1" si="494"/>
        <v>31235066271370.242</v>
      </c>
      <c r="BA152" s="1689">
        <f t="shared" ca="1" si="494"/>
        <v>19177002678689.402</v>
      </c>
      <c r="BB152" s="1689">
        <f t="shared" ca="1" si="494"/>
        <v>23165238626388.609</v>
      </c>
      <c r="BC152" s="1689">
        <f t="shared" ca="1" si="494"/>
        <v>27598385318203.031</v>
      </c>
      <c r="BD152" s="1689">
        <f t="shared" ca="1" si="494"/>
        <v>33408381541886.254</v>
      </c>
      <c r="BE152" s="1689">
        <f t="shared" ca="1" si="494"/>
        <v>37538297392627.461</v>
      </c>
      <c r="BF152" s="1689">
        <f t="shared" ca="1" si="494"/>
        <v>44263192184462.969</v>
      </c>
      <c r="BG152" s="1689">
        <f t="shared" ca="1" si="494"/>
        <v>49114027635098.242</v>
      </c>
      <c r="BH152" s="675"/>
      <c r="BI152" s="1689">
        <f t="shared" ca="1" si="495"/>
        <v>0</v>
      </c>
      <c r="BJ152" s="1689">
        <f t="shared" ca="1" si="495"/>
        <v>31235066271370.242</v>
      </c>
      <c r="BK152" s="1689">
        <f t="shared" ca="1" si="495"/>
        <v>50404336738683.883</v>
      </c>
      <c r="BL152" s="1689">
        <f t="shared" ca="1" si="495"/>
        <v>72999206410516.797</v>
      </c>
      <c r="BM152" s="1689">
        <f t="shared" ca="1" si="495"/>
        <v>69270048883402.461</v>
      </c>
      <c r="BN152" s="1689">
        <f t="shared" ca="1" si="495"/>
        <v>83412117398139.484</v>
      </c>
      <c r="BO152" s="1689">
        <f t="shared" ca="1" si="495"/>
        <v>98001679716681.172</v>
      </c>
      <c r="BP152" s="1689">
        <f t="shared" ca="1" si="495"/>
        <v>114406125469126.61</v>
      </c>
      <c r="BQ152" s="1689">
        <f t="shared" ca="1" si="495"/>
        <v>130487676734935.95</v>
      </c>
      <c r="BR152" s="675"/>
      <c r="BS152" s="1701">
        <f t="shared" ca="1" si="496"/>
        <v>67030584649081.508</v>
      </c>
      <c r="BT152" s="1701">
        <f t="shared" ca="1" si="496"/>
        <v>743816271431594.87</v>
      </c>
      <c r="BU152" s="1701">
        <f t="shared" ca="1" si="496"/>
        <v>905822948048318.75</v>
      </c>
      <c r="BV152" s="1701">
        <f t="shared" ca="1" si="496"/>
        <v>1097351499611055.1</v>
      </c>
      <c r="BW152" s="1701">
        <f t="shared" ca="1" si="496"/>
        <v>1292364384118777.7</v>
      </c>
      <c r="BX152" s="1701">
        <f t="shared" ca="1" si="496"/>
        <v>1539492907835037.7</v>
      </c>
      <c r="BY152" s="1701">
        <f t="shared" ca="1" si="496"/>
        <v>1784591329722323</v>
      </c>
      <c r="BZ152" s="1701">
        <f t="shared" ca="1" si="496"/>
        <v>2062476826202564.5</v>
      </c>
      <c r="CA152" s="1701">
        <f t="shared" ca="1" si="496"/>
        <v>2374389066377007.5</v>
      </c>
      <c r="CC152" s="1706">
        <f t="shared" ca="1" si="497"/>
        <v>1318592868666196</v>
      </c>
      <c r="CD152" s="1706">
        <f t="shared" ca="1" si="497"/>
        <v>8634304984563214</v>
      </c>
      <c r="CF152" s="1703">
        <f t="shared" ca="1" si="498"/>
        <v>0</v>
      </c>
      <c r="CG152" s="1703">
        <f t="shared" ca="1" si="498"/>
        <v>-25421011464587.922</v>
      </c>
      <c r="CH152" s="1703">
        <f t="shared" ca="1" si="498"/>
        <v>15748877825058.57</v>
      </c>
      <c r="CI152" s="1703">
        <f t="shared" ca="1" si="498"/>
        <v>31117080016550.914</v>
      </c>
      <c r="CJ152" s="1703">
        <f t="shared" ca="1" si="498"/>
        <v>19223982648545.461</v>
      </c>
      <c r="CK152" s="1703">
        <f t="shared" ca="1" si="498"/>
        <v>22897075457350.422</v>
      </c>
      <c r="CL152" s="1703">
        <f t="shared" ca="1" si="498"/>
        <v>29808587582440.187</v>
      </c>
      <c r="CM152" s="1703">
        <f t="shared" ca="1" si="498"/>
        <v>34124864674268.152</v>
      </c>
      <c r="CN152" s="1703">
        <f t="shared" ca="1" si="498"/>
        <v>41205403660921.578</v>
      </c>
      <c r="CP152" s="1706">
        <f t="shared" ca="1" si="499"/>
        <v>18744984488949.711</v>
      </c>
      <c r="CQ152" s="1706">
        <f t="shared" ca="1" si="499"/>
        <v>39299016944798.445</v>
      </c>
      <c r="CR152" s="1426" t="str">
        <f t="shared" ca="1" si="500"/>
        <v>err</v>
      </c>
    </row>
    <row r="153" spans="1:96" s="1426" customFormat="1" x14ac:dyDescent="0.2">
      <c r="A153" s="2215"/>
      <c r="B153" s="2215"/>
      <c r="C153" s="1685" t="s">
        <v>33</v>
      </c>
      <c r="D153" s="2215"/>
      <c r="E153" s="1691">
        <f t="shared" ca="1" si="489"/>
        <v>4517533500</v>
      </c>
      <c r="F153" s="1691">
        <f t="shared" ca="1" si="489"/>
        <v>46591858001.664742</v>
      </c>
      <c r="G153" s="1691">
        <f t="shared" ca="1" si="489"/>
        <v>47020034572.839424</v>
      </c>
      <c r="H153" s="1691">
        <f t="shared" ca="1" si="489"/>
        <v>44625349535.621147</v>
      </c>
      <c r="I153" s="1691">
        <f t="shared" ca="1" si="489"/>
        <v>39458095937.816635</v>
      </c>
      <c r="J153" s="1691">
        <f t="shared" ca="1" si="489"/>
        <v>35388153392.297562</v>
      </c>
      <c r="K153" s="1691">
        <f t="shared" ca="1" si="489"/>
        <v>34563783978.58432</v>
      </c>
      <c r="L153" s="1691">
        <f t="shared" ca="1" si="489"/>
        <v>34820842275.098419</v>
      </c>
      <c r="M153" s="1691">
        <f t="shared" ca="1" si="489"/>
        <v>35126977485.15155</v>
      </c>
      <c r="N153" s="675"/>
      <c r="O153" s="1691">
        <f t="shared" ca="1" si="490"/>
        <v>567376687103.552</v>
      </c>
      <c r="P153" s="1691">
        <f t="shared" ca="1" si="490"/>
        <v>589719840661.47095</v>
      </c>
      <c r="Q153" s="1691">
        <f t="shared" ca="1" si="490"/>
        <v>607444444308.16187</v>
      </c>
      <c r="R153" s="1691">
        <f t="shared" ca="1" si="490"/>
        <v>621166352957.01978</v>
      </c>
      <c r="S153" s="1691">
        <f t="shared" ca="1" si="490"/>
        <v>631327440162.50903</v>
      </c>
      <c r="T153" s="1691">
        <f t="shared" ca="1" si="490"/>
        <v>649608140700.21521</v>
      </c>
      <c r="U153" s="1691">
        <f t="shared" ca="1" si="490"/>
        <v>671356486327.82349</v>
      </c>
      <c r="V153" s="1691">
        <f t="shared" ca="1" si="490"/>
        <v>694399924873.96619</v>
      </c>
      <c r="W153" s="1691">
        <f t="shared" ca="1" si="490"/>
        <v>718812731015.19092</v>
      </c>
      <c r="X153" s="675"/>
      <c r="Y153" s="1691">
        <f t="shared" ca="1" si="491"/>
        <v>0</v>
      </c>
      <c r="Z153" s="1691">
        <f t="shared" ca="1" si="491"/>
        <v>0</v>
      </c>
      <c r="AA153" s="1691">
        <f t="shared" ca="1" si="491"/>
        <v>0</v>
      </c>
      <c r="AB153" s="1691">
        <f t="shared" ca="1" si="491"/>
        <v>0</v>
      </c>
      <c r="AC153" s="1691">
        <f t="shared" ca="1" si="491"/>
        <v>0</v>
      </c>
      <c r="AD153" s="1691">
        <f t="shared" ca="1" si="491"/>
        <v>0</v>
      </c>
      <c r="AE153" s="1691">
        <f t="shared" ca="1" si="491"/>
        <v>0</v>
      </c>
      <c r="AF153" s="1691">
        <f t="shared" ca="1" si="491"/>
        <v>0</v>
      </c>
      <c r="AG153" s="1691">
        <f t="shared" ca="1" si="491"/>
        <v>0</v>
      </c>
      <c r="AH153" s="675"/>
      <c r="AI153" s="1691">
        <f t="shared" ca="1" si="492"/>
        <v>571894220603.552</v>
      </c>
      <c r="AJ153" s="1691">
        <f t="shared" ca="1" si="492"/>
        <v>636311698663.13574</v>
      </c>
      <c r="AK153" s="1691">
        <f t="shared" ca="1" si="492"/>
        <v>654464478881.00122</v>
      </c>
      <c r="AL153" s="1691">
        <f t="shared" ca="1" si="492"/>
        <v>665791702492.64099</v>
      </c>
      <c r="AM153" s="1691">
        <f t="shared" ca="1" si="492"/>
        <v>670785536100.32568</v>
      </c>
      <c r="AN153" s="1691">
        <f t="shared" ca="1" si="492"/>
        <v>684996294092.51282</v>
      </c>
      <c r="AO153" s="1691">
        <f t="shared" ca="1" si="492"/>
        <v>705920270306.40784</v>
      </c>
      <c r="AP153" s="1691">
        <f t="shared" ca="1" si="492"/>
        <v>729220767149.06458</v>
      </c>
      <c r="AQ153" s="1691">
        <f t="shared" ca="1" si="492"/>
        <v>753939708500.34241</v>
      </c>
      <c r="AR153" s="2215"/>
      <c r="AS153" s="1707">
        <f t="shared" ca="1" si="493"/>
        <v>674813852976.55371</v>
      </c>
      <c r="AT153" s="1707">
        <f t="shared" ca="1" si="493"/>
        <v>5963863968233.3984</v>
      </c>
      <c r="AU153" s="675"/>
      <c r="AV153" s="1700"/>
      <c r="AW153" s="1692"/>
      <c r="AX153" s="675"/>
      <c r="AY153" s="1691">
        <f t="shared" ca="1" si="494"/>
        <v>1488002685.6201737</v>
      </c>
      <c r="AZ153" s="1691">
        <f t="shared" ca="1" si="494"/>
        <v>25577677817.076843</v>
      </c>
      <c r="BA153" s="1691">
        <f t="shared" ca="1" si="494"/>
        <v>25812735246.766285</v>
      </c>
      <c r="BB153" s="1691">
        <f t="shared" ca="1" si="494"/>
        <v>24498117522.073807</v>
      </c>
      <c r="BC153" s="1691">
        <f t="shared" ca="1" si="494"/>
        <v>21661434174.544445</v>
      </c>
      <c r="BD153" s="1691">
        <f t="shared" ca="1" si="494"/>
        <v>19427145102.844814</v>
      </c>
      <c r="BE153" s="1691">
        <f t="shared" ca="1" si="494"/>
        <v>18974588450.87664</v>
      </c>
      <c r="BF153" s="1691">
        <f t="shared" ca="1" si="494"/>
        <v>19115706546.836868</v>
      </c>
      <c r="BG153" s="1691">
        <f t="shared" ca="1" si="494"/>
        <v>19283766549.314606</v>
      </c>
      <c r="BH153" s="675"/>
      <c r="BI153" s="1691">
        <f t="shared" ca="1" si="495"/>
        <v>1488002685.6201737</v>
      </c>
      <c r="BJ153" s="1691">
        <f t="shared" ca="1" si="495"/>
        <v>27065680502.697014</v>
      </c>
      <c r="BK153" s="1691">
        <f t="shared" ca="1" si="495"/>
        <v>52878415749.463303</v>
      </c>
      <c r="BL153" s="1691">
        <f t="shared" ca="1" si="495"/>
        <v>75888530585.916931</v>
      </c>
      <c r="BM153" s="1691">
        <f t="shared" ca="1" si="495"/>
        <v>71972286943.384537</v>
      </c>
      <c r="BN153" s="1691">
        <f t="shared" ca="1" si="495"/>
        <v>65586696799.463066</v>
      </c>
      <c r="BO153" s="1691">
        <f t="shared" ca="1" si="495"/>
        <v>60063167728.2659</v>
      </c>
      <c r="BP153" s="1691">
        <f t="shared" ca="1" si="495"/>
        <v>57517440100.558319</v>
      </c>
      <c r="BQ153" s="1691">
        <f t="shared" ca="1" si="495"/>
        <v>57374061547.028114</v>
      </c>
      <c r="BR153" s="675"/>
      <c r="BS153" s="1702">
        <f t="shared" ca="1" si="496"/>
        <v>568864689789.17224</v>
      </c>
      <c r="BT153" s="1702">
        <f t="shared" ca="1" si="496"/>
        <v>616785521164.16797</v>
      </c>
      <c r="BU153" s="1702">
        <f t="shared" ca="1" si="496"/>
        <v>660322860057.62512</v>
      </c>
      <c r="BV153" s="1702">
        <f t="shared" ca="1" si="496"/>
        <v>697054883542.93677</v>
      </c>
      <c r="BW153" s="1702">
        <f t="shared" ca="1" si="496"/>
        <v>703299727105.89355</v>
      </c>
      <c r="BX153" s="1702">
        <f t="shared" ca="1" si="496"/>
        <v>715194837499.67822</v>
      </c>
      <c r="BY153" s="1702">
        <f t="shared" ca="1" si="496"/>
        <v>731419654056.08948</v>
      </c>
      <c r="BZ153" s="1702">
        <f t="shared" ca="1" si="496"/>
        <v>751917364974.52441</v>
      </c>
      <c r="CA153" s="1702">
        <f t="shared" ca="1" si="496"/>
        <v>776186792562.21899</v>
      </c>
      <c r="CB153" s="2215"/>
      <c r="CC153" s="1707">
        <f t="shared" ca="1" si="497"/>
        <v>691227370083.58972</v>
      </c>
      <c r="CD153" s="1707">
        <f t="shared" ca="1" si="497"/>
        <v>6004688666153.3477</v>
      </c>
      <c r="CE153" s="2215"/>
      <c r="CF153" s="1704">
        <f t="shared" ca="1" si="498"/>
        <v>-3029530814.3798265</v>
      </c>
      <c r="CG153" s="1704">
        <f t="shared" ca="1" si="498"/>
        <v>-19526177498.967724</v>
      </c>
      <c r="CH153" s="1704">
        <f t="shared" ca="1" si="498"/>
        <v>5858381176.6238747</v>
      </c>
      <c r="CI153" s="1704">
        <f t="shared" ca="1" si="498"/>
        <v>31263181050.295784</v>
      </c>
      <c r="CJ153" s="1704">
        <f t="shared" ca="1" si="498"/>
        <v>32514191005.567894</v>
      </c>
      <c r="CK153" s="1704">
        <f t="shared" ca="1" si="498"/>
        <v>30198543407.165504</v>
      </c>
      <c r="CL153" s="1704">
        <f t="shared" ca="1" si="498"/>
        <v>25499383749.68158</v>
      </c>
      <c r="CM153" s="1704">
        <f t="shared" ca="1" si="498"/>
        <v>22696597825.459904</v>
      </c>
      <c r="CN153" s="1704">
        <f t="shared" ca="1" si="498"/>
        <v>22247084061.876572</v>
      </c>
      <c r="CO153" s="2215"/>
      <c r="CP153" s="1707">
        <f t="shared" ca="1" si="499"/>
        <v>16413517107.03595</v>
      </c>
      <c r="CQ153" s="1707">
        <f t="shared" ca="1" si="499"/>
        <v>40824697919.950134</v>
      </c>
      <c r="CR153" s="1426" t="str">
        <f t="shared" ca="1" si="500"/>
        <v>ok</v>
      </c>
    </row>
    <row r="154" spans="1:96" x14ac:dyDescent="0.2">
      <c r="A154" s="2215"/>
      <c r="B154" s="2215"/>
      <c r="C154" s="1697" t="s">
        <v>102</v>
      </c>
      <c r="D154" s="2215"/>
      <c r="E154" s="1698">
        <f t="shared" si="489"/>
        <v>0</v>
      </c>
      <c r="F154" s="1698">
        <f t="shared" si="489"/>
        <v>0</v>
      </c>
      <c r="G154" s="1698">
        <f t="shared" si="489"/>
        <v>0</v>
      </c>
      <c r="H154" s="1698">
        <f t="shared" si="489"/>
        <v>0</v>
      </c>
      <c r="I154" s="1698">
        <f t="shared" si="489"/>
        <v>0</v>
      </c>
      <c r="J154" s="1698">
        <f t="shared" si="489"/>
        <v>0</v>
      </c>
      <c r="K154" s="1698">
        <f t="shared" si="489"/>
        <v>0</v>
      </c>
      <c r="L154" s="1698">
        <f t="shared" si="489"/>
        <v>0</v>
      </c>
      <c r="M154" s="1698">
        <f t="shared" si="489"/>
        <v>0</v>
      </c>
      <c r="N154" s="675"/>
      <c r="O154" s="1698">
        <f t="shared" si="490"/>
        <v>0</v>
      </c>
      <c r="P154" s="1698">
        <f t="shared" si="490"/>
        <v>0</v>
      </c>
      <c r="Q154" s="1698">
        <f t="shared" si="490"/>
        <v>0</v>
      </c>
      <c r="R154" s="1698">
        <f t="shared" si="490"/>
        <v>0</v>
      </c>
      <c r="S154" s="1698">
        <f t="shared" si="490"/>
        <v>0</v>
      </c>
      <c r="T154" s="1698">
        <f t="shared" si="490"/>
        <v>0</v>
      </c>
      <c r="U154" s="1698">
        <f t="shared" si="490"/>
        <v>0</v>
      </c>
      <c r="V154" s="1698">
        <f t="shared" si="490"/>
        <v>0</v>
      </c>
      <c r="W154" s="1698">
        <f t="shared" si="490"/>
        <v>0</v>
      </c>
      <c r="X154" s="675"/>
      <c r="Y154" s="1698">
        <f t="shared" si="491"/>
        <v>0</v>
      </c>
      <c r="Z154" s="1698">
        <f t="shared" si="491"/>
        <v>0</v>
      </c>
      <c r="AA154" s="1698">
        <f t="shared" si="491"/>
        <v>0</v>
      </c>
      <c r="AB154" s="1698">
        <f t="shared" si="491"/>
        <v>0</v>
      </c>
      <c r="AC154" s="1698">
        <f t="shared" si="491"/>
        <v>0</v>
      </c>
      <c r="AD154" s="1698">
        <f t="shared" si="491"/>
        <v>0</v>
      </c>
      <c r="AE154" s="1698">
        <f t="shared" si="491"/>
        <v>0</v>
      </c>
      <c r="AF154" s="1698">
        <f t="shared" si="491"/>
        <v>0</v>
      </c>
      <c r="AG154" s="1698">
        <f t="shared" si="491"/>
        <v>0</v>
      </c>
      <c r="AH154" s="675"/>
      <c r="AI154" s="1698">
        <f t="shared" si="492"/>
        <v>0</v>
      </c>
      <c r="AJ154" s="1698">
        <f t="shared" si="492"/>
        <v>0</v>
      </c>
      <c r="AK154" s="1698">
        <f t="shared" si="492"/>
        <v>0</v>
      </c>
      <c r="AL154" s="1698">
        <f t="shared" si="492"/>
        <v>0</v>
      </c>
      <c r="AM154" s="1698">
        <f t="shared" si="492"/>
        <v>0</v>
      </c>
      <c r="AN154" s="1698">
        <f t="shared" si="492"/>
        <v>0</v>
      </c>
      <c r="AO154" s="1698">
        <f t="shared" si="492"/>
        <v>0</v>
      </c>
      <c r="AP154" s="1698">
        <f t="shared" si="492"/>
        <v>0</v>
      </c>
      <c r="AQ154" s="1698">
        <f t="shared" si="492"/>
        <v>0</v>
      </c>
      <c r="AR154" s="2215"/>
      <c r="AS154" s="1708">
        <f t="shared" si="493"/>
        <v>0</v>
      </c>
      <c r="AT154" s="1708">
        <f t="shared" si="493"/>
        <v>0</v>
      </c>
      <c r="AU154" s="675"/>
      <c r="AV154" s="1699"/>
      <c r="AW154" s="1690"/>
      <c r="AX154" s="675"/>
      <c r="AY154" s="1698">
        <f t="shared" si="494"/>
        <v>0</v>
      </c>
      <c r="AZ154" s="1698">
        <f t="shared" si="494"/>
        <v>0</v>
      </c>
      <c r="BA154" s="1698">
        <f t="shared" si="494"/>
        <v>0</v>
      </c>
      <c r="BB154" s="1698">
        <f t="shared" si="494"/>
        <v>0</v>
      </c>
      <c r="BC154" s="1698">
        <f t="shared" si="494"/>
        <v>0</v>
      </c>
      <c r="BD154" s="1698">
        <f t="shared" si="494"/>
        <v>0</v>
      </c>
      <c r="BE154" s="1698">
        <f t="shared" si="494"/>
        <v>0</v>
      </c>
      <c r="BF154" s="1698">
        <f t="shared" si="494"/>
        <v>0</v>
      </c>
      <c r="BG154" s="1698">
        <f t="shared" si="494"/>
        <v>0</v>
      </c>
      <c r="BH154" s="675"/>
      <c r="BI154" s="1698">
        <f t="shared" si="495"/>
        <v>0</v>
      </c>
      <c r="BJ154" s="1698">
        <f t="shared" si="495"/>
        <v>0</v>
      </c>
      <c r="BK154" s="1698">
        <f t="shared" si="495"/>
        <v>0</v>
      </c>
      <c r="BL154" s="1698">
        <f t="shared" si="495"/>
        <v>0</v>
      </c>
      <c r="BM154" s="1698">
        <f t="shared" si="495"/>
        <v>0</v>
      </c>
      <c r="BN154" s="1698">
        <f t="shared" si="495"/>
        <v>0</v>
      </c>
      <c r="BO154" s="1698">
        <f t="shared" si="495"/>
        <v>0</v>
      </c>
      <c r="BP154" s="1698">
        <f t="shared" si="495"/>
        <v>0</v>
      </c>
      <c r="BQ154" s="1698">
        <f t="shared" si="495"/>
        <v>0</v>
      </c>
      <c r="BR154" s="675"/>
      <c r="BS154" s="1698">
        <f t="shared" si="496"/>
        <v>0</v>
      </c>
      <c r="BT154" s="1698">
        <f t="shared" si="496"/>
        <v>0</v>
      </c>
      <c r="BU154" s="1698">
        <f t="shared" si="496"/>
        <v>0</v>
      </c>
      <c r="BV154" s="1698">
        <f t="shared" si="496"/>
        <v>0</v>
      </c>
      <c r="BW154" s="1698">
        <f t="shared" si="496"/>
        <v>0</v>
      </c>
      <c r="BX154" s="1698">
        <f t="shared" si="496"/>
        <v>0</v>
      </c>
      <c r="BY154" s="1698">
        <f t="shared" si="496"/>
        <v>0</v>
      </c>
      <c r="BZ154" s="1698">
        <f t="shared" si="496"/>
        <v>0</v>
      </c>
      <c r="CA154" s="1698">
        <f t="shared" si="496"/>
        <v>0</v>
      </c>
      <c r="CB154" s="2215"/>
      <c r="CC154" s="1708">
        <f t="shared" si="497"/>
        <v>0</v>
      </c>
      <c r="CD154" s="1708">
        <f t="shared" si="497"/>
        <v>0</v>
      </c>
      <c r="CE154" s="2215"/>
      <c r="CF154" s="1698">
        <f t="shared" si="498"/>
        <v>0</v>
      </c>
      <c r="CG154" s="1698">
        <f t="shared" si="498"/>
        <v>0</v>
      </c>
      <c r="CH154" s="1698">
        <f t="shared" si="498"/>
        <v>0</v>
      </c>
      <c r="CI154" s="1698">
        <f t="shared" si="498"/>
        <v>0</v>
      </c>
      <c r="CJ154" s="1698">
        <f t="shared" si="498"/>
        <v>0</v>
      </c>
      <c r="CK154" s="1698">
        <f t="shared" si="498"/>
        <v>0</v>
      </c>
      <c r="CL154" s="1698">
        <f t="shared" si="498"/>
        <v>0</v>
      </c>
      <c r="CM154" s="1698">
        <f t="shared" si="498"/>
        <v>0</v>
      </c>
      <c r="CN154" s="1698">
        <f t="shared" si="498"/>
        <v>0</v>
      </c>
      <c r="CO154" s="2215"/>
      <c r="CP154" s="1708">
        <f t="shared" si="499"/>
        <v>0</v>
      </c>
      <c r="CQ154" s="1708">
        <f t="shared" si="499"/>
        <v>0</v>
      </c>
      <c r="CR154" s="1426" t="str">
        <f t="shared" si="500"/>
        <v>ok</v>
      </c>
    </row>
    <row r="155" spans="1:96" s="2215" customFormat="1" x14ac:dyDescent="0.2">
      <c r="C155" s="1685" t="s">
        <v>105</v>
      </c>
      <c r="E155" s="2216">
        <f t="shared" ref="E155:M155" ca="1" si="501">SUM(E148:E154)</f>
        <v>1325018540551.1677</v>
      </c>
      <c r="F155" s="1691">
        <f t="shared" ca="1" si="501"/>
        <v>59339828025582.609</v>
      </c>
      <c r="G155" s="1691">
        <f t="shared" ca="1" si="501"/>
        <v>41513974506472.883</v>
      </c>
      <c r="H155" s="1691">
        <f t="shared" ca="1" si="501"/>
        <v>50088727653682.219</v>
      </c>
      <c r="I155" s="1691">
        <f t="shared" ca="1" si="501"/>
        <v>60107320655232.898</v>
      </c>
      <c r="J155" s="1691">
        <f t="shared" ca="1" si="501"/>
        <v>73304579003471.25</v>
      </c>
      <c r="K155" s="1691">
        <f t="shared" ca="1" si="501"/>
        <v>82108216176883.906</v>
      </c>
      <c r="L155" s="1691">
        <f t="shared" ca="1" si="501"/>
        <v>101011606001079.56</v>
      </c>
      <c r="M155" s="1691">
        <f t="shared" ca="1" si="501"/>
        <v>112333068565081.64</v>
      </c>
      <c r="N155" s="675"/>
      <c r="O155" s="1691">
        <f t="shared" ref="O155:W155" ca="1" si="502">SUM(O148:O154)</f>
        <v>71202938475905.312</v>
      </c>
      <c r="P155" s="1691">
        <f t="shared" ca="1" si="502"/>
        <v>717009590213225.37</v>
      </c>
      <c r="Q155" s="1691">
        <f t="shared" ca="1" si="502"/>
        <v>860507498093024</v>
      </c>
      <c r="R155" s="1691">
        <f t="shared" ca="1" si="502"/>
        <v>1030594432277782</v>
      </c>
      <c r="S155" s="1691">
        <f t="shared" ca="1" si="502"/>
        <v>1230011036664731.5</v>
      </c>
      <c r="T155" s="1691">
        <f t="shared" ca="1" si="502"/>
        <v>1463708017719361</v>
      </c>
      <c r="U155" s="1691">
        <f t="shared" ca="1" si="502"/>
        <v>1694958421140113</v>
      </c>
      <c r="V155" s="1691">
        <f t="shared" ca="1" si="502"/>
        <v>1957282704351665</v>
      </c>
      <c r="W155" s="1691">
        <f t="shared" ca="1" si="502"/>
        <v>2252120821722956.5</v>
      </c>
      <c r="X155" s="675"/>
      <c r="Y155" s="1691">
        <f t="shared" ref="Y155:AG155" ca="1" si="503">SUM(Y148:Y154)</f>
        <v>10086251022054.367</v>
      </c>
      <c r="Z155" s="1691">
        <f t="shared" ca="1" si="503"/>
        <v>11304643918628.098</v>
      </c>
      <c r="AA155" s="1691">
        <f t="shared" ca="1" si="503"/>
        <v>12169530828333.715</v>
      </c>
      <c r="AB155" s="1691">
        <f t="shared" ca="1" si="503"/>
        <v>13298796493018.033</v>
      </c>
      <c r="AC155" s="1691">
        <f t="shared" ca="1" si="503"/>
        <v>15291424292461.312</v>
      </c>
      <c r="AD155" s="1691">
        <f t="shared" ca="1" si="503"/>
        <v>17864882037967.676</v>
      </c>
      <c r="AE155" s="1691">
        <f t="shared" ca="1" si="503"/>
        <v>20414497724206.25</v>
      </c>
      <c r="AF155" s="1691">
        <f t="shared" ca="1" si="503"/>
        <v>23101596709104.66</v>
      </c>
      <c r="AG155" s="1691">
        <f t="shared" ca="1" si="503"/>
        <v>26264444104405.895</v>
      </c>
      <c r="AH155" s="675"/>
      <c r="AI155" s="1691">
        <f t="shared" ref="AI155:AQ155" ca="1" si="504">SUM(AI148:AI154)</f>
        <v>82614208038510.844</v>
      </c>
      <c r="AJ155" s="1691">
        <f t="shared" ca="1" si="504"/>
        <v>787654062157435.87</v>
      </c>
      <c r="AK155" s="1691">
        <f t="shared" ca="1" si="504"/>
        <v>914191003427830.37</v>
      </c>
      <c r="AL155" s="1691">
        <f t="shared" ca="1" si="504"/>
        <v>1093981956424482.4</v>
      </c>
      <c r="AM155" s="1691">
        <f t="shared" ca="1" si="504"/>
        <v>1305409781612425.7</v>
      </c>
      <c r="AN155" s="1691">
        <f t="shared" ca="1" si="504"/>
        <v>1554877478760799.5</v>
      </c>
      <c r="AO155" s="1691">
        <f t="shared" ca="1" si="504"/>
        <v>1797481135041203.5</v>
      </c>
      <c r="AP155" s="1691">
        <f t="shared" ca="1" si="504"/>
        <v>2081395907061848.7</v>
      </c>
      <c r="AQ155" s="1691">
        <f t="shared" ca="1" si="504"/>
        <v>2390718334392444.5</v>
      </c>
      <c r="AS155" s="1707">
        <f ca="1">SUM(AS148:AS154)</f>
        <v>1334258207435220</v>
      </c>
      <c r="AT155" s="1707">
        <f ca="1">SUM(AT148:AT154)</f>
        <v>8826732411133184</v>
      </c>
      <c r="AU155" s="675"/>
      <c r="AV155" s="1700"/>
      <c r="AW155" s="1692"/>
      <c r="AX155" s="675"/>
      <c r="AY155" s="1691">
        <f t="shared" ref="AY155:BG155" ca="1" si="505">SUM(AY148:AY154)</f>
        <v>362452367074.08539</v>
      </c>
      <c r="AZ155" s="1691">
        <f t="shared" ca="1" si="505"/>
        <v>32474980882472.422</v>
      </c>
      <c r="BA155" s="1691">
        <f t="shared" ca="1" si="505"/>
        <v>22435118534764.301</v>
      </c>
      <c r="BB155" s="1691">
        <f t="shared" ca="1" si="505"/>
        <v>27118090216819.457</v>
      </c>
      <c r="BC155" s="1691">
        <f t="shared" ca="1" si="505"/>
        <v>32456051811780</v>
      </c>
      <c r="BD155" s="1691">
        <f t="shared" ca="1" si="505"/>
        <v>39612466788081.187</v>
      </c>
      <c r="BE155" s="1691">
        <f t="shared" ca="1" si="505"/>
        <v>44104167484724.953</v>
      </c>
      <c r="BF155" s="1691">
        <f t="shared" ca="1" si="505"/>
        <v>54009115090905.367</v>
      </c>
      <c r="BG155" s="1691">
        <f t="shared" ca="1" si="505"/>
        <v>59839935847046.391</v>
      </c>
      <c r="BH155" s="675"/>
      <c r="BI155" s="1691">
        <f t="shared" ref="BI155:BQ155" ca="1" si="506">SUM(BI148:BI154)</f>
        <v>362452367074.08539</v>
      </c>
      <c r="BJ155" s="1691">
        <f t="shared" ca="1" si="506"/>
        <v>32837433249546.504</v>
      </c>
      <c r="BK155" s="1691">
        <f t="shared" ca="1" si="506"/>
        <v>55264819572935.039</v>
      </c>
      <c r="BL155" s="1691">
        <f t="shared" ca="1" si="506"/>
        <v>81670427135958.375</v>
      </c>
      <c r="BM155" s="1691">
        <f t="shared" ca="1" si="506"/>
        <v>82333916260047.359</v>
      </c>
      <c r="BN155" s="1691">
        <f t="shared" ca="1" si="506"/>
        <v>100991602599793.09</v>
      </c>
      <c r="BO155" s="1691">
        <f t="shared" ca="1" si="506"/>
        <v>119618030389756.56</v>
      </c>
      <c r="BP155" s="1691">
        <f t="shared" ca="1" si="506"/>
        <v>144357392018618.81</v>
      </c>
      <c r="BQ155" s="1691">
        <f t="shared" ca="1" si="506"/>
        <v>164201506968397.75</v>
      </c>
      <c r="BR155" s="675"/>
      <c r="BS155" s="1702">
        <f t="shared" ref="BS155:CA155" ca="1" si="507">SUM(BS148:BS154)</f>
        <v>81651641865033.766</v>
      </c>
      <c r="BT155" s="1702">
        <f t="shared" ca="1" si="507"/>
        <v>761151667381399.75</v>
      </c>
      <c r="BU155" s="1702">
        <f t="shared" ca="1" si="507"/>
        <v>927941848494292.75</v>
      </c>
      <c r="BV155" s="1702">
        <f t="shared" ca="1" si="507"/>
        <v>1125563655906758.2</v>
      </c>
      <c r="BW155" s="1702">
        <f t="shared" ca="1" si="507"/>
        <v>1327636377217240.2</v>
      </c>
      <c r="BX155" s="1702">
        <f t="shared" ca="1" si="507"/>
        <v>1582564502357121.7</v>
      </c>
      <c r="BY155" s="1702">
        <f t="shared" ca="1" si="507"/>
        <v>1834990949254076</v>
      </c>
      <c r="BZ155" s="1702">
        <f t="shared" ca="1" si="507"/>
        <v>2124741693079388.5</v>
      </c>
      <c r="CA155" s="1702">
        <f t="shared" ca="1" si="507"/>
        <v>2442586772795759.5</v>
      </c>
      <c r="CC155" s="1707">
        <f ca="1">SUM(CC148:CC154)</f>
        <v>1356536567594563.7</v>
      </c>
      <c r="CD155" s="1707">
        <f ca="1">SUM(CD148:CD154)</f>
        <v>8869617565875805</v>
      </c>
      <c r="CF155" s="1704">
        <f t="shared" ref="CF155:CN155" ca="1" si="508">SUM(CF148:CF154)</f>
        <v>-962566173477.08228</v>
      </c>
      <c r="CG155" s="1704">
        <f t="shared" ca="1" si="508"/>
        <v>-26502394776036.109</v>
      </c>
      <c r="CH155" s="1704">
        <f t="shared" ca="1" si="508"/>
        <v>13750845066462.154</v>
      </c>
      <c r="CI155" s="1704">
        <f t="shared" ca="1" si="508"/>
        <v>31581699482276.145</v>
      </c>
      <c r="CJ155" s="1704">
        <f t="shared" ca="1" si="508"/>
        <v>22226595604814.445</v>
      </c>
      <c r="CK155" s="1704">
        <f t="shared" ca="1" si="508"/>
        <v>27687023596321.852</v>
      </c>
      <c r="CL155" s="1704">
        <f t="shared" ca="1" si="508"/>
        <v>37509814212872.648</v>
      </c>
      <c r="CM155" s="1704">
        <f t="shared" ca="1" si="508"/>
        <v>43345786017539.227</v>
      </c>
      <c r="CN155" s="1704">
        <f t="shared" ca="1" si="508"/>
        <v>51868438403316.078</v>
      </c>
      <c r="CP155" s="1707">
        <f ca="1">SUM(CP148:CP154)</f>
        <v>22278360159343.266</v>
      </c>
      <c r="CQ155" s="1707">
        <f ca="1">SUM(CQ148:CQ154)</f>
        <v>42885154742620.609</v>
      </c>
      <c r="CR155" s="1426" t="str">
        <f t="shared" ca="1" si="500"/>
        <v>ok</v>
      </c>
    </row>
    <row r="156" spans="1:96" s="2215" customFormat="1" x14ac:dyDescent="0.2">
      <c r="A156" s="1426"/>
      <c r="B156" s="1426"/>
      <c r="C156" s="1426"/>
      <c r="D156" s="1426"/>
      <c r="E156" s="2217" t="str">
        <f t="shared" ref="E156:M156" ca="1" si="509">IF(ROUND(E155-E87,0)=0,"ok",E155-E87)</f>
        <v>ok</v>
      </c>
      <c r="F156" s="2217" t="str">
        <f t="shared" ca="1" si="509"/>
        <v>ok</v>
      </c>
      <c r="G156" s="2217" t="str">
        <f t="shared" ca="1" si="509"/>
        <v>ok</v>
      </c>
      <c r="H156" s="2217" t="str">
        <f t="shared" ca="1" si="509"/>
        <v>ok</v>
      </c>
      <c r="I156" s="2217" t="str">
        <f t="shared" ca="1" si="509"/>
        <v>ok</v>
      </c>
      <c r="J156" s="2217" t="str">
        <f t="shared" ca="1" si="509"/>
        <v>ok</v>
      </c>
      <c r="K156" s="2217" t="str">
        <f t="shared" ca="1" si="509"/>
        <v>ok</v>
      </c>
      <c r="L156" s="2217" t="str">
        <f t="shared" ca="1" si="509"/>
        <v>ok</v>
      </c>
      <c r="M156" s="2217" t="str">
        <f t="shared" ca="1" si="509"/>
        <v>ok</v>
      </c>
      <c r="N156" s="1426"/>
      <c r="O156" s="2217" t="str">
        <f t="shared" ref="O156:W156" ca="1" si="510">IF(ROUND(O155-O87,0)=0,"ok",O155-O87)</f>
        <v>ok</v>
      </c>
      <c r="P156" s="2217" t="str">
        <f t="shared" ca="1" si="510"/>
        <v>ok</v>
      </c>
      <c r="Q156" s="2217" t="str">
        <f t="shared" ca="1" si="510"/>
        <v>ok</v>
      </c>
      <c r="R156" s="2217" t="str">
        <f t="shared" ca="1" si="510"/>
        <v>ok</v>
      </c>
      <c r="S156" s="2217" t="str">
        <f t="shared" ca="1" si="510"/>
        <v>ok</v>
      </c>
      <c r="T156" s="2217" t="str">
        <f t="shared" ca="1" si="510"/>
        <v>ok</v>
      </c>
      <c r="U156" s="2217" t="str">
        <f t="shared" ca="1" si="510"/>
        <v>ok</v>
      </c>
      <c r="V156" s="2217" t="str">
        <f t="shared" ca="1" si="510"/>
        <v>ok</v>
      </c>
      <c r="W156" s="2217" t="str">
        <f t="shared" ca="1" si="510"/>
        <v>ok</v>
      </c>
      <c r="X156" s="1426"/>
      <c r="Y156" s="2217" t="str">
        <f t="shared" ref="Y156:AG156" ca="1" si="511">IF(ROUND(Y155-Y87,0)=0,"ok",Y155-Y87)</f>
        <v>ok</v>
      </c>
      <c r="Z156" s="2217" t="str">
        <f t="shared" ca="1" si="511"/>
        <v>ok</v>
      </c>
      <c r="AA156" s="2217" t="str">
        <f t="shared" ca="1" si="511"/>
        <v>ok</v>
      </c>
      <c r="AB156" s="2217" t="str">
        <f t="shared" ca="1" si="511"/>
        <v>ok</v>
      </c>
      <c r="AC156" s="2217" t="str">
        <f t="shared" ca="1" si="511"/>
        <v>ok</v>
      </c>
      <c r="AD156" s="2217" t="str">
        <f t="shared" ca="1" si="511"/>
        <v>ok</v>
      </c>
      <c r="AE156" s="2217" t="str">
        <f t="shared" ca="1" si="511"/>
        <v>ok</v>
      </c>
      <c r="AF156" s="2217" t="str">
        <f t="shared" ca="1" si="511"/>
        <v>ok</v>
      </c>
      <c r="AG156" s="2217" t="str">
        <f t="shared" ca="1" si="511"/>
        <v>ok</v>
      </c>
      <c r="AH156" s="1426"/>
      <c r="AI156" s="2217" t="str">
        <f t="shared" ref="AI156:AQ156" ca="1" si="512">IF(ROUND(AI155-AI87,0)=0,"ok",AI155-AI87)</f>
        <v>ok</v>
      </c>
      <c r="AJ156" s="2217" t="str">
        <f t="shared" ca="1" si="512"/>
        <v>ok</v>
      </c>
      <c r="AK156" s="2217" t="str">
        <f t="shared" ca="1" si="512"/>
        <v>ok</v>
      </c>
      <c r="AL156" s="2217" t="str">
        <f t="shared" ca="1" si="512"/>
        <v>ok</v>
      </c>
      <c r="AM156" s="2217" t="str">
        <f t="shared" ca="1" si="512"/>
        <v>ok</v>
      </c>
      <c r="AN156" s="2217" t="str">
        <f t="shared" ca="1" si="512"/>
        <v>ok</v>
      </c>
      <c r="AO156" s="2217" t="str">
        <f t="shared" ca="1" si="512"/>
        <v>ok</v>
      </c>
      <c r="AP156" s="2217">
        <f t="shared" ca="1" si="512"/>
        <v>-0.75</v>
      </c>
      <c r="AQ156" s="2217">
        <f t="shared" ca="1" si="512"/>
        <v>1</v>
      </c>
      <c r="AR156" s="1426"/>
      <c r="AS156" s="2217" t="str">
        <f ca="1">IF(ROUND(AS155-AS87,0)=0,"ok",AS155-AS87)</f>
        <v>ok</v>
      </c>
      <c r="AT156" s="2217">
        <f ca="1">IF(ROUND(AT155-AT87,0)=0,"ok",AT155-AT87)</f>
        <v>-1</v>
      </c>
      <c r="AU156" s="1426"/>
      <c r="AV156" s="1426"/>
      <c r="AW156" s="1426"/>
      <c r="AX156" s="1426"/>
      <c r="AY156" s="2217" t="str">
        <f t="shared" ref="AY156:BG156" ca="1" si="513">IF(ROUND(AY155-AY87,0)=0,"ok",AY155-AY87)</f>
        <v>ok</v>
      </c>
      <c r="AZ156" s="2217" t="str">
        <f t="shared" ca="1" si="513"/>
        <v>ok</v>
      </c>
      <c r="BA156" s="2217" t="str">
        <f t="shared" ca="1" si="513"/>
        <v>ok</v>
      </c>
      <c r="BB156" s="2217" t="str">
        <f t="shared" ca="1" si="513"/>
        <v>ok</v>
      </c>
      <c r="BC156" s="2217" t="str">
        <f t="shared" ca="1" si="513"/>
        <v>ok</v>
      </c>
      <c r="BD156" s="2217" t="str">
        <f t="shared" ca="1" si="513"/>
        <v>ok</v>
      </c>
      <c r="BE156" s="2217" t="str">
        <f t="shared" ca="1" si="513"/>
        <v>ok</v>
      </c>
      <c r="BF156" s="2217" t="str">
        <f t="shared" ca="1" si="513"/>
        <v>ok</v>
      </c>
      <c r="BG156" s="2217" t="str">
        <f t="shared" ca="1" si="513"/>
        <v>ok</v>
      </c>
      <c r="BH156" s="1426"/>
      <c r="BI156" s="2217" t="str">
        <f t="shared" ref="BI156:BQ156" ca="1" si="514">IF(ROUND(BI155-BI87,0)=0,"ok",BI155-BI87)</f>
        <v>ok</v>
      </c>
      <c r="BJ156" s="2217" t="str">
        <f t="shared" ca="1" si="514"/>
        <v>ok</v>
      </c>
      <c r="BK156" s="2217" t="str">
        <f t="shared" ca="1" si="514"/>
        <v>ok</v>
      </c>
      <c r="BL156" s="2217" t="str">
        <f t="shared" ca="1" si="514"/>
        <v>ok</v>
      </c>
      <c r="BM156" s="2217" t="str">
        <f t="shared" ca="1" si="514"/>
        <v>ok</v>
      </c>
      <c r="BN156" s="2217" t="str">
        <f t="shared" ca="1" si="514"/>
        <v>ok</v>
      </c>
      <c r="BO156" s="2217" t="str">
        <f t="shared" ca="1" si="514"/>
        <v>ok</v>
      </c>
      <c r="BP156" s="2217" t="str">
        <f t="shared" ca="1" si="514"/>
        <v>ok</v>
      </c>
      <c r="BQ156" s="2217" t="str">
        <f t="shared" ca="1" si="514"/>
        <v>ok</v>
      </c>
      <c r="BR156" s="1426"/>
      <c r="BS156" s="2217" t="str">
        <f t="shared" ref="BS156:CA156" ca="1" si="515">IF(ROUND(BS155-BS87,0)=0,"ok",BS155-BS87)</f>
        <v>ok</v>
      </c>
      <c r="BT156" s="2217" t="str">
        <f t="shared" ca="1" si="515"/>
        <v>ok</v>
      </c>
      <c r="BU156" s="2217" t="str">
        <f t="shared" ca="1" si="515"/>
        <v>ok</v>
      </c>
      <c r="BV156" s="2217" t="str">
        <f t="shared" ca="1" si="515"/>
        <v>ok</v>
      </c>
      <c r="BW156" s="2217" t="str">
        <f t="shared" ca="1" si="515"/>
        <v>ok</v>
      </c>
      <c r="BX156" s="2217" t="str">
        <f t="shared" ca="1" si="515"/>
        <v>ok</v>
      </c>
      <c r="BY156" s="2217" t="str">
        <f t="shared" ca="1" si="515"/>
        <v>ok</v>
      </c>
      <c r="BZ156" s="2217">
        <f t="shared" ca="1" si="515"/>
        <v>-0.5</v>
      </c>
      <c r="CA156" s="2217" t="str">
        <f t="shared" ca="1" si="515"/>
        <v>ok</v>
      </c>
      <c r="CB156" s="1426"/>
      <c r="CC156" s="2217" t="str">
        <f ca="1">IF(ROUND(CC155-CC87,0)=0,"ok",CC155-CC87)</f>
        <v>ok</v>
      </c>
      <c r="CD156" s="2217" t="str">
        <f ca="1">IF(ROUND(CD155-CD87,0)=0,"ok",CD155-CD87)</f>
        <v>ok</v>
      </c>
      <c r="CE156" s="1426"/>
      <c r="CF156" s="2217" t="str">
        <f t="shared" ref="CF156:CN156" ca="1" si="516">IF(ROUND(CF155-CF87,0)=0,"ok",CF155-CF87)</f>
        <v>ok</v>
      </c>
      <c r="CG156" s="2217" t="str">
        <f t="shared" ca="1" si="516"/>
        <v>ok</v>
      </c>
      <c r="CH156" s="2217" t="str">
        <f t="shared" ca="1" si="516"/>
        <v>ok</v>
      </c>
      <c r="CI156" s="2217" t="str">
        <f t="shared" ca="1" si="516"/>
        <v>ok</v>
      </c>
      <c r="CJ156" s="2217" t="str">
        <f t="shared" ca="1" si="516"/>
        <v>ok</v>
      </c>
      <c r="CK156" s="2217" t="str">
        <f t="shared" ca="1" si="516"/>
        <v>ok</v>
      </c>
      <c r="CL156" s="2217" t="str">
        <f t="shared" ca="1" si="516"/>
        <v>ok</v>
      </c>
      <c r="CM156" s="2217" t="str">
        <f t="shared" ca="1" si="516"/>
        <v>ok</v>
      </c>
      <c r="CN156" s="2217" t="str">
        <f t="shared" ca="1" si="516"/>
        <v>ok</v>
      </c>
      <c r="CO156" s="1426"/>
      <c r="CP156" s="2217" t="str">
        <f ca="1">IF(ROUND(CP155-CP87,0)=0,"ok",CP155-CP87)</f>
        <v>ok</v>
      </c>
      <c r="CQ156" s="2217" t="str">
        <f ca="1">IF(ROUND(CQ155-CQ87,0)=0,"ok",CQ155-CQ87)</f>
        <v>ok</v>
      </c>
    </row>
    <row r="157" spans="1:96" s="2215" customFormat="1" x14ac:dyDescent="0.2">
      <c r="A157" s="1352"/>
      <c r="B157" s="1352"/>
      <c r="C157" s="1352"/>
      <c r="D157" s="1352"/>
      <c r="E157" s="1352"/>
      <c r="F157" s="1352"/>
      <c r="G157" s="1352"/>
      <c r="H157" s="1352"/>
      <c r="I157" s="1352"/>
      <c r="J157" s="1352"/>
      <c r="K157" s="1352"/>
      <c r="L157" s="1352"/>
      <c r="M157" s="1352"/>
      <c r="N157" s="1352"/>
      <c r="O157" s="1352"/>
      <c r="P157" s="1352"/>
      <c r="Q157" s="1352"/>
      <c r="R157" s="1352"/>
      <c r="S157" s="1352"/>
      <c r="T157" s="1352"/>
      <c r="U157" s="1352"/>
      <c r="V157" s="1352"/>
      <c r="W157" s="1352"/>
      <c r="X157" s="1352"/>
      <c r="Y157" s="1352"/>
      <c r="Z157" s="1352"/>
      <c r="AA157" s="1352"/>
      <c r="AB157" s="1352"/>
      <c r="AC157" s="1352"/>
      <c r="AD157" s="1352"/>
      <c r="AE157" s="1352"/>
      <c r="AF157" s="1352"/>
      <c r="AG157" s="1352"/>
      <c r="AH157" s="1352"/>
      <c r="AI157" s="1352"/>
      <c r="AJ157" s="1352"/>
      <c r="AK157" s="1352"/>
      <c r="AL157" s="1352"/>
      <c r="AM157" s="1352"/>
      <c r="AN157" s="1352"/>
      <c r="AO157" s="1352"/>
      <c r="AP157" s="1352"/>
      <c r="AQ157" s="1352"/>
      <c r="AR157" s="1673"/>
      <c r="AS157" s="1501"/>
      <c r="AT157" s="1489"/>
      <c r="AU157" s="1489"/>
      <c r="AV157" s="1489"/>
      <c r="AW157" s="1489"/>
      <c r="AX157" s="1489"/>
      <c r="AY157" s="1352"/>
      <c r="AZ157" s="1352"/>
      <c r="BA157" s="1352"/>
      <c r="BB157" s="1352"/>
      <c r="BC157" s="1352"/>
      <c r="BD157" s="1352"/>
      <c r="BE157" s="1352"/>
      <c r="BF157" s="1352"/>
      <c r="BG157" s="1489"/>
      <c r="BH157" s="1489"/>
      <c r="BI157" s="1352"/>
      <c r="BJ157" s="1352"/>
      <c r="BK157" s="1352"/>
      <c r="BL157" s="1352"/>
      <c r="BM157" s="1352"/>
      <c r="BN157" s="1352"/>
      <c r="BO157" s="1352"/>
      <c r="BP157" s="1352"/>
      <c r="BQ157" s="1352"/>
      <c r="BR157" s="1489"/>
      <c r="BS157" s="1352"/>
      <c r="BT157" s="1352"/>
      <c r="BU157" s="1352"/>
      <c r="BV157" s="1352"/>
      <c r="BW157" s="1352"/>
      <c r="BX157" s="1352"/>
      <c r="BY157" s="1352"/>
      <c r="BZ157" s="1352"/>
      <c r="CA157" s="1352"/>
      <c r="CB157" s="1673"/>
      <c r="CC157" s="1673"/>
      <c r="CD157" s="1673"/>
      <c r="CE157" s="1352"/>
      <c r="CF157" s="1352"/>
      <c r="CG157" s="1352"/>
      <c r="CH157" s="1352"/>
      <c r="CI157" s="1352"/>
      <c r="CJ157" s="1352"/>
      <c r="CK157" s="1352"/>
      <c r="CL157" s="1352"/>
      <c r="CM157" s="1352"/>
      <c r="CN157" s="1352"/>
      <c r="CO157" s="1673"/>
      <c r="CP157" s="1673"/>
      <c r="CQ157" s="1673"/>
      <c r="CR157" s="1352"/>
    </row>
    <row r="158" spans="1:96" s="2215" customFormat="1" x14ac:dyDescent="0.2">
      <c r="C158" s="1427" t="str">
        <f>Preferences.moneyunits</f>
        <v>N</v>
      </c>
      <c r="E158" s="17" t="s">
        <v>1391</v>
      </c>
      <c r="F158" s="2215" t="s">
        <v>1392</v>
      </c>
      <c r="O158" s="17" t="s">
        <v>1393</v>
      </c>
      <c r="P158" s="2215" t="s">
        <v>1394</v>
      </c>
      <c r="Y158" s="17" t="s">
        <v>1395</v>
      </c>
      <c r="Z158" s="2215" t="s">
        <v>1396</v>
      </c>
      <c r="AI158" s="17" t="s">
        <v>1397</v>
      </c>
      <c r="AS158" s="2215" t="s">
        <v>1826</v>
      </c>
      <c r="AV158" s="2214" t="s">
        <v>1613</v>
      </c>
      <c r="AY158" s="17" t="s">
        <v>1956</v>
      </c>
      <c r="BI158" s="17" t="s">
        <v>1957</v>
      </c>
      <c r="BR158" s="2357" t="s">
        <v>2064</v>
      </c>
      <c r="BS158" s="17"/>
      <c r="CA158" s="1245">
        <f ca="1">((AVERAGE(BS155:CA155))/CD110)*1000000</f>
        <v>19049208.005170349</v>
      </c>
      <c r="CC158" s="2215" t="s">
        <v>1825</v>
      </c>
      <c r="CF158" s="2215" t="s">
        <v>1733</v>
      </c>
      <c r="CP158" s="2215" t="s">
        <v>1733</v>
      </c>
    </row>
    <row r="159" spans="1:96" s="2215" customFormat="1" ht="13.5" thickBot="1" x14ac:dyDescent="0.25">
      <c r="C159" s="1682" t="s">
        <v>67</v>
      </c>
      <c r="E159" s="1696" t="s">
        <v>241</v>
      </c>
      <c r="F159" s="1696" t="s">
        <v>268</v>
      </c>
      <c r="G159" s="1696" t="s">
        <v>269</v>
      </c>
      <c r="H159" s="1696" t="s">
        <v>270</v>
      </c>
      <c r="I159" s="1696" t="s">
        <v>271</v>
      </c>
      <c r="J159" s="1696" t="s">
        <v>272</v>
      </c>
      <c r="K159" s="1696" t="s">
        <v>273</v>
      </c>
      <c r="L159" s="1696" t="s">
        <v>274</v>
      </c>
      <c r="M159" s="1696" t="s">
        <v>275</v>
      </c>
      <c r="N159" s="1427"/>
      <c r="O159" s="1696" t="s">
        <v>241</v>
      </c>
      <c r="P159" s="1696" t="s">
        <v>268</v>
      </c>
      <c r="Q159" s="1696" t="s">
        <v>269</v>
      </c>
      <c r="R159" s="1696" t="s">
        <v>270</v>
      </c>
      <c r="S159" s="1696" t="s">
        <v>271</v>
      </c>
      <c r="T159" s="1696" t="s">
        <v>272</v>
      </c>
      <c r="U159" s="1696" t="s">
        <v>273</v>
      </c>
      <c r="V159" s="1696" t="s">
        <v>274</v>
      </c>
      <c r="W159" s="1696" t="s">
        <v>275</v>
      </c>
      <c r="X159" s="1427"/>
      <c r="Y159" s="1696" t="s">
        <v>241</v>
      </c>
      <c r="Z159" s="1696" t="s">
        <v>268</v>
      </c>
      <c r="AA159" s="1696" t="s">
        <v>269</v>
      </c>
      <c r="AB159" s="1696" t="s">
        <v>270</v>
      </c>
      <c r="AC159" s="1696" t="s">
        <v>271</v>
      </c>
      <c r="AD159" s="1696" t="s">
        <v>272</v>
      </c>
      <c r="AE159" s="1696" t="s">
        <v>273</v>
      </c>
      <c r="AF159" s="1696" t="s">
        <v>274</v>
      </c>
      <c r="AG159" s="1696" t="s">
        <v>275</v>
      </c>
      <c r="AH159" s="1427"/>
      <c r="AI159" s="1696" t="s">
        <v>241</v>
      </c>
      <c r="AJ159" s="1696" t="s">
        <v>268</v>
      </c>
      <c r="AK159" s="1696" t="s">
        <v>269</v>
      </c>
      <c r="AL159" s="1696" t="s">
        <v>270</v>
      </c>
      <c r="AM159" s="1696" t="s">
        <v>271</v>
      </c>
      <c r="AN159" s="1696" t="s">
        <v>272</v>
      </c>
      <c r="AO159" s="1696" t="s">
        <v>273</v>
      </c>
      <c r="AP159" s="1696" t="s">
        <v>274</v>
      </c>
      <c r="AQ159" s="1696" t="s">
        <v>275</v>
      </c>
      <c r="AS159" s="1705" t="s">
        <v>1734</v>
      </c>
      <c r="AT159" s="1705" t="s">
        <v>1389</v>
      </c>
      <c r="AU159" s="1427"/>
      <c r="AV159" s="1696" t="s">
        <v>1614</v>
      </c>
      <c r="AW159" s="1688" t="s">
        <v>1472</v>
      </c>
      <c r="AX159" s="1427"/>
      <c r="AY159" s="1696">
        <v>2010</v>
      </c>
      <c r="AZ159" s="1696">
        <v>2015</v>
      </c>
      <c r="BA159" s="1696">
        <v>2020</v>
      </c>
      <c r="BB159" s="1696">
        <v>2025</v>
      </c>
      <c r="BC159" s="1696">
        <v>2030</v>
      </c>
      <c r="BD159" s="1696">
        <v>2035</v>
      </c>
      <c r="BE159" s="1696">
        <v>2040</v>
      </c>
      <c r="BF159" s="1696">
        <v>2045</v>
      </c>
      <c r="BG159" s="1696">
        <v>2050</v>
      </c>
      <c r="BH159" s="1427"/>
      <c r="BI159" s="1696">
        <v>2010</v>
      </c>
      <c r="BJ159" s="1696">
        <v>2015</v>
      </c>
      <c r="BK159" s="1696">
        <v>2020</v>
      </c>
      <c r="BL159" s="1696">
        <v>2025</v>
      </c>
      <c r="BM159" s="1696">
        <v>2030</v>
      </c>
      <c r="BN159" s="1696">
        <v>2035</v>
      </c>
      <c r="BO159" s="1696">
        <v>2040</v>
      </c>
      <c r="BP159" s="1696">
        <v>2045</v>
      </c>
      <c r="BQ159" s="1696">
        <v>2050</v>
      </c>
      <c r="BR159" s="1427"/>
      <c r="BS159" s="1696" t="s">
        <v>241</v>
      </c>
      <c r="BT159" s="1696" t="s">
        <v>268</v>
      </c>
      <c r="BU159" s="1696" t="s">
        <v>269</v>
      </c>
      <c r="BV159" s="1696" t="s">
        <v>270</v>
      </c>
      <c r="BW159" s="1696" t="s">
        <v>271</v>
      </c>
      <c r="BX159" s="1696" t="s">
        <v>272</v>
      </c>
      <c r="BY159" s="1696" t="s">
        <v>273</v>
      </c>
      <c r="BZ159" s="1696" t="s">
        <v>274</v>
      </c>
      <c r="CA159" s="1696" t="s">
        <v>275</v>
      </c>
      <c r="CB159" s="1426"/>
      <c r="CC159" s="1705" t="s">
        <v>1734</v>
      </c>
      <c r="CD159" s="1705" t="s">
        <v>1389</v>
      </c>
      <c r="CF159" s="1696" t="s">
        <v>241</v>
      </c>
      <c r="CG159" s="1696" t="s">
        <v>268</v>
      </c>
      <c r="CH159" s="1696" t="s">
        <v>269</v>
      </c>
      <c r="CI159" s="1696" t="s">
        <v>270</v>
      </c>
      <c r="CJ159" s="1696" t="s">
        <v>271</v>
      </c>
      <c r="CK159" s="1696" t="s">
        <v>272</v>
      </c>
      <c r="CL159" s="1696" t="s">
        <v>273</v>
      </c>
      <c r="CM159" s="1696" t="s">
        <v>274</v>
      </c>
      <c r="CN159" s="1696" t="s">
        <v>275</v>
      </c>
      <c r="CP159" s="1705" t="s">
        <v>1734</v>
      </c>
      <c r="CQ159" s="1705" t="s">
        <v>1389</v>
      </c>
    </row>
    <row r="160" spans="1:96" s="2215" customFormat="1" ht="13.5" thickTop="1" x14ac:dyDescent="0.2">
      <c r="C160" s="1683" t="s">
        <v>1732</v>
      </c>
      <c r="E160" s="1689">
        <f t="shared" ref="E160:M166" ca="1" si="517">SUMIF($C$92:$C$131,$C160,E$92:E$131)</f>
        <v>0</v>
      </c>
      <c r="F160" s="1689">
        <f t="shared" ca="1" si="517"/>
        <v>7105059144.6593437</v>
      </c>
      <c r="G160" s="1689">
        <f t="shared" ca="1" si="517"/>
        <v>76677183720.299042</v>
      </c>
      <c r="H160" s="1689">
        <f t="shared" ca="1" si="517"/>
        <v>23083897269.341568</v>
      </c>
      <c r="I160" s="1689">
        <f t="shared" ca="1" si="517"/>
        <v>63000408691.34864</v>
      </c>
      <c r="J160" s="1689">
        <f t="shared" ca="1" si="517"/>
        <v>154795299254.82892</v>
      </c>
      <c r="K160" s="1689">
        <f t="shared" ca="1" si="517"/>
        <v>193612293869.54984</v>
      </c>
      <c r="L160" s="1689">
        <f t="shared" ca="1" si="517"/>
        <v>226045549516.69962</v>
      </c>
      <c r="M160" s="1689">
        <f t="shared" ca="1" si="517"/>
        <v>273721023977.97842</v>
      </c>
      <c r="N160" s="675"/>
      <c r="O160" s="1689">
        <f t="shared" ref="O160:W166" ca="1" si="518">SUMIF($C$92:$C$131,$C160,O$92:O$131)</f>
        <v>37863951.554610923</v>
      </c>
      <c r="P160" s="1689">
        <f t="shared" ca="1" si="518"/>
        <v>58295627.776414506</v>
      </c>
      <c r="Q160" s="1689">
        <f t="shared" ca="1" si="518"/>
        <v>144726628.64790955</v>
      </c>
      <c r="R160" s="1689">
        <f t="shared" ca="1" si="518"/>
        <v>85705697.978200287</v>
      </c>
      <c r="S160" s="1689">
        <f t="shared" ca="1" si="518"/>
        <v>127848113.31712122</v>
      </c>
      <c r="T160" s="1689">
        <f t="shared" ca="1" si="518"/>
        <v>227853024.88142726</v>
      </c>
      <c r="U160" s="1689">
        <f t="shared" ca="1" si="518"/>
        <v>324751985.29011303</v>
      </c>
      <c r="V160" s="1689">
        <f t="shared" ca="1" si="518"/>
        <v>412348002.06780034</v>
      </c>
      <c r="W160" s="1689">
        <f t="shared" ca="1" si="518"/>
        <v>499634178.01915544</v>
      </c>
      <c r="X160" s="675"/>
      <c r="Y160" s="1689">
        <f t="shared" ref="Y160:AG166" ca="1" si="519">SUMIF($C$92:$C$131,$C160,Y$92:Y$131)</f>
        <v>2633215988796.9805</v>
      </c>
      <c r="Z160" s="1689">
        <f t="shared" ca="1" si="519"/>
        <v>3323136407221.2505</v>
      </c>
      <c r="AA160" s="1689">
        <f t="shared" ca="1" si="519"/>
        <v>3391642743300.6914</v>
      </c>
      <c r="AB160" s="1689">
        <f t="shared" ca="1" si="519"/>
        <v>3628360856168.2236</v>
      </c>
      <c r="AC160" s="1689">
        <f t="shared" ca="1" si="519"/>
        <v>5297880274210.8584</v>
      </c>
      <c r="AD160" s="1689">
        <f t="shared" ca="1" si="519"/>
        <v>7325198165249.9824</v>
      </c>
      <c r="AE160" s="1689">
        <f t="shared" ca="1" si="519"/>
        <v>9275899262902.9258</v>
      </c>
      <c r="AF160" s="1689">
        <f t="shared" ca="1" si="519"/>
        <v>11141071215253.711</v>
      </c>
      <c r="AG160" s="1689">
        <f t="shared" ca="1" si="519"/>
        <v>13397460628459.883</v>
      </c>
      <c r="AH160" s="675"/>
      <c r="AI160" s="1689">
        <f t="shared" ref="AI160:AQ166" ca="1" si="520">SUMIF($C$92:$C$131,$C160,AI$92:AI$131)</f>
        <v>2633253852748.5352</v>
      </c>
      <c r="AJ160" s="1689">
        <f t="shared" ca="1" si="520"/>
        <v>3330299761993.688</v>
      </c>
      <c r="AK160" s="1689">
        <f t="shared" ca="1" si="520"/>
        <v>3468464653649.6367</v>
      </c>
      <c r="AL160" s="1689">
        <f t="shared" ca="1" si="520"/>
        <v>3651530459135.5439</v>
      </c>
      <c r="AM160" s="1689">
        <f t="shared" ca="1" si="520"/>
        <v>5361008531015.5225</v>
      </c>
      <c r="AN160" s="1689">
        <f t="shared" ca="1" si="520"/>
        <v>7480221317529.6934</v>
      </c>
      <c r="AO160" s="1689">
        <f t="shared" ca="1" si="520"/>
        <v>9469836308757.7617</v>
      </c>
      <c r="AP160" s="1689">
        <f t="shared" ca="1" si="520"/>
        <v>11367529112772.477</v>
      </c>
      <c r="AQ160" s="1689">
        <f t="shared" ca="1" si="520"/>
        <v>13671681286615.875</v>
      </c>
      <c r="AS160" s="1706">
        <f t="shared" ref="AS160:AT166" ca="1" si="521">SUMIF($C$92:$C$131,$C160,AS$92:AS$131)</f>
        <v>6714869476024.2959</v>
      </c>
      <c r="AT160" s="1706">
        <f t="shared" ca="1" si="521"/>
        <v>39904126988621.875</v>
      </c>
      <c r="AU160" s="675"/>
      <c r="AV160" s="1699"/>
      <c r="AW160" s="1690"/>
      <c r="AX160" s="675"/>
      <c r="AY160" s="1689">
        <f t="shared" ref="AY160:BG166" ca="1" si="522">SUMIF($C$92:$C$131,$C160,AY$92:AY$131)</f>
        <v>0</v>
      </c>
      <c r="AZ160" s="1689">
        <f t="shared" ca="1" si="522"/>
        <v>4670644803.7826319</v>
      </c>
      <c r="BA160" s="1689">
        <f t="shared" ca="1" si="522"/>
        <v>50405194723.973236</v>
      </c>
      <c r="BB160" s="1689">
        <f t="shared" ca="1" si="522"/>
        <v>15174635796.40217</v>
      </c>
      <c r="BC160" s="1689">
        <f t="shared" ca="1" si="522"/>
        <v>41414508380.498192</v>
      </c>
      <c r="BD160" s="1689">
        <f t="shared" ca="1" si="522"/>
        <v>101757613187.21696</v>
      </c>
      <c r="BE160" s="1689">
        <f t="shared" ca="1" si="522"/>
        <v>127274697634.2877</v>
      </c>
      <c r="BF160" s="1689">
        <f t="shared" ca="1" si="522"/>
        <v>148595310717.71008</v>
      </c>
      <c r="BG160" s="1689">
        <f t="shared" ca="1" si="522"/>
        <v>179935684179.319</v>
      </c>
      <c r="BH160" s="675"/>
      <c r="BI160" s="1689">
        <f t="shared" ref="BI160:BQ166" ca="1" si="523">SUMIF($C$92:$C$131,$C160,BI$92:BI$131)</f>
        <v>0</v>
      </c>
      <c r="BJ160" s="1689">
        <f t="shared" ca="1" si="523"/>
        <v>4670644803.7826319</v>
      </c>
      <c r="BK160" s="1689">
        <f t="shared" ca="1" si="523"/>
        <v>55075839527.755867</v>
      </c>
      <c r="BL160" s="1689">
        <f t="shared" ca="1" si="523"/>
        <v>70250475324.158035</v>
      </c>
      <c r="BM160" s="1689">
        <f t="shared" ca="1" si="523"/>
        <v>106994338900.87361</v>
      </c>
      <c r="BN160" s="1689">
        <f t="shared" ca="1" si="523"/>
        <v>158346757364.11734</v>
      </c>
      <c r="BO160" s="1689">
        <f t="shared" ca="1" si="523"/>
        <v>270446819202.00287</v>
      </c>
      <c r="BP160" s="1689">
        <f t="shared" ca="1" si="523"/>
        <v>377627621539.21478</v>
      </c>
      <c r="BQ160" s="1689">
        <f t="shared" ca="1" si="523"/>
        <v>455805692531.31677</v>
      </c>
      <c r="BR160" s="675"/>
      <c r="BS160" s="1701">
        <f t="shared" ref="BS160:CA166" ca="1" si="524">SUMIF($C$92:$C$131,$C160,BS$92:BS$131)</f>
        <v>2633253852748.5352</v>
      </c>
      <c r="BT160" s="1701">
        <f t="shared" ca="1" si="524"/>
        <v>3327865347652.8091</v>
      </c>
      <c r="BU160" s="1701">
        <f t="shared" ca="1" si="524"/>
        <v>3446863309457.0937</v>
      </c>
      <c r="BV160" s="1701">
        <f t="shared" ca="1" si="524"/>
        <v>3698697037190.3604</v>
      </c>
      <c r="BW160" s="1701">
        <f t="shared" ca="1" si="524"/>
        <v>5405002461225.0498</v>
      </c>
      <c r="BX160" s="1701">
        <f t="shared" ca="1" si="524"/>
        <v>7483772775638.9824</v>
      </c>
      <c r="BY160" s="1701">
        <f t="shared" ca="1" si="524"/>
        <v>9546670834090.2148</v>
      </c>
      <c r="BZ160" s="1701">
        <f t="shared" ca="1" si="524"/>
        <v>11519111184794.992</v>
      </c>
      <c r="CA160" s="1701">
        <f t="shared" ca="1" si="524"/>
        <v>13853765955169.211</v>
      </c>
      <c r="CC160" s="1706">
        <f t="shared" ref="CC160:CD166" ca="1" si="525">SUMIF($C$92:$C$131,$C160,CC$92:CC$131)</f>
        <v>6768333639774.1318</v>
      </c>
      <c r="CD160" s="1706">
        <f t="shared" ca="1" si="525"/>
        <v>40044027060405.625</v>
      </c>
      <c r="CF160" s="1703">
        <f t="shared" ref="CF160:CN166" ca="1" si="526">SUMIF($C$92:$C$131,$C160,CF$92:CF$131)</f>
        <v>0</v>
      </c>
      <c r="CG160" s="1703">
        <f t="shared" ca="1" si="526"/>
        <v>-2434414340.8767118</v>
      </c>
      <c r="CH160" s="1703">
        <f t="shared" ca="1" si="526"/>
        <v>-21601344192.543175</v>
      </c>
      <c r="CI160" s="1703">
        <f t="shared" ca="1" si="526"/>
        <v>47166578054.816467</v>
      </c>
      <c r="CJ160" s="1703">
        <f t="shared" ca="1" si="526"/>
        <v>43993930209.524971</v>
      </c>
      <c r="CK160" s="1703">
        <f t="shared" ca="1" si="526"/>
        <v>3551458109.2884216</v>
      </c>
      <c r="CL160" s="1703">
        <f t="shared" ca="1" si="526"/>
        <v>76834525332.453033</v>
      </c>
      <c r="CM160" s="1703">
        <f t="shared" ca="1" si="526"/>
        <v>151582072022.51517</v>
      </c>
      <c r="CN160" s="1703">
        <f t="shared" ca="1" si="526"/>
        <v>182084668553.33835</v>
      </c>
      <c r="CP160" s="1706">
        <f t="shared" ref="CP160:CQ166" ca="1" si="527">SUMIF($C$92:$C$131,$C160,CP$92:CP$131)</f>
        <v>53464163749.835175</v>
      </c>
      <c r="CQ160" s="1706">
        <f t="shared" ca="1" si="527"/>
        <v>139900071783.73077</v>
      </c>
      <c r="CR160" s="1426" t="str">
        <f t="shared" ref="CR160:CR167" ca="1" si="528">IF(ABS(CD160-CQ160-AT160)&lt;1,"ok","err")</f>
        <v>ok</v>
      </c>
    </row>
    <row r="161" spans="1:96" s="2215" customFormat="1" x14ac:dyDescent="0.2">
      <c r="C161" s="1685" t="s">
        <v>1189</v>
      </c>
      <c r="E161" s="1691">
        <f t="shared" ca="1" si="517"/>
        <v>2848387955442.5542</v>
      </c>
      <c r="F161" s="1691">
        <f t="shared" ca="1" si="517"/>
        <v>3599166097286.1167</v>
      </c>
      <c r="G161" s="1691">
        <f t="shared" ca="1" si="517"/>
        <v>4528464558518.1807</v>
      </c>
      <c r="H161" s="1691">
        <f t="shared" ca="1" si="517"/>
        <v>3913035055875.0479</v>
      </c>
      <c r="I161" s="1691">
        <f t="shared" ca="1" si="517"/>
        <v>4333487339963.7134</v>
      </c>
      <c r="J161" s="1691">
        <f t="shared" ca="1" si="517"/>
        <v>4672338582024.1992</v>
      </c>
      <c r="K161" s="1691">
        <f t="shared" ca="1" si="517"/>
        <v>5020076850717.8291</v>
      </c>
      <c r="L161" s="1691">
        <f t="shared" ca="1" si="517"/>
        <v>5210641221310.7344</v>
      </c>
      <c r="M161" s="1691">
        <f t="shared" ca="1" si="517"/>
        <v>4056211475742.9746</v>
      </c>
      <c r="N161" s="675"/>
      <c r="O161" s="1691">
        <f t="shared" ca="1" si="518"/>
        <v>8223343161896.8291</v>
      </c>
      <c r="P161" s="1691">
        <f t="shared" ca="1" si="518"/>
        <v>8997808041287.8203</v>
      </c>
      <c r="Q161" s="1691">
        <f t="shared" ca="1" si="518"/>
        <v>10333269300933.156</v>
      </c>
      <c r="R161" s="1691">
        <f t="shared" ca="1" si="518"/>
        <v>12834952668371.578</v>
      </c>
      <c r="S161" s="1691">
        <f t="shared" ca="1" si="518"/>
        <v>13893822194553.795</v>
      </c>
      <c r="T161" s="1691">
        <f t="shared" ca="1" si="518"/>
        <v>15123629167783.986</v>
      </c>
      <c r="U161" s="1691">
        <f t="shared" ca="1" si="518"/>
        <v>16319286791833.967</v>
      </c>
      <c r="V161" s="1691">
        <f t="shared" ca="1" si="518"/>
        <v>17596904343161.672</v>
      </c>
      <c r="W161" s="1691">
        <f t="shared" ca="1" si="518"/>
        <v>18820507043173.996</v>
      </c>
      <c r="X161" s="675"/>
      <c r="Y161" s="1691">
        <f t="shared" ca="1" si="519"/>
        <v>15369744869625.002</v>
      </c>
      <c r="Z161" s="1691">
        <f t="shared" ca="1" si="519"/>
        <v>16916238203292.145</v>
      </c>
      <c r="AA161" s="1691">
        <f t="shared" ca="1" si="519"/>
        <v>18752924903032.484</v>
      </c>
      <c r="AB161" s="1691">
        <f t="shared" ca="1" si="519"/>
        <v>20650544724235.172</v>
      </c>
      <c r="AC161" s="1691">
        <f t="shared" ca="1" si="519"/>
        <v>22371751093087.285</v>
      </c>
      <c r="AD161" s="1691">
        <f t="shared" ca="1" si="519"/>
        <v>24380689414201.098</v>
      </c>
      <c r="AE161" s="1691">
        <f t="shared" ca="1" si="519"/>
        <v>26389562226390.703</v>
      </c>
      <c r="AF161" s="1691">
        <f t="shared" ca="1" si="519"/>
        <v>28545227929485.027</v>
      </c>
      <c r="AG161" s="1691">
        <f t="shared" ca="1" si="519"/>
        <v>30682032016553.418</v>
      </c>
      <c r="AH161" s="675"/>
      <c r="AI161" s="1691">
        <f t="shared" ca="1" si="520"/>
        <v>26441475986964.383</v>
      </c>
      <c r="AJ161" s="1691">
        <f t="shared" ca="1" si="520"/>
        <v>29513212341866.082</v>
      </c>
      <c r="AK161" s="1691">
        <f t="shared" ca="1" si="520"/>
        <v>33614658762483.82</v>
      </c>
      <c r="AL161" s="1691">
        <f t="shared" ca="1" si="520"/>
        <v>37398532448481.797</v>
      </c>
      <c r="AM161" s="1691">
        <f t="shared" ca="1" si="520"/>
        <v>40599060627604.789</v>
      </c>
      <c r="AN161" s="1691">
        <f t="shared" ca="1" si="520"/>
        <v>44176657164009.281</v>
      </c>
      <c r="AO161" s="1691">
        <f t="shared" ca="1" si="520"/>
        <v>47728925868942.5</v>
      </c>
      <c r="AP161" s="1691">
        <f t="shared" ca="1" si="520"/>
        <v>51352773493957.43</v>
      </c>
      <c r="AQ161" s="1691">
        <f t="shared" ca="1" si="520"/>
        <v>53558750535470.383</v>
      </c>
      <c r="AS161" s="1707">
        <f t="shared" ca="1" si="521"/>
        <v>40487116358864.492</v>
      </c>
      <c r="AT161" s="1707">
        <f t="shared" ca="1" si="521"/>
        <v>315982058294051.31</v>
      </c>
      <c r="AU161" s="675"/>
      <c r="AV161" s="1700"/>
      <c r="AW161" s="1692"/>
      <c r="AX161" s="675"/>
      <c r="AY161" s="1691">
        <f t="shared" ca="1" si="522"/>
        <v>948806009228.00903</v>
      </c>
      <c r="AZ161" s="1691">
        <f t="shared" ca="1" si="522"/>
        <v>1958608349007.7278</v>
      </c>
      <c r="BA161" s="1691">
        <f t="shared" ca="1" si="522"/>
        <v>2455459369385.8599</v>
      </c>
      <c r="BB161" s="1691">
        <f t="shared" ca="1" si="522"/>
        <v>2131659847916.3572</v>
      </c>
      <c r="BC161" s="1691">
        <f t="shared" ca="1" si="522"/>
        <v>2357300691610.1025</v>
      </c>
      <c r="BD161" s="1691">
        <f t="shared" ca="1" si="522"/>
        <v>2538040677008.438</v>
      </c>
      <c r="BE161" s="1691">
        <f t="shared" ca="1" si="522"/>
        <v>2723495053467.7881</v>
      </c>
      <c r="BF161" s="1691">
        <f t="shared" ca="1" si="522"/>
        <v>2825581980595.1865</v>
      </c>
      <c r="BG161" s="1691">
        <f t="shared" ca="1" si="522"/>
        <v>2214293052657.8398</v>
      </c>
      <c r="BH161" s="675"/>
      <c r="BI161" s="1691">
        <f t="shared" ca="1" si="523"/>
        <v>948806009228.00903</v>
      </c>
      <c r="BJ161" s="1691">
        <f t="shared" ca="1" si="523"/>
        <v>2907414358235.7368</v>
      </c>
      <c r="BK161" s="1691">
        <f t="shared" ca="1" si="523"/>
        <v>5362873727621.5967</v>
      </c>
      <c r="BL161" s="1691">
        <f t="shared" ca="1" si="523"/>
        <v>7275321380556.6719</v>
      </c>
      <c r="BM161" s="1691">
        <f t="shared" ca="1" si="523"/>
        <v>9375705380595.9062</v>
      </c>
      <c r="BN161" s="1691">
        <f t="shared" ca="1" si="523"/>
        <v>11636355371088.713</v>
      </c>
      <c r="BO161" s="1691">
        <f t="shared" ca="1" si="523"/>
        <v>13339291316317.533</v>
      </c>
      <c r="BP161" s="1691">
        <f t="shared" ca="1" si="523"/>
        <v>16211272485120.395</v>
      </c>
      <c r="BQ161" s="1691">
        <f t="shared" ca="1" si="523"/>
        <v>15937639301665.518</v>
      </c>
      <c r="BR161" s="675"/>
      <c r="BS161" s="1702">
        <f t="shared" ca="1" si="524"/>
        <v>24541894040749.84</v>
      </c>
      <c r="BT161" s="1702">
        <f t="shared" ca="1" si="524"/>
        <v>28821460602815.699</v>
      </c>
      <c r="BU161" s="1702">
        <f t="shared" ca="1" si="524"/>
        <v>34449067931587.238</v>
      </c>
      <c r="BV161" s="1702">
        <f t="shared" ca="1" si="524"/>
        <v>40760818773163.422</v>
      </c>
      <c r="BW161" s="1702">
        <f t="shared" ca="1" si="524"/>
        <v>45641278668236.984</v>
      </c>
      <c r="BX161" s="1702">
        <f t="shared" ca="1" si="524"/>
        <v>51140673953073.797</v>
      </c>
      <c r="BY161" s="1702">
        <f t="shared" ca="1" si="524"/>
        <v>56048140334542.211</v>
      </c>
      <c r="BZ161" s="1702">
        <f t="shared" ca="1" si="524"/>
        <v>62353404757767.102</v>
      </c>
      <c r="CA161" s="1702">
        <f t="shared" ca="1" si="524"/>
        <v>65440178361392.937</v>
      </c>
      <c r="CC161" s="1707">
        <f t="shared" ca="1" si="525"/>
        <v>45466324158147.68</v>
      </c>
      <c r="CD161" s="1707">
        <f t="shared" ca="1" si="525"/>
        <v>332165288545044.94</v>
      </c>
      <c r="CF161" s="1704">
        <f t="shared" ca="1" si="526"/>
        <v>-1899581946214.5447</v>
      </c>
      <c r="CG161" s="1704">
        <f t="shared" ca="1" si="526"/>
        <v>-691751739050.38013</v>
      </c>
      <c r="CH161" s="1704">
        <f t="shared" ca="1" si="526"/>
        <v>834409169103.41602</v>
      </c>
      <c r="CI161" s="1704">
        <f t="shared" ca="1" si="526"/>
        <v>3362286324681.624</v>
      </c>
      <c r="CJ161" s="1704">
        <f t="shared" ca="1" si="526"/>
        <v>5042218040632.1924</v>
      </c>
      <c r="CK161" s="1704">
        <f t="shared" ca="1" si="526"/>
        <v>6964016789064.5137</v>
      </c>
      <c r="CL161" s="1704">
        <f t="shared" ca="1" si="526"/>
        <v>8319214465599.7041</v>
      </c>
      <c r="CM161" s="1704">
        <f t="shared" ca="1" si="526"/>
        <v>11000631263809.66</v>
      </c>
      <c r="CN161" s="1704">
        <f t="shared" ca="1" si="526"/>
        <v>11881427825922.543</v>
      </c>
      <c r="CP161" s="1707">
        <f t="shared" ca="1" si="527"/>
        <v>4979207799283.1924</v>
      </c>
      <c r="CQ161" s="1707">
        <f t="shared" ca="1" si="527"/>
        <v>16183230250993.551</v>
      </c>
      <c r="CR161" s="1426" t="str">
        <f t="shared" ca="1" si="528"/>
        <v>ok</v>
      </c>
    </row>
    <row r="162" spans="1:96" s="2215" customFormat="1" x14ac:dyDescent="0.2">
      <c r="C162" s="1683" t="s">
        <v>4</v>
      </c>
      <c r="E162" s="1689">
        <f t="shared" ca="1" si="517"/>
        <v>757280160331.05652</v>
      </c>
      <c r="F162" s="1689">
        <f t="shared" ca="1" si="517"/>
        <v>3476889373037.8057</v>
      </c>
      <c r="G162" s="1689">
        <f t="shared" ca="1" si="517"/>
        <v>9285186916431.0703</v>
      </c>
      <c r="H162" s="1689">
        <f t="shared" ca="1" si="517"/>
        <v>13714524731785.715</v>
      </c>
      <c r="I162" s="1689">
        <f t="shared" ca="1" si="517"/>
        <v>19087290535714.289</v>
      </c>
      <c r="J162" s="1689">
        <f t="shared" ca="1" si="517"/>
        <v>23567158875357.141</v>
      </c>
      <c r="K162" s="1689">
        <f t="shared" ca="1" si="517"/>
        <v>28306851839999.996</v>
      </c>
      <c r="L162" s="1689">
        <f t="shared" ca="1" si="517"/>
        <v>39661228179642.859</v>
      </c>
      <c r="M162" s="1689">
        <f t="shared" ca="1" si="517"/>
        <v>-1315041589285.7187</v>
      </c>
      <c r="N162" s="675"/>
      <c r="O162" s="1689">
        <f t="shared" ca="1" si="518"/>
        <v>23938509094.487862</v>
      </c>
      <c r="P162" s="1689">
        <f t="shared" ca="1" si="518"/>
        <v>208339853480.94925</v>
      </c>
      <c r="Q162" s="1689">
        <f t="shared" ca="1" si="518"/>
        <v>343356535035.71429</v>
      </c>
      <c r="R162" s="1689">
        <f t="shared" ca="1" si="518"/>
        <v>540863380964.28571</v>
      </c>
      <c r="S162" s="1689">
        <f t="shared" ca="1" si="518"/>
        <v>803551956975.00012</v>
      </c>
      <c r="T162" s="1689">
        <f t="shared" ca="1" si="518"/>
        <v>1036205612860.7142</v>
      </c>
      <c r="U162" s="1689">
        <f t="shared" ca="1" si="518"/>
        <v>1309736509871.4282</v>
      </c>
      <c r="V162" s="1689">
        <f t="shared" ca="1" si="518"/>
        <v>1658132319507.1428</v>
      </c>
      <c r="W162" s="1689">
        <f t="shared" ca="1" si="518"/>
        <v>195968320000</v>
      </c>
      <c r="X162" s="675"/>
      <c r="Y162" s="1689">
        <f t="shared" ca="1" si="519"/>
        <v>0</v>
      </c>
      <c r="Z162" s="1689">
        <f t="shared" ca="1" si="519"/>
        <v>0</v>
      </c>
      <c r="AA162" s="1689">
        <f t="shared" ca="1" si="519"/>
        <v>0</v>
      </c>
      <c r="AB162" s="1689">
        <f t="shared" ca="1" si="519"/>
        <v>48213000000.000008</v>
      </c>
      <c r="AC162" s="1689">
        <f t="shared" ca="1" si="519"/>
        <v>91604700000</v>
      </c>
      <c r="AD162" s="1689">
        <f t="shared" ca="1" si="519"/>
        <v>178388100000.00006</v>
      </c>
      <c r="AE162" s="1689">
        <f t="shared" ca="1" si="519"/>
        <v>342312300000.00006</v>
      </c>
      <c r="AF162" s="1689">
        <f t="shared" ca="1" si="519"/>
        <v>660518100000.00012</v>
      </c>
      <c r="AG162" s="1689">
        <f t="shared" ca="1" si="519"/>
        <v>1277644500000.0002</v>
      </c>
      <c r="AH162" s="675"/>
      <c r="AI162" s="1689">
        <f t="shared" ca="1" si="520"/>
        <v>781218669425.54443</v>
      </c>
      <c r="AJ162" s="1689">
        <f t="shared" ca="1" si="520"/>
        <v>3685229226518.7549</v>
      </c>
      <c r="AK162" s="1689">
        <f t="shared" ca="1" si="520"/>
        <v>9628543451466.7832</v>
      </c>
      <c r="AL162" s="1689">
        <f t="shared" ca="1" si="520"/>
        <v>14303601112750</v>
      </c>
      <c r="AM162" s="1689">
        <f t="shared" ca="1" si="520"/>
        <v>19982447192689.285</v>
      </c>
      <c r="AN162" s="1689">
        <f t="shared" ca="1" si="520"/>
        <v>24781752588217.855</v>
      </c>
      <c r="AO162" s="1689">
        <f t="shared" ca="1" si="520"/>
        <v>29958900649871.422</v>
      </c>
      <c r="AP162" s="1689">
        <f t="shared" ca="1" si="520"/>
        <v>41979878599150</v>
      </c>
      <c r="AQ162" s="1689">
        <f t="shared" ca="1" si="520"/>
        <v>158571230714.28125</v>
      </c>
      <c r="AS162" s="1706">
        <f t="shared" ca="1" si="521"/>
        <v>16140015857867.105</v>
      </c>
      <c r="AT162" s="1706">
        <f t="shared" ca="1" si="521"/>
        <v>93186612810174.578</v>
      </c>
      <c r="AU162" s="675"/>
      <c r="AV162" s="1699"/>
      <c r="AW162" s="1690"/>
      <c r="AX162" s="675"/>
      <c r="AY162" s="1689">
        <f t="shared" ca="1" si="522"/>
        <v>266849530440.5376</v>
      </c>
      <c r="AZ162" s="1689">
        <f t="shared" ca="1" si="522"/>
        <v>2039053073186.2803</v>
      </c>
      <c r="BA162" s="1689">
        <f t="shared" ca="1" si="522"/>
        <v>5517361639726.4219</v>
      </c>
      <c r="BB162" s="1689">
        <f t="shared" ca="1" si="522"/>
        <v>8172262934941.918</v>
      </c>
      <c r="BC162" s="1689">
        <f t="shared" ca="1" si="522"/>
        <v>11413837321165.215</v>
      </c>
      <c r="BD162" s="1689">
        <f t="shared" ca="1" si="522"/>
        <v>14164954931801.059</v>
      </c>
      <c r="BE162" s="1689">
        <f t="shared" ca="1" si="522"/>
        <v>16863928761917.314</v>
      </c>
      <c r="BF162" s="1689">
        <f t="shared" ca="1" si="522"/>
        <v>23569356664931.406</v>
      </c>
      <c r="BG162" s="1689">
        <f t="shared" ca="1" si="522"/>
        <v>-579514283959.83203</v>
      </c>
      <c r="BH162" s="675"/>
      <c r="BI162" s="1689">
        <f t="shared" ca="1" si="523"/>
        <v>266849530440.5376</v>
      </c>
      <c r="BJ162" s="1689">
        <f t="shared" ca="1" si="523"/>
        <v>2305902603626.8179</v>
      </c>
      <c r="BK162" s="1689">
        <f t="shared" ca="1" si="523"/>
        <v>7823264243353.2383</v>
      </c>
      <c r="BL162" s="1689">
        <f t="shared" ca="1" si="523"/>
        <v>15995527178295.158</v>
      </c>
      <c r="BM162" s="1689">
        <f t="shared" ca="1" si="523"/>
        <v>27142514969019.832</v>
      </c>
      <c r="BN162" s="1689">
        <f t="shared" ca="1" si="523"/>
        <v>38124402174232.68</v>
      </c>
      <c r="BO162" s="1689">
        <f t="shared" ca="1" si="523"/>
        <v>49745232044724.469</v>
      </c>
      <c r="BP162" s="1689">
        <f t="shared" ca="1" si="523"/>
        <v>73190846681794.359</v>
      </c>
      <c r="BQ162" s="1689">
        <f t="shared" ca="1" si="523"/>
        <v>52210080303625.258</v>
      </c>
      <c r="BR162" s="675"/>
      <c r="BS162" s="1701">
        <f t="shared" ca="1" si="524"/>
        <v>290788039535.02545</v>
      </c>
      <c r="BT162" s="1701">
        <f t="shared" ca="1" si="524"/>
        <v>2514242457107.7671</v>
      </c>
      <c r="BU162" s="1701">
        <f t="shared" ca="1" si="524"/>
        <v>8166620778388.9531</v>
      </c>
      <c r="BV162" s="1701">
        <f t="shared" ca="1" si="524"/>
        <v>16584603559259.445</v>
      </c>
      <c r="BW162" s="1701">
        <f t="shared" ca="1" si="524"/>
        <v>28037671625994.836</v>
      </c>
      <c r="BX162" s="1701">
        <f t="shared" ca="1" si="524"/>
        <v>39338995887093.391</v>
      </c>
      <c r="BY162" s="1701">
        <f t="shared" ca="1" si="524"/>
        <v>51397280854595.891</v>
      </c>
      <c r="BZ162" s="1701">
        <f t="shared" ca="1" si="524"/>
        <v>75509497101301.5</v>
      </c>
      <c r="CA162" s="1701">
        <f t="shared" ca="1" si="524"/>
        <v>53683693123625.258</v>
      </c>
      <c r="CC162" s="1706">
        <f t="shared" ca="1" si="525"/>
        <v>30613710380766.898</v>
      </c>
      <c r="CD162" s="1706">
        <f t="shared" ca="1" si="525"/>
        <v>127520508567533.08</v>
      </c>
      <c r="CF162" s="1703">
        <f t="shared" ca="1" si="526"/>
        <v>-490430629890.51892</v>
      </c>
      <c r="CG162" s="1703">
        <f t="shared" ca="1" si="526"/>
        <v>-1170986769410.9878</v>
      </c>
      <c r="CH162" s="1703">
        <f t="shared" ca="1" si="526"/>
        <v>-1461922673077.8303</v>
      </c>
      <c r="CI162" s="1703">
        <f t="shared" ca="1" si="526"/>
        <v>2281002446509.4443</v>
      </c>
      <c r="CJ162" s="1703">
        <f t="shared" ca="1" si="526"/>
        <v>8055224433305.5469</v>
      </c>
      <c r="CK162" s="1703">
        <f t="shared" ca="1" si="526"/>
        <v>14557243298875.539</v>
      </c>
      <c r="CL162" s="1703">
        <f t="shared" ca="1" si="526"/>
        <v>21438380204724.469</v>
      </c>
      <c r="CM162" s="1703">
        <f t="shared" ca="1" si="526"/>
        <v>33529618502151.492</v>
      </c>
      <c r="CN162" s="1703">
        <f t="shared" ca="1" si="526"/>
        <v>53525121892910.969</v>
      </c>
      <c r="CP162" s="1706">
        <f t="shared" ca="1" si="527"/>
        <v>14473694522899.793</v>
      </c>
      <c r="CQ162" s="1706">
        <f t="shared" ca="1" si="527"/>
        <v>34333895757358.508</v>
      </c>
      <c r="CR162" s="1426" t="str">
        <f t="shared" ca="1" si="528"/>
        <v>ok</v>
      </c>
    </row>
    <row r="163" spans="1:96" s="2215" customFormat="1" x14ac:dyDescent="0.2">
      <c r="C163" s="1685" t="s">
        <v>1974</v>
      </c>
      <c r="E163" s="1691">
        <f t="shared" ca="1" si="517"/>
        <v>0</v>
      </c>
      <c r="F163" s="1691">
        <f t="shared" ca="1" si="517"/>
        <v>626253808606.573</v>
      </c>
      <c r="G163" s="1691">
        <f t="shared" ca="1" si="517"/>
        <v>734596831079.71277</v>
      </c>
      <c r="H163" s="1691">
        <f t="shared" ca="1" si="517"/>
        <v>935691076119.96631</v>
      </c>
      <c r="I163" s="1691">
        <f t="shared" ca="1" si="517"/>
        <v>948793798012.68054</v>
      </c>
      <c r="J163" s="1691">
        <f t="shared" ca="1" si="517"/>
        <v>1070601271825.0117</v>
      </c>
      <c r="K163" s="1691">
        <f t="shared" ca="1" si="517"/>
        <v>768908884527.1687</v>
      </c>
      <c r="L163" s="1691">
        <f t="shared" ca="1" si="517"/>
        <v>836775173304.68201</v>
      </c>
      <c r="M163" s="1691">
        <f t="shared" ca="1" si="517"/>
        <v>1088487222142.1787</v>
      </c>
      <c r="N163" s="675"/>
      <c r="O163" s="1691">
        <f t="shared" ca="1" si="518"/>
        <v>0</v>
      </c>
      <c r="P163" s="1691">
        <f t="shared" ca="1" si="518"/>
        <v>0</v>
      </c>
      <c r="Q163" s="1691">
        <f t="shared" ca="1" si="518"/>
        <v>0</v>
      </c>
      <c r="R163" s="1691">
        <f t="shared" ca="1" si="518"/>
        <v>0</v>
      </c>
      <c r="S163" s="1691">
        <f t="shared" ca="1" si="518"/>
        <v>0</v>
      </c>
      <c r="T163" s="1691">
        <f t="shared" ca="1" si="518"/>
        <v>0</v>
      </c>
      <c r="U163" s="1691">
        <f t="shared" ca="1" si="518"/>
        <v>0</v>
      </c>
      <c r="V163" s="1691">
        <f t="shared" ca="1" si="518"/>
        <v>0</v>
      </c>
      <c r="W163" s="1691">
        <f t="shared" ca="1" si="518"/>
        <v>0</v>
      </c>
      <c r="X163" s="675"/>
      <c r="Y163" s="1691">
        <f t="shared" ca="1" si="519"/>
        <v>0</v>
      </c>
      <c r="Z163" s="1691">
        <f t="shared" ca="1" si="519"/>
        <v>0</v>
      </c>
      <c r="AA163" s="1691">
        <f t="shared" ca="1" si="519"/>
        <v>0</v>
      </c>
      <c r="AB163" s="1691">
        <f t="shared" ca="1" si="519"/>
        <v>0</v>
      </c>
      <c r="AC163" s="1691">
        <f t="shared" ca="1" si="519"/>
        <v>0</v>
      </c>
      <c r="AD163" s="1691">
        <f t="shared" ca="1" si="519"/>
        <v>0</v>
      </c>
      <c r="AE163" s="1691">
        <f t="shared" ca="1" si="519"/>
        <v>0</v>
      </c>
      <c r="AF163" s="1691">
        <f t="shared" ca="1" si="519"/>
        <v>0</v>
      </c>
      <c r="AG163" s="1691">
        <f t="shared" ca="1" si="519"/>
        <v>0</v>
      </c>
      <c r="AH163" s="675"/>
      <c r="AI163" s="1691">
        <f t="shared" ca="1" si="520"/>
        <v>0</v>
      </c>
      <c r="AJ163" s="1691">
        <f t="shared" ca="1" si="520"/>
        <v>626253808606.573</v>
      </c>
      <c r="AK163" s="1691">
        <f t="shared" ca="1" si="520"/>
        <v>734596831079.71277</v>
      </c>
      <c r="AL163" s="1691">
        <f t="shared" ca="1" si="520"/>
        <v>935691076119.96631</v>
      </c>
      <c r="AM163" s="1691">
        <f t="shared" ca="1" si="520"/>
        <v>948793798012.68054</v>
      </c>
      <c r="AN163" s="1691">
        <f t="shared" ca="1" si="520"/>
        <v>1070601271825.0117</v>
      </c>
      <c r="AO163" s="1691">
        <f t="shared" ca="1" si="520"/>
        <v>768908884527.1687</v>
      </c>
      <c r="AP163" s="1691">
        <f t="shared" ca="1" si="520"/>
        <v>836775173304.68201</v>
      </c>
      <c r="AQ163" s="1691">
        <f t="shared" ca="1" si="520"/>
        <v>1088487222142.1787</v>
      </c>
      <c r="AS163" s="1707">
        <f t="shared" ca="1" si="521"/>
        <v>778900896179.7749</v>
      </c>
      <c r="AT163" s="1707">
        <f t="shared" ca="1" si="521"/>
        <v>6338809069819.3096</v>
      </c>
      <c r="AU163" s="675"/>
      <c r="AV163" s="1700"/>
      <c r="AW163" s="1692"/>
      <c r="AX163" s="675"/>
      <c r="AY163" s="1691">
        <f t="shared" ca="1" si="522"/>
        <v>0</v>
      </c>
      <c r="AZ163" s="1691">
        <f t="shared" ca="1" si="522"/>
        <v>411679767538.03851</v>
      </c>
      <c r="BA163" s="1691">
        <f t="shared" ca="1" si="522"/>
        <v>482901099357.72412</v>
      </c>
      <c r="BB163" s="1691">
        <f t="shared" ca="1" si="522"/>
        <v>615094198886.5083</v>
      </c>
      <c r="BC163" s="1691">
        <f t="shared" ca="1" si="522"/>
        <v>623707520560.2085</v>
      </c>
      <c r="BD163" s="1691">
        <f t="shared" ca="1" si="522"/>
        <v>703779963736.29272</v>
      </c>
      <c r="BE163" s="1691">
        <f t="shared" ca="1" si="522"/>
        <v>505456775655.21619</v>
      </c>
      <c r="BF163" s="1691">
        <f t="shared" ca="1" si="522"/>
        <v>550069962199.76001</v>
      </c>
      <c r="BG163" s="1691">
        <f t="shared" ca="1" si="522"/>
        <v>715537630943.38184</v>
      </c>
      <c r="BH163" s="675"/>
      <c r="BI163" s="1691">
        <f t="shared" ca="1" si="523"/>
        <v>0</v>
      </c>
      <c r="BJ163" s="1691">
        <f t="shared" ca="1" si="523"/>
        <v>411679767538.03851</v>
      </c>
      <c r="BK163" s="1691">
        <f t="shared" ca="1" si="523"/>
        <v>894580866895.7627</v>
      </c>
      <c r="BL163" s="1691">
        <f t="shared" ca="1" si="523"/>
        <v>1509675065782.271</v>
      </c>
      <c r="BM163" s="1691">
        <f t="shared" ca="1" si="523"/>
        <v>1721702818804.4407</v>
      </c>
      <c r="BN163" s="1691">
        <f t="shared" ca="1" si="523"/>
        <v>1942581683183.0093</v>
      </c>
      <c r="BO163" s="1691">
        <f t="shared" ca="1" si="523"/>
        <v>1832944259951.7173</v>
      </c>
      <c r="BP163" s="1691">
        <f t="shared" ca="1" si="523"/>
        <v>1759306701591.269</v>
      </c>
      <c r="BQ163" s="1691">
        <f t="shared" ca="1" si="523"/>
        <v>1771064368798.3582</v>
      </c>
      <c r="BR163" s="675"/>
      <c r="BS163" s="1702">
        <f t="shared" ca="1" si="524"/>
        <v>0</v>
      </c>
      <c r="BT163" s="1702">
        <f t="shared" ca="1" si="524"/>
        <v>411679767538.03851</v>
      </c>
      <c r="BU163" s="1702">
        <f t="shared" ca="1" si="524"/>
        <v>894580866895.7627</v>
      </c>
      <c r="BV163" s="1702">
        <f t="shared" ca="1" si="524"/>
        <v>1509675065782.271</v>
      </c>
      <c r="BW163" s="1702">
        <f t="shared" ca="1" si="524"/>
        <v>1721702818804.4407</v>
      </c>
      <c r="BX163" s="1702">
        <f t="shared" ca="1" si="524"/>
        <v>1942581683183.0093</v>
      </c>
      <c r="BY163" s="1702">
        <f t="shared" ca="1" si="524"/>
        <v>1832944259951.7173</v>
      </c>
      <c r="BZ163" s="1702">
        <f t="shared" ca="1" si="524"/>
        <v>1759306701591.269</v>
      </c>
      <c r="CA163" s="1702">
        <f t="shared" ca="1" si="524"/>
        <v>1771064368798.3582</v>
      </c>
      <c r="CC163" s="1707">
        <f t="shared" ca="1" si="525"/>
        <v>1315948392504.9854</v>
      </c>
      <c r="CD163" s="1707">
        <f t="shared" ca="1" si="525"/>
        <v>8323375707787.1387</v>
      </c>
      <c r="CF163" s="1704">
        <f t="shared" ca="1" si="526"/>
        <v>0</v>
      </c>
      <c r="CG163" s="1704">
        <f t="shared" ca="1" si="526"/>
        <v>-214574041068.53455</v>
      </c>
      <c r="CH163" s="1704">
        <f t="shared" ca="1" si="526"/>
        <v>159984035816.04987</v>
      </c>
      <c r="CI163" s="1704">
        <f t="shared" ca="1" si="526"/>
        <v>573983989662.30481</v>
      </c>
      <c r="CJ163" s="1704">
        <f t="shared" ca="1" si="526"/>
        <v>772909020791.76025</v>
      </c>
      <c r="CK163" s="1704">
        <f t="shared" ca="1" si="526"/>
        <v>871980411357.99768</v>
      </c>
      <c r="CL163" s="1704">
        <f t="shared" ca="1" si="526"/>
        <v>1064035375424.5487</v>
      </c>
      <c r="CM163" s="1704">
        <f t="shared" ca="1" si="526"/>
        <v>922531528286.58691</v>
      </c>
      <c r="CN163" s="1704">
        <f t="shared" ca="1" si="526"/>
        <v>682577146656.17932</v>
      </c>
      <c r="CP163" s="1707">
        <f t="shared" ca="1" si="527"/>
        <v>537047496325.21033</v>
      </c>
      <c r="CQ163" s="1707">
        <f t="shared" ca="1" si="527"/>
        <v>1984566637967.8289</v>
      </c>
      <c r="CR163" s="1426" t="str">
        <f t="shared" ca="1" si="528"/>
        <v>ok</v>
      </c>
    </row>
    <row r="164" spans="1:96" s="2215" customFormat="1" x14ac:dyDescent="0.2">
      <c r="C164" s="1683" t="s">
        <v>125</v>
      </c>
      <c r="E164" s="1689">
        <f t="shared" ca="1" si="517"/>
        <v>0</v>
      </c>
      <c r="F164" s="1689">
        <f t="shared" ca="1" si="517"/>
        <v>69547419783667.125</v>
      </c>
      <c r="G164" s="1689">
        <f t="shared" ca="1" si="517"/>
        <v>43840690222871.289</v>
      </c>
      <c r="H164" s="1689">
        <f t="shared" ca="1" si="517"/>
        <v>53370386591214.312</v>
      </c>
      <c r="I164" s="1689">
        <f t="shared" ca="1" si="517"/>
        <v>64297453444296.078</v>
      </c>
      <c r="J164" s="1689">
        <f t="shared" ca="1" si="517"/>
        <v>78074828045138.922</v>
      </c>
      <c r="K164" s="1689">
        <f t="shared" ca="1" si="517"/>
        <v>88598060249196.312</v>
      </c>
      <c r="L164" s="1689">
        <f t="shared" ca="1" si="517"/>
        <v>104553405515338.87</v>
      </c>
      <c r="M164" s="1689">
        <f t="shared" ca="1" si="517"/>
        <v>121843013174956.17</v>
      </c>
      <c r="N164" s="675"/>
      <c r="O164" s="1689">
        <f t="shared" ca="1" si="518"/>
        <v>59797286573226.82</v>
      </c>
      <c r="P164" s="1689">
        <f t="shared" ca="1" si="518"/>
        <v>712583964188029.25</v>
      </c>
      <c r="Q164" s="1689">
        <f t="shared" ca="1" si="518"/>
        <v>855422357213696</v>
      </c>
      <c r="R164" s="1689">
        <f t="shared" ca="1" si="518"/>
        <v>1024357237704927.9</v>
      </c>
      <c r="S164" s="1689">
        <f t="shared" ca="1" si="518"/>
        <v>1223100728667232.5</v>
      </c>
      <c r="T164" s="1689">
        <f t="shared" ca="1" si="518"/>
        <v>1456088928215873.7</v>
      </c>
      <c r="U164" s="1689">
        <f t="shared" ca="1" si="518"/>
        <v>1686599633078472.2</v>
      </c>
      <c r="V164" s="1689">
        <f t="shared" ca="1" si="518"/>
        <v>1948082825064414</v>
      </c>
      <c r="W164" s="1689">
        <f t="shared" ca="1" si="518"/>
        <v>2243915992814162</v>
      </c>
      <c r="X164" s="675"/>
      <c r="Y164" s="1689">
        <f t="shared" ca="1" si="519"/>
        <v>0</v>
      </c>
      <c r="Z164" s="1689">
        <f t="shared" ca="1" si="519"/>
        <v>0</v>
      </c>
      <c r="AA164" s="1689">
        <f t="shared" ca="1" si="519"/>
        <v>0</v>
      </c>
      <c r="AB164" s="1689">
        <f t="shared" ca="1" si="519"/>
        <v>0</v>
      </c>
      <c r="AC164" s="1689">
        <f t="shared" ca="1" si="519"/>
        <v>0</v>
      </c>
      <c r="AD164" s="1689">
        <f t="shared" ca="1" si="519"/>
        <v>0</v>
      </c>
      <c r="AE164" s="1689">
        <f t="shared" ca="1" si="519"/>
        <v>0</v>
      </c>
      <c r="AF164" s="1689">
        <f t="shared" ca="1" si="519"/>
        <v>0</v>
      </c>
      <c r="AG164" s="1689">
        <f t="shared" ca="1" si="519"/>
        <v>0</v>
      </c>
      <c r="AH164" s="675"/>
      <c r="AI164" s="1689">
        <f t="shared" ca="1" si="520"/>
        <v>59797286573226.82</v>
      </c>
      <c r="AJ164" s="1689">
        <f t="shared" ca="1" si="520"/>
        <v>782131383971696.25</v>
      </c>
      <c r="AK164" s="1689">
        <f t="shared" ca="1" si="520"/>
        <v>899263047436567.25</v>
      </c>
      <c r="AL164" s="1689">
        <f t="shared" ca="1" si="520"/>
        <v>1077727624296142.1</v>
      </c>
      <c r="AM164" s="1689">
        <f t="shared" ca="1" si="520"/>
        <v>1287398182111528.7</v>
      </c>
      <c r="AN164" s="1689">
        <f t="shared" ca="1" si="520"/>
        <v>1534163756261012.5</v>
      </c>
      <c r="AO164" s="1689">
        <f t="shared" ca="1" si="520"/>
        <v>1775197693327668.7</v>
      </c>
      <c r="AP164" s="1689">
        <f t="shared" ca="1" si="520"/>
        <v>2052636230579752.5</v>
      </c>
      <c r="AQ164" s="1689">
        <f t="shared" ca="1" si="520"/>
        <v>2365759005989118</v>
      </c>
      <c r="AS164" s="1706">
        <f t="shared" ca="1" si="521"/>
        <v>1314897134505190.5</v>
      </c>
      <c r="AT164" s="1706">
        <f t="shared" ca="1" si="521"/>
        <v>8696776066209575</v>
      </c>
      <c r="AU164" s="675"/>
      <c r="AV164" s="1699"/>
      <c r="AW164" s="1690"/>
      <c r="AX164" s="675"/>
      <c r="AY164" s="1689">
        <f t="shared" ca="1" si="522"/>
        <v>0</v>
      </c>
      <c r="AZ164" s="1689">
        <f t="shared" ca="1" si="522"/>
        <v>45845964718422.133</v>
      </c>
      <c r="BA164" s="1689">
        <f t="shared" ca="1" si="522"/>
        <v>28966396693051.992</v>
      </c>
      <c r="BB164" s="1689">
        <f t="shared" ca="1" si="522"/>
        <v>35251363604024.227</v>
      </c>
      <c r="BC164" s="1689">
        <f t="shared" ca="1" si="522"/>
        <v>42388148803992.062</v>
      </c>
      <c r="BD164" s="1689">
        <f t="shared" ca="1" si="522"/>
        <v>51505670310048.133</v>
      </c>
      <c r="BE164" s="1689">
        <f t="shared" ca="1" si="522"/>
        <v>58342024669160.68</v>
      </c>
      <c r="BF164" s="1689">
        <f t="shared" ca="1" si="522"/>
        <v>68916323996028.234</v>
      </c>
      <c r="BG164" s="1689">
        <f t="shared" ca="1" si="522"/>
        <v>80195736389304.375</v>
      </c>
      <c r="BH164" s="675"/>
      <c r="BI164" s="1689">
        <f t="shared" ca="1" si="523"/>
        <v>0</v>
      </c>
      <c r="BJ164" s="1689">
        <f t="shared" ca="1" si="523"/>
        <v>45845964718422.133</v>
      </c>
      <c r="BK164" s="1689">
        <f t="shared" ca="1" si="523"/>
        <v>74803068824770.391</v>
      </c>
      <c r="BL164" s="1689">
        <f t="shared" ca="1" si="523"/>
        <v>109401858818104.78</v>
      </c>
      <c r="BM164" s="1689">
        <f t="shared" ca="1" si="523"/>
        <v>105837991951917.77</v>
      </c>
      <c r="BN164" s="1689">
        <f t="shared" ca="1" si="523"/>
        <v>128275523445795.37</v>
      </c>
      <c r="BO164" s="1689">
        <f t="shared" ca="1" si="523"/>
        <v>151614205731985.16</v>
      </c>
      <c r="BP164" s="1689">
        <f t="shared" ca="1" si="523"/>
        <v>177846942479431.5</v>
      </c>
      <c r="BQ164" s="1689">
        <f t="shared" ca="1" si="523"/>
        <v>206967051636707.75</v>
      </c>
      <c r="BR164" s="675"/>
      <c r="BS164" s="1701">
        <f t="shared" ca="1" si="524"/>
        <v>59797286573226.82</v>
      </c>
      <c r="BT164" s="1701">
        <f t="shared" ca="1" si="524"/>
        <v>758429928906451.25</v>
      </c>
      <c r="BU164" s="1701">
        <f t="shared" ca="1" si="524"/>
        <v>930225426038466.37</v>
      </c>
      <c r="BV164" s="1701">
        <f t="shared" ca="1" si="524"/>
        <v>1133759096523032.7</v>
      </c>
      <c r="BW164" s="1701">
        <f t="shared" ca="1" si="524"/>
        <v>1328938720619150.2</v>
      </c>
      <c r="BX164" s="1701">
        <f t="shared" ca="1" si="524"/>
        <v>1584364451661669.2</v>
      </c>
      <c r="BY164" s="1701">
        <f t="shared" ca="1" si="524"/>
        <v>1838213838810457.7</v>
      </c>
      <c r="BZ164" s="1701">
        <f t="shared" ca="1" si="524"/>
        <v>2125929767543845</v>
      </c>
      <c r="CA164" s="1701">
        <f t="shared" ca="1" si="524"/>
        <v>2450883044450869.5</v>
      </c>
      <c r="CC164" s="1706">
        <f t="shared" ca="1" si="525"/>
        <v>1356726840125241</v>
      </c>
      <c r="CD164" s="1706">
        <f t="shared" ca="1" si="525"/>
        <v>8858309600237071</v>
      </c>
      <c r="CF164" s="1703">
        <f t="shared" ca="1" si="526"/>
        <v>0</v>
      </c>
      <c r="CG164" s="1703">
        <f t="shared" ca="1" si="526"/>
        <v>-23701455065244.988</v>
      </c>
      <c r="CH164" s="1703">
        <f t="shared" ca="1" si="526"/>
        <v>30962378601899.105</v>
      </c>
      <c r="CI164" s="1703">
        <f t="shared" ca="1" si="526"/>
        <v>56031472226890.445</v>
      </c>
      <c r="CJ164" s="1703">
        <f t="shared" ca="1" si="526"/>
        <v>41540538507621.703</v>
      </c>
      <c r="CK164" s="1703">
        <f t="shared" ca="1" si="526"/>
        <v>50200695400656.453</v>
      </c>
      <c r="CL164" s="1703">
        <f t="shared" ca="1" si="526"/>
        <v>63016145482788.828</v>
      </c>
      <c r="CM164" s="1703">
        <f t="shared" ca="1" si="526"/>
        <v>73293536964092.625</v>
      </c>
      <c r="CN164" s="1703">
        <f t="shared" ca="1" si="526"/>
        <v>85124038461751.547</v>
      </c>
      <c r="CP164" s="1706">
        <f t="shared" ca="1" si="527"/>
        <v>41829705620050.633</v>
      </c>
      <c r="CQ164" s="1706">
        <f t="shared" ca="1" si="527"/>
        <v>161533534027496.78</v>
      </c>
      <c r="CR164" s="1426" t="str">
        <f t="shared" ca="1" si="528"/>
        <v>err</v>
      </c>
    </row>
    <row r="165" spans="1:96" s="1426" customFormat="1" x14ac:dyDescent="0.2">
      <c r="A165" s="2215"/>
      <c r="B165" s="2215"/>
      <c r="C165" s="1685" t="s">
        <v>33</v>
      </c>
      <c r="D165" s="2215"/>
      <c r="E165" s="1691">
        <f t="shared" ca="1" si="517"/>
        <v>12765000000</v>
      </c>
      <c r="F165" s="1691">
        <f t="shared" ca="1" si="517"/>
        <v>76882778556.738586</v>
      </c>
      <c r="G165" s="1691">
        <f t="shared" ca="1" si="517"/>
        <v>78092658667.432816</v>
      </c>
      <c r="H165" s="1691">
        <f t="shared" ca="1" si="517"/>
        <v>75098166686.271469</v>
      </c>
      <c r="I165" s="1691">
        <f t="shared" ca="1" si="517"/>
        <v>67775417238.831985</v>
      </c>
      <c r="J165" s="1691">
        <f t="shared" ca="1" si="517"/>
        <v>62150864329.898476</v>
      </c>
      <c r="K165" s="1691">
        <f t="shared" ca="1" si="517"/>
        <v>61475879227.996002</v>
      </c>
      <c r="L165" s="1691">
        <f t="shared" ca="1" si="517"/>
        <v>62482258350.070213</v>
      </c>
      <c r="M165" s="1691">
        <f t="shared" ca="1" si="517"/>
        <v>63613287713.924431</v>
      </c>
      <c r="N165" s="675"/>
      <c r="O165" s="1691">
        <f t="shared" ca="1" si="518"/>
        <v>1447013231462.6367</v>
      </c>
      <c r="P165" s="1691">
        <f t="shared" ca="1" si="518"/>
        <v>1510147318939.0957</v>
      </c>
      <c r="Q165" s="1691">
        <f t="shared" ca="1" si="518"/>
        <v>1570988564979.49</v>
      </c>
      <c r="R165" s="1691">
        <f t="shared" ca="1" si="518"/>
        <v>1630518566717.4397</v>
      </c>
      <c r="S165" s="1691">
        <f t="shared" ca="1" si="518"/>
        <v>1675987309062.7708</v>
      </c>
      <c r="T165" s="1691">
        <f t="shared" ca="1" si="518"/>
        <v>1732360498943.062</v>
      </c>
      <c r="U165" s="1691">
        <f t="shared" ca="1" si="518"/>
        <v>1794612456835.0425</v>
      </c>
      <c r="V165" s="1691">
        <f t="shared" ca="1" si="518"/>
        <v>1860483907058.1262</v>
      </c>
      <c r="W165" s="1691">
        <f t="shared" ca="1" si="518"/>
        <v>1930224720364.2334</v>
      </c>
      <c r="X165" s="675"/>
      <c r="Y165" s="1691">
        <f t="shared" ca="1" si="519"/>
        <v>0</v>
      </c>
      <c r="Z165" s="1691">
        <f t="shared" ca="1" si="519"/>
        <v>0</v>
      </c>
      <c r="AA165" s="1691">
        <f t="shared" ca="1" si="519"/>
        <v>0</v>
      </c>
      <c r="AB165" s="1691">
        <f t="shared" ca="1" si="519"/>
        <v>0</v>
      </c>
      <c r="AC165" s="1691">
        <f t="shared" ca="1" si="519"/>
        <v>0</v>
      </c>
      <c r="AD165" s="1691">
        <f t="shared" ca="1" si="519"/>
        <v>0</v>
      </c>
      <c r="AE165" s="1691">
        <f t="shared" ca="1" si="519"/>
        <v>0</v>
      </c>
      <c r="AF165" s="1691">
        <f t="shared" ca="1" si="519"/>
        <v>0</v>
      </c>
      <c r="AG165" s="1691">
        <f t="shared" ca="1" si="519"/>
        <v>0</v>
      </c>
      <c r="AH165" s="675"/>
      <c r="AI165" s="1691">
        <f t="shared" ca="1" si="520"/>
        <v>1459778231462.6367</v>
      </c>
      <c r="AJ165" s="1691">
        <f t="shared" ca="1" si="520"/>
        <v>1587030097495.8345</v>
      </c>
      <c r="AK165" s="1691">
        <f t="shared" ca="1" si="520"/>
        <v>1649081223646.9229</v>
      </c>
      <c r="AL165" s="1691">
        <f t="shared" ca="1" si="520"/>
        <v>1705616733403.7114</v>
      </c>
      <c r="AM165" s="1691">
        <f t="shared" ca="1" si="520"/>
        <v>1743762726301.6028</v>
      </c>
      <c r="AN165" s="1691">
        <f t="shared" ca="1" si="520"/>
        <v>1794511363272.9604</v>
      </c>
      <c r="AO165" s="1691">
        <f t="shared" ca="1" si="520"/>
        <v>1856088336063.0386</v>
      </c>
      <c r="AP165" s="1691">
        <f t="shared" ca="1" si="520"/>
        <v>1922966165408.1965</v>
      </c>
      <c r="AQ165" s="1691">
        <f t="shared" ca="1" si="520"/>
        <v>1993838008078.1577</v>
      </c>
      <c r="AR165" s="2215"/>
      <c r="AS165" s="1707">
        <f t="shared" ca="1" si="521"/>
        <v>1745852542792.5627</v>
      </c>
      <c r="AT165" s="1707">
        <f t="shared" ca="1" si="521"/>
        <v>15163798119735.766</v>
      </c>
      <c r="AU165" s="675"/>
      <c r="AV165" s="1700"/>
      <c r="AW165" s="1692"/>
      <c r="AX165" s="675"/>
      <c r="AY165" s="1691">
        <f t="shared" ca="1" si="522"/>
        <v>5034788285.9019194</v>
      </c>
      <c r="AZ165" s="1691">
        <f t="shared" ca="1" si="522"/>
        <v>50540346372.249481</v>
      </c>
      <c r="BA165" s="1691">
        <f t="shared" ca="1" si="522"/>
        <v>51335683910.918892</v>
      </c>
      <c r="BB165" s="1691">
        <f t="shared" ca="1" si="522"/>
        <v>49367198057.807724</v>
      </c>
      <c r="BC165" s="1691">
        <f t="shared" ca="1" si="522"/>
        <v>44553450422.533791</v>
      </c>
      <c r="BD165" s="1691">
        <f t="shared" ca="1" si="522"/>
        <v>40856044351.332062</v>
      </c>
      <c r="BE165" s="1691">
        <f t="shared" ca="1" si="522"/>
        <v>40412330147.882935</v>
      </c>
      <c r="BF165" s="1691">
        <f t="shared" ca="1" si="522"/>
        <v>41073892468.681412</v>
      </c>
      <c r="BG165" s="1691">
        <f t="shared" ca="1" si="522"/>
        <v>41817395979.863586</v>
      </c>
      <c r="BH165" s="675"/>
      <c r="BI165" s="1691">
        <f t="shared" ca="1" si="523"/>
        <v>5034788285.9019194</v>
      </c>
      <c r="BJ165" s="1691">
        <f t="shared" ca="1" si="523"/>
        <v>55575134658.151398</v>
      </c>
      <c r="BK165" s="1691">
        <f t="shared" ca="1" si="523"/>
        <v>106910818569.0703</v>
      </c>
      <c r="BL165" s="1691">
        <f t="shared" ca="1" si="523"/>
        <v>151243228340.9761</v>
      </c>
      <c r="BM165" s="1691">
        <f t="shared" ca="1" si="523"/>
        <v>145256332391.26041</v>
      </c>
      <c r="BN165" s="1691">
        <f t="shared" ca="1" si="523"/>
        <v>134776692831.67358</v>
      </c>
      <c r="BO165" s="1691">
        <f t="shared" ca="1" si="523"/>
        <v>125821824921.74879</v>
      </c>
      <c r="BP165" s="1691">
        <f t="shared" ca="1" si="523"/>
        <v>122342266967.89641</v>
      </c>
      <c r="BQ165" s="1691">
        <f t="shared" ca="1" si="523"/>
        <v>123303618596.42793</v>
      </c>
      <c r="BR165" s="675"/>
      <c r="BS165" s="1702">
        <f t="shared" ca="1" si="524"/>
        <v>1452048019748.5386</v>
      </c>
      <c r="BT165" s="1702">
        <f t="shared" ca="1" si="524"/>
        <v>1565722453597.2473</v>
      </c>
      <c r="BU165" s="1702">
        <f t="shared" ca="1" si="524"/>
        <v>1677899383548.5605</v>
      </c>
      <c r="BV165" s="1702">
        <f t="shared" ca="1" si="524"/>
        <v>1781761795058.416</v>
      </c>
      <c r="BW165" s="1702">
        <f t="shared" ca="1" si="524"/>
        <v>1821243641454.0312</v>
      </c>
      <c r="BX165" s="1702">
        <f t="shared" ca="1" si="524"/>
        <v>1867137191774.7356</v>
      </c>
      <c r="BY165" s="1702">
        <f t="shared" ca="1" si="524"/>
        <v>1920434281756.7913</v>
      </c>
      <c r="BZ165" s="1702">
        <f t="shared" ca="1" si="524"/>
        <v>1982826174026.0225</v>
      </c>
      <c r="CA165" s="1702">
        <f t="shared" ca="1" si="524"/>
        <v>2053528338960.6614</v>
      </c>
      <c r="CB165" s="2215"/>
      <c r="CC165" s="1707">
        <f t="shared" ca="1" si="525"/>
        <v>1791400142213.8892</v>
      </c>
      <c r="CD165" s="1707">
        <f t="shared" ca="1" si="525"/>
        <v>15373673075947.344</v>
      </c>
      <c r="CE165" s="2215"/>
      <c r="CF165" s="1704">
        <f t="shared" ca="1" si="526"/>
        <v>-7730211714.0980806</v>
      </c>
      <c r="CG165" s="1704">
        <f t="shared" ca="1" si="526"/>
        <v>-21307643898.587189</v>
      </c>
      <c r="CH165" s="1704">
        <f t="shared" ca="1" si="526"/>
        <v>28818159901.637482</v>
      </c>
      <c r="CI165" s="1704">
        <f t="shared" ca="1" si="526"/>
        <v>76145061654.704636</v>
      </c>
      <c r="CJ165" s="1704">
        <f t="shared" ca="1" si="526"/>
        <v>77480915152.428436</v>
      </c>
      <c r="CK165" s="1704">
        <f t="shared" ca="1" si="526"/>
        <v>72625828501.775101</v>
      </c>
      <c r="CL165" s="1704">
        <f t="shared" ca="1" si="526"/>
        <v>64345945693.752792</v>
      </c>
      <c r="CM165" s="1704">
        <f t="shared" ca="1" si="526"/>
        <v>59860008617.826195</v>
      </c>
      <c r="CN165" s="1704">
        <f t="shared" ca="1" si="526"/>
        <v>59690330882.503502</v>
      </c>
      <c r="CO165" s="2215"/>
      <c r="CP165" s="1707">
        <f t="shared" ca="1" si="527"/>
        <v>45547599421.326981</v>
      </c>
      <c r="CQ165" s="1707">
        <f t="shared" ca="1" si="527"/>
        <v>209874956211.58099</v>
      </c>
      <c r="CR165" s="1426" t="str">
        <f t="shared" ca="1" si="528"/>
        <v>ok</v>
      </c>
    </row>
    <row r="166" spans="1:96" x14ac:dyDescent="0.2">
      <c r="A166" s="2215"/>
      <c r="B166" s="2215"/>
      <c r="C166" s="1697" t="s">
        <v>102</v>
      </c>
      <c r="D166" s="2215"/>
      <c r="E166" s="1698">
        <f t="shared" si="517"/>
        <v>0</v>
      </c>
      <c r="F166" s="1698">
        <f t="shared" si="517"/>
        <v>0</v>
      </c>
      <c r="G166" s="1698">
        <f t="shared" si="517"/>
        <v>0</v>
      </c>
      <c r="H166" s="1698">
        <f t="shared" si="517"/>
        <v>0</v>
      </c>
      <c r="I166" s="1698">
        <f t="shared" si="517"/>
        <v>0</v>
      </c>
      <c r="J166" s="1698">
        <f t="shared" si="517"/>
        <v>0</v>
      </c>
      <c r="K166" s="1698">
        <f t="shared" si="517"/>
        <v>0</v>
      </c>
      <c r="L166" s="1698">
        <f t="shared" si="517"/>
        <v>0</v>
      </c>
      <c r="M166" s="1698">
        <f t="shared" si="517"/>
        <v>0</v>
      </c>
      <c r="N166" s="675"/>
      <c r="O166" s="1698">
        <f t="shared" si="518"/>
        <v>0</v>
      </c>
      <c r="P166" s="1698">
        <f t="shared" si="518"/>
        <v>0</v>
      </c>
      <c r="Q166" s="1698">
        <f t="shared" si="518"/>
        <v>0</v>
      </c>
      <c r="R166" s="1698">
        <f t="shared" si="518"/>
        <v>0</v>
      </c>
      <c r="S166" s="1698">
        <f t="shared" si="518"/>
        <v>0</v>
      </c>
      <c r="T166" s="1698">
        <f t="shared" si="518"/>
        <v>0</v>
      </c>
      <c r="U166" s="1698">
        <f t="shared" si="518"/>
        <v>0</v>
      </c>
      <c r="V166" s="1698">
        <f t="shared" si="518"/>
        <v>0</v>
      </c>
      <c r="W166" s="1698">
        <f t="shared" si="518"/>
        <v>0</v>
      </c>
      <c r="X166" s="675"/>
      <c r="Y166" s="1698">
        <f t="shared" si="519"/>
        <v>0</v>
      </c>
      <c r="Z166" s="1698">
        <f t="shared" si="519"/>
        <v>0</v>
      </c>
      <c r="AA166" s="1698">
        <f t="shared" si="519"/>
        <v>0</v>
      </c>
      <c r="AB166" s="1698">
        <f t="shared" si="519"/>
        <v>0</v>
      </c>
      <c r="AC166" s="1698">
        <f t="shared" si="519"/>
        <v>0</v>
      </c>
      <c r="AD166" s="1698">
        <f t="shared" si="519"/>
        <v>0</v>
      </c>
      <c r="AE166" s="1698">
        <f t="shared" si="519"/>
        <v>0</v>
      </c>
      <c r="AF166" s="1698">
        <f t="shared" si="519"/>
        <v>0</v>
      </c>
      <c r="AG166" s="1698">
        <f t="shared" si="519"/>
        <v>0</v>
      </c>
      <c r="AH166" s="675"/>
      <c r="AI166" s="1698">
        <f t="shared" si="520"/>
        <v>0</v>
      </c>
      <c r="AJ166" s="1698">
        <f t="shared" si="520"/>
        <v>0</v>
      </c>
      <c r="AK166" s="1698">
        <f t="shared" si="520"/>
        <v>0</v>
      </c>
      <c r="AL166" s="1698">
        <f t="shared" si="520"/>
        <v>0</v>
      </c>
      <c r="AM166" s="1698">
        <f t="shared" si="520"/>
        <v>0</v>
      </c>
      <c r="AN166" s="1698">
        <f t="shared" si="520"/>
        <v>0</v>
      </c>
      <c r="AO166" s="1698">
        <f t="shared" si="520"/>
        <v>0</v>
      </c>
      <c r="AP166" s="1698">
        <f t="shared" si="520"/>
        <v>0</v>
      </c>
      <c r="AQ166" s="1698">
        <f t="shared" si="520"/>
        <v>0</v>
      </c>
      <c r="AR166" s="2215"/>
      <c r="AS166" s="1708">
        <f t="shared" si="521"/>
        <v>0</v>
      </c>
      <c r="AT166" s="1708">
        <f t="shared" si="521"/>
        <v>0</v>
      </c>
      <c r="AU166" s="675"/>
      <c r="AV166" s="1699"/>
      <c r="AW166" s="1690"/>
      <c r="AX166" s="675"/>
      <c r="AY166" s="1698">
        <f t="shared" si="522"/>
        <v>0</v>
      </c>
      <c r="AZ166" s="1698">
        <f t="shared" si="522"/>
        <v>0</v>
      </c>
      <c r="BA166" s="1698">
        <f t="shared" si="522"/>
        <v>0</v>
      </c>
      <c r="BB166" s="1698">
        <f t="shared" si="522"/>
        <v>0</v>
      </c>
      <c r="BC166" s="1698">
        <f t="shared" si="522"/>
        <v>0</v>
      </c>
      <c r="BD166" s="1698">
        <f t="shared" si="522"/>
        <v>0</v>
      </c>
      <c r="BE166" s="1698">
        <f t="shared" si="522"/>
        <v>0</v>
      </c>
      <c r="BF166" s="1698">
        <f t="shared" si="522"/>
        <v>0</v>
      </c>
      <c r="BG166" s="1698">
        <f t="shared" si="522"/>
        <v>0</v>
      </c>
      <c r="BH166" s="675"/>
      <c r="BI166" s="1698">
        <f t="shared" si="523"/>
        <v>0</v>
      </c>
      <c r="BJ166" s="1698">
        <f t="shared" si="523"/>
        <v>0</v>
      </c>
      <c r="BK166" s="1698">
        <f t="shared" si="523"/>
        <v>0</v>
      </c>
      <c r="BL166" s="1698">
        <f t="shared" si="523"/>
        <v>0</v>
      </c>
      <c r="BM166" s="1698">
        <f t="shared" si="523"/>
        <v>0</v>
      </c>
      <c r="BN166" s="1698">
        <f t="shared" si="523"/>
        <v>0</v>
      </c>
      <c r="BO166" s="1698">
        <f t="shared" si="523"/>
        <v>0</v>
      </c>
      <c r="BP166" s="1698">
        <f t="shared" si="523"/>
        <v>0</v>
      </c>
      <c r="BQ166" s="1698">
        <f t="shared" si="523"/>
        <v>0</v>
      </c>
      <c r="BR166" s="675"/>
      <c r="BS166" s="1698">
        <f t="shared" si="524"/>
        <v>0</v>
      </c>
      <c r="BT166" s="1698">
        <f t="shared" si="524"/>
        <v>0</v>
      </c>
      <c r="BU166" s="1698">
        <f t="shared" si="524"/>
        <v>0</v>
      </c>
      <c r="BV166" s="1698">
        <f t="shared" si="524"/>
        <v>0</v>
      </c>
      <c r="BW166" s="1698">
        <f t="shared" si="524"/>
        <v>0</v>
      </c>
      <c r="BX166" s="1698">
        <f t="shared" si="524"/>
        <v>0</v>
      </c>
      <c r="BY166" s="1698">
        <f t="shared" si="524"/>
        <v>0</v>
      </c>
      <c r="BZ166" s="1698">
        <f t="shared" si="524"/>
        <v>0</v>
      </c>
      <c r="CA166" s="1698">
        <f t="shared" si="524"/>
        <v>0</v>
      </c>
      <c r="CB166" s="2215"/>
      <c r="CC166" s="1708">
        <f t="shared" si="525"/>
        <v>0</v>
      </c>
      <c r="CD166" s="1708">
        <f t="shared" si="525"/>
        <v>0</v>
      </c>
      <c r="CE166" s="2215"/>
      <c r="CF166" s="1698">
        <f t="shared" si="526"/>
        <v>0</v>
      </c>
      <c r="CG166" s="1698">
        <f t="shared" si="526"/>
        <v>0</v>
      </c>
      <c r="CH166" s="1698">
        <f t="shared" si="526"/>
        <v>0</v>
      </c>
      <c r="CI166" s="1698">
        <f t="shared" si="526"/>
        <v>0</v>
      </c>
      <c r="CJ166" s="1698">
        <f t="shared" si="526"/>
        <v>0</v>
      </c>
      <c r="CK166" s="1698">
        <f t="shared" si="526"/>
        <v>0</v>
      </c>
      <c r="CL166" s="1698">
        <f t="shared" si="526"/>
        <v>0</v>
      </c>
      <c r="CM166" s="1698">
        <f t="shared" si="526"/>
        <v>0</v>
      </c>
      <c r="CN166" s="1698">
        <f t="shared" si="526"/>
        <v>0</v>
      </c>
      <c r="CO166" s="2215"/>
      <c r="CP166" s="1708">
        <f t="shared" si="527"/>
        <v>0</v>
      </c>
      <c r="CQ166" s="1708">
        <f t="shared" si="527"/>
        <v>0</v>
      </c>
      <c r="CR166" s="1426" t="str">
        <f t="shared" si="528"/>
        <v>ok</v>
      </c>
    </row>
    <row r="167" spans="1:96" x14ac:dyDescent="0.2">
      <c r="A167" s="2215"/>
      <c r="B167" s="2215"/>
      <c r="C167" s="1685" t="s">
        <v>105</v>
      </c>
      <c r="D167" s="2215"/>
      <c r="E167" s="2216">
        <f t="shared" ref="E167:M167" ca="1" si="529">SUM(E160:E166)</f>
        <v>3618433115773.6108</v>
      </c>
      <c r="F167" s="1691">
        <f t="shared" ca="1" si="529"/>
        <v>77333716900299.016</v>
      </c>
      <c r="G167" s="1691">
        <f t="shared" ca="1" si="529"/>
        <v>58543708371287.984</v>
      </c>
      <c r="H167" s="1691">
        <f t="shared" ca="1" si="529"/>
        <v>72031819518950.641</v>
      </c>
      <c r="I167" s="1691">
        <f t="shared" ca="1" si="529"/>
        <v>88797800943916.937</v>
      </c>
      <c r="J167" s="1691">
        <f t="shared" ca="1" si="529"/>
        <v>107601872937930</v>
      </c>
      <c r="K167" s="1691">
        <f t="shared" ca="1" si="529"/>
        <v>122948985997538.86</v>
      </c>
      <c r="L167" s="1691">
        <f t="shared" ca="1" si="529"/>
        <v>150550577897463.91</v>
      </c>
      <c r="M167" s="1691">
        <f t="shared" ca="1" si="529"/>
        <v>126010004595247.5</v>
      </c>
      <c r="N167" s="675"/>
      <c r="O167" s="1691">
        <f t="shared" ref="O167:W167" ca="1" si="530">SUM(O160:O166)</f>
        <v>69491619339632.328</v>
      </c>
      <c r="P167" s="1691">
        <f t="shared" ca="1" si="530"/>
        <v>723300317697364.87</v>
      </c>
      <c r="Q167" s="1691">
        <f t="shared" ca="1" si="530"/>
        <v>867670116341273</v>
      </c>
      <c r="R167" s="1691">
        <f t="shared" ca="1" si="530"/>
        <v>1039363658026679.2</v>
      </c>
      <c r="S167" s="1691">
        <f t="shared" ca="1" si="530"/>
        <v>1239474217975937.2</v>
      </c>
      <c r="T167" s="1691">
        <f t="shared" ca="1" si="530"/>
        <v>1473981351348486.2</v>
      </c>
      <c r="U167" s="1691">
        <f t="shared" ca="1" si="530"/>
        <v>1706023593588998</v>
      </c>
      <c r="V167" s="1691">
        <f t="shared" ca="1" si="530"/>
        <v>1969198757982143.2</v>
      </c>
      <c r="W167" s="1691">
        <f t="shared" ca="1" si="530"/>
        <v>2264863192531878</v>
      </c>
      <c r="X167" s="675"/>
      <c r="Y167" s="1691">
        <f t="shared" ref="Y167:AG167" ca="1" si="531">SUM(Y160:Y166)</f>
        <v>18002960858421.984</v>
      </c>
      <c r="Z167" s="1691">
        <f t="shared" ca="1" si="531"/>
        <v>20239374610513.395</v>
      </c>
      <c r="AA167" s="1691">
        <f t="shared" ca="1" si="531"/>
        <v>22144567646333.176</v>
      </c>
      <c r="AB167" s="1691">
        <f t="shared" ca="1" si="531"/>
        <v>24327118580403.395</v>
      </c>
      <c r="AC167" s="1691">
        <f t="shared" ca="1" si="531"/>
        <v>27761236067298.145</v>
      </c>
      <c r="AD167" s="1691">
        <f t="shared" ca="1" si="531"/>
        <v>31884275679451.078</v>
      </c>
      <c r="AE167" s="1691">
        <f t="shared" ca="1" si="531"/>
        <v>36007773789293.625</v>
      </c>
      <c r="AF167" s="1691">
        <f t="shared" ca="1" si="531"/>
        <v>40346817244738.734</v>
      </c>
      <c r="AG167" s="1691">
        <f t="shared" ca="1" si="531"/>
        <v>45357137145013.297</v>
      </c>
      <c r="AH167" s="675"/>
      <c r="AI167" s="1691">
        <f t="shared" ref="AI167:AQ167" ca="1" si="532">SUM(AI160:AI166)</f>
        <v>91113013313827.922</v>
      </c>
      <c r="AJ167" s="1691">
        <f t="shared" ca="1" si="532"/>
        <v>820873409208177.25</v>
      </c>
      <c r="AK167" s="1691">
        <f t="shared" ca="1" si="532"/>
        <v>948358392358894.12</v>
      </c>
      <c r="AL167" s="1691">
        <f t="shared" ca="1" si="532"/>
        <v>1135722596126033.2</v>
      </c>
      <c r="AM167" s="1691">
        <f t="shared" ca="1" si="532"/>
        <v>1356033254987152.5</v>
      </c>
      <c r="AN167" s="1691">
        <f t="shared" ca="1" si="532"/>
        <v>1613467499965867.2</v>
      </c>
      <c r="AO167" s="1691">
        <f t="shared" ca="1" si="532"/>
        <v>1864980353375830.5</v>
      </c>
      <c r="AP167" s="1691">
        <f t="shared" ca="1" si="532"/>
        <v>2160096153124345.2</v>
      </c>
      <c r="AQ167" s="1691">
        <f t="shared" ca="1" si="532"/>
        <v>2436230334272138.5</v>
      </c>
      <c r="AR167" s="2215"/>
      <c r="AS167" s="1707">
        <f ca="1">SUM(AS160:AS166)</f>
        <v>1380763889636918.7</v>
      </c>
      <c r="AT167" s="1707">
        <f ca="1">SUM(AT160:AT166)</f>
        <v>9167351471491978</v>
      </c>
      <c r="AU167" s="675"/>
      <c r="AV167" s="1700"/>
      <c r="AW167" s="1692"/>
      <c r="AX167" s="675"/>
      <c r="AY167" s="1691">
        <f t="shared" ref="AY167:BG167" ca="1" si="533">SUM(AY160:AY166)</f>
        <v>1220690327954.4485</v>
      </c>
      <c r="AZ167" s="1691">
        <f t="shared" ca="1" si="533"/>
        <v>50310516899330.211</v>
      </c>
      <c r="BA167" s="1691">
        <f t="shared" ca="1" si="533"/>
        <v>37523859680156.891</v>
      </c>
      <c r="BB167" s="1691">
        <f t="shared" ca="1" si="533"/>
        <v>46234922419623.219</v>
      </c>
      <c r="BC167" s="1691">
        <f t="shared" ca="1" si="533"/>
        <v>56868962296130.617</v>
      </c>
      <c r="BD167" s="1691">
        <f t="shared" ca="1" si="533"/>
        <v>69055059540132.477</v>
      </c>
      <c r="BE167" s="1691">
        <f t="shared" ca="1" si="533"/>
        <v>78602592287983.172</v>
      </c>
      <c r="BF167" s="1691">
        <f t="shared" ca="1" si="533"/>
        <v>96051001806940.984</v>
      </c>
      <c r="BG167" s="1691">
        <f t="shared" ca="1" si="533"/>
        <v>82767805869104.937</v>
      </c>
      <c r="BH167" s="675"/>
      <c r="BI167" s="1691">
        <f t="shared" ref="BI167:BQ167" ca="1" si="534">SUM(BI160:BI166)</f>
        <v>1220690327954.4485</v>
      </c>
      <c r="BJ167" s="1691">
        <f t="shared" ca="1" si="534"/>
        <v>51531207227284.656</v>
      </c>
      <c r="BK167" s="1691">
        <f t="shared" ca="1" si="534"/>
        <v>89045774320737.812</v>
      </c>
      <c r="BL167" s="1691">
        <f t="shared" ca="1" si="534"/>
        <v>134403876146404</v>
      </c>
      <c r="BM167" s="1691">
        <f t="shared" ca="1" si="534"/>
        <v>144330165791630.06</v>
      </c>
      <c r="BN167" s="1691">
        <f t="shared" ca="1" si="534"/>
        <v>180271986124495.56</v>
      </c>
      <c r="BO167" s="1691">
        <f t="shared" ca="1" si="534"/>
        <v>216927941997102.62</v>
      </c>
      <c r="BP167" s="1691">
        <f t="shared" ca="1" si="534"/>
        <v>269508338236444.66</v>
      </c>
      <c r="BQ167" s="1691">
        <f t="shared" ca="1" si="534"/>
        <v>277464944921924.62</v>
      </c>
      <c r="BR167" s="675"/>
      <c r="BS167" s="1702">
        <f t="shared" ref="BS167:CA167" ca="1" si="535">SUM(BS160:BS166)</f>
        <v>88715270526008.75</v>
      </c>
      <c r="BT167" s="1702">
        <f t="shared" ca="1" si="535"/>
        <v>795070899535162.75</v>
      </c>
      <c r="BU167" s="1702">
        <f t="shared" ca="1" si="535"/>
        <v>978860458308343.87</v>
      </c>
      <c r="BV167" s="1702">
        <f t="shared" ca="1" si="535"/>
        <v>1198094652753486.7</v>
      </c>
      <c r="BW167" s="1702">
        <f t="shared" ca="1" si="535"/>
        <v>1411565619834865.5</v>
      </c>
      <c r="BX167" s="1702">
        <f t="shared" ca="1" si="535"/>
        <v>1686137613152433.2</v>
      </c>
      <c r="BY167" s="1702">
        <f t="shared" ca="1" si="535"/>
        <v>1958959309375394.5</v>
      </c>
      <c r="BZ167" s="1702">
        <f t="shared" ca="1" si="535"/>
        <v>2279053913463326</v>
      </c>
      <c r="CA167" s="1702">
        <f t="shared" ca="1" si="535"/>
        <v>2587685274598816</v>
      </c>
      <c r="CB167" s="2215"/>
      <c r="CC167" s="1707">
        <f ca="1">SUM(CC160:CC166)</f>
        <v>1442682556838648.7</v>
      </c>
      <c r="CD167" s="1707">
        <f ca="1">SUM(CD160:CD166)</f>
        <v>9381736473193790</v>
      </c>
      <c r="CE167" s="2215"/>
      <c r="CF167" s="1704">
        <f t="shared" ref="CF167:CN167" ca="1" si="536">SUM(CF160:CF166)</f>
        <v>-2397742787819.1616</v>
      </c>
      <c r="CG167" s="1704">
        <f t="shared" ca="1" si="536"/>
        <v>-25802509673014.352</v>
      </c>
      <c r="CH167" s="1704">
        <f t="shared" ca="1" si="536"/>
        <v>30502065949449.836</v>
      </c>
      <c r="CI167" s="1704">
        <f t="shared" ca="1" si="536"/>
        <v>62372056627453.336</v>
      </c>
      <c r="CJ167" s="1704">
        <f t="shared" ca="1" si="536"/>
        <v>55532364847713.156</v>
      </c>
      <c r="CK167" s="1704">
        <f t="shared" ca="1" si="536"/>
        <v>72670113186565.562</v>
      </c>
      <c r="CL167" s="1704">
        <f t="shared" ca="1" si="536"/>
        <v>93978955999563.75</v>
      </c>
      <c r="CM167" s="1704">
        <f t="shared" ca="1" si="536"/>
        <v>118957760338980.7</v>
      </c>
      <c r="CN167" s="1704">
        <f t="shared" ca="1" si="536"/>
        <v>151454940326677.06</v>
      </c>
      <c r="CO167" s="2215"/>
      <c r="CP167" s="1707">
        <f ca="1">SUM(CP160:CP166)</f>
        <v>61918667201729.992</v>
      </c>
      <c r="CQ167" s="1707">
        <f ca="1">SUM(CQ160:CQ166)</f>
        <v>214385001701812</v>
      </c>
      <c r="CR167" s="1426" t="str">
        <f t="shared" ca="1" si="528"/>
        <v>ok</v>
      </c>
    </row>
    <row r="168" spans="1:96" x14ac:dyDescent="0.2">
      <c r="A168" s="1426"/>
      <c r="B168" s="1426"/>
      <c r="C168" s="1426"/>
      <c r="D168" s="1426"/>
      <c r="E168" s="2217" t="str">
        <f ca="1">IF(ROUND(E167-E132,0)=0,"ok",E167-E132)</f>
        <v>ok</v>
      </c>
      <c r="F168" s="2217" t="str">
        <f t="shared" ref="F168:M168" ca="1" si="537">IF(ROUND(F167-F132,0)=0,"ok",F167-F132)</f>
        <v>ok</v>
      </c>
      <c r="G168" s="2217" t="str">
        <f t="shared" ca="1" si="537"/>
        <v>ok</v>
      </c>
      <c r="H168" s="2217" t="str">
        <f t="shared" ca="1" si="537"/>
        <v>ok</v>
      </c>
      <c r="I168" s="2217" t="str">
        <f t="shared" ca="1" si="537"/>
        <v>ok</v>
      </c>
      <c r="J168" s="2217" t="str">
        <f t="shared" ca="1" si="537"/>
        <v>ok</v>
      </c>
      <c r="K168" s="2217" t="str">
        <f t="shared" ca="1" si="537"/>
        <v>ok</v>
      </c>
      <c r="L168" s="2217" t="str">
        <f t="shared" ca="1" si="537"/>
        <v>ok</v>
      </c>
      <c r="M168" s="2217" t="str">
        <f t="shared" ca="1" si="537"/>
        <v>ok</v>
      </c>
      <c r="N168" s="1426"/>
      <c r="O168" s="2217" t="str">
        <f t="shared" ref="O168:W168" ca="1" si="538">IF(ROUND(O167-O132,0)=0,"ok",O167-O132)</f>
        <v>ok</v>
      </c>
      <c r="P168" s="2217" t="str">
        <f t="shared" ca="1" si="538"/>
        <v>ok</v>
      </c>
      <c r="Q168" s="2217" t="str">
        <f t="shared" ca="1" si="538"/>
        <v>ok</v>
      </c>
      <c r="R168" s="2217" t="str">
        <f t="shared" ca="1" si="538"/>
        <v>ok</v>
      </c>
      <c r="S168" s="2217" t="str">
        <f t="shared" ca="1" si="538"/>
        <v>ok</v>
      </c>
      <c r="T168" s="2217" t="str">
        <f t="shared" ca="1" si="538"/>
        <v>ok</v>
      </c>
      <c r="U168" s="2217" t="str">
        <f t="shared" ca="1" si="538"/>
        <v>ok</v>
      </c>
      <c r="V168" s="2217" t="str">
        <f t="shared" ca="1" si="538"/>
        <v>ok</v>
      </c>
      <c r="W168" s="2217">
        <f t="shared" ca="1" si="538"/>
        <v>-0.5</v>
      </c>
      <c r="X168" s="1426"/>
      <c r="Y168" s="2217" t="str">
        <f t="shared" ref="Y168:AG168" ca="1" si="539">IF(ROUND(Y167-Y132,0)=0,"ok",Y167-Y132)</f>
        <v>ok</v>
      </c>
      <c r="Z168" s="2217" t="str">
        <f t="shared" ca="1" si="539"/>
        <v>ok</v>
      </c>
      <c r="AA168" s="2217" t="str">
        <f t="shared" ca="1" si="539"/>
        <v>ok</v>
      </c>
      <c r="AB168" s="2217" t="str">
        <f t="shared" ca="1" si="539"/>
        <v>ok</v>
      </c>
      <c r="AC168" s="2217" t="str">
        <f t="shared" ca="1" si="539"/>
        <v>ok</v>
      </c>
      <c r="AD168" s="2217" t="str">
        <f t="shared" ca="1" si="539"/>
        <v>ok</v>
      </c>
      <c r="AE168" s="2217" t="str">
        <f t="shared" ca="1" si="539"/>
        <v>ok</v>
      </c>
      <c r="AF168" s="2217" t="str">
        <f t="shared" ca="1" si="539"/>
        <v>ok</v>
      </c>
      <c r="AG168" s="2217" t="str">
        <f t="shared" ca="1" si="539"/>
        <v>ok</v>
      </c>
      <c r="AH168" s="1426"/>
      <c r="AI168" s="2217" t="str">
        <f t="shared" ref="AI168:AQ168" ca="1" si="540">IF(ROUND(AI167-AI132,0)=0,"ok",AI167-AI132)</f>
        <v>ok</v>
      </c>
      <c r="AJ168" s="2217" t="str">
        <f t="shared" ca="1" si="540"/>
        <v>ok</v>
      </c>
      <c r="AK168" s="2217" t="str">
        <f t="shared" ca="1" si="540"/>
        <v>ok</v>
      </c>
      <c r="AL168" s="2217" t="str">
        <f t="shared" ca="1" si="540"/>
        <v>ok</v>
      </c>
      <c r="AM168" s="2217" t="str">
        <f t="shared" ca="1" si="540"/>
        <v>ok</v>
      </c>
      <c r="AN168" s="2217" t="str">
        <f t="shared" ca="1" si="540"/>
        <v>ok</v>
      </c>
      <c r="AO168" s="2217" t="str">
        <f t="shared" ca="1" si="540"/>
        <v>ok</v>
      </c>
      <c r="AP168" s="2217" t="str">
        <f t="shared" ca="1" si="540"/>
        <v>ok</v>
      </c>
      <c r="AQ168" s="2217">
        <f t="shared" ca="1" si="540"/>
        <v>-0.5</v>
      </c>
      <c r="AR168" s="1426"/>
      <c r="AS168" s="2217" t="str">
        <f ca="1">IF(ROUND(AS167-AS132,0)=0,"ok",AS167-AS132)</f>
        <v>ok</v>
      </c>
      <c r="AT168" s="2217">
        <f ca="1">IF(ROUND(AT167-AT132,0)=0,"ok",AT167-AT132)</f>
        <v>2</v>
      </c>
      <c r="AU168" s="1426"/>
      <c r="AV168" s="1426"/>
      <c r="AW168" s="1426"/>
      <c r="AX168" s="1426"/>
      <c r="AY168" s="2217" t="str">
        <f t="shared" ref="AY168:BG168" ca="1" si="541">IF(ROUND(AY167-AY132,0)=0,"ok",AY167-AY132)</f>
        <v>ok</v>
      </c>
      <c r="AZ168" s="2217" t="str">
        <f t="shared" ca="1" si="541"/>
        <v>ok</v>
      </c>
      <c r="BA168" s="2217" t="str">
        <f t="shared" ca="1" si="541"/>
        <v>ok</v>
      </c>
      <c r="BB168" s="2217" t="str">
        <f t="shared" ca="1" si="541"/>
        <v>ok</v>
      </c>
      <c r="BC168" s="2217" t="str">
        <f t="shared" ca="1" si="541"/>
        <v>ok</v>
      </c>
      <c r="BD168" s="2217" t="str">
        <f t="shared" ca="1" si="541"/>
        <v>ok</v>
      </c>
      <c r="BE168" s="2217" t="str">
        <f t="shared" ca="1" si="541"/>
        <v>ok</v>
      </c>
      <c r="BF168" s="2217" t="str">
        <f t="shared" ca="1" si="541"/>
        <v>ok</v>
      </c>
      <c r="BG168" s="2217" t="str">
        <f t="shared" ca="1" si="541"/>
        <v>ok</v>
      </c>
      <c r="BH168" s="1426"/>
      <c r="BI168" s="2217" t="str">
        <f t="shared" ref="BI168:BQ168" ca="1" si="542">IF(ROUND(BI167-BI132,0)=0,"ok",BI167-BI132)</f>
        <v>ok</v>
      </c>
      <c r="BJ168" s="2217" t="str">
        <f t="shared" ca="1" si="542"/>
        <v>ok</v>
      </c>
      <c r="BK168" s="2217" t="str">
        <f t="shared" ca="1" si="542"/>
        <v>ok</v>
      </c>
      <c r="BL168" s="2217" t="str">
        <f t="shared" ca="1" si="542"/>
        <v>ok</v>
      </c>
      <c r="BM168" s="2217" t="str">
        <f t="shared" ca="1" si="542"/>
        <v>ok</v>
      </c>
      <c r="BN168" s="2217" t="str">
        <f t="shared" ca="1" si="542"/>
        <v>ok</v>
      </c>
      <c r="BO168" s="2217" t="str">
        <f t="shared" ca="1" si="542"/>
        <v>ok</v>
      </c>
      <c r="BP168" s="2217" t="str">
        <f t="shared" ca="1" si="542"/>
        <v>ok</v>
      </c>
      <c r="BQ168" s="2217" t="str">
        <f t="shared" ca="1" si="542"/>
        <v>ok</v>
      </c>
      <c r="BR168" s="1426"/>
      <c r="BS168" s="2217" t="str">
        <f t="shared" ref="BS168:CA168" ca="1" si="543">IF(ROUND(BS167-BS132,0)=0,"ok",BS167-BS132)</f>
        <v>ok</v>
      </c>
      <c r="BT168" s="2217" t="str">
        <f t="shared" ca="1" si="543"/>
        <v>ok</v>
      </c>
      <c r="BU168" s="2217" t="str">
        <f t="shared" ca="1" si="543"/>
        <v>ok</v>
      </c>
      <c r="BV168" s="2217" t="str">
        <f t="shared" ca="1" si="543"/>
        <v>ok</v>
      </c>
      <c r="BW168" s="2217">
        <f t="shared" ca="1" si="543"/>
        <v>-0.5</v>
      </c>
      <c r="BX168" s="2217" t="str">
        <f t="shared" ca="1" si="543"/>
        <v>ok</v>
      </c>
      <c r="BY168" s="2217" t="str">
        <f t="shared" ca="1" si="543"/>
        <v>ok</v>
      </c>
      <c r="BZ168" s="2217">
        <f t="shared" ca="1" si="543"/>
        <v>-0.5</v>
      </c>
      <c r="CA168" s="2217">
        <f t="shared" ca="1" si="543"/>
        <v>-0.5</v>
      </c>
      <c r="CB168" s="1426"/>
      <c r="CC168" s="2217" t="str">
        <f ca="1">IF(ROUND(CC167-CC132,0)=0,"ok",CC167-CC132)</f>
        <v>ok</v>
      </c>
      <c r="CD168" s="2217">
        <f ca="1">IF(ROUND(CD167-CD132,0)=0,"ok",CD167-CD132)</f>
        <v>2</v>
      </c>
      <c r="CE168" s="1426"/>
      <c r="CF168" s="2217" t="str">
        <f t="shared" ref="CF168:CN168" ca="1" si="544">IF(ROUND(CF167-CF132,0)=0,"ok",CF167-CF132)</f>
        <v>ok</v>
      </c>
      <c r="CG168" s="2217" t="str">
        <f t="shared" ca="1" si="544"/>
        <v>ok</v>
      </c>
      <c r="CH168" s="2217" t="str">
        <f t="shared" ca="1" si="544"/>
        <v>ok</v>
      </c>
      <c r="CI168" s="2217" t="str">
        <f t="shared" ca="1" si="544"/>
        <v>ok</v>
      </c>
      <c r="CJ168" s="2217" t="str">
        <f t="shared" ca="1" si="544"/>
        <v>ok</v>
      </c>
      <c r="CK168" s="2217" t="str">
        <f t="shared" ca="1" si="544"/>
        <v>ok</v>
      </c>
      <c r="CL168" s="2217" t="str">
        <f t="shared" ca="1" si="544"/>
        <v>ok</v>
      </c>
      <c r="CM168" s="2217" t="str">
        <f t="shared" ca="1" si="544"/>
        <v>ok</v>
      </c>
      <c r="CN168" s="2217" t="str">
        <f t="shared" ca="1" si="544"/>
        <v>ok</v>
      </c>
      <c r="CO168" s="1426"/>
      <c r="CP168" s="2217" t="str">
        <f ca="1">IF(ROUND(CP167-CP132,0)=0,"ok",CP167-CP132)</f>
        <v>ok</v>
      </c>
      <c r="CQ168" s="2217" t="str">
        <f ca="1">IF(ROUND(CQ167-CQ132,0)=0,"ok",CQ167-CQ132)</f>
        <v>ok</v>
      </c>
      <c r="CR168" s="2215"/>
    </row>
    <row r="171" spans="1:96" x14ac:dyDescent="0.2">
      <c r="A171" s="37"/>
      <c r="B171" s="37"/>
      <c r="C171" s="37"/>
      <c r="D171" s="37"/>
      <c r="E171" s="37"/>
      <c r="F171" s="37"/>
      <c r="G171" s="2257"/>
      <c r="H171" s="37"/>
      <c r="I171" s="2257"/>
      <c r="J171" s="37"/>
      <c r="K171" s="2257"/>
      <c r="L171" s="37"/>
      <c r="M171" s="2257"/>
      <c r="N171" s="37"/>
    </row>
    <row r="172" spans="1:96" x14ac:dyDescent="0.2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</row>
    <row r="173" spans="1:96" x14ac:dyDescent="0.2">
      <c r="A173" s="37"/>
      <c r="B173" s="1854"/>
      <c r="C173" s="1854"/>
      <c r="D173" s="37"/>
      <c r="E173" s="1854"/>
      <c r="F173" s="1854"/>
      <c r="G173" s="1854"/>
      <c r="H173" s="1854"/>
      <c r="I173" s="1854"/>
      <c r="J173" s="1854"/>
      <c r="K173" s="1854"/>
      <c r="L173" s="1854"/>
      <c r="M173" s="1854"/>
      <c r="N173" s="1854"/>
    </row>
    <row r="174" spans="1:96" x14ac:dyDescent="0.2">
      <c r="A174" s="37"/>
      <c r="B174" s="1854"/>
      <c r="C174" s="1854"/>
      <c r="D174" s="37"/>
      <c r="E174" s="1854"/>
      <c r="F174" s="1854"/>
      <c r="G174" s="1854"/>
      <c r="H174" s="1854"/>
      <c r="I174" s="1854"/>
      <c r="J174" s="1854"/>
      <c r="K174" s="1854"/>
      <c r="L174" s="1854"/>
      <c r="M174" s="1854"/>
      <c r="N174" s="1854"/>
    </row>
    <row r="175" spans="1:96" x14ac:dyDescent="0.2">
      <c r="A175" s="37"/>
      <c r="B175" s="1854"/>
      <c r="C175" s="1854"/>
      <c r="D175" s="37"/>
      <c r="E175" s="1854"/>
      <c r="F175" s="1854"/>
      <c r="G175" s="1854"/>
      <c r="H175" s="1854"/>
      <c r="I175" s="1854"/>
      <c r="J175" s="1854"/>
      <c r="K175" s="1854"/>
      <c r="L175" s="1854"/>
      <c r="M175" s="1854"/>
      <c r="N175" s="1854"/>
    </row>
  </sheetData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>
    <tabColor theme="7" tint="0.39997558519241921"/>
    <pageSetUpPr autoPageBreaks="0"/>
  </sheetPr>
  <dimension ref="A2:AP108"/>
  <sheetViews>
    <sheetView windowProtection="1" workbookViewId="0">
      <selection activeCell="B5" sqref="B5"/>
    </sheetView>
  </sheetViews>
  <sheetFormatPr defaultColWidth="8.7109375" defaultRowHeight="12.75" x14ac:dyDescent="0.2"/>
  <cols>
    <col min="1" max="1" width="3.7109375" customWidth="1"/>
    <col min="2" max="2" width="12.7109375" customWidth="1"/>
    <col min="3" max="3" width="28.42578125" style="38" customWidth="1"/>
    <col min="4" max="4" width="23.7109375" customWidth="1"/>
    <col min="5" max="5" width="18.7109375" bestFit="1" customWidth="1"/>
    <col min="6" max="6" width="13.7109375" customWidth="1"/>
    <col min="8" max="8" width="10.42578125" customWidth="1"/>
    <col min="9" max="9" width="15.140625" customWidth="1"/>
    <col min="10" max="10" width="13.28515625" customWidth="1"/>
    <col min="11" max="11" width="17" customWidth="1"/>
    <col min="12" max="12" width="13.42578125" customWidth="1"/>
    <col min="13" max="13" width="53.7109375" customWidth="1"/>
    <col min="14" max="15" width="10.42578125" customWidth="1"/>
    <col min="16" max="16" width="12.7109375" customWidth="1"/>
    <col min="17" max="22" width="8.7109375" customWidth="1"/>
    <col min="25" max="25" width="13.140625" customWidth="1"/>
  </cols>
  <sheetData>
    <row r="2" spans="1:42" ht="18.75" x14ac:dyDescent="0.3">
      <c r="B2" s="25" t="s">
        <v>244</v>
      </c>
      <c r="C2" s="25"/>
      <c r="H2" s="25" t="s">
        <v>96</v>
      </c>
    </row>
    <row r="3" spans="1:42" ht="4.5" customHeight="1" x14ac:dyDescent="0.2"/>
    <row r="4" spans="1:42" s="14" customFormat="1" ht="20.25" customHeight="1" x14ac:dyDescent="0.2">
      <c r="B4" s="30" t="s">
        <v>71</v>
      </c>
      <c r="C4" s="30" t="s">
        <v>150</v>
      </c>
      <c r="D4" s="30" t="s">
        <v>151</v>
      </c>
      <c r="E4" s="31" t="s">
        <v>70</v>
      </c>
      <c r="F4" s="31" t="str">
        <f>Preferences.EnergyUnits</f>
        <v>TWh</v>
      </c>
      <c r="H4" s="2091">
        <v>1038</v>
      </c>
      <c r="I4" s="35" t="s">
        <v>73</v>
      </c>
      <c r="J4" s="14" t="s">
        <v>97</v>
      </c>
      <c r="K4" s="42">
        <f>H4*INDEX(Conversions.Energy.Joules, MATCH(I4, Conversions.Energy.Units, 0))/INDEX(Conversions.Energy.Joules, MATCH(L4, Conversions.Energy.Units, 0))</f>
        <v>97.821989528795811</v>
      </c>
      <c r="L4" s="35" t="s">
        <v>1356</v>
      </c>
    </row>
    <row r="5" spans="1:42" s="14" customFormat="1" ht="15.75" x14ac:dyDescent="0.2">
      <c r="A5" s="89"/>
      <c r="B5" s="26" t="s">
        <v>72</v>
      </c>
      <c r="C5" s="26" t="s">
        <v>152</v>
      </c>
      <c r="D5" s="32" t="s">
        <v>81</v>
      </c>
      <c r="E5" s="27">
        <f>10^15</f>
        <v>1000000000000000</v>
      </c>
      <c r="F5" s="27">
        <f t="shared" ref="F5:F24" si="0">$E5/INDEX(Conversions.Energy.Joules, MATCH(F$4, Conversions.Energy.Units, 0))</f>
        <v>0.27777777777777779</v>
      </c>
    </row>
    <row r="6" spans="1:42" s="14" customFormat="1" ht="15.75" x14ac:dyDescent="0.2">
      <c r="A6" s="89"/>
      <c r="B6" s="26" t="s">
        <v>94</v>
      </c>
      <c r="C6" s="26" t="s">
        <v>153</v>
      </c>
      <c r="D6" s="32" t="s">
        <v>95</v>
      </c>
      <c r="E6" s="27">
        <f>10^12</f>
        <v>1000000000000</v>
      </c>
      <c r="F6" s="27">
        <f t="shared" si="0"/>
        <v>2.7777777777777778E-4</v>
      </c>
      <c r="H6" s="34"/>
      <c r="I6" s="34"/>
      <c r="J6" s="34"/>
      <c r="K6" s="1659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</row>
    <row r="7" spans="1:42" s="14" customFormat="1" ht="15.75" x14ac:dyDescent="0.2">
      <c r="A7" s="89"/>
      <c r="B7" s="26" t="s">
        <v>137</v>
      </c>
      <c r="C7" s="26" t="s">
        <v>154</v>
      </c>
      <c r="D7" s="32" t="s">
        <v>138</v>
      </c>
      <c r="E7" s="27">
        <f>10^9</f>
        <v>1000000000</v>
      </c>
      <c r="F7" s="27">
        <f t="shared" si="0"/>
        <v>2.7777777777777776E-7</v>
      </c>
      <c r="H7" s="34"/>
      <c r="I7" s="34"/>
      <c r="J7" s="34"/>
      <c r="K7" s="34"/>
      <c r="L7" s="2262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</row>
    <row r="8" spans="1:42" s="84" customFormat="1" ht="15.75" x14ac:dyDescent="0.25">
      <c r="A8" s="89"/>
      <c r="B8" s="26" t="s">
        <v>281</v>
      </c>
      <c r="C8" s="26" t="s">
        <v>70</v>
      </c>
      <c r="D8" s="32" t="s">
        <v>282</v>
      </c>
      <c r="E8" s="27">
        <v>1</v>
      </c>
      <c r="F8" s="27">
        <f t="shared" si="0"/>
        <v>2.777777777777778E-16</v>
      </c>
      <c r="H8" s="34"/>
      <c r="I8" s="2263"/>
      <c r="J8" s="34"/>
      <c r="K8" s="34"/>
      <c r="L8" s="209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</row>
    <row r="9" spans="1:42" s="14" customFormat="1" ht="15.75" x14ac:dyDescent="0.2">
      <c r="A9" s="89"/>
      <c r="B9" s="26" t="s">
        <v>145</v>
      </c>
      <c r="C9" s="26" t="s">
        <v>155</v>
      </c>
      <c r="D9" s="32" t="s">
        <v>146</v>
      </c>
      <c r="E9" s="27">
        <f>10^6</f>
        <v>1000000</v>
      </c>
      <c r="F9" s="27">
        <f t="shared" si="0"/>
        <v>2.7777777777777777E-10</v>
      </c>
      <c r="H9" s="34"/>
      <c r="I9" s="34"/>
      <c r="J9" s="34"/>
      <c r="K9" s="34"/>
      <c r="L9" s="2083"/>
      <c r="M9" s="2083"/>
      <c r="N9" s="2083"/>
      <c r="O9" s="2083"/>
      <c r="P9" s="2083"/>
      <c r="Q9" s="2083"/>
      <c r="R9" s="2083"/>
      <c r="S9" s="2083"/>
      <c r="T9" s="2083"/>
      <c r="U9" s="2083"/>
      <c r="V9" s="2083"/>
      <c r="W9" s="2083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</row>
    <row r="10" spans="1:42" s="14" customFormat="1" ht="15.75" x14ac:dyDescent="0.25">
      <c r="A10" s="89"/>
      <c r="B10" s="26" t="s">
        <v>74</v>
      </c>
      <c r="C10" s="26" t="s">
        <v>156</v>
      </c>
      <c r="D10" s="32" t="s">
        <v>82</v>
      </c>
      <c r="E10" s="27">
        <f>10^3*60*60</f>
        <v>3600000</v>
      </c>
      <c r="F10" s="27">
        <f t="shared" si="0"/>
        <v>1.0000000000000001E-9</v>
      </c>
      <c r="H10" s="34"/>
      <c r="I10" s="34"/>
      <c r="J10" s="34"/>
      <c r="K10" s="2264"/>
      <c r="L10" s="2083"/>
      <c r="M10" s="2084"/>
      <c r="N10" s="2084"/>
      <c r="O10" s="2084"/>
      <c r="P10" s="2084"/>
      <c r="Q10" s="2084"/>
      <c r="R10" s="2084"/>
      <c r="S10" s="2084"/>
      <c r="T10" s="2084"/>
      <c r="U10" s="2084"/>
      <c r="V10" s="2084"/>
      <c r="W10" s="208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  <c r="AL10" s="34"/>
      <c r="AM10" s="34"/>
      <c r="AN10" s="34"/>
      <c r="AO10" s="34"/>
      <c r="AP10" s="34"/>
    </row>
    <row r="11" spans="1:42" s="14" customFormat="1" ht="15.75" x14ac:dyDescent="0.2">
      <c r="A11" s="89"/>
      <c r="B11" s="26" t="s">
        <v>131</v>
      </c>
      <c r="C11" s="26" t="s">
        <v>157</v>
      </c>
      <c r="D11" s="32" t="s">
        <v>132</v>
      </c>
      <c r="E11" s="27">
        <f>1000*60*60*365.25*60000000</f>
        <v>7.8894E+16</v>
      </c>
      <c r="F11" s="27">
        <f t="shared" si="0"/>
        <v>21.914999999999999</v>
      </c>
      <c r="H11" s="34"/>
      <c r="I11" s="34"/>
      <c r="J11" s="34"/>
      <c r="K11" s="34"/>
      <c r="L11" s="2083"/>
      <c r="M11" s="2084"/>
      <c r="N11" s="2084"/>
      <c r="O11" s="2084"/>
      <c r="P11" s="2084"/>
      <c r="Q11" s="2084"/>
      <c r="R11" s="2084"/>
      <c r="S11" s="2084"/>
      <c r="T11" s="2084"/>
      <c r="U11" s="2084"/>
      <c r="V11" s="2084"/>
      <c r="W11" s="208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</row>
    <row r="12" spans="1:42" s="14" customFormat="1" ht="15.75" x14ac:dyDescent="0.2">
      <c r="A12" s="89"/>
      <c r="B12" s="26" t="s">
        <v>73</v>
      </c>
      <c r="C12" s="26" t="s">
        <v>158</v>
      </c>
      <c r="D12" s="32" t="s">
        <v>83</v>
      </c>
      <c r="E12" s="27">
        <f>10^12*60*60</f>
        <v>3600000000000000</v>
      </c>
      <c r="F12" s="27">
        <f t="shared" si="0"/>
        <v>1</v>
      </c>
      <c r="H12" s="34"/>
      <c r="I12" s="34"/>
      <c r="J12" s="34"/>
      <c r="K12" s="34"/>
      <c r="L12" s="2083"/>
      <c r="M12" s="2084"/>
      <c r="N12" s="2084"/>
      <c r="O12" s="2084"/>
      <c r="P12" s="2084"/>
      <c r="Q12" s="2084"/>
      <c r="R12" s="2084"/>
      <c r="S12" s="2084"/>
      <c r="T12" s="2084"/>
      <c r="U12" s="2084"/>
      <c r="V12" s="2084"/>
      <c r="W12" s="208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</row>
    <row r="13" spans="1:42" s="14" customFormat="1" ht="15.75" x14ac:dyDescent="0.25">
      <c r="A13" s="89"/>
      <c r="B13" s="26" t="s">
        <v>147</v>
      </c>
      <c r="C13" s="26" t="s">
        <v>159</v>
      </c>
      <c r="D13" s="32" t="s">
        <v>149</v>
      </c>
      <c r="E13" s="27">
        <f>10^9*60*60</f>
        <v>3600000000000</v>
      </c>
      <c r="F13" s="27">
        <f t="shared" si="0"/>
        <v>1E-3</v>
      </c>
      <c r="H13" s="34"/>
      <c r="I13" s="34"/>
      <c r="J13" s="34"/>
      <c r="K13" s="34"/>
      <c r="L13" s="34"/>
      <c r="M13" s="2084"/>
      <c r="N13" s="2263"/>
      <c r="O13" s="34"/>
      <c r="P13" s="2084"/>
      <c r="Q13" s="2084"/>
      <c r="R13" s="2084"/>
      <c r="S13" s="2084"/>
      <c r="T13" s="2084"/>
      <c r="U13" s="2084"/>
      <c r="V13" s="2084"/>
      <c r="W13" s="208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</row>
    <row r="14" spans="1:42" s="84" customFormat="1" ht="15.75" x14ac:dyDescent="0.2">
      <c r="A14" s="89"/>
      <c r="B14" s="26" t="s">
        <v>1601</v>
      </c>
      <c r="C14" s="26" t="s">
        <v>1602</v>
      </c>
      <c r="D14" s="32" t="s">
        <v>1603</v>
      </c>
      <c r="E14" s="27">
        <f>10^6*60*60</f>
        <v>3600000000</v>
      </c>
      <c r="F14" s="27">
        <f t="shared" si="0"/>
        <v>9.9999999999999995E-7</v>
      </c>
      <c r="H14" s="34"/>
      <c r="I14" s="34"/>
      <c r="J14" s="34"/>
      <c r="K14" s="34"/>
      <c r="L14" s="2083"/>
      <c r="M14" s="2084"/>
      <c r="N14" s="2090"/>
      <c r="O14" s="2084"/>
      <c r="P14" s="2084"/>
      <c r="Q14" s="2084"/>
      <c r="R14" s="2084"/>
      <c r="S14" s="2084"/>
      <c r="T14" s="2084"/>
      <c r="U14" s="2084"/>
      <c r="V14" s="2084"/>
      <c r="W14" s="2084"/>
      <c r="X14" s="34"/>
      <c r="Y14" s="2265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</row>
    <row r="15" spans="1:42" s="84" customFormat="1" ht="15.75" x14ac:dyDescent="0.2">
      <c r="A15" s="89"/>
      <c r="B15" s="26" t="s">
        <v>1440</v>
      </c>
      <c r="C15" s="26" t="s">
        <v>1441</v>
      </c>
      <c r="D15" s="32" t="s">
        <v>1442</v>
      </c>
      <c r="E15" s="27">
        <f>5861520000000000/1000000</f>
        <v>5861520000</v>
      </c>
      <c r="F15" s="27">
        <f t="shared" si="0"/>
        <v>1.6281999999999999E-6</v>
      </c>
      <c r="H15" s="34"/>
      <c r="I15" s="34"/>
      <c r="J15" s="34"/>
      <c r="K15" s="34"/>
      <c r="L15" s="34"/>
      <c r="M15" s="34"/>
      <c r="N15" s="37"/>
      <c r="O15" s="37"/>
      <c r="P15" s="37"/>
      <c r="Q15" s="37"/>
      <c r="R15" s="37"/>
      <c r="S15" s="37"/>
      <c r="T15" s="37"/>
      <c r="U15" s="37"/>
      <c r="V15" s="2084"/>
      <c r="W15" s="208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</row>
    <row r="16" spans="1:42" s="84" customFormat="1" ht="15.75" x14ac:dyDescent="0.2">
      <c r="A16" s="89"/>
      <c r="B16" s="26" t="s">
        <v>1426</v>
      </c>
      <c r="C16" s="26" t="s">
        <v>1427</v>
      </c>
      <c r="D16" s="32" t="s">
        <v>1428</v>
      </c>
      <c r="E16" s="27">
        <v>5861520000000000</v>
      </c>
      <c r="F16" s="27">
        <f>$E16/INDEX(Conversions.Energy.Joules, MATCH(F$4, Conversions.Energy.Units, 0))</f>
        <v>1.6282000000000001</v>
      </c>
      <c r="H16" s="34"/>
      <c r="I16" s="34"/>
      <c r="J16" s="34"/>
      <c r="K16" s="34"/>
      <c r="L16" s="2084"/>
      <c r="M16" s="2084"/>
      <c r="N16" s="2088"/>
      <c r="O16" s="2088"/>
      <c r="P16" s="2088"/>
      <c r="Q16" s="2088"/>
      <c r="R16" s="2088"/>
      <c r="S16" s="2088"/>
      <c r="T16" s="2088"/>
      <c r="U16" s="2088"/>
      <c r="V16" s="2084"/>
      <c r="W16" s="2084"/>
      <c r="X16" s="34"/>
      <c r="Y16" s="2265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4"/>
      <c r="AN16" s="34"/>
      <c r="AO16" s="34"/>
      <c r="AP16" s="34"/>
    </row>
    <row r="17" spans="1:42" s="14" customFormat="1" ht="15.75" x14ac:dyDescent="0.2">
      <c r="A17" s="89"/>
      <c r="B17" s="26" t="s">
        <v>76</v>
      </c>
      <c r="C17" s="26" t="s">
        <v>160</v>
      </c>
      <c r="D17" s="32" t="s">
        <v>84</v>
      </c>
      <c r="E17" s="27">
        <f>41.868*10^9</f>
        <v>41868000000</v>
      </c>
      <c r="F17" s="27">
        <f t="shared" si="0"/>
        <v>1.163E-5</v>
      </c>
      <c r="H17" s="34"/>
      <c r="I17" s="34"/>
      <c r="J17" s="34"/>
      <c r="K17" s="34"/>
      <c r="L17" s="2084"/>
      <c r="M17" s="2084"/>
      <c r="N17" s="2089"/>
      <c r="O17" s="2089"/>
      <c r="P17" s="2089"/>
      <c r="Q17" s="2089"/>
      <c r="R17" s="2089"/>
      <c r="S17" s="2089"/>
      <c r="T17" s="2089"/>
      <c r="U17" s="2089"/>
      <c r="V17" s="2084"/>
      <c r="W17" s="208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  <c r="AP17" s="34"/>
    </row>
    <row r="18" spans="1:42" s="14" customFormat="1" ht="15.75" x14ac:dyDescent="0.2">
      <c r="A18" s="89"/>
      <c r="B18" s="26" t="s">
        <v>115</v>
      </c>
      <c r="C18" s="26" t="s">
        <v>161</v>
      </c>
      <c r="D18" s="32" t="s">
        <v>116</v>
      </c>
      <c r="E18" s="27">
        <f>E17*1000</f>
        <v>41868000000000</v>
      </c>
      <c r="F18" s="27">
        <f t="shared" si="0"/>
        <v>1.163E-2</v>
      </c>
      <c r="H18" s="34"/>
      <c r="I18" s="34"/>
      <c r="J18" s="34"/>
      <c r="K18" s="34"/>
      <c r="L18" s="2266"/>
      <c r="M18" s="2084"/>
      <c r="N18" s="2089"/>
      <c r="O18" s="2089"/>
      <c r="P18" s="2089"/>
      <c r="Q18" s="2089"/>
      <c r="R18" s="2089"/>
      <c r="S18" s="2089"/>
      <c r="T18" s="2089"/>
      <c r="U18" s="2089"/>
      <c r="V18" s="2084"/>
      <c r="W18" s="208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</row>
    <row r="19" spans="1:42" s="14" customFormat="1" ht="15.75" x14ac:dyDescent="0.2">
      <c r="A19" s="89"/>
      <c r="B19" s="26" t="s">
        <v>75</v>
      </c>
      <c r="C19" s="26" t="s">
        <v>162</v>
      </c>
      <c r="D19" s="32" t="s">
        <v>85</v>
      </c>
      <c r="E19" s="27">
        <f>E17*1000000</f>
        <v>4.1868E+16</v>
      </c>
      <c r="F19" s="27">
        <f t="shared" si="0"/>
        <v>11.63</v>
      </c>
      <c r="H19" s="34"/>
      <c r="I19" s="34"/>
      <c r="J19" s="34"/>
      <c r="K19" s="34"/>
      <c r="L19" s="2084"/>
      <c r="M19" s="2084"/>
      <c r="N19" s="34"/>
      <c r="O19" s="34"/>
      <c r="P19" s="34"/>
      <c r="Q19" s="34"/>
      <c r="R19" s="34"/>
      <c r="S19" s="34"/>
      <c r="T19" s="34"/>
      <c r="U19" s="34"/>
      <c r="V19" s="2084"/>
      <c r="W19" s="208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4"/>
      <c r="AP19" s="34"/>
    </row>
    <row r="20" spans="1:42" s="14" customFormat="1" ht="15.75" x14ac:dyDescent="0.2">
      <c r="A20" s="89"/>
      <c r="B20" s="26" t="s">
        <v>77</v>
      </c>
      <c r="C20" s="26" t="s">
        <v>163</v>
      </c>
      <c r="D20" s="32" t="s">
        <v>86</v>
      </c>
      <c r="E20" s="27">
        <f>41.868*10^9/396.83</f>
        <v>105506136.12882091</v>
      </c>
      <c r="F20" s="27">
        <f t="shared" si="0"/>
        <v>2.9307260035783588E-8</v>
      </c>
      <c r="H20" s="34"/>
      <c r="I20" s="34"/>
      <c r="J20" s="34"/>
      <c r="K20" s="34"/>
      <c r="L20" s="2083"/>
      <c r="M20" s="2084"/>
      <c r="N20" s="2089"/>
      <c r="O20" s="2089"/>
      <c r="P20" s="2089"/>
      <c r="Q20" s="2089"/>
      <c r="R20" s="2089"/>
      <c r="S20" s="2089"/>
      <c r="T20" s="2089"/>
      <c r="U20" s="2089"/>
      <c r="V20" s="2084"/>
      <c r="W20" s="34"/>
      <c r="X20" s="34"/>
      <c r="Y20" s="2267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  <c r="AP20" s="34"/>
    </row>
    <row r="21" spans="1:42" s="14" customFormat="1" ht="15.75" x14ac:dyDescent="0.2">
      <c r="A21" s="89"/>
      <c r="B21" s="26" t="s">
        <v>78</v>
      </c>
      <c r="C21" s="26" t="s">
        <v>164</v>
      </c>
      <c r="D21" s="32" t="s">
        <v>87</v>
      </c>
      <c r="E21" s="27">
        <f>E20/100000</f>
        <v>1055.0613612882091</v>
      </c>
      <c r="F21" s="27">
        <f t="shared" si="0"/>
        <v>2.9307260035783586E-13</v>
      </c>
      <c r="H21" s="34"/>
      <c r="I21" s="34"/>
      <c r="J21" s="34"/>
      <c r="K21" s="34"/>
      <c r="L21" s="2083"/>
      <c r="M21" s="2084"/>
      <c r="N21" s="2747"/>
      <c r="O21" s="2747"/>
      <c r="P21" s="2747"/>
      <c r="Q21" s="2747"/>
      <c r="R21" s="2258"/>
      <c r="S21" s="1347"/>
      <c r="T21" s="1347"/>
      <c r="U21" s="1347"/>
      <c r="V21" s="2084"/>
      <c r="W21" s="208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  <c r="AP21" s="34"/>
    </row>
    <row r="22" spans="1:42" s="14" customFormat="1" ht="15.75" x14ac:dyDescent="0.2">
      <c r="A22" s="89"/>
      <c r="B22" s="26" t="s">
        <v>79</v>
      </c>
      <c r="C22" s="26" t="s">
        <v>165</v>
      </c>
      <c r="D22" s="32" t="s">
        <v>88</v>
      </c>
      <c r="E22" s="27">
        <v>4.1840000000000002</v>
      </c>
      <c r="F22" s="27">
        <f t="shared" si="0"/>
        <v>1.1622222222222223E-15</v>
      </c>
      <c r="H22" s="34"/>
      <c r="I22" s="34"/>
      <c r="J22" s="34"/>
      <c r="K22" s="34"/>
      <c r="L22" s="2083"/>
      <c r="M22" s="2084"/>
      <c r="N22" s="2745"/>
      <c r="O22" s="2746"/>
      <c r="P22" s="2745"/>
      <c r="Q22" s="2746"/>
      <c r="R22" s="2745"/>
      <c r="S22" s="2746"/>
      <c r="T22" s="2745"/>
      <c r="U22" s="2746"/>
      <c r="V22" s="2084"/>
      <c r="W22" s="208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  <c r="AP22" s="34"/>
    </row>
    <row r="23" spans="1:42" s="14" customFormat="1" ht="15.75" x14ac:dyDescent="0.2">
      <c r="A23" s="89"/>
      <c r="B23" s="26" t="s">
        <v>80</v>
      </c>
      <c r="C23" s="26" t="s">
        <v>166</v>
      </c>
      <c r="D23" s="32" t="s">
        <v>89</v>
      </c>
      <c r="E23" s="27">
        <f>10^9*60*60*8765.8</f>
        <v>3.1556879999999996E+16</v>
      </c>
      <c r="F23" s="27">
        <f t="shared" si="0"/>
        <v>8.7657999999999987</v>
      </c>
      <c r="H23" s="34"/>
      <c r="I23" s="34"/>
      <c r="J23" s="34"/>
      <c r="K23" s="1861"/>
      <c r="L23" s="53"/>
      <c r="M23" s="53"/>
      <c r="N23" s="2113"/>
      <c r="O23" s="2113"/>
      <c r="P23" s="2259"/>
      <c r="Q23" s="2259"/>
      <c r="R23" s="2113"/>
      <c r="S23" s="2113"/>
      <c r="T23" s="2113"/>
      <c r="U23" s="2113"/>
      <c r="V23" s="2084"/>
      <c r="W23" s="208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</row>
    <row r="24" spans="1:42" s="84" customFormat="1" ht="15.75" x14ac:dyDescent="0.2">
      <c r="A24" s="89"/>
      <c r="B24" s="28" t="s">
        <v>1356</v>
      </c>
      <c r="C24" s="28" t="s">
        <v>1378</v>
      </c>
      <c r="D24" s="33" t="s">
        <v>1357</v>
      </c>
      <c r="E24" s="29">
        <f>3.82*10^16</f>
        <v>3.82E+16</v>
      </c>
      <c r="F24" s="29">
        <f t="shared" si="0"/>
        <v>10.611111111111111</v>
      </c>
      <c r="H24" s="34"/>
      <c r="I24" s="34"/>
      <c r="J24" s="34"/>
      <c r="K24" s="1861"/>
      <c r="L24" s="53"/>
      <c r="M24" s="53"/>
      <c r="N24" s="2113"/>
      <c r="O24" s="2113"/>
      <c r="P24" s="2259"/>
      <c r="Q24" s="2259"/>
      <c r="R24" s="2113"/>
      <c r="S24" s="2113"/>
      <c r="T24" s="2113"/>
      <c r="U24" s="2113"/>
      <c r="V24" s="2084"/>
      <c r="W24" s="208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</row>
    <row r="25" spans="1:42" x14ac:dyDescent="0.2">
      <c r="H25" s="37"/>
      <c r="I25" s="37"/>
      <c r="J25" s="37"/>
      <c r="K25" s="37"/>
      <c r="L25" s="2083"/>
      <c r="M25" s="2084"/>
      <c r="N25" s="2084"/>
      <c r="O25" s="2084"/>
      <c r="P25" s="2084"/>
      <c r="Q25" s="2084"/>
      <c r="R25" s="2084"/>
      <c r="S25" s="2084"/>
      <c r="T25" s="2084"/>
      <c r="U25" s="2084"/>
      <c r="V25" s="2084"/>
      <c r="W25" s="2084"/>
      <c r="X25" s="37"/>
      <c r="Y25" s="2268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</row>
    <row r="26" spans="1:42" x14ac:dyDescent="0.2">
      <c r="E26" s="24"/>
      <c r="F26" s="24"/>
      <c r="H26" s="37"/>
      <c r="I26" s="37"/>
      <c r="J26" s="37"/>
      <c r="K26" s="37"/>
      <c r="L26" s="2083"/>
      <c r="M26" s="2084"/>
      <c r="N26" s="2084"/>
      <c r="O26" s="37"/>
      <c r="P26" s="1851"/>
      <c r="Q26" s="1851"/>
      <c r="R26" s="1392"/>
      <c r="S26" s="1392"/>
      <c r="T26" s="1392"/>
      <c r="U26" s="1392"/>
      <c r="V26" s="1392"/>
      <c r="W26" s="1392"/>
      <c r="X26" s="1392"/>
      <c r="Y26" s="1392"/>
      <c r="Z26" s="1392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</row>
    <row r="27" spans="1:42" ht="18.75" x14ac:dyDescent="0.3">
      <c r="B27" s="25" t="s">
        <v>245</v>
      </c>
      <c r="C27" s="25"/>
      <c r="D27" s="1"/>
      <c r="E27" s="1"/>
      <c r="F27" s="1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1851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</row>
    <row r="28" spans="1:42" ht="18" customHeight="1" x14ac:dyDescent="0.2">
      <c r="B28" s="1"/>
      <c r="C28" s="1"/>
      <c r="D28" s="1"/>
      <c r="E28" s="1"/>
      <c r="F28" s="1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</row>
    <row r="29" spans="1:42" ht="15.75" x14ac:dyDescent="0.25">
      <c r="A29" s="3"/>
      <c r="B29" s="30" t="s">
        <v>71</v>
      </c>
      <c r="C29" s="30" t="s">
        <v>150</v>
      </c>
      <c r="D29" s="30" t="s">
        <v>151</v>
      </c>
      <c r="E29" s="79" t="s">
        <v>246</v>
      </c>
      <c r="F29" s="79" t="str">
        <f>Preferences.PowerUnits</f>
        <v>GW</v>
      </c>
      <c r="H29" s="37"/>
      <c r="I29" s="1866"/>
      <c r="J29" s="37"/>
      <c r="K29" s="37"/>
      <c r="L29" s="37"/>
      <c r="M29" s="37"/>
      <c r="N29" s="37"/>
      <c r="O29" s="37"/>
      <c r="P29" s="37"/>
      <c r="Q29" s="37"/>
      <c r="R29" s="1347"/>
      <c r="S29" s="1851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</row>
    <row r="30" spans="1:42" ht="15.75" x14ac:dyDescent="0.25">
      <c r="A30" s="3"/>
      <c r="B30" s="26" t="s">
        <v>247</v>
      </c>
      <c r="C30" s="26" t="s">
        <v>249</v>
      </c>
      <c r="D30" s="32" t="s">
        <v>251</v>
      </c>
      <c r="E30" s="27">
        <v>1000000000</v>
      </c>
      <c r="F30" s="27">
        <f t="shared" ref="F30:F35" si="1">$E30/INDEX(Conversions.Power.Watts, MATCH(F$29, Conversions.Power.Units, 0))</f>
        <v>1</v>
      </c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4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</row>
    <row r="31" spans="1:42" s="1" customFormat="1" ht="15.75" x14ac:dyDescent="0.25">
      <c r="A31" s="3"/>
      <c r="B31" s="26" t="s">
        <v>253</v>
      </c>
      <c r="C31" s="26" t="s">
        <v>254</v>
      </c>
      <c r="D31" s="32" t="s">
        <v>255</v>
      </c>
      <c r="E31" s="27">
        <v>1000000</v>
      </c>
      <c r="F31" s="27">
        <f t="shared" si="1"/>
        <v>1E-3</v>
      </c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</row>
    <row r="32" spans="1:42" ht="15.75" x14ac:dyDescent="0.25">
      <c r="A32" s="3"/>
      <c r="B32" s="1" t="s">
        <v>248</v>
      </c>
      <c r="C32" s="1" t="s">
        <v>250</v>
      </c>
      <c r="D32" s="32" t="s">
        <v>252</v>
      </c>
      <c r="E32" s="27">
        <v>1000</v>
      </c>
      <c r="F32" s="27">
        <f t="shared" si="1"/>
        <v>9.9999999999999995E-7</v>
      </c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</row>
    <row r="33" spans="1:42" s="38" customFormat="1" ht="15.75" x14ac:dyDescent="0.25">
      <c r="A33" s="3"/>
      <c r="B33" s="38" t="s">
        <v>283</v>
      </c>
      <c r="C33" s="38" t="s">
        <v>246</v>
      </c>
      <c r="D33" s="32" t="s">
        <v>284</v>
      </c>
      <c r="E33" s="27">
        <v>1</v>
      </c>
      <c r="F33" s="27">
        <f t="shared" si="1"/>
        <v>1.0000000000000001E-9</v>
      </c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</row>
    <row r="34" spans="1:42" ht="15.75" x14ac:dyDescent="0.25">
      <c r="A34" s="3"/>
      <c r="B34" s="1251" t="s">
        <v>1248</v>
      </c>
      <c r="C34" s="1251" t="s">
        <v>1249</v>
      </c>
      <c r="D34" s="32" t="s">
        <v>1250</v>
      </c>
      <c r="E34" s="27">
        <f>29000000*1000000/(24*60*60)</f>
        <v>335648148.14814812</v>
      </c>
      <c r="F34" s="27">
        <f t="shared" si="1"/>
        <v>0.33564814814814814</v>
      </c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</row>
    <row r="35" spans="1:42" x14ac:dyDescent="0.2">
      <c r="B35" s="94" t="s">
        <v>256</v>
      </c>
      <c r="C35" s="94" t="s">
        <v>257</v>
      </c>
      <c r="D35" s="95" t="s">
        <v>258</v>
      </c>
      <c r="E35" s="96">
        <f>$E$19/Unit.year</f>
        <v>1326716860.597764</v>
      </c>
      <c r="F35" s="96">
        <f t="shared" si="1"/>
        <v>1.3267168605977639</v>
      </c>
      <c r="H35" s="37"/>
      <c r="I35" s="37"/>
      <c r="J35" s="37"/>
      <c r="K35" s="37"/>
      <c r="L35" s="2083"/>
      <c r="M35" s="2084"/>
      <c r="N35" s="2084"/>
      <c r="O35" s="2084"/>
      <c r="P35" s="2084"/>
      <c r="Q35" s="2084"/>
      <c r="R35" s="2084"/>
      <c r="S35" s="2084"/>
      <c r="T35" s="2084"/>
      <c r="U35" s="2084"/>
      <c r="V35" s="2084"/>
      <c r="W35" s="2084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</row>
    <row r="36" spans="1:42" x14ac:dyDescent="0.2">
      <c r="H36" s="37"/>
      <c r="I36" s="37"/>
      <c r="J36" s="37"/>
      <c r="K36" s="37"/>
      <c r="L36" s="2083"/>
      <c r="M36" s="2084"/>
      <c r="N36" s="2084"/>
      <c r="O36" s="2084"/>
      <c r="P36" s="2084"/>
      <c r="Q36" s="2084"/>
      <c r="R36" s="2084"/>
      <c r="S36" s="2084"/>
      <c r="T36" s="2084"/>
      <c r="U36" s="2084"/>
      <c r="V36" s="2084"/>
      <c r="W36" s="2084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</row>
    <row r="37" spans="1:42" ht="15" customHeight="1" x14ac:dyDescent="0.3">
      <c r="B37" s="25" t="s">
        <v>259</v>
      </c>
      <c r="C37" s="25"/>
      <c r="D37" s="1"/>
      <c r="E37" s="1"/>
      <c r="F37" s="1"/>
      <c r="H37" s="37"/>
      <c r="I37" s="37"/>
      <c r="J37" s="37"/>
      <c r="K37" s="37"/>
      <c r="L37" s="2083"/>
      <c r="M37" s="2084"/>
      <c r="N37" s="2084"/>
      <c r="O37" s="2084"/>
      <c r="P37" s="2084"/>
      <c r="Q37" s="2084"/>
      <c r="R37" s="2084"/>
      <c r="S37" s="2084"/>
      <c r="T37" s="2084"/>
      <c r="U37" s="2084"/>
      <c r="V37" s="2084"/>
      <c r="W37" s="2084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</row>
    <row r="38" spans="1:42" ht="15.75" x14ac:dyDescent="0.25">
      <c r="A38" s="3"/>
      <c r="B38" s="1"/>
      <c r="C38" s="1"/>
      <c r="D38" s="1"/>
      <c r="E38" s="1"/>
      <c r="F38" s="1"/>
      <c r="H38" s="37"/>
      <c r="I38" s="37"/>
      <c r="J38" s="37"/>
      <c r="K38" s="37"/>
      <c r="L38" s="37"/>
      <c r="M38" s="2084"/>
      <c r="N38" s="2084"/>
      <c r="O38" s="37"/>
      <c r="P38" s="1659"/>
      <c r="Q38" s="2084"/>
      <c r="R38" s="2084"/>
      <c r="S38" s="2098"/>
      <c r="T38" s="2084"/>
      <c r="U38" s="2084"/>
      <c r="V38" s="37"/>
      <c r="W38" s="2084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</row>
    <row r="39" spans="1:42" ht="15.75" x14ac:dyDescent="0.25">
      <c r="A39" s="3"/>
      <c r="B39" s="30" t="s">
        <v>71</v>
      </c>
      <c r="C39" s="30" t="s">
        <v>150</v>
      </c>
      <c r="D39" s="30" t="s">
        <v>151</v>
      </c>
      <c r="E39" s="79"/>
      <c r="F39" s="79" t="s">
        <v>260</v>
      </c>
      <c r="H39" s="37"/>
      <c r="I39" s="37"/>
      <c r="J39" s="37"/>
      <c r="K39" s="37"/>
      <c r="L39" s="34"/>
      <c r="M39" s="2084"/>
      <c r="N39" s="2084"/>
      <c r="O39" s="2092"/>
      <c r="P39" s="2084"/>
      <c r="Q39" s="2084"/>
      <c r="R39" s="2084"/>
      <c r="S39" s="2084"/>
      <c r="T39" s="2084"/>
      <c r="U39" s="2084"/>
      <c r="V39" s="2084"/>
      <c r="W39" s="2084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</row>
    <row r="40" spans="1:42" x14ac:dyDescent="0.2">
      <c r="B40" s="26" t="s">
        <v>261</v>
      </c>
      <c r="C40" s="26" t="s">
        <v>262</v>
      </c>
      <c r="D40" s="32" t="s">
        <v>263</v>
      </c>
      <c r="E40" s="27"/>
      <c r="F40" s="27">
        <f>365.25*Unit.day</f>
        <v>31557600</v>
      </c>
      <c r="H40" s="37"/>
      <c r="I40" s="37"/>
      <c r="J40" s="37"/>
      <c r="K40" s="37"/>
      <c r="L40" s="2093"/>
      <c r="M40" s="2084"/>
      <c r="N40" s="2084"/>
      <c r="O40" s="2084"/>
      <c r="P40" s="2084"/>
      <c r="Q40" s="2084"/>
      <c r="R40" s="2084"/>
      <c r="S40" s="2084"/>
      <c r="T40" s="2084"/>
      <c r="U40" s="2084"/>
      <c r="V40" s="2084"/>
      <c r="W40" s="2084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</row>
    <row r="41" spans="1:42" x14ac:dyDescent="0.2">
      <c r="B41" s="26" t="s">
        <v>953</v>
      </c>
      <c r="C41" s="26" t="s">
        <v>951</v>
      </c>
      <c r="D41" s="32" t="s">
        <v>952</v>
      </c>
      <c r="E41" s="36"/>
      <c r="F41" s="1020">
        <f>Unit.hour*24</f>
        <v>86400</v>
      </c>
      <c r="H41" s="37"/>
      <c r="I41" s="37"/>
      <c r="J41" s="37"/>
      <c r="K41" s="37"/>
      <c r="L41" s="2083"/>
      <c r="M41" s="2084"/>
      <c r="N41" s="2084"/>
      <c r="O41" s="2084"/>
      <c r="P41" s="2084"/>
      <c r="Q41" s="2084"/>
      <c r="R41" s="2084"/>
      <c r="S41" s="2084"/>
      <c r="T41" s="2084"/>
      <c r="U41" s="2084"/>
      <c r="V41" s="2084"/>
      <c r="W41" s="2084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</row>
    <row r="42" spans="1:42" x14ac:dyDescent="0.2">
      <c r="B42" t="s">
        <v>954</v>
      </c>
      <c r="C42" s="38" t="s">
        <v>955</v>
      </c>
      <c r="D42" s="978" t="s">
        <v>956</v>
      </c>
      <c r="F42" s="675">
        <f>Unit.minute*60</f>
        <v>3600</v>
      </c>
      <c r="H42" s="37"/>
      <c r="I42" s="37"/>
      <c r="J42" s="37"/>
      <c r="K42" s="37"/>
      <c r="L42" s="2083"/>
      <c r="M42" s="2084"/>
      <c r="N42" s="2084"/>
      <c r="O42" s="2084"/>
      <c r="P42" s="2084"/>
      <c r="Q42" s="2084"/>
      <c r="R42" s="2084"/>
      <c r="S42" s="2084"/>
      <c r="T42" s="2084"/>
      <c r="U42" s="2084"/>
      <c r="V42" s="2084"/>
      <c r="W42" s="2084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</row>
    <row r="43" spans="1:42" ht="15.75" x14ac:dyDescent="0.25">
      <c r="A43" s="3"/>
      <c r="B43" s="580" t="s">
        <v>957</v>
      </c>
      <c r="C43" s="580" t="s">
        <v>958</v>
      </c>
      <c r="D43" s="1021" t="s">
        <v>959</v>
      </c>
      <c r="E43" s="580"/>
      <c r="F43" s="1022">
        <v>60</v>
      </c>
      <c r="H43" s="37"/>
      <c r="I43" s="952"/>
      <c r="J43" s="37"/>
      <c r="K43" s="2260"/>
      <c r="L43" s="2260"/>
      <c r="M43" s="1945"/>
      <c r="N43" s="1945"/>
      <c r="O43" s="1945"/>
      <c r="P43" s="1470"/>
      <c r="Q43" s="2084"/>
      <c r="R43" s="2084"/>
      <c r="S43" s="2084"/>
      <c r="T43" s="2084"/>
      <c r="U43" s="2084"/>
      <c r="V43" s="2084"/>
      <c r="W43" s="2084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</row>
    <row r="44" spans="1:42" x14ac:dyDescent="0.2">
      <c r="H44" s="37"/>
      <c r="I44" s="37"/>
      <c r="J44" s="37"/>
      <c r="K44" s="37"/>
      <c r="L44" s="2083"/>
      <c r="M44" s="2084"/>
      <c r="N44" s="2084"/>
      <c r="O44" s="2084"/>
      <c r="P44" s="2084"/>
      <c r="Q44" s="2084"/>
      <c r="R44" s="2084"/>
      <c r="S44" s="2084"/>
      <c r="T44" s="2084"/>
      <c r="U44" s="2084"/>
      <c r="V44" s="2084"/>
      <c r="W44" s="2084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</row>
    <row r="45" spans="1:42" ht="18.75" x14ac:dyDescent="0.3">
      <c r="B45" s="25" t="s">
        <v>907</v>
      </c>
      <c r="C45" s="25"/>
      <c r="D45" s="38"/>
      <c r="E45" s="38"/>
      <c r="F45" s="38"/>
      <c r="H45" s="37"/>
      <c r="I45" s="37"/>
      <c r="J45" s="37"/>
      <c r="K45" s="37"/>
      <c r="L45" s="2083"/>
      <c r="M45" s="2084"/>
      <c r="N45" s="2084"/>
      <c r="O45" s="2084"/>
      <c r="P45" s="2084"/>
      <c r="Q45" s="2084"/>
      <c r="R45" s="2084"/>
      <c r="S45" s="2084"/>
      <c r="T45" s="2084"/>
      <c r="U45" s="2084"/>
      <c r="V45" s="2084"/>
      <c r="W45" s="2084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</row>
    <row r="46" spans="1:42" ht="15.75" x14ac:dyDescent="0.25">
      <c r="A46" s="3"/>
      <c r="B46" s="38"/>
      <c r="D46" s="38"/>
      <c r="E46" s="38"/>
      <c r="F46" s="38"/>
      <c r="H46" s="37"/>
      <c r="I46" s="37"/>
      <c r="J46" s="37"/>
      <c r="K46" s="37"/>
      <c r="L46" s="2083"/>
      <c r="M46" s="2084"/>
      <c r="N46" s="2084"/>
      <c r="O46" s="2084"/>
      <c r="P46" s="2084"/>
      <c r="Q46" s="2084"/>
      <c r="R46" s="2084"/>
      <c r="S46" s="2084"/>
      <c r="T46" s="2084"/>
      <c r="U46" s="2084"/>
      <c r="V46" s="2084"/>
      <c r="W46" s="2084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</row>
    <row r="47" spans="1:42" ht="15.75" x14ac:dyDescent="0.25">
      <c r="A47" s="3"/>
      <c r="B47" s="30" t="s">
        <v>71</v>
      </c>
      <c r="C47" s="30" t="s">
        <v>150</v>
      </c>
      <c r="D47" s="30" t="s">
        <v>151</v>
      </c>
      <c r="E47" s="79" t="s">
        <v>915</v>
      </c>
      <c r="F47" s="79" t="str">
        <f>Preferences.AreaUnits</f>
        <v>km^2</v>
      </c>
      <c r="H47" s="37"/>
      <c r="I47" s="37"/>
      <c r="J47" s="37"/>
      <c r="K47" s="37"/>
      <c r="L47" s="2083"/>
      <c r="M47" s="2084"/>
      <c r="N47" s="2084"/>
      <c r="O47" s="2084"/>
      <c r="P47" s="2084"/>
      <c r="Q47" s="2084"/>
      <c r="R47" s="2084"/>
      <c r="S47" s="2084"/>
      <c r="T47" s="2084"/>
      <c r="U47" s="2084"/>
      <c r="V47" s="2084"/>
      <c r="W47" s="2084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</row>
    <row r="48" spans="1:42" s="38" customFormat="1" ht="15.75" x14ac:dyDescent="0.25">
      <c r="A48" s="3"/>
      <c r="B48" s="26" t="s">
        <v>908</v>
      </c>
      <c r="C48" s="26" t="s">
        <v>909</v>
      </c>
      <c r="D48" s="32" t="s">
        <v>910</v>
      </c>
      <c r="E48" s="27">
        <f>100^2</f>
        <v>10000</v>
      </c>
      <c r="F48" s="27">
        <f t="shared" ref="F48:F53" si="2">$E48/INDEX(Conversions.Area.m2, MATCH(F$47, Conversions.Area.Units, 0))</f>
        <v>0.01</v>
      </c>
      <c r="H48" s="37"/>
      <c r="I48" s="37"/>
      <c r="J48" s="37"/>
      <c r="K48" s="37"/>
      <c r="L48" s="2083"/>
      <c r="M48" s="2084"/>
      <c r="N48" s="2084"/>
      <c r="O48" s="2084"/>
      <c r="P48" s="2084"/>
      <c r="Q48" s="2084"/>
      <c r="R48" s="2084"/>
      <c r="S48" s="2084"/>
      <c r="T48" s="2084"/>
      <c r="U48" s="2084"/>
      <c r="V48" s="2084"/>
      <c r="W48" s="2084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</row>
    <row r="49" spans="1:42" ht="15.75" x14ac:dyDescent="0.25">
      <c r="A49" s="3"/>
      <c r="B49" s="26" t="s">
        <v>988</v>
      </c>
      <c r="C49" s="26" t="s">
        <v>989</v>
      </c>
      <c r="D49" s="32" t="s">
        <v>990</v>
      </c>
      <c r="E49" s="27">
        <f>E48*1000000</f>
        <v>10000000000</v>
      </c>
      <c r="F49" s="27">
        <f t="shared" si="2"/>
        <v>10000</v>
      </c>
      <c r="H49" s="2261"/>
      <c r="I49" s="37"/>
      <c r="J49" s="37"/>
      <c r="K49" s="37"/>
      <c r="L49" s="2083"/>
      <c r="M49" s="2084"/>
      <c r="N49" s="2084"/>
      <c r="O49" s="2084"/>
      <c r="P49" s="2084"/>
      <c r="Q49" s="2084"/>
      <c r="R49" s="2084"/>
      <c r="S49" s="2084"/>
      <c r="T49" s="2084"/>
      <c r="U49" s="2084"/>
      <c r="V49" s="2084"/>
      <c r="W49" s="2084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</row>
    <row r="50" spans="1:42" ht="15.75" x14ac:dyDescent="0.25">
      <c r="A50" s="3"/>
      <c r="B50" s="26" t="s">
        <v>912</v>
      </c>
      <c r="C50" s="26" t="s">
        <v>911</v>
      </c>
      <c r="D50" s="32" t="s">
        <v>913</v>
      </c>
      <c r="E50" s="27">
        <v>4046.8564224000002</v>
      </c>
      <c r="F50" s="27">
        <f t="shared" si="2"/>
        <v>4.0468564224000001E-3</v>
      </c>
      <c r="H50" s="37"/>
      <c r="I50" s="37"/>
      <c r="J50" s="37"/>
      <c r="K50" s="37"/>
      <c r="L50" s="2083"/>
      <c r="M50" s="2084"/>
      <c r="N50" s="2084"/>
      <c r="O50" s="2084"/>
      <c r="P50" s="2084"/>
      <c r="Q50" s="2084"/>
      <c r="R50" s="2084"/>
      <c r="S50" s="2084"/>
      <c r="T50" s="2084"/>
      <c r="U50" s="2084"/>
      <c r="V50" s="2084"/>
      <c r="W50" s="2084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</row>
    <row r="51" spans="1:42" s="38" customFormat="1" ht="15.75" x14ac:dyDescent="0.25">
      <c r="A51" s="3"/>
      <c r="B51" s="38" t="s">
        <v>914</v>
      </c>
      <c r="C51" s="38" t="s">
        <v>916</v>
      </c>
      <c r="D51" s="32" t="s">
        <v>918</v>
      </c>
      <c r="E51" s="27">
        <f>1000^2</f>
        <v>1000000</v>
      </c>
      <c r="F51" s="27">
        <f t="shared" si="2"/>
        <v>1</v>
      </c>
      <c r="H51" s="37"/>
      <c r="I51" s="37"/>
      <c r="J51" s="37"/>
      <c r="K51" s="37"/>
      <c r="L51" s="2083"/>
      <c r="M51" s="2084"/>
      <c r="N51" s="2084"/>
      <c r="O51" s="2084"/>
      <c r="P51" s="2084"/>
      <c r="Q51" s="2084"/>
      <c r="R51" s="2084"/>
      <c r="S51" s="2084"/>
      <c r="T51" s="2084"/>
      <c r="U51" s="2084"/>
      <c r="V51" s="2084"/>
      <c r="W51" s="2084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</row>
    <row r="52" spans="1:42" ht="15.75" x14ac:dyDescent="0.25">
      <c r="A52" s="3"/>
      <c r="B52" s="38" t="s">
        <v>915</v>
      </c>
      <c r="C52" s="38" t="s">
        <v>917</v>
      </c>
      <c r="D52" s="32" t="s">
        <v>919</v>
      </c>
      <c r="E52" s="27">
        <v>1</v>
      </c>
      <c r="F52" s="27">
        <f t="shared" si="2"/>
        <v>9.9999999999999995E-7</v>
      </c>
      <c r="H52" s="37"/>
      <c r="I52" s="37"/>
      <c r="J52" s="37"/>
      <c r="K52" s="37"/>
      <c r="L52" s="2083"/>
      <c r="M52" s="2084"/>
      <c r="N52" s="2084"/>
      <c r="O52" s="2084"/>
      <c r="P52" s="2084"/>
      <c r="Q52" s="2084"/>
      <c r="R52" s="2084"/>
      <c r="S52" s="2084"/>
      <c r="T52" s="2084"/>
      <c r="U52" s="2084"/>
      <c r="V52" s="2084"/>
      <c r="W52" s="2084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</row>
    <row r="53" spans="1:42" s="38" customFormat="1" ht="15.75" x14ac:dyDescent="0.25">
      <c r="A53" s="3"/>
      <c r="B53" s="94" t="s">
        <v>920</v>
      </c>
      <c r="C53" s="94" t="s">
        <v>920</v>
      </c>
      <c r="D53" s="95" t="s">
        <v>921</v>
      </c>
      <c r="E53" s="96">
        <f>20700*E51</f>
        <v>20700000000</v>
      </c>
      <c r="F53" s="96">
        <f t="shared" si="2"/>
        <v>20700</v>
      </c>
      <c r="H53" s="37"/>
      <c r="I53" s="37"/>
      <c r="J53" s="37"/>
      <c r="K53" s="37"/>
      <c r="L53" s="2083"/>
      <c r="M53" s="2084"/>
      <c r="N53" s="2084"/>
      <c r="O53" s="2084"/>
      <c r="P53" s="2084"/>
      <c r="Q53" s="2084"/>
      <c r="R53" s="2084"/>
      <c r="S53" s="2084"/>
      <c r="T53" s="2084"/>
      <c r="U53" s="2084"/>
      <c r="V53" s="2084"/>
      <c r="W53" s="2084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</row>
    <row r="54" spans="1:42" x14ac:dyDescent="0.2">
      <c r="B54" s="36"/>
      <c r="C54" s="36"/>
      <c r="D54" s="978"/>
      <c r="E54" s="979"/>
      <c r="F54" s="979"/>
      <c r="H54" s="37"/>
      <c r="I54" s="37"/>
      <c r="J54" s="37"/>
      <c r="K54" s="37"/>
      <c r="L54" s="2083"/>
      <c r="M54" s="2084"/>
      <c r="N54" s="2084"/>
      <c r="O54" s="2084"/>
      <c r="P54" s="2084"/>
      <c r="Q54" s="2084"/>
      <c r="R54" s="2084"/>
      <c r="S54" s="2084"/>
      <c r="T54" s="2084"/>
      <c r="U54" s="2084"/>
      <c r="V54" s="2084"/>
      <c r="W54" s="2084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</row>
    <row r="55" spans="1:42" s="38" customFormat="1" ht="18.75" x14ac:dyDescent="0.3">
      <c r="B55" s="25" t="s">
        <v>960</v>
      </c>
      <c r="F55"/>
      <c r="H55" s="37"/>
      <c r="I55" s="37"/>
      <c r="J55" s="37"/>
      <c r="K55" s="37"/>
      <c r="L55" s="2083"/>
      <c r="M55" s="2084"/>
      <c r="N55" s="2084"/>
      <c r="O55" s="2084"/>
      <c r="P55" s="2084"/>
      <c r="Q55" s="2084"/>
      <c r="R55" s="2084"/>
      <c r="S55" s="2084"/>
      <c r="T55" s="2084"/>
      <c r="U55" s="2084"/>
      <c r="V55" s="2084"/>
      <c r="W55" s="2084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</row>
    <row r="56" spans="1:42" ht="4.5" customHeight="1" x14ac:dyDescent="0.3">
      <c r="A56" s="3"/>
      <c r="B56" s="25"/>
      <c r="D56" s="38"/>
      <c r="E56" s="38"/>
      <c r="F56" s="38"/>
      <c r="H56" s="37"/>
      <c r="I56" s="37"/>
      <c r="J56" s="37"/>
      <c r="K56" s="37"/>
      <c r="L56" s="2083"/>
      <c r="M56" s="2084"/>
      <c r="N56" s="2084"/>
      <c r="O56" s="2084"/>
      <c r="P56" s="2084"/>
      <c r="Q56" s="2084"/>
      <c r="R56" s="2084"/>
      <c r="S56" s="2084"/>
      <c r="T56" s="2084"/>
      <c r="U56" s="2084"/>
      <c r="V56" s="2084"/>
      <c r="W56" s="2084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</row>
    <row r="57" spans="1:42" ht="15.75" x14ac:dyDescent="0.25">
      <c r="A57" s="3"/>
      <c r="B57" s="30" t="s">
        <v>963</v>
      </c>
      <c r="C57" s="30" t="s">
        <v>150</v>
      </c>
      <c r="D57" s="30" t="s">
        <v>151</v>
      </c>
      <c r="E57" s="79" t="s">
        <v>965</v>
      </c>
      <c r="F57" s="30" t="s">
        <v>964</v>
      </c>
      <c r="H57" s="37"/>
      <c r="I57" s="37"/>
      <c r="J57" s="37"/>
      <c r="K57" s="37"/>
      <c r="L57" s="2083"/>
      <c r="M57" s="2084"/>
      <c r="N57" s="2084"/>
      <c r="O57" s="2084"/>
      <c r="P57" s="2084"/>
      <c r="Q57" s="2084"/>
      <c r="R57" s="2084"/>
      <c r="S57" s="2084"/>
      <c r="T57" s="2084"/>
      <c r="U57" s="2084"/>
      <c r="V57" s="2084"/>
      <c r="W57" s="2084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</row>
    <row r="58" spans="1:42" ht="15.75" x14ac:dyDescent="0.25">
      <c r="A58" s="3"/>
      <c r="B58" s="26" t="str">
        <f>Preferences.EnergyUnits</f>
        <v>TWh</v>
      </c>
      <c r="C58" s="26" t="s">
        <v>961</v>
      </c>
      <c r="D58" s="32" t="s">
        <v>962</v>
      </c>
      <c r="E58" s="1023">
        <f>(1/Unit.J)*(1/Unit.year)*Unit.W</f>
        <v>0.1140771161305042</v>
      </c>
      <c r="F58" s="1024" t="str">
        <f>Preferences.PowerUnits</f>
        <v>GW</v>
      </c>
      <c r="H58" s="37"/>
      <c r="I58" s="37"/>
      <c r="J58" s="37"/>
      <c r="K58" s="37"/>
      <c r="L58" s="2083"/>
      <c r="M58" s="2084"/>
      <c r="N58" s="2084"/>
      <c r="O58" s="2084"/>
      <c r="P58" s="2084"/>
      <c r="Q58" s="2084"/>
      <c r="R58" s="2084"/>
      <c r="S58" s="2084"/>
      <c r="T58" s="2084"/>
      <c r="U58" s="2084"/>
      <c r="V58" s="2084"/>
      <c r="W58" s="2084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</row>
    <row r="59" spans="1:42" ht="15.75" x14ac:dyDescent="0.25">
      <c r="A59" s="3"/>
      <c r="B59" s="1024" t="str">
        <f>Preferences.PowerUnits</f>
        <v>GW</v>
      </c>
      <c r="C59" s="26" t="s">
        <v>966</v>
      </c>
      <c r="D59" s="32" t="s">
        <v>967</v>
      </c>
      <c r="E59">
        <f>(1/Unit.W)*Unit.year*Unit.J</f>
        <v>8.766</v>
      </c>
      <c r="F59" s="117" t="str">
        <f>Preferences.EnergyUnits</f>
        <v>TWh</v>
      </c>
      <c r="H59" s="37"/>
      <c r="I59" s="37"/>
      <c r="J59" s="37"/>
      <c r="K59" s="37"/>
      <c r="L59" s="2083"/>
      <c r="M59" s="2084"/>
      <c r="N59" s="2084"/>
      <c r="O59" s="2084"/>
      <c r="P59" s="2084"/>
      <c r="Q59" s="2084"/>
      <c r="R59" s="2084"/>
      <c r="S59" s="2084"/>
      <c r="T59" s="2084"/>
      <c r="U59" s="2084"/>
      <c r="V59" s="2084"/>
      <c r="W59" s="2084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</row>
    <row r="60" spans="1:42" x14ac:dyDescent="0.2">
      <c r="B60" s="1031" t="str">
        <f>Preferences.PowerUnits</f>
        <v>GW</v>
      </c>
      <c r="C60" s="580" t="s">
        <v>968</v>
      </c>
      <c r="D60" s="33" t="s">
        <v>969</v>
      </c>
      <c r="E60" s="580">
        <f>Unit.J/Unit.W</f>
        <v>2.7777777777777776E-7</v>
      </c>
      <c r="F60" s="1033" t="str">
        <f>Preferences.EnergyUnits&amp;"/s"</f>
        <v>TWh/s</v>
      </c>
      <c r="L60" s="2083"/>
      <c r="M60" s="2084"/>
      <c r="N60" s="2084"/>
      <c r="O60" s="2084"/>
      <c r="P60" s="2084"/>
      <c r="Q60" s="2084"/>
      <c r="R60" s="2084"/>
      <c r="S60" s="2084"/>
      <c r="T60" s="2084"/>
      <c r="U60" s="2084"/>
      <c r="V60" s="2084"/>
      <c r="W60" s="2084"/>
      <c r="X60" s="37"/>
    </row>
    <row r="61" spans="1:42" s="1451" customFormat="1" x14ac:dyDescent="0.2">
      <c r="L61" s="2083"/>
      <c r="M61" s="2084"/>
      <c r="N61" s="2084"/>
      <c r="O61" s="2084"/>
      <c r="P61" s="2084"/>
      <c r="Q61" s="2084"/>
      <c r="R61" s="2084"/>
      <c r="S61" s="2084"/>
      <c r="T61" s="2084"/>
      <c r="U61" s="2084"/>
      <c r="V61" s="2084"/>
      <c r="W61" s="2084"/>
      <c r="X61" s="37"/>
    </row>
    <row r="62" spans="1:42" s="1451" customFormat="1" ht="18.75" x14ac:dyDescent="0.3">
      <c r="B62" s="25" t="s">
        <v>1539</v>
      </c>
      <c r="C62" s="25"/>
      <c r="L62" s="2083"/>
      <c r="M62" s="2084"/>
      <c r="N62" s="2084"/>
      <c r="O62" s="2084"/>
      <c r="P62" s="2084"/>
      <c r="Q62" s="2084"/>
      <c r="R62" s="2084"/>
      <c r="S62" s="2084"/>
      <c r="T62" s="2084"/>
      <c r="U62" s="2084"/>
      <c r="V62" s="2084"/>
      <c r="W62" s="2084"/>
      <c r="X62" s="37"/>
    </row>
    <row r="63" spans="1:42" s="1451" customFormat="1" ht="4.5" customHeight="1" x14ac:dyDescent="0.2">
      <c r="L63" s="2083"/>
      <c r="M63" s="2084"/>
      <c r="N63" s="2084"/>
      <c r="O63" s="2084"/>
      <c r="P63" s="2084"/>
      <c r="Q63" s="2084"/>
      <c r="R63" s="2084"/>
      <c r="S63" s="2084"/>
      <c r="T63" s="2084"/>
      <c r="U63" s="2084"/>
      <c r="V63" s="2084"/>
      <c r="W63" s="2084"/>
      <c r="X63" s="37"/>
    </row>
    <row r="64" spans="1:42" s="1451" customFormat="1" x14ac:dyDescent="0.2">
      <c r="B64" s="30" t="s">
        <v>963</v>
      </c>
      <c r="C64" s="30" t="s">
        <v>150</v>
      </c>
      <c r="D64" s="30" t="s">
        <v>151</v>
      </c>
      <c r="E64" s="79" t="s">
        <v>965</v>
      </c>
      <c r="F64" s="30" t="s">
        <v>964</v>
      </c>
      <c r="L64" s="2083"/>
      <c r="M64" s="2084"/>
      <c r="N64" s="2084"/>
      <c r="O64" s="2084"/>
      <c r="P64" s="2084"/>
      <c r="Q64" s="2084"/>
      <c r="R64" s="2084"/>
      <c r="S64" s="2084"/>
      <c r="T64" s="2084"/>
      <c r="U64" s="2084"/>
      <c r="V64" s="2084"/>
      <c r="W64" s="2084"/>
      <c r="X64" s="37"/>
    </row>
    <row r="65" spans="2:24" s="1451" customFormat="1" x14ac:dyDescent="0.2">
      <c r="B65" s="1451" t="s">
        <v>1540</v>
      </c>
      <c r="C65" s="1451" t="s">
        <v>1541</v>
      </c>
      <c r="D65" s="1451" t="s">
        <v>1542</v>
      </c>
      <c r="E65" s="1451">
        <v>4.5460900000000004</v>
      </c>
      <c r="F65" s="1451" t="s">
        <v>1543</v>
      </c>
      <c r="L65" s="2083"/>
      <c r="M65" s="2084"/>
      <c r="N65" s="2084"/>
      <c r="O65" s="2084"/>
      <c r="P65" s="2084"/>
      <c r="Q65" s="2084"/>
      <c r="R65" s="2084"/>
      <c r="S65" s="2084"/>
      <c r="T65" s="2084"/>
      <c r="U65" s="2084"/>
      <c r="V65" s="2084"/>
      <c r="W65" s="2084"/>
      <c r="X65" s="37"/>
    </row>
    <row r="66" spans="2:24" s="1451" customFormat="1" x14ac:dyDescent="0.2">
      <c r="B66" s="580" t="s">
        <v>1544</v>
      </c>
      <c r="C66" s="580" t="s">
        <v>1545</v>
      </c>
      <c r="D66" s="580" t="s">
        <v>1546</v>
      </c>
      <c r="E66" s="580">
        <v>3.7854109999999999</v>
      </c>
      <c r="F66" s="580" t="s">
        <v>1543</v>
      </c>
      <c r="L66" s="2083"/>
      <c r="M66" s="2084"/>
      <c r="N66" s="2084"/>
      <c r="O66" s="2084"/>
      <c r="P66" s="2084"/>
      <c r="Q66" s="2084"/>
      <c r="R66" s="2084"/>
      <c r="S66" s="2084"/>
      <c r="T66" s="2084"/>
      <c r="U66" s="2084"/>
      <c r="V66" s="2084"/>
      <c r="W66" s="2084"/>
      <c r="X66" s="37"/>
    </row>
    <row r="67" spans="2:24" s="1451" customFormat="1" x14ac:dyDescent="0.2">
      <c r="L67" s="2083"/>
      <c r="M67" s="2084"/>
      <c r="N67" s="2084"/>
      <c r="O67" s="2084"/>
      <c r="P67" s="2084"/>
      <c r="Q67" s="2084"/>
      <c r="R67" s="2084"/>
      <c r="S67" s="2084"/>
      <c r="T67" s="2084"/>
      <c r="U67" s="2084"/>
      <c r="V67" s="2084"/>
      <c r="W67" s="2084"/>
      <c r="X67" s="37"/>
    </row>
    <row r="68" spans="2:24" ht="18.75" x14ac:dyDescent="0.3">
      <c r="B68" s="25" t="s">
        <v>1401</v>
      </c>
      <c r="C68" s="25"/>
      <c r="D68" s="1352"/>
      <c r="E68" s="1352"/>
      <c r="F68" s="1352"/>
      <c r="L68" s="2083"/>
      <c r="M68" s="2084"/>
      <c r="N68" s="2084"/>
      <c r="O68" s="2084"/>
      <c r="P68" s="2084"/>
      <c r="Q68" s="2084"/>
      <c r="R68" s="2084"/>
      <c r="S68" s="2084"/>
      <c r="T68" s="2084"/>
      <c r="U68" s="2084"/>
      <c r="V68" s="2084"/>
      <c r="W68" s="2084"/>
      <c r="X68" s="37"/>
    </row>
    <row r="69" spans="2:24" x14ac:dyDescent="0.2">
      <c r="B69" s="1352"/>
      <c r="C69" s="1352"/>
      <c r="D69" s="1352"/>
      <c r="E69" s="1352"/>
      <c r="F69" s="1352"/>
      <c r="L69" s="2083"/>
      <c r="M69" s="2084"/>
      <c r="N69" s="2084"/>
      <c r="O69" s="2084"/>
      <c r="P69" s="2084"/>
      <c r="Q69" s="2084"/>
      <c r="R69" s="2084"/>
      <c r="S69" s="2084"/>
      <c r="T69" s="2084"/>
      <c r="U69" s="2084"/>
      <c r="V69" s="2084"/>
      <c r="W69" s="2084"/>
      <c r="X69" s="37"/>
    </row>
    <row r="70" spans="2:24" x14ac:dyDescent="0.2">
      <c r="B70" s="1359" t="s">
        <v>71</v>
      </c>
      <c r="C70" s="1360" t="s">
        <v>150</v>
      </c>
      <c r="D70" s="1360" t="s">
        <v>151</v>
      </c>
      <c r="E70" s="1361" t="str">
        <f>Preferences.moneyunits</f>
        <v>N</v>
      </c>
      <c r="F70" s="1362" t="s">
        <v>1402</v>
      </c>
      <c r="L70" s="2083"/>
      <c r="M70" s="2084"/>
      <c r="N70" s="2084"/>
      <c r="O70" s="2084"/>
      <c r="P70" s="2084"/>
      <c r="Q70" s="2084"/>
      <c r="R70" s="2084"/>
      <c r="S70" s="2084"/>
      <c r="T70" s="2084"/>
      <c r="U70" s="2084"/>
      <c r="V70" s="2084"/>
      <c r="W70" s="2084"/>
      <c r="X70" s="37"/>
    </row>
    <row r="71" spans="2:24" x14ac:dyDescent="0.2">
      <c r="B71" s="1317" t="s">
        <v>1403</v>
      </c>
      <c r="C71" s="26" t="s">
        <v>1404</v>
      </c>
      <c r="D71" s="32" t="s">
        <v>1405</v>
      </c>
      <c r="E71" s="1020">
        <f t="shared" ref="E71:E79" si="3">$F71/INDEX(Conversions.Money.GBP, MATCH(E$70, Conversions.Money.Units, 0))</f>
        <v>250000000000000</v>
      </c>
      <c r="F71" s="1363">
        <v>1000000000000</v>
      </c>
      <c r="L71" s="2083"/>
      <c r="M71" s="2084"/>
      <c r="N71" s="2084"/>
      <c r="O71" s="2084"/>
      <c r="P71" s="2084"/>
      <c r="Q71" s="2084"/>
      <c r="R71" s="2084"/>
      <c r="S71" s="2084"/>
      <c r="T71" s="2084"/>
      <c r="U71" s="2084"/>
      <c r="V71" s="2084"/>
      <c r="W71" s="2084"/>
      <c r="X71" s="37"/>
    </row>
    <row r="72" spans="2:24" x14ac:dyDescent="0.2">
      <c r="B72" s="1317" t="s">
        <v>1406</v>
      </c>
      <c r="C72" s="26" t="s">
        <v>1407</v>
      </c>
      <c r="D72" s="32" t="s">
        <v>1408</v>
      </c>
      <c r="E72" s="1020">
        <f t="shared" si="3"/>
        <v>250000000000</v>
      </c>
      <c r="F72" s="1363">
        <v>1000000000</v>
      </c>
      <c r="L72" s="2083"/>
      <c r="M72" s="2084"/>
      <c r="N72" s="2084"/>
      <c r="O72" s="2084"/>
      <c r="P72" s="2084"/>
      <c r="Q72" s="2084"/>
      <c r="R72" s="2084"/>
      <c r="S72" s="2084"/>
      <c r="T72" s="2084"/>
      <c r="U72" s="2084"/>
      <c r="V72" s="2084"/>
      <c r="W72" s="2084"/>
      <c r="X72" s="37"/>
    </row>
    <row r="73" spans="2:24" x14ac:dyDescent="0.2">
      <c r="B73" s="1317" t="s">
        <v>1409</v>
      </c>
      <c r="C73" s="26" t="s">
        <v>1410</v>
      </c>
      <c r="D73" s="32" t="s">
        <v>1411</v>
      </c>
      <c r="E73" s="1020">
        <f t="shared" si="3"/>
        <v>250000000</v>
      </c>
      <c r="F73" s="1363">
        <v>1000000</v>
      </c>
      <c r="L73" s="2083"/>
      <c r="M73" s="2084"/>
      <c r="N73" s="2084"/>
      <c r="O73" s="2084"/>
      <c r="P73" s="2084"/>
      <c r="Q73" s="2084"/>
      <c r="R73" s="2084"/>
      <c r="S73" s="2084"/>
      <c r="T73" s="2084"/>
      <c r="U73" s="2084"/>
      <c r="V73" s="2084"/>
      <c r="W73" s="2084"/>
      <c r="X73" s="37"/>
    </row>
    <row r="74" spans="2:24" x14ac:dyDescent="0.2">
      <c r="B74" s="1317" t="s">
        <v>1412</v>
      </c>
      <c r="C74" s="26" t="s">
        <v>1413</v>
      </c>
      <c r="D74" s="32" t="s">
        <v>1414</v>
      </c>
      <c r="E74" s="1020">
        <f t="shared" si="3"/>
        <v>250000</v>
      </c>
      <c r="F74" s="1363">
        <v>1000</v>
      </c>
      <c r="L74" s="2083"/>
      <c r="M74" s="2084"/>
      <c r="N74" s="2084"/>
      <c r="O74" s="2084"/>
      <c r="P74" s="2084"/>
      <c r="Q74" s="2084"/>
      <c r="R74" s="2084"/>
      <c r="S74" s="2084"/>
      <c r="T74" s="2084"/>
      <c r="U74" s="2084"/>
      <c r="V74" s="2084"/>
      <c r="W74" s="2084"/>
      <c r="X74" s="37"/>
    </row>
    <row r="75" spans="2:24" x14ac:dyDescent="0.2">
      <c r="B75" s="1317" t="s">
        <v>1536</v>
      </c>
      <c r="C75" s="26" t="s">
        <v>1537</v>
      </c>
      <c r="D75" s="32" t="s">
        <v>1538</v>
      </c>
      <c r="E75" s="1020">
        <f t="shared" si="3"/>
        <v>157.23270440251571</v>
      </c>
      <c r="F75" s="1363">
        <f>1/1.59</f>
        <v>0.62893081761006286</v>
      </c>
      <c r="L75" s="2083"/>
      <c r="M75" s="2084"/>
      <c r="N75" s="2084"/>
      <c r="O75" s="2084"/>
      <c r="P75" s="2084"/>
      <c r="Q75" s="2084"/>
      <c r="R75" s="2084"/>
      <c r="S75" s="2084"/>
      <c r="T75" s="2084"/>
      <c r="U75" s="2084"/>
      <c r="V75" s="2084"/>
      <c r="W75" s="2084"/>
      <c r="X75" s="37"/>
    </row>
    <row r="76" spans="2:24" x14ac:dyDescent="0.2">
      <c r="B76" s="1317" t="s">
        <v>1827</v>
      </c>
      <c r="C76" s="26" t="s">
        <v>1435</v>
      </c>
      <c r="D76" s="32" t="s">
        <v>1436</v>
      </c>
      <c r="E76" s="1020">
        <f t="shared" si="3"/>
        <v>156.25</v>
      </c>
      <c r="F76" s="1363">
        <f>1/1.6</f>
        <v>0.625</v>
      </c>
      <c r="L76" s="2083"/>
      <c r="M76" s="2084"/>
      <c r="N76" s="2084"/>
      <c r="O76" s="2084"/>
      <c r="P76" s="2084"/>
      <c r="Q76" s="2084"/>
      <c r="R76" s="2084"/>
      <c r="S76" s="2084"/>
      <c r="T76" s="2084"/>
      <c r="U76" s="2084"/>
      <c r="V76" s="2084"/>
      <c r="W76" s="2084"/>
      <c r="X76" s="37"/>
    </row>
    <row r="77" spans="2:24" s="1713" customFormat="1" x14ac:dyDescent="0.2">
      <c r="B77" s="1317" t="s">
        <v>1828</v>
      </c>
      <c r="C77" s="26" t="s">
        <v>1829</v>
      </c>
      <c r="D77" s="32" t="s">
        <v>1830</v>
      </c>
      <c r="E77" s="1020">
        <f t="shared" si="3"/>
        <v>161.70763260025871</v>
      </c>
      <c r="F77" s="1363">
        <f>1/1.546</f>
        <v>0.64683053040103489</v>
      </c>
      <c r="L77" s="2083"/>
      <c r="M77" s="2084"/>
      <c r="N77" s="2084"/>
      <c r="O77" s="2084"/>
      <c r="P77" s="2084"/>
      <c r="Q77" s="2084"/>
      <c r="R77" s="2084"/>
      <c r="S77" s="2084"/>
      <c r="T77" s="2084"/>
      <c r="U77" s="2084"/>
      <c r="V77" s="2084"/>
      <c r="W77" s="2084"/>
      <c r="X77" s="37"/>
    </row>
    <row r="78" spans="2:24" s="2479" customFormat="1" x14ac:dyDescent="0.2">
      <c r="B78" s="2617" t="s">
        <v>2452</v>
      </c>
      <c r="C78" s="26" t="s">
        <v>2453</v>
      </c>
      <c r="D78" s="32" t="s">
        <v>2454</v>
      </c>
      <c r="E78" s="1020">
        <f t="shared" si="3"/>
        <v>1</v>
      </c>
      <c r="F78" s="1363">
        <f>1/250</f>
        <v>4.0000000000000001E-3</v>
      </c>
      <c r="L78" s="2083"/>
      <c r="M78" s="2084"/>
      <c r="N78" s="2084"/>
      <c r="O78" s="2084"/>
      <c r="P78" s="2084"/>
      <c r="Q78" s="2084"/>
      <c r="R78" s="2084"/>
      <c r="S78" s="2084"/>
      <c r="T78" s="2084"/>
      <c r="U78" s="2084"/>
      <c r="V78" s="2084"/>
      <c r="W78" s="2084"/>
      <c r="X78" s="37"/>
    </row>
    <row r="79" spans="2:24" x14ac:dyDescent="0.2">
      <c r="B79" s="1364" t="s">
        <v>1402</v>
      </c>
      <c r="C79" s="28" t="s">
        <v>1415</v>
      </c>
      <c r="D79" s="33" t="s">
        <v>1416</v>
      </c>
      <c r="E79" s="1022">
        <f t="shared" si="3"/>
        <v>250</v>
      </c>
      <c r="F79" s="1365">
        <v>1</v>
      </c>
      <c r="L79" s="2083"/>
      <c r="M79" s="2084"/>
      <c r="N79" s="2084"/>
      <c r="O79" s="2084"/>
      <c r="P79" s="2084"/>
      <c r="Q79" s="2084"/>
      <c r="R79" s="2084"/>
      <c r="S79" s="2084"/>
      <c r="T79" s="2084"/>
      <c r="U79" s="2084"/>
      <c r="V79" s="2084"/>
      <c r="W79" s="2084"/>
      <c r="X79" s="37"/>
    </row>
    <row r="80" spans="2:24" x14ac:dyDescent="0.2">
      <c r="L80" s="2083"/>
      <c r="M80" s="2084"/>
      <c r="N80" s="2084"/>
      <c r="O80" s="2084"/>
      <c r="P80" s="2084"/>
      <c r="Q80" s="2084"/>
      <c r="R80" s="2084"/>
      <c r="S80" s="2084"/>
      <c r="T80" s="2084"/>
      <c r="U80" s="2084"/>
      <c r="V80" s="2084"/>
      <c r="W80" s="2084"/>
      <c r="X80" s="37"/>
    </row>
    <row r="81" spans="2:24" ht="18.75" x14ac:dyDescent="0.3">
      <c r="B81" s="25" t="s">
        <v>1636</v>
      </c>
      <c r="C81" s="1352"/>
      <c r="D81" s="1352"/>
      <c r="E81" s="1352"/>
      <c r="F81" s="1352"/>
      <c r="L81" s="2083"/>
      <c r="M81" s="2084"/>
      <c r="N81" s="2084"/>
      <c r="O81" s="2084"/>
      <c r="P81" s="2084"/>
      <c r="Q81" s="2084"/>
      <c r="R81" s="2084"/>
      <c r="S81" s="2084"/>
      <c r="T81" s="2084"/>
      <c r="U81" s="2084"/>
      <c r="V81" s="2084"/>
      <c r="W81" s="2084"/>
      <c r="X81" s="37"/>
    </row>
    <row r="82" spans="2:24" x14ac:dyDescent="0.2">
      <c r="B82" s="1352"/>
      <c r="C82" s="1352"/>
      <c r="D82" s="1352"/>
      <c r="E82" s="1352"/>
      <c r="F82" s="1352"/>
      <c r="L82" s="2083"/>
      <c r="M82" s="2084"/>
      <c r="N82" s="2084"/>
      <c r="O82" s="2084"/>
      <c r="P82" s="2084"/>
      <c r="Q82" s="2084"/>
      <c r="R82" s="2084"/>
      <c r="S82" s="2084"/>
      <c r="T82" s="2084"/>
      <c r="U82" s="2084"/>
      <c r="V82" s="2084"/>
      <c r="W82" s="2084"/>
      <c r="X82" s="37"/>
    </row>
    <row r="83" spans="2:24" x14ac:dyDescent="0.2">
      <c r="B83" s="1493" t="s">
        <v>2134</v>
      </c>
      <c r="C83" s="1067"/>
      <c r="D83" s="1107"/>
      <c r="E83" s="1352"/>
      <c r="F83" s="1352"/>
      <c r="L83" s="2083"/>
      <c r="M83" s="2084"/>
      <c r="N83" s="2084"/>
      <c r="O83" s="2084"/>
      <c r="P83" s="2084"/>
      <c r="Q83" s="2084"/>
      <c r="R83" s="2084"/>
      <c r="S83" s="2084"/>
      <c r="T83" s="2084"/>
      <c r="U83" s="2084"/>
      <c r="V83" s="2084"/>
      <c r="W83" s="2084"/>
      <c r="X83" s="37"/>
    </row>
    <row r="84" spans="2:24" x14ac:dyDescent="0.2">
      <c r="B84" s="1108"/>
      <c r="C84" s="2132"/>
      <c r="D84" s="1109"/>
      <c r="E84" s="1352"/>
      <c r="F84" s="1352"/>
      <c r="G84" t="s">
        <v>2171</v>
      </c>
      <c r="L84" s="2083"/>
      <c r="M84" s="2084"/>
      <c r="N84" s="2084"/>
      <c r="O84" s="2084"/>
      <c r="P84" s="2084"/>
      <c r="Q84" s="2084"/>
      <c r="R84" s="2084"/>
      <c r="S84" s="2084"/>
      <c r="T84" s="2084"/>
      <c r="U84" s="2084"/>
      <c r="V84" s="2084"/>
      <c r="W84" s="2084"/>
      <c r="X84" s="37"/>
    </row>
    <row r="85" spans="2:24" x14ac:dyDescent="0.2">
      <c r="B85" s="1108" t="s">
        <v>1617</v>
      </c>
      <c r="C85" s="2132">
        <v>143.83000000000001</v>
      </c>
      <c r="D85" s="1109">
        <f>1+(($C$105-C85)/C85)</f>
        <v>30.435931307793926</v>
      </c>
      <c r="E85" s="1352"/>
      <c r="F85" s="1352"/>
      <c r="G85" s="2132">
        <v>143.83000000000001</v>
      </c>
      <c r="L85" s="2083"/>
      <c r="M85" s="2084"/>
      <c r="N85" s="2084"/>
      <c r="O85" s="2084"/>
      <c r="P85" s="2084"/>
      <c r="Q85" s="2084"/>
      <c r="R85" s="2084"/>
      <c r="S85" s="2084"/>
      <c r="T85" s="2084"/>
      <c r="U85" s="2084"/>
      <c r="V85" s="2084"/>
      <c r="W85" s="2084"/>
      <c r="X85" s="37"/>
    </row>
    <row r="86" spans="2:24" x14ac:dyDescent="0.2">
      <c r="B86" s="1108" t="s">
        <v>1618</v>
      </c>
      <c r="C86" s="2132">
        <v>166.04</v>
      </c>
      <c r="D86" s="1109">
        <f t="shared" ref="D86:D106" si="4">1+(($C$105-C86)/C86)</f>
        <v>26.364731390026503</v>
      </c>
      <c r="E86" s="1352"/>
      <c r="F86" s="1352"/>
      <c r="G86" s="2132">
        <v>166.04</v>
      </c>
      <c r="L86" s="2083"/>
      <c r="M86" s="2084"/>
      <c r="N86" s="2084"/>
      <c r="O86" s="2084"/>
      <c r="P86" s="2084"/>
      <c r="Q86" s="2084"/>
      <c r="R86" s="2084"/>
      <c r="S86" s="2084"/>
      <c r="T86" s="2084"/>
      <c r="U86" s="2084"/>
      <c r="V86" s="2084"/>
      <c r="W86" s="2084"/>
      <c r="X86" s="37"/>
    </row>
    <row r="87" spans="2:24" x14ac:dyDescent="0.2">
      <c r="B87" s="1108" t="s">
        <v>1619</v>
      </c>
      <c r="C87" s="2132">
        <v>259.52</v>
      </c>
      <c r="D87" s="1109">
        <f t="shared" si="4"/>
        <v>16.868064118372381</v>
      </c>
      <c r="E87" s="1352"/>
      <c r="F87" s="1352"/>
      <c r="G87" s="2132">
        <v>259.52</v>
      </c>
      <c r="L87" s="2083"/>
      <c r="M87" s="2084"/>
      <c r="N87" s="2084"/>
      <c r="O87" s="2084"/>
      <c r="P87" s="2084"/>
      <c r="Q87" s="2084"/>
      <c r="R87" s="2084"/>
      <c r="S87" s="2084"/>
      <c r="T87" s="2084"/>
      <c r="U87" s="2084"/>
      <c r="V87" s="2084"/>
      <c r="W87" s="2084"/>
      <c r="X87" s="37"/>
    </row>
    <row r="88" spans="2:24" x14ac:dyDescent="0.2">
      <c r="B88" s="1108" t="s">
        <v>1620</v>
      </c>
      <c r="C88" s="2132">
        <v>318.12</v>
      </c>
      <c r="D88" s="1109">
        <f t="shared" si="4"/>
        <v>13.760844964164468</v>
      </c>
      <c r="E88" s="1352"/>
      <c r="F88" s="1352"/>
      <c r="G88" s="2132">
        <v>318.12</v>
      </c>
      <c r="L88" s="2083"/>
      <c r="M88" s="2084"/>
      <c r="N88" s="2084"/>
      <c r="O88" s="2084"/>
      <c r="P88" s="2084"/>
      <c r="Q88" s="2084"/>
      <c r="R88" s="2084"/>
      <c r="S88" s="2084"/>
      <c r="T88" s="2084"/>
      <c r="U88" s="2084"/>
      <c r="V88" s="2084"/>
      <c r="W88" s="2084"/>
      <c r="X88" s="37"/>
    </row>
    <row r="89" spans="2:24" x14ac:dyDescent="0.2">
      <c r="B89" s="1108" t="s">
        <v>1621</v>
      </c>
      <c r="C89" s="2132">
        <v>405.44</v>
      </c>
      <c r="D89" s="1109">
        <f t="shared" si="4"/>
        <v>10.797158642462511</v>
      </c>
      <c r="E89" s="1352"/>
      <c r="F89" s="1352"/>
      <c r="G89" s="2132">
        <v>405.44</v>
      </c>
      <c r="L89" s="2083"/>
      <c r="M89" s="2084"/>
      <c r="N89" s="2084"/>
      <c r="O89" s="2084"/>
      <c r="P89" s="2084"/>
      <c r="Q89" s="2084"/>
      <c r="R89" s="2084"/>
      <c r="S89" s="2084"/>
      <c r="T89" s="2084"/>
      <c r="U89" s="2084"/>
      <c r="V89" s="2084"/>
      <c r="W89" s="2084"/>
      <c r="X89" s="37"/>
    </row>
    <row r="90" spans="2:24" x14ac:dyDescent="0.2">
      <c r="B90" s="1108" t="s">
        <v>1622</v>
      </c>
      <c r="C90" s="2132">
        <v>824.44</v>
      </c>
      <c r="D90" s="1109">
        <f t="shared" si="4"/>
        <v>5.3097860365824072</v>
      </c>
      <c r="E90" s="1352"/>
      <c r="F90" s="1352"/>
      <c r="G90" s="2132">
        <v>824.44</v>
      </c>
      <c r="L90" s="2083"/>
      <c r="M90" s="2084"/>
      <c r="N90" s="2084"/>
      <c r="O90" s="2084"/>
      <c r="P90" s="2084"/>
      <c r="Q90" s="2084"/>
      <c r="R90" s="2084"/>
      <c r="S90" s="2084"/>
      <c r="T90" s="2084"/>
      <c r="U90" s="2084"/>
      <c r="V90" s="2084"/>
      <c r="W90" s="2084"/>
      <c r="X90" s="37"/>
    </row>
    <row r="91" spans="2:24" x14ac:dyDescent="0.2">
      <c r="B91" s="1108" t="s">
        <v>1623</v>
      </c>
      <c r="C91" s="2132">
        <v>1098.07</v>
      </c>
      <c r="D91" s="1109">
        <f t="shared" si="4"/>
        <v>3.9866310890926817</v>
      </c>
      <c r="E91" s="1381"/>
      <c r="F91" s="1381"/>
      <c r="G91" s="2132">
        <v>1098.07</v>
      </c>
      <c r="L91" s="2083"/>
      <c r="M91" s="2084"/>
      <c r="N91" s="2084"/>
      <c r="O91" s="2084"/>
      <c r="P91" s="2084"/>
      <c r="Q91" s="2084"/>
      <c r="R91" s="2084"/>
      <c r="S91" s="2084"/>
      <c r="T91" s="2084"/>
      <c r="U91" s="2084"/>
      <c r="V91" s="2084"/>
      <c r="W91" s="2084"/>
      <c r="X91" s="37"/>
    </row>
    <row r="92" spans="2:24" x14ac:dyDescent="0.2">
      <c r="B92" s="1108" t="s">
        <v>1624</v>
      </c>
      <c r="C92" s="2132">
        <v>1108.76</v>
      </c>
      <c r="D92" s="1109">
        <f t="shared" si="4"/>
        <v>3.9481943793066128</v>
      </c>
      <c r="E92" s="1451"/>
      <c r="F92" s="1451"/>
      <c r="G92" s="2132">
        <v>1108.76</v>
      </c>
      <c r="L92" s="2083"/>
      <c r="M92" s="2084"/>
      <c r="N92" s="2084"/>
      <c r="O92" s="2084"/>
      <c r="P92" s="2084"/>
      <c r="Q92" s="2084"/>
      <c r="R92" s="2084"/>
      <c r="S92" s="2084"/>
      <c r="T92" s="2084"/>
      <c r="U92" s="2084"/>
      <c r="V92" s="2084"/>
      <c r="W92" s="2084"/>
      <c r="X92" s="37"/>
    </row>
    <row r="93" spans="2:24" x14ac:dyDescent="0.2">
      <c r="B93" s="1108" t="s">
        <v>1625</v>
      </c>
      <c r="C93" s="2132">
        <v>1026.97</v>
      </c>
      <c r="D93" s="1109">
        <f t="shared" si="4"/>
        <v>4.2626366885108622</v>
      </c>
      <c r="E93" s="1374"/>
      <c r="F93" s="1374"/>
      <c r="G93" s="2132">
        <v>1026.97</v>
      </c>
      <c r="L93" s="2083"/>
      <c r="M93" s="2084"/>
      <c r="N93" s="2084"/>
      <c r="O93" s="2084"/>
      <c r="P93" s="2084"/>
      <c r="Q93" s="2084"/>
      <c r="R93" s="2084"/>
      <c r="S93" s="2084"/>
      <c r="T93" s="2084"/>
      <c r="U93" s="2084"/>
      <c r="V93" s="2084"/>
      <c r="W93" s="2084"/>
      <c r="X93" s="37"/>
    </row>
    <row r="94" spans="2:24" x14ac:dyDescent="0.2">
      <c r="B94" s="1108" t="s">
        <v>1626</v>
      </c>
      <c r="C94" s="2132">
        <v>1190.31</v>
      </c>
      <c r="D94" s="1109">
        <f t="shared" si="4"/>
        <v>3.677697406557956</v>
      </c>
      <c r="E94" s="1352"/>
      <c r="F94" s="1352"/>
      <c r="G94" s="2132">
        <v>1190.31</v>
      </c>
      <c r="L94" s="2083"/>
      <c r="M94" s="2084"/>
      <c r="N94" s="2084"/>
      <c r="O94" s="2084"/>
      <c r="P94" s="2084"/>
      <c r="Q94" s="2084"/>
      <c r="R94" s="2084"/>
      <c r="S94" s="2084"/>
      <c r="T94" s="2084"/>
      <c r="U94" s="2084"/>
      <c r="V94" s="2084"/>
      <c r="W94" s="2084"/>
      <c r="X94" s="37"/>
    </row>
    <row r="95" spans="2:24" x14ac:dyDescent="0.2">
      <c r="B95" s="1108" t="s">
        <v>1627</v>
      </c>
      <c r="C95" s="2132">
        <v>1628.2</v>
      </c>
      <c r="D95" s="1109">
        <f t="shared" si="4"/>
        <v>2.6886131924824963</v>
      </c>
      <c r="E95" s="1352"/>
      <c r="F95" s="1352"/>
      <c r="G95" s="2132">
        <v>1628.2</v>
      </c>
      <c r="L95" s="2083"/>
      <c r="M95" s="2084"/>
      <c r="N95" s="2084"/>
      <c r="O95" s="2084"/>
      <c r="P95" s="2084"/>
      <c r="Q95" s="2084"/>
      <c r="R95" s="2084"/>
      <c r="S95" s="2084"/>
      <c r="T95" s="2084"/>
      <c r="U95" s="2084"/>
      <c r="V95" s="2084"/>
      <c r="W95" s="2084"/>
      <c r="X95" s="37"/>
    </row>
    <row r="96" spans="2:24" x14ac:dyDescent="0.2">
      <c r="B96" s="1108" t="s">
        <v>1628</v>
      </c>
      <c r="C96" s="2132">
        <v>1596.91</v>
      </c>
      <c r="D96" s="1109">
        <f t="shared" si="4"/>
        <v>2.7412941242775108</v>
      </c>
      <c r="E96" s="1352"/>
      <c r="F96" s="1352"/>
      <c r="G96" s="2132">
        <v>1596.91</v>
      </c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</row>
    <row r="97" spans="2:24" x14ac:dyDescent="0.2">
      <c r="B97" s="1108" t="s">
        <v>1629</v>
      </c>
      <c r="C97" s="2132">
        <v>1725.54</v>
      </c>
      <c r="D97" s="1109">
        <f t="shared" si="4"/>
        <v>2.536944956361487</v>
      </c>
      <c r="E97" s="1352"/>
      <c r="F97" s="1352"/>
      <c r="G97" s="2132">
        <v>1725.54</v>
      </c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</row>
    <row r="98" spans="2:24" x14ac:dyDescent="0.2">
      <c r="B98" s="1108" t="s">
        <v>1630</v>
      </c>
      <c r="C98" s="2132">
        <v>2002.7</v>
      </c>
      <c r="D98" s="1109">
        <f t="shared" si="4"/>
        <v>2.1858491037099919</v>
      </c>
      <c r="E98" s="1352"/>
      <c r="F98" s="1352"/>
      <c r="G98" s="2132">
        <v>2002.7</v>
      </c>
    </row>
    <row r="99" spans="2:24" x14ac:dyDescent="0.2">
      <c r="B99" s="1108" t="s">
        <v>1631</v>
      </c>
      <c r="C99" s="2132">
        <v>2162.92</v>
      </c>
      <c r="D99" s="1109">
        <f t="shared" si="4"/>
        <v>2.023930612320382</v>
      </c>
      <c r="E99" s="1352"/>
      <c r="F99" s="1352"/>
      <c r="G99" s="2132">
        <v>2162.92</v>
      </c>
    </row>
    <row r="100" spans="2:24" x14ac:dyDescent="0.2">
      <c r="B100" s="1108" t="s">
        <v>1632</v>
      </c>
      <c r="C100" s="2132">
        <v>2600.12</v>
      </c>
      <c r="D100" s="1109">
        <f t="shared" si="4"/>
        <v>1.6836146024029661</v>
      </c>
      <c r="E100" s="1489"/>
      <c r="F100" s="1489"/>
      <c r="G100" s="2132">
        <v>2600.12</v>
      </c>
    </row>
    <row r="101" spans="2:24" x14ac:dyDescent="0.2">
      <c r="B101" s="1108" t="s">
        <v>1633</v>
      </c>
      <c r="C101" s="2132">
        <v>3115.8</v>
      </c>
      <c r="D101" s="1109">
        <f t="shared" si="4"/>
        <v>1.4049682264586945</v>
      </c>
      <c r="E101" s="1489"/>
      <c r="F101" s="1489"/>
      <c r="G101" s="2132">
        <v>3115.8</v>
      </c>
    </row>
    <row r="102" spans="2:24" x14ac:dyDescent="0.2">
      <c r="B102" s="1108" t="s">
        <v>240</v>
      </c>
      <c r="C102" s="2132">
        <v>3256.96</v>
      </c>
      <c r="D102" s="1109">
        <f t="shared" si="4"/>
        <v>1.344075456867754</v>
      </c>
      <c r="E102" s="1352"/>
      <c r="F102" s="1352"/>
      <c r="G102" s="2132">
        <v>3256.96</v>
      </c>
    </row>
    <row r="103" spans="2:24" x14ac:dyDescent="0.2">
      <c r="B103" s="1108" t="s">
        <v>1634</v>
      </c>
      <c r="C103" s="2132">
        <v>3614.44</v>
      </c>
      <c r="D103" s="1109">
        <f t="shared" si="4"/>
        <v>1.2111419749670767</v>
      </c>
      <c r="E103" s="1352"/>
      <c r="F103" s="1352"/>
      <c r="G103" s="2132">
        <v>3614.44</v>
      </c>
    </row>
    <row r="104" spans="2:24" x14ac:dyDescent="0.2">
      <c r="B104" s="1108" t="s">
        <v>1635</v>
      </c>
      <c r="C104" s="2132">
        <v>3448.54</v>
      </c>
      <c r="D104" s="1109">
        <f t="shared" si="4"/>
        <v>1.2694067634419204</v>
      </c>
      <c r="E104" s="1352"/>
      <c r="F104" s="1352"/>
      <c r="G104" s="2132">
        <v>3448.54</v>
      </c>
    </row>
    <row r="105" spans="2:24" x14ac:dyDescent="0.2">
      <c r="B105" s="1108" t="s">
        <v>241</v>
      </c>
      <c r="C105" s="2132">
        <v>4377.6000000000004</v>
      </c>
      <c r="D105" s="1109">
        <f t="shared" si="4"/>
        <v>1</v>
      </c>
      <c r="E105" s="1352"/>
      <c r="F105" s="1352"/>
      <c r="G105" s="2132">
        <v>4377.6000000000004</v>
      </c>
    </row>
    <row r="106" spans="2:24" s="1713" customFormat="1" x14ac:dyDescent="0.2">
      <c r="B106" s="1714">
        <v>2011</v>
      </c>
      <c r="C106" s="1715">
        <v>4485.59</v>
      </c>
      <c r="D106" s="1716">
        <f t="shared" si="4"/>
        <v>0.97592512913574359</v>
      </c>
      <c r="G106" s="1715">
        <v>4485.59</v>
      </c>
    </row>
    <row r="107" spans="2:24" x14ac:dyDescent="0.2">
      <c r="B107" s="2370"/>
      <c r="C107" s="2370"/>
      <c r="D107" s="2370"/>
      <c r="E107" s="1352"/>
      <c r="F107" s="1352"/>
    </row>
    <row r="108" spans="2:24" x14ac:dyDescent="0.2">
      <c r="B108" s="2370" t="s">
        <v>2135</v>
      </c>
      <c r="C108" s="2370"/>
      <c r="D108" s="2370"/>
      <c r="E108" s="1352"/>
      <c r="F108" s="1352"/>
    </row>
  </sheetData>
  <mergeCells count="6">
    <mergeCell ref="T22:U22"/>
    <mergeCell ref="N21:O21"/>
    <mergeCell ref="P21:Q21"/>
    <mergeCell ref="N22:O22"/>
    <mergeCell ref="P22:Q22"/>
    <mergeCell ref="R22:S22"/>
  </mergeCells>
  <dataValidations disablePrompts="1" count="1">
    <dataValidation type="list" allowBlank="1" showInputMessage="1" showErrorMessage="1" sqref="I4 L4">
      <formula1>Conversions.Energy.Units</formula1>
    </dataValidation>
  </dataValidations>
  <pageMargins left="0.7" right="0.7" top="0.75" bottom="0.75" header="0.3" footer="0.3"/>
  <pageSetup paperSize="9" orientation="portrait" horizontalDpi="4294967292" verticalDpi="429496729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>
    <tabColor theme="7" tint="0.39997558519241921"/>
    <pageSetUpPr autoPageBreaks="0"/>
  </sheetPr>
  <dimension ref="A1:W87"/>
  <sheetViews>
    <sheetView windowProtection="1" workbookViewId="0">
      <selection activeCell="C7" sqref="C7"/>
    </sheetView>
  </sheetViews>
  <sheetFormatPr defaultColWidth="8.7109375" defaultRowHeight="12.75" x14ac:dyDescent="0.2"/>
  <cols>
    <col min="1" max="1" width="4.42578125" customWidth="1"/>
    <col min="2" max="2" width="27.28515625" customWidth="1"/>
    <col min="3" max="3" width="27.42578125" customWidth="1"/>
    <col min="4" max="4" width="13.7109375" customWidth="1"/>
    <col min="5" max="5" width="18.7109375" customWidth="1"/>
    <col min="6" max="6" width="16.7109375" customWidth="1"/>
    <col min="7" max="7" width="11.42578125" style="1511" customWidth="1"/>
    <col min="8" max="8" width="10.28515625" customWidth="1"/>
    <col min="9" max="9" width="9.42578125" customWidth="1"/>
  </cols>
  <sheetData>
    <row r="1" spans="1:23" s="38" customFormat="1" x14ac:dyDescent="0.2">
      <c r="B1" s="1614" t="s">
        <v>1784</v>
      </c>
      <c r="G1" s="1511"/>
    </row>
    <row r="2" spans="1:23" s="1614" customFormat="1" x14ac:dyDescent="0.2"/>
    <row r="3" spans="1:23" s="38" customFormat="1" ht="18.75" x14ac:dyDescent="0.3">
      <c r="B3" s="25" t="s">
        <v>335</v>
      </c>
      <c r="G3" s="1511"/>
    </row>
    <row r="5" spans="1:23" ht="22.5" customHeight="1" x14ac:dyDescent="0.2">
      <c r="B5" s="165" t="s">
        <v>262</v>
      </c>
      <c r="C5" s="165" t="s">
        <v>333</v>
      </c>
      <c r="D5" s="165" t="s">
        <v>334</v>
      </c>
      <c r="E5" s="165" t="s">
        <v>337</v>
      </c>
      <c r="F5" s="84" t="s">
        <v>1649</v>
      </c>
      <c r="G5" s="84" t="s">
        <v>1682</v>
      </c>
      <c r="I5" s="82" t="s">
        <v>340</v>
      </c>
    </row>
    <row r="6" spans="1:23" ht="15.75" x14ac:dyDescent="0.25">
      <c r="A6" s="3"/>
      <c r="B6" s="84">
        <v>2007</v>
      </c>
      <c r="C6" s="166">
        <v>144925607</v>
      </c>
      <c r="D6" s="166">
        <f>Global.Assumptions[[#This Row],[Population]]/5.2</f>
        <v>27870309.038461536</v>
      </c>
      <c r="E6" s="166">
        <v>634251.1</v>
      </c>
      <c r="F6" s="166">
        <f>Global.Assumptions[[#This Row],[GDP (2005 £m)]]*MGBP*Price2005</f>
        <v>266958603387535.97</v>
      </c>
      <c r="G6" s="115">
        <f>Global.Assumptions[[#This Row],[GDP (£2010)]]/Global.Assumptions[[#This Row],[Population]]</f>
        <v>1842038.8840430109</v>
      </c>
      <c r="I6" s="82"/>
      <c r="J6" s="38"/>
    </row>
    <row r="7" spans="1:23" ht="15.75" x14ac:dyDescent="0.25">
      <c r="A7" s="3"/>
      <c r="B7" s="84">
        <v>2010</v>
      </c>
      <c r="C7" s="166">
        <f>C6*(1.025)^3</f>
        <v>156069027.50073436</v>
      </c>
      <c r="D7" s="166">
        <f>Global.Assumptions[[#This Row],[Population]]/5.3</f>
        <v>29446986.320893276</v>
      </c>
      <c r="E7" s="166">
        <f>E6*(1.02)^3</f>
        <v>673072.34132879996</v>
      </c>
      <c r="F7" s="166">
        <f>Global.Assumptions[[#This Row],[GDP (2005 £m)]]*MGBP*Price2005</f>
        <v>283298605583680.25</v>
      </c>
      <c r="G7" s="115">
        <f>Global.Assumptions[[#This Row],[GDP (£2010)]]/Global.Assumptions[[#This Row],[Population]]</f>
        <v>1815213.4995673453</v>
      </c>
      <c r="I7" s="17" t="s">
        <v>339</v>
      </c>
      <c r="J7" s="2370" t="s">
        <v>2136</v>
      </c>
      <c r="K7" s="1245"/>
      <c r="L7" s="1245"/>
      <c r="M7" s="1245"/>
      <c r="N7" s="1245"/>
      <c r="O7" s="1245"/>
      <c r="P7" s="1245"/>
      <c r="Q7" s="1245"/>
      <c r="R7" s="1245"/>
      <c r="S7" s="2370"/>
      <c r="T7" s="2370"/>
      <c r="U7" s="2370"/>
      <c r="V7" s="2370"/>
      <c r="W7" s="2370"/>
    </row>
    <row r="8" spans="1:23" ht="15.75" x14ac:dyDescent="0.25">
      <c r="A8" s="3"/>
      <c r="B8" s="84">
        <v>2015</v>
      </c>
      <c r="C8" s="166">
        <f>C7*(1.025)^5</f>
        <v>176577779.49218363</v>
      </c>
      <c r="D8" s="166">
        <f>Global.Assumptions[[#This Row],[Population]]/5.6</f>
        <v>31531746.337889936</v>
      </c>
      <c r="E8" s="166">
        <f>E7*(1.02)^5</f>
        <v>743126.25122600608</v>
      </c>
      <c r="F8" s="166">
        <f>Global.Assumptions[[#This Row],[GDP (2005 £m)]]*MGBP*Price2005</f>
        <v>312784551998269.75</v>
      </c>
      <c r="G8" s="115">
        <f>Global.Assumptions[[#This Row],[GDP (£2010)]]/Global.Assumptions[[#This Row],[Population]]</f>
        <v>1771369.8342894579</v>
      </c>
      <c r="I8" s="17"/>
      <c r="J8" s="17" t="s">
        <v>2137</v>
      </c>
      <c r="K8" s="2370"/>
      <c r="L8" s="2370"/>
      <c r="M8" s="2370"/>
      <c r="N8" s="615"/>
      <c r="O8" s="2370"/>
      <c r="P8" s="2370"/>
      <c r="Q8" s="2370"/>
      <c r="R8" s="2370"/>
      <c r="S8" s="2370"/>
      <c r="T8" s="2370"/>
      <c r="U8" s="2370"/>
      <c r="V8" s="2370"/>
      <c r="W8" s="2370"/>
    </row>
    <row r="9" spans="1:23" ht="15.75" x14ac:dyDescent="0.25">
      <c r="A9" s="3"/>
      <c r="B9" s="84">
        <v>2020</v>
      </c>
      <c r="C9" s="166">
        <f>C8*(1.025)^5</f>
        <v>199781549.93144625</v>
      </c>
      <c r="D9" s="166">
        <f>Global.Assumptions[[#This Row],[Population]]/5.4</f>
        <v>36996583.320638195</v>
      </c>
      <c r="E9" s="166">
        <f t="shared" ref="E9:E14" si="0">E8*(1.02)^5</f>
        <v>820471.42833261378</v>
      </c>
      <c r="F9" s="166">
        <f>Global.Assumptions[[#This Row],[GDP (2005 £m)]]*MGBP*Price2005</f>
        <v>345339419398801.81</v>
      </c>
      <c r="G9" s="115">
        <f>Global.Assumptions[[#This Row],[GDP (£2010)]]/Global.Assumptions[[#This Row],[Population]]</f>
        <v>1728585.1447108244</v>
      </c>
      <c r="I9" s="1426" t="s">
        <v>338</v>
      </c>
      <c r="J9" s="2370" t="s">
        <v>2138</v>
      </c>
      <c r="K9" s="2370"/>
      <c r="L9" s="2370"/>
      <c r="M9" s="2370"/>
      <c r="N9" s="615"/>
      <c r="O9" s="2370"/>
      <c r="P9" s="2370"/>
      <c r="Q9" s="2370"/>
      <c r="R9" s="2370"/>
      <c r="S9" s="2370"/>
      <c r="T9" s="2370"/>
      <c r="U9" s="2370"/>
      <c r="V9" s="2370"/>
      <c r="W9" s="2370"/>
    </row>
    <row r="10" spans="1:23" ht="15.75" x14ac:dyDescent="0.25">
      <c r="A10" s="3"/>
      <c r="B10" s="84">
        <v>2025</v>
      </c>
      <c r="C10" s="166">
        <f>C9*(1.025)^5</f>
        <v>226034486.37645671</v>
      </c>
      <c r="D10" s="166">
        <f>Global.Assumptions[[#This Row],[Population]]/5.2</f>
        <v>43468170.457010902</v>
      </c>
      <c r="E10" s="166">
        <f t="shared" si="0"/>
        <v>905866.75359612342</v>
      </c>
      <c r="F10" s="166">
        <f>Global.Assumptions[[#This Row],[GDP (2005 £m)]]*MGBP*Price2005</f>
        <v>381282623546450.75</v>
      </c>
      <c r="G10" s="115">
        <f>Global.Assumptions[[#This Row],[GDP (£2010)]]/Global.Assumptions[[#This Row],[Population]]</f>
        <v>1686833.852916722</v>
      </c>
      <c r="I10" s="1426"/>
      <c r="J10" s="2370" t="s">
        <v>2139</v>
      </c>
      <c r="K10" s="2370"/>
      <c r="L10" s="2370"/>
      <c r="M10" s="2370"/>
      <c r="N10" s="615"/>
      <c r="O10" s="2370"/>
      <c r="P10" s="2370"/>
      <c r="Q10" s="2370"/>
      <c r="R10" s="2370"/>
      <c r="S10" s="2370"/>
      <c r="T10" s="2370"/>
      <c r="U10" s="2370"/>
      <c r="V10" s="2370"/>
      <c r="W10" s="2370"/>
    </row>
    <row r="11" spans="1:23" ht="15.75" x14ac:dyDescent="0.25">
      <c r="A11" s="3"/>
      <c r="B11" s="84">
        <v>2030</v>
      </c>
      <c r="C11" s="166">
        <f>C10*(1.025)^5</f>
        <v>255737274.28283712</v>
      </c>
      <c r="D11" s="166">
        <f>Global.Assumptions[[#This Row],[Population]]/5.2</f>
        <v>49180245.054391749</v>
      </c>
      <c r="E11" s="166">
        <f t="shared" si="0"/>
        <v>1000150.0929025845</v>
      </c>
      <c r="F11" s="166">
        <f>Global.Assumptions[[#This Row],[GDP (2005 £m)]]*MGBP*Price2005</f>
        <v>420966825251368.62</v>
      </c>
      <c r="G11" s="115">
        <f>Global.Assumptions[[#This Row],[GDP (£2010)]]/Global.Assumptions[[#This Row],[Population]]</f>
        <v>1646090.9987872671</v>
      </c>
      <c r="I11" s="1426"/>
      <c r="J11" s="2370" t="s">
        <v>344</v>
      </c>
      <c r="K11" s="2370"/>
      <c r="L11" s="2370"/>
      <c r="M11" s="2370"/>
      <c r="N11" s="615"/>
      <c r="O11" s="2370"/>
      <c r="P11" s="2370"/>
      <c r="Q11" s="2370"/>
      <c r="R11" s="2370"/>
      <c r="S11" s="2370"/>
      <c r="T11" s="2370"/>
      <c r="U11" s="2370"/>
      <c r="V11" s="2370"/>
      <c r="W11" s="2370"/>
    </row>
    <row r="12" spans="1:23" ht="15.75" x14ac:dyDescent="0.25">
      <c r="A12" s="3"/>
      <c r="B12" s="84">
        <v>2035</v>
      </c>
      <c r="C12" s="166">
        <f>C11*(1.025)^5</f>
        <v>289343252.46586424</v>
      </c>
      <c r="D12" s="166">
        <f>Global.Assumptions[[#This Row],[Population]]/5</f>
        <v>57868650.493172847</v>
      </c>
      <c r="E12" s="166">
        <f t="shared" si="0"/>
        <v>1104246.5178924401</v>
      </c>
      <c r="F12" s="166">
        <f>Global.Assumptions[[#This Row],[GDP (2005 £m)]]*MGBP*Price2005</f>
        <v>464781390544085.12</v>
      </c>
      <c r="G12" s="115">
        <f>Global.Assumptions[[#This Row],[GDP (£2010)]]/Global.Assumptions[[#This Row],[Population]]</f>
        <v>1606332.225075539</v>
      </c>
      <c r="I12" s="1426"/>
      <c r="J12" s="2370"/>
      <c r="K12" s="2370"/>
      <c r="L12" s="2370"/>
      <c r="M12" s="2370"/>
      <c r="N12" s="615"/>
      <c r="O12" s="2370"/>
      <c r="P12" s="2370"/>
      <c r="Q12" s="2370"/>
      <c r="R12" s="2370"/>
      <c r="S12" s="2370"/>
      <c r="T12" s="2370"/>
      <c r="U12" s="2370"/>
      <c r="V12" s="2370"/>
      <c r="W12" s="2370"/>
    </row>
    <row r="13" spans="1:23" ht="15.75" x14ac:dyDescent="0.25">
      <c r="A13" s="3"/>
      <c r="B13" s="84">
        <v>2040</v>
      </c>
      <c r="C13" s="166">
        <f>C12*(1.02)^5</f>
        <v>319458330.58301181</v>
      </c>
      <c r="D13" s="166">
        <f>Global.Assumptions[[#This Row],[Population]]/5</f>
        <v>63891666.116602361</v>
      </c>
      <c r="E13" s="166">
        <f t="shared" si="0"/>
        <v>1219177.3824054885</v>
      </c>
      <c r="F13" s="166">
        <f>Global.Assumptions[[#This Row],[GDP (2005 £m)]]*MGBP*Price2005</f>
        <v>513156210984326.37</v>
      </c>
      <c r="G13" s="115">
        <f>Global.Assumptions[[#This Row],[GDP (£2010)]]/Global.Assumptions[[#This Row],[Population]]</f>
        <v>1606332.2250755387</v>
      </c>
      <c r="I13" s="1426" t="s">
        <v>336</v>
      </c>
      <c r="J13" s="538" t="s">
        <v>2140</v>
      </c>
      <c r="K13" s="2370"/>
      <c r="L13" s="2370"/>
      <c r="M13" s="2370"/>
      <c r="N13" s="615"/>
      <c r="O13" s="2370"/>
      <c r="P13" s="2370"/>
      <c r="Q13" s="2370"/>
      <c r="R13" s="2370"/>
      <c r="S13" s="2370"/>
      <c r="T13" s="2370"/>
      <c r="U13" s="2370"/>
      <c r="V13" s="2370"/>
      <c r="W13" s="2370"/>
    </row>
    <row r="14" spans="1:23" ht="15.75" x14ac:dyDescent="0.25">
      <c r="A14" s="3"/>
      <c r="B14" s="84">
        <v>2045</v>
      </c>
      <c r="C14" s="166">
        <f>C13*(1.02)^5</f>
        <v>352707810.21902281</v>
      </c>
      <c r="D14" s="166">
        <f>Global.Assumptions[[#This Row],[Population]]/5</f>
        <v>70541562.043804556</v>
      </c>
      <c r="E14" s="166">
        <f t="shared" si="0"/>
        <v>1346070.3436095254</v>
      </c>
      <c r="F14" s="166">
        <f>Global.Assumptions[[#This Row],[GDP (2005 £m)]]*MGBP*Price2005</f>
        <v>566565921590643.75</v>
      </c>
      <c r="G14" s="115">
        <f>Global.Assumptions[[#This Row],[GDP (£2010)]]/Global.Assumptions[[#This Row],[Population]]</f>
        <v>1606332.2250755387</v>
      </c>
      <c r="I14" s="1426"/>
      <c r="J14" s="2370" t="s">
        <v>2141</v>
      </c>
      <c r="K14" s="2370"/>
      <c r="L14" s="2370"/>
      <c r="M14" s="2370"/>
      <c r="N14" s="615"/>
      <c r="O14" s="2370"/>
      <c r="P14" s="2370"/>
      <c r="Q14" s="2370"/>
      <c r="R14" s="2370"/>
      <c r="S14" s="2370"/>
      <c r="T14" s="2370"/>
      <c r="U14" s="2370"/>
      <c r="V14" s="2370"/>
      <c r="W14" s="2370"/>
    </row>
    <row r="15" spans="1:23" x14ac:dyDescent="0.2">
      <c r="B15" s="84">
        <v>2050</v>
      </c>
      <c r="C15" s="166">
        <f>C14*(1.02)^5</f>
        <v>389417922.40153188</v>
      </c>
      <c r="D15" s="166">
        <f>Global.Assumptions[[#This Row],[Population]]/5</f>
        <v>77883584.480306372</v>
      </c>
      <c r="E15" s="166">
        <f>E14*(1.02)^5</f>
        <v>1486170.4261361049</v>
      </c>
      <c r="F15" s="166">
        <f>Global.Assumptions[[#This Row],[GDP (2005 £m)]]*MGBP*Price2005</f>
        <v>625534557775546.12</v>
      </c>
      <c r="G15" s="115">
        <f>Global.Assumptions[[#This Row],[GDP (£2010)]]/Global.Assumptions[[#This Row],[Population]]</f>
        <v>1606332.2250755385</v>
      </c>
      <c r="I15" s="1426" t="s">
        <v>577</v>
      </c>
      <c r="J15" s="2370" t="s">
        <v>578</v>
      </c>
      <c r="K15" s="2370"/>
      <c r="L15" s="2370"/>
      <c r="M15" s="2370"/>
      <c r="N15" s="615"/>
      <c r="O15" s="2370"/>
      <c r="P15" s="2370"/>
      <c r="Q15" s="2370"/>
      <c r="R15" s="2370"/>
      <c r="S15" s="2370"/>
      <c r="T15" s="2370"/>
      <c r="U15" s="2370"/>
      <c r="V15" s="2370"/>
      <c r="W15" s="2370"/>
    </row>
    <row r="16" spans="1:23" x14ac:dyDescent="0.2">
      <c r="B16" s="26"/>
      <c r="C16" s="2707">
        <f>SUBTOTAL(101,Global.Assumptions[Population])</f>
        <v>251005304.02530885</v>
      </c>
      <c r="D16" s="2707"/>
      <c r="E16" s="26"/>
      <c r="F16" s="2707"/>
      <c r="G16" s="118"/>
    </row>
    <row r="17" spans="1:16" ht="18.75" x14ac:dyDescent="0.3">
      <c r="B17" s="25" t="s">
        <v>315</v>
      </c>
      <c r="C17" s="38"/>
      <c r="D17" s="38"/>
      <c r="G17" s="1511">
        <f>AVERAGE(Global.Assumptions[GDP per Capita (£2010)])</f>
        <v>1691546.1114616781</v>
      </c>
    </row>
    <row r="18" spans="1:16" ht="4.5" customHeight="1" x14ac:dyDescent="0.2"/>
    <row r="19" spans="1:16" x14ac:dyDescent="0.2">
      <c r="B19" s="579" t="s">
        <v>573</v>
      </c>
      <c r="C19" s="579" t="s">
        <v>574</v>
      </c>
      <c r="D19" s="579" t="s">
        <v>575</v>
      </c>
    </row>
    <row r="20" spans="1:16" ht="15" x14ac:dyDescent="0.2">
      <c r="B20" s="166" t="s">
        <v>2142</v>
      </c>
      <c r="C20" s="368" t="s">
        <v>576</v>
      </c>
      <c r="D20">
        <v>875</v>
      </c>
      <c r="M20" s="2099"/>
      <c r="N20" s="2099"/>
    </row>
    <row r="21" spans="1:16" ht="15" x14ac:dyDescent="0.2">
      <c r="B21" s="1022" t="s">
        <v>2143</v>
      </c>
      <c r="C21" s="1721" t="s">
        <v>576</v>
      </c>
      <c r="D21" s="580">
        <v>963</v>
      </c>
    </row>
    <row r="24" spans="1:16" ht="18.75" x14ac:dyDescent="0.3">
      <c r="A24" s="1352"/>
      <c r="B24" s="25" t="s">
        <v>1399</v>
      </c>
      <c r="C24" s="1352"/>
      <c r="D24" s="1352"/>
      <c r="E24" s="1352"/>
      <c r="F24" s="1352"/>
      <c r="G24" s="1352"/>
      <c r="H24" s="1352"/>
      <c r="I24" s="1352"/>
      <c r="J24" s="1352"/>
      <c r="K24" s="1352"/>
      <c r="L24" s="1352"/>
    </row>
    <row r="25" spans="1:16" ht="6" customHeight="1" x14ac:dyDescent="0.2">
      <c r="A25" s="1352"/>
      <c r="B25" s="1352"/>
      <c r="C25" s="1352"/>
      <c r="D25" s="1352"/>
      <c r="E25" s="1352"/>
      <c r="F25" s="1352"/>
      <c r="G25" s="1352"/>
      <c r="H25" s="1352"/>
      <c r="I25" s="1352"/>
      <c r="J25" s="1352"/>
      <c r="K25" s="1352"/>
      <c r="L25" s="1352"/>
    </row>
    <row r="26" spans="1:16" ht="15" x14ac:dyDescent="0.25">
      <c r="A26" s="1352"/>
      <c r="B26" s="1106" t="s">
        <v>262</v>
      </c>
      <c r="C26" s="1067">
        <v>2010</v>
      </c>
      <c r="D26" s="1067">
        <v>2015</v>
      </c>
      <c r="E26" s="1067">
        <v>2020</v>
      </c>
      <c r="F26" s="1067">
        <v>2025</v>
      </c>
      <c r="G26" s="1067">
        <v>2030</v>
      </c>
      <c r="H26" s="1067">
        <v>2035</v>
      </c>
      <c r="I26" s="1067">
        <v>2040</v>
      </c>
      <c r="J26" s="1067">
        <v>2045</v>
      </c>
      <c r="K26" s="1067">
        <v>2050</v>
      </c>
      <c r="L26" s="1108"/>
      <c r="M26" s="2370" t="s">
        <v>2144</v>
      </c>
      <c r="N26" s="2406"/>
      <c r="O26" s="2370"/>
      <c r="P26" s="2370"/>
    </row>
    <row r="27" spans="1:16" x14ac:dyDescent="0.2">
      <c r="A27" s="1494"/>
      <c r="B27" s="1722" t="s">
        <v>1638</v>
      </c>
      <c r="C27" s="1723">
        <v>0.1</v>
      </c>
      <c r="D27" s="1724">
        <f t="shared" ref="D27:I27" si="1">Discount_rate</f>
        <v>0.1</v>
      </c>
      <c r="E27" s="1724">
        <f t="shared" si="1"/>
        <v>0.1</v>
      </c>
      <c r="F27" s="1724">
        <f t="shared" si="1"/>
        <v>0.1</v>
      </c>
      <c r="G27" s="1724">
        <f t="shared" si="1"/>
        <v>0.1</v>
      </c>
      <c r="H27" s="1724">
        <f t="shared" si="1"/>
        <v>0.1</v>
      </c>
      <c r="I27" s="1724">
        <f t="shared" si="1"/>
        <v>0.1</v>
      </c>
      <c r="J27" s="1725">
        <v>0.03</v>
      </c>
      <c r="K27" s="1725">
        <v>0.03</v>
      </c>
      <c r="L27" s="1108"/>
      <c r="M27" s="1427" t="s">
        <v>1434</v>
      </c>
      <c r="N27" s="2370" t="s">
        <v>2145</v>
      </c>
      <c r="O27" s="2370"/>
      <c r="P27" s="2370"/>
    </row>
    <row r="28" spans="1:16" x14ac:dyDescent="0.2">
      <c r="A28" s="1494"/>
      <c r="B28" s="1110" t="s">
        <v>1400</v>
      </c>
      <c r="C28" s="1492">
        <v>1</v>
      </c>
      <c r="D28" s="1492">
        <f t="shared" ref="D28:K28" si="2">C28/((1+D27)^5)</f>
        <v>0.62092132305915493</v>
      </c>
      <c r="E28" s="1492">
        <f t="shared" si="2"/>
        <v>0.38554328942953148</v>
      </c>
      <c r="F28" s="1492">
        <f t="shared" si="2"/>
        <v>0.23939204936916339</v>
      </c>
      <c r="G28" s="1492">
        <f t="shared" si="2"/>
        <v>0.14864362802414346</v>
      </c>
      <c r="H28" s="1492">
        <f t="shared" si="2"/>
        <v>9.2295998177064048E-2</v>
      </c>
      <c r="I28" s="1492">
        <f t="shared" si="2"/>
        <v>5.7308553301167964E-2</v>
      </c>
      <c r="J28" s="1492">
        <f t="shared" si="2"/>
        <v>4.9434861497935571E-2</v>
      </c>
      <c r="K28" s="1492">
        <f t="shared" si="2"/>
        <v>4.2642945782933719E-2</v>
      </c>
      <c r="L28" s="1108"/>
    </row>
    <row r="31" spans="1:16" ht="18.75" x14ac:dyDescent="0.3">
      <c r="B31" s="25" t="s">
        <v>1637</v>
      </c>
      <c r="C31" s="1034"/>
      <c r="D31" s="2748" t="s">
        <v>893</v>
      </c>
      <c r="E31" s="2748"/>
      <c r="F31" s="2748" t="s">
        <v>1955</v>
      </c>
      <c r="G31" s="2748"/>
      <c r="H31" s="2748" t="s">
        <v>894</v>
      </c>
      <c r="I31" s="2748"/>
    </row>
    <row r="32" spans="1:16" ht="6" customHeight="1" x14ac:dyDescent="0.2">
      <c r="B32" s="1352"/>
      <c r="C32" s="1034"/>
      <c r="D32" s="2748"/>
      <c r="E32" s="2748"/>
    </row>
    <row r="33" spans="2:11" x14ac:dyDescent="0.2">
      <c r="B33" s="2272" t="s">
        <v>117</v>
      </c>
      <c r="C33" s="2273"/>
      <c r="D33" s="2274" t="s">
        <v>1614</v>
      </c>
      <c r="E33" s="2275" t="s">
        <v>1472</v>
      </c>
      <c r="F33" s="2274" t="s">
        <v>1614</v>
      </c>
      <c r="G33" s="2275" t="s">
        <v>1472</v>
      </c>
      <c r="H33" s="2274" t="s">
        <v>1614</v>
      </c>
      <c r="I33" s="2275" t="s">
        <v>1472</v>
      </c>
    </row>
    <row r="34" spans="2:11" x14ac:dyDescent="0.2">
      <c r="B34" s="1108"/>
      <c r="C34" s="36"/>
      <c r="D34" s="1106"/>
      <c r="E34" s="1107"/>
      <c r="F34" s="1106"/>
      <c r="G34" s="1107"/>
      <c r="H34" s="1106"/>
      <c r="I34" s="1107"/>
      <c r="K34" s="2127" t="s">
        <v>213</v>
      </c>
    </row>
    <row r="35" spans="2:11" x14ac:dyDescent="0.2">
      <c r="B35" s="1108"/>
      <c r="C35" s="142" t="s">
        <v>1735</v>
      </c>
      <c r="D35" s="2131">
        <v>0</v>
      </c>
      <c r="E35" s="1109">
        <v>5</v>
      </c>
      <c r="F35" s="2131">
        <v>7.0000000000000007E-2</v>
      </c>
      <c r="G35" s="1109">
        <v>15</v>
      </c>
      <c r="H35" s="2131">
        <v>0.1</v>
      </c>
      <c r="I35" s="1109">
        <v>15</v>
      </c>
      <c r="K35" s="2127" t="s">
        <v>1958</v>
      </c>
    </row>
    <row r="36" spans="2:11" x14ac:dyDescent="0.2">
      <c r="B36" s="1108"/>
      <c r="C36" s="2132"/>
      <c r="D36" s="2131"/>
      <c r="E36" s="1109"/>
      <c r="F36" s="2131"/>
      <c r="G36" s="1109"/>
      <c r="H36" s="2131"/>
      <c r="I36" s="1109"/>
    </row>
    <row r="37" spans="2:11" x14ac:dyDescent="0.2">
      <c r="B37" s="1722" t="s">
        <v>288</v>
      </c>
      <c r="C37" s="1510" t="s">
        <v>1218</v>
      </c>
      <c r="D37" s="2278">
        <v>0</v>
      </c>
      <c r="E37" s="2279">
        <v>20</v>
      </c>
      <c r="F37" s="2278">
        <v>7.0000000000000007E-2</v>
      </c>
      <c r="G37" s="2279">
        <v>20</v>
      </c>
      <c r="H37" s="2278">
        <v>0.1</v>
      </c>
      <c r="I37" s="2279">
        <v>20</v>
      </c>
    </row>
    <row r="38" spans="2:11" x14ac:dyDescent="0.2">
      <c r="B38" s="1722" t="s">
        <v>352</v>
      </c>
      <c r="C38" s="1510" t="s">
        <v>828</v>
      </c>
      <c r="D38" s="2278">
        <v>0</v>
      </c>
      <c r="E38" s="2279">
        <v>30</v>
      </c>
      <c r="F38" s="2278">
        <v>7.0000000000000007E-2</v>
      </c>
      <c r="G38" s="2279">
        <v>30</v>
      </c>
      <c r="H38" s="2278">
        <v>0.1</v>
      </c>
      <c r="I38" s="2279">
        <v>30</v>
      </c>
    </row>
    <row r="39" spans="2:11" x14ac:dyDescent="0.2">
      <c r="B39" s="1722" t="s">
        <v>297</v>
      </c>
      <c r="C39" s="1510" t="s">
        <v>796</v>
      </c>
      <c r="D39" s="2278">
        <v>0</v>
      </c>
      <c r="E39" s="2279">
        <v>30</v>
      </c>
      <c r="F39" s="2278">
        <v>7.0000000000000007E-2</v>
      </c>
      <c r="G39" s="2279">
        <v>30</v>
      </c>
      <c r="H39" s="2278">
        <v>0.1</v>
      </c>
      <c r="I39" s="2279">
        <v>30</v>
      </c>
    </row>
    <row r="40" spans="2:11" x14ac:dyDescent="0.2">
      <c r="B40" s="1722" t="s">
        <v>864</v>
      </c>
      <c r="C40" s="1510" t="s">
        <v>354</v>
      </c>
      <c r="D40" s="2278">
        <v>0</v>
      </c>
      <c r="E40" s="2279">
        <v>20</v>
      </c>
      <c r="F40" s="2278">
        <v>7.0000000000000007E-2</v>
      </c>
      <c r="G40" s="2279">
        <v>20</v>
      </c>
      <c r="H40" s="2278">
        <v>0.1</v>
      </c>
      <c r="I40" s="2279">
        <v>20</v>
      </c>
    </row>
    <row r="41" spans="2:11" x14ac:dyDescent="0.2">
      <c r="B41" s="1722" t="s">
        <v>865</v>
      </c>
      <c r="C41" s="1510" t="s">
        <v>355</v>
      </c>
      <c r="D41" s="2278">
        <v>0</v>
      </c>
      <c r="E41" s="2279">
        <v>20</v>
      </c>
      <c r="F41" s="2278">
        <v>7.0000000000000007E-2</v>
      </c>
      <c r="G41" s="2279">
        <v>20</v>
      </c>
      <c r="H41" s="2278">
        <v>0.1</v>
      </c>
      <c r="I41" s="2279">
        <v>20</v>
      </c>
    </row>
    <row r="42" spans="2:11" x14ac:dyDescent="0.2">
      <c r="B42" s="1722" t="s">
        <v>325</v>
      </c>
      <c r="C42" s="1510" t="s">
        <v>56</v>
      </c>
      <c r="D42" s="2278">
        <v>0</v>
      </c>
      <c r="E42" s="2279">
        <v>30</v>
      </c>
      <c r="F42" s="2278">
        <v>7.0000000000000007E-2</v>
      </c>
      <c r="G42" s="2279">
        <v>30</v>
      </c>
      <c r="H42" s="2278">
        <v>0.1</v>
      </c>
      <c r="I42" s="2279">
        <v>30</v>
      </c>
    </row>
    <row r="43" spans="2:11" x14ac:dyDescent="0.2">
      <c r="B43" s="1722" t="s">
        <v>330</v>
      </c>
      <c r="C43" s="1510" t="s">
        <v>1179</v>
      </c>
      <c r="D43" s="2278">
        <v>0</v>
      </c>
      <c r="E43" s="2279">
        <v>30</v>
      </c>
      <c r="F43" s="2278">
        <v>7.0000000000000007E-2</v>
      </c>
      <c r="G43" s="2279">
        <v>30</v>
      </c>
      <c r="H43" s="2278">
        <v>0.1</v>
      </c>
      <c r="I43" s="2279">
        <v>30</v>
      </c>
    </row>
    <row r="44" spans="2:11" x14ac:dyDescent="0.2">
      <c r="B44" s="1722" t="s">
        <v>331</v>
      </c>
      <c r="C44" s="1510" t="s">
        <v>2</v>
      </c>
      <c r="D44" s="2278">
        <v>0</v>
      </c>
      <c r="E44" s="2279">
        <v>25</v>
      </c>
      <c r="F44" s="2278">
        <v>7.0000000000000007E-2</v>
      </c>
      <c r="G44" s="2279">
        <v>25</v>
      </c>
      <c r="H44" s="2278">
        <v>0.1</v>
      </c>
      <c r="I44" s="2279">
        <v>25</v>
      </c>
    </row>
    <row r="45" spans="2:11" x14ac:dyDescent="0.2">
      <c r="B45" s="1722" t="s">
        <v>409</v>
      </c>
      <c r="C45" s="1510" t="s">
        <v>793</v>
      </c>
      <c r="D45" s="2278">
        <v>0</v>
      </c>
      <c r="E45" s="2279">
        <v>25</v>
      </c>
      <c r="F45" s="2278">
        <v>7.0000000000000007E-2</v>
      </c>
      <c r="G45" s="2279">
        <v>25</v>
      </c>
      <c r="H45" s="2278">
        <v>0.1</v>
      </c>
      <c r="I45" s="2279">
        <v>25</v>
      </c>
    </row>
    <row r="46" spans="2:11" x14ac:dyDescent="0.2">
      <c r="B46" s="1722" t="s">
        <v>586</v>
      </c>
      <c r="C46" s="1510" t="s">
        <v>794</v>
      </c>
      <c r="D46" s="2278">
        <v>0</v>
      </c>
      <c r="E46" s="2279">
        <v>20</v>
      </c>
      <c r="F46" s="2278">
        <v>7.0000000000000007E-2</v>
      </c>
      <c r="G46" s="2279">
        <v>20</v>
      </c>
      <c r="H46" s="2278">
        <v>0.1</v>
      </c>
      <c r="I46" s="2279">
        <v>20</v>
      </c>
    </row>
    <row r="47" spans="2:11" x14ac:dyDescent="0.2">
      <c r="B47" s="1722" t="s">
        <v>791</v>
      </c>
      <c r="C47" s="1510" t="s">
        <v>795</v>
      </c>
      <c r="D47" s="2278">
        <v>0</v>
      </c>
      <c r="E47" s="2279">
        <v>25</v>
      </c>
      <c r="F47" s="2278">
        <v>7.0000000000000007E-2</v>
      </c>
      <c r="G47" s="2279">
        <v>25</v>
      </c>
      <c r="H47" s="2278">
        <v>0.1</v>
      </c>
      <c r="I47" s="2279">
        <v>25</v>
      </c>
    </row>
    <row r="48" spans="2:11" x14ac:dyDescent="0.2">
      <c r="B48" s="1722" t="s">
        <v>400</v>
      </c>
      <c r="C48" s="1510" t="s">
        <v>1390</v>
      </c>
      <c r="D48" s="2278">
        <v>0</v>
      </c>
      <c r="E48" s="2279">
        <v>30</v>
      </c>
      <c r="F48" s="2278">
        <v>7.0000000000000007E-2</v>
      </c>
      <c r="G48" s="2279">
        <v>30</v>
      </c>
      <c r="H48" s="2278">
        <v>0.1</v>
      </c>
      <c r="I48" s="2279">
        <v>30</v>
      </c>
    </row>
    <row r="49" spans="2:12" x14ac:dyDescent="0.2">
      <c r="B49" s="1722"/>
      <c r="C49" s="1510"/>
      <c r="D49" s="2278"/>
      <c r="E49" s="2279"/>
      <c r="F49" s="2278"/>
      <c r="G49" s="2279"/>
      <c r="H49" s="2278"/>
      <c r="I49" s="2279"/>
    </row>
    <row r="50" spans="2:12" x14ac:dyDescent="0.2">
      <c r="B50" s="1722"/>
      <c r="C50" s="1510"/>
      <c r="D50" s="2278"/>
      <c r="E50" s="2279"/>
      <c r="F50" s="2278"/>
      <c r="G50" s="2279"/>
      <c r="H50" s="2278"/>
      <c r="I50" s="2279"/>
    </row>
    <row r="51" spans="2:12" x14ac:dyDescent="0.2">
      <c r="B51" s="1722"/>
      <c r="C51" s="1510"/>
      <c r="D51" s="2278"/>
      <c r="E51" s="2279"/>
      <c r="F51" s="2278"/>
      <c r="G51" s="2279"/>
      <c r="H51" s="2278"/>
      <c r="I51" s="2279"/>
      <c r="L51" s="2271"/>
    </row>
    <row r="52" spans="2:12" x14ac:dyDescent="0.2">
      <c r="B52" s="1722" t="s">
        <v>1765</v>
      </c>
      <c r="C52" s="1510" t="s">
        <v>1767</v>
      </c>
      <c r="D52" s="2278">
        <v>0</v>
      </c>
      <c r="E52" s="2279">
        <v>15</v>
      </c>
      <c r="F52" s="2278">
        <v>7.0000000000000007E-2</v>
      </c>
      <c r="G52" s="2279">
        <v>15</v>
      </c>
      <c r="H52" s="2278">
        <v>0.1</v>
      </c>
      <c r="I52" s="2279">
        <v>15</v>
      </c>
    </row>
    <row r="53" spans="2:12" x14ac:dyDescent="0.2">
      <c r="B53" s="1722" t="s">
        <v>1766</v>
      </c>
      <c r="C53" s="1510" t="s">
        <v>656</v>
      </c>
      <c r="D53" s="2278">
        <v>0</v>
      </c>
      <c r="E53" s="2279">
        <v>15</v>
      </c>
      <c r="F53" s="2278">
        <v>7.0000000000000007E-2</v>
      </c>
      <c r="G53" s="2279">
        <v>15</v>
      </c>
      <c r="H53" s="2278">
        <v>0.1</v>
      </c>
      <c r="I53" s="2279">
        <v>15</v>
      </c>
    </row>
    <row r="54" spans="2:12" x14ac:dyDescent="0.2">
      <c r="B54" s="1722"/>
      <c r="C54" s="1510"/>
      <c r="D54" s="2278"/>
      <c r="E54" s="2279"/>
      <c r="F54" s="2278"/>
      <c r="G54" s="2279"/>
      <c r="H54" s="2278"/>
      <c r="I54" s="2279"/>
    </row>
    <row r="55" spans="2:12" x14ac:dyDescent="0.2">
      <c r="B55" s="1722"/>
      <c r="C55" s="1510"/>
      <c r="D55" s="2278"/>
      <c r="E55" s="2279"/>
      <c r="F55" s="2278"/>
      <c r="G55" s="2279"/>
      <c r="H55" s="2278"/>
      <c r="I55" s="2279"/>
    </row>
    <row r="56" spans="2:12" x14ac:dyDescent="0.2">
      <c r="B56" s="1722"/>
      <c r="C56" s="1510"/>
      <c r="D56" s="2278"/>
      <c r="E56" s="2279"/>
      <c r="F56" s="2278"/>
      <c r="G56" s="2279"/>
      <c r="H56" s="2278"/>
      <c r="I56" s="2279"/>
    </row>
    <row r="57" spans="2:12" x14ac:dyDescent="0.2">
      <c r="B57" s="1722" t="s">
        <v>313</v>
      </c>
      <c r="C57" s="1510" t="s">
        <v>306</v>
      </c>
      <c r="D57" s="2278">
        <v>0</v>
      </c>
      <c r="E57" s="2279">
        <v>20</v>
      </c>
      <c r="F57" s="2278">
        <v>7.0000000000000007E-2</v>
      </c>
      <c r="G57" s="2279">
        <v>20</v>
      </c>
      <c r="H57" s="2278">
        <v>0.1</v>
      </c>
      <c r="I57" s="2279">
        <v>20</v>
      </c>
    </row>
    <row r="58" spans="2:12" x14ac:dyDescent="0.2">
      <c r="B58" s="1722" t="s">
        <v>321</v>
      </c>
      <c r="C58" s="1510" t="s">
        <v>947</v>
      </c>
      <c r="D58" s="2278">
        <v>0</v>
      </c>
      <c r="E58" s="2279">
        <v>15</v>
      </c>
      <c r="F58" s="2278">
        <v>7.0000000000000007E-2</v>
      </c>
      <c r="G58" s="2279">
        <v>15</v>
      </c>
      <c r="H58" s="2278">
        <v>0.1</v>
      </c>
      <c r="I58" s="2279">
        <v>15</v>
      </c>
    </row>
    <row r="59" spans="2:12" x14ac:dyDescent="0.2">
      <c r="B59" s="1722" t="s">
        <v>410</v>
      </c>
      <c r="C59" s="1510" t="s">
        <v>234</v>
      </c>
      <c r="D59" s="2278">
        <v>0</v>
      </c>
      <c r="E59" s="2279">
        <v>25</v>
      </c>
      <c r="F59" s="2278">
        <v>7.0000000000000007E-2</v>
      </c>
      <c r="G59" s="2279">
        <v>25</v>
      </c>
      <c r="H59" s="2278">
        <v>0.1</v>
      </c>
      <c r="I59" s="2279">
        <v>25</v>
      </c>
    </row>
    <row r="60" spans="2:12" x14ac:dyDescent="0.2">
      <c r="B60" s="1722" t="s">
        <v>1713</v>
      </c>
      <c r="C60" s="1510" t="s">
        <v>1478</v>
      </c>
      <c r="D60" s="2278">
        <v>0</v>
      </c>
      <c r="E60" s="2279">
        <v>15</v>
      </c>
      <c r="F60" s="2278">
        <v>7.0000000000000007E-2</v>
      </c>
      <c r="G60" s="2279">
        <v>15</v>
      </c>
      <c r="H60" s="2278">
        <v>0.1</v>
      </c>
      <c r="I60" s="2279">
        <v>15</v>
      </c>
    </row>
    <row r="61" spans="2:12" x14ac:dyDescent="0.2">
      <c r="B61" s="1722" t="s">
        <v>1714</v>
      </c>
      <c r="C61" s="1510" t="s">
        <v>1715</v>
      </c>
      <c r="D61" s="2278">
        <v>0</v>
      </c>
      <c r="E61" s="2279">
        <v>30</v>
      </c>
      <c r="F61" s="2278">
        <v>7.0000000000000007E-2</v>
      </c>
      <c r="G61" s="2279">
        <v>30</v>
      </c>
      <c r="H61" s="2278">
        <v>0.1</v>
      </c>
      <c r="I61" s="2279">
        <v>30</v>
      </c>
    </row>
    <row r="62" spans="2:12" x14ac:dyDescent="0.2">
      <c r="B62" s="1722" t="s">
        <v>388</v>
      </c>
      <c r="C62" s="1510" t="s">
        <v>583</v>
      </c>
      <c r="D62" s="2278">
        <v>0</v>
      </c>
      <c r="E62" s="2279">
        <v>15</v>
      </c>
      <c r="F62" s="2278">
        <v>7.0000000000000007E-2</v>
      </c>
      <c r="G62" s="2279">
        <v>15</v>
      </c>
      <c r="H62" s="2278">
        <v>0.1</v>
      </c>
      <c r="I62" s="2279">
        <v>15</v>
      </c>
    </row>
    <row r="63" spans="2:12" x14ac:dyDescent="0.2">
      <c r="B63" s="1722" t="s">
        <v>392</v>
      </c>
      <c r="C63" s="1510" t="s">
        <v>394</v>
      </c>
      <c r="D63" s="2278">
        <v>0</v>
      </c>
      <c r="E63" s="2279">
        <v>15</v>
      </c>
      <c r="F63" s="2278">
        <v>7.0000000000000007E-2</v>
      </c>
      <c r="G63" s="2279">
        <v>15</v>
      </c>
      <c r="H63" s="2278">
        <v>0.1</v>
      </c>
      <c r="I63" s="2279">
        <v>15</v>
      </c>
    </row>
    <row r="64" spans="2:12" x14ac:dyDescent="0.2">
      <c r="B64" s="1722"/>
      <c r="C64" s="1510"/>
      <c r="D64" s="2278"/>
      <c r="E64" s="2279"/>
      <c r="F64" s="2278"/>
      <c r="G64" s="2279"/>
      <c r="H64" s="2278"/>
      <c r="I64" s="2279"/>
    </row>
    <row r="65" spans="2:9" x14ac:dyDescent="0.2">
      <c r="B65" s="1722"/>
      <c r="C65" s="1510"/>
      <c r="D65" s="2278"/>
      <c r="E65" s="2279"/>
      <c r="F65" s="2278"/>
      <c r="G65" s="2279"/>
      <c r="H65" s="2278"/>
      <c r="I65" s="2279"/>
    </row>
    <row r="66" spans="2:9" x14ac:dyDescent="0.2">
      <c r="B66" s="1722" t="s">
        <v>1720</v>
      </c>
      <c r="C66" s="1510" t="s">
        <v>1726</v>
      </c>
      <c r="D66" s="2278">
        <v>0</v>
      </c>
      <c r="E66" s="2279">
        <v>15</v>
      </c>
      <c r="F66" s="2278">
        <v>7.0000000000000007E-2</v>
      </c>
      <c r="G66" s="2279">
        <v>15</v>
      </c>
      <c r="H66" s="2278">
        <v>0.1</v>
      </c>
      <c r="I66" s="2279">
        <v>15</v>
      </c>
    </row>
    <row r="67" spans="2:9" x14ac:dyDescent="0.2">
      <c r="B67" s="1722" t="s">
        <v>1721</v>
      </c>
      <c r="C67" s="1510" t="s">
        <v>1727</v>
      </c>
      <c r="D67" s="2278">
        <v>0</v>
      </c>
      <c r="E67" s="2279">
        <v>15</v>
      </c>
      <c r="F67" s="2278">
        <v>7.0000000000000007E-2</v>
      </c>
      <c r="G67" s="2279">
        <v>15</v>
      </c>
      <c r="H67" s="2278">
        <v>0.1</v>
      </c>
      <c r="I67" s="2279">
        <v>15</v>
      </c>
    </row>
    <row r="68" spans="2:9" x14ac:dyDescent="0.2">
      <c r="B68" s="1722" t="s">
        <v>1722</v>
      </c>
      <c r="C68" s="1510" t="s">
        <v>1728</v>
      </c>
      <c r="D68" s="2278">
        <v>0</v>
      </c>
      <c r="E68" s="2279">
        <v>15</v>
      </c>
      <c r="F68" s="2278">
        <v>7.0000000000000007E-2</v>
      </c>
      <c r="G68" s="2279">
        <v>15</v>
      </c>
      <c r="H68" s="2278">
        <v>0.1</v>
      </c>
      <c r="I68" s="2279">
        <v>15</v>
      </c>
    </row>
    <row r="69" spans="2:9" x14ac:dyDescent="0.2">
      <c r="B69" s="1722" t="s">
        <v>1723</v>
      </c>
      <c r="C69" s="1510" t="s">
        <v>1729</v>
      </c>
      <c r="D69" s="2278">
        <v>0</v>
      </c>
      <c r="E69" s="2279">
        <v>15</v>
      </c>
      <c r="F69" s="2278">
        <v>7.0000000000000007E-2</v>
      </c>
      <c r="G69" s="2279">
        <v>15</v>
      </c>
      <c r="H69" s="2278">
        <v>0.1</v>
      </c>
      <c r="I69" s="2279">
        <v>15</v>
      </c>
    </row>
    <row r="70" spans="2:9" x14ac:dyDescent="0.2">
      <c r="B70" s="1722" t="s">
        <v>1775</v>
      </c>
      <c r="C70" s="1510" t="s">
        <v>1730</v>
      </c>
      <c r="D70" s="2278">
        <v>0</v>
      </c>
      <c r="E70" s="2279">
        <v>5</v>
      </c>
      <c r="F70" s="2278">
        <v>7.0000000000000007E-2</v>
      </c>
      <c r="G70" s="2279">
        <v>5</v>
      </c>
      <c r="H70" s="2278">
        <v>0.1</v>
      </c>
      <c r="I70" s="2279">
        <v>5</v>
      </c>
    </row>
    <row r="71" spans="2:9" x14ac:dyDescent="0.2">
      <c r="B71" s="1722" t="s">
        <v>1724</v>
      </c>
      <c r="C71" s="1510" t="s">
        <v>19</v>
      </c>
      <c r="D71" s="2278">
        <v>0</v>
      </c>
      <c r="E71" s="2279">
        <v>30</v>
      </c>
      <c r="F71" s="2278">
        <v>7.0000000000000007E-2</v>
      </c>
      <c r="G71" s="2279">
        <v>30</v>
      </c>
      <c r="H71" s="2278">
        <v>0.1</v>
      </c>
      <c r="I71" s="2279">
        <v>30</v>
      </c>
    </row>
    <row r="72" spans="2:9" x14ac:dyDescent="0.2">
      <c r="B72" s="1722" t="s">
        <v>1725</v>
      </c>
      <c r="C72" s="1510" t="s">
        <v>397</v>
      </c>
      <c r="D72" s="2278">
        <v>0</v>
      </c>
      <c r="E72" s="2279">
        <v>30</v>
      </c>
      <c r="F72" s="2278">
        <v>7.0000000000000007E-2</v>
      </c>
      <c r="G72" s="2279">
        <v>30</v>
      </c>
      <c r="H72" s="2278">
        <v>0.1</v>
      </c>
      <c r="I72" s="2279">
        <v>30</v>
      </c>
    </row>
    <row r="73" spans="2:9" x14ac:dyDescent="0.2">
      <c r="B73" s="1722" t="s">
        <v>375</v>
      </c>
      <c r="C73" s="1510" t="s">
        <v>606</v>
      </c>
      <c r="D73" s="2278">
        <v>0</v>
      </c>
      <c r="E73" s="2279">
        <v>10</v>
      </c>
      <c r="F73" s="2278">
        <v>7.0000000000000007E-2</v>
      </c>
      <c r="G73" s="2279">
        <v>10</v>
      </c>
      <c r="H73" s="2278">
        <v>0.1</v>
      </c>
      <c r="I73" s="2279">
        <v>10</v>
      </c>
    </row>
    <row r="74" spans="2:9" x14ac:dyDescent="0.2">
      <c r="B74" s="1722" t="s">
        <v>378</v>
      </c>
      <c r="C74" s="1510" t="s">
        <v>396</v>
      </c>
      <c r="D74" s="2278">
        <v>0</v>
      </c>
      <c r="E74" s="2279">
        <v>15</v>
      </c>
      <c r="F74" s="2278">
        <v>7.0000000000000007E-2</v>
      </c>
      <c r="G74" s="2279">
        <v>15</v>
      </c>
      <c r="H74" s="2278">
        <v>0.1</v>
      </c>
      <c r="I74" s="2279">
        <v>15</v>
      </c>
    </row>
    <row r="75" spans="2:9" x14ac:dyDescent="0.2">
      <c r="B75" s="1722" t="s">
        <v>398</v>
      </c>
      <c r="C75" s="1510" t="s">
        <v>399</v>
      </c>
      <c r="D75" s="2278">
        <v>0</v>
      </c>
      <c r="E75" s="2279">
        <v>15</v>
      </c>
      <c r="F75" s="2278">
        <v>7.0000000000000007E-2</v>
      </c>
      <c r="G75" s="2279">
        <v>15</v>
      </c>
      <c r="H75" s="2278">
        <v>0.1</v>
      </c>
      <c r="I75" s="2279">
        <v>15</v>
      </c>
    </row>
    <row r="76" spans="2:9" x14ac:dyDescent="0.2">
      <c r="B76" s="1722"/>
      <c r="C76" s="1510"/>
      <c r="D76" s="2278"/>
      <c r="E76" s="2279"/>
      <c r="F76" s="2278"/>
      <c r="G76" s="2279"/>
      <c r="H76" s="2278"/>
      <c r="I76" s="2279"/>
    </row>
    <row r="77" spans="2:9" x14ac:dyDescent="0.2">
      <c r="B77" s="1722" t="s">
        <v>405</v>
      </c>
      <c r="C77" s="1510" t="s">
        <v>111</v>
      </c>
      <c r="D77" s="2278">
        <v>0</v>
      </c>
      <c r="E77" s="2279">
        <v>15</v>
      </c>
      <c r="F77" s="2278">
        <v>7.0000000000000007E-2</v>
      </c>
      <c r="G77" s="2279">
        <v>15</v>
      </c>
      <c r="H77" s="2278">
        <v>0.1</v>
      </c>
      <c r="I77" s="2279">
        <v>15</v>
      </c>
    </row>
    <row r="78" spans="2:9" x14ac:dyDescent="0.2">
      <c r="B78" s="1722"/>
      <c r="C78" s="1510"/>
      <c r="D78" s="2278"/>
      <c r="E78" s="2279"/>
      <c r="F78" s="2278"/>
      <c r="G78" s="2279"/>
      <c r="H78" s="2278"/>
      <c r="I78" s="2279"/>
    </row>
    <row r="79" spans="2:9" x14ac:dyDescent="0.2">
      <c r="B79" s="1722"/>
      <c r="C79" s="1510"/>
      <c r="D79" s="2278"/>
      <c r="E79" s="2279"/>
      <c r="F79" s="2278"/>
      <c r="G79" s="2279"/>
      <c r="H79" s="2278"/>
      <c r="I79" s="2279"/>
    </row>
    <row r="80" spans="2:9" x14ac:dyDescent="0.2">
      <c r="B80" s="1722"/>
      <c r="C80" s="1510"/>
      <c r="D80" s="2278"/>
      <c r="E80" s="2279"/>
      <c r="F80" s="2278"/>
      <c r="G80" s="2279"/>
      <c r="H80" s="2278"/>
      <c r="I80" s="2279"/>
    </row>
    <row r="81" spans="2:9" x14ac:dyDescent="0.2">
      <c r="B81" s="1722" t="s">
        <v>439</v>
      </c>
      <c r="C81" s="1510" t="s">
        <v>441</v>
      </c>
      <c r="D81" s="2278">
        <v>0</v>
      </c>
      <c r="E81" s="2279">
        <v>15</v>
      </c>
      <c r="F81" s="2278">
        <v>7.0000000000000007E-2</v>
      </c>
      <c r="G81" s="2279">
        <v>15</v>
      </c>
      <c r="H81" s="2278">
        <v>0.1</v>
      </c>
      <c r="I81" s="2279">
        <v>15</v>
      </c>
    </row>
    <row r="82" spans="2:9" x14ac:dyDescent="0.2">
      <c r="B82" s="1722"/>
      <c r="C82" s="1510"/>
      <c r="D82" s="2278"/>
      <c r="E82" s="2279"/>
      <c r="F82" s="2278"/>
      <c r="G82" s="2279"/>
      <c r="H82" s="2278"/>
      <c r="I82" s="2279"/>
    </row>
    <row r="83" spans="2:9" x14ac:dyDescent="0.2">
      <c r="B83" s="1722"/>
      <c r="C83" s="1510"/>
      <c r="D83" s="2278"/>
      <c r="E83" s="2279"/>
      <c r="F83" s="2278"/>
      <c r="G83" s="2279"/>
      <c r="H83" s="2278"/>
      <c r="I83" s="2279"/>
    </row>
    <row r="84" spans="2:9" x14ac:dyDescent="0.2">
      <c r="B84" s="1722"/>
      <c r="C84" s="1510"/>
      <c r="D84" s="2278"/>
      <c r="E84" s="2279"/>
      <c r="F84" s="2278"/>
      <c r="G84" s="2279"/>
      <c r="H84" s="2278"/>
      <c r="I84" s="2279"/>
    </row>
    <row r="85" spans="2:9" x14ac:dyDescent="0.2">
      <c r="B85" s="1722" t="s">
        <v>591</v>
      </c>
      <c r="C85" s="1510" t="s">
        <v>590</v>
      </c>
      <c r="D85" s="2278">
        <v>0</v>
      </c>
      <c r="E85" s="2279">
        <v>15</v>
      </c>
      <c r="F85" s="2278">
        <v>7.0000000000000007E-2</v>
      </c>
      <c r="G85" s="2279">
        <v>15</v>
      </c>
      <c r="H85" s="2278">
        <v>0.1</v>
      </c>
      <c r="I85" s="2279">
        <v>15</v>
      </c>
    </row>
    <row r="86" spans="2:9" x14ac:dyDescent="0.2">
      <c r="B86" s="2276" t="s">
        <v>1834</v>
      </c>
      <c r="C86" s="2277" t="s">
        <v>1835</v>
      </c>
      <c r="D86" s="2280">
        <v>0</v>
      </c>
      <c r="E86" s="1716">
        <v>15</v>
      </c>
      <c r="F86" s="2280">
        <v>7.0000000000000007E-2</v>
      </c>
      <c r="G86" s="1716">
        <v>15</v>
      </c>
      <c r="H86" s="2280">
        <v>0.1</v>
      </c>
      <c r="I86" s="1716">
        <v>15</v>
      </c>
    </row>
    <row r="87" spans="2:9" x14ac:dyDescent="0.2">
      <c r="B87" s="39" t="s">
        <v>1736</v>
      </c>
      <c r="G87"/>
    </row>
  </sheetData>
  <mergeCells count="4">
    <mergeCell ref="D32:E32"/>
    <mergeCell ref="D31:E31"/>
    <mergeCell ref="F31:G31"/>
    <mergeCell ref="H31:I31"/>
  </mergeCells>
  <pageMargins left="0.7" right="0.7" top="0.75" bottom="0.75" header="0.3" footer="0.3"/>
  <pageSetup paperSize="9" orientation="portrait" horizontalDpi="4294967292" verticalDpi="4294967292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tabColor theme="7" tint="0.39997558519241921"/>
    <pageSetUpPr autoPageBreaks="0"/>
  </sheetPr>
  <dimension ref="A1:K91"/>
  <sheetViews>
    <sheetView windowProtection="1" workbookViewId="0"/>
  </sheetViews>
  <sheetFormatPr defaultColWidth="8.7109375" defaultRowHeight="12.75" x14ac:dyDescent="0.2"/>
  <cols>
    <col min="1" max="1" width="2.7109375" customWidth="1"/>
    <col min="2" max="2" width="35" customWidth="1"/>
    <col min="3" max="3" width="26.28515625" customWidth="1"/>
    <col min="5" max="5" width="18.7109375" style="38" customWidth="1"/>
    <col min="6" max="6" width="14.140625" customWidth="1"/>
    <col min="7" max="8" width="14.140625" style="38" customWidth="1"/>
    <col min="9" max="9" width="11.42578125" customWidth="1"/>
    <col min="10" max="10" width="24.140625" customWidth="1"/>
    <col min="11" max="11" width="12.28515625" customWidth="1"/>
  </cols>
  <sheetData>
    <row r="1" spans="1:11" x14ac:dyDescent="0.2">
      <c r="B1" s="1614" t="s">
        <v>1785</v>
      </c>
    </row>
    <row r="2" spans="1:11" s="1614" customFormat="1" x14ac:dyDescent="0.2"/>
    <row r="3" spans="1:11" s="1614" customFormat="1" x14ac:dyDescent="0.2"/>
    <row r="4" spans="1:11" ht="18" customHeight="1" x14ac:dyDescent="0.3">
      <c r="B4" s="25" t="s">
        <v>144</v>
      </c>
      <c r="C4" s="38"/>
      <c r="E4" s="25" t="s">
        <v>191</v>
      </c>
      <c r="F4" s="38"/>
      <c r="H4" s="16" t="str">
        <f>"per " &amp; Preferences.EnergyUnits</f>
        <v>per TWh</v>
      </c>
      <c r="J4" s="25" t="s">
        <v>198</v>
      </c>
      <c r="K4" s="25"/>
    </row>
    <row r="5" spans="1:11" ht="6.75" customHeight="1" x14ac:dyDescent="0.2">
      <c r="B5" s="39"/>
      <c r="C5" s="38"/>
      <c r="E5" s="39"/>
      <c r="F5" s="38"/>
      <c r="J5" s="39"/>
      <c r="K5" s="39"/>
    </row>
    <row r="6" spans="1:11" s="38" customFormat="1" ht="6.75" customHeight="1" x14ac:dyDescent="0.2">
      <c r="B6" s="39"/>
      <c r="E6" s="39"/>
      <c r="J6" s="39"/>
      <c r="K6" s="39"/>
    </row>
    <row r="7" spans="1:11" ht="18.75" customHeight="1" x14ac:dyDescent="0.2">
      <c r="B7" s="30" t="s">
        <v>140</v>
      </c>
      <c r="C7" s="228" t="str">
        <f>Preferences.EnergyUnits &amp; " / kg"</f>
        <v>TWh / kg</v>
      </c>
      <c r="E7" s="30" t="s">
        <v>194</v>
      </c>
      <c r="F7" s="31" t="s">
        <v>218</v>
      </c>
      <c r="G7" s="31" t="s">
        <v>219</v>
      </c>
      <c r="H7" s="31" t="s">
        <v>220</v>
      </c>
      <c r="J7" s="30" t="s">
        <v>10</v>
      </c>
      <c r="K7" s="30" t="s">
        <v>199</v>
      </c>
    </row>
    <row r="8" spans="1:11" ht="15.75" x14ac:dyDescent="0.25">
      <c r="A8" s="3"/>
      <c r="B8" s="26" t="s">
        <v>136</v>
      </c>
      <c r="C8" s="40">
        <v>4.4527699299840313E-9</v>
      </c>
      <c r="E8" s="26" t="s">
        <v>192</v>
      </c>
      <c r="F8" s="40">
        <f>0.308/1000000000/Unit.kWh</f>
        <v>0.30799999999999994</v>
      </c>
      <c r="G8" s="40">
        <f>(13.56 / 96935) * EF.IndustrialCoal.CO2 * GWP.CH4</f>
        <v>9.0479269613658628E-4</v>
      </c>
      <c r="H8" s="40">
        <f>(2.77 / 96935) *EF.IndustrialCoal.CO2 * GWP.N2O</f>
        <v>2.7284221385464481E-3</v>
      </c>
      <c r="J8" s="26" t="s">
        <v>200</v>
      </c>
      <c r="K8" s="26">
        <v>1</v>
      </c>
    </row>
    <row r="9" spans="1:11" ht="15.75" x14ac:dyDescent="0.25">
      <c r="A9" s="3"/>
      <c r="B9" s="26" t="s">
        <v>139</v>
      </c>
      <c r="C9" s="40">
        <v>5.0840055139281279E-9</v>
      </c>
      <c r="E9" s="26" t="s">
        <v>193</v>
      </c>
      <c r="F9" s="40">
        <f>0.25/1000000000/Unit.kWh</f>
        <v>0.25</v>
      </c>
      <c r="G9" s="40">
        <f>(4.28 / 72193) * EF.Diesel.CO2 * GWP.CH4</f>
        <v>3.1124901306220826E-4</v>
      </c>
      <c r="H9" s="40">
        <f>(4.19 / 72193)*EF.Diesel.CO2 * GWP.N2O</f>
        <v>4.4980122726580142E-3</v>
      </c>
      <c r="J9" s="26" t="s">
        <v>201</v>
      </c>
      <c r="K9" s="26">
        <v>21</v>
      </c>
    </row>
    <row r="10" spans="1:11" ht="15.75" x14ac:dyDescent="0.25">
      <c r="A10" s="3"/>
      <c r="B10" s="26" t="s">
        <v>134</v>
      </c>
      <c r="C10" s="40">
        <v>4.2309844545442143E-9</v>
      </c>
      <c r="E10" s="26" t="s">
        <v>130</v>
      </c>
      <c r="F10" s="40">
        <f>0.184/1000000000/Unit.kWh</f>
        <v>0.18399999999999997</v>
      </c>
      <c r="G10" s="40">
        <f>(5.49 / 57516) * EF.NaturalGas.CO2 * GWP.CH4</f>
        <v>3.6882537033173374E-4</v>
      </c>
      <c r="H10" s="40">
        <f>(0.4 / 57516) *EF.NaturalGas.CO2 * GWP.N2O</f>
        <v>3.9668961680228111E-4</v>
      </c>
      <c r="J10" s="26" t="s">
        <v>202</v>
      </c>
      <c r="K10" s="26">
        <v>310</v>
      </c>
    </row>
    <row r="11" spans="1:11" ht="15.75" x14ac:dyDescent="0.25">
      <c r="A11" s="3"/>
      <c r="B11" s="28" t="s">
        <v>135</v>
      </c>
      <c r="C11" s="41">
        <v>5.5616973071831205E-9</v>
      </c>
      <c r="E11" s="28" t="s">
        <v>128</v>
      </c>
      <c r="F11" s="41">
        <f>(44/12)*6.273/1000/1000000/Unit.therm</f>
        <v>0.78482259931212373</v>
      </c>
      <c r="G11" s="41"/>
      <c r="H11" s="41"/>
      <c r="J11" s="26" t="s">
        <v>203</v>
      </c>
      <c r="K11" s="73" t="s">
        <v>206</v>
      </c>
    </row>
    <row r="12" spans="1:11" ht="15.75" x14ac:dyDescent="0.25">
      <c r="A12" s="3"/>
      <c r="B12" s="26"/>
      <c r="C12" s="32"/>
      <c r="E12" s="26"/>
      <c r="F12" s="32"/>
      <c r="G12" s="32"/>
      <c r="H12" s="32"/>
      <c r="J12" s="26" t="s">
        <v>204</v>
      </c>
      <c r="K12" s="73" t="s">
        <v>207</v>
      </c>
    </row>
    <row r="13" spans="1:11" ht="15.75" x14ac:dyDescent="0.25">
      <c r="A13" s="3"/>
      <c r="B13" s="75" t="s">
        <v>363</v>
      </c>
      <c r="C13" s="229" t="str">
        <f>Preferences.EnergyUnits &amp; " / kg"</f>
        <v>TWh / kg</v>
      </c>
      <c r="E13"/>
      <c r="J13" s="28" t="s">
        <v>205</v>
      </c>
      <c r="K13" s="74">
        <v>23900</v>
      </c>
    </row>
    <row r="14" spans="1:11" s="38" customFormat="1" ht="15.75" x14ac:dyDescent="0.25">
      <c r="A14" s="3"/>
      <c r="B14" s="374" t="s">
        <v>456</v>
      </c>
      <c r="C14" s="40">
        <v>1.2681685784924602E-8</v>
      </c>
      <c r="J14" s="26"/>
      <c r="K14" s="372"/>
    </row>
    <row r="15" spans="1:11" ht="15.75" x14ac:dyDescent="0.25">
      <c r="A15" s="3"/>
      <c r="B15" s="26" t="s">
        <v>364</v>
      </c>
      <c r="C15" s="40">
        <v>1.2793750995122346E-8</v>
      </c>
      <c r="E15" s="78"/>
      <c r="F15" s="77"/>
      <c r="G15" s="77"/>
    </row>
    <row r="16" spans="1:11" s="38" customFormat="1" ht="15.75" x14ac:dyDescent="0.25">
      <c r="A16" s="3"/>
      <c r="B16" s="26" t="s">
        <v>367</v>
      </c>
      <c r="C16" s="40">
        <v>1.3081411266069852E-8</v>
      </c>
      <c r="E16" s="78"/>
      <c r="F16" s="77"/>
      <c r="G16" s="77"/>
    </row>
    <row r="17" spans="1:10" s="38" customFormat="1" ht="15.75" x14ac:dyDescent="0.25">
      <c r="A17" s="3"/>
      <c r="B17" s="26" t="s">
        <v>368</v>
      </c>
      <c r="C17" s="40">
        <v>1.2651871239786547E-8</v>
      </c>
      <c r="E17" s="78"/>
      <c r="F17" s="77"/>
      <c r="G17" s="77"/>
    </row>
    <row r="18" spans="1:10" s="38" customFormat="1" ht="15.75" x14ac:dyDescent="0.25">
      <c r="A18" s="3"/>
      <c r="B18" s="28" t="s">
        <v>379</v>
      </c>
      <c r="C18" s="41">
        <v>1.2827208886163561E-8</v>
      </c>
      <c r="E18" s="78"/>
      <c r="F18" s="77"/>
      <c r="G18" s="77"/>
    </row>
    <row r="19" spans="1:10" ht="15" customHeight="1" x14ac:dyDescent="0.2">
      <c r="B19" s="26"/>
      <c r="C19" s="32"/>
    </row>
    <row r="20" spans="1:10" ht="15.75" x14ac:dyDescent="0.25">
      <c r="A20" s="3"/>
      <c r="B20" s="75" t="s">
        <v>141</v>
      </c>
      <c r="C20" s="229" t="str">
        <f>Preferences.EnergyUnits &amp; " / cubic metre"</f>
        <v>TWh / cubic metre</v>
      </c>
      <c r="E20" s="20" t="s">
        <v>210</v>
      </c>
      <c r="J20" s="20" t="s">
        <v>211</v>
      </c>
    </row>
    <row r="21" spans="1:10" s="38" customFormat="1" ht="15.75" x14ac:dyDescent="0.25">
      <c r="A21" s="3"/>
      <c r="B21" s="373" t="s">
        <v>457</v>
      </c>
      <c r="C21" s="40">
        <v>1.1016960011247869E-8</v>
      </c>
      <c r="E21" s="20"/>
      <c r="J21" s="20"/>
    </row>
    <row r="22" spans="1:10" ht="15.75" x14ac:dyDescent="0.25">
      <c r="A22" s="3"/>
      <c r="B22" s="26" t="s">
        <v>142</v>
      </c>
      <c r="C22" s="40">
        <v>1.0944444444444444E-8</v>
      </c>
      <c r="E22" s="39" t="s">
        <v>209</v>
      </c>
      <c r="J22" s="39" t="s">
        <v>212</v>
      </c>
    </row>
    <row r="23" spans="1:10" ht="15.75" x14ac:dyDescent="0.25">
      <c r="A23" s="3"/>
      <c r="B23" s="26" t="s">
        <v>129</v>
      </c>
      <c r="C23" s="40">
        <v>5.0000000000000001E-9</v>
      </c>
      <c r="E23" s="39" t="s">
        <v>208</v>
      </c>
    </row>
    <row r="24" spans="1:10" ht="15.75" x14ac:dyDescent="0.25">
      <c r="A24" s="3"/>
      <c r="B24" s="26" t="s">
        <v>128</v>
      </c>
      <c r="C24" s="40">
        <v>8.3333333333333335E-10</v>
      </c>
      <c r="E24" s="39" t="s">
        <v>214</v>
      </c>
    </row>
    <row r="25" spans="1:10" ht="15.75" x14ac:dyDescent="0.25">
      <c r="A25" s="3"/>
      <c r="B25" s="26" t="s">
        <v>121</v>
      </c>
      <c r="C25" s="40">
        <v>6.3888888888888885E-9</v>
      </c>
      <c r="E25"/>
    </row>
    <row r="26" spans="1:10" ht="15.75" x14ac:dyDescent="0.25">
      <c r="A26" s="3"/>
      <c r="B26" s="28" t="s">
        <v>143</v>
      </c>
      <c r="C26" s="41">
        <v>6.3888888888888885E-9</v>
      </c>
      <c r="E26" s="20" t="s">
        <v>213</v>
      </c>
    </row>
    <row r="27" spans="1:10" x14ac:dyDescent="0.2">
      <c r="E27" s="39" t="s">
        <v>215</v>
      </c>
    </row>
    <row r="28" spans="1:10" x14ac:dyDescent="0.2">
      <c r="B28" s="20" t="s">
        <v>211</v>
      </c>
      <c r="E28" s="39" t="s">
        <v>216</v>
      </c>
    </row>
    <row r="29" spans="1:10" x14ac:dyDescent="0.2">
      <c r="B29" s="39" t="s">
        <v>365</v>
      </c>
      <c r="E29" s="39" t="s">
        <v>217</v>
      </c>
    </row>
    <row r="32" spans="1:10" ht="18.75" x14ac:dyDescent="0.3">
      <c r="B32" s="25" t="s">
        <v>369</v>
      </c>
      <c r="C32" s="38"/>
      <c r="E32" s="38" t="s">
        <v>1904</v>
      </c>
    </row>
    <row r="33" spans="1:9" ht="4.5" customHeight="1" x14ac:dyDescent="0.2">
      <c r="B33" s="39"/>
      <c r="C33" s="38"/>
    </row>
    <row r="34" spans="1:9" ht="15.75" x14ac:dyDescent="0.25">
      <c r="A34" s="3"/>
      <c r="B34" s="30" t="s">
        <v>370</v>
      </c>
      <c r="C34" s="228" t="s">
        <v>366</v>
      </c>
      <c r="E34" s="38" t="s">
        <v>1905</v>
      </c>
      <c r="F34" t="s">
        <v>1791</v>
      </c>
      <c r="G34" s="38" t="s">
        <v>1794</v>
      </c>
      <c r="H34" s="38" t="s">
        <v>1795</v>
      </c>
      <c r="I34" t="s">
        <v>1792</v>
      </c>
    </row>
    <row r="35" spans="1:9" ht="15.75" x14ac:dyDescent="0.25">
      <c r="A35" s="3"/>
      <c r="B35" s="26" t="s">
        <v>372</v>
      </c>
      <c r="C35" s="40">
        <f>(1/1362)*1000</f>
        <v>0.73421439060205573</v>
      </c>
      <c r="E35" s="38" t="s">
        <v>669</v>
      </c>
      <c r="F35" s="1664">
        <v>4.1883435413393535</v>
      </c>
      <c r="G35" s="1664">
        <v>0.76884878586155336</v>
      </c>
      <c r="H35" s="1664">
        <v>1.1643824604548389E-2</v>
      </c>
      <c r="I35" s="1664">
        <v>15.32101270801348</v>
      </c>
    </row>
    <row r="36" spans="1:9" s="1480" customFormat="1" ht="15.75" x14ac:dyDescent="0.25">
      <c r="A36" s="3"/>
      <c r="B36" s="26" t="s">
        <v>1591</v>
      </c>
      <c r="C36" s="40">
        <v>0.78900000000000003</v>
      </c>
      <c r="E36" s="1480" t="s">
        <v>122</v>
      </c>
      <c r="F36" s="1664">
        <v>4.6844827796160651</v>
      </c>
      <c r="G36" s="1664">
        <v>0.23047708742545636</v>
      </c>
      <c r="H36" s="1664">
        <v>1.3065148833871658E-2</v>
      </c>
      <c r="I36" s="1664">
        <v>8.5906552123944682</v>
      </c>
    </row>
    <row r="37" spans="1:9" s="1480" customFormat="1" ht="15.75" x14ac:dyDescent="0.25">
      <c r="A37" s="3"/>
      <c r="B37" s="26" t="s">
        <v>1592</v>
      </c>
      <c r="C37" s="40">
        <f>AVERAGE(775,840)/1000</f>
        <v>0.8075</v>
      </c>
      <c r="E37" s="1480" t="s">
        <v>10</v>
      </c>
      <c r="F37" s="1664">
        <v>10.039877780604778</v>
      </c>
      <c r="G37" s="1664">
        <v>0.57381656809661186</v>
      </c>
      <c r="H37" s="1664">
        <v>0</v>
      </c>
      <c r="I37" s="1664">
        <v>1.6277314142584762</v>
      </c>
    </row>
    <row r="38" spans="1:9" ht="15.75" x14ac:dyDescent="0.25">
      <c r="A38" s="3"/>
      <c r="B38" s="28" t="s">
        <v>373</v>
      </c>
      <c r="C38" s="41">
        <f>(1/1198)*1000</f>
        <v>0.8347245409015025</v>
      </c>
    </row>
    <row r="39" spans="1:9" x14ac:dyDescent="0.2">
      <c r="B39" s="34" t="s">
        <v>211</v>
      </c>
    </row>
    <row r="40" spans="1:9" x14ac:dyDescent="0.2">
      <c r="B40" s="143" t="s">
        <v>371</v>
      </c>
    </row>
    <row r="42" spans="1:9" s="38" customFormat="1" ht="18.75" x14ac:dyDescent="0.3">
      <c r="B42" s="25" t="s">
        <v>486</v>
      </c>
      <c r="G42" s="1297"/>
    </row>
    <row r="43" spans="1:9" s="38" customFormat="1" x14ac:dyDescent="0.2">
      <c r="B43" s="38" t="s">
        <v>1196</v>
      </c>
      <c r="G43" s="1297"/>
      <c r="H43" s="16" t="str">
        <f>"Mt CO2e per " &amp; Preferences.EnergyUnits</f>
        <v>Mt CO2e per TWh</v>
      </c>
    </row>
    <row r="44" spans="1:9" ht="6" customHeight="1" x14ac:dyDescent="0.2">
      <c r="C44" s="38"/>
      <c r="E44"/>
      <c r="G44" s="1297"/>
      <c r="H44"/>
    </row>
    <row r="45" spans="1:9" ht="18" x14ac:dyDescent="0.25">
      <c r="A45" s="99"/>
      <c r="B45" s="84" t="s">
        <v>64</v>
      </c>
      <c r="C45" s="84" t="s">
        <v>65</v>
      </c>
      <c r="D45" s="84" t="s">
        <v>473</v>
      </c>
      <c r="E45" s="84" t="s">
        <v>474</v>
      </c>
      <c r="F45" s="84" t="s">
        <v>475</v>
      </c>
      <c r="G45" s="84" t="s">
        <v>1332</v>
      </c>
      <c r="H45" s="84" t="s">
        <v>223</v>
      </c>
    </row>
    <row r="46" spans="1:9" ht="15.75" x14ac:dyDescent="0.25">
      <c r="A46" s="3"/>
      <c r="B46" s="84" t="s">
        <v>26</v>
      </c>
      <c r="C46" s="84" t="str">
        <f>INDEX(Vectors[Description], MATCH(EF[Vector], Vectors[Code], 0))</f>
        <v>Conversion losses</v>
      </c>
      <c r="D46" s="153">
        <v>0</v>
      </c>
      <c r="E46" s="153">
        <v>0</v>
      </c>
      <c r="F46" s="153">
        <v>0</v>
      </c>
      <c r="G46" s="153">
        <f>SUM(EF[[#This Row],[CO2]:[N2O]])</f>
        <v>0</v>
      </c>
      <c r="H46" s="84"/>
    </row>
    <row r="47" spans="1:9" ht="15.75" x14ac:dyDescent="0.25">
      <c r="A47" s="3"/>
      <c r="B47" s="84" t="s">
        <v>27</v>
      </c>
      <c r="C47" s="84" t="str">
        <f>INDEX(Vectors[Description], MATCH(EF[Vector], Vectors[Code], 0))</f>
        <v>Distribution losses and own use</v>
      </c>
      <c r="D47" s="153">
        <v>0</v>
      </c>
      <c r="E47" s="153">
        <v>0</v>
      </c>
      <c r="F47" s="153">
        <v>0</v>
      </c>
      <c r="G47" s="153">
        <f>SUM(EF[[#This Row],[CO2]:[N2O]])</f>
        <v>0</v>
      </c>
      <c r="H47" s="84"/>
    </row>
    <row r="48" spans="1:9" ht="15.75" x14ac:dyDescent="0.25">
      <c r="A48" s="3"/>
      <c r="B48" s="84" t="s">
        <v>48</v>
      </c>
      <c r="C48" s="84" t="str">
        <f>INDEX(Vectors[Description], MATCH(EF[Vector], Vectors[Code], 0))</f>
        <v>Unallocated</v>
      </c>
      <c r="D48" s="153">
        <v>0</v>
      </c>
      <c r="E48" s="153">
        <v>0</v>
      </c>
      <c r="F48" s="153">
        <v>0</v>
      </c>
      <c r="G48" s="153">
        <f>SUM(EF[[#This Row],[CO2]:[N2O]])</f>
        <v>0</v>
      </c>
      <c r="H48" s="84"/>
    </row>
    <row r="49" spans="1:8" ht="15.75" x14ac:dyDescent="0.25">
      <c r="A49" s="3"/>
      <c r="B49" s="84" t="s">
        <v>28</v>
      </c>
      <c r="C49" s="84" t="str">
        <f>INDEX(Vectors[Description], MATCH(EF[Vector], Vectors[Code], 0))</f>
        <v>Road transport</v>
      </c>
      <c r="D49" s="153">
        <v>0</v>
      </c>
      <c r="E49" s="153">
        <v>0</v>
      </c>
      <c r="F49" s="153">
        <v>0</v>
      </c>
      <c r="G49" s="153">
        <f>SUM(EF[[#This Row],[CO2]:[N2O]])</f>
        <v>0</v>
      </c>
      <c r="H49" s="84"/>
    </row>
    <row r="50" spans="1:8" ht="15.75" x14ac:dyDescent="0.25">
      <c r="A50" s="3"/>
      <c r="B50" s="84" t="s">
        <v>29</v>
      </c>
      <c r="C50" s="84" t="str">
        <f>INDEX(Vectors[Description], MATCH(EF[Vector], Vectors[Code], 0))</f>
        <v>Rail transport</v>
      </c>
      <c r="D50" s="153">
        <v>0</v>
      </c>
      <c r="E50" s="153">
        <v>0</v>
      </c>
      <c r="F50" s="153">
        <v>0</v>
      </c>
      <c r="G50" s="153">
        <f>SUM(EF[[#This Row],[CO2]:[N2O]])</f>
        <v>0</v>
      </c>
      <c r="H50" s="84"/>
    </row>
    <row r="51" spans="1:8" ht="15.75" x14ac:dyDescent="0.25">
      <c r="A51" s="3"/>
      <c r="B51" s="84" t="s">
        <v>30</v>
      </c>
      <c r="C51" s="84" t="str">
        <f>INDEX(Vectors[Description], MATCH(EF[Vector], Vectors[Code], 0))</f>
        <v>Domestic aviation</v>
      </c>
      <c r="D51" s="153">
        <v>0</v>
      </c>
      <c r="E51" s="153">
        <v>0</v>
      </c>
      <c r="F51" s="153">
        <v>0</v>
      </c>
      <c r="G51" s="153">
        <f>SUM(EF[[#This Row],[CO2]:[N2O]])</f>
        <v>0</v>
      </c>
      <c r="H51" s="84"/>
    </row>
    <row r="52" spans="1:8" ht="15.75" x14ac:dyDescent="0.25">
      <c r="A52" s="3"/>
      <c r="B52" s="84" t="s">
        <v>31</v>
      </c>
      <c r="C52" s="84" t="str">
        <f>INDEX(Vectors[Description], MATCH(EF[Vector], Vectors[Code], 0))</f>
        <v>Berge</v>
      </c>
      <c r="D52" s="153">
        <v>0</v>
      </c>
      <c r="E52" s="153">
        <v>0</v>
      </c>
      <c r="F52" s="153">
        <v>0</v>
      </c>
      <c r="G52" s="153">
        <f>SUM(EF[[#This Row],[CO2]:[N2O]])</f>
        <v>0</v>
      </c>
      <c r="H52" s="84"/>
    </row>
    <row r="53" spans="1:8" ht="15.75" x14ac:dyDescent="0.25">
      <c r="A53" s="3"/>
      <c r="B53" s="84" t="s">
        <v>9</v>
      </c>
      <c r="C53" s="84" t="str">
        <f>INDEX(Vectors[Description], MATCH(EF[Vector], Vectors[Code], 0))</f>
        <v>Industry</v>
      </c>
      <c r="D53" s="153">
        <v>0</v>
      </c>
      <c r="E53" s="153">
        <v>0</v>
      </c>
      <c r="F53" s="153">
        <v>0</v>
      </c>
      <c r="G53" s="153">
        <f>SUM(EF[[#This Row],[CO2]:[N2O]])</f>
        <v>0</v>
      </c>
      <c r="H53" s="84"/>
    </row>
    <row r="54" spans="1:8" ht="15.75" x14ac:dyDescent="0.25">
      <c r="A54" s="3"/>
      <c r="B54" s="84" t="s">
        <v>5</v>
      </c>
      <c r="C54" s="84" t="str">
        <f>INDEX(Vectors[Description], MATCH(EF[Vector], Vectors[Code], 0))</f>
        <v>Cooling</v>
      </c>
      <c r="D54" s="153">
        <v>0</v>
      </c>
      <c r="E54" s="153">
        <v>0</v>
      </c>
      <c r="F54" s="153">
        <v>0</v>
      </c>
      <c r="G54" s="153">
        <f>SUM(EF[[#This Row],[CO2]:[N2O]])</f>
        <v>0</v>
      </c>
      <c r="H54" s="84"/>
    </row>
    <row r="55" spans="1:8" ht="15.75" x14ac:dyDescent="0.25">
      <c r="A55" s="3"/>
      <c r="B55" s="84" t="s">
        <v>44</v>
      </c>
      <c r="C55" s="84" t="str">
        <f>INDEX(Vectors[Description], MATCH(EF[Vector], Vectors[Code], 0))</f>
        <v>Lighting &amp; appliances</v>
      </c>
      <c r="D55" s="153">
        <v>0</v>
      </c>
      <c r="E55" s="153">
        <v>0</v>
      </c>
      <c r="F55" s="153">
        <v>0</v>
      </c>
      <c r="G55" s="153">
        <f>SUM(EF[[#This Row],[CO2]:[N2O]])</f>
        <v>0</v>
      </c>
      <c r="H55" s="84"/>
    </row>
    <row r="56" spans="1:8" ht="15.75" x14ac:dyDescent="0.25">
      <c r="A56" s="3"/>
      <c r="B56" s="84" t="s">
        <v>6</v>
      </c>
      <c r="C56" s="84" t="str">
        <f>INDEX(Vectors[Description], MATCH(EF[Vector], Vectors[Code], 0))</f>
        <v>Nuclear fission</v>
      </c>
      <c r="D56" s="153">
        <v>0</v>
      </c>
      <c r="E56" s="153">
        <v>0</v>
      </c>
      <c r="F56" s="153">
        <v>0</v>
      </c>
      <c r="G56" s="153">
        <f>SUM(EF[[#This Row],[CO2]:[N2O]])</f>
        <v>0</v>
      </c>
      <c r="H56" s="84"/>
    </row>
    <row r="57" spans="1:8" ht="15.75" x14ac:dyDescent="0.25">
      <c r="A57" s="3"/>
      <c r="B57" s="84" t="s">
        <v>25</v>
      </c>
      <c r="C57" s="84" t="str">
        <f>INDEX(Vectors[Description], MATCH(EF[Vector], Vectors[Code], 0))</f>
        <v>Solar</v>
      </c>
      <c r="D57" s="153">
        <v>0</v>
      </c>
      <c r="E57" s="153">
        <v>0</v>
      </c>
      <c r="F57" s="153">
        <v>0</v>
      </c>
      <c r="G57" s="153">
        <f>SUM(EF[[#This Row],[CO2]:[N2O]])</f>
        <v>0</v>
      </c>
      <c r="H57" s="84"/>
    </row>
    <row r="58" spans="1:8" ht="15.75" x14ac:dyDescent="0.25">
      <c r="A58" s="3"/>
      <c r="B58" s="84" t="s">
        <v>7</v>
      </c>
      <c r="C58" s="84" t="str">
        <f>INDEX(Vectors[Description], MATCH(EF[Vector], Vectors[Code], 0))</f>
        <v>Wind</v>
      </c>
      <c r="D58" s="153">
        <v>0</v>
      </c>
      <c r="E58" s="153">
        <v>0</v>
      </c>
      <c r="F58" s="153">
        <v>0</v>
      </c>
      <c r="G58" s="153">
        <f>SUM(EF[[#This Row],[CO2]:[N2O]])</f>
        <v>0</v>
      </c>
      <c r="H58" s="84"/>
    </row>
    <row r="59" spans="1:8" ht="15.75" x14ac:dyDescent="0.25">
      <c r="A59" s="3"/>
      <c r="B59" s="84" t="s">
        <v>8</v>
      </c>
      <c r="C59" s="84" t="str">
        <f>INDEX(Vectors[Description], MATCH(EF[Vector], Vectors[Code], 0))</f>
        <v>Hydro</v>
      </c>
      <c r="D59" s="153">
        <v>0</v>
      </c>
      <c r="E59" s="153">
        <v>0</v>
      </c>
      <c r="F59" s="153">
        <v>0</v>
      </c>
      <c r="G59" s="153">
        <f>SUM(EF[[#This Row],[CO2]:[N2O]])</f>
        <v>0</v>
      </c>
      <c r="H59" s="84"/>
    </row>
    <row r="60" spans="1:8" ht="15.75" x14ac:dyDescent="0.25">
      <c r="A60" s="3"/>
      <c r="B60" s="84" t="s">
        <v>451</v>
      </c>
      <c r="C60" s="84" t="str">
        <f>INDEX(Vectors[Description], MATCH(EF[Vector], Vectors[Code], 0))</f>
        <v>Agriculture</v>
      </c>
      <c r="D60" s="153">
        <v>0</v>
      </c>
      <c r="E60" s="153">
        <v>0</v>
      </c>
      <c r="F60" s="153">
        <v>0</v>
      </c>
      <c r="G60" s="153">
        <f>SUM(EF[[#This Row],[CO2]:[N2O]])</f>
        <v>0</v>
      </c>
      <c r="H60" s="84"/>
    </row>
    <row r="61" spans="1:8" ht="15.75" x14ac:dyDescent="0.25">
      <c r="A61" s="3"/>
      <c r="B61" s="84" t="s">
        <v>42</v>
      </c>
      <c r="C61" s="84" t="str">
        <f>INDEX(Vectors[Description], MATCH(EF[Vector], Vectors[Code], 0))</f>
        <v>Waste</v>
      </c>
      <c r="D61" s="153">
        <v>0</v>
      </c>
      <c r="E61" s="153">
        <v>0</v>
      </c>
      <c r="F61" s="153">
        <v>0</v>
      </c>
      <c r="G61" s="153">
        <f>SUM(EF[[#This Row],[CO2]:[N2O]])</f>
        <v>0</v>
      </c>
      <c r="H61" s="84"/>
    </row>
    <row r="62" spans="1:8" ht="15.75" x14ac:dyDescent="0.25">
      <c r="A62" s="3"/>
      <c r="B62" s="84" t="s">
        <v>46</v>
      </c>
      <c r="C62" s="84" t="str">
        <f>INDEX(Vectors[Description], MATCH(EF[Vector], Vectors[Code], 0))</f>
        <v>Biomass oversupply (imports)</v>
      </c>
      <c r="D62" s="153">
        <v>0</v>
      </c>
      <c r="E62" s="153">
        <v>0</v>
      </c>
      <c r="F62" s="153">
        <v>0</v>
      </c>
      <c r="G62" s="153">
        <f>SUM(EF[[#This Row],[CO2]:[N2O]])</f>
        <v>0</v>
      </c>
      <c r="H62" s="84"/>
    </row>
    <row r="63" spans="1:8" ht="15.75" x14ac:dyDescent="0.25">
      <c r="A63" s="3"/>
      <c r="B63" s="84" t="s">
        <v>47</v>
      </c>
      <c r="C63" s="84" t="str">
        <f>INDEX(Vectors[Description], MATCH(EF[Vector], Vectors[Code], 0))</f>
        <v>Electricity oversupply (imports)</v>
      </c>
      <c r="D63" s="153">
        <v>0</v>
      </c>
      <c r="E63" s="153">
        <v>0</v>
      </c>
      <c r="F63" s="153">
        <v>0</v>
      </c>
      <c r="G63" s="153">
        <f>SUM(EF[[#This Row],[CO2]:[N2O]])</f>
        <v>0</v>
      </c>
      <c r="H63" s="84"/>
    </row>
    <row r="64" spans="1:8" ht="15.75" x14ac:dyDescent="0.25">
      <c r="A64" s="3"/>
      <c r="B64" s="84" t="s">
        <v>323</v>
      </c>
      <c r="C64" s="84" t="str">
        <f>INDEX(Vectors[Description], MATCH(EF[Vector], Vectors[Code], 0))</f>
        <v>Petroleum products oversupply</v>
      </c>
      <c r="D64" s="153">
        <v>0</v>
      </c>
      <c r="E64" s="153">
        <v>0</v>
      </c>
      <c r="F64" s="153">
        <v>0</v>
      </c>
      <c r="G64" s="153">
        <f>SUM(EF[[#This Row],[CO2]:[N2O]])</f>
        <v>0</v>
      </c>
      <c r="H64" s="84"/>
    </row>
    <row r="65" spans="1:8" ht="15.75" x14ac:dyDescent="0.25">
      <c r="A65" s="3"/>
      <c r="B65" s="84" t="s">
        <v>417</v>
      </c>
      <c r="C65" s="84" t="str">
        <f>INDEX(Vectors[Description], MATCH(EF[Vector], Vectors[Code], 0))</f>
        <v>Coal oversupply (imports)</v>
      </c>
      <c r="D65" s="153">
        <v>0</v>
      </c>
      <c r="E65" s="153">
        <v>0</v>
      </c>
      <c r="F65" s="153">
        <v>0</v>
      </c>
      <c r="G65" s="153">
        <f>SUM(EF[[#This Row],[CO2]:[N2O]])</f>
        <v>0</v>
      </c>
      <c r="H65" s="84"/>
    </row>
    <row r="66" spans="1:8" ht="15.75" x14ac:dyDescent="0.25">
      <c r="A66" s="3"/>
      <c r="B66" s="84" t="s">
        <v>418</v>
      </c>
      <c r="C66" s="84" t="str">
        <f>INDEX(Vectors[Description], MATCH(EF[Vector], Vectors[Code], 0))</f>
        <v>Oil and petroleum products oversupply (imports)</v>
      </c>
      <c r="D66" s="153">
        <v>0</v>
      </c>
      <c r="E66" s="153">
        <v>0</v>
      </c>
      <c r="F66" s="153">
        <v>0</v>
      </c>
      <c r="G66" s="153">
        <f>SUM(EF[[#This Row],[CO2]:[N2O]])</f>
        <v>0</v>
      </c>
      <c r="H66" s="84"/>
    </row>
    <row r="67" spans="1:8" ht="15.75" x14ac:dyDescent="0.25">
      <c r="A67" s="3"/>
      <c r="B67" s="84" t="s">
        <v>419</v>
      </c>
      <c r="C67" s="84" t="str">
        <f>INDEX(Vectors[Description], MATCH(EF[Vector], Vectors[Code], 0))</f>
        <v>Gas oversupply (imports)</v>
      </c>
      <c r="D67" s="153">
        <v>0</v>
      </c>
      <c r="E67" s="153">
        <v>0</v>
      </c>
      <c r="F67" s="153">
        <v>0</v>
      </c>
      <c r="G67" s="153">
        <f>SUM(EF[[#This Row],[CO2]:[N2O]])</f>
        <v>0</v>
      </c>
      <c r="H67" s="84"/>
    </row>
    <row r="68" spans="1:8" ht="15.75" x14ac:dyDescent="0.25">
      <c r="A68" s="3"/>
      <c r="B68" s="84" t="s">
        <v>425</v>
      </c>
      <c r="C68" s="84" t="str">
        <f>INDEX(Vectors[Description], MATCH(EF[Vector], Vectors[Code], 0))</f>
        <v>Coal reserves</v>
      </c>
      <c r="D68" s="40">
        <f>EF.IndustrialCoal.CO2</f>
        <v>0.30799999999999994</v>
      </c>
      <c r="E68" s="40">
        <f>EF.IndustrialCoal.CH4</f>
        <v>9.0479269613658628E-4</v>
      </c>
      <c r="F68" s="40">
        <f>EF.IndustrialCoal.N2O</f>
        <v>2.7284221385464481E-3</v>
      </c>
      <c r="G68" s="40">
        <f>SUM(EF[[#This Row],[CO2]:[N2O]])</f>
        <v>0.31163321483468298</v>
      </c>
      <c r="H68" s="84" t="s">
        <v>487</v>
      </c>
    </row>
    <row r="69" spans="1:8" ht="15.75" x14ac:dyDescent="0.25">
      <c r="A69" s="3"/>
      <c r="B69" s="84" t="s">
        <v>426</v>
      </c>
      <c r="C69" s="84" t="str">
        <f>INDEX(Vectors[Description], MATCH(EF[Vector], Vectors[Code], 0))</f>
        <v>Oil reserves</v>
      </c>
      <c r="D69" s="40">
        <f>EF.Diesel.CO2</f>
        <v>0.25</v>
      </c>
      <c r="E69" s="40">
        <f>EF.Diesel.CH4</f>
        <v>3.1124901306220826E-4</v>
      </c>
      <c r="F69" s="40">
        <f>EF.Diesel.N2O</f>
        <v>4.4980122726580142E-3</v>
      </c>
      <c r="G69" s="40">
        <f>SUM(EF[[#This Row],[CO2]:[N2O]])</f>
        <v>0.25480926128572023</v>
      </c>
      <c r="H69" s="84" t="s">
        <v>488</v>
      </c>
    </row>
    <row r="70" spans="1:8" ht="15.75" x14ac:dyDescent="0.25">
      <c r="A70" s="3"/>
      <c r="B70" s="84" t="s">
        <v>427</v>
      </c>
      <c r="C70" s="84" t="str">
        <f>INDEX(Vectors[Description], MATCH(EF[Vector], Vectors[Code], 0))</f>
        <v>Gas reserves</v>
      </c>
      <c r="D70" s="40">
        <f>EF.NaturalGas.CO2</f>
        <v>0.18399999999999997</v>
      </c>
      <c r="E70" s="40">
        <f>EF.NaturalGas.CH4</f>
        <v>3.6882537033173374E-4</v>
      </c>
      <c r="F70" s="40">
        <f>EF.NaturalGas.N2O</f>
        <v>3.9668961680228111E-4</v>
      </c>
      <c r="G70" s="40">
        <f>SUM(EF[[#This Row],[CO2]:[N2O]])</f>
        <v>0.18476551498713398</v>
      </c>
      <c r="H70" s="84" t="s">
        <v>489</v>
      </c>
    </row>
    <row r="71" spans="1:8" ht="15.75" x14ac:dyDescent="0.25">
      <c r="A71" s="3"/>
      <c r="B71" s="84" t="s">
        <v>51</v>
      </c>
      <c r="C71" s="84" t="str">
        <f>INDEX(Vectors[Description], MATCH(EF[Vector], Vectors[Code], 0))</f>
        <v>Coal and fossil waste</v>
      </c>
      <c r="D71" s="40">
        <f>EF.IndustrialCoal.CO2</f>
        <v>0.30799999999999994</v>
      </c>
      <c r="E71" s="40">
        <f>EF.IndustrialCoal.CH4</f>
        <v>9.0479269613658628E-4</v>
      </c>
      <c r="F71" s="40">
        <f>EF.IndustrialCoal.N2O</f>
        <v>2.7284221385464481E-3</v>
      </c>
      <c r="G71" s="40">
        <f>SUM(EF[[#This Row],[CO2]:[N2O]])</f>
        <v>0.31163321483468298</v>
      </c>
      <c r="H71" s="84" t="s">
        <v>487</v>
      </c>
    </row>
    <row r="72" spans="1:8" ht="15.75" x14ac:dyDescent="0.25">
      <c r="A72" s="3"/>
      <c r="B72" s="84" t="s">
        <v>52</v>
      </c>
      <c r="C72" s="84" t="str">
        <f>INDEX(Vectors[Description], MATCH(EF[Vector], Vectors[Code], 0))</f>
        <v>Oil and petroleum products</v>
      </c>
      <c r="D72" s="40">
        <f>EF.Diesel.CO2</f>
        <v>0.25</v>
      </c>
      <c r="E72" s="40">
        <f>EF.Diesel.CH4</f>
        <v>3.1124901306220826E-4</v>
      </c>
      <c r="F72" s="40">
        <f>EF.Diesel.N2O</f>
        <v>4.4980122726580142E-3</v>
      </c>
      <c r="G72" s="40">
        <f>SUM(EF[[#This Row],[CO2]:[N2O]])</f>
        <v>0.25480926128572023</v>
      </c>
      <c r="H72" s="84" t="s">
        <v>488</v>
      </c>
    </row>
    <row r="73" spans="1:8" ht="15.75" x14ac:dyDescent="0.25">
      <c r="A73" s="3"/>
      <c r="B73" s="84" t="s">
        <v>53</v>
      </c>
      <c r="C73" s="84" t="str">
        <f>INDEX(Vectors[Description], MATCH(EF[Vector], Vectors[Code], 0))</f>
        <v>Natural gas</v>
      </c>
      <c r="D73" s="40">
        <f>EF.NaturalGas.CO2</f>
        <v>0.18399999999999997</v>
      </c>
      <c r="E73" s="40">
        <f>EF.NaturalGas.CH4</f>
        <v>3.6882537033173374E-4</v>
      </c>
      <c r="F73" s="40">
        <f>EF.NaturalGas.N2O</f>
        <v>3.9668961680228111E-4</v>
      </c>
      <c r="G73" s="40">
        <f>SUM(EF[[#This Row],[CO2]:[N2O]])</f>
        <v>0.18476551498713398</v>
      </c>
      <c r="H73" s="84" t="s">
        <v>489</v>
      </c>
    </row>
    <row r="74" spans="1:8" ht="15.75" x14ac:dyDescent="0.25">
      <c r="A74" s="3"/>
      <c r="B74" s="84" t="s">
        <v>34</v>
      </c>
      <c r="C74" s="84" t="str">
        <f>INDEX(Vectors[Description], MATCH(EF[Vector], Vectors[Code], 0))</f>
        <v>Electricity (delivered to end user)</v>
      </c>
      <c r="D74" s="153">
        <v>0</v>
      </c>
      <c r="E74" s="153">
        <v>0</v>
      </c>
      <c r="F74" s="153">
        <v>0</v>
      </c>
      <c r="G74" s="153">
        <f>SUM(EF[[#This Row],[CO2]:[N2O]])</f>
        <v>0</v>
      </c>
      <c r="H74" s="84"/>
    </row>
    <row r="75" spans="1:8" ht="15.75" x14ac:dyDescent="0.25">
      <c r="A75" s="3"/>
      <c r="B75" s="84" t="s">
        <v>35</v>
      </c>
      <c r="C75" s="84" t="str">
        <f>INDEX(Vectors[Description], MATCH(EF[Vector], Vectors[Code], 0))</f>
        <v>Electricity (supplied to grid)</v>
      </c>
      <c r="D75" s="153">
        <v>0</v>
      </c>
      <c r="E75" s="153">
        <v>0</v>
      </c>
      <c r="F75" s="153">
        <v>0</v>
      </c>
      <c r="G75" s="153">
        <f>SUM(EF[[#This Row],[CO2]:[N2O]])</f>
        <v>0</v>
      </c>
      <c r="H75" s="84"/>
    </row>
    <row r="76" spans="1:8" ht="15.75" x14ac:dyDescent="0.25">
      <c r="A76" s="3"/>
      <c r="B76" s="84" t="s">
        <v>36</v>
      </c>
      <c r="C76" s="84" t="str">
        <f>INDEX(Vectors[Description], MATCH(EF[Vector], Vectors[Code], 0))</f>
        <v>Solid hydrocarbons</v>
      </c>
      <c r="D76" s="40">
        <f>EF.IndustrialCoal.CO2</f>
        <v>0.30799999999999994</v>
      </c>
      <c r="E76" s="40">
        <f>EF.IndustrialCoal.CH4</f>
        <v>9.0479269613658628E-4</v>
      </c>
      <c r="F76" s="40">
        <f>EF.IndustrialCoal.N2O</f>
        <v>2.7284221385464481E-3</v>
      </c>
      <c r="G76" s="40">
        <f>SUM(EF[[#This Row],[CO2]:[N2O]])</f>
        <v>0.31163321483468298</v>
      </c>
      <c r="H76" s="84" t="s">
        <v>487</v>
      </c>
    </row>
    <row r="77" spans="1:8" ht="15.75" x14ac:dyDescent="0.25">
      <c r="A77" s="3"/>
      <c r="B77" s="84" t="s">
        <v>38</v>
      </c>
      <c r="C77" s="84" t="str">
        <f>INDEX(Vectors[Description], MATCH(EF[Vector], Vectors[Code], 0))</f>
        <v>Liquid hydrocarbons</v>
      </c>
      <c r="D77" s="40">
        <f>EF.Diesel.CO2</f>
        <v>0.25</v>
      </c>
      <c r="E77" s="40">
        <f>EF.Diesel.CH4</f>
        <v>3.1124901306220826E-4</v>
      </c>
      <c r="F77" s="40">
        <f>EF.Diesel.N2O</f>
        <v>4.4980122726580142E-3</v>
      </c>
      <c r="G77" s="40">
        <f>SUM(EF[[#This Row],[CO2]:[N2O]])</f>
        <v>0.25480926128572023</v>
      </c>
      <c r="H77" s="84" t="s">
        <v>488</v>
      </c>
    </row>
    <row r="78" spans="1:8" ht="15.75" x14ac:dyDescent="0.25">
      <c r="A78" s="3"/>
      <c r="B78" s="84" t="s">
        <v>39</v>
      </c>
      <c r="C78" s="84" t="str">
        <f>INDEX(Vectors[Description], MATCH(EF[Vector], Vectors[Code], 0))</f>
        <v>Gaseous hydrocarbons</v>
      </c>
      <c r="D78" s="40">
        <f>EF.NaturalGas.CO2</f>
        <v>0.18399999999999997</v>
      </c>
      <c r="E78" s="40">
        <f>EF.NaturalGas.CH4</f>
        <v>3.6882537033173374E-4</v>
      </c>
      <c r="F78" s="40">
        <f>EF.NaturalGas.N2O</f>
        <v>3.9668961680228111E-4</v>
      </c>
      <c r="G78" s="40">
        <f>SUM(EF[[#This Row],[CO2]:[N2O]])</f>
        <v>0.18476551498713398</v>
      </c>
      <c r="H78" s="84" t="s">
        <v>489</v>
      </c>
    </row>
    <row r="79" spans="1:8" ht="15.75" x14ac:dyDescent="0.25">
      <c r="A79" s="3"/>
      <c r="B79" s="84" t="s">
        <v>92</v>
      </c>
      <c r="C79" s="84" t="str">
        <f>INDEX(Vectors[Description], MATCH(EF[Vector], Vectors[Code], 0))</f>
        <v>Blast furnace gas</v>
      </c>
      <c r="D79" s="40">
        <f>EF.BlastFurnaceGas.CO2</f>
        <v>0.78482259931212373</v>
      </c>
      <c r="E79" s="153">
        <v>0</v>
      </c>
      <c r="F79" s="153">
        <v>0</v>
      </c>
      <c r="G79" s="153">
        <f>SUM(EF[[#This Row],[CO2]:[N2O]])</f>
        <v>0.78482259931212373</v>
      </c>
      <c r="H79" s="84"/>
    </row>
    <row r="80" spans="1:8" ht="15.75" x14ac:dyDescent="0.25">
      <c r="A80" s="3"/>
      <c r="B80" s="84" t="s">
        <v>294</v>
      </c>
      <c r="C80" s="84" t="str">
        <f>INDEX(Vectors[Description], MATCH(EF[Vector], Vectors[Code], 0))</f>
        <v>Heat transport</v>
      </c>
      <c r="D80" s="153">
        <v>0</v>
      </c>
      <c r="E80" s="153">
        <v>0</v>
      </c>
      <c r="F80" s="153">
        <v>0</v>
      </c>
      <c r="G80" s="153">
        <f>SUM(EF[[#This Row],[CO2]:[N2O]])</f>
        <v>0</v>
      </c>
      <c r="H80" s="84"/>
    </row>
    <row r="81" spans="1:11" ht="15.75" x14ac:dyDescent="0.25">
      <c r="A81" s="3"/>
      <c r="B81" s="84" t="s">
        <v>295</v>
      </c>
      <c r="C81" s="84" t="str">
        <f>INDEX(Vectors[Description], MATCH(EF[Vector], Vectors[Code], 0))</f>
        <v>Edible biomass</v>
      </c>
      <c r="D81" s="153">
        <v>0</v>
      </c>
      <c r="E81" s="153">
        <v>0</v>
      </c>
      <c r="F81" s="153">
        <v>0</v>
      </c>
      <c r="G81" s="153">
        <f>SUM(EF[[#This Row],[CO2]:[N2O]])</f>
        <v>0</v>
      </c>
      <c r="H81" s="84"/>
      <c r="K81" s="24"/>
    </row>
    <row r="82" spans="1:11" ht="15.75" x14ac:dyDescent="0.25">
      <c r="A82" s="3"/>
      <c r="B82" s="84" t="s">
        <v>296</v>
      </c>
      <c r="C82" s="84" t="str">
        <f>INDEX(Vectors[Description], MATCH(EF[Vector], Vectors[Code], 0))</f>
        <v>Dry biomass and waste</v>
      </c>
      <c r="D82" s="153">
        <v>0</v>
      </c>
      <c r="E82" s="153">
        <v>0</v>
      </c>
      <c r="F82" s="153">
        <v>0</v>
      </c>
      <c r="G82" s="153">
        <f>SUM(EF[[#This Row],[CO2]:[N2O]])</f>
        <v>0</v>
      </c>
      <c r="H82" s="84"/>
      <c r="K82" s="24"/>
    </row>
    <row r="83" spans="1:11" ht="15.75" x14ac:dyDescent="0.25">
      <c r="A83" s="3"/>
      <c r="B83" s="84" t="s">
        <v>383</v>
      </c>
      <c r="C83" s="84" t="str">
        <f>INDEX(Vectors[Description], MATCH(EF[Vector], Vectors[Code], 0))</f>
        <v>Wet biomass and waste</v>
      </c>
      <c r="D83" s="153">
        <v>0</v>
      </c>
      <c r="E83" s="153">
        <v>0</v>
      </c>
      <c r="F83" s="153">
        <v>0</v>
      </c>
      <c r="G83" s="153">
        <f>SUM(EF[[#This Row],[CO2]:[N2O]])</f>
        <v>0</v>
      </c>
      <c r="H83" s="84"/>
    </row>
    <row r="84" spans="1:11" ht="15.75" x14ac:dyDescent="0.25">
      <c r="A84" s="3"/>
      <c r="B84" s="26" t="s">
        <v>2184</v>
      </c>
      <c r="C84" s="26" t="str">
        <f>INDEX(Vectors[Description], MATCH(EF[Vector], Vectors[Code], 0))</f>
        <v>Traditional Fuel</v>
      </c>
      <c r="D84" s="40">
        <v>0</v>
      </c>
      <c r="E84" s="40">
        <v>0</v>
      </c>
      <c r="F84" s="40">
        <v>0</v>
      </c>
      <c r="G84" s="40">
        <v>0</v>
      </c>
      <c r="H84" s="84" t="s">
        <v>2429</v>
      </c>
    </row>
    <row r="85" spans="1:11" ht="15.75" x14ac:dyDescent="0.25">
      <c r="A85" s="3"/>
    </row>
    <row r="86" spans="1:11" ht="15.75" x14ac:dyDescent="0.25">
      <c r="A86" s="3"/>
    </row>
    <row r="87" spans="1:11" ht="15.75" x14ac:dyDescent="0.25">
      <c r="A87" s="3"/>
    </row>
    <row r="88" spans="1:11" ht="15.75" x14ac:dyDescent="0.25">
      <c r="A88" s="3"/>
    </row>
    <row r="89" spans="1:11" ht="15.75" x14ac:dyDescent="0.25">
      <c r="A89" s="3"/>
    </row>
    <row r="90" spans="1:11" ht="15.75" x14ac:dyDescent="0.25">
      <c r="A90" s="3"/>
    </row>
    <row r="91" spans="1:11" ht="15.75" x14ac:dyDescent="0.25">
      <c r="A91" s="3"/>
    </row>
  </sheetData>
  <pageMargins left="0.7" right="0.7" top="0.75" bottom="0.75" header="0.3" footer="0.3"/>
  <pageSetup paperSize="9" orientation="portrait"/>
  <tableParts count="2">
    <tablePart r:id="rId1"/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enableFormatConditionsCalculation="0">
    <pageSetUpPr autoPageBreaks="0"/>
  </sheetPr>
  <dimension ref="A1:Z80"/>
  <sheetViews>
    <sheetView windowProtection="1" workbookViewId="0"/>
  </sheetViews>
  <sheetFormatPr defaultColWidth="8.7109375" defaultRowHeight="15.75" x14ac:dyDescent="0.25"/>
  <cols>
    <col min="1" max="1" width="1" customWidth="1"/>
    <col min="2" max="2" width="8.42578125" customWidth="1"/>
    <col min="3" max="3" width="41.7109375" customWidth="1"/>
    <col min="4" max="4" width="5.7109375" customWidth="1"/>
    <col min="5" max="5" width="1" style="38" customWidth="1"/>
    <col min="6" max="6" width="8.42578125" style="38" customWidth="1"/>
    <col min="7" max="7" width="32" style="38" customWidth="1"/>
    <col min="8" max="8" width="10.42578125" style="38" customWidth="1"/>
    <col min="9" max="9" width="32" style="38" customWidth="1"/>
    <col min="10" max="10" width="43.42578125" style="38" customWidth="1"/>
    <col min="11" max="11" width="5.7109375" customWidth="1"/>
    <col min="12" max="12" width="1" style="3" customWidth="1"/>
    <col min="13" max="13" width="16.140625" style="3" customWidth="1"/>
    <col min="14" max="14" width="21" style="8" customWidth="1"/>
    <col min="15" max="15" width="9.42578125" style="2" customWidth="1"/>
    <col min="16" max="16" width="29.42578125" style="3" customWidth="1"/>
    <col min="17" max="17" width="38.140625" style="13" customWidth="1"/>
    <col min="19" max="19" width="1" customWidth="1"/>
    <col min="20" max="20" width="14.42578125" customWidth="1"/>
    <col min="21" max="21" width="35.7109375" customWidth="1"/>
    <col min="22" max="22" width="61" customWidth="1"/>
    <col min="24" max="24" width="9" customWidth="1"/>
    <col min="25" max="25" width="26.7109375" customWidth="1"/>
    <col min="26" max="26" width="13.42578125" customWidth="1"/>
  </cols>
  <sheetData>
    <row r="1" spans="1:26" s="1614" customFormat="1" x14ac:dyDescent="0.25">
      <c r="B1" s="1614" t="s">
        <v>1782</v>
      </c>
      <c r="L1" s="3"/>
      <c r="M1" s="3"/>
      <c r="N1" s="8"/>
      <c r="O1" s="2"/>
      <c r="P1" s="3"/>
      <c r="Q1" s="1613"/>
      <c r="S1" s="3"/>
      <c r="T1"/>
      <c r="U1"/>
      <c r="V1"/>
      <c r="W1"/>
    </row>
    <row r="2" spans="1:26" s="1614" customFormat="1" x14ac:dyDescent="0.25">
      <c r="B2" s="1614" t="s">
        <v>1783</v>
      </c>
      <c r="L2" s="3"/>
      <c r="M2" s="3"/>
      <c r="N2" s="8"/>
      <c r="O2" s="2"/>
      <c r="P2" s="3"/>
      <c r="Q2" s="1613"/>
      <c r="S2" s="3"/>
    </row>
    <row r="3" spans="1:26" s="38" customFormat="1" x14ac:dyDescent="0.25">
      <c r="A3" s="3"/>
      <c r="E3" s="3"/>
      <c r="L3" s="3"/>
      <c r="M3" s="3"/>
      <c r="N3" s="8"/>
      <c r="O3" s="2"/>
      <c r="P3" s="3"/>
      <c r="Q3" s="13"/>
      <c r="S3" s="3"/>
    </row>
    <row r="4" spans="1:26" ht="18" x14ac:dyDescent="0.25">
      <c r="A4" s="3"/>
      <c r="B4" s="4" t="s">
        <v>221</v>
      </c>
      <c r="E4" s="3"/>
      <c r="F4" s="4" t="s">
        <v>287</v>
      </c>
      <c r="G4" s="4"/>
      <c r="H4" s="4"/>
      <c r="I4" s="4"/>
      <c r="L4" s="89"/>
      <c r="M4" s="4" t="s">
        <v>13</v>
      </c>
      <c r="N4" s="9"/>
      <c r="O4" s="5"/>
      <c r="P4" s="5"/>
      <c r="Q4" s="12"/>
      <c r="S4" s="100"/>
      <c r="T4" s="134" t="s">
        <v>467</v>
      </c>
      <c r="X4" s="134" t="s">
        <v>1398</v>
      </c>
      <c r="Y4" s="1352"/>
      <c r="Z4" s="1352"/>
    </row>
    <row r="5" spans="1:26" x14ac:dyDescent="0.25">
      <c r="A5" s="3"/>
      <c r="E5" s="3"/>
      <c r="L5" s="89"/>
      <c r="M5" s="6"/>
      <c r="N5" s="9"/>
      <c r="O5" s="5"/>
      <c r="P5" s="5"/>
      <c r="Q5" s="12"/>
      <c r="S5" s="89"/>
      <c r="X5" s="1352"/>
      <c r="Y5" s="1352"/>
      <c r="Z5" s="1352"/>
    </row>
    <row r="6" spans="1:26" ht="18.75" thickBot="1" x14ac:dyDescent="0.3">
      <c r="A6" s="99"/>
      <c r="B6" s="22" t="s">
        <v>69</v>
      </c>
      <c r="C6" s="22" t="s">
        <v>222</v>
      </c>
      <c r="E6" s="99"/>
      <c r="F6" s="215" t="s">
        <v>69</v>
      </c>
      <c r="G6" s="215" t="s">
        <v>289</v>
      </c>
      <c r="H6" s="215" t="s">
        <v>290</v>
      </c>
      <c r="I6" s="215" t="s">
        <v>222</v>
      </c>
      <c r="J6" s="215" t="s">
        <v>223</v>
      </c>
      <c r="L6" s="100"/>
      <c r="M6" s="10" t="s">
        <v>67</v>
      </c>
      <c r="N6" s="10" t="s">
        <v>68</v>
      </c>
      <c r="O6" s="10" t="s">
        <v>69</v>
      </c>
      <c r="P6" s="10" t="s">
        <v>65</v>
      </c>
      <c r="Q6" s="21" t="s">
        <v>66</v>
      </c>
      <c r="S6" s="89"/>
      <c r="T6" s="84" t="s">
        <v>465</v>
      </c>
      <c r="U6" s="84" t="s">
        <v>466</v>
      </c>
      <c r="V6" s="84" t="s">
        <v>66</v>
      </c>
      <c r="X6" s="1354" t="s">
        <v>69</v>
      </c>
      <c r="Y6" s="1354" t="s">
        <v>65</v>
      </c>
      <c r="Z6" s="1355" t="s">
        <v>66</v>
      </c>
    </row>
    <row r="7" spans="1:26" s="88" customFormat="1" ht="16.5" thickTop="1" x14ac:dyDescent="0.2">
      <c r="A7" s="316"/>
      <c r="B7" s="88" t="s">
        <v>60</v>
      </c>
      <c r="C7" s="88" t="s">
        <v>179</v>
      </c>
      <c r="E7" s="11"/>
      <c r="F7" s="88" t="s">
        <v>288</v>
      </c>
      <c r="G7" s="84" t="s">
        <v>2148</v>
      </c>
      <c r="H7" s="115" t="str">
        <f>LEFT(Modules[Code], FIND(".", Modules[Code])-1)</f>
        <v>I</v>
      </c>
      <c r="I7" s="115" t="str">
        <f>INDEX(Workstreams[Workstream], MATCH(Modules[WS Code], Workstreams[Code], 0))</f>
        <v>Hydrocarbon fuel power generation</v>
      </c>
      <c r="J7" s="84" t="s">
        <v>1217</v>
      </c>
      <c r="L7" s="11"/>
      <c r="M7" s="18" t="s">
        <v>20</v>
      </c>
      <c r="N7" s="18" t="s">
        <v>45</v>
      </c>
      <c r="O7" s="20" t="s">
        <v>26</v>
      </c>
      <c r="P7" s="18" t="s">
        <v>15</v>
      </c>
      <c r="Q7" s="19"/>
      <c r="S7" s="89"/>
      <c r="T7" s="383" t="s">
        <v>483</v>
      </c>
      <c r="U7" s="84" t="s">
        <v>462</v>
      </c>
      <c r="V7" s="84" t="s">
        <v>614</v>
      </c>
      <c r="W7"/>
      <c r="X7" s="1495"/>
      <c r="Y7" s="1495"/>
      <c r="Z7" s="1496"/>
    </row>
    <row r="8" spans="1:26" s="88" customFormat="1" x14ac:dyDescent="0.2">
      <c r="A8" s="316"/>
      <c r="B8" s="88" t="s">
        <v>61</v>
      </c>
      <c r="C8" s="88" t="s">
        <v>180</v>
      </c>
      <c r="E8" s="11"/>
      <c r="F8" s="88" t="s">
        <v>352</v>
      </c>
      <c r="G8" s="84" t="s">
        <v>2411</v>
      </c>
      <c r="H8" s="115" t="str">
        <f>LEFT(Modules[Code], FIND(".", Modules[Code])-1)</f>
        <v>I</v>
      </c>
      <c r="I8" s="118" t="str">
        <f>INDEX(Workstreams[Workstream], MATCH(Modules[WS Code], Workstreams[Code], 0))</f>
        <v>Hydrocarbon fuel power generation</v>
      </c>
      <c r="J8" s="84"/>
      <c r="L8" s="11"/>
      <c r="M8" s="18" t="s">
        <v>20</v>
      </c>
      <c r="N8" s="18" t="s">
        <v>45</v>
      </c>
      <c r="O8" s="20" t="s">
        <v>27</v>
      </c>
      <c r="P8" s="18" t="s">
        <v>16</v>
      </c>
      <c r="Q8" s="19"/>
      <c r="S8" s="89"/>
      <c r="T8" s="383" t="s">
        <v>482</v>
      </c>
      <c r="U8" s="84" t="s">
        <v>484</v>
      </c>
      <c r="V8" s="84"/>
      <c r="W8" s="38"/>
      <c r="X8" s="1495"/>
      <c r="Y8" s="1495"/>
      <c r="Z8" s="1496"/>
    </row>
    <row r="9" spans="1:26" s="88" customFormat="1" x14ac:dyDescent="0.2">
      <c r="A9" s="316"/>
      <c r="B9" s="88" t="s">
        <v>62</v>
      </c>
      <c r="C9" s="88" t="s">
        <v>181</v>
      </c>
      <c r="E9" s="11"/>
      <c r="F9" s="88" t="s">
        <v>2146</v>
      </c>
      <c r="G9" s="84" t="s">
        <v>2147</v>
      </c>
      <c r="H9" s="115" t="str">
        <f>LEFT(Modules[Code], FIND(".", Modules[Code])-1)</f>
        <v>I</v>
      </c>
      <c r="I9" s="118" t="str">
        <f>INDEX(Workstreams[Workstream], MATCH(Modules[WS Code], Workstreams[Code], 0))</f>
        <v>Hydrocarbon fuel power generation</v>
      </c>
      <c r="J9" s="84"/>
      <c r="L9" s="11"/>
      <c r="M9" s="18" t="s">
        <v>20</v>
      </c>
      <c r="N9" s="20" t="s">
        <v>23</v>
      </c>
      <c r="O9" s="20" t="s">
        <v>48</v>
      </c>
      <c r="P9" s="18" t="s">
        <v>23</v>
      </c>
      <c r="Q9" s="19"/>
      <c r="S9" s="89"/>
      <c r="T9" s="84">
        <v>2</v>
      </c>
      <c r="U9" s="84" t="s">
        <v>463</v>
      </c>
      <c r="V9" s="84"/>
      <c r="W9"/>
      <c r="X9" s="1356" t="s">
        <v>1391</v>
      </c>
      <c r="Y9" s="1357" t="s">
        <v>1392</v>
      </c>
      <c r="Z9" s="1358"/>
    </row>
    <row r="10" spans="1:26" s="88" customFormat="1" x14ac:dyDescent="0.2">
      <c r="A10" s="316"/>
      <c r="B10" s="88" t="s">
        <v>63</v>
      </c>
      <c r="C10" s="88" t="s">
        <v>792</v>
      </c>
      <c r="E10" s="11"/>
      <c r="F10" s="88" t="s">
        <v>2382</v>
      </c>
      <c r="G10" s="84" t="s">
        <v>2401</v>
      </c>
      <c r="H10" s="115" t="str">
        <f>LEFT(Modules[Code], FIND(".", Modules[Code])-1)</f>
        <v>I</v>
      </c>
      <c r="I10" s="118" t="str">
        <f>INDEX(Workstreams[Workstream], MATCH(Modules[WS Code], Workstreams[Code], 0))</f>
        <v>Hydrocarbon fuel power generation</v>
      </c>
      <c r="J10" s="84"/>
      <c r="L10" s="11"/>
      <c r="M10" s="14" t="s">
        <v>59</v>
      </c>
      <c r="N10" s="20" t="s">
        <v>17</v>
      </c>
      <c r="O10" s="20" t="s">
        <v>28</v>
      </c>
      <c r="P10" s="84" t="s">
        <v>444</v>
      </c>
      <c r="Q10" s="19"/>
      <c r="S10" s="89"/>
      <c r="T10" s="84">
        <v>3</v>
      </c>
      <c r="U10" s="84" t="s">
        <v>464</v>
      </c>
      <c r="V10" s="84" t="s">
        <v>510</v>
      </c>
      <c r="W10"/>
      <c r="X10" s="1356" t="s">
        <v>1866</v>
      </c>
      <c r="Y10" s="1357" t="s">
        <v>1867</v>
      </c>
      <c r="Z10" s="1358"/>
    </row>
    <row r="11" spans="1:26" s="88" customFormat="1" x14ac:dyDescent="0.2">
      <c r="A11" s="316"/>
      <c r="B11" s="88" t="s">
        <v>224</v>
      </c>
      <c r="C11" s="88" t="s">
        <v>1189</v>
      </c>
      <c r="E11" s="11"/>
      <c r="F11" s="117" t="s">
        <v>297</v>
      </c>
      <c r="G11" s="26" t="s">
        <v>796</v>
      </c>
      <c r="H11" s="118" t="str">
        <f>LEFT(Modules[Code], FIND(".", Modules[Code])-1)</f>
        <v>II</v>
      </c>
      <c r="I11" s="118" t="str">
        <f>INDEX(Workstreams[Workstream], MATCH(Modules[WS Code], Workstreams[Code], 0))</f>
        <v>Nuclear power generation</v>
      </c>
      <c r="J11" s="26"/>
      <c r="L11" s="11"/>
      <c r="M11" s="14" t="s">
        <v>59</v>
      </c>
      <c r="N11" s="20" t="s">
        <v>17</v>
      </c>
      <c r="O11" s="20" t="s">
        <v>29</v>
      </c>
      <c r="P11" s="84" t="s">
        <v>445</v>
      </c>
      <c r="Q11" s="19"/>
      <c r="S11" s="89"/>
      <c r="T11" s="84">
        <v>4</v>
      </c>
      <c r="U11" s="84" t="s">
        <v>114</v>
      </c>
      <c r="V11" s="84" t="s">
        <v>615</v>
      </c>
      <c r="W11"/>
      <c r="X11" s="1356" t="s">
        <v>1382</v>
      </c>
      <c r="Y11" s="1357" t="s">
        <v>1383</v>
      </c>
      <c r="Z11" s="1358"/>
    </row>
    <row r="12" spans="1:26" s="88" customFormat="1" x14ac:dyDescent="0.2">
      <c r="A12" s="316"/>
      <c r="B12" s="88" t="s">
        <v>225</v>
      </c>
      <c r="C12" s="88" t="s">
        <v>2066</v>
      </c>
      <c r="E12" s="11"/>
      <c r="F12" s="117" t="s">
        <v>864</v>
      </c>
      <c r="G12" s="26" t="s">
        <v>184</v>
      </c>
      <c r="H12" s="118" t="str">
        <f>LEFT(Modules[Code], FIND(".", Modules[Code])-1)</f>
        <v>III</v>
      </c>
      <c r="I12" s="118" t="str">
        <f>INDEX(Workstreams[Workstream], MATCH(Modules[WS Code], Workstreams[Code], 0))</f>
        <v>National renewable power generation</v>
      </c>
      <c r="J12" s="26"/>
      <c r="L12" s="11"/>
      <c r="M12" s="14" t="s">
        <v>59</v>
      </c>
      <c r="N12" s="20" t="s">
        <v>17</v>
      </c>
      <c r="O12" s="20" t="s">
        <v>30</v>
      </c>
      <c r="P12" s="84" t="s">
        <v>397</v>
      </c>
      <c r="Q12" s="19"/>
      <c r="S12" s="89"/>
      <c r="T12" s="84">
        <v>5</v>
      </c>
      <c r="U12" s="84" t="s">
        <v>651</v>
      </c>
      <c r="V12" s="84"/>
      <c r="W12"/>
      <c r="X12" s="1356" t="s">
        <v>1393</v>
      </c>
      <c r="Y12" s="1357" t="s">
        <v>1394</v>
      </c>
      <c r="Z12" s="1358"/>
    </row>
    <row r="13" spans="1:26" s="88" customFormat="1" x14ac:dyDescent="0.25">
      <c r="A13" s="316"/>
      <c r="B13" s="88" t="s">
        <v>226</v>
      </c>
      <c r="C13" s="88" t="s">
        <v>2067</v>
      </c>
      <c r="E13" s="11"/>
      <c r="F13" s="117" t="s">
        <v>2366</v>
      </c>
      <c r="G13" s="26" t="s">
        <v>2584</v>
      </c>
      <c r="H13" s="118" t="str">
        <f>LEFT(Modules[Code], FIND(".", Modules[Code])-1)</f>
        <v>III</v>
      </c>
      <c r="I13" s="118" t="str">
        <f>INDEX(Workstreams[Workstream], MATCH(Modules[WS Code], Workstreams[Code], 0))</f>
        <v>National renewable power generation</v>
      </c>
      <c r="J13" s="26" t="s">
        <v>326</v>
      </c>
      <c r="L13" s="11"/>
      <c r="M13" s="14" t="s">
        <v>59</v>
      </c>
      <c r="N13" s="20" t="s">
        <v>17</v>
      </c>
      <c r="O13" s="20" t="s">
        <v>31</v>
      </c>
      <c r="P13" s="84" t="s">
        <v>2313</v>
      </c>
      <c r="Q13" s="19" t="s">
        <v>2335</v>
      </c>
      <c r="S13" s="3"/>
      <c r="T13" s="84">
        <v>6</v>
      </c>
      <c r="U13" s="84" t="s">
        <v>41</v>
      </c>
      <c r="V13" s="84"/>
      <c r="W13"/>
      <c r="X13" s="1356" t="s">
        <v>1868</v>
      </c>
      <c r="Y13" s="1357" t="s">
        <v>1875</v>
      </c>
      <c r="Z13" s="1358"/>
    </row>
    <row r="14" spans="1:26" s="88" customFormat="1" x14ac:dyDescent="0.25">
      <c r="A14" s="316"/>
      <c r="B14" s="88" t="s">
        <v>227</v>
      </c>
      <c r="C14" s="88" t="s">
        <v>234</v>
      </c>
      <c r="E14" s="11"/>
      <c r="F14" s="117" t="s">
        <v>2365</v>
      </c>
      <c r="G14" s="26" t="s">
        <v>2363</v>
      </c>
      <c r="H14" s="118" t="str">
        <f>LEFT(Modules[Code], FIND(".", Modules[Code])-1)</f>
        <v>III</v>
      </c>
      <c r="I14" s="118" t="str">
        <f>INDEX(Workstreams[Workstream], MATCH(Modules[WS Code], Workstreams[Code], 0))</f>
        <v>National renewable power generation</v>
      </c>
      <c r="J14" s="26"/>
      <c r="L14" s="11"/>
      <c r="M14" s="84" t="s">
        <v>59</v>
      </c>
      <c r="N14" s="2370" t="s">
        <v>17</v>
      </c>
      <c r="O14" s="2468" t="s">
        <v>2336</v>
      </c>
      <c r="P14" s="2467" t="s">
        <v>1548</v>
      </c>
      <c r="Q14" s="2469" t="s">
        <v>2337</v>
      </c>
      <c r="S14" s="3"/>
      <c r="T14" s="84">
        <v>7</v>
      </c>
      <c r="U14" s="84" t="s">
        <v>102</v>
      </c>
      <c r="V14" s="84"/>
      <c r="W14"/>
      <c r="X14" s="1356" t="s">
        <v>1384</v>
      </c>
      <c r="Y14" s="1357" t="s">
        <v>1385</v>
      </c>
      <c r="Z14" s="1358"/>
    </row>
    <row r="15" spans="1:26" s="88" customFormat="1" x14ac:dyDescent="0.25">
      <c r="A15" s="316"/>
      <c r="B15" s="88" t="s">
        <v>229</v>
      </c>
      <c r="C15" s="88" t="s">
        <v>798</v>
      </c>
      <c r="E15" s="11"/>
      <c r="F15" s="117" t="s">
        <v>2364</v>
      </c>
      <c r="G15" s="26" t="s">
        <v>2372</v>
      </c>
      <c r="H15" s="118" t="str">
        <f>LEFT(Modules[Code], FIND(".", Modules[Code])-1)</f>
        <v>III</v>
      </c>
      <c r="I15" s="118" t="str">
        <f>INDEX(Workstreams[Workstream], MATCH(Modules[WS Code], Workstreams[Code], 0))</f>
        <v>National renewable power generation</v>
      </c>
      <c r="J15" s="26"/>
      <c r="L15" s="11"/>
      <c r="M15" s="14" t="s">
        <v>59</v>
      </c>
      <c r="N15" s="20" t="s">
        <v>33</v>
      </c>
      <c r="O15" s="20" t="s">
        <v>9</v>
      </c>
      <c r="P15" s="84" t="s">
        <v>33</v>
      </c>
      <c r="Q15" s="22" t="s">
        <v>1057</v>
      </c>
      <c r="S15" s="3"/>
      <c r="T15" s="73" t="s">
        <v>468</v>
      </c>
      <c r="U15" s="26" t="s">
        <v>2068</v>
      </c>
      <c r="V15" s="26" t="s">
        <v>616</v>
      </c>
      <c r="W15"/>
      <c r="X15" s="1356" t="s">
        <v>1395</v>
      </c>
      <c r="Y15" s="1357" t="s">
        <v>1396</v>
      </c>
      <c r="Z15" s="1358"/>
    </row>
    <row r="16" spans="1:26" s="88" customFormat="1" x14ac:dyDescent="0.2">
      <c r="A16" s="316"/>
      <c r="B16" s="88" t="s">
        <v>230</v>
      </c>
      <c r="C16" s="88" t="s">
        <v>2220</v>
      </c>
      <c r="E16" s="11"/>
      <c r="F16" s="117" t="s">
        <v>2376</v>
      </c>
      <c r="G16" s="26" t="s">
        <v>2174</v>
      </c>
      <c r="H16" s="118" t="str">
        <f>LEFT(Modules[Code], FIND(".", Modules[Code])-1)</f>
        <v>III</v>
      </c>
      <c r="I16" s="118" t="str">
        <f>INDEX(Workstreams[Workstream], MATCH(Modules[WS Code], Workstreams[Code], 0))</f>
        <v>National renewable power generation</v>
      </c>
      <c r="J16" s="26"/>
      <c r="L16" s="11"/>
      <c r="M16" s="14" t="s">
        <v>59</v>
      </c>
      <c r="N16" s="38" t="s">
        <v>798</v>
      </c>
      <c r="O16" s="20" t="s">
        <v>5</v>
      </c>
      <c r="P16" s="84" t="s">
        <v>798</v>
      </c>
      <c r="Q16" s="22" t="s">
        <v>2243</v>
      </c>
      <c r="S16" s="38"/>
      <c r="T16" s="73" t="s">
        <v>469</v>
      </c>
      <c r="U16" s="26" t="s">
        <v>902</v>
      </c>
      <c r="V16" s="26" t="s">
        <v>789</v>
      </c>
      <c r="W16"/>
      <c r="X16" s="1356" t="s">
        <v>1869</v>
      </c>
      <c r="Y16" s="1357" t="s">
        <v>1870</v>
      </c>
      <c r="Z16" s="1358"/>
    </row>
    <row r="17" spans="1:26" s="88" customFormat="1" ht="25.5" x14ac:dyDescent="0.2">
      <c r="A17" s="316"/>
      <c r="B17" s="88" t="s">
        <v>231</v>
      </c>
      <c r="C17" s="88" t="s">
        <v>33</v>
      </c>
      <c r="E17" s="11"/>
      <c r="F17" s="117" t="s">
        <v>409</v>
      </c>
      <c r="G17" s="26" t="s">
        <v>2371</v>
      </c>
      <c r="H17" s="118" t="str">
        <f>LEFT(Modules[Code], FIND(".", Modules[Code])-1)</f>
        <v>IV</v>
      </c>
      <c r="I17" s="118" t="str">
        <f>INDEX(Workstreams[Workstream], MATCH(Modules[WS Code], Workstreams[Code], 0))</f>
        <v>Distributed renewable power generation</v>
      </c>
      <c r="J17" s="26"/>
      <c r="L17" s="11"/>
      <c r="M17" s="84" t="s">
        <v>59</v>
      </c>
      <c r="N17" s="20" t="s">
        <v>57</v>
      </c>
      <c r="O17" s="20" t="s">
        <v>44</v>
      </c>
      <c r="P17" s="18" t="s">
        <v>22</v>
      </c>
      <c r="Q17" s="22" t="s">
        <v>2207</v>
      </c>
      <c r="S17"/>
      <c r="T17" s="73" t="s">
        <v>495</v>
      </c>
      <c r="U17" s="26" t="s">
        <v>901</v>
      </c>
      <c r="V17" s="26" t="s">
        <v>899</v>
      </c>
      <c r="W17"/>
      <c r="X17" s="1356" t="s">
        <v>1386</v>
      </c>
      <c r="Y17" s="1357" t="s">
        <v>1387</v>
      </c>
      <c r="Z17" s="1358"/>
    </row>
    <row r="18" spans="1:26" s="88" customFormat="1" x14ac:dyDescent="0.2">
      <c r="A18" s="316"/>
      <c r="B18" s="88" t="s">
        <v>232</v>
      </c>
      <c r="C18" s="88" t="s">
        <v>125</v>
      </c>
      <c r="E18" s="11"/>
      <c r="F18" s="117" t="s">
        <v>400</v>
      </c>
      <c r="G18" s="26" t="s">
        <v>1363</v>
      </c>
      <c r="H18" s="118" t="str">
        <f>LEFT(Modules[Code], FIND(".", Modules[Code])-1)</f>
        <v>V</v>
      </c>
      <c r="I18" s="118" t="str">
        <f>INDEX(Workstreams[Workstream], MATCH(Modules[WS Code], Workstreams[Code], 0))</f>
        <v>Bioenergy</v>
      </c>
      <c r="J18" s="26"/>
      <c r="L18" s="11"/>
      <c r="M18" s="84" t="s">
        <v>59</v>
      </c>
      <c r="N18" s="20" t="s">
        <v>99</v>
      </c>
      <c r="O18" s="20" t="s">
        <v>2205</v>
      </c>
      <c r="P18" s="18" t="s">
        <v>99</v>
      </c>
      <c r="Q18" s="19" t="s">
        <v>2206</v>
      </c>
      <c r="S18"/>
      <c r="T18" s="38"/>
      <c r="U18" s="38"/>
      <c r="V18" s="38"/>
      <c r="W18" s="38"/>
    </row>
    <row r="19" spans="1:26" s="88" customFormat="1" ht="25.5" x14ac:dyDescent="0.2">
      <c r="A19" s="316"/>
      <c r="B19" s="88" t="s">
        <v>233</v>
      </c>
      <c r="C19" s="88" t="s">
        <v>1201</v>
      </c>
      <c r="E19" s="11"/>
      <c r="F19" s="117" t="s">
        <v>838</v>
      </c>
      <c r="G19" s="26" t="s">
        <v>839</v>
      </c>
      <c r="H19" s="118" t="str">
        <f>LEFT(Modules[Code], FIND(".", Modules[Code])-1)</f>
        <v>V</v>
      </c>
      <c r="I19" s="118" t="str">
        <f>INDEX(Workstreams[Workstream], MATCH(Modules[WS Code], Workstreams[Code], 0))</f>
        <v>Bioenergy</v>
      </c>
      <c r="J19" s="26"/>
      <c r="L19" s="11"/>
      <c r="M19" s="14" t="s">
        <v>291</v>
      </c>
      <c r="N19" s="18" t="s">
        <v>0</v>
      </c>
      <c r="O19" s="18" t="s">
        <v>6</v>
      </c>
      <c r="P19" s="84" t="s">
        <v>570</v>
      </c>
      <c r="Q19" s="22" t="s">
        <v>173</v>
      </c>
      <c r="S19"/>
      <c r="T19"/>
      <c r="U19"/>
      <c r="V19"/>
      <c r="W19"/>
      <c r="X19" s="1839" t="s">
        <v>1865</v>
      </c>
    </row>
    <row r="20" spans="1:26" s="88" customFormat="1" x14ac:dyDescent="0.25">
      <c r="A20" s="316"/>
      <c r="B20" s="88" t="s">
        <v>228</v>
      </c>
      <c r="C20" s="88" t="s">
        <v>174</v>
      </c>
      <c r="E20" s="11"/>
      <c r="F20" s="117" t="s">
        <v>380</v>
      </c>
      <c r="G20" s="26" t="s">
        <v>1190</v>
      </c>
      <c r="H20" s="118" t="str">
        <f>LEFT(Modules[Code], FIND(".", Modules[Code])-1)</f>
        <v>VI</v>
      </c>
      <c r="I20" s="118" t="str">
        <f>INDEX(Workstreams[Workstream], MATCH(Modules[WS Code], Workstreams[Code], 0))</f>
        <v>Agriculture &amp; waste</v>
      </c>
      <c r="J20" s="26"/>
      <c r="L20" s="11"/>
      <c r="M20" s="14" t="s">
        <v>291</v>
      </c>
      <c r="N20" s="84" t="s">
        <v>40</v>
      </c>
      <c r="O20" s="18" t="s">
        <v>25</v>
      </c>
      <c r="P20" s="18" t="s">
        <v>11</v>
      </c>
      <c r="Q20" s="19"/>
      <c r="S20" s="89"/>
      <c r="T20" s="134" t="s">
        <v>470</v>
      </c>
      <c r="U20"/>
      <c r="V20"/>
      <c r="W20"/>
    </row>
    <row r="21" spans="1:26" x14ac:dyDescent="0.25">
      <c r="A21" s="3"/>
      <c r="B21" s="117" t="s">
        <v>403</v>
      </c>
      <c r="C21" s="117" t="s">
        <v>404</v>
      </c>
      <c r="E21" s="11"/>
      <c r="F21" s="117" t="s">
        <v>402</v>
      </c>
      <c r="G21" s="26" t="s">
        <v>1362</v>
      </c>
      <c r="H21" s="118" t="str">
        <f>LEFT(Modules[Code], FIND(".", Modules[Code])-1)</f>
        <v>VI</v>
      </c>
      <c r="I21" s="118" t="str">
        <f>INDEX(Workstreams[Workstream], MATCH(Modules[WS Code], Workstreams[Code], 0))</f>
        <v>Agriculture &amp; waste</v>
      </c>
      <c r="J21" s="26"/>
      <c r="L21" s="11"/>
      <c r="M21" s="14" t="s">
        <v>291</v>
      </c>
      <c r="N21" s="14" t="s">
        <v>40</v>
      </c>
      <c r="O21" s="18" t="s">
        <v>7</v>
      </c>
      <c r="P21" s="18" t="s">
        <v>1</v>
      </c>
      <c r="Q21" s="19"/>
      <c r="S21" s="89"/>
      <c r="X21" s="88" t="s">
        <v>69</v>
      </c>
      <c r="Y21" s="88" t="s">
        <v>65</v>
      </c>
      <c r="Z21" s="88" t="s">
        <v>223</v>
      </c>
    </row>
    <row r="22" spans="1:26" x14ac:dyDescent="0.2">
      <c r="B22" s="117" t="s">
        <v>438</v>
      </c>
      <c r="C22" s="117" t="s">
        <v>109</v>
      </c>
      <c r="E22" s="11"/>
      <c r="F22" s="117" t="s">
        <v>305</v>
      </c>
      <c r="G22" s="26" t="s">
        <v>43</v>
      </c>
      <c r="H22" s="118" t="str">
        <f>LEFT(Modules[Code], FIND(".", Modules[Code])-1)</f>
        <v>VII</v>
      </c>
      <c r="I22" s="118" t="str">
        <f>INDEX(Workstreams[Workstream], MATCH(Modules[WS Code], Workstreams[Code], 0))</f>
        <v>Electricity distribution, storage &amp; balancing</v>
      </c>
      <c r="J22" s="26"/>
      <c r="L22" s="11"/>
      <c r="M22" s="84" t="s">
        <v>291</v>
      </c>
      <c r="N22" s="84" t="s">
        <v>40</v>
      </c>
      <c r="O22" s="84" t="s">
        <v>8</v>
      </c>
      <c r="P22" s="18" t="s">
        <v>14</v>
      </c>
      <c r="Q22" s="19"/>
      <c r="S22" s="89"/>
      <c r="T22" s="84" t="s">
        <v>471</v>
      </c>
      <c r="U22" s="84" t="s">
        <v>472</v>
      </c>
      <c r="V22" s="84" t="s">
        <v>66</v>
      </c>
      <c r="X22" s="88" t="s">
        <v>1787</v>
      </c>
      <c r="Y22" s="88" t="s">
        <v>1791</v>
      </c>
      <c r="Z22" s="88"/>
    </row>
    <row r="23" spans="1:26" x14ac:dyDescent="0.2">
      <c r="B23" s="117" t="s">
        <v>589</v>
      </c>
      <c r="C23" s="117" t="s">
        <v>348</v>
      </c>
      <c r="E23" s="11"/>
      <c r="F23" s="117" t="s">
        <v>313</v>
      </c>
      <c r="G23" s="26" t="s">
        <v>306</v>
      </c>
      <c r="H23" s="118" t="str">
        <f>LEFT(Modules[Code], FIND(".", Modules[Code])-1)</f>
        <v>VII</v>
      </c>
      <c r="I23" s="118" t="str">
        <f>INDEX(Workstreams[Workstream], MATCH(Modules[WS Code], Workstreams[Code], 0))</f>
        <v>Electricity distribution, storage &amp; balancing</v>
      </c>
      <c r="J23" s="26"/>
      <c r="L23" s="11"/>
      <c r="M23" s="14" t="s">
        <v>291</v>
      </c>
      <c r="N23" s="14" t="s">
        <v>40</v>
      </c>
      <c r="O23" s="84" t="s">
        <v>451</v>
      </c>
      <c r="P23" s="84" t="s">
        <v>114</v>
      </c>
      <c r="Q23" s="22" t="s">
        <v>452</v>
      </c>
      <c r="S23" s="89"/>
      <c r="T23" s="84" t="s">
        <v>473</v>
      </c>
      <c r="U23" s="84" t="s">
        <v>477</v>
      </c>
      <c r="V23" s="84"/>
      <c r="X23" s="88" t="s">
        <v>1788</v>
      </c>
      <c r="Y23" s="88" t="s">
        <v>1794</v>
      </c>
      <c r="Z23" s="88"/>
    </row>
    <row r="24" spans="1:26" x14ac:dyDescent="0.2">
      <c r="B24" s="117" t="s">
        <v>1639</v>
      </c>
      <c r="C24" s="118" t="s">
        <v>1835</v>
      </c>
      <c r="E24" s="11"/>
      <c r="F24" s="117" t="s">
        <v>321</v>
      </c>
      <c r="G24" s="26" t="s">
        <v>1364</v>
      </c>
      <c r="H24" s="118" t="str">
        <f>LEFT(Modules[Code], FIND(".", Modules[Code])-1)</f>
        <v>VII</v>
      </c>
      <c r="I24" s="118" t="str">
        <f>INDEX(Workstreams[Workstream], MATCH(Modules[WS Code], Workstreams[Code], 0))</f>
        <v>Electricity distribution, storage &amp; balancing</v>
      </c>
      <c r="J24" s="26" t="s">
        <v>324</v>
      </c>
      <c r="L24" s="11"/>
      <c r="M24" s="14" t="s">
        <v>291</v>
      </c>
      <c r="N24" s="18" t="s">
        <v>41</v>
      </c>
      <c r="O24" s="18" t="s">
        <v>42</v>
      </c>
      <c r="P24" s="84" t="s">
        <v>41</v>
      </c>
      <c r="Q24" s="22" t="s">
        <v>688</v>
      </c>
      <c r="S24" s="89"/>
      <c r="T24" s="84" t="s">
        <v>474</v>
      </c>
      <c r="U24" s="84" t="s">
        <v>478</v>
      </c>
      <c r="V24" s="84"/>
      <c r="X24" s="88" t="s">
        <v>1789</v>
      </c>
      <c r="Y24" s="88" t="s">
        <v>1795</v>
      </c>
      <c r="Z24" s="88"/>
    </row>
    <row r="25" spans="1:26" ht="38.25" x14ac:dyDescent="0.2">
      <c r="B25" s="38"/>
      <c r="C25" s="38"/>
      <c r="E25" s="11"/>
      <c r="F25" s="117" t="s">
        <v>341</v>
      </c>
      <c r="G25" s="26" t="s">
        <v>2172</v>
      </c>
      <c r="H25" s="118" t="str">
        <f>LEFT(Modules[Code], FIND(".", Modules[Code])-1)</f>
        <v>IX</v>
      </c>
      <c r="I25" s="118" t="str">
        <f>INDEX(Workstreams[Workstream], MATCH(Modules[WS Code], Workstreams[Code], 0))</f>
        <v>Cooling</v>
      </c>
      <c r="J25" s="26"/>
      <c r="L25" s="11"/>
      <c r="M25" s="14" t="s">
        <v>291</v>
      </c>
      <c r="N25" s="38" t="s">
        <v>37</v>
      </c>
      <c r="O25" s="20" t="s">
        <v>46</v>
      </c>
      <c r="P25" s="84" t="s">
        <v>1260</v>
      </c>
      <c r="Q25" s="22" t="s">
        <v>196</v>
      </c>
      <c r="T25" s="84" t="s">
        <v>475</v>
      </c>
      <c r="U25" s="84" t="s">
        <v>479</v>
      </c>
      <c r="V25" s="84"/>
      <c r="X25" s="88" t="s">
        <v>1790</v>
      </c>
      <c r="Y25" s="88" t="s">
        <v>1792</v>
      </c>
    </row>
    <row r="26" spans="1:26" ht="14.25" x14ac:dyDescent="0.2">
      <c r="E26" s="11"/>
      <c r="F26" s="117" t="s">
        <v>388</v>
      </c>
      <c r="G26" s="26" t="s">
        <v>2218</v>
      </c>
      <c r="H26" s="118" t="str">
        <f>LEFT(Modules[Code], FIND(".", Modules[Code])-1)</f>
        <v>IX</v>
      </c>
      <c r="I26" s="118" t="str">
        <f>INDEX(Workstreams[Workstream], MATCH(Modules[WS Code], Workstreams[Code], 0))</f>
        <v>Cooling</v>
      </c>
      <c r="J26" s="26"/>
      <c r="L26" s="11"/>
      <c r="M26" s="14" t="s">
        <v>291</v>
      </c>
      <c r="N26" s="20" t="s">
        <v>37</v>
      </c>
      <c r="O26" s="20" t="s">
        <v>47</v>
      </c>
      <c r="P26" s="84" t="s">
        <v>1261</v>
      </c>
      <c r="Q26" s="19"/>
      <c r="T26" s="84" t="s">
        <v>476</v>
      </c>
      <c r="U26" s="84" t="s">
        <v>480</v>
      </c>
      <c r="V26" s="84"/>
      <c r="X26" s="88"/>
      <c r="Y26" s="88"/>
    </row>
    <row r="27" spans="1:26" ht="14.25" x14ac:dyDescent="0.2">
      <c r="E27" s="11"/>
      <c r="F27" s="117" t="s">
        <v>392</v>
      </c>
      <c r="G27" s="26" t="s">
        <v>2217</v>
      </c>
      <c r="H27" s="118" t="str">
        <f>LEFT(Modules[Code], FIND(".", Modules[Code])-1)</f>
        <v>X</v>
      </c>
      <c r="I27" s="118" t="str">
        <f>INDEX(Workstreams[Workstream], MATCH(Modules[WS Code], Workstreams[Code], 0))</f>
        <v>Lighting, Appliances &amp; Cooking</v>
      </c>
      <c r="J27" s="26"/>
      <c r="L27" s="11"/>
      <c r="M27" s="14" t="s">
        <v>291</v>
      </c>
      <c r="N27" s="38" t="s">
        <v>37</v>
      </c>
      <c r="O27" s="38" t="s">
        <v>323</v>
      </c>
      <c r="P27" s="84" t="s">
        <v>1262</v>
      </c>
      <c r="Q27" s="22" t="s">
        <v>1138</v>
      </c>
    </row>
    <row r="28" spans="1:26" ht="14.25" x14ac:dyDescent="0.2">
      <c r="E28" s="11"/>
      <c r="F28" s="117" t="s">
        <v>393</v>
      </c>
      <c r="G28" s="26" t="s">
        <v>2221</v>
      </c>
      <c r="H28" s="118" t="str">
        <f>LEFT(Modules[Code], FIND(".", Modules[Code])-1)</f>
        <v>X</v>
      </c>
      <c r="I28" s="118" t="str">
        <f>INDEX(Workstreams[Workstream], MATCH(Modules[WS Code], Workstreams[Code], 0))</f>
        <v>Lighting, Appliances &amp; Cooking</v>
      </c>
      <c r="J28" s="26"/>
      <c r="L28" s="11"/>
      <c r="M28" s="14" t="s">
        <v>291</v>
      </c>
      <c r="N28" s="38" t="s">
        <v>37</v>
      </c>
      <c r="O28" s="38" t="s">
        <v>417</v>
      </c>
      <c r="P28" s="84" t="s">
        <v>1263</v>
      </c>
      <c r="Q28" s="19"/>
      <c r="T28" s="38" t="s">
        <v>515</v>
      </c>
    </row>
    <row r="29" spans="1:26" ht="14.25" x14ac:dyDescent="0.2">
      <c r="E29" s="11"/>
      <c r="F29" s="117" t="s">
        <v>360</v>
      </c>
      <c r="G29" s="26" t="s">
        <v>176</v>
      </c>
      <c r="H29" s="118" t="str">
        <f>LEFT(Modules[Code], FIND(".", Modules[Code])-1)</f>
        <v>XI</v>
      </c>
      <c r="I29" s="118" t="str">
        <f>INDEX(Workstreams[Workstream], MATCH(Modules[WS Code], Workstreams[Code], 0))</f>
        <v>Industry</v>
      </c>
      <c r="J29" s="26"/>
      <c r="L29" s="11"/>
      <c r="M29" s="84" t="s">
        <v>291</v>
      </c>
      <c r="N29" s="38" t="s">
        <v>37</v>
      </c>
      <c r="O29" s="38" t="s">
        <v>418</v>
      </c>
      <c r="P29" s="84" t="s">
        <v>1264</v>
      </c>
      <c r="Q29" s="22" t="s">
        <v>830</v>
      </c>
    </row>
    <row r="30" spans="1:26" ht="14.25" x14ac:dyDescent="0.2">
      <c r="E30" s="11"/>
      <c r="F30" s="117" t="s">
        <v>362</v>
      </c>
      <c r="G30" s="26" t="s">
        <v>605</v>
      </c>
      <c r="H30" s="118" t="str">
        <f>LEFT(Modules[Code], FIND(".", Modules[Code])-1)</f>
        <v>XII</v>
      </c>
      <c r="I30" s="118" t="str">
        <f>INDEX(Workstreams[Workstream], MATCH(Modules[WS Code], Workstreams[Code], 0))</f>
        <v>Transport</v>
      </c>
      <c r="J30" s="26"/>
      <c r="L30" s="11"/>
      <c r="M30" s="84" t="s">
        <v>291</v>
      </c>
      <c r="N30" s="38" t="s">
        <v>37</v>
      </c>
      <c r="O30" s="38" t="s">
        <v>419</v>
      </c>
      <c r="P30" s="84" t="s">
        <v>1259</v>
      </c>
      <c r="Q30" s="19"/>
      <c r="S30" s="38"/>
      <c r="T30" s="38" t="s">
        <v>516</v>
      </c>
    </row>
    <row r="31" spans="1:26" ht="14.25" x14ac:dyDescent="0.2">
      <c r="E31" s="11"/>
      <c r="F31" s="117" t="s">
        <v>375</v>
      </c>
      <c r="G31" s="26" t="s">
        <v>606</v>
      </c>
      <c r="H31" s="118" t="str">
        <f>LEFT(Modules[Code], FIND(".", Modules[Code])-1)</f>
        <v>XII</v>
      </c>
      <c r="I31" s="118" t="str">
        <f>INDEX(Workstreams[Workstream], MATCH(Modules[WS Code], Workstreams[Code], 0))</f>
        <v>Transport</v>
      </c>
      <c r="J31" s="26"/>
      <c r="L31" s="11"/>
      <c r="M31" s="14" t="s">
        <v>291</v>
      </c>
      <c r="N31" s="38" t="s">
        <v>424</v>
      </c>
      <c r="O31" s="38" t="s">
        <v>425</v>
      </c>
      <c r="P31" s="84" t="s">
        <v>428</v>
      </c>
      <c r="Q31" s="22"/>
      <c r="S31" s="38"/>
    </row>
    <row r="32" spans="1:26" ht="14.25" x14ac:dyDescent="0.2">
      <c r="E32" s="11"/>
      <c r="F32" s="117" t="s">
        <v>405</v>
      </c>
      <c r="G32" s="26" t="s">
        <v>111</v>
      </c>
      <c r="H32" s="118" t="str">
        <f>LEFT(Modules[Code], FIND(".", Modules[Code])-1)</f>
        <v>XV</v>
      </c>
      <c r="I32" s="118" t="str">
        <f>INDEX(Workstreams[Workstream], MATCH(Modules[WS Code], Workstreams[Code], 0))</f>
        <v>Fossil fuel production</v>
      </c>
      <c r="J32" s="26"/>
      <c r="L32" s="11"/>
      <c r="M32" s="14" t="s">
        <v>291</v>
      </c>
      <c r="N32" s="38" t="s">
        <v>424</v>
      </c>
      <c r="O32" s="38" t="s">
        <v>426</v>
      </c>
      <c r="P32" s="84" t="s">
        <v>429</v>
      </c>
      <c r="Q32" s="22"/>
      <c r="S32" s="38"/>
      <c r="T32" s="38" t="s">
        <v>520</v>
      </c>
      <c r="U32" s="38" t="s">
        <v>521</v>
      </c>
      <c r="V32" s="38" t="s">
        <v>528</v>
      </c>
      <c r="W32" s="38" t="s">
        <v>532</v>
      </c>
    </row>
    <row r="33" spans="5:23" ht="14.25" x14ac:dyDescent="0.2">
      <c r="E33" s="11"/>
      <c r="F33" s="117" t="s">
        <v>415</v>
      </c>
      <c r="G33" s="26" t="s">
        <v>416</v>
      </c>
      <c r="H33" s="118" t="str">
        <f>LEFT(Modules[Code], FIND(".", Modules[Code])-1)</f>
        <v>XV</v>
      </c>
      <c r="I33" s="118" t="str">
        <f>INDEX(Workstreams[Workstream], MATCH(Modules[WS Code], Workstreams[Code], 0))</f>
        <v>Fossil fuel production</v>
      </c>
      <c r="J33" s="26"/>
      <c r="L33" s="11"/>
      <c r="M33" s="14" t="s">
        <v>291</v>
      </c>
      <c r="N33" s="38" t="s">
        <v>424</v>
      </c>
      <c r="O33" s="38" t="s">
        <v>427</v>
      </c>
      <c r="P33" s="84" t="s">
        <v>449</v>
      </c>
      <c r="Q33" s="22"/>
      <c r="T33" s="38" t="s">
        <v>522</v>
      </c>
      <c r="U33" s="38" t="s">
        <v>523</v>
      </c>
      <c r="V33" s="38" t="s">
        <v>529</v>
      </c>
      <c r="W33" s="38"/>
    </row>
    <row r="34" spans="5:23" ht="25.5" x14ac:dyDescent="0.2">
      <c r="E34" s="11"/>
      <c r="F34" s="117" t="s">
        <v>439</v>
      </c>
      <c r="G34" s="26" t="s">
        <v>441</v>
      </c>
      <c r="H34" s="118" t="str">
        <f>LEFT(Modules[Code], FIND(".", Modules[Code])-1)</f>
        <v>XVI</v>
      </c>
      <c r="I34" s="118" t="str">
        <f>INDEX(Workstreams[Workstream], MATCH(Modules[WS Code], Workstreams[Code], 0))</f>
        <v>Transfers</v>
      </c>
      <c r="J34" s="26" t="s">
        <v>546</v>
      </c>
      <c r="L34" s="11"/>
      <c r="M34" s="14" t="s">
        <v>64</v>
      </c>
      <c r="N34" s="84" t="s">
        <v>292</v>
      </c>
      <c r="O34" s="18" t="s">
        <v>51</v>
      </c>
      <c r="P34" s="84" t="s">
        <v>1154</v>
      </c>
      <c r="Q34" s="22" t="s">
        <v>829</v>
      </c>
      <c r="T34" s="38" t="s">
        <v>524</v>
      </c>
      <c r="U34" s="38" t="s">
        <v>102</v>
      </c>
      <c r="V34" s="38" t="s">
        <v>385</v>
      </c>
      <c r="W34" s="38"/>
    </row>
    <row r="35" spans="5:23" ht="25.5" x14ac:dyDescent="0.2">
      <c r="E35" s="11"/>
      <c r="F35" s="117" t="s">
        <v>440</v>
      </c>
      <c r="G35" s="26" t="s">
        <v>1137</v>
      </c>
      <c r="H35" s="118" t="str">
        <f>LEFT(Modules[Code], FIND(".", Modules[Code])-1)</f>
        <v>XVI</v>
      </c>
      <c r="I35" s="118" t="str">
        <f>INDEX(Workstreams[Workstream], MATCH(Modules[WS Code], Workstreams[Code], 0))</f>
        <v>Transfers</v>
      </c>
      <c r="J35" s="26"/>
      <c r="L35" s="11"/>
      <c r="M35" s="84" t="s">
        <v>64</v>
      </c>
      <c r="N35" s="84" t="s">
        <v>292</v>
      </c>
      <c r="O35" s="18" t="s">
        <v>52</v>
      </c>
      <c r="P35" s="84" t="s">
        <v>650</v>
      </c>
      <c r="Q35" s="22" t="s">
        <v>829</v>
      </c>
      <c r="T35" s="38" t="s">
        <v>517</v>
      </c>
      <c r="U35" s="38" t="s">
        <v>118</v>
      </c>
      <c r="V35" s="38" t="s">
        <v>530</v>
      </c>
    </row>
    <row r="36" spans="5:23" ht="25.5" x14ac:dyDescent="0.2">
      <c r="E36" s="11"/>
      <c r="F36" s="117"/>
      <c r="G36" s="26"/>
      <c r="H36" s="118"/>
      <c r="I36" s="118"/>
      <c r="J36" s="26"/>
      <c r="L36" s="11"/>
      <c r="M36" s="84" t="s">
        <v>64</v>
      </c>
      <c r="N36" s="84" t="s">
        <v>292</v>
      </c>
      <c r="O36" s="18" t="s">
        <v>53</v>
      </c>
      <c r="P36" s="84" t="s">
        <v>130</v>
      </c>
      <c r="Q36" s="22" t="s">
        <v>829</v>
      </c>
      <c r="T36" s="38" t="s">
        <v>518</v>
      </c>
      <c r="U36" s="38" t="s">
        <v>519</v>
      </c>
      <c r="V36" s="38" t="s">
        <v>534</v>
      </c>
      <c r="W36" s="38" t="s">
        <v>535</v>
      </c>
    </row>
    <row r="37" spans="5:23" ht="14.25" x14ac:dyDescent="0.2">
      <c r="E37" s="11"/>
      <c r="F37" s="117"/>
      <c r="G37" s="26"/>
      <c r="H37" s="118"/>
      <c r="I37" s="118"/>
      <c r="J37" s="26"/>
      <c r="L37" s="11"/>
      <c r="M37" s="2638" t="s">
        <v>64</v>
      </c>
      <c r="N37" s="2638" t="s">
        <v>292</v>
      </c>
      <c r="O37" s="2638" t="s">
        <v>2508</v>
      </c>
      <c r="P37" s="2638" t="s">
        <v>2429</v>
      </c>
      <c r="Q37" s="2639"/>
      <c r="T37" s="38" t="s">
        <v>525</v>
      </c>
      <c r="U37" s="38" t="s">
        <v>527</v>
      </c>
      <c r="V37" s="38" t="s">
        <v>531</v>
      </c>
      <c r="W37" s="38" t="s">
        <v>533</v>
      </c>
    </row>
    <row r="38" spans="5:23" ht="14.25" x14ac:dyDescent="0.2">
      <c r="E38" s="7"/>
      <c r="L38" s="7"/>
      <c r="M38" s="84" t="s">
        <v>64</v>
      </c>
      <c r="N38" s="84" t="s">
        <v>4</v>
      </c>
      <c r="O38" s="18" t="s">
        <v>34</v>
      </c>
      <c r="P38" s="18" t="s">
        <v>54</v>
      </c>
      <c r="Q38" s="84"/>
      <c r="T38" s="38" t="s">
        <v>526</v>
      </c>
      <c r="U38" s="38" t="s">
        <v>102</v>
      </c>
      <c r="V38" s="38" t="s">
        <v>385</v>
      </c>
    </row>
    <row r="39" spans="5:23" ht="14.25" x14ac:dyDescent="0.2">
      <c r="E39" s="7"/>
      <c r="L39" s="7"/>
      <c r="M39" s="84" t="s">
        <v>64</v>
      </c>
      <c r="N39" s="84" t="s">
        <v>4</v>
      </c>
      <c r="O39" s="18" t="s">
        <v>35</v>
      </c>
      <c r="P39" s="84" t="s">
        <v>167</v>
      </c>
      <c r="Q39" s="19"/>
    </row>
    <row r="40" spans="5:23" ht="14.25" x14ac:dyDescent="0.2">
      <c r="E40" s="7"/>
      <c r="L40" s="7"/>
      <c r="M40" s="84" t="s">
        <v>64</v>
      </c>
      <c r="N40" s="84" t="s">
        <v>127</v>
      </c>
      <c r="O40" s="84" t="s">
        <v>36</v>
      </c>
      <c r="P40" s="18" t="s">
        <v>49</v>
      </c>
      <c r="Q40" s="22" t="s">
        <v>168</v>
      </c>
    </row>
    <row r="41" spans="5:23" ht="14.25" x14ac:dyDescent="0.2">
      <c r="E41" s="7"/>
      <c r="L41" s="7"/>
      <c r="M41" s="84" t="s">
        <v>64</v>
      </c>
      <c r="N41" s="84" t="s">
        <v>127</v>
      </c>
      <c r="O41" s="84" t="s">
        <v>38</v>
      </c>
      <c r="P41" s="18" t="s">
        <v>50</v>
      </c>
      <c r="Q41" s="22" t="s">
        <v>169</v>
      </c>
    </row>
    <row r="42" spans="5:23" ht="14.25" x14ac:dyDescent="0.2">
      <c r="E42" s="7"/>
      <c r="L42" s="7"/>
      <c r="M42" s="84" t="s">
        <v>64</v>
      </c>
      <c r="N42" s="84" t="s">
        <v>127</v>
      </c>
      <c r="O42" s="84" t="s">
        <v>39</v>
      </c>
      <c r="P42" s="84" t="s">
        <v>197</v>
      </c>
      <c r="Q42" s="22" t="s">
        <v>126</v>
      </c>
    </row>
    <row r="43" spans="5:23" ht="14.25" x14ac:dyDescent="0.2">
      <c r="E43" s="7"/>
      <c r="L43" s="7"/>
      <c r="M43" s="84" t="s">
        <v>64</v>
      </c>
      <c r="N43" s="84" t="s">
        <v>127</v>
      </c>
      <c r="O43" s="84" t="s">
        <v>92</v>
      </c>
      <c r="P43" s="84" t="s">
        <v>128</v>
      </c>
      <c r="Q43" s="22"/>
    </row>
    <row r="44" spans="5:23" ht="14.25" x14ac:dyDescent="0.2">
      <c r="E44" s="7"/>
      <c r="L44" s="7"/>
      <c r="M44" s="84" t="s">
        <v>64</v>
      </c>
      <c r="N44" s="84" t="s">
        <v>127</v>
      </c>
      <c r="O44" s="18" t="s">
        <v>2184</v>
      </c>
      <c r="P44" s="18" t="s">
        <v>2185</v>
      </c>
      <c r="Q44" s="19" t="s">
        <v>2186</v>
      </c>
    </row>
    <row r="45" spans="5:23" ht="25.5" x14ac:dyDescent="0.2">
      <c r="E45" s="7"/>
      <c r="L45" s="7"/>
      <c r="M45" s="84" t="s">
        <v>64</v>
      </c>
      <c r="N45" s="84" t="s">
        <v>12</v>
      </c>
      <c r="O45" s="84" t="s">
        <v>294</v>
      </c>
      <c r="P45" s="84" t="s">
        <v>349</v>
      </c>
      <c r="Q45" s="22" t="s">
        <v>195</v>
      </c>
    </row>
    <row r="46" spans="5:23" ht="14.25" x14ac:dyDescent="0.2">
      <c r="E46" s="7"/>
      <c r="L46" s="7"/>
      <c r="M46" s="84" t="s">
        <v>64</v>
      </c>
      <c r="N46" s="84" t="s">
        <v>90</v>
      </c>
      <c r="O46" s="84" t="s">
        <v>295</v>
      </c>
      <c r="P46" s="84" t="s">
        <v>1256</v>
      </c>
      <c r="Q46" s="22" t="s">
        <v>381</v>
      </c>
    </row>
    <row r="47" spans="5:23" ht="51" x14ac:dyDescent="0.2">
      <c r="E47" s="7"/>
      <c r="L47" s="7"/>
      <c r="M47" s="84" t="s">
        <v>64</v>
      </c>
      <c r="N47" s="84" t="s">
        <v>90</v>
      </c>
      <c r="O47" s="84" t="s">
        <v>296</v>
      </c>
      <c r="P47" s="84" t="s">
        <v>1257</v>
      </c>
      <c r="Q47" s="22" t="s">
        <v>872</v>
      </c>
    </row>
    <row r="48" spans="5:23" ht="25.5" x14ac:dyDescent="0.2">
      <c r="E48" s="7"/>
      <c r="L48" s="7"/>
      <c r="M48" s="84" t="s">
        <v>64</v>
      </c>
      <c r="N48" s="84" t="s">
        <v>91</v>
      </c>
      <c r="O48" s="84" t="s">
        <v>383</v>
      </c>
      <c r="P48" s="84" t="s">
        <v>1258</v>
      </c>
      <c r="Q48" s="22" t="s">
        <v>382</v>
      </c>
    </row>
    <row r="49" spans="5:17" ht="14.25" x14ac:dyDescent="0.2">
      <c r="E49" s="7"/>
      <c r="L49" s="7"/>
      <c r="M49" s="1092" t="s">
        <v>64</v>
      </c>
      <c r="N49" s="36" t="s">
        <v>1214</v>
      </c>
      <c r="O49" s="1092" t="s">
        <v>1164</v>
      </c>
      <c r="P49" s="1093" t="s">
        <v>103</v>
      </c>
      <c r="Q49" s="1094" t="s">
        <v>1165</v>
      </c>
    </row>
    <row r="50" spans="5:17" ht="25.5" x14ac:dyDescent="0.2">
      <c r="E50" s="7"/>
      <c r="L50" s="7"/>
      <c r="M50" s="591" t="s">
        <v>64</v>
      </c>
      <c r="N50" s="36" t="s">
        <v>1214</v>
      </c>
      <c r="O50" s="36" t="s">
        <v>871</v>
      </c>
      <c r="P50" s="26" t="s">
        <v>1160</v>
      </c>
      <c r="Q50" s="592" t="s">
        <v>1162</v>
      </c>
    </row>
    <row r="51" spans="5:17" ht="14.25" x14ac:dyDescent="0.2">
      <c r="E51" s="7"/>
      <c r="L51" s="7"/>
      <c r="M51" s="1092" t="s">
        <v>64</v>
      </c>
      <c r="N51" s="36" t="s">
        <v>1214</v>
      </c>
      <c r="O51" s="1092" t="s">
        <v>1161</v>
      </c>
      <c r="P51" s="26" t="s">
        <v>1166</v>
      </c>
      <c r="Q51" s="592" t="s">
        <v>1163</v>
      </c>
    </row>
    <row r="52" spans="5:17" ht="14.25" x14ac:dyDescent="0.2">
      <c r="E52" s="7"/>
      <c r="L52" s="7"/>
      <c r="M52" s="1228" t="s">
        <v>1225</v>
      </c>
      <c r="N52" s="36" t="s">
        <v>1292</v>
      </c>
      <c r="O52" s="1228" t="s">
        <v>1227</v>
      </c>
      <c r="P52" s="26" t="s">
        <v>2341</v>
      </c>
      <c r="Q52" s="1230"/>
    </row>
    <row r="53" spans="5:17" ht="14.25" x14ac:dyDescent="0.2">
      <c r="E53" s="7"/>
      <c r="L53" s="7"/>
      <c r="M53" s="1228" t="s">
        <v>1225</v>
      </c>
      <c r="N53" s="36" t="s">
        <v>1292</v>
      </c>
      <c r="O53" s="1288" t="s">
        <v>1247</v>
      </c>
      <c r="P53" s="2474" t="s">
        <v>2342</v>
      </c>
      <c r="Q53" s="1290"/>
    </row>
    <row r="54" spans="5:17" ht="14.25" x14ac:dyDescent="0.2">
      <c r="E54" s="7"/>
      <c r="L54" s="7"/>
      <c r="M54" s="1288" t="s">
        <v>1225</v>
      </c>
      <c r="N54" s="1288" t="s">
        <v>1292</v>
      </c>
      <c r="O54" s="1288" t="s">
        <v>1293</v>
      </c>
      <c r="P54" s="1289" t="s">
        <v>1294</v>
      </c>
      <c r="Q54" s="1290"/>
    </row>
    <row r="55" spans="5:17" ht="14.25" x14ac:dyDescent="0.2">
      <c r="E55" s="7"/>
      <c r="L55" s="7"/>
      <c r="M55" s="1288" t="s">
        <v>1225</v>
      </c>
      <c r="N55" s="36" t="s">
        <v>1296</v>
      </c>
      <c r="O55" s="36" t="s">
        <v>1295</v>
      </c>
      <c r="P55" s="26" t="s">
        <v>1297</v>
      </c>
      <c r="Q55" s="676"/>
    </row>
    <row r="56" spans="5:17" ht="14.25" x14ac:dyDescent="0.2">
      <c r="E56" s="7"/>
      <c r="L56" s="7"/>
      <c r="M56" s="1228" t="s">
        <v>1225</v>
      </c>
      <c r="N56" s="1228" t="s">
        <v>1228</v>
      </c>
      <c r="O56" s="1228" t="s">
        <v>1232</v>
      </c>
      <c r="P56" s="1229" t="s">
        <v>1231</v>
      </c>
      <c r="Q56" s="1230"/>
    </row>
    <row r="57" spans="5:17" ht="14.25" x14ac:dyDescent="0.2">
      <c r="E57" s="7"/>
      <c r="L57" s="11"/>
      <c r="M57" s="36" t="s">
        <v>1225</v>
      </c>
      <c r="N57" s="36" t="s">
        <v>1228</v>
      </c>
      <c r="O57" s="36" t="s">
        <v>1582</v>
      </c>
      <c r="P57" s="26" t="s">
        <v>304</v>
      </c>
      <c r="Q57" s="676"/>
    </row>
    <row r="58" spans="5:17" ht="14.25" x14ac:dyDescent="0.2">
      <c r="E58" s="7"/>
      <c r="L58" s="11"/>
      <c r="M58" s="1228" t="s">
        <v>1225</v>
      </c>
      <c r="N58" s="36" t="s">
        <v>1228</v>
      </c>
      <c r="O58" s="1228" t="s">
        <v>1233</v>
      </c>
      <c r="P58" s="1229" t="s">
        <v>1229</v>
      </c>
      <c r="Q58" s="1230"/>
    </row>
    <row r="59" spans="5:17" ht="14.25" x14ac:dyDescent="0.2">
      <c r="L59" s="11"/>
      <c r="M59" s="1572" t="s">
        <v>1225</v>
      </c>
      <c r="N59" s="1572" t="s">
        <v>20</v>
      </c>
      <c r="O59" s="1572" t="s">
        <v>1695</v>
      </c>
      <c r="P59" s="1573" t="s">
        <v>1696</v>
      </c>
      <c r="Q59" s="1574" t="s">
        <v>1697</v>
      </c>
    </row>
    <row r="60" spans="5:17" ht="14.25" x14ac:dyDescent="0.2">
      <c r="L60" s="11"/>
      <c r="M60" s="36" t="s">
        <v>1225</v>
      </c>
      <c r="N60" s="36" t="s">
        <v>20</v>
      </c>
      <c r="O60" s="36" t="s">
        <v>1583</v>
      </c>
      <c r="P60" s="26" t="s">
        <v>1584</v>
      </c>
      <c r="Q60" s="592" t="s">
        <v>1587</v>
      </c>
    </row>
    <row r="61" spans="5:17" ht="14.25" x14ac:dyDescent="0.2">
      <c r="L61" s="11"/>
      <c r="M61" s="36" t="s">
        <v>1225</v>
      </c>
      <c r="N61" s="36" t="s">
        <v>20</v>
      </c>
      <c r="O61" s="36" t="s">
        <v>1585</v>
      </c>
      <c r="P61" s="26" t="s">
        <v>1586</v>
      </c>
      <c r="Q61" s="592" t="s">
        <v>1587</v>
      </c>
    </row>
    <row r="62" spans="5:17" ht="14.25" x14ac:dyDescent="0.2">
      <c r="L62" s="11"/>
      <c r="M62" s="36" t="s">
        <v>1225</v>
      </c>
      <c r="N62" s="36" t="s">
        <v>20</v>
      </c>
      <c r="O62" s="36" t="s">
        <v>1588</v>
      </c>
      <c r="P62" s="26" t="s">
        <v>1589</v>
      </c>
      <c r="Q62" s="592" t="s">
        <v>1587</v>
      </c>
    </row>
    <row r="63" spans="5:17" ht="14.25" x14ac:dyDescent="0.2">
      <c r="L63" s="11"/>
      <c r="M63" s="36" t="s">
        <v>1225</v>
      </c>
      <c r="N63" s="36" t="s">
        <v>20</v>
      </c>
      <c r="O63" s="36" t="s">
        <v>1594</v>
      </c>
      <c r="P63" s="26" t="s">
        <v>1595</v>
      </c>
      <c r="Q63" s="592" t="s">
        <v>1587</v>
      </c>
    </row>
    <row r="64" spans="5:17" ht="14.25" x14ac:dyDescent="0.2">
      <c r="L64" s="11"/>
      <c r="M64" s="2"/>
      <c r="P64" s="2"/>
      <c r="Q64" s="12"/>
    </row>
    <row r="65" spans="12:17" ht="14.25" x14ac:dyDescent="0.2">
      <c r="L65" s="11"/>
      <c r="M65" s="2"/>
      <c r="P65" s="2"/>
      <c r="Q65" s="12"/>
    </row>
    <row r="66" spans="12:17" ht="14.25" x14ac:dyDescent="0.2">
      <c r="L66" s="11"/>
      <c r="M66" s="2"/>
      <c r="P66" s="2"/>
      <c r="Q66" s="12"/>
    </row>
    <row r="67" spans="12:17" ht="14.25" x14ac:dyDescent="0.2">
      <c r="L67" s="11"/>
      <c r="M67" s="2"/>
      <c r="P67" s="2"/>
      <c r="Q67" s="12"/>
    </row>
    <row r="68" spans="12:17" ht="14.25" x14ac:dyDescent="0.2">
      <c r="L68" s="11"/>
      <c r="M68" s="2"/>
      <c r="P68" s="2"/>
      <c r="Q68" s="12"/>
    </row>
    <row r="69" spans="12:17" ht="14.25" x14ac:dyDescent="0.2">
      <c r="L69" s="11"/>
      <c r="M69" s="2"/>
      <c r="P69" s="2"/>
      <c r="Q69" s="12"/>
    </row>
    <row r="70" spans="12:17" ht="14.25" x14ac:dyDescent="0.2">
      <c r="L70" s="11"/>
      <c r="M70" s="2"/>
      <c r="P70" s="2"/>
      <c r="Q70" s="12"/>
    </row>
    <row r="71" spans="12:17" ht="12.75" x14ac:dyDescent="0.2">
      <c r="L71" s="2"/>
      <c r="M71" s="2"/>
      <c r="P71" s="2"/>
      <c r="Q71" s="12"/>
    </row>
    <row r="72" spans="12:17" ht="12.75" x14ac:dyDescent="0.2">
      <c r="L72" s="2"/>
      <c r="M72" s="2"/>
      <c r="P72" s="2"/>
      <c r="Q72" s="12"/>
    </row>
    <row r="73" spans="12:17" ht="12.75" x14ac:dyDescent="0.2">
      <c r="L73" s="2"/>
      <c r="M73" s="2"/>
      <c r="P73" s="2"/>
      <c r="Q73" s="12"/>
    </row>
    <row r="74" spans="12:17" ht="12.75" x14ac:dyDescent="0.2">
      <c r="L74" s="2"/>
      <c r="M74" s="2"/>
      <c r="P74" s="2"/>
      <c r="Q74" s="12"/>
    </row>
    <row r="75" spans="12:17" ht="12.75" x14ac:dyDescent="0.2">
      <c r="L75" s="2"/>
      <c r="M75" s="2"/>
      <c r="P75" s="2"/>
      <c r="Q75" s="12"/>
    </row>
    <row r="76" spans="12:17" x14ac:dyDescent="0.25">
      <c r="L76" s="2"/>
    </row>
    <row r="77" spans="12:17" x14ac:dyDescent="0.25">
      <c r="L77" s="2"/>
    </row>
    <row r="78" spans="12:17" x14ac:dyDescent="0.25">
      <c r="L78" s="2"/>
    </row>
    <row r="79" spans="12:17" x14ac:dyDescent="0.25">
      <c r="L79" s="2"/>
    </row>
    <row r="80" spans="12:17" x14ac:dyDescent="0.25">
      <c r="L80" s="2"/>
    </row>
  </sheetData>
  <pageMargins left="0.7" right="0.7" top="0.75" bottom="0.75" header="0.3" footer="0.3"/>
  <pageSetup paperSize="9" orientation="landscape" horizontalDpi="300" verticalDpi="300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outlinePr summaryBelow="0"/>
    <pageSetUpPr autoPageBreaks="0"/>
  </sheetPr>
  <dimension ref="A1:AD216"/>
  <sheetViews>
    <sheetView windowProtection="1" topLeftCell="A194" zoomScaleNormal="100" workbookViewId="0">
      <selection activeCell="N215" sqref="N215"/>
    </sheetView>
  </sheetViews>
  <sheetFormatPr defaultColWidth="8.7109375" defaultRowHeight="12.75" x14ac:dyDescent="0.2"/>
  <cols>
    <col min="1" max="1" width="7.7109375" style="2479" customWidth="1"/>
    <col min="2" max="2" width="5.7109375" style="2479" customWidth="1"/>
    <col min="3" max="3" width="20.42578125" style="2479" customWidth="1"/>
    <col min="4" max="4" width="30.7109375" style="2479" customWidth="1"/>
    <col min="5" max="5" width="20.7109375" style="2479" customWidth="1"/>
    <col min="6" max="15" width="17.7109375" style="2479" customWidth="1"/>
    <col min="16" max="16" width="2" style="2479" customWidth="1"/>
    <col min="17" max="17" width="10.7109375" style="2479" customWidth="1"/>
    <col min="18" max="16384" width="8.7109375" style="2479"/>
  </cols>
  <sheetData>
    <row r="1" spans="1:17" ht="21" x14ac:dyDescent="0.35">
      <c r="A1" s="120" t="s">
        <v>60</v>
      </c>
      <c r="B1" s="120" t="str">
        <f>INDEX(Workstreams[Workstream], MATCH($A1, Workstreams[Code], 0))</f>
        <v>Hydrocarbon fuel power generation</v>
      </c>
      <c r="C1" s="120"/>
    </row>
    <row r="2" spans="1:17" s="84" customFormat="1" ht="19.5" customHeight="1" x14ac:dyDescent="0.2">
      <c r="A2" s="6" t="s">
        <v>288</v>
      </c>
      <c r="B2" s="6" t="str">
        <f>INDEX(Modules[Module], MATCH($A2, Modules[Code], 0))</f>
        <v>Natural gas power stations</v>
      </c>
      <c r="C2" s="6"/>
      <c r="D2" s="2592"/>
      <c r="E2" s="1380" t="s">
        <v>2578</v>
      </c>
      <c r="F2" s="2592"/>
      <c r="G2" s="2592"/>
      <c r="Q2" s="2479"/>
    </row>
    <row r="3" spans="1:17" s="84" customFormat="1" ht="12.75" customHeight="1" x14ac:dyDescent="0.2">
      <c r="A3" s="2479"/>
      <c r="B3" s="6"/>
      <c r="C3" s="6"/>
      <c r="Q3" s="2479"/>
    </row>
    <row r="4" spans="1:17" ht="22.5" collapsed="1" x14ac:dyDescent="0.3">
      <c r="A4" s="1422"/>
      <c r="B4" s="468" t="s">
        <v>600</v>
      </c>
      <c r="C4" s="420"/>
      <c r="D4" s="421"/>
      <c r="E4" s="422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7" x14ac:dyDescent="0.2">
      <c r="B5" s="469"/>
      <c r="C5" s="411"/>
      <c r="D5" s="412"/>
      <c r="E5" s="413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7" ht="15.75" x14ac:dyDescent="0.25">
      <c r="B6" s="482"/>
      <c r="C6" s="412"/>
      <c r="D6" s="216" t="s">
        <v>342</v>
      </c>
      <c r="E6" s="216" t="s">
        <v>595</v>
      </c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7" ht="15.75" x14ac:dyDescent="0.25">
      <c r="B7" s="482"/>
      <c r="C7" s="412"/>
      <c r="D7" s="238" t="s">
        <v>595</v>
      </c>
      <c r="E7" s="238">
        <f>I.a.scenario</f>
        <v>4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7" ht="15.75" x14ac:dyDescent="0.25">
      <c r="B8" s="483"/>
      <c r="C8" s="417"/>
      <c r="D8" s="417"/>
      <c r="E8" s="417"/>
      <c r="F8" s="418"/>
      <c r="G8" s="418"/>
      <c r="H8" s="418"/>
      <c r="I8" s="418"/>
      <c r="J8" s="418"/>
      <c r="K8" s="418"/>
      <c r="L8" s="418"/>
      <c r="M8" s="418"/>
      <c r="N8" s="418"/>
      <c r="O8" s="418"/>
      <c r="P8" s="419"/>
    </row>
    <row r="11" spans="1:17" s="84" customFormat="1" ht="22.5" x14ac:dyDescent="0.3">
      <c r="A11" s="1422"/>
      <c r="B11" s="1423" t="s">
        <v>597</v>
      </c>
      <c r="C11" s="407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6"/>
      <c r="P11" s="2479"/>
    </row>
    <row r="12" spans="1:17" x14ac:dyDescent="0.2">
      <c r="B12" s="474"/>
      <c r="C12" s="1416"/>
      <c r="D12" s="1416"/>
      <c r="E12" s="1416"/>
      <c r="F12" s="1416"/>
      <c r="G12" s="1416"/>
      <c r="H12" s="1416"/>
      <c r="I12" s="1416"/>
      <c r="J12" s="1416"/>
      <c r="K12" s="1416"/>
      <c r="L12" s="1416"/>
      <c r="M12" s="1416"/>
      <c r="N12" s="1416"/>
      <c r="O12" s="1420"/>
    </row>
    <row r="13" spans="1:17" x14ac:dyDescent="0.2">
      <c r="B13" s="474"/>
      <c r="C13" s="1417" t="s">
        <v>2362</v>
      </c>
      <c r="D13" s="1416"/>
      <c r="E13" s="176"/>
      <c r="F13" s="1416"/>
      <c r="G13" s="1416"/>
      <c r="H13" s="1416"/>
      <c r="I13" s="1416"/>
      <c r="J13" s="1416"/>
      <c r="K13" s="1416"/>
      <c r="L13" s="1416"/>
      <c r="M13" s="1416"/>
      <c r="N13" s="176"/>
      <c r="O13" s="1420"/>
    </row>
    <row r="14" spans="1:17" ht="5.25" customHeight="1" x14ac:dyDescent="0.2">
      <c r="B14" s="474"/>
      <c r="C14" s="1416"/>
      <c r="D14" s="1416"/>
      <c r="E14" s="1416"/>
      <c r="F14" s="1416"/>
      <c r="G14" s="1416"/>
      <c r="H14" s="1416"/>
      <c r="I14" s="1416"/>
      <c r="J14" s="1416"/>
      <c r="K14" s="1416"/>
      <c r="L14" s="1416"/>
      <c r="M14" s="1416"/>
      <c r="N14" s="1416"/>
      <c r="O14" s="1420"/>
    </row>
    <row r="15" spans="1:17" ht="15.75" x14ac:dyDescent="0.25">
      <c r="B15" s="475"/>
      <c r="C15" s="98" t="s">
        <v>595</v>
      </c>
      <c r="D15" s="98" t="s">
        <v>65</v>
      </c>
      <c r="E15" s="98" t="s">
        <v>172</v>
      </c>
      <c r="F15" s="1176">
        <v>2010</v>
      </c>
      <c r="G15" s="1176">
        <v>2015</v>
      </c>
      <c r="H15" s="1176">
        <v>2020</v>
      </c>
      <c r="I15" s="1176">
        <v>2025</v>
      </c>
      <c r="J15" s="1176">
        <v>2030</v>
      </c>
      <c r="K15" s="1176">
        <v>2035</v>
      </c>
      <c r="L15" s="1176">
        <v>2040</v>
      </c>
      <c r="M15" s="1176">
        <v>2045</v>
      </c>
      <c r="N15" s="1176">
        <v>2050</v>
      </c>
      <c r="O15" s="1420"/>
    </row>
    <row r="16" spans="1:17" ht="15.75" x14ac:dyDescent="0.25">
      <c r="B16" s="475"/>
      <c r="C16" s="1414">
        <v>1</v>
      </c>
      <c r="D16" s="1415"/>
      <c r="E16" s="146"/>
      <c r="F16" s="160">
        <f>(Unit.GW)*3</f>
        <v>3</v>
      </c>
      <c r="G16" s="160">
        <f>(Unit.GW)*3.44</f>
        <v>3.44</v>
      </c>
      <c r="H16" s="160">
        <f>(Unit.GW)*3.88</f>
        <v>3.88</v>
      </c>
      <c r="I16" s="160">
        <f>(Unit.GW)*4.31</f>
        <v>4.3099999999999996</v>
      </c>
      <c r="J16" s="160">
        <f>(Unit.GW)*4.75</f>
        <v>4.75</v>
      </c>
      <c r="K16" s="160">
        <f>(Unit.GW)*5.19</f>
        <v>5.19</v>
      </c>
      <c r="L16" s="160">
        <f>(Unit.GW)*5.63</f>
        <v>5.63</v>
      </c>
      <c r="M16" s="160">
        <f>(Unit.GW)*6.05</f>
        <v>6.05</v>
      </c>
      <c r="N16" s="160">
        <f>(Unit.GW)*6.5</f>
        <v>6.5</v>
      </c>
      <c r="O16" s="1420"/>
    </row>
    <row r="17" spans="1:16" ht="15.75" x14ac:dyDescent="0.25">
      <c r="B17" s="475"/>
      <c r="C17" s="1414">
        <v>2</v>
      </c>
      <c r="D17" s="1415"/>
      <c r="E17" s="1415"/>
      <c r="F17" s="160">
        <f>(Unit.GW)*3</f>
        <v>3</v>
      </c>
      <c r="G17" s="160">
        <f>(Unit.GW)*8</f>
        <v>8</v>
      </c>
      <c r="H17" s="160">
        <f>(Unit.GW)*11.3</f>
        <v>11.3</v>
      </c>
      <c r="I17" s="160">
        <f>(Unit.GW)*15.3</f>
        <v>15.3</v>
      </c>
      <c r="J17" s="160">
        <f>(Unit.GW)*19.3</f>
        <v>19.3</v>
      </c>
      <c r="K17" s="160">
        <f>(Unit.GW)*23.3</f>
        <v>23.3</v>
      </c>
      <c r="L17" s="160">
        <f>(Unit.GW)*27.3</f>
        <v>27.3</v>
      </c>
      <c r="M17" s="160">
        <f>(Unit.GW)*31.3</f>
        <v>31.3</v>
      </c>
      <c r="N17" s="160">
        <f>(Unit.GW)*35.3</f>
        <v>35.299999999999997</v>
      </c>
      <c r="O17" s="1420"/>
    </row>
    <row r="18" spans="1:16" ht="15.75" x14ac:dyDescent="0.25">
      <c r="B18" s="475"/>
      <c r="C18" s="1414">
        <v>3</v>
      </c>
      <c r="D18" s="1415"/>
      <c r="E18" s="1415"/>
      <c r="F18" s="160">
        <f>(Unit.GW)*3</f>
        <v>3</v>
      </c>
      <c r="G18" s="160">
        <f>(Unit.GW)*8</f>
        <v>8</v>
      </c>
      <c r="H18" s="160">
        <f>(Unit.GW)*16.33</f>
        <v>16.329999999999998</v>
      </c>
      <c r="I18" s="160">
        <f>(Unit.GW)*17.55</f>
        <v>17.55</v>
      </c>
      <c r="J18" s="160">
        <f>(Unit.GW)*22.074</f>
        <v>22.074000000000002</v>
      </c>
      <c r="K18" s="160">
        <f>(Unit.GW)*27.598</f>
        <v>27.597999999999999</v>
      </c>
      <c r="L18" s="160">
        <f>(Unit.GW)*37.122</f>
        <v>37.122</v>
      </c>
      <c r="M18" s="160">
        <f>(Unit.GW)*48.646</f>
        <v>48.646000000000001</v>
      </c>
      <c r="N18" s="160">
        <f>(Unit.GW)*62.17</f>
        <v>62.17</v>
      </c>
      <c r="O18" s="1377"/>
    </row>
    <row r="19" spans="1:16" ht="15.75" x14ac:dyDescent="0.25">
      <c r="B19" s="475"/>
      <c r="C19" s="1412">
        <v>4</v>
      </c>
      <c r="D19" s="102"/>
      <c r="E19" s="102"/>
      <c r="F19" s="160">
        <f>(Unit.GW)*3</f>
        <v>3</v>
      </c>
      <c r="G19" s="160">
        <f>(Unit.GW)*8</f>
        <v>8</v>
      </c>
      <c r="H19" s="160">
        <f>(Unit.GW)*19.33</f>
        <v>19.329999999999998</v>
      </c>
      <c r="I19" s="160">
        <f>(Unit.GW)*26.84</f>
        <v>26.84</v>
      </c>
      <c r="J19" s="160">
        <f>(Unit.GW)*34.39</f>
        <v>34.39</v>
      </c>
      <c r="K19" s="160">
        <f>(Unit.GW)*45.93</f>
        <v>45.93</v>
      </c>
      <c r="L19" s="160">
        <f>(Unit.GW)*57.47</f>
        <v>57.47</v>
      </c>
      <c r="M19" s="160">
        <f>(Unit.GW)*69.02</f>
        <v>69.02</v>
      </c>
      <c r="N19" s="160">
        <f>(Unit.GW)*80.56</f>
        <v>80.56</v>
      </c>
      <c r="O19" s="1377"/>
    </row>
    <row r="20" spans="1:16" ht="15.75" x14ac:dyDescent="0.25">
      <c r="B20" s="397"/>
      <c r="C20" s="1386" t="s">
        <v>582</v>
      </c>
      <c r="D20" s="1387"/>
      <c r="E20" s="1387"/>
      <c r="F20" s="1388">
        <f t="shared" ref="F20:N20" si="0">(INDEX(F$16:F$19,ROUNDDOWN($E$7,0))*(1-MOD($E$7,1)))+(INDEX(F$16:F$19,ROUNDUP($E$7,0))*MOD($E$7,1))</f>
        <v>3</v>
      </c>
      <c r="G20" s="1388">
        <f t="shared" si="0"/>
        <v>8</v>
      </c>
      <c r="H20" s="1388">
        <f t="shared" si="0"/>
        <v>19.329999999999998</v>
      </c>
      <c r="I20" s="1388">
        <f t="shared" si="0"/>
        <v>26.84</v>
      </c>
      <c r="J20" s="1388">
        <f t="shared" si="0"/>
        <v>34.39</v>
      </c>
      <c r="K20" s="1388">
        <f t="shared" si="0"/>
        <v>45.93</v>
      </c>
      <c r="L20" s="1388">
        <f t="shared" si="0"/>
        <v>57.47</v>
      </c>
      <c r="M20" s="1388">
        <f t="shared" si="0"/>
        <v>69.02</v>
      </c>
      <c r="N20" s="1389">
        <f t="shared" si="0"/>
        <v>80.56</v>
      </c>
      <c r="O20" s="1420"/>
    </row>
    <row r="21" spans="1:16" x14ac:dyDescent="0.2">
      <c r="B21" s="474"/>
      <c r="C21" s="1416"/>
      <c r="D21" s="1416"/>
      <c r="E21" s="1416"/>
      <c r="F21" s="1416"/>
      <c r="G21" s="1416"/>
      <c r="H21" s="1416"/>
      <c r="I21" s="1416"/>
      <c r="J21" s="1416"/>
      <c r="K21" s="1416"/>
      <c r="L21" s="1416"/>
      <c r="M21" s="1416"/>
      <c r="N21" s="1416"/>
      <c r="O21" s="1420"/>
    </row>
    <row r="23" spans="1:16" x14ac:dyDescent="0.2">
      <c r="J23" s="2543"/>
    </row>
    <row r="24" spans="1:16" s="84" customFormat="1" ht="22.5" x14ac:dyDescent="0.3">
      <c r="A24" s="1422"/>
      <c r="B24" s="1423" t="s">
        <v>315</v>
      </c>
      <c r="C24" s="405"/>
      <c r="D24" s="405"/>
      <c r="E24" s="405"/>
      <c r="F24" s="405"/>
      <c r="G24" s="405"/>
      <c r="H24" s="405"/>
      <c r="I24" s="405"/>
      <c r="J24" s="405"/>
      <c r="K24" s="405"/>
      <c r="L24" s="405"/>
      <c r="M24" s="405"/>
      <c r="N24" s="405"/>
      <c r="O24" s="406"/>
      <c r="P24" s="2479"/>
    </row>
    <row r="25" spans="1:16" x14ac:dyDescent="0.2">
      <c r="B25" s="457"/>
      <c r="C25" s="458"/>
      <c r="D25" s="458"/>
      <c r="E25" s="458"/>
      <c r="F25" s="458"/>
      <c r="G25" s="458"/>
      <c r="H25" s="458"/>
      <c r="I25" s="458"/>
      <c r="J25" s="458"/>
      <c r="K25" s="458"/>
      <c r="L25" s="458"/>
      <c r="M25" s="458"/>
      <c r="N25" s="458"/>
      <c r="O25" s="459"/>
    </row>
    <row r="26" spans="1:16" x14ac:dyDescent="0.2">
      <c r="B26" s="1419"/>
      <c r="C26" s="1417" t="s">
        <v>879</v>
      </c>
      <c r="D26" s="1416"/>
      <c r="E26" s="1416"/>
      <c r="F26" s="176"/>
      <c r="G26" s="1416"/>
      <c r="H26" s="1416"/>
      <c r="I26" s="1416"/>
      <c r="J26" s="1416"/>
      <c r="K26" s="1416"/>
      <c r="L26" s="1416"/>
      <c r="M26" s="1416"/>
      <c r="N26" s="1416"/>
      <c r="O26" s="1420"/>
    </row>
    <row r="27" spans="1:16" ht="4.5" customHeight="1" x14ac:dyDescent="0.2">
      <c r="B27" s="1419"/>
      <c r="C27" s="1416"/>
      <c r="D27" s="1416"/>
      <c r="E27" s="1416"/>
      <c r="F27" s="1416"/>
      <c r="G27" s="1416"/>
      <c r="H27" s="1416"/>
      <c r="I27" s="1416"/>
      <c r="J27" s="1416"/>
      <c r="K27" s="1416"/>
      <c r="L27" s="1416"/>
      <c r="M27" s="1416"/>
      <c r="N27" s="1416"/>
      <c r="O27" s="1420"/>
    </row>
    <row r="28" spans="1:16" ht="15.75" x14ac:dyDescent="0.25">
      <c r="B28" s="397"/>
      <c r="C28" s="98" t="s">
        <v>264</v>
      </c>
      <c r="D28" s="98" t="s">
        <v>278</v>
      </c>
      <c r="E28" s="98" t="s">
        <v>172</v>
      </c>
      <c r="F28" s="218">
        <v>2010</v>
      </c>
      <c r="G28" s="103" t="s">
        <v>268</v>
      </c>
      <c r="H28" s="103" t="s">
        <v>269</v>
      </c>
      <c r="I28" s="103" t="s">
        <v>270</v>
      </c>
      <c r="J28" s="103" t="s">
        <v>271</v>
      </c>
      <c r="K28" s="103" t="s">
        <v>272</v>
      </c>
      <c r="L28" s="103" t="s">
        <v>273</v>
      </c>
      <c r="M28" s="103" t="s">
        <v>274</v>
      </c>
      <c r="N28" s="103" t="s">
        <v>275</v>
      </c>
      <c r="O28" s="1420"/>
    </row>
    <row r="29" spans="1:16" ht="15.75" x14ac:dyDescent="0.25">
      <c r="B29" s="397"/>
      <c r="C29" s="341" t="s">
        <v>39</v>
      </c>
      <c r="D29" s="342" t="s">
        <v>285</v>
      </c>
      <c r="E29" s="342"/>
      <c r="F29" s="343">
        <v>0.05</v>
      </c>
      <c r="G29" s="343">
        <v>0.05</v>
      </c>
      <c r="H29" s="343">
        <v>0.05</v>
      </c>
      <c r="I29" s="343">
        <v>0.05</v>
      </c>
      <c r="J29" s="343">
        <v>0.05</v>
      </c>
      <c r="K29" s="343">
        <v>0.05</v>
      </c>
      <c r="L29" s="343">
        <v>0.05</v>
      </c>
      <c r="M29" s="343">
        <v>0.05</v>
      </c>
      <c r="N29" s="343">
        <v>0.05</v>
      </c>
      <c r="O29" s="1420"/>
    </row>
    <row r="30" spans="1:16" x14ac:dyDescent="0.2">
      <c r="B30" s="1419"/>
      <c r="C30" s="1416"/>
      <c r="D30" s="1416"/>
      <c r="E30" s="1416"/>
      <c r="F30" s="1416"/>
      <c r="G30" s="1416"/>
      <c r="H30" s="1416"/>
      <c r="I30" s="1416"/>
      <c r="J30" s="1416"/>
      <c r="K30" s="1416"/>
      <c r="L30" s="1416"/>
      <c r="M30" s="1416"/>
      <c r="N30" s="1416"/>
      <c r="O30" s="1420"/>
    </row>
    <row r="31" spans="1:16" x14ac:dyDescent="0.2">
      <c r="B31" s="1421"/>
      <c r="C31" s="1417" t="s">
        <v>276</v>
      </c>
      <c r="D31" s="1416"/>
      <c r="E31" s="1416"/>
      <c r="F31" s="176"/>
      <c r="G31" s="1416"/>
      <c r="H31" s="1416"/>
      <c r="I31" s="1416"/>
      <c r="J31" s="1416"/>
      <c r="K31" s="1416"/>
      <c r="L31" s="1416"/>
      <c r="M31" s="1416"/>
      <c r="N31" s="1416"/>
      <c r="O31" s="1420"/>
    </row>
    <row r="32" spans="1:16" ht="4.5" customHeight="1" x14ac:dyDescent="0.2">
      <c r="B32" s="1419"/>
      <c r="C32" s="1416"/>
      <c r="D32" s="1416"/>
      <c r="E32" s="1416"/>
      <c r="F32" s="1416"/>
      <c r="G32" s="1416"/>
      <c r="H32" s="1416"/>
      <c r="I32" s="1416"/>
      <c r="J32" s="1416"/>
      <c r="K32" s="1416"/>
      <c r="L32" s="1416"/>
      <c r="M32" s="1416"/>
      <c r="N32" s="1416"/>
      <c r="O32" s="1420"/>
    </row>
    <row r="33" spans="1:17" ht="15.75" x14ac:dyDescent="0.25">
      <c r="B33" s="397"/>
      <c r="C33" s="98" t="s">
        <v>264</v>
      </c>
      <c r="D33" s="98" t="s">
        <v>278</v>
      </c>
      <c r="E33" s="98" t="s">
        <v>172</v>
      </c>
      <c r="F33" s="104" t="s">
        <v>241</v>
      </c>
      <c r="G33" s="103" t="s">
        <v>268</v>
      </c>
      <c r="H33" s="103" t="s">
        <v>269</v>
      </c>
      <c r="I33" s="103" t="s">
        <v>270</v>
      </c>
      <c r="J33" s="103" t="s">
        <v>271</v>
      </c>
      <c r="K33" s="103" t="s">
        <v>272</v>
      </c>
      <c r="L33" s="103" t="s">
        <v>273</v>
      </c>
      <c r="M33" s="103" t="s">
        <v>274</v>
      </c>
      <c r="N33" s="103" t="s">
        <v>275</v>
      </c>
      <c r="O33" s="1420"/>
    </row>
    <row r="34" spans="1:17" s="84" customFormat="1" ht="15.75" x14ac:dyDescent="0.2">
      <c r="A34" s="2479"/>
      <c r="B34" s="399"/>
      <c r="C34" s="341" t="s">
        <v>39</v>
      </c>
      <c r="D34" s="342" t="s">
        <v>186</v>
      </c>
      <c r="E34" s="342" t="s">
        <v>100</v>
      </c>
      <c r="F34" s="111">
        <v>0.5</v>
      </c>
      <c r="G34" s="109">
        <v>0.5</v>
      </c>
      <c r="H34" s="109">
        <v>0.5</v>
      </c>
      <c r="I34" s="109">
        <v>0.5</v>
      </c>
      <c r="J34" s="109">
        <v>0.5</v>
      </c>
      <c r="K34" s="109">
        <v>0.5</v>
      </c>
      <c r="L34" s="109">
        <v>0.5</v>
      </c>
      <c r="M34" s="109">
        <v>0.5</v>
      </c>
      <c r="N34" s="109">
        <v>0.5</v>
      </c>
      <c r="O34" s="400"/>
      <c r="P34" s="2479"/>
    </row>
    <row r="35" spans="1:17" x14ac:dyDescent="0.2">
      <c r="B35" s="1419"/>
      <c r="C35" s="1416"/>
      <c r="D35" s="1416"/>
      <c r="E35" s="1416"/>
      <c r="F35" s="1416"/>
      <c r="G35" s="1416"/>
      <c r="H35" s="1416"/>
      <c r="I35" s="1416"/>
      <c r="J35" s="1416"/>
      <c r="K35" s="1416"/>
      <c r="L35" s="1416"/>
      <c r="M35" s="1416"/>
      <c r="N35" s="1416"/>
      <c r="O35" s="1420"/>
    </row>
    <row r="36" spans="1:17" x14ac:dyDescent="0.2">
      <c r="B36" s="1421"/>
      <c r="C36" s="1417" t="s">
        <v>304</v>
      </c>
      <c r="D36" s="1416"/>
      <c r="E36" s="1416"/>
      <c r="F36" s="176"/>
      <c r="G36" s="1416"/>
      <c r="H36" s="1416"/>
      <c r="I36" s="1416"/>
      <c r="J36" s="1416"/>
      <c r="K36" s="1416"/>
      <c r="L36" s="1416"/>
      <c r="M36" s="1416"/>
      <c r="N36" s="1416"/>
      <c r="O36" s="1420"/>
    </row>
    <row r="37" spans="1:17" ht="4.5" customHeight="1" x14ac:dyDescent="0.2">
      <c r="B37" s="1419"/>
      <c r="C37" s="1416"/>
      <c r="D37" s="1416"/>
      <c r="E37" s="1416"/>
      <c r="F37" s="1416"/>
      <c r="G37" s="1416"/>
      <c r="H37" s="1416"/>
      <c r="I37" s="1416"/>
      <c r="J37" s="1416"/>
      <c r="K37" s="1416"/>
      <c r="L37" s="1416"/>
      <c r="M37" s="1416"/>
      <c r="N37" s="1416"/>
      <c r="O37" s="1420"/>
    </row>
    <row r="38" spans="1:17" ht="15.75" x14ac:dyDescent="0.25">
      <c r="B38" s="397"/>
      <c r="C38" s="98" t="s">
        <v>264</v>
      </c>
      <c r="D38" s="98" t="s">
        <v>278</v>
      </c>
      <c r="E38" s="98" t="s">
        <v>172</v>
      </c>
      <c r="F38" s="104" t="s">
        <v>241</v>
      </c>
      <c r="G38" s="103" t="s">
        <v>268</v>
      </c>
      <c r="H38" s="103" t="s">
        <v>269</v>
      </c>
      <c r="I38" s="103" t="s">
        <v>270</v>
      </c>
      <c r="J38" s="103" t="s">
        <v>271</v>
      </c>
      <c r="K38" s="103" t="s">
        <v>272</v>
      </c>
      <c r="L38" s="103" t="s">
        <v>273</v>
      </c>
      <c r="M38" s="103" t="s">
        <v>274</v>
      </c>
      <c r="N38" s="103" t="s">
        <v>275</v>
      </c>
      <c r="O38" s="1420"/>
    </row>
    <row r="39" spans="1:17" s="84" customFormat="1" ht="15.75" x14ac:dyDescent="0.2">
      <c r="A39" s="2479"/>
      <c r="B39" s="399"/>
      <c r="C39" s="349" t="s">
        <v>39</v>
      </c>
      <c r="D39" s="350" t="s">
        <v>285</v>
      </c>
      <c r="E39" s="350"/>
      <c r="F39" s="211">
        <v>0.7</v>
      </c>
      <c r="G39" s="210">
        <v>0.7</v>
      </c>
      <c r="H39" s="210">
        <v>0.7</v>
      </c>
      <c r="I39" s="210">
        <v>0.7</v>
      </c>
      <c r="J39" s="210">
        <v>0.7</v>
      </c>
      <c r="K39" s="210">
        <v>0.7</v>
      </c>
      <c r="L39" s="210">
        <v>0.7</v>
      </c>
      <c r="M39" s="210">
        <v>0.7</v>
      </c>
      <c r="N39" s="210">
        <v>0.7</v>
      </c>
      <c r="O39" s="400"/>
      <c r="P39" s="2479"/>
    </row>
    <row r="40" spans="1:17" s="84" customFormat="1" ht="5.25" customHeight="1" x14ac:dyDescent="0.2">
      <c r="A40" s="2479"/>
      <c r="B40" s="399"/>
      <c r="C40" s="505"/>
      <c r="D40" s="344"/>
      <c r="E40" s="344"/>
      <c r="F40" s="213"/>
      <c r="G40" s="174"/>
      <c r="H40" s="174"/>
      <c r="I40" s="174"/>
      <c r="J40" s="174"/>
      <c r="K40" s="174"/>
      <c r="L40" s="174"/>
      <c r="M40" s="174"/>
      <c r="N40" s="174"/>
      <c r="O40" s="174"/>
      <c r="P40" s="400"/>
      <c r="Q40" s="2479"/>
    </row>
    <row r="41" spans="1:17" x14ac:dyDescent="0.2">
      <c r="B41" s="1419"/>
      <c r="C41" s="1414"/>
      <c r="D41" s="344"/>
      <c r="E41" s="1416"/>
      <c r="F41" s="1416"/>
      <c r="G41" s="1416"/>
      <c r="H41" s="1416"/>
      <c r="I41" s="1416"/>
      <c r="J41" s="1416"/>
      <c r="K41" s="1416"/>
      <c r="L41" s="1416"/>
      <c r="M41" s="1416"/>
      <c r="N41" s="1416"/>
      <c r="O41" s="1416"/>
      <c r="P41" s="1420"/>
    </row>
    <row r="42" spans="1:17" ht="15.75" x14ac:dyDescent="0.25">
      <c r="B42" s="397"/>
      <c r="C42" s="1417" t="s">
        <v>1273</v>
      </c>
      <c r="D42" s="1416"/>
      <c r="E42" s="1416"/>
      <c r="F42" s="1416"/>
      <c r="G42" s="176"/>
      <c r="H42" s="1416"/>
      <c r="I42" s="1416"/>
      <c r="J42" s="1416"/>
      <c r="K42" s="1416"/>
      <c r="L42" s="1416"/>
      <c r="M42" s="1416"/>
      <c r="N42" s="1416"/>
      <c r="O42" s="1416"/>
      <c r="P42" s="1420"/>
    </row>
    <row r="43" spans="1:17" ht="3.75" customHeight="1" x14ac:dyDescent="0.25">
      <c r="B43" s="397"/>
      <c r="C43" s="1416"/>
      <c r="D43" s="1416"/>
      <c r="E43" s="1416"/>
      <c r="F43" s="1416"/>
      <c r="G43" s="1416"/>
      <c r="H43" s="1416"/>
      <c r="I43" s="1416"/>
      <c r="J43" s="1416"/>
      <c r="K43" s="1416"/>
      <c r="L43" s="1416"/>
      <c r="M43" s="1416"/>
      <c r="N43" s="1416"/>
      <c r="O43" s="1416"/>
      <c r="P43" s="1420"/>
    </row>
    <row r="44" spans="1:17" ht="15.75" x14ac:dyDescent="0.25">
      <c r="B44" s="397"/>
      <c r="C44" s="1905"/>
      <c r="D44" s="2080" t="s">
        <v>1298</v>
      </c>
      <c r="E44" s="1905"/>
      <c r="F44" s="1994" t="str">
        <f>Preferences.PowerUnits&amp;"peak"</f>
        <v>GWpeak</v>
      </c>
      <c r="G44" s="953"/>
      <c r="H44" s="953"/>
      <c r="I44" s="1416"/>
      <c r="J44" s="523"/>
      <c r="K44" s="523"/>
      <c r="L44" s="523"/>
      <c r="M44" s="523"/>
      <c r="N44" s="523"/>
      <c r="O44" s="523"/>
      <c r="P44" s="1420"/>
    </row>
    <row r="45" spans="1:17" ht="15.75" x14ac:dyDescent="0.25">
      <c r="B45" s="397"/>
      <c r="C45" s="1414"/>
      <c r="D45" s="1415" t="s">
        <v>10</v>
      </c>
      <c r="E45" s="1415"/>
      <c r="F45" s="207">
        <f>1*Unit.GW</f>
        <v>1</v>
      </c>
      <c r="G45" s="760"/>
      <c r="H45" s="760"/>
      <c r="I45" s="1416"/>
      <c r="J45" s="208"/>
      <c r="K45" s="208"/>
      <c r="L45" s="208"/>
      <c r="M45" s="208"/>
      <c r="N45" s="208"/>
      <c r="O45" s="208"/>
      <c r="P45" s="1420"/>
    </row>
    <row r="46" spans="1:17" ht="15.75" x14ac:dyDescent="0.25">
      <c r="B46" s="397"/>
      <c r="C46" s="1414"/>
      <c r="D46" s="1415"/>
      <c r="E46" s="1415"/>
      <c r="F46" s="206"/>
      <c r="G46" s="760"/>
      <c r="H46" s="760"/>
      <c r="I46" s="1416"/>
      <c r="J46" s="208"/>
      <c r="K46" s="208"/>
      <c r="L46" s="208"/>
      <c r="M46" s="208"/>
      <c r="N46" s="208"/>
      <c r="O46" s="208"/>
      <c r="P46" s="1420"/>
    </row>
    <row r="47" spans="1:17" ht="15.75" x14ac:dyDescent="0.25">
      <c r="B47" s="397"/>
      <c r="C47" s="178" t="s">
        <v>1796</v>
      </c>
      <c r="D47" s="1415"/>
      <c r="E47" s="1415"/>
      <c r="F47" s="206"/>
      <c r="G47" s="760"/>
      <c r="H47" s="760"/>
      <c r="I47" s="1416"/>
      <c r="J47" s="208"/>
      <c r="K47" s="208"/>
      <c r="L47" s="208"/>
      <c r="M47" s="208"/>
      <c r="N47" s="1737" t="str">
        <f>"Kte/"&amp;Preferences.EnergyUnits</f>
        <v>Kte/TWh</v>
      </c>
      <c r="P47" s="1420"/>
    </row>
    <row r="48" spans="1:17" ht="3.75" customHeight="1" x14ac:dyDescent="0.25">
      <c r="B48" s="397"/>
      <c r="C48" s="178"/>
      <c r="D48" s="1415"/>
      <c r="E48" s="1415"/>
      <c r="F48" s="206"/>
      <c r="G48" s="760"/>
      <c r="H48" s="760"/>
      <c r="I48" s="1416"/>
      <c r="J48" s="208"/>
      <c r="K48" s="208"/>
      <c r="L48" s="208"/>
      <c r="M48" s="208"/>
      <c r="N48" s="208"/>
      <c r="O48" s="1737"/>
      <c r="P48" s="1416"/>
    </row>
    <row r="49" spans="2:15" ht="15.75" x14ac:dyDescent="0.25">
      <c r="B49" s="397"/>
      <c r="C49" s="98"/>
      <c r="D49" s="98" t="s">
        <v>264</v>
      </c>
      <c r="E49" s="98" t="s">
        <v>172</v>
      </c>
      <c r="F49" s="104" t="s">
        <v>241</v>
      </c>
      <c r="G49" s="103" t="s">
        <v>268</v>
      </c>
      <c r="H49" s="103" t="s">
        <v>269</v>
      </c>
      <c r="I49" s="103" t="s">
        <v>270</v>
      </c>
      <c r="J49" s="103" t="s">
        <v>271</v>
      </c>
      <c r="K49" s="103" t="s">
        <v>272</v>
      </c>
      <c r="L49" s="103" t="s">
        <v>273</v>
      </c>
      <c r="M49" s="103" t="s">
        <v>274</v>
      </c>
      <c r="N49" s="103" t="s">
        <v>275</v>
      </c>
      <c r="O49" s="208"/>
    </row>
    <row r="50" spans="2:15" ht="15.75" x14ac:dyDescent="0.25">
      <c r="B50" s="397"/>
      <c r="C50" s="1740"/>
      <c r="D50" s="1741" t="s">
        <v>197</v>
      </c>
      <c r="E50" s="1740"/>
      <c r="F50" s="1744">
        <f>0.00278035848453654*(1/Unit.TWh)</f>
        <v>2.7803584845365399E-3</v>
      </c>
      <c r="G50" s="1743">
        <f>0.00309728804586587*(1/Unit.TWh)</f>
        <v>3.0972880458658698E-3</v>
      </c>
      <c r="H50" s="1743">
        <f>0.00309726437565347*(1/Unit.TWh)</f>
        <v>3.0972643756534699E-3</v>
      </c>
      <c r="I50" s="1743">
        <f>0.00309723515657493*(1/Unit.TWh)</f>
        <v>3.0972351565749299E-3</v>
      </c>
      <c r="J50" s="1742">
        <f>0.00309727451363559*(1/Unit.TWh)</f>
        <v>3.0972745136355899E-3</v>
      </c>
      <c r="K50" s="1742">
        <f>0.00309727451363559*(1/Unit.TWh)</f>
        <v>3.0972745136355899E-3</v>
      </c>
      <c r="L50" s="1742">
        <f>0.00309727451363559*(1/Unit.TWh)</f>
        <v>3.0972745136355899E-3</v>
      </c>
      <c r="M50" s="1742">
        <f>0.00309727451363559*(1/Unit.TWh)</f>
        <v>3.0972745136355899E-3</v>
      </c>
      <c r="N50" s="1742">
        <f>0.00309727451363559*(1/Unit.TWh)</f>
        <v>3.0972745136355899E-3</v>
      </c>
      <c r="O50" s="208"/>
    </row>
    <row r="51" spans="2:15" ht="15.75" x14ac:dyDescent="0.25">
      <c r="B51" s="397"/>
      <c r="C51" s="1414"/>
      <c r="D51" s="1415"/>
      <c r="E51" s="1415"/>
      <c r="F51" s="760"/>
      <c r="G51" s="760"/>
      <c r="H51" s="1416"/>
      <c r="I51" s="208"/>
      <c r="J51" s="208"/>
      <c r="K51" s="208"/>
      <c r="L51" s="208"/>
      <c r="M51" s="208"/>
      <c r="N51" s="208"/>
      <c r="O51" s="1420"/>
    </row>
    <row r="52" spans="2:15" ht="15.75" x14ac:dyDescent="0.25">
      <c r="B52" s="397"/>
      <c r="C52" s="178" t="s">
        <v>1797</v>
      </c>
      <c r="D52" s="1415"/>
      <c r="E52" s="1415"/>
      <c r="F52" s="760"/>
      <c r="G52" s="760"/>
      <c r="H52" s="1416"/>
      <c r="I52" s="208"/>
      <c r="J52" s="208"/>
      <c r="K52" s="208"/>
      <c r="L52" s="208"/>
      <c r="M52" s="208"/>
      <c r="N52" s="1737" t="str">
        <f>"Kte/"&amp;Preferences.EnergyUnits</f>
        <v>Kte/TWh</v>
      </c>
      <c r="O52" s="1420"/>
    </row>
    <row r="53" spans="2:15" ht="3.75" customHeight="1" x14ac:dyDescent="0.25">
      <c r="B53" s="397"/>
      <c r="C53" s="178"/>
      <c r="D53" s="1415"/>
      <c r="E53" s="1415"/>
      <c r="F53" s="760"/>
      <c r="G53" s="760"/>
      <c r="H53" s="1416"/>
      <c r="I53" s="208"/>
      <c r="J53" s="208"/>
      <c r="K53" s="208"/>
      <c r="L53" s="208"/>
      <c r="M53" s="208"/>
      <c r="N53" s="1737"/>
      <c r="O53" s="1416"/>
    </row>
    <row r="54" spans="2:15" ht="15.75" x14ac:dyDescent="0.25">
      <c r="B54" s="397"/>
      <c r="C54" s="98"/>
      <c r="D54" s="98" t="s">
        <v>264</v>
      </c>
      <c r="E54" s="98" t="s">
        <v>172</v>
      </c>
      <c r="F54" s="104" t="s">
        <v>241</v>
      </c>
      <c r="G54" s="103" t="s">
        <v>268</v>
      </c>
      <c r="H54" s="103" t="s">
        <v>269</v>
      </c>
      <c r="I54" s="103" t="s">
        <v>270</v>
      </c>
      <c r="J54" s="103" t="s">
        <v>271</v>
      </c>
      <c r="K54" s="103" t="s">
        <v>272</v>
      </c>
      <c r="L54" s="103" t="s">
        <v>273</v>
      </c>
      <c r="M54" s="103" t="s">
        <v>274</v>
      </c>
      <c r="N54" s="103" t="s">
        <v>275</v>
      </c>
      <c r="O54" s="208"/>
    </row>
    <row r="55" spans="2:15" ht="15.75" x14ac:dyDescent="0.25">
      <c r="B55" s="397"/>
      <c r="C55" s="1740"/>
      <c r="D55" s="1741" t="s">
        <v>197</v>
      </c>
      <c r="E55" s="1740"/>
      <c r="F55" s="1744">
        <f>0.123050674970797*(1/Unit.TWh)</f>
        <v>0.123050674970797</v>
      </c>
      <c r="G55" s="1743">
        <f>0.127930570228309*(1/Unit.TWh)</f>
        <v>0.127930570228309</v>
      </c>
      <c r="H55" s="1743">
        <f>0.115766100034766*(1/Unit.TWh)</f>
        <v>0.11576610003476601</v>
      </c>
      <c r="I55" s="1743">
        <f>0.126726412997109*(1/Unit.TWh)</f>
        <v>0.12672641299710899</v>
      </c>
      <c r="J55" s="1742">
        <f>0.126179432674123*(1/Unit.TWh)</f>
        <v>0.12617943267412299</v>
      </c>
      <c r="K55" s="1742">
        <f>0.126179432674123*(1/Unit.TWh)</f>
        <v>0.12617943267412299</v>
      </c>
      <c r="L55" s="1742">
        <f>0.126179432674123*(1/Unit.TWh)</f>
        <v>0.12617943267412299</v>
      </c>
      <c r="M55" s="1742">
        <f>0.126179432674123*(1/Unit.TWh)</f>
        <v>0.12617943267412299</v>
      </c>
      <c r="N55" s="1742">
        <f>0.126179432674123*(1/Unit.TWh)</f>
        <v>0.12617943267412299</v>
      </c>
      <c r="O55" s="208"/>
    </row>
    <row r="56" spans="2:15" ht="15.75" x14ac:dyDescent="0.25">
      <c r="B56" s="397"/>
      <c r="C56" s="1738"/>
      <c r="D56" s="1660"/>
      <c r="E56" s="1660"/>
      <c r="F56" s="1739"/>
      <c r="G56" s="1739"/>
      <c r="H56" s="1739"/>
      <c r="I56" s="1739"/>
      <c r="J56" s="1739"/>
      <c r="K56" s="1739"/>
      <c r="L56" s="1739"/>
      <c r="M56" s="1739"/>
      <c r="N56" s="1739"/>
      <c r="O56" s="1420"/>
    </row>
    <row r="57" spans="2:15" ht="15.75" x14ac:dyDescent="0.25">
      <c r="B57" s="397"/>
      <c r="C57" s="178" t="s">
        <v>1798</v>
      </c>
      <c r="D57" s="1415"/>
      <c r="E57" s="1415"/>
      <c r="F57" s="760"/>
      <c r="G57" s="760"/>
      <c r="H57" s="1416"/>
      <c r="I57" s="208"/>
      <c r="J57" s="208"/>
      <c r="K57" s="208"/>
      <c r="L57" s="208"/>
      <c r="M57" s="208"/>
      <c r="N57" s="1737" t="str">
        <f>"Kte/"&amp;Preferences.EnergyUnits</f>
        <v>Kte/TWh</v>
      </c>
      <c r="O57" s="1420"/>
    </row>
    <row r="58" spans="2:15" ht="3.75" customHeight="1" x14ac:dyDescent="0.25">
      <c r="B58" s="397"/>
      <c r="C58" s="178"/>
      <c r="D58" s="1415"/>
      <c r="E58" s="1415"/>
      <c r="F58" s="760"/>
      <c r="G58" s="760"/>
      <c r="H58" s="1416"/>
      <c r="I58" s="208"/>
      <c r="J58" s="208"/>
      <c r="K58" s="208"/>
      <c r="L58" s="208"/>
      <c r="M58" s="208"/>
      <c r="N58" s="1737"/>
      <c r="O58" s="1416"/>
    </row>
    <row r="59" spans="2:15" ht="15.75" x14ac:dyDescent="0.25">
      <c r="B59" s="397"/>
      <c r="C59" s="98"/>
      <c r="D59" s="98" t="s">
        <v>264</v>
      </c>
      <c r="E59" s="98" t="s">
        <v>172</v>
      </c>
      <c r="F59" s="104" t="s">
        <v>241</v>
      </c>
      <c r="G59" s="103" t="s">
        <v>268</v>
      </c>
      <c r="H59" s="103" t="s">
        <v>269</v>
      </c>
      <c r="I59" s="103" t="s">
        <v>270</v>
      </c>
      <c r="J59" s="103" t="s">
        <v>271</v>
      </c>
      <c r="K59" s="103" t="s">
        <v>272</v>
      </c>
      <c r="L59" s="103" t="s">
        <v>273</v>
      </c>
      <c r="M59" s="103" t="s">
        <v>274</v>
      </c>
      <c r="N59" s="103" t="s">
        <v>275</v>
      </c>
      <c r="O59" s="208"/>
    </row>
    <row r="60" spans="2:15" ht="15.75" x14ac:dyDescent="0.25">
      <c r="B60" s="397"/>
      <c r="C60" s="1740"/>
      <c r="D60" s="1741" t="s">
        <v>197</v>
      </c>
      <c r="E60" s="1740"/>
      <c r="F60" s="1744">
        <f>0.00181607897153511*(1/Unit.TWh)</f>
        <v>1.81607897153511E-3</v>
      </c>
      <c r="G60" s="1743">
        <f>0.0023443095515625*(1/Unit.TWh)</f>
        <v>2.3443095515624998E-3</v>
      </c>
      <c r="H60" s="1743">
        <f>0.00234138971705812*(1/Unit.TWh)</f>
        <v>2.3413897170581201E-3</v>
      </c>
      <c r="I60" s="1743">
        <f>0.00233778540323651*(1/Unit.TWh)</f>
        <v>2.3377854032365099E-3</v>
      </c>
      <c r="J60" s="1742">
        <f>0.00234264028589595*(1/Unit.TWh)</f>
        <v>2.3426402858959501E-3</v>
      </c>
      <c r="K60" s="1742">
        <f>0.00234264028589595*(1/Unit.TWh)</f>
        <v>2.3426402858959501E-3</v>
      </c>
      <c r="L60" s="1742">
        <f>0.00234264028589595*(1/Unit.TWh)</f>
        <v>2.3426402858959501E-3</v>
      </c>
      <c r="M60" s="1742">
        <f>0.00234264028589595*(1/Unit.TWh)</f>
        <v>2.3426402858959501E-3</v>
      </c>
      <c r="N60" s="1742">
        <f>0.00234264028589595*(1/Unit.TWh)</f>
        <v>2.3426402858959501E-3</v>
      </c>
      <c r="O60" s="208"/>
    </row>
    <row r="61" spans="2:15" ht="15.75" x14ac:dyDescent="0.25">
      <c r="B61" s="397"/>
      <c r="C61" s="1414"/>
      <c r="D61" s="1415"/>
      <c r="E61" s="1415"/>
      <c r="F61" s="760"/>
      <c r="G61" s="760"/>
      <c r="H61" s="1416"/>
      <c r="I61" s="208"/>
      <c r="J61" s="208"/>
      <c r="K61" s="208"/>
      <c r="L61" s="208"/>
      <c r="M61" s="208"/>
      <c r="N61" s="208"/>
      <c r="O61" s="1420"/>
    </row>
    <row r="62" spans="2:15" ht="15.75" x14ac:dyDescent="0.25">
      <c r="B62" s="397"/>
      <c r="C62" s="178" t="s">
        <v>1800</v>
      </c>
      <c r="D62" s="1415"/>
      <c r="E62" s="1415"/>
      <c r="F62" s="760"/>
      <c r="G62" s="760"/>
      <c r="H62" s="1416"/>
      <c r="I62" s="208"/>
      <c r="J62" s="208"/>
      <c r="K62" s="208"/>
      <c r="L62" s="208"/>
      <c r="M62" s="208"/>
      <c r="N62" s="1737" t="str">
        <f>"Kte/"&amp;Preferences.EnergyUnits</f>
        <v>Kte/TWh</v>
      </c>
      <c r="O62" s="1420"/>
    </row>
    <row r="63" spans="2:15" ht="3.75" customHeight="1" x14ac:dyDescent="0.25">
      <c r="B63" s="397"/>
      <c r="C63" s="178"/>
      <c r="D63" s="1415"/>
      <c r="E63" s="1415"/>
      <c r="F63" s="760"/>
      <c r="G63" s="760"/>
      <c r="H63" s="1416"/>
      <c r="I63" s="208"/>
      <c r="J63" s="208"/>
      <c r="K63" s="208"/>
      <c r="L63" s="208"/>
      <c r="M63" s="208"/>
      <c r="N63" s="1737"/>
      <c r="O63" s="1416"/>
    </row>
    <row r="64" spans="2:15" ht="15.75" x14ac:dyDescent="0.25">
      <c r="B64" s="397"/>
      <c r="C64" s="98"/>
      <c r="D64" s="98" t="s">
        <v>264</v>
      </c>
      <c r="E64" s="98" t="s">
        <v>172</v>
      </c>
      <c r="F64" s="104" t="s">
        <v>241</v>
      </c>
      <c r="G64" s="103" t="s">
        <v>268</v>
      </c>
      <c r="H64" s="103" t="s">
        <v>269</v>
      </c>
      <c r="I64" s="103" t="s">
        <v>270</v>
      </c>
      <c r="J64" s="103" t="s">
        <v>271</v>
      </c>
      <c r="K64" s="103" t="s">
        <v>272</v>
      </c>
      <c r="L64" s="103" t="s">
        <v>273</v>
      </c>
      <c r="M64" s="103" t="s">
        <v>274</v>
      </c>
      <c r="N64" s="103" t="s">
        <v>275</v>
      </c>
      <c r="O64" s="208"/>
    </row>
    <row r="65" spans="1:16" ht="15.75" x14ac:dyDescent="0.25">
      <c r="B65" s="397"/>
      <c r="C65" s="1740"/>
      <c r="D65" s="1741" t="s">
        <v>197</v>
      </c>
      <c r="E65" s="1740"/>
      <c r="F65" s="1744">
        <f>0.00419060073008392*(1/Unit.TWh)</f>
        <v>4.1906007300839196E-3</v>
      </c>
      <c r="G65" s="1743">
        <f>0.00422133980427538*(1/Unit.TWh)</f>
        <v>4.22133980427538E-3</v>
      </c>
      <c r="H65" s="1743">
        <f>0.00422141672632296*(1/Unit.TWh)</f>
        <v>4.2214167263229596E-3</v>
      </c>
      <c r="I65" s="1743">
        <f>0.00422151168074551*(1/Unit.TWh)</f>
        <v>4.2215116807455101E-3</v>
      </c>
      <c r="J65" s="1742">
        <f>0.00422138378051199*(1/Unit.TWh)</f>
        <v>4.2213837805119897E-3</v>
      </c>
      <c r="K65" s="1742">
        <f>0.00422138378051199*(1/Unit.TWh)</f>
        <v>4.2213837805119897E-3</v>
      </c>
      <c r="L65" s="1742">
        <f>0.00422138378051199*(1/Unit.TWh)</f>
        <v>4.2213837805119897E-3</v>
      </c>
      <c r="M65" s="1742">
        <f>0.00422138378051199*(1/Unit.TWh)</f>
        <v>4.2213837805119897E-3</v>
      </c>
      <c r="N65" s="1742">
        <f>0.00422138378051199*(1/Unit.TWh)</f>
        <v>4.2213837805119897E-3</v>
      </c>
      <c r="O65" s="208"/>
    </row>
    <row r="66" spans="1:16" ht="15.75" x14ac:dyDescent="0.25">
      <c r="B66" s="397"/>
      <c r="C66" s="1414"/>
      <c r="D66" s="1415"/>
      <c r="E66" s="1415"/>
      <c r="F66" s="760"/>
      <c r="G66" s="760"/>
      <c r="H66" s="1416"/>
      <c r="I66" s="208"/>
      <c r="J66" s="208"/>
      <c r="K66" s="208"/>
      <c r="L66" s="208"/>
      <c r="M66" s="208"/>
      <c r="N66" s="208"/>
      <c r="O66" s="1420"/>
    </row>
    <row r="67" spans="1:16" x14ac:dyDescent="0.2">
      <c r="B67" s="401"/>
      <c r="C67" s="1416"/>
      <c r="D67" s="177"/>
      <c r="E67" s="1416"/>
      <c r="F67" s="1416"/>
      <c r="G67" s="1416"/>
      <c r="H67" s="1416"/>
      <c r="I67" s="1416"/>
      <c r="J67" s="1416"/>
      <c r="K67" s="1416"/>
      <c r="L67" s="1416"/>
      <c r="M67" s="1416"/>
      <c r="N67" s="1416"/>
      <c r="O67" s="1420"/>
    </row>
    <row r="68" spans="1:16" x14ac:dyDescent="0.2">
      <c r="B68" s="471"/>
    </row>
    <row r="69" spans="1:16" s="84" customFormat="1" ht="19.5" customHeight="1" x14ac:dyDescent="0.3">
      <c r="A69" s="1422"/>
      <c r="B69" s="1180" t="s">
        <v>1417</v>
      </c>
      <c r="C69" s="1181"/>
      <c r="D69" s="1181"/>
      <c r="E69" s="1181"/>
      <c r="F69" s="1181"/>
      <c r="G69" s="1181"/>
      <c r="H69" s="1181"/>
      <c r="I69" s="1181"/>
      <c r="J69" s="1181"/>
      <c r="K69" s="1181"/>
      <c r="L69" s="1181"/>
      <c r="M69" s="1181"/>
      <c r="N69" s="1181"/>
      <c r="O69" s="1182"/>
      <c r="P69" s="2479"/>
    </row>
    <row r="70" spans="1:16" s="84" customFormat="1" x14ac:dyDescent="0.2">
      <c r="A70" s="2479"/>
      <c r="B70" s="2487"/>
      <c r="C70" s="2488"/>
      <c r="D70" s="2488"/>
      <c r="E70" s="2488"/>
      <c r="F70" s="2488"/>
      <c r="G70" s="2488"/>
      <c r="H70" s="2488"/>
      <c r="I70" s="2488"/>
      <c r="J70" s="2488"/>
      <c r="K70" s="2488"/>
      <c r="L70" s="2488"/>
      <c r="M70" s="2488"/>
      <c r="N70" s="2488"/>
      <c r="O70" s="2489"/>
      <c r="P70" s="2092"/>
    </row>
    <row r="71" spans="1:16" s="84" customFormat="1" x14ac:dyDescent="0.2">
      <c r="A71" s="2479"/>
      <c r="B71" s="2487"/>
      <c r="C71" s="1417" t="str">
        <f>"Capital cost of a power plant"</f>
        <v>Capital cost of a power plant</v>
      </c>
      <c r="D71" s="107"/>
      <c r="E71" s="1081"/>
      <c r="F71" s="1055"/>
      <c r="G71" s="760"/>
      <c r="H71" s="760"/>
      <c r="I71" s="760"/>
      <c r="J71" s="760"/>
      <c r="K71" s="760"/>
      <c r="L71" s="760"/>
      <c r="M71" s="760"/>
      <c r="N71" s="1255" t="str">
        <f>Preferences.moneyunits&amp;"/ "&amp;plantsize.I.a&amp;Preferences.PowerUnits&amp;" plant"</f>
        <v>N/ 1GW plant</v>
      </c>
      <c r="O71" s="2489"/>
      <c r="P71" s="2092"/>
    </row>
    <row r="72" spans="1:16" s="84" customFormat="1" ht="4.5" customHeight="1" x14ac:dyDescent="0.2">
      <c r="A72" s="2479"/>
      <c r="B72" s="2487"/>
      <c r="C72" s="1848"/>
      <c r="D72" s="107"/>
      <c r="E72" s="1081"/>
      <c r="F72" s="1055"/>
      <c r="G72" s="760"/>
      <c r="H72" s="760"/>
      <c r="I72" s="760"/>
      <c r="J72" s="760"/>
      <c r="K72" s="760"/>
      <c r="L72" s="760"/>
      <c r="M72" s="760"/>
      <c r="N72" s="1416"/>
      <c r="O72" s="2489"/>
      <c r="P72" s="2092"/>
    </row>
    <row r="73" spans="1:16" x14ac:dyDescent="0.2">
      <c r="B73" s="1512"/>
      <c r="C73" s="1848"/>
      <c r="D73" s="107"/>
      <c r="E73" s="1081"/>
      <c r="F73" s="1055"/>
      <c r="G73" s="760"/>
      <c r="H73" s="760"/>
      <c r="I73" s="760"/>
      <c r="J73" s="760"/>
      <c r="K73" s="760"/>
      <c r="L73" s="760"/>
      <c r="M73" s="760"/>
      <c r="N73" s="1255" t="str">
        <f>Preferences.moneyunits&amp;"/ "&amp;plantsize.I.a&amp;Preferences.PowerUnits&amp;" plant"</f>
        <v>N/ 1GW plant</v>
      </c>
      <c r="O73" s="2489"/>
      <c r="P73" s="2092"/>
    </row>
    <row r="74" spans="1:16" x14ac:dyDescent="0.2">
      <c r="B74" s="1512"/>
      <c r="C74" s="2072" t="s">
        <v>1948</v>
      </c>
      <c r="D74" s="1519" t="str">
        <f>plantsize.I.a&amp;Preferences.PowerUnits</f>
        <v>1GW</v>
      </c>
      <c r="E74" s="1567" t="s">
        <v>1321</v>
      </c>
      <c r="F74" s="1845">
        <v>2010</v>
      </c>
      <c r="G74" s="1845">
        <v>2015</v>
      </c>
      <c r="H74" s="1845">
        <v>2020</v>
      </c>
      <c r="I74" s="1845">
        <v>2025</v>
      </c>
      <c r="J74" s="1845">
        <v>2030</v>
      </c>
      <c r="K74" s="1845">
        <v>2035</v>
      </c>
      <c r="L74" s="1845">
        <v>2040</v>
      </c>
      <c r="M74" s="1845">
        <v>2045</v>
      </c>
      <c r="N74" s="1845">
        <v>2050</v>
      </c>
      <c r="O74" s="2489"/>
      <c r="P74" s="2092"/>
    </row>
    <row r="75" spans="1:16" x14ac:dyDescent="0.2">
      <c r="B75" s="1512"/>
      <c r="C75" s="1846" t="s">
        <v>1871</v>
      </c>
      <c r="D75" s="1519"/>
      <c r="E75" s="1847">
        <f>(N75-F75)/(N$74-F$74)</f>
        <v>0</v>
      </c>
      <c r="F75" s="1852">
        <f>(255000*NAIRA2010_/Unit.kW)*plantsize.I.a</f>
        <v>255000000000</v>
      </c>
      <c r="G75" s="1852">
        <f t="shared" ref="G75:L75" si="1">($E75*(G$74-F$74))+F75</f>
        <v>255000000000</v>
      </c>
      <c r="H75" s="1852">
        <f t="shared" si="1"/>
        <v>255000000000</v>
      </c>
      <c r="I75" s="1852">
        <f t="shared" si="1"/>
        <v>255000000000</v>
      </c>
      <c r="J75" s="1852">
        <f t="shared" si="1"/>
        <v>255000000000</v>
      </c>
      <c r="K75" s="1852">
        <f t="shared" si="1"/>
        <v>255000000000</v>
      </c>
      <c r="L75" s="1852">
        <f t="shared" si="1"/>
        <v>255000000000</v>
      </c>
      <c r="M75" s="1852">
        <f>($E75*(M$74-L$74))+L75</f>
        <v>255000000000</v>
      </c>
      <c r="N75" s="1852">
        <f>(255000*NAIRA2010_/Unit.kW)*plantsize.I.a</f>
        <v>255000000000</v>
      </c>
      <c r="O75" s="2489"/>
      <c r="P75" s="2092"/>
    </row>
    <row r="76" spans="1:16" x14ac:dyDescent="0.2">
      <c r="B76" s="1512"/>
      <c r="C76" s="606" t="s">
        <v>1872</v>
      </c>
      <c r="D76" s="107"/>
      <c r="E76" s="188">
        <f>(N76-F76)/(N$74-F$74)</f>
        <v>0</v>
      </c>
      <c r="F76" s="1849">
        <f>(225000*NAIRA2010_/Unit.kW)*plantsize.I.a</f>
        <v>225000000000</v>
      </c>
      <c r="G76" s="1849">
        <f t="shared" ref="G76:I77" si="2">($E76*(G$74-F$74))+F76</f>
        <v>225000000000</v>
      </c>
      <c r="H76" s="1849">
        <f t="shared" si="2"/>
        <v>225000000000</v>
      </c>
      <c r="I76" s="1849">
        <f t="shared" si="2"/>
        <v>225000000000</v>
      </c>
      <c r="J76" s="1849">
        <f t="shared" ref="J76:L77" si="3">($E76*(J$74-I$74))+I76</f>
        <v>225000000000</v>
      </c>
      <c r="K76" s="1849">
        <f t="shared" si="3"/>
        <v>225000000000</v>
      </c>
      <c r="L76" s="1849">
        <f t="shared" si="3"/>
        <v>225000000000</v>
      </c>
      <c r="M76" s="1849">
        <f>($E76*(M$74-L$74))+L76</f>
        <v>225000000000</v>
      </c>
      <c r="N76" s="1849">
        <f>(225000*NAIRA2010_/Unit.kW)*plantsize.I.a</f>
        <v>225000000000</v>
      </c>
      <c r="O76" s="2489"/>
      <c r="P76" s="2092"/>
    </row>
    <row r="77" spans="1:16" x14ac:dyDescent="0.2">
      <c r="B77" s="1512"/>
      <c r="C77" s="1731" t="s">
        <v>1873</v>
      </c>
      <c r="D77" s="189"/>
      <c r="E77" s="191">
        <f>(N77-F77)/(N$74-F$74)</f>
        <v>0</v>
      </c>
      <c r="F77" s="1850">
        <f>(180000*NAIRA2010_/Unit.kW)*plantsize.I.a</f>
        <v>180000000000</v>
      </c>
      <c r="G77" s="1850">
        <f t="shared" si="2"/>
        <v>180000000000</v>
      </c>
      <c r="H77" s="1850">
        <f t="shared" si="2"/>
        <v>180000000000</v>
      </c>
      <c r="I77" s="1850">
        <f t="shared" si="2"/>
        <v>180000000000</v>
      </c>
      <c r="J77" s="1850">
        <f t="shared" si="3"/>
        <v>180000000000</v>
      </c>
      <c r="K77" s="1850">
        <f t="shared" si="3"/>
        <v>180000000000</v>
      </c>
      <c r="L77" s="1850">
        <f t="shared" si="3"/>
        <v>180000000000</v>
      </c>
      <c r="M77" s="1850">
        <f>($E77*(M$74-L$74))+L77</f>
        <v>180000000000</v>
      </c>
      <c r="N77" s="1850">
        <f>(180000*NAIRA2010_/Unit.kW)*plantsize.I.a</f>
        <v>180000000000</v>
      </c>
      <c r="O77" s="2489"/>
      <c r="P77" s="2092"/>
    </row>
    <row r="78" spans="1:16" ht="10.5" customHeight="1" x14ac:dyDescent="0.2">
      <c r="B78" s="1512"/>
      <c r="C78" s="1377"/>
      <c r="D78" s="1377"/>
      <c r="E78" s="1377"/>
      <c r="F78" s="1377"/>
      <c r="G78" s="1377"/>
      <c r="H78" s="1377"/>
      <c r="I78" s="1377"/>
      <c r="J78" s="1377"/>
      <c r="K78" s="1377"/>
      <c r="L78" s="1377"/>
      <c r="M78" s="1377"/>
      <c r="N78" s="1377"/>
      <c r="O78" s="2489"/>
      <c r="P78" s="2092"/>
    </row>
    <row r="79" spans="1:16" ht="12" customHeight="1" x14ac:dyDescent="0.2">
      <c r="B79" s="1512"/>
      <c r="C79" s="1377"/>
      <c r="D79" s="1377"/>
      <c r="E79" s="1377"/>
      <c r="F79" s="1377"/>
      <c r="G79" s="1377"/>
      <c r="H79" s="1377"/>
      <c r="I79" s="1377"/>
      <c r="J79" s="1377"/>
      <c r="K79" s="1377"/>
      <c r="L79" s="1377"/>
      <c r="M79" s="1377"/>
      <c r="N79" s="1377"/>
      <c r="O79" s="2489"/>
      <c r="P79" s="2092"/>
    </row>
    <row r="80" spans="1:16" ht="12" customHeight="1" x14ac:dyDescent="0.2">
      <c r="B80" s="1512"/>
      <c r="C80" s="1417" t="str">
        <f>"Operating cost of a powerplant"</f>
        <v>Operating cost of a powerplant</v>
      </c>
      <c r="D80" s="107"/>
      <c r="E80" s="1081"/>
      <c r="F80" s="1055"/>
      <c r="G80" s="760"/>
      <c r="H80" s="760"/>
      <c r="I80" s="760"/>
      <c r="J80" s="760"/>
      <c r="K80" s="760"/>
      <c r="L80" s="760"/>
      <c r="M80" s="760"/>
      <c r="N80" s="1377"/>
      <c r="O80" s="2491"/>
      <c r="P80" s="2092"/>
    </row>
    <row r="81" spans="1:16" x14ac:dyDescent="0.2">
      <c r="B81" s="1512"/>
      <c r="C81" s="1848"/>
      <c r="D81" s="107"/>
      <c r="E81" s="1081"/>
      <c r="F81" s="1055"/>
      <c r="G81" s="760"/>
      <c r="H81" s="760"/>
      <c r="I81" s="760"/>
      <c r="J81" s="760"/>
      <c r="K81" s="760"/>
      <c r="L81" s="760"/>
      <c r="M81" s="760"/>
      <c r="N81" s="1255" t="str">
        <f>Preferences.moneyunits&amp;"/ "&amp;plantsize.I.a&amp;Preferences.PowerUnits&amp;" plant"</f>
        <v>N/ 1GW plant</v>
      </c>
      <c r="O81" s="1416"/>
      <c r="P81" s="2092"/>
    </row>
    <row r="82" spans="1:16" x14ac:dyDescent="0.2">
      <c r="B82" s="1512"/>
      <c r="C82" s="2072" t="s">
        <v>1948</v>
      </c>
      <c r="D82" s="1519"/>
      <c r="E82" s="1567" t="s">
        <v>1321</v>
      </c>
      <c r="F82" s="1845">
        <v>2010</v>
      </c>
      <c r="G82" s="1845">
        <v>2015</v>
      </c>
      <c r="H82" s="1845">
        <v>2020</v>
      </c>
      <c r="I82" s="1845">
        <v>2025</v>
      </c>
      <c r="J82" s="1845">
        <v>2030</v>
      </c>
      <c r="K82" s="1845">
        <v>2035</v>
      </c>
      <c r="L82" s="1845">
        <v>2040</v>
      </c>
      <c r="M82" s="1845">
        <v>2045</v>
      </c>
      <c r="N82" s="1845">
        <v>2050</v>
      </c>
      <c r="O82" s="1416"/>
      <c r="P82" s="2092"/>
    </row>
    <row r="83" spans="1:16" x14ac:dyDescent="0.2">
      <c r="B83" s="1512"/>
      <c r="C83" s="1846" t="s">
        <v>1871</v>
      </c>
      <c r="D83" s="1519"/>
      <c r="E83" s="1847">
        <f>(N83-F83)/(N$74-F$74)</f>
        <v>0</v>
      </c>
      <c r="F83" s="1852">
        <f>(9.75*NAIRA2010_/Unit.kW)*plantsize.I.a</f>
        <v>9750000</v>
      </c>
      <c r="G83" s="1852">
        <f>($E83*(G$74-F$74))+F83</f>
        <v>9750000</v>
      </c>
      <c r="H83" s="1852">
        <f t="shared" ref="H83:M84" si="4">($E83*(H$74-G$74))+G83</f>
        <v>9750000</v>
      </c>
      <c r="I83" s="1852">
        <f t="shared" si="4"/>
        <v>9750000</v>
      </c>
      <c r="J83" s="1852">
        <f t="shared" si="4"/>
        <v>9750000</v>
      </c>
      <c r="K83" s="1852">
        <f t="shared" si="4"/>
        <v>9750000</v>
      </c>
      <c r="L83" s="1852">
        <f t="shared" si="4"/>
        <v>9750000</v>
      </c>
      <c r="M83" s="1852">
        <f t="shared" si="4"/>
        <v>9750000</v>
      </c>
      <c r="N83" s="1852">
        <f>(9.75*NAIRA2010_/Unit.kW)*plantsize.I.a</f>
        <v>9750000</v>
      </c>
      <c r="O83" s="1416"/>
      <c r="P83" s="2092"/>
    </row>
    <row r="84" spans="1:16" ht="15" customHeight="1" x14ac:dyDescent="0.2">
      <c r="B84" s="1512"/>
      <c r="C84" s="606" t="s">
        <v>1872</v>
      </c>
      <c r="D84" s="107"/>
      <c r="E84" s="188">
        <f>(N84-F84)/(N$82-F$82)</f>
        <v>0</v>
      </c>
      <c r="F84" s="1849">
        <f>(5.7*NAIRA2010_/Unit.kW)*plantsize.I.a</f>
        <v>5700000</v>
      </c>
      <c r="G84" s="1849">
        <f>($E84*(G$74-F$74))+F84</f>
        <v>5700000</v>
      </c>
      <c r="H84" s="1849">
        <f t="shared" si="4"/>
        <v>5700000</v>
      </c>
      <c r="I84" s="1849">
        <f t="shared" si="4"/>
        <v>5700000</v>
      </c>
      <c r="J84" s="1849">
        <f t="shared" si="4"/>
        <v>5700000</v>
      </c>
      <c r="K84" s="1849">
        <f t="shared" si="4"/>
        <v>5700000</v>
      </c>
      <c r="L84" s="1849">
        <f t="shared" si="4"/>
        <v>5700000</v>
      </c>
      <c r="M84" s="1849">
        <f t="shared" si="4"/>
        <v>5700000</v>
      </c>
      <c r="N84" s="1849">
        <f>(5.7*NAIRA2010_/Unit.kW)*plantsize.I.a</f>
        <v>5700000</v>
      </c>
      <c r="O84" s="1416"/>
      <c r="P84" s="2092"/>
    </row>
    <row r="85" spans="1:16" x14ac:dyDescent="0.2">
      <c r="B85" s="1512"/>
      <c r="C85" s="1731" t="s">
        <v>1873</v>
      </c>
      <c r="D85" s="189"/>
      <c r="E85" s="191">
        <f>(N85-F85)/(N$74-F$74)</f>
        <v>0</v>
      </c>
      <c r="F85" s="1850">
        <f>(5.25*NAIRA2010_/Unit.kW)*plantsize.I.a</f>
        <v>5250000</v>
      </c>
      <c r="G85" s="1850">
        <f t="shared" ref="G85:M85" si="5">($E85*(G$74-F$74))+F85</f>
        <v>5250000</v>
      </c>
      <c r="H85" s="1850">
        <f t="shared" si="5"/>
        <v>5250000</v>
      </c>
      <c r="I85" s="1850">
        <f t="shared" si="5"/>
        <v>5250000</v>
      </c>
      <c r="J85" s="1850">
        <f t="shared" si="5"/>
        <v>5250000</v>
      </c>
      <c r="K85" s="1850">
        <f t="shared" si="5"/>
        <v>5250000</v>
      </c>
      <c r="L85" s="1850">
        <f t="shared" si="5"/>
        <v>5250000</v>
      </c>
      <c r="M85" s="1850">
        <f t="shared" si="5"/>
        <v>5250000</v>
      </c>
      <c r="N85" s="1850">
        <f>(5.25*NAIRA2010_/Unit.kW)*plantsize.I.a</f>
        <v>5250000</v>
      </c>
      <c r="O85" s="1416"/>
      <c r="P85" s="2092"/>
    </row>
    <row r="86" spans="1:16" x14ac:dyDescent="0.2">
      <c r="B86" s="1512"/>
      <c r="C86" s="1377"/>
      <c r="D86" s="1377"/>
      <c r="E86" s="1377"/>
      <c r="F86" s="1377"/>
      <c r="G86" s="1377"/>
      <c r="H86" s="1377"/>
      <c r="I86" s="1377"/>
      <c r="J86" s="1377"/>
      <c r="K86" s="1377"/>
      <c r="L86" s="1377"/>
      <c r="M86" s="1377"/>
      <c r="N86" s="1377"/>
      <c r="O86" s="1416"/>
      <c r="P86" s="2092"/>
    </row>
    <row r="87" spans="1:16" x14ac:dyDescent="0.2">
      <c r="B87" s="1512"/>
      <c r="C87" s="107"/>
      <c r="D87" s="1081"/>
      <c r="E87" s="1055"/>
      <c r="F87" s="760"/>
      <c r="G87" s="760"/>
      <c r="H87" s="760"/>
      <c r="I87" s="760"/>
      <c r="J87" s="760"/>
      <c r="K87" s="760"/>
      <c r="L87" s="760"/>
      <c r="M87" s="1377"/>
      <c r="N87" s="1255"/>
      <c r="O87" s="1416"/>
      <c r="P87" s="2092"/>
    </row>
    <row r="88" spans="1:16" x14ac:dyDescent="0.2">
      <c r="B88" s="471"/>
    </row>
    <row r="90" spans="1:16" ht="19.5" customHeight="1" x14ac:dyDescent="0.3">
      <c r="A90" s="1422"/>
      <c r="B90" s="1423" t="s">
        <v>332</v>
      </c>
      <c r="C90" s="1424"/>
      <c r="D90" s="1424"/>
      <c r="E90" s="1424"/>
      <c r="F90" s="1424"/>
      <c r="G90" s="1424"/>
      <c r="H90" s="1424"/>
      <c r="I90" s="1424"/>
      <c r="J90" s="1424"/>
      <c r="K90" s="1424"/>
      <c r="L90" s="1424"/>
      <c r="M90" s="1424"/>
      <c r="N90" s="1424"/>
      <c r="O90" s="1425"/>
    </row>
    <row r="91" spans="1:16" x14ac:dyDescent="0.2">
      <c r="B91" s="1419"/>
      <c r="C91" s="1416"/>
      <c r="D91" s="1416"/>
      <c r="E91" s="1416"/>
      <c r="F91" s="1416"/>
      <c r="G91" s="1416"/>
      <c r="H91" s="1416"/>
      <c r="I91" s="1416"/>
      <c r="J91" s="1416"/>
      <c r="K91" s="1416"/>
      <c r="L91" s="1416"/>
      <c r="M91" s="1416"/>
      <c r="N91" s="1416"/>
      <c r="O91" s="1420"/>
    </row>
    <row r="92" spans="1:16" x14ac:dyDescent="0.2">
      <c r="B92" s="1419"/>
      <c r="C92" s="1417" t="s">
        <v>1224</v>
      </c>
      <c r="D92" s="1416"/>
      <c r="E92" s="176"/>
      <c r="F92" s="1416"/>
      <c r="G92" s="1416"/>
      <c r="H92" s="1416"/>
      <c r="I92" s="1416"/>
      <c r="J92" s="1416"/>
      <c r="K92" s="1416"/>
      <c r="L92" s="1416"/>
      <c r="M92" s="1416"/>
      <c r="N92" s="1416"/>
      <c r="O92" s="1420"/>
    </row>
    <row r="93" spans="1:16" ht="9" customHeight="1" x14ac:dyDescent="0.2">
      <c r="B93" s="1419"/>
      <c r="C93" s="1416"/>
      <c r="D93" s="1416"/>
      <c r="E93" s="1416"/>
      <c r="F93" s="1416"/>
      <c r="G93" s="1416"/>
      <c r="H93" s="1416"/>
      <c r="I93" s="1416"/>
      <c r="J93" s="1416"/>
      <c r="K93" s="1416"/>
      <c r="L93" s="1416"/>
      <c r="M93" s="1416"/>
      <c r="N93" s="1416"/>
      <c r="O93" s="1420"/>
    </row>
    <row r="94" spans="1:16" ht="15.75" x14ac:dyDescent="0.25">
      <c r="B94" s="397"/>
      <c r="C94" s="98" t="s">
        <v>264</v>
      </c>
      <c r="D94" s="98" t="s">
        <v>278</v>
      </c>
      <c r="E94" s="98" t="s">
        <v>172</v>
      </c>
      <c r="F94" s="1175" t="s">
        <v>241</v>
      </c>
      <c r="G94" s="1176">
        <v>2015</v>
      </c>
      <c r="H94" s="1176">
        <v>2020</v>
      </c>
      <c r="I94" s="1176">
        <v>2025</v>
      </c>
      <c r="J94" s="1176">
        <v>2030</v>
      </c>
      <c r="K94" s="1176">
        <v>2035</v>
      </c>
      <c r="L94" s="1176">
        <v>2040</v>
      </c>
      <c r="M94" s="1176">
        <v>2045</v>
      </c>
      <c r="N94" s="1176">
        <v>2050</v>
      </c>
      <c r="O94" s="1420"/>
    </row>
    <row r="95" spans="1:16" ht="12.75" customHeight="1" x14ac:dyDescent="0.2">
      <c r="B95" s="399"/>
      <c r="C95" s="1412" t="s">
        <v>39</v>
      </c>
      <c r="D95" s="102" t="s">
        <v>267</v>
      </c>
      <c r="E95" s="102"/>
      <c r="F95" s="681">
        <f t="shared" ref="F95:N95" si="6">F20</f>
        <v>3</v>
      </c>
      <c r="G95" s="681">
        <f t="shared" si="6"/>
        <v>8</v>
      </c>
      <c r="H95" s="681">
        <f t="shared" si="6"/>
        <v>19.329999999999998</v>
      </c>
      <c r="I95" s="681">
        <f t="shared" si="6"/>
        <v>26.84</v>
      </c>
      <c r="J95" s="681">
        <f t="shared" si="6"/>
        <v>34.39</v>
      </c>
      <c r="K95" s="681">
        <f t="shared" si="6"/>
        <v>45.93</v>
      </c>
      <c r="L95" s="681">
        <f t="shared" si="6"/>
        <v>57.47</v>
      </c>
      <c r="M95" s="681">
        <f t="shared" si="6"/>
        <v>69.02</v>
      </c>
      <c r="N95" s="681">
        <f t="shared" si="6"/>
        <v>80.56</v>
      </c>
      <c r="O95" s="400"/>
    </row>
    <row r="96" spans="1:16" x14ac:dyDescent="0.2">
      <c r="B96" s="401"/>
      <c r="C96" s="1416"/>
      <c r="D96" s="177"/>
      <c r="E96" s="1416"/>
      <c r="F96" s="1416"/>
      <c r="G96" s="1416"/>
      <c r="H96" s="1416"/>
      <c r="I96" s="1416"/>
      <c r="J96" s="1416"/>
      <c r="K96" s="1416"/>
      <c r="L96" s="1416"/>
      <c r="M96" s="1416"/>
      <c r="N96" s="1416"/>
      <c r="O96" s="1420"/>
    </row>
    <row r="97" spans="1:30" x14ac:dyDescent="0.2">
      <c r="G97" s="1177"/>
    </row>
    <row r="98" spans="1:30" s="84" customFormat="1" ht="15.75" x14ac:dyDescent="0.25">
      <c r="A98" s="2479"/>
      <c r="B98" s="134" t="s">
        <v>279</v>
      </c>
      <c r="C98" s="2479"/>
      <c r="D98" s="2479"/>
      <c r="E98" s="2479"/>
      <c r="F98" s="2479"/>
      <c r="G98" s="2479"/>
      <c r="H98" s="2479"/>
      <c r="I98" s="2479"/>
      <c r="J98" s="2479"/>
      <c r="K98" s="2479"/>
      <c r="L98" s="2479"/>
      <c r="M98" s="2479"/>
      <c r="N98" s="2479"/>
      <c r="O98" s="2479"/>
      <c r="P98" s="2479"/>
      <c r="Q98" s="2479"/>
    </row>
    <row r="99" spans="1:30" s="84" customFormat="1" x14ac:dyDescent="0.2">
      <c r="A99" s="2479"/>
      <c r="B99" s="2479"/>
      <c r="C99" s="2479"/>
      <c r="D99" s="2479"/>
      <c r="E99" s="2479"/>
      <c r="F99" s="2479"/>
      <c r="G99" s="2479"/>
      <c r="H99" s="2479"/>
      <c r="I99" s="2479"/>
      <c r="J99" s="2479"/>
      <c r="K99" s="2479"/>
      <c r="L99" s="2479"/>
      <c r="M99" s="2479"/>
      <c r="N99" s="2479"/>
      <c r="O99" s="2479"/>
      <c r="P99" s="2479"/>
      <c r="Q99" s="2479"/>
    </row>
    <row r="100" spans="1:30" x14ac:dyDescent="0.2">
      <c r="B100" s="147"/>
      <c r="C100" s="84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</row>
    <row r="101" spans="1:30" ht="14.25" customHeight="1" x14ac:dyDescent="0.2">
      <c r="B101" s="147"/>
      <c r="C101" s="84"/>
      <c r="D101" s="84"/>
      <c r="E101" s="84"/>
      <c r="F101" s="574">
        <v>2010</v>
      </c>
      <c r="G101" s="574">
        <v>2015</v>
      </c>
      <c r="H101" s="574">
        <v>2020</v>
      </c>
      <c r="I101" s="574">
        <v>2025</v>
      </c>
      <c r="J101" s="574">
        <v>2030</v>
      </c>
      <c r="K101" s="574">
        <v>2035</v>
      </c>
      <c r="L101" s="574">
        <v>2040</v>
      </c>
      <c r="M101" s="574">
        <v>2045</v>
      </c>
      <c r="N101" s="574">
        <v>2050</v>
      </c>
      <c r="O101" s="84"/>
    </row>
    <row r="102" spans="1:30" s="84" customFormat="1" x14ac:dyDescent="0.2">
      <c r="A102" s="2479"/>
      <c r="B102" s="147" t="s">
        <v>1216</v>
      </c>
      <c r="P102" s="2479"/>
    </row>
    <row r="103" spans="1:30" s="84" customFormat="1" x14ac:dyDescent="0.2">
      <c r="A103" s="2479"/>
      <c r="B103" s="147"/>
      <c r="C103" s="202"/>
      <c r="P103" s="2479"/>
    </row>
    <row r="104" spans="1:30" s="202" customFormat="1" x14ac:dyDescent="0.2">
      <c r="A104" s="2479"/>
      <c r="C104" s="147" t="s">
        <v>2349</v>
      </c>
      <c r="E104" s="202" t="str">
        <f>Preferences.PowerUnits</f>
        <v>GW</v>
      </c>
      <c r="F104" s="158">
        <f t="shared" ref="F104:N104" si="7">F95</f>
        <v>3</v>
      </c>
      <c r="G104" s="158">
        <f t="shared" si="7"/>
        <v>8</v>
      </c>
      <c r="H104" s="158">
        <f t="shared" si="7"/>
        <v>19.329999999999998</v>
      </c>
      <c r="I104" s="158">
        <f t="shared" si="7"/>
        <v>26.84</v>
      </c>
      <c r="J104" s="158">
        <f t="shared" si="7"/>
        <v>34.39</v>
      </c>
      <c r="K104" s="158">
        <f t="shared" si="7"/>
        <v>45.93</v>
      </c>
      <c r="L104" s="158">
        <f t="shared" si="7"/>
        <v>57.47</v>
      </c>
      <c r="M104" s="158">
        <f t="shared" si="7"/>
        <v>69.02</v>
      </c>
      <c r="N104" s="158">
        <f t="shared" si="7"/>
        <v>80.56</v>
      </c>
      <c r="P104" s="2479"/>
    </row>
    <row r="105" spans="1:30" s="84" customFormat="1" x14ac:dyDescent="0.2">
      <c r="A105" s="2479"/>
      <c r="B105" s="84" t="s">
        <v>345</v>
      </c>
      <c r="C105" s="84" t="s">
        <v>304</v>
      </c>
      <c r="F105" s="149">
        <f t="shared" ref="F105:N105" si="8">F39</f>
        <v>0.7</v>
      </c>
      <c r="G105" s="149">
        <f t="shared" si="8"/>
        <v>0.7</v>
      </c>
      <c r="H105" s="149">
        <f t="shared" si="8"/>
        <v>0.7</v>
      </c>
      <c r="I105" s="149">
        <f t="shared" si="8"/>
        <v>0.7</v>
      </c>
      <c r="J105" s="149">
        <f t="shared" si="8"/>
        <v>0.7</v>
      </c>
      <c r="K105" s="149">
        <f t="shared" si="8"/>
        <v>0.7</v>
      </c>
      <c r="L105" s="149">
        <f t="shared" si="8"/>
        <v>0.7</v>
      </c>
      <c r="M105" s="149">
        <f t="shared" si="8"/>
        <v>0.7</v>
      </c>
      <c r="N105" s="149">
        <f t="shared" si="8"/>
        <v>0.7</v>
      </c>
      <c r="S105" s="157"/>
      <c r="T105" s="157"/>
      <c r="U105" s="157"/>
      <c r="V105" s="157"/>
      <c r="W105" s="157"/>
      <c r="X105" s="157"/>
      <c r="Y105" s="157"/>
      <c r="Z105" s="157"/>
      <c r="AA105" s="157"/>
      <c r="AB105" s="157"/>
      <c r="AD105" s="2479"/>
    </row>
    <row r="106" spans="1:30" s="84" customFormat="1" x14ac:dyDescent="0.2">
      <c r="A106" s="2479"/>
      <c r="B106" s="150" t="s">
        <v>346</v>
      </c>
      <c r="C106" s="147" t="s">
        <v>320</v>
      </c>
      <c r="D106" s="147"/>
      <c r="E106" s="147"/>
      <c r="F106" s="158">
        <f t="shared" ref="F106:N106" si="9">F104*F105</f>
        <v>2.0999999999999996</v>
      </c>
      <c r="G106" s="158">
        <f t="shared" si="9"/>
        <v>5.6</v>
      </c>
      <c r="H106" s="158">
        <f t="shared" si="9"/>
        <v>13.530999999999999</v>
      </c>
      <c r="I106" s="158">
        <f t="shared" si="9"/>
        <v>18.788</v>
      </c>
      <c r="J106" s="158">
        <f t="shared" si="9"/>
        <v>24.073</v>
      </c>
      <c r="K106" s="158">
        <f t="shared" si="9"/>
        <v>32.150999999999996</v>
      </c>
      <c r="L106" s="158">
        <f t="shared" si="9"/>
        <v>40.228999999999999</v>
      </c>
      <c r="M106" s="158">
        <f t="shared" si="9"/>
        <v>48.313999999999993</v>
      </c>
      <c r="N106" s="158">
        <f t="shared" si="9"/>
        <v>56.391999999999996</v>
      </c>
      <c r="O106" s="147"/>
      <c r="P106" s="2479"/>
    </row>
    <row r="107" spans="1:30" s="84" customFormat="1" x14ac:dyDescent="0.2">
      <c r="A107" s="2479"/>
      <c r="B107" s="147"/>
      <c r="C107" s="147"/>
      <c r="D107" s="147"/>
      <c r="E107" s="84" t="str">
        <f>Preferences.EnergyUnits</f>
        <v>TWh</v>
      </c>
      <c r="F107" s="76">
        <f t="shared" ref="F107:N107" si="10">F106*Preferences.Unit.Power*Unit.year/Preferences.Unit.Energy</f>
        <v>18.408599999999996</v>
      </c>
      <c r="G107" s="76">
        <f t="shared" si="10"/>
        <v>49.089599999999997</v>
      </c>
      <c r="H107" s="76">
        <f t="shared" si="10"/>
        <v>118.612746</v>
      </c>
      <c r="I107" s="76">
        <f>I106*Preferences.Unit.Power*Unit.year/Preferences.Unit.Energy</f>
        <v>164.69560799999999</v>
      </c>
      <c r="J107" s="76">
        <f t="shared" si="10"/>
        <v>211.02391799999998</v>
      </c>
      <c r="K107" s="76">
        <f t="shared" si="10"/>
        <v>281.83566599999995</v>
      </c>
      <c r="L107" s="76">
        <f t="shared" si="10"/>
        <v>352.64741399999997</v>
      </c>
      <c r="M107" s="76">
        <f t="shared" si="10"/>
        <v>423.52052399999991</v>
      </c>
      <c r="N107" s="76">
        <f t="shared" si="10"/>
        <v>494.33227199999999</v>
      </c>
      <c r="O107" s="147"/>
      <c r="P107" s="2479"/>
    </row>
    <row r="108" spans="1:30" s="84" customFormat="1" x14ac:dyDescent="0.2">
      <c r="A108" s="2479"/>
      <c r="B108" s="147"/>
      <c r="C108" s="147"/>
      <c r="D108" s="147"/>
      <c r="F108" s="76"/>
      <c r="G108" s="76"/>
      <c r="H108" s="76"/>
      <c r="I108" s="76"/>
      <c r="J108" s="76"/>
      <c r="K108" s="76"/>
      <c r="L108" s="76"/>
      <c r="M108" s="76"/>
      <c r="N108" s="76"/>
      <c r="O108" s="147"/>
      <c r="P108" s="2479"/>
    </row>
    <row r="109" spans="1:30" s="84" customFormat="1" x14ac:dyDescent="0.2">
      <c r="A109" s="2479"/>
      <c r="B109" s="147"/>
      <c r="C109" s="1427" t="s">
        <v>870</v>
      </c>
      <c r="D109" s="147"/>
      <c r="E109" s="84" t="str">
        <f>Preferences.EnergyUnits</f>
        <v>TWh</v>
      </c>
      <c r="F109" s="76">
        <f t="shared" ref="F109:N109" si="11">F$107</f>
        <v>18.408599999999996</v>
      </c>
      <c r="G109" s="76">
        <f t="shared" si="11"/>
        <v>49.089599999999997</v>
      </c>
      <c r="H109" s="76">
        <f t="shared" si="11"/>
        <v>118.612746</v>
      </c>
      <c r="I109" s="76">
        <f t="shared" si="11"/>
        <v>164.69560799999999</v>
      </c>
      <c r="J109" s="76">
        <f t="shared" si="11"/>
        <v>211.02391799999998</v>
      </c>
      <c r="K109" s="76">
        <f t="shared" si="11"/>
        <v>281.83566599999995</v>
      </c>
      <c r="L109" s="76">
        <f t="shared" si="11"/>
        <v>352.64741399999997</v>
      </c>
      <c r="M109" s="76">
        <f t="shared" si="11"/>
        <v>423.52052399999991</v>
      </c>
      <c r="N109" s="76">
        <f t="shared" si="11"/>
        <v>494.33227199999999</v>
      </c>
      <c r="O109" s="147"/>
      <c r="P109" s="2479"/>
    </row>
    <row r="110" spans="1:30" s="84" customFormat="1" x14ac:dyDescent="0.2">
      <c r="A110" s="2479"/>
      <c r="B110" s="150" t="s">
        <v>554</v>
      </c>
      <c r="C110" s="84" t="s">
        <v>868</v>
      </c>
      <c r="F110" s="1428">
        <f t="shared" ref="F110:N110" si="12">F$29*F109</f>
        <v>0.92042999999999986</v>
      </c>
      <c r="G110" s="1428">
        <f t="shared" si="12"/>
        <v>2.4544800000000002</v>
      </c>
      <c r="H110" s="1428">
        <f t="shared" si="12"/>
        <v>5.9306373000000008</v>
      </c>
      <c r="I110" s="1428">
        <f t="shared" si="12"/>
        <v>8.2347804</v>
      </c>
      <c r="J110" s="1428">
        <f t="shared" si="12"/>
        <v>10.5511959</v>
      </c>
      <c r="K110" s="1428">
        <f t="shared" si="12"/>
        <v>14.091783299999998</v>
      </c>
      <c r="L110" s="1428">
        <f t="shared" si="12"/>
        <v>17.632370699999999</v>
      </c>
      <c r="M110" s="1428">
        <f t="shared" si="12"/>
        <v>21.176026199999995</v>
      </c>
      <c r="N110" s="1428">
        <f t="shared" si="12"/>
        <v>24.716613600000002</v>
      </c>
      <c r="P110" s="2479"/>
    </row>
    <row r="111" spans="1:30" s="84" customFormat="1" x14ac:dyDescent="0.2">
      <c r="A111" s="2479"/>
      <c r="B111" s="150" t="s">
        <v>346</v>
      </c>
      <c r="C111" s="147" t="s">
        <v>358</v>
      </c>
      <c r="F111" s="152">
        <f>F109+F110</f>
        <v>19.329029999999996</v>
      </c>
      <c r="G111" s="152">
        <f t="shared" ref="G111:N111" si="13">G109+G110</f>
        <v>51.544079999999994</v>
      </c>
      <c r="H111" s="152">
        <f t="shared" si="13"/>
        <v>124.5433833</v>
      </c>
      <c r="I111" s="152">
        <f t="shared" si="13"/>
        <v>172.9303884</v>
      </c>
      <c r="J111" s="152">
        <f t="shared" si="13"/>
        <v>221.57511389999999</v>
      </c>
      <c r="K111" s="152">
        <f t="shared" si="13"/>
        <v>295.92744929999992</v>
      </c>
      <c r="L111" s="152">
        <f t="shared" si="13"/>
        <v>370.27978469999999</v>
      </c>
      <c r="M111" s="152">
        <f t="shared" si="13"/>
        <v>444.69655019999993</v>
      </c>
      <c r="N111" s="152">
        <f t="shared" si="13"/>
        <v>519.04888559999995</v>
      </c>
      <c r="P111" s="2479"/>
    </row>
    <row r="112" spans="1:30" s="84" customFormat="1" x14ac:dyDescent="0.2">
      <c r="A112" s="2479"/>
      <c r="B112" s="960" t="s">
        <v>976</v>
      </c>
      <c r="C112" s="84" t="s">
        <v>1175</v>
      </c>
      <c r="F112" s="155">
        <f t="shared" ref="F112:N112" si="14">F$34</f>
        <v>0.5</v>
      </c>
      <c r="G112" s="155">
        <f t="shared" si="14"/>
        <v>0.5</v>
      </c>
      <c r="H112" s="155">
        <f t="shared" si="14"/>
        <v>0.5</v>
      </c>
      <c r="I112" s="155">
        <f t="shared" si="14"/>
        <v>0.5</v>
      </c>
      <c r="J112" s="155">
        <f t="shared" si="14"/>
        <v>0.5</v>
      </c>
      <c r="K112" s="155">
        <f t="shared" si="14"/>
        <v>0.5</v>
      </c>
      <c r="L112" s="155">
        <f t="shared" si="14"/>
        <v>0.5</v>
      </c>
      <c r="M112" s="155">
        <f t="shared" si="14"/>
        <v>0.5</v>
      </c>
      <c r="N112" s="155">
        <f t="shared" si="14"/>
        <v>0.5</v>
      </c>
      <c r="P112" s="2479"/>
    </row>
    <row r="113" spans="1:16" s="84" customFormat="1" x14ac:dyDescent="0.2">
      <c r="A113" s="2479"/>
      <c r="B113" s="150" t="s">
        <v>346</v>
      </c>
      <c r="C113" s="147" t="s">
        <v>1176</v>
      </c>
      <c r="F113" s="156">
        <f t="shared" ref="F113:N113" si="15">F111/F112</f>
        <v>38.658059999999992</v>
      </c>
      <c r="G113" s="156">
        <f t="shared" si="15"/>
        <v>103.08815999999999</v>
      </c>
      <c r="H113" s="156">
        <f t="shared" si="15"/>
        <v>249.0867666</v>
      </c>
      <c r="I113" s="156">
        <f t="shared" si="15"/>
        <v>345.8607768</v>
      </c>
      <c r="J113" s="156">
        <f t="shared" si="15"/>
        <v>443.15022779999998</v>
      </c>
      <c r="K113" s="156">
        <f t="shared" si="15"/>
        <v>591.85489859999984</v>
      </c>
      <c r="L113" s="156">
        <f t="shared" si="15"/>
        <v>740.55956939999999</v>
      </c>
      <c r="M113" s="156">
        <f t="shared" si="15"/>
        <v>889.39310039999987</v>
      </c>
      <c r="N113" s="156">
        <f t="shared" si="15"/>
        <v>1038.0977711999999</v>
      </c>
      <c r="P113" s="2479"/>
    </row>
    <row r="114" spans="1:16" s="84" customFormat="1" x14ac:dyDescent="0.2">
      <c r="A114" s="2479"/>
      <c r="C114" s="154"/>
      <c r="F114" s="76"/>
      <c r="G114" s="76"/>
      <c r="H114" s="76"/>
      <c r="I114" s="76"/>
      <c r="J114" s="76"/>
      <c r="K114" s="76"/>
      <c r="L114" s="76"/>
      <c r="M114" s="76"/>
      <c r="N114" s="76"/>
      <c r="P114" s="2479"/>
    </row>
    <row r="115" spans="1:16" s="84" customFormat="1" x14ac:dyDescent="0.2">
      <c r="A115" s="2479"/>
      <c r="B115" s="147" t="s">
        <v>361</v>
      </c>
      <c r="P115" s="2479"/>
    </row>
    <row r="116" spans="1:16" s="84" customFormat="1" x14ac:dyDescent="0.2">
      <c r="A116" s="2479"/>
      <c r="C116" s="84" t="s">
        <v>473</v>
      </c>
      <c r="E116" s="84" t="s">
        <v>492</v>
      </c>
      <c r="F116" s="1428">
        <f>F$113*INDEX(EF[CO2], MATCH("V.05", EF[Vector], 0))</f>
        <v>7.1130830399999976</v>
      </c>
      <c r="G116" s="1428">
        <f>G$113*INDEX(EF[CO2], MATCH("V.05", EF[Vector], 0))</f>
        <v>18.968221439999994</v>
      </c>
      <c r="H116" s="1428">
        <f>H$113*INDEX(EF[CO2], MATCH("V.05", EF[Vector], 0))</f>
        <v>45.831965054399994</v>
      </c>
      <c r="I116" s="1428">
        <f>I$113*INDEX(EF[CO2], MATCH("V.05", EF[Vector], 0))</f>
        <v>63.638382931199992</v>
      </c>
      <c r="J116" s="1428">
        <f>J$113*INDEX(EF[CO2], MATCH("V.05", EF[Vector], 0))</f>
        <v>81.539641915199979</v>
      </c>
      <c r="K116" s="1428">
        <f>K$113*INDEX(EF[CO2], MATCH("V.05", EF[Vector], 0))</f>
        <v>108.90130134239995</v>
      </c>
      <c r="L116" s="1428">
        <f>L$113*INDEX(EF[CO2], MATCH("V.05", EF[Vector], 0))</f>
        <v>136.26296076959997</v>
      </c>
      <c r="M116" s="1428">
        <f>M$113*INDEX(EF[CO2], MATCH("V.05", EF[Vector], 0))</f>
        <v>163.64833047359994</v>
      </c>
      <c r="N116" s="1428">
        <f>N$113*INDEX(EF[CO2], MATCH("V.05", EF[Vector], 0))</f>
        <v>191.00998990079995</v>
      </c>
      <c r="P116" s="2479"/>
    </row>
    <row r="117" spans="1:16" s="202" customFormat="1" x14ac:dyDescent="0.2">
      <c r="A117" s="2479"/>
      <c r="B117" s="84"/>
      <c r="C117" s="84" t="s">
        <v>474</v>
      </c>
      <c r="D117" s="84"/>
      <c r="E117" s="84"/>
      <c r="F117" s="1428">
        <f>F$113*INDEX(EF[CH4], MATCH("V.05",EF[Vector], 0))</f>
        <v>1.4258073295806379E-2</v>
      </c>
      <c r="G117" s="1428">
        <f>G$113*INDEX(EF[CH4], MATCH("V.05",EF[Vector], 0))</f>
        <v>3.8021528788817018E-2</v>
      </c>
      <c r="H117" s="1428">
        <f>H$113*INDEX(EF[CH4], MATCH("V.05",EF[Vector], 0))</f>
        <v>9.1869518935979125E-2</v>
      </c>
      <c r="I117" s="1428">
        <f>I$113*INDEX(EF[CH4], MATCH("V.05",EF[Vector], 0))</f>
        <v>0.1275622290864811</v>
      </c>
      <c r="J117" s="1428">
        <f>J$113*INDEX(EF[CH4], MATCH("V.05",EF[Vector], 0))</f>
        <v>0.16344504688092715</v>
      </c>
      <c r="K117" s="1428">
        <f>K$113*INDEX(EF[CH4], MATCH("V.05",EF[Vector], 0))</f>
        <v>0.21829110215879566</v>
      </c>
      <c r="L117" s="1428">
        <f>L$113*INDEX(EF[CH4], MATCH("V.05",EF[Vector], 0))</f>
        <v>0.27313715743666428</v>
      </c>
      <c r="M117" s="1428">
        <f>M$113*INDEX(EF[CH4], MATCH("V.05",EF[Vector], 0))</f>
        <v>0.32803073962551882</v>
      </c>
      <c r="N117" s="1428">
        <f>N$113*INDEX(EF[CH4], MATCH("V.05",EF[Vector], 0))</f>
        <v>0.38287679490338739</v>
      </c>
      <c r="O117" s="84"/>
      <c r="P117" s="2479"/>
    </row>
    <row r="118" spans="1:16" s="84" customFormat="1" x14ac:dyDescent="0.2">
      <c r="A118" s="2479"/>
      <c r="C118" s="84" t="s">
        <v>475</v>
      </c>
      <c r="F118" s="1428">
        <f>F$113*INDEX(EF[N2O], MATCH("V.05",EF[Vector], 0))</f>
        <v>1.5335251007719588E-2</v>
      </c>
      <c r="G118" s="1428">
        <f>G$113*INDEX(EF[N2O], MATCH("V.05",EF[Vector], 0))</f>
        <v>4.089400268725224E-2</v>
      </c>
      <c r="H118" s="1428">
        <f>H$113*INDEX(EF[N2O], MATCH("V.05",EF[Vector], 0))</f>
        <v>9.8810133993073229E-2</v>
      </c>
      <c r="I118" s="1428">
        <f>I$113*INDEX(EF[N2O], MATCH("V.05",EF[Vector], 0))</f>
        <v>0.13719937901573129</v>
      </c>
      <c r="J118" s="1428">
        <f>J$113*INDEX(EF[N2O], MATCH("V.05",EF[Vector], 0))</f>
        <v>0.17579309405182558</v>
      </c>
      <c r="K118" s="1428">
        <f>K$113*INDEX(EF[N2O], MATCH("V.05",EF[Vector], 0))</f>
        <v>0.23478269292818688</v>
      </c>
      <c r="L118" s="1428">
        <f>L$113*INDEX(EF[N2O], MATCH("V.05",EF[Vector], 0))</f>
        <v>0.29377229180454828</v>
      </c>
      <c r="M118" s="1428">
        <f>M$113*INDEX(EF[N2O], MATCH("V.05",EF[Vector], 0))</f>
        <v>0.35281300818426869</v>
      </c>
      <c r="N118" s="1428">
        <f>N$113*INDEX(EF[N2O], MATCH("V.05",EF[Vector], 0))</f>
        <v>0.41180260706063004</v>
      </c>
      <c r="P118" s="2479"/>
    </row>
    <row r="119" spans="1:16" s="147" customFormat="1" x14ac:dyDescent="0.2">
      <c r="A119" s="2479"/>
      <c r="B119" s="84"/>
      <c r="C119" s="84"/>
      <c r="D119" s="84"/>
      <c r="E119" s="84"/>
      <c r="F119" s="1428"/>
      <c r="G119" s="1428"/>
      <c r="H119" s="1428"/>
      <c r="I119" s="1428"/>
      <c r="J119" s="1428"/>
      <c r="K119" s="1428"/>
      <c r="L119" s="1428"/>
      <c r="M119" s="1428"/>
      <c r="N119" s="1428"/>
      <c r="O119" s="84"/>
      <c r="P119" s="2479"/>
    </row>
    <row r="120" spans="1:16" s="84" customFormat="1" x14ac:dyDescent="0.2">
      <c r="A120" s="2479"/>
      <c r="C120" s="84" t="s">
        <v>2350</v>
      </c>
      <c r="D120" s="2479"/>
      <c r="E120" s="2479"/>
      <c r="F120" s="1661">
        <f t="shared" ref="F120:N120" si="16">F$101</f>
        <v>2010</v>
      </c>
      <c r="G120" s="1661">
        <f t="shared" si="16"/>
        <v>2015</v>
      </c>
      <c r="H120" s="1661">
        <f t="shared" si="16"/>
        <v>2020</v>
      </c>
      <c r="I120" s="1661">
        <f t="shared" si="16"/>
        <v>2025</v>
      </c>
      <c r="J120" s="1661">
        <f t="shared" si="16"/>
        <v>2030</v>
      </c>
      <c r="K120" s="1661">
        <f t="shared" si="16"/>
        <v>2035</v>
      </c>
      <c r="L120" s="1661">
        <f t="shared" si="16"/>
        <v>2040</v>
      </c>
      <c r="M120" s="1661">
        <f t="shared" si="16"/>
        <v>2045</v>
      </c>
      <c r="N120" s="1661">
        <f t="shared" si="16"/>
        <v>2050</v>
      </c>
      <c r="P120" s="2479"/>
    </row>
    <row r="121" spans="1:16" s="84" customFormat="1" x14ac:dyDescent="0.2">
      <c r="A121" s="2479"/>
      <c r="D121" s="2479" t="s">
        <v>197</v>
      </c>
      <c r="E121" s="2479"/>
      <c r="F121" s="675">
        <f t="shared" ref="F121:N121" si="17">-F167</f>
        <v>38.658059999999992</v>
      </c>
      <c r="G121" s="675">
        <f t="shared" si="17"/>
        <v>103.08815999999999</v>
      </c>
      <c r="H121" s="675">
        <f t="shared" si="17"/>
        <v>249.0867666</v>
      </c>
      <c r="I121" s="675">
        <f t="shared" si="17"/>
        <v>345.8607768</v>
      </c>
      <c r="J121" s="675">
        <f t="shared" si="17"/>
        <v>443.15022779999998</v>
      </c>
      <c r="K121" s="675">
        <f t="shared" si="17"/>
        <v>591.85489859999984</v>
      </c>
      <c r="L121" s="675">
        <f t="shared" si="17"/>
        <v>740.55956939999999</v>
      </c>
      <c r="M121" s="675">
        <f t="shared" si="17"/>
        <v>889.39310039999987</v>
      </c>
      <c r="N121" s="675">
        <f t="shared" si="17"/>
        <v>1038.0977711999999</v>
      </c>
      <c r="P121" s="2479"/>
    </row>
    <row r="122" spans="1:16" s="84" customFormat="1" x14ac:dyDescent="0.2">
      <c r="A122" s="2479"/>
      <c r="D122" s="2479"/>
      <c r="E122" s="2479"/>
      <c r="F122" s="1747" t="str">
        <f t="shared" ref="F122:N122" si="18">IF(SUM(F121:F121,F167:F167)=0,"ok","error")</f>
        <v>ok</v>
      </c>
      <c r="G122" s="1747" t="str">
        <f t="shared" si="18"/>
        <v>ok</v>
      </c>
      <c r="H122" s="1747" t="str">
        <f t="shared" si="18"/>
        <v>ok</v>
      </c>
      <c r="I122" s="1747" t="str">
        <f t="shared" si="18"/>
        <v>ok</v>
      </c>
      <c r="J122" s="1747" t="str">
        <f t="shared" si="18"/>
        <v>ok</v>
      </c>
      <c r="K122" s="1747" t="str">
        <f t="shared" si="18"/>
        <v>ok</v>
      </c>
      <c r="L122" s="1747" t="str">
        <f t="shared" si="18"/>
        <v>ok</v>
      </c>
      <c r="M122" s="1747" t="str">
        <f t="shared" si="18"/>
        <v>ok</v>
      </c>
      <c r="N122" s="1747" t="str">
        <f t="shared" si="18"/>
        <v>ok</v>
      </c>
      <c r="P122" s="2479"/>
    </row>
    <row r="123" spans="1:16" s="84" customFormat="1" x14ac:dyDescent="0.2">
      <c r="A123" s="2479"/>
      <c r="D123" s="2479"/>
      <c r="E123" s="2479"/>
      <c r="F123" s="1747"/>
      <c r="G123" s="1747"/>
      <c r="H123" s="1747"/>
      <c r="I123" s="1747"/>
      <c r="J123" s="1747"/>
      <c r="K123" s="1747"/>
      <c r="L123" s="1747"/>
      <c r="M123" s="1747"/>
      <c r="N123" s="1747"/>
      <c r="P123" s="2479"/>
    </row>
    <row r="124" spans="1:16" s="84" customFormat="1" x14ac:dyDescent="0.2">
      <c r="A124" s="2479"/>
      <c r="D124" s="2479"/>
      <c r="E124" s="2479"/>
      <c r="F124" s="1661"/>
      <c r="G124" s="1661"/>
      <c r="H124" s="1661"/>
      <c r="I124" s="1661"/>
      <c r="J124" s="1661"/>
      <c r="K124" s="1661"/>
      <c r="L124" s="1661"/>
      <c r="M124" s="1661"/>
      <c r="N124" s="1661"/>
      <c r="P124" s="2479"/>
    </row>
    <row r="125" spans="1:16" s="84" customFormat="1" x14ac:dyDescent="0.2">
      <c r="A125" s="2479"/>
      <c r="B125" s="2479"/>
      <c r="C125" s="2479" t="str">
        <f>INDEX(AirQualityVectors[Code],MATCH(D125,AirQualityVectors[Description],0))</f>
        <v>AQ.01</v>
      </c>
      <c r="D125" s="2479" t="s">
        <v>1791</v>
      </c>
      <c r="E125" s="2479" t="s">
        <v>1848</v>
      </c>
      <c r="F125" s="615">
        <f t="shared" ref="F125:N125" si="19">SUMPRODUCT(F$121:F$121,F$50:F$50)</f>
        <v>0.10748326511672261</v>
      </c>
      <c r="G125" s="615">
        <f t="shared" si="19"/>
        <v>0.3192937256383081</v>
      </c>
      <c r="H125" s="615">
        <f t="shared" si="19"/>
        <v>0.77148756863689061</v>
      </c>
      <c r="I125" s="615">
        <f t="shared" si="19"/>
        <v>1.0712121571852748</v>
      </c>
      <c r="J125" s="615">
        <f t="shared" si="19"/>
        <v>1.3725579062767459</v>
      </c>
      <c r="K125" s="615">
        <f t="shared" si="19"/>
        <v>1.833137093204156</v>
      </c>
      <c r="L125" s="615">
        <f t="shared" si="19"/>
        <v>2.2937162801315667</v>
      </c>
      <c r="M125" s="615">
        <f t="shared" si="19"/>
        <v>2.7546945824722591</v>
      </c>
      <c r="N125" s="615">
        <f t="shared" si="19"/>
        <v>3.2152737693996696</v>
      </c>
      <c r="O125" s="2479"/>
      <c r="P125" s="2479"/>
    </row>
    <row r="126" spans="1:16" s="84" customFormat="1" x14ac:dyDescent="0.2">
      <c r="A126" s="2479"/>
      <c r="B126" s="2479"/>
      <c r="C126" s="2479" t="str">
        <f>INDEX(AirQualityVectors[Code],MATCH(D126,AirQualityVectors[Description],0))</f>
        <v>AQ.02</v>
      </c>
      <c r="D126" s="2479" t="s">
        <v>1794</v>
      </c>
      <c r="E126" s="2479"/>
      <c r="F126" s="615">
        <f t="shared" ref="F126:N126" si="20">SUMPRODUCT(F$121:F$121,F$55:F$55)</f>
        <v>4.7569003760615676</v>
      </c>
      <c r="G126" s="615">
        <f t="shared" si="20"/>
        <v>13.188127092587154</v>
      </c>
      <c r="H126" s="615">
        <f t="shared" si="20"/>
        <v>28.835803539552014</v>
      </c>
      <c r="I126" s="615">
        <f t="shared" si="20"/>
        <v>43.829695640257732</v>
      </c>
      <c r="J126" s="615">
        <f t="shared" si="20"/>
        <v>55.916444333212361</v>
      </c>
      <c r="K126" s="615">
        <f t="shared" si="20"/>
        <v>74.679915330748571</v>
      </c>
      <c r="L126" s="615">
        <f t="shared" si="20"/>
        <v>93.443386328284802</v>
      </c>
      <c r="M126" s="615">
        <f t="shared" si="20"/>
        <v>112.22311683275129</v>
      </c>
      <c r="N126" s="615">
        <f t="shared" si="20"/>
        <v>130.9865878302875</v>
      </c>
      <c r="O126" s="2479"/>
      <c r="P126" s="2479"/>
    </row>
    <row r="127" spans="1:16" s="84" customFormat="1" x14ac:dyDescent="0.2">
      <c r="A127" s="2479"/>
      <c r="B127" s="2479"/>
      <c r="C127" s="2479" t="str">
        <f>INDEX(AirQualityVectors[Code],MATCH(D127,AirQualityVectors[Description],0))</f>
        <v>AQ.03</v>
      </c>
      <c r="D127" s="2479" t="s">
        <v>1795</v>
      </c>
      <c r="E127" s="2479"/>
      <c r="F127" s="615">
        <f t="shared" ref="F127:N127" si="21">SUMPRODUCT(F$121:F$121,F$60:F$60)</f>
        <v>7.0206089846342565E-2</v>
      </c>
      <c r="G127" s="615">
        <f t="shared" si="21"/>
        <v>0.24167055814100319</v>
      </c>
      <c r="H127" s="615">
        <f t="shared" si="21"/>
        <v>0.58320919397249604</v>
      </c>
      <c r="I127" s="615">
        <f t="shared" si="21"/>
        <v>0.80854827555508058</v>
      </c>
      <c r="J127" s="615">
        <f t="shared" si="21"/>
        <v>1.0381415763482473</v>
      </c>
      <c r="K127" s="615">
        <f t="shared" si="21"/>
        <v>1.3865031288652223</v>
      </c>
      <c r="L127" s="615">
        <f t="shared" si="21"/>
        <v>1.7348646813821977</v>
      </c>
      <c r="M127" s="615">
        <f t="shared" si="21"/>
        <v>2.0835281069949412</v>
      </c>
      <c r="N127" s="615">
        <f t="shared" si="21"/>
        <v>2.4318896595119166</v>
      </c>
      <c r="O127" s="2479"/>
      <c r="P127" s="2479"/>
    </row>
    <row r="128" spans="1:16" s="84" customFormat="1" x14ac:dyDescent="0.2">
      <c r="A128" s="2479"/>
      <c r="B128" s="2479"/>
      <c r="C128" s="2479" t="str">
        <f>INDEX(AirQualityVectors[Code],MATCH(D128,AirQualityVectors[Description],0))</f>
        <v>AQ.04</v>
      </c>
      <c r="D128" s="2479" t="s">
        <v>1792</v>
      </c>
      <c r="E128" s="2479"/>
      <c r="F128" s="615">
        <f t="shared" ref="F128:N128" si="22">SUMPRODUCT(F$121:F$121,F$65:F$65)</f>
        <v>0.16200049445962794</v>
      </c>
      <c r="G128" s="615">
        <f t="shared" si="22"/>
        <v>0.43517015315750901</v>
      </c>
      <c r="H128" s="615">
        <f t="shared" si="22"/>
        <v>1.0514990428309432</v>
      </c>
      <c r="I128" s="615">
        <f t="shared" si="22"/>
        <v>1.4600553091729158</v>
      </c>
      <c r="J128" s="615">
        <f t="shared" si="22"/>
        <v>1.8707071839651133</v>
      </c>
      <c r="K128" s="615">
        <f t="shared" si="22"/>
        <v>2.4984466693666074</v>
      </c>
      <c r="L128" s="615">
        <f t="shared" si="22"/>
        <v>3.1261861547681029</v>
      </c>
      <c r="M128" s="615">
        <f t="shared" si="22"/>
        <v>3.7544696085278311</v>
      </c>
      <c r="N128" s="615">
        <f t="shared" si="22"/>
        <v>4.3822090939293261</v>
      </c>
      <c r="O128" s="2479"/>
      <c r="P128" s="2479"/>
    </row>
    <row r="129" spans="1:16" s="84" customFormat="1" x14ac:dyDescent="0.2">
      <c r="A129" s="2479"/>
      <c r="B129" s="2479"/>
      <c r="C129" s="2479"/>
      <c r="D129" s="2479"/>
      <c r="E129" s="2479"/>
      <c r="F129" s="2479"/>
      <c r="G129" s="2479"/>
      <c r="H129" s="2479"/>
      <c r="I129" s="2479"/>
      <c r="J129" s="2479"/>
      <c r="K129" s="2479"/>
      <c r="L129" s="2479"/>
      <c r="M129" s="2479"/>
      <c r="N129" s="2479"/>
      <c r="O129" s="2479"/>
      <c r="P129" s="2479"/>
    </row>
    <row r="130" spans="1:16" s="84" customFormat="1" x14ac:dyDescent="0.2">
      <c r="A130" s="2479"/>
      <c r="F130" s="1428"/>
      <c r="G130" s="1428"/>
      <c r="H130" s="1428"/>
      <c r="I130" s="1428"/>
      <c r="J130" s="1428"/>
      <c r="K130" s="1428"/>
      <c r="L130" s="1428"/>
      <c r="M130" s="1428"/>
      <c r="N130" s="1428"/>
      <c r="P130" s="2479"/>
    </row>
    <row r="131" spans="1:16" s="84" customFormat="1" x14ac:dyDescent="0.2">
      <c r="A131" s="2479"/>
      <c r="B131" s="147" t="s">
        <v>1228</v>
      </c>
      <c r="C131" s="154"/>
      <c r="F131" s="76"/>
      <c r="G131" s="76"/>
      <c r="H131" s="76"/>
      <c r="I131" s="76"/>
      <c r="J131" s="76"/>
      <c r="K131" s="76"/>
      <c r="L131" s="76"/>
      <c r="M131" s="76"/>
      <c r="N131" s="76"/>
      <c r="P131" s="2479"/>
    </row>
    <row r="132" spans="1:16" s="84" customFormat="1" x14ac:dyDescent="0.2">
      <c r="A132" s="2479"/>
      <c r="C132" s="154"/>
      <c r="F132" s="76"/>
      <c r="G132" s="76"/>
      <c r="H132" s="76"/>
      <c r="I132" s="76"/>
      <c r="J132" s="76"/>
      <c r="K132" s="76"/>
      <c r="L132" s="76"/>
      <c r="M132" s="76"/>
      <c r="N132" s="76"/>
      <c r="P132" s="588"/>
    </row>
    <row r="133" spans="1:16" x14ac:dyDescent="0.2">
      <c r="B133" s="84"/>
      <c r="C133" s="18" t="s">
        <v>10</v>
      </c>
      <c r="D133" s="18"/>
      <c r="E133" s="18" t="str">
        <f>Preferences.PowerUnits</f>
        <v>GW</v>
      </c>
      <c r="F133" s="454">
        <f t="shared" ref="F133:N133" si="23">F$104</f>
        <v>3</v>
      </c>
      <c r="G133" s="454">
        <f t="shared" si="23"/>
        <v>8</v>
      </c>
      <c r="H133" s="454">
        <f t="shared" si="23"/>
        <v>19.329999999999998</v>
      </c>
      <c r="I133" s="454">
        <f t="shared" si="23"/>
        <v>26.84</v>
      </c>
      <c r="J133" s="454">
        <f t="shared" si="23"/>
        <v>34.39</v>
      </c>
      <c r="K133" s="454">
        <f t="shared" si="23"/>
        <v>45.93</v>
      </c>
      <c r="L133" s="454">
        <f t="shared" si="23"/>
        <v>57.47</v>
      </c>
      <c r="M133" s="454">
        <f t="shared" si="23"/>
        <v>69.02</v>
      </c>
      <c r="N133" s="454">
        <f t="shared" si="23"/>
        <v>80.56</v>
      </c>
      <c r="O133" s="84"/>
      <c r="P133" s="588"/>
    </row>
    <row r="134" spans="1:16" x14ac:dyDescent="0.2">
      <c r="B134" s="84"/>
      <c r="C134" s="202"/>
      <c r="D134" s="202"/>
      <c r="E134" s="202"/>
      <c r="F134" s="922"/>
      <c r="G134" s="922"/>
      <c r="H134" s="922"/>
      <c r="I134" s="922"/>
      <c r="J134" s="922"/>
      <c r="K134" s="922"/>
      <c r="L134" s="922"/>
      <c r="M134" s="922"/>
      <c r="N134" s="922"/>
      <c r="O134" s="84"/>
      <c r="P134" s="588"/>
    </row>
    <row r="135" spans="1:16" x14ac:dyDescent="0.2">
      <c r="B135" s="365" t="s">
        <v>1274</v>
      </c>
      <c r="C135" s="2527"/>
      <c r="D135" s="365"/>
      <c r="E135" s="365"/>
      <c r="F135" s="2528">
        <v>2010</v>
      </c>
      <c r="G135" s="2528">
        <v>2015</v>
      </c>
      <c r="H135" s="2528">
        <v>2020</v>
      </c>
      <c r="I135" s="2528">
        <v>2025</v>
      </c>
      <c r="J135" s="2528">
        <v>2030</v>
      </c>
      <c r="K135" s="2528">
        <v>2035</v>
      </c>
      <c r="L135" s="2528">
        <v>2040</v>
      </c>
      <c r="M135" s="2528">
        <v>2045</v>
      </c>
      <c r="N135" s="2528">
        <v>2050</v>
      </c>
      <c r="P135" s="588"/>
    </row>
    <row r="136" spans="1:16" x14ac:dyDescent="0.2">
      <c r="B136" s="365"/>
      <c r="C136" s="365" t="s">
        <v>1971</v>
      </c>
      <c r="D136" s="365"/>
      <c r="E136" s="365" t="s">
        <v>247</v>
      </c>
      <c r="F136" s="2529">
        <v>0</v>
      </c>
      <c r="G136" s="2529">
        <f t="shared" ref="G136:N136" si="24">(G133-F133)</f>
        <v>5</v>
      </c>
      <c r="H136" s="2529">
        <f t="shared" si="24"/>
        <v>11.329999999999998</v>
      </c>
      <c r="I136" s="2529">
        <f t="shared" si="24"/>
        <v>7.5100000000000016</v>
      </c>
      <c r="J136" s="2529">
        <f t="shared" si="24"/>
        <v>7.5500000000000007</v>
      </c>
      <c r="K136" s="2529">
        <f t="shared" si="24"/>
        <v>11.54</v>
      </c>
      <c r="L136" s="2529">
        <f t="shared" si="24"/>
        <v>11.54</v>
      </c>
      <c r="M136" s="2529">
        <f t="shared" si="24"/>
        <v>11.549999999999997</v>
      </c>
      <c r="N136" s="2529">
        <f t="shared" si="24"/>
        <v>11.540000000000006</v>
      </c>
      <c r="P136" s="588"/>
    </row>
    <row r="137" spans="1:16" s="84" customFormat="1" ht="13.5" customHeight="1" x14ac:dyDescent="0.2">
      <c r="A137" s="2479"/>
      <c r="B137" s="365"/>
      <c r="C137" s="2530" t="s">
        <v>1972</v>
      </c>
      <c r="D137" s="2530"/>
      <c r="E137" s="2530" t="s">
        <v>247</v>
      </c>
      <c r="F137" s="2531">
        <f>F133*3/20</f>
        <v>0.45</v>
      </c>
      <c r="G137" s="2531">
        <f t="shared" ref="G137:N137" si="25">F133/4</f>
        <v>0.75</v>
      </c>
      <c r="H137" s="2531">
        <f t="shared" si="25"/>
        <v>2</v>
      </c>
      <c r="I137" s="2531">
        <f t="shared" si="25"/>
        <v>4.8324999999999996</v>
      </c>
      <c r="J137" s="2531">
        <f t="shared" si="25"/>
        <v>6.71</v>
      </c>
      <c r="K137" s="2531">
        <f t="shared" si="25"/>
        <v>8.5975000000000001</v>
      </c>
      <c r="L137" s="2531">
        <f t="shared" si="25"/>
        <v>11.4825</v>
      </c>
      <c r="M137" s="2531">
        <f t="shared" si="25"/>
        <v>14.3675</v>
      </c>
      <c r="N137" s="2531">
        <f t="shared" si="25"/>
        <v>17.254999999999999</v>
      </c>
      <c r="O137" s="2479"/>
      <c r="P137" s="588"/>
    </row>
    <row r="138" spans="1:16" s="84" customFormat="1" x14ac:dyDescent="0.2">
      <c r="A138" s="2479"/>
      <c r="B138" s="365"/>
      <c r="C138" s="365" t="str">
        <f>"Approximate total "&amp;F45/Unit.GW&amp;" GW locations"</f>
        <v>Approximate total 1 GW locations</v>
      </c>
      <c r="D138" s="365"/>
      <c r="E138" s="365" t="s">
        <v>1275</v>
      </c>
      <c r="F138" s="2524">
        <f t="shared" ref="F138:N138" si="26">F$133/plantsize.I.a</f>
        <v>3</v>
      </c>
      <c r="G138" s="2524">
        <f t="shared" si="26"/>
        <v>8</v>
      </c>
      <c r="H138" s="2524">
        <f t="shared" si="26"/>
        <v>19.329999999999998</v>
      </c>
      <c r="I138" s="2524">
        <f t="shared" si="26"/>
        <v>26.84</v>
      </c>
      <c r="J138" s="2524">
        <f t="shared" si="26"/>
        <v>34.39</v>
      </c>
      <c r="K138" s="2524">
        <f t="shared" si="26"/>
        <v>45.93</v>
      </c>
      <c r="L138" s="2524">
        <f t="shared" si="26"/>
        <v>57.47</v>
      </c>
      <c r="M138" s="2524">
        <f t="shared" si="26"/>
        <v>69.02</v>
      </c>
      <c r="N138" s="2524">
        <f t="shared" si="26"/>
        <v>80.56</v>
      </c>
      <c r="O138" s="2479"/>
      <c r="P138" s="588"/>
    </row>
    <row r="139" spans="1:16" s="84" customFormat="1" ht="13.5" customHeight="1" x14ac:dyDescent="0.2">
      <c r="A139" s="2479"/>
      <c r="B139" s="365"/>
      <c r="C139" s="365" t="s">
        <v>1973</v>
      </c>
      <c r="D139" s="365"/>
      <c r="E139" s="365" t="s">
        <v>1275</v>
      </c>
      <c r="F139" s="2524">
        <f t="shared" ref="F139:N139" si="27">MAX((F136+F137)/plantsize.I.a,0)</f>
        <v>0.45</v>
      </c>
      <c r="G139" s="2524">
        <f t="shared" si="27"/>
        <v>5.75</v>
      </c>
      <c r="H139" s="2524">
        <f t="shared" si="27"/>
        <v>13.329999999999998</v>
      </c>
      <c r="I139" s="2524">
        <f t="shared" si="27"/>
        <v>12.342500000000001</v>
      </c>
      <c r="J139" s="2524">
        <f t="shared" si="27"/>
        <v>14.260000000000002</v>
      </c>
      <c r="K139" s="2524">
        <f t="shared" si="27"/>
        <v>20.137499999999999</v>
      </c>
      <c r="L139" s="2524">
        <f t="shared" si="27"/>
        <v>23.022500000000001</v>
      </c>
      <c r="M139" s="2524">
        <f t="shared" si="27"/>
        <v>25.917499999999997</v>
      </c>
      <c r="N139" s="2524">
        <f t="shared" si="27"/>
        <v>28.795000000000005</v>
      </c>
      <c r="O139" s="2479"/>
      <c r="P139" s="588"/>
    </row>
    <row r="140" spans="1:16" s="84" customFormat="1" ht="13.5" customHeight="1" x14ac:dyDescent="0.2">
      <c r="A140" s="2479"/>
      <c r="B140" s="365"/>
      <c r="C140" s="365" t="str">
        <f>"Number of "&amp;F45/Unit.GW&amp;" GW locations per year"</f>
        <v>Number of 1 GW locations per year</v>
      </c>
      <c r="D140" s="365"/>
      <c r="E140" s="365" t="s">
        <v>1276</v>
      </c>
      <c r="F140" s="2532">
        <v>0</v>
      </c>
      <c r="G140" s="2532">
        <f t="shared" ref="G140:N140" si="28">IFERROR(G139/(G$101-F$101),0)</f>
        <v>1.1499999999999999</v>
      </c>
      <c r="H140" s="2532">
        <f t="shared" si="28"/>
        <v>2.6659999999999995</v>
      </c>
      <c r="I140" s="2532">
        <f t="shared" si="28"/>
        <v>2.4685000000000001</v>
      </c>
      <c r="J140" s="2532">
        <f t="shared" si="28"/>
        <v>2.8520000000000003</v>
      </c>
      <c r="K140" s="2532">
        <f t="shared" si="28"/>
        <v>4.0274999999999999</v>
      </c>
      <c r="L140" s="2532">
        <f t="shared" si="28"/>
        <v>4.6044999999999998</v>
      </c>
      <c r="M140" s="2532">
        <f t="shared" si="28"/>
        <v>5.1834999999999996</v>
      </c>
      <c r="N140" s="2532">
        <f t="shared" si="28"/>
        <v>5.7590000000000012</v>
      </c>
      <c r="O140" s="2479"/>
      <c r="P140" s="588"/>
    </row>
    <row r="141" spans="1:16" s="84" customFormat="1" ht="13.5" customHeight="1" x14ac:dyDescent="0.2">
      <c r="A141" s="2479"/>
      <c r="B141" s="2479"/>
      <c r="C141" s="2479"/>
      <c r="D141" s="2479"/>
      <c r="E141" s="2479"/>
      <c r="F141" s="1026"/>
      <c r="G141" s="1026"/>
      <c r="H141" s="1026"/>
      <c r="I141" s="1026"/>
      <c r="J141" s="1026"/>
      <c r="K141" s="1026"/>
      <c r="L141" s="1026"/>
      <c r="M141" s="1026"/>
      <c r="N141" s="1026"/>
      <c r="O141" s="2479"/>
      <c r="P141" s="588"/>
    </row>
    <row r="142" spans="1:16" x14ac:dyDescent="0.2">
      <c r="C142" s="84"/>
      <c r="F142" s="1026"/>
      <c r="G142" s="1026"/>
      <c r="H142" s="1026"/>
      <c r="I142" s="1026"/>
      <c r="J142" s="1026"/>
      <c r="K142" s="1026"/>
      <c r="L142" s="1026"/>
      <c r="M142" s="1026"/>
      <c r="N142" s="1026"/>
      <c r="O142" s="84"/>
    </row>
    <row r="143" spans="1:16" x14ac:dyDescent="0.2">
      <c r="B143" s="1427" t="s">
        <v>1424</v>
      </c>
      <c r="C143" s="84"/>
      <c r="F143" s="1026"/>
      <c r="G143" s="1026"/>
      <c r="H143" s="1026"/>
      <c r="I143" s="1026"/>
      <c r="J143" s="1026"/>
      <c r="K143" s="1026"/>
      <c r="L143" s="1026"/>
      <c r="M143" s="1026"/>
      <c r="N143" s="1026"/>
      <c r="O143" s="84"/>
    </row>
    <row r="144" spans="1:16" s="84" customFormat="1" x14ac:dyDescent="0.2">
      <c r="A144" s="2479"/>
      <c r="B144" s="2479"/>
      <c r="D144" s="2479"/>
      <c r="E144" s="2479"/>
      <c r="F144" s="1026"/>
      <c r="G144" s="1026"/>
      <c r="H144" s="1026"/>
      <c r="I144" s="1026"/>
      <c r="J144" s="1026"/>
      <c r="K144" s="1026"/>
      <c r="L144" s="1026"/>
      <c r="M144" s="1026"/>
      <c r="N144" s="1026"/>
      <c r="P144" s="2479"/>
    </row>
    <row r="145" spans="1:17" s="84" customFormat="1" x14ac:dyDescent="0.2">
      <c r="A145" s="2479"/>
      <c r="B145" s="2479" t="s">
        <v>1422</v>
      </c>
      <c r="C145" s="2479"/>
      <c r="D145" s="2479"/>
      <c r="E145" s="2479"/>
      <c r="F145" s="1748">
        <v>2010</v>
      </c>
      <c r="G145" s="1748">
        <v>2015</v>
      </c>
      <c r="H145" s="1748">
        <v>2020</v>
      </c>
      <c r="I145" s="1748">
        <v>2025</v>
      </c>
      <c r="J145" s="1748">
        <v>2030</v>
      </c>
      <c r="K145" s="1748">
        <v>2035</v>
      </c>
      <c r="L145" s="1748">
        <v>2040</v>
      </c>
      <c r="M145" s="1748">
        <v>2045</v>
      </c>
      <c r="N145" s="1748">
        <v>2050</v>
      </c>
    </row>
    <row r="146" spans="1:17" s="84" customFormat="1" x14ac:dyDescent="0.2">
      <c r="A146" s="2479"/>
      <c r="B146" s="2479"/>
      <c r="C146" s="2479" t="s">
        <v>1418</v>
      </c>
      <c r="D146" s="2479"/>
      <c r="E146" s="2479" t="str">
        <f>Preferences.moneyunits</f>
        <v>N</v>
      </c>
      <c r="F146" s="1262">
        <f t="shared" ref="F146:N146" si="29">IFERROR((F140*F$75),0)</f>
        <v>0</v>
      </c>
      <c r="G146" s="1262">
        <f t="shared" si="29"/>
        <v>293250000000</v>
      </c>
      <c r="H146" s="1262">
        <f t="shared" si="29"/>
        <v>679829999999.99988</v>
      </c>
      <c r="I146" s="1262">
        <f t="shared" si="29"/>
        <v>629467500000</v>
      </c>
      <c r="J146" s="1262">
        <f t="shared" si="29"/>
        <v>727260000000.00012</v>
      </c>
      <c r="K146" s="1262">
        <f t="shared" si="29"/>
        <v>1027012500000</v>
      </c>
      <c r="L146" s="1262">
        <f t="shared" si="29"/>
        <v>1174147500000</v>
      </c>
      <c r="M146" s="1262">
        <f t="shared" si="29"/>
        <v>1321792500000</v>
      </c>
      <c r="N146" s="1262">
        <f t="shared" si="29"/>
        <v>1468545000000.0002</v>
      </c>
    </row>
    <row r="147" spans="1:17" s="84" customFormat="1" x14ac:dyDescent="0.2">
      <c r="A147" s="2479"/>
      <c r="B147" s="2479"/>
      <c r="C147" s="2479" t="s">
        <v>1419</v>
      </c>
      <c r="D147" s="2479"/>
      <c r="E147" s="2479" t="str">
        <f>Preferences.moneyunits</f>
        <v>N</v>
      </c>
      <c r="F147" s="1262">
        <f t="shared" ref="F147:N147" si="30">(F138*F$83)</f>
        <v>29250000</v>
      </c>
      <c r="G147" s="1262">
        <f t="shared" si="30"/>
        <v>78000000</v>
      </c>
      <c r="H147" s="1262">
        <f t="shared" si="30"/>
        <v>188467499.99999997</v>
      </c>
      <c r="I147" s="1262">
        <f t="shared" si="30"/>
        <v>261690000</v>
      </c>
      <c r="J147" s="1262">
        <f t="shared" si="30"/>
        <v>335302500</v>
      </c>
      <c r="K147" s="1262">
        <f t="shared" si="30"/>
        <v>447817500</v>
      </c>
      <c r="L147" s="1262">
        <f t="shared" si="30"/>
        <v>560332500</v>
      </c>
      <c r="M147" s="1262">
        <f t="shared" si="30"/>
        <v>672945000</v>
      </c>
      <c r="N147" s="1262">
        <f t="shared" si="30"/>
        <v>785460000</v>
      </c>
    </row>
    <row r="148" spans="1:17" s="84" customFormat="1" x14ac:dyDescent="0.2">
      <c r="A148" s="2479"/>
      <c r="B148" s="2479"/>
      <c r="C148" s="2479" t="s">
        <v>1421</v>
      </c>
      <c r="D148" s="2479"/>
      <c r="E148" s="2479" t="str">
        <f>Preferences.moneyunits</f>
        <v>N</v>
      </c>
      <c r="F148" s="1262">
        <f t="shared" ref="F148:N148" si="31">SUM(F146:F147)</f>
        <v>29250000</v>
      </c>
      <c r="G148" s="1262">
        <f t="shared" si="31"/>
        <v>293328000000</v>
      </c>
      <c r="H148" s="1262">
        <f t="shared" si="31"/>
        <v>680018467499.99988</v>
      </c>
      <c r="I148" s="1262">
        <f t="shared" si="31"/>
        <v>629729190000</v>
      </c>
      <c r="J148" s="1262">
        <f t="shared" si="31"/>
        <v>727595302500.00012</v>
      </c>
      <c r="K148" s="1262">
        <f t="shared" si="31"/>
        <v>1027460317500</v>
      </c>
      <c r="L148" s="1262">
        <f t="shared" si="31"/>
        <v>1174707832500</v>
      </c>
      <c r="M148" s="1262">
        <f t="shared" si="31"/>
        <v>1322465445000</v>
      </c>
      <c r="N148" s="1262">
        <f t="shared" si="31"/>
        <v>1469330460000.0002</v>
      </c>
      <c r="P148" s="34"/>
    </row>
    <row r="149" spans="1:17" s="84" customFormat="1" x14ac:dyDescent="0.2">
      <c r="A149" s="2479"/>
      <c r="B149" s="2479"/>
      <c r="C149" s="2479"/>
      <c r="D149" s="2479"/>
      <c r="E149" s="2479"/>
      <c r="F149" s="1262"/>
      <c r="G149" s="1262"/>
      <c r="H149" s="1262"/>
      <c r="I149" s="1262"/>
      <c r="J149" s="1262"/>
      <c r="K149" s="1262"/>
      <c r="L149" s="1262"/>
      <c r="M149" s="1262"/>
      <c r="N149" s="1262"/>
      <c r="P149" s="37"/>
    </row>
    <row r="150" spans="1:17" s="84" customFormat="1" x14ac:dyDescent="0.2">
      <c r="A150" s="2479"/>
      <c r="B150" s="2479" t="s">
        <v>1874</v>
      </c>
      <c r="C150" s="2479"/>
      <c r="D150" s="2479"/>
      <c r="E150" s="2479"/>
      <c r="F150" s="1748">
        <v>2010</v>
      </c>
      <c r="G150" s="1748">
        <v>2015</v>
      </c>
      <c r="H150" s="1748">
        <v>2020</v>
      </c>
      <c r="I150" s="1748">
        <v>2025</v>
      </c>
      <c r="J150" s="1748">
        <v>2030</v>
      </c>
      <c r="K150" s="1748">
        <v>2035</v>
      </c>
      <c r="L150" s="1748">
        <v>2040</v>
      </c>
      <c r="M150" s="1748">
        <v>2045</v>
      </c>
      <c r="N150" s="1748">
        <v>2050</v>
      </c>
      <c r="O150" s="2479"/>
      <c r="P150" s="37"/>
    </row>
    <row r="151" spans="1:17" s="84" customFormat="1" x14ac:dyDescent="0.2">
      <c r="A151" s="2479"/>
      <c r="B151" s="2479"/>
      <c r="C151" s="2479" t="s">
        <v>1418</v>
      </c>
      <c r="D151" s="2479"/>
      <c r="E151" s="2479" t="str">
        <f>Preferences.moneyunits</f>
        <v>N</v>
      </c>
      <c r="F151" s="1262">
        <f t="shared" ref="F151:N151" si="32">(F140*F$76)</f>
        <v>0</v>
      </c>
      <c r="G151" s="1262">
        <f t="shared" si="32"/>
        <v>258749999999.99997</v>
      </c>
      <c r="H151" s="1262">
        <f t="shared" si="32"/>
        <v>599849999999.99988</v>
      </c>
      <c r="I151" s="1262">
        <f t="shared" si="32"/>
        <v>555412500000</v>
      </c>
      <c r="J151" s="1262">
        <f t="shared" si="32"/>
        <v>641700000000.00012</v>
      </c>
      <c r="K151" s="1262">
        <f t="shared" si="32"/>
        <v>906187500000</v>
      </c>
      <c r="L151" s="1262">
        <f t="shared" si="32"/>
        <v>1036012500000</v>
      </c>
      <c r="M151" s="1262">
        <f t="shared" si="32"/>
        <v>1166287500000</v>
      </c>
      <c r="N151" s="1262">
        <f t="shared" si="32"/>
        <v>1295775000000.0002</v>
      </c>
      <c r="O151" s="2479"/>
      <c r="P151" s="37"/>
    </row>
    <row r="152" spans="1:17" s="84" customFormat="1" x14ac:dyDescent="0.2">
      <c r="A152" s="2479"/>
      <c r="B152" s="2479"/>
      <c r="C152" s="2479" t="s">
        <v>1419</v>
      </c>
      <c r="D152" s="2479"/>
      <c r="E152" s="2479" t="str">
        <f>Preferences.moneyunits</f>
        <v>N</v>
      </c>
      <c r="F152" s="1262">
        <f t="shared" ref="F152:N152" si="33">(F138*F$84)</f>
        <v>17100000</v>
      </c>
      <c r="G152" s="1262">
        <f t="shared" si="33"/>
        <v>45600000</v>
      </c>
      <c r="H152" s="1262">
        <f t="shared" si="33"/>
        <v>110180999.99999999</v>
      </c>
      <c r="I152" s="1262">
        <f t="shared" si="33"/>
        <v>152988000</v>
      </c>
      <c r="J152" s="1262">
        <f t="shared" si="33"/>
        <v>196023000</v>
      </c>
      <c r="K152" s="1262">
        <f t="shared" si="33"/>
        <v>261801000</v>
      </c>
      <c r="L152" s="1262">
        <f t="shared" si="33"/>
        <v>327579000</v>
      </c>
      <c r="M152" s="1262">
        <f t="shared" si="33"/>
        <v>393414000</v>
      </c>
      <c r="N152" s="1262">
        <f t="shared" si="33"/>
        <v>459192000</v>
      </c>
      <c r="O152" s="2479"/>
      <c r="P152" s="37"/>
    </row>
    <row r="153" spans="1:17" s="84" customFormat="1" x14ac:dyDescent="0.2">
      <c r="A153" s="2479"/>
      <c r="B153" s="2479"/>
      <c r="C153" s="2479" t="s">
        <v>1421</v>
      </c>
      <c r="D153" s="2479"/>
      <c r="E153" s="2479" t="str">
        <f>Preferences.moneyunits</f>
        <v>N</v>
      </c>
      <c r="F153" s="1262">
        <f t="shared" ref="F153:N153" si="34">SUM(F151:F152)</f>
        <v>17100000</v>
      </c>
      <c r="G153" s="1262">
        <f t="shared" si="34"/>
        <v>258795599999.99997</v>
      </c>
      <c r="H153" s="1262">
        <f t="shared" si="34"/>
        <v>599960180999.99988</v>
      </c>
      <c r="I153" s="1262">
        <f t="shared" si="34"/>
        <v>555565488000</v>
      </c>
      <c r="J153" s="1262">
        <f t="shared" si="34"/>
        <v>641896023000.00012</v>
      </c>
      <c r="K153" s="1262">
        <f t="shared" si="34"/>
        <v>906449301000</v>
      </c>
      <c r="L153" s="1262">
        <f t="shared" si="34"/>
        <v>1036340079000</v>
      </c>
      <c r="M153" s="1262">
        <f t="shared" si="34"/>
        <v>1166680914000</v>
      </c>
      <c r="N153" s="1262">
        <f t="shared" si="34"/>
        <v>1296234192000.0002</v>
      </c>
      <c r="O153" s="2479"/>
      <c r="P153" s="37"/>
    </row>
    <row r="154" spans="1:17" s="84" customFormat="1" x14ac:dyDescent="0.2">
      <c r="A154" s="2479"/>
      <c r="B154" s="2479"/>
      <c r="C154" s="2479"/>
      <c r="D154" s="2479"/>
      <c r="E154" s="2479"/>
      <c r="F154" s="2479"/>
      <c r="G154" s="2479"/>
      <c r="H154" s="2479"/>
      <c r="I154" s="2479"/>
      <c r="J154" s="2479"/>
      <c r="K154" s="2479"/>
      <c r="L154" s="2479"/>
      <c r="M154" s="2479"/>
      <c r="N154" s="2479"/>
      <c r="O154" s="2479"/>
      <c r="P154" s="37"/>
    </row>
    <row r="155" spans="1:17" s="84" customFormat="1" x14ac:dyDescent="0.2">
      <c r="A155" s="2479"/>
      <c r="B155" s="2479" t="s">
        <v>1420</v>
      </c>
      <c r="C155" s="2479"/>
      <c r="D155" s="2479"/>
      <c r="E155" s="2479"/>
      <c r="F155" s="1748">
        <v>2010</v>
      </c>
      <c r="G155" s="1748">
        <v>2015</v>
      </c>
      <c r="H155" s="1748">
        <v>2020</v>
      </c>
      <c r="I155" s="1748">
        <v>2025</v>
      </c>
      <c r="J155" s="1748">
        <v>2030</v>
      </c>
      <c r="K155" s="1748">
        <v>2035</v>
      </c>
      <c r="L155" s="1748">
        <v>2040</v>
      </c>
      <c r="M155" s="1748">
        <v>2045</v>
      </c>
      <c r="N155" s="1748">
        <v>2050</v>
      </c>
      <c r="O155" s="2479"/>
      <c r="P155" s="37"/>
    </row>
    <row r="156" spans="1:17" s="84" customFormat="1" x14ac:dyDescent="0.2">
      <c r="A156" s="2479"/>
      <c r="B156" s="2479"/>
      <c r="C156" s="2479" t="s">
        <v>1418</v>
      </c>
      <c r="D156" s="2479"/>
      <c r="E156" s="2479" t="str">
        <f>Preferences.moneyunits</f>
        <v>N</v>
      </c>
      <c r="F156" s="1262">
        <f t="shared" ref="F156:N156" si="35">(F140*F$77)</f>
        <v>0</v>
      </c>
      <c r="G156" s="1262">
        <f t="shared" si="35"/>
        <v>206999999999.99997</v>
      </c>
      <c r="H156" s="1262">
        <f t="shared" si="35"/>
        <v>479879999999.99988</v>
      </c>
      <c r="I156" s="1262">
        <f t="shared" si="35"/>
        <v>444330000000</v>
      </c>
      <c r="J156" s="1262">
        <f t="shared" si="35"/>
        <v>513360000000.00006</v>
      </c>
      <c r="K156" s="1262">
        <f t="shared" si="35"/>
        <v>724950000000</v>
      </c>
      <c r="L156" s="1262">
        <f t="shared" si="35"/>
        <v>828810000000</v>
      </c>
      <c r="M156" s="1262">
        <f t="shared" si="35"/>
        <v>933029999999.99988</v>
      </c>
      <c r="N156" s="1262">
        <f t="shared" si="35"/>
        <v>1036620000000.0002</v>
      </c>
      <c r="O156" s="2479"/>
      <c r="P156" s="37"/>
    </row>
    <row r="157" spans="1:17" s="84" customFormat="1" x14ac:dyDescent="0.2">
      <c r="A157" s="2479"/>
      <c r="B157" s="2479"/>
      <c r="C157" s="2479" t="s">
        <v>1419</v>
      </c>
      <c r="D157" s="2479"/>
      <c r="E157" s="2479" t="str">
        <f>Preferences.moneyunits</f>
        <v>N</v>
      </c>
      <c r="F157" s="1262">
        <f t="shared" ref="F157:N157" si="36">(F138*F$85)</f>
        <v>15750000</v>
      </c>
      <c r="G157" s="1262">
        <f t="shared" si="36"/>
        <v>42000000</v>
      </c>
      <c r="H157" s="1262">
        <f t="shared" si="36"/>
        <v>101482499.99999999</v>
      </c>
      <c r="I157" s="1262">
        <f t="shared" si="36"/>
        <v>140910000</v>
      </c>
      <c r="J157" s="1262">
        <f t="shared" si="36"/>
        <v>180547500</v>
      </c>
      <c r="K157" s="1262">
        <f t="shared" si="36"/>
        <v>241132500</v>
      </c>
      <c r="L157" s="1262">
        <f t="shared" si="36"/>
        <v>301717500</v>
      </c>
      <c r="M157" s="1262">
        <f t="shared" si="36"/>
        <v>362355000</v>
      </c>
      <c r="N157" s="1262">
        <f t="shared" si="36"/>
        <v>422940000</v>
      </c>
      <c r="O157" s="2479"/>
      <c r="P157" s="37"/>
    </row>
    <row r="158" spans="1:17" s="84" customFormat="1" x14ac:dyDescent="0.2">
      <c r="A158" s="2479"/>
      <c r="B158" s="2479"/>
      <c r="C158" s="2479" t="s">
        <v>1421</v>
      </c>
      <c r="D158" s="2479"/>
      <c r="E158" s="2479" t="str">
        <f>Preferences.moneyunits</f>
        <v>N</v>
      </c>
      <c r="F158" s="1262">
        <f t="shared" ref="F158:N158" si="37">SUM(F156:F157)</f>
        <v>15750000</v>
      </c>
      <c r="G158" s="1262">
        <f t="shared" si="37"/>
        <v>207041999999.99997</v>
      </c>
      <c r="H158" s="1262">
        <f t="shared" si="37"/>
        <v>479981482499.99988</v>
      </c>
      <c r="I158" s="1262">
        <f t="shared" si="37"/>
        <v>444470910000</v>
      </c>
      <c r="J158" s="1262">
        <f t="shared" si="37"/>
        <v>513540547500.00006</v>
      </c>
      <c r="K158" s="1262">
        <f t="shared" si="37"/>
        <v>725191132500</v>
      </c>
      <c r="L158" s="1262">
        <f t="shared" si="37"/>
        <v>829111717500</v>
      </c>
      <c r="M158" s="1262">
        <f t="shared" si="37"/>
        <v>933392354999.99988</v>
      </c>
      <c r="N158" s="1262">
        <f t="shared" si="37"/>
        <v>1037042940000.0002</v>
      </c>
      <c r="O158" s="2479"/>
      <c r="P158" s="37"/>
    </row>
    <row r="159" spans="1:17" s="84" customFormat="1" x14ac:dyDescent="0.2">
      <c r="A159" s="2479"/>
      <c r="Q159" s="37"/>
    </row>
    <row r="160" spans="1:17" s="84" customFormat="1" ht="4.5" customHeight="1" x14ac:dyDescent="0.2">
      <c r="A160" s="2479"/>
      <c r="B160" s="2479"/>
      <c r="C160" s="2479"/>
      <c r="D160" s="2479"/>
      <c r="E160" s="2479"/>
      <c r="F160" s="2479"/>
      <c r="G160" s="2479"/>
      <c r="H160" s="2479"/>
      <c r="I160" s="2479"/>
      <c r="J160" s="2479"/>
      <c r="K160" s="2479"/>
      <c r="L160" s="2479"/>
      <c r="M160" s="2479"/>
      <c r="N160" s="2479"/>
      <c r="O160" s="2479"/>
      <c r="P160" s="2479"/>
      <c r="Q160" s="37"/>
    </row>
    <row r="161" spans="1:17" s="84" customFormat="1" ht="15.75" x14ac:dyDescent="0.2">
      <c r="A161" s="2479"/>
      <c r="B161" s="468" t="s">
        <v>236</v>
      </c>
      <c r="C161" s="421"/>
      <c r="D161" s="421"/>
      <c r="E161" s="421"/>
      <c r="F161" s="421"/>
      <c r="G161" s="421"/>
      <c r="H161" s="421"/>
      <c r="I161" s="421"/>
      <c r="J161" s="421"/>
      <c r="K161" s="421"/>
      <c r="L161" s="421"/>
      <c r="M161" s="421"/>
      <c r="N161" s="421"/>
      <c r="O161" s="421"/>
      <c r="P161" s="421"/>
      <c r="Q161" s="37"/>
    </row>
    <row r="162" spans="1:17" s="84" customFormat="1" x14ac:dyDescent="0.2">
      <c r="A162" s="2479"/>
      <c r="B162" s="410"/>
      <c r="C162" s="412"/>
      <c r="D162" s="412"/>
      <c r="E162" s="412"/>
      <c r="F162" s="412"/>
      <c r="G162" s="412"/>
      <c r="H162" s="412"/>
      <c r="I162" s="412"/>
      <c r="J162" s="412"/>
      <c r="K162" s="412"/>
      <c r="L162" s="412"/>
      <c r="M162" s="412"/>
      <c r="N162" s="412"/>
      <c r="O162" s="412"/>
      <c r="P162" s="414"/>
      <c r="Q162" s="1513"/>
    </row>
    <row r="163" spans="1:17" s="84" customFormat="1" x14ac:dyDescent="0.2">
      <c r="A163" s="2479"/>
      <c r="B163" s="410"/>
      <c r="C163" s="424" t="s">
        <v>277</v>
      </c>
      <c r="D163" s="412"/>
      <c r="E163" s="412"/>
      <c r="F163" s="412"/>
      <c r="G163" s="413"/>
      <c r="H163" s="412"/>
      <c r="I163" s="412"/>
      <c r="J163" s="412"/>
      <c r="K163" s="412"/>
      <c r="L163" s="412"/>
      <c r="M163" s="412"/>
      <c r="N163" s="413" t="str">
        <f>Preferences.EnergyUnits</f>
        <v>TWh</v>
      </c>
      <c r="P163" s="414"/>
      <c r="Q163" s="2479"/>
    </row>
    <row r="164" spans="1:17" s="84" customFormat="1" x14ac:dyDescent="0.2">
      <c r="A164" s="2479"/>
      <c r="B164" s="410"/>
      <c r="C164" s="412"/>
      <c r="D164" s="412"/>
      <c r="E164" s="412"/>
      <c r="F164" s="412"/>
      <c r="G164" s="412"/>
      <c r="H164" s="412"/>
      <c r="I164" s="412"/>
      <c r="J164" s="412"/>
      <c r="K164" s="412"/>
      <c r="L164" s="412"/>
      <c r="M164" s="412"/>
      <c r="N164" s="412"/>
      <c r="O164" s="412"/>
      <c r="P164" s="414"/>
      <c r="Q164" s="2479"/>
    </row>
    <row r="165" spans="1:17" s="84" customFormat="1" ht="15.75" x14ac:dyDescent="0.25">
      <c r="A165" s="2479"/>
      <c r="B165" s="415"/>
      <c r="C165" s="426" t="s">
        <v>64</v>
      </c>
      <c r="D165" s="426" t="s">
        <v>150</v>
      </c>
      <c r="E165" s="426" t="s">
        <v>172</v>
      </c>
      <c r="F165" s="426" t="s">
        <v>241</v>
      </c>
      <c r="G165" s="426" t="s">
        <v>268</v>
      </c>
      <c r="H165" s="426" t="s">
        <v>269</v>
      </c>
      <c r="I165" s="426" t="s">
        <v>270</v>
      </c>
      <c r="J165" s="426" t="s">
        <v>271</v>
      </c>
      <c r="K165" s="426" t="s">
        <v>272</v>
      </c>
      <c r="L165" s="426" t="s">
        <v>273</v>
      </c>
      <c r="M165" s="426" t="s">
        <v>274</v>
      </c>
      <c r="N165" s="426" t="s">
        <v>275</v>
      </c>
      <c r="O165" s="507"/>
      <c r="P165" s="2479"/>
    </row>
    <row r="166" spans="1:17" s="84" customFormat="1" ht="14.25" x14ac:dyDescent="0.2">
      <c r="A166" s="2479"/>
      <c r="B166" s="508"/>
      <c r="C166" s="240" t="s">
        <v>35</v>
      </c>
      <c r="D166" s="240" t="str">
        <f>INDEX(Vectors[Description], MATCH(I.a.Outputs[Vector],Vectors[Code], 0))</f>
        <v>Electricity (supplied to grid)</v>
      </c>
      <c r="E166" s="240"/>
      <c r="F166" s="241">
        <f t="shared" ref="F166:N166" si="38">F$107</f>
        <v>18.408599999999996</v>
      </c>
      <c r="G166" s="241">
        <f t="shared" si="38"/>
        <v>49.089599999999997</v>
      </c>
      <c r="H166" s="241">
        <f t="shared" si="38"/>
        <v>118.612746</v>
      </c>
      <c r="I166" s="241">
        <f t="shared" si="38"/>
        <v>164.69560799999999</v>
      </c>
      <c r="J166" s="241">
        <f t="shared" si="38"/>
        <v>211.02391799999998</v>
      </c>
      <c r="K166" s="241">
        <f t="shared" si="38"/>
        <v>281.83566599999995</v>
      </c>
      <c r="L166" s="241">
        <f t="shared" si="38"/>
        <v>352.64741399999997</v>
      </c>
      <c r="M166" s="241">
        <f t="shared" si="38"/>
        <v>423.52052399999991</v>
      </c>
      <c r="N166" s="241">
        <f t="shared" si="38"/>
        <v>494.33227199999999</v>
      </c>
      <c r="O166" s="509"/>
      <c r="P166" s="2479"/>
    </row>
    <row r="167" spans="1:17" s="84" customFormat="1" ht="14.25" x14ac:dyDescent="0.2">
      <c r="A167" s="2479"/>
      <c r="B167" s="508"/>
      <c r="C167" s="240" t="s">
        <v>39</v>
      </c>
      <c r="D167" s="240" t="str">
        <f>INDEX(Vectors[Description], MATCH(I.a.Outputs[Vector],Vectors[Code], 0))</f>
        <v>Gaseous hydrocarbons</v>
      </c>
      <c r="E167" s="240"/>
      <c r="F167" s="241">
        <f t="shared" ref="F167:N167" si="39">-F$113</f>
        <v>-38.658059999999992</v>
      </c>
      <c r="G167" s="241">
        <f t="shared" si="39"/>
        <v>-103.08815999999999</v>
      </c>
      <c r="H167" s="241">
        <f t="shared" si="39"/>
        <v>-249.0867666</v>
      </c>
      <c r="I167" s="241">
        <f t="shared" si="39"/>
        <v>-345.8607768</v>
      </c>
      <c r="J167" s="241">
        <f t="shared" si="39"/>
        <v>-443.15022779999998</v>
      </c>
      <c r="K167" s="241">
        <f t="shared" si="39"/>
        <v>-591.85489859999984</v>
      </c>
      <c r="L167" s="241">
        <f t="shared" si="39"/>
        <v>-740.55956939999999</v>
      </c>
      <c r="M167" s="241">
        <f t="shared" si="39"/>
        <v>-889.39310039999987</v>
      </c>
      <c r="N167" s="241">
        <f t="shared" si="39"/>
        <v>-1038.0977711999999</v>
      </c>
      <c r="O167" s="509"/>
      <c r="P167" s="2479"/>
    </row>
    <row r="168" spans="1:17" ht="14.25" x14ac:dyDescent="0.2">
      <c r="B168" s="508"/>
      <c r="C168" s="240" t="s">
        <v>26</v>
      </c>
      <c r="D168" s="240" t="str">
        <f>INDEX(Vectors[Description], MATCH(I.a.Outputs[Vector],Vectors[Code], 0))</f>
        <v>Conversion losses</v>
      </c>
      <c r="E168" s="240"/>
      <c r="F168" s="241">
        <f t="shared" ref="F168:N168" si="40">(F113-F$111)</f>
        <v>19.329029999999996</v>
      </c>
      <c r="G168" s="241">
        <f t="shared" si="40"/>
        <v>51.544079999999994</v>
      </c>
      <c r="H168" s="241">
        <f t="shared" si="40"/>
        <v>124.5433833</v>
      </c>
      <c r="I168" s="241">
        <f t="shared" si="40"/>
        <v>172.9303884</v>
      </c>
      <c r="J168" s="241">
        <f t="shared" si="40"/>
        <v>221.57511389999999</v>
      </c>
      <c r="K168" s="241">
        <f t="shared" si="40"/>
        <v>295.92744929999992</v>
      </c>
      <c r="L168" s="241">
        <f t="shared" si="40"/>
        <v>370.27978469999999</v>
      </c>
      <c r="M168" s="241">
        <f t="shared" si="40"/>
        <v>444.69655019999993</v>
      </c>
      <c r="N168" s="241">
        <f t="shared" si="40"/>
        <v>519.04888559999995</v>
      </c>
      <c r="O168" s="509"/>
    </row>
    <row r="169" spans="1:17" ht="14.25" x14ac:dyDescent="0.2">
      <c r="B169" s="508"/>
      <c r="C169" s="240" t="s">
        <v>27</v>
      </c>
      <c r="D169" s="240" t="str">
        <f>INDEX(Vectors[Description], MATCH(I.a.Outputs[Vector],Vectors[Code], 0))</f>
        <v>Distribution losses and own use</v>
      </c>
      <c r="E169" s="240"/>
      <c r="F169" s="241">
        <f t="shared" ref="F169:N169" si="41">F$110</f>
        <v>0.92042999999999986</v>
      </c>
      <c r="G169" s="241">
        <f t="shared" si="41"/>
        <v>2.4544800000000002</v>
      </c>
      <c r="H169" s="241">
        <f t="shared" si="41"/>
        <v>5.9306373000000008</v>
      </c>
      <c r="I169" s="241">
        <f t="shared" si="41"/>
        <v>8.2347804</v>
      </c>
      <c r="J169" s="241">
        <f t="shared" si="41"/>
        <v>10.5511959</v>
      </c>
      <c r="K169" s="241">
        <f t="shared" si="41"/>
        <v>14.091783299999998</v>
      </c>
      <c r="L169" s="241">
        <f t="shared" si="41"/>
        <v>17.632370699999999</v>
      </c>
      <c r="M169" s="241">
        <f t="shared" si="41"/>
        <v>21.176026199999995</v>
      </c>
      <c r="N169" s="241">
        <f t="shared" si="41"/>
        <v>24.716613600000002</v>
      </c>
      <c r="O169" s="509"/>
    </row>
    <row r="170" spans="1:17" ht="15.75" customHeight="1" x14ac:dyDescent="0.2">
      <c r="B170" s="508"/>
      <c r="C170" s="97" t="s">
        <v>105</v>
      </c>
      <c r="D170" s="97"/>
      <c r="E170" s="97"/>
      <c r="F170" s="2466">
        <f>SUBTOTAL(109,I.a.Outputs[2010])</f>
        <v>0</v>
      </c>
      <c r="G170" s="2466">
        <f>SUBTOTAL(109,I.a.Outputs[2015])</f>
        <v>3.5527136788005009E-15</v>
      </c>
      <c r="H170" s="2466">
        <f>SUBTOTAL(109,I.a.Outputs[2020])</f>
        <v>-1.4210854715202004E-14</v>
      </c>
      <c r="I170" s="2466">
        <f>SUBTOTAL(109,I.a.Outputs[2025])</f>
        <v>0</v>
      </c>
      <c r="J170" s="2466">
        <f>SUBTOTAL(109,I.a.Outputs[2030])</f>
        <v>0</v>
      </c>
      <c r="K170" s="2466">
        <f>SUBTOTAL(109,I.a.Outputs[2035])</f>
        <v>2.3092638912203256E-14</v>
      </c>
      <c r="L170" s="2466">
        <f>SUBTOTAL(109,I.a.Outputs[2040])</f>
        <v>0</v>
      </c>
      <c r="M170" s="2466">
        <f>SUBTOTAL(109,I.a.Outputs[2045])</f>
        <v>-2.8421709430404007E-14</v>
      </c>
      <c r="N170" s="2466">
        <f>SUBTOTAL(109,I.a.Outputs[2050])</f>
        <v>4.2632564145606011E-14</v>
      </c>
      <c r="O170" s="509"/>
    </row>
    <row r="171" spans="1:17" ht="14.25" x14ac:dyDescent="0.2">
      <c r="B171" s="510"/>
      <c r="C171" s="418"/>
      <c r="D171" s="418"/>
      <c r="E171" s="418"/>
      <c r="F171" s="418"/>
      <c r="G171" s="418"/>
      <c r="H171" s="418"/>
      <c r="I171" s="418"/>
      <c r="J171" s="418"/>
      <c r="K171" s="418"/>
      <c r="L171" s="418"/>
      <c r="M171" s="418"/>
      <c r="N171" s="418"/>
      <c r="O171" s="418"/>
      <c r="P171" s="511"/>
    </row>
    <row r="172" spans="1:17" ht="4.5" customHeight="1" x14ac:dyDescent="0.2"/>
    <row r="173" spans="1:17" ht="15" customHeight="1" x14ac:dyDescent="0.2">
      <c r="B173" s="484" t="s">
        <v>361</v>
      </c>
      <c r="C173" s="436"/>
      <c r="D173" s="437"/>
      <c r="E173" s="437"/>
      <c r="F173" s="437"/>
      <c r="G173" s="437"/>
      <c r="H173" s="437"/>
      <c r="I173" s="437"/>
      <c r="J173" s="437"/>
      <c r="K173" s="437"/>
      <c r="L173" s="437"/>
      <c r="M173" s="437"/>
      <c r="N173" s="437"/>
      <c r="O173" s="437"/>
      <c r="P173" s="438"/>
    </row>
    <row r="174" spans="1:17" ht="15" customHeight="1" x14ac:dyDescent="0.2">
      <c r="B174" s="444"/>
      <c r="C174" s="445"/>
      <c r="D174" s="445"/>
      <c r="E174" s="445"/>
      <c r="F174" s="445"/>
      <c r="G174" s="445"/>
      <c r="H174" s="445"/>
      <c r="I174" s="445"/>
      <c r="J174" s="445"/>
      <c r="K174" s="445"/>
      <c r="L174" s="445"/>
      <c r="M174" s="445"/>
      <c r="N174" s="445"/>
      <c r="O174" s="445"/>
      <c r="P174" s="446"/>
    </row>
    <row r="175" spans="1:17" ht="15" customHeight="1" x14ac:dyDescent="0.25">
      <c r="B175" s="447"/>
      <c r="C175" s="439" t="s">
        <v>1850</v>
      </c>
      <c r="D175" s="440"/>
      <c r="E175" s="441"/>
      <c r="F175" s="440"/>
      <c r="G175" s="441"/>
      <c r="H175" s="440"/>
      <c r="I175" s="440"/>
      <c r="J175" s="440"/>
      <c r="K175" s="440"/>
      <c r="L175" s="440"/>
      <c r="M175" s="440"/>
      <c r="N175" s="1750" t="s">
        <v>1852</v>
      </c>
      <c r="P175" s="448"/>
    </row>
    <row r="176" spans="1:17" ht="15" customHeight="1" x14ac:dyDescent="0.2">
      <c r="B176" s="447"/>
      <c r="C176" s="440"/>
      <c r="D176" s="440"/>
      <c r="E176" s="440"/>
      <c r="F176" s="440"/>
      <c r="G176" s="440"/>
      <c r="H176" s="440"/>
      <c r="I176" s="440"/>
      <c r="J176" s="440"/>
      <c r="K176" s="440"/>
      <c r="L176" s="440"/>
      <c r="M176" s="440"/>
      <c r="N176" s="440"/>
      <c r="O176" s="440"/>
      <c r="P176" s="448"/>
    </row>
    <row r="177" spans="2:16" ht="15" customHeight="1" x14ac:dyDescent="0.25">
      <c r="B177" s="449"/>
      <c r="C177" s="503" t="s">
        <v>490</v>
      </c>
      <c r="D177" s="503" t="s">
        <v>461</v>
      </c>
      <c r="E177" s="503" t="s">
        <v>172</v>
      </c>
      <c r="F177" s="503" t="s">
        <v>241</v>
      </c>
      <c r="G177" s="503" t="s">
        <v>268</v>
      </c>
      <c r="H177" s="503" t="s">
        <v>269</v>
      </c>
      <c r="I177" s="503" t="s">
        <v>270</v>
      </c>
      <c r="J177" s="503" t="s">
        <v>271</v>
      </c>
      <c r="K177" s="503" t="s">
        <v>272</v>
      </c>
      <c r="L177" s="503" t="s">
        <v>273</v>
      </c>
      <c r="M177" s="503" t="s">
        <v>274</v>
      </c>
      <c r="N177" s="503" t="s">
        <v>275</v>
      </c>
      <c r="O177" s="448"/>
    </row>
    <row r="178" spans="2:16" ht="15" customHeight="1" x14ac:dyDescent="0.25">
      <c r="B178" s="449"/>
      <c r="C178" s="2475" t="s">
        <v>473</v>
      </c>
      <c r="D178" s="453" t="s">
        <v>483</v>
      </c>
      <c r="E178" s="2475"/>
      <c r="F178" s="502">
        <f t="shared" ref="F178:N178" si="42">F$116</f>
        <v>7.1130830399999976</v>
      </c>
      <c r="G178" s="502">
        <f t="shared" si="42"/>
        <v>18.968221439999994</v>
      </c>
      <c r="H178" s="502">
        <f t="shared" si="42"/>
        <v>45.831965054399994</v>
      </c>
      <c r="I178" s="502">
        <f t="shared" si="42"/>
        <v>63.638382931199992</v>
      </c>
      <c r="J178" s="502">
        <f t="shared" si="42"/>
        <v>81.539641915199979</v>
      </c>
      <c r="K178" s="502">
        <f t="shared" si="42"/>
        <v>108.90130134239995</v>
      </c>
      <c r="L178" s="502">
        <f t="shared" si="42"/>
        <v>136.26296076959997</v>
      </c>
      <c r="M178" s="502">
        <f t="shared" si="42"/>
        <v>163.64833047359994</v>
      </c>
      <c r="N178" s="502">
        <f t="shared" si="42"/>
        <v>191.00998990079995</v>
      </c>
      <c r="O178" s="448"/>
    </row>
    <row r="179" spans="2:16" ht="15" customHeight="1" x14ac:dyDescent="0.25">
      <c r="B179" s="449"/>
      <c r="C179" s="2475" t="s">
        <v>474</v>
      </c>
      <c r="D179" s="453" t="s">
        <v>483</v>
      </c>
      <c r="E179" s="2475"/>
      <c r="F179" s="502">
        <f t="shared" ref="F179:N179" si="43">F$117</f>
        <v>1.4258073295806379E-2</v>
      </c>
      <c r="G179" s="502">
        <f t="shared" si="43"/>
        <v>3.8021528788817018E-2</v>
      </c>
      <c r="H179" s="502">
        <f t="shared" si="43"/>
        <v>9.1869518935979125E-2</v>
      </c>
      <c r="I179" s="502">
        <f t="shared" si="43"/>
        <v>0.1275622290864811</v>
      </c>
      <c r="J179" s="502">
        <f t="shared" si="43"/>
        <v>0.16344504688092715</v>
      </c>
      <c r="K179" s="502">
        <f t="shared" si="43"/>
        <v>0.21829110215879566</v>
      </c>
      <c r="L179" s="502">
        <f t="shared" si="43"/>
        <v>0.27313715743666428</v>
      </c>
      <c r="M179" s="502">
        <f t="shared" si="43"/>
        <v>0.32803073962551882</v>
      </c>
      <c r="N179" s="502">
        <f t="shared" si="43"/>
        <v>0.38287679490338739</v>
      </c>
      <c r="O179" s="448"/>
    </row>
    <row r="180" spans="2:16" ht="15.75" x14ac:dyDescent="0.25">
      <c r="B180" s="449"/>
      <c r="C180" s="2475" t="s">
        <v>475</v>
      </c>
      <c r="D180" s="453" t="s">
        <v>483</v>
      </c>
      <c r="E180" s="2475"/>
      <c r="F180" s="502">
        <f t="shared" ref="F180:N180" si="44">F$118</f>
        <v>1.5335251007719588E-2</v>
      </c>
      <c r="G180" s="502">
        <f t="shared" si="44"/>
        <v>4.089400268725224E-2</v>
      </c>
      <c r="H180" s="502">
        <f t="shared" si="44"/>
        <v>9.8810133993073229E-2</v>
      </c>
      <c r="I180" s="502">
        <f t="shared" si="44"/>
        <v>0.13719937901573129</v>
      </c>
      <c r="J180" s="502">
        <f t="shared" si="44"/>
        <v>0.17579309405182558</v>
      </c>
      <c r="K180" s="502">
        <f t="shared" si="44"/>
        <v>0.23478269292818688</v>
      </c>
      <c r="L180" s="502">
        <f t="shared" si="44"/>
        <v>0.29377229180454828</v>
      </c>
      <c r="M180" s="502">
        <f t="shared" si="44"/>
        <v>0.35281300818426869</v>
      </c>
      <c r="N180" s="502">
        <f t="shared" si="44"/>
        <v>0.41180260706063004</v>
      </c>
      <c r="O180" s="448"/>
    </row>
    <row r="181" spans="2:16" ht="15.75" x14ac:dyDescent="0.25">
      <c r="B181" s="449"/>
      <c r="C181" s="2475" t="s">
        <v>105</v>
      </c>
      <c r="D181" s="2475"/>
      <c r="E181" s="2475"/>
      <c r="F181" s="2477">
        <f>SUBTOTAL(109,I.a.Emissions[2010])</f>
        <v>7.142676364303524</v>
      </c>
      <c r="G181" s="2477">
        <f>SUBTOTAL(109,I.a.Emissions[2015])</f>
        <v>19.047136971476064</v>
      </c>
      <c r="H181" s="2477">
        <f>SUBTOTAL(109,I.a.Emissions[2020])</f>
        <v>46.02264470732905</v>
      </c>
      <c r="I181" s="2477">
        <f>SUBTOTAL(109,I.a.Emissions[2025])</f>
        <v>63.903144539302204</v>
      </c>
      <c r="J181" s="2477">
        <f>SUBTOTAL(109,I.a.Emissions[2030])</f>
        <v>81.878880056132729</v>
      </c>
      <c r="K181" s="2477">
        <f>SUBTOTAL(109,I.a.Emissions[2035])</f>
        <v>109.35437513748694</v>
      </c>
      <c r="L181" s="2477">
        <f>SUBTOTAL(109,I.a.Emissions[2040])</f>
        <v>136.82987021884117</v>
      </c>
      <c r="M181" s="2477">
        <f>SUBTOTAL(109,I.a.Emissions[2045])</f>
        <v>164.32917422140972</v>
      </c>
      <c r="N181" s="2477">
        <f>SUBTOTAL(109,I.a.Emissions[2050])</f>
        <v>191.80466930276395</v>
      </c>
      <c r="O181" s="448"/>
    </row>
    <row r="182" spans="2:16" x14ac:dyDescent="0.2">
      <c r="B182" s="1766"/>
      <c r="C182" s="1766"/>
      <c r="D182" s="1766"/>
      <c r="E182" s="1766"/>
      <c r="F182" s="1766"/>
      <c r="G182" s="1766"/>
      <c r="H182" s="1766"/>
      <c r="I182" s="1766"/>
      <c r="J182" s="1766"/>
      <c r="K182" s="1766"/>
      <c r="L182" s="1766"/>
      <c r="M182" s="1766"/>
      <c r="N182" s="1766"/>
      <c r="O182" s="1766"/>
      <c r="P182" s="1766"/>
    </row>
    <row r="183" spans="2:16" x14ac:dyDescent="0.2">
      <c r="B183" s="1766"/>
      <c r="C183" s="1764" t="s">
        <v>1851</v>
      </c>
      <c r="D183" s="2475"/>
      <c r="E183" s="2475"/>
      <c r="F183" s="1407"/>
      <c r="G183" s="1407"/>
      <c r="H183" s="1407"/>
      <c r="I183" s="1407"/>
      <c r="J183" s="1407"/>
      <c r="K183" s="1407"/>
      <c r="L183" s="1407"/>
      <c r="M183" s="1407"/>
      <c r="N183" s="1765" t="s">
        <v>1848</v>
      </c>
      <c r="P183" s="1766"/>
    </row>
    <row r="184" spans="2:16" ht="5.25" customHeight="1" x14ac:dyDescent="0.2">
      <c r="B184" s="1766"/>
      <c r="C184" s="1766"/>
      <c r="D184" s="1766"/>
      <c r="E184" s="1766"/>
      <c r="F184" s="1766"/>
      <c r="G184" s="1766"/>
      <c r="H184" s="1766"/>
      <c r="I184" s="1766"/>
      <c r="J184" s="1766"/>
      <c r="K184" s="1766"/>
      <c r="L184" s="1766"/>
      <c r="M184" s="1766"/>
      <c r="N184" s="1766"/>
      <c r="O184" s="1766"/>
      <c r="P184" s="1766"/>
    </row>
    <row r="185" spans="2:16" x14ac:dyDescent="0.2">
      <c r="B185" s="1766"/>
      <c r="C185" s="1767" t="s">
        <v>64</v>
      </c>
      <c r="D185" s="1768" t="s">
        <v>150</v>
      </c>
      <c r="E185" s="1768" t="s">
        <v>461</v>
      </c>
      <c r="F185" s="1768" t="s">
        <v>241</v>
      </c>
      <c r="G185" s="1768" t="s">
        <v>268</v>
      </c>
      <c r="H185" s="1768" t="s">
        <v>269</v>
      </c>
      <c r="I185" s="1768" t="s">
        <v>270</v>
      </c>
      <c r="J185" s="1768" t="s">
        <v>271</v>
      </c>
      <c r="K185" s="1768" t="s">
        <v>272</v>
      </c>
      <c r="L185" s="1768" t="s">
        <v>273</v>
      </c>
      <c r="M185" s="1768" t="s">
        <v>274</v>
      </c>
      <c r="N185" s="1769" t="s">
        <v>275</v>
      </c>
      <c r="O185" s="1766"/>
    </row>
    <row r="186" spans="2:16" ht="12" customHeight="1" x14ac:dyDescent="0.2">
      <c r="B186" s="1766"/>
      <c r="C186" s="1751" t="str">
        <f>INDEX(AirQualityVectors[Code],MATCH(D186,AirQualityVectors[Description],0))</f>
        <v>AQ.01</v>
      </c>
      <c r="D186" s="1752" t="s">
        <v>1791</v>
      </c>
      <c r="E186" s="1753" t="s">
        <v>483</v>
      </c>
      <c r="F186" s="1754">
        <f t="shared" ref="F186:N186" si="45">F125</f>
        <v>0.10748326511672261</v>
      </c>
      <c r="G186" s="1754">
        <f t="shared" si="45"/>
        <v>0.3192937256383081</v>
      </c>
      <c r="H186" s="1754">
        <f t="shared" si="45"/>
        <v>0.77148756863689061</v>
      </c>
      <c r="I186" s="1754">
        <f t="shared" si="45"/>
        <v>1.0712121571852748</v>
      </c>
      <c r="J186" s="1754">
        <f t="shared" si="45"/>
        <v>1.3725579062767459</v>
      </c>
      <c r="K186" s="1754">
        <f t="shared" si="45"/>
        <v>1.833137093204156</v>
      </c>
      <c r="L186" s="1754">
        <f t="shared" si="45"/>
        <v>2.2937162801315667</v>
      </c>
      <c r="M186" s="1754">
        <f t="shared" si="45"/>
        <v>2.7546945824722591</v>
      </c>
      <c r="N186" s="1755">
        <f t="shared" si="45"/>
        <v>3.2152737693996696</v>
      </c>
      <c r="O186" s="1766"/>
    </row>
    <row r="187" spans="2:16" x14ac:dyDescent="0.2">
      <c r="B187" s="1766"/>
      <c r="C187" s="1770" t="str">
        <f>INDEX(AirQualityVectors[Code],MATCH(D187,AirQualityVectors[Description],0))</f>
        <v>AQ.02</v>
      </c>
      <c r="D187" s="1756" t="s">
        <v>1794</v>
      </c>
      <c r="E187" s="1757" t="s">
        <v>483</v>
      </c>
      <c r="F187" s="1758">
        <f t="shared" ref="F187:N187" si="46">F126</f>
        <v>4.7569003760615676</v>
      </c>
      <c r="G187" s="1758">
        <f t="shared" si="46"/>
        <v>13.188127092587154</v>
      </c>
      <c r="H187" s="1758">
        <f t="shared" si="46"/>
        <v>28.835803539552014</v>
      </c>
      <c r="I187" s="1758">
        <f t="shared" si="46"/>
        <v>43.829695640257732</v>
      </c>
      <c r="J187" s="1758">
        <f t="shared" si="46"/>
        <v>55.916444333212361</v>
      </c>
      <c r="K187" s="1758">
        <f t="shared" si="46"/>
        <v>74.679915330748571</v>
      </c>
      <c r="L187" s="1758">
        <f t="shared" si="46"/>
        <v>93.443386328284802</v>
      </c>
      <c r="M187" s="1758">
        <f t="shared" si="46"/>
        <v>112.22311683275129</v>
      </c>
      <c r="N187" s="1771">
        <f t="shared" si="46"/>
        <v>130.9865878302875</v>
      </c>
      <c r="O187" s="1766"/>
    </row>
    <row r="188" spans="2:16" x14ac:dyDescent="0.2">
      <c r="B188" s="1766"/>
      <c r="C188" s="1770" t="str">
        <f>INDEX(AirQualityVectors[Code],MATCH(D188,AirQualityVectors[Description],0))</f>
        <v>AQ.03</v>
      </c>
      <c r="D188" s="1756" t="s">
        <v>1795</v>
      </c>
      <c r="E188" s="1757" t="s">
        <v>483</v>
      </c>
      <c r="F188" s="1758">
        <f t="shared" ref="F188:N188" si="47">F127</f>
        <v>7.0206089846342565E-2</v>
      </c>
      <c r="G188" s="1758">
        <f t="shared" si="47"/>
        <v>0.24167055814100319</v>
      </c>
      <c r="H188" s="1758">
        <f t="shared" si="47"/>
        <v>0.58320919397249604</v>
      </c>
      <c r="I188" s="1758">
        <f t="shared" si="47"/>
        <v>0.80854827555508058</v>
      </c>
      <c r="J188" s="1758">
        <f t="shared" si="47"/>
        <v>1.0381415763482473</v>
      </c>
      <c r="K188" s="1758">
        <f t="shared" si="47"/>
        <v>1.3865031288652223</v>
      </c>
      <c r="L188" s="1758">
        <f t="shared" si="47"/>
        <v>1.7348646813821977</v>
      </c>
      <c r="M188" s="1758">
        <f t="shared" si="47"/>
        <v>2.0835281069949412</v>
      </c>
      <c r="N188" s="1771">
        <f t="shared" si="47"/>
        <v>2.4318896595119166</v>
      </c>
      <c r="O188" s="1766"/>
    </row>
    <row r="189" spans="2:16" x14ac:dyDescent="0.2">
      <c r="B189" s="1766"/>
      <c r="C189" s="1759" t="str">
        <f>INDEX(AirQualityVectors[Code],MATCH(D189,AirQualityVectors[Description],0))</f>
        <v>AQ.04</v>
      </c>
      <c r="D189" s="1760" t="s">
        <v>1792</v>
      </c>
      <c r="E189" s="1761" t="s">
        <v>483</v>
      </c>
      <c r="F189" s="1762">
        <f>G189</f>
        <v>0.16200049445962794</v>
      </c>
      <c r="G189" s="1762">
        <f t="shared" ref="G189:O189" si="48">F128</f>
        <v>0.16200049445962794</v>
      </c>
      <c r="H189" s="1762">
        <f t="shared" si="48"/>
        <v>0.43517015315750901</v>
      </c>
      <c r="I189" s="1762">
        <f t="shared" si="48"/>
        <v>1.0514990428309432</v>
      </c>
      <c r="J189" s="1762">
        <f t="shared" si="48"/>
        <v>1.4600553091729158</v>
      </c>
      <c r="K189" s="1762">
        <f t="shared" si="48"/>
        <v>1.8707071839651133</v>
      </c>
      <c r="L189" s="1762">
        <f t="shared" si="48"/>
        <v>2.4984466693666074</v>
      </c>
      <c r="M189" s="1762">
        <f t="shared" si="48"/>
        <v>3.1261861547681029</v>
      </c>
      <c r="N189" s="1762">
        <f t="shared" si="48"/>
        <v>3.7544696085278311</v>
      </c>
      <c r="O189" s="1763">
        <f t="shared" si="48"/>
        <v>4.3822090939293261</v>
      </c>
      <c r="P189" s="1766"/>
    </row>
    <row r="190" spans="2:16" ht="15.75" x14ac:dyDescent="0.25">
      <c r="B190" s="504"/>
      <c r="C190" s="451"/>
      <c r="D190" s="451"/>
      <c r="E190" s="451"/>
      <c r="F190" s="451"/>
      <c r="G190" s="451"/>
      <c r="H190" s="451"/>
      <c r="I190" s="451"/>
      <c r="J190" s="451"/>
      <c r="K190" s="451"/>
      <c r="L190" s="451"/>
      <c r="M190" s="451"/>
      <c r="N190" s="451"/>
      <c r="O190" s="451"/>
      <c r="P190" s="452"/>
    </row>
    <row r="192" spans="2:16" ht="15.75" x14ac:dyDescent="0.2">
      <c r="B192" s="1430" t="s">
        <v>1225</v>
      </c>
      <c r="C192" s="1218"/>
      <c r="D192" s="1431"/>
      <c r="E192" s="1431"/>
      <c r="F192" s="1431"/>
      <c r="G192" s="1431"/>
      <c r="H192" s="1431"/>
      <c r="I192" s="1431"/>
      <c r="J192" s="1431"/>
      <c r="K192" s="1431"/>
      <c r="L192" s="1431"/>
      <c r="M192" s="1431"/>
      <c r="N192" s="1431"/>
      <c r="O192" s="1431"/>
      <c r="P192" s="1432"/>
    </row>
    <row r="193" spans="2:16" x14ac:dyDescent="0.2">
      <c r="B193" s="1219"/>
      <c r="C193" s="1220"/>
      <c r="D193" s="1220"/>
      <c r="E193" s="1220"/>
      <c r="F193" s="1220"/>
      <c r="G193" s="1220"/>
      <c r="H193" s="1220"/>
      <c r="I193" s="1220"/>
      <c r="J193" s="1220"/>
      <c r="K193" s="1220"/>
      <c r="L193" s="1220"/>
      <c r="M193" s="1220"/>
      <c r="N193" s="1220"/>
      <c r="O193" s="1220"/>
      <c r="P193" s="1221"/>
    </row>
    <row r="194" spans="2:16" x14ac:dyDescent="0.2">
      <c r="B194" s="1433"/>
      <c r="C194" s="1222" t="s">
        <v>1581</v>
      </c>
      <c r="D194" s="1434"/>
      <c r="E194" s="1223"/>
      <c r="F194" s="1434"/>
      <c r="G194" s="1223"/>
      <c r="H194" s="1434"/>
      <c r="I194" s="1434"/>
      <c r="J194" s="1434"/>
      <c r="K194" s="1434"/>
      <c r="L194" s="1434"/>
      <c r="M194" s="1434"/>
      <c r="N194" s="1434"/>
      <c r="O194" s="1223"/>
      <c r="P194" s="1435"/>
    </row>
    <row r="195" spans="2:16" collapsed="1" x14ac:dyDescent="0.2">
      <c r="B195" s="1433"/>
      <c r="C195" s="1434"/>
      <c r="D195" s="1434"/>
      <c r="E195" s="1434"/>
      <c r="F195" s="1434"/>
      <c r="G195" s="1434"/>
      <c r="H195" s="1434"/>
      <c r="I195" s="1434"/>
      <c r="J195" s="1434"/>
      <c r="K195" s="1434"/>
      <c r="L195" s="1434"/>
      <c r="M195" s="1434"/>
      <c r="N195" s="1434"/>
      <c r="O195" s="1434"/>
      <c r="P195" s="1435"/>
    </row>
    <row r="196" spans="2:16" ht="14.25" customHeight="1" x14ac:dyDescent="0.25">
      <c r="B196" s="1436"/>
      <c r="C196" s="1437" t="s">
        <v>64</v>
      </c>
      <c r="D196" s="1437" t="s">
        <v>1226</v>
      </c>
      <c r="E196" s="1437" t="s">
        <v>172</v>
      </c>
      <c r="F196" s="1437" t="s">
        <v>241</v>
      </c>
      <c r="G196" s="1437" t="s">
        <v>268</v>
      </c>
      <c r="H196" s="1437" t="s">
        <v>269</v>
      </c>
      <c r="I196" s="1437" t="s">
        <v>270</v>
      </c>
      <c r="J196" s="1437" t="s">
        <v>271</v>
      </c>
      <c r="K196" s="1437" t="s">
        <v>272</v>
      </c>
      <c r="L196" s="1437" t="s">
        <v>273</v>
      </c>
      <c r="M196" s="1437" t="s">
        <v>274</v>
      </c>
      <c r="N196" s="1437" t="s">
        <v>275</v>
      </c>
      <c r="O196" s="1435"/>
    </row>
    <row r="197" spans="2:16" ht="15.75" x14ac:dyDescent="0.25">
      <c r="B197" s="1436"/>
      <c r="C197" s="1438" t="s">
        <v>1232</v>
      </c>
      <c r="D197" s="1439" t="str">
        <f>INDEX(Vectors[Description], MATCH(I.a.Info[Vector],Vectors[Code], 0))</f>
        <v xml:space="preserve">Installed Capacity </v>
      </c>
      <c r="E197" s="1439" t="str">
        <f>Preferences.PowerUnits</f>
        <v>GW</v>
      </c>
      <c r="F197" s="1226">
        <f t="shared" ref="F197:N197" si="49">F133</f>
        <v>3</v>
      </c>
      <c r="G197" s="1226">
        <f t="shared" si="49"/>
        <v>8</v>
      </c>
      <c r="H197" s="1226">
        <f t="shared" si="49"/>
        <v>19.329999999999998</v>
      </c>
      <c r="I197" s="1226">
        <f t="shared" si="49"/>
        <v>26.84</v>
      </c>
      <c r="J197" s="1226">
        <f t="shared" si="49"/>
        <v>34.39</v>
      </c>
      <c r="K197" s="1226">
        <f t="shared" si="49"/>
        <v>45.93</v>
      </c>
      <c r="L197" s="1226">
        <f t="shared" si="49"/>
        <v>57.47</v>
      </c>
      <c r="M197" s="1226">
        <f t="shared" si="49"/>
        <v>69.02</v>
      </c>
      <c r="N197" s="1226">
        <f t="shared" si="49"/>
        <v>80.56</v>
      </c>
      <c r="O197" s="1435"/>
    </row>
    <row r="198" spans="2:16" ht="15" customHeight="1" x14ac:dyDescent="0.25">
      <c r="B198" s="1436"/>
      <c r="C198" s="1438" t="s">
        <v>1582</v>
      </c>
      <c r="D198" s="1439" t="str">
        <f>INDEX(Vectors[Description], MATCH(I.a.Info[Vector],Vectors[Code], 0))</f>
        <v>Load factor</v>
      </c>
      <c r="E198" s="1438" t="s">
        <v>347</v>
      </c>
      <c r="F198" s="1484">
        <f t="shared" ref="F198:N198" si="50">F39</f>
        <v>0.7</v>
      </c>
      <c r="G198" s="1484">
        <f t="shared" si="50"/>
        <v>0.7</v>
      </c>
      <c r="H198" s="1484">
        <f t="shared" si="50"/>
        <v>0.7</v>
      </c>
      <c r="I198" s="1484">
        <f t="shared" si="50"/>
        <v>0.7</v>
      </c>
      <c r="J198" s="1484">
        <f t="shared" si="50"/>
        <v>0.7</v>
      </c>
      <c r="K198" s="1484">
        <f t="shared" si="50"/>
        <v>0.7</v>
      </c>
      <c r="L198" s="1484">
        <f t="shared" si="50"/>
        <v>0.7</v>
      </c>
      <c r="M198" s="1484">
        <f t="shared" si="50"/>
        <v>0.7</v>
      </c>
      <c r="N198" s="1484">
        <f t="shared" si="50"/>
        <v>0.7</v>
      </c>
      <c r="O198" s="1435"/>
    </row>
    <row r="199" spans="2:16" ht="15.75" x14ac:dyDescent="0.25">
      <c r="B199" s="1436"/>
      <c r="C199" s="1438" t="s">
        <v>1233</v>
      </c>
      <c r="D199" s="1439" t="str">
        <f>F45&amp;" GW thermal power stations"</f>
        <v>1 GW thermal power stations</v>
      </c>
      <c r="E199" s="1438" t="s">
        <v>1275</v>
      </c>
      <c r="F199" s="2481">
        <f t="shared" ref="F199:N199" si="51">F197/$F$45</f>
        <v>3</v>
      </c>
      <c r="G199" s="2481">
        <f t="shared" si="51"/>
        <v>8</v>
      </c>
      <c r="H199" s="2481">
        <f t="shared" si="51"/>
        <v>19.329999999999998</v>
      </c>
      <c r="I199" s="2481">
        <f t="shared" si="51"/>
        <v>26.84</v>
      </c>
      <c r="J199" s="2481">
        <f t="shared" si="51"/>
        <v>34.39</v>
      </c>
      <c r="K199" s="2481">
        <f t="shared" si="51"/>
        <v>45.93</v>
      </c>
      <c r="L199" s="2481">
        <f t="shared" si="51"/>
        <v>57.47</v>
      </c>
      <c r="M199" s="2481">
        <f t="shared" si="51"/>
        <v>69.02</v>
      </c>
      <c r="N199" s="2481">
        <f t="shared" si="51"/>
        <v>80.56</v>
      </c>
      <c r="O199" s="1435"/>
    </row>
    <row r="200" spans="2:16" ht="15.75" x14ac:dyDescent="0.25">
      <c r="B200" s="1227"/>
      <c r="C200" s="1440"/>
      <c r="D200" s="1440"/>
      <c r="E200" s="1440"/>
      <c r="F200" s="1440"/>
      <c r="G200" s="1440"/>
      <c r="H200" s="1440"/>
      <c r="I200" s="1440"/>
      <c r="J200" s="1440"/>
      <c r="K200" s="1440"/>
      <c r="L200" s="1440"/>
      <c r="M200" s="1440"/>
      <c r="N200" s="1440"/>
      <c r="O200" s="1440"/>
      <c r="P200" s="1224"/>
    </row>
    <row r="202" spans="2:16" ht="15.75" x14ac:dyDescent="0.2">
      <c r="B202" s="1430" t="s">
        <v>1424</v>
      </c>
      <c r="C202" s="1431"/>
      <c r="D202" s="1431"/>
      <c r="E202" s="1431"/>
      <c r="F202" s="1431"/>
      <c r="G202" s="1431"/>
      <c r="H202" s="1431"/>
      <c r="I202" s="1431"/>
      <c r="J202" s="1431"/>
      <c r="K202" s="1431"/>
      <c r="L202" s="1431"/>
      <c r="M202" s="1431"/>
      <c r="N202" s="1431"/>
      <c r="O202" s="1431"/>
      <c r="P202" s="1432"/>
    </row>
    <row r="203" spans="2:16" collapsed="1" x14ac:dyDescent="0.2">
      <c r="B203" s="1433"/>
      <c r="C203" s="1434"/>
      <c r="D203" s="1434"/>
      <c r="E203" s="1434"/>
      <c r="F203" s="1434"/>
      <c r="G203" s="1434"/>
      <c r="H203" s="1434"/>
      <c r="I203" s="1434"/>
      <c r="J203" s="1434"/>
      <c r="K203" s="1434"/>
      <c r="L203" s="1434"/>
      <c r="M203" s="1434"/>
      <c r="N203" s="1434"/>
      <c r="O203" s="1434"/>
      <c r="P203" s="1435"/>
    </row>
    <row r="204" spans="2:16" ht="14.25" customHeight="1" x14ac:dyDescent="0.2">
      <c r="B204" s="1433"/>
      <c r="C204" s="1441" t="s">
        <v>1425</v>
      </c>
      <c r="D204" s="1442"/>
      <c r="E204" s="1442"/>
      <c r="F204" s="1442"/>
      <c r="G204" s="1442"/>
      <c r="H204" s="1442"/>
      <c r="I204" s="1442"/>
      <c r="J204" s="1442"/>
      <c r="K204" s="1442"/>
      <c r="L204" s="1442"/>
      <c r="M204" s="1442"/>
      <c r="N204" s="1442"/>
      <c r="O204" s="1442"/>
      <c r="P204" s="1435"/>
    </row>
    <row r="205" spans="2:16" x14ac:dyDescent="0.2">
      <c r="B205" s="1433"/>
      <c r="C205" s="1434"/>
      <c r="D205" s="1434"/>
      <c r="E205" s="1434"/>
      <c r="F205" s="1434"/>
      <c r="G205" s="1434"/>
      <c r="H205" s="1434"/>
      <c r="I205" s="1434"/>
      <c r="J205" s="1434"/>
      <c r="K205" s="1434"/>
      <c r="L205" s="1434"/>
      <c r="M205" s="1434"/>
      <c r="N205" s="1434"/>
      <c r="O205" s="1434"/>
      <c r="P205" s="1435"/>
    </row>
    <row r="206" spans="2:16" ht="15" customHeight="1" x14ac:dyDescent="0.25">
      <c r="B206" s="1436"/>
      <c r="C206" s="1437" t="s">
        <v>64</v>
      </c>
      <c r="D206" s="1437" t="s">
        <v>150</v>
      </c>
      <c r="E206" s="1437" t="s">
        <v>172</v>
      </c>
      <c r="F206" s="1437" t="s">
        <v>241</v>
      </c>
      <c r="G206" s="1437" t="s">
        <v>268</v>
      </c>
      <c r="H206" s="1437" t="s">
        <v>269</v>
      </c>
      <c r="I206" s="1437" t="s">
        <v>270</v>
      </c>
      <c r="J206" s="1437" t="s">
        <v>271</v>
      </c>
      <c r="K206" s="1437" t="s">
        <v>272</v>
      </c>
      <c r="L206" s="1437" t="s">
        <v>273</v>
      </c>
      <c r="M206" s="1437" t="s">
        <v>274</v>
      </c>
      <c r="N206" s="1437" t="s">
        <v>275</v>
      </c>
      <c r="O206" s="1443"/>
    </row>
    <row r="207" spans="2:16" ht="15.75" x14ac:dyDescent="0.25">
      <c r="B207" s="1436"/>
      <c r="C207" s="1438" t="s">
        <v>1391</v>
      </c>
      <c r="D207" s="1439" t="str">
        <f>INDEX(CostVectors[Description], MATCH(C207, CostVectors[Code], 0))</f>
        <v>High estimate of capital costs</v>
      </c>
      <c r="E207" s="1439"/>
      <c r="F207" s="2481">
        <f t="shared" ref="F207:N207" si="52">F146</f>
        <v>0</v>
      </c>
      <c r="G207" s="2481">
        <f t="shared" si="52"/>
        <v>293250000000</v>
      </c>
      <c r="H207" s="2481">
        <f t="shared" si="52"/>
        <v>679829999999.99988</v>
      </c>
      <c r="I207" s="2481">
        <f t="shared" si="52"/>
        <v>629467500000</v>
      </c>
      <c r="J207" s="2481">
        <f t="shared" si="52"/>
        <v>727260000000.00012</v>
      </c>
      <c r="K207" s="2481">
        <f t="shared" si="52"/>
        <v>1027012500000</v>
      </c>
      <c r="L207" s="2481">
        <f t="shared" si="52"/>
        <v>1174147500000</v>
      </c>
      <c r="M207" s="2481">
        <f t="shared" si="52"/>
        <v>1321792500000</v>
      </c>
      <c r="N207" s="2481">
        <f t="shared" si="52"/>
        <v>1468545000000.0002</v>
      </c>
      <c r="O207" s="1443"/>
    </row>
    <row r="208" spans="2:16" ht="15.75" x14ac:dyDescent="0.25">
      <c r="B208" s="1436"/>
      <c r="C208" s="1438" t="s">
        <v>1393</v>
      </c>
      <c r="D208" s="1439" t="str">
        <f>INDEX(CostVectors[Description], MATCH(C208, CostVectors[Code], 0))</f>
        <v>High estimate of operating costs</v>
      </c>
      <c r="E208" s="1439"/>
      <c r="F208" s="2481">
        <f t="shared" ref="F208:N208" si="53">F147</f>
        <v>29250000</v>
      </c>
      <c r="G208" s="2481">
        <f t="shared" si="53"/>
        <v>78000000</v>
      </c>
      <c r="H208" s="2481">
        <f t="shared" si="53"/>
        <v>188467499.99999997</v>
      </c>
      <c r="I208" s="2481">
        <f t="shared" si="53"/>
        <v>261690000</v>
      </c>
      <c r="J208" s="2481">
        <f t="shared" si="53"/>
        <v>335302500</v>
      </c>
      <c r="K208" s="2481">
        <f t="shared" si="53"/>
        <v>447817500</v>
      </c>
      <c r="L208" s="2481">
        <f t="shared" si="53"/>
        <v>560332500</v>
      </c>
      <c r="M208" s="2481">
        <f t="shared" si="53"/>
        <v>672945000</v>
      </c>
      <c r="N208" s="2481">
        <f t="shared" si="53"/>
        <v>785460000</v>
      </c>
      <c r="O208" s="1443"/>
    </row>
    <row r="209" spans="2:16" ht="15.75" collapsed="1" x14ac:dyDescent="0.25">
      <c r="B209" s="1436"/>
      <c r="C209" s="1438" t="s">
        <v>1395</v>
      </c>
      <c r="D209" s="1439" t="str">
        <f>INDEX(CostVectors[Description], MATCH(C209, CostVectors[Code], 0))</f>
        <v>High estimate of fuel costs</v>
      </c>
      <c r="E209" s="1439"/>
      <c r="F209" s="2481"/>
      <c r="G209" s="2481"/>
      <c r="H209" s="2481"/>
      <c r="I209" s="2481"/>
      <c r="J209" s="2481"/>
      <c r="K209" s="2481"/>
      <c r="L209" s="2481"/>
      <c r="M209" s="2481"/>
      <c r="N209" s="2481"/>
      <c r="O209" s="1443"/>
    </row>
    <row r="210" spans="2:16" ht="15.75" x14ac:dyDescent="0.25">
      <c r="B210" s="1436"/>
      <c r="C210" s="1438" t="s">
        <v>1866</v>
      </c>
      <c r="D210" s="1439" t="str">
        <f>INDEX(CostVectors[Description], MATCH(C210, CostVectors[Code], 0))</f>
        <v>Point estimate of capital costs</v>
      </c>
      <c r="E210" s="1931"/>
      <c r="F210" s="1394">
        <f t="shared" ref="F210:N210" si="54">F151</f>
        <v>0</v>
      </c>
      <c r="G210" s="1394">
        <f t="shared" si="54"/>
        <v>258749999999.99997</v>
      </c>
      <c r="H210" s="1394">
        <f t="shared" si="54"/>
        <v>599849999999.99988</v>
      </c>
      <c r="I210" s="1394">
        <f t="shared" si="54"/>
        <v>555412500000</v>
      </c>
      <c r="J210" s="1394">
        <f t="shared" si="54"/>
        <v>641700000000.00012</v>
      </c>
      <c r="K210" s="1394">
        <f t="shared" si="54"/>
        <v>906187500000</v>
      </c>
      <c r="L210" s="1394">
        <f t="shared" si="54"/>
        <v>1036012500000</v>
      </c>
      <c r="M210" s="1394">
        <f t="shared" si="54"/>
        <v>1166287500000</v>
      </c>
      <c r="N210" s="1394">
        <f t="shared" si="54"/>
        <v>1295775000000.0002</v>
      </c>
      <c r="O210" s="1443"/>
    </row>
    <row r="211" spans="2:16" ht="15.75" x14ac:dyDescent="0.25">
      <c r="B211" s="1436"/>
      <c r="C211" s="1438" t="s">
        <v>1868</v>
      </c>
      <c r="D211" s="1439" t="str">
        <f>INDEX(CostVectors[Description], MATCH(C211, CostVectors[Code], 0))</f>
        <v>Point estimate of operating costs</v>
      </c>
      <c r="E211" s="1931"/>
      <c r="F211" s="1394">
        <f t="shared" ref="F211:N211" si="55">F152</f>
        <v>17100000</v>
      </c>
      <c r="G211" s="1394">
        <f t="shared" si="55"/>
        <v>45600000</v>
      </c>
      <c r="H211" s="1394">
        <f t="shared" si="55"/>
        <v>110180999.99999999</v>
      </c>
      <c r="I211" s="1394">
        <f t="shared" si="55"/>
        <v>152988000</v>
      </c>
      <c r="J211" s="1394">
        <f t="shared" si="55"/>
        <v>196023000</v>
      </c>
      <c r="K211" s="1394">
        <f t="shared" si="55"/>
        <v>261801000</v>
      </c>
      <c r="L211" s="1394">
        <f t="shared" si="55"/>
        <v>327579000</v>
      </c>
      <c r="M211" s="1394">
        <f t="shared" si="55"/>
        <v>393414000</v>
      </c>
      <c r="N211" s="1394">
        <f t="shared" si="55"/>
        <v>459192000</v>
      </c>
      <c r="O211" s="1443"/>
    </row>
    <row r="212" spans="2:16" ht="15.75" x14ac:dyDescent="0.25">
      <c r="B212" s="1436"/>
      <c r="C212" s="1438" t="s">
        <v>1869</v>
      </c>
      <c r="D212" s="1439" t="str">
        <f>INDEX(CostVectors[Description], MATCH(C212, CostVectors[Code], 0))</f>
        <v>Point estimate of fuel costs</v>
      </c>
      <c r="E212" s="1931"/>
      <c r="F212" s="1394"/>
      <c r="G212" s="1394"/>
      <c r="H212" s="1394"/>
      <c r="I212" s="1394"/>
      <c r="J212" s="1394"/>
      <c r="K212" s="1394"/>
      <c r="L212" s="1394"/>
      <c r="M212" s="1394"/>
      <c r="N212" s="1394"/>
      <c r="O212" s="1443"/>
    </row>
    <row r="213" spans="2:16" ht="14.25" customHeight="1" x14ac:dyDescent="0.2">
      <c r="B213" s="1444"/>
      <c r="C213" s="1438" t="s">
        <v>1382</v>
      </c>
      <c r="D213" s="1439" t="str">
        <f>INDEX(CostVectors[Description], MATCH(C213, CostVectors[Code], 0))</f>
        <v>Low estimate of capital costs</v>
      </c>
      <c r="E213" s="1439"/>
      <c r="F213" s="2481">
        <f t="shared" ref="F213:N213" si="56">F156</f>
        <v>0</v>
      </c>
      <c r="G213" s="2481">
        <f t="shared" si="56"/>
        <v>206999999999.99997</v>
      </c>
      <c r="H213" s="2481">
        <f t="shared" si="56"/>
        <v>479879999999.99988</v>
      </c>
      <c r="I213" s="2481">
        <f t="shared" si="56"/>
        <v>444330000000</v>
      </c>
      <c r="J213" s="2481">
        <f t="shared" si="56"/>
        <v>513360000000.00006</v>
      </c>
      <c r="K213" s="2481">
        <f t="shared" si="56"/>
        <v>724950000000</v>
      </c>
      <c r="L213" s="2481">
        <f t="shared" si="56"/>
        <v>828810000000</v>
      </c>
      <c r="M213" s="2481">
        <f t="shared" si="56"/>
        <v>933029999999.99988</v>
      </c>
      <c r="N213" s="2481">
        <f t="shared" si="56"/>
        <v>1036620000000.0002</v>
      </c>
      <c r="O213" s="1445"/>
    </row>
    <row r="214" spans="2:16" ht="14.25" x14ac:dyDescent="0.2">
      <c r="B214" s="1444"/>
      <c r="C214" s="1438" t="s">
        <v>1384</v>
      </c>
      <c r="D214" s="1439" t="str">
        <f>INDEX(CostVectors[Description], MATCH(C214, CostVectors[Code], 0))</f>
        <v>Low estimate of operating costs</v>
      </c>
      <c r="E214" s="1439"/>
      <c r="F214" s="2481">
        <f t="shared" ref="F214:N214" si="57">F157</f>
        <v>15750000</v>
      </c>
      <c r="G214" s="2481">
        <f t="shared" si="57"/>
        <v>42000000</v>
      </c>
      <c r="H214" s="2481">
        <f t="shared" si="57"/>
        <v>101482499.99999999</v>
      </c>
      <c r="I214" s="2481">
        <f t="shared" si="57"/>
        <v>140910000</v>
      </c>
      <c r="J214" s="2481">
        <f t="shared" si="57"/>
        <v>180547500</v>
      </c>
      <c r="K214" s="2481">
        <f t="shared" si="57"/>
        <v>241132500</v>
      </c>
      <c r="L214" s="2481">
        <f t="shared" si="57"/>
        <v>301717500</v>
      </c>
      <c r="M214" s="2481">
        <f t="shared" si="57"/>
        <v>362355000</v>
      </c>
      <c r="N214" s="2481">
        <f t="shared" si="57"/>
        <v>422940000</v>
      </c>
      <c r="O214" s="1445"/>
    </row>
    <row r="215" spans="2:16" ht="15.75" customHeight="1" x14ac:dyDescent="0.2">
      <c r="B215" s="1444"/>
      <c r="C215" s="1438" t="s">
        <v>1386</v>
      </c>
      <c r="D215" s="1439" t="str">
        <f>INDEX(CostVectors[Description], MATCH(C215, CostVectors[Code], 0))</f>
        <v>Low estimate of fuel costs</v>
      </c>
      <c r="E215" s="1439"/>
      <c r="F215" s="2481"/>
      <c r="G215" s="2481"/>
      <c r="H215" s="2481"/>
      <c r="I215" s="2481"/>
      <c r="J215" s="2481"/>
      <c r="K215" s="2481"/>
      <c r="L215" s="2481"/>
      <c r="M215" s="2481"/>
      <c r="N215" s="2481"/>
      <c r="O215" s="1445"/>
    </row>
    <row r="216" spans="2:16" ht="5.25" customHeight="1" x14ac:dyDescent="0.2">
      <c r="B216" s="1446"/>
      <c r="C216" s="1440"/>
      <c r="D216" s="1440"/>
      <c r="E216" s="1440"/>
      <c r="F216" s="1440"/>
      <c r="G216" s="1440"/>
      <c r="H216" s="1440"/>
      <c r="I216" s="1440"/>
      <c r="J216" s="1440"/>
      <c r="K216" s="1440"/>
      <c r="L216" s="1440"/>
      <c r="M216" s="1440"/>
      <c r="N216" s="1440"/>
      <c r="O216" s="1440"/>
      <c r="P216" s="1447"/>
    </row>
  </sheetData>
  <hyperlinks>
    <hyperlink ref="E2" r:id="rId1"/>
  </hyperlinks>
  <pageMargins left="0.70866141732283472" right="0.70866141732283472" top="0.74803149606299213" bottom="0.74803149606299213" header="0.31496062992125984" footer="0.31496062992125984"/>
  <pageSetup paperSize="9" orientation="portrait" r:id="rId2"/>
  <tableParts count="5">
    <tablePart r:id="rId3"/>
    <tablePart r:id="rId4"/>
    <tablePart r:id="rId5"/>
    <tablePart r:id="rId6"/>
    <tablePart r:id="rId7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outlinePr summaryBelow="0"/>
    <pageSetUpPr autoPageBreaks="0"/>
  </sheetPr>
  <dimension ref="A1:Q217"/>
  <sheetViews>
    <sheetView windowProtection="1" topLeftCell="I202" zoomScaleNormal="100" workbookViewId="0">
      <selection activeCell="F208" sqref="F208:N216"/>
    </sheetView>
  </sheetViews>
  <sheetFormatPr defaultColWidth="8.7109375" defaultRowHeight="12.75" x14ac:dyDescent="0.2"/>
  <cols>
    <col min="1" max="1" width="7.7109375" style="2479" customWidth="1"/>
    <col min="2" max="2" width="5.7109375" style="2479" customWidth="1"/>
    <col min="3" max="3" width="20.42578125" style="2479" customWidth="1"/>
    <col min="4" max="4" width="30.7109375" style="2479" customWidth="1"/>
    <col min="5" max="5" width="20.7109375" style="2479" customWidth="1"/>
    <col min="6" max="15" width="17.7109375" style="2479" customWidth="1"/>
    <col min="16" max="16" width="2" style="2479" customWidth="1"/>
    <col min="17" max="17" width="10.7109375" style="2479" customWidth="1"/>
    <col min="18" max="16384" width="8.7109375" style="2479"/>
  </cols>
  <sheetData>
    <row r="1" spans="1:17" ht="21" x14ac:dyDescent="0.35">
      <c r="A1" s="120" t="s">
        <v>60</v>
      </c>
      <c r="B1" s="120" t="str">
        <f>INDEX(Workstreams[Workstream], MATCH($A1, Workstreams[Code], 0))</f>
        <v>Hydrocarbon fuel power generation</v>
      </c>
      <c r="C1" s="120"/>
    </row>
    <row r="2" spans="1:17" s="84" customFormat="1" ht="19.5" customHeight="1" x14ac:dyDescent="0.2">
      <c r="A2" s="6" t="s">
        <v>352</v>
      </c>
      <c r="B2" s="6" t="str">
        <f>INDEX(Modules[Module], MATCH($A2, Modules[Code], 0))</f>
        <v>Biomass power station</v>
      </c>
      <c r="C2" s="6"/>
      <c r="E2" s="1380"/>
      <c r="Q2" s="2479"/>
    </row>
    <row r="3" spans="1:17" s="84" customFormat="1" ht="12.75" customHeight="1" x14ac:dyDescent="0.2">
      <c r="A3" s="2479"/>
      <c r="B3" s="6"/>
      <c r="C3" s="6"/>
      <c r="Q3" s="2479"/>
    </row>
    <row r="4" spans="1:17" ht="22.5" collapsed="1" x14ac:dyDescent="0.3">
      <c r="A4" s="1422"/>
      <c r="B4" s="468" t="s">
        <v>600</v>
      </c>
      <c r="C4" s="420"/>
      <c r="D4" s="421"/>
      <c r="E4" s="422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7" x14ac:dyDescent="0.2">
      <c r="B5" s="469"/>
      <c r="C5" s="411"/>
      <c r="D5" s="412"/>
      <c r="E5" s="413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7" ht="15.75" x14ac:dyDescent="0.25">
      <c r="B6" s="482"/>
      <c r="C6" s="412"/>
      <c r="D6" s="216" t="s">
        <v>342</v>
      </c>
      <c r="E6" s="216" t="s">
        <v>595</v>
      </c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7" ht="15.75" x14ac:dyDescent="0.25">
      <c r="B7" s="482"/>
      <c r="C7" s="412"/>
      <c r="D7" s="238" t="s">
        <v>595</v>
      </c>
      <c r="E7" s="238">
        <f>I.b.Scenario</f>
        <v>4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7" ht="15.75" x14ac:dyDescent="0.25">
      <c r="B8" s="483"/>
      <c r="C8" s="417"/>
      <c r="D8" s="417"/>
      <c r="E8" s="417"/>
      <c r="F8" s="418"/>
      <c r="G8" s="418"/>
      <c r="H8" s="418"/>
      <c r="I8" s="418"/>
      <c r="J8" s="418"/>
      <c r="K8" s="418"/>
      <c r="L8" s="418"/>
      <c r="M8" s="418"/>
      <c r="N8" s="418"/>
      <c r="O8" s="418"/>
      <c r="P8" s="419"/>
    </row>
    <row r="10" spans="1:17" s="84" customFormat="1" ht="22.5" x14ac:dyDescent="0.3">
      <c r="A10" s="1422"/>
      <c r="B10" s="1423" t="s">
        <v>597</v>
      </c>
      <c r="C10" s="407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6"/>
      <c r="P10" s="2479"/>
    </row>
    <row r="11" spans="1:17" x14ac:dyDescent="0.2">
      <c r="B11" s="474"/>
      <c r="C11" s="1416"/>
      <c r="D11" s="1416"/>
      <c r="E11" s="1416"/>
      <c r="F11" s="1416"/>
      <c r="G11" s="1416"/>
      <c r="H11" s="1416"/>
      <c r="I11" s="1416"/>
      <c r="J11" s="1416"/>
      <c r="K11" s="1416"/>
      <c r="L11" s="1416"/>
      <c r="M11" s="1416"/>
      <c r="N11" s="1416"/>
      <c r="O11" s="1420"/>
    </row>
    <row r="12" spans="1:17" x14ac:dyDescent="0.2">
      <c r="B12" s="474"/>
      <c r="C12" s="1417" t="s">
        <v>2405</v>
      </c>
      <c r="D12" s="1416"/>
      <c r="E12" s="176"/>
      <c r="F12" s="1416"/>
      <c r="G12" s="1416"/>
      <c r="H12" s="1416"/>
      <c r="I12" s="1416"/>
      <c r="J12" s="1416"/>
      <c r="K12" s="1416"/>
      <c r="L12" s="1416"/>
      <c r="M12" s="1416"/>
      <c r="N12" s="176"/>
      <c r="O12" s="1420"/>
    </row>
    <row r="13" spans="1:17" ht="5.25" customHeight="1" x14ac:dyDescent="0.2">
      <c r="B13" s="474"/>
      <c r="C13" s="1416"/>
      <c r="D13" s="1416"/>
      <c r="E13" s="1416"/>
      <c r="F13" s="1416"/>
      <c r="G13" s="1416"/>
      <c r="H13" s="1416"/>
      <c r="I13" s="1416"/>
      <c r="J13" s="1416"/>
      <c r="K13" s="1416"/>
      <c r="L13" s="1416"/>
      <c r="M13" s="1416"/>
      <c r="N13" s="1416"/>
      <c r="O13" s="1420"/>
    </row>
    <row r="14" spans="1:17" ht="15.75" x14ac:dyDescent="0.25">
      <c r="B14" s="475"/>
      <c r="C14" s="98" t="s">
        <v>595</v>
      </c>
      <c r="D14" s="98" t="s">
        <v>65</v>
      </c>
      <c r="E14" s="98" t="s">
        <v>172</v>
      </c>
      <c r="F14" s="1176">
        <v>2010</v>
      </c>
      <c r="G14" s="1176">
        <v>2015</v>
      </c>
      <c r="H14" s="1176">
        <v>2020</v>
      </c>
      <c r="I14" s="1176">
        <v>2025</v>
      </c>
      <c r="J14" s="1176">
        <v>2030</v>
      </c>
      <c r="K14" s="1176">
        <v>2035</v>
      </c>
      <c r="L14" s="1176">
        <v>2040</v>
      </c>
      <c r="M14" s="1176">
        <v>2045</v>
      </c>
      <c r="N14" s="1176">
        <v>2050</v>
      </c>
      <c r="O14" s="1420"/>
    </row>
    <row r="15" spans="1:17" ht="15.75" x14ac:dyDescent="0.25">
      <c r="B15" s="475"/>
      <c r="C15" s="1414">
        <v>1</v>
      </c>
      <c r="D15" s="1415"/>
      <c r="E15" s="146"/>
      <c r="F15" s="160">
        <f t="shared" ref="F15:G15" si="0">(Unit.GW)*0</f>
        <v>0</v>
      </c>
      <c r="G15" s="160">
        <f t="shared" si="0"/>
        <v>0</v>
      </c>
      <c r="H15" s="160">
        <f t="shared" ref="H15:N15" si="1">(Unit.GW)*0.005</f>
        <v>5.0000000000000001E-3</v>
      </c>
      <c r="I15" s="160">
        <f t="shared" si="1"/>
        <v>5.0000000000000001E-3</v>
      </c>
      <c r="J15" s="160">
        <f t="shared" si="1"/>
        <v>5.0000000000000001E-3</v>
      </c>
      <c r="K15" s="160">
        <f t="shared" si="1"/>
        <v>5.0000000000000001E-3</v>
      </c>
      <c r="L15" s="160">
        <f t="shared" si="1"/>
        <v>5.0000000000000001E-3</v>
      </c>
      <c r="M15" s="160">
        <f t="shared" si="1"/>
        <v>5.0000000000000001E-3</v>
      </c>
      <c r="N15" s="160">
        <f t="shared" si="1"/>
        <v>5.0000000000000001E-3</v>
      </c>
      <c r="O15" s="1420"/>
    </row>
    <row r="16" spans="1:17" ht="15.75" x14ac:dyDescent="0.25">
      <c r="B16" s="475"/>
      <c r="C16" s="1414">
        <v>2</v>
      </c>
      <c r="D16" s="1415"/>
      <c r="E16" s="1415"/>
      <c r="F16" s="160">
        <f t="shared" ref="F16:G18" si="2">(Unit.GW)*0</f>
        <v>0</v>
      </c>
      <c r="G16" s="160">
        <f t="shared" si="2"/>
        <v>0</v>
      </c>
      <c r="H16" s="160">
        <f t="shared" ref="H16" si="3">(Unit.GW)*0.005</f>
        <v>5.0000000000000001E-3</v>
      </c>
      <c r="I16" s="160">
        <f>(Unit.GW)*0.01</f>
        <v>0.01</v>
      </c>
      <c r="J16" s="160">
        <f>(Unit.GW)*0.03</f>
        <v>0.03</v>
      </c>
      <c r="K16" s="160">
        <f>(Unit.GW)*0.08</f>
        <v>0.08</v>
      </c>
      <c r="L16" s="160">
        <f>(Unit.GW)*0.3</f>
        <v>0.3</v>
      </c>
      <c r="M16" s="160">
        <f>(Unit.GW)*0.7</f>
        <v>0.7</v>
      </c>
      <c r="N16" s="160">
        <f>(Unit.GW)*1</f>
        <v>1</v>
      </c>
      <c r="O16" s="1420"/>
    </row>
    <row r="17" spans="1:16" ht="15.75" x14ac:dyDescent="0.25">
      <c r="B17" s="475"/>
      <c r="C17" s="1414">
        <v>3</v>
      </c>
      <c r="D17" s="1415"/>
      <c r="E17" s="1415"/>
      <c r="F17" s="160">
        <f t="shared" si="2"/>
        <v>0</v>
      </c>
      <c r="G17" s="160">
        <f t="shared" si="2"/>
        <v>0</v>
      </c>
      <c r="H17" s="160">
        <f t="shared" ref="H17" si="4">(Unit.GW)*0.1</f>
        <v>0.1</v>
      </c>
      <c r="I17" s="160">
        <f>(Unit.GW)*1</f>
        <v>1</v>
      </c>
      <c r="J17" s="160">
        <f>(Unit.GW)*1.5</f>
        <v>1.5</v>
      </c>
      <c r="K17" s="160">
        <f>(Unit.GW)*2</f>
        <v>2</v>
      </c>
      <c r="L17" s="160">
        <f>(Unit.GW)*3</f>
        <v>3</v>
      </c>
      <c r="M17" s="160">
        <f>(Unit.GW)*3.5</f>
        <v>3.5</v>
      </c>
      <c r="N17" s="160">
        <f>(Unit.GW)*4</f>
        <v>4</v>
      </c>
      <c r="O17" s="1420"/>
    </row>
    <row r="18" spans="1:16" ht="15.75" x14ac:dyDescent="0.25">
      <c r="B18" s="475"/>
      <c r="C18" s="1412">
        <v>4</v>
      </c>
      <c r="D18" s="102"/>
      <c r="E18" s="102"/>
      <c r="F18" s="160">
        <f t="shared" si="2"/>
        <v>0</v>
      </c>
      <c r="G18" s="160">
        <f t="shared" si="2"/>
        <v>0</v>
      </c>
      <c r="H18" s="201">
        <f>(Unit.GW)*1</f>
        <v>1</v>
      </c>
      <c r="I18" s="201">
        <f>(Unit.GW)*2</f>
        <v>2</v>
      </c>
      <c r="J18" s="201">
        <f>(Unit.GW)*2.5</f>
        <v>2.5</v>
      </c>
      <c r="K18" s="201">
        <f>(Unit.GW)*4</f>
        <v>4</v>
      </c>
      <c r="L18" s="201">
        <f>(Unit.GW)*6</f>
        <v>6</v>
      </c>
      <c r="M18" s="201">
        <f>(Unit.GW)*8</f>
        <v>8</v>
      </c>
      <c r="N18" s="201">
        <f t="shared" ref="N18" si="5">(Unit.GW)*10</f>
        <v>10</v>
      </c>
      <c r="O18" s="1420"/>
    </row>
    <row r="19" spans="1:16" ht="15.75" x14ac:dyDescent="0.25">
      <c r="B19" s="397"/>
      <c r="C19" s="1386" t="s">
        <v>582</v>
      </c>
      <c r="D19" s="1387"/>
      <c r="E19" s="1387"/>
      <c r="F19" s="1388">
        <f t="shared" ref="F19:N19" si="6">(INDEX(F$15:F$18,ROUNDDOWN($E$7,0))*(1-MOD($E$7,1)))+(INDEX(F$15:F$18,ROUNDUP($E$7,0))*MOD($E$7,1))</f>
        <v>0</v>
      </c>
      <c r="G19" s="1388">
        <f t="shared" si="6"/>
        <v>0</v>
      </c>
      <c r="H19" s="1388">
        <f t="shared" si="6"/>
        <v>1</v>
      </c>
      <c r="I19" s="1388">
        <f t="shared" si="6"/>
        <v>2</v>
      </c>
      <c r="J19" s="1388">
        <f t="shared" si="6"/>
        <v>2.5</v>
      </c>
      <c r="K19" s="1388">
        <f t="shared" si="6"/>
        <v>4</v>
      </c>
      <c r="L19" s="1388">
        <f t="shared" si="6"/>
        <v>6</v>
      </c>
      <c r="M19" s="1388">
        <f t="shared" si="6"/>
        <v>8</v>
      </c>
      <c r="N19" s="1389">
        <f t="shared" si="6"/>
        <v>10</v>
      </c>
      <c r="O19" s="1420"/>
    </row>
    <row r="20" spans="1:16" x14ac:dyDescent="0.2">
      <c r="B20" s="474"/>
      <c r="C20" s="1416"/>
      <c r="D20" s="1416"/>
      <c r="E20" s="1416"/>
      <c r="F20" s="1416"/>
      <c r="G20" s="1416"/>
      <c r="H20" s="1416"/>
      <c r="I20" s="1416"/>
      <c r="J20" s="1416"/>
      <c r="K20" s="1416"/>
      <c r="L20" s="1416"/>
      <c r="M20" s="1416"/>
      <c r="N20" s="1416"/>
      <c r="O20" s="1416"/>
      <c r="P20" s="1420"/>
    </row>
    <row r="23" spans="1:16" s="84" customFormat="1" ht="22.5" x14ac:dyDescent="0.3">
      <c r="A23" s="1422"/>
      <c r="B23" s="1423" t="s">
        <v>315</v>
      </c>
      <c r="C23" s="405"/>
      <c r="D23" s="405"/>
      <c r="E23" s="405"/>
      <c r="F23" s="405"/>
      <c r="G23" s="405"/>
      <c r="H23" s="405"/>
      <c r="I23" s="405"/>
      <c r="J23" s="405"/>
      <c r="K23" s="405"/>
      <c r="L23" s="405"/>
      <c r="M23" s="405"/>
      <c r="N23" s="405"/>
      <c r="O23" s="406"/>
      <c r="P23" s="2479"/>
    </row>
    <row r="24" spans="1:16" x14ac:dyDescent="0.2">
      <c r="B24" s="457"/>
      <c r="C24" s="458"/>
      <c r="D24" s="458"/>
      <c r="E24" s="458"/>
      <c r="F24" s="458"/>
      <c r="G24" s="458"/>
      <c r="H24" s="458"/>
      <c r="I24" s="458"/>
      <c r="J24" s="458"/>
      <c r="K24" s="458"/>
      <c r="L24" s="458"/>
      <c r="M24" s="458"/>
      <c r="N24" s="458"/>
      <c r="O24" s="459"/>
    </row>
    <row r="25" spans="1:16" x14ac:dyDescent="0.2">
      <c r="B25" s="1419"/>
      <c r="C25" s="1417" t="s">
        <v>879</v>
      </c>
      <c r="D25" s="1416"/>
      <c r="E25" s="1416"/>
      <c r="F25" s="176"/>
      <c r="G25" s="1416"/>
      <c r="H25" s="1416"/>
      <c r="I25" s="1416"/>
      <c r="J25" s="1416"/>
      <c r="K25" s="1416"/>
      <c r="L25" s="1416"/>
      <c r="M25" s="1416"/>
      <c r="N25" s="1416"/>
      <c r="O25" s="1420"/>
    </row>
    <row r="26" spans="1:16" ht="4.5" customHeight="1" x14ac:dyDescent="0.2">
      <c r="B26" s="1419"/>
      <c r="C26" s="1416"/>
      <c r="D26" s="1416"/>
      <c r="E26" s="1416"/>
      <c r="F26" s="1416"/>
      <c r="G26" s="1416"/>
      <c r="H26" s="1416"/>
      <c r="I26" s="1416"/>
      <c r="J26" s="1416"/>
      <c r="K26" s="1416"/>
      <c r="L26" s="1416"/>
      <c r="M26" s="1416"/>
      <c r="N26" s="1416"/>
      <c r="O26" s="1420"/>
    </row>
    <row r="27" spans="1:16" ht="15.75" x14ac:dyDescent="0.25">
      <c r="B27" s="397"/>
      <c r="C27" s="98" t="s">
        <v>264</v>
      </c>
      <c r="D27" s="98" t="s">
        <v>278</v>
      </c>
      <c r="E27" s="98" t="s">
        <v>172</v>
      </c>
      <c r="F27" s="104" t="s">
        <v>241</v>
      </c>
      <c r="G27" s="103" t="s">
        <v>268</v>
      </c>
      <c r="H27" s="103" t="s">
        <v>269</v>
      </c>
      <c r="I27" s="103" t="s">
        <v>270</v>
      </c>
      <c r="J27" s="103" t="s">
        <v>271</v>
      </c>
      <c r="K27" s="103" t="s">
        <v>272</v>
      </c>
      <c r="L27" s="103" t="s">
        <v>273</v>
      </c>
      <c r="M27" s="103" t="s">
        <v>274</v>
      </c>
      <c r="N27" s="103" t="s">
        <v>275</v>
      </c>
      <c r="O27" s="1420"/>
    </row>
    <row r="28" spans="1:16" ht="15.75" x14ac:dyDescent="0.25">
      <c r="B28" s="397"/>
      <c r="C28" s="344" t="s">
        <v>36</v>
      </c>
      <c r="D28" s="1415" t="s">
        <v>1214</v>
      </c>
      <c r="E28" s="1418"/>
      <c r="F28" s="347">
        <v>0.05</v>
      </c>
      <c r="G28" s="348">
        <v>0.05</v>
      </c>
      <c r="H28" s="348">
        <v>0.05</v>
      </c>
      <c r="I28" s="348">
        <v>0.05</v>
      </c>
      <c r="J28" s="348">
        <v>0.05</v>
      </c>
      <c r="K28" s="348">
        <v>0.05</v>
      </c>
      <c r="L28" s="348">
        <v>0.05</v>
      </c>
      <c r="M28" s="348">
        <v>0.05</v>
      </c>
      <c r="N28" s="348">
        <v>0.05</v>
      </c>
      <c r="O28" s="1420"/>
    </row>
    <row r="29" spans="1:16" x14ac:dyDescent="0.2">
      <c r="B29" s="1419"/>
      <c r="C29" s="1416"/>
      <c r="D29" s="1416"/>
      <c r="E29" s="1416"/>
      <c r="F29" s="1416"/>
      <c r="G29" s="1416"/>
      <c r="H29" s="1416"/>
      <c r="I29" s="1416"/>
      <c r="J29" s="1416"/>
      <c r="K29" s="1416"/>
      <c r="L29" s="1416"/>
      <c r="M29" s="1416"/>
      <c r="N29" s="1416"/>
      <c r="O29" s="1420"/>
    </row>
    <row r="30" spans="1:16" x14ac:dyDescent="0.2">
      <c r="B30" s="1421"/>
      <c r="C30" s="1417" t="s">
        <v>276</v>
      </c>
      <c r="D30" s="1416"/>
      <c r="E30" s="1416"/>
      <c r="F30" s="176"/>
      <c r="G30" s="1416"/>
      <c r="H30" s="1416"/>
      <c r="I30" s="1416"/>
      <c r="J30" s="1416"/>
      <c r="K30" s="1416"/>
      <c r="L30" s="1416"/>
      <c r="M30" s="1416"/>
      <c r="N30" s="1416"/>
      <c r="O30" s="1420"/>
    </row>
    <row r="31" spans="1:16" ht="4.5" customHeight="1" x14ac:dyDescent="0.2">
      <c r="B31" s="1419"/>
      <c r="C31" s="1416"/>
      <c r="D31" s="1416"/>
      <c r="E31" s="1416"/>
      <c r="F31" s="1416"/>
      <c r="G31" s="1416"/>
      <c r="H31" s="1416"/>
      <c r="I31" s="1416"/>
      <c r="J31" s="1416"/>
      <c r="K31" s="1416"/>
      <c r="L31" s="1416"/>
      <c r="M31" s="1416"/>
      <c r="N31" s="1416"/>
      <c r="O31" s="1420"/>
    </row>
    <row r="32" spans="1:16" ht="15.75" x14ac:dyDescent="0.25">
      <c r="B32" s="397"/>
      <c r="C32" s="98" t="s">
        <v>264</v>
      </c>
      <c r="D32" s="98" t="s">
        <v>278</v>
      </c>
      <c r="E32" s="98" t="s">
        <v>172</v>
      </c>
      <c r="F32" s="104" t="s">
        <v>241</v>
      </c>
      <c r="G32" s="103" t="s">
        <v>268</v>
      </c>
      <c r="H32" s="103" t="s">
        <v>269</v>
      </c>
      <c r="I32" s="103" t="s">
        <v>270</v>
      </c>
      <c r="J32" s="103" t="s">
        <v>271</v>
      </c>
      <c r="K32" s="103" t="s">
        <v>272</v>
      </c>
      <c r="L32" s="103" t="s">
        <v>273</v>
      </c>
      <c r="M32" s="103" t="s">
        <v>274</v>
      </c>
      <c r="N32" s="103" t="s">
        <v>275</v>
      </c>
      <c r="O32" s="1420"/>
    </row>
    <row r="33" spans="1:17" s="84" customFormat="1" ht="15.75" x14ac:dyDescent="0.2">
      <c r="A33" s="2479"/>
      <c r="B33" s="399"/>
      <c r="C33" s="505" t="s">
        <v>36</v>
      </c>
      <c r="D33" s="1415" t="s">
        <v>1214</v>
      </c>
      <c r="E33" s="344"/>
      <c r="F33" s="112">
        <v>0.35</v>
      </c>
      <c r="G33" s="174">
        <v>0.35</v>
      </c>
      <c r="H33" s="174">
        <v>0.35</v>
      </c>
      <c r="I33" s="174">
        <v>0.35</v>
      </c>
      <c r="J33" s="174">
        <v>0.35</v>
      </c>
      <c r="K33" s="174">
        <v>0.35</v>
      </c>
      <c r="L33" s="174">
        <v>0.35</v>
      </c>
      <c r="M33" s="174">
        <v>0.35</v>
      </c>
      <c r="N33" s="174">
        <v>0.35</v>
      </c>
      <c r="O33" s="400"/>
      <c r="P33" s="2479"/>
    </row>
    <row r="34" spans="1:17" x14ac:dyDescent="0.2">
      <c r="B34" s="1419"/>
      <c r="C34" s="1416"/>
      <c r="D34" s="1416"/>
      <c r="E34" s="1416"/>
      <c r="F34" s="1416"/>
      <c r="G34" s="1416"/>
      <c r="H34" s="1416"/>
      <c r="I34" s="1416"/>
      <c r="J34" s="1416"/>
      <c r="K34" s="1416"/>
      <c r="L34" s="1416"/>
      <c r="M34" s="1416"/>
      <c r="N34" s="1416"/>
      <c r="O34" s="1416"/>
      <c r="P34" s="1420"/>
    </row>
    <row r="35" spans="1:17" s="84" customFormat="1" ht="15.75" x14ac:dyDescent="0.2">
      <c r="A35" s="2479"/>
      <c r="B35" s="399"/>
      <c r="C35" s="178" t="s">
        <v>1223</v>
      </c>
      <c r="D35" s="344"/>
      <c r="E35" s="344"/>
      <c r="F35" s="213"/>
      <c r="G35" s="174"/>
      <c r="H35" s="174"/>
      <c r="I35" s="174"/>
      <c r="J35" s="174"/>
      <c r="K35" s="174"/>
      <c r="L35" s="174"/>
      <c r="M35" s="174"/>
      <c r="N35" s="174"/>
      <c r="O35" s="174"/>
      <c r="P35" s="400"/>
      <c r="Q35" s="2479"/>
    </row>
    <row r="36" spans="1:17" s="84" customFormat="1" ht="3.75" customHeight="1" x14ac:dyDescent="0.2">
      <c r="A36" s="2479"/>
      <c r="B36" s="399"/>
      <c r="C36" s="178"/>
      <c r="D36" s="344"/>
      <c r="E36" s="344"/>
      <c r="F36" s="213"/>
      <c r="G36" s="174"/>
      <c r="H36" s="174"/>
      <c r="I36" s="174"/>
      <c r="J36" s="174"/>
      <c r="K36" s="174"/>
      <c r="L36" s="174"/>
      <c r="M36" s="174"/>
      <c r="N36" s="174"/>
      <c r="O36" s="174"/>
      <c r="P36" s="400"/>
      <c r="Q36" s="2479"/>
    </row>
    <row r="37" spans="1:17" x14ac:dyDescent="0.2">
      <c r="B37" s="1419"/>
      <c r="C37" s="1406" t="s">
        <v>1214</v>
      </c>
      <c r="D37" s="2565">
        <v>0.9</v>
      </c>
      <c r="E37" s="1416"/>
      <c r="F37" s="1416"/>
      <c r="G37" s="1416"/>
      <c r="H37" s="1416"/>
      <c r="I37" s="1416"/>
      <c r="J37" s="1416"/>
      <c r="K37" s="1416"/>
      <c r="L37" s="1416"/>
      <c r="M37" s="1416"/>
      <c r="N37" s="1416"/>
      <c r="O37" s="1416"/>
      <c r="P37" s="1420"/>
    </row>
    <row r="38" spans="1:17" x14ac:dyDescent="0.2">
      <c r="B38" s="1419"/>
      <c r="C38" s="1414"/>
      <c r="D38" s="344"/>
      <c r="E38" s="1416"/>
      <c r="F38" s="1416"/>
      <c r="G38" s="1416"/>
      <c r="H38" s="1416"/>
      <c r="I38" s="1416"/>
      <c r="J38" s="1416"/>
      <c r="K38" s="1416"/>
      <c r="L38" s="1416"/>
      <c r="M38" s="1416"/>
      <c r="N38" s="1416"/>
      <c r="O38" s="1416"/>
      <c r="P38" s="1420"/>
    </row>
    <row r="39" spans="1:17" ht="5.25" customHeight="1" x14ac:dyDescent="0.2">
      <c r="B39" s="1419"/>
      <c r="C39" s="1416"/>
      <c r="D39" s="1416"/>
      <c r="E39" s="1416"/>
      <c r="F39" s="1416"/>
      <c r="G39" s="1416"/>
      <c r="H39" s="1416"/>
      <c r="I39" s="1416"/>
      <c r="J39" s="1416"/>
      <c r="K39" s="1416"/>
      <c r="L39" s="1416"/>
      <c r="M39" s="1416"/>
      <c r="N39" s="1416"/>
      <c r="O39" s="1416"/>
      <c r="P39" s="1420"/>
    </row>
    <row r="40" spans="1:17" ht="4.5" customHeight="1" x14ac:dyDescent="0.2">
      <c r="B40" s="1419"/>
      <c r="C40" s="1416"/>
      <c r="D40" s="1416"/>
      <c r="E40" s="1416"/>
      <c r="F40" s="1416"/>
      <c r="G40" s="1416"/>
      <c r="H40" s="1416"/>
      <c r="I40" s="1416"/>
      <c r="J40" s="1416"/>
      <c r="K40" s="1416"/>
      <c r="L40" s="1416"/>
      <c r="M40" s="1416"/>
      <c r="N40" s="1416"/>
      <c r="O40" s="1416"/>
      <c r="P40" s="1420"/>
    </row>
    <row r="41" spans="1:17" ht="15.75" x14ac:dyDescent="0.25">
      <c r="B41" s="397"/>
      <c r="C41" s="1417" t="s">
        <v>1273</v>
      </c>
      <c r="D41" s="1416"/>
      <c r="E41" s="1416"/>
      <c r="F41" s="1416"/>
      <c r="G41" s="176"/>
      <c r="H41" s="1416"/>
      <c r="I41" s="1416"/>
      <c r="J41" s="1416"/>
      <c r="K41" s="1416"/>
      <c r="L41" s="1416"/>
      <c r="M41" s="1416"/>
      <c r="N41" s="1416"/>
      <c r="O41" s="1416"/>
      <c r="P41" s="1420"/>
    </row>
    <row r="42" spans="1:17" ht="3.75" customHeight="1" x14ac:dyDescent="0.25">
      <c r="B42" s="397"/>
      <c r="C42" s="1416"/>
      <c r="D42" s="1416"/>
      <c r="E42" s="1416"/>
      <c r="F42" s="1416"/>
      <c r="G42" s="1416"/>
      <c r="H42" s="1416"/>
      <c r="I42" s="1416"/>
      <c r="J42" s="1416"/>
      <c r="K42" s="1416"/>
      <c r="L42" s="1416"/>
      <c r="M42" s="1416"/>
      <c r="N42" s="1416"/>
      <c r="O42" s="1416"/>
      <c r="P42" s="1420"/>
    </row>
    <row r="43" spans="1:17" ht="15.75" x14ac:dyDescent="0.25">
      <c r="B43" s="397"/>
      <c r="C43" s="1905"/>
      <c r="D43" s="2080" t="s">
        <v>1298</v>
      </c>
      <c r="E43" s="1905"/>
      <c r="F43" s="1994" t="str">
        <f>Preferences.PowerUnits&amp;"peak"</f>
        <v>GWpeak</v>
      </c>
      <c r="G43" s="953"/>
      <c r="H43" s="953"/>
      <c r="I43" s="1416"/>
      <c r="J43" s="523"/>
      <c r="K43" s="523"/>
      <c r="L43" s="523"/>
      <c r="M43" s="523"/>
      <c r="N43" s="523"/>
      <c r="O43" s="523"/>
      <c r="P43" s="1420"/>
    </row>
    <row r="44" spans="1:17" ht="15.75" x14ac:dyDescent="0.25">
      <c r="B44" s="397"/>
      <c r="C44" s="199"/>
      <c r="D44" s="200" t="s">
        <v>1214</v>
      </c>
      <c r="E44" s="200"/>
      <c r="F44" s="2566">
        <f>5*Unit.MW</f>
        <v>5.0000000000000001E-3</v>
      </c>
      <c r="G44" s="760"/>
      <c r="H44" s="760"/>
      <c r="I44" s="1416"/>
      <c r="J44" s="208"/>
      <c r="K44" s="208"/>
      <c r="L44" s="208"/>
      <c r="M44" s="208"/>
      <c r="N44" s="208"/>
      <c r="O44" s="208"/>
      <c r="P44" s="1420"/>
    </row>
    <row r="45" spans="1:17" ht="15.75" x14ac:dyDescent="0.25">
      <c r="B45" s="397"/>
      <c r="C45" s="1414"/>
      <c r="D45" s="1415"/>
      <c r="E45" s="1415"/>
      <c r="F45" s="206"/>
      <c r="G45" s="760"/>
      <c r="H45" s="760"/>
      <c r="I45" s="1416"/>
      <c r="J45" s="208"/>
      <c r="K45" s="208"/>
      <c r="L45" s="208"/>
      <c r="M45" s="208"/>
      <c r="N45" s="208"/>
      <c r="O45" s="208"/>
      <c r="P45" s="1420"/>
    </row>
    <row r="46" spans="1:17" ht="15.75" x14ac:dyDescent="0.25">
      <c r="B46" s="397"/>
      <c r="C46" s="178" t="s">
        <v>1796</v>
      </c>
      <c r="D46" s="1415"/>
      <c r="E46" s="1415"/>
      <c r="F46" s="206"/>
      <c r="G46" s="760"/>
      <c r="H46" s="760"/>
      <c r="I46" s="1416"/>
      <c r="J46" s="208"/>
      <c r="K46" s="208"/>
      <c r="L46" s="208"/>
      <c r="M46" s="208"/>
      <c r="N46" s="1737" t="str">
        <f>"Kte/"&amp;Preferences.EnergyUnits</f>
        <v>Kte/TWh</v>
      </c>
      <c r="P46" s="1420"/>
    </row>
    <row r="47" spans="1:17" ht="3.75" customHeight="1" x14ac:dyDescent="0.25">
      <c r="B47" s="397"/>
      <c r="C47" s="178"/>
      <c r="D47" s="1415"/>
      <c r="E47" s="1415"/>
      <c r="F47" s="206"/>
      <c r="G47" s="760"/>
      <c r="H47" s="760"/>
      <c r="I47" s="1416"/>
      <c r="J47" s="208"/>
      <c r="K47" s="208"/>
      <c r="L47" s="208"/>
      <c r="M47" s="208"/>
      <c r="N47" s="208"/>
      <c r="O47" s="1737"/>
      <c r="P47" s="1416"/>
    </row>
    <row r="48" spans="1:17" ht="15.75" x14ac:dyDescent="0.25">
      <c r="B48" s="397"/>
      <c r="C48" s="98"/>
      <c r="D48" s="98" t="s">
        <v>264</v>
      </c>
      <c r="E48" s="98" t="s">
        <v>172</v>
      </c>
      <c r="F48" s="104" t="s">
        <v>241</v>
      </c>
      <c r="G48" s="103" t="s">
        <v>268</v>
      </c>
      <c r="H48" s="103" t="s">
        <v>269</v>
      </c>
      <c r="I48" s="103" t="s">
        <v>270</v>
      </c>
      <c r="J48" s="103" t="s">
        <v>271</v>
      </c>
      <c r="K48" s="103" t="s">
        <v>272</v>
      </c>
      <c r="L48" s="103" t="s">
        <v>273</v>
      </c>
      <c r="M48" s="103" t="s">
        <v>274</v>
      </c>
      <c r="N48" s="103" t="s">
        <v>275</v>
      </c>
      <c r="O48" s="208"/>
    </row>
    <row r="49" spans="2:15" ht="15.75" x14ac:dyDescent="0.25">
      <c r="B49" s="397"/>
      <c r="C49" s="1631"/>
      <c r="D49" s="1505" t="s">
        <v>2406</v>
      </c>
      <c r="E49" s="1631"/>
      <c r="F49" s="2567">
        <f>0.168606*(1/Unit.TWh)</f>
        <v>0.16860600000000001</v>
      </c>
      <c r="G49" s="1662">
        <f>0.120570666666667*(1/Unit.TWh)</f>
        <v>0.12057066666666701</v>
      </c>
      <c r="H49" s="1662">
        <f>0.0725353333333333*(1/Unit.TWh)</f>
        <v>7.2535333333333299E-2</v>
      </c>
      <c r="I49" s="1662">
        <f t="shared" ref="I49:N49" si="7">0.0245*(1/Unit.TWh)</f>
        <v>2.4500000000000001E-2</v>
      </c>
      <c r="J49" s="985">
        <f t="shared" si="7"/>
        <v>2.4500000000000001E-2</v>
      </c>
      <c r="K49" s="985">
        <f t="shared" si="7"/>
        <v>2.4500000000000001E-2</v>
      </c>
      <c r="L49" s="985">
        <f t="shared" si="7"/>
        <v>2.4500000000000001E-2</v>
      </c>
      <c r="M49" s="985">
        <f t="shared" si="7"/>
        <v>2.4500000000000001E-2</v>
      </c>
      <c r="N49" s="985">
        <f t="shared" si="7"/>
        <v>2.4500000000000001E-2</v>
      </c>
      <c r="O49" s="208"/>
    </row>
    <row r="50" spans="2:15" ht="15.75" x14ac:dyDescent="0.25">
      <c r="B50" s="397"/>
      <c r="C50" s="1414"/>
      <c r="D50" s="1415"/>
      <c r="E50" s="1415"/>
      <c r="F50" s="760"/>
      <c r="G50" s="760"/>
      <c r="H50" s="1416"/>
      <c r="I50" s="208"/>
      <c r="J50" s="208"/>
      <c r="K50" s="208"/>
      <c r="L50" s="208"/>
      <c r="M50" s="208"/>
      <c r="N50" s="208"/>
      <c r="O50" s="1420"/>
    </row>
    <row r="51" spans="2:15" ht="15.75" x14ac:dyDescent="0.25">
      <c r="B51" s="397"/>
      <c r="C51" s="178" t="s">
        <v>1797</v>
      </c>
      <c r="D51" s="1415"/>
      <c r="E51" s="1415"/>
      <c r="F51" s="760"/>
      <c r="G51" s="760"/>
      <c r="H51" s="1416"/>
      <c r="I51" s="208"/>
      <c r="J51" s="208"/>
      <c r="K51" s="208"/>
      <c r="L51" s="208"/>
      <c r="M51" s="208"/>
      <c r="N51" s="1737" t="str">
        <f>"Kte/"&amp;Preferences.EnergyUnits</f>
        <v>Kte/TWh</v>
      </c>
      <c r="O51" s="1420"/>
    </row>
    <row r="52" spans="2:15" ht="3.75" customHeight="1" x14ac:dyDescent="0.25">
      <c r="B52" s="397"/>
      <c r="C52" s="178"/>
      <c r="D52" s="1415"/>
      <c r="E52" s="1415"/>
      <c r="F52" s="760"/>
      <c r="G52" s="760"/>
      <c r="H52" s="1416"/>
      <c r="I52" s="208"/>
      <c r="J52" s="208"/>
      <c r="K52" s="208"/>
      <c r="L52" s="208"/>
      <c r="M52" s="208"/>
      <c r="N52" s="1737"/>
      <c r="O52" s="1416"/>
    </row>
    <row r="53" spans="2:15" ht="15.75" x14ac:dyDescent="0.25">
      <c r="B53" s="397"/>
      <c r="C53" s="98"/>
      <c r="D53" s="98" t="s">
        <v>264</v>
      </c>
      <c r="E53" s="98" t="s">
        <v>172</v>
      </c>
      <c r="F53" s="104" t="s">
        <v>241</v>
      </c>
      <c r="G53" s="103" t="s">
        <v>268</v>
      </c>
      <c r="H53" s="103" t="s">
        <v>269</v>
      </c>
      <c r="I53" s="103" t="s">
        <v>270</v>
      </c>
      <c r="J53" s="103" t="s">
        <v>271</v>
      </c>
      <c r="K53" s="103" t="s">
        <v>272</v>
      </c>
      <c r="L53" s="103" t="s">
        <v>273</v>
      </c>
      <c r="M53" s="103" t="s">
        <v>274</v>
      </c>
      <c r="N53" s="103" t="s">
        <v>275</v>
      </c>
      <c r="O53" s="208"/>
    </row>
    <row r="54" spans="2:15" ht="15.75" x14ac:dyDescent="0.25">
      <c r="B54" s="397"/>
      <c r="C54" s="1631"/>
      <c r="D54" s="1505" t="s">
        <v>2406</v>
      </c>
      <c r="E54" s="1631"/>
      <c r="F54" s="2567">
        <f>0.354042*(1/Unit.TWh)</f>
        <v>0.35404200000000002</v>
      </c>
      <c r="G54" s="1662">
        <f>0.338361333333333*(1/Unit.TWh)</f>
        <v>0.33836133333333301</v>
      </c>
      <c r="H54" s="1662">
        <f>0.322680666666667*(1/Unit.TWh)</f>
        <v>0.322680666666667</v>
      </c>
      <c r="I54" s="1662">
        <f t="shared" ref="I54:N54" si="8">0.307*(1/Unit.TWh)</f>
        <v>0.307</v>
      </c>
      <c r="J54" s="985">
        <f t="shared" si="8"/>
        <v>0.307</v>
      </c>
      <c r="K54" s="985">
        <f t="shared" si="8"/>
        <v>0.307</v>
      </c>
      <c r="L54" s="985">
        <f t="shared" si="8"/>
        <v>0.307</v>
      </c>
      <c r="M54" s="985">
        <f t="shared" si="8"/>
        <v>0.307</v>
      </c>
      <c r="N54" s="985">
        <f t="shared" si="8"/>
        <v>0.307</v>
      </c>
      <c r="O54" s="208"/>
    </row>
    <row r="55" spans="2:15" ht="15.75" x14ac:dyDescent="0.25">
      <c r="B55" s="397"/>
      <c r="C55" s="1738"/>
      <c r="D55" s="1660"/>
      <c r="E55" s="1660"/>
      <c r="F55" s="1739"/>
      <c r="G55" s="1739"/>
      <c r="H55" s="1739"/>
      <c r="I55" s="1739"/>
      <c r="J55" s="1739"/>
      <c r="K55" s="1739"/>
      <c r="L55" s="1739"/>
      <c r="M55" s="1739"/>
      <c r="N55" s="1739"/>
      <c r="O55" s="1420"/>
    </row>
    <row r="56" spans="2:15" ht="15.75" x14ac:dyDescent="0.25">
      <c r="B56" s="397"/>
      <c r="C56" s="178" t="s">
        <v>1798</v>
      </c>
      <c r="D56" s="1415"/>
      <c r="E56" s="1415"/>
      <c r="F56" s="760"/>
      <c r="G56" s="760"/>
      <c r="H56" s="1416"/>
      <c r="I56" s="208"/>
      <c r="J56" s="208"/>
      <c r="K56" s="208"/>
      <c r="L56" s="208"/>
      <c r="M56" s="208"/>
      <c r="N56" s="1737" t="str">
        <f>"Kte/"&amp;Preferences.EnergyUnits</f>
        <v>Kte/TWh</v>
      </c>
      <c r="O56" s="1420"/>
    </row>
    <row r="57" spans="2:15" ht="3.75" customHeight="1" x14ac:dyDescent="0.25">
      <c r="B57" s="397"/>
      <c r="C57" s="178"/>
      <c r="D57" s="1415"/>
      <c r="E57" s="1415"/>
      <c r="F57" s="760"/>
      <c r="G57" s="760"/>
      <c r="H57" s="1416"/>
      <c r="I57" s="208"/>
      <c r="J57" s="208"/>
      <c r="K57" s="208"/>
      <c r="L57" s="208"/>
      <c r="M57" s="208"/>
      <c r="N57" s="1737"/>
      <c r="O57" s="1416"/>
    </row>
    <row r="58" spans="2:15" ht="15.75" x14ac:dyDescent="0.25">
      <c r="B58" s="397"/>
      <c r="C58" s="98"/>
      <c r="D58" s="98" t="s">
        <v>264</v>
      </c>
      <c r="E58" s="98" t="s">
        <v>172</v>
      </c>
      <c r="F58" s="104" t="s">
        <v>241</v>
      </c>
      <c r="G58" s="103" t="s">
        <v>268</v>
      </c>
      <c r="H58" s="103" t="s">
        <v>269</v>
      </c>
      <c r="I58" s="103" t="s">
        <v>270</v>
      </c>
      <c r="J58" s="103" t="s">
        <v>271</v>
      </c>
      <c r="K58" s="103" t="s">
        <v>272</v>
      </c>
      <c r="L58" s="103" t="s">
        <v>273</v>
      </c>
      <c r="M58" s="103" t="s">
        <v>274</v>
      </c>
      <c r="N58" s="103" t="s">
        <v>275</v>
      </c>
      <c r="O58" s="208"/>
    </row>
    <row r="59" spans="2:15" ht="15.75" x14ac:dyDescent="0.25">
      <c r="B59" s="397"/>
      <c r="C59" s="1631"/>
      <c r="D59" s="1505" t="s">
        <v>2406</v>
      </c>
      <c r="E59" s="1631"/>
      <c r="F59" s="2567">
        <f>0.0359129355007782*(1/Unit.TWh)</f>
        <v>3.5912935500778197E-2</v>
      </c>
      <c r="G59" s="1662">
        <f t="shared" ref="G59:N59" si="9">0.0360674041701294*(1/Unit.TWh)</f>
        <v>3.6067404170129401E-2</v>
      </c>
      <c r="H59" s="1662">
        <f t="shared" si="9"/>
        <v>3.6067404170129401E-2</v>
      </c>
      <c r="I59" s="1662">
        <f t="shared" si="9"/>
        <v>3.6067404170129401E-2</v>
      </c>
      <c r="J59" s="985">
        <f t="shared" si="9"/>
        <v>3.6067404170129401E-2</v>
      </c>
      <c r="K59" s="985">
        <f t="shared" si="9"/>
        <v>3.6067404170129401E-2</v>
      </c>
      <c r="L59" s="985">
        <f t="shared" si="9"/>
        <v>3.6067404170129401E-2</v>
      </c>
      <c r="M59" s="985">
        <f t="shared" si="9"/>
        <v>3.6067404170129401E-2</v>
      </c>
      <c r="N59" s="985">
        <f t="shared" si="9"/>
        <v>3.6067404170129401E-2</v>
      </c>
      <c r="O59" s="208"/>
    </row>
    <row r="60" spans="2:15" ht="15.75" x14ac:dyDescent="0.25">
      <c r="B60" s="397"/>
      <c r="C60" s="1414"/>
      <c r="D60" s="1415"/>
      <c r="E60" s="1415"/>
      <c r="F60" s="760"/>
      <c r="G60" s="760"/>
      <c r="H60" s="1416"/>
      <c r="I60" s="208"/>
      <c r="J60" s="208"/>
      <c r="K60" s="208"/>
      <c r="L60" s="208"/>
      <c r="M60" s="208"/>
      <c r="N60" s="208"/>
      <c r="O60" s="1420"/>
    </row>
    <row r="61" spans="2:15" ht="15.75" x14ac:dyDescent="0.25">
      <c r="B61" s="397"/>
      <c r="C61" s="178" t="s">
        <v>1800</v>
      </c>
      <c r="D61" s="1415"/>
      <c r="E61" s="1415"/>
      <c r="F61" s="760"/>
      <c r="G61" s="760"/>
      <c r="H61" s="1416"/>
      <c r="I61" s="208"/>
      <c r="J61" s="208"/>
      <c r="K61" s="208"/>
      <c r="L61" s="208"/>
      <c r="M61" s="208"/>
      <c r="N61" s="1737" t="str">
        <f>"Kte/"&amp;Preferences.EnergyUnits</f>
        <v>Kte/TWh</v>
      </c>
      <c r="O61" s="1420"/>
    </row>
    <row r="62" spans="2:15" ht="3.75" customHeight="1" x14ac:dyDescent="0.25">
      <c r="B62" s="397"/>
      <c r="C62" s="178"/>
      <c r="D62" s="1415"/>
      <c r="E62" s="1415"/>
      <c r="F62" s="760"/>
      <c r="G62" s="760"/>
      <c r="H62" s="1416"/>
      <c r="I62" s="208"/>
      <c r="J62" s="208"/>
      <c r="K62" s="208"/>
      <c r="L62" s="208"/>
      <c r="M62" s="208"/>
      <c r="N62" s="1737"/>
      <c r="O62" s="1416"/>
    </row>
    <row r="63" spans="2:15" ht="15.75" x14ac:dyDescent="0.25">
      <c r="B63" s="397"/>
      <c r="C63" s="98"/>
      <c r="D63" s="98" t="s">
        <v>264</v>
      </c>
      <c r="E63" s="98" t="s">
        <v>172</v>
      </c>
      <c r="F63" s="104" t="s">
        <v>241</v>
      </c>
      <c r="G63" s="103" t="s">
        <v>268</v>
      </c>
      <c r="H63" s="103" t="s">
        <v>269</v>
      </c>
      <c r="I63" s="103" t="s">
        <v>270</v>
      </c>
      <c r="J63" s="103" t="s">
        <v>271</v>
      </c>
      <c r="K63" s="103" t="s">
        <v>272</v>
      </c>
      <c r="L63" s="103" t="s">
        <v>273</v>
      </c>
      <c r="M63" s="103" t="s">
        <v>274</v>
      </c>
      <c r="N63" s="103" t="s">
        <v>275</v>
      </c>
      <c r="O63" s="208"/>
    </row>
    <row r="64" spans="2:15" ht="15.75" x14ac:dyDescent="0.25">
      <c r="B64" s="397"/>
      <c r="C64" s="1631"/>
      <c r="D64" s="1505" t="s">
        <v>2406</v>
      </c>
      <c r="E64" s="1631"/>
      <c r="F64" s="2567">
        <f>0.0562206573743901*(1/Unit.TWh)</f>
        <v>5.6220657374390103E-2</v>
      </c>
      <c r="G64" s="1662">
        <f t="shared" ref="G64:N64" si="10">0.0695658398524502*(1/Unit.TWh)</f>
        <v>6.9565839852450198E-2</v>
      </c>
      <c r="H64" s="1662">
        <f t="shared" si="10"/>
        <v>6.9565839852450198E-2</v>
      </c>
      <c r="I64" s="1662">
        <f t="shared" si="10"/>
        <v>6.9565839852450198E-2</v>
      </c>
      <c r="J64" s="985">
        <f t="shared" si="10"/>
        <v>6.9565839852450198E-2</v>
      </c>
      <c r="K64" s="985">
        <f t="shared" si="10"/>
        <v>6.9565839852450198E-2</v>
      </c>
      <c r="L64" s="985">
        <f t="shared" si="10"/>
        <v>6.9565839852450198E-2</v>
      </c>
      <c r="M64" s="985">
        <f t="shared" si="10"/>
        <v>6.9565839852450198E-2</v>
      </c>
      <c r="N64" s="985">
        <f t="shared" si="10"/>
        <v>6.9565839852450198E-2</v>
      </c>
      <c r="O64" s="208"/>
    </row>
    <row r="65" spans="1:16" ht="15.75" x14ac:dyDescent="0.25">
      <c r="B65" s="397"/>
      <c r="C65" s="1414"/>
      <c r="D65" s="1415"/>
      <c r="E65" s="1415"/>
      <c r="F65" s="760"/>
      <c r="G65" s="760"/>
      <c r="H65" s="1416"/>
      <c r="I65" s="208"/>
      <c r="J65" s="208"/>
      <c r="K65" s="208"/>
      <c r="L65" s="208"/>
      <c r="M65" s="208"/>
      <c r="N65" s="208"/>
      <c r="O65" s="1420"/>
    </row>
    <row r="66" spans="1:16" x14ac:dyDescent="0.2">
      <c r="B66" s="471"/>
    </row>
    <row r="67" spans="1:16" s="84" customFormat="1" ht="19.5" customHeight="1" x14ac:dyDescent="0.3">
      <c r="A67" s="1422"/>
      <c r="B67" s="1180" t="s">
        <v>1417</v>
      </c>
      <c r="C67" s="1181"/>
      <c r="D67" s="1181"/>
      <c r="E67" s="1181"/>
      <c r="F67" s="1181"/>
      <c r="G67" s="1181"/>
      <c r="H67" s="1181"/>
      <c r="I67" s="1181"/>
      <c r="J67" s="1181"/>
      <c r="K67" s="1181"/>
      <c r="L67" s="1181"/>
      <c r="M67" s="1181"/>
      <c r="N67" s="1181"/>
      <c r="O67" s="1182"/>
      <c r="P67" s="2479"/>
    </row>
    <row r="68" spans="1:16" s="84" customFormat="1" x14ac:dyDescent="0.2">
      <c r="A68" s="2479"/>
      <c r="B68" s="2487"/>
      <c r="C68" s="2488"/>
      <c r="D68" s="2488"/>
      <c r="E68" s="2488"/>
      <c r="F68" s="2488"/>
      <c r="G68" s="2488"/>
      <c r="H68" s="2488"/>
      <c r="I68" s="2488"/>
      <c r="J68" s="2488"/>
      <c r="K68" s="2488"/>
      <c r="L68" s="2488"/>
      <c r="M68" s="2488"/>
      <c r="N68" s="2488"/>
      <c r="O68" s="2489"/>
      <c r="P68" s="2092"/>
    </row>
    <row r="69" spans="1:16" s="84" customFormat="1" x14ac:dyDescent="0.2">
      <c r="A69" s="2479"/>
      <c r="B69" s="2487"/>
      <c r="C69" s="1417" t="str">
        <f>"Capital cost of a power plant"</f>
        <v>Capital cost of a power plant</v>
      </c>
      <c r="D69" s="107"/>
      <c r="E69" s="1081"/>
      <c r="F69" s="1055"/>
      <c r="G69" s="760"/>
      <c r="H69" s="760"/>
      <c r="I69" s="760"/>
      <c r="J69" s="760"/>
      <c r="K69" s="760"/>
      <c r="L69" s="760"/>
      <c r="M69" s="760"/>
      <c r="N69" s="1255" t="str">
        <f>Preferences.moneyunits&amp;"/ "&amp;plantsize.I.a&amp;Preferences.PowerUnits&amp;" plant"</f>
        <v>N/ 1GW plant</v>
      </c>
      <c r="O69" s="2489"/>
      <c r="P69" s="2092"/>
    </row>
    <row r="70" spans="1:16" s="84" customFormat="1" ht="4.5" customHeight="1" x14ac:dyDescent="0.2">
      <c r="A70" s="2479"/>
      <c r="B70" s="2487"/>
      <c r="C70" s="1848"/>
      <c r="D70" s="107"/>
      <c r="E70" s="1081"/>
      <c r="F70" s="1055"/>
      <c r="G70" s="760"/>
      <c r="H70" s="760"/>
      <c r="I70" s="760"/>
      <c r="J70" s="760"/>
      <c r="K70" s="760"/>
      <c r="L70" s="760"/>
      <c r="M70" s="760"/>
      <c r="N70" s="1416"/>
      <c r="O70" s="2489"/>
      <c r="P70" s="2092"/>
    </row>
    <row r="71" spans="1:16" x14ac:dyDescent="0.2">
      <c r="B71" s="1512"/>
      <c r="C71" s="1848"/>
      <c r="D71" s="107"/>
      <c r="E71" s="1081"/>
      <c r="F71" s="1055"/>
      <c r="G71" s="760"/>
      <c r="H71" s="760"/>
      <c r="I71" s="760"/>
      <c r="J71" s="760"/>
      <c r="K71" s="760"/>
      <c r="L71" s="760"/>
      <c r="M71" s="760"/>
      <c r="N71" s="1255" t="str">
        <f>Preferences.moneyunits&amp;"/ "&amp;plantsize.I.a&amp;Preferences.PowerUnits&amp;" plant"</f>
        <v>N/ 1GW plant</v>
      </c>
      <c r="O71" s="2489"/>
      <c r="P71" s="2092"/>
    </row>
    <row r="72" spans="1:16" x14ac:dyDescent="0.2">
      <c r="B72" s="1512"/>
      <c r="C72" s="2072" t="s">
        <v>1948</v>
      </c>
      <c r="D72" s="1519" t="str">
        <f>plantsize.I.a&amp;Preferences.PowerUnits</f>
        <v>1GW</v>
      </c>
      <c r="E72" s="1567" t="s">
        <v>1321</v>
      </c>
      <c r="F72" s="1845">
        <v>2010</v>
      </c>
      <c r="G72" s="1845">
        <v>2015</v>
      </c>
      <c r="H72" s="1845">
        <v>2020</v>
      </c>
      <c r="I72" s="1845">
        <v>2025</v>
      </c>
      <c r="J72" s="1845">
        <v>2030</v>
      </c>
      <c r="K72" s="1845">
        <v>2035</v>
      </c>
      <c r="L72" s="1845">
        <v>2040</v>
      </c>
      <c r="M72" s="1845">
        <v>2045</v>
      </c>
      <c r="N72" s="1845">
        <v>2050</v>
      </c>
      <c r="O72" s="2489"/>
      <c r="P72" s="2092"/>
    </row>
    <row r="73" spans="1:16" x14ac:dyDescent="0.2">
      <c r="B73" s="1512"/>
      <c r="C73" s="1846" t="s">
        <v>1871</v>
      </c>
      <c r="D73" s="1519"/>
      <c r="E73" s="1847">
        <f>(N73-F73)/(N$72-F$72)</f>
        <v>0</v>
      </c>
      <c r="F73" s="1852">
        <f>(255000*NAIRA2010_/Unit.kW)*plantsize.I.b</f>
        <v>1275000000</v>
      </c>
      <c r="G73" s="1852">
        <f>($E73*(G$72-F$72))+F73</f>
        <v>1275000000</v>
      </c>
      <c r="H73" s="1852">
        <f t="shared" ref="H73:M73" si="11">($E73*(H$72-G$72))+G73</f>
        <v>1275000000</v>
      </c>
      <c r="I73" s="1852">
        <f t="shared" si="11"/>
        <v>1275000000</v>
      </c>
      <c r="J73" s="1852">
        <f t="shared" si="11"/>
        <v>1275000000</v>
      </c>
      <c r="K73" s="1852">
        <f t="shared" si="11"/>
        <v>1275000000</v>
      </c>
      <c r="L73" s="1852">
        <f t="shared" si="11"/>
        <v>1275000000</v>
      </c>
      <c r="M73" s="1852">
        <f t="shared" si="11"/>
        <v>1275000000</v>
      </c>
      <c r="N73" s="1852">
        <f>(255000*NAIRA2010_/Unit.kW)*plantsize.I.b</f>
        <v>1275000000</v>
      </c>
      <c r="O73" s="2489"/>
      <c r="P73" s="2092"/>
    </row>
    <row r="74" spans="1:16" x14ac:dyDescent="0.2">
      <c r="B74" s="1512"/>
      <c r="C74" s="606" t="s">
        <v>1872</v>
      </c>
      <c r="D74" s="107"/>
      <c r="E74" s="188">
        <f t="shared" ref="E74:E75" si="12">(N74-F74)/(N$72-F$72)</f>
        <v>0</v>
      </c>
      <c r="F74" s="1849">
        <f>(225000*NAIRA2010_/Unit.kW)*plantsize.I.b</f>
        <v>1125000000</v>
      </c>
      <c r="G74" s="1849">
        <f t="shared" ref="G74:M74" si="13">($E74*(G$72-F$72))+F74</f>
        <v>1125000000</v>
      </c>
      <c r="H74" s="1849">
        <f t="shared" si="13"/>
        <v>1125000000</v>
      </c>
      <c r="I74" s="1849">
        <f t="shared" si="13"/>
        <v>1125000000</v>
      </c>
      <c r="J74" s="1849">
        <f t="shared" si="13"/>
        <v>1125000000</v>
      </c>
      <c r="K74" s="1849">
        <f t="shared" si="13"/>
        <v>1125000000</v>
      </c>
      <c r="L74" s="1849">
        <f t="shared" si="13"/>
        <v>1125000000</v>
      </c>
      <c r="M74" s="1849">
        <f t="shared" si="13"/>
        <v>1125000000</v>
      </c>
      <c r="N74" s="1849">
        <f>(225000*NAIRA2010_/Unit.kW)*plantsize.I.b</f>
        <v>1125000000</v>
      </c>
      <c r="O74" s="2489"/>
      <c r="P74" s="2092"/>
    </row>
    <row r="75" spans="1:16" x14ac:dyDescent="0.2">
      <c r="B75" s="1512"/>
      <c r="C75" s="1731" t="s">
        <v>1873</v>
      </c>
      <c r="D75" s="189"/>
      <c r="E75" s="191">
        <f t="shared" si="12"/>
        <v>0</v>
      </c>
      <c r="F75" s="1850">
        <f>(180000*NAIRA2010_/Unit.kW)*plantsize.I.b</f>
        <v>900000000</v>
      </c>
      <c r="G75" s="1850">
        <f t="shared" ref="G75:M75" si="14">($E75*(G$72-F$72))+F75</f>
        <v>900000000</v>
      </c>
      <c r="H75" s="1850">
        <f t="shared" si="14"/>
        <v>900000000</v>
      </c>
      <c r="I75" s="1850">
        <f t="shared" si="14"/>
        <v>900000000</v>
      </c>
      <c r="J75" s="1850">
        <f t="shared" si="14"/>
        <v>900000000</v>
      </c>
      <c r="K75" s="1850">
        <f t="shared" si="14"/>
        <v>900000000</v>
      </c>
      <c r="L75" s="1850">
        <f t="shared" si="14"/>
        <v>900000000</v>
      </c>
      <c r="M75" s="1850">
        <f t="shared" si="14"/>
        <v>900000000</v>
      </c>
      <c r="N75" s="1850">
        <f>(180000*NAIRA2010_/Unit.kW)*plantsize.I.b</f>
        <v>900000000</v>
      </c>
      <c r="O75" s="2489"/>
      <c r="P75" s="2092"/>
    </row>
    <row r="76" spans="1:16" ht="10.5" customHeight="1" x14ac:dyDescent="0.2">
      <c r="B76" s="1512"/>
      <c r="C76" s="1377"/>
      <c r="D76" s="1377"/>
      <c r="E76" s="1377"/>
      <c r="F76" s="1377"/>
      <c r="G76" s="1377"/>
      <c r="H76" s="1377"/>
      <c r="I76" s="1377"/>
      <c r="J76" s="1377"/>
      <c r="K76" s="1377"/>
      <c r="L76" s="1377"/>
      <c r="M76" s="1377"/>
      <c r="N76" s="1377"/>
      <c r="O76" s="2489"/>
      <c r="P76" s="2092"/>
    </row>
    <row r="77" spans="1:16" ht="12" customHeight="1" x14ac:dyDescent="0.2">
      <c r="B77" s="1512"/>
      <c r="C77" s="1377"/>
      <c r="D77" s="1377"/>
      <c r="E77" s="1377"/>
      <c r="F77" s="1377"/>
      <c r="G77" s="1377"/>
      <c r="H77" s="1377"/>
      <c r="I77" s="1377"/>
      <c r="J77" s="1377"/>
      <c r="K77" s="1377"/>
      <c r="L77" s="1377"/>
      <c r="M77" s="1377"/>
      <c r="N77" s="1377"/>
      <c r="O77" s="2489"/>
      <c r="P77" s="2092"/>
    </row>
    <row r="78" spans="1:16" ht="12" customHeight="1" x14ac:dyDescent="0.2">
      <c r="B78" s="1512"/>
      <c r="C78" s="1417" t="str">
        <f>"Operating cost of a powerplant"</f>
        <v>Operating cost of a powerplant</v>
      </c>
      <c r="D78" s="107"/>
      <c r="E78" s="1081"/>
      <c r="F78" s="1055"/>
      <c r="G78" s="760"/>
      <c r="H78" s="760"/>
      <c r="I78" s="760"/>
      <c r="J78" s="760"/>
      <c r="K78" s="760"/>
      <c r="L78" s="760"/>
      <c r="M78" s="760"/>
      <c r="N78" s="1377"/>
      <c r="O78" s="2491"/>
      <c r="P78" s="2092"/>
    </row>
    <row r="79" spans="1:16" x14ac:dyDescent="0.2">
      <c r="B79" s="1512"/>
      <c r="C79" s="1848"/>
      <c r="D79" s="107"/>
      <c r="E79" s="1081"/>
      <c r="F79" s="1055"/>
      <c r="G79" s="760"/>
      <c r="H79" s="760"/>
      <c r="I79" s="760"/>
      <c r="J79" s="760"/>
      <c r="K79" s="760"/>
      <c r="L79" s="760"/>
      <c r="M79" s="760"/>
      <c r="N79" s="1255" t="str">
        <f>Preferences.moneyunits&amp;"/ "&amp;plantsize.I.a&amp;Preferences.PowerUnits&amp;" plant"</f>
        <v>N/ 1GW plant</v>
      </c>
      <c r="O79" s="1416"/>
      <c r="P79" s="2092"/>
    </row>
    <row r="80" spans="1:16" x14ac:dyDescent="0.2">
      <c r="B80" s="1512"/>
      <c r="C80" s="2072" t="s">
        <v>1948</v>
      </c>
      <c r="D80" s="1519"/>
      <c r="E80" s="1567" t="s">
        <v>1321</v>
      </c>
      <c r="F80" s="1845">
        <v>2010</v>
      </c>
      <c r="G80" s="1845">
        <v>2015</v>
      </c>
      <c r="H80" s="1845">
        <v>2020</v>
      </c>
      <c r="I80" s="1845">
        <v>2025</v>
      </c>
      <c r="J80" s="1845">
        <v>2030</v>
      </c>
      <c r="K80" s="1845">
        <v>2035</v>
      </c>
      <c r="L80" s="1845">
        <v>2040</v>
      </c>
      <c r="M80" s="1845">
        <v>2045</v>
      </c>
      <c r="N80" s="1845">
        <v>2050</v>
      </c>
      <c r="O80" s="1416"/>
      <c r="P80" s="2092"/>
    </row>
    <row r="81" spans="1:16" x14ac:dyDescent="0.2">
      <c r="B81" s="1512"/>
      <c r="C81" s="1846" t="s">
        <v>1871</v>
      </c>
      <c r="D81" s="1519"/>
      <c r="E81" s="1847">
        <f>(N81-F81)/(N$80-F$80)</f>
        <v>0</v>
      </c>
      <c r="F81" s="1852">
        <f>(9.75*NAIRA2010_/Unit.kW)*plantsize.I.b</f>
        <v>48750</v>
      </c>
      <c r="G81" s="1852">
        <f>($E81*(G$80-F$80))+F81</f>
        <v>48750</v>
      </c>
      <c r="H81" s="1852">
        <f t="shared" ref="H81:M81" si="15">($E81*(H$80-G$80))+G81</f>
        <v>48750</v>
      </c>
      <c r="I81" s="1852">
        <f t="shared" si="15"/>
        <v>48750</v>
      </c>
      <c r="J81" s="1852">
        <f t="shared" si="15"/>
        <v>48750</v>
      </c>
      <c r="K81" s="1852">
        <f t="shared" si="15"/>
        <v>48750</v>
      </c>
      <c r="L81" s="1852">
        <f t="shared" si="15"/>
        <v>48750</v>
      </c>
      <c r="M81" s="1852">
        <f t="shared" si="15"/>
        <v>48750</v>
      </c>
      <c r="N81" s="1852">
        <f>(9.75*NAIRA2010_/Unit.kW)*plantsize.I.b</f>
        <v>48750</v>
      </c>
      <c r="O81" s="1416"/>
      <c r="P81" s="2092"/>
    </row>
    <row r="82" spans="1:16" ht="15" customHeight="1" x14ac:dyDescent="0.2">
      <c r="B82" s="1512"/>
      <c r="C82" s="606" t="s">
        <v>1872</v>
      </c>
      <c r="D82" s="107"/>
      <c r="E82" s="188">
        <f t="shared" ref="E82:E83" si="16">(N82-F82)/(N$80-F$80)</f>
        <v>0</v>
      </c>
      <c r="F82" s="1849">
        <f>(5.7*NAIRA2010_/Unit.kW)*plantsize.I.b</f>
        <v>28500</v>
      </c>
      <c r="G82" s="1849">
        <f t="shared" ref="G82:M82" si="17">($E82*(G$80-F$80))+F82</f>
        <v>28500</v>
      </c>
      <c r="H82" s="1849">
        <f t="shared" si="17"/>
        <v>28500</v>
      </c>
      <c r="I82" s="1849">
        <f t="shared" si="17"/>
        <v>28500</v>
      </c>
      <c r="J82" s="1849">
        <f t="shared" si="17"/>
        <v>28500</v>
      </c>
      <c r="K82" s="1849">
        <f t="shared" si="17"/>
        <v>28500</v>
      </c>
      <c r="L82" s="1849">
        <f t="shared" si="17"/>
        <v>28500</v>
      </c>
      <c r="M82" s="1849">
        <f t="shared" si="17"/>
        <v>28500</v>
      </c>
      <c r="N82" s="1849">
        <f>(5.7*NAIRA2010_/Unit.kW)*plantsize.I.b</f>
        <v>28500</v>
      </c>
      <c r="O82" s="1416"/>
      <c r="P82" s="2092"/>
    </row>
    <row r="83" spans="1:16" x14ac:dyDescent="0.2">
      <c r="B83" s="1512"/>
      <c r="C83" s="1731" t="s">
        <v>1873</v>
      </c>
      <c r="D83" s="189"/>
      <c r="E83" s="191">
        <f t="shared" si="16"/>
        <v>0</v>
      </c>
      <c r="F83" s="1850">
        <f>(5.25*NAIRA2010_/Unit.kW)*plantsize.I.b</f>
        <v>26250</v>
      </c>
      <c r="G83" s="1850">
        <f t="shared" ref="G83:M83" si="18">($E83*(G$80-F$80))+F83</f>
        <v>26250</v>
      </c>
      <c r="H83" s="1850">
        <f t="shared" si="18"/>
        <v>26250</v>
      </c>
      <c r="I83" s="1850">
        <f t="shared" si="18"/>
        <v>26250</v>
      </c>
      <c r="J83" s="1850">
        <f t="shared" si="18"/>
        <v>26250</v>
      </c>
      <c r="K83" s="1850">
        <f t="shared" si="18"/>
        <v>26250</v>
      </c>
      <c r="L83" s="1850">
        <f t="shared" si="18"/>
        <v>26250</v>
      </c>
      <c r="M83" s="1850">
        <f t="shared" si="18"/>
        <v>26250</v>
      </c>
      <c r="N83" s="1850">
        <f>(5.25*NAIRA2010_/Unit.kW)*plantsize.I.b</f>
        <v>26250</v>
      </c>
      <c r="O83" s="1416"/>
      <c r="P83" s="2092"/>
    </row>
    <row r="84" spans="1:16" x14ac:dyDescent="0.2">
      <c r="B84" s="1512"/>
      <c r="C84" s="1377"/>
      <c r="D84" s="1377"/>
      <c r="E84" s="1377"/>
      <c r="F84" s="1377"/>
      <c r="G84" s="1377"/>
      <c r="H84" s="1377"/>
      <c r="I84" s="1377"/>
      <c r="J84" s="1377"/>
      <c r="K84" s="1377"/>
      <c r="L84" s="1377"/>
      <c r="M84" s="1377"/>
      <c r="N84" s="1377"/>
      <c r="O84" s="1416"/>
      <c r="P84" s="2092"/>
    </row>
    <row r="85" spans="1:16" x14ac:dyDescent="0.2">
      <c r="B85" s="1512"/>
      <c r="C85" s="107"/>
      <c r="D85" s="1081"/>
      <c r="E85" s="1055"/>
      <c r="F85" s="760"/>
      <c r="G85" s="760"/>
      <c r="H85" s="760"/>
      <c r="I85" s="760"/>
      <c r="J85" s="760"/>
      <c r="K85" s="760"/>
      <c r="L85" s="760"/>
      <c r="M85" s="1377"/>
      <c r="N85" s="1255"/>
      <c r="O85" s="1416"/>
      <c r="P85" s="2092"/>
    </row>
    <row r="86" spans="1:16" x14ac:dyDescent="0.2">
      <c r="B86" s="471"/>
    </row>
    <row r="87" spans="1:16" x14ac:dyDescent="0.2">
      <c r="B87" s="471"/>
    </row>
    <row r="89" spans="1:16" ht="19.5" customHeight="1" x14ac:dyDescent="0.3">
      <c r="A89" s="1422"/>
      <c r="B89" s="1423" t="s">
        <v>332</v>
      </c>
      <c r="C89" s="1424"/>
      <c r="D89" s="1424"/>
      <c r="E89" s="1424"/>
      <c r="F89" s="1424"/>
      <c r="G89" s="1424"/>
      <c r="H89" s="1424"/>
      <c r="I89" s="1424"/>
      <c r="J89" s="1424"/>
      <c r="K89" s="1424"/>
      <c r="L89" s="1424"/>
      <c r="M89" s="1424"/>
      <c r="N89" s="1424"/>
      <c r="O89" s="1425"/>
    </row>
    <row r="90" spans="1:16" ht="6.75" customHeight="1" x14ac:dyDescent="0.2">
      <c r="B90" s="1419"/>
      <c r="C90" s="1416"/>
      <c r="D90" s="1416"/>
      <c r="E90" s="1416"/>
      <c r="F90" s="1416"/>
      <c r="G90" s="1416"/>
      <c r="H90" s="1416"/>
      <c r="I90" s="1416"/>
      <c r="J90" s="1416"/>
      <c r="K90" s="1416"/>
      <c r="L90" s="1416"/>
      <c r="M90" s="1416"/>
      <c r="N90" s="1416"/>
      <c r="O90" s="1420"/>
    </row>
    <row r="91" spans="1:16" x14ac:dyDescent="0.2">
      <c r="B91" s="1419"/>
      <c r="C91" s="1416"/>
      <c r="D91" s="1416"/>
      <c r="E91" s="1416"/>
      <c r="F91" s="1416"/>
      <c r="G91" s="1416"/>
      <c r="H91" s="1416"/>
      <c r="I91" s="1416"/>
      <c r="J91" s="1416"/>
      <c r="K91" s="1416"/>
      <c r="L91" s="1416"/>
      <c r="M91" s="1416"/>
      <c r="N91" s="1416"/>
      <c r="O91" s="1420"/>
    </row>
    <row r="92" spans="1:16" x14ac:dyDescent="0.2">
      <c r="B92" s="1419"/>
      <c r="C92" s="1417" t="s">
        <v>1224</v>
      </c>
      <c r="D92" s="1416"/>
      <c r="E92" s="176"/>
      <c r="F92" s="1416"/>
      <c r="G92" s="1416"/>
      <c r="H92" s="1416"/>
      <c r="I92" s="1416"/>
      <c r="J92" s="1416"/>
      <c r="K92" s="1416"/>
      <c r="L92" s="1416"/>
      <c r="M92" s="1416"/>
      <c r="N92" s="1416"/>
      <c r="O92" s="1420"/>
    </row>
    <row r="93" spans="1:16" ht="4.5" customHeight="1" x14ac:dyDescent="0.2">
      <c r="B93" s="1419"/>
      <c r="C93" s="1416"/>
      <c r="D93" s="1416"/>
      <c r="E93" s="1416"/>
      <c r="F93" s="1416"/>
      <c r="G93" s="1416"/>
      <c r="H93" s="1416"/>
      <c r="I93" s="1416"/>
      <c r="J93" s="1416"/>
      <c r="K93" s="1416"/>
      <c r="L93" s="1416"/>
      <c r="M93" s="1416"/>
      <c r="N93" s="1416"/>
      <c r="O93" s="1420"/>
    </row>
    <row r="94" spans="1:16" ht="15.75" x14ac:dyDescent="0.25">
      <c r="B94" s="397"/>
      <c r="C94" s="98" t="s">
        <v>264</v>
      </c>
      <c r="D94" s="98" t="s">
        <v>278</v>
      </c>
      <c r="E94" s="98" t="s">
        <v>172</v>
      </c>
      <c r="F94" s="1175" t="s">
        <v>241</v>
      </c>
      <c r="G94" s="1176">
        <v>2015</v>
      </c>
      <c r="H94" s="1176">
        <v>2020</v>
      </c>
      <c r="I94" s="1176">
        <v>2025</v>
      </c>
      <c r="J94" s="1176">
        <v>2030</v>
      </c>
      <c r="K94" s="1176">
        <v>2035</v>
      </c>
      <c r="L94" s="1176">
        <v>2040</v>
      </c>
      <c r="M94" s="1176">
        <v>2045</v>
      </c>
      <c r="N94" s="1176">
        <v>2050</v>
      </c>
      <c r="O94" s="1420"/>
    </row>
    <row r="95" spans="1:16" ht="12.75" customHeight="1" x14ac:dyDescent="0.2">
      <c r="B95" s="399"/>
      <c r="C95" s="1414" t="s">
        <v>36</v>
      </c>
      <c r="D95" s="1415" t="s">
        <v>1214</v>
      </c>
      <c r="E95" s="146"/>
      <c r="F95" s="209">
        <f t="shared" ref="F95:N95" si="19">F19</f>
        <v>0</v>
      </c>
      <c r="G95" s="209">
        <f t="shared" si="19"/>
        <v>0</v>
      </c>
      <c r="H95" s="209">
        <f t="shared" si="19"/>
        <v>1</v>
      </c>
      <c r="I95" s="209">
        <f t="shared" si="19"/>
        <v>2</v>
      </c>
      <c r="J95" s="209">
        <f t="shared" si="19"/>
        <v>2.5</v>
      </c>
      <c r="K95" s="209">
        <f t="shared" si="19"/>
        <v>4</v>
      </c>
      <c r="L95" s="209">
        <f t="shared" si="19"/>
        <v>6</v>
      </c>
      <c r="M95" s="209">
        <f t="shared" si="19"/>
        <v>8</v>
      </c>
      <c r="N95" s="209">
        <f t="shared" si="19"/>
        <v>10</v>
      </c>
      <c r="O95" s="400"/>
    </row>
    <row r="96" spans="1:16" x14ac:dyDescent="0.2">
      <c r="B96" s="401"/>
      <c r="C96" s="1416"/>
      <c r="D96" s="177"/>
      <c r="E96" s="1416"/>
      <c r="F96" s="1416"/>
      <c r="G96" s="1416"/>
      <c r="H96" s="1416"/>
      <c r="I96" s="1416"/>
      <c r="J96" s="1416"/>
      <c r="K96" s="1416"/>
      <c r="L96" s="1416"/>
      <c r="M96" s="1416"/>
      <c r="N96" s="1416"/>
      <c r="O96" s="1420"/>
    </row>
    <row r="97" spans="1:16" x14ac:dyDescent="0.2">
      <c r="F97" s="1177"/>
    </row>
    <row r="98" spans="1:16" s="84" customFormat="1" ht="15.75" x14ac:dyDescent="0.25">
      <c r="A98" s="2479"/>
      <c r="B98" s="134" t="s">
        <v>279</v>
      </c>
      <c r="C98" s="2479"/>
      <c r="D98" s="2479"/>
      <c r="E98" s="2479"/>
      <c r="F98" s="2479"/>
      <c r="G98" s="2479"/>
      <c r="H98" s="2479"/>
      <c r="I98" s="2479"/>
      <c r="J98" s="2479"/>
      <c r="K98" s="2479"/>
      <c r="L98" s="2479"/>
      <c r="M98" s="2479"/>
      <c r="N98" s="2479"/>
      <c r="O98" s="2479"/>
      <c r="P98" s="2479"/>
    </row>
    <row r="99" spans="1:16" s="84" customFormat="1" x14ac:dyDescent="0.2">
      <c r="A99" s="2479"/>
      <c r="B99" s="2479"/>
      <c r="C99" s="2479"/>
      <c r="D99" s="2479"/>
      <c r="E99" s="2479"/>
      <c r="F99" s="2479"/>
      <c r="G99" s="2479"/>
      <c r="H99" s="2479"/>
      <c r="I99" s="2479"/>
      <c r="J99" s="2479"/>
      <c r="K99" s="2479"/>
      <c r="L99" s="2479"/>
      <c r="M99" s="2479"/>
      <c r="N99" s="2479"/>
      <c r="O99" s="2479"/>
      <c r="P99" s="2479"/>
    </row>
    <row r="100" spans="1:16" s="84" customFormat="1" x14ac:dyDescent="0.2">
      <c r="A100" s="2479"/>
      <c r="F100" s="2568" t="str">
        <f t="shared" ref="F100:N100" si="20">F$94</f>
        <v>2010</v>
      </c>
      <c r="G100" s="2568">
        <f t="shared" si="20"/>
        <v>2015</v>
      </c>
      <c r="H100" s="2568">
        <f t="shared" si="20"/>
        <v>2020</v>
      </c>
      <c r="I100" s="2568">
        <f t="shared" si="20"/>
        <v>2025</v>
      </c>
      <c r="J100" s="2568">
        <f t="shared" si="20"/>
        <v>2030</v>
      </c>
      <c r="K100" s="2568">
        <f t="shared" si="20"/>
        <v>2035</v>
      </c>
      <c r="L100" s="2568">
        <f t="shared" si="20"/>
        <v>2040</v>
      </c>
      <c r="M100" s="2568">
        <f t="shared" si="20"/>
        <v>2045</v>
      </c>
      <c r="N100" s="2568">
        <f t="shared" si="20"/>
        <v>2050</v>
      </c>
      <c r="P100" s="2479"/>
    </row>
    <row r="101" spans="1:16" s="84" customFormat="1" x14ac:dyDescent="0.2">
      <c r="A101" s="2479"/>
      <c r="B101" s="147" t="s">
        <v>1215</v>
      </c>
      <c r="P101" s="2479"/>
    </row>
    <row r="102" spans="1:16" s="84" customFormat="1" x14ac:dyDescent="0.2">
      <c r="A102" s="2479"/>
      <c r="C102" s="147" t="s">
        <v>2407</v>
      </c>
      <c r="E102" s="84" t="str">
        <f>Preferences.PowerUnits</f>
        <v>GW</v>
      </c>
      <c r="F102" s="148">
        <f t="shared" ref="F102:N102" si="21">F19</f>
        <v>0</v>
      </c>
      <c r="G102" s="148">
        <f t="shared" si="21"/>
        <v>0</v>
      </c>
      <c r="H102" s="148">
        <f t="shared" si="21"/>
        <v>1</v>
      </c>
      <c r="I102" s="148">
        <f t="shared" si="21"/>
        <v>2</v>
      </c>
      <c r="J102" s="148">
        <f t="shared" si="21"/>
        <v>2.5</v>
      </c>
      <c r="K102" s="148">
        <f t="shared" si="21"/>
        <v>4</v>
      </c>
      <c r="L102" s="148">
        <f t="shared" si="21"/>
        <v>6</v>
      </c>
      <c r="M102" s="148">
        <f t="shared" si="21"/>
        <v>8</v>
      </c>
      <c r="N102" s="148">
        <f t="shared" si="21"/>
        <v>10</v>
      </c>
      <c r="P102" s="2479"/>
    </row>
    <row r="103" spans="1:16" s="84" customFormat="1" x14ac:dyDescent="0.2">
      <c r="A103" s="2479"/>
      <c r="B103" s="84" t="s">
        <v>345</v>
      </c>
      <c r="C103" s="84" t="s">
        <v>304</v>
      </c>
      <c r="F103" s="149">
        <f t="shared" ref="F103:N103" si="22">$D$37</f>
        <v>0.9</v>
      </c>
      <c r="G103" s="149">
        <f t="shared" si="22"/>
        <v>0.9</v>
      </c>
      <c r="H103" s="149">
        <f t="shared" si="22"/>
        <v>0.9</v>
      </c>
      <c r="I103" s="149">
        <f t="shared" si="22"/>
        <v>0.9</v>
      </c>
      <c r="J103" s="149">
        <f t="shared" si="22"/>
        <v>0.9</v>
      </c>
      <c r="K103" s="149">
        <f t="shared" si="22"/>
        <v>0.9</v>
      </c>
      <c r="L103" s="149">
        <f t="shared" si="22"/>
        <v>0.9</v>
      </c>
      <c r="M103" s="149">
        <f t="shared" si="22"/>
        <v>0.9</v>
      </c>
      <c r="N103" s="149">
        <f t="shared" si="22"/>
        <v>0.9</v>
      </c>
      <c r="P103" s="2479"/>
    </row>
    <row r="104" spans="1:16" s="84" customFormat="1" x14ac:dyDescent="0.2">
      <c r="A104" s="2479"/>
      <c r="B104" s="150" t="s">
        <v>346</v>
      </c>
      <c r="C104" s="84" t="s">
        <v>320</v>
      </c>
      <c r="F104" s="203">
        <f t="shared" ref="F104:M104" si="23">F102*F103</f>
        <v>0</v>
      </c>
      <c r="G104" s="203">
        <f t="shared" si="23"/>
        <v>0</v>
      </c>
      <c r="H104" s="203">
        <f t="shared" si="23"/>
        <v>0.9</v>
      </c>
      <c r="I104" s="203">
        <f t="shared" si="23"/>
        <v>1.8</v>
      </c>
      <c r="J104" s="203">
        <f t="shared" si="23"/>
        <v>2.25</v>
      </c>
      <c r="K104" s="203">
        <f t="shared" si="23"/>
        <v>3.6</v>
      </c>
      <c r="L104" s="203">
        <f t="shared" si="23"/>
        <v>5.4</v>
      </c>
      <c r="M104" s="203">
        <f t="shared" si="23"/>
        <v>7.2</v>
      </c>
      <c r="N104" s="203">
        <f>N102*N103</f>
        <v>9</v>
      </c>
      <c r="P104" s="2479"/>
    </row>
    <row r="105" spans="1:16" s="84" customFormat="1" x14ac:dyDescent="0.2">
      <c r="A105" s="2479"/>
      <c r="B105" s="150" t="s">
        <v>346</v>
      </c>
      <c r="C105" s="147" t="s">
        <v>320</v>
      </c>
      <c r="E105" s="84" t="str">
        <f>Preferences.EnergyUnits</f>
        <v>TWh</v>
      </c>
      <c r="F105" s="76">
        <f t="shared" ref="F105:N105" si="24">F104*Preferences.Unit.Power*Unit.year/Preferences.Unit.Energy</f>
        <v>0</v>
      </c>
      <c r="G105" s="76">
        <f t="shared" si="24"/>
        <v>0</v>
      </c>
      <c r="H105" s="76">
        <f t="shared" si="24"/>
        <v>7.8894000000000002</v>
      </c>
      <c r="I105" s="76">
        <f>I104*Preferences.Unit.Power*Unit.year/Preferences.Unit.Energy</f>
        <v>15.7788</v>
      </c>
      <c r="J105" s="76">
        <f t="shared" si="24"/>
        <v>19.723499999999998</v>
      </c>
      <c r="K105" s="76">
        <f t="shared" si="24"/>
        <v>31.557600000000001</v>
      </c>
      <c r="L105" s="76">
        <f t="shared" si="24"/>
        <v>47.336400000000005</v>
      </c>
      <c r="M105" s="76">
        <f t="shared" si="24"/>
        <v>63.115200000000002</v>
      </c>
      <c r="N105" s="76">
        <f t="shared" si="24"/>
        <v>78.893999999999991</v>
      </c>
      <c r="P105" s="2140"/>
    </row>
    <row r="106" spans="1:16" s="84" customFormat="1" x14ac:dyDescent="0.2">
      <c r="A106" s="2479"/>
      <c r="B106" s="150"/>
      <c r="C106" s="147"/>
      <c r="F106" s="76"/>
      <c r="G106" s="76"/>
      <c r="H106" s="76"/>
      <c r="I106" s="76"/>
      <c r="J106" s="76"/>
      <c r="K106" s="76"/>
      <c r="L106" s="76"/>
      <c r="M106" s="76"/>
      <c r="N106" s="76"/>
      <c r="P106" s="2479"/>
    </row>
    <row r="107" spans="1:16" s="84" customFormat="1" x14ac:dyDescent="0.2">
      <c r="A107" s="2479"/>
      <c r="B107" s="150" t="s">
        <v>554</v>
      </c>
      <c r="C107" s="84" t="s">
        <v>868</v>
      </c>
      <c r="F107" s="1428">
        <f t="shared" ref="F107:N107" si="25">F$28*F$105</f>
        <v>0</v>
      </c>
      <c r="G107" s="1428">
        <f t="shared" si="25"/>
        <v>0</v>
      </c>
      <c r="H107" s="1428">
        <f t="shared" si="25"/>
        <v>0.39447000000000004</v>
      </c>
      <c r="I107" s="1428">
        <f t="shared" si="25"/>
        <v>0.78894000000000009</v>
      </c>
      <c r="J107" s="1428">
        <f t="shared" si="25"/>
        <v>0.98617499999999991</v>
      </c>
      <c r="K107" s="1428">
        <f t="shared" si="25"/>
        <v>1.5778800000000002</v>
      </c>
      <c r="L107" s="1428">
        <f t="shared" si="25"/>
        <v>2.3668200000000001</v>
      </c>
      <c r="M107" s="1428">
        <f t="shared" si="25"/>
        <v>3.1557600000000003</v>
      </c>
      <c r="N107" s="1428">
        <f t="shared" si="25"/>
        <v>3.9446999999999997</v>
      </c>
      <c r="P107" s="2479"/>
    </row>
    <row r="108" spans="1:16" s="84" customFormat="1" x14ac:dyDescent="0.2">
      <c r="A108" s="2479"/>
      <c r="B108" s="150" t="s">
        <v>346</v>
      </c>
      <c r="C108" s="147" t="s">
        <v>358</v>
      </c>
      <c r="F108" s="152">
        <f t="shared" ref="F108:N108" si="26">F105+F107</f>
        <v>0</v>
      </c>
      <c r="G108" s="152">
        <f t="shared" si="26"/>
        <v>0</v>
      </c>
      <c r="H108" s="152">
        <f t="shared" si="26"/>
        <v>8.2838700000000003</v>
      </c>
      <c r="I108" s="152">
        <f t="shared" si="26"/>
        <v>16.567740000000001</v>
      </c>
      <c r="J108" s="152">
        <f t="shared" si="26"/>
        <v>20.709674999999997</v>
      </c>
      <c r="K108" s="152">
        <f t="shared" si="26"/>
        <v>33.135480000000001</v>
      </c>
      <c r="L108" s="152">
        <f t="shared" si="26"/>
        <v>49.703220000000002</v>
      </c>
      <c r="M108" s="152">
        <f t="shared" si="26"/>
        <v>66.270960000000002</v>
      </c>
      <c r="N108" s="152">
        <f t="shared" si="26"/>
        <v>82.838699999999989</v>
      </c>
      <c r="P108" s="2479"/>
    </row>
    <row r="109" spans="1:16" s="84" customFormat="1" x14ac:dyDescent="0.2">
      <c r="A109" s="2479"/>
      <c r="B109" s="960" t="s">
        <v>976</v>
      </c>
      <c r="C109" s="84" t="s">
        <v>869</v>
      </c>
      <c r="F109" s="155">
        <f t="shared" ref="F109:N109" si="27">F$33</f>
        <v>0.35</v>
      </c>
      <c r="G109" s="155">
        <f t="shared" si="27"/>
        <v>0.35</v>
      </c>
      <c r="H109" s="155">
        <f t="shared" si="27"/>
        <v>0.35</v>
      </c>
      <c r="I109" s="155">
        <f t="shared" si="27"/>
        <v>0.35</v>
      </c>
      <c r="J109" s="155">
        <f t="shared" si="27"/>
        <v>0.35</v>
      </c>
      <c r="K109" s="155">
        <f t="shared" si="27"/>
        <v>0.35</v>
      </c>
      <c r="L109" s="155">
        <f t="shared" si="27"/>
        <v>0.35</v>
      </c>
      <c r="M109" s="155">
        <f t="shared" si="27"/>
        <v>0.35</v>
      </c>
      <c r="N109" s="155">
        <f t="shared" si="27"/>
        <v>0.35</v>
      </c>
      <c r="P109" s="2479"/>
    </row>
    <row r="110" spans="1:16" s="84" customFormat="1" x14ac:dyDescent="0.2">
      <c r="A110" s="2479"/>
      <c r="B110" s="150" t="s">
        <v>346</v>
      </c>
      <c r="C110" s="147" t="s">
        <v>2408</v>
      </c>
      <c r="F110" s="156">
        <f t="shared" ref="F110:N110" si="28">F108/F109</f>
        <v>0</v>
      </c>
      <c r="G110" s="156">
        <f t="shared" si="28"/>
        <v>0</v>
      </c>
      <c r="H110" s="156">
        <f t="shared" si="28"/>
        <v>23.668200000000002</v>
      </c>
      <c r="I110" s="156">
        <f t="shared" si="28"/>
        <v>47.336400000000005</v>
      </c>
      <c r="J110" s="156">
        <f t="shared" si="28"/>
        <v>59.170499999999997</v>
      </c>
      <c r="K110" s="156">
        <f t="shared" si="28"/>
        <v>94.672800000000009</v>
      </c>
      <c r="L110" s="156">
        <f t="shared" si="28"/>
        <v>142.00920000000002</v>
      </c>
      <c r="M110" s="156">
        <f t="shared" si="28"/>
        <v>189.34560000000002</v>
      </c>
      <c r="N110" s="156">
        <f t="shared" si="28"/>
        <v>236.68199999999999</v>
      </c>
    </row>
    <row r="111" spans="1:16" s="84" customFormat="1" x14ac:dyDescent="0.2">
      <c r="A111" s="2479"/>
      <c r="N111" s="1428"/>
      <c r="P111" s="2479"/>
    </row>
    <row r="112" spans="1:16" s="84" customFormat="1" x14ac:dyDescent="0.2">
      <c r="A112" s="2479"/>
      <c r="C112" s="154"/>
      <c r="F112" s="76"/>
      <c r="G112" s="76"/>
      <c r="H112" s="76"/>
      <c r="I112" s="76"/>
      <c r="J112" s="76"/>
      <c r="K112" s="76"/>
      <c r="L112" s="76"/>
      <c r="M112" s="76"/>
      <c r="N112" s="76"/>
      <c r="P112" s="2479"/>
    </row>
    <row r="113" spans="1:16" s="84" customFormat="1" x14ac:dyDescent="0.2">
      <c r="A113" s="2479"/>
      <c r="B113" s="147" t="s">
        <v>361</v>
      </c>
      <c r="F113" s="2568" t="str">
        <f t="shared" ref="F113:N113" si="29">F$94</f>
        <v>2010</v>
      </c>
      <c r="G113" s="2568">
        <f t="shared" si="29"/>
        <v>2015</v>
      </c>
      <c r="H113" s="2568">
        <f t="shared" si="29"/>
        <v>2020</v>
      </c>
      <c r="I113" s="2568">
        <f t="shared" si="29"/>
        <v>2025</v>
      </c>
      <c r="J113" s="2568">
        <f t="shared" si="29"/>
        <v>2030</v>
      </c>
      <c r="K113" s="2568">
        <f t="shared" si="29"/>
        <v>2035</v>
      </c>
      <c r="L113" s="2568">
        <f t="shared" si="29"/>
        <v>2040</v>
      </c>
      <c r="M113" s="2568">
        <f t="shared" si="29"/>
        <v>2045</v>
      </c>
      <c r="N113" s="2568">
        <f t="shared" si="29"/>
        <v>2050</v>
      </c>
      <c r="P113" s="2479"/>
    </row>
    <row r="114" spans="1:16" s="84" customFormat="1" x14ac:dyDescent="0.2">
      <c r="A114" s="2479"/>
      <c r="C114" s="84" t="s">
        <v>473</v>
      </c>
      <c r="E114" s="84" t="s">
        <v>492</v>
      </c>
      <c r="F114" s="1428">
        <f>F$110*INDEX(EF[CO2], MATCH("V.03",EF[Vector], 0))</f>
        <v>0</v>
      </c>
      <c r="G114" s="1428">
        <f>G$110*INDEX(EF[CO2], MATCH("V.03",EF[Vector], 0))</f>
        <v>0</v>
      </c>
      <c r="H114" s="1428">
        <f>H$110*INDEX(EF[CO2], MATCH("V.03",EF[Vector], 0))</f>
        <v>7.2898055999999993</v>
      </c>
      <c r="I114" s="1428">
        <f>I$110*INDEX(EF[CO2], MATCH("V.03",EF[Vector], 0))</f>
        <v>14.579611199999999</v>
      </c>
      <c r="J114" s="1428">
        <f>J$110*INDEX(EF[CO2], MATCH("V.03",EF[Vector], 0))</f>
        <v>18.224513999999996</v>
      </c>
      <c r="K114" s="1428">
        <f>K$110*INDEX(EF[CO2], MATCH("V.03",EF[Vector], 0))</f>
        <v>29.159222399999997</v>
      </c>
      <c r="L114" s="1428">
        <f>L$110*INDEX(EF[CO2], MATCH("V.03",EF[Vector], 0))</f>
        <v>43.7388336</v>
      </c>
      <c r="M114" s="1428">
        <f>M$110*INDEX(EF[CO2], MATCH("V.03",EF[Vector], 0))</f>
        <v>58.318444799999995</v>
      </c>
      <c r="N114" s="1428">
        <f>N$110*INDEX(EF[CO2], MATCH("V.03",EF[Vector], 0))</f>
        <v>72.898055999999983</v>
      </c>
      <c r="P114" s="2479"/>
    </row>
    <row r="115" spans="1:16" s="202" customFormat="1" x14ac:dyDescent="0.2">
      <c r="A115" s="2479"/>
      <c r="B115" s="84"/>
      <c r="C115" s="84" t="s">
        <v>474</v>
      </c>
      <c r="D115" s="84"/>
      <c r="E115" s="84"/>
      <c r="F115" s="1428">
        <f>F$110*INDEX(EF[CH4], MATCH("V.03",EF[Vector], 0))</f>
        <v>0</v>
      </c>
      <c r="G115" s="1428">
        <f>G$110*INDEX(EF[CH4], MATCH("V.03",EF[Vector], 0))</f>
        <v>0</v>
      </c>
      <c r="H115" s="1428">
        <f>H$110*INDEX(EF[CH4], MATCH("V.03",EF[Vector], 0))</f>
        <v>2.1414814490699954E-2</v>
      </c>
      <c r="I115" s="1428">
        <f>I$110*INDEX(EF[CH4], MATCH("V.03",EF[Vector], 0))</f>
        <v>4.2829628981399907E-2</v>
      </c>
      <c r="J115" s="1428">
        <f>J$110*INDEX(EF[CH4], MATCH("V.03",EF[Vector], 0))</f>
        <v>5.3537036226749879E-2</v>
      </c>
      <c r="K115" s="1428">
        <f>K$110*INDEX(EF[CH4], MATCH("V.03",EF[Vector], 0))</f>
        <v>8.5659257962799815E-2</v>
      </c>
      <c r="L115" s="1428">
        <f>L$110*INDEX(EF[CH4], MATCH("V.03",EF[Vector], 0))</f>
        <v>0.12848888694419972</v>
      </c>
      <c r="M115" s="1428">
        <f>M$110*INDEX(EF[CH4], MATCH("V.03",EF[Vector], 0))</f>
        <v>0.17131851592559963</v>
      </c>
      <c r="N115" s="1428">
        <f>N$110*INDEX(EF[CH4], MATCH("V.03",EF[Vector], 0))</f>
        <v>0.21414814490699952</v>
      </c>
      <c r="O115" s="84"/>
      <c r="P115" s="2479"/>
    </row>
    <row r="116" spans="1:16" s="84" customFormat="1" x14ac:dyDescent="0.2">
      <c r="A116" s="2479"/>
      <c r="C116" s="84" t="s">
        <v>475</v>
      </c>
      <c r="F116" s="1428">
        <f>F$110*INDEX(EF[N2O], MATCH("V.03",EF[Vector], 0))</f>
        <v>0</v>
      </c>
      <c r="G116" s="1428">
        <f>G$110*INDEX(EF[N2O], MATCH("V.03",EF[Vector], 0))</f>
        <v>0</v>
      </c>
      <c r="H116" s="1428">
        <f>H$110*INDEX(EF[N2O], MATCH("V.03",EF[Vector], 0))</f>
        <v>6.4576840859545043E-2</v>
      </c>
      <c r="I116" s="1428">
        <f>I$110*INDEX(EF[N2O], MATCH("V.03",EF[Vector], 0))</f>
        <v>0.12915368171909009</v>
      </c>
      <c r="J116" s="1428">
        <f>J$110*INDEX(EF[N2O], MATCH("V.03",EF[Vector], 0))</f>
        <v>0.16144210214886259</v>
      </c>
      <c r="K116" s="1428">
        <f>K$110*INDEX(EF[N2O], MATCH("V.03",EF[Vector], 0))</f>
        <v>0.25830736343818017</v>
      </c>
      <c r="L116" s="1428">
        <f>L$110*INDEX(EF[N2O], MATCH("V.03",EF[Vector], 0))</f>
        <v>0.38746104515727031</v>
      </c>
      <c r="M116" s="1428">
        <f>M$110*INDEX(EF[N2O], MATCH("V.03",EF[Vector], 0))</f>
        <v>0.51661472687636034</v>
      </c>
      <c r="N116" s="1428">
        <f>N$110*INDEX(EF[N2O], MATCH("V.03",EF[Vector], 0))</f>
        <v>0.64576840859545037</v>
      </c>
      <c r="P116" s="2479"/>
    </row>
    <row r="117" spans="1:16" s="147" customFormat="1" x14ac:dyDescent="0.2">
      <c r="A117" s="2479"/>
      <c r="B117" s="84"/>
      <c r="C117" s="84"/>
      <c r="D117" s="84"/>
      <c r="E117" s="84"/>
      <c r="F117" s="1428"/>
      <c r="G117" s="1428"/>
      <c r="H117" s="1428"/>
      <c r="I117" s="1428"/>
      <c r="J117" s="1428"/>
      <c r="K117" s="1428"/>
      <c r="L117" s="1428"/>
      <c r="M117" s="1428"/>
      <c r="N117" s="1428"/>
      <c r="O117" s="84"/>
      <c r="P117" s="2479"/>
    </row>
    <row r="118" spans="1:16" s="84" customFormat="1" x14ac:dyDescent="0.2">
      <c r="A118" s="2479"/>
      <c r="C118" s="84" t="s">
        <v>2409</v>
      </c>
      <c r="D118" s="2479"/>
      <c r="E118" s="2479"/>
      <c r="F118" s="1661"/>
      <c r="G118" s="1661"/>
      <c r="H118" s="1661"/>
      <c r="I118" s="1661"/>
      <c r="J118" s="1661"/>
      <c r="K118" s="1661"/>
      <c r="L118" s="1661"/>
      <c r="M118" s="1661"/>
      <c r="N118" s="1661"/>
      <c r="P118" s="2479"/>
    </row>
    <row r="119" spans="1:16" s="84" customFormat="1" x14ac:dyDescent="0.2">
      <c r="A119" s="2479"/>
      <c r="D119" s="2479" t="s">
        <v>2406</v>
      </c>
      <c r="E119" s="2479"/>
      <c r="F119" s="675">
        <f t="shared" ref="F119:N119" si="30">-F167</f>
        <v>0</v>
      </c>
      <c r="G119" s="675">
        <f t="shared" si="30"/>
        <v>0</v>
      </c>
      <c r="H119" s="675">
        <f t="shared" si="30"/>
        <v>23.668200000000002</v>
      </c>
      <c r="I119" s="675">
        <f t="shared" si="30"/>
        <v>47.336400000000005</v>
      </c>
      <c r="J119" s="675">
        <f t="shared" si="30"/>
        <v>59.170499999999997</v>
      </c>
      <c r="K119" s="675">
        <f t="shared" si="30"/>
        <v>94.672800000000009</v>
      </c>
      <c r="L119" s="675">
        <f t="shared" si="30"/>
        <v>142.00920000000002</v>
      </c>
      <c r="M119" s="675">
        <f t="shared" si="30"/>
        <v>189.34560000000002</v>
      </c>
      <c r="N119" s="675">
        <f t="shared" si="30"/>
        <v>236.68199999999999</v>
      </c>
      <c r="P119" s="2479"/>
    </row>
    <row r="120" spans="1:16" s="84" customFormat="1" x14ac:dyDescent="0.2">
      <c r="A120" s="2479"/>
      <c r="D120" s="2479"/>
      <c r="E120" s="2479"/>
      <c r="F120" s="1747" t="str">
        <f t="shared" ref="F120:N120" si="31">IF(SUM(F119:F119,F167:F167)=0,"ok","error")</f>
        <v>ok</v>
      </c>
      <c r="G120" s="1747" t="str">
        <f t="shared" si="31"/>
        <v>ok</v>
      </c>
      <c r="H120" s="1747" t="str">
        <f t="shared" si="31"/>
        <v>ok</v>
      </c>
      <c r="I120" s="1747" t="str">
        <f t="shared" si="31"/>
        <v>ok</v>
      </c>
      <c r="J120" s="1747" t="str">
        <f t="shared" si="31"/>
        <v>ok</v>
      </c>
      <c r="K120" s="1747" t="str">
        <f t="shared" si="31"/>
        <v>ok</v>
      </c>
      <c r="L120" s="1747" t="str">
        <f t="shared" si="31"/>
        <v>ok</v>
      </c>
      <c r="M120" s="1747" t="str">
        <f t="shared" si="31"/>
        <v>ok</v>
      </c>
      <c r="N120" s="1747" t="str">
        <f t="shared" si="31"/>
        <v>ok</v>
      </c>
      <c r="P120" s="2479"/>
    </row>
    <row r="121" spans="1:16" s="84" customFormat="1" x14ac:dyDescent="0.2">
      <c r="A121" s="2479"/>
      <c r="D121" s="2479"/>
      <c r="E121" s="2479"/>
      <c r="F121" s="1747"/>
      <c r="G121" s="1747"/>
      <c r="H121" s="1747"/>
      <c r="I121" s="1747"/>
      <c r="J121" s="1747"/>
      <c r="K121" s="1747"/>
      <c r="L121" s="1747"/>
      <c r="M121" s="1747"/>
      <c r="N121" s="1747"/>
      <c r="P121" s="2479"/>
    </row>
    <row r="122" spans="1:16" s="84" customFormat="1" x14ac:dyDescent="0.2">
      <c r="A122" s="2479"/>
      <c r="D122" s="2479"/>
      <c r="E122" s="2479"/>
      <c r="F122" s="2568" t="str">
        <f t="shared" ref="F122:N122" si="32">F$94</f>
        <v>2010</v>
      </c>
      <c r="G122" s="2568">
        <f t="shared" si="32"/>
        <v>2015</v>
      </c>
      <c r="H122" s="2568">
        <f t="shared" si="32"/>
        <v>2020</v>
      </c>
      <c r="I122" s="2568">
        <f t="shared" si="32"/>
        <v>2025</v>
      </c>
      <c r="J122" s="2568">
        <f t="shared" si="32"/>
        <v>2030</v>
      </c>
      <c r="K122" s="2568">
        <f t="shared" si="32"/>
        <v>2035</v>
      </c>
      <c r="L122" s="2568">
        <f t="shared" si="32"/>
        <v>2040</v>
      </c>
      <c r="M122" s="2568">
        <f t="shared" si="32"/>
        <v>2045</v>
      </c>
      <c r="N122" s="2568">
        <f t="shared" si="32"/>
        <v>2050</v>
      </c>
      <c r="P122" s="2479"/>
    </row>
    <row r="123" spans="1:16" s="84" customFormat="1" x14ac:dyDescent="0.2">
      <c r="A123" s="2479"/>
      <c r="B123" s="2479"/>
      <c r="C123" s="2479" t="str">
        <f>INDEX(AirQualityVectors[Code],MATCH(D123,AirQualityVectors[Description],0))</f>
        <v>AQ.01</v>
      </c>
      <c r="D123" s="2479" t="s">
        <v>1791</v>
      </c>
      <c r="E123" s="2479" t="s">
        <v>1848</v>
      </c>
      <c r="F123" s="615">
        <f t="shared" ref="F123:N123" si="33">SUMPRODUCT(F$119:F$119,F$49:F$49)</f>
        <v>0</v>
      </c>
      <c r="G123" s="615">
        <f t="shared" si="33"/>
        <v>0</v>
      </c>
      <c r="H123" s="615">
        <f t="shared" si="33"/>
        <v>1.7167807763999994</v>
      </c>
      <c r="I123" s="615">
        <f t="shared" si="33"/>
        <v>1.1597418000000002</v>
      </c>
      <c r="J123" s="615">
        <f t="shared" si="33"/>
        <v>1.4496772499999999</v>
      </c>
      <c r="K123" s="615">
        <f t="shared" si="33"/>
        <v>2.3194836000000003</v>
      </c>
      <c r="L123" s="615">
        <f t="shared" si="33"/>
        <v>3.4792254000000007</v>
      </c>
      <c r="M123" s="615">
        <f t="shared" si="33"/>
        <v>4.6389672000000006</v>
      </c>
      <c r="N123" s="615">
        <f t="shared" si="33"/>
        <v>5.7987089999999997</v>
      </c>
      <c r="O123" s="2479"/>
      <c r="P123" s="2479"/>
    </row>
    <row r="124" spans="1:16" s="84" customFormat="1" x14ac:dyDescent="0.2">
      <c r="A124" s="2479"/>
      <c r="B124" s="2479"/>
      <c r="C124" s="2479" t="str">
        <f>INDEX(AirQualityVectors[Code],MATCH(D124,AirQualityVectors[Description],0))</f>
        <v>AQ.02</v>
      </c>
      <c r="D124" s="2479" t="s">
        <v>1794</v>
      </c>
      <c r="E124" s="2479"/>
      <c r="F124" s="615">
        <f t="shared" ref="F124:N124" si="34">SUMPRODUCT(F$119:F$119,F$54:F$54)</f>
        <v>0</v>
      </c>
      <c r="G124" s="615">
        <f t="shared" si="34"/>
        <v>0</v>
      </c>
      <c r="H124" s="615">
        <f t="shared" si="34"/>
        <v>7.6372705548000086</v>
      </c>
      <c r="I124" s="615">
        <f t="shared" si="34"/>
        <v>14.532274800000001</v>
      </c>
      <c r="J124" s="615">
        <f t="shared" si="34"/>
        <v>18.165343499999999</v>
      </c>
      <c r="K124" s="615">
        <f t="shared" si="34"/>
        <v>29.064549600000003</v>
      </c>
      <c r="L124" s="615">
        <f t="shared" si="34"/>
        <v>43.596824400000003</v>
      </c>
      <c r="M124" s="615">
        <f t="shared" si="34"/>
        <v>58.129099200000006</v>
      </c>
      <c r="N124" s="615">
        <f t="shared" si="34"/>
        <v>72.661373999999995</v>
      </c>
      <c r="O124" s="2479"/>
      <c r="P124" s="2479"/>
    </row>
    <row r="125" spans="1:16" s="84" customFormat="1" x14ac:dyDescent="0.2">
      <c r="A125" s="2479"/>
      <c r="B125" s="2479"/>
      <c r="C125" s="2479" t="str">
        <f>INDEX(AirQualityVectors[Code],MATCH(D125,AirQualityVectors[Description],0))</f>
        <v>AQ.03</v>
      </c>
      <c r="D125" s="2479" t="s">
        <v>1795</v>
      </c>
      <c r="E125" s="2479"/>
      <c r="F125" s="615">
        <f t="shared" ref="F125:N125" si="35">SUMPRODUCT(F$119:F$119,F$59:F$59)</f>
        <v>0</v>
      </c>
      <c r="G125" s="615">
        <f t="shared" si="35"/>
        <v>0</v>
      </c>
      <c r="H125" s="615">
        <f t="shared" si="35"/>
        <v>0.85365053537945679</v>
      </c>
      <c r="I125" s="615">
        <f t="shared" si="35"/>
        <v>1.7073010707589136</v>
      </c>
      <c r="J125" s="615">
        <f t="shared" si="35"/>
        <v>2.1341263384486417</v>
      </c>
      <c r="K125" s="615">
        <f t="shared" si="35"/>
        <v>3.4146021415178271</v>
      </c>
      <c r="L125" s="615">
        <f t="shared" si="35"/>
        <v>5.1219032122767407</v>
      </c>
      <c r="M125" s="615">
        <f t="shared" si="35"/>
        <v>6.8292042830356543</v>
      </c>
      <c r="N125" s="615">
        <f t="shared" si="35"/>
        <v>8.536505353794567</v>
      </c>
      <c r="O125" s="2479"/>
      <c r="P125" s="2479"/>
    </row>
    <row r="126" spans="1:16" s="84" customFormat="1" x14ac:dyDescent="0.2">
      <c r="A126" s="2479"/>
      <c r="B126" s="2479"/>
      <c r="C126" s="2479" t="str">
        <f>INDEX(AirQualityVectors[Code],MATCH(D126,AirQualityVectors[Description],0))</f>
        <v>AQ.04</v>
      </c>
      <c r="D126" s="2479" t="s">
        <v>1792</v>
      </c>
      <c r="E126" s="2479"/>
      <c r="F126" s="615">
        <f t="shared" ref="F126:N126" si="36">SUMPRODUCT(F$119:F$119,F$64:F$64)</f>
        <v>0</v>
      </c>
      <c r="G126" s="615">
        <f t="shared" si="36"/>
        <v>0</v>
      </c>
      <c r="H126" s="615">
        <f t="shared" si="36"/>
        <v>1.646498210795762</v>
      </c>
      <c r="I126" s="615">
        <f t="shared" si="36"/>
        <v>3.2929964215915239</v>
      </c>
      <c r="J126" s="615">
        <f t="shared" si="36"/>
        <v>4.1162455269894043</v>
      </c>
      <c r="K126" s="615">
        <f t="shared" si="36"/>
        <v>6.5859928431830479</v>
      </c>
      <c r="L126" s="615">
        <f t="shared" si="36"/>
        <v>9.8789892647745727</v>
      </c>
      <c r="M126" s="615">
        <f t="shared" si="36"/>
        <v>13.171985686366096</v>
      </c>
      <c r="N126" s="615">
        <f t="shared" si="36"/>
        <v>16.464982107957617</v>
      </c>
      <c r="O126" s="2479"/>
      <c r="P126" s="2479"/>
    </row>
    <row r="127" spans="1:16" s="84" customFormat="1" x14ac:dyDescent="0.2">
      <c r="A127" s="2479"/>
      <c r="B127" s="2479"/>
      <c r="C127" s="2479"/>
      <c r="D127" s="2479"/>
      <c r="E127" s="2479"/>
      <c r="F127" s="2479"/>
      <c r="G127" s="2479"/>
      <c r="H127" s="2479"/>
      <c r="I127" s="2479"/>
      <c r="J127" s="2479"/>
      <c r="K127" s="2479"/>
      <c r="L127" s="2479"/>
      <c r="M127" s="2479"/>
      <c r="N127" s="2479"/>
      <c r="O127" s="2479"/>
      <c r="P127" s="2479"/>
    </row>
    <row r="128" spans="1:16" s="84" customFormat="1" x14ac:dyDescent="0.2">
      <c r="A128" s="2479"/>
      <c r="B128" s="147" t="s">
        <v>1228</v>
      </c>
      <c r="C128" s="154"/>
      <c r="F128" s="76"/>
      <c r="G128" s="76"/>
      <c r="H128" s="76"/>
      <c r="I128" s="76"/>
      <c r="J128" s="76"/>
      <c r="K128" s="76"/>
      <c r="L128" s="76"/>
      <c r="M128" s="76"/>
      <c r="N128" s="76"/>
      <c r="P128" s="2479"/>
    </row>
    <row r="129" spans="1:16" s="84" customFormat="1" x14ac:dyDescent="0.2">
      <c r="A129" s="2479"/>
      <c r="C129" s="154"/>
      <c r="F129" s="76"/>
      <c r="G129" s="76"/>
      <c r="H129" s="76"/>
      <c r="I129" s="76"/>
      <c r="J129" s="76"/>
      <c r="K129" s="76"/>
      <c r="L129" s="76"/>
      <c r="M129" s="76"/>
      <c r="N129" s="76"/>
      <c r="P129" s="588"/>
    </row>
    <row r="130" spans="1:16" x14ac:dyDescent="0.2">
      <c r="B130" s="84"/>
      <c r="C130" s="18" t="s">
        <v>10</v>
      </c>
      <c r="D130" s="18"/>
      <c r="E130" s="18" t="str">
        <f>Preferences.PowerUnits</f>
        <v>GW</v>
      </c>
      <c r="F130" s="454">
        <f t="shared" ref="F130:G130" si="37">F$104</f>
        <v>0</v>
      </c>
      <c r="G130" s="454">
        <f t="shared" si="37"/>
        <v>0</v>
      </c>
      <c r="H130" s="454">
        <f>H$102</f>
        <v>1</v>
      </c>
      <c r="I130" s="454">
        <f t="shared" ref="I130:N130" si="38">I$102</f>
        <v>2</v>
      </c>
      <c r="J130" s="454">
        <f t="shared" si="38"/>
        <v>2.5</v>
      </c>
      <c r="K130" s="454">
        <f t="shared" si="38"/>
        <v>4</v>
      </c>
      <c r="L130" s="454">
        <f t="shared" si="38"/>
        <v>6</v>
      </c>
      <c r="M130" s="454">
        <f t="shared" si="38"/>
        <v>8</v>
      </c>
      <c r="N130" s="454">
        <f t="shared" si="38"/>
        <v>10</v>
      </c>
      <c r="O130" s="84"/>
      <c r="P130" s="588"/>
    </row>
    <row r="131" spans="1:16" x14ac:dyDescent="0.2">
      <c r="B131" s="84"/>
      <c r="C131" s="202"/>
      <c r="D131" s="202"/>
      <c r="E131" s="202"/>
      <c r="F131" s="922"/>
      <c r="G131" s="922"/>
      <c r="H131" s="922"/>
      <c r="I131" s="922"/>
      <c r="J131" s="922"/>
      <c r="K131" s="922"/>
      <c r="L131" s="922"/>
      <c r="M131" s="922"/>
      <c r="N131" s="922"/>
      <c r="O131" s="84"/>
      <c r="P131" s="588"/>
    </row>
    <row r="132" spans="1:16" x14ac:dyDescent="0.2">
      <c r="B132" s="365" t="s">
        <v>1274</v>
      </c>
      <c r="C132" s="2527"/>
      <c r="D132" s="365"/>
      <c r="E132" s="365"/>
      <c r="F132" s="2528">
        <v>2010</v>
      </c>
      <c r="G132" s="2528">
        <v>2015</v>
      </c>
      <c r="H132" s="2528">
        <v>2020</v>
      </c>
      <c r="I132" s="2528">
        <v>2025</v>
      </c>
      <c r="J132" s="2528">
        <v>2030</v>
      </c>
      <c r="K132" s="2528">
        <v>2035</v>
      </c>
      <c r="L132" s="2528">
        <v>2040</v>
      </c>
      <c r="M132" s="2528">
        <v>2045</v>
      </c>
      <c r="N132" s="2528">
        <v>2050</v>
      </c>
      <c r="P132" s="588"/>
    </row>
    <row r="133" spans="1:16" x14ac:dyDescent="0.2">
      <c r="B133" s="365"/>
      <c r="C133" s="365" t="s">
        <v>1971</v>
      </c>
      <c r="D133" s="365"/>
      <c r="E133" s="365" t="s">
        <v>247</v>
      </c>
      <c r="F133" s="2529">
        <v>0</v>
      </c>
      <c r="G133" s="2529">
        <f t="shared" ref="G133:N133" si="39">(G130-F130)</f>
        <v>0</v>
      </c>
      <c r="H133" s="2529">
        <f t="shared" si="39"/>
        <v>1</v>
      </c>
      <c r="I133" s="2529">
        <f t="shared" si="39"/>
        <v>1</v>
      </c>
      <c r="J133" s="2529">
        <f t="shared" si="39"/>
        <v>0.5</v>
      </c>
      <c r="K133" s="2529">
        <f t="shared" si="39"/>
        <v>1.5</v>
      </c>
      <c r="L133" s="2529">
        <f t="shared" si="39"/>
        <v>2</v>
      </c>
      <c r="M133" s="2529">
        <f t="shared" si="39"/>
        <v>2</v>
      </c>
      <c r="N133" s="2529">
        <f t="shared" si="39"/>
        <v>2</v>
      </c>
      <c r="P133" s="588"/>
    </row>
    <row r="134" spans="1:16" s="84" customFormat="1" ht="13.5" customHeight="1" x14ac:dyDescent="0.2">
      <c r="A134" s="2479"/>
      <c r="B134" s="365"/>
      <c r="C134" s="2530" t="s">
        <v>1972</v>
      </c>
      <c r="D134" s="2530"/>
      <c r="E134" s="2530" t="s">
        <v>247</v>
      </c>
      <c r="F134" s="2531">
        <f>F130*3/20</f>
        <v>0</v>
      </c>
      <c r="G134" s="2531">
        <f t="shared" ref="G134:N134" si="40">F130/4</f>
        <v>0</v>
      </c>
      <c r="H134" s="2531">
        <f t="shared" si="40"/>
        <v>0</v>
      </c>
      <c r="I134" s="2531">
        <f t="shared" si="40"/>
        <v>0.25</v>
      </c>
      <c r="J134" s="2531">
        <f t="shared" si="40"/>
        <v>0.5</v>
      </c>
      <c r="K134" s="2531">
        <f t="shared" si="40"/>
        <v>0.625</v>
      </c>
      <c r="L134" s="2531">
        <f t="shared" si="40"/>
        <v>1</v>
      </c>
      <c r="M134" s="2531">
        <f t="shared" si="40"/>
        <v>1.5</v>
      </c>
      <c r="N134" s="2531">
        <f t="shared" si="40"/>
        <v>2</v>
      </c>
      <c r="O134" s="2479"/>
      <c r="P134" s="588"/>
    </row>
    <row r="135" spans="1:16" s="84" customFormat="1" x14ac:dyDescent="0.2">
      <c r="A135" s="2479"/>
      <c r="B135" s="365"/>
      <c r="C135" s="365" t="str">
        <f>"Approximate total "&amp;F42/Unit.GW&amp;" GW locations"</f>
        <v>Approximate total 0 GW locations</v>
      </c>
      <c r="D135" s="365"/>
      <c r="E135" s="365" t="s">
        <v>1275</v>
      </c>
      <c r="F135" s="2524">
        <f t="shared" ref="F135:N135" si="41">F$133/plantsize.I.a</f>
        <v>0</v>
      </c>
      <c r="G135" s="2524">
        <f t="shared" si="41"/>
        <v>0</v>
      </c>
      <c r="H135" s="2524">
        <f t="shared" si="41"/>
        <v>1</v>
      </c>
      <c r="I135" s="2524">
        <f t="shared" si="41"/>
        <v>1</v>
      </c>
      <c r="J135" s="2524">
        <f t="shared" si="41"/>
        <v>0.5</v>
      </c>
      <c r="K135" s="2524">
        <f t="shared" si="41"/>
        <v>1.5</v>
      </c>
      <c r="L135" s="2524">
        <f t="shared" si="41"/>
        <v>2</v>
      </c>
      <c r="M135" s="2524">
        <f t="shared" si="41"/>
        <v>2</v>
      </c>
      <c r="N135" s="2524">
        <f t="shared" si="41"/>
        <v>2</v>
      </c>
      <c r="O135" s="2479"/>
      <c r="P135" s="588"/>
    </row>
    <row r="136" spans="1:16" s="84" customFormat="1" ht="13.5" customHeight="1" x14ac:dyDescent="0.2">
      <c r="A136" s="2479"/>
      <c r="B136" s="365"/>
      <c r="C136" s="365" t="s">
        <v>1973</v>
      </c>
      <c r="D136" s="365"/>
      <c r="E136" s="365" t="s">
        <v>1275</v>
      </c>
      <c r="F136" s="2524">
        <f t="shared" ref="F136:N136" si="42">MAX((F133+F134)/plantsize.I.a,0)</f>
        <v>0</v>
      </c>
      <c r="G136" s="2524">
        <f t="shared" si="42"/>
        <v>0</v>
      </c>
      <c r="H136" s="2524">
        <f t="shared" si="42"/>
        <v>1</v>
      </c>
      <c r="I136" s="2524">
        <f t="shared" si="42"/>
        <v>1.25</v>
      </c>
      <c r="J136" s="2524">
        <f t="shared" si="42"/>
        <v>1</v>
      </c>
      <c r="K136" s="2524">
        <f t="shared" si="42"/>
        <v>2.125</v>
      </c>
      <c r="L136" s="2524">
        <f t="shared" si="42"/>
        <v>3</v>
      </c>
      <c r="M136" s="2524">
        <f t="shared" si="42"/>
        <v>3.5</v>
      </c>
      <c r="N136" s="2524">
        <f t="shared" si="42"/>
        <v>4</v>
      </c>
      <c r="O136" s="2479"/>
      <c r="P136" s="588"/>
    </row>
    <row r="137" spans="1:16" s="84" customFormat="1" ht="13.5" customHeight="1" x14ac:dyDescent="0.2">
      <c r="A137" s="2479"/>
      <c r="B137" s="365"/>
      <c r="C137" s="365" t="str">
        <f>"Number of "&amp;F42/Unit.GW&amp;" GW locations per year"</f>
        <v>Number of 0 GW locations per year</v>
      </c>
      <c r="D137" s="365"/>
      <c r="E137" s="365" t="s">
        <v>1276</v>
      </c>
      <c r="F137" s="2532">
        <v>0</v>
      </c>
      <c r="G137" s="2532">
        <f>IFERROR(G136/(G$102-F$102),0)</f>
        <v>0</v>
      </c>
      <c r="H137" s="2532">
        <f t="shared" ref="H137:N137" si="43">IFERROR(H136/(H$102-G$102),0)</f>
        <v>1</v>
      </c>
      <c r="I137" s="2532">
        <f t="shared" si="43"/>
        <v>1.25</v>
      </c>
      <c r="J137" s="2532">
        <f t="shared" si="43"/>
        <v>2</v>
      </c>
      <c r="K137" s="2532">
        <f t="shared" si="43"/>
        <v>1.4166666666666667</v>
      </c>
      <c r="L137" s="2532">
        <f t="shared" si="43"/>
        <v>1.5</v>
      </c>
      <c r="M137" s="2532">
        <f t="shared" si="43"/>
        <v>1.75</v>
      </c>
      <c r="N137" s="2532">
        <f t="shared" si="43"/>
        <v>2</v>
      </c>
      <c r="O137" s="2479"/>
      <c r="P137" s="588"/>
    </row>
    <row r="138" spans="1:16" s="84" customFormat="1" ht="13.5" customHeight="1" x14ac:dyDescent="0.2">
      <c r="A138" s="2479"/>
      <c r="B138" s="2479"/>
      <c r="C138" s="2479"/>
      <c r="D138" s="2479"/>
      <c r="E138" s="2479"/>
      <c r="F138" s="1026"/>
      <c r="G138" s="1026"/>
      <c r="H138" s="1026"/>
      <c r="I138" s="1026"/>
      <c r="J138" s="1026"/>
      <c r="K138" s="1026"/>
      <c r="L138" s="1026"/>
      <c r="M138" s="1026"/>
      <c r="N138" s="1026"/>
      <c r="O138" s="2479"/>
      <c r="P138" s="588"/>
    </row>
    <row r="139" spans="1:16" x14ac:dyDescent="0.2">
      <c r="C139" s="84"/>
      <c r="F139" s="1026"/>
      <c r="G139" s="1026"/>
      <c r="H139" s="1026"/>
      <c r="I139" s="1026"/>
      <c r="J139" s="1026"/>
      <c r="K139" s="1026"/>
      <c r="L139" s="1026"/>
      <c r="M139" s="1026"/>
      <c r="N139" s="1026"/>
      <c r="O139" s="84"/>
    </row>
    <row r="140" spans="1:16" x14ac:dyDescent="0.2">
      <c r="B140" s="1427" t="s">
        <v>1424</v>
      </c>
      <c r="C140" s="84"/>
      <c r="F140" s="1026"/>
      <c r="G140" s="1026"/>
      <c r="H140" s="1026"/>
      <c r="I140" s="1026"/>
      <c r="J140" s="1026"/>
      <c r="K140" s="1026"/>
      <c r="L140" s="1026"/>
      <c r="M140" s="1026"/>
      <c r="N140" s="1026"/>
      <c r="O140" s="84"/>
    </row>
    <row r="141" spans="1:16" s="84" customFormat="1" x14ac:dyDescent="0.2">
      <c r="A141" s="2479"/>
      <c r="B141" s="2479"/>
      <c r="D141" s="2479"/>
      <c r="E141" s="2479"/>
      <c r="F141" s="1026"/>
      <c r="G141" s="1026"/>
      <c r="H141" s="1026"/>
      <c r="I141" s="1026"/>
      <c r="J141" s="1026"/>
      <c r="K141" s="1026"/>
      <c r="L141" s="1026"/>
      <c r="M141" s="1026"/>
      <c r="N141" s="1026"/>
      <c r="P141" s="2479"/>
    </row>
    <row r="142" spans="1:16" s="84" customFormat="1" x14ac:dyDescent="0.2">
      <c r="A142" s="2479"/>
      <c r="B142" s="2479" t="s">
        <v>1422</v>
      </c>
      <c r="C142" s="2479"/>
      <c r="D142" s="2479"/>
      <c r="E142" s="2479"/>
      <c r="F142" s="1748">
        <v>2010</v>
      </c>
      <c r="G142" s="1748">
        <v>2015</v>
      </c>
      <c r="H142" s="1748">
        <v>2020</v>
      </c>
      <c r="I142" s="1748">
        <v>2025</v>
      </c>
      <c r="J142" s="1748">
        <v>2030</v>
      </c>
      <c r="K142" s="1748">
        <v>2035</v>
      </c>
      <c r="L142" s="1748">
        <v>2040</v>
      </c>
      <c r="M142" s="1748">
        <v>2045</v>
      </c>
      <c r="N142" s="1748">
        <v>2050</v>
      </c>
    </row>
    <row r="143" spans="1:16" s="84" customFormat="1" x14ac:dyDescent="0.2">
      <c r="A143" s="2479"/>
      <c r="B143" s="2479"/>
      <c r="C143" s="2479" t="s">
        <v>1418</v>
      </c>
      <c r="D143" s="2479"/>
      <c r="E143" s="2479" t="str">
        <f>Preferences.moneyunits</f>
        <v>N</v>
      </c>
      <c r="F143" s="1262">
        <f>IFERROR((F137*F$73),0)</f>
        <v>0</v>
      </c>
      <c r="G143" s="1262">
        <f t="shared" ref="G143:N143" si="44">IFERROR((G137*G$73),0)</f>
        <v>0</v>
      </c>
      <c r="H143" s="1262">
        <f t="shared" si="44"/>
        <v>1275000000</v>
      </c>
      <c r="I143" s="1262">
        <f t="shared" si="44"/>
        <v>1593750000</v>
      </c>
      <c r="J143" s="1262">
        <f t="shared" si="44"/>
        <v>2550000000</v>
      </c>
      <c r="K143" s="1262">
        <f t="shared" si="44"/>
        <v>1806250000</v>
      </c>
      <c r="L143" s="1262">
        <f t="shared" si="44"/>
        <v>1912500000</v>
      </c>
      <c r="M143" s="1262">
        <f t="shared" si="44"/>
        <v>2231250000</v>
      </c>
      <c r="N143" s="1262">
        <f t="shared" si="44"/>
        <v>2550000000</v>
      </c>
    </row>
    <row r="144" spans="1:16" s="84" customFormat="1" x14ac:dyDescent="0.2">
      <c r="A144" s="2479"/>
      <c r="B144" s="2479"/>
      <c r="C144" s="2479" t="s">
        <v>1419</v>
      </c>
      <c r="D144" s="2479"/>
      <c r="E144" s="2479" t="str">
        <f>Preferences.moneyunits</f>
        <v>N</v>
      </c>
      <c r="F144" s="1262">
        <f>(F135*F$81)</f>
        <v>0</v>
      </c>
      <c r="G144" s="1262">
        <f t="shared" ref="G144:N144" si="45">(G135*G$81)</f>
        <v>0</v>
      </c>
      <c r="H144" s="1262">
        <f t="shared" si="45"/>
        <v>48750</v>
      </c>
      <c r="I144" s="1262">
        <f t="shared" si="45"/>
        <v>48750</v>
      </c>
      <c r="J144" s="1262">
        <f t="shared" si="45"/>
        <v>24375</v>
      </c>
      <c r="K144" s="1262">
        <f t="shared" si="45"/>
        <v>73125</v>
      </c>
      <c r="L144" s="1262">
        <f t="shared" si="45"/>
        <v>97500</v>
      </c>
      <c r="M144" s="1262">
        <f t="shared" si="45"/>
        <v>97500</v>
      </c>
      <c r="N144" s="1262">
        <f t="shared" si="45"/>
        <v>97500</v>
      </c>
    </row>
    <row r="145" spans="1:17" s="84" customFormat="1" x14ac:dyDescent="0.2">
      <c r="A145" s="2479"/>
      <c r="B145" s="2479"/>
      <c r="C145" s="2479" t="s">
        <v>1421</v>
      </c>
      <c r="D145" s="2479"/>
      <c r="E145" s="2479" t="str">
        <f>Preferences.moneyunits</f>
        <v>N</v>
      </c>
      <c r="F145" s="1262">
        <f t="shared" ref="F145:N145" si="46">SUM(F143:F144)</f>
        <v>0</v>
      </c>
      <c r="G145" s="1262">
        <f t="shared" si="46"/>
        <v>0</v>
      </c>
      <c r="H145" s="1262">
        <f t="shared" si="46"/>
        <v>1275048750</v>
      </c>
      <c r="I145" s="1262">
        <f t="shared" si="46"/>
        <v>1593798750</v>
      </c>
      <c r="J145" s="1262">
        <f t="shared" si="46"/>
        <v>2550024375</v>
      </c>
      <c r="K145" s="1262">
        <f t="shared" si="46"/>
        <v>1806323125</v>
      </c>
      <c r="L145" s="1262">
        <f t="shared" si="46"/>
        <v>1912597500</v>
      </c>
      <c r="M145" s="1262">
        <f t="shared" si="46"/>
        <v>2231347500</v>
      </c>
      <c r="N145" s="1262">
        <f t="shared" si="46"/>
        <v>2550097500</v>
      </c>
      <c r="P145" s="34"/>
    </row>
    <row r="146" spans="1:17" s="84" customFormat="1" x14ac:dyDescent="0.2">
      <c r="A146" s="2479"/>
      <c r="B146" s="2479"/>
      <c r="C146" s="2479"/>
      <c r="D146" s="2479"/>
      <c r="E146" s="2479"/>
      <c r="F146" s="1262"/>
      <c r="G146" s="1262"/>
      <c r="H146" s="1262"/>
      <c r="I146" s="1262"/>
      <c r="J146" s="1262"/>
      <c r="K146" s="1262"/>
      <c r="L146" s="1262"/>
      <c r="M146" s="1262"/>
      <c r="N146" s="1262"/>
      <c r="P146" s="37"/>
    </row>
    <row r="147" spans="1:17" s="84" customFormat="1" x14ac:dyDescent="0.2">
      <c r="A147" s="2479"/>
      <c r="B147" s="2479" t="s">
        <v>1874</v>
      </c>
      <c r="C147" s="2479"/>
      <c r="D147" s="2479"/>
      <c r="E147" s="2479"/>
      <c r="F147" s="1748">
        <v>2010</v>
      </c>
      <c r="G147" s="1748">
        <v>2015</v>
      </c>
      <c r="H147" s="1748">
        <v>2020</v>
      </c>
      <c r="I147" s="1748">
        <v>2025</v>
      </c>
      <c r="J147" s="1748">
        <v>2030</v>
      </c>
      <c r="K147" s="1748">
        <v>2035</v>
      </c>
      <c r="L147" s="1748">
        <v>2040</v>
      </c>
      <c r="M147" s="1748">
        <v>2045</v>
      </c>
      <c r="N147" s="1748">
        <v>2050</v>
      </c>
      <c r="O147" s="2479"/>
      <c r="P147" s="37"/>
    </row>
    <row r="148" spans="1:17" s="84" customFormat="1" x14ac:dyDescent="0.2">
      <c r="A148" s="2479"/>
      <c r="B148" s="2479"/>
      <c r="C148" s="2479" t="s">
        <v>1418</v>
      </c>
      <c r="D148" s="2479"/>
      <c r="E148" s="2479" t="str">
        <f>Preferences.moneyunits</f>
        <v>N</v>
      </c>
      <c r="F148" s="1262">
        <f>(F137*F$74)</f>
        <v>0</v>
      </c>
      <c r="G148" s="1262">
        <f t="shared" ref="G148:N148" si="47">(G137*G$74)</f>
        <v>0</v>
      </c>
      <c r="H148" s="1262">
        <f t="shared" si="47"/>
        <v>1125000000</v>
      </c>
      <c r="I148" s="1262">
        <f t="shared" si="47"/>
        <v>1406250000</v>
      </c>
      <c r="J148" s="1262">
        <f t="shared" si="47"/>
        <v>2250000000</v>
      </c>
      <c r="K148" s="1262">
        <f t="shared" si="47"/>
        <v>1593750000</v>
      </c>
      <c r="L148" s="1262">
        <f t="shared" si="47"/>
        <v>1687500000</v>
      </c>
      <c r="M148" s="1262">
        <f t="shared" si="47"/>
        <v>1968750000</v>
      </c>
      <c r="N148" s="1262">
        <f t="shared" si="47"/>
        <v>2250000000</v>
      </c>
      <c r="O148" s="2479"/>
      <c r="P148" s="37"/>
    </row>
    <row r="149" spans="1:17" s="84" customFormat="1" x14ac:dyDescent="0.2">
      <c r="A149" s="2479"/>
      <c r="B149" s="2479"/>
      <c r="C149" s="2479" t="s">
        <v>1419</v>
      </c>
      <c r="D149" s="2479"/>
      <c r="E149" s="2479" t="str">
        <f>Preferences.moneyunits</f>
        <v>N</v>
      </c>
      <c r="F149" s="1262">
        <f>(F135*F$82)</f>
        <v>0</v>
      </c>
      <c r="G149" s="1262">
        <f t="shared" ref="G149:N149" si="48">(G135*G$82)</f>
        <v>0</v>
      </c>
      <c r="H149" s="1262">
        <f t="shared" si="48"/>
        <v>28500</v>
      </c>
      <c r="I149" s="1262">
        <f t="shared" si="48"/>
        <v>28500</v>
      </c>
      <c r="J149" s="1262">
        <f t="shared" si="48"/>
        <v>14250</v>
      </c>
      <c r="K149" s="1262">
        <f t="shared" si="48"/>
        <v>42750</v>
      </c>
      <c r="L149" s="1262">
        <f t="shared" si="48"/>
        <v>57000</v>
      </c>
      <c r="M149" s="1262">
        <f t="shared" si="48"/>
        <v>57000</v>
      </c>
      <c r="N149" s="1262">
        <f t="shared" si="48"/>
        <v>57000</v>
      </c>
      <c r="O149" s="2479"/>
      <c r="P149" s="37"/>
    </row>
    <row r="150" spans="1:17" s="84" customFormat="1" x14ac:dyDescent="0.2">
      <c r="A150" s="2479"/>
      <c r="B150" s="2479"/>
      <c r="C150" s="2479" t="s">
        <v>1421</v>
      </c>
      <c r="D150" s="2479"/>
      <c r="E150" s="2479" t="str">
        <f>Preferences.moneyunits</f>
        <v>N</v>
      </c>
      <c r="F150" s="1262">
        <f t="shared" ref="F150:N150" si="49">SUM(F148:F149)</f>
        <v>0</v>
      </c>
      <c r="G150" s="1262">
        <f t="shared" si="49"/>
        <v>0</v>
      </c>
      <c r="H150" s="1262">
        <f t="shared" si="49"/>
        <v>1125028500</v>
      </c>
      <c r="I150" s="1262">
        <f t="shared" si="49"/>
        <v>1406278500</v>
      </c>
      <c r="J150" s="1262">
        <f t="shared" si="49"/>
        <v>2250014250</v>
      </c>
      <c r="K150" s="1262">
        <f t="shared" si="49"/>
        <v>1593792750</v>
      </c>
      <c r="L150" s="1262">
        <f t="shared" si="49"/>
        <v>1687557000</v>
      </c>
      <c r="M150" s="1262">
        <f t="shared" si="49"/>
        <v>1968807000</v>
      </c>
      <c r="N150" s="1262">
        <f t="shared" si="49"/>
        <v>2250057000</v>
      </c>
      <c r="O150" s="2479"/>
      <c r="P150" s="37"/>
    </row>
    <row r="151" spans="1:17" s="84" customFormat="1" x14ac:dyDescent="0.2">
      <c r="A151" s="2479"/>
      <c r="B151" s="2479"/>
      <c r="C151" s="2479"/>
      <c r="D151" s="2479"/>
      <c r="E151" s="2479"/>
      <c r="F151" s="2479"/>
      <c r="G151" s="2479"/>
      <c r="H151" s="2479"/>
      <c r="I151" s="2479"/>
      <c r="J151" s="2479"/>
      <c r="K151" s="2479"/>
      <c r="L151" s="2479"/>
      <c r="M151" s="2479"/>
      <c r="N151" s="2479"/>
      <c r="O151" s="2479"/>
      <c r="P151" s="37"/>
    </row>
    <row r="152" spans="1:17" s="84" customFormat="1" x14ac:dyDescent="0.2">
      <c r="A152" s="2479"/>
      <c r="B152" s="2479" t="s">
        <v>1420</v>
      </c>
      <c r="C152" s="2479"/>
      <c r="D152" s="2479"/>
      <c r="E152" s="2479"/>
      <c r="F152" s="1748">
        <v>2010</v>
      </c>
      <c r="G152" s="1748">
        <v>2015</v>
      </c>
      <c r="H152" s="1748">
        <v>2020</v>
      </c>
      <c r="I152" s="1748">
        <v>2025</v>
      </c>
      <c r="J152" s="1748">
        <v>2030</v>
      </c>
      <c r="K152" s="1748">
        <v>2035</v>
      </c>
      <c r="L152" s="1748">
        <v>2040</v>
      </c>
      <c r="M152" s="1748">
        <v>2045</v>
      </c>
      <c r="N152" s="1748">
        <v>2050</v>
      </c>
      <c r="O152" s="2479"/>
      <c r="P152" s="37"/>
    </row>
    <row r="153" spans="1:17" s="84" customFormat="1" x14ac:dyDescent="0.2">
      <c r="A153" s="2479"/>
      <c r="B153" s="2479"/>
      <c r="C153" s="2479" t="s">
        <v>1418</v>
      </c>
      <c r="D153" s="2479"/>
      <c r="E153" s="2479" t="str">
        <f>Preferences.moneyunits</f>
        <v>N</v>
      </c>
      <c r="F153" s="1262">
        <f>(F137*F$75)</f>
        <v>0</v>
      </c>
      <c r="G153" s="1262">
        <f t="shared" ref="G153:N153" si="50">(G137*G$75)</f>
        <v>0</v>
      </c>
      <c r="H153" s="1262">
        <f t="shared" si="50"/>
        <v>900000000</v>
      </c>
      <c r="I153" s="1262">
        <f t="shared" si="50"/>
        <v>1125000000</v>
      </c>
      <c r="J153" s="1262">
        <f t="shared" si="50"/>
        <v>1800000000</v>
      </c>
      <c r="K153" s="1262">
        <f t="shared" si="50"/>
        <v>1275000000</v>
      </c>
      <c r="L153" s="1262">
        <f t="shared" si="50"/>
        <v>1350000000</v>
      </c>
      <c r="M153" s="1262">
        <f t="shared" si="50"/>
        <v>1575000000</v>
      </c>
      <c r="N153" s="1262">
        <f t="shared" si="50"/>
        <v>1800000000</v>
      </c>
      <c r="O153" s="2479"/>
      <c r="P153" s="37"/>
    </row>
    <row r="154" spans="1:17" s="84" customFormat="1" x14ac:dyDescent="0.2">
      <c r="A154" s="2479"/>
      <c r="B154" s="2479"/>
      <c r="C154" s="2479" t="s">
        <v>1419</v>
      </c>
      <c r="D154" s="2479"/>
      <c r="E154" s="2479" t="str">
        <f>Preferences.moneyunits</f>
        <v>N</v>
      </c>
      <c r="F154" s="1262">
        <f>(F135*F$83)</f>
        <v>0</v>
      </c>
      <c r="G154" s="1262">
        <f t="shared" ref="G154:N154" si="51">(G135*G$83)</f>
        <v>0</v>
      </c>
      <c r="H154" s="1262">
        <f t="shared" si="51"/>
        <v>26250</v>
      </c>
      <c r="I154" s="1262">
        <f t="shared" si="51"/>
        <v>26250</v>
      </c>
      <c r="J154" s="1262">
        <f t="shared" si="51"/>
        <v>13125</v>
      </c>
      <c r="K154" s="1262">
        <f t="shared" si="51"/>
        <v>39375</v>
      </c>
      <c r="L154" s="1262">
        <f t="shared" si="51"/>
        <v>52500</v>
      </c>
      <c r="M154" s="1262">
        <f t="shared" si="51"/>
        <v>52500</v>
      </c>
      <c r="N154" s="1262">
        <f t="shared" si="51"/>
        <v>52500</v>
      </c>
      <c r="O154" s="2479"/>
      <c r="P154" s="37"/>
    </row>
    <row r="155" spans="1:17" s="84" customFormat="1" x14ac:dyDescent="0.2">
      <c r="A155" s="2479"/>
      <c r="B155" s="2479"/>
      <c r="C155" s="2479" t="s">
        <v>1421</v>
      </c>
      <c r="D155" s="2479"/>
      <c r="E155" s="2479" t="str">
        <f>Preferences.moneyunits</f>
        <v>N</v>
      </c>
      <c r="F155" s="1262">
        <f t="shared" ref="F155:N155" si="52">SUM(F153:F154)</f>
        <v>0</v>
      </c>
      <c r="G155" s="1262">
        <f t="shared" si="52"/>
        <v>0</v>
      </c>
      <c r="H155" s="1262">
        <f t="shared" si="52"/>
        <v>900026250</v>
      </c>
      <c r="I155" s="1262">
        <f t="shared" si="52"/>
        <v>1125026250</v>
      </c>
      <c r="J155" s="1262">
        <f t="shared" si="52"/>
        <v>1800013125</v>
      </c>
      <c r="K155" s="1262">
        <f t="shared" si="52"/>
        <v>1275039375</v>
      </c>
      <c r="L155" s="1262">
        <f t="shared" si="52"/>
        <v>1350052500</v>
      </c>
      <c r="M155" s="1262">
        <f t="shared" si="52"/>
        <v>1575052500</v>
      </c>
      <c r="N155" s="1262">
        <f t="shared" si="52"/>
        <v>1800052500</v>
      </c>
      <c r="O155" s="2479"/>
      <c r="P155" s="37"/>
    </row>
    <row r="156" spans="1:17" s="84" customFormat="1" x14ac:dyDescent="0.2">
      <c r="A156" s="2479"/>
      <c r="B156" s="2479"/>
      <c r="C156" s="2479"/>
      <c r="D156" s="2479"/>
      <c r="E156" s="2479"/>
      <c r="F156" s="2479"/>
      <c r="G156" s="2479"/>
      <c r="H156" s="2479"/>
      <c r="I156" s="2479"/>
      <c r="J156" s="2479"/>
      <c r="K156" s="2479"/>
      <c r="L156" s="2479"/>
      <c r="M156" s="2479"/>
      <c r="N156" s="2479"/>
      <c r="O156" s="2479"/>
      <c r="P156" s="2479"/>
    </row>
    <row r="157" spans="1:17" s="84" customFormat="1" x14ac:dyDescent="0.2">
      <c r="A157" s="2479"/>
      <c r="F157" s="1428"/>
      <c r="G157" s="1428"/>
      <c r="H157" s="1428"/>
      <c r="I157" s="1428"/>
      <c r="J157" s="1428"/>
      <c r="K157" s="1428"/>
      <c r="L157" s="1428"/>
      <c r="M157" s="1428"/>
      <c r="N157" s="1428"/>
      <c r="O157" s="1428"/>
      <c r="Q157" s="2479"/>
    </row>
    <row r="158" spans="1:17" x14ac:dyDescent="0.2">
      <c r="C158" s="84"/>
      <c r="F158" s="1026"/>
      <c r="G158" s="1026"/>
      <c r="H158" s="1026"/>
      <c r="I158" s="1026"/>
      <c r="J158" s="1026"/>
      <c r="K158" s="1026"/>
      <c r="L158" s="1026"/>
      <c r="M158" s="1026"/>
      <c r="N158" s="1026"/>
      <c r="O158" s="1026"/>
      <c r="P158" s="84"/>
    </row>
    <row r="159" spans="1:17" s="84" customFormat="1" x14ac:dyDescent="0.2">
      <c r="A159" s="2479"/>
      <c r="Q159" s="37"/>
    </row>
    <row r="160" spans="1:17" s="84" customFormat="1" ht="4.5" customHeight="1" x14ac:dyDescent="0.2">
      <c r="A160" s="2479"/>
      <c r="B160" s="2479"/>
      <c r="C160" s="2479"/>
      <c r="D160" s="2479"/>
      <c r="E160" s="2479"/>
      <c r="F160" s="2479"/>
      <c r="G160" s="2479"/>
      <c r="H160" s="2479"/>
      <c r="I160" s="2479"/>
      <c r="J160" s="2479"/>
      <c r="K160" s="2479"/>
      <c r="L160" s="2479"/>
      <c r="M160" s="2479"/>
      <c r="N160" s="2479"/>
      <c r="O160" s="2479"/>
      <c r="P160" s="2479"/>
      <c r="Q160" s="37"/>
    </row>
    <row r="161" spans="1:17" s="84" customFormat="1" ht="15.75" x14ac:dyDescent="0.2">
      <c r="A161" s="2479"/>
      <c r="B161" s="468" t="s">
        <v>236</v>
      </c>
      <c r="C161" s="421"/>
      <c r="D161" s="421"/>
      <c r="E161" s="421"/>
      <c r="F161" s="421"/>
      <c r="G161" s="421"/>
      <c r="H161" s="421"/>
      <c r="I161" s="421"/>
      <c r="J161" s="421"/>
      <c r="K161" s="421"/>
      <c r="L161" s="421"/>
      <c r="M161" s="421"/>
      <c r="N161" s="421"/>
      <c r="O161" s="421"/>
      <c r="P161" s="421"/>
      <c r="Q161" s="37"/>
    </row>
    <row r="162" spans="1:17" s="84" customFormat="1" x14ac:dyDescent="0.2">
      <c r="A162" s="2479"/>
      <c r="B162" s="410"/>
      <c r="C162" s="412"/>
      <c r="D162" s="412"/>
      <c r="E162" s="412"/>
      <c r="F162" s="412"/>
      <c r="G162" s="412"/>
      <c r="H162" s="412"/>
      <c r="I162" s="412"/>
      <c r="J162" s="412"/>
      <c r="K162" s="412"/>
      <c r="L162" s="412"/>
      <c r="M162" s="412"/>
      <c r="N162" s="412"/>
      <c r="O162" s="412"/>
      <c r="P162" s="414"/>
      <c r="Q162" s="1513"/>
    </row>
    <row r="163" spans="1:17" s="84" customFormat="1" x14ac:dyDescent="0.2">
      <c r="A163" s="2479"/>
      <c r="B163" s="410"/>
      <c r="C163" s="424" t="s">
        <v>277</v>
      </c>
      <c r="D163" s="412"/>
      <c r="E163" s="412"/>
      <c r="F163" s="412"/>
      <c r="G163" s="413"/>
      <c r="H163" s="412"/>
      <c r="I163" s="412"/>
      <c r="J163" s="412"/>
      <c r="K163" s="412"/>
      <c r="L163" s="412"/>
      <c r="M163" s="412"/>
      <c r="N163" s="413" t="str">
        <f>Preferences.EnergyUnits</f>
        <v>TWh</v>
      </c>
      <c r="P163" s="414"/>
      <c r="Q163" s="2479"/>
    </row>
    <row r="164" spans="1:17" s="84" customFormat="1" x14ac:dyDescent="0.2">
      <c r="A164" s="2479"/>
      <c r="B164" s="410"/>
      <c r="C164" s="412"/>
      <c r="D164" s="412"/>
      <c r="E164" s="412"/>
      <c r="F164" s="412"/>
      <c r="G164" s="412"/>
      <c r="H164" s="412"/>
      <c r="I164" s="412"/>
      <c r="J164" s="412"/>
      <c r="K164" s="412"/>
      <c r="L164" s="412"/>
      <c r="M164" s="412"/>
      <c r="N164" s="412"/>
      <c r="O164" s="412"/>
      <c r="P164" s="414"/>
      <c r="Q164" s="2479"/>
    </row>
    <row r="165" spans="1:17" s="84" customFormat="1" ht="15.75" x14ac:dyDescent="0.25">
      <c r="A165" s="2479"/>
      <c r="B165" s="415"/>
      <c r="C165" s="426" t="s">
        <v>64</v>
      </c>
      <c r="D165" s="426" t="s">
        <v>150</v>
      </c>
      <c r="E165" s="426" t="s">
        <v>172</v>
      </c>
      <c r="F165" s="426" t="s">
        <v>241</v>
      </c>
      <c r="G165" s="426" t="s">
        <v>268</v>
      </c>
      <c r="H165" s="426" t="s">
        <v>269</v>
      </c>
      <c r="I165" s="426" t="s">
        <v>270</v>
      </c>
      <c r="J165" s="426" t="s">
        <v>271</v>
      </c>
      <c r="K165" s="426" t="s">
        <v>272</v>
      </c>
      <c r="L165" s="426" t="s">
        <v>273</v>
      </c>
      <c r="M165" s="426" t="s">
        <v>274</v>
      </c>
      <c r="N165" s="426" t="s">
        <v>275</v>
      </c>
      <c r="O165" s="507"/>
      <c r="P165" s="2479"/>
    </row>
    <row r="166" spans="1:17" s="84" customFormat="1" ht="14.25" x14ac:dyDescent="0.2">
      <c r="A166" s="2479"/>
      <c r="B166" s="508"/>
      <c r="C166" s="240" t="s">
        <v>35</v>
      </c>
      <c r="D166" s="240" t="str">
        <f>INDEX(Vectors[Description], MATCH(I.b.Outputs[Vector],Vectors[Code], 0))</f>
        <v>Electricity (supplied to grid)</v>
      </c>
      <c r="E166" s="240"/>
      <c r="F166" s="241">
        <f t="shared" ref="F166:N166" si="53">F105</f>
        <v>0</v>
      </c>
      <c r="G166" s="241">
        <f t="shared" si="53"/>
        <v>0</v>
      </c>
      <c r="H166" s="241">
        <f t="shared" si="53"/>
        <v>7.8894000000000002</v>
      </c>
      <c r="I166" s="241">
        <f t="shared" si="53"/>
        <v>15.7788</v>
      </c>
      <c r="J166" s="241">
        <f t="shared" si="53"/>
        <v>19.723499999999998</v>
      </c>
      <c r="K166" s="241">
        <f t="shared" si="53"/>
        <v>31.557600000000001</v>
      </c>
      <c r="L166" s="241">
        <f t="shared" si="53"/>
        <v>47.336400000000005</v>
      </c>
      <c r="M166" s="241">
        <f t="shared" si="53"/>
        <v>63.115200000000002</v>
      </c>
      <c r="N166" s="241">
        <f t="shared" si="53"/>
        <v>78.893999999999991</v>
      </c>
      <c r="O166" s="509"/>
      <c r="P166" s="2479"/>
    </row>
    <row r="167" spans="1:17" s="84" customFormat="1" ht="14.25" x14ac:dyDescent="0.2">
      <c r="A167" s="2479"/>
      <c r="B167" s="508"/>
      <c r="C167" s="240" t="s">
        <v>36</v>
      </c>
      <c r="D167" s="240" t="str">
        <f>INDEX(Vectors[Description], MATCH(I.b.Outputs[Vector],Vectors[Code], 0))</f>
        <v>Solid hydrocarbons</v>
      </c>
      <c r="E167" s="240"/>
      <c r="F167" s="241">
        <f t="shared" ref="F167:N167" si="54">-F$110</f>
        <v>0</v>
      </c>
      <c r="G167" s="241">
        <f t="shared" si="54"/>
        <v>0</v>
      </c>
      <c r="H167" s="241">
        <f t="shared" si="54"/>
        <v>-23.668200000000002</v>
      </c>
      <c r="I167" s="241">
        <f t="shared" si="54"/>
        <v>-47.336400000000005</v>
      </c>
      <c r="J167" s="241">
        <f t="shared" si="54"/>
        <v>-59.170499999999997</v>
      </c>
      <c r="K167" s="241">
        <f t="shared" si="54"/>
        <v>-94.672800000000009</v>
      </c>
      <c r="L167" s="241">
        <f t="shared" si="54"/>
        <v>-142.00920000000002</v>
      </c>
      <c r="M167" s="241">
        <f t="shared" si="54"/>
        <v>-189.34560000000002</v>
      </c>
      <c r="N167" s="241">
        <f t="shared" si="54"/>
        <v>-236.68199999999999</v>
      </c>
      <c r="O167" s="509"/>
      <c r="P167" s="2479"/>
    </row>
    <row r="168" spans="1:17" ht="14.25" x14ac:dyDescent="0.2">
      <c r="B168" s="508"/>
      <c r="C168" s="240" t="s">
        <v>26</v>
      </c>
      <c r="D168" s="240" t="str">
        <f>INDEX(Vectors[Description], MATCH(I.b.Outputs[Vector],Vectors[Code], 0))</f>
        <v>Conversion losses</v>
      </c>
      <c r="E168" s="240"/>
      <c r="F168" s="241">
        <f t="shared" ref="F168:N168" si="55">(F$110-F$108)</f>
        <v>0</v>
      </c>
      <c r="G168" s="241">
        <f t="shared" si="55"/>
        <v>0</v>
      </c>
      <c r="H168" s="241">
        <f t="shared" si="55"/>
        <v>15.384330000000002</v>
      </c>
      <c r="I168" s="241">
        <f t="shared" si="55"/>
        <v>30.768660000000004</v>
      </c>
      <c r="J168" s="241">
        <f t="shared" si="55"/>
        <v>38.460825</v>
      </c>
      <c r="K168" s="241">
        <f t="shared" si="55"/>
        <v>61.537320000000008</v>
      </c>
      <c r="L168" s="241">
        <f t="shared" si="55"/>
        <v>92.305980000000019</v>
      </c>
      <c r="M168" s="241">
        <f t="shared" si="55"/>
        <v>123.07464000000002</v>
      </c>
      <c r="N168" s="241">
        <f t="shared" si="55"/>
        <v>153.8433</v>
      </c>
      <c r="O168" s="509"/>
    </row>
    <row r="169" spans="1:17" ht="14.25" x14ac:dyDescent="0.2">
      <c r="B169" s="508"/>
      <c r="C169" s="240" t="s">
        <v>27</v>
      </c>
      <c r="D169" s="240" t="str">
        <f>INDEX(Vectors[Description], MATCH(I.b.Outputs[Vector],Vectors[Code], 0))</f>
        <v>Distribution losses and own use</v>
      </c>
      <c r="E169" s="240"/>
      <c r="F169" s="241">
        <f t="shared" ref="F169:N169" si="56">F$107</f>
        <v>0</v>
      </c>
      <c r="G169" s="241">
        <f t="shared" si="56"/>
        <v>0</v>
      </c>
      <c r="H169" s="241">
        <f t="shared" si="56"/>
        <v>0.39447000000000004</v>
      </c>
      <c r="I169" s="241">
        <f t="shared" si="56"/>
        <v>0.78894000000000009</v>
      </c>
      <c r="J169" s="241">
        <f t="shared" si="56"/>
        <v>0.98617499999999991</v>
      </c>
      <c r="K169" s="241">
        <f t="shared" si="56"/>
        <v>1.5778800000000002</v>
      </c>
      <c r="L169" s="241">
        <f t="shared" si="56"/>
        <v>2.3668200000000001</v>
      </c>
      <c r="M169" s="241">
        <f t="shared" si="56"/>
        <v>3.1557600000000003</v>
      </c>
      <c r="N169" s="241">
        <f t="shared" si="56"/>
        <v>3.9446999999999997</v>
      </c>
      <c r="O169" s="509"/>
    </row>
    <row r="170" spans="1:17" ht="15.75" customHeight="1" x14ac:dyDescent="0.2">
      <c r="B170" s="508"/>
      <c r="C170" s="97" t="s">
        <v>105</v>
      </c>
      <c r="D170" s="97"/>
      <c r="E170" s="97"/>
      <c r="F170" s="529">
        <f>SUBTOTAL(109,I.b.Outputs[2010])</f>
        <v>0</v>
      </c>
      <c r="G170" s="529">
        <f>SUBTOTAL(109,I.b.Outputs[2015])</f>
        <v>0</v>
      </c>
      <c r="H170" s="529">
        <f>SUBTOTAL(109,I.b.Outputs[2020])</f>
        <v>0</v>
      </c>
      <c r="I170" s="529">
        <f>SUBTOTAL(109,I.b.Outputs[2025])</f>
        <v>0</v>
      </c>
      <c r="J170" s="529">
        <f>SUBTOTAL(109,I.b.Outputs[2030])</f>
        <v>-2.9976021664879227E-15</v>
      </c>
      <c r="K170" s="529">
        <f>SUBTOTAL(109,I.b.Outputs[2035])</f>
        <v>0</v>
      </c>
      <c r="L170" s="529">
        <f>SUBTOTAL(109,I.b.Outputs[2040])</f>
        <v>-3.9968028886505635E-15</v>
      </c>
      <c r="M170" s="529">
        <f>SUBTOTAL(109,I.b.Outputs[2045])</f>
        <v>0</v>
      </c>
      <c r="N170" s="529">
        <f>SUBTOTAL(109,I.b.Outputs[2050])</f>
        <v>-1.1990408665951691E-14</v>
      </c>
      <c r="O170" s="509"/>
    </row>
    <row r="171" spans="1:17" ht="14.25" x14ac:dyDescent="0.2">
      <c r="B171" s="510"/>
      <c r="C171" s="418"/>
      <c r="D171" s="418"/>
      <c r="E171" s="418"/>
      <c r="F171" s="418"/>
      <c r="G171" s="418"/>
      <c r="H171" s="418"/>
      <c r="I171" s="418"/>
      <c r="J171" s="418"/>
      <c r="K171" s="418"/>
      <c r="L171" s="418"/>
      <c r="M171" s="418"/>
      <c r="N171" s="418"/>
      <c r="O171" s="418"/>
      <c r="P171" s="511"/>
    </row>
    <row r="172" spans="1:17" ht="4.5" customHeight="1" x14ac:dyDescent="0.2"/>
    <row r="173" spans="1:17" ht="15" customHeight="1" x14ac:dyDescent="0.2">
      <c r="B173" s="484" t="s">
        <v>361</v>
      </c>
      <c r="C173" s="436"/>
      <c r="D173" s="437"/>
      <c r="E173" s="437"/>
      <c r="F173" s="437"/>
      <c r="G173" s="437"/>
      <c r="H173" s="437"/>
      <c r="I173" s="437"/>
      <c r="J173" s="437"/>
      <c r="K173" s="437"/>
      <c r="L173" s="437"/>
      <c r="M173" s="437"/>
      <c r="N173" s="437"/>
      <c r="O173" s="437"/>
      <c r="P173" s="438"/>
    </row>
    <row r="174" spans="1:17" ht="15" customHeight="1" x14ac:dyDescent="0.2">
      <c r="B174" s="444"/>
      <c r="C174" s="445"/>
      <c r="D174" s="445"/>
      <c r="E174" s="445"/>
      <c r="F174" s="445"/>
      <c r="G174" s="445"/>
      <c r="H174" s="445"/>
      <c r="I174" s="445"/>
      <c r="J174" s="445"/>
      <c r="K174" s="445"/>
      <c r="L174" s="445"/>
      <c r="M174" s="445"/>
      <c r="N174" s="445"/>
      <c r="O174" s="445"/>
      <c r="P174" s="446"/>
    </row>
    <row r="175" spans="1:17" ht="15" customHeight="1" x14ac:dyDescent="0.25">
      <c r="B175" s="447"/>
      <c r="C175" s="439" t="s">
        <v>1850</v>
      </c>
      <c r="D175" s="440"/>
      <c r="E175" s="441"/>
      <c r="F175" s="440"/>
      <c r="G175" s="441"/>
      <c r="H175" s="440"/>
      <c r="I175" s="440"/>
      <c r="J175" s="440"/>
      <c r="K175" s="440"/>
      <c r="L175" s="440"/>
      <c r="M175" s="440"/>
      <c r="N175" s="1750" t="s">
        <v>1852</v>
      </c>
      <c r="P175" s="448"/>
    </row>
    <row r="176" spans="1:17" ht="15" customHeight="1" x14ac:dyDescent="0.2">
      <c r="B176" s="447"/>
      <c r="C176" s="440"/>
      <c r="D176" s="440"/>
      <c r="E176" s="440"/>
      <c r="F176" s="440"/>
      <c r="G176" s="440"/>
      <c r="H176" s="440"/>
      <c r="I176" s="440"/>
      <c r="J176" s="440"/>
      <c r="K176" s="440"/>
      <c r="L176" s="440"/>
      <c r="M176" s="440"/>
      <c r="N176" s="440"/>
      <c r="O176" s="440"/>
      <c r="P176" s="448"/>
    </row>
    <row r="177" spans="2:16" ht="15" customHeight="1" x14ac:dyDescent="0.25">
      <c r="B177" s="449"/>
      <c r="C177" s="503" t="s">
        <v>490</v>
      </c>
      <c r="D177" s="503" t="s">
        <v>461</v>
      </c>
      <c r="E177" s="503" t="s">
        <v>172</v>
      </c>
      <c r="F177" s="503" t="s">
        <v>241</v>
      </c>
      <c r="G177" s="503" t="s">
        <v>268</v>
      </c>
      <c r="H177" s="503" t="s">
        <v>269</v>
      </c>
      <c r="I177" s="503" t="s">
        <v>270</v>
      </c>
      <c r="J177" s="503" t="s">
        <v>271</v>
      </c>
      <c r="K177" s="503" t="s">
        <v>272</v>
      </c>
      <c r="L177" s="503" t="s">
        <v>273</v>
      </c>
      <c r="M177" s="503" t="s">
        <v>274</v>
      </c>
      <c r="N177" s="503" t="s">
        <v>275</v>
      </c>
      <c r="O177" s="448"/>
    </row>
    <row r="178" spans="2:16" ht="15" customHeight="1" x14ac:dyDescent="0.25">
      <c r="B178" s="449"/>
      <c r="C178" s="2475" t="s">
        <v>473</v>
      </c>
      <c r="D178" s="453" t="s">
        <v>483</v>
      </c>
      <c r="E178" s="2475"/>
      <c r="F178" s="502">
        <f t="shared" ref="F178:N178" si="57">F$114</f>
        <v>0</v>
      </c>
      <c r="G178" s="502">
        <f t="shared" si="57"/>
        <v>0</v>
      </c>
      <c r="H178" s="502">
        <f t="shared" si="57"/>
        <v>7.2898055999999993</v>
      </c>
      <c r="I178" s="502">
        <f t="shared" si="57"/>
        <v>14.579611199999999</v>
      </c>
      <c r="J178" s="502">
        <f t="shared" si="57"/>
        <v>18.224513999999996</v>
      </c>
      <c r="K178" s="502">
        <f t="shared" si="57"/>
        <v>29.159222399999997</v>
      </c>
      <c r="L178" s="502">
        <f t="shared" si="57"/>
        <v>43.7388336</v>
      </c>
      <c r="M178" s="502">
        <f t="shared" si="57"/>
        <v>58.318444799999995</v>
      </c>
      <c r="N178" s="502">
        <f t="shared" si="57"/>
        <v>72.898055999999983</v>
      </c>
      <c r="O178" s="448"/>
    </row>
    <row r="179" spans="2:16" ht="15" customHeight="1" x14ac:dyDescent="0.25">
      <c r="B179" s="449"/>
      <c r="C179" s="2475" t="s">
        <v>474</v>
      </c>
      <c r="D179" s="453" t="s">
        <v>483</v>
      </c>
      <c r="E179" s="2475"/>
      <c r="F179" s="502">
        <f t="shared" ref="F179:N179" si="58">F$115</f>
        <v>0</v>
      </c>
      <c r="G179" s="502">
        <f t="shared" si="58"/>
        <v>0</v>
      </c>
      <c r="H179" s="502">
        <f t="shared" si="58"/>
        <v>2.1414814490699954E-2</v>
      </c>
      <c r="I179" s="502">
        <f t="shared" si="58"/>
        <v>4.2829628981399907E-2</v>
      </c>
      <c r="J179" s="502">
        <f t="shared" si="58"/>
        <v>5.3537036226749879E-2</v>
      </c>
      <c r="K179" s="502">
        <f t="shared" si="58"/>
        <v>8.5659257962799815E-2</v>
      </c>
      <c r="L179" s="502">
        <f t="shared" si="58"/>
        <v>0.12848888694419972</v>
      </c>
      <c r="M179" s="502">
        <f t="shared" si="58"/>
        <v>0.17131851592559963</v>
      </c>
      <c r="N179" s="502">
        <f t="shared" si="58"/>
        <v>0.21414814490699952</v>
      </c>
      <c r="O179" s="448"/>
    </row>
    <row r="180" spans="2:16" ht="15.75" x14ac:dyDescent="0.25">
      <c r="B180" s="449"/>
      <c r="C180" s="2475" t="s">
        <v>475</v>
      </c>
      <c r="D180" s="453" t="s">
        <v>483</v>
      </c>
      <c r="E180" s="2475"/>
      <c r="F180" s="502">
        <f t="shared" ref="F180:N180" si="59">F$116</f>
        <v>0</v>
      </c>
      <c r="G180" s="502">
        <f t="shared" si="59"/>
        <v>0</v>
      </c>
      <c r="H180" s="502">
        <f t="shared" si="59"/>
        <v>6.4576840859545043E-2</v>
      </c>
      <c r="I180" s="502">
        <f t="shared" si="59"/>
        <v>0.12915368171909009</v>
      </c>
      <c r="J180" s="502">
        <f t="shared" si="59"/>
        <v>0.16144210214886259</v>
      </c>
      <c r="K180" s="502">
        <f t="shared" si="59"/>
        <v>0.25830736343818017</v>
      </c>
      <c r="L180" s="502">
        <f t="shared" si="59"/>
        <v>0.38746104515727031</v>
      </c>
      <c r="M180" s="502">
        <f t="shared" si="59"/>
        <v>0.51661472687636034</v>
      </c>
      <c r="N180" s="502">
        <f t="shared" si="59"/>
        <v>0.64576840859545037</v>
      </c>
      <c r="O180" s="448"/>
    </row>
    <row r="181" spans="2:16" ht="15.75" x14ac:dyDescent="0.25">
      <c r="B181" s="449"/>
      <c r="C181" s="2475" t="s">
        <v>105</v>
      </c>
      <c r="D181" s="2475"/>
      <c r="E181" s="2475"/>
      <c r="F181" s="512">
        <f>SUBTOTAL(109,I.b.Emissions[2010])</f>
        <v>0</v>
      </c>
      <c r="G181" s="512">
        <f>SUBTOTAL(109,I.b.Emissions[2015])</f>
        <v>0</v>
      </c>
      <c r="H181" s="512">
        <f>SUBTOTAL(109,I.b.Emissions[2020])</f>
        <v>7.3757972553502444</v>
      </c>
      <c r="I181" s="512">
        <f>SUBTOTAL(109,I.b.Emissions[2025])</f>
        <v>14.751594510700489</v>
      </c>
      <c r="J181" s="512">
        <f>SUBTOTAL(109,I.b.Emissions[2030])</f>
        <v>18.439493138375607</v>
      </c>
      <c r="K181" s="512">
        <f>SUBTOTAL(109,I.b.Emissions[2035])</f>
        <v>29.503189021400978</v>
      </c>
      <c r="L181" s="512">
        <f>SUBTOTAL(109,I.b.Emissions[2040])</f>
        <v>44.25478353210147</v>
      </c>
      <c r="M181" s="512">
        <f>SUBTOTAL(109,I.b.Emissions[2045])</f>
        <v>59.006378042801956</v>
      </c>
      <c r="N181" s="512">
        <f>SUBTOTAL(109,I.b.Emissions[2050])</f>
        <v>73.757972553502427</v>
      </c>
      <c r="O181" s="448"/>
    </row>
    <row r="182" spans="2:16" x14ac:dyDescent="0.2">
      <c r="B182" s="1766"/>
      <c r="C182" s="1766"/>
      <c r="D182" s="1766"/>
      <c r="E182" s="1766"/>
      <c r="F182" s="1766"/>
      <c r="G182" s="1766"/>
      <c r="H182" s="1766"/>
      <c r="I182" s="1766"/>
      <c r="J182" s="1766"/>
      <c r="K182" s="1766"/>
      <c r="L182" s="1766"/>
      <c r="M182" s="1766"/>
      <c r="N182" s="1766"/>
      <c r="O182" s="1766"/>
      <c r="P182" s="1766"/>
    </row>
    <row r="183" spans="2:16" x14ac:dyDescent="0.2">
      <c r="B183" s="1766"/>
      <c r="C183" s="1764" t="s">
        <v>1851</v>
      </c>
      <c r="D183" s="2475"/>
      <c r="E183" s="2475"/>
      <c r="F183" s="1407"/>
      <c r="G183" s="1407"/>
      <c r="H183" s="1407"/>
      <c r="I183" s="1407"/>
      <c r="J183" s="1407"/>
      <c r="K183" s="1407"/>
      <c r="L183" s="1407"/>
      <c r="M183" s="1407"/>
      <c r="N183" s="1765" t="s">
        <v>1848</v>
      </c>
      <c r="P183" s="1766"/>
    </row>
    <row r="184" spans="2:16" ht="5.25" customHeight="1" x14ac:dyDescent="0.2">
      <c r="B184" s="1766"/>
      <c r="C184" s="1766"/>
      <c r="D184" s="1766"/>
      <c r="E184" s="1766"/>
      <c r="F184" s="1766"/>
      <c r="G184" s="1766"/>
      <c r="H184" s="1766"/>
      <c r="I184" s="1766"/>
      <c r="J184" s="1766"/>
      <c r="K184" s="1766"/>
      <c r="L184" s="1766"/>
      <c r="M184" s="1766"/>
      <c r="N184" s="1766"/>
      <c r="O184" s="1766"/>
      <c r="P184" s="1766"/>
    </row>
    <row r="185" spans="2:16" x14ac:dyDescent="0.2">
      <c r="B185" s="1766"/>
      <c r="C185" s="1767" t="s">
        <v>64</v>
      </c>
      <c r="D185" s="1768" t="s">
        <v>150</v>
      </c>
      <c r="E185" s="1768" t="s">
        <v>461</v>
      </c>
      <c r="F185" s="1768" t="s">
        <v>241</v>
      </c>
      <c r="G185" s="1768" t="s">
        <v>268</v>
      </c>
      <c r="H185" s="1768" t="s">
        <v>269</v>
      </c>
      <c r="I185" s="1768" t="s">
        <v>270</v>
      </c>
      <c r="J185" s="1768" t="s">
        <v>271</v>
      </c>
      <c r="K185" s="1768" t="s">
        <v>272</v>
      </c>
      <c r="L185" s="1768" t="s">
        <v>273</v>
      </c>
      <c r="M185" s="1768" t="s">
        <v>274</v>
      </c>
      <c r="N185" s="1769" t="s">
        <v>275</v>
      </c>
      <c r="O185" s="1766"/>
    </row>
    <row r="186" spans="2:16" ht="12" customHeight="1" x14ac:dyDescent="0.2">
      <c r="B186" s="1766"/>
      <c r="C186" s="1751" t="str">
        <f>INDEX(AirQualityVectors[Code],MATCH(D186,AirQualityVectors[Description],0))</f>
        <v>AQ.01</v>
      </c>
      <c r="D186" s="1752" t="s">
        <v>1791</v>
      </c>
      <c r="E186" s="1753" t="s">
        <v>483</v>
      </c>
      <c r="F186" s="1754">
        <f t="shared" ref="F186:N186" si="60">F123</f>
        <v>0</v>
      </c>
      <c r="G186" s="1754">
        <f t="shared" si="60"/>
        <v>0</v>
      </c>
      <c r="H186" s="1754">
        <f t="shared" si="60"/>
        <v>1.7167807763999994</v>
      </c>
      <c r="I186" s="1754">
        <f t="shared" si="60"/>
        <v>1.1597418000000002</v>
      </c>
      <c r="J186" s="1754">
        <f t="shared" si="60"/>
        <v>1.4496772499999999</v>
      </c>
      <c r="K186" s="1754">
        <f t="shared" si="60"/>
        <v>2.3194836000000003</v>
      </c>
      <c r="L186" s="1754">
        <f t="shared" si="60"/>
        <v>3.4792254000000007</v>
      </c>
      <c r="M186" s="1754">
        <f t="shared" si="60"/>
        <v>4.6389672000000006</v>
      </c>
      <c r="N186" s="1755">
        <f t="shared" si="60"/>
        <v>5.7987089999999997</v>
      </c>
      <c r="O186" s="1766"/>
    </row>
    <row r="187" spans="2:16" x14ac:dyDescent="0.2">
      <c r="B187" s="1766"/>
      <c r="C187" s="1770" t="str">
        <f>INDEX(AirQualityVectors[Code],MATCH(D187,AirQualityVectors[Description],0))</f>
        <v>AQ.02</v>
      </c>
      <c r="D187" s="1756" t="s">
        <v>1794</v>
      </c>
      <c r="E187" s="1757" t="s">
        <v>483</v>
      </c>
      <c r="F187" s="1758">
        <f t="shared" ref="F187:N187" si="61">F124</f>
        <v>0</v>
      </c>
      <c r="G187" s="1758">
        <f t="shared" si="61"/>
        <v>0</v>
      </c>
      <c r="H187" s="1758">
        <f t="shared" si="61"/>
        <v>7.6372705548000086</v>
      </c>
      <c r="I187" s="1758">
        <f t="shared" si="61"/>
        <v>14.532274800000001</v>
      </c>
      <c r="J187" s="1758">
        <f t="shared" si="61"/>
        <v>18.165343499999999</v>
      </c>
      <c r="K187" s="1758">
        <f t="shared" si="61"/>
        <v>29.064549600000003</v>
      </c>
      <c r="L187" s="1758">
        <f t="shared" si="61"/>
        <v>43.596824400000003</v>
      </c>
      <c r="M187" s="1758">
        <f t="shared" si="61"/>
        <v>58.129099200000006</v>
      </c>
      <c r="N187" s="1771">
        <f t="shared" si="61"/>
        <v>72.661373999999995</v>
      </c>
      <c r="O187" s="1766"/>
    </row>
    <row r="188" spans="2:16" x14ac:dyDescent="0.2">
      <c r="B188" s="1766"/>
      <c r="C188" s="1770" t="str">
        <f>INDEX(AirQualityVectors[Code],MATCH(D188,AirQualityVectors[Description],0))</f>
        <v>AQ.03</v>
      </c>
      <c r="D188" s="1756" t="s">
        <v>1795</v>
      </c>
      <c r="E188" s="1757" t="s">
        <v>483</v>
      </c>
      <c r="F188" s="1758">
        <f t="shared" ref="F188:N188" si="62">F125</f>
        <v>0</v>
      </c>
      <c r="G188" s="1758">
        <f t="shared" si="62"/>
        <v>0</v>
      </c>
      <c r="H188" s="1758">
        <f t="shared" si="62"/>
        <v>0.85365053537945679</v>
      </c>
      <c r="I188" s="1758">
        <f t="shared" si="62"/>
        <v>1.7073010707589136</v>
      </c>
      <c r="J188" s="1758">
        <f t="shared" si="62"/>
        <v>2.1341263384486417</v>
      </c>
      <c r="K188" s="1758">
        <f t="shared" si="62"/>
        <v>3.4146021415178271</v>
      </c>
      <c r="L188" s="1758">
        <f t="shared" si="62"/>
        <v>5.1219032122767407</v>
      </c>
      <c r="M188" s="1758">
        <f t="shared" si="62"/>
        <v>6.8292042830356543</v>
      </c>
      <c r="N188" s="1771">
        <f t="shared" si="62"/>
        <v>8.536505353794567</v>
      </c>
      <c r="O188" s="1766"/>
    </row>
    <row r="189" spans="2:16" x14ac:dyDescent="0.2">
      <c r="B189" s="1766"/>
      <c r="C189" s="1759" t="str">
        <f>INDEX(AirQualityVectors[Code],MATCH(D189,AirQualityVectors[Description],0))</f>
        <v>AQ.04</v>
      </c>
      <c r="D189" s="1760" t="s">
        <v>1792</v>
      </c>
      <c r="E189" s="1761" t="s">
        <v>483</v>
      </c>
      <c r="F189" s="1762">
        <f>F126</f>
        <v>0</v>
      </c>
      <c r="G189" s="1762">
        <f t="shared" ref="G189:N189" si="63">G126</f>
        <v>0</v>
      </c>
      <c r="H189" s="1762">
        <f t="shared" si="63"/>
        <v>1.646498210795762</v>
      </c>
      <c r="I189" s="1762">
        <f t="shared" si="63"/>
        <v>3.2929964215915239</v>
      </c>
      <c r="J189" s="1762">
        <f t="shared" si="63"/>
        <v>4.1162455269894043</v>
      </c>
      <c r="K189" s="1762">
        <f t="shared" si="63"/>
        <v>6.5859928431830479</v>
      </c>
      <c r="L189" s="1762">
        <f t="shared" si="63"/>
        <v>9.8789892647745727</v>
      </c>
      <c r="M189" s="1762">
        <f t="shared" si="63"/>
        <v>13.171985686366096</v>
      </c>
      <c r="N189" s="1762">
        <f t="shared" si="63"/>
        <v>16.464982107957617</v>
      </c>
      <c r="O189" s="1763"/>
      <c r="P189" s="1766"/>
    </row>
    <row r="190" spans="2:16" ht="15.75" x14ac:dyDescent="0.25">
      <c r="B190" s="504"/>
      <c r="C190" s="451"/>
      <c r="D190" s="451"/>
      <c r="E190" s="451"/>
      <c r="F190" s="451"/>
      <c r="G190" s="451"/>
      <c r="H190" s="451"/>
      <c r="I190" s="451"/>
      <c r="J190" s="451"/>
      <c r="K190" s="451"/>
      <c r="L190" s="451"/>
      <c r="M190" s="451"/>
      <c r="N190" s="451"/>
      <c r="O190" s="451"/>
      <c r="P190" s="452"/>
    </row>
    <row r="192" spans="2:16" ht="15.75" x14ac:dyDescent="0.2">
      <c r="B192" s="1430" t="s">
        <v>1225</v>
      </c>
      <c r="C192" s="1218"/>
      <c r="D192" s="1431"/>
      <c r="E192" s="1431"/>
      <c r="F192" s="1431"/>
      <c r="G192" s="1431"/>
      <c r="H192" s="1431"/>
      <c r="I192" s="1431"/>
      <c r="J192" s="1431"/>
      <c r="K192" s="1431"/>
      <c r="L192" s="1431"/>
      <c r="M192" s="1431"/>
      <c r="N192" s="1431"/>
      <c r="O192" s="1431"/>
      <c r="P192" s="1432"/>
    </row>
    <row r="193" spans="2:16" x14ac:dyDescent="0.2">
      <c r="B193" s="1219"/>
      <c r="C193" s="1220"/>
      <c r="D193" s="1220"/>
      <c r="E193" s="1220"/>
      <c r="F193" s="1220"/>
      <c r="G193" s="1220"/>
      <c r="H193" s="1220"/>
      <c r="I193" s="1220"/>
      <c r="J193" s="1220"/>
      <c r="K193" s="1220"/>
      <c r="L193" s="1220"/>
      <c r="M193" s="1220"/>
      <c r="N193" s="1220"/>
      <c r="O193" s="1220"/>
      <c r="P193" s="1221"/>
    </row>
    <row r="194" spans="2:16" x14ac:dyDescent="0.2">
      <c r="B194" s="1433"/>
      <c r="C194" s="1222" t="s">
        <v>2410</v>
      </c>
      <c r="D194" s="1434"/>
      <c r="E194" s="1223"/>
      <c r="F194" s="1434"/>
      <c r="G194" s="1223"/>
      <c r="H194" s="1434"/>
      <c r="I194" s="1434"/>
      <c r="J194" s="1434"/>
      <c r="K194" s="1434"/>
      <c r="L194" s="1434"/>
      <c r="M194" s="1434"/>
      <c r="N194" s="1434"/>
      <c r="O194" s="1223"/>
      <c r="P194" s="1435"/>
    </row>
    <row r="195" spans="2:16" x14ac:dyDescent="0.2">
      <c r="B195" s="1433"/>
      <c r="C195" s="1434"/>
      <c r="D195" s="1434"/>
      <c r="E195" s="1434"/>
      <c r="F195" s="1434"/>
      <c r="G195" s="1434"/>
      <c r="H195" s="1434"/>
      <c r="I195" s="1434"/>
      <c r="J195" s="1434"/>
      <c r="K195" s="1434"/>
      <c r="L195" s="1434"/>
      <c r="M195" s="1434"/>
      <c r="N195" s="1434"/>
      <c r="O195" s="1434"/>
      <c r="P195" s="1435"/>
    </row>
    <row r="196" spans="2:16" ht="15.75" customHeight="1" x14ac:dyDescent="0.25">
      <c r="B196" s="1436"/>
      <c r="C196" s="1437" t="s">
        <v>64</v>
      </c>
      <c r="D196" s="1437" t="s">
        <v>1226</v>
      </c>
      <c r="E196" s="1437" t="s">
        <v>172</v>
      </c>
      <c r="F196" s="1437" t="s">
        <v>241</v>
      </c>
      <c r="G196" s="1437" t="s">
        <v>268</v>
      </c>
      <c r="H196" s="1437" t="s">
        <v>269</v>
      </c>
      <c r="I196" s="1437" t="s">
        <v>270</v>
      </c>
      <c r="J196" s="1437" t="s">
        <v>271</v>
      </c>
      <c r="K196" s="1437" t="s">
        <v>272</v>
      </c>
      <c r="L196" s="1437" t="s">
        <v>273</v>
      </c>
      <c r="M196" s="1437" t="s">
        <v>274</v>
      </c>
      <c r="N196" s="1437" t="s">
        <v>275</v>
      </c>
      <c r="O196" s="1435"/>
    </row>
    <row r="197" spans="2:16" ht="15.75" x14ac:dyDescent="0.25">
      <c r="B197" s="1436"/>
      <c r="C197" s="1438" t="s">
        <v>1232</v>
      </c>
      <c r="D197" s="1439" t="str">
        <f>INDEX(Vectors[Description], MATCH(I.b.info[Vector], Vectors[Code], 0))</f>
        <v xml:space="preserve">Installed Capacity </v>
      </c>
      <c r="E197" s="1439" t="str">
        <f>Preferences.PowerUnits</f>
        <v>GW</v>
      </c>
      <c r="F197" s="1226">
        <f t="shared" ref="F197:N197" si="64">F95</f>
        <v>0</v>
      </c>
      <c r="G197" s="1226">
        <f t="shared" si="64"/>
        <v>0</v>
      </c>
      <c r="H197" s="1226">
        <f t="shared" si="64"/>
        <v>1</v>
      </c>
      <c r="I197" s="1226">
        <f t="shared" si="64"/>
        <v>2</v>
      </c>
      <c r="J197" s="1226">
        <f t="shared" si="64"/>
        <v>2.5</v>
      </c>
      <c r="K197" s="1226">
        <f t="shared" si="64"/>
        <v>4</v>
      </c>
      <c r="L197" s="1226">
        <f t="shared" si="64"/>
        <v>6</v>
      </c>
      <c r="M197" s="1226">
        <f t="shared" si="64"/>
        <v>8</v>
      </c>
      <c r="N197" s="1226">
        <f t="shared" si="64"/>
        <v>10</v>
      </c>
      <c r="O197" s="1435"/>
    </row>
    <row r="198" spans="2:16" ht="14.25" customHeight="1" x14ac:dyDescent="0.25">
      <c r="B198" s="1436"/>
      <c r="C198" s="1438" t="s">
        <v>1582</v>
      </c>
      <c r="D198" s="1439" t="str">
        <f>INDEX(Vectors[Description], MATCH(I.b.info[Vector], Vectors[Code], 0))</f>
        <v>Load factor</v>
      </c>
      <c r="E198" s="1438" t="s">
        <v>347</v>
      </c>
      <c r="F198" s="1484">
        <f t="shared" ref="F198:N198" si="65">F103</f>
        <v>0.9</v>
      </c>
      <c r="G198" s="1484">
        <f t="shared" si="65"/>
        <v>0.9</v>
      </c>
      <c r="H198" s="1484">
        <f t="shared" si="65"/>
        <v>0.9</v>
      </c>
      <c r="I198" s="1484">
        <f t="shared" si="65"/>
        <v>0.9</v>
      </c>
      <c r="J198" s="1484">
        <f t="shared" si="65"/>
        <v>0.9</v>
      </c>
      <c r="K198" s="1484">
        <f t="shared" si="65"/>
        <v>0.9</v>
      </c>
      <c r="L198" s="1484">
        <f t="shared" si="65"/>
        <v>0.9</v>
      </c>
      <c r="M198" s="1484">
        <f t="shared" si="65"/>
        <v>0.9</v>
      </c>
      <c r="N198" s="1484">
        <f t="shared" si="65"/>
        <v>0.9</v>
      </c>
      <c r="O198" s="1435"/>
    </row>
    <row r="199" spans="2:16" ht="15.75" x14ac:dyDescent="0.25">
      <c r="B199" s="1436"/>
      <c r="C199" s="1438" t="s">
        <v>1233</v>
      </c>
      <c r="D199" s="1439" t="str">
        <f>plantsize.I.b&amp;" GW thermal power stations"</f>
        <v>0.005 GW thermal power stations</v>
      </c>
      <c r="E199" s="1438" t="s">
        <v>1275</v>
      </c>
      <c r="F199" s="2481">
        <f t="shared" ref="F199:N199" si="66">F197/$F$44</f>
        <v>0</v>
      </c>
      <c r="G199" s="2481">
        <f t="shared" si="66"/>
        <v>0</v>
      </c>
      <c r="H199" s="2481">
        <f t="shared" si="66"/>
        <v>200</v>
      </c>
      <c r="I199" s="2481">
        <f t="shared" si="66"/>
        <v>400</v>
      </c>
      <c r="J199" s="2481">
        <f t="shared" si="66"/>
        <v>500</v>
      </c>
      <c r="K199" s="2481">
        <f t="shared" si="66"/>
        <v>800</v>
      </c>
      <c r="L199" s="2481">
        <f t="shared" si="66"/>
        <v>1200</v>
      </c>
      <c r="M199" s="2481">
        <f t="shared" si="66"/>
        <v>1600</v>
      </c>
      <c r="N199" s="2481">
        <f t="shared" si="66"/>
        <v>2000</v>
      </c>
      <c r="O199" s="1435"/>
    </row>
    <row r="200" spans="2:16" ht="15.75" x14ac:dyDescent="0.25">
      <c r="B200" s="1436"/>
      <c r="C200" s="1434"/>
      <c r="D200" s="1434"/>
      <c r="E200" s="1434"/>
      <c r="F200" s="1434"/>
      <c r="G200" s="1434"/>
      <c r="H200" s="1434"/>
      <c r="I200" s="1434"/>
      <c r="J200" s="1434"/>
      <c r="K200" s="1434"/>
      <c r="L200" s="1434"/>
      <c r="M200" s="1434"/>
      <c r="N200" s="1434"/>
      <c r="O200" s="1434"/>
      <c r="P200" s="1435"/>
    </row>
    <row r="203" spans="2:16" ht="15.75" x14ac:dyDescent="0.2">
      <c r="B203" s="1430" t="s">
        <v>1424</v>
      </c>
      <c r="C203" s="1431"/>
      <c r="D203" s="1431"/>
      <c r="E203" s="1431"/>
      <c r="F203" s="1431"/>
      <c r="G203" s="1431"/>
      <c r="H203" s="1431"/>
      <c r="I203" s="1431"/>
      <c r="J203" s="1431"/>
      <c r="K203" s="1431"/>
      <c r="L203" s="1431"/>
      <c r="M203" s="1431"/>
      <c r="N203" s="1431"/>
      <c r="O203" s="1431"/>
      <c r="P203" s="1432"/>
    </row>
    <row r="204" spans="2:16" collapsed="1" x14ac:dyDescent="0.2">
      <c r="B204" s="1433"/>
      <c r="C204" s="1434"/>
      <c r="D204" s="1434"/>
      <c r="E204" s="1434"/>
      <c r="F204" s="1434"/>
      <c r="G204" s="1434"/>
      <c r="H204" s="1434"/>
      <c r="I204" s="1434"/>
      <c r="J204" s="1434"/>
      <c r="K204" s="1434"/>
      <c r="L204" s="1434"/>
      <c r="M204" s="1434"/>
      <c r="N204" s="1434"/>
      <c r="O204" s="1434"/>
      <c r="P204" s="1435"/>
    </row>
    <row r="205" spans="2:16" ht="14.25" customHeight="1" x14ac:dyDescent="0.2">
      <c r="B205" s="1433"/>
      <c r="C205" s="1441" t="s">
        <v>1425</v>
      </c>
      <c r="D205" s="1442"/>
      <c r="E205" s="1442"/>
      <c r="F205" s="1442"/>
      <c r="G205" s="1442"/>
      <c r="H205" s="1442"/>
      <c r="I205" s="1442"/>
      <c r="J205" s="1442"/>
      <c r="K205" s="1442"/>
      <c r="L205" s="1442"/>
      <c r="M205" s="1442"/>
      <c r="N205" s="1442"/>
      <c r="O205" s="1442"/>
      <c r="P205" s="1435"/>
    </row>
    <row r="206" spans="2:16" x14ac:dyDescent="0.2">
      <c r="B206" s="1433"/>
      <c r="C206" s="1434"/>
      <c r="D206" s="1434"/>
      <c r="E206" s="1434"/>
      <c r="F206" s="1434"/>
      <c r="G206" s="1434"/>
      <c r="H206" s="1434"/>
      <c r="I206" s="1434"/>
      <c r="J206" s="1434"/>
      <c r="K206" s="1434"/>
      <c r="L206" s="1434"/>
      <c r="M206" s="1434"/>
      <c r="N206" s="1434"/>
      <c r="O206" s="1434"/>
      <c r="P206" s="1435"/>
    </row>
    <row r="207" spans="2:16" ht="15" customHeight="1" x14ac:dyDescent="0.25">
      <c r="B207" s="1436"/>
      <c r="C207" s="1437" t="s">
        <v>64</v>
      </c>
      <c r="D207" s="1437" t="s">
        <v>150</v>
      </c>
      <c r="E207" s="1437" t="s">
        <v>172</v>
      </c>
      <c r="F207" s="1437" t="s">
        <v>241</v>
      </c>
      <c r="G207" s="1437" t="s">
        <v>268</v>
      </c>
      <c r="H207" s="1437" t="s">
        <v>269</v>
      </c>
      <c r="I207" s="1437" t="s">
        <v>270</v>
      </c>
      <c r="J207" s="1437" t="s">
        <v>271</v>
      </c>
      <c r="K207" s="1437" t="s">
        <v>272</v>
      </c>
      <c r="L207" s="1437" t="s">
        <v>273</v>
      </c>
      <c r="M207" s="1437" t="s">
        <v>274</v>
      </c>
      <c r="N207" s="1437" t="s">
        <v>275</v>
      </c>
      <c r="O207" s="1443"/>
    </row>
    <row r="208" spans="2:16" ht="15.75" x14ac:dyDescent="0.25">
      <c r="B208" s="1436"/>
      <c r="C208" s="1438" t="s">
        <v>1391</v>
      </c>
      <c r="D208" s="1439" t="str">
        <f>INDEX(CostVectors[Description], MATCH(C208, CostVectors[Code], 0))</f>
        <v>High estimate of capital costs</v>
      </c>
      <c r="E208" s="1439"/>
      <c r="F208" s="2481">
        <f>F143</f>
        <v>0</v>
      </c>
      <c r="G208" s="2481">
        <f t="shared" ref="G208:N208" si="67">G143</f>
        <v>0</v>
      </c>
      <c r="H208" s="2481">
        <f t="shared" si="67"/>
        <v>1275000000</v>
      </c>
      <c r="I208" s="2481">
        <f t="shared" si="67"/>
        <v>1593750000</v>
      </c>
      <c r="J208" s="2481">
        <f t="shared" si="67"/>
        <v>2550000000</v>
      </c>
      <c r="K208" s="2481">
        <f t="shared" si="67"/>
        <v>1806250000</v>
      </c>
      <c r="L208" s="2481">
        <f t="shared" si="67"/>
        <v>1912500000</v>
      </c>
      <c r="M208" s="2481">
        <f t="shared" si="67"/>
        <v>2231250000</v>
      </c>
      <c r="N208" s="2481">
        <f t="shared" si="67"/>
        <v>2550000000</v>
      </c>
      <c r="O208" s="1443"/>
    </row>
    <row r="209" spans="2:16" ht="15.75" x14ac:dyDescent="0.25">
      <c r="B209" s="1436"/>
      <c r="C209" s="1438" t="s">
        <v>1393</v>
      </c>
      <c r="D209" s="1439" t="str">
        <f>INDEX(CostVectors[Description], MATCH(C209, CostVectors[Code], 0))</f>
        <v>High estimate of operating costs</v>
      </c>
      <c r="E209" s="1439"/>
      <c r="F209" s="2481">
        <f>F144</f>
        <v>0</v>
      </c>
      <c r="G209" s="2481">
        <f t="shared" ref="G209:N209" si="68">G144</f>
        <v>0</v>
      </c>
      <c r="H209" s="2481">
        <f t="shared" si="68"/>
        <v>48750</v>
      </c>
      <c r="I209" s="2481">
        <f t="shared" si="68"/>
        <v>48750</v>
      </c>
      <c r="J209" s="2481">
        <f t="shared" si="68"/>
        <v>24375</v>
      </c>
      <c r="K209" s="2481">
        <f t="shared" si="68"/>
        <v>73125</v>
      </c>
      <c r="L209" s="2481">
        <f t="shared" si="68"/>
        <v>97500</v>
      </c>
      <c r="M209" s="2481">
        <f t="shared" si="68"/>
        <v>97500</v>
      </c>
      <c r="N209" s="2481">
        <f t="shared" si="68"/>
        <v>97500</v>
      </c>
      <c r="O209" s="1443"/>
    </row>
    <row r="210" spans="2:16" ht="15.75" collapsed="1" x14ac:dyDescent="0.25">
      <c r="B210" s="1436"/>
      <c r="C210" s="1438" t="s">
        <v>1395</v>
      </c>
      <c r="D210" s="1439" t="str">
        <f>INDEX(CostVectors[Description], MATCH(C210, CostVectors[Code], 0))</f>
        <v>High estimate of fuel costs</v>
      </c>
      <c r="E210" s="1439"/>
      <c r="F210" s="2481"/>
      <c r="G210" s="2481"/>
      <c r="H210" s="2481"/>
      <c r="I210" s="2481"/>
      <c r="J210" s="2481"/>
      <c r="K210" s="2481"/>
      <c r="L210" s="2481"/>
      <c r="M210" s="2481"/>
      <c r="N210" s="2481"/>
      <c r="O210" s="1443"/>
    </row>
    <row r="211" spans="2:16" ht="15.75" x14ac:dyDescent="0.25">
      <c r="B211" s="1436"/>
      <c r="C211" s="1438" t="s">
        <v>1866</v>
      </c>
      <c r="D211" s="1439" t="str">
        <f>INDEX(CostVectors[Description], MATCH(C211, CostVectors[Code], 0))</f>
        <v>Point estimate of capital costs</v>
      </c>
      <c r="E211" s="1931"/>
      <c r="F211" s="1394">
        <f>F148</f>
        <v>0</v>
      </c>
      <c r="G211" s="1394">
        <f t="shared" ref="G211:N211" si="69">G148</f>
        <v>0</v>
      </c>
      <c r="H211" s="1394">
        <f t="shared" si="69"/>
        <v>1125000000</v>
      </c>
      <c r="I211" s="1394">
        <f t="shared" si="69"/>
        <v>1406250000</v>
      </c>
      <c r="J211" s="1394">
        <f t="shared" si="69"/>
        <v>2250000000</v>
      </c>
      <c r="K211" s="1394">
        <f t="shared" si="69"/>
        <v>1593750000</v>
      </c>
      <c r="L211" s="1394">
        <f t="shared" si="69"/>
        <v>1687500000</v>
      </c>
      <c r="M211" s="1394">
        <f t="shared" si="69"/>
        <v>1968750000</v>
      </c>
      <c r="N211" s="1394">
        <f t="shared" si="69"/>
        <v>2250000000</v>
      </c>
      <c r="O211" s="1443"/>
    </row>
    <row r="212" spans="2:16" ht="15.75" x14ac:dyDescent="0.25">
      <c r="B212" s="1436"/>
      <c r="C212" s="1438" t="s">
        <v>1868</v>
      </c>
      <c r="D212" s="1439" t="str">
        <f>INDEX(CostVectors[Description], MATCH(C212, CostVectors[Code], 0))</f>
        <v>Point estimate of operating costs</v>
      </c>
      <c r="E212" s="1931"/>
      <c r="F212" s="1394">
        <f>F149</f>
        <v>0</v>
      </c>
      <c r="G212" s="1394">
        <f t="shared" ref="G212:N212" si="70">G149</f>
        <v>0</v>
      </c>
      <c r="H212" s="1394">
        <f t="shared" si="70"/>
        <v>28500</v>
      </c>
      <c r="I212" s="1394">
        <f t="shared" si="70"/>
        <v>28500</v>
      </c>
      <c r="J212" s="1394">
        <f t="shared" si="70"/>
        <v>14250</v>
      </c>
      <c r="K212" s="1394">
        <f t="shared" si="70"/>
        <v>42750</v>
      </c>
      <c r="L212" s="1394">
        <f t="shared" si="70"/>
        <v>57000</v>
      </c>
      <c r="M212" s="1394">
        <f t="shared" si="70"/>
        <v>57000</v>
      </c>
      <c r="N212" s="1394">
        <f t="shared" si="70"/>
        <v>57000</v>
      </c>
      <c r="O212" s="1443"/>
    </row>
    <row r="213" spans="2:16" ht="15.75" x14ac:dyDescent="0.25">
      <c r="B213" s="1436"/>
      <c r="C213" s="1438" t="s">
        <v>1869</v>
      </c>
      <c r="D213" s="1439" t="str">
        <f>INDEX(CostVectors[Description], MATCH(C213, CostVectors[Code], 0))</f>
        <v>Point estimate of fuel costs</v>
      </c>
      <c r="E213" s="1931"/>
      <c r="F213" s="1394"/>
      <c r="G213" s="1394"/>
      <c r="H213" s="1394"/>
      <c r="I213" s="1394"/>
      <c r="J213" s="1394"/>
      <c r="K213" s="1394"/>
      <c r="L213" s="1394"/>
      <c r="M213" s="1394"/>
      <c r="N213" s="1394"/>
      <c r="O213" s="1443"/>
    </row>
    <row r="214" spans="2:16" ht="14.25" customHeight="1" x14ac:dyDescent="0.2">
      <c r="B214" s="1444"/>
      <c r="C214" s="1438" t="s">
        <v>1382</v>
      </c>
      <c r="D214" s="1439" t="str">
        <f>INDEX(CostVectors[Description], MATCH(C214, CostVectors[Code], 0))</f>
        <v>Low estimate of capital costs</v>
      </c>
      <c r="E214" s="1439"/>
      <c r="F214" s="2481">
        <f>F153</f>
        <v>0</v>
      </c>
      <c r="G214" s="2481">
        <f t="shared" ref="G214:N214" si="71">G153</f>
        <v>0</v>
      </c>
      <c r="H214" s="2481">
        <f t="shared" si="71"/>
        <v>900000000</v>
      </c>
      <c r="I214" s="2481">
        <f t="shared" si="71"/>
        <v>1125000000</v>
      </c>
      <c r="J214" s="2481">
        <f t="shared" si="71"/>
        <v>1800000000</v>
      </c>
      <c r="K214" s="2481">
        <f t="shared" si="71"/>
        <v>1275000000</v>
      </c>
      <c r="L214" s="2481">
        <f t="shared" si="71"/>
        <v>1350000000</v>
      </c>
      <c r="M214" s="2481">
        <f t="shared" si="71"/>
        <v>1575000000</v>
      </c>
      <c r="N214" s="2481">
        <f t="shared" si="71"/>
        <v>1800000000</v>
      </c>
      <c r="O214" s="1445"/>
    </row>
    <row r="215" spans="2:16" ht="14.25" x14ac:dyDescent="0.2">
      <c r="B215" s="1444"/>
      <c r="C215" s="1438" t="s">
        <v>1384</v>
      </c>
      <c r="D215" s="1439" t="str">
        <f>INDEX(CostVectors[Description], MATCH(C215, CostVectors[Code], 0))</f>
        <v>Low estimate of operating costs</v>
      </c>
      <c r="E215" s="1439"/>
      <c r="F215" s="2481">
        <f>F154</f>
        <v>0</v>
      </c>
      <c r="G215" s="2481">
        <f t="shared" ref="G215:N215" si="72">G154</f>
        <v>0</v>
      </c>
      <c r="H215" s="2481">
        <f t="shared" si="72"/>
        <v>26250</v>
      </c>
      <c r="I215" s="2481">
        <f t="shared" si="72"/>
        <v>26250</v>
      </c>
      <c r="J215" s="2481">
        <f t="shared" si="72"/>
        <v>13125</v>
      </c>
      <c r="K215" s="2481">
        <f t="shared" si="72"/>
        <v>39375</v>
      </c>
      <c r="L215" s="2481">
        <f t="shared" si="72"/>
        <v>52500</v>
      </c>
      <c r="M215" s="2481">
        <f t="shared" si="72"/>
        <v>52500</v>
      </c>
      <c r="N215" s="2481">
        <f t="shared" si="72"/>
        <v>52500</v>
      </c>
      <c r="O215" s="1445"/>
    </row>
    <row r="216" spans="2:16" ht="15.75" customHeight="1" x14ac:dyDescent="0.2">
      <c r="B216" s="1444"/>
      <c r="C216" s="1438" t="s">
        <v>1386</v>
      </c>
      <c r="D216" s="1439" t="str">
        <f>INDEX(CostVectors[Description], MATCH(C216, CostVectors[Code], 0))</f>
        <v>Low estimate of fuel costs</v>
      </c>
      <c r="E216" s="1439"/>
      <c r="F216" s="2481"/>
      <c r="G216" s="2481"/>
      <c r="H216" s="2481"/>
      <c r="I216" s="2481"/>
      <c r="J216" s="2481"/>
      <c r="K216" s="2481"/>
      <c r="L216" s="2481"/>
      <c r="M216" s="2481"/>
      <c r="N216" s="2481"/>
      <c r="O216" s="1445"/>
    </row>
    <row r="217" spans="2:16" ht="5.25" customHeight="1" x14ac:dyDescent="0.2">
      <c r="B217" s="1446"/>
      <c r="C217" s="1440"/>
      <c r="D217" s="1440"/>
      <c r="E217" s="1440"/>
      <c r="F217" s="1440"/>
      <c r="G217" s="1440"/>
      <c r="H217" s="1440"/>
      <c r="I217" s="1440"/>
      <c r="J217" s="1440"/>
      <c r="K217" s="1440"/>
      <c r="L217" s="1440"/>
      <c r="M217" s="1440"/>
      <c r="N217" s="1440"/>
      <c r="O217" s="1440"/>
      <c r="P217" s="1447"/>
    </row>
  </sheetData>
  <pageMargins left="0.70866141732283472" right="0.70866141732283472" top="0.74803149606299213" bottom="0.74803149606299213" header="0.31496062992125984" footer="0.31496062992125984"/>
  <pageSetup paperSize="9" orientation="portrait"/>
  <tableParts count="5">
    <tablePart r:id="rId1"/>
    <tablePart r:id="rId2"/>
    <tablePart r:id="rId3"/>
    <tablePart r:id="rId4"/>
    <tablePart r:id="rId5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outlinePr summaryBelow="0"/>
    <pageSetUpPr autoPageBreaks="0"/>
  </sheetPr>
  <dimension ref="A1:Q209"/>
  <sheetViews>
    <sheetView windowProtection="1" topLeftCell="H193" zoomScaleNormal="100" workbookViewId="0"/>
  </sheetViews>
  <sheetFormatPr defaultColWidth="8.7109375" defaultRowHeight="12.75" x14ac:dyDescent="0.2"/>
  <cols>
    <col min="1" max="1" width="7.7109375" style="2479" customWidth="1"/>
    <col min="2" max="2" width="5.7109375" style="2479" customWidth="1"/>
    <col min="3" max="3" width="45" style="2479" customWidth="1"/>
    <col min="4" max="4" width="30.7109375" style="2479" customWidth="1"/>
    <col min="5" max="5" width="20.7109375" style="2479" customWidth="1"/>
    <col min="6" max="15" width="17.7109375" style="2479" customWidth="1"/>
    <col min="16" max="16" width="2" style="2479" customWidth="1"/>
    <col min="17" max="17" width="10.7109375" style="2479" customWidth="1"/>
    <col min="18" max="16384" width="8.7109375" style="2479"/>
  </cols>
  <sheetData>
    <row r="1" spans="1:17" ht="21" x14ac:dyDescent="0.35">
      <c r="A1" s="120" t="s">
        <v>60</v>
      </c>
      <c r="B1" s="120" t="str">
        <f>INDEX(Workstreams[Workstream], MATCH($A1,Workstreams[Code], 0))</f>
        <v>Hydrocarbon fuel power generation</v>
      </c>
      <c r="C1" s="120"/>
    </row>
    <row r="2" spans="1:17" s="84" customFormat="1" ht="19.5" customHeight="1" x14ac:dyDescent="0.2">
      <c r="A2" s="6" t="s">
        <v>2146</v>
      </c>
      <c r="B2" s="6" t="str">
        <f>INDEX(Modules[Module], MATCH($A2,Modules[Code], 0))</f>
        <v>Coal power stations</v>
      </c>
      <c r="C2" s="6"/>
      <c r="E2" s="1380" t="s">
        <v>2578</v>
      </c>
      <c r="Q2" s="2479"/>
    </row>
    <row r="3" spans="1:17" s="84" customFormat="1" ht="12.75" customHeight="1" x14ac:dyDescent="0.2">
      <c r="A3" s="2479"/>
      <c r="B3" s="6"/>
      <c r="C3" s="6"/>
      <c r="Q3" s="2479"/>
    </row>
    <row r="4" spans="1:17" ht="22.5" collapsed="1" x14ac:dyDescent="0.3">
      <c r="A4" s="1422"/>
      <c r="B4" s="468" t="s">
        <v>600</v>
      </c>
      <c r="C4" s="420"/>
      <c r="D4" s="421"/>
      <c r="E4" s="422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7" x14ac:dyDescent="0.2">
      <c r="B5" s="469"/>
      <c r="C5" s="411"/>
      <c r="D5" s="412"/>
      <c r="E5" s="413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7" ht="15.75" x14ac:dyDescent="0.25">
      <c r="B6" s="482"/>
      <c r="C6" s="412"/>
      <c r="D6" s="216" t="s">
        <v>342</v>
      </c>
      <c r="E6" s="216" t="s">
        <v>595</v>
      </c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7" ht="15.75" x14ac:dyDescent="0.25">
      <c r="B7" s="482"/>
      <c r="C7" s="412"/>
      <c r="D7" s="238" t="s">
        <v>595</v>
      </c>
      <c r="E7" s="238">
        <f>I.c.scenario</f>
        <v>4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7" ht="15.75" x14ac:dyDescent="0.25">
      <c r="B8" s="483"/>
      <c r="C8" s="417"/>
      <c r="D8" s="417"/>
      <c r="E8" s="417"/>
      <c r="F8" s="418"/>
      <c r="G8" s="418"/>
      <c r="H8" s="418"/>
      <c r="I8" s="418"/>
      <c r="J8" s="418"/>
      <c r="K8" s="418"/>
      <c r="L8" s="418"/>
      <c r="M8" s="418"/>
      <c r="N8" s="418"/>
      <c r="O8" s="418"/>
      <c r="P8" s="419"/>
    </row>
    <row r="11" spans="1:17" s="84" customFormat="1" ht="22.5" x14ac:dyDescent="0.3">
      <c r="A11" s="1422"/>
      <c r="B11" s="1423" t="s">
        <v>597</v>
      </c>
      <c r="C11" s="407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6"/>
      <c r="P11" s="2479"/>
    </row>
    <row r="12" spans="1:17" x14ac:dyDescent="0.2">
      <c r="B12" s="474"/>
      <c r="C12" s="1416"/>
      <c r="D12" s="1416"/>
      <c r="E12" s="1416"/>
      <c r="F12" s="1416"/>
      <c r="G12" s="1416"/>
      <c r="H12" s="1416"/>
      <c r="I12" s="1416"/>
      <c r="J12" s="1416"/>
      <c r="K12" s="1416"/>
      <c r="L12" s="1416"/>
      <c r="M12" s="1416"/>
      <c r="N12" s="1416"/>
      <c r="O12" s="1420"/>
    </row>
    <row r="13" spans="1:17" x14ac:dyDescent="0.2">
      <c r="B13" s="474"/>
      <c r="C13" s="1417" t="s">
        <v>2360</v>
      </c>
      <c r="D13" s="1416"/>
      <c r="E13" s="176"/>
      <c r="F13" s="1416"/>
      <c r="G13" s="1416"/>
      <c r="H13" s="1416"/>
      <c r="I13" s="1416"/>
      <c r="J13" s="1416"/>
      <c r="K13" s="1416"/>
      <c r="L13" s="1416"/>
      <c r="M13" s="1416"/>
      <c r="N13" s="176"/>
      <c r="O13" s="1420"/>
    </row>
    <row r="14" spans="1:17" ht="5.25" customHeight="1" x14ac:dyDescent="0.2">
      <c r="B14" s="474"/>
      <c r="C14" s="1416"/>
      <c r="D14" s="1416"/>
      <c r="E14" s="1416"/>
      <c r="F14" s="1416"/>
      <c r="G14" s="1416"/>
      <c r="H14" s="1416"/>
      <c r="I14" s="1416"/>
      <c r="J14" s="1416"/>
      <c r="K14" s="1416"/>
      <c r="L14" s="1416"/>
      <c r="M14" s="1416"/>
      <c r="N14" s="1416"/>
      <c r="O14" s="1420"/>
    </row>
    <row r="15" spans="1:17" ht="15.75" x14ac:dyDescent="0.25">
      <c r="B15" s="475"/>
      <c r="C15" s="2520" t="s">
        <v>595</v>
      </c>
      <c r="D15" s="2520" t="s">
        <v>65</v>
      </c>
      <c r="E15" s="2520" t="s">
        <v>172</v>
      </c>
      <c r="F15" s="2518">
        <v>2010</v>
      </c>
      <c r="G15" s="2518">
        <v>2015</v>
      </c>
      <c r="H15" s="2518">
        <v>2020</v>
      </c>
      <c r="I15" s="2518">
        <v>2025</v>
      </c>
      <c r="J15" s="2518">
        <v>2030</v>
      </c>
      <c r="K15" s="2518">
        <v>2035</v>
      </c>
      <c r="L15" s="2518">
        <v>2040</v>
      </c>
      <c r="M15" s="2518">
        <v>2045</v>
      </c>
      <c r="N15" s="2518">
        <v>2050</v>
      </c>
      <c r="O15" s="1420"/>
    </row>
    <row r="16" spans="1:17" ht="15.75" x14ac:dyDescent="0.25">
      <c r="B16" s="475"/>
      <c r="C16" s="1414">
        <v>1</v>
      </c>
      <c r="D16" s="1415"/>
      <c r="E16" s="1415"/>
      <c r="F16" s="160">
        <f>(Unit.GW)*0</f>
        <v>0</v>
      </c>
      <c r="G16" s="160">
        <f>(Unit.GW)*0</f>
        <v>0</v>
      </c>
      <c r="H16" s="160">
        <f>(Unit.GW)*0</f>
        <v>0</v>
      </c>
      <c r="I16" s="160">
        <f t="shared" ref="I16:N16" si="0">(Unit.GW)*1.4</f>
        <v>1.4</v>
      </c>
      <c r="J16" s="160">
        <f t="shared" si="0"/>
        <v>1.4</v>
      </c>
      <c r="K16" s="160">
        <f t="shared" si="0"/>
        <v>1.4</v>
      </c>
      <c r="L16" s="160">
        <f t="shared" si="0"/>
        <v>1.4</v>
      </c>
      <c r="M16" s="160">
        <f t="shared" si="0"/>
        <v>1.4</v>
      </c>
      <c r="N16" s="160">
        <f t="shared" si="0"/>
        <v>1.4</v>
      </c>
      <c r="O16" s="1420"/>
    </row>
    <row r="17" spans="1:16" ht="15.75" x14ac:dyDescent="0.25">
      <c r="B17" s="475"/>
      <c r="C17" s="1414">
        <v>2</v>
      </c>
      <c r="D17" s="1415"/>
      <c r="E17" s="1415"/>
      <c r="F17" s="160">
        <f t="shared" ref="F17:H19" si="1">(Unit.GW)*0</f>
        <v>0</v>
      </c>
      <c r="G17" s="160">
        <f t="shared" si="1"/>
        <v>0</v>
      </c>
      <c r="H17" s="160">
        <f t="shared" si="1"/>
        <v>0</v>
      </c>
      <c r="I17" s="160">
        <f>(Unit.GW)*1.4</f>
        <v>1.4</v>
      </c>
      <c r="J17" s="160">
        <f>(Unit.GW)*1.4</f>
        <v>1.4</v>
      </c>
      <c r="K17" s="160">
        <f>(Unit.GW)*4.5</f>
        <v>4.5</v>
      </c>
      <c r="L17" s="160">
        <f>(Unit.GW)*4.5</f>
        <v>4.5</v>
      </c>
      <c r="M17" s="160">
        <f>(Unit.GW)*4.5</f>
        <v>4.5</v>
      </c>
      <c r="N17" s="160">
        <f>(Unit.GW)*4.5</f>
        <v>4.5</v>
      </c>
      <c r="O17" s="1420"/>
    </row>
    <row r="18" spans="1:16" ht="15.75" x14ac:dyDescent="0.25">
      <c r="B18" s="475"/>
      <c r="C18" s="1414">
        <v>3</v>
      </c>
      <c r="D18" s="1415"/>
      <c r="E18" s="1415"/>
      <c r="F18" s="160">
        <f t="shared" si="1"/>
        <v>0</v>
      </c>
      <c r="G18" s="160">
        <f t="shared" si="1"/>
        <v>0</v>
      </c>
      <c r="H18" s="160">
        <f t="shared" si="1"/>
        <v>0</v>
      </c>
      <c r="I18" s="160">
        <f>(Unit.GW)*2</f>
        <v>2</v>
      </c>
      <c r="J18" s="160">
        <f>J19*0.35</f>
        <v>4.2349999999999994</v>
      </c>
      <c r="K18" s="160">
        <f>K19*0.35</f>
        <v>7.9799999999999995</v>
      </c>
      <c r="L18" s="160">
        <f>L19*0.35</f>
        <v>11.76</v>
      </c>
      <c r="M18" s="160">
        <f>M19*0.35</f>
        <v>15.504999999999997</v>
      </c>
      <c r="N18" s="160">
        <f>N19*0.35</f>
        <v>19.25</v>
      </c>
      <c r="O18" s="1420"/>
    </row>
    <row r="19" spans="1:16" ht="15.75" x14ac:dyDescent="0.25">
      <c r="B19" s="475"/>
      <c r="C19" s="1412">
        <v>4</v>
      </c>
      <c r="D19" s="102"/>
      <c r="E19" s="102"/>
      <c r="F19" s="160">
        <f t="shared" si="1"/>
        <v>0</v>
      </c>
      <c r="G19" s="160">
        <f t="shared" si="1"/>
        <v>0</v>
      </c>
      <c r="H19" s="160">
        <f t="shared" si="1"/>
        <v>0</v>
      </c>
      <c r="I19" s="160">
        <f>(Unit.GW)*4</f>
        <v>4</v>
      </c>
      <c r="J19" s="201">
        <f>(Unit.GW)*12.1</f>
        <v>12.1</v>
      </c>
      <c r="K19" s="201">
        <f>(Unit.GW)*22.8</f>
        <v>22.8</v>
      </c>
      <c r="L19" s="201">
        <f>(Unit.GW)*33.6</f>
        <v>33.6</v>
      </c>
      <c r="M19" s="201">
        <f>(Unit.GW)*44.3</f>
        <v>44.3</v>
      </c>
      <c r="N19" s="201">
        <f>(Unit.GW)*55</f>
        <v>55</v>
      </c>
      <c r="O19" s="1420"/>
    </row>
    <row r="20" spans="1:16" ht="15.75" x14ac:dyDescent="0.25">
      <c r="B20" s="397"/>
      <c r="C20" s="1386" t="s">
        <v>582</v>
      </c>
      <c r="D20" s="1387"/>
      <c r="E20" s="1387"/>
      <c r="F20" s="2519">
        <f>(INDEX(F$16:F$19,ROUNDDOWN($E$7,0))*(1-MOD($E$7,1)))+(INDEX(F$16:F$19,ROUNDUP($E$7,0))*MOD($E$7,1))</f>
        <v>0</v>
      </c>
      <c r="G20" s="1388">
        <f>(INDEX(G$16:G$19,ROUNDDOWN($E$7,0))*(1-MOD($E$7,1)))+(INDEX(G$16:G$19,ROUNDUP($E$7,0))*MOD($E$7,1))</f>
        <v>0</v>
      </c>
      <c r="H20" s="2519">
        <f>(INDEX(H$16:H$19,ROUNDDOWN($E$7,0))*(1-MOD($E$7,1)))+(INDEX(H$16:H$19,ROUNDUP($E$7,0))*MOD($E$7,1))</f>
        <v>0</v>
      </c>
      <c r="I20" s="1388">
        <f t="shared" ref="I20:N20" si="2">(INDEX(I$16:I$19,ROUNDDOWN($E$7,0))*(1-MOD($E$7,1)))+(INDEX(I$16:I$19,ROUNDUP($E$7,0))*MOD($E$7,1))</f>
        <v>4</v>
      </c>
      <c r="J20" s="1388">
        <f t="shared" si="2"/>
        <v>12.1</v>
      </c>
      <c r="K20" s="1388">
        <f t="shared" si="2"/>
        <v>22.8</v>
      </c>
      <c r="L20" s="1388">
        <f t="shared" si="2"/>
        <v>33.6</v>
      </c>
      <c r="M20" s="1388">
        <f t="shared" si="2"/>
        <v>44.3</v>
      </c>
      <c r="N20" s="1389">
        <f t="shared" si="2"/>
        <v>55</v>
      </c>
      <c r="O20" s="1420"/>
    </row>
    <row r="21" spans="1:16" x14ac:dyDescent="0.2">
      <c r="B21" s="474"/>
      <c r="C21" s="1416"/>
      <c r="D21" s="1416"/>
      <c r="E21" s="1416"/>
      <c r="F21" s="1416"/>
      <c r="G21" s="1416"/>
      <c r="H21" s="1416"/>
      <c r="I21" s="1416"/>
      <c r="J21" s="1416"/>
      <c r="K21" s="1416"/>
      <c r="L21" s="1416"/>
      <c r="M21" s="1416"/>
      <c r="N21" s="1416"/>
      <c r="O21" s="1420"/>
    </row>
    <row r="22" spans="1:16" x14ac:dyDescent="0.2">
      <c r="B22" s="474"/>
      <c r="C22" s="1416"/>
      <c r="D22" s="1416"/>
      <c r="E22" s="1416"/>
      <c r="F22" s="1416"/>
      <c r="G22" s="1416"/>
      <c r="H22" s="1416"/>
      <c r="I22" s="1416"/>
      <c r="J22" s="1416"/>
      <c r="K22" s="1416"/>
      <c r="L22" s="1416"/>
      <c r="M22" s="1416"/>
      <c r="N22" s="1416"/>
      <c r="O22" s="1416"/>
      <c r="P22" s="1420"/>
    </row>
    <row r="25" spans="1:16" s="84" customFormat="1" ht="22.5" x14ac:dyDescent="0.3">
      <c r="A25" s="1422"/>
      <c r="B25" s="1423" t="s">
        <v>315</v>
      </c>
      <c r="C25" s="405"/>
      <c r="D25" s="405"/>
      <c r="E25" s="405"/>
      <c r="F25" s="405"/>
      <c r="G25" s="405"/>
      <c r="H25" s="405"/>
      <c r="I25" s="405"/>
      <c r="J25" s="405"/>
      <c r="K25" s="405"/>
      <c r="L25" s="405"/>
      <c r="M25" s="405"/>
      <c r="N25" s="405"/>
      <c r="O25" s="406"/>
      <c r="P25" s="2479"/>
    </row>
    <row r="26" spans="1:16" x14ac:dyDescent="0.2">
      <c r="B26" s="457"/>
      <c r="C26" s="458"/>
      <c r="D26" s="458"/>
      <c r="E26" s="458"/>
      <c r="F26" s="458"/>
      <c r="G26" s="458"/>
      <c r="H26" s="458"/>
      <c r="I26" s="458"/>
      <c r="J26" s="458"/>
      <c r="K26" s="458"/>
      <c r="L26" s="458"/>
      <c r="M26" s="458"/>
      <c r="N26" s="458"/>
      <c r="O26" s="459"/>
    </row>
    <row r="27" spans="1:16" x14ac:dyDescent="0.2">
      <c r="B27" s="1419"/>
      <c r="C27" s="1417" t="s">
        <v>879</v>
      </c>
      <c r="D27" s="1416"/>
      <c r="E27" s="1416"/>
      <c r="F27" s="176"/>
      <c r="G27" s="1416"/>
      <c r="H27" s="1416"/>
      <c r="I27" s="1416"/>
      <c r="J27" s="1416"/>
      <c r="K27" s="1416"/>
      <c r="L27" s="1416"/>
      <c r="M27" s="1416"/>
      <c r="N27" s="1416"/>
      <c r="O27" s="1420"/>
    </row>
    <row r="28" spans="1:16" ht="4.5" customHeight="1" x14ac:dyDescent="0.2">
      <c r="B28" s="1419"/>
      <c r="C28" s="1416"/>
      <c r="D28" s="1416"/>
      <c r="E28" s="1416"/>
      <c r="F28" s="1416"/>
      <c r="G28" s="1416"/>
      <c r="H28" s="1416"/>
      <c r="I28" s="1416"/>
      <c r="J28" s="1416"/>
      <c r="K28" s="1416"/>
      <c r="L28" s="1416"/>
      <c r="M28" s="1416"/>
      <c r="N28" s="1416"/>
      <c r="O28" s="1420"/>
    </row>
    <row r="29" spans="1:16" ht="15.75" x14ac:dyDescent="0.25">
      <c r="B29" s="397"/>
      <c r="C29" s="98" t="s">
        <v>264</v>
      </c>
      <c r="D29" s="98" t="s">
        <v>278</v>
      </c>
      <c r="E29" s="98" t="s">
        <v>172</v>
      </c>
      <c r="F29" s="104" t="s">
        <v>241</v>
      </c>
      <c r="G29" s="103" t="s">
        <v>268</v>
      </c>
      <c r="H29" s="103" t="s">
        <v>269</v>
      </c>
      <c r="I29" s="103" t="s">
        <v>270</v>
      </c>
      <c r="J29" s="103" t="s">
        <v>271</v>
      </c>
      <c r="K29" s="103" t="s">
        <v>272</v>
      </c>
      <c r="L29" s="103" t="s">
        <v>273</v>
      </c>
      <c r="M29" s="103" t="s">
        <v>274</v>
      </c>
      <c r="N29" s="103" t="s">
        <v>275</v>
      </c>
      <c r="O29" s="1420"/>
    </row>
    <row r="30" spans="1:16" ht="15.75" x14ac:dyDescent="0.25">
      <c r="B30" s="397"/>
      <c r="C30" s="344" t="s">
        <v>36</v>
      </c>
      <c r="D30" s="1415" t="s">
        <v>2343</v>
      </c>
      <c r="E30" s="1418"/>
      <c r="F30" s="347">
        <v>0.05</v>
      </c>
      <c r="G30" s="348">
        <v>0.05</v>
      </c>
      <c r="H30" s="348">
        <v>0.05</v>
      </c>
      <c r="I30" s="348">
        <v>0.05</v>
      </c>
      <c r="J30" s="348">
        <v>0.05</v>
      </c>
      <c r="K30" s="348">
        <v>0.05</v>
      </c>
      <c r="L30" s="348">
        <v>0.05</v>
      </c>
      <c r="M30" s="348">
        <v>0.05</v>
      </c>
      <c r="N30" s="348">
        <v>0.05</v>
      </c>
      <c r="O30" s="1420"/>
    </row>
    <row r="31" spans="1:16" x14ac:dyDescent="0.2">
      <c r="B31" s="1419"/>
      <c r="C31" s="1416"/>
      <c r="D31" s="1416"/>
      <c r="E31" s="1416"/>
      <c r="F31" s="1416"/>
      <c r="G31" s="1416"/>
      <c r="H31" s="1416"/>
      <c r="I31" s="1416"/>
      <c r="J31" s="1416"/>
      <c r="K31" s="1416"/>
      <c r="L31" s="1416"/>
      <c r="M31" s="1416"/>
      <c r="N31" s="1416"/>
      <c r="O31" s="1420"/>
    </row>
    <row r="32" spans="1:16" x14ac:dyDescent="0.2">
      <c r="B32" s="1421"/>
      <c r="C32" s="1417" t="s">
        <v>276</v>
      </c>
      <c r="D32" s="1416"/>
      <c r="E32" s="1416"/>
      <c r="F32" s="176"/>
      <c r="G32" s="1416"/>
      <c r="H32" s="1416"/>
      <c r="I32" s="1416"/>
      <c r="J32" s="1416"/>
      <c r="K32" s="1416"/>
      <c r="L32" s="1416"/>
      <c r="M32" s="1416"/>
      <c r="N32" s="1416"/>
      <c r="O32" s="1420"/>
    </row>
    <row r="33" spans="1:17" ht="4.5" customHeight="1" x14ac:dyDescent="0.2">
      <c r="B33" s="1419"/>
      <c r="C33" s="1416"/>
      <c r="D33" s="1416"/>
      <c r="E33" s="1416"/>
      <c r="F33" s="1416"/>
      <c r="G33" s="1416"/>
      <c r="H33" s="1416"/>
      <c r="I33" s="1416"/>
      <c r="J33" s="1416"/>
      <c r="K33" s="1416"/>
      <c r="L33" s="1416"/>
      <c r="M33" s="1416"/>
      <c r="N33" s="1416"/>
      <c r="O33" s="1420"/>
    </row>
    <row r="34" spans="1:17" ht="15.75" x14ac:dyDescent="0.25">
      <c r="B34" s="397"/>
      <c r="C34" s="98" t="s">
        <v>264</v>
      </c>
      <c r="D34" s="98" t="s">
        <v>278</v>
      </c>
      <c r="E34" s="98" t="s">
        <v>172</v>
      </c>
      <c r="F34" s="2484" t="s">
        <v>241</v>
      </c>
      <c r="G34" s="2485" t="s">
        <v>268</v>
      </c>
      <c r="H34" s="2485" t="s">
        <v>269</v>
      </c>
      <c r="I34" s="2485" t="s">
        <v>270</v>
      </c>
      <c r="J34" s="2485" t="s">
        <v>271</v>
      </c>
      <c r="K34" s="2485" t="s">
        <v>272</v>
      </c>
      <c r="L34" s="2485" t="s">
        <v>273</v>
      </c>
      <c r="M34" s="2485" t="s">
        <v>274</v>
      </c>
      <c r="N34" s="2485" t="s">
        <v>275</v>
      </c>
      <c r="O34" s="1420"/>
    </row>
    <row r="35" spans="1:17" s="84" customFormat="1" ht="15.75" x14ac:dyDescent="0.2">
      <c r="A35" s="2479"/>
      <c r="B35" s="399"/>
      <c r="C35" s="505" t="s">
        <v>36</v>
      </c>
      <c r="D35" s="1415" t="s">
        <v>2343</v>
      </c>
      <c r="E35" s="344"/>
      <c r="F35" s="2486">
        <v>0.38</v>
      </c>
      <c r="G35" s="2486">
        <v>0.38</v>
      </c>
      <c r="H35" s="2486">
        <v>0.38</v>
      </c>
      <c r="I35" s="2486">
        <v>0.38</v>
      </c>
      <c r="J35" s="2486">
        <v>0.38</v>
      </c>
      <c r="K35" s="2486">
        <v>0.38</v>
      </c>
      <c r="L35" s="2486">
        <v>0.38</v>
      </c>
      <c r="M35" s="2486">
        <v>0.38</v>
      </c>
      <c r="N35" s="2486">
        <v>0.38</v>
      </c>
      <c r="O35" s="400"/>
      <c r="P35" s="2479"/>
    </row>
    <row r="36" spans="1:17" s="84" customFormat="1" ht="12" customHeight="1" x14ac:dyDescent="0.2">
      <c r="A36" s="2479"/>
      <c r="B36" s="399"/>
      <c r="C36" s="505"/>
      <c r="D36" s="344"/>
      <c r="E36" s="344"/>
      <c r="F36" s="174"/>
      <c r="G36" s="174"/>
      <c r="H36" s="174"/>
      <c r="I36" s="174"/>
      <c r="J36" s="174"/>
      <c r="K36" s="174"/>
      <c r="L36" s="174"/>
      <c r="M36" s="174"/>
      <c r="N36" s="174"/>
      <c r="O36" s="400"/>
      <c r="P36" s="2479"/>
    </row>
    <row r="37" spans="1:17" s="84" customFormat="1" ht="15.75" x14ac:dyDescent="0.2">
      <c r="A37" s="2479"/>
      <c r="B37" s="399"/>
      <c r="C37" s="178" t="s">
        <v>1223</v>
      </c>
      <c r="D37" s="344"/>
      <c r="E37" s="344"/>
      <c r="F37" s="213"/>
      <c r="G37" s="174"/>
      <c r="H37" s="174"/>
      <c r="I37" s="174"/>
      <c r="J37" s="174"/>
      <c r="K37" s="174"/>
      <c r="L37" s="174"/>
      <c r="M37" s="174"/>
      <c r="N37" s="174"/>
      <c r="O37" s="174"/>
      <c r="P37" s="400"/>
      <c r="Q37" s="2479"/>
    </row>
    <row r="38" spans="1:17" s="84" customFormat="1" ht="15.75" x14ac:dyDescent="0.2">
      <c r="A38" s="2479"/>
      <c r="B38" s="399"/>
      <c r="C38" s="1101" t="s">
        <v>104</v>
      </c>
      <c r="D38" s="1405">
        <v>0.75</v>
      </c>
      <c r="E38" s="344"/>
      <c r="F38" s="213"/>
      <c r="G38" s="174"/>
      <c r="H38" s="174"/>
      <c r="I38" s="174"/>
      <c r="J38" s="174"/>
      <c r="K38" s="174"/>
      <c r="L38" s="174"/>
      <c r="M38" s="174"/>
      <c r="N38" s="174"/>
      <c r="O38" s="174"/>
      <c r="P38" s="400"/>
      <c r="Q38" s="2479"/>
    </row>
    <row r="39" spans="1:17" x14ac:dyDescent="0.2">
      <c r="B39" s="1419"/>
      <c r="C39" s="1414"/>
      <c r="D39" s="344"/>
      <c r="E39" s="1416"/>
      <c r="F39" s="1416"/>
      <c r="G39" s="1416"/>
      <c r="H39" s="1416"/>
      <c r="I39" s="1416"/>
      <c r="J39" s="1416"/>
      <c r="K39" s="1416"/>
      <c r="L39" s="1416"/>
      <c r="M39" s="1416"/>
      <c r="N39" s="1416"/>
      <c r="O39" s="1416"/>
      <c r="P39" s="1420"/>
    </row>
    <row r="40" spans="1:17" ht="15.75" x14ac:dyDescent="0.25">
      <c r="B40" s="397"/>
      <c r="C40" s="1417" t="s">
        <v>1273</v>
      </c>
      <c r="D40" s="1416"/>
      <c r="E40" s="1416"/>
      <c r="F40" s="1416"/>
      <c r="G40" s="176"/>
      <c r="H40" s="1416"/>
      <c r="I40" s="1416"/>
      <c r="J40" s="1416"/>
      <c r="K40" s="1416"/>
      <c r="L40" s="1416"/>
      <c r="M40" s="1416"/>
      <c r="N40" s="1416"/>
      <c r="O40" s="1416"/>
      <c r="P40" s="1420"/>
    </row>
    <row r="41" spans="1:17" ht="15.75" x14ac:dyDescent="0.25">
      <c r="B41" s="397"/>
      <c r="C41" s="1905"/>
      <c r="D41" s="2080" t="s">
        <v>1298</v>
      </c>
      <c r="E41" s="1905"/>
      <c r="F41" s="1994" t="str">
        <f>Preferences.PowerUnits&amp;"peak"</f>
        <v>GWpeak</v>
      </c>
      <c r="G41" s="953"/>
      <c r="H41" s="953"/>
      <c r="I41" s="1416"/>
      <c r="J41" s="523"/>
      <c r="K41" s="523"/>
      <c r="L41" s="523"/>
      <c r="M41" s="523"/>
      <c r="N41" s="523"/>
      <c r="O41" s="523"/>
      <c r="P41" s="1420"/>
    </row>
    <row r="42" spans="1:17" ht="15.75" x14ac:dyDescent="0.25">
      <c r="B42" s="397"/>
      <c r="C42" s="1101"/>
      <c r="D42" s="1904" t="s">
        <v>1949</v>
      </c>
      <c r="E42" s="1102"/>
      <c r="F42" s="2521">
        <f>1*Unit.GW</f>
        <v>1</v>
      </c>
      <c r="G42" s="1416"/>
      <c r="H42" s="760"/>
      <c r="I42" s="1416"/>
      <c r="J42" s="208"/>
      <c r="K42" s="208"/>
      <c r="L42" s="208"/>
      <c r="M42" s="208"/>
      <c r="N42" s="208"/>
      <c r="O42" s="208"/>
      <c r="P42" s="1420"/>
    </row>
    <row r="43" spans="1:17" ht="15.75" x14ac:dyDescent="0.25">
      <c r="B43" s="397"/>
      <c r="C43" s="1414"/>
      <c r="D43" s="1415"/>
      <c r="E43" s="1415"/>
      <c r="F43" s="206"/>
      <c r="G43" s="760"/>
      <c r="H43" s="760"/>
      <c r="I43" s="1416"/>
      <c r="J43" s="208"/>
      <c r="K43" s="208"/>
      <c r="L43" s="208"/>
      <c r="M43" s="208"/>
      <c r="N43" s="208"/>
      <c r="O43" s="208"/>
      <c r="P43" s="1420"/>
    </row>
    <row r="44" spans="1:17" ht="15.75" x14ac:dyDescent="0.25">
      <c r="B44" s="397"/>
      <c r="C44" s="178" t="s">
        <v>1796</v>
      </c>
      <c r="D44" s="1415"/>
      <c r="E44" s="1415"/>
      <c r="F44" s="760"/>
      <c r="G44" s="760"/>
      <c r="H44" s="1416"/>
      <c r="I44" s="208"/>
      <c r="J44" s="208"/>
      <c r="K44" s="208"/>
      <c r="L44" s="208"/>
      <c r="M44" s="208"/>
      <c r="N44" s="1737" t="str">
        <f>"Kte/"&amp;Preferences.EnergyUnits</f>
        <v>Kte/TWh</v>
      </c>
      <c r="O44" s="1420"/>
    </row>
    <row r="45" spans="1:17" ht="3.75" customHeight="1" x14ac:dyDescent="0.25">
      <c r="B45" s="397"/>
      <c r="C45" s="178"/>
      <c r="D45" s="1415"/>
      <c r="E45" s="1415"/>
      <c r="F45" s="760"/>
      <c r="G45" s="760"/>
      <c r="H45" s="1416"/>
      <c r="I45" s="208"/>
      <c r="J45" s="208"/>
      <c r="K45" s="208"/>
      <c r="L45" s="208"/>
      <c r="M45" s="208"/>
      <c r="N45" s="1737"/>
      <c r="O45" s="1416"/>
    </row>
    <row r="46" spans="1:17" ht="15.75" x14ac:dyDescent="0.25">
      <c r="B46" s="397"/>
      <c r="C46" s="98"/>
      <c r="D46" s="98" t="s">
        <v>264</v>
      </c>
      <c r="E46" s="98" t="s">
        <v>172</v>
      </c>
      <c r="F46" s="104" t="s">
        <v>241</v>
      </c>
      <c r="G46" s="103" t="s">
        <v>268</v>
      </c>
      <c r="H46" s="103" t="s">
        <v>269</v>
      </c>
      <c r="I46" s="103" t="s">
        <v>270</v>
      </c>
      <c r="J46" s="103" t="s">
        <v>271</v>
      </c>
      <c r="K46" s="103" t="s">
        <v>272</v>
      </c>
      <c r="L46" s="103" t="s">
        <v>273</v>
      </c>
      <c r="M46" s="103" t="s">
        <v>274</v>
      </c>
      <c r="N46" s="103" t="s">
        <v>275</v>
      </c>
      <c r="O46" s="208"/>
    </row>
    <row r="47" spans="1:17" ht="15.75" x14ac:dyDescent="0.25">
      <c r="B47" s="397"/>
      <c r="C47" s="344"/>
      <c r="D47" s="344" t="s">
        <v>1807</v>
      </c>
      <c r="E47" s="344"/>
      <c r="F47" s="2182">
        <f>0.00926404891829348*(1/Unit.TWh)</f>
        <v>9.2640489182934799E-3</v>
      </c>
      <c r="G47" s="2181">
        <f>0.00535763463854664*(1/Unit.TWh)</f>
        <v>5.3576346385466401E-3</v>
      </c>
      <c r="H47" s="2181">
        <f>0.00621900785422844*(1/Unit.TWh)</f>
        <v>6.2190078542284401E-3</v>
      </c>
      <c r="I47" s="2181">
        <f t="shared" ref="I47:N47" si="3">0.00572952284099682*(1/Unit.TWh)</f>
        <v>5.7295228409968198E-3</v>
      </c>
      <c r="J47" s="2181">
        <f t="shared" si="3"/>
        <v>5.7295228409968198E-3</v>
      </c>
      <c r="K47" s="2181">
        <f t="shared" si="3"/>
        <v>5.7295228409968198E-3</v>
      </c>
      <c r="L47" s="2181">
        <f t="shared" si="3"/>
        <v>5.7295228409968198E-3</v>
      </c>
      <c r="M47" s="2181">
        <f t="shared" si="3"/>
        <v>5.7295228409968198E-3</v>
      </c>
      <c r="N47" s="2181">
        <f t="shared" si="3"/>
        <v>5.7295228409968198E-3</v>
      </c>
      <c r="O47" s="208"/>
    </row>
    <row r="48" spans="1:17" ht="15.75" x14ac:dyDescent="0.25">
      <c r="B48" s="397"/>
      <c r="C48" s="1414"/>
      <c r="D48" s="1415"/>
      <c r="E48" s="1415"/>
      <c r="F48" s="760"/>
      <c r="G48" s="760"/>
      <c r="H48" s="1416"/>
      <c r="I48" s="208"/>
      <c r="J48" s="208"/>
      <c r="K48" s="208"/>
      <c r="L48" s="208"/>
      <c r="M48" s="208"/>
      <c r="N48" s="208"/>
      <c r="O48" s="1420"/>
    </row>
    <row r="49" spans="2:16" ht="15.75" x14ac:dyDescent="0.25">
      <c r="B49" s="397"/>
      <c r="C49" s="178" t="s">
        <v>1797</v>
      </c>
      <c r="D49" s="1415"/>
      <c r="E49" s="1415"/>
      <c r="F49" s="760"/>
      <c r="G49" s="760"/>
      <c r="H49" s="1416"/>
      <c r="I49" s="208"/>
      <c r="J49" s="208"/>
      <c r="K49" s="208"/>
      <c r="L49" s="208"/>
      <c r="M49" s="208"/>
      <c r="N49" s="1737" t="str">
        <f>"Kte/"&amp;Preferences.EnergyUnits</f>
        <v>Kte/TWh</v>
      </c>
      <c r="O49" s="1420"/>
    </row>
    <row r="50" spans="2:16" ht="3.75" customHeight="1" x14ac:dyDescent="0.25">
      <c r="B50" s="397"/>
      <c r="C50" s="178"/>
      <c r="D50" s="1415"/>
      <c r="E50" s="1415"/>
      <c r="F50" s="760"/>
      <c r="G50" s="760"/>
      <c r="H50" s="1416"/>
      <c r="I50" s="208"/>
      <c r="J50" s="208"/>
      <c r="K50" s="208"/>
      <c r="L50" s="208"/>
      <c r="M50" s="208"/>
      <c r="N50" s="1737"/>
      <c r="O50" s="1416"/>
    </row>
    <row r="51" spans="2:16" ht="15.75" x14ac:dyDescent="0.25">
      <c r="B51" s="397"/>
      <c r="C51" s="98"/>
      <c r="D51" s="98" t="s">
        <v>264</v>
      </c>
      <c r="E51" s="98" t="s">
        <v>172</v>
      </c>
      <c r="F51" s="104" t="s">
        <v>241</v>
      </c>
      <c r="G51" s="103" t="s">
        <v>268</v>
      </c>
      <c r="H51" s="103" t="s">
        <v>269</v>
      </c>
      <c r="I51" s="103" t="s">
        <v>270</v>
      </c>
      <c r="J51" s="103" t="s">
        <v>271</v>
      </c>
      <c r="K51" s="103" t="s">
        <v>272</v>
      </c>
      <c r="L51" s="103" t="s">
        <v>273</v>
      </c>
      <c r="M51" s="103" t="s">
        <v>274</v>
      </c>
      <c r="N51" s="103" t="s">
        <v>275</v>
      </c>
      <c r="O51" s="208"/>
    </row>
    <row r="52" spans="2:16" ht="15.75" x14ac:dyDescent="0.25">
      <c r="B52" s="397"/>
      <c r="C52" s="344"/>
      <c r="D52" s="344" t="s">
        <v>1807</v>
      </c>
      <c r="E52" s="344"/>
      <c r="F52" s="2182">
        <f>0.5950486199862*(1/Unit.TWh)</f>
        <v>0.59504861998619996</v>
      </c>
      <c r="G52" s="2181">
        <f>0.410909829058898*(1/Unit.TWh)</f>
        <v>0.410909829058898</v>
      </c>
      <c r="H52" s="2181">
        <f>0.261585866598581*(1/Unit.TWh)</f>
        <v>0.26158586659858102</v>
      </c>
      <c r="I52" s="2181">
        <f t="shared" ref="I52:N52" si="4">0.257011569300937*(1/Unit.TWh)</f>
        <v>0.25701156930093699</v>
      </c>
      <c r="J52" s="2181">
        <f t="shared" si="4"/>
        <v>0.25701156930093699</v>
      </c>
      <c r="K52" s="2181">
        <f t="shared" si="4"/>
        <v>0.25701156930093699</v>
      </c>
      <c r="L52" s="2181">
        <f t="shared" si="4"/>
        <v>0.25701156930093699</v>
      </c>
      <c r="M52" s="2181">
        <f t="shared" si="4"/>
        <v>0.25701156930093699</v>
      </c>
      <c r="N52" s="2181">
        <f t="shared" si="4"/>
        <v>0.25701156930093699</v>
      </c>
      <c r="O52" s="208"/>
    </row>
    <row r="53" spans="2:16" ht="15.75" x14ac:dyDescent="0.25">
      <c r="B53" s="397"/>
      <c r="C53" s="1738"/>
      <c r="D53" s="1660"/>
      <c r="E53" s="1660"/>
      <c r="F53" s="1739"/>
      <c r="G53" s="1739"/>
      <c r="H53" s="1739"/>
      <c r="I53" s="1739"/>
      <c r="J53" s="1739"/>
      <c r="K53" s="1739"/>
      <c r="L53" s="1739"/>
      <c r="M53" s="1739"/>
      <c r="N53" s="1739"/>
      <c r="O53" s="1420"/>
    </row>
    <row r="54" spans="2:16" ht="15.75" x14ac:dyDescent="0.25">
      <c r="B54" s="397"/>
      <c r="C54" s="178" t="s">
        <v>1798</v>
      </c>
      <c r="D54" s="1415"/>
      <c r="E54" s="1415"/>
      <c r="F54" s="760"/>
      <c r="G54" s="760"/>
      <c r="H54" s="1416"/>
      <c r="I54" s="208"/>
      <c r="J54" s="208"/>
      <c r="K54" s="208"/>
      <c r="L54" s="208"/>
      <c r="M54" s="208"/>
      <c r="N54" s="1737" t="str">
        <f>"Kte/"&amp;Preferences.EnergyUnits</f>
        <v>Kte/TWh</v>
      </c>
      <c r="O54" s="1420"/>
    </row>
    <row r="55" spans="2:16" ht="3.75" customHeight="1" x14ac:dyDescent="0.25">
      <c r="B55" s="397"/>
      <c r="C55" s="178"/>
      <c r="D55" s="1415"/>
      <c r="E55" s="1415"/>
      <c r="F55" s="760"/>
      <c r="G55" s="760"/>
      <c r="H55" s="1416"/>
      <c r="I55" s="208"/>
      <c r="J55" s="208"/>
      <c r="K55" s="208"/>
      <c r="L55" s="208"/>
      <c r="M55" s="208"/>
      <c r="N55" s="1737"/>
      <c r="O55" s="1416"/>
    </row>
    <row r="56" spans="2:16" ht="15.75" x14ac:dyDescent="0.25">
      <c r="B56" s="397"/>
      <c r="C56" s="98"/>
      <c r="D56" s="98" t="s">
        <v>264</v>
      </c>
      <c r="E56" s="98" t="s">
        <v>172</v>
      </c>
      <c r="F56" s="104" t="s">
        <v>241</v>
      </c>
      <c r="G56" s="103" t="s">
        <v>268</v>
      </c>
      <c r="H56" s="103" t="s">
        <v>269</v>
      </c>
      <c r="I56" s="103" t="s">
        <v>270</v>
      </c>
      <c r="J56" s="103" t="s">
        <v>271</v>
      </c>
      <c r="K56" s="103" t="s">
        <v>272</v>
      </c>
      <c r="L56" s="103" t="s">
        <v>273</v>
      </c>
      <c r="M56" s="103" t="s">
        <v>274</v>
      </c>
      <c r="N56" s="103" t="s">
        <v>275</v>
      </c>
      <c r="O56" s="208"/>
    </row>
    <row r="57" spans="2:16" ht="15.75" x14ac:dyDescent="0.25">
      <c r="B57" s="397"/>
      <c r="C57" s="344"/>
      <c r="D57" s="344" t="s">
        <v>1807</v>
      </c>
      <c r="E57" s="344"/>
      <c r="F57" s="2182">
        <f>0.392720353768974*(1/Unit.TWh)</f>
        <v>0.39272035376897402</v>
      </c>
      <c r="G57" s="2181">
        <f>0.255262077087497*(1/Unit.TWh)</f>
        <v>0.25526207708749699</v>
      </c>
      <c r="H57" s="2181">
        <f>0.248871589064033*(1/Unit.TWh)</f>
        <v>0.24887158906403301</v>
      </c>
      <c r="I57" s="2181">
        <f t="shared" ref="I57:N57" si="5">0.243293504284017*(1/Unit.TWh)</f>
        <v>0.243293504284017</v>
      </c>
      <c r="J57" s="2181">
        <f t="shared" si="5"/>
        <v>0.243293504284017</v>
      </c>
      <c r="K57" s="2181">
        <f t="shared" si="5"/>
        <v>0.243293504284017</v>
      </c>
      <c r="L57" s="2181">
        <f t="shared" si="5"/>
        <v>0.243293504284017</v>
      </c>
      <c r="M57" s="2181">
        <f t="shared" si="5"/>
        <v>0.243293504284017</v>
      </c>
      <c r="N57" s="2181">
        <f t="shared" si="5"/>
        <v>0.243293504284017</v>
      </c>
      <c r="O57" s="208"/>
    </row>
    <row r="58" spans="2:16" ht="15.75" x14ac:dyDescent="0.25">
      <c r="B58" s="397"/>
      <c r="C58" s="1414"/>
      <c r="D58" s="1415"/>
      <c r="E58" s="1415"/>
      <c r="F58" s="760"/>
      <c r="G58" s="760"/>
      <c r="H58" s="1416"/>
      <c r="I58" s="208"/>
      <c r="J58" s="208"/>
      <c r="K58" s="208"/>
      <c r="L58" s="208"/>
      <c r="M58" s="208"/>
      <c r="N58" s="208"/>
      <c r="O58" s="1420"/>
    </row>
    <row r="59" spans="2:16" ht="15.75" x14ac:dyDescent="0.25">
      <c r="B59" s="397"/>
      <c r="C59" s="178" t="s">
        <v>1800</v>
      </c>
      <c r="D59" s="1415"/>
      <c r="E59" s="1415"/>
      <c r="F59" s="760"/>
      <c r="G59" s="760"/>
      <c r="H59" s="1416"/>
      <c r="I59" s="208"/>
      <c r="J59" s="208"/>
      <c r="K59" s="208"/>
      <c r="L59" s="208"/>
      <c r="M59" s="208"/>
      <c r="N59" s="1737" t="str">
        <f>"Kte/"&amp;Preferences.EnergyUnits</f>
        <v>Kte/TWh</v>
      </c>
      <c r="O59" s="1420"/>
    </row>
    <row r="60" spans="2:16" ht="3.75" customHeight="1" x14ac:dyDescent="0.25">
      <c r="B60" s="397"/>
      <c r="C60" s="178"/>
      <c r="D60" s="1415"/>
      <c r="E60" s="1415"/>
      <c r="F60" s="760"/>
      <c r="G60" s="760"/>
      <c r="H60" s="1416"/>
      <c r="I60" s="208"/>
      <c r="J60" s="208"/>
      <c r="K60" s="208"/>
      <c r="L60" s="208"/>
      <c r="M60" s="208"/>
      <c r="N60" s="1737"/>
      <c r="O60" s="1416"/>
    </row>
    <row r="61" spans="2:16" ht="15.75" x14ac:dyDescent="0.25">
      <c r="B61" s="397"/>
      <c r="C61" s="98"/>
      <c r="D61" s="98" t="s">
        <v>264</v>
      </c>
      <c r="E61" s="98" t="s">
        <v>172</v>
      </c>
      <c r="F61" s="104" t="s">
        <v>241</v>
      </c>
      <c r="G61" s="103" t="s">
        <v>268</v>
      </c>
      <c r="H61" s="103" t="s">
        <v>269</v>
      </c>
      <c r="I61" s="103" t="s">
        <v>270</v>
      </c>
      <c r="J61" s="103" t="s">
        <v>271</v>
      </c>
      <c r="K61" s="103" t="s">
        <v>272</v>
      </c>
      <c r="L61" s="103" t="s">
        <v>273</v>
      </c>
      <c r="M61" s="103" t="s">
        <v>274</v>
      </c>
      <c r="N61" s="103" t="s">
        <v>275</v>
      </c>
      <c r="O61" s="208"/>
    </row>
    <row r="62" spans="2:16" ht="15.75" x14ac:dyDescent="0.25">
      <c r="B62" s="397"/>
      <c r="C62" s="344"/>
      <c r="D62" s="344" t="s">
        <v>1807</v>
      </c>
      <c r="E62" s="344"/>
      <c r="F62" s="2182">
        <f>0.00257521766005439*(1/Unit.TWh)</f>
        <v>2.5752176600543899E-3</v>
      </c>
      <c r="G62" s="2181">
        <f>0.00251349544448512*(1/Unit.TWh)</f>
        <v>2.5134954444851199E-3</v>
      </c>
      <c r="H62" s="2181">
        <f>0.00251449039415792*(1/Unit.TWh)</f>
        <v>2.5144903941579201E-3</v>
      </c>
      <c r="I62" s="2181">
        <f>0.00251660725789183*(1/Unit.TWh)</f>
        <v>2.51660725789183E-3</v>
      </c>
      <c r="J62" s="2181">
        <f>0.0025207932619345*(1/Unit.TWh)</f>
        <v>2.5207932619345E-3</v>
      </c>
      <c r="K62" s="2181">
        <f>0.0025207932619345*(1/Unit.TWh)</f>
        <v>2.5207932619345E-3</v>
      </c>
      <c r="L62" s="2181">
        <f>0.0025207932619345*(1/Unit.TWh)</f>
        <v>2.5207932619345E-3</v>
      </c>
      <c r="M62" s="2181">
        <f>0.0025207932619345*(1/Unit.TWh)</f>
        <v>2.5207932619345E-3</v>
      </c>
      <c r="N62" s="2181">
        <f>0.0025207932619345*(1/Unit.TWh)</f>
        <v>2.5207932619345E-3</v>
      </c>
      <c r="O62" s="208"/>
    </row>
    <row r="63" spans="2:16" ht="15.75" x14ac:dyDescent="0.25">
      <c r="B63" s="397"/>
      <c r="C63" s="1414"/>
      <c r="D63" s="1415"/>
      <c r="E63" s="1415"/>
      <c r="F63" s="760"/>
      <c r="G63" s="760"/>
      <c r="H63" s="1416"/>
      <c r="I63" s="208"/>
      <c r="J63" s="208"/>
      <c r="K63" s="208"/>
      <c r="L63" s="208"/>
      <c r="M63" s="208"/>
      <c r="N63" s="208"/>
      <c r="O63" s="1420"/>
    </row>
    <row r="64" spans="2:16" x14ac:dyDescent="0.2">
      <c r="B64" s="402"/>
      <c r="C64" s="403"/>
      <c r="D64" s="403"/>
      <c r="E64" s="403"/>
      <c r="F64" s="403"/>
      <c r="G64" s="403"/>
      <c r="H64" s="403"/>
      <c r="I64" s="403"/>
      <c r="J64" s="403"/>
      <c r="K64" s="403"/>
      <c r="L64" s="403"/>
      <c r="M64" s="403"/>
      <c r="N64" s="403"/>
      <c r="O64" s="403"/>
      <c r="P64" s="404"/>
    </row>
    <row r="65" spans="1:16" x14ac:dyDescent="0.2">
      <c r="B65" s="471"/>
    </row>
    <row r="66" spans="1:16" s="84" customFormat="1" ht="19.5" customHeight="1" x14ac:dyDescent="0.3">
      <c r="A66" s="1422"/>
      <c r="B66" s="1180" t="s">
        <v>1417</v>
      </c>
      <c r="C66" s="1181"/>
      <c r="D66" s="1181"/>
      <c r="E66" s="1181"/>
      <c r="F66" s="1181"/>
      <c r="G66" s="1181"/>
      <c r="H66" s="1181"/>
      <c r="I66" s="1181"/>
      <c r="J66" s="1181"/>
      <c r="K66" s="1181"/>
      <c r="L66" s="1181"/>
      <c r="M66" s="1181"/>
      <c r="N66" s="1181"/>
      <c r="O66" s="1182"/>
      <c r="P66" s="2479"/>
    </row>
    <row r="67" spans="1:16" s="84" customFormat="1" x14ac:dyDescent="0.2">
      <c r="A67" s="2479"/>
      <c r="B67" s="2487"/>
      <c r="C67" s="2488"/>
      <c r="D67" s="2488"/>
      <c r="E67" s="2488"/>
      <c r="F67" s="2488"/>
      <c r="G67" s="2488"/>
      <c r="H67" s="2488"/>
      <c r="I67" s="2488"/>
      <c r="J67" s="2488"/>
      <c r="K67" s="2488"/>
      <c r="L67" s="2488"/>
      <c r="M67" s="2488"/>
      <c r="N67" s="2488"/>
      <c r="O67" s="2489"/>
      <c r="P67" s="2092"/>
    </row>
    <row r="68" spans="1:16" s="84" customFormat="1" x14ac:dyDescent="0.2">
      <c r="A68" s="2479"/>
      <c r="B68" s="2487"/>
      <c r="C68" s="1417" t="str">
        <f>"Capital cost of a power plant"</f>
        <v>Capital cost of a power plant</v>
      </c>
      <c r="D68" s="107"/>
      <c r="E68" s="1081"/>
      <c r="F68" s="1055"/>
      <c r="G68" s="760"/>
      <c r="H68" s="760"/>
      <c r="I68" s="760"/>
      <c r="J68" s="760"/>
      <c r="K68" s="760"/>
      <c r="L68" s="760"/>
      <c r="M68" s="760"/>
      <c r="N68" s="1255" t="str">
        <f>Preferences.moneyunits&amp;"/ "&amp;plantsize.I.a&amp;Preferences.PowerUnits&amp;" plant"</f>
        <v>N/ 1GW plant</v>
      </c>
      <c r="O68" s="2489"/>
      <c r="P68" s="2092"/>
    </row>
    <row r="69" spans="1:16" s="84" customFormat="1" ht="4.5" customHeight="1" x14ac:dyDescent="0.2">
      <c r="A69" s="2479"/>
      <c r="B69" s="2487"/>
      <c r="C69" s="1848"/>
      <c r="D69" s="107"/>
      <c r="E69" s="1081"/>
      <c r="F69" s="1055"/>
      <c r="G69" s="760"/>
      <c r="H69" s="760"/>
      <c r="I69" s="760"/>
      <c r="J69" s="760"/>
      <c r="K69" s="760"/>
      <c r="L69" s="760"/>
      <c r="M69" s="760"/>
      <c r="N69" s="1416"/>
      <c r="O69" s="2489"/>
      <c r="P69" s="2092"/>
    </row>
    <row r="70" spans="1:16" s="84" customFormat="1" x14ac:dyDescent="0.2">
      <c r="A70" s="2479"/>
      <c r="B70" s="2487"/>
      <c r="C70" s="1870"/>
      <c r="D70" s="1870"/>
      <c r="E70" s="1870"/>
      <c r="F70" s="1870"/>
      <c r="G70" s="1870"/>
      <c r="H70" s="1870"/>
      <c r="I70" s="1870"/>
      <c r="J70" s="1870"/>
      <c r="K70" s="1870"/>
      <c r="L70" s="1870"/>
      <c r="M70" s="1870"/>
      <c r="N70" s="1870"/>
      <c r="O70" s="2489"/>
      <c r="P70" s="2092"/>
    </row>
    <row r="71" spans="1:16" s="2489" customFormat="1" x14ac:dyDescent="0.2">
      <c r="A71" s="2132"/>
      <c r="B71" s="2490"/>
      <c r="C71" s="2072" t="s">
        <v>104</v>
      </c>
      <c r="D71" s="1519" t="str">
        <f>plantsize.I.a&amp;Preferences.PowerUnits</f>
        <v>1GW</v>
      </c>
      <c r="E71" s="1567" t="s">
        <v>1321</v>
      </c>
      <c r="F71" s="1845">
        <v>2010</v>
      </c>
      <c r="G71" s="1845">
        <v>2015</v>
      </c>
      <c r="H71" s="1845">
        <v>2020</v>
      </c>
      <c r="I71" s="1845">
        <v>2025</v>
      </c>
      <c r="J71" s="1845">
        <v>2030</v>
      </c>
      <c r="K71" s="1845">
        <v>2035</v>
      </c>
      <c r="L71" s="1845">
        <v>2040</v>
      </c>
      <c r="M71" s="1845">
        <v>2045</v>
      </c>
      <c r="N71" s="1845">
        <v>2050</v>
      </c>
      <c r="P71" s="2092"/>
    </row>
    <row r="72" spans="1:16" s="2132" customFormat="1" x14ac:dyDescent="0.2">
      <c r="B72" s="1179"/>
      <c r="C72" s="1846" t="s">
        <v>1871</v>
      </c>
      <c r="D72" s="1519"/>
      <c r="E72" s="1847">
        <f>(N72-F72)/(N$71-F$71)</f>
        <v>0</v>
      </c>
      <c r="F72" s="1852">
        <f>(405000*NAIRA2010_/Unit.kW)*plantsize.I.a</f>
        <v>405000000000</v>
      </c>
      <c r="G72" s="1852">
        <f t="shared" ref="G72:M73" si="6">($E72*(G$71-F$71))+F72</f>
        <v>405000000000</v>
      </c>
      <c r="H72" s="1852">
        <f t="shared" si="6"/>
        <v>405000000000</v>
      </c>
      <c r="I72" s="1852">
        <f t="shared" si="6"/>
        <v>405000000000</v>
      </c>
      <c r="J72" s="1852">
        <f t="shared" si="6"/>
        <v>405000000000</v>
      </c>
      <c r="K72" s="1852">
        <f t="shared" si="6"/>
        <v>405000000000</v>
      </c>
      <c r="L72" s="1852">
        <f t="shared" si="6"/>
        <v>405000000000</v>
      </c>
      <c r="M72" s="1852">
        <f t="shared" si="6"/>
        <v>405000000000</v>
      </c>
      <c r="N72" s="1852">
        <f>(405000*NAIRA2010_/Unit.kW)*plantsize.I.a</f>
        <v>405000000000</v>
      </c>
      <c r="O72" s="2489"/>
      <c r="P72" s="2092"/>
    </row>
    <row r="73" spans="1:16" x14ac:dyDescent="0.2">
      <c r="B73" s="1512"/>
      <c r="C73" s="606" t="s">
        <v>1872</v>
      </c>
      <c r="D73" s="107"/>
      <c r="E73" s="188">
        <f>(N73-F73)/(N$71-F$71)</f>
        <v>0</v>
      </c>
      <c r="F73" s="1849">
        <f>(360000*NAIRA2010_/Unit.kW)*plantsize.I.a</f>
        <v>360000000000</v>
      </c>
      <c r="G73" s="1849">
        <f t="shared" ref="G73" si="7">($E73*(G$71-F$71))+F73</f>
        <v>360000000000</v>
      </c>
      <c r="H73" s="1849">
        <f t="shared" ref="H73" si="8">($E73*(H$71-G$71))+G73</f>
        <v>360000000000</v>
      </c>
      <c r="I73" s="1849">
        <f t="shared" ref="I73" si="9">($E73*(I$71-H$71))+H73</f>
        <v>360000000000</v>
      </c>
      <c r="J73" s="1849">
        <f t="shared" ref="J73" si="10">($E73*(J$71-I$71))+I73</f>
        <v>360000000000</v>
      </c>
      <c r="K73" s="1849">
        <f t="shared" ref="K73" si="11">($E73*(K$71-J$71))+J73</f>
        <v>360000000000</v>
      </c>
      <c r="L73" s="1849">
        <f t="shared" ref="L73" si="12">($E73*(L$71-K$71))+K73</f>
        <v>360000000000</v>
      </c>
      <c r="M73" s="1849">
        <f t="shared" si="6"/>
        <v>360000000000</v>
      </c>
      <c r="N73" s="1849">
        <f>(360000*NAIRA2010_/Unit.kW)*plantsize.I.a</f>
        <v>360000000000</v>
      </c>
      <c r="O73" s="2489"/>
      <c r="P73" s="2092"/>
    </row>
    <row r="74" spans="1:16" x14ac:dyDescent="0.2">
      <c r="B74" s="1512"/>
      <c r="C74" s="1731" t="s">
        <v>1873</v>
      </c>
      <c r="D74" s="189"/>
      <c r="E74" s="191">
        <f>(N74-F74)/(N$71-F$71)</f>
        <v>0</v>
      </c>
      <c r="F74" s="1850">
        <f>(300000*NAIRA2010_/Unit.kW)*plantsize.I.a</f>
        <v>300000000000</v>
      </c>
      <c r="G74" s="1850">
        <f t="shared" ref="G74:M74" si="13">($E74*(G$71-F$71))+F74</f>
        <v>300000000000</v>
      </c>
      <c r="H74" s="1850">
        <f t="shared" si="13"/>
        <v>300000000000</v>
      </c>
      <c r="I74" s="1850">
        <f t="shared" si="13"/>
        <v>300000000000</v>
      </c>
      <c r="J74" s="1850">
        <f t="shared" si="13"/>
        <v>300000000000</v>
      </c>
      <c r="K74" s="1850">
        <f t="shared" si="13"/>
        <v>300000000000</v>
      </c>
      <c r="L74" s="1850">
        <f t="shared" si="13"/>
        <v>300000000000</v>
      </c>
      <c r="M74" s="1850">
        <f t="shared" si="13"/>
        <v>300000000000</v>
      </c>
      <c r="N74" s="1850">
        <f>(300000*NAIRA2010_/Unit.kW)*plantsize.I.a</f>
        <v>300000000000</v>
      </c>
      <c r="O74" s="2489"/>
      <c r="P74" s="2092"/>
    </row>
    <row r="75" spans="1:16" x14ac:dyDescent="0.2">
      <c r="B75" s="1512"/>
      <c r="C75" s="1377"/>
      <c r="D75" s="1377"/>
      <c r="E75" s="1377"/>
      <c r="F75" s="1377"/>
      <c r="G75" s="1377"/>
      <c r="H75" s="1377"/>
      <c r="I75" s="1377"/>
      <c r="J75" s="1377"/>
      <c r="K75" s="1377"/>
      <c r="L75" s="1377"/>
      <c r="M75" s="1377"/>
      <c r="N75" s="1377"/>
      <c r="O75" s="2489"/>
      <c r="P75" s="2092"/>
    </row>
    <row r="76" spans="1:16" ht="12" customHeight="1" x14ac:dyDescent="0.2">
      <c r="B76" s="1512"/>
      <c r="C76" s="1417" t="str">
        <f>"Operating cost of a powerplant"</f>
        <v>Operating cost of a powerplant</v>
      </c>
      <c r="D76" s="107"/>
      <c r="E76" s="1081">
        <f>25*150/1000</f>
        <v>3.75</v>
      </c>
      <c r="F76" s="1055"/>
      <c r="G76" s="760"/>
      <c r="H76" s="760"/>
      <c r="I76" s="760"/>
      <c r="J76" s="760"/>
      <c r="K76" s="760"/>
      <c r="L76" s="760"/>
      <c r="M76" s="760"/>
      <c r="N76" s="1377"/>
      <c r="O76" s="2491"/>
      <c r="P76" s="2092"/>
    </row>
    <row r="77" spans="1:16" ht="12" customHeight="1" x14ac:dyDescent="0.2">
      <c r="B77" s="1512"/>
      <c r="C77" s="1848"/>
      <c r="D77" s="107"/>
      <c r="E77" s="1081"/>
      <c r="F77" s="1055"/>
      <c r="G77" s="760"/>
      <c r="H77" s="760"/>
      <c r="I77" s="760"/>
      <c r="J77" s="760"/>
      <c r="K77" s="760"/>
      <c r="L77" s="760"/>
      <c r="M77" s="760"/>
      <c r="N77" s="1255" t="str">
        <f>Preferences.moneyunits&amp;"/ "&amp;plantsize.I.a&amp;Preferences.PowerUnits&amp;" plant"</f>
        <v>N/ 1GW plant</v>
      </c>
      <c r="O77" s="2491"/>
      <c r="P77" s="2092"/>
    </row>
    <row r="78" spans="1:16" x14ac:dyDescent="0.2">
      <c r="B78" s="1512"/>
      <c r="C78" s="1870"/>
      <c r="D78" s="1870"/>
      <c r="E78" s="1870"/>
      <c r="F78" s="1870"/>
      <c r="G78" s="1870"/>
      <c r="H78" s="1870"/>
      <c r="I78" s="1870"/>
      <c r="J78" s="1870"/>
      <c r="K78" s="1870"/>
      <c r="L78" s="1870"/>
      <c r="M78" s="1870"/>
      <c r="N78" s="1255" t="str">
        <f>Preferences.moneyunits&amp;"/ "&amp;plantsize.I.a&amp;Preferences.PowerUnits&amp;" plant"</f>
        <v>N/ 1GW plant</v>
      </c>
      <c r="O78" s="1416"/>
      <c r="P78" s="2092"/>
    </row>
    <row r="79" spans="1:16" x14ac:dyDescent="0.2">
      <c r="B79" s="1512"/>
      <c r="C79" s="2072" t="s">
        <v>104</v>
      </c>
      <c r="D79" s="1519"/>
      <c r="E79" s="1567" t="s">
        <v>1321</v>
      </c>
      <c r="F79" s="1845">
        <v>2010</v>
      </c>
      <c r="G79" s="1845">
        <v>2015</v>
      </c>
      <c r="H79" s="1845">
        <v>2020</v>
      </c>
      <c r="I79" s="1845">
        <v>2025</v>
      </c>
      <c r="J79" s="1845">
        <v>2030</v>
      </c>
      <c r="K79" s="1845">
        <v>2035</v>
      </c>
      <c r="L79" s="1845">
        <v>2040</v>
      </c>
      <c r="M79" s="1845">
        <v>2045</v>
      </c>
      <c r="N79" s="1845">
        <v>2050</v>
      </c>
      <c r="O79" s="1416"/>
      <c r="P79" s="2092"/>
    </row>
    <row r="80" spans="1:16" x14ac:dyDescent="0.2">
      <c r="B80" s="1512"/>
      <c r="C80" s="1846" t="s">
        <v>1871</v>
      </c>
      <c r="D80" s="1519"/>
      <c r="E80" s="1847">
        <f>(N80-F80)/(N$71-F$71)</f>
        <v>0</v>
      </c>
      <c r="F80" s="1852">
        <f>(5.5*NAIRA2010_/Unit.kW)*plantsize.I.a</f>
        <v>5500000</v>
      </c>
      <c r="G80" s="1852">
        <f t="shared" ref="G80:M80" si="14">($E80*(G$71-F$71))+F80</f>
        <v>5500000</v>
      </c>
      <c r="H80" s="1852">
        <f t="shared" si="14"/>
        <v>5500000</v>
      </c>
      <c r="I80" s="1852">
        <f t="shared" si="14"/>
        <v>5500000</v>
      </c>
      <c r="J80" s="1852">
        <f t="shared" si="14"/>
        <v>5500000</v>
      </c>
      <c r="K80" s="1852">
        <f t="shared" si="14"/>
        <v>5500000</v>
      </c>
      <c r="L80" s="1852">
        <f t="shared" si="14"/>
        <v>5500000</v>
      </c>
      <c r="M80" s="1852">
        <f t="shared" si="14"/>
        <v>5500000</v>
      </c>
      <c r="N80" s="1852">
        <f>(5.5*NAIRA2010_/Unit.kW)*plantsize.I.a</f>
        <v>5500000</v>
      </c>
      <c r="O80" s="1416"/>
      <c r="P80" s="2092"/>
    </row>
    <row r="81" spans="1:16" ht="15" customHeight="1" x14ac:dyDescent="0.2">
      <c r="B81" s="1512"/>
      <c r="C81" s="606" t="s">
        <v>1872</v>
      </c>
      <c r="D81" s="107"/>
      <c r="E81" s="188">
        <f>(N81-F81)/(N$71-F$71)</f>
        <v>0</v>
      </c>
      <c r="F81" s="1849">
        <f>(4.95*NAIRA2010_/Unit.kW)*plantsize.I.a</f>
        <v>4950000</v>
      </c>
      <c r="G81" s="1849">
        <f>($E81*(G$79-F$79))+F81</f>
        <v>4950000</v>
      </c>
      <c r="H81" s="1849">
        <f t="shared" ref="H81:M81" si="15">($E81*(H79-G79))+G81</f>
        <v>4950000</v>
      </c>
      <c r="I81" s="1849">
        <f t="shared" si="15"/>
        <v>4950000</v>
      </c>
      <c r="J81" s="1849">
        <f t="shared" si="15"/>
        <v>4950000</v>
      </c>
      <c r="K81" s="1849">
        <f t="shared" si="15"/>
        <v>4950000</v>
      </c>
      <c r="L81" s="1849">
        <f t="shared" si="15"/>
        <v>4950000</v>
      </c>
      <c r="M81" s="1849">
        <f t="shared" si="15"/>
        <v>4950000</v>
      </c>
      <c r="N81" s="1849">
        <f>(4.95*NAIRA2010_/Unit.kW)*plantsize.I.a</f>
        <v>4950000</v>
      </c>
      <c r="O81" s="1416"/>
      <c r="P81" s="2092"/>
    </row>
    <row r="82" spans="1:16" x14ac:dyDescent="0.2">
      <c r="B82" s="1512"/>
      <c r="C82" s="1731" t="s">
        <v>1873</v>
      </c>
      <c r="D82" s="189"/>
      <c r="E82" s="191">
        <f>(N82-F82)/(N$71-F$71)</f>
        <v>0</v>
      </c>
      <c r="F82" s="1850">
        <f>(3.75*NAIRA2010_/Unit.kW)*plantsize.I.a</f>
        <v>3750000</v>
      </c>
      <c r="G82" s="1850">
        <f t="shared" ref="G82:M82" si="16">($E82*(G$71-F$71))+F82</f>
        <v>3750000</v>
      </c>
      <c r="H82" s="1850">
        <f t="shared" si="16"/>
        <v>3750000</v>
      </c>
      <c r="I82" s="1850">
        <f t="shared" si="16"/>
        <v>3750000</v>
      </c>
      <c r="J82" s="1850">
        <f t="shared" si="16"/>
        <v>3750000</v>
      </c>
      <c r="K82" s="1850">
        <f t="shared" si="16"/>
        <v>3750000</v>
      </c>
      <c r="L82" s="1850">
        <f t="shared" si="16"/>
        <v>3750000</v>
      </c>
      <c r="M82" s="1850">
        <f t="shared" si="16"/>
        <v>3750000</v>
      </c>
      <c r="N82" s="1850">
        <f>(3.75*NAIRA2010_/Unit.kW)*plantsize.I.a</f>
        <v>3750000</v>
      </c>
      <c r="O82" s="1416"/>
      <c r="P82" s="2092"/>
    </row>
    <row r="83" spans="1:16" x14ac:dyDescent="0.2">
      <c r="B83" s="1512"/>
      <c r="C83" s="1377"/>
      <c r="D83" s="1377"/>
      <c r="E83" s="1377"/>
      <c r="F83" s="1377"/>
      <c r="G83" s="1377"/>
      <c r="H83" s="1377"/>
      <c r="I83" s="1377"/>
      <c r="J83" s="1377"/>
      <c r="K83" s="1377"/>
      <c r="L83" s="1377"/>
      <c r="M83" s="1377"/>
      <c r="N83" s="1377"/>
      <c r="O83" s="1416"/>
      <c r="P83" s="2092"/>
    </row>
    <row r="84" spans="1:16" x14ac:dyDescent="0.2">
      <c r="B84" s="471"/>
    </row>
    <row r="86" spans="1:16" ht="19.5" customHeight="1" x14ac:dyDescent="0.3">
      <c r="A86" s="1422"/>
      <c r="B86" s="1423" t="s">
        <v>332</v>
      </c>
      <c r="C86" s="1424"/>
      <c r="D86" s="1424"/>
      <c r="E86" s="1424"/>
      <c r="F86" s="1424"/>
      <c r="G86" s="1424"/>
      <c r="H86" s="1424"/>
      <c r="I86" s="1424"/>
      <c r="J86" s="1424"/>
      <c r="K86" s="1424"/>
      <c r="L86" s="1424"/>
      <c r="M86" s="1424"/>
      <c r="N86" s="1424"/>
      <c r="O86" s="1425"/>
    </row>
    <row r="87" spans="1:16" ht="6.75" customHeight="1" x14ac:dyDescent="0.2">
      <c r="B87" s="1419"/>
      <c r="C87" s="1416"/>
      <c r="D87" s="1416"/>
      <c r="E87" s="1416"/>
      <c r="F87" s="1416"/>
      <c r="G87" s="1416"/>
      <c r="H87" s="1416"/>
      <c r="I87" s="1416"/>
      <c r="J87" s="1416"/>
      <c r="K87" s="1416"/>
      <c r="L87" s="1416"/>
      <c r="M87" s="1416"/>
      <c r="N87" s="1416"/>
      <c r="O87" s="1420"/>
    </row>
    <row r="88" spans="1:16" x14ac:dyDescent="0.2">
      <c r="B88" s="1419"/>
      <c r="C88" s="1417" t="s">
        <v>1224</v>
      </c>
      <c r="D88" s="1416"/>
      <c r="E88" s="176"/>
      <c r="F88" s="1416"/>
      <c r="G88" s="1416"/>
      <c r="H88" s="1416"/>
      <c r="I88" s="1416"/>
      <c r="J88" s="1416"/>
      <c r="K88" s="1416"/>
      <c r="L88" s="1416"/>
      <c r="M88" s="1416"/>
      <c r="N88" s="1416"/>
      <c r="O88" s="1420"/>
    </row>
    <row r="89" spans="1:16" ht="4.5" customHeight="1" x14ac:dyDescent="0.2">
      <c r="B89" s="1419"/>
      <c r="C89" s="1416"/>
      <c r="D89" s="1416"/>
      <c r="E89" s="1416"/>
      <c r="F89" s="1416"/>
      <c r="G89" s="1416"/>
      <c r="H89" s="1416"/>
      <c r="I89" s="1416"/>
      <c r="J89" s="1416"/>
      <c r="K89" s="1416"/>
      <c r="L89" s="1416"/>
      <c r="M89" s="1416"/>
      <c r="N89" s="1416"/>
      <c r="O89" s="1420"/>
    </row>
    <row r="90" spans="1:16" ht="15.75" x14ac:dyDescent="0.25">
      <c r="B90" s="397"/>
      <c r="C90" s="98" t="s">
        <v>264</v>
      </c>
      <c r="D90" s="98" t="s">
        <v>278</v>
      </c>
      <c r="E90" s="98" t="s">
        <v>172</v>
      </c>
      <c r="F90" s="1175" t="s">
        <v>241</v>
      </c>
      <c r="G90" s="1176">
        <v>2015</v>
      </c>
      <c r="H90" s="1176">
        <v>2020</v>
      </c>
      <c r="I90" s="1176">
        <v>2025</v>
      </c>
      <c r="J90" s="1176">
        <v>2030</v>
      </c>
      <c r="K90" s="1176">
        <v>2035</v>
      </c>
      <c r="L90" s="1176">
        <v>2040</v>
      </c>
      <c r="M90" s="1176">
        <v>2045</v>
      </c>
      <c r="N90" s="1176">
        <v>2050</v>
      </c>
      <c r="O90" s="1420"/>
    </row>
    <row r="91" spans="1:16" ht="12.75" customHeight="1" x14ac:dyDescent="0.2">
      <c r="B91" s="399"/>
      <c r="C91" s="1414" t="s">
        <v>36</v>
      </c>
      <c r="D91" s="1415" t="s">
        <v>2343</v>
      </c>
      <c r="E91" s="146"/>
      <c r="F91" s="678">
        <f t="shared" ref="F91:N91" si="17">F$20</f>
        <v>0</v>
      </c>
      <c r="G91" s="678">
        <f t="shared" si="17"/>
        <v>0</v>
      </c>
      <c r="H91" s="678">
        <f t="shared" si="17"/>
        <v>0</v>
      </c>
      <c r="I91" s="678">
        <f t="shared" si="17"/>
        <v>4</v>
      </c>
      <c r="J91" s="678">
        <f t="shared" si="17"/>
        <v>12.1</v>
      </c>
      <c r="K91" s="678">
        <f t="shared" si="17"/>
        <v>22.8</v>
      </c>
      <c r="L91" s="678">
        <f t="shared" si="17"/>
        <v>33.6</v>
      </c>
      <c r="M91" s="678">
        <f t="shared" si="17"/>
        <v>44.3</v>
      </c>
      <c r="N91" s="678">
        <f t="shared" si="17"/>
        <v>55</v>
      </c>
      <c r="O91" s="400"/>
    </row>
    <row r="92" spans="1:16" x14ac:dyDescent="0.2">
      <c r="B92" s="401"/>
      <c r="C92" s="1416"/>
      <c r="D92" s="177"/>
      <c r="E92" s="1416"/>
      <c r="F92" s="1416"/>
      <c r="G92" s="1416"/>
      <c r="H92" s="1416"/>
      <c r="I92" s="1416"/>
      <c r="J92" s="1416"/>
      <c r="K92" s="1416"/>
      <c r="L92" s="1416"/>
      <c r="M92" s="1416"/>
      <c r="N92" s="1416"/>
      <c r="O92" s="1420"/>
    </row>
    <row r="93" spans="1:16" x14ac:dyDescent="0.2">
      <c r="F93" s="1177"/>
    </row>
    <row r="94" spans="1:16" s="84" customFormat="1" ht="15.75" x14ac:dyDescent="0.25">
      <c r="A94" s="2479"/>
      <c r="B94" s="134" t="s">
        <v>279</v>
      </c>
      <c r="C94" s="2479"/>
      <c r="D94" s="2479"/>
      <c r="E94" s="2479"/>
      <c r="F94" s="2479"/>
      <c r="G94" s="2479"/>
      <c r="H94" s="2479"/>
      <c r="I94" s="2479"/>
      <c r="J94" s="2479"/>
      <c r="K94" s="2479"/>
      <c r="L94" s="2479"/>
      <c r="M94" s="2479"/>
      <c r="N94" s="2479"/>
      <c r="O94" s="2479"/>
      <c r="P94" s="2479"/>
    </row>
    <row r="95" spans="1:16" s="84" customFormat="1" x14ac:dyDescent="0.2">
      <c r="A95" s="2479"/>
      <c r="B95" s="2479"/>
      <c r="C95" s="2479"/>
      <c r="D95" s="2479"/>
      <c r="E95" s="2479"/>
      <c r="F95" s="2479"/>
      <c r="G95" s="2479"/>
      <c r="H95" s="2479"/>
      <c r="I95" s="2479"/>
      <c r="J95" s="2479"/>
      <c r="K95" s="2479"/>
      <c r="L95" s="2479"/>
      <c r="M95" s="2479"/>
      <c r="N95" s="2479"/>
      <c r="O95" s="2479"/>
      <c r="P95" s="2479"/>
    </row>
    <row r="96" spans="1:16" s="84" customFormat="1" x14ac:dyDescent="0.2">
      <c r="A96" s="2479"/>
      <c r="B96" s="147" t="s">
        <v>2361</v>
      </c>
      <c r="P96" s="2479"/>
    </row>
    <row r="97" spans="1:16" s="84" customFormat="1" x14ac:dyDescent="0.2">
      <c r="A97" s="2479"/>
      <c r="F97" s="574">
        <v>2010</v>
      </c>
      <c r="G97" s="574">
        <v>2015</v>
      </c>
      <c r="H97" s="574">
        <v>2020</v>
      </c>
      <c r="I97" s="574">
        <v>2025</v>
      </c>
      <c r="J97" s="574">
        <v>2030</v>
      </c>
      <c r="K97" s="574">
        <v>2035</v>
      </c>
      <c r="L97" s="574">
        <v>2040</v>
      </c>
      <c r="M97" s="574">
        <v>2045</v>
      </c>
      <c r="N97" s="574">
        <v>2050</v>
      </c>
      <c r="P97" s="2479"/>
    </row>
    <row r="98" spans="1:16" s="84" customFormat="1" x14ac:dyDescent="0.2">
      <c r="A98" s="2479"/>
      <c r="C98" s="147" t="s">
        <v>2344</v>
      </c>
      <c r="E98" s="84" t="str">
        <f>Preferences.PowerUnits</f>
        <v>GW</v>
      </c>
      <c r="F98" s="148">
        <f t="shared" ref="F98:N98" si="18">F$20</f>
        <v>0</v>
      </c>
      <c r="G98" s="148">
        <f t="shared" si="18"/>
        <v>0</v>
      </c>
      <c r="H98" s="148">
        <f t="shared" si="18"/>
        <v>0</v>
      </c>
      <c r="I98" s="148">
        <f t="shared" si="18"/>
        <v>4</v>
      </c>
      <c r="J98" s="148">
        <f t="shared" si="18"/>
        <v>12.1</v>
      </c>
      <c r="K98" s="148">
        <f t="shared" si="18"/>
        <v>22.8</v>
      </c>
      <c r="L98" s="148">
        <f t="shared" si="18"/>
        <v>33.6</v>
      </c>
      <c r="M98" s="148">
        <f t="shared" si="18"/>
        <v>44.3</v>
      </c>
      <c r="N98" s="148">
        <f t="shared" si="18"/>
        <v>55</v>
      </c>
      <c r="P98" s="2479"/>
    </row>
    <row r="99" spans="1:16" s="84" customFormat="1" x14ac:dyDescent="0.2">
      <c r="A99" s="2479"/>
      <c r="B99" s="84" t="s">
        <v>345</v>
      </c>
      <c r="C99" s="84" t="s">
        <v>304</v>
      </c>
      <c r="F99" s="149">
        <f t="shared" ref="F99:N99" si="19">$D$38</f>
        <v>0.75</v>
      </c>
      <c r="G99" s="149">
        <f t="shared" si="19"/>
        <v>0.75</v>
      </c>
      <c r="H99" s="149">
        <f t="shared" si="19"/>
        <v>0.75</v>
      </c>
      <c r="I99" s="149">
        <f t="shared" si="19"/>
        <v>0.75</v>
      </c>
      <c r="J99" s="149">
        <f t="shared" si="19"/>
        <v>0.75</v>
      </c>
      <c r="K99" s="149">
        <f t="shared" si="19"/>
        <v>0.75</v>
      </c>
      <c r="L99" s="149">
        <f t="shared" si="19"/>
        <v>0.75</v>
      </c>
      <c r="M99" s="149">
        <f t="shared" si="19"/>
        <v>0.75</v>
      </c>
      <c r="N99" s="149">
        <f t="shared" si="19"/>
        <v>0.75</v>
      </c>
      <c r="P99" s="2479"/>
    </row>
    <row r="100" spans="1:16" s="84" customFormat="1" x14ac:dyDescent="0.2">
      <c r="A100" s="2479"/>
      <c r="B100" s="150" t="s">
        <v>346</v>
      </c>
      <c r="C100" s="84" t="s">
        <v>320</v>
      </c>
      <c r="F100" s="203">
        <f t="shared" ref="F100:M100" si="20">F98*F99</f>
        <v>0</v>
      </c>
      <c r="G100" s="203">
        <f t="shared" si="20"/>
        <v>0</v>
      </c>
      <c r="H100" s="203">
        <f t="shared" si="20"/>
        <v>0</v>
      </c>
      <c r="I100" s="203">
        <f t="shared" si="20"/>
        <v>3</v>
      </c>
      <c r="J100" s="203">
        <f t="shared" si="20"/>
        <v>9.0749999999999993</v>
      </c>
      <c r="K100" s="203">
        <f t="shared" si="20"/>
        <v>17.100000000000001</v>
      </c>
      <c r="L100" s="203">
        <f t="shared" si="20"/>
        <v>25.200000000000003</v>
      </c>
      <c r="M100" s="203">
        <f t="shared" si="20"/>
        <v>33.224999999999994</v>
      </c>
      <c r="N100" s="203">
        <f>N98*N99</f>
        <v>41.25</v>
      </c>
      <c r="P100" s="2479"/>
    </row>
    <row r="101" spans="1:16" s="84" customFormat="1" x14ac:dyDescent="0.2">
      <c r="A101" s="2479"/>
      <c r="B101" s="150" t="s">
        <v>346</v>
      </c>
      <c r="C101" s="147" t="s">
        <v>320</v>
      </c>
      <c r="E101" s="84" t="str">
        <f>Preferences.EnergyUnits</f>
        <v>TWh</v>
      </c>
      <c r="F101" s="76">
        <f t="shared" ref="F101:N101" si="21">F100*Preferences.Unit.Power*Unit.year/Preferences.Unit.Energy</f>
        <v>0</v>
      </c>
      <c r="G101" s="76">
        <f t="shared" si="21"/>
        <v>0</v>
      </c>
      <c r="H101" s="76">
        <f t="shared" si="21"/>
        <v>0</v>
      </c>
      <c r="I101" s="76">
        <f>I100*Preferences.Unit.Power*Unit.year/Preferences.Unit.Energy</f>
        <v>26.297999999999998</v>
      </c>
      <c r="J101" s="76">
        <f t="shared" si="21"/>
        <v>79.551449999999988</v>
      </c>
      <c r="K101" s="76">
        <f t="shared" si="21"/>
        <v>149.89860000000002</v>
      </c>
      <c r="L101" s="76">
        <f t="shared" si="21"/>
        <v>220.90320000000003</v>
      </c>
      <c r="M101" s="76">
        <f t="shared" si="21"/>
        <v>291.25034999999991</v>
      </c>
      <c r="N101" s="76">
        <f t="shared" si="21"/>
        <v>361.59749999999997</v>
      </c>
      <c r="P101" s="2140"/>
    </row>
    <row r="102" spans="1:16" s="84" customFormat="1" x14ac:dyDescent="0.2">
      <c r="A102" s="2479"/>
      <c r="B102" s="150"/>
      <c r="C102" s="147"/>
      <c r="F102" s="76"/>
      <c r="G102" s="76"/>
      <c r="H102" s="76"/>
      <c r="I102" s="76"/>
      <c r="J102" s="76"/>
      <c r="K102" s="76"/>
      <c r="L102" s="76"/>
      <c r="M102" s="76"/>
      <c r="N102" s="76"/>
      <c r="P102" s="2479"/>
    </row>
    <row r="103" spans="1:16" s="84" customFormat="1" x14ac:dyDescent="0.2">
      <c r="A103" s="2479"/>
      <c r="C103" s="1427" t="s">
        <v>870</v>
      </c>
      <c r="D103" s="147"/>
      <c r="E103" s="147"/>
      <c r="F103" s="152">
        <f t="shared" ref="F103:N103" si="22">F$101</f>
        <v>0</v>
      </c>
      <c r="G103" s="152">
        <f t="shared" si="22"/>
        <v>0</v>
      </c>
      <c r="H103" s="152">
        <f t="shared" si="22"/>
        <v>0</v>
      </c>
      <c r="I103" s="2523">
        <f t="shared" si="22"/>
        <v>26.297999999999998</v>
      </c>
      <c r="J103" s="152">
        <f t="shared" si="22"/>
        <v>79.551449999999988</v>
      </c>
      <c r="K103" s="152">
        <f t="shared" si="22"/>
        <v>149.89860000000002</v>
      </c>
      <c r="L103" s="152">
        <f t="shared" si="22"/>
        <v>220.90320000000003</v>
      </c>
      <c r="M103" s="152">
        <f t="shared" si="22"/>
        <v>291.25034999999991</v>
      </c>
      <c r="N103" s="152">
        <f t="shared" si="22"/>
        <v>361.59749999999997</v>
      </c>
      <c r="P103" s="2479"/>
    </row>
    <row r="104" spans="1:16" s="84" customFormat="1" x14ac:dyDescent="0.2">
      <c r="A104" s="2479"/>
      <c r="B104" s="150" t="s">
        <v>554</v>
      </c>
      <c r="C104" s="84" t="s">
        <v>868</v>
      </c>
      <c r="F104" s="1428">
        <f t="shared" ref="F104:N104" si="23">F$30*F103</f>
        <v>0</v>
      </c>
      <c r="G104" s="1428">
        <f t="shared" si="23"/>
        <v>0</v>
      </c>
      <c r="H104" s="1428">
        <f t="shared" si="23"/>
        <v>0</v>
      </c>
      <c r="I104" s="2522">
        <f t="shared" si="23"/>
        <v>1.3149</v>
      </c>
      <c r="J104" s="1428">
        <f t="shared" si="23"/>
        <v>3.9775724999999995</v>
      </c>
      <c r="K104" s="1428">
        <f t="shared" si="23"/>
        <v>7.494930000000001</v>
      </c>
      <c r="L104" s="1428">
        <f t="shared" si="23"/>
        <v>11.045160000000003</v>
      </c>
      <c r="M104" s="1428">
        <f t="shared" si="23"/>
        <v>14.562517499999997</v>
      </c>
      <c r="N104" s="1428">
        <f t="shared" si="23"/>
        <v>18.079874999999998</v>
      </c>
      <c r="P104" s="2479"/>
    </row>
    <row r="105" spans="1:16" s="84" customFormat="1" x14ac:dyDescent="0.2">
      <c r="A105" s="2479"/>
      <c r="B105" s="150" t="s">
        <v>346</v>
      </c>
      <c r="C105" s="147" t="s">
        <v>358</v>
      </c>
      <c r="F105" s="152">
        <f t="shared" ref="F105:N105" si="24">F103+F104</f>
        <v>0</v>
      </c>
      <c r="G105" s="152">
        <f t="shared" si="24"/>
        <v>0</v>
      </c>
      <c r="H105" s="152">
        <f t="shared" si="24"/>
        <v>0</v>
      </c>
      <c r="I105" s="2523">
        <f t="shared" si="24"/>
        <v>27.6129</v>
      </c>
      <c r="J105" s="152">
        <f t="shared" si="24"/>
        <v>83.529022499999982</v>
      </c>
      <c r="K105" s="152">
        <f t="shared" si="24"/>
        <v>157.39353000000003</v>
      </c>
      <c r="L105" s="152">
        <f t="shared" si="24"/>
        <v>231.94836000000004</v>
      </c>
      <c r="M105" s="152">
        <f t="shared" si="24"/>
        <v>305.81286749999992</v>
      </c>
      <c r="N105" s="152">
        <f t="shared" si="24"/>
        <v>379.67737499999998</v>
      </c>
      <c r="P105" s="2479"/>
    </row>
    <row r="106" spans="1:16" s="84" customFormat="1" x14ac:dyDescent="0.2">
      <c r="A106" s="2479"/>
      <c r="B106" s="960" t="s">
        <v>976</v>
      </c>
      <c r="C106" s="84" t="s">
        <v>869</v>
      </c>
      <c r="F106" s="155">
        <f t="shared" ref="F106:N106" si="25">F$35</f>
        <v>0.38</v>
      </c>
      <c r="G106" s="155">
        <f t="shared" si="25"/>
        <v>0.38</v>
      </c>
      <c r="H106" s="155">
        <f t="shared" si="25"/>
        <v>0.38</v>
      </c>
      <c r="I106" s="155">
        <f t="shared" si="25"/>
        <v>0.38</v>
      </c>
      <c r="J106" s="155">
        <f t="shared" si="25"/>
        <v>0.38</v>
      </c>
      <c r="K106" s="155">
        <f t="shared" si="25"/>
        <v>0.38</v>
      </c>
      <c r="L106" s="155">
        <f t="shared" si="25"/>
        <v>0.38</v>
      </c>
      <c r="M106" s="155">
        <f t="shared" si="25"/>
        <v>0.38</v>
      </c>
      <c r="N106" s="155">
        <f t="shared" si="25"/>
        <v>0.38</v>
      </c>
      <c r="P106" s="2479"/>
    </row>
    <row r="107" spans="1:16" s="84" customFormat="1" x14ac:dyDescent="0.2">
      <c r="A107" s="2479"/>
      <c r="B107" s="150" t="s">
        <v>346</v>
      </c>
      <c r="C107" s="147" t="s">
        <v>2345</v>
      </c>
      <c r="F107" s="156">
        <f t="shared" ref="F107:N107" si="26">F105/F106</f>
        <v>0</v>
      </c>
      <c r="G107" s="156">
        <f t="shared" si="26"/>
        <v>0</v>
      </c>
      <c r="H107" s="156">
        <f t="shared" si="26"/>
        <v>0</v>
      </c>
      <c r="I107" s="156">
        <f t="shared" si="26"/>
        <v>72.665526315789478</v>
      </c>
      <c r="J107" s="156">
        <f t="shared" si="26"/>
        <v>219.81321710526311</v>
      </c>
      <c r="K107" s="156">
        <f t="shared" si="26"/>
        <v>414.19350000000009</v>
      </c>
      <c r="L107" s="156">
        <f t="shared" si="26"/>
        <v>610.39042105263172</v>
      </c>
      <c r="M107" s="156">
        <f t="shared" si="26"/>
        <v>804.77070394736825</v>
      </c>
      <c r="N107" s="156">
        <f t="shared" si="26"/>
        <v>999.15098684210523</v>
      </c>
    </row>
    <row r="108" spans="1:16" s="84" customFormat="1" x14ac:dyDescent="0.2">
      <c r="A108" s="2479"/>
      <c r="N108" s="1428"/>
      <c r="P108" s="2479"/>
    </row>
    <row r="109" spans="1:16" s="84" customFormat="1" x14ac:dyDescent="0.2">
      <c r="A109" s="2479"/>
      <c r="C109" s="154"/>
      <c r="F109" s="76"/>
      <c r="G109" s="76"/>
      <c r="H109" s="76"/>
      <c r="I109" s="76"/>
      <c r="J109" s="76"/>
      <c r="K109" s="76"/>
      <c r="L109" s="76"/>
      <c r="M109" s="76"/>
      <c r="N109" s="76"/>
      <c r="P109" s="2479"/>
    </row>
    <row r="110" spans="1:16" s="84" customFormat="1" x14ac:dyDescent="0.2">
      <c r="A110" s="2479"/>
      <c r="B110" s="147" t="s">
        <v>361</v>
      </c>
      <c r="P110" s="2479"/>
    </row>
    <row r="111" spans="1:16" s="84" customFormat="1" x14ac:dyDescent="0.2">
      <c r="A111" s="2479"/>
      <c r="C111" s="84" t="s">
        <v>473</v>
      </c>
      <c r="E111" s="84" t="s">
        <v>492</v>
      </c>
      <c r="F111" s="1428">
        <f>F$107*INDEX(EF[CO2], MATCH("V.03", EF[Vector], 0))</f>
        <v>0</v>
      </c>
      <c r="G111" s="1428">
        <f>G$107*INDEX(EF[CO2], MATCH("V.03", EF[Vector], 0))</f>
        <v>0</v>
      </c>
      <c r="H111" s="1428">
        <f>H$107*INDEX(EF[CO2], MATCH("V.03", EF[Vector], 0))</f>
        <v>0</v>
      </c>
      <c r="I111" s="1428">
        <f>I$107*INDEX(EF[CO2], MATCH("V.03", EF[Vector], 0))</f>
        <v>22.380982105263154</v>
      </c>
      <c r="J111" s="1428">
        <f>J$107*INDEX(EF[CO2], MATCH("V.03", EF[Vector], 0))</f>
        <v>67.702470868421017</v>
      </c>
      <c r="K111" s="1428">
        <f>K$107*INDEX(EF[CO2], MATCH("V.03", EF[Vector], 0))</f>
        <v>127.57159800000001</v>
      </c>
      <c r="L111" s="1428">
        <f>L$107*INDEX(EF[CO2], MATCH("V.03", EF[Vector], 0))</f>
        <v>188.00024968421053</v>
      </c>
      <c r="M111" s="1428">
        <f>M$107*INDEX(EF[CO2], MATCH("V.03", EF[Vector], 0))</f>
        <v>247.86937681578937</v>
      </c>
      <c r="N111" s="1428">
        <f>N$107*INDEX(EF[CO2], MATCH("V.03", EF[Vector], 0))</f>
        <v>307.73850394736837</v>
      </c>
      <c r="P111" s="2479"/>
    </row>
    <row r="112" spans="1:16" s="202" customFormat="1" x14ac:dyDescent="0.2">
      <c r="A112" s="2479"/>
      <c r="B112" s="84"/>
      <c r="C112" s="84" t="s">
        <v>474</v>
      </c>
      <c r="D112" s="84"/>
      <c r="E112" s="84"/>
      <c r="F112" s="1428">
        <f>F$107*INDEX(EF[CH4], MATCH("V.03", EF[Vector], 0))</f>
        <v>0</v>
      </c>
      <c r="G112" s="1428">
        <f>G$107*INDEX(EF[CH4], MATCH("V.03", EF[Vector], 0))</f>
        <v>0</v>
      </c>
      <c r="H112" s="1428">
        <f>H$107*INDEX(EF[CH4], MATCH("V.03", EF[Vector], 0))</f>
        <v>0</v>
      </c>
      <c r="I112" s="1428">
        <f>I$107*INDEX(EF[CH4], MATCH("V.03", EF[Vector], 0))</f>
        <v>6.5747237471447229E-2</v>
      </c>
      <c r="J112" s="1428">
        <f>J$107*INDEX(EF[CH4], MATCH("V.03", EF[Vector], 0))</f>
        <v>0.19888539335112779</v>
      </c>
      <c r="K112" s="1428">
        <f>K$107*INDEX(EF[CH4], MATCH("V.03", EF[Vector], 0))</f>
        <v>0.37475925358724921</v>
      </c>
      <c r="L112" s="1428">
        <f>L$107*INDEX(EF[CH4], MATCH("V.03", EF[Vector], 0))</f>
        <v>0.55227679476015679</v>
      </c>
      <c r="M112" s="1428">
        <f>M$107*INDEX(EF[CH4], MATCH("V.03", EF[Vector], 0))</f>
        <v>0.72815065499627785</v>
      </c>
      <c r="N112" s="1428">
        <f>N$107*INDEX(EF[CH4], MATCH("V.03", EF[Vector], 0))</f>
        <v>0.90402451523239924</v>
      </c>
      <c r="O112" s="84"/>
      <c r="P112" s="2479"/>
    </row>
    <row r="113" spans="1:16" s="84" customFormat="1" x14ac:dyDescent="0.2">
      <c r="A113" s="2479"/>
      <c r="C113" s="84" t="s">
        <v>475</v>
      </c>
      <c r="F113" s="1428">
        <f>F$107*INDEX(EF[N2O], MATCH("V.03", EF[Vector], 0))</f>
        <v>0</v>
      </c>
      <c r="G113" s="1428">
        <f>G$107*INDEX(EF[N2O], MATCH("V.03", EF[Vector], 0))</f>
        <v>0</v>
      </c>
      <c r="H113" s="1428">
        <f>H$107*INDEX(EF[N2O], MATCH("V.03", EF[Vector], 0))</f>
        <v>0</v>
      </c>
      <c r="I113" s="1428">
        <f>I$107*INDEX(EF[N2O], MATCH("V.03", EF[Vector], 0))</f>
        <v>0.19826223070912952</v>
      </c>
      <c r="J113" s="1428">
        <f>J$107*INDEX(EF[N2O], MATCH("V.03", EF[Vector], 0))</f>
        <v>0.59974324789511668</v>
      </c>
      <c r="K113" s="1428">
        <f>K$107*INDEX(EF[N2O], MATCH("V.03", EF[Vector], 0))</f>
        <v>1.1300947150420384</v>
      </c>
      <c r="L113" s="1428">
        <f>L$107*INDEX(EF[N2O], MATCH("V.03", EF[Vector], 0))</f>
        <v>1.6654027379566883</v>
      </c>
      <c r="M113" s="1428">
        <f>M$107*INDEX(EF[N2O], MATCH("V.03", EF[Vector], 0))</f>
        <v>2.1957542051036087</v>
      </c>
      <c r="N113" s="1428">
        <f>N$107*INDEX(EF[N2O], MATCH("V.03", EF[Vector], 0))</f>
        <v>2.7261056722505308</v>
      </c>
      <c r="P113" s="2479"/>
    </row>
    <row r="114" spans="1:16" s="147" customFormat="1" x14ac:dyDescent="0.2">
      <c r="A114" s="2479"/>
      <c r="B114" s="84"/>
      <c r="C114" s="84"/>
      <c r="D114" s="84"/>
      <c r="E114" s="84"/>
      <c r="F114" s="1428"/>
      <c r="G114" s="1428"/>
      <c r="H114" s="1428"/>
      <c r="I114" s="1428"/>
      <c r="J114" s="1428"/>
      <c r="K114" s="1428"/>
      <c r="L114" s="1428"/>
      <c r="M114" s="1428"/>
      <c r="N114" s="1428"/>
      <c r="O114" s="84"/>
      <c r="P114" s="2479"/>
    </row>
    <row r="115" spans="1:16" s="84" customFormat="1" x14ac:dyDescent="0.2">
      <c r="A115" s="2479"/>
      <c r="C115" s="84" t="s">
        <v>2346</v>
      </c>
      <c r="D115" s="2479"/>
      <c r="E115" s="2479"/>
      <c r="F115" s="1661" t="str">
        <f t="shared" ref="F115:N115" si="27">F$90</f>
        <v>2010</v>
      </c>
      <c r="G115" s="1661">
        <f t="shared" si="27"/>
        <v>2015</v>
      </c>
      <c r="H115" s="1661">
        <f t="shared" si="27"/>
        <v>2020</v>
      </c>
      <c r="I115" s="1661">
        <f t="shared" si="27"/>
        <v>2025</v>
      </c>
      <c r="J115" s="1661">
        <f t="shared" si="27"/>
        <v>2030</v>
      </c>
      <c r="K115" s="1661">
        <f t="shared" si="27"/>
        <v>2035</v>
      </c>
      <c r="L115" s="1661">
        <f t="shared" si="27"/>
        <v>2040</v>
      </c>
      <c r="M115" s="1661">
        <f t="shared" si="27"/>
        <v>2045</v>
      </c>
      <c r="N115" s="1661">
        <f t="shared" si="27"/>
        <v>2050</v>
      </c>
      <c r="P115" s="2479"/>
    </row>
    <row r="116" spans="1:16" s="84" customFormat="1" x14ac:dyDescent="0.2">
      <c r="A116" s="2479"/>
      <c r="D116" s="2479" t="s">
        <v>1807</v>
      </c>
      <c r="E116" s="20" t="s">
        <v>73</v>
      </c>
      <c r="F116" s="675">
        <f t="shared" ref="F116:N116" si="28">F$107</f>
        <v>0</v>
      </c>
      <c r="G116" s="675">
        <f t="shared" si="28"/>
        <v>0</v>
      </c>
      <c r="H116" s="675">
        <f t="shared" si="28"/>
        <v>0</v>
      </c>
      <c r="I116" s="675">
        <f t="shared" si="28"/>
        <v>72.665526315789478</v>
      </c>
      <c r="J116" s="675">
        <f t="shared" si="28"/>
        <v>219.81321710526311</v>
      </c>
      <c r="K116" s="675">
        <f t="shared" si="28"/>
        <v>414.19350000000009</v>
      </c>
      <c r="L116" s="675">
        <f t="shared" si="28"/>
        <v>610.39042105263172</v>
      </c>
      <c r="M116" s="675">
        <f t="shared" si="28"/>
        <v>804.77070394736825</v>
      </c>
      <c r="N116" s="675">
        <f t="shared" si="28"/>
        <v>999.15098684210523</v>
      </c>
      <c r="P116" s="2479"/>
    </row>
    <row r="117" spans="1:16" s="84" customFormat="1" x14ac:dyDescent="0.2">
      <c r="A117" s="2479"/>
      <c r="D117" s="2479"/>
      <c r="E117" s="2479"/>
      <c r="F117" s="1747" t="str">
        <f t="shared" ref="F117:N117" si="29">IF(SUM(F116:F116,F159:F159)=0,"ok","error")</f>
        <v>ok</v>
      </c>
      <c r="G117" s="1747" t="str">
        <f t="shared" si="29"/>
        <v>ok</v>
      </c>
      <c r="H117" s="1747" t="str">
        <f t="shared" si="29"/>
        <v>ok</v>
      </c>
      <c r="I117" s="1747" t="str">
        <f t="shared" si="29"/>
        <v>ok</v>
      </c>
      <c r="J117" s="1747" t="str">
        <f t="shared" si="29"/>
        <v>ok</v>
      </c>
      <c r="K117" s="1747" t="str">
        <f t="shared" si="29"/>
        <v>ok</v>
      </c>
      <c r="L117" s="1747" t="str">
        <f t="shared" si="29"/>
        <v>ok</v>
      </c>
      <c r="M117" s="1747" t="str">
        <f t="shared" si="29"/>
        <v>ok</v>
      </c>
      <c r="N117" s="1747" t="str">
        <f t="shared" si="29"/>
        <v>ok</v>
      </c>
      <c r="P117" s="2479"/>
    </row>
    <row r="118" spans="1:16" s="84" customFormat="1" x14ac:dyDescent="0.2">
      <c r="A118" s="2479"/>
      <c r="D118" s="2479"/>
      <c r="E118" s="2479"/>
      <c r="F118" s="1747"/>
      <c r="G118" s="1747"/>
      <c r="H118" s="1747"/>
      <c r="I118" s="1747"/>
      <c r="J118" s="1747"/>
      <c r="K118" s="1747"/>
      <c r="L118" s="1747"/>
      <c r="M118" s="1747"/>
      <c r="N118" s="1747"/>
      <c r="P118" s="2479"/>
    </row>
    <row r="119" spans="1:16" s="84" customFormat="1" x14ac:dyDescent="0.2">
      <c r="A119" s="2479"/>
      <c r="D119" s="2479"/>
      <c r="E119" s="2479"/>
      <c r="F119" s="1661"/>
      <c r="G119" s="1661"/>
      <c r="H119" s="1661"/>
      <c r="I119" s="1661"/>
      <c r="J119" s="1661"/>
      <c r="K119" s="1661"/>
      <c r="L119" s="1661"/>
      <c r="M119" s="1661"/>
      <c r="N119" s="1661"/>
      <c r="P119" s="2479"/>
    </row>
    <row r="120" spans="1:16" s="84" customFormat="1" x14ac:dyDescent="0.2">
      <c r="A120" s="2479"/>
      <c r="B120" s="2479"/>
      <c r="C120" s="2479" t="str">
        <f>INDEX(AirQualityVectors[Code],MATCH(D120,AirQualityVectors[Description],0))</f>
        <v>AQ.01</v>
      </c>
      <c r="D120" s="2479" t="s">
        <v>1791</v>
      </c>
      <c r="E120" s="2479" t="s">
        <v>1848</v>
      </c>
      <c r="F120" s="615">
        <f t="shared" ref="F120:N120" si="30">SUMPRODUCT(F$116:F$116,F$47:F$47)</f>
        <v>0</v>
      </c>
      <c r="G120" s="615">
        <f t="shared" si="30"/>
        <v>0</v>
      </c>
      <c r="H120" s="615">
        <f t="shared" si="30"/>
        <v>0</v>
      </c>
      <c r="I120" s="615">
        <f t="shared" si="30"/>
        <v>0.4163387927793713</v>
      </c>
      <c r="J120" s="615">
        <f t="shared" si="30"/>
        <v>1.2594248481575978</v>
      </c>
      <c r="K120" s="615">
        <f t="shared" si="30"/>
        <v>2.3731311188424167</v>
      </c>
      <c r="L120" s="615">
        <f t="shared" si="30"/>
        <v>3.4972458593467195</v>
      </c>
      <c r="M120" s="615">
        <f t="shared" si="30"/>
        <v>4.6109521300315359</v>
      </c>
      <c r="N120" s="615">
        <f t="shared" si="30"/>
        <v>5.724658400716355</v>
      </c>
      <c r="O120" s="2479"/>
      <c r="P120" s="2479"/>
    </row>
    <row r="121" spans="1:16" s="84" customFormat="1" x14ac:dyDescent="0.2">
      <c r="A121" s="2479"/>
      <c r="B121" s="2479"/>
      <c r="C121" s="2479" t="str">
        <f>INDEX(AirQualityVectors[Code],MATCH(D121,AirQualityVectors[Description],0))</f>
        <v>AQ.02</v>
      </c>
      <c r="D121" s="2479" t="s">
        <v>1794</v>
      </c>
      <c r="E121" s="2479"/>
      <c r="F121" s="615">
        <f t="shared" ref="F121:N121" si="31">SUMPRODUCT(F$116:F$116,F$52:F$52)</f>
        <v>0</v>
      </c>
      <c r="G121" s="615">
        <f t="shared" si="31"/>
        <v>0</v>
      </c>
      <c r="H121" s="615">
        <f t="shared" si="31"/>
        <v>0</v>
      </c>
      <c r="I121" s="615">
        <f t="shared" si="31"/>
        <v>18.67588095249959</v>
      </c>
      <c r="J121" s="615">
        <f t="shared" si="31"/>
        <v>56.49453988131124</v>
      </c>
      <c r="K121" s="615">
        <f t="shared" si="31"/>
        <v>106.45252142924767</v>
      </c>
      <c r="L121" s="615">
        <f t="shared" si="31"/>
        <v>156.87740000099657</v>
      </c>
      <c r="M121" s="615">
        <f t="shared" si="31"/>
        <v>206.83538154893287</v>
      </c>
      <c r="N121" s="615">
        <f t="shared" si="31"/>
        <v>256.79336309686931</v>
      </c>
      <c r="O121" s="2479"/>
      <c r="P121" s="2479"/>
    </row>
    <row r="122" spans="1:16" s="84" customFormat="1" x14ac:dyDescent="0.2">
      <c r="A122" s="2479"/>
      <c r="B122" s="2479"/>
      <c r="C122" s="2479" t="str">
        <f>INDEX(AirQualityVectors[Code],MATCH(D122,AirQualityVectors[Description],0))</f>
        <v>AQ.03</v>
      </c>
      <c r="D122" s="2479" t="s">
        <v>1795</v>
      </c>
      <c r="E122" s="2479"/>
      <c r="F122" s="615">
        <f t="shared" ref="F122:N122" si="32">SUMPRODUCT(F$116:F$116,F$57:F$57)</f>
        <v>0</v>
      </c>
      <c r="G122" s="615">
        <f t="shared" si="32"/>
        <v>0</v>
      </c>
      <c r="H122" s="615">
        <f t="shared" si="32"/>
        <v>0</v>
      </c>
      <c r="I122" s="615">
        <f t="shared" si="32"/>
        <v>17.679050538010877</v>
      </c>
      <c r="J122" s="615">
        <f t="shared" si="32"/>
        <v>53.479127877482888</v>
      </c>
      <c r="K122" s="615">
        <f t="shared" si="32"/>
        <v>100.77058806666201</v>
      </c>
      <c r="L122" s="615">
        <f t="shared" si="32"/>
        <v>148.50402451929139</v>
      </c>
      <c r="M122" s="615">
        <f t="shared" si="32"/>
        <v>195.79548470847041</v>
      </c>
      <c r="N122" s="615">
        <f t="shared" si="32"/>
        <v>243.08694489764954</v>
      </c>
      <c r="O122" s="2479"/>
      <c r="P122" s="2479"/>
    </row>
    <row r="123" spans="1:16" s="84" customFormat="1" x14ac:dyDescent="0.2">
      <c r="A123" s="2479"/>
      <c r="B123" s="2479"/>
      <c r="C123" s="2479" t="str">
        <f>INDEX(AirQualityVectors[Code],MATCH(D123,AirQualityVectors[Description],0))</f>
        <v>AQ.04</v>
      </c>
      <c r="D123" s="2479" t="s">
        <v>1792</v>
      </c>
      <c r="E123" s="2479"/>
      <c r="F123" s="615">
        <f t="shared" ref="F123:N123" si="33">SUMPRODUCT(F$116:F$116,F$62:F$62)</f>
        <v>0</v>
      </c>
      <c r="G123" s="615">
        <f t="shared" si="33"/>
        <v>0</v>
      </c>
      <c r="H123" s="615">
        <f t="shared" si="33"/>
        <v>0</v>
      </c>
      <c r="I123" s="615">
        <f t="shared" si="33"/>
        <v>0.18287059092484556</v>
      </c>
      <c r="J123" s="615">
        <f t="shared" si="33"/>
        <v>0.55410367656309267</v>
      </c>
      <c r="K123" s="615">
        <f t="shared" si="33"/>
        <v>1.0440961839370675</v>
      </c>
      <c r="L123" s="615">
        <f t="shared" si="33"/>
        <v>1.5386680605388365</v>
      </c>
      <c r="M123" s="615">
        <f t="shared" si="33"/>
        <v>2.02866056791281</v>
      </c>
      <c r="N123" s="615">
        <f t="shared" si="33"/>
        <v>2.5186530752867853</v>
      </c>
      <c r="O123" s="2479"/>
      <c r="P123" s="2479"/>
    </row>
    <row r="124" spans="1:16" s="84" customFormat="1" x14ac:dyDescent="0.2">
      <c r="A124" s="2479"/>
      <c r="B124" s="2479"/>
      <c r="C124" s="2479"/>
      <c r="D124" s="2479"/>
      <c r="E124" s="2479"/>
      <c r="F124" s="2479"/>
      <c r="G124" s="2479"/>
      <c r="H124" s="2479"/>
      <c r="I124" s="2479"/>
      <c r="J124" s="2479"/>
      <c r="K124" s="2479"/>
      <c r="L124" s="2479"/>
      <c r="M124" s="2479"/>
      <c r="N124" s="2479"/>
      <c r="O124" s="2479"/>
      <c r="P124" s="2479"/>
    </row>
    <row r="125" spans="1:16" s="84" customFormat="1" x14ac:dyDescent="0.2">
      <c r="A125" s="2479"/>
      <c r="B125" s="147" t="s">
        <v>1228</v>
      </c>
      <c r="F125" s="1428"/>
      <c r="G125" s="1428"/>
      <c r="H125" s="1428"/>
      <c r="I125" s="1428"/>
      <c r="J125" s="1428"/>
      <c r="K125" s="1428"/>
      <c r="L125" s="1428"/>
      <c r="M125" s="1428"/>
      <c r="N125" s="1428"/>
      <c r="P125" s="2479"/>
    </row>
    <row r="126" spans="1:16" s="84" customFormat="1" x14ac:dyDescent="0.2">
      <c r="A126" s="2479"/>
      <c r="C126" s="154"/>
      <c r="F126" s="1748">
        <v>2010</v>
      </c>
      <c r="G126" s="1748">
        <v>2015</v>
      </c>
      <c r="H126" s="1748">
        <v>2020</v>
      </c>
      <c r="I126" s="1748">
        <v>2025</v>
      </c>
      <c r="J126" s="1748">
        <v>2030</v>
      </c>
      <c r="K126" s="1748">
        <v>2035</v>
      </c>
      <c r="L126" s="1748">
        <v>2040</v>
      </c>
      <c r="M126" s="1748">
        <v>2045</v>
      </c>
      <c r="N126" s="1748">
        <v>2050</v>
      </c>
      <c r="P126" s="2479"/>
    </row>
    <row r="127" spans="1:16" s="84" customFormat="1" x14ac:dyDescent="0.2">
      <c r="A127" s="2479"/>
      <c r="C127" s="147" t="s">
        <v>104</v>
      </c>
      <c r="D127" s="18"/>
      <c r="E127" s="18" t="str">
        <f>Preferences.PowerUnits</f>
        <v>GW</v>
      </c>
      <c r="F127" s="454">
        <f t="shared" ref="F127:N127" si="34">F98</f>
        <v>0</v>
      </c>
      <c r="G127" s="454">
        <f t="shared" si="34"/>
        <v>0</v>
      </c>
      <c r="H127" s="454">
        <f t="shared" si="34"/>
        <v>0</v>
      </c>
      <c r="I127" s="454">
        <f t="shared" si="34"/>
        <v>4</v>
      </c>
      <c r="J127" s="454">
        <f t="shared" si="34"/>
        <v>12.1</v>
      </c>
      <c r="K127" s="454">
        <f t="shared" si="34"/>
        <v>22.8</v>
      </c>
      <c r="L127" s="454">
        <f t="shared" si="34"/>
        <v>33.6</v>
      </c>
      <c r="M127" s="454">
        <f t="shared" si="34"/>
        <v>44.3</v>
      </c>
      <c r="N127" s="454">
        <f t="shared" si="34"/>
        <v>55</v>
      </c>
      <c r="P127" s="588"/>
    </row>
    <row r="128" spans="1:16" x14ac:dyDescent="0.2">
      <c r="B128" s="84"/>
      <c r="C128" s="2479" t="s">
        <v>2347</v>
      </c>
      <c r="F128" s="2492">
        <v>0</v>
      </c>
      <c r="G128" s="2492">
        <f t="shared" ref="G128:N128" si="35">G127-F127</f>
        <v>0</v>
      </c>
      <c r="H128" s="2492">
        <f t="shared" si="35"/>
        <v>0</v>
      </c>
      <c r="I128" s="2493">
        <f t="shared" si="35"/>
        <v>4</v>
      </c>
      <c r="J128" s="2493">
        <f t="shared" si="35"/>
        <v>8.1</v>
      </c>
      <c r="K128" s="2493">
        <f t="shared" si="35"/>
        <v>10.700000000000001</v>
      </c>
      <c r="L128" s="2493">
        <f t="shared" si="35"/>
        <v>10.8</v>
      </c>
      <c r="M128" s="2493">
        <f t="shared" si="35"/>
        <v>10.699999999999996</v>
      </c>
      <c r="N128" s="2493">
        <f t="shared" si="35"/>
        <v>10.700000000000003</v>
      </c>
      <c r="O128" s="84"/>
      <c r="P128" s="588"/>
    </row>
    <row r="129" spans="1:16" x14ac:dyDescent="0.2">
      <c r="B129" s="84"/>
      <c r="C129" s="2479" t="s">
        <v>2348</v>
      </c>
      <c r="E129" s="2479" t="s">
        <v>247</v>
      </c>
      <c r="F129" s="2524">
        <v>0</v>
      </c>
      <c r="G129" s="2524">
        <f t="shared" ref="G129:N129" si="36">F127*0/20</f>
        <v>0</v>
      </c>
      <c r="H129" s="2524">
        <f t="shared" si="36"/>
        <v>0</v>
      </c>
      <c r="I129" s="2524">
        <f t="shared" si="36"/>
        <v>0</v>
      </c>
      <c r="J129" s="2524">
        <f t="shared" si="36"/>
        <v>0</v>
      </c>
      <c r="K129" s="2524">
        <f t="shared" si="36"/>
        <v>0</v>
      </c>
      <c r="L129" s="2524">
        <f t="shared" si="36"/>
        <v>0</v>
      </c>
      <c r="M129" s="2524">
        <f t="shared" si="36"/>
        <v>0</v>
      </c>
      <c r="N129" s="2524">
        <f t="shared" si="36"/>
        <v>0</v>
      </c>
      <c r="O129" s="84"/>
      <c r="P129" s="588"/>
    </row>
    <row r="130" spans="1:16" x14ac:dyDescent="0.2">
      <c r="B130" s="84"/>
      <c r="C130" s="2479" t="str">
        <f>"Approximate total "&amp;$F$42/Unit.GW&amp;" GW locations"</f>
        <v>Approximate total 1 GW locations</v>
      </c>
      <c r="E130" s="2479" t="s">
        <v>1275</v>
      </c>
      <c r="F130" s="1262">
        <v>0</v>
      </c>
      <c r="G130" s="1262">
        <f t="shared" ref="G130:N130" si="37">G$127/plantsize.I.c</f>
        <v>0</v>
      </c>
      <c r="H130" s="1262">
        <f t="shared" si="37"/>
        <v>0</v>
      </c>
      <c r="I130" s="1262">
        <f t="shared" si="37"/>
        <v>4</v>
      </c>
      <c r="J130" s="1262">
        <f t="shared" si="37"/>
        <v>12.1</v>
      </c>
      <c r="K130" s="1262">
        <f t="shared" si="37"/>
        <v>22.8</v>
      </c>
      <c r="L130" s="1262">
        <f t="shared" si="37"/>
        <v>33.6</v>
      </c>
      <c r="M130" s="1262">
        <f t="shared" si="37"/>
        <v>44.3</v>
      </c>
      <c r="N130" s="1262">
        <f t="shared" si="37"/>
        <v>55</v>
      </c>
      <c r="O130" s="84"/>
      <c r="P130" s="588"/>
    </row>
    <row r="131" spans="1:16" x14ac:dyDescent="0.2">
      <c r="B131" s="84"/>
      <c r="C131" s="588" t="s">
        <v>1973</v>
      </c>
      <c r="D131" s="588"/>
      <c r="E131" s="588" t="s">
        <v>1275</v>
      </c>
      <c r="F131" s="2525">
        <v>0</v>
      </c>
      <c r="G131" s="2525">
        <f t="shared" ref="G131:N131" si="38">MAX((G127+G129)/plantsize.I.c,0)</f>
        <v>0</v>
      </c>
      <c r="H131" s="2525">
        <f t="shared" si="38"/>
        <v>0</v>
      </c>
      <c r="I131" s="2526">
        <f t="shared" si="38"/>
        <v>4</v>
      </c>
      <c r="J131" s="2525">
        <f t="shared" si="38"/>
        <v>12.1</v>
      </c>
      <c r="K131" s="2525">
        <f t="shared" si="38"/>
        <v>22.8</v>
      </c>
      <c r="L131" s="2525">
        <f t="shared" si="38"/>
        <v>33.6</v>
      </c>
      <c r="M131" s="2525">
        <f t="shared" si="38"/>
        <v>44.3</v>
      </c>
      <c r="N131" s="2525">
        <f t="shared" si="38"/>
        <v>55</v>
      </c>
      <c r="O131" s="84"/>
      <c r="P131" s="588"/>
    </row>
    <row r="132" spans="1:16" x14ac:dyDescent="0.2">
      <c r="B132" s="84"/>
      <c r="C132" s="2479" t="str">
        <f>"Number of "&amp;$F$42/Unit.GW&amp;" GW locations per year"</f>
        <v>Number of 1 GW locations per year</v>
      </c>
      <c r="E132" s="2479" t="s">
        <v>1276</v>
      </c>
      <c r="F132" s="1026">
        <v>0</v>
      </c>
      <c r="G132" s="1026">
        <f t="shared" ref="G132:N132" si="39">G131/(G$97-F$97)</f>
        <v>0</v>
      </c>
      <c r="H132" s="1026">
        <f t="shared" si="39"/>
        <v>0</v>
      </c>
      <c r="I132" s="1498">
        <f t="shared" si="39"/>
        <v>0.8</v>
      </c>
      <c r="J132" s="1026">
        <f t="shared" si="39"/>
        <v>2.42</v>
      </c>
      <c r="K132" s="1026">
        <f t="shared" si="39"/>
        <v>4.5600000000000005</v>
      </c>
      <c r="L132" s="1026">
        <f t="shared" si="39"/>
        <v>6.7200000000000006</v>
      </c>
      <c r="M132" s="1026">
        <f t="shared" si="39"/>
        <v>8.86</v>
      </c>
      <c r="N132" s="1026">
        <f t="shared" si="39"/>
        <v>11</v>
      </c>
      <c r="O132" s="84"/>
      <c r="P132" s="588"/>
    </row>
    <row r="133" spans="1:16" x14ac:dyDescent="0.2">
      <c r="B133" s="84"/>
      <c r="C133" s="147"/>
      <c r="D133" s="18"/>
      <c r="E133" s="18"/>
      <c r="F133" s="454"/>
      <c r="G133" s="454"/>
      <c r="H133" s="454"/>
      <c r="I133" s="454"/>
      <c r="J133" s="454"/>
      <c r="K133" s="454"/>
      <c r="L133" s="454"/>
      <c r="M133" s="454"/>
      <c r="N133" s="454"/>
      <c r="O133" s="84"/>
      <c r="P133" s="588"/>
    </row>
    <row r="134" spans="1:16" x14ac:dyDescent="0.2">
      <c r="C134" s="84"/>
      <c r="F134" s="1026"/>
      <c r="G134" s="1026"/>
      <c r="H134" s="1026"/>
      <c r="I134" s="1026"/>
      <c r="J134" s="1026"/>
      <c r="K134" s="1026"/>
      <c r="L134" s="1026"/>
      <c r="M134" s="1026"/>
      <c r="N134" s="1026"/>
      <c r="O134" s="84"/>
    </row>
    <row r="135" spans="1:16" x14ac:dyDescent="0.2">
      <c r="B135" s="1427" t="s">
        <v>1424</v>
      </c>
      <c r="C135" s="84"/>
      <c r="F135" s="1026"/>
      <c r="G135" s="1026"/>
      <c r="H135" s="1026"/>
      <c r="I135" s="1026"/>
      <c r="J135" s="1026"/>
      <c r="K135" s="1026"/>
      <c r="L135" s="1026"/>
      <c r="M135" s="1026"/>
      <c r="N135" s="1026"/>
      <c r="O135" s="84"/>
    </row>
    <row r="136" spans="1:16" s="84" customFormat="1" x14ac:dyDescent="0.2">
      <c r="A136" s="2479"/>
      <c r="B136" s="2479"/>
      <c r="D136" s="2479"/>
      <c r="E136" s="2479"/>
      <c r="F136" s="1026"/>
      <c r="G136" s="1026"/>
      <c r="H136" s="1026"/>
      <c r="I136" s="1026"/>
      <c r="J136" s="1026"/>
      <c r="K136" s="1026"/>
      <c r="L136" s="1026"/>
      <c r="M136" s="1026"/>
      <c r="N136" s="1026"/>
      <c r="P136" s="2479"/>
    </row>
    <row r="137" spans="1:16" s="84" customFormat="1" x14ac:dyDescent="0.2">
      <c r="A137" s="2479"/>
      <c r="B137" s="2479" t="s">
        <v>1422</v>
      </c>
      <c r="C137" s="2479"/>
      <c r="D137" s="2479"/>
      <c r="E137" s="2479"/>
      <c r="F137" s="1748">
        <v>2010</v>
      </c>
      <c r="G137" s="1748">
        <v>2015</v>
      </c>
      <c r="H137" s="1748">
        <v>2020</v>
      </c>
      <c r="I137" s="1748">
        <v>2025</v>
      </c>
      <c r="J137" s="1748">
        <v>2030</v>
      </c>
      <c r="K137" s="1748">
        <v>2035</v>
      </c>
      <c r="L137" s="1748">
        <v>2040</v>
      </c>
      <c r="M137" s="1748">
        <v>2045</v>
      </c>
      <c r="N137" s="1748">
        <v>2050</v>
      </c>
    </row>
    <row r="138" spans="1:16" s="84" customFormat="1" x14ac:dyDescent="0.2">
      <c r="A138" s="2479"/>
      <c r="B138" s="2479"/>
      <c r="C138" s="2479" t="s">
        <v>1418</v>
      </c>
      <c r="D138" s="2479"/>
      <c r="E138" s="2479" t="str">
        <f>Preferences.moneyunits</f>
        <v>N</v>
      </c>
      <c r="F138" s="1262">
        <f t="shared" ref="F138:N138" si="40">(F132*F$72)</f>
        <v>0</v>
      </c>
      <c r="G138" s="1262">
        <f t="shared" si="40"/>
        <v>0</v>
      </c>
      <c r="H138" s="1262">
        <f t="shared" si="40"/>
        <v>0</v>
      </c>
      <c r="I138" s="1262">
        <f t="shared" si="40"/>
        <v>324000000000</v>
      </c>
      <c r="J138" s="1262">
        <f t="shared" si="40"/>
        <v>980100000000</v>
      </c>
      <c r="K138" s="1262">
        <f t="shared" si="40"/>
        <v>1846800000000.0002</v>
      </c>
      <c r="L138" s="1262">
        <f t="shared" si="40"/>
        <v>2721600000000.0005</v>
      </c>
      <c r="M138" s="1262">
        <f t="shared" si="40"/>
        <v>3588300000000</v>
      </c>
      <c r="N138" s="1262">
        <f t="shared" si="40"/>
        <v>4455000000000</v>
      </c>
    </row>
    <row r="139" spans="1:16" s="84" customFormat="1" x14ac:dyDescent="0.2">
      <c r="A139" s="2479"/>
      <c r="B139" s="2479"/>
      <c r="C139" s="2479" t="s">
        <v>1419</v>
      </c>
      <c r="D139" s="2479"/>
      <c r="E139" s="2479" t="str">
        <f>Preferences.moneyunits</f>
        <v>N</v>
      </c>
      <c r="F139" s="1262">
        <f t="shared" ref="F139:N139" si="41">(F130*F$80)</f>
        <v>0</v>
      </c>
      <c r="G139" s="1262">
        <f t="shared" si="41"/>
        <v>0</v>
      </c>
      <c r="H139" s="1262">
        <f t="shared" si="41"/>
        <v>0</v>
      </c>
      <c r="I139" s="1262">
        <f t="shared" si="41"/>
        <v>22000000</v>
      </c>
      <c r="J139" s="1262">
        <f t="shared" si="41"/>
        <v>66550000</v>
      </c>
      <c r="K139" s="1262">
        <f t="shared" si="41"/>
        <v>125400000</v>
      </c>
      <c r="L139" s="1262">
        <f t="shared" si="41"/>
        <v>184800000</v>
      </c>
      <c r="M139" s="1262">
        <f t="shared" si="41"/>
        <v>243649999.99999997</v>
      </c>
      <c r="N139" s="1262">
        <f t="shared" si="41"/>
        <v>302500000</v>
      </c>
    </row>
    <row r="140" spans="1:16" s="84" customFormat="1" x14ac:dyDescent="0.2">
      <c r="A140" s="2479"/>
      <c r="B140" s="2479"/>
      <c r="C140" s="2479" t="s">
        <v>1421</v>
      </c>
      <c r="D140" s="2479"/>
      <c r="E140" s="2479" t="str">
        <f>Preferences.moneyunits</f>
        <v>N</v>
      </c>
      <c r="F140" s="1262">
        <f t="shared" ref="F140:N140" si="42">SUM(F138:F139)</f>
        <v>0</v>
      </c>
      <c r="G140" s="1262">
        <f t="shared" si="42"/>
        <v>0</v>
      </c>
      <c r="H140" s="1262">
        <f t="shared" si="42"/>
        <v>0</v>
      </c>
      <c r="I140" s="1262">
        <f t="shared" si="42"/>
        <v>324022000000</v>
      </c>
      <c r="J140" s="1262">
        <f t="shared" si="42"/>
        <v>980166550000</v>
      </c>
      <c r="K140" s="1262">
        <f t="shared" si="42"/>
        <v>1846925400000.0002</v>
      </c>
      <c r="L140" s="1262">
        <f t="shared" si="42"/>
        <v>2721784800000.0005</v>
      </c>
      <c r="M140" s="1262">
        <f t="shared" si="42"/>
        <v>3588543650000</v>
      </c>
      <c r="N140" s="1262">
        <f t="shared" si="42"/>
        <v>4455302500000</v>
      </c>
      <c r="P140" s="34"/>
    </row>
    <row r="141" spans="1:16" s="84" customFormat="1" x14ac:dyDescent="0.2">
      <c r="A141" s="2479"/>
      <c r="B141" s="2479"/>
      <c r="C141" s="2479"/>
      <c r="D141" s="2479"/>
      <c r="E141" s="2479"/>
      <c r="F141" s="1262"/>
      <c r="G141" s="1262"/>
      <c r="H141" s="1262"/>
      <c r="I141" s="1262"/>
      <c r="J141" s="1262"/>
      <c r="K141" s="1262"/>
      <c r="L141" s="1262"/>
      <c r="M141" s="1262"/>
      <c r="N141" s="1262"/>
      <c r="P141" s="37"/>
    </row>
    <row r="142" spans="1:16" s="84" customFormat="1" x14ac:dyDescent="0.2">
      <c r="A142" s="2479"/>
      <c r="B142" s="2479" t="s">
        <v>1874</v>
      </c>
      <c r="C142" s="2479"/>
      <c r="D142" s="2479"/>
      <c r="E142" s="2479"/>
      <c r="F142" s="1748">
        <v>2010</v>
      </c>
      <c r="G142" s="1748">
        <v>2015</v>
      </c>
      <c r="H142" s="1748">
        <v>2020</v>
      </c>
      <c r="I142" s="1748">
        <v>2025</v>
      </c>
      <c r="J142" s="1748">
        <v>2030</v>
      </c>
      <c r="K142" s="1748">
        <v>2035</v>
      </c>
      <c r="L142" s="1748">
        <v>2040</v>
      </c>
      <c r="M142" s="1748">
        <v>2045</v>
      </c>
      <c r="N142" s="1748">
        <v>2050</v>
      </c>
      <c r="O142" s="2479"/>
      <c r="P142" s="37"/>
    </row>
    <row r="143" spans="1:16" s="84" customFormat="1" x14ac:dyDescent="0.2">
      <c r="A143" s="2479"/>
      <c r="B143" s="2479"/>
      <c r="C143" s="2479" t="s">
        <v>1418</v>
      </c>
      <c r="D143" s="2479"/>
      <c r="E143" s="2479" t="str">
        <f>Preferences.moneyunits</f>
        <v>N</v>
      </c>
      <c r="F143" s="1262">
        <f t="shared" ref="F143:N143" si="43">(F127*F$81)</f>
        <v>0</v>
      </c>
      <c r="G143" s="1262">
        <f t="shared" si="43"/>
        <v>0</v>
      </c>
      <c r="H143" s="1262">
        <f t="shared" si="43"/>
        <v>0</v>
      </c>
      <c r="I143" s="1262">
        <f t="shared" si="43"/>
        <v>19800000</v>
      </c>
      <c r="J143" s="1262">
        <f t="shared" si="43"/>
        <v>59895000</v>
      </c>
      <c r="K143" s="1262">
        <f t="shared" si="43"/>
        <v>112860000</v>
      </c>
      <c r="L143" s="1262">
        <f t="shared" si="43"/>
        <v>166320000</v>
      </c>
      <c r="M143" s="1262">
        <f t="shared" si="43"/>
        <v>219285000</v>
      </c>
      <c r="N143" s="1262">
        <f t="shared" si="43"/>
        <v>272250000</v>
      </c>
      <c r="O143" s="2479"/>
      <c r="P143" s="37"/>
    </row>
    <row r="144" spans="1:16" s="84" customFormat="1" x14ac:dyDescent="0.2">
      <c r="A144" s="2479"/>
      <c r="B144" s="2479"/>
      <c r="C144" s="2479" t="s">
        <v>1419</v>
      </c>
      <c r="D144" s="2479"/>
      <c r="E144" s="2479" t="str">
        <f>Preferences.moneyunits</f>
        <v>N</v>
      </c>
      <c r="F144" s="1262">
        <f t="shared" ref="F144:N144" si="44">(F130*F$81)</f>
        <v>0</v>
      </c>
      <c r="G144" s="1262">
        <f t="shared" si="44"/>
        <v>0</v>
      </c>
      <c r="H144" s="1262">
        <f t="shared" si="44"/>
        <v>0</v>
      </c>
      <c r="I144" s="1262">
        <f t="shared" si="44"/>
        <v>19800000</v>
      </c>
      <c r="J144" s="1262">
        <f t="shared" si="44"/>
        <v>59895000</v>
      </c>
      <c r="K144" s="1262">
        <f t="shared" si="44"/>
        <v>112860000</v>
      </c>
      <c r="L144" s="1262">
        <f t="shared" si="44"/>
        <v>166320000</v>
      </c>
      <c r="M144" s="1262">
        <f t="shared" si="44"/>
        <v>219285000</v>
      </c>
      <c r="N144" s="1262">
        <f t="shared" si="44"/>
        <v>272250000</v>
      </c>
      <c r="O144" s="2479"/>
      <c r="P144" s="37"/>
    </row>
    <row r="145" spans="1:17" s="84" customFormat="1" x14ac:dyDescent="0.2">
      <c r="A145" s="2479"/>
      <c r="B145" s="2479"/>
      <c r="C145" s="2479" t="s">
        <v>1421</v>
      </c>
      <c r="D145" s="2479"/>
      <c r="E145" s="2479" t="str">
        <f>Preferences.moneyunits</f>
        <v>N</v>
      </c>
      <c r="F145" s="1262">
        <f t="shared" ref="F145:N145" si="45">SUM(F143:F144)</f>
        <v>0</v>
      </c>
      <c r="G145" s="1262">
        <f t="shared" si="45"/>
        <v>0</v>
      </c>
      <c r="H145" s="1262">
        <f t="shared" si="45"/>
        <v>0</v>
      </c>
      <c r="I145" s="1262">
        <f t="shared" si="45"/>
        <v>39600000</v>
      </c>
      <c r="J145" s="1262">
        <f t="shared" si="45"/>
        <v>119790000</v>
      </c>
      <c r="K145" s="1262">
        <f t="shared" si="45"/>
        <v>225720000</v>
      </c>
      <c r="L145" s="1262">
        <f t="shared" si="45"/>
        <v>332640000</v>
      </c>
      <c r="M145" s="1262">
        <f t="shared" si="45"/>
        <v>438570000</v>
      </c>
      <c r="N145" s="1262">
        <f t="shared" si="45"/>
        <v>544500000</v>
      </c>
      <c r="O145" s="2479"/>
      <c r="P145" s="37"/>
    </row>
    <row r="146" spans="1:17" s="84" customFormat="1" x14ac:dyDescent="0.2">
      <c r="A146" s="2479"/>
      <c r="B146" s="2479"/>
      <c r="C146" s="2479"/>
      <c r="D146" s="2479"/>
      <c r="E146" s="2479"/>
      <c r="F146" s="2479"/>
      <c r="G146" s="2479"/>
      <c r="H146" s="2479"/>
      <c r="I146" s="2479"/>
      <c r="J146" s="2479"/>
      <c r="K146" s="2479"/>
      <c r="L146" s="2479"/>
      <c r="M146" s="2479"/>
      <c r="N146" s="2479"/>
      <c r="O146" s="2479"/>
      <c r="P146" s="37"/>
    </row>
    <row r="147" spans="1:17" s="84" customFormat="1" x14ac:dyDescent="0.2">
      <c r="A147" s="2479"/>
      <c r="B147" s="2479" t="s">
        <v>1420</v>
      </c>
      <c r="C147" s="2479"/>
      <c r="D147" s="2479"/>
      <c r="E147" s="2479"/>
      <c r="F147" s="1748">
        <v>2010</v>
      </c>
      <c r="G147" s="1748">
        <v>2015</v>
      </c>
      <c r="H147" s="1748">
        <v>2020</v>
      </c>
      <c r="I147" s="1748">
        <v>2025</v>
      </c>
      <c r="J147" s="1748">
        <v>2030</v>
      </c>
      <c r="K147" s="1748">
        <v>2035</v>
      </c>
      <c r="L147" s="1748">
        <v>2040</v>
      </c>
      <c r="M147" s="1748">
        <v>2045</v>
      </c>
      <c r="N147" s="1748">
        <v>2050</v>
      </c>
      <c r="O147" s="2479"/>
      <c r="P147" s="37"/>
    </row>
    <row r="148" spans="1:17" s="84" customFormat="1" x14ac:dyDescent="0.2">
      <c r="A148" s="2479"/>
      <c r="B148" s="2479"/>
      <c r="C148" s="2479" t="s">
        <v>1418</v>
      </c>
      <c r="D148" s="2479"/>
      <c r="E148" s="2479" t="str">
        <f>Preferences.moneyunits</f>
        <v>N</v>
      </c>
      <c r="F148" s="1262">
        <f t="shared" ref="F148:N148" si="46">(F132*F$74)</f>
        <v>0</v>
      </c>
      <c r="G148" s="1262">
        <f t="shared" si="46"/>
        <v>0</v>
      </c>
      <c r="H148" s="1262">
        <f t="shared" si="46"/>
        <v>0</v>
      </c>
      <c r="I148" s="1262">
        <f t="shared" si="46"/>
        <v>240000000000</v>
      </c>
      <c r="J148" s="1262">
        <f t="shared" si="46"/>
        <v>726000000000</v>
      </c>
      <c r="K148" s="1262">
        <f t="shared" si="46"/>
        <v>1368000000000.0002</v>
      </c>
      <c r="L148" s="1262">
        <f t="shared" si="46"/>
        <v>2016000000000.0002</v>
      </c>
      <c r="M148" s="1262">
        <f t="shared" si="46"/>
        <v>2658000000000</v>
      </c>
      <c r="N148" s="1262">
        <f t="shared" si="46"/>
        <v>3300000000000</v>
      </c>
      <c r="O148" s="2479"/>
      <c r="P148" s="37"/>
    </row>
    <row r="149" spans="1:17" s="84" customFormat="1" x14ac:dyDescent="0.2">
      <c r="A149" s="2479"/>
      <c r="B149" s="2479"/>
      <c r="C149" s="2479" t="s">
        <v>1419</v>
      </c>
      <c r="D149" s="2479"/>
      <c r="E149" s="2479" t="str">
        <f>Preferences.moneyunits</f>
        <v>N</v>
      </c>
      <c r="F149" s="1262">
        <f t="shared" ref="F149:N149" si="47">(F130*F$82)</f>
        <v>0</v>
      </c>
      <c r="G149" s="1262">
        <f t="shared" si="47"/>
        <v>0</v>
      </c>
      <c r="H149" s="1262">
        <f t="shared" si="47"/>
        <v>0</v>
      </c>
      <c r="I149" s="1262">
        <f t="shared" si="47"/>
        <v>15000000</v>
      </c>
      <c r="J149" s="1262">
        <f t="shared" si="47"/>
        <v>45375000</v>
      </c>
      <c r="K149" s="1262">
        <f t="shared" si="47"/>
        <v>85500000</v>
      </c>
      <c r="L149" s="1262">
        <f t="shared" si="47"/>
        <v>126000000</v>
      </c>
      <c r="M149" s="1262">
        <f t="shared" si="47"/>
        <v>166125000</v>
      </c>
      <c r="N149" s="1262">
        <f t="shared" si="47"/>
        <v>206250000</v>
      </c>
      <c r="O149" s="2479"/>
      <c r="P149" s="37"/>
    </row>
    <row r="150" spans="1:17" s="84" customFormat="1" x14ac:dyDescent="0.2">
      <c r="A150" s="2479"/>
      <c r="B150" s="2479"/>
      <c r="C150" s="2479" t="s">
        <v>1421</v>
      </c>
      <c r="D150" s="2479"/>
      <c r="E150" s="2479" t="str">
        <f>Preferences.moneyunits</f>
        <v>N</v>
      </c>
      <c r="F150" s="1262">
        <f t="shared" ref="F150:N150" si="48">SUM(F148:F149)</f>
        <v>0</v>
      </c>
      <c r="G150" s="1262">
        <f t="shared" si="48"/>
        <v>0</v>
      </c>
      <c r="H150" s="1262">
        <f t="shared" si="48"/>
        <v>0</v>
      </c>
      <c r="I150" s="1262">
        <f t="shared" si="48"/>
        <v>240015000000</v>
      </c>
      <c r="J150" s="1262">
        <f t="shared" si="48"/>
        <v>726045375000</v>
      </c>
      <c r="K150" s="1262">
        <f t="shared" si="48"/>
        <v>1368085500000.0002</v>
      </c>
      <c r="L150" s="1262">
        <f t="shared" si="48"/>
        <v>2016126000000.0002</v>
      </c>
      <c r="M150" s="1262">
        <f t="shared" si="48"/>
        <v>2658166125000</v>
      </c>
      <c r="N150" s="1262">
        <f t="shared" si="48"/>
        <v>3300206250000</v>
      </c>
      <c r="O150" s="2479"/>
      <c r="P150" s="37"/>
    </row>
    <row r="151" spans="1:17" s="84" customFormat="1" x14ac:dyDescent="0.2">
      <c r="A151" s="2479"/>
      <c r="P151" s="37"/>
    </row>
    <row r="152" spans="1:17" s="84" customFormat="1" ht="4.5" customHeight="1" x14ac:dyDescent="0.2">
      <c r="A152" s="2479"/>
      <c r="B152" s="2479"/>
      <c r="C152" s="2479"/>
      <c r="D152" s="2479"/>
      <c r="E152" s="2479"/>
      <c r="F152" s="2479"/>
      <c r="G152" s="2479"/>
      <c r="H152" s="2479"/>
      <c r="I152" s="2479"/>
      <c r="J152" s="2479"/>
      <c r="K152" s="2479"/>
      <c r="L152" s="2479"/>
      <c r="M152" s="2479"/>
      <c r="N152" s="2479"/>
      <c r="O152" s="2479"/>
      <c r="P152" s="2479"/>
      <c r="Q152" s="37"/>
    </row>
    <row r="153" spans="1:17" s="84" customFormat="1" ht="15.75" x14ac:dyDescent="0.2">
      <c r="A153" s="2479"/>
      <c r="B153" s="468" t="s">
        <v>236</v>
      </c>
      <c r="C153" s="421"/>
      <c r="D153" s="421"/>
      <c r="E153" s="421"/>
      <c r="F153" s="421"/>
      <c r="G153" s="421"/>
      <c r="H153" s="421"/>
      <c r="I153" s="421"/>
      <c r="J153" s="421"/>
      <c r="K153" s="421"/>
      <c r="L153" s="421"/>
      <c r="M153" s="421"/>
      <c r="N153" s="421"/>
      <c r="O153" s="421"/>
      <c r="P153" s="421"/>
      <c r="Q153" s="37"/>
    </row>
    <row r="154" spans="1:17" s="84" customFormat="1" x14ac:dyDescent="0.2">
      <c r="A154" s="2479"/>
      <c r="B154" s="410"/>
      <c r="C154" s="412"/>
      <c r="D154" s="412"/>
      <c r="E154" s="412"/>
      <c r="F154" s="412"/>
      <c r="G154" s="412"/>
      <c r="H154" s="412"/>
      <c r="I154" s="412"/>
      <c r="J154" s="412"/>
      <c r="K154" s="412"/>
      <c r="L154" s="412"/>
      <c r="M154" s="412"/>
      <c r="N154" s="412"/>
      <c r="O154" s="412"/>
      <c r="P154" s="414"/>
      <c r="Q154" s="1513"/>
    </row>
    <row r="155" spans="1:17" s="84" customFormat="1" x14ac:dyDescent="0.2">
      <c r="A155" s="2479"/>
      <c r="B155" s="410"/>
      <c r="C155" s="424" t="s">
        <v>277</v>
      </c>
      <c r="D155" s="412"/>
      <c r="E155" s="412"/>
      <c r="F155" s="412"/>
      <c r="G155" s="413"/>
      <c r="H155" s="412"/>
      <c r="I155" s="412"/>
      <c r="J155" s="412"/>
      <c r="K155" s="412"/>
      <c r="L155" s="412"/>
      <c r="M155" s="412"/>
      <c r="N155" s="413" t="str">
        <f>Preferences.EnergyUnits</f>
        <v>TWh</v>
      </c>
      <c r="P155" s="414"/>
      <c r="Q155" s="2479"/>
    </row>
    <row r="156" spans="1:17" s="84" customFormat="1" x14ac:dyDescent="0.2">
      <c r="A156" s="2479"/>
      <c r="B156" s="410"/>
      <c r="C156" s="412"/>
      <c r="D156" s="412"/>
      <c r="E156" s="412"/>
      <c r="F156" s="412"/>
      <c r="G156" s="412"/>
      <c r="H156" s="412"/>
      <c r="I156" s="412"/>
      <c r="J156" s="412"/>
      <c r="K156" s="412"/>
      <c r="L156" s="412"/>
      <c r="M156" s="412"/>
      <c r="N156" s="412"/>
      <c r="O156" s="412"/>
      <c r="P156" s="414"/>
      <c r="Q156" s="2479"/>
    </row>
    <row r="157" spans="1:17" s="84" customFormat="1" ht="15.75" x14ac:dyDescent="0.25">
      <c r="A157" s="2479"/>
      <c r="B157" s="415"/>
      <c r="C157" s="426" t="s">
        <v>64</v>
      </c>
      <c r="D157" s="426" t="s">
        <v>150</v>
      </c>
      <c r="E157" s="426" t="s">
        <v>172</v>
      </c>
      <c r="F157" s="426" t="s">
        <v>241</v>
      </c>
      <c r="G157" s="426" t="s">
        <v>268</v>
      </c>
      <c r="H157" s="426" t="s">
        <v>269</v>
      </c>
      <c r="I157" s="426" t="s">
        <v>270</v>
      </c>
      <c r="J157" s="426" t="s">
        <v>271</v>
      </c>
      <c r="K157" s="426" t="s">
        <v>272</v>
      </c>
      <c r="L157" s="426" t="s">
        <v>273</v>
      </c>
      <c r="M157" s="426" t="s">
        <v>274</v>
      </c>
      <c r="N157" s="426" t="s">
        <v>275</v>
      </c>
      <c r="O157" s="507"/>
      <c r="P157" s="2479"/>
    </row>
    <row r="158" spans="1:17" s="84" customFormat="1" ht="14.25" x14ac:dyDescent="0.2">
      <c r="A158" s="2479"/>
      <c r="B158" s="508"/>
      <c r="C158" s="240" t="s">
        <v>35</v>
      </c>
      <c r="D158" s="240" t="str">
        <f>INDEX(Vectors[Description], MATCH(I.c.Outputs[Vector],Vectors[Code], 0))</f>
        <v>Electricity (supplied to grid)</v>
      </c>
      <c r="E158" s="240"/>
      <c r="F158" s="241">
        <f t="shared" ref="F158:N158" si="49">F$103</f>
        <v>0</v>
      </c>
      <c r="G158" s="241">
        <f t="shared" si="49"/>
        <v>0</v>
      </c>
      <c r="H158" s="241">
        <f t="shared" si="49"/>
        <v>0</v>
      </c>
      <c r="I158" s="241">
        <f t="shared" si="49"/>
        <v>26.297999999999998</v>
      </c>
      <c r="J158" s="241">
        <f t="shared" si="49"/>
        <v>79.551449999999988</v>
      </c>
      <c r="K158" s="241">
        <f t="shared" si="49"/>
        <v>149.89860000000002</v>
      </c>
      <c r="L158" s="241">
        <f t="shared" si="49"/>
        <v>220.90320000000003</v>
      </c>
      <c r="M158" s="241">
        <f t="shared" si="49"/>
        <v>291.25034999999991</v>
      </c>
      <c r="N158" s="241">
        <f t="shared" si="49"/>
        <v>361.59749999999997</v>
      </c>
      <c r="O158" s="509"/>
      <c r="P158" s="2479"/>
    </row>
    <row r="159" spans="1:17" s="84" customFormat="1" ht="14.25" x14ac:dyDescent="0.2">
      <c r="A159" s="2479"/>
      <c r="B159" s="508"/>
      <c r="C159" s="240" t="s">
        <v>36</v>
      </c>
      <c r="D159" s="240" t="str">
        <f>INDEX(Vectors[Description], MATCH(I.c.Outputs[Vector],Vectors[Code], 0))</f>
        <v>Solid hydrocarbons</v>
      </c>
      <c r="E159" s="240"/>
      <c r="F159" s="241">
        <f t="shared" ref="F159:N159" si="50">-F$107</f>
        <v>0</v>
      </c>
      <c r="G159" s="241">
        <f t="shared" si="50"/>
        <v>0</v>
      </c>
      <c r="H159" s="241">
        <f t="shared" si="50"/>
        <v>0</v>
      </c>
      <c r="I159" s="241">
        <f t="shared" si="50"/>
        <v>-72.665526315789478</v>
      </c>
      <c r="J159" s="241">
        <f t="shared" si="50"/>
        <v>-219.81321710526311</v>
      </c>
      <c r="K159" s="241">
        <f t="shared" si="50"/>
        <v>-414.19350000000009</v>
      </c>
      <c r="L159" s="241">
        <f t="shared" si="50"/>
        <v>-610.39042105263172</v>
      </c>
      <c r="M159" s="241">
        <f t="shared" si="50"/>
        <v>-804.77070394736825</v>
      </c>
      <c r="N159" s="241">
        <f t="shared" si="50"/>
        <v>-999.15098684210523</v>
      </c>
      <c r="O159" s="509"/>
      <c r="P159" s="2479"/>
    </row>
    <row r="160" spans="1:17" ht="14.25" x14ac:dyDescent="0.2">
      <c r="B160" s="508"/>
      <c r="C160" s="240" t="s">
        <v>26</v>
      </c>
      <c r="D160" s="240" t="str">
        <f>INDEX(Vectors[Description], MATCH(I.c.Outputs[Vector],Vectors[Code], 0))</f>
        <v>Conversion losses</v>
      </c>
      <c r="E160" s="240"/>
      <c r="F160" s="241">
        <f t="shared" ref="F160:N160" si="51">(F$107-F$105)</f>
        <v>0</v>
      </c>
      <c r="G160" s="241">
        <f t="shared" si="51"/>
        <v>0</v>
      </c>
      <c r="H160" s="241">
        <f t="shared" si="51"/>
        <v>0</v>
      </c>
      <c r="I160" s="241">
        <f t="shared" si="51"/>
        <v>45.052626315789482</v>
      </c>
      <c r="J160" s="241">
        <f t="shared" si="51"/>
        <v>136.28419460526311</v>
      </c>
      <c r="K160" s="241">
        <f t="shared" si="51"/>
        <v>256.79997000000003</v>
      </c>
      <c r="L160" s="241">
        <f t="shared" si="51"/>
        <v>378.44206105263169</v>
      </c>
      <c r="M160" s="241">
        <f t="shared" si="51"/>
        <v>498.95783644736832</v>
      </c>
      <c r="N160" s="241">
        <f t="shared" si="51"/>
        <v>619.47361184210524</v>
      </c>
      <c r="O160" s="509"/>
    </row>
    <row r="161" spans="2:16" ht="14.25" x14ac:dyDescent="0.2">
      <c r="B161" s="508"/>
      <c r="C161" s="240" t="s">
        <v>27</v>
      </c>
      <c r="D161" s="240" t="str">
        <f>INDEX(Vectors[Description], MATCH(I.c.Outputs[Vector],Vectors[Code], 0))</f>
        <v>Distribution losses and own use</v>
      </c>
      <c r="E161" s="240"/>
      <c r="F161" s="241">
        <f t="shared" ref="F161:N161" si="52">F$104</f>
        <v>0</v>
      </c>
      <c r="G161" s="241">
        <f t="shared" si="52"/>
        <v>0</v>
      </c>
      <c r="H161" s="241">
        <f t="shared" si="52"/>
        <v>0</v>
      </c>
      <c r="I161" s="241">
        <f t="shared" si="52"/>
        <v>1.3149</v>
      </c>
      <c r="J161" s="241">
        <f t="shared" si="52"/>
        <v>3.9775724999999995</v>
      </c>
      <c r="K161" s="241">
        <f t="shared" si="52"/>
        <v>7.494930000000001</v>
      </c>
      <c r="L161" s="241">
        <f t="shared" si="52"/>
        <v>11.045160000000003</v>
      </c>
      <c r="M161" s="241">
        <f t="shared" si="52"/>
        <v>14.562517499999997</v>
      </c>
      <c r="N161" s="241">
        <f t="shared" si="52"/>
        <v>18.079874999999998</v>
      </c>
      <c r="O161" s="509"/>
    </row>
    <row r="162" spans="2:16" ht="15.75" customHeight="1" x14ac:dyDescent="0.2">
      <c r="B162" s="508"/>
      <c r="C162" s="97" t="s">
        <v>105</v>
      </c>
      <c r="D162" s="97"/>
      <c r="E162" s="97"/>
      <c r="F162" s="529">
        <f>SUBTOTAL(109,I.c.Outputs[2010])</f>
        <v>0</v>
      </c>
      <c r="G162" s="529">
        <f>SUBTOTAL(109,I.c.Outputs[2015])</f>
        <v>0</v>
      </c>
      <c r="H162" s="529">
        <f>SUBTOTAL(109,I.c.Outputs[2020])</f>
        <v>0</v>
      </c>
      <c r="I162" s="529">
        <f>SUBTOTAL(109,I.c.Outputs[2025])</f>
        <v>5.5511151231257827E-15</v>
      </c>
      <c r="J162" s="529">
        <f>SUBTOTAL(109,I.c.Outputs[2030])</f>
        <v>-8.4376949871511897E-15</v>
      </c>
      <c r="K162" s="529">
        <f>SUBTOTAL(109,I.c.Outputs[2035])</f>
        <v>-6.6613381477509392E-14</v>
      </c>
      <c r="L162" s="529">
        <f>SUBTOTAL(109,I.c.Outputs[2040])</f>
        <v>0</v>
      </c>
      <c r="M162" s="529">
        <f>SUBTOTAL(109,I.c.Outputs[2045])</f>
        <v>-1.5987211554602254E-14</v>
      </c>
      <c r="N162" s="529">
        <f>SUBTOTAL(109,I.c.Outputs[2050])</f>
        <v>0</v>
      </c>
      <c r="O162" s="509"/>
    </row>
    <row r="163" spans="2:16" ht="14.25" x14ac:dyDescent="0.2">
      <c r="B163" s="510"/>
      <c r="C163" s="418"/>
      <c r="D163" s="418"/>
      <c r="E163" s="418"/>
      <c r="F163" s="418"/>
      <c r="G163" s="418"/>
      <c r="H163" s="418"/>
      <c r="I163" s="418"/>
      <c r="J163" s="418"/>
      <c r="K163" s="418"/>
      <c r="L163" s="418"/>
      <c r="M163" s="418"/>
      <c r="N163" s="418"/>
      <c r="O163" s="418"/>
      <c r="P163" s="511"/>
    </row>
    <row r="164" spans="2:16" ht="4.5" customHeight="1" x14ac:dyDescent="0.2"/>
    <row r="165" spans="2:16" ht="15" customHeight="1" x14ac:dyDescent="0.2">
      <c r="B165" s="484" t="s">
        <v>361</v>
      </c>
      <c r="C165" s="436"/>
      <c r="D165" s="437"/>
      <c r="E165" s="437"/>
      <c r="F165" s="437"/>
      <c r="G165" s="437"/>
      <c r="H165" s="437"/>
      <c r="I165" s="437"/>
      <c r="J165" s="437"/>
      <c r="K165" s="437"/>
      <c r="L165" s="437"/>
      <c r="M165" s="437"/>
      <c r="N165" s="437"/>
      <c r="O165" s="437"/>
      <c r="P165" s="438"/>
    </row>
    <row r="166" spans="2:16" ht="15" customHeight="1" x14ac:dyDescent="0.2">
      <c r="B166" s="444"/>
      <c r="C166" s="445"/>
      <c r="D166" s="445"/>
      <c r="E166" s="445"/>
      <c r="F166" s="445"/>
      <c r="G166" s="445"/>
      <c r="H166" s="445"/>
      <c r="I166" s="445"/>
      <c r="J166" s="445"/>
      <c r="K166" s="445"/>
      <c r="L166" s="445"/>
      <c r="M166" s="445"/>
      <c r="N166" s="445"/>
      <c r="O166" s="445"/>
      <c r="P166" s="446"/>
    </row>
    <row r="167" spans="2:16" ht="15" customHeight="1" x14ac:dyDescent="0.25">
      <c r="B167" s="447"/>
      <c r="C167" s="439" t="s">
        <v>1850</v>
      </c>
      <c r="D167" s="440"/>
      <c r="E167" s="441"/>
      <c r="F167" s="440"/>
      <c r="G167" s="441"/>
      <c r="H167" s="440"/>
      <c r="I167" s="440"/>
      <c r="J167" s="440"/>
      <c r="K167" s="440"/>
      <c r="L167" s="440"/>
      <c r="M167" s="440"/>
      <c r="N167" s="1750" t="s">
        <v>1852</v>
      </c>
      <c r="P167" s="448"/>
    </row>
    <row r="168" spans="2:16" ht="15" customHeight="1" x14ac:dyDescent="0.2">
      <c r="B168" s="447"/>
      <c r="C168" s="440"/>
      <c r="D168" s="440"/>
      <c r="E168" s="440"/>
      <c r="F168" s="440"/>
      <c r="G168" s="440"/>
      <c r="H168" s="440"/>
      <c r="I168" s="440"/>
      <c r="J168" s="440"/>
      <c r="K168" s="440"/>
      <c r="L168" s="440"/>
      <c r="M168" s="440"/>
      <c r="N168" s="440"/>
      <c r="O168" s="440"/>
      <c r="P168" s="448"/>
    </row>
    <row r="169" spans="2:16" ht="15" customHeight="1" x14ac:dyDescent="0.25">
      <c r="B169" s="449"/>
      <c r="C169" s="503" t="s">
        <v>490</v>
      </c>
      <c r="D169" s="503" t="s">
        <v>461</v>
      </c>
      <c r="E169" s="503" t="s">
        <v>172</v>
      </c>
      <c r="F169" s="503" t="s">
        <v>241</v>
      </c>
      <c r="G169" s="503" t="s">
        <v>268</v>
      </c>
      <c r="H169" s="503" t="s">
        <v>269</v>
      </c>
      <c r="I169" s="503" t="s">
        <v>270</v>
      </c>
      <c r="J169" s="503" t="s">
        <v>271</v>
      </c>
      <c r="K169" s="503" t="s">
        <v>272</v>
      </c>
      <c r="L169" s="503" t="s">
        <v>273</v>
      </c>
      <c r="M169" s="503" t="s">
        <v>274</v>
      </c>
      <c r="N169" s="503" t="s">
        <v>275</v>
      </c>
      <c r="O169" s="448"/>
    </row>
    <row r="170" spans="2:16" ht="15" customHeight="1" x14ac:dyDescent="0.25">
      <c r="B170" s="449"/>
      <c r="C170" s="2475" t="s">
        <v>473</v>
      </c>
      <c r="D170" s="453" t="s">
        <v>483</v>
      </c>
      <c r="E170" s="2475"/>
      <c r="F170" s="502">
        <f t="shared" ref="F170:N170" si="53">F$111</f>
        <v>0</v>
      </c>
      <c r="G170" s="502">
        <f t="shared" si="53"/>
        <v>0</v>
      </c>
      <c r="H170" s="502">
        <f t="shared" si="53"/>
        <v>0</v>
      </c>
      <c r="I170" s="502">
        <f t="shared" si="53"/>
        <v>22.380982105263154</v>
      </c>
      <c r="J170" s="502">
        <f t="shared" si="53"/>
        <v>67.702470868421017</v>
      </c>
      <c r="K170" s="502">
        <f t="shared" si="53"/>
        <v>127.57159800000001</v>
      </c>
      <c r="L170" s="502">
        <f t="shared" si="53"/>
        <v>188.00024968421053</v>
      </c>
      <c r="M170" s="502">
        <f t="shared" si="53"/>
        <v>247.86937681578937</v>
      </c>
      <c r="N170" s="502">
        <f t="shared" si="53"/>
        <v>307.73850394736837</v>
      </c>
      <c r="O170" s="448"/>
    </row>
    <row r="171" spans="2:16" ht="15" customHeight="1" x14ac:dyDescent="0.25">
      <c r="B171" s="449"/>
      <c r="C171" s="2475" t="s">
        <v>474</v>
      </c>
      <c r="D171" s="453" t="s">
        <v>483</v>
      </c>
      <c r="E171" s="2475"/>
      <c r="F171" s="502">
        <f t="shared" ref="F171:N171" si="54">F$112</f>
        <v>0</v>
      </c>
      <c r="G171" s="502">
        <f t="shared" si="54"/>
        <v>0</v>
      </c>
      <c r="H171" s="502">
        <f t="shared" si="54"/>
        <v>0</v>
      </c>
      <c r="I171" s="502">
        <f t="shared" si="54"/>
        <v>6.5747237471447229E-2</v>
      </c>
      <c r="J171" s="502">
        <f t="shared" si="54"/>
        <v>0.19888539335112779</v>
      </c>
      <c r="K171" s="502">
        <f t="shared" si="54"/>
        <v>0.37475925358724921</v>
      </c>
      <c r="L171" s="502">
        <f t="shared" si="54"/>
        <v>0.55227679476015679</v>
      </c>
      <c r="M171" s="502">
        <f t="shared" si="54"/>
        <v>0.72815065499627785</v>
      </c>
      <c r="N171" s="502">
        <f t="shared" si="54"/>
        <v>0.90402451523239924</v>
      </c>
      <c r="O171" s="448"/>
    </row>
    <row r="172" spans="2:16" ht="15.75" x14ac:dyDescent="0.25">
      <c r="B172" s="449"/>
      <c r="C172" s="2475" t="s">
        <v>475</v>
      </c>
      <c r="D172" s="453" t="s">
        <v>483</v>
      </c>
      <c r="E172" s="2475"/>
      <c r="F172" s="502">
        <f t="shared" ref="F172:N172" si="55">F$113</f>
        <v>0</v>
      </c>
      <c r="G172" s="502">
        <f t="shared" si="55"/>
        <v>0</v>
      </c>
      <c r="H172" s="502">
        <f t="shared" si="55"/>
        <v>0</v>
      </c>
      <c r="I172" s="502">
        <f t="shared" si="55"/>
        <v>0.19826223070912952</v>
      </c>
      <c r="J172" s="502">
        <f t="shared" si="55"/>
        <v>0.59974324789511668</v>
      </c>
      <c r="K172" s="502">
        <f t="shared" si="55"/>
        <v>1.1300947150420384</v>
      </c>
      <c r="L172" s="502">
        <f t="shared" si="55"/>
        <v>1.6654027379566883</v>
      </c>
      <c r="M172" s="502">
        <f t="shared" si="55"/>
        <v>2.1957542051036087</v>
      </c>
      <c r="N172" s="502">
        <f t="shared" si="55"/>
        <v>2.7261056722505308</v>
      </c>
      <c r="O172" s="448"/>
    </row>
    <row r="173" spans="2:16" ht="15.75" x14ac:dyDescent="0.25">
      <c r="B173" s="449"/>
      <c r="C173" s="2475" t="s">
        <v>105</v>
      </c>
      <c r="D173" s="2475"/>
      <c r="E173" s="2475"/>
      <c r="F173" s="512">
        <f>SUBTOTAL(109,I.c.Emissions[2010])</f>
        <v>0</v>
      </c>
      <c r="G173" s="512">
        <f>SUBTOTAL(109,I.c.Emissions[2015])</f>
        <v>0</v>
      </c>
      <c r="H173" s="512">
        <f>SUBTOTAL(109,I.c.Emissions[2020])</f>
        <v>0</v>
      </c>
      <c r="I173" s="512">
        <f>SUBTOTAL(109,I.c.Emissions[2025])</f>
        <v>22.644991573443733</v>
      </c>
      <c r="J173" s="512">
        <f>SUBTOTAL(109,I.c.Emissions[2030])</f>
        <v>68.50109950966727</v>
      </c>
      <c r="K173" s="512">
        <f>SUBTOTAL(109,I.c.Emissions[2035])</f>
        <v>129.0764519686293</v>
      </c>
      <c r="L173" s="512">
        <f>SUBTOTAL(109,I.c.Emissions[2040])</f>
        <v>190.21792921692739</v>
      </c>
      <c r="M173" s="512">
        <f>SUBTOTAL(109,I.c.Emissions[2045])</f>
        <v>250.79328167588926</v>
      </c>
      <c r="N173" s="512">
        <f>SUBTOTAL(109,I.c.Emissions[2050])</f>
        <v>311.36863413485128</v>
      </c>
      <c r="O173" s="448"/>
    </row>
    <row r="174" spans="2:16" x14ac:dyDescent="0.2">
      <c r="B174" s="1766"/>
      <c r="C174" s="1766"/>
      <c r="D174" s="1766"/>
      <c r="E174" s="1766"/>
      <c r="F174" s="1766"/>
      <c r="G174" s="1766"/>
      <c r="H174" s="1766"/>
      <c r="I174" s="1766"/>
      <c r="J174" s="1766"/>
      <c r="K174" s="1766"/>
      <c r="L174" s="1766"/>
      <c r="M174" s="1766"/>
      <c r="N174" s="1766"/>
      <c r="O174" s="1766"/>
      <c r="P174" s="1766"/>
    </row>
    <row r="175" spans="2:16" x14ac:dyDescent="0.2">
      <c r="B175" s="1766"/>
      <c r="C175" s="1764" t="s">
        <v>1851</v>
      </c>
      <c r="D175" s="2475"/>
      <c r="E175" s="2475"/>
      <c r="F175" s="1407"/>
      <c r="G175" s="1407"/>
      <c r="H175" s="1407"/>
      <c r="I175" s="1407"/>
      <c r="J175" s="1407"/>
      <c r="K175" s="1407"/>
      <c r="L175" s="1407"/>
      <c r="M175" s="1407"/>
      <c r="N175" s="1765" t="s">
        <v>1848</v>
      </c>
      <c r="P175" s="1766"/>
    </row>
    <row r="176" spans="2:16" ht="5.25" customHeight="1" x14ac:dyDescent="0.2">
      <c r="B176" s="1766"/>
      <c r="C176" s="1766"/>
      <c r="D176" s="1766"/>
      <c r="E176" s="1766"/>
      <c r="F176" s="1766"/>
      <c r="G176" s="1766"/>
      <c r="H176" s="1766"/>
      <c r="I176" s="1766"/>
      <c r="J176" s="1766"/>
      <c r="K176" s="1766"/>
      <c r="L176" s="1766"/>
      <c r="M176" s="1766"/>
      <c r="N176" s="1766"/>
      <c r="O176" s="1766"/>
      <c r="P176" s="1766"/>
    </row>
    <row r="177" spans="2:16" x14ac:dyDescent="0.2">
      <c r="B177" s="1766"/>
      <c r="C177" s="1767" t="s">
        <v>64</v>
      </c>
      <c r="D177" s="1768" t="s">
        <v>150</v>
      </c>
      <c r="E177" s="1768" t="s">
        <v>461</v>
      </c>
      <c r="F177" s="1768" t="s">
        <v>241</v>
      </c>
      <c r="G177" s="1768" t="s">
        <v>268</v>
      </c>
      <c r="H177" s="1768" t="s">
        <v>269</v>
      </c>
      <c r="I177" s="1768" t="s">
        <v>270</v>
      </c>
      <c r="J177" s="1768" t="s">
        <v>271</v>
      </c>
      <c r="K177" s="1768" t="s">
        <v>272</v>
      </c>
      <c r="L177" s="1768" t="s">
        <v>273</v>
      </c>
      <c r="M177" s="1768" t="s">
        <v>274</v>
      </c>
      <c r="N177" s="1769" t="s">
        <v>275</v>
      </c>
      <c r="O177" s="1766"/>
    </row>
    <row r="178" spans="2:16" ht="12" customHeight="1" x14ac:dyDescent="0.2">
      <c r="B178" s="1766"/>
      <c r="C178" s="1751" t="str">
        <f>INDEX(AirQualityVectors[Code],MATCH(D178,AirQualityVectors[Description],0))</f>
        <v>AQ.01</v>
      </c>
      <c r="D178" s="1752" t="s">
        <v>1791</v>
      </c>
      <c r="E178" s="1753" t="s">
        <v>483</v>
      </c>
      <c r="F178" s="1754">
        <f t="shared" ref="F178:N178" si="56">F120</f>
        <v>0</v>
      </c>
      <c r="G178" s="1754">
        <f t="shared" si="56"/>
        <v>0</v>
      </c>
      <c r="H178" s="1754">
        <f t="shared" si="56"/>
        <v>0</v>
      </c>
      <c r="I178" s="1754">
        <f t="shared" si="56"/>
        <v>0.4163387927793713</v>
      </c>
      <c r="J178" s="1754">
        <f t="shared" si="56"/>
        <v>1.2594248481575978</v>
      </c>
      <c r="K178" s="1754">
        <f t="shared" si="56"/>
        <v>2.3731311188424167</v>
      </c>
      <c r="L178" s="1754">
        <f t="shared" si="56"/>
        <v>3.4972458593467195</v>
      </c>
      <c r="M178" s="1754">
        <f t="shared" si="56"/>
        <v>4.6109521300315359</v>
      </c>
      <c r="N178" s="1755">
        <f t="shared" si="56"/>
        <v>5.724658400716355</v>
      </c>
      <c r="O178" s="1766"/>
    </row>
    <row r="179" spans="2:16" x14ac:dyDescent="0.2">
      <c r="B179" s="1766"/>
      <c r="C179" s="1770" t="str">
        <f>INDEX(AirQualityVectors[Code],MATCH(D179,AirQualityVectors[Description],0))</f>
        <v>AQ.02</v>
      </c>
      <c r="D179" s="1756" t="s">
        <v>1794</v>
      </c>
      <c r="E179" s="1757" t="s">
        <v>483</v>
      </c>
      <c r="F179" s="1758">
        <f t="shared" ref="F179:N179" si="57">F121</f>
        <v>0</v>
      </c>
      <c r="G179" s="1758">
        <f t="shared" si="57"/>
        <v>0</v>
      </c>
      <c r="H179" s="1758">
        <f t="shared" si="57"/>
        <v>0</v>
      </c>
      <c r="I179" s="1758">
        <f t="shared" si="57"/>
        <v>18.67588095249959</v>
      </c>
      <c r="J179" s="1758">
        <f t="shared" si="57"/>
        <v>56.49453988131124</v>
      </c>
      <c r="K179" s="1758">
        <f t="shared" si="57"/>
        <v>106.45252142924767</v>
      </c>
      <c r="L179" s="1758">
        <f t="shared" si="57"/>
        <v>156.87740000099657</v>
      </c>
      <c r="M179" s="1758">
        <f t="shared" si="57"/>
        <v>206.83538154893287</v>
      </c>
      <c r="N179" s="1771">
        <f t="shared" si="57"/>
        <v>256.79336309686931</v>
      </c>
      <c r="O179" s="1766"/>
    </row>
    <row r="180" spans="2:16" x14ac:dyDescent="0.2">
      <c r="B180" s="1766"/>
      <c r="C180" s="1770" t="str">
        <f>INDEX(AirQualityVectors[Code],MATCH(D180,AirQualityVectors[Description],0))</f>
        <v>AQ.03</v>
      </c>
      <c r="D180" s="1756" t="s">
        <v>1795</v>
      </c>
      <c r="E180" s="1757" t="s">
        <v>483</v>
      </c>
      <c r="F180" s="1758">
        <f t="shared" ref="F180:N180" si="58">F122</f>
        <v>0</v>
      </c>
      <c r="G180" s="1758">
        <f t="shared" si="58"/>
        <v>0</v>
      </c>
      <c r="H180" s="1758">
        <f t="shared" si="58"/>
        <v>0</v>
      </c>
      <c r="I180" s="1758">
        <f t="shared" si="58"/>
        <v>17.679050538010877</v>
      </c>
      <c r="J180" s="1758">
        <f t="shared" si="58"/>
        <v>53.479127877482888</v>
      </c>
      <c r="K180" s="1758">
        <f t="shared" si="58"/>
        <v>100.77058806666201</v>
      </c>
      <c r="L180" s="1758">
        <f t="shared" si="58"/>
        <v>148.50402451929139</v>
      </c>
      <c r="M180" s="1758">
        <f t="shared" si="58"/>
        <v>195.79548470847041</v>
      </c>
      <c r="N180" s="1771">
        <f t="shared" si="58"/>
        <v>243.08694489764954</v>
      </c>
      <c r="O180" s="1766"/>
    </row>
    <row r="181" spans="2:16" x14ac:dyDescent="0.2">
      <c r="B181" s="1766"/>
      <c r="C181" s="1760" t="str">
        <f>INDEX(AirQualityVectors[Code],MATCH(D181,AirQualityVectors[Description],0))</f>
        <v>AQ.04</v>
      </c>
      <c r="D181" s="1760" t="s">
        <v>1792</v>
      </c>
      <c r="E181" s="1761" t="s">
        <v>483</v>
      </c>
      <c r="F181" s="1762">
        <f>F123</f>
        <v>0</v>
      </c>
      <c r="G181" s="1762">
        <f t="shared" ref="G181:N181" si="59">G123</f>
        <v>0</v>
      </c>
      <c r="H181" s="1762">
        <f t="shared" si="59"/>
        <v>0</v>
      </c>
      <c r="I181" s="1762">
        <f t="shared" si="59"/>
        <v>0.18287059092484556</v>
      </c>
      <c r="J181" s="1762">
        <f t="shared" si="59"/>
        <v>0.55410367656309267</v>
      </c>
      <c r="K181" s="1762">
        <f t="shared" si="59"/>
        <v>1.0440961839370675</v>
      </c>
      <c r="L181" s="1762">
        <f t="shared" si="59"/>
        <v>1.5386680605388365</v>
      </c>
      <c r="M181" s="1762">
        <f t="shared" si="59"/>
        <v>2.02866056791281</v>
      </c>
      <c r="N181" s="1762">
        <f t="shared" si="59"/>
        <v>2.5186530752867853</v>
      </c>
      <c r="O181" s="1763"/>
      <c r="P181" s="1766"/>
    </row>
    <row r="182" spans="2:16" ht="15.75" x14ac:dyDescent="0.25">
      <c r="B182" s="504"/>
      <c r="C182" s="451"/>
      <c r="D182" s="451"/>
      <c r="E182" s="451"/>
      <c r="F182" s="451"/>
      <c r="G182" s="451"/>
      <c r="H182" s="451"/>
      <c r="I182" s="451"/>
      <c r="J182" s="451"/>
      <c r="K182" s="451"/>
      <c r="L182" s="451"/>
      <c r="M182" s="451"/>
      <c r="N182" s="451"/>
      <c r="O182" s="451"/>
      <c r="P182" s="452"/>
    </row>
    <row r="184" spans="2:16" ht="15.75" x14ac:dyDescent="0.2">
      <c r="B184" s="1430" t="s">
        <v>1225</v>
      </c>
      <c r="C184" s="1218"/>
      <c r="D184" s="1431"/>
      <c r="E184" s="1431"/>
      <c r="F184" s="1431"/>
      <c r="G184" s="1431"/>
      <c r="H184" s="1431"/>
      <c r="I184" s="1431"/>
      <c r="J184" s="1431"/>
      <c r="K184" s="1431"/>
      <c r="L184" s="1431"/>
      <c r="M184" s="1431"/>
      <c r="N184" s="1431"/>
      <c r="O184" s="1431"/>
      <c r="P184" s="1432"/>
    </row>
    <row r="185" spans="2:16" x14ac:dyDescent="0.2">
      <c r="B185" s="1219"/>
      <c r="C185" s="1220"/>
      <c r="D185" s="1220"/>
      <c r="E185" s="1220"/>
      <c r="F185" s="1220"/>
      <c r="G185" s="1220"/>
      <c r="H185" s="1220"/>
      <c r="I185" s="1220"/>
      <c r="J185" s="1220"/>
      <c r="K185" s="1220"/>
      <c r="L185" s="1220"/>
      <c r="M185" s="1220"/>
      <c r="N185" s="1220"/>
      <c r="O185" s="1220"/>
      <c r="P185" s="1221"/>
    </row>
    <row r="186" spans="2:16" ht="15.75" x14ac:dyDescent="0.25">
      <c r="B186" s="1436"/>
      <c r="C186" s="1434"/>
      <c r="D186" s="1434"/>
      <c r="E186" s="1434"/>
      <c r="F186" s="1434"/>
      <c r="G186" s="1434"/>
      <c r="H186" s="1434"/>
      <c r="I186" s="1434"/>
      <c r="J186" s="1434"/>
      <c r="K186" s="1434"/>
      <c r="L186" s="1434"/>
      <c r="M186" s="1434"/>
      <c r="N186" s="1434"/>
      <c r="O186" s="1434"/>
      <c r="P186" s="1435"/>
    </row>
    <row r="187" spans="2:16" x14ac:dyDescent="0.2">
      <c r="B187" s="1433"/>
      <c r="C187" s="1222" t="s">
        <v>1580</v>
      </c>
      <c r="D187" s="1434"/>
      <c r="E187" s="1223"/>
      <c r="F187" s="1434"/>
      <c r="G187" s="1223"/>
      <c r="H187" s="1434"/>
      <c r="I187" s="1434"/>
      <c r="J187" s="1434"/>
      <c r="K187" s="1434"/>
      <c r="L187" s="1434"/>
      <c r="M187" s="1434"/>
      <c r="N187" s="1434"/>
      <c r="O187" s="1223"/>
      <c r="P187" s="1435"/>
    </row>
    <row r="188" spans="2:16" x14ac:dyDescent="0.2">
      <c r="B188" s="1433"/>
      <c r="C188" s="1434"/>
      <c r="D188" s="1434"/>
      <c r="E188" s="1434"/>
      <c r="F188" s="1434"/>
      <c r="G188" s="1434"/>
      <c r="H188" s="1434"/>
      <c r="I188" s="1434"/>
      <c r="J188" s="1434"/>
      <c r="K188" s="1434"/>
      <c r="L188" s="1434"/>
      <c r="M188" s="1434"/>
      <c r="N188" s="1434"/>
      <c r="O188" s="1434"/>
      <c r="P188" s="1435"/>
    </row>
    <row r="189" spans="2:16" ht="15.75" customHeight="1" x14ac:dyDescent="0.25">
      <c r="B189" s="1436"/>
      <c r="C189" s="1437" t="s">
        <v>64</v>
      </c>
      <c r="D189" s="1437" t="s">
        <v>1226</v>
      </c>
      <c r="E189" s="1437" t="s">
        <v>172</v>
      </c>
      <c r="F189" s="1437" t="s">
        <v>241</v>
      </c>
      <c r="G189" s="1437" t="s">
        <v>268</v>
      </c>
      <c r="H189" s="1437" t="s">
        <v>269</v>
      </c>
      <c r="I189" s="1437" t="s">
        <v>270</v>
      </c>
      <c r="J189" s="1437" t="s">
        <v>271</v>
      </c>
      <c r="K189" s="1437" t="s">
        <v>272</v>
      </c>
      <c r="L189" s="1437" t="s">
        <v>273</v>
      </c>
      <c r="M189" s="1437" t="s">
        <v>274</v>
      </c>
      <c r="N189" s="1437" t="s">
        <v>275</v>
      </c>
      <c r="O189" s="1435"/>
    </row>
    <row r="190" spans="2:16" ht="15.75" x14ac:dyDescent="0.25">
      <c r="B190" s="1436"/>
      <c r="C190" s="1438" t="s">
        <v>1232</v>
      </c>
      <c r="D190" s="1439" t="str">
        <f>INDEX(Vectors[Description], MATCH(I.c.Info[Vector],Vectors[Code], 0))</f>
        <v xml:space="preserve">Installed Capacity </v>
      </c>
      <c r="E190" s="1439" t="str">
        <f>Preferences.PowerUnits</f>
        <v>GW</v>
      </c>
      <c r="F190" s="1226">
        <f t="shared" ref="F190:N190" si="60">F127</f>
        <v>0</v>
      </c>
      <c r="G190" s="1226">
        <f t="shared" si="60"/>
        <v>0</v>
      </c>
      <c r="H190" s="1226">
        <f t="shared" si="60"/>
        <v>0</v>
      </c>
      <c r="I190" s="1226">
        <f t="shared" si="60"/>
        <v>4</v>
      </c>
      <c r="J190" s="1226">
        <f t="shared" si="60"/>
        <v>12.1</v>
      </c>
      <c r="K190" s="1226">
        <f t="shared" si="60"/>
        <v>22.8</v>
      </c>
      <c r="L190" s="1226">
        <f t="shared" si="60"/>
        <v>33.6</v>
      </c>
      <c r="M190" s="1226">
        <f t="shared" si="60"/>
        <v>44.3</v>
      </c>
      <c r="N190" s="1226">
        <f t="shared" si="60"/>
        <v>55</v>
      </c>
      <c r="O190" s="1435"/>
    </row>
    <row r="191" spans="2:16" ht="14.25" customHeight="1" x14ac:dyDescent="0.25">
      <c r="B191" s="1436"/>
      <c r="C191" s="1438" t="s">
        <v>1582</v>
      </c>
      <c r="D191" s="1439" t="str">
        <f>INDEX(Vectors[Description], MATCH(I.c.Info[Vector],Vectors[Code], 0))</f>
        <v>Load factor</v>
      </c>
      <c r="E191" s="1438" t="s">
        <v>347</v>
      </c>
      <c r="F191" s="1484">
        <f t="shared" ref="F191:N191" si="61">F$99</f>
        <v>0.75</v>
      </c>
      <c r="G191" s="1484">
        <f t="shared" si="61"/>
        <v>0.75</v>
      </c>
      <c r="H191" s="1484">
        <f t="shared" si="61"/>
        <v>0.75</v>
      </c>
      <c r="I191" s="1484">
        <f t="shared" si="61"/>
        <v>0.75</v>
      </c>
      <c r="J191" s="1484">
        <f t="shared" si="61"/>
        <v>0.75</v>
      </c>
      <c r="K191" s="1484">
        <f t="shared" si="61"/>
        <v>0.75</v>
      </c>
      <c r="L191" s="1484">
        <f t="shared" si="61"/>
        <v>0.75</v>
      </c>
      <c r="M191" s="1484">
        <f t="shared" si="61"/>
        <v>0.75</v>
      </c>
      <c r="N191" s="1484">
        <f t="shared" si="61"/>
        <v>0.75</v>
      </c>
      <c r="O191" s="1435"/>
    </row>
    <row r="192" spans="2:16" ht="15.75" x14ac:dyDescent="0.25">
      <c r="B192" s="1436"/>
      <c r="C192" s="1438" t="s">
        <v>1233</v>
      </c>
      <c r="D192" s="1439" t="str">
        <f>$F$42&amp;" GW thermal power stations"</f>
        <v>1 GW thermal power stations</v>
      </c>
      <c r="E192" s="1438" t="s">
        <v>1275</v>
      </c>
      <c r="F192" s="2481">
        <f t="shared" ref="F192:N192" si="62">F190/$F$42</f>
        <v>0</v>
      </c>
      <c r="G192" s="2481">
        <f t="shared" si="62"/>
        <v>0</v>
      </c>
      <c r="H192" s="2481">
        <f t="shared" si="62"/>
        <v>0</v>
      </c>
      <c r="I192" s="2481">
        <f t="shared" si="62"/>
        <v>4</v>
      </c>
      <c r="J192" s="2481">
        <f t="shared" si="62"/>
        <v>12.1</v>
      </c>
      <c r="K192" s="2481">
        <f t="shared" si="62"/>
        <v>22.8</v>
      </c>
      <c r="L192" s="2481">
        <f t="shared" si="62"/>
        <v>33.6</v>
      </c>
      <c r="M192" s="2481">
        <f t="shared" si="62"/>
        <v>44.3</v>
      </c>
      <c r="N192" s="2481">
        <f t="shared" si="62"/>
        <v>55</v>
      </c>
      <c r="O192" s="1435"/>
    </row>
    <row r="193" spans="2:16" ht="15.75" x14ac:dyDescent="0.25">
      <c r="B193" s="1436"/>
      <c r="C193" s="1434"/>
      <c r="D193" s="1434"/>
      <c r="E193" s="1434"/>
      <c r="F193" s="1434"/>
      <c r="G193" s="1434"/>
      <c r="H193" s="1434"/>
      <c r="I193" s="1434"/>
      <c r="J193" s="1434"/>
      <c r="K193" s="1434"/>
      <c r="L193" s="1434"/>
      <c r="M193" s="1434"/>
      <c r="N193" s="1434"/>
      <c r="O193" s="1434"/>
      <c r="P193" s="1435"/>
    </row>
    <row r="195" spans="2:16" ht="15.75" x14ac:dyDescent="0.2">
      <c r="B195" s="1430" t="s">
        <v>1424</v>
      </c>
      <c r="C195" s="1431"/>
      <c r="D195" s="1431"/>
      <c r="E195" s="1431"/>
      <c r="F195" s="1431"/>
      <c r="G195" s="1431"/>
      <c r="H195" s="1431"/>
      <c r="I195" s="1431"/>
      <c r="J195" s="1431"/>
      <c r="K195" s="1431"/>
      <c r="L195" s="1431"/>
      <c r="M195" s="1431"/>
      <c r="N195" s="1431"/>
      <c r="O195" s="1431"/>
      <c r="P195" s="1432"/>
    </row>
    <row r="196" spans="2:16" collapsed="1" x14ac:dyDescent="0.2">
      <c r="B196" s="1433"/>
      <c r="C196" s="1434"/>
      <c r="D196" s="1434"/>
      <c r="E196" s="1434"/>
      <c r="F196" s="1434"/>
      <c r="G196" s="1434"/>
      <c r="H196" s="1434"/>
      <c r="I196" s="1434"/>
      <c r="J196" s="1434"/>
      <c r="K196" s="1434"/>
      <c r="L196" s="1434"/>
      <c r="M196" s="1434"/>
      <c r="N196" s="1434"/>
      <c r="O196" s="1434"/>
      <c r="P196" s="1435"/>
    </row>
    <row r="197" spans="2:16" ht="14.25" customHeight="1" x14ac:dyDescent="0.2">
      <c r="B197" s="1433"/>
      <c r="C197" s="1441" t="s">
        <v>1425</v>
      </c>
      <c r="D197" s="1442"/>
      <c r="E197" s="1442"/>
      <c r="F197" s="1442"/>
      <c r="G197" s="1442"/>
      <c r="H197" s="1442"/>
      <c r="I197" s="1442"/>
      <c r="J197" s="1442"/>
      <c r="K197" s="1442"/>
      <c r="L197" s="1442"/>
      <c r="M197" s="1442"/>
      <c r="N197" s="1442"/>
      <c r="O197" s="1442"/>
      <c r="P197" s="1435"/>
    </row>
    <row r="198" spans="2:16" x14ac:dyDescent="0.2">
      <c r="B198" s="1433"/>
      <c r="C198" s="1434"/>
      <c r="D198" s="1434"/>
      <c r="E198" s="1434"/>
      <c r="F198" s="1434"/>
      <c r="G198" s="1434"/>
      <c r="H198" s="1434"/>
      <c r="I198" s="1434"/>
      <c r="J198" s="1434"/>
      <c r="K198" s="1434"/>
      <c r="L198" s="1434"/>
      <c r="M198" s="1434"/>
      <c r="N198" s="1434"/>
      <c r="O198" s="1434"/>
      <c r="P198" s="1435"/>
    </row>
    <row r="199" spans="2:16" ht="15" customHeight="1" x14ac:dyDescent="0.25">
      <c r="B199" s="1436"/>
      <c r="C199" s="1437" t="s">
        <v>64</v>
      </c>
      <c r="D199" s="1437" t="s">
        <v>150</v>
      </c>
      <c r="E199" s="1437" t="s">
        <v>172</v>
      </c>
      <c r="F199" s="1437" t="s">
        <v>241</v>
      </c>
      <c r="G199" s="1437" t="s">
        <v>268</v>
      </c>
      <c r="H199" s="1437" t="s">
        <v>269</v>
      </c>
      <c r="I199" s="1437" t="s">
        <v>270</v>
      </c>
      <c r="J199" s="1437" t="s">
        <v>271</v>
      </c>
      <c r="K199" s="1437" t="s">
        <v>272</v>
      </c>
      <c r="L199" s="1437" t="s">
        <v>273</v>
      </c>
      <c r="M199" s="1437" t="s">
        <v>274</v>
      </c>
      <c r="N199" s="1437" t="s">
        <v>275</v>
      </c>
      <c r="O199" s="1443"/>
    </row>
    <row r="200" spans="2:16" ht="15.75" x14ac:dyDescent="0.25">
      <c r="B200" s="1436"/>
      <c r="C200" s="1438" t="s">
        <v>1391</v>
      </c>
      <c r="D200" s="1439" t="str">
        <f>INDEX(CostVectors[Description], MATCH(C200, CostVectors[Code], 0))</f>
        <v>High estimate of capital costs</v>
      </c>
      <c r="E200" s="1439"/>
      <c r="F200" s="2481">
        <f t="shared" ref="F200:N201" si="63">F138</f>
        <v>0</v>
      </c>
      <c r="G200" s="2481">
        <f t="shared" si="63"/>
        <v>0</v>
      </c>
      <c r="H200" s="2481">
        <f t="shared" si="63"/>
        <v>0</v>
      </c>
      <c r="I200" s="2481">
        <f t="shared" si="63"/>
        <v>324000000000</v>
      </c>
      <c r="J200" s="2481">
        <f t="shared" si="63"/>
        <v>980100000000</v>
      </c>
      <c r="K200" s="2481">
        <f t="shared" si="63"/>
        <v>1846800000000.0002</v>
      </c>
      <c r="L200" s="2481">
        <f t="shared" si="63"/>
        <v>2721600000000.0005</v>
      </c>
      <c r="M200" s="2481">
        <f t="shared" si="63"/>
        <v>3588300000000</v>
      </c>
      <c r="N200" s="2481">
        <f t="shared" si="63"/>
        <v>4455000000000</v>
      </c>
      <c r="O200" s="1443"/>
    </row>
    <row r="201" spans="2:16" ht="15.75" x14ac:dyDescent="0.25">
      <c r="B201" s="1436"/>
      <c r="C201" s="1438" t="s">
        <v>1393</v>
      </c>
      <c r="D201" s="1439" t="str">
        <f>INDEX(CostVectors[Description], MATCH(C201, CostVectors[Code], 0))</f>
        <v>High estimate of operating costs</v>
      </c>
      <c r="E201" s="1439"/>
      <c r="F201" s="2481">
        <f t="shared" si="63"/>
        <v>0</v>
      </c>
      <c r="G201" s="2481">
        <f t="shared" si="63"/>
        <v>0</v>
      </c>
      <c r="H201" s="2481">
        <f t="shared" si="63"/>
        <v>0</v>
      </c>
      <c r="I201" s="2481">
        <f t="shared" si="63"/>
        <v>22000000</v>
      </c>
      <c r="J201" s="2481">
        <f t="shared" si="63"/>
        <v>66550000</v>
      </c>
      <c r="K201" s="2481">
        <f t="shared" si="63"/>
        <v>125400000</v>
      </c>
      <c r="L201" s="2481">
        <f t="shared" si="63"/>
        <v>184800000</v>
      </c>
      <c r="M201" s="2481">
        <f t="shared" si="63"/>
        <v>243649999.99999997</v>
      </c>
      <c r="N201" s="2481">
        <f t="shared" si="63"/>
        <v>302500000</v>
      </c>
      <c r="O201" s="1443"/>
    </row>
    <row r="202" spans="2:16" ht="15.75" collapsed="1" x14ac:dyDescent="0.25">
      <c r="B202" s="1436"/>
      <c r="C202" s="1438" t="s">
        <v>1395</v>
      </c>
      <c r="D202" s="1439" t="str">
        <f>INDEX(CostVectors[Description], MATCH(C202, CostVectors[Code], 0))</f>
        <v>High estimate of fuel costs</v>
      </c>
      <c r="E202" s="1439"/>
      <c r="F202" s="2481"/>
      <c r="G202" s="2481"/>
      <c r="H202" s="2481"/>
      <c r="I202" s="2481"/>
      <c r="J202" s="2481"/>
      <c r="K202" s="2481"/>
      <c r="L202" s="2481"/>
      <c r="M202" s="2481"/>
      <c r="N202" s="2481"/>
      <c r="O202" s="1443"/>
    </row>
    <row r="203" spans="2:16" ht="15.75" x14ac:dyDescent="0.25">
      <c r="B203" s="1436"/>
      <c r="C203" s="1438" t="s">
        <v>1866</v>
      </c>
      <c r="D203" s="1439" t="str">
        <f>INDEX(CostVectors[Description], MATCH(C203, CostVectors[Code], 0))</f>
        <v>Point estimate of capital costs</v>
      </c>
      <c r="E203" s="1931"/>
      <c r="F203" s="1394">
        <f t="shared" ref="F203:N204" si="64">F143</f>
        <v>0</v>
      </c>
      <c r="G203" s="1394">
        <f t="shared" si="64"/>
        <v>0</v>
      </c>
      <c r="H203" s="1394">
        <f t="shared" si="64"/>
        <v>0</v>
      </c>
      <c r="I203" s="1394">
        <f t="shared" si="64"/>
        <v>19800000</v>
      </c>
      <c r="J203" s="1394">
        <f t="shared" si="64"/>
        <v>59895000</v>
      </c>
      <c r="K203" s="1394">
        <f t="shared" si="64"/>
        <v>112860000</v>
      </c>
      <c r="L203" s="1394">
        <f t="shared" si="64"/>
        <v>166320000</v>
      </c>
      <c r="M203" s="1394">
        <f t="shared" si="64"/>
        <v>219285000</v>
      </c>
      <c r="N203" s="1394">
        <f t="shared" si="64"/>
        <v>272250000</v>
      </c>
      <c r="O203" s="1443"/>
    </row>
    <row r="204" spans="2:16" ht="15.75" x14ac:dyDescent="0.25">
      <c r="B204" s="1436"/>
      <c r="C204" s="1438" t="s">
        <v>1868</v>
      </c>
      <c r="D204" s="1439" t="str">
        <f>INDEX(CostVectors[Description], MATCH(C204, CostVectors[Code], 0))</f>
        <v>Point estimate of operating costs</v>
      </c>
      <c r="E204" s="1931"/>
      <c r="F204" s="1394">
        <f t="shared" si="64"/>
        <v>0</v>
      </c>
      <c r="G204" s="1394">
        <f t="shared" si="64"/>
        <v>0</v>
      </c>
      <c r="H204" s="1394">
        <f t="shared" si="64"/>
        <v>0</v>
      </c>
      <c r="I204" s="1394">
        <f t="shared" si="64"/>
        <v>19800000</v>
      </c>
      <c r="J204" s="1394">
        <f t="shared" si="64"/>
        <v>59895000</v>
      </c>
      <c r="K204" s="1394">
        <f t="shared" si="64"/>
        <v>112860000</v>
      </c>
      <c r="L204" s="1394">
        <f t="shared" si="64"/>
        <v>166320000</v>
      </c>
      <c r="M204" s="1394">
        <f t="shared" si="64"/>
        <v>219285000</v>
      </c>
      <c r="N204" s="1394">
        <f t="shared" si="64"/>
        <v>272250000</v>
      </c>
      <c r="O204" s="1443"/>
    </row>
    <row r="205" spans="2:16" ht="15.75" x14ac:dyDescent="0.25">
      <c r="B205" s="1436"/>
      <c r="C205" s="1438" t="s">
        <v>1869</v>
      </c>
      <c r="D205" s="1439" t="str">
        <f>INDEX(CostVectors[Description], MATCH(C205, CostVectors[Code], 0))</f>
        <v>Point estimate of fuel costs</v>
      </c>
      <c r="E205" s="1931"/>
      <c r="F205" s="1394"/>
      <c r="G205" s="1394"/>
      <c r="H205" s="1394"/>
      <c r="I205" s="1394"/>
      <c r="J205" s="1394"/>
      <c r="K205" s="1394"/>
      <c r="L205" s="1394"/>
      <c r="M205" s="1394"/>
      <c r="N205" s="1394"/>
      <c r="O205" s="1443"/>
    </row>
    <row r="206" spans="2:16" ht="14.25" customHeight="1" x14ac:dyDescent="0.2">
      <c r="B206" s="1444"/>
      <c r="C206" s="1438" t="s">
        <v>1382</v>
      </c>
      <c r="D206" s="1439" t="str">
        <f>INDEX(CostVectors[Description], MATCH(C206, CostVectors[Code], 0))</f>
        <v>Low estimate of capital costs</v>
      </c>
      <c r="E206" s="1439"/>
      <c r="F206" s="2481">
        <f t="shared" ref="F206:N207" si="65">F148</f>
        <v>0</v>
      </c>
      <c r="G206" s="2481">
        <f t="shared" si="65"/>
        <v>0</v>
      </c>
      <c r="H206" s="2481">
        <f t="shared" si="65"/>
        <v>0</v>
      </c>
      <c r="I206" s="2481">
        <f t="shared" si="65"/>
        <v>240000000000</v>
      </c>
      <c r="J206" s="2481">
        <f t="shared" si="65"/>
        <v>726000000000</v>
      </c>
      <c r="K206" s="2481">
        <f t="shared" si="65"/>
        <v>1368000000000.0002</v>
      </c>
      <c r="L206" s="2481">
        <f t="shared" si="65"/>
        <v>2016000000000.0002</v>
      </c>
      <c r="M206" s="2481">
        <f t="shared" si="65"/>
        <v>2658000000000</v>
      </c>
      <c r="N206" s="2481">
        <f t="shared" si="65"/>
        <v>3300000000000</v>
      </c>
      <c r="O206" s="1445"/>
    </row>
    <row r="207" spans="2:16" ht="14.25" x14ac:dyDescent="0.2">
      <c r="B207" s="1444"/>
      <c r="C207" s="1438" t="s">
        <v>1384</v>
      </c>
      <c r="D207" s="1439" t="str">
        <f>INDEX(CostVectors[Description], MATCH(C207, CostVectors[Code], 0))</f>
        <v>Low estimate of operating costs</v>
      </c>
      <c r="E207" s="1439"/>
      <c r="F207" s="2481">
        <f t="shared" si="65"/>
        <v>0</v>
      </c>
      <c r="G207" s="2481">
        <f t="shared" si="65"/>
        <v>0</v>
      </c>
      <c r="H207" s="2481">
        <f t="shared" si="65"/>
        <v>0</v>
      </c>
      <c r="I207" s="2481">
        <f t="shared" si="65"/>
        <v>15000000</v>
      </c>
      <c r="J207" s="2481">
        <f t="shared" si="65"/>
        <v>45375000</v>
      </c>
      <c r="K207" s="2481">
        <f t="shared" si="65"/>
        <v>85500000</v>
      </c>
      <c r="L207" s="2481">
        <f t="shared" si="65"/>
        <v>126000000</v>
      </c>
      <c r="M207" s="2481">
        <f t="shared" si="65"/>
        <v>166125000</v>
      </c>
      <c r="N207" s="2481">
        <f>N149</f>
        <v>206250000</v>
      </c>
      <c r="O207" s="1445"/>
    </row>
    <row r="208" spans="2:16" ht="15.75" customHeight="1" x14ac:dyDescent="0.2">
      <c r="B208" s="1444"/>
      <c r="C208" s="1438" t="s">
        <v>1386</v>
      </c>
      <c r="D208" s="1439" t="str">
        <f>INDEX(CostVectors[Description], MATCH(C208, CostVectors[Code], 0))</f>
        <v>Low estimate of fuel costs</v>
      </c>
      <c r="E208" s="1439"/>
      <c r="F208" s="2481"/>
      <c r="G208" s="2481"/>
      <c r="H208" s="2481"/>
      <c r="I208" s="2481"/>
      <c r="J208" s="2481"/>
      <c r="K208" s="2481"/>
      <c r="L208" s="2481"/>
      <c r="M208" s="2481"/>
      <c r="N208" s="2481"/>
      <c r="O208" s="1445"/>
    </row>
    <row r="209" spans="2:16" ht="5.25" customHeight="1" x14ac:dyDescent="0.2">
      <c r="B209" s="1446"/>
      <c r="C209" s="1440"/>
      <c r="D209" s="1440"/>
      <c r="E209" s="1440"/>
      <c r="F209" s="1440"/>
      <c r="G209" s="1440"/>
      <c r="H209" s="1440"/>
      <c r="I209" s="1440"/>
      <c r="J209" s="1440"/>
      <c r="K209" s="1440"/>
      <c r="L209" s="1440"/>
      <c r="M209" s="1440"/>
      <c r="N209" s="1440"/>
      <c r="O209" s="1440"/>
      <c r="P209" s="1447"/>
    </row>
  </sheetData>
  <hyperlinks>
    <hyperlink ref="E2" r:id="rId1"/>
  </hyperlinks>
  <pageMargins left="0.70866141732283472" right="0.70866141732283472" top="0.74803149606299213" bottom="0.74803149606299213" header="0.31496062992125984" footer="0.31496062992125984"/>
  <pageSetup paperSize="9" orientation="portrait" r:id="rId2"/>
  <tableParts count="5">
    <tablePart r:id="rId3"/>
    <tablePart r:id="rId4"/>
    <tablePart r:id="rId5"/>
    <tablePart r:id="rId6"/>
    <tablePart r:id="rId7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>
    <pageSetUpPr autoPageBreaks="0"/>
  </sheetPr>
  <dimension ref="A3:G9"/>
  <sheetViews>
    <sheetView windowProtection="1" workbookViewId="0"/>
  </sheetViews>
  <sheetFormatPr defaultColWidth="8.7109375" defaultRowHeight="12.75" x14ac:dyDescent="0.2"/>
  <cols>
    <col min="1" max="1" width="3.7109375" customWidth="1"/>
    <col min="2" max="2" width="24.28515625" customWidth="1"/>
    <col min="3" max="3" width="20.28515625" customWidth="1"/>
    <col min="4" max="4" width="4.28515625" customWidth="1"/>
    <col min="5" max="5" width="12.28515625" customWidth="1"/>
    <col min="6" max="6" width="10.140625" customWidth="1"/>
  </cols>
  <sheetData>
    <row r="3" spans="1:7" s="84" customFormat="1" ht="20.25" x14ac:dyDescent="0.2">
      <c r="A3" s="92"/>
      <c r="B3" s="89" t="s">
        <v>242</v>
      </c>
      <c r="C3" s="93" t="s">
        <v>73</v>
      </c>
      <c r="E3" s="84" t="s">
        <v>280</v>
      </c>
      <c r="F3" s="105">
        <f>1/Unit.J</f>
        <v>3599999999999999.5</v>
      </c>
      <c r="G3" s="84" t="s">
        <v>70</v>
      </c>
    </row>
    <row r="5" spans="1:7" ht="20.25" x14ac:dyDescent="0.3">
      <c r="A5" s="91"/>
      <c r="B5" s="89" t="s">
        <v>243</v>
      </c>
      <c r="C5" s="93" t="s">
        <v>247</v>
      </c>
      <c r="E5" s="84" t="s">
        <v>280</v>
      </c>
      <c r="F5" s="105">
        <f>1/Unit.W</f>
        <v>999999999.99999988</v>
      </c>
      <c r="G5" s="84" t="s">
        <v>246</v>
      </c>
    </row>
    <row r="7" spans="1:7" ht="20.25" x14ac:dyDescent="0.3">
      <c r="A7" s="91"/>
      <c r="B7" s="89" t="s">
        <v>922</v>
      </c>
      <c r="C7" s="93" t="s">
        <v>914</v>
      </c>
      <c r="D7" s="38"/>
      <c r="E7" s="84" t="s">
        <v>280</v>
      </c>
      <c r="F7" s="105">
        <f>1/Unit.m2</f>
        <v>1000000</v>
      </c>
      <c r="G7" s="84" t="s">
        <v>917</v>
      </c>
    </row>
    <row r="9" spans="1:7" s="1352" customFormat="1" ht="15.75" x14ac:dyDescent="0.2">
      <c r="B9" s="89" t="s">
        <v>1423</v>
      </c>
      <c r="C9" s="93" t="s">
        <v>2452</v>
      </c>
      <c r="E9" s="84" t="s">
        <v>280</v>
      </c>
      <c r="F9" s="105">
        <f>1/GBP</f>
        <v>4.0000000000000001E-3</v>
      </c>
      <c r="G9" s="84" t="s">
        <v>1402</v>
      </c>
    </row>
  </sheetData>
  <dataValidations count="4">
    <dataValidation type="list" allowBlank="1" showInputMessage="1" showErrorMessage="1" sqref="C3">
      <formula1>Conversions.Energy.Units</formula1>
    </dataValidation>
    <dataValidation type="list" allowBlank="1" showInputMessage="1" showErrorMessage="1" sqref="C5">
      <formula1>Conversions.Power.Units</formula1>
    </dataValidation>
    <dataValidation type="list" allowBlank="1" showInputMessage="1" showErrorMessage="1" sqref="C7">
      <formula1>Conversions.Area.Units</formula1>
    </dataValidation>
    <dataValidation type="list" allowBlank="1" showInputMessage="1" showErrorMessage="1" sqref="C9">
      <formula1>Conversions.Money.Units</formula1>
    </dataValidation>
  </dataValidations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outlinePr summaryBelow="0"/>
    <pageSetUpPr autoPageBreaks="0"/>
  </sheetPr>
  <dimension ref="A1:Q176"/>
  <sheetViews>
    <sheetView windowProtection="1" topLeftCell="A151" zoomScaleNormal="100" workbookViewId="0"/>
  </sheetViews>
  <sheetFormatPr defaultColWidth="8.7109375" defaultRowHeight="12.75" x14ac:dyDescent="0.2"/>
  <cols>
    <col min="1" max="1" width="7.7109375" style="2479" customWidth="1"/>
    <col min="2" max="2" width="5.7109375" style="2479" customWidth="1"/>
    <col min="3" max="3" width="20.42578125" style="2479" customWidth="1"/>
    <col min="4" max="4" width="30.7109375" style="2479" customWidth="1"/>
    <col min="5" max="5" width="20.7109375" style="2479" customWidth="1"/>
    <col min="6" max="6" width="15.7109375" style="2479" customWidth="1"/>
    <col min="7" max="15" width="17.7109375" style="2479" customWidth="1"/>
    <col min="16" max="16" width="2" style="2479" customWidth="1"/>
    <col min="17" max="17" width="10.7109375" style="2479" customWidth="1"/>
    <col min="18" max="16384" width="8.7109375" style="2479"/>
  </cols>
  <sheetData>
    <row r="1" spans="1:17" ht="21" x14ac:dyDescent="0.35">
      <c r="A1" s="120" t="s">
        <v>60</v>
      </c>
      <c r="B1" s="120" t="str">
        <f>INDEX(Workstreams[Workstream], MATCH($A1,Workstreams[Code], 0))</f>
        <v>Hydrocarbon fuel power generation</v>
      </c>
      <c r="C1" s="120"/>
    </row>
    <row r="2" spans="1:17" s="84" customFormat="1" ht="19.5" customHeight="1" x14ac:dyDescent="0.2">
      <c r="A2" s="6" t="s">
        <v>2382</v>
      </c>
      <c r="B2" s="6" t="str">
        <f>INDEX(Modules[Module], MATCH($A2,Modules[Code], 0))</f>
        <v xml:space="preserve">Self Generation </v>
      </c>
      <c r="C2" s="6"/>
      <c r="E2" s="1380" t="s">
        <v>2578</v>
      </c>
      <c r="Q2" s="2479"/>
    </row>
    <row r="3" spans="1:17" s="84" customFormat="1" ht="12.75" customHeight="1" x14ac:dyDescent="0.2">
      <c r="A3" s="2479"/>
      <c r="B3" s="6"/>
      <c r="C3" s="6"/>
      <c r="Q3" s="2479"/>
    </row>
    <row r="5" spans="1:17" ht="15.75" x14ac:dyDescent="0.2">
      <c r="B5" s="468" t="s">
        <v>235</v>
      </c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21"/>
      <c r="P5" s="423"/>
    </row>
    <row r="6" spans="1:17" x14ac:dyDescent="0.2">
      <c r="B6" s="410"/>
      <c r="C6" s="412"/>
      <c r="D6" s="412"/>
      <c r="E6" s="412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7" x14ac:dyDescent="0.2">
      <c r="B7" s="410"/>
      <c r="C7" s="424" t="s">
        <v>2383</v>
      </c>
      <c r="D7" s="412"/>
      <c r="E7" s="412"/>
      <c r="F7" s="412"/>
      <c r="G7" s="412"/>
      <c r="H7" s="412"/>
      <c r="I7" s="412"/>
      <c r="J7" s="412"/>
      <c r="K7" s="412"/>
      <c r="L7" s="412"/>
      <c r="M7" s="412"/>
      <c r="N7" s="412"/>
      <c r="O7" s="413" t="str">
        <f>Preferences.EnergyUnits</f>
        <v>TWh</v>
      </c>
      <c r="P7" s="414"/>
    </row>
    <row r="8" spans="1:17" x14ac:dyDescent="0.2">
      <c r="B8" s="410"/>
      <c r="C8" s="411"/>
      <c r="D8" s="412"/>
      <c r="E8" s="413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4"/>
    </row>
    <row r="9" spans="1:17" ht="15.75" x14ac:dyDescent="0.2">
      <c r="B9" s="425"/>
      <c r="C9" s="426" t="s">
        <v>64</v>
      </c>
      <c r="D9" s="426" t="s">
        <v>150</v>
      </c>
      <c r="E9" s="426" t="s">
        <v>172</v>
      </c>
      <c r="F9" s="426" t="s">
        <v>241</v>
      </c>
      <c r="G9" s="426" t="s">
        <v>268</v>
      </c>
      <c r="H9" s="426" t="s">
        <v>269</v>
      </c>
      <c r="I9" s="426" t="s">
        <v>270</v>
      </c>
      <c r="J9" s="426" t="s">
        <v>271</v>
      </c>
      <c r="K9" s="426" t="s">
        <v>272</v>
      </c>
      <c r="L9" s="426" t="s">
        <v>273</v>
      </c>
      <c r="M9" s="426" t="s">
        <v>274</v>
      </c>
      <c r="N9" s="426" t="s">
        <v>275</v>
      </c>
      <c r="O9" s="507"/>
    </row>
    <row r="10" spans="1:17" ht="15.75" x14ac:dyDescent="0.2">
      <c r="B10" s="425"/>
      <c r="C10" s="426" t="s">
        <v>34</v>
      </c>
      <c r="D10" s="1009" t="str">
        <f>INDEX(Vectors[Description], MATCH(I.d.Inputs[Vector],Vectors[Code], 0))</f>
        <v>Electricity (delivered to end user)</v>
      </c>
      <c r="E10" s="426"/>
      <c r="F10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-117.07862642129547</v>
      </c>
      <c r="G10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-138.16092956568079</v>
      </c>
      <c r="H10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-192.24084077257035</v>
      </c>
      <c r="I10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-289.18504122724516</v>
      </c>
      <c r="J10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-388.87602401750888</v>
      </c>
      <c r="K10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-530.14446047320098</v>
      </c>
      <c r="L10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-659.56399429121348</v>
      </c>
      <c r="M10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-797.53692959998352</v>
      </c>
      <c r="N10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-946.39709827169258</v>
      </c>
      <c r="O10" s="507"/>
    </row>
    <row r="11" spans="1:17" ht="15.75" x14ac:dyDescent="0.2">
      <c r="B11" s="425"/>
      <c r="C11" s="97" t="s">
        <v>35</v>
      </c>
      <c r="D11" s="1009" t="str">
        <f>INDEX(Vectors[Description], MATCH(I.d.Inputs[Vector],Vectors[Code], 0))</f>
        <v>Electricity (supplied to grid)</v>
      </c>
      <c r="E11" s="97"/>
      <c r="F11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4.2050052715418769</v>
      </c>
      <c r="G11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31.460760281728028</v>
      </c>
      <c r="H11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161.390475146017</v>
      </c>
      <c r="I11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294.87491612292308</v>
      </c>
      <c r="J11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470.08116837674208</v>
      </c>
      <c r="K11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731.55499288612179</v>
      </c>
      <c r="L11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974.10918046678285</v>
      </c>
      <c r="M11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1273.2543523714303</v>
      </c>
      <c r="N11" s="500">
        <f ca="1">INDEX(INDIRECT("'"&amp;I.d.Inputs[#Headers]&amp;"'!Year.Matrix"), MATCH("Subtotal."&amp;$A$2, INDIRECT("'"&amp;I.d.Inputs[#Headers]&amp;"'!Year.Modules"), 0), MATCH(I.d.Inputs[Vector], INDIRECT("'"&amp;I.d.Inputs[#Headers]&amp;"'!Year.Vectors"), 0))</f>
        <v>1610.3262588587008</v>
      </c>
      <c r="O11" s="429"/>
    </row>
    <row r="12" spans="1:17" x14ac:dyDescent="0.2">
      <c r="B12" s="430"/>
      <c r="C12" s="418"/>
      <c r="D12" s="418"/>
      <c r="E12" s="418"/>
      <c r="F12" s="418"/>
      <c r="G12" s="418"/>
      <c r="H12" s="418"/>
      <c r="I12" s="418"/>
      <c r="J12" s="418"/>
      <c r="K12" s="418"/>
      <c r="L12" s="418"/>
      <c r="M12" s="418"/>
      <c r="N12" s="418"/>
      <c r="O12" s="418"/>
      <c r="P12" s="419"/>
    </row>
    <row r="17" spans="1:16" s="84" customFormat="1" ht="22.5" x14ac:dyDescent="0.3">
      <c r="A17" s="1422"/>
      <c r="B17" s="1423" t="s">
        <v>315</v>
      </c>
      <c r="C17" s="405"/>
      <c r="D17" s="405"/>
      <c r="E17" s="405"/>
      <c r="F17" s="405"/>
      <c r="G17" s="405"/>
      <c r="H17" s="405"/>
      <c r="I17" s="405"/>
      <c r="J17" s="405"/>
      <c r="K17" s="405"/>
      <c r="L17" s="405"/>
      <c r="M17" s="405"/>
      <c r="N17" s="405"/>
      <c r="O17" s="406"/>
      <c r="P17" s="2479"/>
    </row>
    <row r="18" spans="1:16" x14ac:dyDescent="0.2">
      <c r="B18" s="457"/>
      <c r="C18" s="458"/>
      <c r="D18" s="458"/>
      <c r="E18" s="458"/>
      <c r="F18" s="458"/>
      <c r="G18" s="458"/>
      <c r="H18" s="458"/>
      <c r="I18" s="458"/>
      <c r="J18" s="458"/>
      <c r="K18" s="458"/>
      <c r="L18" s="458"/>
      <c r="M18" s="458"/>
      <c r="N18" s="458"/>
      <c r="O18" s="459"/>
    </row>
    <row r="19" spans="1:16" x14ac:dyDescent="0.2">
      <c r="B19" s="1419"/>
      <c r="C19" s="1417" t="s">
        <v>879</v>
      </c>
      <c r="D19" s="1416"/>
      <c r="E19" s="1416"/>
      <c r="F19" s="176"/>
      <c r="G19" s="1416"/>
      <c r="H19" s="1416"/>
      <c r="I19" s="1416"/>
      <c r="J19" s="1416"/>
      <c r="K19" s="1416"/>
      <c r="L19" s="1416"/>
      <c r="M19" s="1416"/>
      <c r="N19" s="1416"/>
      <c r="O19" s="1420"/>
    </row>
    <row r="20" spans="1:16" ht="4.5" customHeight="1" x14ac:dyDescent="0.2">
      <c r="B20" s="1419"/>
      <c r="C20" s="1416"/>
      <c r="D20" s="1416"/>
      <c r="E20" s="1416"/>
      <c r="F20" s="1416"/>
      <c r="G20" s="1416"/>
      <c r="H20" s="1416"/>
      <c r="I20" s="1416"/>
      <c r="J20" s="1416"/>
      <c r="K20" s="1416"/>
      <c r="L20" s="1416"/>
      <c r="M20" s="1416"/>
      <c r="N20" s="1416"/>
      <c r="O20" s="1420"/>
    </row>
    <row r="21" spans="1:16" ht="15.75" x14ac:dyDescent="0.25">
      <c r="B21" s="397"/>
      <c r="C21" s="98" t="s">
        <v>264</v>
      </c>
      <c r="D21" s="98" t="s">
        <v>278</v>
      </c>
      <c r="E21" s="98" t="s">
        <v>172</v>
      </c>
      <c r="F21" s="104" t="s">
        <v>241</v>
      </c>
      <c r="G21" s="103" t="s">
        <v>268</v>
      </c>
      <c r="H21" s="103" t="s">
        <v>269</v>
      </c>
      <c r="I21" s="103" t="s">
        <v>270</v>
      </c>
      <c r="J21" s="103" t="s">
        <v>271</v>
      </c>
      <c r="K21" s="103" t="s">
        <v>272</v>
      </c>
      <c r="L21" s="103" t="s">
        <v>273</v>
      </c>
      <c r="M21" s="103" t="s">
        <v>274</v>
      </c>
      <c r="N21" s="103" t="s">
        <v>275</v>
      </c>
      <c r="O21" s="1420"/>
    </row>
    <row r="22" spans="1:16" ht="15.75" x14ac:dyDescent="0.25">
      <c r="B22" s="397"/>
      <c r="C22" s="122" t="s">
        <v>38</v>
      </c>
      <c r="D22" s="122" t="s">
        <v>2384</v>
      </c>
      <c r="E22" s="2544"/>
      <c r="F22" s="2545">
        <v>0.01</v>
      </c>
      <c r="G22" s="2545">
        <v>0.01</v>
      </c>
      <c r="H22" s="2545">
        <v>0.01</v>
      </c>
      <c r="I22" s="2545">
        <v>0.01</v>
      </c>
      <c r="J22" s="2545">
        <v>0.01</v>
      </c>
      <c r="K22" s="2545">
        <v>0.01</v>
      </c>
      <c r="L22" s="2545">
        <v>0.01</v>
      </c>
      <c r="M22" s="2545">
        <v>0.01</v>
      </c>
      <c r="N22" s="2545">
        <v>0.01</v>
      </c>
      <c r="O22" s="1420"/>
    </row>
    <row r="23" spans="1:16" x14ac:dyDescent="0.2">
      <c r="B23" s="1419"/>
      <c r="C23" s="1416"/>
      <c r="D23" s="1416"/>
      <c r="E23" s="1416"/>
      <c r="F23" s="1416"/>
      <c r="G23" s="1416"/>
      <c r="H23" s="1416"/>
      <c r="I23" s="1416"/>
      <c r="J23" s="1416"/>
      <c r="K23" s="1416"/>
      <c r="L23" s="1416"/>
      <c r="M23" s="1416"/>
      <c r="N23" s="1416"/>
      <c r="O23" s="1420"/>
    </row>
    <row r="24" spans="1:16" x14ac:dyDescent="0.2">
      <c r="B24" s="1421"/>
      <c r="C24" s="1417" t="s">
        <v>276</v>
      </c>
      <c r="D24" s="1416"/>
      <c r="E24" s="1416"/>
      <c r="F24" s="176"/>
      <c r="G24" s="1416"/>
      <c r="H24" s="1416"/>
      <c r="I24" s="1416"/>
      <c r="J24" s="1416"/>
      <c r="K24" s="1416"/>
      <c r="L24" s="1416"/>
      <c r="M24" s="1416"/>
      <c r="N24" s="1416"/>
      <c r="O24" s="1420"/>
    </row>
    <row r="25" spans="1:16" ht="4.5" customHeight="1" x14ac:dyDescent="0.2">
      <c r="B25" s="1419"/>
      <c r="C25" s="1416"/>
      <c r="D25" s="1416"/>
      <c r="E25" s="1416"/>
      <c r="F25" s="1416"/>
      <c r="G25" s="1416"/>
      <c r="H25" s="1416"/>
      <c r="I25" s="1416"/>
      <c r="J25" s="1416"/>
      <c r="K25" s="1416"/>
      <c r="L25" s="1416"/>
      <c r="M25" s="1416"/>
      <c r="N25" s="1416"/>
      <c r="O25" s="1420"/>
    </row>
    <row r="26" spans="1:16" ht="15.75" x14ac:dyDescent="0.25">
      <c r="B26" s="397"/>
      <c r="C26" s="98" t="s">
        <v>264</v>
      </c>
      <c r="D26" s="98" t="s">
        <v>278</v>
      </c>
      <c r="E26" s="98" t="s">
        <v>172</v>
      </c>
      <c r="F26" s="104" t="s">
        <v>241</v>
      </c>
      <c r="G26" s="103" t="s">
        <v>268</v>
      </c>
      <c r="H26" s="103" t="s">
        <v>269</v>
      </c>
      <c r="I26" s="103" t="s">
        <v>270</v>
      </c>
      <c r="J26" s="103" t="s">
        <v>271</v>
      </c>
      <c r="K26" s="103" t="s">
        <v>272</v>
      </c>
      <c r="L26" s="103" t="s">
        <v>273</v>
      </c>
      <c r="M26" s="103" t="s">
        <v>274</v>
      </c>
      <c r="N26" s="103" t="s">
        <v>275</v>
      </c>
      <c r="O26" s="1420"/>
    </row>
    <row r="27" spans="1:16" s="84" customFormat="1" ht="15.75" x14ac:dyDescent="0.2">
      <c r="A27" s="2479"/>
      <c r="B27" s="399"/>
      <c r="C27" s="121" t="s">
        <v>38</v>
      </c>
      <c r="D27" s="122" t="s">
        <v>2384</v>
      </c>
      <c r="E27" s="2546"/>
      <c r="F27" s="2545">
        <v>0.8</v>
      </c>
      <c r="G27" s="2545">
        <v>0.8</v>
      </c>
      <c r="H27" s="2545">
        <v>0.8</v>
      </c>
      <c r="I27" s="2545">
        <v>0.8</v>
      </c>
      <c r="J27" s="2545">
        <v>0.8</v>
      </c>
      <c r="K27" s="2545">
        <v>0.8</v>
      </c>
      <c r="L27" s="2545">
        <v>0.8</v>
      </c>
      <c r="M27" s="2545">
        <v>0.8</v>
      </c>
      <c r="N27" s="2545">
        <v>0.8</v>
      </c>
      <c r="O27" s="400"/>
      <c r="P27" s="2479"/>
    </row>
    <row r="28" spans="1:16" x14ac:dyDescent="0.2">
      <c r="B28" s="1419"/>
      <c r="C28" s="1416"/>
      <c r="D28" s="1416"/>
      <c r="E28" s="1416"/>
      <c r="F28" s="1416"/>
      <c r="G28" s="1416"/>
      <c r="H28" s="1416"/>
      <c r="I28" s="1416"/>
      <c r="J28" s="1416"/>
      <c r="K28" s="1416"/>
      <c r="L28" s="1416"/>
      <c r="M28" s="1416"/>
      <c r="N28" s="1416"/>
      <c r="O28" s="1420"/>
    </row>
    <row r="29" spans="1:16" s="84" customFormat="1" ht="5.25" customHeight="1" x14ac:dyDescent="0.2">
      <c r="A29" s="2479"/>
      <c r="B29" s="399"/>
      <c r="C29" s="505"/>
      <c r="D29" s="344"/>
      <c r="E29" s="344"/>
      <c r="F29" s="174"/>
      <c r="G29" s="174"/>
      <c r="H29" s="174"/>
      <c r="I29" s="174"/>
      <c r="J29" s="174"/>
      <c r="K29" s="174"/>
      <c r="L29" s="174"/>
      <c r="M29" s="174"/>
      <c r="N29" s="174"/>
      <c r="O29" s="400"/>
      <c r="P29" s="2479"/>
    </row>
    <row r="30" spans="1:16" s="84" customFormat="1" ht="15.75" x14ac:dyDescent="0.2">
      <c r="A30" s="2479"/>
      <c r="B30" s="399"/>
      <c r="C30" s="178" t="s">
        <v>1223</v>
      </c>
      <c r="D30" s="344"/>
      <c r="E30" s="344"/>
      <c r="F30" s="174"/>
      <c r="G30" s="174"/>
      <c r="H30" s="174"/>
      <c r="I30" s="174"/>
      <c r="J30" s="174"/>
      <c r="K30" s="174"/>
      <c r="L30" s="174"/>
      <c r="M30" s="174"/>
      <c r="N30" s="174"/>
      <c r="O30" s="400"/>
      <c r="P30" s="2479"/>
    </row>
    <row r="31" spans="1:16" s="84" customFormat="1" ht="3.75" customHeight="1" x14ac:dyDescent="0.2">
      <c r="A31" s="2479"/>
      <c r="B31" s="399"/>
      <c r="C31" s="178"/>
      <c r="D31" s="344"/>
      <c r="E31" s="344"/>
      <c r="F31" s="174"/>
      <c r="G31" s="174"/>
      <c r="H31" s="174"/>
      <c r="I31" s="174"/>
      <c r="J31" s="174"/>
      <c r="K31" s="174"/>
      <c r="L31" s="174"/>
      <c r="M31" s="174"/>
      <c r="N31" s="174"/>
      <c r="O31" s="400"/>
      <c r="P31" s="2479"/>
    </row>
    <row r="32" spans="1:16" s="84" customFormat="1" ht="15.75" x14ac:dyDescent="0.2">
      <c r="A32" s="2479"/>
      <c r="B32" s="399"/>
      <c r="C32" s="1101" t="s">
        <v>193</v>
      </c>
      <c r="D32" s="1405">
        <v>0.5</v>
      </c>
      <c r="E32" s="344"/>
      <c r="F32" s="174"/>
      <c r="G32" s="174"/>
      <c r="H32" s="174"/>
      <c r="I32" s="174"/>
      <c r="J32" s="174"/>
      <c r="K32" s="174"/>
      <c r="L32" s="174"/>
      <c r="M32" s="174"/>
      <c r="N32" s="174"/>
      <c r="O32" s="400"/>
      <c r="P32" s="2479"/>
    </row>
    <row r="33" spans="2:15" x14ac:dyDescent="0.2">
      <c r="B33" s="1419"/>
      <c r="C33" s="199" t="s">
        <v>2385</v>
      </c>
      <c r="D33" s="210">
        <v>0.45</v>
      </c>
      <c r="E33" s="1416"/>
      <c r="F33" s="1416"/>
      <c r="G33" s="1416"/>
      <c r="H33" s="1416"/>
      <c r="I33" s="1416"/>
      <c r="J33" s="1416"/>
      <c r="K33" s="1416"/>
      <c r="L33" s="1416"/>
      <c r="M33" s="1416"/>
      <c r="N33" s="1416"/>
      <c r="O33" s="1420"/>
    </row>
    <row r="34" spans="2:15" x14ac:dyDescent="0.2">
      <c r="B34" s="1419"/>
      <c r="C34" s="1414"/>
      <c r="D34" s="344"/>
      <c r="E34" s="1416"/>
      <c r="F34" s="1416"/>
      <c r="G34" s="1416"/>
      <c r="H34" s="1416"/>
      <c r="I34" s="1416"/>
      <c r="J34" s="1416"/>
      <c r="K34" s="1416"/>
      <c r="L34" s="1416"/>
      <c r="M34" s="1416"/>
      <c r="N34" s="1416"/>
      <c r="O34" s="1420"/>
    </row>
    <row r="35" spans="2:15" ht="5.25" customHeight="1" x14ac:dyDescent="0.2">
      <c r="B35" s="1419"/>
      <c r="C35" s="1416"/>
      <c r="D35" s="1416"/>
      <c r="E35" s="1416"/>
      <c r="F35" s="1416"/>
      <c r="G35" s="1416"/>
      <c r="H35" s="1416"/>
      <c r="I35" s="1416"/>
      <c r="J35" s="1416"/>
      <c r="K35" s="1416"/>
      <c r="L35" s="1416"/>
      <c r="M35" s="1416"/>
      <c r="N35" s="1416"/>
      <c r="O35" s="1420"/>
    </row>
    <row r="36" spans="2:15" x14ac:dyDescent="0.2">
      <c r="B36" s="1419"/>
      <c r="C36" s="1416"/>
      <c r="D36" s="1416"/>
      <c r="E36" s="1416"/>
      <c r="F36" s="1416"/>
      <c r="G36" s="1416"/>
      <c r="H36" s="1416"/>
      <c r="I36" s="1416"/>
      <c r="J36" s="1416"/>
      <c r="K36" s="1416"/>
      <c r="L36" s="1416"/>
      <c r="M36" s="1416"/>
      <c r="N36" s="1416"/>
      <c r="O36" s="1420"/>
    </row>
    <row r="37" spans="2:15" x14ac:dyDescent="0.2">
      <c r="B37" s="1419"/>
      <c r="C37" s="1417" t="s">
        <v>2386</v>
      </c>
      <c r="D37" s="1416"/>
      <c r="E37" s="1416"/>
      <c r="F37" s="1416"/>
      <c r="G37" s="1416"/>
      <c r="H37" s="1416"/>
      <c r="I37" s="1416"/>
      <c r="J37" s="1416"/>
      <c r="K37" s="1416"/>
      <c r="L37" s="1416"/>
      <c r="M37" s="1416"/>
      <c r="N37" s="1416"/>
      <c r="O37" s="1420"/>
    </row>
    <row r="38" spans="2:15" ht="4.5" customHeight="1" x14ac:dyDescent="0.2">
      <c r="B38" s="1419"/>
      <c r="C38" s="1416"/>
      <c r="D38" s="1416"/>
      <c r="E38" s="1416"/>
      <c r="F38" s="1416"/>
      <c r="G38" s="1416"/>
      <c r="H38" s="1416"/>
      <c r="I38" s="1416"/>
      <c r="J38" s="1416"/>
      <c r="K38" s="1416"/>
      <c r="L38" s="1416"/>
      <c r="M38" s="1416"/>
      <c r="N38" s="1416"/>
      <c r="O38" s="1420"/>
    </row>
    <row r="39" spans="2:15" x14ac:dyDescent="0.2">
      <c r="B39" s="1419"/>
      <c r="C39" s="98"/>
      <c r="D39" s="98" t="s">
        <v>278</v>
      </c>
      <c r="E39" s="98" t="s">
        <v>172</v>
      </c>
      <c r="F39" s="2547" t="s">
        <v>241</v>
      </c>
      <c r="G39" s="2548" t="s">
        <v>268</v>
      </c>
      <c r="H39" s="2548" t="s">
        <v>269</v>
      </c>
      <c r="I39" s="2548" t="s">
        <v>270</v>
      </c>
      <c r="J39" s="2548" t="s">
        <v>271</v>
      </c>
      <c r="K39" s="2548" t="s">
        <v>272</v>
      </c>
      <c r="L39" s="2548" t="s">
        <v>273</v>
      </c>
      <c r="M39" s="2548" t="s">
        <v>274</v>
      </c>
      <c r="N39" s="2548" t="s">
        <v>275</v>
      </c>
      <c r="O39" s="1420"/>
    </row>
    <row r="40" spans="2:15" ht="15.75" x14ac:dyDescent="0.25">
      <c r="B40" s="397"/>
      <c r="C40" s="2549"/>
      <c r="D40" s="122" t="s">
        <v>2387</v>
      </c>
      <c r="E40" s="2546"/>
      <c r="F40" s="2550">
        <v>0.4</v>
      </c>
      <c r="G40" s="2550">
        <v>0.4</v>
      </c>
      <c r="H40" s="2550">
        <v>0.4</v>
      </c>
      <c r="I40" s="2550">
        <v>0.4</v>
      </c>
      <c r="J40" s="2550">
        <v>0.4</v>
      </c>
      <c r="K40" s="2550">
        <v>0.4</v>
      </c>
      <c r="L40" s="2550">
        <v>0.4</v>
      </c>
      <c r="M40" s="2550">
        <v>0.4</v>
      </c>
      <c r="N40" s="2550">
        <v>0.4</v>
      </c>
      <c r="O40" s="1420"/>
    </row>
    <row r="41" spans="2:15" ht="4.5" customHeight="1" x14ac:dyDescent="0.2">
      <c r="B41" s="1419"/>
      <c r="C41" s="1416"/>
      <c r="D41" s="1416"/>
      <c r="E41" s="1416"/>
      <c r="F41" s="1416"/>
      <c r="G41" s="1416"/>
      <c r="H41" s="1416"/>
      <c r="I41" s="1416"/>
      <c r="J41" s="1416"/>
      <c r="K41" s="1416"/>
      <c r="L41" s="1416"/>
      <c r="M41" s="1416"/>
      <c r="N41" s="1416"/>
      <c r="O41" s="1420"/>
    </row>
    <row r="42" spans="2:15" ht="12.75" customHeight="1" x14ac:dyDescent="0.2">
      <c r="B42" s="1419"/>
      <c r="C42" s="1416"/>
      <c r="D42" s="1416"/>
      <c r="E42" s="1416"/>
      <c r="F42" s="1416"/>
      <c r="G42" s="1416"/>
      <c r="H42" s="1416"/>
      <c r="I42" s="1416"/>
      <c r="J42" s="1416"/>
      <c r="K42" s="1416"/>
      <c r="L42" s="1416"/>
      <c r="M42" s="1416"/>
      <c r="N42" s="1416"/>
      <c r="O42" s="1420"/>
    </row>
    <row r="43" spans="2:15" x14ac:dyDescent="0.2">
      <c r="B43" s="401"/>
      <c r="C43" s="626" t="s">
        <v>2388</v>
      </c>
      <c r="D43" s="1416"/>
      <c r="E43" s="1416"/>
      <c r="F43" s="1416"/>
      <c r="G43" s="1416"/>
      <c r="H43" s="1416"/>
      <c r="I43" s="1416"/>
      <c r="J43" s="1416"/>
      <c r="K43" s="1416"/>
      <c r="L43" s="1416"/>
      <c r="M43" s="1416"/>
      <c r="N43" s="176" t="s">
        <v>950</v>
      </c>
      <c r="O43" s="1420"/>
    </row>
    <row r="44" spans="2:15" ht="4.5" customHeight="1" x14ac:dyDescent="0.2">
      <c r="B44" s="401"/>
      <c r="C44" s="177"/>
      <c r="D44" s="177"/>
      <c r="E44" s="1416"/>
      <c r="F44" s="1416"/>
      <c r="G44" s="1416"/>
      <c r="H44" s="1416"/>
      <c r="I44" s="1416"/>
      <c r="J44" s="1416"/>
      <c r="K44" s="1416"/>
      <c r="L44" s="1416"/>
      <c r="M44" s="1416"/>
      <c r="N44" s="1416"/>
      <c r="O44" s="1420"/>
    </row>
    <row r="45" spans="2:15" ht="12.75" customHeight="1" x14ac:dyDescent="0.2">
      <c r="B45" s="401"/>
      <c r="C45" s="98" t="s">
        <v>264</v>
      </c>
      <c r="D45" s="98" t="s">
        <v>278</v>
      </c>
      <c r="E45" s="98" t="s">
        <v>172</v>
      </c>
      <c r="F45" s="104">
        <v>2010</v>
      </c>
      <c r="G45" s="103">
        <v>2015</v>
      </c>
      <c r="H45" s="103">
        <v>2020</v>
      </c>
      <c r="I45" s="103">
        <v>2025</v>
      </c>
      <c r="J45" s="103">
        <v>2030</v>
      </c>
      <c r="K45" s="103">
        <v>2035</v>
      </c>
      <c r="L45" s="103">
        <v>2040</v>
      </c>
      <c r="M45" s="103">
        <v>2045</v>
      </c>
      <c r="N45" s="103">
        <v>2050</v>
      </c>
      <c r="O45" s="1420"/>
    </row>
    <row r="46" spans="2:15" x14ac:dyDescent="0.2">
      <c r="B46" s="401"/>
      <c r="C46" s="121" t="s">
        <v>38</v>
      </c>
      <c r="D46" s="122" t="s">
        <v>2384</v>
      </c>
      <c r="E46" s="122"/>
      <c r="F46" s="572">
        <f t="shared" ref="F46:N46" si="0">($D$32+$D$33)/2</f>
        <v>0.47499999999999998</v>
      </c>
      <c r="G46" s="572">
        <f t="shared" si="0"/>
        <v>0.47499999999999998</v>
      </c>
      <c r="H46" s="572">
        <f t="shared" si="0"/>
        <v>0.47499999999999998</v>
      </c>
      <c r="I46" s="572">
        <f t="shared" si="0"/>
        <v>0.47499999999999998</v>
      </c>
      <c r="J46" s="572">
        <f t="shared" si="0"/>
        <v>0.47499999999999998</v>
      </c>
      <c r="K46" s="572">
        <f t="shared" si="0"/>
        <v>0.47499999999999998</v>
      </c>
      <c r="L46" s="572">
        <f t="shared" si="0"/>
        <v>0.47499999999999998</v>
      </c>
      <c r="M46" s="572">
        <f t="shared" si="0"/>
        <v>0.47499999999999998</v>
      </c>
      <c r="N46" s="572">
        <f t="shared" si="0"/>
        <v>0.47499999999999998</v>
      </c>
      <c r="O46" s="1420"/>
    </row>
    <row r="47" spans="2:15" ht="15.75" x14ac:dyDescent="0.25">
      <c r="B47" s="397"/>
      <c r="C47" s="1414"/>
      <c r="D47" s="1415"/>
      <c r="E47" s="1415"/>
      <c r="F47" s="760"/>
      <c r="G47" s="760"/>
      <c r="H47" s="1416"/>
      <c r="I47" s="208"/>
      <c r="J47" s="208"/>
      <c r="K47" s="208"/>
      <c r="L47" s="208"/>
      <c r="M47" s="208"/>
      <c r="N47" s="208"/>
      <c r="O47" s="1420"/>
    </row>
    <row r="48" spans="2:15" ht="15.75" x14ac:dyDescent="0.25">
      <c r="B48" s="397"/>
      <c r="C48" s="1414"/>
      <c r="D48" s="1415"/>
      <c r="E48" s="1415"/>
      <c r="F48" s="760"/>
      <c r="G48" s="760"/>
      <c r="H48" s="1416"/>
      <c r="I48" s="208"/>
      <c r="J48" s="208"/>
      <c r="K48" s="208"/>
      <c r="L48" s="208"/>
      <c r="M48" s="208"/>
      <c r="N48" s="208"/>
      <c r="O48" s="1420"/>
    </row>
    <row r="49" spans="2:15" ht="15.75" x14ac:dyDescent="0.25">
      <c r="B49" s="397"/>
      <c r="C49" s="178" t="s">
        <v>1796</v>
      </c>
      <c r="D49" s="1415"/>
      <c r="E49" s="1415"/>
      <c r="F49" s="760"/>
      <c r="G49" s="760"/>
      <c r="H49" s="1416"/>
      <c r="I49" s="208"/>
      <c r="J49" s="208"/>
      <c r="K49" s="208"/>
      <c r="L49" s="208"/>
      <c r="M49" s="208"/>
      <c r="N49" s="1737" t="str">
        <f>"Kte/"&amp;Preferences.EnergyUnits</f>
        <v>Kte/TWh</v>
      </c>
      <c r="O49" s="1420"/>
    </row>
    <row r="50" spans="2:15" ht="3.75" customHeight="1" x14ac:dyDescent="0.25">
      <c r="B50" s="397"/>
      <c r="C50" s="178"/>
      <c r="D50" s="1415"/>
      <c r="E50" s="1415"/>
      <c r="F50" s="760"/>
      <c r="G50" s="760"/>
      <c r="H50" s="1416"/>
      <c r="I50" s="208"/>
      <c r="J50" s="208"/>
      <c r="K50" s="208"/>
      <c r="L50" s="208"/>
      <c r="M50" s="208"/>
      <c r="N50" s="1737"/>
      <c r="O50" s="1416"/>
    </row>
    <row r="51" spans="2:15" ht="15.75" x14ac:dyDescent="0.25">
      <c r="B51" s="397"/>
      <c r="C51" s="98"/>
      <c r="D51" s="98" t="s">
        <v>264</v>
      </c>
      <c r="E51" s="98" t="s">
        <v>172</v>
      </c>
      <c r="F51" s="104" t="s">
        <v>241</v>
      </c>
      <c r="G51" s="103" t="s">
        <v>268</v>
      </c>
      <c r="H51" s="103" t="s">
        <v>269</v>
      </c>
      <c r="I51" s="103" t="s">
        <v>270</v>
      </c>
      <c r="J51" s="103" t="s">
        <v>271</v>
      </c>
      <c r="K51" s="103" t="s">
        <v>272</v>
      </c>
      <c r="L51" s="103" t="s">
        <v>273</v>
      </c>
      <c r="M51" s="103" t="s">
        <v>274</v>
      </c>
      <c r="N51" s="103" t="s">
        <v>275</v>
      </c>
      <c r="O51" s="208"/>
    </row>
    <row r="52" spans="2:15" ht="15.75" x14ac:dyDescent="0.25">
      <c r="B52" s="397"/>
      <c r="C52" s="1740"/>
      <c r="D52" s="2551" t="s">
        <v>2389</v>
      </c>
      <c r="E52" s="1740" t="s">
        <v>2390</v>
      </c>
      <c r="F52" s="1744">
        <f>0.0594226845459515*(1/Unit.TWh)</f>
        <v>5.9422684545951503E-2</v>
      </c>
      <c r="G52" s="1743">
        <f>0.0496639509577809*(1/Unit.TWh)</f>
        <v>4.9663950957780902E-2</v>
      </c>
      <c r="H52" s="1743">
        <f>0.0450905905549193*(1/Unit.TWh)</f>
        <v>4.5090590554919298E-2</v>
      </c>
      <c r="I52" s="1743">
        <f>0.0444077640642367*(1/Unit.TWh)</f>
        <v>4.4407764064236702E-2</v>
      </c>
      <c r="J52" s="1742">
        <f>0.0452883081948361*(1/Unit.TWh)</f>
        <v>4.5288308194836098E-2</v>
      </c>
      <c r="K52" s="1742">
        <f>0.046245722834379*(1/Unit.TWh)</f>
        <v>4.6245722834378999E-2</v>
      </c>
      <c r="L52" s="1742">
        <f>0.046245722834379*(1/Unit.TWh)</f>
        <v>4.6245722834378999E-2</v>
      </c>
      <c r="M52" s="1742">
        <f>0.046245722834379*(1/Unit.TWh)</f>
        <v>4.6245722834378999E-2</v>
      </c>
      <c r="N52" s="1742">
        <f>0.046245722834379*(1/Unit.TWh)</f>
        <v>4.6245722834378999E-2</v>
      </c>
      <c r="O52" s="684"/>
    </row>
    <row r="53" spans="2:15" ht="15.75" x14ac:dyDescent="0.25">
      <c r="B53" s="397"/>
      <c r="C53" s="1740"/>
      <c r="D53" s="1741" t="s">
        <v>2391</v>
      </c>
      <c r="E53" s="1740"/>
      <c r="F53" s="1744">
        <f t="shared" ref="F53:N53" si="1">0.0489942785685536*(1/Unit.TWh)</f>
        <v>4.8994278568553602E-2</v>
      </c>
      <c r="G53" s="1743">
        <f t="shared" si="1"/>
        <v>4.8994278568553602E-2</v>
      </c>
      <c r="H53" s="1743">
        <f t="shared" si="1"/>
        <v>4.8994278568553602E-2</v>
      </c>
      <c r="I53" s="1743">
        <f t="shared" si="1"/>
        <v>4.8994278568553602E-2</v>
      </c>
      <c r="J53" s="1742">
        <f t="shared" si="1"/>
        <v>4.8994278568553602E-2</v>
      </c>
      <c r="K53" s="1742">
        <f t="shared" si="1"/>
        <v>4.8994278568553602E-2</v>
      </c>
      <c r="L53" s="1742">
        <f t="shared" si="1"/>
        <v>4.8994278568553602E-2</v>
      </c>
      <c r="M53" s="1742">
        <f t="shared" si="1"/>
        <v>4.8994278568553602E-2</v>
      </c>
      <c r="N53" s="1742">
        <f t="shared" si="1"/>
        <v>4.8994278568553602E-2</v>
      </c>
      <c r="O53" s="684"/>
    </row>
    <row r="54" spans="2:15" ht="15.75" x14ac:dyDescent="0.25">
      <c r="B54" s="397"/>
      <c r="C54" s="1414"/>
      <c r="D54" s="1415"/>
      <c r="E54" s="1415"/>
      <c r="F54" s="760"/>
      <c r="G54" s="760"/>
      <c r="H54" s="1416"/>
      <c r="I54" s="208"/>
      <c r="J54" s="208"/>
      <c r="K54" s="208"/>
      <c r="L54" s="208"/>
      <c r="M54" s="208"/>
      <c r="N54" s="208"/>
      <c r="O54" s="1420"/>
    </row>
    <row r="55" spans="2:15" ht="15.75" x14ac:dyDescent="0.25">
      <c r="B55" s="397"/>
      <c r="C55" s="178" t="s">
        <v>1797</v>
      </c>
      <c r="D55" s="1415"/>
      <c r="E55" s="1415"/>
      <c r="F55" s="760"/>
      <c r="G55" s="760"/>
      <c r="H55" s="1416"/>
      <c r="I55" s="208"/>
      <c r="J55" s="208"/>
      <c r="K55" s="208"/>
      <c r="L55" s="208"/>
      <c r="M55" s="208"/>
      <c r="N55" s="1737" t="str">
        <f>"Kte/"&amp;Preferences.EnergyUnits</f>
        <v>Kte/TWh</v>
      </c>
      <c r="O55" s="1420"/>
    </row>
    <row r="56" spans="2:15" ht="3.75" customHeight="1" x14ac:dyDescent="0.25">
      <c r="B56" s="397"/>
      <c r="C56" s="178"/>
      <c r="D56" s="1415"/>
      <c r="E56" s="1415"/>
      <c r="F56" s="760"/>
      <c r="G56" s="760"/>
      <c r="H56" s="1416"/>
      <c r="I56" s="208"/>
      <c r="J56" s="208"/>
      <c r="K56" s="208"/>
      <c r="L56" s="208"/>
      <c r="M56" s="208"/>
      <c r="N56" s="1737"/>
      <c r="O56" s="1416"/>
    </row>
    <row r="57" spans="2:15" ht="15.75" x14ac:dyDescent="0.25">
      <c r="B57" s="397"/>
      <c r="C57" s="98"/>
      <c r="D57" s="98" t="s">
        <v>264</v>
      </c>
      <c r="E57" s="98" t="s">
        <v>172</v>
      </c>
      <c r="F57" s="104" t="s">
        <v>241</v>
      </c>
      <c r="G57" s="103" t="s">
        <v>268</v>
      </c>
      <c r="H57" s="103" t="s">
        <v>269</v>
      </c>
      <c r="I57" s="103" t="s">
        <v>270</v>
      </c>
      <c r="J57" s="103" t="s">
        <v>271</v>
      </c>
      <c r="K57" s="103" t="s">
        <v>272</v>
      </c>
      <c r="L57" s="103" t="s">
        <v>273</v>
      </c>
      <c r="M57" s="103" t="s">
        <v>274</v>
      </c>
      <c r="N57" s="103" t="s">
        <v>275</v>
      </c>
      <c r="O57" s="208"/>
    </row>
    <row r="58" spans="2:15" ht="15.75" x14ac:dyDescent="0.25">
      <c r="B58" s="397"/>
      <c r="C58" s="2152"/>
      <c r="D58" s="2551" t="s">
        <v>2389</v>
      </c>
      <c r="E58" s="1740" t="s">
        <v>2390</v>
      </c>
      <c r="F58" s="2553">
        <f>0.679430247622142*(1/Unit.TWh)</f>
        <v>0.67943024762214199</v>
      </c>
      <c r="G58" s="2554">
        <f>0.581403202262897*(1/Unit.TWh)</f>
        <v>0.58140320226289699</v>
      </c>
      <c r="H58" s="2554">
        <f>0.471184921382374*(1/Unit.TWh)</f>
        <v>0.471184921382374</v>
      </c>
      <c r="I58" s="2554">
        <f>0.406040992892532*(1/Unit.TWh)</f>
        <v>0.40604099289253198</v>
      </c>
      <c r="J58" s="2552">
        <f>0.379890156091861*(1/Unit.TWh)</f>
        <v>0.379890156091861</v>
      </c>
      <c r="K58" s="2552">
        <f>0.373909117293539*(1/Unit.TWh)</f>
        <v>0.37390911729353898</v>
      </c>
      <c r="L58" s="2552">
        <f>0.373909117293539*(1/Unit.TWh)</f>
        <v>0.37390911729353898</v>
      </c>
      <c r="M58" s="2552">
        <f>0.373909117293539*(1/Unit.TWh)</f>
        <v>0.37390911729353898</v>
      </c>
      <c r="N58" s="2552">
        <f>0.373909117293539*(1/Unit.TWh)</f>
        <v>0.37390911729353898</v>
      </c>
      <c r="O58" s="208"/>
    </row>
    <row r="59" spans="2:15" ht="15.75" x14ac:dyDescent="0.25">
      <c r="B59" s="397"/>
      <c r="C59" s="2152"/>
      <c r="D59" s="1741" t="s">
        <v>2391</v>
      </c>
      <c r="E59" s="1740"/>
      <c r="F59" s="2553">
        <f t="shared" ref="F59:N59" si="2">0.976131038603633*(1/Unit.TWh)</f>
        <v>0.97613103860363304</v>
      </c>
      <c r="G59" s="2554">
        <f t="shared" si="2"/>
        <v>0.97613103860363304</v>
      </c>
      <c r="H59" s="2554">
        <f t="shared" si="2"/>
        <v>0.97613103860363304</v>
      </c>
      <c r="I59" s="2554">
        <f t="shared" si="2"/>
        <v>0.97613103860363304</v>
      </c>
      <c r="J59" s="2552">
        <f t="shared" si="2"/>
        <v>0.97613103860363304</v>
      </c>
      <c r="K59" s="2552">
        <f t="shared" si="2"/>
        <v>0.97613103860363304</v>
      </c>
      <c r="L59" s="2552">
        <f t="shared" si="2"/>
        <v>0.97613103860363304</v>
      </c>
      <c r="M59" s="2552">
        <f t="shared" si="2"/>
        <v>0.97613103860363304</v>
      </c>
      <c r="N59" s="2552">
        <f t="shared" si="2"/>
        <v>0.97613103860363304</v>
      </c>
      <c r="O59" s="208"/>
    </row>
    <row r="60" spans="2:15" ht="15.75" x14ac:dyDescent="0.25">
      <c r="B60" s="397"/>
      <c r="C60" s="1738"/>
      <c r="D60" s="1660"/>
      <c r="E60" s="1660"/>
      <c r="F60" s="1739"/>
      <c r="G60" s="1739"/>
      <c r="H60" s="1739"/>
      <c r="I60" s="1739"/>
      <c r="J60" s="1739"/>
      <c r="K60" s="1739"/>
      <c r="L60" s="1739"/>
      <c r="M60" s="1739"/>
      <c r="N60" s="1739"/>
      <c r="O60" s="1420"/>
    </row>
    <row r="61" spans="2:15" ht="15.75" x14ac:dyDescent="0.25">
      <c r="B61" s="397"/>
      <c r="C61" s="178" t="s">
        <v>1798</v>
      </c>
      <c r="D61" s="1415"/>
      <c r="E61" s="1415"/>
      <c r="F61" s="760"/>
      <c r="G61" s="760"/>
      <c r="H61" s="1416"/>
      <c r="I61" s="208"/>
      <c r="J61" s="208"/>
      <c r="K61" s="208"/>
      <c r="L61" s="208"/>
      <c r="M61" s="208"/>
      <c r="N61" s="1737" t="str">
        <f>"Kte/"&amp;Preferences.EnergyUnits</f>
        <v>Kte/TWh</v>
      </c>
      <c r="O61" s="1420"/>
    </row>
    <row r="62" spans="2:15" ht="3.75" customHeight="1" x14ac:dyDescent="0.25">
      <c r="B62" s="397"/>
      <c r="C62" s="178"/>
      <c r="D62" s="1415"/>
      <c r="E62" s="1415"/>
      <c r="F62" s="760"/>
      <c r="G62" s="760"/>
      <c r="H62" s="1416"/>
      <c r="I62" s="208"/>
      <c r="J62" s="208"/>
      <c r="K62" s="208"/>
      <c r="L62" s="208"/>
      <c r="M62" s="208"/>
      <c r="N62" s="1737"/>
      <c r="O62" s="1416"/>
    </row>
    <row r="63" spans="2:15" ht="15.75" x14ac:dyDescent="0.25">
      <c r="B63" s="397"/>
      <c r="C63" s="98"/>
      <c r="D63" s="98" t="s">
        <v>264</v>
      </c>
      <c r="E63" s="98" t="s">
        <v>172</v>
      </c>
      <c r="F63" s="104" t="s">
        <v>241</v>
      </c>
      <c r="G63" s="103" t="s">
        <v>268</v>
      </c>
      <c r="H63" s="103" t="s">
        <v>269</v>
      </c>
      <c r="I63" s="103" t="s">
        <v>270</v>
      </c>
      <c r="J63" s="103" t="s">
        <v>271</v>
      </c>
      <c r="K63" s="103" t="s">
        <v>272</v>
      </c>
      <c r="L63" s="103" t="s">
        <v>273</v>
      </c>
      <c r="M63" s="103" t="s">
        <v>274</v>
      </c>
      <c r="N63" s="103" t="s">
        <v>275</v>
      </c>
      <c r="O63" s="208"/>
    </row>
    <row r="64" spans="2:15" ht="15.75" x14ac:dyDescent="0.25">
      <c r="B64" s="397"/>
      <c r="C64" s="2152"/>
      <c r="D64" s="2551" t="s">
        <v>2389</v>
      </c>
      <c r="E64" s="1740" t="s">
        <v>2390</v>
      </c>
      <c r="F64" s="2553">
        <f>0.00103575535045395*(1/Unit.TWh)</f>
        <v>1.0357553504539499E-3</v>
      </c>
      <c r="G64" s="2554">
        <f>0.00108387045813274*(1/Unit.TWh)</f>
        <v>1.0838704581327401E-3</v>
      </c>
      <c r="H64" s="2554">
        <f>0.00108807120923228*(1/Unit.TWh)</f>
        <v>1.0880712092322801E-3</v>
      </c>
      <c r="I64" s="2554">
        <f>0.00105465050362138*(1/Unit.TWh)</f>
        <v>1.0546505036213799E-3</v>
      </c>
      <c r="J64" s="2552">
        <f>0.00102013469233904*(1/Unit.TWh)</f>
        <v>1.0201346923390401E-3</v>
      </c>
      <c r="K64" s="2552">
        <f>0.000985496257463946*(1/Unit.TWh)</f>
        <v>9.8549625746394598E-4</v>
      </c>
      <c r="L64" s="2552">
        <f>0.000985496257463946*(1/Unit.TWh)</f>
        <v>9.8549625746394598E-4</v>
      </c>
      <c r="M64" s="2552">
        <f>0.000985496257463946*(1/Unit.TWh)</f>
        <v>9.8549625746394598E-4</v>
      </c>
      <c r="N64" s="2552">
        <f>0.000985496257463946*(1/Unit.TWh)</f>
        <v>9.8549625746394598E-4</v>
      </c>
      <c r="O64" s="208"/>
    </row>
    <row r="65" spans="1:17" ht="15.75" x14ac:dyDescent="0.25">
      <c r="B65" s="397"/>
      <c r="C65" s="1406"/>
      <c r="D65" s="2555" t="s">
        <v>2391</v>
      </c>
      <c r="E65" s="1926"/>
      <c r="F65" s="2553">
        <f t="shared" ref="F65:N65" si="3">0.685723850317848*(1/Unit.TWh)</f>
        <v>0.68572385031784799</v>
      </c>
      <c r="G65" s="2554">
        <f t="shared" si="3"/>
        <v>0.68572385031784799</v>
      </c>
      <c r="H65" s="2554">
        <f t="shared" si="3"/>
        <v>0.68572385031784799</v>
      </c>
      <c r="I65" s="2554">
        <f t="shared" si="3"/>
        <v>0.68572385031784799</v>
      </c>
      <c r="J65" s="2552">
        <f t="shared" si="3"/>
        <v>0.68572385031784799</v>
      </c>
      <c r="K65" s="2552">
        <f t="shared" si="3"/>
        <v>0.68572385031784799</v>
      </c>
      <c r="L65" s="2552">
        <f t="shared" si="3"/>
        <v>0.68572385031784799</v>
      </c>
      <c r="M65" s="2552">
        <f t="shared" si="3"/>
        <v>0.68572385031784799</v>
      </c>
      <c r="N65" s="2552">
        <f t="shared" si="3"/>
        <v>0.68572385031784799</v>
      </c>
      <c r="O65" s="1420"/>
    </row>
    <row r="66" spans="1:17" ht="15.75" x14ac:dyDescent="0.25">
      <c r="B66" s="397"/>
      <c r="C66" s="178" t="s">
        <v>1800</v>
      </c>
      <c r="D66" s="1415"/>
      <c r="E66" s="1415"/>
      <c r="F66" s="760"/>
      <c r="G66" s="760"/>
      <c r="H66" s="1416"/>
      <c r="I66" s="208"/>
      <c r="J66" s="208"/>
      <c r="K66" s="208"/>
      <c r="L66" s="208"/>
      <c r="M66" s="208"/>
      <c r="N66" s="1737" t="str">
        <f>"Kte/"&amp;Preferences.EnergyUnits</f>
        <v>Kte/TWh</v>
      </c>
      <c r="O66" s="1420"/>
    </row>
    <row r="67" spans="1:17" ht="3.75" customHeight="1" x14ac:dyDescent="0.25">
      <c r="B67" s="397"/>
      <c r="C67" s="178"/>
      <c r="D67" s="1415"/>
      <c r="E67" s="1415"/>
      <c r="F67" s="760"/>
      <c r="G67" s="760"/>
      <c r="H67" s="1416"/>
      <c r="I67" s="208"/>
      <c r="J67" s="208"/>
      <c r="K67" s="208"/>
      <c r="L67" s="208"/>
      <c r="M67" s="208"/>
      <c r="N67" s="1737"/>
      <c r="O67" s="1416"/>
    </row>
    <row r="68" spans="1:17" ht="15.75" x14ac:dyDescent="0.25">
      <c r="B68" s="397"/>
      <c r="C68" s="98"/>
      <c r="D68" s="98" t="s">
        <v>264</v>
      </c>
      <c r="E68" s="98" t="s">
        <v>172</v>
      </c>
      <c r="F68" s="104" t="s">
        <v>241</v>
      </c>
      <c r="G68" s="103" t="s">
        <v>268</v>
      </c>
      <c r="H68" s="103" t="s">
        <v>269</v>
      </c>
      <c r="I68" s="103" t="s">
        <v>270</v>
      </c>
      <c r="J68" s="103" t="s">
        <v>271</v>
      </c>
      <c r="K68" s="103" t="s">
        <v>272</v>
      </c>
      <c r="L68" s="103" t="s">
        <v>273</v>
      </c>
      <c r="M68" s="103" t="s">
        <v>274</v>
      </c>
      <c r="N68" s="103" t="s">
        <v>275</v>
      </c>
      <c r="O68" s="208"/>
    </row>
    <row r="69" spans="1:17" ht="15.75" x14ac:dyDescent="0.25">
      <c r="B69" s="397"/>
      <c r="C69" s="2152"/>
      <c r="D69" s="2551" t="s">
        <v>2389</v>
      </c>
      <c r="E69" s="1740" t="s">
        <v>2390</v>
      </c>
      <c r="F69" s="2553">
        <f>0.181296600733908*(1/Unit.TWh)</f>
        <v>0.18129660073390799</v>
      </c>
      <c r="G69" s="2554">
        <f>0.0945292521903705*(1/Unit.TWh)</f>
        <v>9.4529252190370505E-2</v>
      </c>
      <c r="H69" s="2554">
        <f>0.0850375686331767*(1/Unit.TWh)</f>
        <v>8.5037568633176699E-2</v>
      </c>
      <c r="I69" s="2554">
        <f>0.094191138945187*(1/Unit.TWh)</f>
        <v>9.4191138945187006E-2</v>
      </c>
      <c r="J69" s="2552">
        <f>0.10328721110497*(1/Unit.TWh)</f>
        <v>0.10328721110496999</v>
      </c>
      <c r="K69" s="2552">
        <f>0.104417552656862*(1/Unit.TWh)</f>
        <v>0.10441755265686201</v>
      </c>
      <c r="L69" s="2552">
        <f>0.104417552656862*(1/Unit.TWh)</f>
        <v>0.10441755265686201</v>
      </c>
      <c r="M69" s="2552">
        <f>0.104417552656862*(1/Unit.TWh)</f>
        <v>0.10441755265686201</v>
      </c>
      <c r="N69" s="2552">
        <f>0.104417552656862*(1/Unit.TWh)</f>
        <v>0.10441755265686201</v>
      </c>
      <c r="O69" s="208"/>
    </row>
    <row r="70" spans="1:17" ht="15.75" x14ac:dyDescent="0.25">
      <c r="B70" s="397"/>
      <c r="C70" s="1406"/>
      <c r="D70" s="2555" t="s">
        <v>2391</v>
      </c>
      <c r="E70" s="1926"/>
      <c r="F70" s="2553">
        <f t="shared" ref="F70:N70" si="4">0.00620662344249255*(1/Unit.TWh)</f>
        <v>6.2066234424925501E-3</v>
      </c>
      <c r="G70" s="2554">
        <f t="shared" si="4"/>
        <v>6.2066234424925501E-3</v>
      </c>
      <c r="H70" s="2554">
        <f t="shared" si="4"/>
        <v>6.2066234424925501E-3</v>
      </c>
      <c r="I70" s="2554">
        <f t="shared" si="4"/>
        <v>6.2066234424925501E-3</v>
      </c>
      <c r="J70" s="2552">
        <f t="shared" si="4"/>
        <v>6.2066234424925501E-3</v>
      </c>
      <c r="K70" s="2552">
        <f t="shared" si="4"/>
        <v>6.2066234424925501E-3</v>
      </c>
      <c r="L70" s="2552">
        <f t="shared" si="4"/>
        <v>6.2066234424925501E-3</v>
      </c>
      <c r="M70" s="2552">
        <f t="shared" si="4"/>
        <v>6.2066234424925501E-3</v>
      </c>
      <c r="N70" s="2552">
        <f t="shared" si="4"/>
        <v>6.2066234424925501E-3</v>
      </c>
      <c r="O70" s="1420"/>
    </row>
    <row r="71" spans="1:17" ht="15.75" x14ac:dyDescent="0.25">
      <c r="B71" s="1035"/>
      <c r="C71" s="1414"/>
      <c r="D71" s="1505"/>
      <c r="E71" s="1415"/>
      <c r="F71" s="985"/>
      <c r="G71" s="1662"/>
      <c r="H71" s="1662"/>
      <c r="I71" s="1662"/>
      <c r="J71" s="985"/>
      <c r="K71" s="985"/>
      <c r="L71" s="985"/>
      <c r="M71" s="985"/>
      <c r="N71" s="985"/>
      <c r="O71" s="1416"/>
    </row>
    <row r="72" spans="1:17" ht="15.75" x14ac:dyDescent="0.25">
      <c r="B72" s="1035"/>
      <c r="C72" s="1414"/>
      <c r="D72" s="1505"/>
      <c r="E72" s="1415"/>
      <c r="F72" s="985"/>
      <c r="G72" s="1662"/>
      <c r="H72" s="1662"/>
      <c r="I72" s="1662"/>
      <c r="J72" s="985"/>
      <c r="K72" s="985"/>
      <c r="L72" s="985"/>
      <c r="M72" s="985"/>
      <c r="N72" s="985"/>
      <c r="O72" s="1416"/>
    </row>
    <row r="73" spans="1:17" x14ac:dyDescent="0.2">
      <c r="B73" s="471"/>
    </row>
    <row r="75" spans="1:17" x14ac:dyDescent="0.2">
      <c r="G75" s="1177"/>
    </row>
    <row r="76" spans="1:17" s="84" customFormat="1" ht="15.75" x14ac:dyDescent="0.25">
      <c r="A76" s="2479"/>
      <c r="B76" s="134" t="s">
        <v>279</v>
      </c>
      <c r="C76" s="2479"/>
      <c r="D76" s="2479"/>
      <c r="E76" s="2479"/>
      <c r="F76" s="2479"/>
      <c r="G76" s="2479"/>
      <c r="H76" s="2479"/>
      <c r="I76" s="2479"/>
      <c r="J76" s="2479"/>
      <c r="K76" s="2479"/>
      <c r="L76" s="2479"/>
      <c r="M76" s="2479"/>
      <c r="N76" s="2479"/>
      <c r="O76" s="2479"/>
      <c r="P76" s="2479"/>
      <c r="Q76" s="2479"/>
    </row>
    <row r="77" spans="1:17" s="84" customFormat="1" x14ac:dyDescent="0.2">
      <c r="A77" s="2479"/>
      <c r="B77" s="2479"/>
      <c r="C77" s="2479"/>
      <c r="D77" s="2479"/>
      <c r="E77" s="2479"/>
      <c r="F77" s="2479"/>
      <c r="G77" s="2479"/>
      <c r="H77" s="2479"/>
      <c r="I77" s="2479"/>
      <c r="J77" s="2479"/>
      <c r="K77" s="2479"/>
      <c r="L77" s="2479"/>
      <c r="M77" s="2479"/>
      <c r="N77" s="2479"/>
      <c r="O77" s="2479"/>
      <c r="P77" s="2479"/>
      <c r="Q77" s="2479"/>
    </row>
    <row r="78" spans="1:17" s="84" customFormat="1" x14ac:dyDescent="0.2">
      <c r="A78" s="2479"/>
      <c r="B78" s="1427"/>
      <c r="C78" s="2479"/>
      <c r="D78" s="2479"/>
      <c r="E78" s="2479"/>
      <c r="F78" s="2479"/>
      <c r="G78" s="2479"/>
      <c r="H78" s="2479"/>
      <c r="I78" s="2479"/>
      <c r="J78" s="2479"/>
      <c r="K78" s="2479"/>
      <c r="L78" s="2479"/>
      <c r="M78" s="2479"/>
      <c r="N78" s="2479"/>
      <c r="O78" s="2479"/>
      <c r="P78" s="2479"/>
      <c r="Q78" s="2479"/>
    </row>
    <row r="79" spans="1:17" s="84" customFormat="1" x14ac:dyDescent="0.2">
      <c r="A79" s="2479"/>
      <c r="C79" s="202" t="s">
        <v>2392</v>
      </c>
      <c r="P79" s="2479"/>
    </row>
    <row r="80" spans="1:17" s="84" customFormat="1" x14ac:dyDescent="0.2">
      <c r="A80" s="2479"/>
      <c r="B80" s="202"/>
      <c r="C80" s="202"/>
      <c r="D80" s="202"/>
      <c r="E80" s="202" t="str">
        <f>Preferences.EnergyUnits</f>
        <v>TWh</v>
      </c>
      <c r="F80" s="2556">
        <f ca="1">MAX(-SUM(I.d.Inputs[2010]),0)</f>
        <v>112.87362114975359</v>
      </c>
      <c r="G80" s="2556">
        <f ca="1">MAX(-SUM(I.d.Inputs[2015]),0)</f>
        <v>106.70016928395276</v>
      </c>
      <c r="H80" s="2556">
        <f ca="1">MAX(-SUM(I.d.Inputs[2020]),0)</f>
        <v>30.850365626553355</v>
      </c>
      <c r="I80" s="2556">
        <f ca="1">MAX(-SUM(I.d.Inputs[2025]),0)</f>
        <v>0</v>
      </c>
      <c r="J80" s="2556">
        <f ca="1">MAX(-SUM(I.d.Inputs[2030]),0)</f>
        <v>0</v>
      </c>
      <c r="K80" s="2556">
        <f ca="1">MAX(-SUM(I.d.Inputs[2035]),0)</f>
        <v>0</v>
      </c>
      <c r="L80" s="2556">
        <f ca="1">MAX(-SUM(I.d.Inputs[2040]),0)</f>
        <v>0</v>
      </c>
      <c r="M80" s="2556">
        <f ca="1">MAX(-SUM(I.d.Inputs[2045]),0)</f>
        <v>0</v>
      </c>
      <c r="N80" s="2556">
        <f ca="1">MAX(-SUM(I.d.Inputs[2050]),0)</f>
        <v>0</v>
      </c>
      <c r="P80" s="2479"/>
    </row>
    <row r="81" spans="1:16" s="84" customFormat="1" x14ac:dyDescent="0.2">
      <c r="A81" s="2479"/>
      <c r="B81" s="202"/>
      <c r="C81" s="202"/>
      <c r="D81" s="202"/>
      <c r="E81" s="202"/>
      <c r="F81" s="2556"/>
      <c r="G81" s="2556"/>
      <c r="H81" s="2556"/>
      <c r="I81" s="2556"/>
      <c r="J81" s="2556"/>
      <c r="K81" s="2556"/>
      <c r="L81" s="2556"/>
      <c r="M81" s="2556"/>
      <c r="N81" s="2556"/>
      <c r="P81" s="2479"/>
    </row>
    <row r="82" spans="1:16" s="84" customFormat="1" x14ac:dyDescent="0.2">
      <c r="A82" s="2479"/>
      <c r="B82" s="147"/>
      <c r="F82" s="574">
        <v>2010</v>
      </c>
      <c r="G82" s="574">
        <v>2015</v>
      </c>
      <c r="H82" s="574">
        <v>2020</v>
      </c>
      <c r="I82" s="574">
        <v>2025</v>
      </c>
      <c r="J82" s="574">
        <v>2030</v>
      </c>
      <c r="K82" s="574">
        <v>2035</v>
      </c>
      <c r="L82" s="574">
        <v>2040</v>
      </c>
      <c r="M82" s="574">
        <v>2045</v>
      </c>
      <c r="N82" s="574">
        <v>2050</v>
      </c>
      <c r="P82" s="2479"/>
    </row>
    <row r="83" spans="1:16" s="84" customFormat="1" x14ac:dyDescent="0.2">
      <c r="A83" s="2479"/>
      <c r="B83" s="147" t="s">
        <v>2385</v>
      </c>
      <c r="P83" s="2479"/>
    </row>
    <row r="84" spans="1:16" s="84" customFormat="1" x14ac:dyDescent="0.2">
      <c r="A84" s="2479"/>
      <c r="B84" s="147"/>
      <c r="P84" s="2479"/>
    </row>
    <row r="85" spans="1:16" s="84" customFormat="1" x14ac:dyDescent="0.2">
      <c r="A85" s="2479"/>
      <c r="B85" s="147"/>
      <c r="C85" s="147" t="s">
        <v>2393</v>
      </c>
      <c r="D85" s="147"/>
      <c r="E85" s="147"/>
      <c r="F85" s="152">
        <f t="shared" ref="F85:N85" ca="1" si="5">F$80*F$40</f>
        <v>45.149448459901436</v>
      </c>
      <c r="G85" s="152">
        <f t="shared" ca="1" si="5"/>
        <v>42.68006771358111</v>
      </c>
      <c r="H85" s="152">
        <f t="shared" ca="1" si="5"/>
        <v>12.340146250621343</v>
      </c>
      <c r="I85" s="152">
        <f t="shared" ca="1" si="5"/>
        <v>0</v>
      </c>
      <c r="J85" s="152">
        <f t="shared" ca="1" si="5"/>
        <v>0</v>
      </c>
      <c r="K85" s="152">
        <f t="shared" ca="1" si="5"/>
        <v>0</v>
      </c>
      <c r="L85" s="152">
        <f t="shared" ca="1" si="5"/>
        <v>0</v>
      </c>
      <c r="M85" s="152">
        <f t="shared" ca="1" si="5"/>
        <v>0</v>
      </c>
      <c r="N85" s="152">
        <f t="shared" ca="1" si="5"/>
        <v>0</v>
      </c>
      <c r="P85" s="2479"/>
    </row>
    <row r="86" spans="1:16" s="84" customFormat="1" x14ac:dyDescent="0.2">
      <c r="A86" s="2479"/>
      <c r="B86" s="147"/>
      <c r="C86" s="147"/>
      <c r="F86" s="76"/>
      <c r="G86" s="76"/>
      <c r="H86" s="76"/>
      <c r="I86" s="76"/>
      <c r="J86" s="76"/>
      <c r="K86" s="76"/>
      <c r="L86" s="76"/>
      <c r="M86" s="76"/>
      <c r="N86" s="76"/>
      <c r="P86" s="2479"/>
    </row>
    <row r="87" spans="1:16" s="84" customFormat="1" x14ac:dyDescent="0.2">
      <c r="A87" s="2479"/>
      <c r="B87" s="150" t="s">
        <v>554</v>
      </c>
      <c r="C87" s="84" t="s">
        <v>868</v>
      </c>
      <c r="F87" s="1428">
        <f t="shared" ref="F87:N87" ca="1" si="6">F$22*F$85</f>
        <v>0.45149448459901437</v>
      </c>
      <c r="G87" s="1428">
        <f t="shared" ca="1" si="6"/>
        <v>0.4268006771358111</v>
      </c>
      <c r="H87" s="1428">
        <f t="shared" ca="1" si="6"/>
        <v>0.12340146250621344</v>
      </c>
      <c r="I87" s="1428">
        <f t="shared" ca="1" si="6"/>
        <v>0</v>
      </c>
      <c r="J87" s="1428">
        <f t="shared" ca="1" si="6"/>
        <v>0</v>
      </c>
      <c r="K87" s="1428">
        <f t="shared" ca="1" si="6"/>
        <v>0</v>
      </c>
      <c r="L87" s="1428">
        <f t="shared" ca="1" si="6"/>
        <v>0</v>
      </c>
      <c r="M87" s="1428">
        <f t="shared" ca="1" si="6"/>
        <v>0</v>
      </c>
      <c r="N87" s="1428">
        <f t="shared" ca="1" si="6"/>
        <v>0</v>
      </c>
      <c r="P87" s="2479"/>
    </row>
    <row r="88" spans="1:16" s="84" customFormat="1" x14ac:dyDescent="0.2">
      <c r="A88" s="2479"/>
      <c r="B88" s="154" t="s">
        <v>346</v>
      </c>
      <c r="C88" s="147" t="s">
        <v>358</v>
      </c>
      <c r="F88" s="152">
        <f t="shared" ref="F88:N88" ca="1" si="7">F85+F87</f>
        <v>45.600942944500453</v>
      </c>
      <c r="G88" s="152">
        <f t="shared" ca="1" si="7"/>
        <v>43.106868390716919</v>
      </c>
      <c r="H88" s="152">
        <f t="shared" ca="1" si="7"/>
        <v>12.463547713127557</v>
      </c>
      <c r="I88" s="152">
        <f t="shared" ca="1" si="7"/>
        <v>0</v>
      </c>
      <c r="J88" s="152">
        <f t="shared" ca="1" si="7"/>
        <v>0</v>
      </c>
      <c r="K88" s="152">
        <f t="shared" ca="1" si="7"/>
        <v>0</v>
      </c>
      <c r="L88" s="152">
        <f t="shared" ca="1" si="7"/>
        <v>0</v>
      </c>
      <c r="M88" s="152">
        <f t="shared" ca="1" si="7"/>
        <v>0</v>
      </c>
      <c r="N88" s="152">
        <f t="shared" ca="1" si="7"/>
        <v>0</v>
      </c>
      <c r="P88" s="2479"/>
    </row>
    <row r="89" spans="1:16" s="84" customFormat="1" x14ac:dyDescent="0.2">
      <c r="A89" s="2479"/>
      <c r="B89" s="960" t="s">
        <v>976</v>
      </c>
      <c r="C89" s="84" t="s">
        <v>869</v>
      </c>
      <c r="F89" s="155">
        <f t="shared" ref="F89:N89" si="8">F$27</f>
        <v>0.8</v>
      </c>
      <c r="G89" s="155">
        <f t="shared" si="8"/>
        <v>0.8</v>
      </c>
      <c r="H89" s="155">
        <f t="shared" si="8"/>
        <v>0.8</v>
      </c>
      <c r="I89" s="155">
        <f t="shared" si="8"/>
        <v>0.8</v>
      </c>
      <c r="J89" s="155">
        <f t="shared" si="8"/>
        <v>0.8</v>
      </c>
      <c r="K89" s="155">
        <f t="shared" si="8"/>
        <v>0.8</v>
      </c>
      <c r="L89" s="155">
        <f t="shared" si="8"/>
        <v>0.8</v>
      </c>
      <c r="M89" s="155">
        <f t="shared" si="8"/>
        <v>0.8</v>
      </c>
      <c r="N89" s="155">
        <f t="shared" si="8"/>
        <v>0.8</v>
      </c>
      <c r="P89" s="2479"/>
    </row>
    <row r="90" spans="1:16" s="84" customFormat="1" x14ac:dyDescent="0.2">
      <c r="A90" s="2479"/>
      <c r="B90" s="154" t="s">
        <v>346</v>
      </c>
      <c r="C90" s="147" t="s">
        <v>2394</v>
      </c>
      <c r="F90" s="156">
        <f t="shared" ref="F90:N90" ca="1" si="9">F88/F89</f>
        <v>57.001178680625564</v>
      </c>
      <c r="G90" s="156">
        <f t="shared" ca="1" si="9"/>
        <v>53.883585488396143</v>
      </c>
      <c r="H90" s="156">
        <f t="shared" ca="1" si="9"/>
        <v>15.579434641409446</v>
      </c>
      <c r="I90" s="156">
        <f t="shared" ca="1" si="9"/>
        <v>0</v>
      </c>
      <c r="J90" s="156">
        <f t="shared" ca="1" si="9"/>
        <v>0</v>
      </c>
      <c r="K90" s="156">
        <f t="shared" ca="1" si="9"/>
        <v>0</v>
      </c>
      <c r="L90" s="156">
        <f t="shared" ca="1" si="9"/>
        <v>0</v>
      </c>
      <c r="M90" s="156">
        <f t="shared" ca="1" si="9"/>
        <v>0</v>
      </c>
      <c r="N90" s="156">
        <f t="shared" ca="1" si="9"/>
        <v>0</v>
      </c>
      <c r="P90" s="2479"/>
    </row>
    <row r="91" spans="1:16" s="84" customFormat="1" x14ac:dyDescent="0.2">
      <c r="A91" s="2479"/>
      <c r="B91" s="154"/>
      <c r="C91" s="147"/>
      <c r="F91" s="76"/>
      <c r="G91" s="76"/>
      <c r="H91" s="76"/>
      <c r="I91" s="76"/>
      <c r="J91" s="76"/>
      <c r="K91" s="76"/>
      <c r="L91" s="76"/>
      <c r="M91" s="76"/>
      <c r="N91" s="76"/>
      <c r="P91" s="2479"/>
    </row>
    <row r="92" spans="1:16" s="84" customFormat="1" x14ac:dyDescent="0.2">
      <c r="A92" s="2479"/>
      <c r="B92" s="154"/>
      <c r="C92" s="147"/>
      <c r="F92" s="76"/>
      <c r="G92" s="76"/>
      <c r="H92" s="76"/>
      <c r="I92" s="76"/>
      <c r="J92" s="76"/>
      <c r="K92" s="76"/>
      <c r="L92" s="76"/>
      <c r="M92" s="76"/>
      <c r="N92" s="76"/>
      <c r="P92" s="2479"/>
    </row>
    <row r="93" spans="1:16" s="84" customFormat="1" x14ac:dyDescent="0.2">
      <c r="A93" s="2479"/>
      <c r="B93" s="154"/>
      <c r="C93" s="147" t="s">
        <v>580</v>
      </c>
      <c r="E93" s="84" t="s">
        <v>147</v>
      </c>
      <c r="F93" s="76">
        <f t="shared" ref="F93:N93" ca="1" si="10">F$85*Preferences.Unit.Energy/(Unit.year*Preferences.Unit.Power)</f>
        <v>5.150518875188391</v>
      </c>
      <c r="G93" s="76">
        <f t="shared" ca="1" si="10"/>
        <v>4.8688190410199761</v>
      </c>
      <c r="H93" s="76">
        <f t="shared" ca="1" si="10"/>
        <v>1.4077282968995373</v>
      </c>
      <c r="I93" s="76">
        <f t="shared" ca="1" si="10"/>
        <v>0</v>
      </c>
      <c r="J93" s="76">
        <f t="shared" ca="1" si="10"/>
        <v>0</v>
      </c>
      <c r="K93" s="76">
        <f t="shared" ca="1" si="10"/>
        <v>0</v>
      </c>
      <c r="L93" s="76">
        <f t="shared" ca="1" si="10"/>
        <v>0</v>
      </c>
      <c r="M93" s="76">
        <f t="shared" ca="1" si="10"/>
        <v>0</v>
      </c>
      <c r="N93" s="76">
        <f t="shared" ca="1" si="10"/>
        <v>0</v>
      </c>
      <c r="P93" s="2479"/>
    </row>
    <row r="94" spans="1:16" s="84" customFormat="1" x14ac:dyDescent="0.2">
      <c r="A94" s="2479"/>
      <c r="B94" s="154"/>
      <c r="C94" s="147" t="s">
        <v>304</v>
      </c>
      <c r="F94" s="2557">
        <f t="shared" ref="F94:N94" si="11">$D$33</f>
        <v>0.45</v>
      </c>
      <c r="G94" s="2557">
        <f t="shared" si="11"/>
        <v>0.45</v>
      </c>
      <c r="H94" s="2557">
        <f t="shared" si="11"/>
        <v>0.45</v>
      </c>
      <c r="I94" s="2557">
        <f t="shared" si="11"/>
        <v>0.45</v>
      </c>
      <c r="J94" s="2557">
        <f t="shared" si="11"/>
        <v>0.45</v>
      </c>
      <c r="K94" s="2557">
        <f t="shared" si="11"/>
        <v>0.45</v>
      </c>
      <c r="L94" s="2557">
        <f t="shared" si="11"/>
        <v>0.45</v>
      </c>
      <c r="M94" s="2557">
        <f t="shared" si="11"/>
        <v>0.45</v>
      </c>
      <c r="N94" s="2557">
        <f t="shared" si="11"/>
        <v>0.45</v>
      </c>
      <c r="P94" s="2479"/>
    </row>
    <row r="95" spans="1:16" s="84" customFormat="1" x14ac:dyDescent="0.2">
      <c r="A95" s="2479"/>
      <c r="B95" s="154"/>
      <c r="C95" s="147" t="s">
        <v>298</v>
      </c>
      <c r="E95" s="84" t="s">
        <v>247</v>
      </c>
      <c r="F95" s="76">
        <f t="shared" ref="F95:N95" ca="1" si="12">F$93/F$94</f>
        <v>11.445597500418646</v>
      </c>
      <c r="G95" s="76">
        <f t="shared" ca="1" si="12"/>
        <v>10.819597868933281</v>
      </c>
      <c r="H95" s="76">
        <f t="shared" ca="1" si="12"/>
        <v>3.1282851042211939</v>
      </c>
      <c r="I95" s="76">
        <f t="shared" ca="1" si="12"/>
        <v>0</v>
      </c>
      <c r="J95" s="76">
        <f t="shared" ca="1" si="12"/>
        <v>0</v>
      </c>
      <c r="K95" s="76">
        <f t="shared" ca="1" si="12"/>
        <v>0</v>
      </c>
      <c r="L95" s="76">
        <f t="shared" ca="1" si="12"/>
        <v>0</v>
      </c>
      <c r="M95" s="76">
        <f t="shared" ca="1" si="12"/>
        <v>0</v>
      </c>
      <c r="N95" s="76">
        <f t="shared" ca="1" si="12"/>
        <v>0</v>
      </c>
      <c r="P95" s="2479"/>
    </row>
    <row r="96" spans="1:16" s="84" customFormat="1" x14ac:dyDescent="0.2">
      <c r="A96" s="2479"/>
      <c r="B96" s="154"/>
      <c r="C96" s="147"/>
      <c r="F96" s="76"/>
      <c r="G96" s="76"/>
      <c r="H96" s="76"/>
      <c r="I96" s="76"/>
      <c r="J96" s="76"/>
      <c r="K96" s="76"/>
      <c r="L96" s="76"/>
      <c r="M96" s="76"/>
      <c r="N96" s="76"/>
      <c r="P96" s="2479"/>
    </row>
    <row r="97" spans="1:16" s="84" customFormat="1" x14ac:dyDescent="0.2">
      <c r="A97" s="2479"/>
      <c r="B97" s="154"/>
      <c r="C97" s="147"/>
      <c r="F97" s="76"/>
      <c r="G97" s="76"/>
      <c r="H97" s="76"/>
      <c r="I97" s="76"/>
      <c r="J97" s="76"/>
      <c r="K97" s="76"/>
      <c r="L97" s="76"/>
      <c r="M97" s="76"/>
      <c r="N97" s="76"/>
      <c r="P97" s="2479"/>
    </row>
    <row r="98" spans="1:16" s="84" customFormat="1" x14ac:dyDescent="0.2">
      <c r="A98" s="2479"/>
      <c r="B98" s="147" t="s">
        <v>2395</v>
      </c>
      <c r="P98" s="2479"/>
    </row>
    <row r="99" spans="1:16" s="84" customFormat="1" x14ac:dyDescent="0.2">
      <c r="A99" s="2479"/>
      <c r="B99" s="150"/>
      <c r="C99" s="960"/>
      <c r="F99" s="2558"/>
      <c r="G99" s="2558"/>
      <c r="H99" s="2558"/>
      <c r="I99" s="2558"/>
      <c r="J99" s="2558"/>
      <c r="K99" s="2558"/>
      <c r="L99" s="2558"/>
      <c r="M99" s="2558"/>
      <c r="N99" s="2558"/>
      <c r="P99" s="2479"/>
    </row>
    <row r="100" spans="1:16" s="84" customFormat="1" x14ac:dyDescent="0.2">
      <c r="A100" s="2479"/>
      <c r="B100" s="150"/>
      <c r="C100" s="147"/>
      <c r="F100" s="76"/>
      <c r="G100" s="76"/>
      <c r="H100" s="76"/>
      <c r="I100" s="76"/>
      <c r="J100" s="76"/>
      <c r="K100" s="76"/>
      <c r="L100" s="76"/>
      <c r="M100" s="76"/>
      <c r="N100" s="76"/>
      <c r="P100" s="2479"/>
    </row>
    <row r="101" spans="1:16" s="84" customFormat="1" x14ac:dyDescent="0.2">
      <c r="A101" s="2479"/>
      <c r="C101" s="202" t="s">
        <v>2396</v>
      </c>
      <c r="P101" s="2479"/>
    </row>
    <row r="102" spans="1:16" s="202" customFormat="1" x14ac:dyDescent="0.2">
      <c r="A102" s="2479"/>
      <c r="E102" s="202" t="str">
        <f>Preferences.EnergyUnits</f>
        <v>TWh</v>
      </c>
      <c r="F102" s="2559">
        <f t="shared" ref="F102:N102" ca="1" si="13">F80-F85</f>
        <v>67.724172689852153</v>
      </c>
      <c r="G102" s="2559">
        <f t="shared" ca="1" si="13"/>
        <v>64.020101570371651</v>
      </c>
      <c r="H102" s="2559">
        <f t="shared" ca="1" si="13"/>
        <v>18.51021937593201</v>
      </c>
      <c r="I102" s="2559">
        <f t="shared" ca="1" si="13"/>
        <v>0</v>
      </c>
      <c r="J102" s="2559">
        <f t="shared" ca="1" si="13"/>
        <v>0</v>
      </c>
      <c r="K102" s="2559">
        <f t="shared" ca="1" si="13"/>
        <v>0</v>
      </c>
      <c r="L102" s="2559">
        <f t="shared" ca="1" si="13"/>
        <v>0</v>
      </c>
      <c r="M102" s="2559">
        <f t="shared" ca="1" si="13"/>
        <v>0</v>
      </c>
      <c r="N102" s="2559">
        <f t="shared" ca="1" si="13"/>
        <v>0</v>
      </c>
      <c r="P102" s="2479"/>
    </row>
    <row r="103" spans="1:16" s="84" customFormat="1" x14ac:dyDescent="0.2">
      <c r="A103" s="2479"/>
      <c r="P103" s="2479"/>
    </row>
    <row r="104" spans="1:16" s="84" customFormat="1" x14ac:dyDescent="0.2">
      <c r="A104" s="2479"/>
      <c r="C104" s="147" t="s">
        <v>2397</v>
      </c>
      <c r="D104" s="147"/>
      <c r="E104" s="147"/>
      <c r="F104" s="2560">
        <f t="shared" ref="F104:N104" ca="1" si="14">F$102</f>
        <v>67.724172689852153</v>
      </c>
      <c r="G104" s="2560">
        <f t="shared" ca="1" si="14"/>
        <v>64.020101570371651</v>
      </c>
      <c r="H104" s="2560">
        <f t="shared" ca="1" si="14"/>
        <v>18.51021937593201</v>
      </c>
      <c r="I104" s="2560">
        <f t="shared" ca="1" si="14"/>
        <v>0</v>
      </c>
      <c r="J104" s="2560">
        <f t="shared" ca="1" si="14"/>
        <v>0</v>
      </c>
      <c r="K104" s="2560">
        <f t="shared" ca="1" si="14"/>
        <v>0</v>
      </c>
      <c r="L104" s="2560">
        <f t="shared" ca="1" si="14"/>
        <v>0</v>
      </c>
      <c r="M104" s="2560">
        <f t="shared" ca="1" si="14"/>
        <v>0</v>
      </c>
      <c r="N104" s="2560">
        <f t="shared" ca="1" si="14"/>
        <v>0</v>
      </c>
      <c r="P104" s="2479"/>
    </row>
    <row r="105" spans="1:16" s="84" customFormat="1" x14ac:dyDescent="0.2">
      <c r="A105" s="2479"/>
      <c r="B105" s="150" t="s">
        <v>554</v>
      </c>
      <c r="C105" s="84" t="s">
        <v>868</v>
      </c>
      <c r="F105" s="2522">
        <f t="shared" ref="F105:N105" ca="1" si="15">F$22*F104</f>
        <v>0.67724172689852158</v>
      </c>
      <c r="G105" s="2522">
        <f t="shared" ca="1" si="15"/>
        <v>0.64020101570371657</v>
      </c>
      <c r="H105" s="2522">
        <f t="shared" ca="1" si="15"/>
        <v>0.1851021937593201</v>
      </c>
      <c r="I105" s="2522">
        <f t="shared" ca="1" si="15"/>
        <v>0</v>
      </c>
      <c r="J105" s="2522">
        <f t="shared" ca="1" si="15"/>
        <v>0</v>
      </c>
      <c r="K105" s="2522">
        <f t="shared" ca="1" si="15"/>
        <v>0</v>
      </c>
      <c r="L105" s="2522">
        <f t="shared" ca="1" si="15"/>
        <v>0</v>
      </c>
      <c r="M105" s="2522">
        <f t="shared" ca="1" si="15"/>
        <v>0</v>
      </c>
      <c r="N105" s="2522">
        <f t="shared" ca="1" si="15"/>
        <v>0</v>
      </c>
      <c r="P105" s="2479"/>
    </row>
    <row r="106" spans="1:16" s="84" customFormat="1" x14ac:dyDescent="0.2">
      <c r="A106" s="2479"/>
      <c r="B106" s="150" t="s">
        <v>346</v>
      </c>
      <c r="C106" s="147" t="s">
        <v>358</v>
      </c>
      <c r="F106" s="2560">
        <f t="shared" ref="F106:N106" ca="1" si="16">F104+F105</f>
        <v>68.401414416750669</v>
      </c>
      <c r="G106" s="2560">
        <f t="shared" ca="1" si="16"/>
        <v>64.66030258607536</v>
      </c>
      <c r="H106" s="2560">
        <f t="shared" ca="1" si="16"/>
        <v>18.69532156969133</v>
      </c>
      <c r="I106" s="2560">
        <f t="shared" ca="1" si="16"/>
        <v>0</v>
      </c>
      <c r="J106" s="2560">
        <f t="shared" ca="1" si="16"/>
        <v>0</v>
      </c>
      <c r="K106" s="2560">
        <f t="shared" ca="1" si="16"/>
        <v>0</v>
      </c>
      <c r="L106" s="2560">
        <f t="shared" ca="1" si="16"/>
        <v>0</v>
      </c>
      <c r="M106" s="2560">
        <f t="shared" ca="1" si="16"/>
        <v>0</v>
      </c>
      <c r="N106" s="2560">
        <f t="shared" ca="1" si="16"/>
        <v>0</v>
      </c>
      <c r="P106" s="2479"/>
    </row>
    <row r="107" spans="1:16" s="84" customFormat="1" x14ac:dyDescent="0.2">
      <c r="A107" s="2479"/>
      <c r="B107" s="960" t="s">
        <v>976</v>
      </c>
      <c r="C107" s="84" t="s">
        <v>869</v>
      </c>
      <c r="F107" s="155">
        <f t="shared" ref="F107:N107" si="17">F$27</f>
        <v>0.8</v>
      </c>
      <c r="G107" s="155">
        <f t="shared" si="17"/>
        <v>0.8</v>
      </c>
      <c r="H107" s="155">
        <f t="shared" si="17"/>
        <v>0.8</v>
      </c>
      <c r="I107" s="155">
        <f t="shared" si="17"/>
        <v>0.8</v>
      </c>
      <c r="J107" s="155">
        <f t="shared" si="17"/>
        <v>0.8</v>
      </c>
      <c r="K107" s="155">
        <f t="shared" si="17"/>
        <v>0.8</v>
      </c>
      <c r="L107" s="155">
        <f t="shared" si="17"/>
        <v>0.8</v>
      </c>
      <c r="M107" s="155">
        <f t="shared" si="17"/>
        <v>0.8</v>
      </c>
      <c r="N107" s="155">
        <f t="shared" si="17"/>
        <v>0.8</v>
      </c>
      <c r="P107" s="2479"/>
    </row>
    <row r="108" spans="1:16" s="84" customFormat="1" x14ac:dyDescent="0.2">
      <c r="A108" s="2479"/>
      <c r="B108" s="150" t="s">
        <v>346</v>
      </c>
      <c r="C108" s="147" t="s">
        <v>2398</v>
      </c>
      <c r="F108" s="2561">
        <f t="shared" ref="F108:N108" ca="1" si="18">F106/F107</f>
        <v>85.501768020938329</v>
      </c>
      <c r="G108" s="2561">
        <f t="shared" ca="1" si="18"/>
        <v>80.82537823259419</v>
      </c>
      <c r="H108" s="2561">
        <f t="shared" ca="1" si="18"/>
        <v>23.369151962114163</v>
      </c>
      <c r="I108" s="2561">
        <f t="shared" ca="1" si="18"/>
        <v>0</v>
      </c>
      <c r="J108" s="2561">
        <f t="shared" ca="1" si="18"/>
        <v>0</v>
      </c>
      <c r="K108" s="2561">
        <f t="shared" ca="1" si="18"/>
        <v>0</v>
      </c>
      <c r="L108" s="2561">
        <f t="shared" ca="1" si="18"/>
        <v>0</v>
      </c>
      <c r="M108" s="2561">
        <f t="shared" ca="1" si="18"/>
        <v>0</v>
      </c>
      <c r="N108" s="2561">
        <f t="shared" ca="1" si="18"/>
        <v>0</v>
      </c>
    </row>
    <row r="109" spans="1:16" s="84" customFormat="1" x14ac:dyDescent="0.2">
      <c r="A109" s="2479"/>
      <c r="B109" s="150"/>
      <c r="C109" s="147"/>
      <c r="F109" s="76"/>
      <c r="G109" s="76"/>
      <c r="H109" s="76"/>
      <c r="I109" s="76"/>
      <c r="J109" s="76"/>
      <c r="K109" s="76"/>
      <c r="L109" s="76"/>
      <c r="M109" s="76"/>
      <c r="N109" s="76"/>
    </row>
    <row r="110" spans="1:16" s="84" customFormat="1" x14ac:dyDescent="0.2">
      <c r="A110" s="2479"/>
      <c r="B110" s="154"/>
      <c r="C110" s="147" t="s">
        <v>580</v>
      </c>
      <c r="E110" s="84" t="s">
        <v>147</v>
      </c>
      <c r="F110" s="76">
        <f t="shared" ref="F110:N110" ca="1" si="19">F$104*Preferences.Unit.Energy/(Unit.year*Preferences.Unit.Power)</f>
        <v>7.7257783127825865</v>
      </c>
      <c r="G110" s="76">
        <f t="shared" ca="1" si="19"/>
        <v>7.3032285615299628</v>
      </c>
      <c r="H110" s="76">
        <f t="shared" ca="1" si="19"/>
        <v>2.1115924453493053</v>
      </c>
      <c r="I110" s="76">
        <f t="shared" ca="1" si="19"/>
        <v>0</v>
      </c>
      <c r="J110" s="76">
        <f t="shared" ca="1" si="19"/>
        <v>0</v>
      </c>
      <c r="K110" s="76">
        <f t="shared" ca="1" si="19"/>
        <v>0</v>
      </c>
      <c r="L110" s="76">
        <f t="shared" ca="1" si="19"/>
        <v>0</v>
      </c>
      <c r="M110" s="76">
        <f t="shared" ca="1" si="19"/>
        <v>0</v>
      </c>
      <c r="N110" s="76">
        <f t="shared" ca="1" si="19"/>
        <v>0</v>
      </c>
      <c r="P110" s="2479"/>
    </row>
    <row r="111" spans="1:16" s="84" customFormat="1" x14ac:dyDescent="0.2">
      <c r="A111" s="2479"/>
      <c r="B111" s="154"/>
      <c r="C111" s="147" t="s">
        <v>304</v>
      </c>
      <c r="F111" s="2557">
        <f t="shared" ref="F111:N111" si="20">$D$32</f>
        <v>0.5</v>
      </c>
      <c r="G111" s="2557">
        <f t="shared" si="20"/>
        <v>0.5</v>
      </c>
      <c r="H111" s="2557">
        <f t="shared" si="20"/>
        <v>0.5</v>
      </c>
      <c r="I111" s="2557">
        <f t="shared" si="20"/>
        <v>0.5</v>
      </c>
      <c r="J111" s="2557">
        <f t="shared" si="20"/>
        <v>0.5</v>
      </c>
      <c r="K111" s="2557">
        <f t="shared" si="20"/>
        <v>0.5</v>
      </c>
      <c r="L111" s="2557">
        <f t="shared" si="20"/>
        <v>0.5</v>
      </c>
      <c r="M111" s="2557">
        <f t="shared" si="20"/>
        <v>0.5</v>
      </c>
      <c r="N111" s="2557">
        <f t="shared" si="20"/>
        <v>0.5</v>
      </c>
      <c r="P111" s="2479"/>
    </row>
    <row r="112" spans="1:16" s="84" customFormat="1" x14ac:dyDescent="0.2">
      <c r="A112" s="2479"/>
      <c r="B112" s="154"/>
      <c r="C112" s="147" t="s">
        <v>298</v>
      </c>
      <c r="E112" s="84" t="s">
        <v>247</v>
      </c>
      <c r="F112" s="76">
        <f t="shared" ref="F112:N112" ca="1" si="21">F$110/F$111</f>
        <v>15.451556625565173</v>
      </c>
      <c r="G112" s="76">
        <f t="shared" ca="1" si="21"/>
        <v>14.606457123059926</v>
      </c>
      <c r="H112" s="76">
        <f t="shared" ca="1" si="21"/>
        <v>4.2231848906986107</v>
      </c>
      <c r="I112" s="76">
        <f t="shared" ca="1" si="21"/>
        <v>0</v>
      </c>
      <c r="J112" s="76">
        <f t="shared" ca="1" si="21"/>
        <v>0</v>
      </c>
      <c r="K112" s="76">
        <f t="shared" ca="1" si="21"/>
        <v>0</v>
      </c>
      <c r="L112" s="76">
        <f t="shared" ca="1" si="21"/>
        <v>0</v>
      </c>
      <c r="M112" s="76">
        <f t="shared" ca="1" si="21"/>
        <v>0</v>
      </c>
      <c r="N112" s="76">
        <f t="shared" ca="1" si="21"/>
        <v>0</v>
      </c>
      <c r="P112" s="2479"/>
    </row>
    <row r="113" spans="1:16" s="84" customFormat="1" x14ac:dyDescent="0.2">
      <c r="A113" s="2479"/>
      <c r="B113" s="154"/>
      <c r="C113" s="147"/>
      <c r="F113" s="76"/>
      <c r="G113" s="76"/>
      <c r="H113" s="76"/>
      <c r="I113" s="76"/>
      <c r="J113" s="76"/>
      <c r="K113" s="76"/>
      <c r="L113" s="76"/>
      <c r="M113" s="76"/>
      <c r="N113" s="76"/>
      <c r="P113" s="2479"/>
    </row>
    <row r="114" spans="1:16" s="84" customFormat="1" x14ac:dyDescent="0.2">
      <c r="A114" s="2479"/>
      <c r="B114" s="150"/>
      <c r="C114" s="147"/>
      <c r="F114" s="76"/>
      <c r="G114" s="76"/>
      <c r="H114" s="76"/>
      <c r="I114" s="76"/>
      <c r="J114" s="76"/>
      <c r="K114" s="76"/>
      <c r="L114" s="76"/>
      <c r="M114" s="76"/>
      <c r="N114" s="76"/>
    </row>
    <row r="115" spans="1:16" s="84" customFormat="1" x14ac:dyDescent="0.2">
      <c r="A115" s="2479"/>
      <c r="B115" s="150"/>
      <c r="C115" s="147" t="s">
        <v>2399</v>
      </c>
      <c r="F115" s="2562">
        <f t="shared" ref="F115:N115" ca="1" si="22">F$90+F$108</f>
        <v>142.5029467015639</v>
      </c>
      <c r="G115" s="2562">
        <f t="shared" ca="1" si="22"/>
        <v>134.70896372099034</v>
      </c>
      <c r="H115" s="2562">
        <f t="shared" ca="1" si="22"/>
        <v>38.948586603523609</v>
      </c>
      <c r="I115" s="2562">
        <f t="shared" ca="1" si="22"/>
        <v>0</v>
      </c>
      <c r="J115" s="2562">
        <f t="shared" ca="1" si="22"/>
        <v>0</v>
      </c>
      <c r="K115" s="2562">
        <f t="shared" ca="1" si="22"/>
        <v>0</v>
      </c>
      <c r="L115" s="2562">
        <f t="shared" ca="1" si="22"/>
        <v>0</v>
      </c>
      <c r="M115" s="2562">
        <f t="shared" ca="1" si="22"/>
        <v>0</v>
      </c>
      <c r="N115" s="2562">
        <f t="shared" ca="1" si="22"/>
        <v>0</v>
      </c>
    </row>
    <row r="116" spans="1:16" s="84" customFormat="1" x14ac:dyDescent="0.2">
      <c r="A116" s="2479"/>
      <c r="B116" s="150"/>
      <c r="C116" s="147"/>
      <c r="F116" s="76"/>
      <c r="G116" s="76"/>
      <c r="H116" s="76"/>
      <c r="I116" s="76"/>
      <c r="J116" s="76"/>
      <c r="K116" s="76"/>
      <c r="L116" s="76"/>
      <c r="M116" s="76"/>
      <c r="N116" s="76"/>
    </row>
    <row r="117" spans="1:16" s="84" customFormat="1" x14ac:dyDescent="0.2">
      <c r="A117" s="2479"/>
      <c r="C117" s="147" t="s">
        <v>1228</v>
      </c>
      <c r="D117" s="147"/>
      <c r="E117" s="147" t="s">
        <v>247</v>
      </c>
      <c r="F117" s="152">
        <f t="shared" ref="F117:N117" ca="1" si="23">F$95+F$112</f>
        <v>26.897154125983818</v>
      </c>
      <c r="G117" s="152">
        <f t="shared" ca="1" si="23"/>
        <v>25.426054991993205</v>
      </c>
      <c r="H117" s="152">
        <f t="shared" ca="1" si="23"/>
        <v>7.351469994919805</v>
      </c>
      <c r="I117" s="152">
        <f t="shared" ca="1" si="23"/>
        <v>0</v>
      </c>
      <c r="J117" s="152">
        <f t="shared" ca="1" si="23"/>
        <v>0</v>
      </c>
      <c r="K117" s="152">
        <f t="shared" ca="1" si="23"/>
        <v>0</v>
      </c>
      <c r="L117" s="152">
        <f t="shared" ca="1" si="23"/>
        <v>0</v>
      </c>
      <c r="M117" s="152">
        <f t="shared" ca="1" si="23"/>
        <v>0</v>
      </c>
      <c r="N117" s="152">
        <f t="shared" ca="1" si="23"/>
        <v>0</v>
      </c>
      <c r="P117" s="2479"/>
    </row>
    <row r="118" spans="1:16" s="84" customFormat="1" x14ac:dyDescent="0.2">
      <c r="A118" s="2479"/>
      <c r="C118" s="154"/>
      <c r="F118" s="76"/>
      <c r="G118" s="76"/>
      <c r="H118" s="76"/>
      <c r="I118" s="76"/>
      <c r="J118" s="76"/>
      <c r="K118" s="76"/>
      <c r="L118" s="76"/>
      <c r="M118" s="76"/>
      <c r="N118" s="76"/>
      <c r="P118" s="2479"/>
    </row>
    <row r="119" spans="1:16" s="84" customFormat="1" x14ac:dyDescent="0.2">
      <c r="A119" s="2479"/>
      <c r="B119" s="147" t="s">
        <v>361</v>
      </c>
      <c r="P119" s="2479"/>
    </row>
    <row r="120" spans="1:16" s="84" customFormat="1" x14ac:dyDescent="0.2">
      <c r="A120" s="2479"/>
      <c r="C120" s="84" t="s">
        <v>473</v>
      </c>
      <c r="E120" s="84" t="s">
        <v>492</v>
      </c>
      <c r="F120" s="1428">
        <f ca="1">(F$108*INDEX(EF[CO2], MATCH("V.04",EF[Vector], 0))+F$90*INDEX(EF[CO2],MATCH("V.04",EF[Vector],0)))/10</f>
        <v>3.5625736675390973</v>
      </c>
      <c r="G120" s="1428">
        <f ca="1">(G$108*INDEX(EF[CO2], MATCH("V.04",EF[Vector], 0))+G$90*INDEX(EF[CO2],MATCH("V.04",EF[Vector],0)))/10</f>
        <v>3.3677240930247585</v>
      </c>
      <c r="H120" s="1428">
        <f ca="1">(H$108*INDEX(EF[CO2], MATCH("V.04",EF[Vector], 0))+H$90*INDEX(EF[CO2],MATCH("V.04",EF[Vector],0)))/10</f>
        <v>0.97371466508809024</v>
      </c>
      <c r="I120" s="1428">
        <f ca="1">(I$108*INDEX(EF[CO2], MATCH("V.04",EF[Vector], 0))+I$90*INDEX(EF[CO2],MATCH("V.04",EF[Vector],0)))/10</f>
        <v>0</v>
      </c>
      <c r="J120" s="1428">
        <f ca="1">(J$108*INDEX(EF[CO2], MATCH("V.04",EF[Vector], 0))+J$90*INDEX(EF[CO2],MATCH("V.04",EF[Vector],0)))/10</f>
        <v>0</v>
      </c>
      <c r="K120" s="1428">
        <f ca="1">(K$108*INDEX(EF[CO2], MATCH("V.04",EF[Vector], 0))+K$90*INDEX(EF[CO2],MATCH("V.04",EF[Vector],0)))/10</f>
        <v>0</v>
      </c>
      <c r="L120" s="1428">
        <f ca="1">(L$108*INDEX(EF[CO2], MATCH("V.04",EF[Vector], 0))+L$90*INDEX(EF[CO2],MATCH("V.04",EF[Vector],0)))/10</f>
        <v>0</v>
      </c>
      <c r="M120" s="1428">
        <f ca="1">(M$108*INDEX(EF[CO2], MATCH("V.04",EF[Vector], 0))+M$90*INDEX(EF[CO2],MATCH("V.04",EF[Vector],0)))/10</f>
        <v>0</v>
      </c>
      <c r="N120" s="1428">
        <f ca="1">(N$108*INDEX(EF[CO2], MATCH("V.04",EF[Vector], 0))+N$90*INDEX(EF[CO2],MATCH("V.04",EF[Vector],0)))/10</f>
        <v>0</v>
      </c>
      <c r="P120" s="2479"/>
    </row>
    <row r="121" spans="1:16" s="202" customFormat="1" x14ac:dyDescent="0.2">
      <c r="A121" s="2479"/>
      <c r="B121" s="84"/>
      <c r="C121" s="84" t="s">
        <v>474</v>
      </c>
      <c r="D121" s="84"/>
      <c r="E121" s="84"/>
      <c r="F121" s="1428">
        <f ca="1">(F$108*INDEX(EF[CH4], MATCH("V.04",EF[Vector], 0))+F$90*INDEX(EF[CH4],MATCH("V.04",EF[Vector],0)))/10</f>
        <v>4.435390151931823E-3</v>
      </c>
      <c r="G121" s="1428">
        <f ca="1">(G$108*INDEX(EF[CH4], MATCH("V.04",EF[Vector], 0))+G$90*INDEX(EF[CH4],MATCH("V.04",EF[Vector],0)))/10</f>
        <v>4.1928032008791052E-3</v>
      </c>
      <c r="H121" s="1428">
        <f ca="1">(H$108*INDEX(EF[CH4], MATCH("V.04",EF[Vector], 0))+H$90*INDEX(EF[CH4],MATCH("V.04",EF[Vector],0)))/10</f>
        <v>1.2122709140514668E-3</v>
      </c>
      <c r="I121" s="1428">
        <f ca="1">(I$108*INDEX(EF[CH4], MATCH("V.04",EF[Vector], 0))+I$90*INDEX(EF[CH4],MATCH("V.04",EF[Vector],0)))/10</f>
        <v>0</v>
      </c>
      <c r="J121" s="1428">
        <f ca="1">(J$108*INDEX(EF[CH4], MATCH("V.04",EF[Vector], 0))+J$90*INDEX(EF[CH4],MATCH("V.04",EF[Vector],0)))/10</f>
        <v>0</v>
      </c>
      <c r="K121" s="1428">
        <f ca="1">(K$108*INDEX(EF[CH4], MATCH("V.04",EF[Vector], 0))+K$90*INDEX(EF[CH4],MATCH("V.04",EF[Vector],0)))/10</f>
        <v>0</v>
      </c>
      <c r="L121" s="1428">
        <f ca="1">(L$108*INDEX(EF[CH4], MATCH("V.04",EF[Vector], 0))+L$90*INDEX(EF[CH4],MATCH("V.04",EF[Vector],0)))/10</f>
        <v>0</v>
      </c>
      <c r="M121" s="1428">
        <f ca="1">(M$108*INDEX(EF[CH4], MATCH("V.04",EF[Vector], 0))+M$90*INDEX(EF[CH4],MATCH("V.04",EF[Vector],0)))/10</f>
        <v>0</v>
      </c>
      <c r="N121" s="1428">
        <f ca="1">(N$108*INDEX(EF[CH4], MATCH("V.04",EF[Vector], 0))+N$90*INDEX(EF[CH4],MATCH("V.04",EF[Vector],0)))/10</f>
        <v>0</v>
      </c>
      <c r="O121" s="84"/>
      <c r="P121" s="2479"/>
    </row>
    <row r="122" spans="1:16" s="84" customFormat="1" x14ac:dyDescent="0.2">
      <c r="A122" s="2479"/>
      <c r="C122" s="84" t="s">
        <v>475</v>
      </c>
      <c r="F122" s="1428">
        <f ca="1">(F$108*INDEX(EF[N2O], MATCH("V.04",EF[Vector], 0))+F$90*INDEX(EF[N2O],MATCH("V.04",EF[Vector],0)))/10</f>
        <v>6.4098000315356535E-2</v>
      </c>
      <c r="G122" s="1428">
        <f ca="1">(G$108*INDEX(EF[N2O], MATCH("V.04",EF[Vector], 0))+G$90*INDEX(EF[N2O],MATCH("V.04",EF[Vector],0)))/10</f>
        <v>6.0592257205405772E-2</v>
      </c>
      <c r="H122" s="1428">
        <f ca="1">H$108*INDEX(EF[N2O], MATCH("V.04",EF[Vector], 0))+H$90*INDEX(EF[N2O],MATCH("V.04",EF[Vector],0))</f>
        <v>0.1751912205453327</v>
      </c>
      <c r="I122" s="1428">
        <f ca="1">(I$108*INDEX(EF[N2O], MATCH("V.04",EF[Vector], 0))+I$90*INDEX(EF[N2O],MATCH("V.04",EF[Vector],0)))/10</f>
        <v>0</v>
      </c>
      <c r="J122" s="1428">
        <f ca="1">(J$108*INDEX(EF[N2O], MATCH("V.04",EF[Vector], 0))+J$90*INDEX(EF[N2O],MATCH("V.04",EF[Vector],0)))/10</f>
        <v>0</v>
      </c>
      <c r="K122" s="1428">
        <f ca="1">(K$108*INDEX(EF[N2O], MATCH("V.04",EF[Vector], 0))+K$90*INDEX(EF[N2O],MATCH("V.04",EF[Vector],0)))/10</f>
        <v>0</v>
      </c>
      <c r="L122" s="1428">
        <f ca="1">(L$108*INDEX(EF[N2O], MATCH("V.04",EF[Vector], 0))+L$90*INDEX(EF[N2O],MATCH("V.04",EF[Vector],0)))/10</f>
        <v>0</v>
      </c>
      <c r="M122" s="1428">
        <f ca="1">(M$108*INDEX(EF[N2O], MATCH("V.04",EF[Vector], 0))+M$90*INDEX(EF[N2O],MATCH("V.04",EF[Vector],0)))/10</f>
        <v>0</v>
      </c>
      <c r="N122" s="1428">
        <f ca="1">(N$108*INDEX(EF[N2O], MATCH("V.04",EF[Vector], 0))+N$90*INDEX(EF[N2O],MATCH("V.04",EF[Vector],0)))/10</f>
        <v>0</v>
      </c>
      <c r="P122" s="2479"/>
    </row>
    <row r="123" spans="1:16" s="147" customFormat="1" x14ac:dyDescent="0.2">
      <c r="A123" s="2479"/>
      <c r="B123" s="84"/>
      <c r="C123" s="84"/>
      <c r="D123" s="84"/>
      <c r="E123" s="84"/>
      <c r="F123" s="1428"/>
      <c r="G123" s="1428"/>
      <c r="H123" s="1428"/>
      <c r="I123" s="1428"/>
      <c r="J123" s="1428"/>
      <c r="K123" s="1428"/>
      <c r="L123" s="1428"/>
      <c r="M123" s="1428"/>
      <c r="N123" s="1428"/>
      <c r="O123" s="84"/>
      <c r="P123" s="2479"/>
    </row>
    <row r="124" spans="1:16" s="84" customFormat="1" x14ac:dyDescent="0.2">
      <c r="A124" s="2479"/>
      <c r="C124" s="84" t="s">
        <v>2400</v>
      </c>
      <c r="D124" s="2479"/>
      <c r="E124" s="2479"/>
      <c r="F124" s="2563">
        <f t="shared" ref="F124:N124" si="24">F$82</f>
        <v>2010</v>
      </c>
      <c r="G124" s="2563">
        <f t="shared" si="24"/>
        <v>2015</v>
      </c>
      <c r="H124" s="2563">
        <f t="shared" si="24"/>
        <v>2020</v>
      </c>
      <c r="I124" s="2563">
        <f t="shared" si="24"/>
        <v>2025</v>
      </c>
      <c r="J124" s="2563">
        <f t="shared" si="24"/>
        <v>2030</v>
      </c>
      <c r="K124" s="2563">
        <f t="shared" si="24"/>
        <v>2035</v>
      </c>
      <c r="L124" s="2563">
        <f t="shared" si="24"/>
        <v>2040</v>
      </c>
      <c r="M124" s="2563">
        <f t="shared" si="24"/>
        <v>2045</v>
      </c>
      <c r="N124" s="2563">
        <f t="shared" si="24"/>
        <v>2050</v>
      </c>
      <c r="P124" s="2479"/>
    </row>
    <row r="125" spans="1:16" s="84" customFormat="1" x14ac:dyDescent="0.2">
      <c r="A125" s="2479"/>
      <c r="D125" s="2479" t="s">
        <v>2389</v>
      </c>
      <c r="E125" s="20" t="s">
        <v>73</v>
      </c>
      <c r="F125" s="675">
        <f t="shared" ref="F125:N125" ca="1" si="25">F115-F126</f>
        <v>57.001178680625557</v>
      </c>
      <c r="G125" s="675">
        <f t="shared" ca="1" si="25"/>
        <v>53.883585488396136</v>
      </c>
      <c r="H125" s="675">
        <f t="shared" ca="1" si="25"/>
        <v>15.579434641409446</v>
      </c>
      <c r="I125" s="675">
        <f t="shared" ca="1" si="25"/>
        <v>0</v>
      </c>
      <c r="J125" s="675">
        <f t="shared" ca="1" si="25"/>
        <v>0</v>
      </c>
      <c r="K125" s="675">
        <f t="shared" ca="1" si="25"/>
        <v>0</v>
      </c>
      <c r="L125" s="675">
        <f t="shared" ca="1" si="25"/>
        <v>0</v>
      </c>
      <c r="M125" s="675">
        <f t="shared" ca="1" si="25"/>
        <v>0</v>
      </c>
      <c r="N125" s="675">
        <f t="shared" ca="1" si="25"/>
        <v>0</v>
      </c>
      <c r="P125" s="2479"/>
    </row>
    <row r="126" spans="1:16" s="84" customFormat="1" x14ac:dyDescent="0.2">
      <c r="A126" s="2479"/>
      <c r="D126" s="2479" t="s">
        <v>2391</v>
      </c>
      <c r="E126" s="2479"/>
      <c r="F126" s="675">
        <f t="shared" ref="F126:N126" ca="1" si="26">F$115*60%</f>
        <v>85.501768020938343</v>
      </c>
      <c r="G126" s="675">
        <f t="shared" ca="1" si="26"/>
        <v>80.825378232594204</v>
      </c>
      <c r="H126" s="675">
        <f t="shared" ca="1" si="26"/>
        <v>23.369151962114163</v>
      </c>
      <c r="I126" s="675">
        <f t="shared" ca="1" si="26"/>
        <v>0</v>
      </c>
      <c r="J126" s="675">
        <f t="shared" ca="1" si="26"/>
        <v>0</v>
      </c>
      <c r="K126" s="675">
        <f t="shared" ca="1" si="26"/>
        <v>0</v>
      </c>
      <c r="L126" s="675">
        <f t="shared" ca="1" si="26"/>
        <v>0</v>
      </c>
      <c r="M126" s="675">
        <f t="shared" ca="1" si="26"/>
        <v>0</v>
      </c>
      <c r="N126" s="675">
        <f t="shared" ca="1" si="26"/>
        <v>0</v>
      </c>
      <c r="P126" s="2479"/>
    </row>
    <row r="127" spans="1:16" s="84" customFormat="1" x14ac:dyDescent="0.2">
      <c r="A127" s="2479"/>
      <c r="D127" s="2479"/>
      <c r="E127" s="2479"/>
      <c r="F127" s="1747" t="str">
        <f t="shared" ref="F127:N127" ca="1" si="27">IF(SUM(F125:F126,F143)=0,"ok","error")</f>
        <v>ok</v>
      </c>
      <c r="G127" s="1747" t="str">
        <f t="shared" ca="1" si="27"/>
        <v>ok</v>
      </c>
      <c r="H127" s="1747" t="str">
        <f t="shared" ca="1" si="27"/>
        <v>ok</v>
      </c>
      <c r="I127" s="1747" t="str">
        <f t="shared" ca="1" si="27"/>
        <v>ok</v>
      </c>
      <c r="J127" s="1747" t="str">
        <f t="shared" ca="1" si="27"/>
        <v>ok</v>
      </c>
      <c r="K127" s="1747" t="str">
        <f t="shared" ca="1" si="27"/>
        <v>ok</v>
      </c>
      <c r="L127" s="1747" t="str">
        <f t="shared" ca="1" si="27"/>
        <v>ok</v>
      </c>
      <c r="M127" s="1747" t="str">
        <f t="shared" ca="1" si="27"/>
        <v>ok</v>
      </c>
      <c r="N127" s="1747" t="str">
        <f t="shared" ca="1" si="27"/>
        <v>ok</v>
      </c>
      <c r="P127" s="2479"/>
    </row>
    <row r="128" spans="1:16" s="84" customFormat="1" x14ac:dyDescent="0.2">
      <c r="A128" s="2479"/>
      <c r="D128" s="2479"/>
      <c r="E128" s="2479"/>
      <c r="F128" s="1747"/>
      <c r="G128" s="1747"/>
      <c r="H128" s="1747"/>
      <c r="I128" s="1747"/>
      <c r="J128" s="1747"/>
      <c r="K128" s="1747"/>
      <c r="L128" s="1747"/>
      <c r="M128" s="1747"/>
      <c r="N128" s="1747"/>
      <c r="P128" s="2479"/>
    </row>
    <row r="129" spans="1:17" s="84" customFormat="1" x14ac:dyDescent="0.2">
      <c r="A129" s="2479"/>
      <c r="D129" s="2479"/>
      <c r="E129" s="2479"/>
      <c r="F129" s="1661"/>
      <c r="G129" s="1661"/>
      <c r="H129" s="1661"/>
      <c r="I129" s="1661"/>
      <c r="J129" s="1661"/>
      <c r="K129" s="1661"/>
      <c r="L129" s="1661"/>
      <c r="M129" s="1661"/>
      <c r="N129" s="1661"/>
      <c r="P129" s="2479"/>
    </row>
    <row r="130" spans="1:17" s="84" customFormat="1" x14ac:dyDescent="0.2">
      <c r="A130" s="2479"/>
      <c r="B130" s="2479"/>
      <c r="C130" s="2479" t="str">
        <f>INDEX(AirQualityVectors[Code],MATCH(D130,AirQualityVectors[Description],0))</f>
        <v>AQ.01</v>
      </c>
      <c r="D130" s="2479" t="s">
        <v>1791</v>
      </c>
      <c r="E130" s="2479" t="s">
        <v>1848</v>
      </c>
      <c r="F130" s="615">
        <f t="shared" ref="F130:N130" ca="1" si="28">SUMPRODUCT(F$125:F$126,F$52:F$53)</f>
        <v>7.5762605000079297</v>
      </c>
      <c r="G130" s="615">
        <f t="shared" ca="1" si="28"/>
        <v>6.6360528436615294</v>
      </c>
      <c r="H130" s="615">
        <f t="shared" ca="1" si="28"/>
        <v>1.8474406496356015</v>
      </c>
      <c r="I130" s="615">
        <f t="shared" ca="1" si="28"/>
        <v>0</v>
      </c>
      <c r="J130" s="615">
        <f t="shared" ca="1" si="28"/>
        <v>0</v>
      </c>
      <c r="K130" s="615">
        <f t="shared" ca="1" si="28"/>
        <v>0</v>
      </c>
      <c r="L130" s="615">
        <f t="shared" ca="1" si="28"/>
        <v>0</v>
      </c>
      <c r="M130" s="615">
        <f t="shared" ca="1" si="28"/>
        <v>0</v>
      </c>
      <c r="N130" s="615">
        <f t="shared" ca="1" si="28"/>
        <v>0</v>
      </c>
      <c r="O130" s="2479"/>
      <c r="P130" s="2479"/>
    </row>
    <row r="131" spans="1:17" s="84" customFormat="1" x14ac:dyDescent="0.2">
      <c r="A131" s="2479"/>
      <c r="B131" s="2479"/>
      <c r="C131" s="2479" t="str">
        <f>INDEX(AirQualityVectors[Code],MATCH(D131,AirQualityVectors[Description],0))</f>
        <v>AQ.02</v>
      </c>
      <c r="D131" s="2479" t="s">
        <v>1794</v>
      </c>
      <c r="E131" s="2479"/>
      <c r="F131" s="615">
        <f t="shared" ref="F131:N131" ca="1" si="29">SUMPRODUCT(F$125:F$126,F$58:F$59)</f>
        <v>122.18925456645681</v>
      </c>
      <c r="G131" s="615">
        <f t="shared" ca="1" si="29"/>
        <v>110.22424955207373</v>
      </c>
      <c r="H131" s="615">
        <f t="shared" ca="1" si="29"/>
        <v>30.152149262758972</v>
      </c>
      <c r="I131" s="615">
        <f t="shared" ca="1" si="29"/>
        <v>0</v>
      </c>
      <c r="J131" s="615">
        <f t="shared" ca="1" si="29"/>
        <v>0</v>
      </c>
      <c r="K131" s="615">
        <f t="shared" ca="1" si="29"/>
        <v>0</v>
      </c>
      <c r="L131" s="615">
        <f t="shared" ca="1" si="29"/>
        <v>0</v>
      </c>
      <c r="M131" s="615">
        <f t="shared" ca="1" si="29"/>
        <v>0</v>
      </c>
      <c r="N131" s="615">
        <f t="shared" ca="1" si="29"/>
        <v>0</v>
      </c>
      <c r="O131" s="2479"/>
      <c r="P131" s="2479"/>
    </row>
    <row r="132" spans="1:17" s="84" customFormat="1" x14ac:dyDescent="0.2">
      <c r="A132" s="2479"/>
      <c r="B132" s="2479"/>
      <c r="C132" s="2479" t="str">
        <f>INDEX(AirQualityVectors[Code],MATCH(D132,AirQualityVectors[Description],0))</f>
        <v>AQ.03</v>
      </c>
      <c r="D132" s="2479" t="s">
        <v>1795</v>
      </c>
      <c r="E132" s="2479"/>
      <c r="F132" s="615">
        <f t="shared" ref="F132:N132" ca="1" si="30">SUMPRODUCT(F$125:F$126,F$64:F$65)</f>
        <v>58.689640852101931</v>
      </c>
      <c r="G132" s="615">
        <f t="shared" ca="1" si="30"/>
        <v>55.482292391540021</v>
      </c>
      <c r="H132" s="615">
        <f t="shared" ca="1" si="30"/>
        <v>16.041736396413249</v>
      </c>
      <c r="I132" s="615">
        <f t="shared" ca="1" si="30"/>
        <v>0</v>
      </c>
      <c r="J132" s="615">
        <f t="shared" ca="1" si="30"/>
        <v>0</v>
      </c>
      <c r="K132" s="615">
        <f t="shared" ca="1" si="30"/>
        <v>0</v>
      </c>
      <c r="L132" s="615">
        <f t="shared" ca="1" si="30"/>
        <v>0</v>
      </c>
      <c r="M132" s="615">
        <f t="shared" ca="1" si="30"/>
        <v>0</v>
      </c>
      <c r="N132" s="615">
        <f t="shared" ca="1" si="30"/>
        <v>0</v>
      </c>
      <c r="O132" s="2479"/>
      <c r="P132" s="2479"/>
    </row>
    <row r="133" spans="1:17" s="84" customFormat="1" x14ac:dyDescent="0.2">
      <c r="A133" s="2479"/>
      <c r="B133" s="2479"/>
      <c r="C133" s="2479" t="str">
        <f>INDEX(AirQualityVectors[Code],MATCH(D133,AirQualityVectors[Description],0))</f>
        <v>AQ.04</v>
      </c>
      <c r="D133" s="2479" t="s">
        <v>1792</v>
      </c>
      <c r="E133" s="2479"/>
      <c r="F133" s="615">
        <f t="shared" ref="F133:N133" ca="1" si="31">SUMPRODUCT(F$125:F$126,F$69:F$70)</f>
        <v>10.864797210396835</v>
      </c>
      <c r="G133" s="615">
        <f t="shared" ca="1" si="31"/>
        <v>5.5952277288407331</v>
      </c>
      <c r="H133" s="615">
        <f t="shared" ca="1" si="31"/>
        <v>1.4698807689841749</v>
      </c>
      <c r="I133" s="615">
        <f t="shared" ca="1" si="31"/>
        <v>0</v>
      </c>
      <c r="J133" s="615">
        <f t="shared" ca="1" si="31"/>
        <v>0</v>
      </c>
      <c r="K133" s="615">
        <f t="shared" ca="1" si="31"/>
        <v>0</v>
      </c>
      <c r="L133" s="615">
        <f t="shared" ca="1" si="31"/>
        <v>0</v>
      </c>
      <c r="M133" s="615">
        <f t="shared" ca="1" si="31"/>
        <v>0</v>
      </c>
      <c r="N133" s="615">
        <f t="shared" ca="1" si="31"/>
        <v>0</v>
      </c>
      <c r="O133" s="2479"/>
      <c r="P133" s="2479"/>
    </row>
    <row r="134" spans="1:17" s="84" customFormat="1" x14ac:dyDescent="0.2">
      <c r="A134" s="2479"/>
      <c r="B134" s="2479"/>
      <c r="C134" s="2479"/>
      <c r="D134" s="2479"/>
      <c r="E134" s="2479"/>
      <c r="F134" s="2479"/>
      <c r="G134" s="2479"/>
      <c r="H134" s="2479"/>
      <c r="I134" s="2479"/>
      <c r="J134" s="2479"/>
      <c r="K134" s="2479"/>
      <c r="L134" s="2479"/>
      <c r="M134" s="2479"/>
      <c r="N134" s="2479"/>
      <c r="O134" s="2479"/>
      <c r="P134" s="2479"/>
    </row>
    <row r="135" spans="1:17" s="84" customFormat="1" x14ac:dyDescent="0.2">
      <c r="A135" s="2479"/>
      <c r="P135" s="37"/>
    </row>
    <row r="136" spans="1:17" s="84" customFormat="1" ht="4.5" customHeight="1" x14ac:dyDescent="0.2">
      <c r="A136" s="2479"/>
      <c r="B136" s="2479"/>
      <c r="C136" s="2479"/>
      <c r="D136" s="2479"/>
      <c r="E136" s="2479"/>
      <c r="F136" s="2479"/>
      <c r="G136" s="2479"/>
      <c r="H136" s="2479"/>
      <c r="I136" s="2479"/>
      <c r="J136" s="2479"/>
      <c r="K136" s="2479"/>
      <c r="L136" s="2479"/>
      <c r="M136" s="2479"/>
      <c r="N136" s="2479"/>
      <c r="O136" s="2479"/>
      <c r="P136" s="2479"/>
      <c r="Q136" s="37"/>
    </row>
    <row r="137" spans="1:17" s="84" customFormat="1" ht="15.75" x14ac:dyDescent="0.2">
      <c r="A137" s="2479"/>
      <c r="B137" s="468" t="s">
        <v>236</v>
      </c>
      <c r="C137" s="421"/>
      <c r="D137" s="421"/>
      <c r="E137" s="421"/>
      <c r="F137" s="421"/>
      <c r="G137" s="421"/>
      <c r="H137" s="421"/>
      <c r="I137" s="421"/>
      <c r="J137" s="421"/>
      <c r="K137" s="421"/>
      <c r="L137" s="421"/>
      <c r="M137" s="421"/>
      <c r="N137" s="421"/>
      <c r="O137" s="421"/>
      <c r="P137" s="421"/>
      <c r="Q137" s="37"/>
    </row>
    <row r="138" spans="1:17" s="84" customFormat="1" x14ac:dyDescent="0.2">
      <c r="A138" s="2479"/>
      <c r="B138" s="410"/>
      <c r="C138" s="412"/>
      <c r="D138" s="412"/>
      <c r="E138" s="412"/>
      <c r="F138" s="412"/>
      <c r="G138" s="412"/>
      <c r="H138" s="412"/>
      <c r="I138" s="412"/>
      <c r="J138" s="412"/>
      <c r="K138" s="412"/>
      <c r="L138" s="412"/>
      <c r="M138" s="412"/>
      <c r="N138" s="412"/>
      <c r="O138" s="412"/>
      <c r="P138" s="414"/>
      <c r="Q138" s="1513"/>
    </row>
    <row r="139" spans="1:17" s="84" customFormat="1" x14ac:dyDescent="0.2">
      <c r="A139" s="2479"/>
      <c r="B139" s="410"/>
      <c r="C139" s="424" t="s">
        <v>277</v>
      </c>
      <c r="D139" s="412"/>
      <c r="E139" s="412"/>
      <c r="F139" s="412"/>
      <c r="G139" s="413"/>
      <c r="H139" s="412"/>
      <c r="I139" s="412"/>
      <c r="J139" s="412"/>
      <c r="K139" s="412"/>
      <c r="L139" s="412"/>
      <c r="M139" s="412"/>
      <c r="N139" s="413" t="str">
        <f>Preferences.EnergyUnits</f>
        <v>TWh</v>
      </c>
      <c r="P139" s="414"/>
      <c r="Q139" s="2479"/>
    </row>
    <row r="140" spans="1:17" s="84" customFormat="1" x14ac:dyDescent="0.2">
      <c r="A140" s="2479"/>
      <c r="B140" s="410"/>
      <c r="C140" s="412"/>
      <c r="D140" s="412"/>
      <c r="E140" s="412"/>
      <c r="F140" s="412"/>
      <c r="G140" s="412"/>
      <c r="H140" s="412"/>
      <c r="I140" s="412"/>
      <c r="J140" s="412"/>
      <c r="K140" s="412"/>
      <c r="L140" s="412"/>
      <c r="M140" s="412"/>
      <c r="N140" s="412"/>
      <c r="O140" s="412"/>
      <c r="P140" s="414"/>
      <c r="Q140" s="2479"/>
    </row>
    <row r="141" spans="1:17" s="84" customFormat="1" ht="15.75" x14ac:dyDescent="0.25">
      <c r="A141" s="2479"/>
      <c r="B141" s="415"/>
      <c r="C141" s="426" t="s">
        <v>64</v>
      </c>
      <c r="D141" s="426" t="s">
        <v>150</v>
      </c>
      <c r="E141" s="426" t="s">
        <v>172</v>
      </c>
      <c r="F141" s="426" t="s">
        <v>241</v>
      </c>
      <c r="G141" s="426" t="s">
        <v>268</v>
      </c>
      <c r="H141" s="426" t="s">
        <v>269</v>
      </c>
      <c r="I141" s="426" t="s">
        <v>270</v>
      </c>
      <c r="J141" s="426" t="s">
        <v>271</v>
      </c>
      <c r="K141" s="426" t="s">
        <v>272</v>
      </c>
      <c r="L141" s="426" t="s">
        <v>273</v>
      </c>
      <c r="M141" s="426" t="s">
        <v>274</v>
      </c>
      <c r="N141" s="426" t="s">
        <v>275</v>
      </c>
      <c r="O141" s="507"/>
      <c r="P141" s="2479"/>
    </row>
    <row r="142" spans="1:17" s="84" customFormat="1" ht="14.25" x14ac:dyDescent="0.2">
      <c r="A142" s="2479"/>
      <c r="B142" s="508"/>
      <c r="C142" s="240" t="s">
        <v>35</v>
      </c>
      <c r="D142" s="240" t="str">
        <f>INDEX(Vectors[Description], MATCH(I.d.Outputs[Vector],Vectors[Code], 0))</f>
        <v>Electricity (supplied to grid)</v>
      </c>
      <c r="E142" s="240"/>
      <c r="F142" s="241">
        <f t="shared" ref="F142:N142" ca="1" si="32">F$85+F$104</f>
        <v>112.87362114975359</v>
      </c>
      <c r="G142" s="241">
        <f t="shared" ca="1" si="32"/>
        <v>106.70016928395276</v>
      </c>
      <c r="H142" s="241">
        <f t="shared" ca="1" si="32"/>
        <v>30.850365626553355</v>
      </c>
      <c r="I142" s="241">
        <f t="shared" ca="1" si="32"/>
        <v>0</v>
      </c>
      <c r="J142" s="241">
        <f t="shared" ca="1" si="32"/>
        <v>0</v>
      </c>
      <c r="K142" s="241">
        <f t="shared" ca="1" si="32"/>
        <v>0</v>
      </c>
      <c r="L142" s="241">
        <f t="shared" ca="1" si="32"/>
        <v>0</v>
      </c>
      <c r="M142" s="241">
        <f t="shared" ca="1" si="32"/>
        <v>0</v>
      </c>
      <c r="N142" s="241">
        <f t="shared" ca="1" si="32"/>
        <v>0</v>
      </c>
      <c r="O142" s="509"/>
      <c r="P142" s="2479"/>
    </row>
    <row r="143" spans="1:17" s="84" customFormat="1" ht="14.25" x14ac:dyDescent="0.2">
      <c r="A143" s="2479"/>
      <c r="B143" s="508"/>
      <c r="C143" s="97" t="s">
        <v>38</v>
      </c>
      <c r="D143" s="240" t="str">
        <f>INDEX(Vectors[Description], MATCH(I.d.Outputs[Vector],Vectors[Code], 0))</f>
        <v>Liquid hydrocarbons</v>
      </c>
      <c r="E143" s="240"/>
      <c r="F143" s="241">
        <f t="shared" ref="F143:N143" ca="1" si="33">-F$115</f>
        <v>-142.5029467015639</v>
      </c>
      <c r="G143" s="241">
        <f t="shared" ca="1" si="33"/>
        <v>-134.70896372099034</v>
      </c>
      <c r="H143" s="241">
        <f t="shared" ca="1" si="33"/>
        <v>-38.948586603523609</v>
      </c>
      <c r="I143" s="241">
        <f t="shared" ca="1" si="33"/>
        <v>0</v>
      </c>
      <c r="J143" s="241">
        <f t="shared" ca="1" si="33"/>
        <v>0</v>
      </c>
      <c r="K143" s="241">
        <f t="shared" ca="1" si="33"/>
        <v>0</v>
      </c>
      <c r="L143" s="241">
        <f t="shared" ca="1" si="33"/>
        <v>0</v>
      </c>
      <c r="M143" s="241">
        <f t="shared" ca="1" si="33"/>
        <v>0</v>
      </c>
      <c r="N143" s="241">
        <f t="shared" ca="1" si="33"/>
        <v>0</v>
      </c>
      <c r="O143" s="509"/>
      <c r="P143" s="2479"/>
    </row>
    <row r="144" spans="1:17" ht="14.25" x14ac:dyDescent="0.2">
      <c r="B144" s="508"/>
      <c r="C144" s="240" t="s">
        <v>26</v>
      </c>
      <c r="D144" s="240" t="str">
        <f>INDEX(Vectors[Description], MATCH(I.d.Outputs[Vector],Vectors[Code], 0))</f>
        <v>Conversion losses</v>
      </c>
      <c r="E144" s="240"/>
      <c r="F144" s="241">
        <f t="shared" ref="F144:N144" ca="1" si="34">(F90-F88)+(F$108-F$106)</f>
        <v>28.500589340312771</v>
      </c>
      <c r="G144" s="241">
        <f t="shared" ca="1" si="34"/>
        <v>26.941792744198054</v>
      </c>
      <c r="H144" s="241">
        <f t="shared" ca="1" si="34"/>
        <v>7.789717320704721</v>
      </c>
      <c r="I144" s="241">
        <f t="shared" ca="1" si="34"/>
        <v>0</v>
      </c>
      <c r="J144" s="241">
        <f t="shared" ca="1" si="34"/>
        <v>0</v>
      </c>
      <c r="K144" s="241">
        <f t="shared" ca="1" si="34"/>
        <v>0</v>
      </c>
      <c r="L144" s="241">
        <f t="shared" ca="1" si="34"/>
        <v>0</v>
      </c>
      <c r="M144" s="241">
        <f t="shared" ca="1" si="34"/>
        <v>0</v>
      </c>
      <c r="N144" s="241">
        <f t="shared" ca="1" si="34"/>
        <v>0</v>
      </c>
      <c r="O144" s="509"/>
    </row>
    <row r="145" spans="2:16" ht="14.25" x14ac:dyDescent="0.2">
      <c r="B145" s="508"/>
      <c r="C145" s="240" t="s">
        <v>27</v>
      </c>
      <c r="D145" s="240" t="str">
        <f>INDEX(Vectors[Description], MATCH(I.d.Outputs[Vector],Vectors[Code], 0))</f>
        <v>Distribution losses and own use</v>
      </c>
      <c r="E145" s="240"/>
      <c r="F145" s="241">
        <f t="shared" ref="F145:N145" ca="1" si="35">F87+F$105</f>
        <v>1.1287362114975359</v>
      </c>
      <c r="G145" s="241">
        <f t="shared" ca="1" si="35"/>
        <v>1.0670016928395276</v>
      </c>
      <c r="H145" s="241">
        <f t="shared" ca="1" si="35"/>
        <v>0.30850365626553355</v>
      </c>
      <c r="I145" s="241">
        <f t="shared" ca="1" si="35"/>
        <v>0</v>
      </c>
      <c r="J145" s="241">
        <f t="shared" ca="1" si="35"/>
        <v>0</v>
      </c>
      <c r="K145" s="241">
        <f t="shared" ca="1" si="35"/>
        <v>0</v>
      </c>
      <c r="L145" s="241">
        <f t="shared" ca="1" si="35"/>
        <v>0</v>
      </c>
      <c r="M145" s="241">
        <f t="shared" ca="1" si="35"/>
        <v>0</v>
      </c>
      <c r="N145" s="241">
        <f t="shared" ca="1" si="35"/>
        <v>0</v>
      </c>
      <c r="O145" s="509"/>
    </row>
    <row r="146" spans="2:16" ht="15.75" customHeight="1" x14ac:dyDescent="0.2">
      <c r="B146" s="508"/>
      <c r="C146" s="97" t="s">
        <v>105</v>
      </c>
      <c r="D146" s="97"/>
      <c r="E146" s="97"/>
      <c r="F146" s="529">
        <f ca="1">SUBTOTAL(109,I.d.Outputs[2010])</f>
        <v>-3.5527136788005009E-15</v>
      </c>
      <c r="G146" s="529">
        <f ca="1">SUBTOTAL(109,I.d.Outputs[2015])</f>
        <v>1.9984014443252818E-15</v>
      </c>
      <c r="H146" s="529">
        <f ca="1">SUBTOTAL(109,I.d.Outputs[2020])</f>
        <v>9.9920072216264089E-16</v>
      </c>
      <c r="I146" s="529">
        <f ca="1">SUBTOTAL(109,I.d.Outputs[2025])</f>
        <v>0</v>
      </c>
      <c r="J146" s="529">
        <f ca="1">SUBTOTAL(109,I.d.Outputs[2030])</f>
        <v>0</v>
      </c>
      <c r="K146" s="529">
        <f ca="1">SUBTOTAL(109,I.d.Outputs[2035])</f>
        <v>0</v>
      </c>
      <c r="L146" s="529">
        <f ca="1">SUBTOTAL(109,I.d.Outputs[2040])</f>
        <v>0</v>
      </c>
      <c r="M146" s="529">
        <f ca="1">SUBTOTAL(109,I.d.Outputs[2045])</f>
        <v>0</v>
      </c>
      <c r="N146" s="529">
        <f ca="1">SUBTOTAL(109,I.d.Outputs[2050])</f>
        <v>0</v>
      </c>
      <c r="O146" s="509"/>
    </row>
    <row r="147" spans="2:16" ht="14.25" x14ac:dyDescent="0.2">
      <c r="B147" s="510"/>
      <c r="C147" s="418"/>
      <c r="D147" s="418"/>
      <c r="E147" s="418"/>
      <c r="F147" s="2564"/>
      <c r="G147" s="418"/>
      <c r="H147" s="418"/>
      <c r="I147" s="418"/>
      <c r="J147" s="418"/>
      <c r="K147" s="418"/>
      <c r="L147" s="418"/>
      <c r="M147" s="418"/>
      <c r="N147" s="418"/>
      <c r="O147" s="418"/>
      <c r="P147" s="511"/>
    </row>
    <row r="148" spans="2:16" ht="4.5" customHeight="1" x14ac:dyDescent="0.2"/>
    <row r="149" spans="2:16" ht="15" customHeight="1" x14ac:dyDescent="0.2">
      <c r="B149" s="484" t="s">
        <v>361</v>
      </c>
      <c r="C149" s="436"/>
      <c r="D149" s="437"/>
      <c r="E149" s="437"/>
      <c r="F149" s="437"/>
      <c r="G149" s="437"/>
      <c r="H149" s="437"/>
      <c r="I149" s="437"/>
      <c r="J149" s="437"/>
      <c r="K149" s="437"/>
      <c r="L149" s="437"/>
      <c r="M149" s="437"/>
      <c r="N149" s="437"/>
      <c r="O149" s="437"/>
      <c r="P149" s="438"/>
    </row>
    <row r="150" spans="2:16" ht="15" customHeight="1" x14ac:dyDescent="0.2">
      <c r="B150" s="444"/>
      <c r="C150" s="445"/>
      <c r="D150" s="445"/>
      <c r="E150" s="445"/>
      <c r="F150" s="445"/>
      <c r="G150" s="445"/>
      <c r="H150" s="445"/>
      <c r="I150" s="445"/>
      <c r="J150" s="445"/>
      <c r="K150" s="445"/>
      <c r="L150" s="445"/>
      <c r="M150" s="445"/>
      <c r="N150" s="445"/>
      <c r="O150" s="445"/>
      <c r="P150" s="446"/>
    </row>
    <row r="151" spans="2:16" ht="15" customHeight="1" x14ac:dyDescent="0.25">
      <c r="B151" s="447"/>
      <c r="C151" s="439" t="s">
        <v>1850</v>
      </c>
      <c r="D151" s="440"/>
      <c r="E151" s="441"/>
      <c r="F151" s="440"/>
      <c r="G151" s="441"/>
      <c r="H151" s="440"/>
      <c r="I151" s="440"/>
      <c r="J151" s="440"/>
      <c r="K151" s="440"/>
      <c r="L151" s="440"/>
      <c r="M151" s="440"/>
      <c r="N151" s="1750" t="s">
        <v>1852</v>
      </c>
      <c r="P151" s="448"/>
    </row>
    <row r="152" spans="2:16" ht="15" customHeight="1" x14ac:dyDescent="0.2">
      <c r="B152" s="447"/>
      <c r="C152" s="440"/>
      <c r="D152" s="440"/>
      <c r="E152" s="440"/>
      <c r="F152" s="440"/>
      <c r="G152" s="440"/>
      <c r="H152" s="440"/>
      <c r="I152" s="440"/>
      <c r="J152" s="440"/>
      <c r="K152" s="440"/>
      <c r="L152" s="440"/>
      <c r="M152" s="440"/>
      <c r="N152" s="440"/>
      <c r="O152" s="440"/>
      <c r="P152" s="448"/>
    </row>
    <row r="153" spans="2:16" ht="15" customHeight="1" x14ac:dyDescent="0.25">
      <c r="B153" s="449"/>
      <c r="C153" s="503" t="s">
        <v>490</v>
      </c>
      <c r="D153" s="503" t="s">
        <v>461</v>
      </c>
      <c r="E153" s="503" t="s">
        <v>172</v>
      </c>
      <c r="F153" s="503" t="s">
        <v>241</v>
      </c>
      <c r="G153" s="503" t="s">
        <v>268</v>
      </c>
      <c r="H153" s="503" t="s">
        <v>269</v>
      </c>
      <c r="I153" s="503" t="s">
        <v>270</v>
      </c>
      <c r="J153" s="503" t="s">
        <v>271</v>
      </c>
      <c r="K153" s="503" t="s">
        <v>272</v>
      </c>
      <c r="L153" s="503" t="s">
        <v>273</v>
      </c>
      <c r="M153" s="503" t="s">
        <v>274</v>
      </c>
      <c r="N153" s="503" t="s">
        <v>275</v>
      </c>
      <c r="O153" s="448"/>
    </row>
    <row r="154" spans="2:16" ht="15" customHeight="1" x14ac:dyDescent="0.25">
      <c r="B154" s="449"/>
      <c r="C154" s="2475" t="s">
        <v>473</v>
      </c>
      <c r="D154" s="453" t="s">
        <v>483</v>
      </c>
      <c r="E154" s="2475"/>
      <c r="F154" s="502">
        <f t="shared" ref="F154:N154" ca="1" si="36">F$120</f>
        <v>3.5625736675390973</v>
      </c>
      <c r="G154" s="502">
        <f t="shared" ca="1" si="36"/>
        <v>3.3677240930247585</v>
      </c>
      <c r="H154" s="502">
        <f t="shared" ca="1" si="36"/>
        <v>0.97371466508809024</v>
      </c>
      <c r="I154" s="502">
        <f t="shared" ca="1" si="36"/>
        <v>0</v>
      </c>
      <c r="J154" s="502">
        <f t="shared" ca="1" si="36"/>
        <v>0</v>
      </c>
      <c r="K154" s="502">
        <f t="shared" ca="1" si="36"/>
        <v>0</v>
      </c>
      <c r="L154" s="502">
        <f t="shared" ca="1" si="36"/>
        <v>0</v>
      </c>
      <c r="M154" s="502">
        <f t="shared" ca="1" si="36"/>
        <v>0</v>
      </c>
      <c r="N154" s="502">
        <f t="shared" ca="1" si="36"/>
        <v>0</v>
      </c>
      <c r="O154" s="448"/>
    </row>
    <row r="155" spans="2:16" ht="15" customHeight="1" x14ac:dyDescent="0.25">
      <c r="B155" s="449"/>
      <c r="C155" s="2475" t="s">
        <v>474</v>
      </c>
      <c r="D155" s="453" t="s">
        <v>483</v>
      </c>
      <c r="E155" s="2475"/>
      <c r="F155" s="502">
        <f t="shared" ref="F155:N155" ca="1" si="37">F$121</f>
        <v>4.435390151931823E-3</v>
      </c>
      <c r="G155" s="502">
        <f t="shared" ca="1" si="37"/>
        <v>4.1928032008791052E-3</v>
      </c>
      <c r="H155" s="502">
        <f t="shared" ca="1" si="37"/>
        <v>1.2122709140514668E-3</v>
      </c>
      <c r="I155" s="502">
        <f t="shared" ca="1" si="37"/>
        <v>0</v>
      </c>
      <c r="J155" s="502">
        <f t="shared" ca="1" si="37"/>
        <v>0</v>
      </c>
      <c r="K155" s="502">
        <f t="shared" ca="1" si="37"/>
        <v>0</v>
      </c>
      <c r="L155" s="502">
        <f t="shared" ca="1" si="37"/>
        <v>0</v>
      </c>
      <c r="M155" s="502">
        <f t="shared" ca="1" si="37"/>
        <v>0</v>
      </c>
      <c r="N155" s="502">
        <f t="shared" ca="1" si="37"/>
        <v>0</v>
      </c>
      <c r="O155" s="448"/>
    </row>
    <row r="156" spans="2:16" ht="15.75" x14ac:dyDescent="0.25">
      <c r="B156" s="449"/>
      <c r="C156" s="2475" t="s">
        <v>475</v>
      </c>
      <c r="D156" s="453" t="s">
        <v>483</v>
      </c>
      <c r="E156" s="2475"/>
      <c r="F156" s="502">
        <f t="shared" ref="F156:N156" ca="1" si="38">F$122</f>
        <v>6.4098000315356535E-2</v>
      </c>
      <c r="G156" s="502">
        <f t="shared" ca="1" si="38"/>
        <v>6.0592257205405772E-2</v>
      </c>
      <c r="H156" s="502">
        <f t="shared" ca="1" si="38"/>
        <v>0.1751912205453327</v>
      </c>
      <c r="I156" s="502">
        <f t="shared" ca="1" si="38"/>
        <v>0</v>
      </c>
      <c r="J156" s="502">
        <f t="shared" ca="1" si="38"/>
        <v>0</v>
      </c>
      <c r="K156" s="502">
        <f t="shared" ca="1" si="38"/>
        <v>0</v>
      </c>
      <c r="L156" s="502">
        <f t="shared" ca="1" si="38"/>
        <v>0</v>
      </c>
      <c r="M156" s="502">
        <f t="shared" ca="1" si="38"/>
        <v>0</v>
      </c>
      <c r="N156" s="502">
        <f t="shared" ca="1" si="38"/>
        <v>0</v>
      </c>
      <c r="O156" s="448"/>
    </row>
    <row r="157" spans="2:16" ht="15.75" x14ac:dyDescent="0.25">
      <c r="B157" s="449"/>
      <c r="C157" s="2475" t="s">
        <v>105</v>
      </c>
      <c r="D157" s="2475"/>
      <c r="E157" s="2475"/>
      <c r="F157" s="512">
        <f ca="1">SUBTOTAL(109,I.d.Emissions[2010])</f>
        <v>3.6311070580063856</v>
      </c>
      <c r="G157" s="512">
        <f ca="1">SUBTOTAL(109,I.d.Emissions[2015])</f>
        <v>3.432509153431043</v>
      </c>
      <c r="H157" s="512">
        <f ca="1">SUBTOTAL(109,I.d.Emissions[2020])</f>
        <v>1.1501181565474745</v>
      </c>
      <c r="I157" s="512">
        <f ca="1">SUBTOTAL(109,I.d.Emissions[2025])</f>
        <v>0</v>
      </c>
      <c r="J157" s="512">
        <f ca="1">SUBTOTAL(109,I.d.Emissions[2030])</f>
        <v>0</v>
      </c>
      <c r="K157" s="512">
        <f ca="1">SUBTOTAL(109,I.d.Emissions[2035])</f>
        <v>0</v>
      </c>
      <c r="L157" s="512">
        <f ca="1">SUBTOTAL(109,I.d.Emissions[2040])</f>
        <v>0</v>
      </c>
      <c r="M157" s="512">
        <f ca="1">SUBTOTAL(109,I.d.Emissions[2045])</f>
        <v>0</v>
      </c>
      <c r="N157" s="512">
        <f ca="1">SUBTOTAL(109,I.d.Emissions[2050])</f>
        <v>0</v>
      </c>
      <c r="O157" s="448"/>
    </row>
    <row r="158" spans="2:16" x14ac:dyDescent="0.2">
      <c r="B158" s="1766"/>
      <c r="C158" s="1766"/>
      <c r="D158" s="1766"/>
      <c r="E158" s="1766"/>
      <c r="F158" s="1766"/>
      <c r="G158" s="1766"/>
      <c r="H158" s="1766"/>
      <c r="I158" s="1766"/>
      <c r="J158" s="1766"/>
      <c r="K158" s="1766"/>
      <c r="L158" s="1766"/>
      <c r="M158" s="1766"/>
      <c r="N158" s="1766"/>
      <c r="O158" s="1766"/>
      <c r="P158" s="1766"/>
    </row>
    <row r="159" spans="2:16" x14ac:dyDescent="0.2">
      <c r="B159" s="1766"/>
      <c r="C159" s="1764" t="s">
        <v>1851</v>
      </c>
      <c r="D159" s="2475"/>
      <c r="E159" s="2475"/>
      <c r="F159" s="1407"/>
      <c r="G159" s="1407"/>
      <c r="H159" s="1407"/>
      <c r="I159" s="1407"/>
      <c r="J159" s="1407"/>
      <c r="K159" s="1407"/>
      <c r="L159" s="1407"/>
      <c r="M159" s="1407"/>
      <c r="N159" s="1765" t="s">
        <v>1848</v>
      </c>
      <c r="P159" s="1766"/>
    </row>
    <row r="160" spans="2:16" ht="5.25" customHeight="1" x14ac:dyDescent="0.2">
      <c r="B160" s="1766"/>
      <c r="C160" s="1766"/>
      <c r="D160" s="1766"/>
      <c r="E160" s="1766"/>
      <c r="F160" s="1766"/>
      <c r="G160" s="1766"/>
      <c r="H160" s="1766"/>
      <c r="I160" s="1766"/>
      <c r="J160" s="1766"/>
      <c r="K160" s="1766"/>
      <c r="L160" s="1766"/>
      <c r="M160" s="1766"/>
      <c r="N160" s="1766"/>
      <c r="O160" s="1766"/>
      <c r="P160" s="1766"/>
    </row>
    <row r="161" spans="2:16" x14ac:dyDescent="0.2">
      <c r="B161" s="1766"/>
      <c r="C161" s="1767" t="s">
        <v>64</v>
      </c>
      <c r="D161" s="1768" t="s">
        <v>150</v>
      </c>
      <c r="E161" s="1768" t="s">
        <v>461</v>
      </c>
      <c r="F161" s="1768" t="s">
        <v>241</v>
      </c>
      <c r="G161" s="1768" t="s">
        <v>268</v>
      </c>
      <c r="H161" s="1768" t="s">
        <v>269</v>
      </c>
      <c r="I161" s="1768" t="s">
        <v>270</v>
      </c>
      <c r="J161" s="1768" t="s">
        <v>271</v>
      </c>
      <c r="K161" s="1768" t="s">
        <v>272</v>
      </c>
      <c r="L161" s="1768" t="s">
        <v>273</v>
      </c>
      <c r="M161" s="1768" t="s">
        <v>274</v>
      </c>
      <c r="N161" s="1769" t="s">
        <v>275</v>
      </c>
      <c r="O161" s="1766"/>
    </row>
    <row r="162" spans="2:16" ht="12" customHeight="1" x14ac:dyDescent="0.2">
      <c r="B162" s="1766"/>
      <c r="C162" s="1751" t="str">
        <f>INDEX(AirQualityVectors[Code],MATCH(D162,AirQualityVectors[Description],0))</f>
        <v>AQ.01</v>
      </c>
      <c r="D162" s="1752" t="s">
        <v>1791</v>
      </c>
      <c r="E162" s="1753" t="s">
        <v>483</v>
      </c>
      <c r="F162" s="1754">
        <f t="shared" ref="F162:N164" ca="1" si="39">F130</f>
        <v>7.5762605000079297</v>
      </c>
      <c r="G162" s="1754">
        <f t="shared" ca="1" si="39"/>
        <v>6.6360528436615294</v>
      </c>
      <c r="H162" s="1754">
        <f t="shared" ca="1" si="39"/>
        <v>1.8474406496356015</v>
      </c>
      <c r="I162" s="1754">
        <f t="shared" ca="1" si="39"/>
        <v>0</v>
      </c>
      <c r="J162" s="1754">
        <f t="shared" ca="1" si="39"/>
        <v>0</v>
      </c>
      <c r="K162" s="1754">
        <f t="shared" ca="1" si="39"/>
        <v>0</v>
      </c>
      <c r="L162" s="1754">
        <f t="shared" ca="1" si="39"/>
        <v>0</v>
      </c>
      <c r="M162" s="1754">
        <f t="shared" ca="1" si="39"/>
        <v>0</v>
      </c>
      <c r="N162" s="1755">
        <f t="shared" ca="1" si="39"/>
        <v>0</v>
      </c>
      <c r="O162" s="1766"/>
    </row>
    <row r="163" spans="2:16" x14ac:dyDescent="0.2">
      <c r="B163" s="1766"/>
      <c r="C163" s="1756" t="str">
        <f>INDEX(AirQualityVectors[Code],MATCH(D163,AirQualityVectors[Description],0))</f>
        <v>AQ.02</v>
      </c>
      <c r="D163" s="1756" t="s">
        <v>1794</v>
      </c>
      <c r="E163" s="1757" t="s">
        <v>483</v>
      </c>
      <c r="F163" s="1758">
        <f t="shared" ca="1" si="39"/>
        <v>122.18925456645681</v>
      </c>
      <c r="G163" s="1758">
        <f t="shared" ca="1" si="39"/>
        <v>110.22424955207373</v>
      </c>
      <c r="H163" s="1758">
        <f t="shared" ca="1" si="39"/>
        <v>30.152149262758972</v>
      </c>
      <c r="I163" s="1758">
        <f t="shared" ca="1" si="39"/>
        <v>0</v>
      </c>
      <c r="J163" s="1758">
        <f t="shared" ca="1" si="39"/>
        <v>0</v>
      </c>
      <c r="K163" s="1758">
        <f t="shared" ca="1" si="39"/>
        <v>0</v>
      </c>
      <c r="L163" s="1758">
        <f t="shared" ca="1" si="39"/>
        <v>0</v>
      </c>
      <c r="M163" s="1758">
        <f t="shared" ca="1" si="39"/>
        <v>0</v>
      </c>
      <c r="N163" s="1771">
        <f t="shared" ca="1" si="39"/>
        <v>0</v>
      </c>
      <c r="O163" s="1766"/>
    </row>
    <row r="164" spans="2:16" x14ac:dyDescent="0.2">
      <c r="B164" s="1766"/>
      <c r="C164" s="1770" t="str">
        <f>INDEX(AirQualityVectors[Code],MATCH(D164,AirQualityVectors[Description],0))</f>
        <v>AQ.03</v>
      </c>
      <c r="D164" s="1756" t="s">
        <v>1795</v>
      </c>
      <c r="E164" s="1757" t="s">
        <v>483</v>
      </c>
      <c r="F164" s="1758">
        <f t="shared" ca="1" si="39"/>
        <v>58.689640852101931</v>
      </c>
      <c r="G164" s="1758">
        <f t="shared" ca="1" si="39"/>
        <v>55.482292391540021</v>
      </c>
      <c r="H164" s="1758">
        <f t="shared" ca="1" si="39"/>
        <v>16.041736396413249</v>
      </c>
      <c r="I164" s="1758">
        <f t="shared" ca="1" si="39"/>
        <v>0</v>
      </c>
      <c r="J164" s="1758">
        <f t="shared" ca="1" si="39"/>
        <v>0</v>
      </c>
      <c r="K164" s="1758">
        <f t="shared" ca="1" si="39"/>
        <v>0</v>
      </c>
      <c r="L164" s="1758">
        <f t="shared" ca="1" si="39"/>
        <v>0</v>
      </c>
      <c r="M164" s="1758">
        <f t="shared" ca="1" si="39"/>
        <v>0</v>
      </c>
      <c r="N164" s="1771">
        <f t="shared" ca="1" si="39"/>
        <v>0</v>
      </c>
      <c r="O164" s="1766"/>
    </row>
    <row r="165" spans="2:16" x14ac:dyDescent="0.2">
      <c r="B165" s="1766"/>
      <c r="C165" s="1760" t="str">
        <f>INDEX(AirQualityVectors[Code],MATCH(D165,AirQualityVectors[Description],0))</f>
        <v>AQ.04</v>
      </c>
      <c r="D165" s="1760" t="s">
        <v>1792</v>
      </c>
      <c r="E165" s="1761" t="s">
        <v>483</v>
      </c>
      <c r="F165" s="1762">
        <f ca="1">G165</f>
        <v>10.864797210396835</v>
      </c>
      <c r="G165" s="1762">
        <f t="shared" ref="G165:N165" ca="1" si="40">F133</f>
        <v>10.864797210396835</v>
      </c>
      <c r="H165" s="1762">
        <f t="shared" ca="1" si="40"/>
        <v>5.5952277288407331</v>
      </c>
      <c r="I165" s="1762">
        <f t="shared" ca="1" si="40"/>
        <v>1.4698807689841749</v>
      </c>
      <c r="J165" s="1762">
        <f t="shared" ca="1" si="40"/>
        <v>0</v>
      </c>
      <c r="K165" s="1762">
        <f t="shared" ca="1" si="40"/>
        <v>0</v>
      </c>
      <c r="L165" s="1762">
        <f t="shared" ca="1" si="40"/>
        <v>0</v>
      </c>
      <c r="M165" s="1762">
        <f t="shared" ca="1" si="40"/>
        <v>0</v>
      </c>
      <c r="N165" s="1762">
        <f t="shared" ca="1" si="40"/>
        <v>0</v>
      </c>
      <c r="O165" s="1763"/>
      <c r="P165" s="1766"/>
    </row>
    <row r="166" spans="2:16" ht="15.75" x14ac:dyDescent="0.25">
      <c r="B166" s="504"/>
      <c r="C166" s="451"/>
      <c r="D166" s="451"/>
      <c r="E166" s="451"/>
      <c r="F166" s="451"/>
      <c r="G166" s="451"/>
      <c r="H166" s="451"/>
      <c r="I166" s="451"/>
      <c r="J166" s="451"/>
      <c r="K166" s="451"/>
      <c r="L166" s="451"/>
      <c r="M166" s="451"/>
      <c r="N166" s="451"/>
      <c r="O166" s="451"/>
      <c r="P166" s="452"/>
    </row>
    <row r="169" spans="2:16" ht="15.75" x14ac:dyDescent="0.2">
      <c r="B169" s="1430" t="s">
        <v>1225</v>
      </c>
      <c r="C169" s="1218"/>
      <c r="D169" s="1431"/>
      <c r="E169" s="1431"/>
      <c r="F169" s="1431"/>
      <c r="G169" s="1431"/>
      <c r="H169" s="1431"/>
      <c r="I169" s="1431"/>
      <c r="J169" s="1431"/>
      <c r="K169" s="1431"/>
      <c r="L169" s="1431"/>
      <c r="M169" s="1431"/>
      <c r="N169" s="1431"/>
      <c r="O169" s="1431"/>
      <c r="P169" s="1432"/>
    </row>
    <row r="170" spans="2:16" x14ac:dyDescent="0.2">
      <c r="B170" s="1219"/>
      <c r="C170" s="1220"/>
      <c r="D170" s="1220"/>
      <c r="E170" s="1220"/>
      <c r="F170" s="1220"/>
      <c r="G170" s="1220"/>
      <c r="H170" s="1220"/>
      <c r="I170" s="1220"/>
      <c r="J170" s="1220"/>
      <c r="K170" s="1220"/>
      <c r="L170" s="1220"/>
      <c r="M170" s="1220"/>
      <c r="N170" s="1220"/>
      <c r="O170" s="1220"/>
      <c r="P170" s="1221"/>
    </row>
    <row r="171" spans="2:16" x14ac:dyDescent="0.2">
      <c r="B171" s="1433"/>
      <c r="C171" s="1222" t="s">
        <v>1230</v>
      </c>
      <c r="D171" s="1434"/>
      <c r="E171" s="1223"/>
      <c r="F171" s="1434"/>
      <c r="G171" s="1223"/>
      <c r="H171" s="1434"/>
      <c r="I171" s="1434"/>
      <c r="J171" s="1434"/>
      <c r="K171" s="1434"/>
      <c r="L171" s="1434"/>
      <c r="M171" s="1434"/>
      <c r="N171" s="1434"/>
      <c r="O171" s="1223"/>
      <c r="P171" s="1435"/>
    </row>
    <row r="172" spans="2:16" x14ac:dyDescent="0.2">
      <c r="B172" s="1433"/>
      <c r="C172" s="1434"/>
      <c r="D172" s="1434"/>
      <c r="E172" s="1434"/>
      <c r="F172" s="1434"/>
      <c r="G172" s="1434"/>
      <c r="H172" s="1434"/>
      <c r="I172" s="1434"/>
      <c r="J172" s="1434"/>
      <c r="K172" s="1434"/>
      <c r="L172" s="1434"/>
      <c r="M172" s="1434"/>
      <c r="N172" s="1434"/>
      <c r="O172" s="1434"/>
      <c r="P172" s="1435"/>
    </row>
    <row r="173" spans="2:16" ht="15.75" x14ac:dyDescent="0.25">
      <c r="B173" s="1436"/>
      <c r="C173" s="1437" t="s">
        <v>64</v>
      </c>
      <c r="D173" s="1437" t="s">
        <v>1226</v>
      </c>
      <c r="E173" s="1437" t="s">
        <v>172</v>
      </c>
      <c r="F173" s="1437" t="s">
        <v>241</v>
      </c>
      <c r="G173" s="1437" t="s">
        <v>268</v>
      </c>
      <c r="H173" s="1437" t="s">
        <v>269</v>
      </c>
      <c r="I173" s="1437" t="s">
        <v>270</v>
      </c>
      <c r="J173" s="1437" t="s">
        <v>271</v>
      </c>
      <c r="K173" s="1437" t="s">
        <v>272</v>
      </c>
      <c r="L173" s="1437" t="s">
        <v>273</v>
      </c>
      <c r="M173" s="1437" t="s">
        <v>274</v>
      </c>
      <c r="N173" s="1437" t="s">
        <v>275</v>
      </c>
      <c r="O173" s="1435"/>
    </row>
    <row r="174" spans="2:16" ht="15.75" x14ac:dyDescent="0.25">
      <c r="B174" s="1436"/>
      <c r="C174" s="1438" t="s">
        <v>1232</v>
      </c>
      <c r="D174" s="1439" t="str">
        <f>INDEX(Vectors[Description], MATCH(I.d.info[Vector], Vectors[Code], 0))</f>
        <v xml:space="preserve">Installed Capacity </v>
      </c>
      <c r="E174" s="1439" t="str">
        <f>Preferences.PowerUnits</f>
        <v>GW</v>
      </c>
      <c r="F174" s="1226">
        <f t="shared" ref="F174:N174" ca="1" si="41">F$117</f>
        <v>26.897154125983818</v>
      </c>
      <c r="G174" s="1226">
        <f t="shared" ca="1" si="41"/>
        <v>25.426054991993205</v>
      </c>
      <c r="H174" s="1226">
        <f t="shared" ca="1" si="41"/>
        <v>7.351469994919805</v>
      </c>
      <c r="I174" s="1226">
        <f t="shared" ca="1" si="41"/>
        <v>0</v>
      </c>
      <c r="J174" s="1226">
        <f t="shared" ca="1" si="41"/>
        <v>0</v>
      </c>
      <c r="K174" s="1226">
        <f t="shared" ca="1" si="41"/>
        <v>0</v>
      </c>
      <c r="L174" s="1226">
        <f t="shared" ca="1" si="41"/>
        <v>0</v>
      </c>
      <c r="M174" s="1226">
        <f t="shared" ca="1" si="41"/>
        <v>0</v>
      </c>
      <c r="N174" s="1226">
        <f t="shared" ca="1" si="41"/>
        <v>0</v>
      </c>
      <c r="O174" s="1435"/>
    </row>
    <row r="175" spans="2:16" ht="15.75" x14ac:dyDescent="0.25">
      <c r="B175" s="1436"/>
      <c r="C175" s="1438" t="s">
        <v>1582</v>
      </c>
      <c r="D175" s="1439" t="str">
        <f>INDEX(Vectors[Description], MATCH(I.d.info[Vector], Vectors[Code], 0))</f>
        <v>Load factor</v>
      </c>
      <c r="E175" s="1438" t="s">
        <v>347</v>
      </c>
      <c r="F175" s="1484">
        <f t="shared" ref="F175:N175" si="42">F46</f>
        <v>0.47499999999999998</v>
      </c>
      <c r="G175" s="1484">
        <f t="shared" si="42"/>
        <v>0.47499999999999998</v>
      </c>
      <c r="H175" s="1484">
        <f t="shared" si="42"/>
        <v>0.47499999999999998</v>
      </c>
      <c r="I175" s="1484">
        <f t="shared" si="42"/>
        <v>0.47499999999999998</v>
      </c>
      <c r="J175" s="1484">
        <f t="shared" si="42"/>
        <v>0.47499999999999998</v>
      </c>
      <c r="K175" s="1484">
        <f t="shared" si="42"/>
        <v>0.47499999999999998</v>
      </c>
      <c r="L175" s="1484">
        <f t="shared" si="42"/>
        <v>0.47499999999999998</v>
      </c>
      <c r="M175" s="1484">
        <f t="shared" si="42"/>
        <v>0.47499999999999998</v>
      </c>
      <c r="N175" s="1484">
        <f t="shared" si="42"/>
        <v>0.47499999999999998</v>
      </c>
      <c r="O175" s="1435"/>
    </row>
    <row r="176" spans="2:16" ht="15.75" x14ac:dyDescent="0.25">
      <c r="B176" s="1227"/>
      <c r="C176" s="1440"/>
      <c r="D176" s="1440"/>
      <c r="E176" s="1440"/>
      <c r="F176" s="1440"/>
      <c r="G176" s="1440"/>
      <c r="H176" s="1440"/>
      <c r="I176" s="1440"/>
      <c r="J176" s="1440"/>
      <c r="K176" s="1440"/>
      <c r="L176" s="1440"/>
      <c r="M176" s="1440"/>
      <c r="N176" s="1440"/>
      <c r="O176" s="1440"/>
      <c r="P176" s="1224"/>
    </row>
  </sheetData>
  <hyperlinks>
    <hyperlink ref="E2" r:id="rId1"/>
  </hyperlinks>
  <pageMargins left="0.70866141732283472" right="0.70866141732283472" top="0.74803149606299213" bottom="0.74803149606299213" header="0.31496062992125984" footer="0.31496062992125984"/>
  <pageSetup paperSize="9" orientation="portrait" r:id="rId2"/>
  <tableParts count="5">
    <tablePart r:id="rId3"/>
    <tablePart r:id="rId4"/>
    <tablePart r:id="rId5"/>
    <tablePart r:id="rId6"/>
    <tablePart r:id="rId7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outlinePr summaryBelow="0"/>
    <pageSetUpPr autoPageBreaks="0"/>
  </sheetPr>
  <dimension ref="A1:Q171"/>
  <sheetViews>
    <sheetView windowProtection="1" topLeftCell="A151" zoomScaleNormal="100" workbookViewId="0">
      <selection activeCell="E172" sqref="E172"/>
    </sheetView>
  </sheetViews>
  <sheetFormatPr defaultColWidth="8.7109375" defaultRowHeight="12.75" x14ac:dyDescent="0.2"/>
  <cols>
    <col min="1" max="1" width="7.7109375" style="2479" customWidth="1"/>
    <col min="2" max="2" width="5.7109375" style="2479" customWidth="1"/>
    <col min="3" max="3" width="20.42578125" style="2479" customWidth="1"/>
    <col min="4" max="4" width="30.7109375" style="2479" customWidth="1"/>
    <col min="5" max="5" width="20.7109375" style="2479" customWidth="1"/>
    <col min="6" max="7" width="17.7109375" style="2479" customWidth="1"/>
    <col min="8" max="11" width="18.42578125" style="2479" bestFit="1" customWidth="1"/>
    <col min="12" max="13" width="18.7109375" style="2479" bestFit="1" customWidth="1"/>
    <col min="14" max="15" width="17.7109375" style="2479" customWidth="1"/>
    <col min="16" max="17" width="10.7109375" style="2479" customWidth="1"/>
    <col min="18" max="16384" width="8.7109375" style="2479"/>
  </cols>
  <sheetData>
    <row r="1" spans="1:16" ht="21" x14ac:dyDescent="0.35">
      <c r="A1" s="119" t="s">
        <v>61</v>
      </c>
      <c r="B1" s="119" t="str">
        <f>INDEX(Workstreams[Workstream], MATCH($A1, Workstreams[Code], 0))</f>
        <v>Nuclear power generation</v>
      </c>
      <c r="C1" s="119"/>
    </row>
    <row r="2" spans="1:16" s="84" customFormat="1" ht="19.5" customHeight="1" x14ac:dyDescent="0.2">
      <c r="A2" s="6" t="s">
        <v>297</v>
      </c>
      <c r="B2" s="6" t="str">
        <f>INDEX(Modules[Module], MATCH($A2, Modules[Code], 0))</f>
        <v>Nuclear power</v>
      </c>
      <c r="C2" s="6"/>
      <c r="E2" s="1380" t="s">
        <v>2578</v>
      </c>
    </row>
    <row r="4" spans="1:16" ht="22.5" x14ac:dyDescent="0.3">
      <c r="A4" s="1422"/>
      <c r="B4" s="468" t="s">
        <v>600</v>
      </c>
      <c r="C4" s="420"/>
      <c r="D4" s="421"/>
      <c r="E4" s="422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1"/>
      <c r="D5" s="412"/>
      <c r="E5" s="413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ht="15.75" x14ac:dyDescent="0.25">
      <c r="B6" s="415"/>
      <c r="C6" s="412"/>
      <c r="D6" s="216" t="s">
        <v>342</v>
      </c>
      <c r="E6" s="216" t="s">
        <v>595</v>
      </c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6" ht="15.75" x14ac:dyDescent="0.25">
      <c r="B7" s="415"/>
      <c r="C7" s="412"/>
      <c r="D7" s="238" t="s">
        <v>595</v>
      </c>
      <c r="E7" s="238">
        <f>II.a.Scenario</f>
        <v>4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ht="15.75" x14ac:dyDescent="0.25">
      <c r="B8" s="416"/>
      <c r="C8" s="417"/>
      <c r="D8" s="417"/>
      <c r="E8" s="417"/>
      <c r="F8" s="418"/>
      <c r="G8" s="418"/>
      <c r="H8" s="418"/>
      <c r="I8" s="418"/>
      <c r="J8" s="418"/>
      <c r="K8" s="418"/>
      <c r="L8" s="418"/>
      <c r="M8" s="418"/>
      <c r="N8" s="418"/>
      <c r="O8" s="418"/>
      <c r="P8" s="419"/>
    </row>
    <row r="10" spans="1:16" ht="22.5" x14ac:dyDescent="0.3">
      <c r="A10" s="1422"/>
      <c r="B10" s="1423" t="s">
        <v>597</v>
      </c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6"/>
    </row>
    <row r="11" spans="1:16" x14ac:dyDescent="0.2">
      <c r="B11" s="473"/>
      <c r="C11" s="458"/>
      <c r="D11" s="458"/>
      <c r="E11" s="458"/>
      <c r="F11" s="458"/>
      <c r="G11" s="458"/>
      <c r="H11" s="458"/>
      <c r="I11" s="458"/>
      <c r="J11" s="458"/>
      <c r="K11" s="458"/>
      <c r="L11" s="458"/>
      <c r="M11" s="458"/>
      <c r="N11" s="458"/>
      <c r="O11" s="459"/>
    </row>
    <row r="12" spans="1:16" x14ac:dyDescent="0.2">
      <c r="B12" s="474"/>
      <c r="C12" s="1417" t="s">
        <v>2351</v>
      </c>
      <c r="D12" s="1416"/>
      <c r="E12" s="176"/>
      <c r="F12" s="1416"/>
      <c r="G12" s="1416"/>
      <c r="H12" s="1416"/>
      <c r="I12" s="1416"/>
      <c r="J12" s="1416"/>
      <c r="K12" s="1416"/>
      <c r="L12" s="1416"/>
      <c r="M12" s="1416"/>
      <c r="N12" s="176"/>
      <c r="O12" s="1420"/>
    </row>
    <row r="13" spans="1:16" ht="5.25" customHeight="1" x14ac:dyDescent="0.2">
      <c r="B13" s="474"/>
      <c r="C13" s="1416"/>
      <c r="D13" s="1416"/>
      <c r="E13" s="1416"/>
      <c r="F13" s="1416"/>
      <c r="G13" s="1416"/>
      <c r="H13" s="1416"/>
      <c r="I13" s="1416"/>
      <c r="J13" s="1416"/>
      <c r="K13" s="1416"/>
      <c r="L13" s="1416"/>
      <c r="M13" s="1416"/>
      <c r="N13" s="1416"/>
      <c r="O13" s="1420"/>
    </row>
    <row r="14" spans="1:16" ht="15.75" x14ac:dyDescent="0.25">
      <c r="B14" s="475"/>
      <c r="C14" s="98" t="s">
        <v>595</v>
      </c>
      <c r="D14" s="98" t="s">
        <v>65</v>
      </c>
      <c r="E14" s="98" t="s">
        <v>172</v>
      </c>
      <c r="F14" s="217">
        <v>2010</v>
      </c>
      <c r="G14" s="217">
        <v>2015</v>
      </c>
      <c r="H14" s="217">
        <v>2020</v>
      </c>
      <c r="I14" s="217">
        <v>2025</v>
      </c>
      <c r="J14" s="217">
        <v>2030</v>
      </c>
      <c r="K14" s="217">
        <v>2035</v>
      </c>
      <c r="L14" s="217">
        <v>2040</v>
      </c>
      <c r="M14" s="217">
        <v>2045</v>
      </c>
      <c r="N14" s="217">
        <v>2050</v>
      </c>
      <c r="O14" s="1420"/>
    </row>
    <row r="15" spans="1:16" ht="15.75" x14ac:dyDescent="0.2">
      <c r="B15" s="476"/>
      <c r="C15" s="1414">
        <v>1</v>
      </c>
      <c r="D15" s="1415"/>
      <c r="E15" s="146"/>
      <c r="F15" s="2494">
        <f t="shared" ref="F15:N15" si="0">(Unit.GW)*0</f>
        <v>0</v>
      </c>
      <c r="G15" s="2494">
        <f t="shared" si="0"/>
        <v>0</v>
      </c>
      <c r="H15" s="2494">
        <f t="shared" si="0"/>
        <v>0</v>
      </c>
      <c r="I15" s="2494">
        <f t="shared" si="0"/>
        <v>0</v>
      </c>
      <c r="J15" s="2494">
        <f t="shared" si="0"/>
        <v>0</v>
      </c>
      <c r="K15" s="2494">
        <f t="shared" si="0"/>
        <v>0</v>
      </c>
      <c r="L15" s="2494">
        <f t="shared" si="0"/>
        <v>0</v>
      </c>
      <c r="M15" s="2494">
        <f t="shared" si="0"/>
        <v>0</v>
      </c>
      <c r="N15" s="2494">
        <f t="shared" si="0"/>
        <v>0</v>
      </c>
      <c r="O15" s="400"/>
    </row>
    <row r="16" spans="1:16" ht="15.75" x14ac:dyDescent="0.25">
      <c r="B16" s="475"/>
      <c r="C16" s="1414">
        <v>2</v>
      </c>
      <c r="D16" s="1415"/>
      <c r="E16" s="1415"/>
      <c r="F16" s="2495">
        <f t="shared" ref="F16:H18" si="1">(Unit.GW)*0</f>
        <v>0</v>
      </c>
      <c r="G16" s="2494">
        <f t="shared" si="1"/>
        <v>0</v>
      </c>
      <c r="H16" s="2494">
        <f t="shared" si="1"/>
        <v>0</v>
      </c>
      <c r="I16" s="2495">
        <f>(Unit.GW)*1</f>
        <v>1</v>
      </c>
      <c r="J16" s="2495">
        <f>(Unit.GW)*1</f>
        <v>1</v>
      </c>
      <c r="K16" s="2495">
        <f>(Unit.GW)*5</f>
        <v>5</v>
      </c>
      <c r="L16" s="2495">
        <f>(Unit.GW)*5</f>
        <v>5</v>
      </c>
      <c r="M16" s="2495">
        <f>(Unit.GW)*5</f>
        <v>5</v>
      </c>
      <c r="N16" s="2495">
        <f>(Unit.GW)*5</f>
        <v>5</v>
      </c>
      <c r="O16" s="1420"/>
    </row>
    <row r="17" spans="1:15" ht="15.75" x14ac:dyDescent="0.25">
      <c r="B17" s="475"/>
      <c r="C17" s="1414">
        <v>3</v>
      </c>
      <c r="D17" s="1415"/>
      <c r="E17" s="1415"/>
      <c r="F17" s="2495">
        <f t="shared" si="1"/>
        <v>0</v>
      </c>
      <c r="G17" s="2494">
        <f t="shared" si="1"/>
        <v>0</v>
      </c>
      <c r="H17" s="2494">
        <f t="shared" si="1"/>
        <v>0</v>
      </c>
      <c r="I17" s="2495">
        <f>(Unit.GW)*1</f>
        <v>1</v>
      </c>
      <c r="J17" s="2495">
        <f>(Unit.GW)*1</f>
        <v>1</v>
      </c>
      <c r="K17" s="2495">
        <f>(Unit.GW)*7.2</f>
        <v>7.2</v>
      </c>
      <c r="L17" s="2495">
        <f>(Unit.GW)*7.2</f>
        <v>7.2</v>
      </c>
      <c r="M17" s="2495">
        <f>(Unit.GW)*7.2</f>
        <v>7.2</v>
      </c>
      <c r="N17" s="2495">
        <f>(Unit.GW)*7.2</f>
        <v>7.2</v>
      </c>
      <c r="O17" s="1420"/>
    </row>
    <row r="18" spans="1:15" ht="15.75" x14ac:dyDescent="0.25">
      <c r="B18" s="475"/>
      <c r="C18" s="1412">
        <v>4</v>
      </c>
      <c r="D18" s="102"/>
      <c r="E18" s="102"/>
      <c r="F18" s="2496">
        <f t="shared" si="1"/>
        <v>0</v>
      </c>
      <c r="G18" s="2494">
        <f t="shared" si="1"/>
        <v>0</v>
      </c>
      <c r="H18" s="2494">
        <f t="shared" si="1"/>
        <v>0</v>
      </c>
      <c r="I18" s="2495">
        <f>(Unit.GW)*1</f>
        <v>1</v>
      </c>
      <c r="J18" s="2496">
        <f>(Unit.GW)*1.9</f>
        <v>1.9</v>
      </c>
      <c r="K18" s="2496">
        <f>(Unit.GW)*3.7</f>
        <v>3.7</v>
      </c>
      <c r="L18" s="2496">
        <f>(Unit.GW)*7.1</f>
        <v>7.1</v>
      </c>
      <c r="M18" s="2496">
        <f>(Unit.GW)*13.7</f>
        <v>13.7</v>
      </c>
      <c r="N18" s="2496">
        <f>(Unit.GW)*26.5</f>
        <v>26.5</v>
      </c>
      <c r="O18" s="1420"/>
    </row>
    <row r="19" spans="1:15" ht="15.75" x14ac:dyDescent="0.25">
      <c r="B19" s="397"/>
      <c r="C19" s="2207" t="s">
        <v>582</v>
      </c>
      <c r="D19" s="1387"/>
      <c r="E19" s="1387"/>
      <c r="F19" s="2498">
        <f t="shared" ref="F19:N19" si="2">(INDEX(F$15:F$18,ROUNDDOWN($E$7,0))*(1-MOD($E$7,1)))+(INDEX(F$15:F$18,ROUNDUP($E$7,0))*MOD($E$7,1))</f>
        <v>0</v>
      </c>
      <c r="G19" s="2497">
        <f t="shared" si="2"/>
        <v>0</v>
      </c>
      <c r="H19" s="2497">
        <f t="shared" si="2"/>
        <v>0</v>
      </c>
      <c r="I19" s="2497">
        <f t="shared" si="2"/>
        <v>1</v>
      </c>
      <c r="J19" s="2497">
        <f t="shared" si="2"/>
        <v>1.9</v>
      </c>
      <c r="K19" s="2497">
        <f t="shared" si="2"/>
        <v>3.7</v>
      </c>
      <c r="L19" s="2497">
        <f t="shared" si="2"/>
        <v>7.1</v>
      </c>
      <c r="M19" s="2497">
        <f t="shared" si="2"/>
        <v>13.7</v>
      </c>
      <c r="N19" s="2499">
        <f t="shared" si="2"/>
        <v>26.5</v>
      </c>
      <c r="O19" s="1420"/>
    </row>
    <row r="20" spans="1:15" x14ac:dyDescent="0.2">
      <c r="B20" s="477"/>
      <c r="C20" s="1416"/>
      <c r="D20" s="177"/>
      <c r="E20" s="1416"/>
      <c r="F20" s="1416"/>
      <c r="G20" s="1416"/>
      <c r="H20" s="1416"/>
      <c r="I20" s="1416"/>
      <c r="J20" s="1416"/>
      <c r="K20" s="1416"/>
      <c r="L20" s="1416"/>
      <c r="M20" s="1416"/>
      <c r="N20" s="1416"/>
      <c r="O20" s="1420"/>
    </row>
    <row r="21" spans="1:15" x14ac:dyDescent="0.2">
      <c r="B21" s="477"/>
      <c r="C21" s="1417" t="s">
        <v>2352</v>
      </c>
      <c r="D21" s="1416"/>
      <c r="E21" s="176"/>
      <c r="F21" s="1416"/>
      <c r="G21" s="1416"/>
      <c r="H21" s="1416"/>
      <c r="I21" s="1416"/>
      <c r="J21" s="1416"/>
      <c r="K21" s="1416"/>
      <c r="L21" s="1416"/>
      <c r="M21" s="1416"/>
      <c r="N21" s="176"/>
      <c r="O21" s="1420"/>
    </row>
    <row r="22" spans="1:15" ht="5.25" customHeight="1" x14ac:dyDescent="0.2">
      <c r="B22" s="477"/>
      <c r="C22" s="1416"/>
      <c r="D22" s="1416"/>
      <c r="E22" s="1416"/>
      <c r="F22" s="1416"/>
      <c r="G22" s="1416"/>
      <c r="H22" s="1416"/>
      <c r="I22" s="1416"/>
      <c r="J22" s="1416"/>
      <c r="K22" s="1416"/>
      <c r="L22" s="1416"/>
      <c r="M22" s="1416"/>
      <c r="N22" s="1416"/>
      <c r="O22" s="1420"/>
    </row>
    <row r="23" spans="1:15" ht="15.75" x14ac:dyDescent="0.25">
      <c r="B23" s="475"/>
      <c r="C23" s="98" t="s">
        <v>595</v>
      </c>
      <c r="D23" s="98" t="s">
        <v>65</v>
      </c>
      <c r="E23" s="98" t="s">
        <v>172</v>
      </c>
      <c r="F23" s="217">
        <v>2010</v>
      </c>
      <c r="G23" s="217">
        <v>2015</v>
      </c>
      <c r="H23" s="217">
        <v>2020</v>
      </c>
      <c r="I23" s="217">
        <v>2025</v>
      </c>
      <c r="J23" s="217">
        <v>2030</v>
      </c>
      <c r="K23" s="217">
        <v>2035</v>
      </c>
      <c r="L23" s="217">
        <v>2040</v>
      </c>
      <c r="M23" s="217">
        <v>2045</v>
      </c>
      <c r="N23" s="217">
        <v>2050</v>
      </c>
      <c r="O23" s="1420"/>
    </row>
    <row r="24" spans="1:15" ht="15.75" x14ac:dyDescent="0.25">
      <c r="B24" s="475"/>
      <c r="C24" s="1414">
        <v>1</v>
      </c>
      <c r="D24" s="1415"/>
      <c r="E24" s="146"/>
      <c r="F24" s="160">
        <v>0</v>
      </c>
      <c r="G24" s="160">
        <v>0</v>
      </c>
      <c r="H24" s="160">
        <v>0</v>
      </c>
      <c r="I24" s="160">
        <v>0</v>
      </c>
      <c r="J24" s="160">
        <v>0</v>
      </c>
      <c r="K24" s="160">
        <v>0</v>
      </c>
      <c r="L24" s="160">
        <v>0</v>
      </c>
      <c r="M24" s="160">
        <v>0</v>
      </c>
      <c r="N24" s="160"/>
      <c r="O24" s="1420"/>
    </row>
    <row r="25" spans="1:15" ht="15.75" x14ac:dyDescent="0.25">
      <c r="B25" s="475"/>
      <c r="C25" s="1414">
        <v>2</v>
      </c>
      <c r="D25" s="1415"/>
      <c r="E25" s="1415"/>
      <c r="F25" s="351">
        <v>0</v>
      </c>
      <c r="G25" s="351">
        <v>0</v>
      </c>
      <c r="H25" s="351">
        <v>0</v>
      </c>
      <c r="I25" s="351">
        <v>0</v>
      </c>
      <c r="J25" s="351">
        <v>0</v>
      </c>
      <c r="K25" s="351">
        <v>0</v>
      </c>
      <c r="L25" s="351">
        <v>0</v>
      </c>
      <c r="M25" s="351">
        <v>0</v>
      </c>
      <c r="N25" s="351"/>
      <c r="O25" s="1420"/>
    </row>
    <row r="26" spans="1:15" ht="15.75" x14ac:dyDescent="0.25">
      <c r="B26" s="475"/>
      <c r="C26" s="1414">
        <v>3</v>
      </c>
      <c r="D26" s="1415"/>
      <c r="E26" s="1415"/>
      <c r="F26" s="351">
        <v>0</v>
      </c>
      <c r="G26" s="351">
        <v>0</v>
      </c>
      <c r="H26" s="351">
        <v>0</v>
      </c>
      <c r="I26" s="351">
        <v>0</v>
      </c>
      <c r="J26" s="351">
        <v>0</v>
      </c>
      <c r="K26" s="351">
        <v>0</v>
      </c>
      <c r="L26" s="351">
        <v>0</v>
      </c>
      <c r="M26" s="351">
        <v>0</v>
      </c>
      <c r="N26" s="351"/>
      <c r="O26" s="1420"/>
    </row>
    <row r="27" spans="1:15" ht="15.75" x14ac:dyDescent="0.25">
      <c r="B27" s="475"/>
      <c r="C27" s="1412">
        <v>4</v>
      </c>
      <c r="D27" s="102"/>
      <c r="E27" s="102"/>
      <c r="F27" s="170">
        <v>0</v>
      </c>
      <c r="G27" s="170">
        <v>0</v>
      </c>
      <c r="H27" s="170">
        <v>0</v>
      </c>
      <c r="I27" s="170">
        <v>0</v>
      </c>
      <c r="J27" s="170">
        <v>0</v>
      </c>
      <c r="K27" s="170">
        <v>0</v>
      </c>
      <c r="L27" s="170">
        <v>0</v>
      </c>
      <c r="M27" s="170">
        <v>0</v>
      </c>
      <c r="N27" s="170"/>
      <c r="O27" s="1420"/>
    </row>
    <row r="28" spans="1:15" ht="15.75" x14ac:dyDescent="0.25">
      <c r="B28" s="397"/>
      <c r="C28" s="2207" t="s">
        <v>582</v>
      </c>
      <c r="D28" s="1387"/>
      <c r="E28" s="1387"/>
      <c r="F28" s="1408">
        <f t="shared" ref="F28:N28" si="3">(INDEX(F$24:F$27,ROUNDDOWN($E$7,0))*(1-MOD($E$7,1)))+(INDEX(F$24:F$27,ROUNDUP($E$7,0))*MOD($E$7,1))</f>
        <v>0</v>
      </c>
      <c r="G28" s="1388">
        <f t="shared" si="3"/>
        <v>0</v>
      </c>
      <c r="H28" s="1388">
        <f t="shared" si="3"/>
        <v>0</v>
      </c>
      <c r="I28" s="1388">
        <f t="shared" si="3"/>
        <v>0</v>
      </c>
      <c r="J28" s="1388">
        <f t="shared" si="3"/>
        <v>0</v>
      </c>
      <c r="K28" s="1388">
        <f t="shared" si="3"/>
        <v>0</v>
      </c>
      <c r="L28" s="1388">
        <f t="shared" si="3"/>
        <v>0</v>
      </c>
      <c r="M28" s="1388">
        <f t="shared" si="3"/>
        <v>0</v>
      </c>
      <c r="N28" s="1389">
        <f t="shared" si="3"/>
        <v>0</v>
      </c>
      <c r="O28" s="1420"/>
    </row>
    <row r="29" spans="1:15" x14ac:dyDescent="0.2">
      <c r="B29" s="477"/>
      <c r="C29" s="1414"/>
      <c r="D29" s="1415"/>
      <c r="E29" s="1415"/>
      <c r="F29" s="351"/>
      <c r="G29" s="351"/>
      <c r="H29" s="351"/>
      <c r="I29" s="351"/>
      <c r="J29" s="351"/>
      <c r="K29" s="351"/>
      <c r="L29" s="351"/>
      <c r="M29" s="351"/>
      <c r="N29" s="351"/>
      <c r="O29" s="1420"/>
    </row>
    <row r="30" spans="1:15" x14ac:dyDescent="0.2">
      <c r="B30" s="471"/>
    </row>
    <row r="31" spans="1:15" s="84" customFormat="1" ht="22.5" x14ac:dyDescent="0.2">
      <c r="A31" s="408"/>
      <c r="B31" s="1423" t="s">
        <v>315</v>
      </c>
      <c r="C31" s="405"/>
      <c r="D31" s="405"/>
      <c r="E31" s="405"/>
      <c r="F31" s="405"/>
      <c r="G31" s="405"/>
      <c r="H31" s="405"/>
      <c r="I31" s="405"/>
      <c r="J31" s="405"/>
      <c r="K31" s="405"/>
      <c r="L31" s="405"/>
      <c r="M31" s="405"/>
      <c r="N31" s="405"/>
      <c r="O31" s="406"/>
    </row>
    <row r="32" spans="1:15" x14ac:dyDescent="0.2">
      <c r="B32" s="474"/>
      <c r="C32" s="1416"/>
      <c r="D32" s="1416"/>
      <c r="E32" s="1416"/>
      <c r="F32" s="1416"/>
      <c r="G32" s="1416"/>
      <c r="H32" s="1416"/>
      <c r="I32" s="1416"/>
      <c r="J32" s="1416"/>
      <c r="K32" s="1416"/>
      <c r="L32" s="1416"/>
      <c r="M32" s="1416"/>
      <c r="N32" s="1416"/>
      <c r="O32" s="1420"/>
    </row>
    <row r="33" spans="2:16" x14ac:dyDescent="0.2">
      <c r="B33" s="474"/>
      <c r="C33" s="1417" t="s">
        <v>286</v>
      </c>
      <c r="D33" s="1416"/>
      <c r="E33" s="1416"/>
      <c r="F33" s="176"/>
      <c r="G33" s="1416"/>
      <c r="H33" s="1416"/>
      <c r="I33" s="1416"/>
      <c r="J33" s="1416"/>
      <c r="K33" s="1416"/>
      <c r="L33" s="1416"/>
      <c r="M33" s="1416"/>
      <c r="N33" s="1416"/>
      <c r="O33" s="1420"/>
    </row>
    <row r="34" spans="2:16" ht="5.25" customHeight="1" x14ac:dyDescent="0.2">
      <c r="B34" s="474"/>
      <c r="C34" s="1416"/>
      <c r="D34" s="1416"/>
      <c r="E34" s="1416"/>
      <c r="F34" s="1416"/>
      <c r="G34" s="1416"/>
      <c r="H34" s="1416"/>
      <c r="I34" s="1416"/>
      <c r="J34" s="1416"/>
      <c r="K34" s="1416"/>
      <c r="L34" s="1416"/>
      <c r="M34" s="1416"/>
      <c r="N34" s="1416"/>
      <c r="O34" s="1420"/>
    </row>
    <row r="35" spans="2:16" ht="15.75" x14ac:dyDescent="0.25">
      <c r="B35" s="475"/>
      <c r="C35" s="98" t="s">
        <v>264</v>
      </c>
      <c r="D35" s="98" t="s">
        <v>278</v>
      </c>
      <c r="E35" s="98" t="s">
        <v>172</v>
      </c>
      <c r="F35" s="104" t="s">
        <v>241</v>
      </c>
      <c r="G35" s="103" t="s">
        <v>268</v>
      </c>
      <c r="H35" s="103" t="s">
        <v>269</v>
      </c>
      <c r="I35" s="103" t="s">
        <v>270</v>
      </c>
      <c r="J35" s="103" t="s">
        <v>271</v>
      </c>
      <c r="K35" s="103" t="s">
        <v>272</v>
      </c>
      <c r="L35" s="103" t="s">
        <v>273</v>
      </c>
      <c r="M35" s="103" t="s">
        <v>274</v>
      </c>
      <c r="N35" s="103" t="s">
        <v>275</v>
      </c>
      <c r="O35" s="1420"/>
    </row>
    <row r="36" spans="2:16" ht="15.75" x14ac:dyDescent="0.25">
      <c r="B36" s="475"/>
      <c r="C36" s="124" t="s">
        <v>6</v>
      </c>
      <c r="D36" s="124" t="str">
        <f>INDEX(Vectors[Description], MATCH($C36,Vectors[Code], 0))</f>
        <v>Nuclear fission</v>
      </c>
      <c r="E36" s="125"/>
      <c r="F36" s="127">
        <v>0.1</v>
      </c>
      <c r="G36" s="126">
        <v>0.1</v>
      </c>
      <c r="H36" s="126">
        <v>0.1</v>
      </c>
      <c r="I36" s="126">
        <v>0.1</v>
      </c>
      <c r="J36" s="126">
        <v>0.1</v>
      </c>
      <c r="K36" s="126">
        <v>0.1</v>
      </c>
      <c r="L36" s="126">
        <v>0.1</v>
      </c>
      <c r="M36" s="126">
        <v>0.1</v>
      </c>
      <c r="N36" s="126">
        <v>0.1</v>
      </c>
      <c r="O36" s="1420"/>
    </row>
    <row r="37" spans="2:16" x14ac:dyDescent="0.2">
      <c r="B37" s="474"/>
      <c r="C37" s="1416"/>
      <c r="D37" s="1416"/>
      <c r="E37" s="1416"/>
      <c r="F37" s="1416"/>
      <c r="G37" s="1416"/>
      <c r="H37" s="1416"/>
      <c r="I37" s="1416"/>
      <c r="J37" s="1416"/>
      <c r="K37" s="1416"/>
      <c r="L37" s="1416"/>
      <c r="M37" s="1416"/>
      <c r="N37" s="1416"/>
      <c r="O37" s="1420"/>
    </row>
    <row r="38" spans="2:16" x14ac:dyDescent="0.2">
      <c r="B38" s="479"/>
      <c r="C38" s="1417" t="s">
        <v>276</v>
      </c>
      <c r="D38" s="1416"/>
      <c r="E38" s="1416"/>
      <c r="F38" s="176"/>
      <c r="G38" s="1416"/>
      <c r="H38" s="1416"/>
      <c r="I38" s="1416"/>
      <c r="J38" s="1416"/>
      <c r="K38" s="1416"/>
      <c r="L38" s="1416"/>
      <c r="M38" s="1416"/>
      <c r="N38" s="1416"/>
      <c r="O38" s="1420"/>
    </row>
    <row r="39" spans="2:16" x14ac:dyDescent="0.2">
      <c r="B39" s="474"/>
      <c r="C39" s="1416"/>
      <c r="D39" s="1416"/>
      <c r="E39" s="1416"/>
      <c r="F39" s="1416"/>
      <c r="G39" s="1416"/>
      <c r="H39" s="1416"/>
      <c r="I39" s="1416"/>
      <c r="J39" s="1416"/>
      <c r="K39" s="1416"/>
      <c r="L39" s="1416"/>
      <c r="M39" s="1416"/>
      <c r="N39" s="1416"/>
      <c r="O39" s="1420"/>
    </row>
    <row r="40" spans="2:16" ht="15.75" x14ac:dyDescent="0.25">
      <c r="B40" s="475"/>
      <c r="C40" s="98" t="s">
        <v>264</v>
      </c>
      <c r="D40" s="98" t="s">
        <v>278</v>
      </c>
      <c r="E40" s="98" t="s">
        <v>172</v>
      </c>
      <c r="F40" s="104" t="s">
        <v>241</v>
      </c>
      <c r="G40" s="103" t="s">
        <v>268</v>
      </c>
      <c r="H40" s="103" t="s">
        <v>269</v>
      </c>
      <c r="I40" s="103" t="s">
        <v>270</v>
      </c>
      <c r="J40" s="103" t="s">
        <v>271</v>
      </c>
      <c r="K40" s="103" t="s">
        <v>272</v>
      </c>
      <c r="L40" s="103" t="s">
        <v>273</v>
      </c>
      <c r="M40" s="103" t="s">
        <v>274</v>
      </c>
      <c r="N40" s="103" t="s">
        <v>275</v>
      </c>
      <c r="O40" s="1420"/>
    </row>
    <row r="41" spans="2:16" s="84" customFormat="1" ht="15.75" x14ac:dyDescent="0.2">
      <c r="B41" s="476"/>
      <c r="C41" s="121" t="s">
        <v>6</v>
      </c>
      <c r="D41" s="122" t="str">
        <f>INDEX(Vectors[Description], MATCH($C41,Vectors[Code], 0))</f>
        <v>Nuclear fission</v>
      </c>
      <c r="E41" s="122" t="s">
        <v>93</v>
      </c>
      <c r="F41" s="129">
        <v>0.36</v>
      </c>
      <c r="G41" s="128">
        <v>0.36</v>
      </c>
      <c r="H41" s="128">
        <v>0.36</v>
      </c>
      <c r="I41" s="128">
        <v>0.36</v>
      </c>
      <c r="J41" s="128">
        <v>0.36</v>
      </c>
      <c r="K41" s="128">
        <v>0.36</v>
      </c>
      <c r="L41" s="128">
        <v>0.36</v>
      </c>
      <c r="M41" s="128">
        <v>0.36</v>
      </c>
      <c r="N41" s="128">
        <v>0.36</v>
      </c>
      <c r="O41" s="400"/>
    </row>
    <row r="42" spans="2:16" x14ac:dyDescent="0.2">
      <c r="B42" s="474"/>
      <c r="C42" s="1416"/>
      <c r="D42" s="1416"/>
      <c r="E42" s="1416"/>
      <c r="F42" s="1416"/>
      <c r="G42" s="1416"/>
      <c r="H42" s="1416"/>
      <c r="I42" s="1416"/>
      <c r="J42" s="1416"/>
      <c r="K42" s="1416"/>
      <c r="L42" s="1416"/>
      <c r="M42" s="1416"/>
      <c r="N42" s="1416"/>
      <c r="O42" s="1420"/>
    </row>
    <row r="43" spans="2:16" x14ac:dyDescent="0.2">
      <c r="B43" s="474"/>
      <c r="C43" s="1417" t="s">
        <v>304</v>
      </c>
      <c r="D43" s="1416"/>
      <c r="E43" s="1416"/>
      <c r="F43" s="176"/>
      <c r="G43" s="1416"/>
      <c r="H43" s="1416"/>
      <c r="I43" s="1416"/>
      <c r="J43" s="1416"/>
      <c r="K43" s="1416"/>
      <c r="L43" s="1416"/>
      <c r="M43" s="1416"/>
      <c r="N43" s="1416"/>
      <c r="O43" s="1420"/>
    </row>
    <row r="44" spans="2:16" ht="6" customHeight="1" x14ac:dyDescent="0.2">
      <c r="B44" s="474"/>
      <c r="C44" s="1416"/>
      <c r="D44" s="1416"/>
      <c r="E44" s="1416"/>
      <c r="F44" s="1416"/>
      <c r="G44" s="1416"/>
      <c r="H44" s="1416"/>
      <c r="I44" s="1416"/>
      <c r="J44" s="1416"/>
      <c r="K44" s="1416"/>
      <c r="L44" s="1416"/>
      <c r="M44" s="1416"/>
      <c r="N44" s="1416"/>
      <c r="O44" s="1420"/>
    </row>
    <row r="45" spans="2:16" ht="15.75" x14ac:dyDescent="0.25">
      <c r="B45" s="475"/>
      <c r="C45" s="98" t="s">
        <v>264</v>
      </c>
      <c r="D45" s="98" t="s">
        <v>278</v>
      </c>
      <c r="E45" s="98" t="s">
        <v>172</v>
      </c>
      <c r="F45" s="104" t="s">
        <v>241</v>
      </c>
      <c r="G45" s="103" t="s">
        <v>268</v>
      </c>
      <c r="H45" s="103" t="s">
        <v>269</v>
      </c>
      <c r="I45" s="103" t="s">
        <v>270</v>
      </c>
      <c r="J45" s="103" t="s">
        <v>271</v>
      </c>
      <c r="K45" s="103" t="s">
        <v>272</v>
      </c>
      <c r="L45" s="103" t="s">
        <v>273</v>
      </c>
      <c r="M45" s="103" t="s">
        <v>274</v>
      </c>
      <c r="N45" s="103" t="s">
        <v>275</v>
      </c>
      <c r="O45" s="1420"/>
    </row>
    <row r="46" spans="2:16" ht="15.75" x14ac:dyDescent="0.25">
      <c r="B46" s="475"/>
      <c r="C46" s="1412" t="s">
        <v>6</v>
      </c>
      <c r="D46" s="102" t="str">
        <f>INDEX(Vectors[Description], MATCH($C46,Vectors[Code], 0))</f>
        <v>Nuclear fission</v>
      </c>
      <c r="E46" s="102" t="s">
        <v>93</v>
      </c>
      <c r="F46" s="109">
        <v>0.8</v>
      </c>
      <c r="G46" s="109">
        <v>0.8</v>
      </c>
      <c r="H46" s="109">
        <v>0.8</v>
      </c>
      <c r="I46" s="109">
        <v>0.8</v>
      </c>
      <c r="J46" s="109">
        <v>0.8</v>
      </c>
      <c r="K46" s="109">
        <v>0.8</v>
      </c>
      <c r="L46" s="109">
        <v>0.8</v>
      </c>
      <c r="M46" s="109">
        <v>0.8</v>
      </c>
      <c r="N46" s="109">
        <v>0.8</v>
      </c>
      <c r="O46" s="1420"/>
    </row>
    <row r="47" spans="2:16" x14ac:dyDescent="0.2">
      <c r="B47" s="474"/>
      <c r="C47" s="1416"/>
      <c r="D47" s="1416"/>
      <c r="E47" s="1416"/>
      <c r="F47" s="1416"/>
      <c r="G47" s="1416"/>
      <c r="H47" s="1416"/>
      <c r="I47" s="1416"/>
      <c r="J47" s="1416"/>
      <c r="K47" s="1416"/>
      <c r="L47" s="1416"/>
      <c r="M47" s="1416"/>
      <c r="N47" s="1416"/>
      <c r="O47" s="1420"/>
    </row>
    <row r="48" spans="2:16" ht="15.75" x14ac:dyDescent="0.25">
      <c r="B48" s="397"/>
      <c r="C48" s="1417" t="s">
        <v>1273</v>
      </c>
      <c r="D48" s="1416"/>
      <c r="E48" s="1416"/>
      <c r="F48" s="1416"/>
      <c r="G48" s="176"/>
      <c r="H48" s="1416"/>
      <c r="I48" s="1416"/>
      <c r="J48" s="1416"/>
      <c r="K48" s="1416"/>
      <c r="L48" s="1416"/>
      <c r="M48" s="1416"/>
      <c r="N48" s="1416"/>
      <c r="O48" s="1416"/>
      <c r="P48" s="1420"/>
    </row>
    <row r="49" spans="1:17" ht="4.5" customHeight="1" x14ac:dyDescent="0.25">
      <c r="B49" s="397"/>
      <c r="C49" s="1416"/>
      <c r="D49" s="1416"/>
      <c r="E49" s="1416"/>
      <c r="F49" s="1416"/>
      <c r="G49" s="1416"/>
      <c r="H49" s="1416"/>
      <c r="I49" s="1416"/>
      <c r="J49" s="1416"/>
      <c r="K49" s="1416"/>
      <c r="L49" s="1416"/>
      <c r="M49" s="1416"/>
      <c r="N49" s="1416"/>
      <c r="O49" s="1416"/>
      <c r="P49" s="1420"/>
    </row>
    <row r="50" spans="1:17" ht="15.75" x14ac:dyDescent="0.25">
      <c r="B50" s="397"/>
      <c r="C50" s="98"/>
      <c r="D50" s="98"/>
      <c r="E50" s="98"/>
      <c r="F50" s="224"/>
      <c r="G50" s="1261"/>
      <c r="H50" s="1416"/>
      <c r="I50" s="1416"/>
      <c r="J50" s="523"/>
      <c r="K50" s="523"/>
      <c r="L50" s="523"/>
      <c r="M50" s="523"/>
      <c r="N50" s="523"/>
      <c r="O50" s="523"/>
      <c r="P50" s="1420"/>
    </row>
    <row r="51" spans="1:17" ht="15.75" x14ac:dyDescent="0.25">
      <c r="B51" s="397"/>
      <c r="C51" s="1413"/>
      <c r="D51" s="107" t="s">
        <v>1968</v>
      </c>
      <c r="E51" s="1413"/>
      <c r="F51" s="1077">
        <v>60</v>
      </c>
      <c r="G51" s="1258" t="s">
        <v>1467</v>
      </c>
      <c r="H51" s="1416"/>
      <c r="I51" s="1416"/>
      <c r="J51" s="523"/>
      <c r="K51" s="523"/>
      <c r="L51" s="523"/>
      <c r="M51" s="523"/>
      <c r="N51" s="523"/>
      <c r="O51" s="523"/>
      <c r="P51" s="1420"/>
    </row>
    <row r="52" spans="1:17" ht="15.75" x14ac:dyDescent="0.25">
      <c r="B52" s="397"/>
      <c r="C52" s="199"/>
      <c r="D52" s="200" t="s">
        <v>1298</v>
      </c>
      <c r="E52" s="200"/>
      <c r="F52" s="686">
        <f>1*Unit.GW</f>
        <v>1</v>
      </c>
      <c r="G52" s="1263" t="str">
        <f>Preferences.PowerUnits&amp;"peak"</f>
        <v>GWpeak</v>
      </c>
      <c r="H52" s="1416"/>
      <c r="I52" s="1416"/>
      <c r="J52" s="208"/>
      <c r="K52" s="208"/>
      <c r="L52" s="208"/>
      <c r="M52" s="208"/>
      <c r="N52" s="208"/>
      <c r="O52" s="208"/>
      <c r="P52" s="1420"/>
    </row>
    <row r="53" spans="1:17" x14ac:dyDescent="0.2">
      <c r="B53" s="1419"/>
      <c r="C53" s="1416"/>
      <c r="D53" s="1416"/>
      <c r="E53" s="1416"/>
      <c r="F53" s="1416"/>
      <c r="G53" s="1416"/>
      <c r="H53" s="1416"/>
      <c r="I53" s="1416"/>
      <c r="J53" s="1416"/>
      <c r="K53" s="1416"/>
      <c r="L53" s="1416"/>
      <c r="M53" s="1416"/>
      <c r="N53" s="1416"/>
      <c r="O53" s="1416"/>
      <c r="P53" s="1420"/>
    </row>
    <row r="54" spans="1:17" x14ac:dyDescent="0.2">
      <c r="B54" s="474"/>
      <c r="C54" s="1416"/>
      <c r="D54" s="1416"/>
      <c r="E54" s="1416"/>
      <c r="F54" s="1416"/>
      <c r="G54" s="1416"/>
      <c r="H54" s="1416"/>
      <c r="I54" s="1416"/>
      <c r="J54" s="1416"/>
      <c r="K54" s="1416"/>
      <c r="L54" s="1416"/>
      <c r="M54" s="1416"/>
      <c r="N54" s="1416"/>
      <c r="O54" s="1416"/>
      <c r="P54" s="1420"/>
    </row>
    <row r="55" spans="1:17" x14ac:dyDescent="0.2">
      <c r="A55" s="2132"/>
      <c r="B55" s="2132"/>
      <c r="C55" s="2132"/>
      <c r="D55" s="2132"/>
      <c r="E55" s="2132"/>
      <c r="F55" s="2132"/>
      <c r="G55" s="2132"/>
      <c r="H55" s="2132"/>
      <c r="I55" s="2132"/>
      <c r="J55" s="2132"/>
      <c r="K55" s="2132"/>
      <c r="L55" s="2132"/>
      <c r="M55" s="2132"/>
      <c r="N55" s="2132"/>
      <c r="O55" s="2132"/>
      <c r="P55" s="2132"/>
      <c r="Q55" s="2132"/>
    </row>
    <row r="56" spans="1:17" s="84" customFormat="1" ht="22.5" x14ac:dyDescent="0.2">
      <c r="A56" s="408"/>
      <c r="B56" s="2228" t="s">
        <v>1417</v>
      </c>
      <c r="C56" s="2229"/>
      <c r="D56" s="2229"/>
      <c r="E56" s="2229"/>
      <c r="F56" s="2229"/>
      <c r="G56" s="2229"/>
      <c r="H56" s="2229"/>
      <c r="I56" s="2229"/>
      <c r="J56" s="2229"/>
      <c r="K56" s="2229"/>
      <c r="L56" s="2229"/>
      <c r="M56" s="2229"/>
      <c r="N56" s="2017"/>
      <c r="O56" s="2017"/>
    </row>
    <row r="57" spans="1:17" s="84" customFormat="1" x14ac:dyDescent="0.2">
      <c r="A57" s="2479"/>
      <c r="B57" s="2500"/>
      <c r="C57" s="2501"/>
      <c r="D57" s="2488"/>
      <c r="E57" s="2488"/>
      <c r="F57" s="2488"/>
      <c r="G57" s="2488"/>
      <c r="H57" s="2488"/>
      <c r="I57" s="2488"/>
      <c r="J57" s="2488"/>
      <c r="K57" s="2488"/>
      <c r="L57" s="2488"/>
      <c r="M57" s="2502"/>
      <c r="N57" s="2502"/>
      <c r="O57" s="1377"/>
      <c r="P57" s="2479"/>
    </row>
    <row r="58" spans="1:17" s="84" customFormat="1" ht="4.5" customHeight="1" x14ac:dyDescent="0.2">
      <c r="A58" s="2479"/>
      <c r="B58" s="2500"/>
      <c r="C58" s="2488"/>
      <c r="D58" s="2488"/>
      <c r="E58" s="2488"/>
      <c r="F58" s="2488"/>
      <c r="G58" s="2488"/>
      <c r="H58" s="2488"/>
      <c r="I58" s="2488"/>
      <c r="J58" s="2488"/>
      <c r="K58" s="2488"/>
      <c r="L58" s="2488"/>
      <c r="M58" s="2502"/>
      <c r="N58" s="2502"/>
      <c r="O58" s="1377"/>
      <c r="P58" s="2479"/>
    </row>
    <row r="59" spans="1:17" s="84" customFormat="1" x14ac:dyDescent="0.2">
      <c r="A59" s="2479"/>
      <c r="B59" s="2500"/>
      <c r="C59" s="1417" t="str">
        <f>"Capital cost of a "&amp;plantsize.II.a&amp;" "&amp;Preferences.PowerUnits&amp;" power plant"</f>
        <v>Capital cost of a 1 GW power plant</v>
      </c>
      <c r="D59" s="107"/>
      <c r="E59" s="1081"/>
      <c r="F59" s="1055"/>
      <c r="G59" s="760"/>
      <c r="H59" s="760"/>
      <c r="I59" s="760"/>
      <c r="J59" s="760"/>
      <c r="K59" s="760"/>
      <c r="L59" s="760"/>
      <c r="M59" s="760"/>
      <c r="N59" s="1255" t="str">
        <f>Preferences.moneyunits&amp;"/plant"</f>
        <v>N/plant</v>
      </c>
      <c r="O59" s="1870"/>
      <c r="P59" s="2479"/>
    </row>
    <row r="60" spans="1:17" s="84" customFormat="1" ht="5.25" customHeight="1" x14ac:dyDescent="0.2">
      <c r="A60" s="2479"/>
      <c r="B60" s="2500"/>
      <c r="C60" s="1848"/>
      <c r="D60" s="107"/>
      <c r="E60" s="1081"/>
      <c r="F60" s="1055"/>
      <c r="G60" s="760"/>
      <c r="H60" s="760"/>
      <c r="I60" s="760"/>
      <c r="J60" s="760"/>
      <c r="K60" s="760"/>
      <c r="L60" s="760"/>
      <c r="M60" s="760"/>
      <c r="N60" s="1416"/>
      <c r="O60" s="1870"/>
      <c r="P60" s="2479"/>
    </row>
    <row r="61" spans="1:17" s="84" customFormat="1" x14ac:dyDescent="0.2">
      <c r="A61" s="2479"/>
      <c r="B61" s="2500"/>
      <c r="C61" s="1840"/>
      <c r="D61" s="1841"/>
      <c r="E61" s="1842" t="s">
        <v>1321</v>
      </c>
      <c r="F61" s="2208">
        <v>2010</v>
      </c>
      <c r="G61" s="1843">
        <v>2015</v>
      </c>
      <c r="H61" s="1843">
        <v>2020</v>
      </c>
      <c r="I61" s="1843">
        <v>2025</v>
      </c>
      <c r="J61" s="1843">
        <v>2030</v>
      </c>
      <c r="K61" s="1843">
        <v>2035</v>
      </c>
      <c r="L61" s="1843">
        <v>2040</v>
      </c>
      <c r="M61" s="1843">
        <v>2045</v>
      </c>
      <c r="N61" s="1843">
        <v>2050</v>
      </c>
      <c r="O61" s="1870"/>
      <c r="P61" s="2479"/>
    </row>
    <row r="62" spans="1:17" s="84" customFormat="1" ht="15.75" customHeight="1" x14ac:dyDescent="0.2">
      <c r="A62" s="2479"/>
      <c r="B62" s="2500"/>
      <c r="C62" s="606" t="s">
        <v>1871</v>
      </c>
      <c r="D62" s="107"/>
      <c r="E62" s="1847">
        <f>(N62-F62)/(N$61-F$61)</f>
        <v>0</v>
      </c>
      <c r="F62" s="2209">
        <f>600000*NAIRA2010_*plantsize.II.a/Unit.kW</f>
        <v>600000000000</v>
      </c>
      <c r="G62" s="1849">
        <f t="shared" ref="G62" si="4">($E62*(G$71-F$71))+F62</f>
        <v>600000000000</v>
      </c>
      <c r="H62" s="1849">
        <f t="shared" ref="H62" si="5">($E62*(H$71-G$71))+G62</f>
        <v>600000000000</v>
      </c>
      <c r="I62" s="1849">
        <f t="shared" ref="I62" si="6">($E62*(I$71-H$71))+H62</f>
        <v>600000000000</v>
      </c>
      <c r="J62" s="1849">
        <f t="shared" ref="J62" si="7">($E62*(J$71-I$71))+I62</f>
        <v>600000000000</v>
      </c>
      <c r="K62" s="1849">
        <f t="shared" ref="K62" si="8">($E62*(K$71-J$71))+J62</f>
        <v>600000000000</v>
      </c>
      <c r="L62" s="1849">
        <f t="shared" ref="L62" si="9">($E62*(L$71-K$71))+K62</f>
        <v>600000000000</v>
      </c>
      <c r="M62" s="1849">
        <f t="shared" ref="M62" si="10">($E62*(M$71-L$71))+L62</f>
        <v>600000000000</v>
      </c>
      <c r="N62" s="1849">
        <f>600000*NAIRA2010_*plantsize.II.a/Unit.kW</f>
        <v>600000000000</v>
      </c>
      <c r="O62" s="1870"/>
      <c r="P62" s="2479"/>
    </row>
    <row r="63" spans="1:17" s="84" customFormat="1" ht="15.75" customHeight="1" x14ac:dyDescent="0.2">
      <c r="A63" s="2479"/>
      <c r="B63" s="2500"/>
      <c r="C63" s="606" t="s">
        <v>1872</v>
      </c>
      <c r="D63" s="107"/>
      <c r="E63" s="188">
        <f>(N63-F63)/(N$61-F$61)</f>
        <v>0</v>
      </c>
      <c r="F63" s="2209">
        <f>525000*NAIRA2010_*plantsize.II.a/Unit.kW</f>
        <v>525000000000</v>
      </c>
      <c r="G63" s="1849">
        <f t="shared" ref="G63:G64" si="11">($E63*(G$71-F$71))+F63</f>
        <v>525000000000</v>
      </c>
      <c r="H63" s="1849">
        <f t="shared" ref="H63:H64" si="12">($E63*(H$71-G$71))+G63</f>
        <v>525000000000</v>
      </c>
      <c r="I63" s="1849">
        <f t="shared" ref="I63:I64" si="13">($E63*(I$71-H$71))+H63</f>
        <v>525000000000</v>
      </c>
      <c r="J63" s="1849">
        <f t="shared" ref="J63:J64" si="14">($E63*(J$71-I$71))+I63</f>
        <v>525000000000</v>
      </c>
      <c r="K63" s="1849">
        <f t="shared" ref="K63:K64" si="15">($E63*(K$71-J$71))+J63</f>
        <v>525000000000</v>
      </c>
      <c r="L63" s="1849">
        <f t="shared" ref="L63:L64" si="16">($E63*(L$71-K$71))+K63</f>
        <v>525000000000</v>
      </c>
      <c r="M63" s="1849">
        <f t="shared" ref="M63:M64" si="17">($E63*(M$71-L$71))+L63</f>
        <v>525000000000</v>
      </c>
      <c r="N63" s="1849">
        <f>525000*NAIRA2010_*plantsize.II.a/Unit.kW</f>
        <v>525000000000</v>
      </c>
      <c r="O63" s="1870"/>
      <c r="P63" s="2479"/>
    </row>
    <row r="64" spans="1:17" s="84" customFormat="1" ht="15.75" customHeight="1" x14ac:dyDescent="0.2">
      <c r="A64" s="2479"/>
      <c r="B64" s="2487"/>
      <c r="C64" s="1731" t="s">
        <v>1873</v>
      </c>
      <c r="D64" s="189"/>
      <c r="E64" s="191">
        <f>(N64-F64)/(N$61-F$61)</f>
        <v>0</v>
      </c>
      <c r="F64" s="2210">
        <f>450000*NAIRA2010_*plantsize.II.a/Unit.kW</f>
        <v>450000000000</v>
      </c>
      <c r="G64" s="1850">
        <f t="shared" si="11"/>
        <v>450000000000</v>
      </c>
      <c r="H64" s="1850">
        <f t="shared" si="12"/>
        <v>450000000000</v>
      </c>
      <c r="I64" s="1850">
        <f t="shared" si="13"/>
        <v>450000000000</v>
      </c>
      <c r="J64" s="1850">
        <f t="shared" si="14"/>
        <v>450000000000</v>
      </c>
      <c r="K64" s="1850">
        <f t="shared" si="15"/>
        <v>450000000000</v>
      </c>
      <c r="L64" s="1850">
        <f t="shared" si="16"/>
        <v>450000000000</v>
      </c>
      <c r="M64" s="1850">
        <f t="shared" si="17"/>
        <v>450000000000</v>
      </c>
      <c r="N64" s="1850">
        <f>450000*NAIRA2010_*plantsize.II.a/Unit.kW</f>
        <v>450000000000</v>
      </c>
      <c r="O64" s="1870"/>
      <c r="P64" s="2479"/>
    </row>
    <row r="65" spans="1:16" s="84" customFormat="1" ht="15" customHeight="1" x14ac:dyDescent="0.2">
      <c r="A65" s="2479"/>
      <c r="B65" s="2487"/>
      <c r="C65" s="1848"/>
      <c r="D65" s="107"/>
      <c r="E65" s="1081"/>
      <c r="F65" s="1055"/>
      <c r="G65" s="760"/>
      <c r="H65" s="760"/>
      <c r="I65" s="760"/>
      <c r="J65" s="760"/>
      <c r="K65" s="760"/>
      <c r="L65" s="760"/>
      <c r="M65" s="760"/>
      <c r="N65" s="1416"/>
      <c r="O65" s="1870"/>
      <c r="P65" s="2479"/>
    </row>
    <row r="66" spans="1:16" x14ac:dyDescent="0.2">
      <c r="B66" s="1542"/>
      <c r="C66" s="1417" t="str">
        <f>"Operating cost of a "&amp;plantsize.II.a&amp;" "&amp;Preferences.PowerUnits&amp;" power plant"</f>
        <v>Operating cost of a 1 GW power plant</v>
      </c>
      <c r="D66" s="107"/>
      <c r="E66" s="1081"/>
      <c r="F66" s="1055"/>
      <c r="G66" s="760"/>
      <c r="H66" s="760"/>
      <c r="I66" s="760"/>
      <c r="J66" s="760"/>
      <c r="K66" s="760"/>
      <c r="L66" s="760"/>
      <c r="M66" s="760"/>
      <c r="N66" s="1255" t="str">
        <f>Preferences.moneyunits&amp;"/plant"</f>
        <v>N/plant</v>
      </c>
      <c r="O66" s="1377"/>
    </row>
    <row r="67" spans="1:16" ht="4.5" customHeight="1" x14ac:dyDescent="0.2">
      <c r="B67" s="1542"/>
      <c r="C67" s="1848"/>
      <c r="D67" s="107"/>
      <c r="E67" s="1081"/>
      <c r="F67" s="1055"/>
      <c r="G67" s="760"/>
      <c r="H67" s="760"/>
      <c r="I67" s="760"/>
      <c r="J67" s="760"/>
      <c r="K67" s="760"/>
      <c r="L67" s="760"/>
      <c r="M67" s="760"/>
      <c r="N67" s="1416"/>
      <c r="O67" s="1377"/>
    </row>
    <row r="68" spans="1:16" x14ac:dyDescent="0.2">
      <c r="B68" s="1542"/>
      <c r="C68" s="1406"/>
      <c r="D68" s="1543"/>
      <c r="E68" s="1544" t="s">
        <v>1321</v>
      </c>
      <c r="F68" s="1546">
        <v>2010</v>
      </c>
      <c r="G68" s="1546">
        <v>2015</v>
      </c>
      <c r="H68" s="1546">
        <v>2020</v>
      </c>
      <c r="I68" s="1546">
        <v>2025</v>
      </c>
      <c r="J68" s="1546">
        <v>2030</v>
      </c>
      <c r="K68" s="1546">
        <v>2035</v>
      </c>
      <c r="L68" s="1546">
        <v>2040</v>
      </c>
      <c r="M68" s="1546">
        <v>2045</v>
      </c>
      <c r="N68" s="1546">
        <v>2050</v>
      </c>
      <c r="O68" s="1377"/>
    </row>
    <row r="69" spans="1:16" ht="15.75" customHeight="1" x14ac:dyDescent="0.2">
      <c r="B69" s="1542"/>
      <c r="C69" s="606" t="s">
        <v>1871</v>
      </c>
      <c r="D69" s="107"/>
      <c r="E69" s="1847">
        <f>(N69-F69)/(N$68-F$68)</f>
        <v>0</v>
      </c>
      <c r="F69" s="1847">
        <f>(4.5*NAIRA2010_/Unit.kW)*plantsize.II.a</f>
        <v>4500000</v>
      </c>
      <c r="G69" s="1847">
        <f t="shared" ref="G69:M70" si="18">($E69*(G$68-F$68))+F69</f>
        <v>4500000</v>
      </c>
      <c r="H69" s="1847">
        <f t="shared" si="18"/>
        <v>4500000</v>
      </c>
      <c r="I69" s="1847">
        <f t="shared" si="18"/>
        <v>4500000</v>
      </c>
      <c r="J69" s="1847">
        <f t="shared" si="18"/>
        <v>4500000</v>
      </c>
      <c r="K69" s="1847">
        <f t="shared" si="18"/>
        <v>4500000</v>
      </c>
      <c r="L69" s="1847">
        <f t="shared" si="18"/>
        <v>4500000</v>
      </c>
      <c r="M69" s="1847">
        <f t="shared" si="18"/>
        <v>4500000</v>
      </c>
      <c r="N69" s="1847">
        <f>(4.5*NAIRA2010_/Unit.kW)*plantsize.II.a</f>
        <v>4500000</v>
      </c>
      <c r="O69" s="1377"/>
    </row>
    <row r="70" spans="1:16" ht="15.75" customHeight="1" x14ac:dyDescent="0.2">
      <c r="B70" s="1542"/>
      <c r="C70" s="606" t="s">
        <v>1872</v>
      </c>
      <c r="D70" s="107"/>
      <c r="E70" s="188">
        <f>(N70-F70)/(N$68-F$68)</f>
        <v>0</v>
      </c>
      <c r="F70" s="188">
        <f>(3.75*NAIRA2010_/Unit.kW)*plantsize.II.a</f>
        <v>3750000</v>
      </c>
      <c r="G70" s="188">
        <f t="shared" ref="G70" si="19">($E70*(G$68-F$68))+F70</f>
        <v>3750000</v>
      </c>
      <c r="H70" s="188">
        <f t="shared" ref="H70" si="20">($E70*(H$71-G$71))+G70</f>
        <v>3750000</v>
      </c>
      <c r="I70" s="188">
        <f t="shared" ref="I70" si="21">($E70*(I$68-H$68))+H70</f>
        <v>3750000</v>
      </c>
      <c r="J70" s="188">
        <f t="shared" ref="J70" si="22">($E70*(J$68-I$68))+I70</f>
        <v>3750000</v>
      </c>
      <c r="K70" s="188">
        <f t="shared" ref="K70" si="23">($E70*(K$68-J$68))+J70</f>
        <v>3750000</v>
      </c>
      <c r="L70" s="188">
        <f t="shared" ref="L70" si="24">($E70*(L$68-K$68))+K70</f>
        <v>3750000</v>
      </c>
      <c r="M70" s="188">
        <f t="shared" si="18"/>
        <v>3750000</v>
      </c>
      <c r="N70" s="2712">
        <f>(3.75*NAIRA2010_/Unit.kW)*plantsize.II.a</f>
        <v>3750000</v>
      </c>
      <c r="O70" s="1377"/>
    </row>
    <row r="71" spans="1:16" ht="15.75" customHeight="1" x14ac:dyDescent="0.2">
      <c r="B71" s="1542"/>
      <c r="C71" s="1731" t="s">
        <v>1873</v>
      </c>
      <c r="D71" s="189"/>
      <c r="E71" s="191">
        <f>(N71-F71)/(N$68-F$68)</f>
        <v>0</v>
      </c>
      <c r="F71" s="191">
        <f>(3*NAIRA2010_/Unit.kW)*plantsize.II.a</f>
        <v>3000000</v>
      </c>
      <c r="G71" s="191">
        <f t="shared" ref="G71:M71" si="25">($E71*(G$68-F$68))+F71</f>
        <v>3000000</v>
      </c>
      <c r="H71" s="191">
        <f t="shared" si="25"/>
        <v>3000000</v>
      </c>
      <c r="I71" s="191">
        <f t="shared" si="25"/>
        <v>3000000</v>
      </c>
      <c r="J71" s="191">
        <f t="shared" si="25"/>
        <v>3000000</v>
      </c>
      <c r="K71" s="191">
        <f t="shared" si="25"/>
        <v>3000000</v>
      </c>
      <c r="L71" s="191">
        <f t="shared" si="25"/>
        <v>3000000</v>
      </c>
      <c r="M71" s="191">
        <f t="shared" si="25"/>
        <v>3000000</v>
      </c>
      <c r="N71" s="191">
        <f>(3*NAIRA2010_/Unit.kW)*plantsize.II.a</f>
        <v>3000000</v>
      </c>
      <c r="O71" s="1377"/>
    </row>
    <row r="72" spans="1:16" x14ac:dyDescent="0.2">
      <c r="B72" s="1419"/>
      <c r="C72" s="1377"/>
      <c r="D72" s="1377"/>
      <c r="E72" s="1377"/>
      <c r="F72" s="1377"/>
      <c r="G72" s="1377"/>
      <c r="H72" s="1377"/>
      <c r="I72" s="1377"/>
      <c r="J72" s="1377"/>
      <c r="K72" s="1377"/>
      <c r="L72" s="1377"/>
      <c r="M72" s="1377"/>
      <c r="N72" s="1377"/>
      <c r="O72" s="1377"/>
    </row>
    <row r="73" spans="1:16" x14ac:dyDescent="0.2">
      <c r="B73" s="1419"/>
      <c r="C73" s="1497" t="s">
        <v>1969</v>
      </c>
      <c r="D73" s="1377"/>
      <c r="E73" s="1377"/>
      <c r="F73" s="1377"/>
      <c r="G73" s="1377"/>
      <c r="H73" s="1377"/>
      <c r="I73" s="1377"/>
      <c r="J73" s="1377"/>
      <c r="K73" s="1377"/>
      <c r="L73" s="1377"/>
      <c r="M73" s="1377"/>
      <c r="N73" s="2020" t="str">
        <f>Preferences.moneyunits&amp;"/"&amp; Preferences.EnergyUnits</f>
        <v>N/TWh</v>
      </c>
      <c r="O73" s="1377"/>
    </row>
    <row r="74" spans="1:16" ht="6" customHeight="1" x14ac:dyDescent="0.2">
      <c r="B74" s="1419"/>
      <c r="C74" s="1377"/>
      <c r="D74" s="1377"/>
      <c r="E74" s="1377"/>
      <c r="F74" s="1377"/>
      <c r="G74" s="1377"/>
      <c r="H74" s="1377"/>
      <c r="I74" s="1377"/>
      <c r="J74" s="1377"/>
      <c r="K74" s="1377"/>
      <c r="L74" s="1377"/>
      <c r="M74" s="1377"/>
      <c r="N74" s="1377"/>
      <c r="O74" s="1377"/>
    </row>
    <row r="75" spans="1:16" ht="15.75" x14ac:dyDescent="0.25">
      <c r="B75" s="397"/>
      <c r="C75" s="2063"/>
      <c r="D75" s="1904"/>
      <c r="E75" s="1544" t="s">
        <v>1321</v>
      </c>
      <c r="F75" s="1845">
        <v>2010</v>
      </c>
      <c r="G75" s="1845">
        <v>2015</v>
      </c>
      <c r="H75" s="1845">
        <v>2020</v>
      </c>
      <c r="I75" s="1845">
        <v>2025</v>
      </c>
      <c r="J75" s="1845">
        <v>2030</v>
      </c>
      <c r="K75" s="1845">
        <v>2035</v>
      </c>
      <c r="L75" s="1845">
        <v>2040</v>
      </c>
      <c r="M75" s="1845">
        <v>2045</v>
      </c>
      <c r="N75" s="1845">
        <v>2050</v>
      </c>
      <c r="O75" s="1377"/>
    </row>
    <row r="76" spans="1:16" s="84" customFormat="1" ht="15.75" customHeight="1" x14ac:dyDescent="0.2">
      <c r="B76" s="399"/>
      <c r="C76" s="1846" t="s">
        <v>1871</v>
      </c>
      <c r="D76" s="1102"/>
      <c r="E76" s="1847">
        <f>(N76-F76)/(N$75-F$75)</f>
        <v>0</v>
      </c>
      <c r="F76" s="2211">
        <f>2250/Unit.MWh*NAIRA2010_</f>
        <v>2250000000</v>
      </c>
      <c r="G76" s="2141">
        <f t="shared" ref="G76:M78" si="26">($E76*(G$75-F$75))+F76</f>
        <v>2250000000</v>
      </c>
      <c r="H76" s="2141">
        <f t="shared" si="26"/>
        <v>2250000000</v>
      </c>
      <c r="I76" s="2141">
        <f t="shared" si="26"/>
        <v>2250000000</v>
      </c>
      <c r="J76" s="2141">
        <f t="shared" si="26"/>
        <v>2250000000</v>
      </c>
      <c r="K76" s="2141">
        <f t="shared" si="26"/>
        <v>2250000000</v>
      </c>
      <c r="L76" s="2141">
        <f t="shared" si="26"/>
        <v>2250000000</v>
      </c>
      <c r="M76" s="2141">
        <f t="shared" si="26"/>
        <v>2250000000</v>
      </c>
      <c r="N76" s="2211">
        <f>2250/Unit.MWh*NAIRA2010_</f>
        <v>2250000000</v>
      </c>
      <c r="O76" s="1870"/>
    </row>
    <row r="77" spans="1:16" ht="15.75" customHeight="1" x14ac:dyDescent="0.2">
      <c r="B77" s="401"/>
      <c r="C77" s="606" t="s">
        <v>1872</v>
      </c>
      <c r="D77" s="1416"/>
      <c r="E77" s="188">
        <f>(N77-F77)/(N$75-F$75)</f>
        <v>0</v>
      </c>
      <c r="F77" s="2165">
        <f>1800/Unit.MWh*NAIRA2010_</f>
        <v>1800000000</v>
      </c>
      <c r="G77" s="2164">
        <f>($E77*(G$75-F$75))+F77</f>
        <v>1800000000</v>
      </c>
      <c r="H77" s="2164">
        <f t="shared" si="26"/>
        <v>1800000000</v>
      </c>
      <c r="I77" s="2164">
        <f t="shared" si="26"/>
        <v>1800000000</v>
      </c>
      <c r="J77" s="2164">
        <f t="shared" si="26"/>
        <v>1800000000</v>
      </c>
      <c r="K77" s="2164">
        <f t="shared" si="26"/>
        <v>1800000000</v>
      </c>
      <c r="L77" s="2164">
        <f t="shared" si="26"/>
        <v>1800000000</v>
      </c>
      <c r="M77" s="2164">
        <f t="shared" si="26"/>
        <v>1800000000</v>
      </c>
      <c r="N77" s="2165">
        <f>1800/Unit.MWh*NAIRA2010_</f>
        <v>1800000000</v>
      </c>
      <c r="O77" s="1377"/>
    </row>
    <row r="78" spans="1:16" ht="15.75" customHeight="1" x14ac:dyDescent="0.2">
      <c r="B78" s="578"/>
      <c r="C78" s="1731" t="s">
        <v>1873</v>
      </c>
      <c r="D78" s="524"/>
      <c r="E78" s="191">
        <f>(N78-F78)/(N$75-F$75)</f>
        <v>0</v>
      </c>
      <c r="F78" s="2009">
        <f>1500/Unit.MWh*NAIRA2010_</f>
        <v>1500000000</v>
      </c>
      <c r="G78" s="2142">
        <f>($E78*(G$75-F$75))+F78</f>
        <v>1500000000</v>
      </c>
      <c r="H78" s="2142">
        <f t="shared" si="26"/>
        <v>1500000000</v>
      </c>
      <c r="I78" s="2142">
        <f t="shared" si="26"/>
        <v>1500000000</v>
      </c>
      <c r="J78" s="2142">
        <f t="shared" si="26"/>
        <v>1500000000</v>
      </c>
      <c r="K78" s="2142">
        <f t="shared" si="26"/>
        <v>1500000000</v>
      </c>
      <c r="L78" s="2142">
        <f t="shared" si="26"/>
        <v>1500000000</v>
      </c>
      <c r="M78" s="2142">
        <f t="shared" si="26"/>
        <v>1500000000</v>
      </c>
      <c r="N78" s="2009">
        <f>1500/Unit.MWh*NAIRA2010_</f>
        <v>1500000000</v>
      </c>
      <c r="O78" s="1377"/>
    </row>
    <row r="79" spans="1:16" x14ac:dyDescent="0.2">
      <c r="B79" s="578"/>
      <c r="C79" s="606"/>
      <c r="D79" s="1416"/>
      <c r="E79" s="188"/>
      <c r="F79" s="1416"/>
      <c r="G79" s="1416"/>
      <c r="H79" s="1416"/>
      <c r="I79" s="1416"/>
      <c r="J79" s="1416"/>
      <c r="K79" s="1416"/>
      <c r="L79" s="1416"/>
      <c r="M79" s="1416"/>
      <c r="N79" s="1416"/>
      <c r="O79" s="1377"/>
    </row>
    <row r="80" spans="1:16" x14ac:dyDescent="0.2">
      <c r="B80" s="1377"/>
      <c r="C80" s="1497" t="s">
        <v>1970</v>
      </c>
      <c r="D80" s="1377"/>
      <c r="E80" s="1377"/>
      <c r="F80" s="1377"/>
      <c r="G80" s="1377"/>
      <c r="H80" s="1377"/>
      <c r="I80" s="1377"/>
      <c r="J80" s="1377"/>
      <c r="K80" s="1377"/>
      <c r="L80" s="1377"/>
      <c r="M80" s="1377"/>
      <c r="N80" s="2020" t="str">
        <f>Preferences.moneyunits&amp;"/"&amp; Preferences.EnergyUnits</f>
        <v>N/TWh</v>
      </c>
      <c r="O80" s="1377"/>
    </row>
    <row r="81" spans="1:15" ht="4.5" customHeight="1" x14ac:dyDescent="0.2">
      <c r="B81" s="1377"/>
      <c r="C81" s="1377"/>
      <c r="D81" s="1377"/>
      <c r="E81" s="1377"/>
      <c r="F81" s="1377"/>
      <c r="G81" s="1377"/>
      <c r="H81" s="1377"/>
      <c r="I81" s="1377"/>
      <c r="J81" s="1377"/>
      <c r="K81" s="1377"/>
      <c r="L81" s="1377"/>
      <c r="M81" s="1377"/>
      <c r="N81" s="2020"/>
      <c r="O81" s="1377"/>
    </row>
    <row r="82" spans="1:15" x14ac:dyDescent="0.2">
      <c r="B82" s="1377"/>
      <c r="C82" s="2063"/>
      <c r="D82" s="1904"/>
      <c r="E82" s="1567" t="s">
        <v>1321</v>
      </c>
      <c r="F82" s="1845">
        <v>2010</v>
      </c>
      <c r="G82" s="1845">
        <v>2015</v>
      </c>
      <c r="H82" s="1845">
        <v>2020</v>
      </c>
      <c r="I82" s="1845">
        <v>2025</v>
      </c>
      <c r="J82" s="1845">
        <v>2030</v>
      </c>
      <c r="K82" s="1845">
        <v>2035</v>
      </c>
      <c r="L82" s="1845">
        <v>2040</v>
      </c>
      <c r="M82" s="1845">
        <v>2045</v>
      </c>
      <c r="N82" s="1845">
        <v>2050</v>
      </c>
      <c r="O82" s="1377"/>
    </row>
    <row r="83" spans="1:15" ht="15.75" customHeight="1" x14ac:dyDescent="0.2">
      <c r="B83" s="1419"/>
      <c r="C83" s="1846" t="s">
        <v>1871</v>
      </c>
      <c r="D83" s="1102"/>
      <c r="E83" s="1847">
        <f>(N83-F83)/(N$82-F$82)</f>
        <v>0</v>
      </c>
      <c r="F83" s="1960">
        <f>225/Unit.MWh*NAIRA2010_</f>
        <v>225000000</v>
      </c>
      <c r="G83" s="1566">
        <f t="shared" ref="G83:M85" si="27">($E83*(G$82-F$82))+F83</f>
        <v>225000000</v>
      </c>
      <c r="H83" s="1566">
        <f t="shared" si="27"/>
        <v>225000000</v>
      </c>
      <c r="I83" s="1566">
        <f t="shared" si="27"/>
        <v>225000000</v>
      </c>
      <c r="J83" s="1566">
        <f t="shared" si="27"/>
        <v>225000000</v>
      </c>
      <c r="K83" s="1566">
        <f t="shared" si="27"/>
        <v>225000000</v>
      </c>
      <c r="L83" s="1566">
        <f t="shared" si="27"/>
        <v>225000000</v>
      </c>
      <c r="M83" s="1566">
        <f t="shared" si="27"/>
        <v>225000000</v>
      </c>
      <c r="N83" s="1960">
        <f>225/Unit.MWh*NAIRA2010_</f>
        <v>225000000</v>
      </c>
      <c r="O83" s="1377"/>
    </row>
    <row r="84" spans="1:15" ht="15.75" customHeight="1" x14ac:dyDescent="0.2">
      <c r="B84" s="1377"/>
      <c r="C84" s="606" t="s">
        <v>1872</v>
      </c>
      <c r="D84" s="1416"/>
      <c r="E84" s="188">
        <f>(N84-F84)/(N$82-F$82)</f>
        <v>0</v>
      </c>
      <c r="F84" s="691">
        <f>180/Unit.MWh*NAIRA2010_</f>
        <v>180000000</v>
      </c>
      <c r="G84" s="1055">
        <f>($E84*(G$82-F$82))+F84</f>
        <v>180000000</v>
      </c>
      <c r="H84" s="1055">
        <f t="shared" si="27"/>
        <v>180000000</v>
      </c>
      <c r="I84" s="1055">
        <f t="shared" si="27"/>
        <v>180000000</v>
      </c>
      <c r="J84" s="1055">
        <f t="shared" si="27"/>
        <v>180000000</v>
      </c>
      <c r="K84" s="1055">
        <f t="shared" si="27"/>
        <v>180000000</v>
      </c>
      <c r="L84" s="1055">
        <f t="shared" si="27"/>
        <v>180000000</v>
      </c>
      <c r="M84" s="1055">
        <f t="shared" si="27"/>
        <v>180000000</v>
      </c>
      <c r="N84" s="691">
        <f>180/Unit.MWh*NAIRA2010_</f>
        <v>180000000</v>
      </c>
      <c r="O84" s="1377"/>
    </row>
    <row r="85" spans="1:15" ht="15.75" customHeight="1" thickBot="1" x14ac:dyDescent="0.25">
      <c r="B85" s="1377"/>
      <c r="C85" s="2075" t="s">
        <v>1873</v>
      </c>
      <c r="D85" s="2076"/>
      <c r="E85" s="2077">
        <f>(N85-F85)/(N$82-F$82)</f>
        <v>0</v>
      </c>
      <c r="F85" s="2078">
        <f>150/Unit.MWh*NAIRA2010_</f>
        <v>150000000</v>
      </c>
      <c r="G85" s="2079">
        <f>($E85*(G$82-F$82))+F85</f>
        <v>150000000</v>
      </c>
      <c r="H85" s="2079">
        <f t="shared" si="27"/>
        <v>150000000</v>
      </c>
      <c r="I85" s="2079">
        <f t="shared" si="27"/>
        <v>150000000</v>
      </c>
      <c r="J85" s="2079">
        <f t="shared" si="27"/>
        <v>150000000</v>
      </c>
      <c r="K85" s="2079">
        <f t="shared" si="27"/>
        <v>150000000</v>
      </c>
      <c r="L85" s="2079">
        <f t="shared" si="27"/>
        <v>150000000</v>
      </c>
      <c r="M85" s="2079">
        <f t="shared" si="27"/>
        <v>150000000</v>
      </c>
      <c r="N85" s="2078">
        <f>150/Unit.MWh*NAIRA2010_</f>
        <v>150000000</v>
      </c>
      <c r="O85" s="1377"/>
    </row>
    <row r="86" spans="1:15" ht="16.5" customHeight="1" x14ac:dyDescent="0.2">
      <c r="B86" s="1377"/>
      <c r="C86" s="1377"/>
      <c r="D86" s="1377"/>
      <c r="E86" s="1377"/>
      <c r="F86" s="1377"/>
      <c r="G86" s="1377"/>
      <c r="H86" s="1377"/>
      <c r="I86" s="1377"/>
      <c r="J86" s="1377"/>
      <c r="K86" s="1377"/>
      <c r="L86" s="1377"/>
      <c r="M86" s="1377"/>
      <c r="N86" s="1377"/>
      <c r="O86" s="1377"/>
    </row>
    <row r="87" spans="1:15" x14ac:dyDescent="0.2">
      <c r="B87" s="471"/>
    </row>
    <row r="88" spans="1:15" ht="15.75" x14ac:dyDescent="0.2">
      <c r="B88" s="1423" t="s">
        <v>332</v>
      </c>
      <c r="C88" s="405"/>
      <c r="D88" s="405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6"/>
    </row>
    <row r="89" spans="1:15" x14ac:dyDescent="0.2">
      <c r="B89" s="473"/>
      <c r="C89" s="458"/>
      <c r="D89" s="458"/>
      <c r="E89" s="458"/>
      <c r="F89" s="458"/>
      <c r="G89" s="458"/>
      <c r="H89" s="458"/>
      <c r="I89" s="458"/>
      <c r="J89" s="458"/>
      <c r="K89" s="458"/>
      <c r="L89" s="458"/>
      <c r="M89" s="458"/>
      <c r="N89" s="458"/>
      <c r="O89" s="459"/>
    </row>
    <row r="90" spans="1:15" x14ac:dyDescent="0.2">
      <c r="B90" s="474"/>
      <c r="C90" s="1417" t="s">
        <v>265</v>
      </c>
      <c r="D90" s="1416"/>
      <c r="E90" s="176"/>
      <c r="F90" s="1416"/>
      <c r="G90" s="1416"/>
      <c r="H90" s="1416"/>
      <c r="I90" s="1416"/>
      <c r="J90" s="1416"/>
      <c r="K90" s="1416"/>
      <c r="L90" s="1416"/>
      <c r="M90" s="1416"/>
      <c r="N90" s="176" t="str">
        <f>Preferences.PowerUnits</f>
        <v>GW</v>
      </c>
      <c r="O90" s="1420"/>
    </row>
    <row r="91" spans="1:15" ht="4.5" customHeight="1" x14ac:dyDescent="0.3">
      <c r="A91" s="1422"/>
      <c r="B91" s="474"/>
      <c r="C91" s="1416"/>
      <c r="D91" s="1416"/>
      <c r="E91" s="1416"/>
      <c r="F91" s="1416"/>
      <c r="G91" s="1416"/>
      <c r="H91" s="1416"/>
      <c r="I91" s="1416"/>
      <c r="J91" s="1416"/>
      <c r="K91" s="1416"/>
      <c r="L91" s="1416"/>
      <c r="M91" s="1416"/>
      <c r="N91" s="1416"/>
      <c r="O91" s="1420"/>
    </row>
    <row r="92" spans="1:15" ht="15.75" x14ac:dyDescent="0.25">
      <c r="B92" s="475"/>
      <c r="C92" s="98" t="s">
        <v>264</v>
      </c>
      <c r="D92" s="98" t="s">
        <v>278</v>
      </c>
      <c r="E92" s="2139"/>
      <c r="F92" s="218">
        <v>2010</v>
      </c>
      <c r="G92" s="217">
        <v>2015</v>
      </c>
      <c r="H92" s="217">
        <v>2020</v>
      </c>
      <c r="I92" s="217">
        <v>2025</v>
      </c>
      <c r="J92" s="217">
        <v>2030</v>
      </c>
      <c r="K92" s="217">
        <v>2035</v>
      </c>
      <c r="L92" s="217">
        <v>2040</v>
      </c>
      <c r="M92" s="217">
        <v>2045</v>
      </c>
      <c r="N92" s="217">
        <v>2050</v>
      </c>
      <c r="O92" s="1420"/>
    </row>
    <row r="93" spans="1:15" ht="15.75" x14ac:dyDescent="0.2">
      <c r="B93" s="476"/>
      <c r="C93" s="121" t="s">
        <v>6</v>
      </c>
      <c r="D93" s="122" t="str">
        <f>INDEX(Vectors[Description], MATCH($C93,Vectors[Code], 0))</f>
        <v>Nuclear fission</v>
      </c>
      <c r="E93" s="122"/>
      <c r="F93" s="205">
        <f t="shared" ref="F93:N93" si="28">(F$19+F$28)</f>
        <v>0</v>
      </c>
      <c r="G93" s="205">
        <f t="shared" si="28"/>
        <v>0</v>
      </c>
      <c r="H93" s="205">
        <f t="shared" si="28"/>
        <v>0</v>
      </c>
      <c r="I93" s="205">
        <f t="shared" si="28"/>
        <v>1</v>
      </c>
      <c r="J93" s="205">
        <f t="shared" si="28"/>
        <v>1.9</v>
      </c>
      <c r="K93" s="205">
        <f t="shared" si="28"/>
        <v>3.7</v>
      </c>
      <c r="L93" s="205">
        <f t="shared" si="28"/>
        <v>7.1</v>
      </c>
      <c r="M93" s="205">
        <f t="shared" si="28"/>
        <v>13.7</v>
      </c>
      <c r="N93" s="205">
        <f t="shared" si="28"/>
        <v>26.5</v>
      </c>
      <c r="O93" s="400"/>
    </row>
    <row r="94" spans="1:15" x14ac:dyDescent="0.2">
      <c r="B94" s="477"/>
      <c r="C94" s="1416"/>
      <c r="D94" s="177"/>
      <c r="E94" s="1416"/>
      <c r="F94" s="1416"/>
      <c r="G94" s="1416"/>
      <c r="H94" s="1416"/>
      <c r="I94" s="1416"/>
      <c r="J94" s="1416"/>
      <c r="K94" s="1416"/>
      <c r="L94" s="1416"/>
      <c r="M94" s="1416"/>
      <c r="N94" s="1416"/>
      <c r="O94" s="1420"/>
    </row>
    <row r="95" spans="1:15" x14ac:dyDescent="0.2">
      <c r="B95" s="471"/>
    </row>
    <row r="96" spans="1:15" x14ac:dyDescent="0.2">
      <c r="C96" s="2479" t="s">
        <v>0</v>
      </c>
      <c r="D96" s="132"/>
      <c r="F96" s="1427">
        <v>2010</v>
      </c>
      <c r="G96" s="1427">
        <v>2015</v>
      </c>
      <c r="H96" s="1427">
        <v>2020</v>
      </c>
      <c r="I96" s="1427">
        <v>2025</v>
      </c>
      <c r="J96" s="1427">
        <v>2030</v>
      </c>
      <c r="K96" s="1427">
        <v>2035</v>
      </c>
      <c r="L96" s="1427">
        <v>2040</v>
      </c>
      <c r="M96" s="1427">
        <v>2045</v>
      </c>
      <c r="N96" s="1427">
        <v>2050</v>
      </c>
    </row>
    <row r="97" spans="1:15" x14ac:dyDescent="0.2">
      <c r="C97" s="1427" t="s">
        <v>298</v>
      </c>
      <c r="E97" s="2479" t="str">
        <f>Preferences.PowerUnits</f>
        <v>GW</v>
      </c>
      <c r="F97" s="23">
        <f t="shared" ref="F97:N97" si="29">F$93</f>
        <v>0</v>
      </c>
      <c r="G97" s="23">
        <f t="shared" si="29"/>
        <v>0</v>
      </c>
      <c r="H97" s="23">
        <f t="shared" si="29"/>
        <v>0</v>
      </c>
      <c r="I97" s="23">
        <f t="shared" si="29"/>
        <v>1</v>
      </c>
      <c r="J97" s="23">
        <f t="shared" si="29"/>
        <v>1.9</v>
      </c>
      <c r="K97" s="23">
        <f t="shared" si="29"/>
        <v>3.7</v>
      </c>
      <c r="L97" s="23">
        <f t="shared" si="29"/>
        <v>7.1</v>
      </c>
      <c r="M97" s="23">
        <f t="shared" si="29"/>
        <v>13.7</v>
      </c>
      <c r="N97" s="23">
        <f t="shared" si="29"/>
        <v>26.5</v>
      </c>
    </row>
    <row r="98" spans="1:15" x14ac:dyDescent="0.2">
      <c r="C98" s="2479" t="s">
        <v>329</v>
      </c>
      <c r="F98" s="15">
        <f t="shared" ref="F98:N98" si="30">F$46</f>
        <v>0.8</v>
      </c>
      <c r="G98" s="15">
        <f t="shared" si="30"/>
        <v>0.8</v>
      </c>
      <c r="H98" s="15">
        <f t="shared" si="30"/>
        <v>0.8</v>
      </c>
      <c r="I98" s="15">
        <f t="shared" si="30"/>
        <v>0.8</v>
      </c>
      <c r="J98" s="15">
        <f t="shared" si="30"/>
        <v>0.8</v>
      </c>
      <c r="K98" s="15">
        <f t="shared" si="30"/>
        <v>0.8</v>
      </c>
      <c r="L98" s="15">
        <f t="shared" si="30"/>
        <v>0.8</v>
      </c>
      <c r="M98" s="15">
        <f t="shared" si="30"/>
        <v>0.8</v>
      </c>
      <c r="N98" s="15">
        <f t="shared" si="30"/>
        <v>0.8</v>
      </c>
    </row>
    <row r="99" spans="1:15" x14ac:dyDescent="0.2">
      <c r="C99" s="132" t="s">
        <v>299</v>
      </c>
      <c r="F99" s="114">
        <f t="shared" ref="F99:N99" si="31">F97*F98</f>
        <v>0</v>
      </c>
      <c r="G99" s="114">
        <f t="shared" si="31"/>
        <v>0</v>
      </c>
      <c r="H99" s="114">
        <f t="shared" si="31"/>
        <v>0</v>
      </c>
      <c r="I99" s="114">
        <f t="shared" si="31"/>
        <v>0.8</v>
      </c>
      <c r="J99" s="114">
        <f t="shared" si="31"/>
        <v>1.52</v>
      </c>
      <c r="K99" s="114">
        <f t="shared" si="31"/>
        <v>2.9600000000000004</v>
      </c>
      <c r="L99" s="114">
        <f t="shared" si="31"/>
        <v>5.68</v>
      </c>
      <c r="M99" s="114">
        <f t="shared" si="31"/>
        <v>10.96</v>
      </c>
      <c r="N99" s="114">
        <f t="shared" si="31"/>
        <v>21.200000000000003</v>
      </c>
      <c r="O99" s="2480"/>
    </row>
    <row r="100" spans="1:15" x14ac:dyDescent="0.2">
      <c r="C100" s="1427" t="s">
        <v>320</v>
      </c>
      <c r="E100" s="2479" t="str">
        <f>Preferences.EnergyUnits</f>
        <v>TWh</v>
      </c>
      <c r="F100" s="114">
        <f t="shared" ref="F100:N100" si="32">F$99*Preferences.Unit.Power*Unit.year/Preferences.Unit.Energy</f>
        <v>0</v>
      </c>
      <c r="G100" s="114">
        <f t="shared" si="32"/>
        <v>0</v>
      </c>
      <c r="H100" s="114">
        <f t="shared" si="32"/>
        <v>0</v>
      </c>
      <c r="I100" s="114">
        <f t="shared" si="32"/>
        <v>7.0128000000000013</v>
      </c>
      <c r="J100" s="114">
        <f t="shared" si="32"/>
        <v>13.32432</v>
      </c>
      <c r="K100" s="114">
        <f t="shared" si="32"/>
        <v>25.947360000000003</v>
      </c>
      <c r="L100" s="114">
        <f t="shared" si="32"/>
        <v>49.790880000000001</v>
      </c>
      <c r="M100" s="114">
        <f t="shared" si="32"/>
        <v>96.075360000000018</v>
      </c>
      <c r="N100" s="114">
        <f t="shared" si="32"/>
        <v>185.83920000000003</v>
      </c>
    </row>
    <row r="101" spans="1:15" x14ac:dyDescent="0.2">
      <c r="C101" s="132"/>
    </row>
    <row r="102" spans="1:15" x14ac:dyDescent="0.2">
      <c r="O102" s="366"/>
    </row>
    <row r="103" spans="1:15" x14ac:dyDescent="0.2">
      <c r="A103" s="39"/>
      <c r="C103" s="1427" t="s">
        <v>870</v>
      </c>
      <c r="F103" s="114">
        <f t="shared" ref="F103:N103" si="33">F100</f>
        <v>0</v>
      </c>
      <c r="G103" s="114">
        <f t="shared" si="33"/>
        <v>0</v>
      </c>
      <c r="H103" s="114">
        <f t="shared" si="33"/>
        <v>0</v>
      </c>
      <c r="I103" s="114">
        <f t="shared" si="33"/>
        <v>7.0128000000000013</v>
      </c>
      <c r="J103" s="114">
        <f t="shared" si="33"/>
        <v>13.32432</v>
      </c>
      <c r="K103" s="114">
        <f t="shared" si="33"/>
        <v>25.947360000000003</v>
      </c>
      <c r="L103" s="114">
        <f t="shared" si="33"/>
        <v>49.790880000000001</v>
      </c>
      <c r="M103" s="114">
        <f t="shared" si="33"/>
        <v>96.075360000000018</v>
      </c>
      <c r="N103" s="114">
        <f t="shared" si="33"/>
        <v>185.83920000000003</v>
      </c>
      <c r="O103" s="39" t="s">
        <v>1950</v>
      </c>
    </row>
    <row r="104" spans="1:15" ht="14.25" customHeight="1" x14ac:dyDescent="0.2">
      <c r="A104" s="39"/>
      <c r="C104" s="131" t="s">
        <v>301</v>
      </c>
      <c r="F104" s="23">
        <f t="shared" ref="F104:N104" si="34">F$36*F103</f>
        <v>0</v>
      </c>
      <c r="G104" s="23">
        <f t="shared" si="34"/>
        <v>0</v>
      </c>
      <c r="H104" s="23">
        <f t="shared" si="34"/>
        <v>0</v>
      </c>
      <c r="I104" s="23">
        <f t="shared" si="34"/>
        <v>0.70128000000000013</v>
      </c>
      <c r="J104" s="23">
        <f t="shared" si="34"/>
        <v>1.3324320000000001</v>
      </c>
      <c r="K104" s="23">
        <f t="shared" si="34"/>
        <v>2.5947360000000006</v>
      </c>
      <c r="L104" s="23">
        <f t="shared" si="34"/>
        <v>4.9790880000000008</v>
      </c>
      <c r="M104" s="23">
        <f t="shared" si="34"/>
        <v>9.6075360000000032</v>
      </c>
      <c r="N104" s="23">
        <f t="shared" si="34"/>
        <v>18.583920000000003</v>
      </c>
    </row>
    <row r="105" spans="1:15" x14ac:dyDescent="0.2">
      <c r="C105" s="132" t="s">
        <v>300</v>
      </c>
      <c r="F105" s="114">
        <f t="shared" ref="F105:N105" si="35">F103+F104</f>
        <v>0</v>
      </c>
      <c r="G105" s="114">
        <f t="shared" si="35"/>
        <v>0</v>
      </c>
      <c r="H105" s="114">
        <f t="shared" si="35"/>
        <v>0</v>
      </c>
      <c r="I105" s="114">
        <f t="shared" si="35"/>
        <v>7.7140800000000009</v>
      </c>
      <c r="J105" s="114">
        <f t="shared" si="35"/>
        <v>14.656752000000001</v>
      </c>
      <c r="K105" s="114">
        <f t="shared" si="35"/>
        <v>28.542096000000004</v>
      </c>
      <c r="L105" s="114">
        <f t="shared" si="35"/>
        <v>54.769968000000006</v>
      </c>
      <c r="M105" s="114">
        <f t="shared" si="35"/>
        <v>105.68289600000003</v>
      </c>
      <c r="N105" s="114">
        <f t="shared" si="35"/>
        <v>204.42312000000004</v>
      </c>
      <c r="O105" s="2480"/>
    </row>
    <row r="106" spans="1:15" x14ac:dyDescent="0.2">
      <c r="C106" s="2479" t="s">
        <v>302</v>
      </c>
      <c r="F106" s="15">
        <f t="shared" ref="F106:N106" si="36">F$41</f>
        <v>0.36</v>
      </c>
      <c r="G106" s="15">
        <f t="shared" si="36"/>
        <v>0.36</v>
      </c>
      <c r="H106" s="15">
        <f t="shared" si="36"/>
        <v>0.36</v>
      </c>
      <c r="I106" s="15">
        <f t="shared" si="36"/>
        <v>0.36</v>
      </c>
      <c r="J106" s="15">
        <f t="shared" si="36"/>
        <v>0.36</v>
      </c>
      <c r="K106" s="15">
        <f t="shared" si="36"/>
        <v>0.36</v>
      </c>
      <c r="L106" s="15">
        <f t="shared" si="36"/>
        <v>0.36</v>
      </c>
      <c r="M106" s="15">
        <f t="shared" si="36"/>
        <v>0.36</v>
      </c>
      <c r="N106" s="15">
        <f t="shared" si="36"/>
        <v>0.36</v>
      </c>
    </row>
    <row r="107" spans="1:15" x14ac:dyDescent="0.2">
      <c r="C107" s="132" t="s">
        <v>303</v>
      </c>
      <c r="F107" s="114">
        <f t="shared" ref="F107:N107" si="37">F105/F106</f>
        <v>0</v>
      </c>
      <c r="G107" s="114">
        <f t="shared" si="37"/>
        <v>0</v>
      </c>
      <c r="H107" s="114">
        <f t="shared" si="37"/>
        <v>0</v>
      </c>
      <c r="I107" s="114">
        <f t="shared" si="37"/>
        <v>21.428000000000004</v>
      </c>
      <c r="J107" s="114">
        <f t="shared" si="37"/>
        <v>40.713200000000001</v>
      </c>
      <c r="K107" s="114">
        <f t="shared" si="37"/>
        <v>79.283600000000021</v>
      </c>
      <c r="L107" s="114">
        <f t="shared" si="37"/>
        <v>152.13880000000003</v>
      </c>
      <c r="M107" s="114">
        <f t="shared" si="37"/>
        <v>293.56360000000006</v>
      </c>
      <c r="N107" s="114">
        <f t="shared" si="37"/>
        <v>567.8420000000001</v>
      </c>
      <c r="O107" s="2480"/>
    </row>
    <row r="108" spans="1:15" x14ac:dyDescent="0.2">
      <c r="C108" s="132"/>
      <c r="F108" s="114"/>
      <c r="G108" s="114"/>
      <c r="H108" s="114"/>
      <c r="I108" s="114"/>
      <c r="J108" s="114"/>
      <c r="K108" s="114"/>
      <c r="L108" s="114"/>
      <c r="M108" s="114"/>
      <c r="N108" s="114"/>
    </row>
    <row r="109" spans="1:15" x14ac:dyDescent="0.2">
      <c r="C109" s="132"/>
      <c r="F109" s="114"/>
      <c r="G109" s="114"/>
      <c r="H109" s="114"/>
      <c r="I109" s="114"/>
      <c r="J109" s="114"/>
      <c r="K109" s="114"/>
      <c r="L109" s="114"/>
      <c r="M109" s="114"/>
      <c r="N109" s="114"/>
    </row>
    <row r="110" spans="1:15" x14ac:dyDescent="0.2">
      <c r="B110" s="2479" t="s">
        <v>1274</v>
      </c>
      <c r="C110" s="1427"/>
      <c r="F110" s="114"/>
      <c r="G110" s="114"/>
      <c r="H110" s="114"/>
      <c r="I110" s="114"/>
      <c r="J110" s="114"/>
      <c r="K110" s="114"/>
      <c r="L110" s="114"/>
      <c r="M110" s="114"/>
      <c r="N110" s="114"/>
      <c r="O110" s="2480"/>
    </row>
    <row r="111" spans="1:15" x14ac:dyDescent="0.2">
      <c r="C111" s="2479" t="s">
        <v>2353</v>
      </c>
      <c r="E111" s="2479" t="str">
        <f>Preferences.PowerUnits</f>
        <v>GW</v>
      </c>
      <c r="F111" s="114">
        <v>0</v>
      </c>
      <c r="G111" s="114">
        <f t="shared" ref="G111:N111" si="38">G$97-F$97</f>
        <v>0</v>
      </c>
      <c r="H111" s="114">
        <f t="shared" si="38"/>
        <v>0</v>
      </c>
      <c r="I111" s="114">
        <f t="shared" si="38"/>
        <v>1</v>
      </c>
      <c r="J111" s="114">
        <f t="shared" si="38"/>
        <v>0.89999999999999991</v>
      </c>
      <c r="K111" s="114">
        <f t="shared" si="38"/>
        <v>1.8000000000000003</v>
      </c>
      <c r="L111" s="114">
        <f t="shared" si="38"/>
        <v>3.3999999999999995</v>
      </c>
      <c r="M111" s="114">
        <f t="shared" si="38"/>
        <v>6.6</v>
      </c>
      <c r="N111" s="114">
        <f t="shared" si="38"/>
        <v>12.8</v>
      </c>
      <c r="O111" s="2480"/>
    </row>
    <row r="112" spans="1:15" x14ac:dyDescent="0.2">
      <c r="C112" s="2479" t="s">
        <v>2354</v>
      </c>
      <c r="E112" s="2479" t="str">
        <f>Preferences.PowerUnits</f>
        <v>GW</v>
      </c>
      <c r="F112" s="1330">
        <f t="shared" ref="F112:N112" si="39">F$28</f>
        <v>0</v>
      </c>
      <c r="G112" s="1330">
        <f t="shared" si="39"/>
        <v>0</v>
      </c>
      <c r="H112" s="1330">
        <f t="shared" si="39"/>
        <v>0</v>
      </c>
      <c r="I112" s="1330">
        <f t="shared" si="39"/>
        <v>0</v>
      </c>
      <c r="J112" s="1330">
        <f t="shared" si="39"/>
        <v>0</v>
      </c>
      <c r="K112" s="1330">
        <f t="shared" si="39"/>
        <v>0</v>
      </c>
      <c r="L112" s="1330">
        <f t="shared" si="39"/>
        <v>0</v>
      </c>
      <c r="M112" s="1330">
        <f t="shared" si="39"/>
        <v>0</v>
      </c>
      <c r="N112" s="1330">
        <f t="shared" si="39"/>
        <v>0</v>
      </c>
      <c r="O112" s="2480"/>
    </row>
    <row r="113" spans="2:15" x14ac:dyDescent="0.2">
      <c r="C113" s="2479" t="str">
        <f>"Approximate total "&amp;$F$52/Unit.GW&amp;" GW locations"</f>
        <v>Approximate total 1 GW locations</v>
      </c>
      <c r="E113" s="2479" t="s">
        <v>1275</v>
      </c>
      <c r="F113" s="1262">
        <f t="shared" ref="F113:N113" si="40">F97/$F$52</f>
        <v>0</v>
      </c>
      <c r="G113" s="1262">
        <f t="shared" si="40"/>
        <v>0</v>
      </c>
      <c r="H113" s="1262">
        <f t="shared" si="40"/>
        <v>0</v>
      </c>
      <c r="I113" s="1262">
        <f t="shared" si="40"/>
        <v>1</v>
      </c>
      <c r="J113" s="1262">
        <f t="shared" si="40"/>
        <v>1.9</v>
      </c>
      <c r="K113" s="1262">
        <f t="shared" si="40"/>
        <v>3.7</v>
      </c>
      <c r="L113" s="1262">
        <f t="shared" si="40"/>
        <v>7.1</v>
      </c>
      <c r="M113" s="1262">
        <f t="shared" si="40"/>
        <v>13.7</v>
      </c>
      <c r="N113" s="1262">
        <f t="shared" si="40"/>
        <v>26.5</v>
      </c>
      <c r="O113" s="1426"/>
    </row>
    <row r="114" spans="2:15" x14ac:dyDescent="0.2">
      <c r="C114" s="2479" t="s">
        <v>1481</v>
      </c>
      <c r="E114" s="2479" t="str">
        <f>Preferences.PowerUnits</f>
        <v>GW</v>
      </c>
      <c r="F114" s="136">
        <v>0</v>
      </c>
      <c r="G114" s="136">
        <f t="shared" ref="G114:N114" si="41">MAX((G111+G112)/plantsize.II.a,0)</f>
        <v>0</v>
      </c>
      <c r="H114" s="136">
        <f t="shared" si="41"/>
        <v>0</v>
      </c>
      <c r="I114" s="136">
        <f t="shared" si="41"/>
        <v>1</v>
      </c>
      <c r="J114" s="136">
        <f t="shared" si="41"/>
        <v>0.89999999999999991</v>
      </c>
      <c r="K114" s="136">
        <f t="shared" si="41"/>
        <v>1.8000000000000003</v>
      </c>
      <c r="L114" s="136">
        <f t="shared" si="41"/>
        <v>3.3999999999999995</v>
      </c>
      <c r="M114" s="136">
        <f t="shared" si="41"/>
        <v>6.6</v>
      </c>
      <c r="N114" s="136">
        <f t="shared" si="41"/>
        <v>12.8</v>
      </c>
    </row>
    <row r="115" spans="2:15" x14ac:dyDescent="0.2">
      <c r="C115" s="2479" t="str">
        <f>"Approximate build rate of "&amp;$F$52/Unit.GW&amp;" GW locations"</f>
        <v>Approximate build rate of 1 GW locations</v>
      </c>
      <c r="E115" s="2479" t="s">
        <v>1276</v>
      </c>
      <c r="F115" s="1026">
        <v>0</v>
      </c>
      <c r="G115" s="1026">
        <f t="shared" ref="G115:N115" si="42">G114/plantsize.II.a</f>
        <v>0</v>
      </c>
      <c r="H115" s="1026">
        <f t="shared" si="42"/>
        <v>0</v>
      </c>
      <c r="I115" s="1026">
        <f t="shared" si="42"/>
        <v>1</v>
      </c>
      <c r="J115" s="1026">
        <f t="shared" si="42"/>
        <v>0.89999999999999991</v>
      </c>
      <c r="K115" s="1026">
        <f t="shared" si="42"/>
        <v>1.8000000000000003</v>
      </c>
      <c r="L115" s="1026">
        <f t="shared" si="42"/>
        <v>3.3999999999999995</v>
      </c>
      <c r="M115" s="1026">
        <f t="shared" si="42"/>
        <v>6.6</v>
      </c>
      <c r="N115" s="1026">
        <f t="shared" si="42"/>
        <v>12.8</v>
      </c>
      <c r="O115" s="136"/>
    </row>
    <row r="116" spans="2:15" x14ac:dyDescent="0.2">
      <c r="F116" s="1262"/>
      <c r="G116" s="1262"/>
      <c r="H116" s="1262"/>
      <c r="I116" s="1262"/>
      <c r="J116" s="1262"/>
      <c r="K116" s="1262"/>
      <c r="L116" s="1262"/>
      <c r="M116" s="1262"/>
      <c r="N116" s="1262"/>
      <c r="O116" s="1245"/>
    </row>
    <row r="117" spans="2:15" x14ac:dyDescent="0.2">
      <c r="B117" s="2479" t="s">
        <v>1422</v>
      </c>
      <c r="F117" s="1262"/>
      <c r="G117" s="1262"/>
      <c r="H117" s="1262"/>
      <c r="I117" s="1262"/>
      <c r="J117" s="1262"/>
      <c r="K117" s="1262"/>
      <c r="L117" s="1262"/>
      <c r="M117" s="1262"/>
      <c r="N117" s="1262"/>
      <c r="O117" s="1026"/>
    </row>
    <row r="118" spans="2:15" s="39" customFormat="1" x14ac:dyDescent="0.2">
      <c r="B118" s="2479"/>
      <c r="C118" s="2479" t="s">
        <v>1418</v>
      </c>
      <c r="D118" s="2479"/>
      <c r="E118" s="2479" t="str">
        <f>Preferences.moneyunits</f>
        <v>N</v>
      </c>
      <c r="F118" s="1262">
        <v>0</v>
      </c>
      <c r="G118" s="1262">
        <f t="shared" ref="G118:N118" si="43">G115*G62</f>
        <v>0</v>
      </c>
      <c r="H118" s="1262">
        <f t="shared" si="43"/>
        <v>0</v>
      </c>
      <c r="I118" s="1262">
        <f t="shared" si="43"/>
        <v>600000000000</v>
      </c>
      <c r="J118" s="1262">
        <f t="shared" si="43"/>
        <v>539999999999.99994</v>
      </c>
      <c r="K118" s="1262">
        <f t="shared" si="43"/>
        <v>1080000000000.0001</v>
      </c>
      <c r="L118" s="1262">
        <f t="shared" si="43"/>
        <v>2039999999999.9998</v>
      </c>
      <c r="M118" s="1262">
        <f t="shared" si="43"/>
        <v>3960000000000</v>
      </c>
      <c r="N118" s="1262">
        <f t="shared" si="43"/>
        <v>7680000000000</v>
      </c>
    </row>
    <row r="119" spans="2:15" s="39" customFormat="1" x14ac:dyDescent="0.2">
      <c r="B119" s="2479"/>
      <c r="C119" s="2479" t="s">
        <v>1419</v>
      </c>
      <c r="D119" s="2479"/>
      <c r="E119" s="2479" t="str">
        <f>Preferences.moneyunits</f>
        <v>N</v>
      </c>
      <c r="F119" s="1262">
        <f t="shared" ref="F119:N119" si="44">F113*F$69+(-F141*(F$83))</f>
        <v>0</v>
      </c>
      <c r="G119" s="1262">
        <f t="shared" si="44"/>
        <v>0</v>
      </c>
      <c r="H119" s="1262">
        <f t="shared" si="44"/>
        <v>0</v>
      </c>
      <c r="I119" s="1262">
        <f t="shared" si="44"/>
        <v>4825800000.000001</v>
      </c>
      <c r="J119" s="1262">
        <f t="shared" si="44"/>
        <v>9169020000</v>
      </c>
      <c r="K119" s="1262">
        <f t="shared" si="44"/>
        <v>17855460000.000004</v>
      </c>
      <c r="L119" s="1262">
        <f t="shared" si="44"/>
        <v>34263180000.000008</v>
      </c>
      <c r="M119" s="1262">
        <f t="shared" si="44"/>
        <v>66113460000.000015</v>
      </c>
      <c r="N119" s="1262">
        <f t="shared" si="44"/>
        <v>127883700000.00002</v>
      </c>
    </row>
    <row r="120" spans="2:15" x14ac:dyDescent="0.2">
      <c r="C120" s="20" t="s">
        <v>1474</v>
      </c>
      <c r="E120" s="2479" t="str">
        <f>Preferences.moneyunits</f>
        <v>N</v>
      </c>
      <c r="F120" s="1262">
        <f t="shared" ref="F120:N120" si="45">-F$76*F141</f>
        <v>0</v>
      </c>
      <c r="G120" s="1262">
        <f t="shared" si="45"/>
        <v>0</v>
      </c>
      <c r="H120" s="1262">
        <f t="shared" si="45"/>
        <v>0</v>
      </c>
      <c r="I120" s="1262">
        <f t="shared" si="45"/>
        <v>48213000000.000008</v>
      </c>
      <c r="J120" s="1262">
        <f t="shared" si="45"/>
        <v>91604700000</v>
      </c>
      <c r="K120" s="1262">
        <f t="shared" si="45"/>
        <v>178388100000.00006</v>
      </c>
      <c r="L120" s="1262">
        <f t="shared" si="45"/>
        <v>342312300000.00006</v>
      </c>
      <c r="M120" s="1262">
        <f t="shared" si="45"/>
        <v>660518100000.00012</v>
      </c>
      <c r="N120" s="1262">
        <f t="shared" si="45"/>
        <v>1277644500000.0002</v>
      </c>
    </row>
    <row r="121" spans="2:15" x14ac:dyDescent="0.2">
      <c r="C121" s="2479" t="s">
        <v>1421</v>
      </c>
      <c r="E121" s="2479" t="str">
        <f>Preferences.moneyunits</f>
        <v>N</v>
      </c>
      <c r="F121" s="1262">
        <v>0</v>
      </c>
      <c r="G121" s="1262">
        <f>SUM(G118:G120)</f>
        <v>0</v>
      </c>
      <c r="H121" s="1262">
        <f t="shared" ref="H121:N121" si="46">SUM(H118:H120)</f>
        <v>0</v>
      </c>
      <c r="I121" s="1262">
        <f t="shared" si="46"/>
        <v>653038800000</v>
      </c>
      <c r="J121" s="1262">
        <f t="shared" si="46"/>
        <v>640773720000</v>
      </c>
      <c r="K121" s="1262">
        <f t="shared" si="46"/>
        <v>1276243560000.0002</v>
      </c>
      <c r="L121" s="1262">
        <f t="shared" si="46"/>
        <v>2416575480000</v>
      </c>
      <c r="M121" s="1262">
        <f t="shared" si="46"/>
        <v>4686631560000</v>
      </c>
      <c r="N121" s="1262">
        <f t="shared" si="46"/>
        <v>9085528200000</v>
      </c>
    </row>
    <row r="122" spans="2:15" x14ac:dyDescent="0.2">
      <c r="B122" s="1262"/>
    </row>
    <row r="123" spans="2:15" x14ac:dyDescent="0.2">
      <c r="B123" s="2479" t="s">
        <v>1874</v>
      </c>
      <c r="F123" s="1262"/>
      <c r="G123" s="1262"/>
      <c r="H123" s="1262"/>
      <c r="I123" s="1262"/>
      <c r="J123" s="1262"/>
      <c r="K123" s="1262"/>
      <c r="L123" s="1262"/>
      <c r="M123" s="1262"/>
      <c r="N123" s="1262"/>
      <c r="O123" s="1262"/>
    </row>
    <row r="124" spans="2:15" x14ac:dyDescent="0.2">
      <c r="C124" s="2479" t="s">
        <v>1418</v>
      </c>
      <c r="E124" s="2479" t="str">
        <f>Preferences.moneyunits</f>
        <v>N</v>
      </c>
      <c r="F124" s="1262">
        <v>0</v>
      </c>
      <c r="G124" s="1262">
        <f t="shared" ref="G124:M124" si="47">G115*G63</f>
        <v>0</v>
      </c>
      <c r="H124" s="1262">
        <f t="shared" si="47"/>
        <v>0</v>
      </c>
      <c r="I124" s="1262">
        <f t="shared" si="47"/>
        <v>525000000000</v>
      </c>
      <c r="J124" s="1262">
        <f t="shared" si="47"/>
        <v>472499999999.99994</v>
      </c>
      <c r="K124" s="1262">
        <f t="shared" si="47"/>
        <v>945000000000.00012</v>
      </c>
      <c r="L124" s="1262">
        <f t="shared" si="47"/>
        <v>1784999999999.9998</v>
      </c>
      <c r="M124" s="1262">
        <f t="shared" si="47"/>
        <v>3465000000000</v>
      </c>
      <c r="N124" s="1262">
        <f>N115*L63</f>
        <v>6720000000000</v>
      </c>
      <c r="O124" s="1262"/>
    </row>
    <row r="125" spans="2:15" x14ac:dyDescent="0.2">
      <c r="C125" s="2479" t="s">
        <v>1419</v>
      </c>
      <c r="E125" s="2479" t="str">
        <f>Preferences.moneyunits</f>
        <v>N</v>
      </c>
      <c r="F125" s="1262">
        <v>0</v>
      </c>
      <c r="G125" s="1262">
        <f t="shared" ref="G125:N125" si="48">G113*G$70+(-G141*(G$84))</f>
        <v>0</v>
      </c>
      <c r="H125" s="1262">
        <f t="shared" si="48"/>
        <v>0</v>
      </c>
      <c r="I125" s="1262">
        <f t="shared" si="48"/>
        <v>3860790000.000001</v>
      </c>
      <c r="J125" s="1262">
        <f t="shared" si="48"/>
        <v>7335501000</v>
      </c>
      <c r="K125" s="1262">
        <f t="shared" si="48"/>
        <v>14284923000.000004</v>
      </c>
      <c r="L125" s="1262">
        <f t="shared" si="48"/>
        <v>27411609000.000008</v>
      </c>
      <c r="M125" s="1262">
        <f t="shared" si="48"/>
        <v>52892823000.000015</v>
      </c>
      <c r="N125" s="1262">
        <f t="shared" si="48"/>
        <v>102310935000.00002</v>
      </c>
      <c r="O125" s="1262"/>
    </row>
    <row r="126" spans="2:15" x14ac:dyDescent="0.2">
      <c r="C126" s="20" t="s">
        <v>1474</v>
      </c>
      <c r="E126" s="2479" t="str">
        <f>Preferences.moneyunits</f>
        <v>N</v>
      </c>
      <c r="F126" s="1262">
        <f t="shared" ref="F126:N126" si="49">-F$77*F141</f>
        <v>0</v>
      </c>
      <c r="G126" s="1262">
        <f t="shared" si="49"/>
        <v>0</v>
      </c>
      <c r="H126" s="1262">
        <f t="shared" si="49"/>
        <v>0</v>
      </c>
      <c r="I126" s="1262">
        <f t="shared" si="49"/>
        <v>38570400000.000008</v>
      </c>
      <c r="J126" s="1262">
        <f t="shared" si="49"/>
        <v>73283760000</v>
      </c>
      <c r="K126" s="1262">
        <f t="shared" si="49"/>
        <v>142710480000.00003</v>
      </c>
      <c r="L126" s="1262">
        <f t="shared" si="49"/>
        <v>273849840000.00006</v>
      </c>
      <c r="M126" s="1262">
        <f t="shared" si="49"/>
        <v>528414480000.00012</v>
      </c>
      <c r="N126" s="1262">
        <f t="shared" si="49"/>
        <v>1022115600000.0001</v>
      </c>
      <c r="O126" s="1262"/>
    </row>
    <row r="127" spans="2:15" x14ac:dyDescent="0.2">
      <c r="C127" s="2479" t="s">
        <v>1421</v>
      </c>
      <c r="E127" s="2479" t="str">
        <f>Preferences.moneyunits</f>
        <v>N</v>
      </c>
      <c r="F127" s="1262">
        <v>0</v>
      </c>
      <c r="G127" s="1262">
        <f t="shared" ref="G127:N127" si="50">SUM(G124:G126)</f>
        <v>0</v>
      </c>
      <c r="H127" s="1262">
        <f t="shared" si="50"/>
        <v>0</v>
      </c>
      <c r="I127" s="1262">
        <f t="shared" si="50"/>
        <v>567431190000</v>
      </c>
      <c r="J127" s="1262">
        <f t="shared" si="50"/>
        <v>553119261000</v>
      </c>
      <c r="K127" s="1262">
        <f t="shared" si="50"/>
        <v>1101995403000.0002</v>
      </c>
      <c r="L127" s="1262">
        <f>SUM(L124:L126)</f>
        <v>2086261448999.9998</v>
      </c>
      <c r="M127" s="1262">
        <f>SUM(M124:M126)</f>
        <v>4046307303000</v>
      </c>
      <c r="N127" s="1262">
        <f t="shared" si="50"/>
        <v>7844426535000</v>
      </c>
      <c r="O127" s="1262"/>
    </row>
    <row r="128" spans="2:15" x14ac:dyDescent="0.2">
      <c r="B128" s="1262"/>
      <c r="O128" s="1262"/>
    </row>
    <row r="129" spans="1:16" x14ac:dyDescent="0.2">
      <c r="B129" s="2479" t="s">
        <v>1420</v>
      </c>
      <c r="F129" s="1262"/>
      <c r="G129" s="1262"/>
      <c r="H129" s="1262"/>
      <c r="I129" s="1262"/>
      <c r="J129" s="1262"/>
      <c r="K129" s="1262"/>
      <c r="L129" s="1262"/>
      <c r="M129" s="1262"/>
      <c r="N129" s="1262"/>
      <c r="O129" s="1245"/>
    </row>
    <row r="130" spans="1:16" x14ac:dyDescent="0.2">
      <c r="C130" s="2479" t="s">
        <v>1418</v>
      </c>
      <c r="E130" s="2479" t="str">
        <f>Preferences.moneyunits</f>
        <v>N</v>
      </c>
      <c r="F130" s="1262">
        <v>0</v>
      </c>
      <c r="G130" s="1262">
        <f t="shared" ref="G130:N130" si="51">G115*G64</f>
        <v>0</v>
      </c>
      <c r="H130" s="1262">
        <f t="shared" si="51"/>
        <v>0</v>
      </c>
      <c r="I130" s="1262">
        <f t="shared" si="51"/>
        <v>450000000000</v>
      </c>
      <c r="J130" s="1262">
        <f t="shared" si="51"/>
        <v>404999999999.99994</v>
      </c>
      <c r="K130" s="1262">
        <f t="shared" si="51"/>
        <v>810000000000.00012</v>
      </c>
      <c r="L130" s="1262">
        <f t="shared" si="51"/>
        <v>1529999999999.9998</v>
      </c>
      <c r="M130" s="1262">
        <f t="shared" si="51"/>
        <v>2970000000000</v>
      </c>
      <c r="N130" s="1262">
        <f t="shared" si="51"/>
        <v>5760000000000</v>
      </c>
      <c r="O130" s="675"/>
    </row>
    <row r="131" spans="1:16" x14ac:dyDescent="0.2">
      <c r="C131" s="2479" t="s">
        <v>1419</v>
      </c>
      <c r="E131" s="2479" t="str">
        <f>Preferences.moneyunits</f>
        <v>N</v>
      </c>
      <c r="F131" s="1262">
        <f t="shared" ref="F131:N131" si="52">(F113*F$71)+(-F141*(F$85))</f>
        <v>0</v>
      </c>
      <c r="G131" s="1262">
        <f t="shared" si="52"/>
        <v>0</v>
      </c>
      <c r="H131" s="1262">
        <f t="shared" si="52"/>
        <v>0</v>
      </c>
      <c r="I131" s="1262">
        <f t="shared" si="52"/>
        <v>3217200000.0000005</v>
      </c>
      <c r="J131" s="1262">
        <f t="shared" si="52"/>
        <v>6112680000</v>
      </c>
      <c r="K131" s="1262">
        <f t="shared" si="52"/>
        <v>11903640000.000004</v>
      </c>
      <c r="L131" s="1262">
        <f t="shared" si="52"/>
        <v>22842120000.000004</v>
      </c>
      <c r="M131" s="1262">
        <f t="shared" si="52"/>
        <v>44075640000.000008</v>
      </c>
      <c r="N131" s="1262">
        <f t="shared" si="52"/>
        <v>85255800000.000015</v>
      </c>
    </row>
    <row r="132" spans="1:16" x14ac:dyDescent="0.2">
      <c r="A132" s="2479" t="s">
        <v>1642</v>
      </c>
      <c r="C132" s="20" t="s">
        <v>1474</v>
      </c>
      <c r="E132" s="2479" t="str">
        <f>Preferences.moneyunits</f>
        <v>N</v>
      </c>
      <c r="F132" s="1262">
        <f t="shared" ref="F132:N132" si="53">-F$78*F141</f>
        <v>0</v>
      </c>
      <c r="G132" s="1262">
        <f t="shared" si="53"/>
        <v>0</v>
      </c>
      <c r="H132" s="1262">
        <f t="shared" si="53"/>
        <v>0</v>
      </c>
      <c r="I132" s="1262">
        <f t="shared" si="53"/>
        <v>32142000000.000008</v>
      </c>
      <c r="J132" s="1262">
        <f t="shared" si="53"/>
        <v>61069800000</v>
      </c>
      <c r="K132" s="1262">
        <f t="shared" si="53"/>
        <v>118925400000.00003</v>
      </c>
      <c r="L132" s="1262">
        <f t="shared" si="53"/>
        <v>228208200000.00006</v>
      </c>
      <c r="M132" s="1262">
        <f t="shared" si="53"/>
        <v>440345400000.00012</v>
      </c>
      <c r="N132" s="1262">
        <f t="shared" si="53"/>
        <v>851763000000.00012</v>
      </c>
      <c r="O132" s="1262"/>
    </row>
    <row r="133" spans="1:16" x14ac:dyDescent="0.2">
      <c r="C133" s="2479" t="s">
        <v>1421</v>
      </c>
      <c r="E133" s="2479" t="str">
        <f>Preferences.moneyunits</f>
        <v>N</v>
      </c>
      <c r="F133" s="1262">
        <v>0</v>
      </c>
      <c r="G133" s="1262">
        <f t="shared" ref="G133:N133" si="54">SUM(G130:G132)</f>
        <v>0</v>
      </c>
      <c r="H133" s="1262">
        <f t="shared" si="54"/>
        <v>0</v>
      </c>
      <c r="I133" s="1262">
        <f t="shared" si="54"/>
        <v>485359200000</v>
      </c>
      <c r="J133" s="1262">
        <f t="shared" si="54"/>
        <v>472182479999.99994</v>
      </c>
      <c r="K133" s="1262">
        <f t="shared" si="54"/>
        <v>940829040000.00012</v>
      </c>
      <c r="L133" s="1262">
        <f t="shared" si="54"/>
        <v>1781050319999.9998</v>
      </c>
      <c r="M133" s="1262">
        <f t="shared" si="54"/>
        <v>3454421040000</v>
      </c>
      <c r="N133" s="1262">
        <f t="shared" si="54"/>
        <v>6697018800000</v>
      </c>
      <c r="O133" s="1262"/>
    </row>
    <row r="134" spans="1:16" x14ac:dyDescent="0.2">
      <c r="F134" s="1262"/>
      <c r="G134" s="1262"/>
      <c r="H134" s="1262"/>
      <c r="I134" s="1262"/>
      <c r="J134" s="1262"/>
      <c r="K134" s="1262"/>
      <c r="L134" s="1262"/>
      <c r="M134" s="1262"/>
      <c r="N134" s="1262"/>
      <c r="O134" s="1262"/>
    </row>
    <row r="135" spans="1:16" ht="15.75" x14ac:dyDescent="0.2">
      <c r="B135" s="468" t="s">
        <v>236</v>
      </c>
      <c r="C135" s="421"/>
      <c r="D135" s="421"/>
      <c r="E135" s="421"/>
      <c r="F135" s="421"/>
      <c r="G135" s="421"/>
      <c r="H135" s="421"/>
      <c r="I135" s="421"/>
      <c r="J135" s="421"/>
      <c r="K135" s="421"/>
      <c r="L135" s="421"/>
      <c r="M135" s="421"/>
      <c r="N135" s="421"/>
      <c r="O135" s="421"/>
      <c r="P135" s="423"/>
    </row>
    <row r="136" spans="1:16" x14ac:dyDescent="0.2">
      <c r="B136" s="410"/>
      <c r="C136" s="412"/>
      <c r="D136" s="412"/>
      <c r="E136" s="412"/>
      <c r="F136" s="412"/>
      <c r="G136" s="412"/>
      <c r="H136" s="412"/>
      <c r="I136" s="412"/>
      <c r="J136" s="412"/>
      <c r="K136" s="412"/>
      <c r="L136" s="412"/>
      <c r="M136" s="412"/>
      <c r="N136" s="412"/>
      <c r="O136" s="412"/>
      <c r="P136" s="414"/>
    </row>
    <row r="137" spans="1:16" x14ac:dyDescent="0.2">
      <c r="B137" s="410"/>
      <c r="C137" s="424" t="s">
        <v>277</v>
      </c>
      <c r="D137" s="412"/>
      <c r="E137" s="413"/>
      <c r="F137" s="412"/>
      <c r="G137" s="413"/>
      <c r="H137" s="412"/>
      <c r="I137" s="412"/>
      <c r="J137" s="412"/>
      <c r="K137" s="412"/>
      <c r="L137" s="412"/>
      <c r="M137" s="412"/>
      <c r="N137" s="412"/>
      <c r="O137" s="413" t="str">
        <f>Preferences.EnergyUnits</f>
        <v>TWh</v>
      </c>
      <c r="P137" s="414"/>
    </row>
    <row r="138" spans="1:16" ht="22.5" x14ac:dyDescent="0.3">
      <c r="A138" s="1422"/>
      <c r="B138" s="410"/>
      <c r="C138" s="412"/>
      <c r="D138" s="412"/>
      <c r="E138" s="412"/>
      <c r="F138" s="412"/>
      <c r="G138" s="412"/>
      <c r="H138" s="412"/>
      <c r="I138" s="412"/>
      <c r="J138" s="412"/>
      <c r="K138" s="412"/>
      <c r="L138" s="412"/>
      <c r="M138" s="412"/>
      <c r="N138" s="412"/>
      <c r="O138" s="412"/>
      <c r="P138" s="414"/>
    </row>
    <row r="139" spans="1:16" ht="15.75" x14ac:dyDescent="0.25">
      <c r="B139" s="415"/>
      <c r="C139" s="426" t="s">
        <v>64</v>
      </c>
      <c r="D139" s="426" t="s">
        <v>150</v>
      </c>
      <c r="E139" s="426" t="s">
        <v>172</v>
      </c>
      <c r="F139" s="426" t="s">
        <v>241</v>
      </c>
      <c r="G139" s="426" t="s">
        <v>268</v>
      </c>
      <c r="H139" s="426" t="s">
        <v>269</v>
      </c>
      <c r="I139" s="426" t="s">
        <v>270</v>
      </c>
      <c r="J139" s="426" t="s">
        <v>271</v>
      </c>
      <c r="K139" s="426" t="s">
        <v>272</v>
      </c>
      <c r="L139" s="426" t="s">
        <v>273</v>
      </c>
      <c r="M139" s="426" t="s">
        <v>274</v>
      </c>
      <c r="N139" s="426" t="s">
        <v>275</v>
      </c>
      <c r="O139" s="414"/>
    </row>
    <row r="140" spans="1:16" ht="15.75" x14ac:dyDescent="0.25">
      <c r="B140" s="415"/>
      <c r="C140" s="97" t="s">
        <v>35</v>
      </c>
      <c r="D140" s="97" t="str">
        <f>INDEX(Vectors[Description], MATCH(II.a.Outputs[Vector],Vectors[Code], 0))</f>
        <v>Electricity (supplied to grid)</v>
      </c>
      <c r="E140" s="97"/>
      <c r="F140" s="241">
        <f t="shared" ref="F140:N140" si="55">F$103</f>
        <v>0</v>
      </c>
      <c r="G140" s="241">
        <f t="shared" si="55"/>
        <v>0</v>
      </c>
      <c r="H140" s="241">
        <f t="shared" si="55"/>
        <v>0</v>
      </c>
      <c r="I140" s="241">
        <f t="shared" si="55"/>
        <v>7.0128000000000013</v>
      </c>
      <c r="J140" s="241">
        <f t="shared" si="55"/>
        <v>13.32432</v>
      </c>
      <c r="K140" s="241">
        <f t="shared" si="55"/>
        <v>25.947360000000003</v>
      </c>
      <c r="L140" s="241">
        <f t="shared" si="55"/>
        <v>49.790880000000001</v>
      </c>
      <c r="M140" s="241">
        <f t="shared" si="55"/>
        <v>96.075360000000018</v>
      </c>
      <c r="N140" s="241">
        <f t="shared" si="55"/>
        <v>185.83920000000003</v>
      </c>
      <c r="O140" s="414"/>
    </row>
    <row r="141" spans="1:16" ht="15.75" x14ac:dyDescent="0.25">
      <c r="A141" s="3"/>
      <c r="B141" s="415"/>
      <c r="C141" s="97" t="s">
        <v>6</v>
      </c>
      <c r="D141" s="97" t="str">
        <f>INDEX(Vectors[Description], MATCH(II.a.Outputs[Vector],Vectors[Code], 0))</f>
        <v>Nuclear fission</v>
      </c>
      <c r="E141" s="97"/>
      <c r="F141" s="241">
        <f t="shared" ref="F141:N141" si="56">-F$107</f>
        <v>0</v>
      </c>
      <c r="G141" s="241">
        <f t="shared" si="56"/>
        <v>0</v>
      </c>
      <c r="H141" s="241">
        <f t="shared" si="56"/>
        <v>0</v>
      </c>
      <c r="I141" s="241">
        <f t="shared" si="56"/>
        <v>-21.428000000000004</v>
      </c>
      <c r="J141" s="241">
        <f t="shared" si="56"/>
        <v>-40.713200000000001</v>
      </c>
      <c r="K141" s="241">
        <f t="shared" si="56"/>
        <v>-79.283600000000021</v>
      </c>
      <c r="L141" s="241">
        <f t="shared" si="56"/>
        <v>-152.13880000000003</v>
      </c>
      <c r="M141" s="241">
        <f t="shared" si="56"/>
        <v>-293.56360000000006</v>
      </c>
      <c r="N141" s="241">
        <f t="shared" si="56"/>
        <v>-567.8420000000001</v>
      </c>
      <c r="O141" s="414"/>
    </row>
    <row r="142" spans="1:16" ht="15.75" x14ac:dyDescent="0.25">
      <c r="A142" s="3"/>
      <c r="B142" s="415"/>
      <c r="C142" s="97" t="s">
        <v>26</v>
      </c>
      <c r="D142" s="97" t="str">
        <f>INDEX(Vectors[Description], MATCH(II.a.Outputs[Vector],Vectors[Code], 0))</f>
        <v>Conversion losses</v>
      </c>
      <c r="E142" s="97"/>
      <c r="F142" s="241">
        <f t="shared" ref="F142:N142" si="57">(F$107-F$105)</f>
        <v>0</v>
      </c>
      <c r="G142" s="241">
        <f t="shared" si="57"/>
        <v>0</v>
      </c>
      <c r="H142" s="241">
        <f t="shared" si="57"/>
        <v>0</v>
      </c>
      <c r="I142" s="241">
        <f t="shared" si="57"/>
        <v>13.713920000000003</v>
      </c>
      <c r="J142" s="241">
        <f t="shared" si="57"/>
        <v>26.056448</v>
      </c>
      <c r="K142" s="241">
        <f t="shared" si="57"/>
        <v>50.74150400000002</v>
      </c>
      <c r="L142" s="241">
        <f t="shared" si="57"/>
        <v>97.368832000000026</v>
      </c>
      <c r="M142" s="241">
        <f t="shared" si="57"/>
        <v>187.88070400000004</v>
      </c>
      <c r="N142" s="241">
        <f t="shared" si="57"/>
        <v>363.41888000000006</v>
      </c>
      <c r="O142" s="414"/>
    </row>
    <row r="143" spans="1:16" ht="15.75" x14ac:dyDescent="0.25">
      <c r="A143" s="3"/>
      <c r="B143" s="415"/>
      <c r="C143" s="97" t="s">
        <v>27</v>
      </c>
      <c r="D143" s="97" t="str">
        <f>INDEX(Vectors[Description], MATCH(II.a.Outputs[Vector],Vectors[Code], 0))</f>
        <v>Distribution losses and own use</v>
      </c>
      <c r="E143" s="97"/>
      <c r="F143" s="241">
        <f t="shared" ref="F143:N143" si="58">F$104</f>
        <v>0</v>
      </c>
      <c r="G143" s="241">
        <f t="shared" si="58"/>
        <v>0</v>
      </c>
      <c r="H143" s="241">
        <f t="shared" si="58"/>
        <v>0</v>
      </c>
      <c r="I143" s="241">
        <f t="shared" si="58"/>
        <v>0.70128000000000013</v>
      </c>
      <c r="J143" s="241">
        <f t="shared" si="58"/>
        <v>1.3324320000000001</v>
      </c>
      <c r="K143" s="241">
        <f t="shared" si="58"/>
        <v>2.5947360000000006</v>
      </c>
      <c r="L143" s="241">
        <f t="shared" si="58"/>
        <v>4.9790880000000008</v>
      </c>
      <c r="M143" s="241">
        <f t="shared" si="58"/>
        <v>9.6075360000000032</v>
      </c>
      <c r="N143" s="241">
        <f t="shared" si="58"/>
        <v>18.583920000000003</v>
      </c>
      <c r="O143" s="414"/>
    </row>
    <row r="144" spans="1:16" ht="15.75" x14ac:dyDescent="0.25">
      <c r="A144" s="3"/>
      <c r="B144" s="415"/>
      <c r="C144" s="97" t="s">
        <v>105</v>
      </c>
      <c r="D144" s="97"/>
      <c r="E144" s="97"/>
      <c r="F144" s="705">
        <f>SUBTOTAL(109,II.a.Outputs[2010])</f>
        <v>0</v>
      </c>
      <c r="G144" s="705">
        <f>SUBTOTAL(109,II.a.Outputs[2015])</f>
        <v>0</v>
      </c>
      <c r="H144" s="705">
        <f>SUBTOTAL(109,II.a.Outputs[2020])</f>
        <v>0</v>
      </c>
      <c r="I144" s="705">
        <f>SUBTOTAL(109,II.a.Outputs[2025])</f>
        <v>1.3322676295501878E-15</v>
      </c>
      <c r="J144" s="705">
        <f>SUBTOTAL(109,II.a.Outputs[2030])</f>
        <v>0</v>
      </c>
      <c r="K144" s="705">
        <f>SUBTOTAL(109,II.a.Outputs[2035])</f>
        <v>0</v>
      </c>
      <c r="L144" s="705">
        <f>SUBTOTAL(109,II.a.Outputs[2040])</f>
        <v>0</v>
      </c>
      <c r="M144" s="705">
        <f>SUBTOTAL(109,II.a.Outputs[2045])</f>
        <v>0</v>
      </c>
      <c r="N144" s="705">
        <f>SUBTOTAL(109,II.a.Outputs[2050])</f>
        <v>-3.1974423109204508E-14</v>
      </c>
      <c r="O144" s="414"/>
    </row>
    <row r="145" spans="1:16" ht="15.75" x14ac:dyDescent="0.25">
      <c r="A145" s="3"/>
      <c r="B145" s="416"/>
      <c r="C145" s="417"/>
      <c r="D145" s="417"/>
      <c r="E145" s="417"/>
      <c r="F145" s="417"/>
      <c r="G145" s="417"/>
      <c r="H145" s="417"/>
      <c r="I145" s="417"/>
      <c r="J145" s="417"/>
      <c r="K145" s="417"/>
      <c r="L145" s="417"/>
      <c r="M145" s="417"/>
      <c r="N145" s="417"/>
      <c r="O145" s="417"/>
      <c r="P145" s="419"/>
    </row>
    <row r="146" spans="1:16" ht="15.75" x14ac:dyDescent="0.25">
      <c r="A146" s="3"/>
    </row>
    <row r="147" spans="1:16" ht="15.75" x14ac:dyDescent="0.25">
      <c r="A147" s="3"/>
      <c r="B147" s="1430" t="s">
        <v>1225</v>
      </c>
      <c r="C147" s="1218"/>
      <c r="D147" s="1431"/>
      <c r="E147" s="1431"/>
      <c r="F147" s="1431"/>
      <c r="G147" s="1431"/>
      <c r="H147" s="1431"/>
      <c r="I147" s="1431"/>
      <c r="J147" s="1431"/>
      <c r="K147" s="1431"/>
      <c r="L147" s="1431"/>
      <c r="M147" s="1431"/>
      <c r="N147" s="1431"/>
      <c r="O147" s="1431"/>
      <c r="P147" s="1432"/>
    </row>
    <row r="148" spans="1:16" ht="7.5" customHeight="1" x14ac:dyDescent="0.25">
      <c r="A148" s="3"/>
      <c r="B148" s="1219"/>
      <c r="C148" s="1220"/>
      <c r="D148" s="1220"/>
      <c r="E148" s="1220"/>
      <c r="F148" s="1220"/>
      <c r="G148" s="1220"/>
      <c r="H148" s="1220"/>
      <c r="I148" s="1220"/>
      <c r="J148" s="1220"/>
      <c r="K148" s="1220"/>
      <c r="L148" s="1220"/>
      <c r="M148" s="1220"/>
      <c r="N148" s="1220"/>
      <c r="O148" s="1220"/>
      <c r="P148" s="1221"/>
    </row>
    <row r="149" spans="1:16" collapsed="1" x14ac:dyDescent="0.2">
      <c r="B149" s="1433"/>
      <c r="C149" s="1222" t="s">
        <v>1230</v>
      </c>
      <c r="D149" s="1434"/>
      <c r="E149" s="1223"/>
      <c r="F149" s="1434"/>
      <c r="G149" s="1223"/>
      <c r="H149" s="1434"/>
      <c r="I149" s="1434"/>
      <c r="J149" s="1434"/>
      <c r="K149" s="1434"/>
      <c r="L149" s="1434"/>
      <c r="M149" s="1434"/>
      <c r="N149" s="1434"/>
      <c r="O149" s="1223"/>
      <c r="P149" s="1435"/>
    </row>
    <row r="150" spans="1:16" ht="4.5" customHeight="1" x14ac:dyDescent="0.2">
      <c r="B150" s="1433"/>
      <c r="C150" s="1434"/>
      <c r="D150" s="1434"/>
      <c r="E150" s="1434"/>
      <c r="F150" s="1434"/>
      <c r="G150" s="1434"/>
      <c r="H150" s="1434"/>
      <c r="I150" s="1434"/>
      <c r="J150" s="1434"/>
      <c r="K150" s="1434"/>
      <c r="L150" s="1434"/>
      <c r="M150" s="1434"/>
      <c r="N150" s="1434"/>
      <c r="O150" s="1434"/>
      <c r="P150" s="1435"/>
    </row>
    <row r="151" spans="1:16" ht="15.75" x14ac:dyDescent="0.25">
      <c r="B151" s="1436"/>
      <c r="C151" s="1437" t="s">
        <v>64</v>
      </c>
      <c r="D151" s="1437" t="s">
        <v>1226</v>
      </c>
      <c r="E151" s="1437" t="s">
        <v>172</v>
      </c>
      <c r="F151" s="1437" t="s">
        <v>241</v>
      </c>
      <c r="G151" s="1437" t="s">
        <v>268</v>
      </c>
      <c r="H151" s="1437" t="s">
        <v>269</v>
      </c>
      <c r="I151" s="1437" t="s">
        <v>270</v>
      </c>
      <c r="J151" s="1437" t="s">
        <v>271</v>
      </c>
      <c r="K151" s="1437" t="s">
        <v>272</v>
      </c>
      <c r="L151" s="1437" t="s">
        <v>273</v>
      </c>
      <c r="M151" s="1437" t="s">
        <v>274</v>
      </c>
      <c r="N151" s="1437" t="s">
        <v>275</v>
      </c>
      <c r="O151" s="1435"/>
    </row>
    <row r="152" spans="1:16" ht="15.75" customHeight="1" x14ac:dyDescent="0.25">
      <c r="B152" s="1436"/>
      <c r="C152" s="1438" t="s">
        <v>1232</v>
      </c>
      <c r="D152" s="1439" t="str">
        <f>INDEX(Vectors[Description], MATCH(II.a.info[Vector],Vectors[Code], 0))</f>
        <v xml:space="preserve">Installed Capacity </v>
      </c>
      <c r="E152" s="1439" t="str">
        <f>Preferences.PowerUnits</f>
        <v>GW</v>
      </c>
      <c r="F152" s="1226">
        <f t="shared" ref="F152:N152" si="59">F93</f>
        <v>0</v>
      </c>
      <c r="G152" s="1226">
        <f t="shared" si="59"/>
        <v>0</v>
      </c>
      <c r="H152" s="1226">
        <f t="shared" si="59"/>
        <v>0</v>
      </c>
      <c r="I152" s="1226">
        <f t="shared" si="59"/>
        <v>1</v>
      </c>
      <c r="J152" s="1226">
        <f t="shared" si="59"/>
        <v>1.9</v>
      </c>
      <c r="K152" s="1226">
        <f t="shared" si="59"/>
        <v>3.7</v>
      </c>
      <c r="L152" s="1226">
        <f t="shared" si="59"/>
        <v>7.1</v>
      </c>
      <c r="M152" s="1226">
        <f t="shared" si="59"/>
        <v>13.7</v>
      </c>
      <c r="N152" s="1226">
        <f t="shared" si="59"/>
        <v>26.5</v>
      </c>
      <c r="O152" s="1435"/>
    </row>
    <row r="153" spans="1:16" ht="15.75" x14ac:dyDescent="0.25">
      <c r="B153" s="1436"/>
      <c r="C153" s="1438" t="s">
        <v>1582</v>
      </c>
      <c r="D153" s="1439" t="str">
        <f>INDEX(Vectors[Description], MATCH(II.a.info[Vector],Vectors[Code], 0))</f>
        <v>Load factor</v>
      </c>
      <c r="E153" s="1438" t="s">
        <v>347</v>
      </c>
      <c r="F153" s="1484">
        <f t="shared" ref="F153:N153" si="60">F46</f>
        <v>0.8</v>
      </c>
      <c r="G153" s="1484">
        <f t="shared" si="60"/>
        <v>0.8</v>
      </c>
      <c r="H153" s="1484">
        <f t="shared" si="60"/>
        <v>0.8</v>
      </c>
      <c r="I153" s="1484">
        <f t="shared" si="60"/>
        <v>0.8</v>
      </c>
      <c r="J153" s="1484">
        <f t="shared" si="60"/>
        <v>0.8</v>
      </c>
      <c r="K153" s="1484">
        <f t="shared" si="60"/>
        <v>0.8</v>
      </c>
      <c r="L153" s="1484">
        <f t="shared" si="60"/>
        <v>0.8</v>
      </c>
      <c r="M153" s="1484">
        <f t="shared" si="60"/>
        <v>0.8</v>
      </c>
      <c r="N153" s="1484">
        <f t="shared" si="60"/>
        <v>0.8</v>
      </c>
      <c r="O153" s="1435"/>
    </row>
    <row r="154" spans="1:16" ht="15.75" x14ac:dyDescent="0.25">
      <c r="B154" s="1436"/>
      <c r="C154" s="1438" t="s">
        <v>1233</v>
      </c>
      <c r="D154" s="1439" t="str">
        <f>$F$52&amp;" GW nuclear power station complexes"</f>
        <v>1 GW nuclear power station complexes</v>
      </c>
      <c r="E154" s="1438" t="s">
        <v>1275</v>
      </c>
      <c r="F154" s="2481">
        <f t="shared" ref="F154:N154" si="61">F152/$F$52</f>
        <v>0</v>
      </c>
      <c r="G154" s="2481">
        <f t="shared" si="61"/>
        <v>0</v>
      </c>
      <c r="H154" s="2481">
        <f t="shared" si="61"/>
        <v>0</v>
      </c>
      <c r="I154" s="2481">
        <f t="shared" si="61"/>
        <v>1</v>
      </c>
      <c r="J154" s="2481">
        <f t="shared" si="61"/>
        <v>1.9</v>
      </c>
      <c r="K154" s="2481">
        <f t="shared" si="61"/>
        <v>3.7</v>
      </c>
      <c r="L154" s="2481">
        <f t="shared" si="61"/>
        <v>7.1</v>
      </c>
      <c r="M154" s="2481">
        <f t="shared" si="61"/>
        <v>13.7</v>
      </c>
      <c r="N154" s="2481">
        <f t="shared" si="61"/>
        <v>26.5</v>
      </c>
      <c r="O154" s="1435"/>
    </row>
    <row r="155" spans="1:16" ht="15.75" x14ac:dyDescent="0.25">
      <c r="B155" s="1227"/>
      <c r="C155" s="1440"/>
      <c r="D155" s="1440"/>
      <c r="E155" s="1440"/>
      <c r="F155" s="1440"/>
      <c r="G155" s="1440"/>
      <c r="H155" s="1440"/>
      <c r="I155" s="1440"/>
      <c r="J155" s="1440"/>
      <c r="K155" s="1440"/>
      <c r="L155" s="1440"/>
      <c r="M155" s="1440"/>
      <c r="N155" s="1440"/>
      <c r="O155" s="1440"/>
      <c r="P155" s="1224"/>
    </row>
    <row r="157" spans="1:16" ht="15.75" x14ac:dyDescent="0.2">
      <c r="B157" s="1430" t="s">
        <v>1424</v>
      </c>
      <c r="C157" s="1431"/>
      <c r="D157" s="1431"/>
      <c r="E157" s="1431"/>
      <c r="F157" s="1431"/>
      <c r="G157" s="1431"/>
      <c r="H157" s="1431"/>
      <c r="I157" s="1431"/>
      <c r="J157" s="1431"/>
      <c r="K157" s="1431"/>
      <c r="L157" s="1431"/>
      <c r="M157" s="1431"/>
      <c r="N157" s="1431"/>
      <c r="O157" s="1431"/>
      <c r="P157" s="1432"/>
    </row>
    <row r="158" spans="1:16" x14ac:dyDescent="0.2">
      <c r="B158" s="1433"/>
      <c r="C158" s="1434"/>
      <c r="D158" s="1434"/>
      <c r="E158" s="1434"/>
      <c r="F158" s="1434"/>
      <c r="G158" s="1434"/>
      <c r="H158" s="1434"/>
      <c r="I158" s="1434"/>
      <c r="J158" s="1434"/>
      <c r="K158" s="1434"/>
      <c r="L158" s="1434"/>
      <c r="M158" s="1434"/>
      <c r="N158" s="1434"/>
      <c r="O158" s="1434"/>
      <c r="P158" s="1435"/>
    </row>
    <row r="159" spans="1:16" x14ac:dyDescent="0.2">
      <c r="B159" s="1433"/>
      <c r="C159" s="1441" t="s">
        <v>1425</v>
      </c>
      <c r="D159" s="1442"/>
      <c r="E159" s="1442"/>
      <c r="F159" s="1442"/>
      <c r="G159" s="1442"/>
      <c r="H159" s="1442"/>
      <c r="I159" s="1442"/>
      <c r="J159" s="1442"/>
      <c r="K159" s="1442"/>
      <c r="L159" s="1442"/>
      <c r="M159" s="1442"/>
      <c r="N159" s="1442"/>
      <c r="O159" s="1479" t="str">
        <f>Preferences.moneyunits</f>
        <v>N</v>
      </c>
      <c r="P159" s="1435"/>
    </row>
    <row r="160" spans="1:16" x14ac:dyDescent="0.2">
      <c r="B160" s="1433"/>
      <c r="C160" s="1434"/>
      <c r="D160" s="1434"/>
      <c r="E160" s="1434"/>
      <c r="F160" s="1434"/>
      <c r="G160" s="1434"/>
      <c r="H160" s="1434"/>
      <c r="I160" s="1434"/>
      <c r="J160" s="1434"/>
      <c r="K160" s="1434"/>
      <c r="L160" s="1434"/>
      <c r="M160" s="1434"/>
      <c r="N160" s="1434"/>
      <c r="O160" s="1434"/>
      <c r="P160" s="1435"/>
    </row>
    <row r="161" spans="2:16" ht="15.75" x14ac:dyDescent="0.25">
      <c r="B161" s="1436"/>
      <c r="C161" s="1437" t="s">
        <v>64</v>
      </c>
      <c r="D161" s="1437" t="s">
        <v>150</v>
      </c>
      <c r="E161" s="1437" t="s">
        <v>172</v>
      </c>
      <c r="F161" s="1437" t="s">
        <v>241</v>
      </c>
      <c r="G161" s="1437" t="s">
        <v>268</v>
      </c>
      <c r="H161" s="1437" t="s">
        <v>269</v>
      </c>
      <c r="I161" s="1437" t="s">
        <v>270</v>
      </c>
      <c r="J161" s="1437" t="s">
        <v>271</v>
      </c>
      <c r="K161" s="1437" t="s">
        <v>272</v>
      </c>
      <c r="L161" s="1437" t="s">
        <v>273</v>
      </c>
      <c r="M161" s="1437" t="s">
        <v>274</v>
      </c>
      <c r="N161" s="1437" t="s">
        <v>275</v>
      </c>
      <c r="O161" s="1435"/>
    </row>
    <row r="162" spans="2:16" ht="21.75" customHeight="1" x14ac:dyDescent="0.25">
      <c r="B162" s="1436"/>
      <c r="C162" s="1438" t="s">
        <v>1391</v>
      </c>
      <c r="D162" s="1439" t="str">
        <f>INDEX(CostVectors[Description], MATCH(C162,CostVectors[Code], 0))</f>
        <v>High estimate of capital costs</v>
      </c>
      <c r="E162" s="1439"/>
      <c r="F162" s="2481">
        <f t="shared" ref="F162:N162" si="62">F118</f>
        <v>0</v>
      </c>
      <c r="G162" s="2481">
        <f t="shared" si="62"/>
        <v>0</v>
      </c>
      <c r="H162" s="2481">
        <f t="shared" si="62"/>
        <v>0</v>
      </c>
      <c r="I162" s="2481">
        <f t="shared" si="62"/>
        <v>600000000000</v>
      </c>
      <c r="J162" s="2481">
        <f t="shared" si="62"/>
        <v>539999999999.99994</v>
      </c>
      <c r="K162" s="2481">
        <f t="shared" si="62"/>
        <v>1080000000000.0001</v>
      </c>
      <c r="L162" s="2481">
        <f t="shared" si="62"/>
        <v>2039999999999.9998</v>
      </c>
      <c r="M162" s="2481">
        <f t="shared" si="62"/>
        <v>3960000000000</v>
      </c>
      <c r="N162" s="2481">
        <f t="shared" si="62"/>
        <v>7680000000000</v>
      </c>
      <c r="O162" s="1435"/>
    </row>
    <row r="163" spans="2:16" ht="15.75" x14ac:dyDescent="0.25">
      <c r="B163" s="1436"/>
      <c r="C163" s="1438" t="s">
        <v>1393</v>
      </c>
      <c r="D163" s="1439" t="str">
        <f>INDEX(CostVectors[Description], MATCH(C163,CostVectors[Code], 0))</f>
        <v>High estimate of operating costs</v>
      </c>
      <c r="E163" s="1439"/>
      <c r="F163" s="2481">
        <f t="shared" ref="F163:N163" si="63">F119</f>
        <v>0</v>
      </c>
      <c r="G163" s="2481">
        <f t="shared" si="63"/>
        <v>0</v>
      </c>
      <c r="H163" s="2481">
        <f t="shared" si="63"/>
        <v>0</v>
      </c>
      <c r="I163" s="2481">
        <f t="shared" si="63"/>
        <v>4825800000.000001</v>
      </c>
      <c r="J163" s="2481">
        <f t="shared" si="63"/>
        <v>9169020000</v>
      </c>
      <c r="K163" s="2481">
        <f t="shared" si="63"/>
        <v>17855460000.000004</v>
      </c>
      <c r="L163" s="2481">
        <f t="shared" si="63"/>
        <v>34263180000.000008</v>
      </c>
      <c r="M163" s="2481">
        <f t="shared" si="63"/>
        <v>66113460000.000015</v>
      </c>
      <c r="N163" s="2481">
        <f t="shared" si="63"/>
        <v>127883700000.00002</v>
      </c>
      <c r="O163" s="1435"/>
    </row>
    <row r="164" spans="2:16" ht="15.75" x14ac:dyDescent="0.25">
      <c r="B164" s="1436"/>
      <c r="C164" s="1438" t="s">
        <v>1395</v>
      </c>
      <c r="D164" s="1439" t="str">
        <f>INDEX(CostVectors[Description], MATCH(C164,CostVectors[Code], 0))</f>
        <v>High estimate of fuel costs</v>
      </c>
      <c r="E164" s="1439"/>
      <c r="F164" s="2481">
        <f t="shared" ref="F164:N164" si="64">F120</f>
        <v>0</v>
      </c>
      <c r="G164" s="2481">
        <f t="shared" si="64"/>
        <v>0</v>
      </c>
      <c r="H164" s="2481">
        <f t="shared" si="64"/>
        <v>0</v>
      </c>
      <c r="I164" s="2481">
        <f t="shared" si="64"/>
        <v>48213000000.000008</v>
      </c>
      <c r="J164" s="2481">
        <f t="shared" si="64"/>
        <v>91604700000</v>
      </c>
      <c r="K164" s="2481">
        <f t="shared" si="64"/>
        <v>178388100000.00006</v>
      </c>
      <c r="L164" s="2481">
        <f t="shared" si="64"/>
        <v>342312300000.00006</v>
      </c>
      <c r="M164" s="2481">
        <f t="shared" si="64"/>
        <v>660518100000.00012</v>
      </c>
      <c r="N164" s="2481">
        <f t="shared" si="64"/>
        <v>1277644500000.0002</v>
      </c>
      <c r="O164" s="1435"/>
    </row>
    <row r="165" spans="2:16" ht="15.75" x14ac:dyDescent="0.25">
      <c r="B165" s="1436"/>
      <c r="C165" s="1438" t="s">
        <v>1866</v>
      </c>
      <c r="D165" s="1439" t="str">
        <f>INDEX(CostVectors[Description], MATCH(C165,CostVectors[Code], 0))</f>
        <v>Point estimate of capital costs</v>
      </c>
      <c r="E165" s="1439"/>
      <c r="F165" s="2481">
        <f t="shared" ref="F165:N165" si="65">F124</f>
        <v>0</v>
      </c>
      <c r="G165" s="2481">
        <f t="shared" si="65"/>
        <v>0</v>
      </c>
      <c r="H165" s="2481">
        <f t="shared" si="65"/>
        <v>0</v>
      </c>
      <c r="I165" s="2481">
        <f t="shared" si="65"/>
        <v>525000000000</v>
      </c>
      <c r="J165" s="2481">
        <f t="shared" si="65"/>
        <v>472499999999.99994</v>
      </c>
      <c r="K165" s="2481">
        <f t="shared" si="65"/>
        <v>945000000000.00012</v>
      </c>
      <c r="L165" s="2481">
        <f t="shared" si="65"/>
        <v>1784999999999.9998</v>
      </c>
      <c r="M165" s="2481">
        <f t="shared" si="65"/>
        <v>3465000000000</v>
      </c>
      <c r="N165" s="2481">
        <f t="shared" si="65"/>
        <v>6720000000000</v>
      </c>
      <c r="O165" s="1435"/>
    </row>
    <row r="166" spans="2:16" ht="15.75" x14ac:dyDescent="0.25">
      <c r="B166" s="1436"/>
      <c r="C166" s="1438" t="s">
        <v>1868</v>
      </c>
      <c r="D166" s="1439" t="str">
        <f>INDEX(CostVectors[Description], MATCH(C166,CostVectors[Code], 0))</f>
        <v>Point estimate of operating costs</v>
      </c>
      <c r="E166" s="1439"/>
      <c r="F166" s="2481">
        <f t="shared" ref="F166:N166" si="66">F125</f>
        <v>0</v>
      </c>
      <c r="G166" s="2481">
        <f t="shared" si="66"/>
        <v>0</v>
      </c>
      <c r="H166" s="2481">
        <f t="shared" si="66"/>
        <v>0</v>
      </c>
      <c r="I166" s="2481">
        <f t="shared" si="66"/>
        <v>3860790000.000001</v>
      </c>
      <c r="J166" s="2481">
        <f t="shared" si="66"/>
        <v>7335501000</v>
      </c>
      <c r="K166" s="2481">
        <f t="shared" si="66"/>
        <v>14284923000.000004</v>
      </c>
      <c r="L166" s="2481">
        <f t="shared" si="66"/>
        <v>27411609000.000008</v>
      </c>
      <c r="M166" s="2481">
        <f t="shared" si="66"/>
        <v>52892823000.000015</v>
      </c>
      <c r="N166" s="2481">
        <f t="shared" si="66"/>
        <v>102310935000.00002</v>
      </c>
      <c r="O166" s="1435"/>
    </row>
    <row r="167" spans="2:16" ht="15.75" x14ac:dyDescent="0.25">
      <c r="B167" s="1436"/>
      <c r="C167" s="1438" t="s">
        <v>1869</v>
      </c>
      <c r="D167" s="1439" t="str">
        <f>INDEX(CostVectors[Description], MATCH(C167,CostVectors[Code], 0))</f>
        <v>Point estimate of fuel costs</v>
      </c>
      <c r="E167" s="1439"/>
      <c r="F167" s="2481">
        <f t="shared" ref="F167:N167" si="67">F126</f>
        <v>0</v>
      </c>
      <c r="G167" s="2481">
        <f t="shared" si="67"/>
        <v>0</v>
      </c>
      <c r="H167" s="2481">
        <f t="shared" si="67"/>
        <v>0</v>
      </c>
      <c r="I167" s="2481">
        <f t="shared" si="67"/>
        <v>38570400000.000008</v>
      </c>
      <c r="J167" s="2481">
        <f t="shared" si="67"/>
        <v>73283760000</v>
      </c>
      <c r="K167" s="2481">
        <f t="shared" si="67"/>
        <v>142710480000.00003</v>
      </c>
      <c r="L167" s="2481">
        <f t="shared" si="67"/>
        <v>273849840000.00006</v>
      </c>
      <c r="M167" s="2481">
        <f t="shared" si="67"/>
        <v>528414480000.00012</v>
      </c>
      <c r="N167" s="2481">
        <f t="shared" si="67"/>
        <v>1022115600000.0001</v>
      </c>
      <c r="O167" s="1435"/>
    </row>
    <row r="168" spans="2:16" ht="11.25" customHeight="1" x14ac:dyDescent="0.2">
      <c r="B168" s="1444"/>
      <c r="C168" s="1438" t="s">
        <v>1382</v>
      </c>
      <c r="D168" s="1439" t="str">
        <f>INDEX(CostVectors[Description], MATCH(C168,CostVectors[Code], 0))</f>
        <v>Low estimate of capital costs</v>
      </c>
      <c r="E168" s="1439"/>
      <c r="F168" s="2481">
        <f t="shared" ref="F168:N168" si="68">F130</f>
        <v>0</v>
      </c>
      <c r="G168" s="2481">
        <f t="shared" si="68"/>
        <v>0</v>
      </c>
      <c r="H168" s="2481">
        <f t="shared" si="68"/>
        <v>0</v>
      </c>
      <c r="I168" s="2481">
        <f t="shared" si="68"/>
        <v>450000000000</v>
      </c>
      <c r="J168" s="2481">
        <f t="shared" si="68"/>
        <v>404999999999.99994</v>
      </c>
      <c r="K168" s="2481">
        <f t="shared" si="68"/>
        <v>810000000000.00012</v>
      </c>
      <c r="L168" s="2481">
        <f t="shared" si="68"/>
        <v>1529999999999.9998</v>
      </c>
      <c r="M168" s="2481">
        <f t="shared" si="68"/>
        <v>2970000000000</v>
      </c>
      <c r="N168" s="2481">
        <f t="shared" si="68"/>
        <v>5760000000000</v>
      </c>
      <c r="O168" s="1435"/>
    </row>
    <row r="169" spans="2:16" ht="14.25" x14ac:dyDescent="0.2">
      <c r="B169" s="1444"/>
      <c r="C169" s="1438" t="s">
        <v>1384</v>
      </c>
      <c r="D169" s="1439" t="str">
        <f>INDEX(CostVectors[Description], MATCH(C169,CostVectors[Code], 0))</f>
        <v>Low estimate of operating costs</v>
      </c>
      <c r="E169" s="1439"/>
      <c r="F169" s="2481">
        <f t="shared" ref="F169:N169" si="69">F131</f>
        <v>0</v>
      </c>
      <c r="G169" s="2481">
        <f t="shared" si="69"/>
        <v>0</v>
      </c>
      <c r="H169" s="2481">
        <f t="shared" si="69"/>
        <v>0</v>
      </c>
      <c r="I169" s="2481">
        <f t="shared" si="69"/>
        <v>3217200000.0000005</v>
      </c>
      <c r="J169" s="2481">
        <f t="shared" si="69"/>
        <v>6112680000</v>
      </c>
      <c r="K169" s="2481">
        <f t="shared" si="69"/>
        <v>11903640000.000004</v>
      </c>
      <c r="L169" s="2481">
        <f t="shared" si="69"/>
        <v>22842120000.000004</v>
      </c>
      <c r="M169" s="2481">
        <f t="shared" si="69"/>
        <v>44075640000.000008</v>
      </c>
      <c r="N169" s="2481">
        <f t="shared" si="69"/>
        <v>85255800000.000015</v>
      </c>
      <c r="O169" s="1435"/>
    </row>
    <row r="170" spans="2:16" ht="14.25" x14ac:dyDescent="0.2">
      <c r="B170" s="1444"/>
      <c r="C170" s="1438" t="s">
        <v>1386</v>
      </c>
      <c r="D170" s="1439" t="str">
        <f>INDEX(CostVectors[Description], MATCH(C170,CostVectors[Code], 0))</f>
        <v>Low estimate of fuel costs</v>
      </c>
      <c r="E170" s="1439"/>
      <c r="F170" s="2481">
        <f t="shared" ref="F170:N170" si="70">F132</f>
        <v>0</v>
      </c>
      <c r="G170" s="2481">
        <f t="shared" si="70"/>
        <v>0</v>
      </c>
      <c r="H170" s="2481">
        <f t="shared" si="70"/>
        <v>0</v>
      </c>
      <c r="I170" s="2481">
        <f t="shared" si="70"/>
        <v>32142000000.000008</v>
      </c>
      <c r="J170" s="2481">
        <f t="shared" si="70"/>
        <v>61069800000</v>
      </c>
      <c r="K170" s="2481">
        <f t="shared" si="70"/>
        <v>118925400000.00003</v>
      </c>
      <c r="L170" s="2481">
        <f t="shared" si="70"/>
        <v>228208200000.00006</v>
      </c>
      <c r="M170" s="2481">
        <f t="shared" si="70"/>
        <v>440345400000.00012</v>
      </c>
      <c r="N170" s="2481">
        <f t="shared" si="70"/>
        <v>851763000000.00012</v>
      </c>
      <c r="O170" s="1435"/>
    </row>
    <row r="171" spans="2:16" ht="14.25" x14ac:dyDescent="0.2">
      <c r="B171" s="1446"/>
      <c r="C171" s="1440"/>
      <c r="D171" s="1440"/>
      <c r="E171" s="1440"/>
      <c r="F171" s="1440"/>
      <c r="G171" s="1440"/>
      <c r="H171" s="1440"/>
      <c r="I171" s="1440"/>
      <c r="J171" s="1440"/>
      <c r="K171" s="1440"/>
      <c r="L171" s="1440"/>
      <c r="M171" s="1440"/>
      <c r="N171" s="1440"/>
      <c r="O171" s="1440"/>
      <c r="P171" s="1447"/>
    </row>
  </sheetData>
  <hyperlinks>
    <hyperlink ref="E2" r:id="rId1"/>
  </hyperlinks>
  <pageMargins left="0.7" right="0.7" top="0.75" bottom="0.75" header="0.3" footer="0.3"/>
  <pageSetup paperSize="9" orientation="portrait" r:id="rId2"/>
  <tableParts count="3">
    <tablePart r:id="rId3"/>
    <tablePart r:id="rId4"/>
    <tablePart r:id="rId5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outlinePr summaryBelow="0"/>
    <pageSetUpPr autoPageBreaks="0"/>
  </sheetPr>
  <dimension ref="A1:P141"/>
  <sheetViews>
    <sheetView windowProtection="1" topLeftCell="A124" zoomScaleNormal="100" workbookViewId="0"/>
  </sheetViews>
  <sheetFormatPr defaultColWidth="8.7109375" defaultRowHeight="12.75" x14ac:dyDescent="0.2"/>
  <cols>
    <col min="1" max="1" width="7.7109375" style="2479" customWidth="1"/>
    <col min="2" max="2" width="5.7109375" style="2479" customWidth="1"/>
    <col min="3" max="3" width="20.42578125" style="2479" customWidth="1"/>
    <col min="4" max="4" width="30.7109375" style="2479" customWidth="1"/>
    <col min="5" max="5" width="20.7109375" style="2479" customWidth="1"/>
    <col min="6" max="15" width="17.7109375" style="2479" customWidth="1"/>
    <col min="16" max="16" width="2" style="2479" customWidth="1"/>
    <col min="17" max="17" width="10.7109375" style="2479" customWidth="1"/>
    <col min="18" max="16384" width="8.7109375" style="2479"/>
  </cols>
  <sheetData>
    <row r="1" spans="1:16" ht="21" x14ac:dyDescent="0.35">
      <c r="A1" s="119" t="s">
        <v>62</v>
      </c>
      <c r="B1" s="119" t="str">
        <f>INDEX(Workstreams[Workstream], MATCH($A1, Workstreams[Code], 0))</f>
        <v>National renewable power generation</v>
      </c>
      <c r="C1" s="119"/>
    </row>
    <row r="2" spans="1:16" s="84" customFormat="1" ht="19.5" customHeight="1" x14ac:dyDescent="0.2">
      <c r="A2" s="6" t="s">
        <v>864</v>
      </c>
      <c r="B2" s="6" t="str">
        <f>INDEX(Modules[Module], MATCH($A2,Modules[Code], 0))</f>
        <v xml:space="preserve">Wind </v>
      </c>
      <c r="C2" s="6"/>
      <c r="E2" s="1380" t="s">
        <v>2578</v>
      </c>
    </row>
    <row r="4" spans="1:16" ht="22.5" x14ac:dyDescent="0.3">
      <c r="A4" s="1422"/>
      <c r="B4" s="468" t="s">
        <v>600</v>
      </c>
      <c r="C4" s="456"/>
      <c r="D4" s="421"/>
      <c r="E4" s="422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1"/>
      <c r="D5" s="412"/>
      <c r="E5" s="413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ht="15.75" x14ac:dyDescent="0.25">
      <c r="B6" s="415"/>
      <c r="C6" s="412"/>
      <c r="D6" s="216" t="s">
        <v>342</v>
      </c>
      <c r="E6" s="216" t="s">
        <v>595</v>
      </c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6" ht="15.75" x14ac:dyDescent="0.25">
      <c r="B7" s="415"/>
      <c r="C7" s="412"/>
      <c r="D7" s="238" t="s">
        <v>595</v>
      </c>
      <c r="E7" s="238">
        <f>III.a.1.Scenario</f>
        <v>4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ht="15.75" x14ac:dyDescent="0.25">
      <c r="B8" s="416"/>
      <c r="C8" s="417"/>
      <c r="D8" s="417"/>
      <c r="E8" s="417"/>
      <c r="F8" s="418"/>
      <c r="G8" s="418"/>
      <c r="H8" s="418"/>
      <c r="I8" s="418"/>
      <c r="J8" s="418"/>
      <c r="K8" s="418"/>
      <c r="L8" s="418"/>
      <c r="M8" s="418"/>
      <c r="N8" s="418"/>
      <c r="O8" s="418"/>
      <c r="P8" s="419"/>
    </row>
    <row r="10" spans="1:16" ht="22.5" x14ac:dyDescent="0.3">
      <c r="A10" s="1422"/>
      <c r="B10" s="1423" t="s">
        <v>597</v>
      </c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6"/>
    </row>
    <row r="11" spans="1:16" x14ac:dyDescent="0.2">
      <c r="B11" s="1419"/>
      <c r="C11" s="1416"/>
      <c r="D11" s="1416"/>
      <c r="E11" s="1416"/>
      <c r="F11" s="1416"/>
      <c r="G11" s="1416"/>
      <c r="H11" s="1416"/>
      <c r="I11" s="1416"/>
      <c r="J11" s="1416"/>
      <c r="K11" s="1416"/>
      <c r="L11" s="1416"/>
      <c r="M11" s="1416"/>
      <c r="N11" s="1416"/>
      <c r="O11" s="1420"/>
    </row>
    <row r="12" spans="1:16" x14ac:dyDescent="0.2">
      <c r="B12" s="1419"/>
      <c r="C12" s="1417" t="s">
        <v>2355</v>
      </c>
      <c r="D12" s="1416"/>
      <c r="E12" s="176"/>
      <c r="F12" s="1416"/>
      <c r="G12" s="1416"/>
      <c r="H12" s="1416"/>
      <c r="I12" s="1416"/>
      <c r="J12" s="1416"/>
      <c r="K12" s="1416"/>
      <c r="L12" s="1416"/>
      <c r="M12" s="1416"/>
      <c r="N12" s="176"/>
      <c r="O12" s="1420"/>
    </row>
    <row r="13" spans="1:16" ht="5.25" customHeight="1" x14ac:dyDescent="0.2">
      <c r="B13" s="1419"/>
      <c r="C13" s="1416"/>
      <c r="D13" s="1416"/>
      <c r="E13" s="1416"/>
      <c r="F13" s="1416"/>
      <c r="G13" s="1416"/>
      <c r="H13" s="1416"/>
      <c r="I13" s="1416"/>
      <c r="J13" s="1416"/>
      <c r="K13" s="1416"/>
      <c r="L13" s="1416"/>
      <c r="M13" s="1416"/>
      <c r="N13" s="1416"/>
      <c r="O13" s="1420"/>
    </row>
    <row r="14" spans="1:16" ht="15.75" x14ac:dyDescent="0.25">
      <c r="B14" s="397"/>
      <c r="C14" s="98" t="s">
        <v>595</v>
      </c>
      <c r="D14" s="98" t="s">
        <v>65</v>
      </c>
      <c r="E14" s="98" t="s">
        <v>172</v>
      </c>
      <c r="F14" s="218">
        <v>2010</v>
      </c>
      <c r="G14" s="217">
        <v>2015</v>
      </c>
      <c r="H14" s="217">
        <v>2020</v>
      </c>
      <c r="I14" s="217">
        <v>2025</v>
      </c>
      <c r="J14" s="217">
        <v>2030</v>
      </c>
      <c r="K14" s="217">
        <v>2035</v>
      </c>
      <c r="L14" s="217">
        <v>2040</v>
      </c>
      <c r="M14" s="217">
        <v>2045</v>
      </c>
      <c r="N14" s="217">
        <v>2050</v>
      </c>
      <c r="O14" s="1420"/>
    </row>
    <row r="15" spans="1:16" ht="15.75" x14ac:dyDescent="0.2">
      <c r="B15" s="399"/>
      <c r="C15" s="1414">
        <v>1</v>
      </c>
      <c r="D15" s="1415"/>
      <c r="E15" s="1416"/>
      <c r="F15" s="2503">
        <f t="shared" ref="F15:G15" si="0">0*Unit.GW</f>
        <v>0</v>
      </c>
      <c r="G15" s="1416">
        <f t="shared" si="0"/>
        <v>0</v>
      </c>
      <c r="H15" s="1416">
        <f t="shared" ref="H15:N15" si="1">0.01*Unit.GW</f>
        <v>0.01</v>
      </c>
      <c r="I15" s="1416">
        <f t="shared" si="1"/>
        <v>0.01</v>
      </c>
      <c r="J15" s="1416">
        <f t="shared" si="1"/>
        <v>0.01</v>
      </c>
      <c r="K15" s="1416">
        <f t="shared" si="1"/>
        <v>0.01</v>
      </c>
      <c r="L15" s="1416">
        <f t="shared" si="1"/>
        <v>0.01</v>
      </c>
      <c r="M15" s="1416">
        <f t="shared" si="1"/>
        <v>0.01</v>
      </c>
      <c r="N15" s="1416">
        <f t="shared" si="1"/>
        <v>0.01</v>
      </c>
      <c r="O15" s="400"/>
    </row>
    <row r="16" spans="1:16" ht="15.75" x14ac:dyDescent="0.25">
      <c r="B16" s="397"/>
      <c r="C16" s="1414">
        <v>2</v>
      </c>
      <c r="D16" s="1415"/>
      <c r="E16" s="1416"/>
      <c r="F16" s="2504">
        <f t="shared" ref="F16:G18" si="2">0*Unit.GW</f>
        <v>0</v>
      </c>
      <c r="G16" s="1416">
        <f t="shared" si="2"/>
        <v>0</v>
      </c>
      <c r="H16" s="1416">
        <f t="shared" ref="H16:I16" si="3">0.01*Unit.GW</f>
        <v>0.01</v>
      </c>
      <c r="I16" s="1416">
        <f t="shared" si="3"/>
        <v>0.01</v>
      </c>
      <c r="J16" s="1416">
        <f>1*Unit.GW</f>
        <v>1</v>
      </c>
      <c r="K16" s="1416">
        <f>1*Unit.GW</f>
        <v>1</v>
      </c>
      <c r="L16" s="1416">
        <f>1*Unit.GW</f>
        <v>1</v>
      </c>
      <c r="M16" s="1416">
        <f>1*Unit.GW</f>
        <v>1</v>
      </c>
      <c r="N16" s="1416">
        <f>1*Unit.GW</f>
        <v>1</v>
      </c>
      <c r="O16" s="1420"/>
    </row>
    <row r="17" spans="1:15" ht="15.75" x14ac:dyDescent="0.25">
      <c r="B17" s="397"/>
      <c r="C17" s="1414">
        <v>3</v>
      </c>
      <c r="D17" s="1415"/>
      <c r="E17" s="1416"/>
      <c r="F17" s="2504">
        <f t="shared" si="2"/>
        <v>0</v>
      </c>
      <c r="G17" s="1416">
        <f t="shared" si="2"/>
        <v>0</v>
      </c>
      <c r="H17" s="1416">
        <f>0.25*Unit.GW</f>
        <v>0.25</v>
      </c>
      <c r="I17" s="1416">
        <f>0.25*Unit.GW</f>
        <v>0.25</v>
      </c>
      <c r="J17" s="1416">
        <f>1*Unit.GW</f>
        <v>1</v>
      </c>
      <c r="K17" s="1416">
        <f>1.5*Unit.GW</f>
        <v>1.5</v>
      </c>
      <c r="L17" s="1416">
        <f>2*Unit.GW</f>
        <v>2</v>
      </c>
      <c r="M17" s="1416">
        <f>3*Unit.GW</f>
        <v>3</v>
      </c>
      <c r="N17" s="1416">
        <f>4*Unit.GW</f>
        <v>4</v>
      </c>
      <c r="O17" s="1420"/>
    </row>
    <row r="18" spans="1:15" ht="15.75" x14ac:dyDescent="0.25">
      <c r="B18" s="397"/>
      <c r="C18" s="1412">
        <v>4</v>
      </c>
      <c r="D18" s="102"/>
      <c r="E18" s="1416"/>
      <c r="F18" s="2505">
        <f t="shared" si="2"/>
        <v>0</v>
      </c>
      <c r="G18" s="1416">
        <f t="shared" si="2"/>
        <v>0</v>
      </c>
      <c r="H18" s="1416">
        <f>2.1*Unit.GW</f>
        <v>2.1</v>
      </c>
      <c r="I18" s="1416">
        <f>4.2*Unit.GW</f>
        <v>4.2</v>
      </c>
      <c r="J18" s="1416">
        <f>6.3*Unit.GW</f>
        <v>6.3</v>
      </c>
      <c r="K18" s="1416">
        <f>8.4*Unit.GW</f>
        <v>8.4</v>
      </c>
      <c r="L18" s="1416">
        <f>10.5*Unit.GW</f>
        <v>10.5</v>
      </c>
      <c r="M18" s="1416">
        <f>12.6*Unit.GW</f>
        <v>12.6</v>
      </c>
      <c r="N18" s="1416">
        <f>14.7*Unit.GW</f>
        <v>14.7</v>
      </c>
      <c r="O18" s="1420"/>
    </row>
    <row r="19" spans="1:15" ht="15.75" x14ac:dyDescent="0.25">
      <c r="B19" s="397"/>
      <c r="C19" s="1386" t="s">
        <v>582</v>
      </c>
      <c r="D19" s="1387"/>
      <c r="E19" s="1387"/>
      <c r="F19" s="1388">
        <f t="shared" ref="F19:N19" si="4">(INDEX(F$15:F$18,ROUNDDOWN($E$7,0))*(1-MOD($E$7,1)))+(INDEX(F$15:F$18,ROUNDUP($E$7,0))*MOD($E$7,1))</f>
        <v>0</v>
      </c>
      <c r="G19" s="1388">
        <f t="shared" si="4"/>
        <v>0</v>
      </c>
      <c r="H19" s="1388">
        <f t="shared" si="4"/>
        <v>2.1</v>
      </c>
      <c r="I19" s="1388">
        <f t="shared" si="4"/>
        <v>4.2</v>
      </c>
      <c r="J19" s="1388">
        <f t="shared" si="4"/>
        <v>6.3</v>
      </c>
      <c r="K19" s="1388">
        <f t="shared" si="4"/>
        <v>8.4</v>
      </c>
      <c r="L19" s="1388">
        <f t="shared" si="4"/>
        <v>10.5</v>
      </c>
      <c r="M19" s="1388">
        <f t="shared" si="4"/>
        <v>12.6</v>
      </c>
      <c r="N19" s="1389">
        <f t="shared" si="4"/>
        <v>14.7</v>
      </c>
      <c r="O19" s="1420"/>
    </row>
    <row r="20" spans="1:15" x14ac:dyDescent="0.2">
      <c r="B20" s="401"/>
      <c r="C20" s="1416"/>
      <c r="D20" s="177"/>
      <c r="E20" s="1416"/>
      <c r="F20" s="1416"/>
      <c r="G20" s="1416"/>
      <c r="H20" s="1416"/>
      <c r="I20" s="1416"/>
      <c r="J20" s="1416"/>
      <c r="K20" s="1416"/>
      <c r="L20" s="1416"/>
      <c r="M20" s="1416"/>
      <c r="N20" s="1416"/>
      <c r="O20" s="1420"/>
    </row>
    <row r="21" spans="1:15" x14ac:dyDescent="0.2">
      <c r="B21" s="401"/>
      <c r="C21" s="1417" t="s">
        <v>790</v>
      </c>
      <c r="D21" s="1416"/>
      <c r="E21" s="176"/>
      <c r="F21" s="1416"/>
      <c r="G21" s="1416"/>
      <c r="H21" s="1416"/>
      <c r="I21" s="1416"/>
      <c r="J21" s="1416"/>
      <c r="K21" s="1416"/>
      <c r="L21" s="1416"/>
      <c r="M21" s="1416"/>
      <c r="N21" s="176" t="str">
        <f>Preferences.PowerUnits</f>
        <v>GW</v>
      </c>
      <c r="O21" s="1420"/>
    </row>
    <row r="22" spans="1:15" ht="5.25" customHeight="1" x14ac:dyDescent="0.2">
      <c r="B22" s="401"/>
      <c r="C22" s="1416"/>
      <c r="D22" s="1416"/>
      <c r="E22" s="1416"/>
      <c r="F22" s="1416"/>
      <c r="G22" s="1416"/>
      <c r="H22" s="1416"/>
      <c r="I22" s="1416"/>
      <c r="J22" s="1416"/>
      <c r="K22" s="1416"/>
      <c r="L22" s="1416"/>
      <c r="M22" s="1416"/>
      <c r="N22" s="1416"/>
      <c r="O22" s="1420"/>
    </row>
    <row r="23" spans="1:15" ht="15.75" x14ac:dyDescent="0.25">
      <c r="B23" s="397"/>
      <c r="C23" s="98" t="s">
        <v>595</v>
      </c>
      <c r="D23" s="98" t="s">
        <v>65</v>
      </c>
      <c r="E23" s="98" t="s">
        <v>172</v>
      </c>
      <c r="F23" s="218">
        <v>2010</v>
      </c>
      <c r="G23" s="217">
        <v>2015</v>
      </c>
      <c r="H23" s="217">
        <v>2020</v>
      </c>
      <c r="I23" s="217">
        <v>2025</v>
      </c>
      <c r="J23" s="217">
        <v>2030</v>
      </c>
      <c r="K23" s="217">
        <v>2035</v>
      </c>
      <c r="L23" s="217">
        <v>2040</v>
      </c>
      <c r="M23" s="217">
        <v>2045</v>
      </c>
      <c r="N23" s="217">
        <v>2050</v>
      </c>
      <c r="O23" s="1420"/>
    </row>
    <row r="24" spans="1:15" ht="15.75" x14ac:dyDescent="0.25">
      <c r="B24" s="397"/>
      <c r="C24" s="1414">
        <v>1</v>
      </c>
      <c r="D24" s="1415"/>
      <c r="E24" s="146"/>
      <c r="F24" s="204">
        <f t="shared" ref="F24:N27" si="5">(Unit.GW)*0</f>
        <v>0</v>
      </c>
      <c r="G24" s="506">
        <f t="shared" si="5"/>
        <v>0</v>
      </c>
      <c r="H24" s="506">
        <f t="shared" si="5"/>
        <v>0</v>
      </c>
      <c r="I24" s="506">
        <f t="shared" si="5"/>
        <v>0</v>
      </c>
      <c r="J24" s="506">
        <f t="shared" si="5"/>
        <v>0</v>
      </c>
      <c r="K24" s="506">
        <f t="shared" si="5"/>
        <v>0</v>
      </c>
      <c r="L24" s="506">
        <f t="shared" si="5"/>
        <v>0</v>
      </c>
      <c r="M24" s="506">
        <f t="shared" si="5"/>
        <v>0</v>
      </c>
      <c r="N24" s="506">
        <f t="shared" si="5"/>
        <v>0</v>
      </c>
      <c r="O24" s="1420"/>
    </row>
    <row r="25" spans="1:15" ht="15.75" x14ac:dyDescent="0.25">
      <c r="B25" s="397"/>
      <c r="C25" s="1414">
        <v>2</v>
      </c>
      <c r="D25" s="1415"/>
      <c r="E25" s="1415"/>
      <c r="F25" s="725">
        <f t="shared" si="5"/>
        <v>0</v>
      </c>
      <c r="G25" s="506">
        <f t="shared" si="5"/>
        <v>0</v>
      </c>
      <c r="H25" s="506">
        <f t="shared" si="5"/>
        <v>0</v>
      </c>
      <c r="I25" s="506">
        <f t="shared" si="5"/>
        <v>0</v>
      </c>
      <c r="J25" s="506">
        <f t="shared" si="5"/>
        <v>0</v>
      </c>
      <c r="K25" s="506">
        <f t="shared" si="5"/>
        <v>0</v>
      </c>
      <c r="L25" s="1416">
        <f>0.01*Unit.GW</f>
        <v>0.01</v>
      </c>
      <c r="M25" s="506">
        <f t="shared" si="5"/>
        <v>0</v>
      </c>
      <c r="N25" s="506">
        <f t="shared" si="5"/>
        <v>0</v>
      </c>
      <c r="O25" s="1420"/>
    </row>
    <row r="26" spans="1:15" ht="15.75" x14ac:dyDescent="0.25">
      <c r="B26" s="397"/>
      <c r="C26" s="1414">
        <v>3</v>
      </c>
      <c r="D26" s="1415"/>
      <c r="E26" s="1415"/>
      <c r="F26" s="725">
        <f t="shared" si="5"/>
        <v>0</v>
      </c>
      <c r="G26" s="506">
        <f t="shared" si="5"/>
        <v>0</v>
      </c>
      <c r="H26" s="506">
        <f t="shared" si="5"/>
        <v>0</v>
      </c>
      <c r="I26" s="506">
        <f t="shared" si="5"/>
        <v>0</v>
      </c>
      <c r="J26" s="506">
        <f t="shared" si="5"/>
        <v>0</v>
      </c>
      <c r="K26" s="506">
        <f t="shared" si="5"/>
        <v>0</v>
      </c>
      <c r="L26" s="1416">
        <f>0.25*Unit.GW</f>
        <v>0.25</v>
      </c>
      <c r="M26" s="506">
        <f t="shared" si="5"/>
        <v>0</v>
      </c>
      <c r="N26" s="506">
        <f>(Unit.GW)*0.75</f>
        <v>0.75</v>
      </c>
      <c r="O26" s="1420"/>
    </row>
    <row r="27" spans="1:15" ht="15.75" x14ac:dyDescent="0.25">
      <c r="B27" s="397"/>
      <c r="C27" s="1412">
        <v>4</v>
      </c>
      <c r="D27" s="102"/>
      <c r="E27" s="102"/>
      <c r="F27" s="727">
        <f t="shared" si="5"/>
        <v>0</v>
      </c>
      <c r="G27" s="506">
        <f t="shared" si="5"/>
        <v>0</v>
      </c>
      <c r="H27" s="506">
        <f t="shared" si="5"/>
        <v>0</v>
      </c>
      <c r="I27" s="506">
        <f t="shared" si="5"/>
        <v>0</v>
      </c>
      <c r="J27" s="506">
        <f t="shared" si="5"/>
        <v>0</v>
      </c>
      <c r="K27" s="506">
        <f t="shared" si="5"/>
        <v>0</v>
      </c>
      <c r="L27" s="1416">
        <f>2.1*Unit.GW</f>
        <v>2.1</v>
      </c>
      <c r="M27" s="1416">
        <f>2.1*Unit.GW</f>
        <v>2.1</v>
      </c>
      <c r="N27" s="1416">
        <f>2.1*Unit.GW</f>
        <v>2.1</v>
      </c>
      <c r="O27" s="1420"/>
    </row>
    <row r="28" spans="1:15" ht="15.75" x14ac:dyDescent="0.25">
      <c r="B28" s="397"/>
      <c r="C28" s="1386" t="s">
        <v>582</v>
      </c>
      <c r="D28" s="1387"/>
      <c r="E28" s="1387"/>
      <c r="F28" s="1388">
        <f t="shared" ref="F28:N28" si="6">(INDEX(F$24:F$27,ROUNDDOWN($E$7,0))*(1-MOD($E$7,1)))+(INDEX(F$24:F$27,ROUNDUP($E$7,0))*MOD($E$7,1))</f>
        <v>0</v>
      </c>
      <c r="G28" s="1388">
        <f t="shared" si="6"/>
        <v>0</v>
      </c>
      <c r="H28" s="1388">
        <f t="shared" si="6"/>
        <v>0</v>
      </c>
      <c r="I28" s="1388">
        <f t="shared" si="6"/>
        <v>0</v>
      </c>
      <c r="J28" s="1388">
        <f t="shared" si="6"/>
        <v>0</v>
      </c>
      <c r="K28" s="1388">
        <f t="shared" si="6"/>
        <v>0</v>
      </c>
      <c r="L28" s="1388">
        <f t="shared" si="6"/>
        <v>2.1</v>
      </c>
      <c r="M28" s="1388">
        <f t="shared" si="6"/>
        <v>2.1</v>
      </c>
      <c r="N28" s="1389">
        <f t="shared" si="6"/>
        <v>2.1</v>
      </c>
      <c r="O28" s="1420"/>
    </row>
    <row r="29" spans="1:15" x14ac:dyDescent="0.2">
      <c r="B29" s="401"/>
      <c r="C29" s="1414"/>
      <c r="D29" s="1415"/>
      <c r="E29" s="1415"/>
      <c r="F29" s="207"/>
      <c r="G29" s="207"/>
      <c r="H29" s="207"/>
      <c r="I29" s="207"/>
      <c r="J29" s="207"/>
      <c r="K29" s="207"/>
      <c r="L29" s="207"/>
      <c r="M29" s="207"/>
      <c r="N29" s="207"/>
      <c r="O29" s="1420"/>
    </row>
    <row r="30" spans="1:15" x14ac:dyDescent="0.2">
      <c r="B30" s="460"/>
      <c r="C30" s="403"/>
      <c r="D30" s="461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4"/>
    </row>
    <row r="32" spans="1:15" s="84" customFormat="1" ht="22.5" x14ac:dyDescent="0.2">
      <c r="A32" s="408"/>
      <c r="B32" s="1423" t="s">
        <v>315</v>
      </c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6"/>
    </row>
    <row r="33" spans="2:16" ht="6" customHeight="1" x14ac:dyDescent="0.2">
      <c r="B33" s="1419"/>
      <c r="C33" s="1416"/>
      <c r="D33" s="1416"/>
      <c r="E33" s="1416"/>
      <c r="F33" s="1416"/>
      <c r="G33" s="1416"/>
      <c r="H33" s="1416"/>
      <c r="I33" s="1416"/>
      <c r="J33" s="1416"/>
      <c r="K33" s="1416"/>
      <c r="L33" s="1416"/>
      <c r="M33" s="1416"/>
      <c r="N33" s="1416"/>
      <c r="O33" s="1420"/>
    </row>
    <row r="34" spans="2:16" ht="6" customHeight="1" x14ac:dyDescent="0.2">
      <c r="B34" s="401"/>
      <c r="C34" s="1416"/>
      <c r="D34" s="177"/>
      <c r="E34" s="1416"/>
      <c r="F34" s="1416"/>
      <c r="G34" s="1416"/>
      <c r="H34" s="1416"/>
      <c r="I34" s="1416"/>
      <c r="J34" s="1416"/>
      <c r="K34" s="1416"/>
      <c r="L34" s="1416"/>
      <c r="M34" s="1416"/>
      <c r="N34" s="1416"/>
      <c r="O34" s="1420"/>
    </row>
    <row r="35" spans="2:16" x14ac:dyDescent="0.2">
      <c r="B35" s="1419"/>
      <c r="C35" s="1417" t="s">
        <v>327</v>
      </c>
      <c r="D35" s="1416"/>
      <c r="E35" s="1416"/>
      <c r="F35" s="176"/>
      <c r="G35" s="1416"/>
      <c r="H35" s="1416"/>
      <c r="I35" s="1416"/>
      <c r="J35" s="1416"/>
      <c r="K35" s="1416"/>
      <c r="L35" s="1416"/>
      <c r="M35" s="1416"/>
      <c r="N35" s="1416"/>
      <c r="O35" s="1420"/>
    </row>
    <row r="36" spans="2:16" ht="4.5" customHeight="1" x14ac:dyDescent="0.2">
      <c r="B36" s="1419"/>
      <c r="C36" s="1416"/>
      <c r="D36" s="1416"/>
      <c r="E36" s="1416"/>
      <c r="F36" s="1416"/>
      <c r="G36" s="1416"/>
      <c r="H36" s="1416"/>
      <c r="I36" s="1416"/>
      <c r="J36" s="1416"/>
      <c r="K36" s="1416"/>
      <c r="L36" s="1416"/>
      <c r="M36" s="1416"/>
      <c r="N36" s="1416"/>
      <c r="O36" s="1420"/>
    </row>
    <row r="37" spans="2:16" ht="15.75" x14ac:dyDescent="0.25">
      <c r="B37" s="397"/>
      <c r="C37" s="98" t="s">
        <v>264</v>
      </c>
      <c r="D37" s="98" t="s">
        <v>278</v>
      </c>
      <c r="E37" s="98" t="s">
        <v>172</v>
      </c>
      <c r="F37" s="218">
        <v>2010</v>
      </c>
      <c r="G37" s="217">
        <v>2015</v>
      </c>
      <c r="H37" s="217">
        <v>2020</v>
      </c>
      <c r="I37" s="217">
        <v>2025</v>
      </c>
      <c r="J37" s="217">
        <v>2030</v>
      </c>
      <c r="K37" s="217">
        <v>2035</v>
      </c>
      <c r="L37" s="217">
        <v>2040</v>
      </c>
      <c r="M37" s="217">
        <v>2045</v>
      </c>
      <c r="N37" s="217">
        <v>2050</v>
      </c>
      <c r="O37" s="1420"/>
    </row>
    <row r="38" spans="2:16" ht="15.75" x14ac:dyDescent="0.25">
      <c r="B38" s="397"/>
      <c r="C38" s="199" t="s">
        <v>7</v>
      </c>
      <c r="D38" s="200" t="s">
        <v>354</v>
      </c>
      <c r="E38" s="200" t="s">
        <v>100</v>
      </c>
      <c r="F38" s="2506">
        <v>0.2</v>
      </c>
      <c r="G38" s="128">
        <v>0.2</v>
      </c>
      <c r="H38" s="128">
        <v>0.2</v>
      </c>
      <c r="I38" s="128">
        <v>0.2</v>
      </c>
      <c r="J38" s="128">
        <v>0.2</v>
      </c>
      <c r="K38" s="128">
        <v>0.2</v>
      </c>
      <c r="L38" s="128">
        <v>0.2</v>
      </c>
      <c r="M38" s="128">
        <v>0.2</v>
      </c>
      <c r="N38" s="128">
        <v>0.2</v>
      </c>
      <c r="O38" s="1420"/>
    </row>
    <row r="39" spans="2:16" ht="4.5" customHeight="1" x14ac:dyDescent="0.25">
      <c r="B39" s="397"/>
      <c r="C39" s="1414"/>
      <c r="D39" s="1415"/>
      <c r="E39" s="1415"/>
      <c r="F39" s="174"/>
      <c r="G39" s="174"/>
      <c r="H39" s="174"/>
      <c r="I39" s="174"/>
      <c r="J39" s="174"/>
      <c r="K39" s="174"/>
      <c r="L39" s="174"/>
      <c r="M39" s="174"/>
      <c r="N39" s="174"/>
      <c r="O39" s="1420"/>
    </row>
    <row r="40" spans="2:16" ht="15.75" x14ac:dyDescent="0.25">
      <c r="B40" s="397"/>
      <c r="C40" s="1417" t="s">
        <v>1273</v>
      </c>
      <c r="D40" s="1416"/>
      <c r="E40" s="1416"/>
      <c r="F40" s="1416"/>
      <c r="G40" s="176"/>
      <c r="H40" s="1416"/>
      <c r="I40" s="1416"/>
      <c r="J40" s="1416"/>
      <c r="K40" s="1416"/>
      <c r="L40" s="1416"/>
      <c r="M40" s="1416"/>
      <c r="N40" s="1416"/>
      <c r="O40" s="1416"/>
      <c r="P40" s="1420"/>
    </row>
    <row r="41" spans="2:16" ht="6.75" customHeight="1" x14ac:dyDescent="0.25">
      <c r="B41" s="397"/>
      <c r="C41" s="1416"/>
      <c r="D41" s="1416"/>
      <c r="E41" s="1416"/>
      <c r="F41" s="1416"/>
      <c r="G41" s="1416"/>
      <c r="H41" s="1416"/>
      <c r="I41" s="1416"/>
      <c r="J41" s="1416"/>
      <c r="K41" s="1416"/>
      <c r="L41" s="1416"/>
      <c r="M41" s="1416"/>
      <c r="N41" s="1416"/>
      <c r="O41" s="1416"/>
      <c r="P41" s="1420"/>
    </row>
    <row r="42" spans="2:16" ht="15.75" x14ac:dyDescent="0.25">
      <c r="B42" s="397"/>
      <c r="C42" s="98"/>
      <c r="D42" s="98"/>
      <c r="E42" s="98"/>
      <c r="F42" s="217"/>
      <c r="G42" s="1261" t="s">
        <v>71</v>
      </c>
      <c r="H42" s="1261"/>
      <c r="I42" s="1416"/>
      <c r="J42" s="523"/>
      <c r="K42" s="523"/>
      <c r="L42" s="523"/>
      <c r="M42" s="523"/>
      <c r="N42" s="523"/>
      <c r="O42" s="523"/>
      <c r="P42" s="1420"/>
    </row>
    <row r="43" spans="2:16" ht="15.75" x14ac:dyDescent="0.25">
      <c r="B43" s="397"/>
      <c r="C43" s="1413"/>
      <c r="D43" s="107" t="s">
        <v>1277</v>
      </c>
      <c r="E43" s="1413"/>
      <c r="F43" s="1266">
        <f>0.5*Unit.MW</f>
        <v>5.0000000000000001E-4</v>
      </c>
      <c r="G43" s="1265" t="str">
        <f>Preferences.PowerUnits&amp;"peak"</f>
        <v>GWpeak</v>
      </c>
      <c r="H43" s="1264"/>
      <c r="I43" s="1416"/>
      <c r="J43" s="523"/>
      <c r="K43" s="523"/>
      <c r="L43" s="523"/>
      <c r="M43" s="523"/>
      <c r="N43" s="523"/>
      <c r="O43" s="523"/>
      <c r="P43" s="1420"/>
    </row>
    <row r="44" spans="2:16" ht="15.75" x14ac:dyDescent="0.25">
      <c r="B44" s="397"/>
      <c r="C44" s="199"/>
      <c r="D44" s="200" t="s">
        <v>1286</v>
      </c>
      <c r="E44" s="200" t="s">
        <v>101</v>
      </c>
      <c r="F44" s="1270">
        <f>(0.5)*Unit.W*Conversion.to.annual.energy/Unit.m2</f>
        <v>4.3830000000000006E-3</v>
      </c>
      <c r="G44" s="1263" t="str">
        <f>Preferences.EnergyUnits&amp;"/"&amp;Preferences.AreaUnits</f>
        <v>TWh/km^2</v>
      </c>
      <c r="H44" s="1263"/>
      <c r="I44" s="1416"/>
      <c r="J44" s="208"/>
      <c r="K44" s="208"/>
      <c r="L44" s="208"/>
      <c r="M44" s="208"/>
      <c r="N44" s="208"/>
      <c r="O44" s="208"/>
      <c r="P44" s="1420"/>
    </row>
    <row r="45" spans="2:16" ht="15.75" x14ac:dyDescent="0.25">
      <c r="B45" s="397"/>
      <c r="C45" s="1414"/>
      <c r="D45" s="1415"/>
      <c r="E45" s="1415"/>
      <c r="F45" s="1633"/>
      <c r="G45" s="760"/>
      <c r="H45" s="760"/>
      <c r="I45" s="1416"/>
      <c r="J45" s="208"/>
      <c r="K45" s="208"/>
      <c r="L45" s="208"/>
      <c r="M45" s="208"/>
      <c r="N45" s="208"/>
      <c r="O45" s="208"/>
      <c r="P45" s="1420"/>
    </row>
    <row r="46" spans="2:16" ht="15.75" x14ac:dyDescent="0.25">
      <c r="B46" s="397"/>
      <c r="C46" s="178"/>
      <c r="D46" s="1508"/>
      <c r="E46" s="1415"/>
      <c r="F46" s="1633"/>
      <c r="G46" s="760"/>
      <c r="H46" s="760"/>
      <c r="I46" s="1416"/>
      <c r="J46" s="208"/>
      <c r="K46" s="208"/>
      <c r="L46" s="208"/>
      <c r="M46" s="208"/>
      <c r="N46" s="208"/>
      <c r="O46" s="208"/>
      <c r="P46" s="1420"/>
    </row>
    <row r="47" spans="2:16" x14ac:dyDescent="0.2">
      <c r="B47" s="1419"/>
      <c r="C47" s="1416"/>
      <c r="D47" s="1416"/>
      <c r="E47" s="1416"/>
      <c r="F47" s="1416"/>
      <c r="G47" s="1416"/>
      <c r="H47" s="1416"/>
      <c r="I47" s="1416"/>
      <c r="J47" s="1416"/>
      <c r="K47" s="1416"/>
      <c r="L47" s="1416"/>
      <c r="M47" s="1416"/>
      <c r="N47" s="1416"/>
      <c r="O47" s="1416"/>
      <c r="P47" s="1420"/>
    </row>
    <row r="48" spans="2:16" x14ac:dyDescent="0.2">
      <c r="B48" s="1419"/>
      <c r="C48" s="1416" t="s">
        <v>172</v>
      </c>
      <c r="D48" s="1416"/>
      <c r="E48" s="1416"/>
      <c r="F48" s="1416"/>
      <c r="G48" s="1416"/>
      <c r="H48" s="1416"/>
      <c r="I48" s="1416"/>
      <c r="J48" s="1416"/>
      <c r="K48" s="1416"/>
      <c r="L48" s="1416"/>
      <c r="M48" s="1416"/>
      <c r="N48" s="1416"/>
      <c r="O48" s="1416"/>
      <c r="P48" s="1420"/>
    </row>
    <row r="49" spans="1:16" x14ac:dyDescent="0.2">
      <c r="B49" s="401"/>
      <c r="C49" s="485" t="s">
        <v>93</v>
      </c>
      <c r="D49" s="1416"/>
      <c r="E49" s="1416"/>
      <c r="F49" s="1416"/>
      <c r="G49" s="1416"/>
      <c r="H49" s="1416"/>
      <c r="I49" s="1416"/>
      <c r="J49" s="1416"/>
      <c r="K49" s="1416"/>
      <c r="L49" s="1416"/>
      <c r="M49" s="1416"/>
      <c r="N49" s="1416"/>
      <c r="O49" s="1416"/>
      <c r="P49" s="1420"/>
    </row>
    <row r="50" spans="1:16" x14ac:dyDescent="0.2">
      <c r="B50" s="401"/>
      <c r="C50" s="485"/>
      <c r="D50" s="1416" t="s">
        <v>356</v>
      </c>
      <c r="E50" s="1416"/>
      <c r="F50" s="1416"/>
      <c r="G50" s="1416"/>
      <c r="H50" s="1416"/>
      <c r="I50" s="1416"/>
      <c r="J50" s="1416"/>
      <c r="K50" s="1416"/>
      <c r="L50" s="1416"/>
      <c r="M50" s="1416"/>
      <c r="N50" s="1416"/>
      <c r="O50" s="1416"/>
      <c r="P50" s="1420"/>
    </row>
    <row r="51" spans="1:16" x14ac:dyDescent="0.2">
      <c r="B51" s="401"/>
      <c r="C51" s="485"/>
      <c r="D51" s="1416"/>
      <c r="E51" s="1416"/>
      <c r="F51" s="1416"/>
      <c r="G51" s="1416"/>
      <c r="H51" s="1416"/>
      <c r="I51" s="1416"/>
      <c r="J51" s="1416"/>
      <c r="K51" s="1416"/>
      <c r="L51" s="1416"/>
      <c r="M51" s="1416"/>
      <c r="N51" s="1416"/>
      <c r="O51" s="1416"/>
      <c r="P51" s="1420"/>
    </row>
    <row r="52" spans="1:16" s="1411" customFormat="1" x14ac:dyDescent="0.2">
      <c r="B52" s="462"/>
      <c r="C52" s="463" t="s">
        <v>100</v>
      </c>
      <c r="D52" s="464" t="s">
        <v>353</v>
      </c>
      <c r="E52" s="465"/>
      <c r="F52" s="465"/>
      <c r="G52" s="465"/>
      <c r="H52" s="465"/>
      <c r="I52" s="465"/>
      <c r="J52" s="465"/>
      <c r="K52" s="465"/>
      <c r="L52" s="465"/>
      <c r="M52" s="465"/>
      <c r="N52" s="465"/>
      <c r="O52" s="465"/>
      <c r="P52" s="466"/>
    </row>
    <row r="53" spans="1:16" s="1411" customFormat="1" x14ac:dyDescent="0.2">
      <c r="B53" s="462"/>
      <c r="C53" s="486"/>
      <c r="D53" s="464"/>
      <c r="E53" s="465"/>
      <c r="F53" s="465"/>
      <c r="G53" s="465"/>
      <c r="H53" s="465"/>
      <c r="I53" s="465"/>
      <c r="J53" s="465"/>
      <c r="K53" s="465"/>
      <c r="L53" s="465"/>
      <c r="M53" s="465"/>
      <c r="N53" s="465"/>
      <c r="O53" s="465"/>
      <c r="P53" s="466"/>
    </row>
    <row r="54" spans="1:16" s="1411" customFormat="1" x14ac:dyDescent="0.2">
      <c r="B54" s="462"/>
      <c r="C54" s="486"/>
      <c r="D54" s="464"/>
      <c r="E54" s="465"/>
      <c r="F54" s="465"/>
      <c r="G54" s="465"/>
      <c r="H54" s="465"/>
      <c r="I54" s="465"/>
      <c r="J54" s="465"/>
      <c r="K54" s="465"/>
      <c r="L54" s="465"/>
      <c r="M54" s="465"/>
      <c r="N54" s="465"/>
      <c r="O54" s="465"/>
      <c r="P54" s="466"/>
    </row>
    <row r="55" spans="1:16" s="1411" customFormat="1" x14ac:dyDescent="0.2">
      <c r="B55" s="462"/>
      <c r="C55" s="486"/>
      <c r="D55" s="464"/>
      <c r="E55" s="465"/>
      <c r="F55" s="465"/>
      <c r="G55" s="465"/>
      <c r="H55" s="465"/>
      <c r="I55" s="465"/>
      <c r="J55" s="465"/>
      <c r="K55" s="465"/>
      <c r="L55" s="465"/>
      <c r="M55" s="465"/>
      <c r="N55" s="465"/>
      <c r="O55" s="465"/>
      <c r="P55" s="466"/>
    </row>
    <row r="56" spans="1:16" s="1411" customFormat="1" x14ac:dyDescent="0.2">
      <c r="B56" s="462"/>
      <c r="C56" s="486" t="s">
        <v>101</v>
      </c>
      <c r="D56" s="464" t="s">
        <v>1361</v>
      </c>
      <c r="E56" s="465"/>
      <c r="F56" s="465"/>
      <c r="G56" s="465"/>
      <c r="H56" s="465"/>
      <c r="I56" s="465"/>
      <c r="J56" s="465"/>
      <c r="K56" s="465"/>
      <c r="L56" s="465"/>
      <c r="M56" s="465"/>
      <c r="N56" s="465"/>
      <c r="O56" s="465"/>
      <c r="P56" s="466"/>
    </row>
    <row r="57" spans="1:16" x14ac:dyDescent="0.2">
      <c r="B57" s="402"/>
      <c r="C57" s="403"/>
      <c r="D57" s="403"/>
      <c r="E57" s="403"/>
      <c r="F57" s="403"/>
      <c r="G57" s="403"/>
      <c r="H57" s="403"/>
      <c r="I57" s="403"/>
      <c r="J57" s="403"/>
      <c r="K57" s="403"/>
      <c r="L57" s="403"/>
      <c r="M57" s="403"/>
      <c r="N57" s="403"/>
      <c r="O57" s="403"/>
      <c r="P57" s="404"/>
    </row>
    <row r="59" spans="1:16" s="84" customFormat="1" ht="22.5" x14ac:dyDescent="0.2">
      <c r="A59" s="408"/>
      <c r="B59" s="1423" t="s">
        <v>1417</v>
      </c>
      <c r="C59" s="405"/>
      <c r="D59" s="405"/>
      <c r="E59" s="405"/>
      <c r="F59" s="405"/>
      <c r="G59" s="405"/>
      <c r="H59" s="405"/>
      <c r="I59" s="405"/>
      <c r="J59" s="405"/>
      <c r="K59" s="405"/>
      <c r="L59" s="405"/>
      <c r="M59" s="405"/>
      <c r="N59" s="405"/>
      <c r="O59" s="406"/>
    </row>
    <row r="60" spans="1:16" ht="5.25" customHeight="1" x14ac:dyDescent="0.2">
      <c r="B60" s="473"/>
      <c r="C60" s="458"/>
      <c r="D60" s="458"/>
      <c r="E60" s="458"/>
      <c r="F60" s="458"/>
      <c r="G60" s="458"/>
      <c r="H60" s="458"/>
      <c r="I60" s="458"/>
      <c r="J60" s="458"/>
      <c r="K60" s="458"/>
      <c r="L60" s="458"/>
      <c r="M60" s="458"/>
      <c r="N60" s="458"/>
      <c r="O60" s="458"/>
      <c r="P60" s="37"/>
    </row>
    <row r="61" spans="1:16" x14ac:dyDescent="0.2">
      <c r="B61" s="1419"/>
      <c r="C61" s="1417" t="str">
        <f>"Capital cost of a "&amp;plantsize.III.a.1&amp;" "&amp;Preferences.PowerUnits&amp;" wind turbine"</f>
        <v>Capital cost of a 0.0005 GW wind turbine</v>
      </c>
      <c r="D61" s="107"/>
      <c r="E61" s="1081"/>
      <c r="F61" s="1055"/>
      <c r="G61" s="760"/>
      <c r="H61" s="760"/>
      <c r="I61" s="760"/>
      <c r="J61" s="760"/>
      <c r="K61" s="760"/>
      <c r="L61" s="760"/>
      <c r="M61" s="760"/>
      <c r="N61" s="1255" t="str">
        <f>Preferences.moneyunits&amp;"/turbine"</f>
        <v>N/turbine</v>
      </c>
      <c r="O61" s="1416"/>
      <c r="P61" s="37"/>
    </row>
    <row r="62" spans="1:16" ht="4.5" customHeight="1" x14ac:dyDescent="0.2">
      <c r="B62" s="1419"/>
      <c r="C62" s="1848"/>
      <c r="D62" s="107"/>
      <c r="E62" s="1081"/>
      <c r="F62" s="1055"/>
      <c r="G62" s="760"/>
      <c r="H62" s="760"/>
      <c r="I62" s="760"/>
      <c r="J62" s="760"/>
      <c r="K62" s="760"/>
      <c r="L62" s="760"/>
      <c r="M62" s="760"/>
      <c r="N62" s="1416"/>
      <c r="O62" s="1416"/>
      <c r="P62" s="37"/>
    </row>
    <row r="63" spans="1:16" x14ac:dyDescent="0.2">
      <c r="B63" s="1419"/>
      <c r="C63" s="1406"/>
      <c r="D63" s="1519"/>
      <c r="E63" s="1567" t="s">
        <v>1321</v>
      </c>
      <c r="F63" s="1845">
        <v>2010</v>
      </c>
      <c r="G63" s="1843">
        <v>2015</v>
      </c>
      <c r="H63" s="1843">
        <v>2020</v>
      </c>
      <c r="I63" s="1843">
        <v>2025</v>
      </c>
      <c r="J63" s="1843">
        <v>2030</v>
      </c>
      <c r="K63" s="1843">
        <v>2035</v>
      </c>
      <c r="L63" s="1843">
        <v>2040</v>
      </c>
      <c r="M63" s="1843">
        <v>2045</v>
      </c>
      <c r="N63" s="1843">
        <v>2050</v>
      </c>
      <c r="O63" s="1416"/>
      <c r="P63" s="37"/>
    </row>
    <row r="64" spans="1:16" x14ac:dyDescent="0.2">
      <c r="B64" s="1419"/>
      <c r="C64" s="606" t="s">
        <v>1871</v>
      </c>
      <c r="D64" s="1519"/>
      <c r="E64" s="1566">
        <f>(N64-F64)/(N$63-F$63)</f>
        <v>0</v>
      </c>
      <c r="F64" s="1566">
        <f>(450000*NAIRA2010_/Unit.kW)*plantsize.III.a.1</f>
        <v>225000000</v>
      </c>
      <c r="G64" s="1055">
        <f>($E64*(G$63-F$63))+F64</f>
        <v>225000000</v>
      </c>
      <c r="H64" s="1055">
        <f t="shared" ref="G64:M66" si="7">($E64*(H$63-G$63))+G64</f>
        <v>225000000</v>
      </c>
      <c r="I64" s="1055">
        <f t="shared" si="7"/>
        <v>225000000</v>
      </c>
      <c r="J64" s="1055">
        <f t="shared" si="7"/>
        <v>225000000</v>
      </c>
      <c r="K64" s="1055">
        <f t="shared" si="7"/>
        <v>225000000</v>
      </c>
      <c r="L64" s="1055">
        <f t="shared" si="7"/>
        <v>225000000</v>
      </c>
      <c r="M64" s="1055">
        <f t="shared" si="7"/>
        <v>225000000</v>
      </c>
      <c r="N64" s="1055">
        <f>(450000*NAIRA2010_/Unit.kW)*plantsize.III.a.1</f>
        <v>225000000</v>
      </c>
      <c r="O64" s="1416"/>
      <c r="P64" s="37"/>
    </row>
    <row r="65" spans="1:16" x14ac:dyDescent="0.2">
      <c r="B65" s="1419"/>
      <c r="C65" s="606" t="s">
        <v>1872</v>
      </c>
      <c r="D65" s="107"/>
      <c r="E65" s="1055">
        <f>(N65-F65)/(N$63-F$63)</f>
        <v>0</v>
      </c>
      <c r="F65" s="1055">
        <f>(375000*NAIRA2010_/Unit.kW)*plantsize.III.a.1</f>
        <v>187500000</v>
      </c>
      <c r="G65" s="1055">
        <f t="shared" si="7"/>
        <v>187500000</v>
      </c>
      <c r="H65" s="1055">
        <f t="shared" si="7"/>
        <v>187500000</v>
      </c>
      <c r="I65" s="1055">
        <f t="shared" si="7"/>
        <v>187500000</v>
      </c>
      <c r="J65" s="1055">
        <f t="shared" si="7"/>
        <v>187500000</v>
      </c>
      <c r="K65" s="1055">
        <f t="shared" si="7"/>
        <v>187500000</v>
      </c>
      <c r="L65" s="1055">
        <f t="shared" si="7"/>
        <v>187500000</v>
      </c>
      <c r="M65" s="1055">
        <f t="shared" si="7"/>
        <v>187500000</v>
      </c>
      <c r="N65" s="1055">
        <f>(375000*NAIRA2010_/Unit.kW)*plantsize.III.a.1</f>
        <v>187500000</v>
      </c>
      <c r="O65" s="1416"/>
      <c r="P65" s="37"/>
    </row>
    <row r="66" spans="1:16" x14ac:dyDescent="0.2">
      <c r="B66" s="1419"/>
      <c r="C66" s="1731" t="s">
        <v>1873</v>
      </c>
      <c r="D66" s="189"/>
      <c r="E66" s="1056">
        <f>(N66-F66)/(N$63-F$63)</f>
        <v>0</v>
      </c>
      <c r="F66" s="1056">
        <f>(300000*NAIRA2010_/Unit.kW)*plantsize.III.a.1</f>
        <v>150000000</v>
      </c>
      <c r="G66" s="1056">
        <f t="shared" si="7"/>
        <v>150000000</v>
      </c>
      <c r="H66" s="1056">
        <f t="shared" si="7"/>
        <v>150000000</v>
      </c>
      <c r="I66" s="1056">
        <f t="shared" si="7"/>
        <v>150000000</v>
      </c>
      <c r="J66" s="1056">
        <f t="shared" si="7"/>
        <v>150000000</v>
      </c>
      <c r="K66" s="1056">
        <f t="shared" si="7"/>
        <v>150000000</v>
      </c>
      <c r="L66" s="1056">
        <f t="shared" si="7"/>
        <v>150000000</v>
      </c>
      <c r="M66" s="1056">
        <f t="shared" si="7"/>
        <v>150000000</v>
      </c>
      <c r="N66" s="1056">
        <f>(300000*NAIRA2010_/Unit.kW)*plantsize.III.a.1</f>
        <v>150000000</v>
      </c>
      <c r="O66" s="1416"/>
      <c r="P66" s="37"/>
    </row>
    <row r="67" spans="1:16" x14ac:dyDescent="0.2">
      <c r="B67" s="1419"/>
      <c r="C67" s="1848"/>
      <c r="D67" s="107"/>
      <c r="E67" s="1081"/>
      <c r="F67" s="1055"/>
      <c r="G67" s="760"/>
      <c r="H67" s="760"/>
      <c r="I67" s="760"/>
      <c r="J67" s="760"/>
      <c r="K67" s="760"/>
      <c r="L67" s="760"/>
      <c r="M67" s="760"/>
      <c r="N67" s="1416"/>
      <c r="O67" s="1416"/>
      <c r="P67" s="37"/>
    </row>
    <row r="68" spans="1:16" x14ac:dyDescent="0.2">
      <c r="B68" s="1419"/>
      <c r="C68" s="1417" t="str">
        <f>"Operating cost of a "&amp;plantsize.III.a.1&amp;" "&amp;Preferences.PowerUnits&amp;" wind turbine"</f>
        <v>Operating cost of a 0.0005 GW wind turbine</v>
      </c>
      <c r="D68" s="107"/>
      <c r="E68" s="1081"/>
      <c r="F68" s="1055"/>
      <c r="G68" s="760"/>
      <c r="H68" s="760"/>
      <c r="I68" s="760"/>
      <c r="J68" s="760"/>
      <c r="K68" s="760"/>
      <c r="L68" s="760"/>
      <c r="M68" s="760"/>
      <c r="N68" s="1255" t="str">
        <f>Preferences.moneyunits&amp;"/turbine"</f>
        <v>N/turbine</v>
      </c>
      <c r="O68" s="1416"/>
      <c r="P68" s="37"/>
    </row>
    <row r="69" spans="1:16" ht="4.5" customHeight="1" x14ac:dyDescent="0.2">
      <c r="B69" s="1419"/>
      <c r="C69" s="1848"/>
      <c r="D69" s="107"/>
      <c r="E69" s="1081"/>
      <c r="F69" s="1055"/>
      <c r="G69" s="760"/>
      <c r="H69" s="760"/>
      <c r="I69" s="760"/>
      <c r="J69" s="760"/>
      <c r="K69" s="760"/>
      <c r="L69" s="760"/>
      <c r="M69" s="760"/>
      <c r="N69" s="1416"/>
      <c r="O69" s="1416"/>
      <c r="P69" s="37"/>
    </row>
    <row r="70" spans="1:16" x14ac:dyDescent="0.2">
      <c r="B70" s="1419"/>
      <c r="C70" s="1406"/>
      <c r="D70" s="1519"/>
      <c r="E70" s="1567" t="s">
        <v>1321</v>
      </c>
      <c r="F70" s="1845">
        <v>2010</v>
      </c>
      <c r="G70" s="1843">
        <v>2015</v>
      </c>
      <c r="H70" s="1843">
        <v>2020</v>
      </c>
      <c r="I70" s="1843">
        <v>2025</v>
      </c>
      <c r="J70" s="1843">
        <v>2030</v>
      </c>
      <c r="K70" s="1843">
        <v>2035</v>
      </c>
      <c r="L70" s="1843">
        <v>2040</v>
      </c>
      <c r="M70" s="1843">
        <v>2045</v>
      </c>
      <c r="N70" s="1843">
        <v>2050</v>
      </c>
      <c r="O70" s="1416"/>
      <c r="P70" s="37"/>
    </row>
    <row r="71" spans="1:16" x14ac:dyDescent="0.2">
      <c r="B71" s="1419"/>
      <c r="C71" s="606" t="s">
        <v>1871</v>
      </c>
      <c r="D71" s="1519"/>
      <c r="E71" s="1847">
        <f>(N71-F71)/(N$63-F$63)</f>
        <v>0</v>
      </c>
      <c r="F71" s="1566">
        <f>(5250*NAIRA2010_/Unit.kW)*plantsize.III.a.1</f>
        <v>2625000</v>
      </c>
      <c r="G71" s="1055">
        <f t="shared" ref="G71:M73" si="8">($E71*(G$63-F$63))+F71</f>
        <v>2625000</v>
      </c>
      <c r="H71" s="1055">
        <f t="shared" si="8"/>
        <v>2625000</v>
      </c>
      <c r="I71" s="1055">
        <f t="shared" si="8"/>
        <v>2625000</v>
      </c>
      <c r="J71" s="1055">
        <f t="shared" si="8"/>
        <v>2625000</v>
      </c>
      <c r="K71" s="1055">
        <f t="shared" si="8"/>
        <v>2625000</v>
      </c>
      <c r="L71" s="1055">
        <f t="shared" si="8"/>
        <v>2625000</v>
      </c>
      <c r="M71" s="1055">
        <f t="shared" si="8"/>
        <v>2625000</v>
      </c>
      <c r="N71" s="1055">
        <f>(5250*NAIRA2010_/Unit.kW)*plantsize.III.a.1</f>
        <v>2625000</v>
      </c>
      <c r="O71" s="1416"/>
      <c r="P71" s="37"/>
    </row>
    <row r="72" spans="1:16" x14ac:dyDescent="0.2">
      <c r="B72" s="1419"/>
      <c r="C72" s="606" t="s">
        <v>1872</v>
      </c>
      <c r="D72" s="107"/>
      <c r="E72" s="188">
        <f>(N72-F72)/(N$63-F$63)</f>
        <v>0</v>
      </c>
      <c r="F72" s="1055">
        <f>(4500*NAIRA2010_/Unit.kW)*plantsize.III.a.1</f>
        <v>2250000</v>
      </c>
      <c r="G72" s="1055">
        <f t="shared" si="8"/>
        <v>2250000</v>
      </c>
      <c r="H72" s="1055">
        <f t="shared" si="8"/>
        <v>2250000</v>
      </c>
      <c r="I72" s="1055">
        <f t="shared" si="8"/>
        <v>2250000</v>
      </c>
      <c r="J72" s="1055">
        <f t="shared" si="8"/>
        <v>2250000</v>
      </c>
      <c r="K72" s="1055">
        <f t="shared" si="8"/>
        <v>2250000</v>
      </c>
      <c r="L72" s="1055">
        <f t="shared" si="8"/>
        <v>2250000</v>
      </c>
      <c r="M72" s="1055">
        <f t="shared" si="8"/>
        <v>2250000</v>
      </c>
      <c r="N72" s="1055">
        <f>(4500*NAIRA2010_/Unit.kW)*plantsize.III.a.1</f>
        <v>2250000</v>
      </c>
      <c r="O72" s="1416"/>
      <c r="P72" s="37"/>
    </row>
    <row r="73" spans="1:16" x14ac:dyDescent="0.2">
      <c r="B73" s="1419"/>
      <c r="C73" s="1731" t="s">
        <v>1873</v>
      </c>
      <c r="D73" s="189"/>
      <c r="E73" s="191">
        <f>(N73-F73)/(N$63-F$63)</f>
        <v>0</v>
      </c>
      <c r="F73" s="1056">
        <f>(3750*NAIRA2010_/Unit.kW)*plantsize.III.a.1</f>
        <v>1875000</v>
      </c>
      <c r="G73" s="1056">
        <f t="shared" si="8"/>
        <v>1875000</v>
      </c>
      <c r="H73" s="1056">
        <f t="shared" si="8"/>
        <v>1875000</v>
      </c>
      <c r="I73" s="1056">
        <f t="shared" si="8"/>
        <v>1875000</v>
      </c>
      <c r="J73" s="1056">
        <f t="shared" si="8"/>
        <v>1875000</v>
      </c>
      <c r="K73" s="1056">
        <f t="shared" si="8"/>
        <v>1875000</v>
      </c>
      <c r="L73" s="1056">
        <f t="shared" si="8"/>
        <v>1875000</v>
      </c>
      <c r="M73" s="1056">
        <f t="shared" si="8"/>
        <v>1875000</v>
      </c>
      <c r="N73" s="1056">
        <f>(3750*NAIRA2010_/Unit.kW)*plantsize.III.a.1</f>
        <v>1875000</v>
      </c>
      <c r="O73" s="1416"/>
      <c r="P73" s="37"/>
    </row>
    <row r="74" spans="1:16" x14ac:dyDescent="0.2">
      <c r="B74" s="1377"/>
      <c r="C74" s="1377"/>
      <c r="D74" s="1416"/>
      <c r="E74" s="760"/>
      <c r="F74" s="1416"/>
      <c r="G74" s="1416"/>
      <c r="H74" s="1416"/>
      <c r="I74" s="1488"/>
      <c r="J74" s="1488"/>
      <c r="K74" s="1377"/>
      <c r="L74" s="1377"/>
      <c r="M74" s="1377"/>
      <c r="N74" s="1377"/>
      <c r="O74" s="1377"/>
    </row>
    <row r="76" spans="1:16" ht="22.5" x14ac:dyDescent="0.3">
      <c r="A76" s="1422"/>
      <c r="B76" s="1423" t="s">
        <v>332</v>
      </c>
      <c r="C76" s="405"/>
      <c r="D76" s="405"/>
      <c r="E76" s="405"/>
      <c r="F76" s="405"/>
      <c r="G76" s="405"/>
      <c r="H76" s="405"/>
      <c r="I76" s="405"/>
      <c r="J76" s="405"/>
      <c r="K76" s="405"/>
      <c r="L76" s="405"/>
      <c r="M76" s="405"/>
      <c r="N76" s="405"/>
      <c r="O76" s="406"/>
    </row>
    <row r="77" spans="1:16" ht="5.25" customHeight="1" x14ac:dyDescent="0.2">
      <c r="B77" s="1419"/>
      <c r="C77" s="1416"/>
      <c r="D77" s="1416"/>
      <c r="E77" s="1416"/>
      <c r="F77" s="1416"/>
      <c r="G77" s="1416"/>
      <c r="H77" s="1416"/>
      <c r="I77" s="1416"/>
      <c r="J77" s="1416"/>
      <c r="K77" s="1416"/>
      <c r="L77" s="1416"/>
      <c r="M77" s="1416"/>
      <c r="N77" s="1416"/>
      <c r="O77" s="1420"/>
    </row>
    <row r="78" spans="1:16" x14ac:dyDescent="0.2">
      <c r="B78" s="1419"/>
      <c r="C78" s="1417" t="s">
        <v>357</v>
      </c>
      <c r="D78" s="1416"/>
      <c r="E78" s="176"/>
      <c r="F78" s="1416"/>
      <c r="G78" s="1416"/>
      <c r="H78" s="1416"/>
      <c r="I78" s="1416"/>
      <c r="J78" s="1416"/>
      <c r="K78" s="1416"/>
      <c r="L78" s="1416"/>
      <c r="M78" s="1416"/>
      <c r="N78" s="176" t="str">
        <f>Preferences.PowerUnits</f>
        <v>GW</v>
      </c>
      <c r="O78" s="1420"/>
    </row>
    <row r="79" spans="1:16" ht="4.5" customHeight="1" x14ac:dyDescent="0.2">
      <c r="B79" s="1419"/>
      <c r="C79" s="1416"/>
      <c r="D79" s="1416"/>
      <c r="E79" s="1416"/>
      <c r="F79" s="1416"/>
      <c r="G79" s="1416"/>
      <c r="H79" s="1416"/>
      <c r="I79" s="1416"/>
      <c r="J79" s="1416"/>
      <c r="K79" s="1416"/>
      <c r="L79" s="1416"/>
      <c r="M79" s="1416"/>
      <c r="N79" s="1416"/>
      <c r="O79" s="1420"/>
    </row>
    <row r="80" spans="1:16" ht="15.75" x14ac:dyDescent="0.25">
      <c r="B80" s="397"/>
      <c r="C80" s="98" t="s">
        <v>264</v>
      </c>
      <c r="D80" s="98" t="s">
        <v>65</v>
      </c>
      <c r="E80" s="98" t="s">
        <v>172</v>
      </c>
      <c r="F80" s="218">
        <v>2010</v>
      </c>
      <c r="G80" s="224">
        <v>2015</v>
      </c>
      <c r="H80" s="224">
        <v>2020</v>
      </c>
      <c r="I80" s="224">
        <v>2025</v>
      </c>
      <c r="J80" s="224">
        <v>2030</v>
      </c>
      <c r="K80" s="224">
        <v>2035</v>
      </c>
      <c r="L80" s="224">
        <v>2040</v>
      </c>
      <c r="M80" s="224">
        <v>2045</v>
      </c>
      <c r="N80" s="224">
        <v>2050</v>
      </c>
      <c r="O80" s="1420"/>
    </row>
    <row r="81" spans="2:16" ht="15.75" x14ac:dyDescent="0.2">
      <c r="B81" s="399"/>
      <c r="C81" s="199" t="s">
        <v>7</v>
      </c>
      <c r="D81" s="200" t="s">
        <v>354</v>
      </c>
      <c r="E81" s="122"/>
      <c r="F81" s="212">
        <f>F$19-F$28</f>
        <v>0</v>
      </c>
      <c r="G81" s="2699">
        <f t="shared" ref="G81:N81" si="9">G$19-G$28</f>
        <v>0</v>
      </c>
      <c r="H81" s="2699">
        <f t="shared" si="9"/>
        <v>2.1</v>
      </c>
      <c r="I81" s="2699">
        <f t="shared" si="9"/>
        <v>4.2</v>
      </c>
      <c r="J81" s="2699">
        <f t="shared" si="9"/>
        <v>6.3</v>
      </c>
      <c r="K81" s="2699">
        <f t="shared" si="9"/>
        <v>8.4</v>
      </c>
      <c r="L81" s="2699">
        <f t="shared" si="9"/>
        <v>8.4</v>
      </c>
      <c r="M81" s="2699">
        <f t="shared" si="9"/>
        <v>10.5</v>
      </c>
      <c r="N81" s="2699">
        <f t="shared" si="9"/>
        <v>12.6</v>
      </c>
      <c r="O81" s="400"/>
    </row>
    <row r="82" spans="2:16" x14ac:dyDescent="0.2">
      <c r="B82" s="401"/>
      <c r="C82" s="1414"/>
      <c r="D82" s="1415"/>
      <c r="E82" s="1415"/>
      <c r="F82" s="207"/>
      <c r="G82" s="207"/>
      <c r="H82" s="207"/>
      <c r="I82" s="207"/>
      <c r="J82" s="207"/>
      <c r="K82" s="207"/>
      <c r="L82" s="207"/>
      <c r="M82" s="207"/>
      <c r="N82" s="207"/>
      <c r="O82" s="1420"/>
    </row>
    <row r="84" spans="2:16" x14ac:dyDescent="0.2">
      <c r="B84" s="20" t="s">
        <v>354</v>
      </c>
      <c r="C84" s="132"/>
      <c r="F84" s="1427">
        <v>2010</v>
      </c>
      <c r="G84" s="1427">
        <v>2015</v>
      </c>
      <c r="H84" s="1427">
        <v>2020</v>
      </c>
      <c r="I84" s="1427">
        <v>2025</v>
      </c>
      <c r="J84" s="1427">
        <v>2030</v>
      </c>
      <c r="K84" s="1427">
        <v>2035</v>
      </c>
      <c r="L84" s="1427">
        <v>2040</v>
      </c>
      <c r="M84" s="1427">
        <v>2045</v>
      </c>
      <c r="N84" s="1427">
        <v>2050</v>
      </c>
    </row>
    <row r="85" spans="2:16" x14ac:dyDescent="0.2">
      <c r="C85" s="1427" t="s">
        <v>328</v>
      </c>
      <c r="E85" s="2479" t="str">
        <f>Preferences.PowerUnits</f>
        <v>GW</v>
      </c>
      <c r="F85" s="23">
        <f t="shared" ref="F85:N85" si="10">F$81</f>
        <v>0</v>
      </c>
      <c r="G85" s="23">
        <f t="shared" si="10"/>
        <v>0</v>
      </c>
      <c r="H85" s="23">
        <f t="shared" si="10"/>
        <v>2.1</v>
      </c>
      <c r="I85" s="23">
        <f t="shared" si="10"/>
        <v>4.2</v>
      </c>
      <c r="J85" s="23">
        <f t="shared" si="10"/>
        <v>6.3</v>
      </c>
      <c r="K85" s="23">
        <f t="shared" si="10"/>
        <v>8.4</v>
      </c>
      <c r="L85" s="23">
        <f t="shared" si="10"/>
        <v>8.4</v>
      </c>
      <c r="M85" s="23">
        <f t="shared" si="10"/>
        <v>10.5</v>
      </c>
      <c r="N85" s="23">
        <f t="shared" si="10"/>
        <v>12.6</v>
      </c>
    </row>
    <row r="86" spans="2:16" x14ac:dyDescent="0.2">
      <c r="B86" s="2479" t="s">
        <v>345</v>
      </c>
      <c r="C86" s="2479" t="s">
        <v>327</v>
      </c>
      <c r="F86" s="15">
        <f t="shared" ref="F86:N86" si="11">F$38</f>
        <v>0.2</v>
      </c>
      <c r="G86" s="15">
        <f t="shared" si="11"/>
        <v>0.2</v>
      </c>
      <c r="H86" s="15">
        <f t="shared" si="11"/>
        <v>0.2</v>
      </c>
      <c r="I86" s="15">
        <f t="shared" si="11"/>
        <v>0.2</v>
      </c>
      <c r="J86" s="15">
        <f t="shared" si="11"/>
        <v>0.2</v>
      </c>
      <c r="K86" s="15">
        <f t="shared" si="11"/>
        <v>0.2</v>
      </c>
      <c r="L86" s="15">
        <f t="shared" si="11"/>
        <v>0.2</v>
      </c>
      <c r="M86" s="15">
        <f t="shared" si="11"/>
        <v>0.2</v>
      </c>
      <c r="N86" s="15">
        <f t="shared" si="11"/>
        <v>0.2</v>
      </c>
    </row>
    <row r="87" spans="2:16" x14ac:dyDescent="0.2">
      <c r="B87" s="132" t="s">
        <v>346</v>
      </c>
      <c r="C87" s="1427" t="s">
        <v>580</v>
      </c>
      <c r="F87" s="114">
        <f t="shared" ref="F87:N87" si="12">F85*F86</f>
        <v>0</v>
      </c>
      <c r="G87" s="114">
        <f t="shared" si="12"/>
        <v>0</v>
      </c>
      <c r="H87" s="114">
        <f t="shared" si="12"/>
        <v>0.42000000000000004</v>
      </c>
      <c r="I87" s="114">
        <f t="shared" si="12"/>
        <v>0.84000000000000008</v>
      </c>
      <c r="J87" s="114">
        <f t="shared" si="12"/>
        <v>1.26</v>
      </c>
      <c r="K87" s="114">
        <f t="shared" si="12"/>
        <v>1.6800000000000002</v>
      </c>
      <c r="L87" s="114">
        <f t="shared" si="12"/>
        <v>1.6800000000000002</v>
      </c>
      <c r="M87" s="114">
        <f t="shared" si="12"/>
        <v>2.1</v>
      </c>
      <c r="N87" s="114">
        <f t="shared" si="12"/>
        <v>2.52</v>
      </c>
    </row>
    <row r="88" spans="2:16" x14ac:dyDescent="0.2">
      <c r="C88" s="1427" t="s">
        <v>185</v>
      </c>
      <c r="E88" s="2479" t="str">
        <f>Preferences.EnergyUnits</f>
        <v>TWh</v>
      </c>
      <c r="F88" s="114">
        <f t="shared" ref="F88:N88" si="13">F87*Preferences.Unit.Power*Unit.year/Preferences.Unit.Energy</f>
        <v>0</v>
      </c>
      <c r="G88" s="114">
        <f t="shared" si="13"/>
        <v>0</v>
      </c>
      <c r="H88" s="114">
        <f t="shared" si="13"/>
        <v>3.6817200000000003</v>
      </c>
      <c r="I88" s="114">
        <f t="shared" si="13"/>
        <v>7.3634400000000007</v>
      </c>
      <c r="J88" s="114">
        <f t="shared" si="13"/>
        <v>11.045159999999999</v>
      </c>
      <c r="K88" s="114">
        <f t="shared" si="13"/>
        <v>14.726880000000001</v>
      </c>
      <c r="L88" s="114">
        <f t="shared" si="13"/>
        <v>14.726880000000001</v>
      </c>
      <c r="M88" s="114">
        <f t="shared" si="13"/>
        <v>18.4086</v>
      </c>
      <c r="N88" s="114">
        <f t="shared" si="13"/>
        <v>22.090319999999998</v>
      </c>
      <c r="P88" s="114"/>
    </row>
    <row r="89" spans="2:16" x14ac:dyDescent="0.2">
      <c r="C89" s="1427"/>
      <c r="F89" s="114"/>
      <c r="G89" s="114"/>
      <c r="H89" s="114"/>
      <c r="I89" s="114"/>
      <c r="J89" s="114"/>
      <c r="K89" s="114"/>
      <c r="L89" s="114"/>
      <c r="M89" s="114"/>
      <c r="N89" s="114"/>
    </row>
    <row r="90" spans="2:16" x14ac:dyDescent="0.2">
      <c r="B90" s="2479" t="s">
        <v>1274</v>
      </c>
      <c r="C90" s="1427"/>
      <c r="F90" s="114"/>
      <c r="G90" s="114"/>
      <c r="H90" s="114"/>
      <c r="I90" s="114"/>
      <c r="J90" s="114"/>
      <c r="K90" s="114"/>
      <c r="L90" s="114"/>
      <c r="M90" s="114"/>
      <c r="N90" s="114"/>
    </row>
    <row r="91" spans="2:16" x14ac:dyDescent="0.2">
      <c r="C91" s="2479" t="str">
        <f>"Approximate total "&amp;$F$43/Unit.MW&amp;" MW turbines"</f>
        <v>Approximate total 0.5 MW turbines</v>
      </c>
      <c r="E91" s="2479" t="s">
        <v>1275</v>
      </c>
      <c r="F91" s="1262">
        <f t="shared" ref="F91:N91" si="14">F85/$F$43</f>
        <v>0</v>
      </c>
      <c r="G91" s="1262">
        <f t="shared" si="14"/>
        <v>0</v>
      </c>
      <c r="H91" s="1262">
        <f t="shared" si="14"/>
        <v>4200</v>
      </c>
      <c r="I91" s="1262">
        <f t="shared" si="14"/>
        <v>8400</v>
      </c>
      <c r="J91" s="1262">
        <f t="shared" si="14"/>
        <v>12600</v>
      </c>
      <c r="K91" s="1262">
        <f t="shared" si="14"/>
        <v>16800</v>
      </c>
      <c r="L91" s="1262">
        <f t="shared" si="14"/>
        <v>16800</v>
      </c>
      <c r="M91" s="1262">
        <f t="shared" si="14"/>
        <v>21000</v>
      </c>
      <c r="N91" s="1262">
        <f t="shared" si="14"/>
        <v>25200</v>
      </c>
    </row>
    <row r="92" spans="2:16" x14ac:dyDescent="0.2">
      <c r="C92" s="2479" t="str">
        <f>"Approximate build rate of "&amp;$F$43/Unit.MW&amp;" MW turbines"</f>
        <v>Approximate build rate of 0.5 MW turbines</v>
      </c>
      <c r="E92" s="2479" t="s">
        <v>1276</v>
      </c>
      <c r="F92" s="1262">
        <v>0</v>
      </c>
      <c r="G92" s="1262">
        <f>F19/$F$43</f>
        <v>0</v>
      </c>
      <c r="H92" s="1262">
        <f t="shared" ref="H92:N92" si="15">G19/$F$43</f>
        <v>0</v>
      </c>
      <c r="I92" s="1262">
        <f t="shared" si="15"/>
        <v>4200</v>
      </c>
      <c r="J92" s="1262">
        <f t="shared" si="15"/>
        <v>8400</v>
      </c>
      <c r="K92" s="1262">
        <f t="shared" si="15"/>
        <v>12600</v>
      </c>
      <c r="L92" s="1262">
        <f t="shared" si="15"/>
        <v>16800</v>
      </c>
      <c r="M92" s="1262">
        <f t="shared" si="15"/>
        <v>21000</v>
      </c>
      <c r="N92" s="1262">
        <f t="shared" si="15"/>
        <v>25200</v>
      </c>
      <c r="O92" s="1245"/>
    </row>
    <row r="93" spans="2:16" x14ac:dyDescent="0.2">
      <c r="C93" s="2479" t="s">
        <v>1271</v>
      </c>
      <c r="E93" s="2479" t="str">
        <f>Preferences.AreaUnits</f>
        <v>km^2</v>
      </c>
      <c r="F93" s="1262">
        <f t="shared" ref="F93:N93" si="16">F88/$F$44</f>
        <v>0</v>
      </c>
      <c r="G93" s="1262">
        <f t="shared" si="16"/>
        <v>0</v>
      </c>
      <c r="H93" s="1262">
        <f t="shared" si="16"/>
        <v>840</v>
      </c>
      <c r="I93" s="1262">
        <f t="shared" si="16"/>
        <v>1680</v>
      </c>
      <c r="J93" s="1262">
        <f t="shared" si="16"/>
        <v>2519.9999999999995</v>
      </c>
      <c r="K93" s="1262">
        <f t="shared" si="16"/>
        <v>3360</v>
      </c>
      <c r="L93" s="1262">
        <f t="shared" si="16"/>
        <v>3360</v>
      </c>
      <c r="M93" s="1262">
        <f t="shared" si="16"/>
        <v>4199.9999999999991</v>
      </c>
      <c r="N93" s="1262">
        <f t="shared" si="16"/>
        <v>5039.9999999999991</v>
      </c>
      <c r="O93" s="136"/>
    </row>
    <row r="94" spans="2:16" x14ac:dyDescent="0.2">
      <c r="C94" s="1427"/>
      <c r="F94" s="114"/>
      <c r="G94" s="114"/>
      <c r="H94" s="114"/>
      <c r="I94" s="114"/>
      <c r="J94" s="114"/>
      <c r="K94" s="114"/>
      <c r="L94" s="114"/>
      <c r="M94" s="114"/>
      <c r="N94" s="114"/>
    </row>
    <row r="95" spans="2:16" x14ac:dyDescent="0.2">
      <c r="B95" s="2479" t="s">
        <v>1422</v>
      </c>
      <c r="F95" s="1262"/>
      <c r="G95" s="1262"/>
      <c r="H95" s="1262"/>
      <c r="I95" s="1262"/>
      <c r="J95" s="1262"/>
      <c r="K95" s="1262"/>
      <c r="L95" s="1262"/>
      <c r="M95" s="1262"/>
      <c r="N95" s="1262"/>
      <c r="O95" s="136"/>
    </row>
    <row r="96" spans="2:16" x14ac:dyDescent="0.2">
      <c r="C96" s="2479" t="s">
        <v>1418</v>
      </c>
      <c r="E96" s="2479" t="str">
        <f>Preferences.moneyunits</f>
        <v>N</v>
      </c>
      <c r="F96" s="1262">
        <f t="shared" ref="F96:N96" si="17">F92*F$64</f>
        <v>0</v>
      </c>
      <c r="G96" s="1262">
        <f t="shared" si="17"/>
        <v>0</v>
      </c>
      <c r="H96" s="1262">
        <f t="shared" si="17"/>
        <v>0</v>
      </c>
      <c r="I96" s="1262">
        <f t="shared" si="17"/>
        <v>945000000000</v>
      </c>
      <c r="J96" s="1262">
        <f t="shared" si="17"/>
        <v>1890000000000</v>
      </c>
      <c r="K96" s="1262">
        <f t="shared" si="17"/>
        <v>2835000000000</v>
      </c>
      <c r="L96" s="1262">
        <f t="shared" si="17"/>
        <v>3780000000000</v>
      </c>
      <c r="M96" s="1262">
        <f t="shared" si="17"/>
        <v>4725000000000</v>
      </c>
      <c r="N96" s="1262">
        <f t="shared" si="17"/>
        <v>5670000000000</v>
      </c>
      <c r="O96" s="136"/>
    </row>
    <row r="97" spans="1:16" x14ac:dyDescent="0.2">
      <c r="C97" s="2479" t="s">
        <v>1419</v>
      </c>
      <c r="E97" s="2479" t="str">
        <f>Preferences.moneyunits</f>
        <v>N</v>
      </c>
      <c r="F97" s="1262">
        <f t="shared" ref="F97:N97" si="18">F91*F71</f>
        <v>0</v>
      </c>
      <c r="G97" s="1262">
        <f t="shared" si="18"/>
        <v>0</v>
      </c>
      <c r="H97" s="1262">
        <f t="shared" si="18"/>
        <v>11025000000</v>
      </c>
      <c r="I97" s="1262">
        <f t="shared" si="18"/>
        <v>22050000000</v>
      </c>
      <c r="J97" s="1262">
        <f t="shared" si="18"/>
        <v>33075000000</v>
      </c>
      <c r="K97" s="1262">
        <f t="shared" si="18"/>
        <v>44100000000</v>
      </c>
      <c r="L97" s="1262">
        <f t="shared" si="18"/>
        <v>44100000000</v>
      </c>
      <c r="M97" s="1262">
        <f t="shared" si="18"/>
        <v>55125000000</v>
      </c>
      <c r="N97" s="1262">
        <f t="shared" si="18"/>
        <v>66150000000</v>
      </c>
      <c r="O97" s="136"/>
    </row>
    <row r="98" spans="1:16" x14ac:dyDescent="0.2">
      <c r="C98" s="2479" t="s">
        <v>1421</v>
      </c>
      <c r="E98" s="2479" t="str">
        <f>Preferences.moneyunits</f>
        <v>N</v>
      </c>
      <c r="F98" s="1262">
        <f t="shared" ref="F98:N98" si="19">SUM(F96:F97)</f>
        <v>0</v>
      </c>
      <c r="G98" s="1262">
        <f t="shared" si="19"/>
        <v>0</v>
      </c>
      <c r="H98" s="1262">
        <f t="shared" si="19"/>
        <v>11025000000</v>
      </c>
      <c r="I98" s="1262">
        <f t="shared" si="19"/>
        <v>967050000000</v>
      </c>
      <c r="J98" s="1262">
        <f t="shared" si="19"/>
        <v>1923075000000</v>
      </c>
      <c r="K98" s="1262">
        <f t="shared" si="19"/>
        <v>2879100000000</v>
      </c>
      <c r="L98" s="1262">
        <f t="shared" si="19"/>
        <v>3824100000000</v>
      </c>
      <c r="M98" s="1262">
        <f t="shared" si="19"/>
        <v>4780125000000</v>
      </c>
      <c r="N98" s="1262">
        <f t="shared" si="19"/>
        <v>5736150000000</v>
      </c>
      <c r="O98" s="136"/>
    </row>
    <row r="99" spans="1:16" x14ac:dyDescent="0.2">
      <c r="C99" s="1427"/>
      <c r="F99" s="114"/>
      <c r="G99" s="114"/>
      <c r="H99" s="114"/>
      <c r="I99" s="114"/>
      <c r="J99" s="114"/>
      <c r="K99" s="114"/>
      <c r="L99" s="114"/>
      <c r="M99" s="114"/>
      <c r="N99" s="114"/>
    </row>
    <row r="100" spans="1:16" x14ac:dyDescent="0.2">
      <c r="B100" s="2479" t="s">
        <v>1874</v>
      </c>
      <c r="F100" s="1262"/>
      <c r="G100" s="1262"/>
      <c r="H100" s="1262"/>
      <c r="I100" s="1262"/>
      <c r="J100" s="1262"/>
      <c r="K100" s="1262"/>
      <c r="L100" s="1262"/>
      <c r="M100" s="1262"/>
      <c r="N100" s="1262"/>
      <c r="O100" s="136"/>
    </row>
    <row r="101" spans="1:16" x14ac:dyDescent="0.2">
      <c r="C101" s="2479" t="s">
        <v>1418</v>
      </c>
      <c r="E101" s="2479" t="str">
        <f>Preferences.moneyunits</f>
        <v>N</v>
      </c>
      <c r="F101" s="1262">
        <f t="shared" ref="F101:N101" si="20">F92*F$65</f>
        <v>0</v>
      </c>
      <c r="G101" s="1262">
        <f t="shared" si="20"/>
        <v>0</v>
      </c>
      <c r="H101" s="1262">
        <f t="shared" si="20"/>
        <v>0</v>
      </c>
      <c r="I101" s="1262">
        <f t="shared" si="20"/>
        <v>787500000000</v>
      </c>
      <c r="J101" s="1262">
        <f t="shared" si="20"/>
        <v>1575000000000</v>
      </c>
      <c r="K101" s="1262">
        <f t="shared" si="20"/>
        <v>2362500000000</v>
      </c>
      <c r="L101" s="1262">
        <f t="shared" si="20"/>
        <v>3150000000000</v>
      </c>
      <c r="M101" s="1262">
        <f t="shared" si="20"/>
        <v>3937500000000</v>
      </c>
      <c r="N101" s="1262">
        <f t="shared" si="20"/>
        <v>4725000000000</v>
      </c>
      <c r="O101" s="136"/>
    </row>
    <row r="102" spans="1:16" x14ac:dyDescent="0.2">
      <c r="C102" s="2479" t="s">
        <v>1419</v>
      </c>
      <c r="E102" s="2479" t="str">
        <f>Preferences.moneyunits</f>
        <v>N</v>
      </c>
      <c r="F102" s="1262">
        <f t="shared" ref="F102:N102" si="21">F91*F72</f>
        <v>0</v>
      </c>
      <c r="G102" s="1262">
        <f t="shared" si="21"/>
        <v>0</v>
      </c>
      <c r="H102" s="1262">
        <f t="shared" si="21"/>
        <v>9450000000</v>
      </c>
      <c r="I102" s="1262">
        <f t="shared" si="21"/>
        <v>18900000000</v>
      </c>
      <c r="J102" s="1262">
        <f t="shared" si="21"/>
        <v>28350000000</v>
      </c>
      <c r="K102" s="1262">
        <f t="shared" si="21"/>
        <v>37800000000</v>
      </c>
      <c r="L102" s="1262">
        <f t="shared" si="21"/>
        <v>37800000000</v>
      </c>
      <c r="M102" s="1262">
        <f t="shared" si="21"/>
        <v>47250000000</v>
      </c>
      <c r="N102" s="1262">
        <f t="shared" si="21"/>
        <v>56700000000</v>
      </c>
      <c r="O102" s="136"/>
    </row>
    <row r="103" spans="1:16" x14ac:dyDescent="0.2">
      <c r="C103" s="2479" t="s">
        <v>1421</v>
      </c>
      <c r="E103" s="2479" t="str">
        <f>Preferences.moneyunits</f>
        <v>N</v>
      </c>
      <c r="F103" s="1262">
        <f t="shared" ref="F103:N103" si="22">SUM(F101:F102)</f>
        <v>0</v>
      </c>
      <c r="G103" s="1262">
        <f t="shared" si="22"/>
        <v>0</v>
      </c>
      <c r="H103" s="1262">
        <f t="shared" si="22"/>
        <v>9450000000</v>
      </c>
      <c r="I103" s="1262">
        <f t="shared" si="22"/>
        <v>806400000000</v>
      </c>
      <c r="J103" s="1262">
        <f t="shared" si="22"/>
        <v>1603350000000</v>
      </c>
      <c r="K103" s="1262">
        <f t="shared" si="22"/>
        <v>2400300000000</v>
      </c>
      <c r="L103" s="1262">
        <f t="shared" si="22"/>
        <v>3187800000000</v>
      </c>
      <c r="M103" s="1262">
        <f t="shared" si="22"/>
        <v>3984750000000</v>
      </c>
      <c r="N103" s="1262">
        <f t="shared" si="22"/>
        <v>4781700000000</v>
      </c>
      <c r="O103" s="136"/>
    </row>
    <row r="104" spans="1:16" x14ac:dyDescent="0.2">
      <c r="F104" s="1262"/>
      <c r="G104" s="1262"/>
      <c r="H104" s="1262"/>
      <c r="I104" s="1262"/>
      <c r="J104" s="1262"/>
      <c r="K104" s="1262"/>
      <c r="L104" s="1262"/>
      <c r="M104" s="1262"/>
      <c r="N104" s="1262"/>
      <c r="O104" s="136"/>
    </row>
    <row r="105" spans="1:16" x14ac:dyDescent="0.2">
      <c r="B105" s="2479" t="s">
        <v>1420</v>
      </c>
      <c r="F105" s="1262"/>
      <c r="G105" s="1262"/>
      <c r="H105" s="1262"/>
      <c r="I105" s="1262"/>
      <c r="J105" s="1262"/>
      <c r="K105" s="1262"/>
      <c r="L105" s="1262"/>
      <c r="M105" s="1262"/>
      <c r="N105" s="1262"/>
      <c r="O105" s="136"/>
    </row>
    <row r="106" spans="1:16" x14ac:dyDescent="0.2">
      <c r="C106" s="2479" t="s">
        <v>1418</v>
      </c>
      <c r="E106" s="2479" t="str">
        <f>Preferences.moneyunits</f>
        <v>N</v>
      </c>
      <c r="F106" s="1262">
        <f t="shared" ref="F106:N106" si="23">F92*F$66</f>
        <v>0</v>
      </c>
      <c r="G106" s="1262">
        <f t="shared" si="23"/>
        <v>0</v>
      </c>
      <c r="H106" s="1262">
        <f t="shared" si="23"/>
        <v>0</v>
      </c>
      <c r="I106" s="1262">
        <f t="shared" si="23"/>
        <v>630000000000</v>
      </c>
      <c r="J106" s="1262">
        <f t="shared" si="23"/>
        <v>1260000000000</v>
      </c>
      <c r="K106" s="1262">
        <f t="shared" si="23"/>
        <v>1890000000000</v>
      </c>
      <c r="L106" s="1262">
        <f t="shared" si="23"/>
        <v>2520000000000</v>
      </c>
      <c r="M106" s="1262">
        <f t="shared" si="23"/>
        <v>3150000000000</v>
      </c>
      <c r="N106" s="1262">
        <f t="shared" si="23"/>
        <v>3780000000000</v>
      </c>
      <c r="O106" s="136"/>
    </row>
    <row r="107" spans="1:16" x14ac:dyDescent="0.2">
      <c r="C107" s="2479" t="s">
        <v>1419</v>
      </c>
      <c r="E107" s="2479" t="str">
        <f>Preferences.moneyunits</f>
        <v>N</v>
      </c>
      <c r="F107" s="1262">
        <f t="shared" ref="F107:N107" si="24">F91*F73</f>
        <v>0</v>
      </c>
      <c r="G107" s="1262">
        <f t="shared" si="24"/>
        <v>0</v>
      </c>
      <c r="H107" s="1262">
        <f t="shared" si="24"/>
        <v>7875000000</v>
      </c>
      <c r="I107" s="1262">
        <f t="shared" si="24"/>
        <v>15750000000</v>
      </c>
      <c r="J107" s="1262">
        <f t="shared" si="24"/>
        <v>23625000000</v>
      </c>
      <c r="K107" s="1262">
        <f t="shared" si="24"/>
        <v>31500000000</v>
      </c>
      <c r="L107" s="1262">
        <f t="shared" si="24"/>
        <v>31500000000</v>
      </c>
      <c r="M107" s="1262">
        <f t="shared" si="24"/>
        <v>39375000000</v>
      </c>
      <c r="N107" s="1262">
        <f t="shared" si="24"/>
        <v>47250000000</v>
      </c>
      <c r="O107" s="136"/>
    </row>
    <row r="108" spans="1:16" collapsed="1" x14ac:dyDescent="0.2">
      <c r="C108" s="2479" t="s">
        <v>1421</v>
      </c>
      <c r="E108" s="2479" t="str">
        <f>Preferences.moneyunits</f>
        <v>N</v>
      </c>
      <c r="F108" s="1262">
        <f t="shared" ref="F108:N108" si="25">SUM(F106:F107)</f>
        <v>0</v>
      </c>
      <c r="G108" s="1262">
        <f t="shared" si="25"/>
        <v>0</v>
      </c>
      <c r="H108" s="1262">
        <f t="shared" si="25"/>
        <v>7875000000</v>
      </c>
      <c r="I108" s="1262">
        <f t="shared" si="25"/>
        <v>645750000000</v>
      </c>
      <c r="J108" s="1262">
        <f t="shared" si="25"/>
        <v>1283625000000</v>
      </c>
      <c r="K108" s="1262">
        <f t="shared" si="25"/>
        <v>1921500000000</v>
      </c>
      <c r="L108" s="1262">
        <f t="shared" si="25"/>
        <v>2551500000000</v>
      </c>
      <c r="M108" s="1262">
        <f t="shared" si="25"/>
        <v>3189375000000</v>
      </c>
      <c r="N108" s="1262">
        <f t="shared" si="25"/>
        <v>3827250000000</v>
      </c>
      <c r="O108" s="136"/>
    </row>
    <row r="110" spans="1:16" ht="22.5" x14ac:dyDescent="0.3">
      <c r="A110" s="1422"/>
      <c r="B110" s="468" t="s">
        <v>236</v>
      </c>
      <c r="C110" s="421"/>
      <c r="D110" s="421"/>
      <c r="E110" s="421"/>
      <c r="F110" s="421"/>
      <c r="G110" s="421"/>
      <c r="H110" s="421"/>
      <c r="I110" s="421"/>
      <c r="J110" s="421"/>
      <c r="K110" s="421"/>
      <c r="L110" s="421"/>
      <c r="M110" s="421"/>
      <c r="N110" s="421"/>
      <c r="O110" s="421"/>
      <c r="P110" s="423"/>
    </row>
    <row r="111" spans="1:16" ht="6" customHeight="1" x14ac:dyDescent="0.2">
      <c r="B111" s="410"/>
      <c r="C111" s="412"/>
      <c r="D111" s="412"/>
      <c r="E111" s="412"/>
      <c r="F111" s="412"/>
      <c r="G111" s="412"/>
      <c r="H111" s="412"/>
      <c r="I111" s="412"/>
      <c r="J111" s="412"/>
      <c r="K111" s="412"/>
      <c r="L111" s="412"/>
      <c r="M111" s="412"/>
      <c r="N111" s="412"/>
      <c r="O111" s="412"/>
      <c r="P111" s="414"/>
    </row>
    <row r="112" spans="1:16" x14ac:dyDescent="0.2">
      <c r="B112" s="410"/>
      <c r="C112" s="424" t="s">
        <v>277</v>
      </c>
      <c r="D112" s="412"/>
      <c r="E112" s="413"/>
      <c r="F112" s="412"/>
      <c r="G112" s="413"/>
      <c r="H112" s="412"/>
      <c r="I112" s="412"/>
      <c r="J112" s="412"/>
      <c r="K112" s="412"/>
      <c r="L112" s="412"/>
      <c r="M112" s="412"/>
      <c r="N112" s="412"/>
      <c r="O112" s="1749" t="str">
        <f>Preferences.EnergyUnits</f>
        <v>TWh</v>
      </c>
      <c r="P112" s="414"/>
    </row>
    <row r="113" spans="1:16" ht="4.5" customHeight="1" x14ac:dyDescent="0.2">
      <c r="B113" s="410"/>
      <c r="C113" s="412"/>
      <c r="D113" s="412"/>
      <c r="E113" s="412"/>
      <c r="F113" s="412"/>
      <c r="G113" s="412"/>
      <c r="H113" s="412"/>
      <c r="I113" s="412"/>
      <c r="J113" s="412"/>
      <c r="K113" s="412"/>
      <c r="L113" s="412"/>
      <c r="M113" s="412"/>
      <c r="N113" s="412"/>
      <c r="O113" s="412"/>
      <c r="P113" s="414"/>
    </row>
    <row r="114" spans="1:16" ht="15.75" x14ac:dyDescent="0.25">
      <c r="A114" s="3"/>
      <c r="B114" s="415"/>
      <c r="C114" s="426" t="s">
        <v>64</v>
      </c>
      <c r="D114" s="426" t="s">
        <v>150</v>
      </c>
      <c r="E114" s="426" t="s">
        <v>172</v>
      </c>
      <c r="F114" s="426" t="s">
        <v>241</v>
      </c>
      <c r="G114" s="426" t="s">
        <v>268</v>
      </c>
      <c r="H114" s="426" t="s">
        <v>269</v>
      </c>
      <c r="I114" s="426" t="s">
        <v>270</v>
      </c>
      <c r="J114" s="426" t="s">
        <v>271</v>
      </c>
      <c r="K114" s="426" t="s">
        <v>272</v>
      </c>
      <c r="L114" s="426" t="s">
        <v>273</v>
      </c>
      <c r="M114" s="426" t="s">
        <v>274</v>
      </c>
      <c r="N114" s="426" t="s">
        <v>275</v>
      </c>
      <c r="O114" s="414"/>
    </row>
    <row r="115" spans="1:16" ht="15.75" x14ac:dyDescent="0.25">
      <c r="A115" s="3"/>
      <c r="B115" s="415"/>
      <c r="C115" s="97" t="s">
        <v>35</v>
      </c>
      <c r="D115" s="97" t="str">
        <f>INDEX(Vectors[Description], MATCH(III.a.1.Outputs[Vector],Vectors[Code], 0))</f>
        <v>Electricity (supplied to grid)</v>
      </c>
      <c r="E115" s="97"/>
      <c r="F115" s="241">
        <f t="shared" ref="F115:N115" si="26">F$88</f>
        <v>0</v>
      </c>
      <c r="G115" s="241">
        <f t="shared" si="26"/>
        <v>0</v>
      </c>
      <c r="H115" s="241">
        <f t="shared" si="26"/>
        <v>3.6817200000000003</v>
      </c>
      <c r="I115" s="241">
        <f t="shared" si="26"/>
        <v>7.3634400000000007</v>
      </c>
      <c r="J115" s="241">
        <f t="shared" si="26"/>
        <v>11.045159999999999</v>
      </c>
      <c r="K115" s="241">
        <f t="shared" si="26"/>
        <v>14.726880000000001</v>
      </c>
      <c r="L115" s="241">
        <f t="shared" si="26"/>
        <v>14.726880000000001</v>
      </c>
      <c r="M115" s="241">
        <f t="shared" si="26"/>
        <v>18.4086</v>
      </c>
      <c r="N115" s="1010">
        <f t="shared" si="26"/>
        <v>22.090319999999998</v>
      </c>
      <c r="O115" s="414"/>
    </row>
    <row r="116" spans="1:16" ht="15.75" x14ac:dyDescent="0.25">
      <c r="A116" s="3"/>
      <c r="B116" s="415"/>
      <c r="C116" s="97" t="s">
        <v>7</v>
      </c>
      <c r="D116" s="97" t="str">
        <f>INDEX(Vectors[Description], MATCH(III.a.1.Outputs[Vector],Vectors[Code], 0))</f>
        <v>Wind</v>
      </c>
      <c r="E116" s="97"/>
      <c r="F116" s="241">
        <f t="shared" ref="F116:N116" si="27">-F$88</f>
        <v>0</v>
      </c>
      <c r="G116" s="241">
        <f t="shared" si="27"/>
        <v>0</v>
      </c>
      <c r="H116" s="241">
        <f t="shared" si="27"/>
        <v>-3.6817200000000003</v>
      </c>
      <c r="I116" s="241">
        <f t="shared" si="27"/>
        <v>-7.3634400000000007</v>
      </c>
      <c r="J116" s="241">
        <f t="shared" si="27"/>
        <v>-11.045159999999999</v>
      </c>
      <c r="K116" s="241">
        <f t="shared" si="27"/>
        <v>-14.726880000000001</v>
      </c>
      <c r="L116" s="241">
        <f t="shared" si="27"/>
        <v>-14.726880000000001</v>
      </c>
      <c r="M116" s="241">
        <f t="shared" si="27"/>
        <v>-18.4086</v>
      </c>
      <c r="N116" s="241">
        <f t="shared" si="27"/>
        <v>-22.090319999999998</v>
      </c>
      <c r="O116" s="414"/>
    </row>
    <row r="117" spans="1:16" ht="15.75" x14ac:dyDescent="0.25">
      <c r="A117" s="3"/>
      <c r="B117" s="415"/>
      <c r="C117" s="97" t="s">
        <v>105</v>
      </c>
      <c r="D117" s="97"/>
      <c r="E117" s="97"/>
      <c r="F117" s="529">
        <f>SUBTOTAL(109,III.a.1.Outputs[2010])</f>
        <v>0</v>
      </c>
      <c r="G117" s="529">
        <f>SUBTOTAL(109,III.a.1.Outputs[2015])</f>
        <v>0</v>
      </c>
      <c r="H117" s="529">
        <f>SUBTOTAL(109,III.a.1.Outputs[2020])</f>
        <v>0</v>
      </c>
      <c r="I117" s="529">
        <f>SUBTOTAL(109,III.a.1.Outputs[2025])</f>
        <v>0</v>
      </c>
      <c r="J117" s="529">
        <f>SUBTOTAL(109,III.a.1.Outputs[2030])</f>
        <v>0</v>
      </c>
      <c r="K117" s="529">
        <f>SUBTOTAL(109,III.a.1.Outputs[2035])</f>
        <v>0</v>
      </c>
      <c r="L117" s="529">
        <f>SUBTOTAL(109,III.a.1.Outputs[2040])</f>
        <v>0</v>
      </c>
      <c r="M117" s="529">
        <f>SUBTOTAL(109,III.a.1.Outputs[2045])</f>
        <v>0</v>
      </c>
      <c r="N117" s="529">
        <f>SUBTOTAL(109,III.a.1.Outputs[2050])</f>
        <v>0</v>
      </c>
      <c r="O117" s="414"/>
    </row>
    <row r="118" spans="1:16" ht="21.75" customHeight="1" collapsed="1" x14ac:dyDescent="0.25">
      <c r="A118" s="3"/>
      <c r="B118" s="416"/>
      <c r="C118" s="417"/>
      <c r="D118" s="417"/>
      <c r="E118" s="417"/>
      <c r="F118" s="417"/>
      <c r="G118" s="417"/>
      <c r="H118" s="417"/>
      <c r="I118" s="417"/>
      <c r="J118" s="417"/>
      <c r="K118" s="417"/>
      <c r="L118" s="417"/>
      <c r="M118" s="417"/>
      <c r="N118" s="417"/>
      <c r="O118" s="417"/>
      <c r="P118" s="419"/>
    </row>
    <row r="120" spans="1:16" ht="15.75" x14ac:dyDescent="0.2">
      <c r="B120" s="1430" t="s">
        <v>1225</v>
      </c>
      <c r="C120" s="1218"/>
      <c r="D120" s="1431"/>
      <c r="E120" s="1431"/>
      <c r="F120" s="1431"/>
      <c r="G120" s="1431"/>
      <c r="H120" s="1431"/>
      <c r="I120" s="1431"/>
      <c r="J120" s="1431"/>
      <c r="K120" s="1431"/>
      <c r="L120" s="1431"/>
      <c r="M120" s="1431"/>
      <c r="N120" s="1431"/>
      <c r="O120" s="1431"/>
      <c r="P120" s="1432"/>
    </row>
    <row r="121" spans="1:16" x14ac:dyDescent="0.2">
      <c r="B121" s="1219"/>
      <c r="C121" s="1220"/>
      <c r="D121" s="1220"/>
      <c r="E121" s="1220"/>
      <c r="F121" s="1220"/>
      <c r="G121" s="1220"/>
      <c r="H121" s="1220"/>
      <c r="I121" s="1220"/>
      <c r="J121" s="1220"/>
      <c r="K121" s="1220"/>
      <c r="L121" s="1220"/>
      <c r="M121" s="1220"/>
      <c r="N121" s="1220"/>
      <c r="O121" s="1220"/>
      <c r="P121" s="1221"/>
    </row>
    <row r="122" spans="1:16" x14ac:dyDescent="0.2">
      <c r="B122" s="1433"/>
      <c r="C122" s="1222" t="s">
        <v>1230</v>
      </c>
      <c r="D122" s="1434"/>
      <c r="E122" s="1223"/>
      <c r="F122" s="1434"/>
      <c r="G122" s="1223"/>
      <c r="H122" s="1434"/>
      <c r="I122" s="1434"/>
      <c r="J122" s="1434"/>
      <c r="K122" s="1434"/>
      <c r="L122" s="1434"/>
      <c r="M122" s="1434"/>
      <c r="N122" s="1434"/>
      <c r="O122" s="1223"/>
      <c r="P122" s="1435"/>
    </row>
    <row r="123" spans="1:16" ht="4.5" customHeight="1" x14ac:dyDescent="0.2">
      <c r="B123" s="1433"/>
      <c r="C123" s="1434"/>
      <c r="D123" s="1434"/>
      <c r="E123" s="1434"/>
      <c r="F123" s="1434"/>
      <c r="G123" s="1434"/>
      <c r="H123" s="1434"/>
      <c r="I123" s="1434"/>
      <c r="J123" s="1434"/>
      <c r="K123" s="1434"/>
      <c r="L123" s="1434"/>
      <c r="M123" s="1434"/>
      <c r="N123" s="1434"/>
      <c r="O123" s="1434"/>
      <c r="P123" s="1435"/>
    </row>
    <row r="124" spans="1:16" ht="15.75" x14ac:dyDescent="0.25">
      <c r="B124" s="1436"/>
      <c r="C124" s="1437" t="s">
        <v>64</v>
      </c>
      <c r="D124" s="1437" t="s">
        <v>1226</v>
      </c>
      <c r="E124" s="1437" t="s">
        <v>172</v>
      </c>
      <c r="F124" s="1437" t="s">
        <v>241</v>
      </c>
      <c r="G124" s="1437" t="s">
        <v>268</v>
      </c>
      <c r="H124" s="1437" t="s">
        <v>269</v>
      </c>
      <c r="I124" s="1437" t="s">
        <v>270</v>
      </c>
      <c r="J124" s="1437" t="s">
        <v>271</v>
      </c>
      <c r="K124" s="1437" t="s">
        <v>272</v>
      </c>
      <c r="L124" s="1437" t="s">
        <v>273</v>
      </c>
      <c r="M124" s="1437" t="s">
        <v>274</v>
      </c>
      <c r="N124" s="1437" t="s">
        <v>275</v>
      </c>
      <c r="O124" s="1435"/>
    </row>
    <row r="125" spans="1:16" ht="15.75" x14ac:dyDescent="0.25">
      <c r="B125" s="1436"/>
      <c r="C125" s="1438" t="s">
        <v>1227</v>
      </c>
      <c r="D125" s="1438" t="str">
        <f>"onshore wind if "&amp;ROUND($F$44*Unit.m2/(Unit.W*Conversion.to.annual.energy),1)&amp;" W/m2"</f>
        <v>onshore wind if 0.5 W/m2</v>
      </c>
      <c r="E125" s="1439" t="str">
        <f>Preferences.AreaUnits</f>
        <v>km^2</v>
      </c>
      <c r="F125" s="1226">
        <f t="shared" ref="F125:N125" si="28">F93</f>
        <v>0</v>
      </c>
      <c r="G125" s="1226">
        <f t="shared" si="28"/>
        <v>0</v>
      </c>
      <c r="H125" s="1226">
        <f t="shared" si="28"/>
        <v>840</v>
      </c>
      <c r="I125" s="1226">
        <f t="shared" si="28"/>
        <v>1680</v>
      </c>
      <c r="J125" s="1226">
        <f t="shared" si="28"/>
        <v>2519.9999999999995</v>
      </c>
      <c r="K125" s="1226">
        <f t="shared" si="28"/>
        <v>3360</v>
      </c>
      <c r="L125" s="1226">
        <f t="shared" si="28"/>
        <v>3360</v>
      </c>
      <c r="M125" s="1226">
        <f t="shared" si="28"/>
        <v>4199.9999999999991</v>
      </c>
      <c r="N125" s="1226">
        <f t="shared" si="28"/>
        <v>5039.9999999999991</v>
      </c>
      <c r="O125" s="1435"/>
    </row>
    <row r="126" spans="1:16" ht="15.75" x14ac:dyDescent="0.25">
      <c r="B126" s="1436"/>
      <c r="C126" s="1438" t="s">
        <v>1232</v>
      </c>
      <c r="D126" s="1438" t="s">
        <v>1272</v>
      </c>
      <c r="E126" s="1439" t="str">
        <f>Preferences.PowerUnits</f>
        <v>GW</v>
      </c>
      <c r="F126" s="1226">
        <f t="shared" ref="F126:N126" si="29">F81</f>
        <v>0</v>
      </c>
      <c r="G126" s="1226">
        <f t="shared" si="29"/>
        <v>0</v>
      </c>
      <c r="H126" s="1226">
        <f t="shared" si="29"/>
        <v>2.1</v>
      </c>
      <c r="I126" s="1226">
        <f t="shared" si="29"/>
        <v>4.2</v>
      </c>
      <c r="J126" s="1226">
        <f t="shared" si="29"/>
        <v>6.3</v>
      </c>
      <c r="K126" s="1226">
        <f t="shared" si="29"/>
        <v>8.4</v>
      </c>
      <c r="L126" s="1226">
        <f t="shared" si="29"/>
        <v>8.4</v>
      </c>
      <c r="M126" s="1226">
        <f t="shared" si="29"/>
        <v>10.5</v>
      </c>
      <c r="N126" s="1226">
        <f t="shared" si="29"/>
        <v>12.6</v>
      </c>
      <c r="O126" s="1435"/>
    </row>
    <row r="127" spans="1:16" ht="15.75" x14ac:dyDescent="0.25">
      <c r="B127" s="1436"/>
      <c r="C127" s="1438" t="s">
        <v>1233</v>
      </c>
      <c r="D127" s="1438" t="str">
        <f>"Approximate number if "&amp;$F$43/Unit.MW&amp;" MW turbines"</f>
        <v>Approximate number if 0.5 MW turbines</v>
      </c>
      <c r="E127" s="1438" t="s">
        <v>1275</v>
      </c>
      <c r="F127" s="2481">
        <f t="shared" ref="F127:N127" si="30">F91</f>
        <v>0</v>
      </c>
      <c r="G127" s="2481">
        <f t="shared" si="30"/>
        <v>0</v>
      </c>
      <c r="H127" s="2481">
        <f t="shared" si="30"/>
        <v>4200</v>
      </c>
      <c r="I127" s="2481">
        <f t="shared" si="30"/>
        <v>8400</v>
      </c>
      <c r="J127" s="2481">
        <f t="shared" si="30"/>
        <v>12600</v>
      </c>
      <c r="K127" s="2481">
        <f t="shared" si="30"/>
        <v>16800</v>
      </c>
      <c r="L127" s="2481">
        <f t="shared" si="30"/>
        <v>16800</v>
      </c>
      <c r="M127" s="2481">
        <f t="shared" si="30"/>
        <v>21000</v>
      </c>
      <c r="N127" s="2481">
        <f t="shared" si="30"/>
        <v>25200</v>
      </c>
      <c r="O127" s="1435"/>
    </row>
    <row r="128" spans="1:16" ht="15.75" x14ac:dyDescent="0.25">
      <c r="B128" s="1227"/>
      <c r="C128" s="1440"/>
      <c r="D128" s="1440"/>
      <c r="E128" s="1440"/>
      <c r="F128" s="1440"/>
      <c r="G128" s="1440"/>
      <c r="H128" s="1440"/>
      <c r="I128" s="1440"/>
      <c r="J128" s="1440"/>
      <c r="K128" s="1440"/>
      <c r="L128" s="1440"/>
      <c r="M128" s="1440"/>
      <c r="N128" s="1440"/>
      <c r="O128" s="1440"/>
      <c r="P128" s="1224"/>
    </row>
    <row r="130" spans="2:16" ht="15.75" customHeight="1" x14ac:dyDescent="0.2">
      <c r="B130" s="1430" t="s">
        <v>1424</v>
      </c>
      <c r="C130" s="1431"/>
      <c r="D130" s="1431"/>
      <c r="E130" s="1431"/>
      <c r="F130" s="1431"/>
      <c r="G130" s="1431"/>
      <c r="H130" s="1431"/>
      <c r="I130" s="1431"/>
      <c r="J130" s="1431"/>
      <c r="K130" s="1431"/>
      <c r="L130" s="1431"/>
      <c r="M130" s="1431"/>
      <c r="N130" s="1431"/>
      <c r="O130" s="1431"/>
      <c r="P130" s="1432"/>
    </row>
    <row r="131" spans="2:16" ht="5.25" customHeight="1" x14ac:dyDescent="0.2">
      <c r="B131" s="1433"/>
      <c r="C131" s="1434"/>
      <c r="D131" s="1434"/>
      <c r="E131" s="1434"/>
      <c r="F131" s="1434"/>
      <c r="G131" s="1434"/>
      <c r="H131" s="1434"/>
      <c r="I131" s="1434"/>
      <c r="J131" s="1434"/>
      <c r="K131" s="1434"/>
      <c r="L131" s="1434"/>
      <c r="M131" s="1434"/>
      <c r="N131" s="1434"/>
      <c r="O131" s="1434"/>
      <c r="P131" s="1435"/>
    </row>
    <row r="132" spans="2:16" x14ac:dyDescent="0.2">
      <c r="B132" s="1433"/>
      <c r="C132" s="1441" t="s">
        <v>1425</v>
      </c>
      <c r="D132" s="1442"/>
      <c r="E132" s="1442"/>
      <c r="F132" s="1442"/>
      <c r="G132" s="1442"/>
      <c r="H132" s="1442"/>
      <c r="I132" s="1442"/>
      <c r="J132" s="1442"/>
      <c r="K132" s="1442"/>
      <c r="L132" s="1442"/>
      <c r="M132" s="1442"/>
      <c r="N132" s="1442"/>
      <c r="O132" s="1442"/>
      <c r="P132" s="1435"/>
    </row>
    <row r="133" spans="2:16" ht="12.75" customHeight="1" x14ac:dyDescent="0.2">
      <c r="B133" s="1433"/>
      <c r="C133" s="1434"/>
      <c r="D133" s="1434"/>
      <c r="E133" s="1434"/>
      <c r="F133" s="1442"/>
      <c r="G133" s="1442"/>
      <c r="H133" s="1442"/>
      <c r="I133" s="1442"/>
      <c r="J133" s="1442"/>
      <c r="K133" s="1442"/>
      <c r="L133" s="1442"/>
      <c r="M133" s="1442"/>
      <c r="N133" s="1442"/>
      <c r="O133" s="1442"/>
      <c r="P133" s="1435"/>
    </row>
    <row r="134" spans="2:16" ht="15.75" x14ac:dyDescent="0.25">
      <c r="B134" s="1436"/>
      <c r="C134" s="1437" t="s">
        <v>64</v>
      </c>
      <c r="D134" s="1437" t="s">
        <v>150</v>
      </c>
      <c r="E134" s="1437" t="s">
        <v>172</v>
      </c>
      <c r="F134" s="1437" t="s">
        <v>241</v>
      </c>
      <c r="G134" s="1437" t="s">
        <v>268</v>
      </c>
      <c r="H134" s="1437" t="s">
        <v>269</v>
      </c>
      <c r="I134" s="1437" t="s">
        <v>270</v>
      </c>
      <c r="J134" s="1437" t="s">
        <v>271</v>
      </c>
      <c r="K134" s="1437" t="s">
        <v>272</v>
      </c>
      <c r="L134" s="1437" t="s">
        <v>273</v>
      </c>
      <c r="M134" s="1437" t="s">
        <v>274</v>
      </c>
      <c r="N134" s="1437" t="s">
        <v>275</v>
      </c>
      <c r="O134" s="1443"/>
    </row>
    <row r="135" spans="2:16" ht="15.75" x14ac:dyDescent="0.25">
      <c r="B135" s="1436"/>
      <c r="C135" s="1438" t="s">
        <v>1382</v>
      </c>
      <c r="D135" s="1439" t="str">
        <f>INDEX(CostVectors[Description], MATCH(C135, CostVectors[Code], 0))</f>
        <v>Low estimate of capital costs</v>
      </c>
      <c r="E135" s="1439"/>
      <c r="F135" s="1448">
        <f t="shared" ref="F135:N135" si="31">F106</f>
        <v>0</v>
      </c>
      <c r="G135" s="1448">
        <f t="shared" si="31"/>
        <v>0</v>
      </c>
      <c r="H135" s="1448">
        <f t="shared" si="31"/>
        <v>0</v>
      </c>
      <c r="I135" s="1448">
        <f t="shared" si="31"/>
        <v>630000000000</v>
      </c>
      <c r="J135" s="1448">
        <f t="shared" si="31"/>
        <v>1260000000000</v>
      </c>
      <c r="K135" s="1448">
        <f t="shared" si="31"/>
        <v>1890000000000</v>
      </c>
      <c r="L135" s="1448">
        <f t="shared" si="31"/>
        <v>2520000000000</v>
      </c>
      <c r="M135" s="1448">
        <f t="shared" si="31"/>
        <v>3150000000000</v>
      </c>
      <c r="N135" s="1448">
        <f t="shared" si="31"/>
        <v>3780000000000</v>
      </c>
      <c r="O135" s="1443"/>
    </row>
    <row r="136" spans="2:16" ht="15.75" x14ac:dyDescent="0.25">
      <c r="B136" s="1436"/>
      <c r="C136" s="1438" t="s">
        <v>1384</v>
      </c>
      <c r="D136" s="1439" t="str">
        <f>INDEX(CostVectors[Description], MATCH(C136, CostVectors[Code], 0))</f>
        <v>Low estimate of operating costs</v>
      </c>
      <c r="E136" s="1439"/>
      <c r="F136" s="1448">
        <f t="shared" ref="F136:N136" si="32">F107</f>
        <v>0</v>
      </c>
      <c r="G136" s="1448">
        <f t="shared" si="32"/>
        <v>0</v>
      </c>
      <c r="H136" s="1448">
        <f t="shared" si="32"/>
        <v>7875000000</v>
      </c>
      <c r="I136" s="1448">
        <f t="shared" si="32"/>
        <v>15750000000</v>
      </c>
      <c r="J136" s="1448">
        <f t="shared" si="32"/>
        <v>23625000000</v>
      </c>
      <c r="K136" s="1448">
        <f t="shared" si="32"/>
        <v>31500000000</v>
      </c>
      <c r="L136" s="1448">
        <f t="shared" si="32"/>
        <v>31500000000</v>
      </c>
      <c r="M136" s="1448">
        <f t="shared" si="32"/>
        <v>39375000000</v>
      </c>
      <c r="N136" s="1448">
        <f t="shared" si="32"/>
        <v>47250000000</v>
      </c>
      <c r="O136" s="1443"/>
    </row>
    <row r="137" spans="2:16" ht="15.75" x14ac:dyDescent="0.25">
      <c r="B137" s="1436"/>
      <c r="C137" s="1438" t="s">
        <v>1866</v>
      </c>
      <c r="D137" s="1439" t="str">
        <f>INDEX(CostVectors[Description], MATCH(C137, CostVectors[Code], 0))</f>
        <v>Point estimate of capital costs</v>
      </c>
      <c r="E137" s="1439"/>
      <c r="F137" s="1448">
        <f t="shared" ref="F137:N138" si="33">F101</f>
        <v>0</v>
      </c>
      <c r="G137" s="1448">
        <f t="shared" si="33"/>
        <v>0</v>
      </c>
      <c r="H137" s="1448">
        <f t="shared" si="33"/>
        <v>0</v>
      </c>
      <c r="I137" s="1448">
        <f t="shared" si="33"/>
        <v>787500000000</v>
      </c>
      <c r="J137" s="1448">
        <f t="shared" si="33"/>
        <v>1575000000000</v>
      </c>
      <c r="K137" s="1448">
        <f t="shared" si="33"/>
        <v>2362500000000</v>
      </c>
      <c r="L137" s="1448">
        <f t="shared" si="33"/>
        <v>3150000000000</v>
      </c>
      <c r="M137" s="1448">
        <f t="shared" si="33"/>
        <v>3937500000000</v>
      </c>
      <c r="N137" s="1448">
        <f t="shared" si="33"/>
        <v>4725000000000</v>
      </c>
      <c r="O137" s="1443"/>
    </row>
    <row r="138" spans="2:16" ht="15.75" x14ac:dyDescent="0.25">
      <c r="B138" s="1436"/>
      <c r="C138" s="1438" t="s">
        <v>1868</v>
      </c>
      <c r="D138" s="1439" t="str">
        <f>INDEX(CostVectors[Description], MATCH(C138, CostVectors[Code], 0))</f>
        <v>Point estimate of operating costs</v>
      </c>
      <c r="E138" s="1439"/>
      <c r="F138" s="1448">
        <f t="shared" si="33"/>
        <v>0</v>
      </c>
      <c r="G138" s="1448">
        <f t="shared" si="33"/>
        <v>0</v>
      </c>
      <c r="H138" s="1448">
        <f t="shared" si="33"/>
        <v>9450000000</v>
      </c>
      <c r="I138" s="1448">
        <f t="shared" si="33"/>
        <v>18900000000</v>
      </c>
      <c r="J138" s="1448">
        <f t="shared" si="33"/>
        <v>28350000000</v>
      </c>
      <c r="K138" s="1448">
        <f t="shared" si="33"/>
        <v>37800000000</v>
      </c>
      <c r="L138" s="1448">
        <f t="shared" si="33"/>
        <v>37800000000</v>
      </c>
      <c r="M138" s="1448">
        <f t="shared" si="33"/>
        <v>47250000000</v>
      </c>
      <c r="N138" s="1448">
        <f t="shared" si="33"/>
        <v>56700000000</v>
      </c>
      <c r="O138" s="1443"/>
    </row>
    <row r="139" spans="2:16" ht="14.25" x14ac:dyDescent="0.2">
      <c r="B139" s="1444"/>
      <c r="C139" s="1438" t="s">
        <v>1391</v>
      </c>
      <c r="D139" s="1439" t="str">
        <f>INDEX(CostVectors[Description], MATCH(C139, CostVectors[Code], 0))</f>
        <v>High estimate of capital costs</v>
      </c>
      <c r="E139" s="1439"/>
      <c r="F139" s="1448">
        <f t="shared" ref="F139:N139" si="34">F96</f>
        <v>0</v>
      </c>
      <c r="G139" s="1448">
        <f t="shared" si="34"/>
        <v>0</v>
      </c>
      <c r="H139" s="1448">
        <f t="shared" si="34"/>
        <v>0</v>
      </c>
      <c r="I139" s="1448">
        <f t="shared" si="34"/>
        <v>945000000000</v>
      </c>
      <c r="J139" s="1448">
        <f t="shared" si="34"/>
        <v>1890000000000</v>
      </c>
      <c r="K139" s="1448">
        <f t="shared" si="34"/>
        <v>2835000000000</v>
      </c>
      <c r="L139" s="1448">
        <f t="shared" si="34"/>
        <v>3780000000000</v>
      </c>
      <c r="M139" s="1448">
        <f t="shared" si="34"/>
        <v>4725000000000</v>
      </c>
      <c r="N139" s="1448">
        <f t="shared" si="34"/>
        <v>5670000000000</v>
      </c>
      <c r="O139" s="1445"/>
    </row>
    <row r="140" spans="2:16" ht="14.25" x14ac:dyDescent="0.2">
      <c r="B140" s="1444"/>
      <c r="C140" s="1438" t="s">
        <v>1393</v>
      </c>
      <c r="D140" s="1439" t="str">
        <f>INDEX(CostVectors[Description], MATCH(C140, CostVectors[Code], 0))</f>
        <v>High estimate of operating costs</v>
      </c>
      <c r="E140" s="1439"/>
      <c r="F140" s="1448">
        <f t="shared" ref="F140:N140" si="35">F97</f>
        <v>0</v>
      </c>
      <c r="G140" s="1448">
        <f t="shared" si="35"/>
        <v>0</v>
      </c>
      <c r="H140" s="1448">
        <f t="shared" si="35"/>
        <v>11025000000</v>
      </c>
      <c r="I140" s="1448">
        <f t="shared" si="35"/>
        <v>22050000000</v>
      </c>
      <c r="J140" s="1448">
        <f t="shared" si="35"/>
        <v>33075000000</v>
      </c>
      <c r="K140" s="1448">
        <f t="shared" si="35"/>
        <v>44100000000</v>
      </c>
      <c r="L140" s="1448">
        <f t="shared" si="35"/>
        <v>44100000000</v>
      </c>
      <c r="M140" s="1448">
        <f t="shared" si="35"/>
        <v>55125000000</v>
      </c>
      <c r="N140" s="1448">
        <f t="shared" si="35"/>
        <v>66150000000</v>
      </c>
      <c r="O140" s="1445"/>
    </row>
    <row r="141" spans="2:16" ht="14.25" x14ac:dyDescent="0.2">
      <c r="B141" s="1446"/>
      <c r="C141" s="1440"/>
      <c r="D141" s="1440"/>
      <c r="E141" s="1440"/>
      <c r="F141" s="1440"/>
      <c r="G141" s="1440"/>
      <c r="H141" s="1440"/>
      <c r="I141" s="1440"/>
      <c r="J141" s="1440"/>
      <c r="K141" s="1440"/>
      <c r="L141" s="1440"/>
      <c r="M141" s="1440"/>
      <c r="N141" s="1440"/>
      <c r="O141" s="1440"/>
      <c r="P141" s="1447"/>
    </row>
  </sheetData>
  <hyperlinks>
    <hyperlink ref="E2" r:id="rId1"/>
  </hyperlinks>
  <pageMargins left="0.7" right="0.7" top="0.75" bottom="0.75" header="0.3" footer="0.3"/>
  <pageSetup paperSize="9" orientation="portrait"/>
  <tableParts count="3">
    <tablePart r:id="rId2"/>
    <tablePart r:id="rId3"/>
    <tablePart r:id="rId4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outlinePr summaryBelow="0"/>
    <pageSetUpPr autoPageBreaks="0"/>
  </sheetPr>
  <dimension ref="A1:Q138"/>
  <sheetViews>
    <sheetView windowProtection="1" topLeftCell="A127" zoomScaleNormal="100" workbookViewId="0"/>
  </sheetViews>
  <sheetFormatPr defaultColWidth="8.7109375" defaultRowHeight="12.75" x14ac:dyDescent="0.2"/>
  <cols>
    <col min="1" max="1" width="7.7109375" style="2479" customWidth="1"/>
    <col min="2" max="2" width="5.7109375" style="2479" customWidth="1"/>
    <col min="3" max="3" width="20.42578125" style="2479" customWidth="1"/>
    <col min="4" max="4" width="30.7109375" style="2479" customWidth="1"/>
    <col min="5" max="5" width="20.7109375" style="2479" customWidth="1"/>
    <col min="6" max="15" width="17.7109375" style="2479" customWidth="1"/>
    <col min="16" max="16" width="2" style="2479" customWidth="1"/>
    <col min="17" max="17" width="10.7109375" style="2479" customWidth="1"/>
    <col min="18" max="16384" width="8.7109375" style="2479"/>
  </cols>
  <sheetData>
    <row r="1" spans="1:16" ht="21" x14ac:dyDescent="0.35">
      <c r="A1" s="119" t="s">
        <v>62</v>
      </c>
      <c r="B1" s="119" t="str">
        <f>INDEX(Workstreams[Workstream], MATCH($A1, Workstreams[Code], 0))</f>
        <v>National renewable power generation</v>
      </c>
      <c r="C1" s="119"/>
    </row>
    <row r="2" spans="1:16" s="84" customFormat="1" ht="19.5" customHeight="1" x14ac:dyDescent="0.2">
      <c r="A2" s="6" t="s">
        <v>2366</v>
      </c>
      <c r="B2" s="6" t="str">
        <f>INDEX(Modules[Module], MATCH($A2, Modules[Code], 0))</f>
        <v>Large Hydroelectric power stations</v>
      </c>
      <c r="C2" s="6"/>
      <c r="E2" s="1380" t="s">
        <v>2578</v>
      </c>
    </row>
    <row r="4" spans="1:16" ht="22.5" collapsed="1" x14ac:dyDescent="0.3">
      <c r="A4" s="1422"/>
      <c r="B4" s="468" t="s">
        <v>596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ht="5.25" customHeight="1" x14ac:dyDescent="0.2">
      <c r="B6" s="410"/>
      <c r="C6" s="411"/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6" ht="15.75" x14ac:dyDescent="0.25">
      <c r="B7" s="415"/>
      <c r="C7" s="412"/>
      <c r="D7" s="216" t="s">
        <v>342</v>
      </c>
      <c r="E7" s="216" t="s">
        <v>595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ht="15.75" x14ac:dyDescent="0.25">
      <c r="B8" s="415"/>
      <c r="C8" s="412"/>
      <c r="D8" s="238" t="s">
        <v>598</v>
      </c>
      <c r="E8" s="238">
        <f>III.b.1.Scenario</f>
        <v>4</v>
      </c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4"/>
    </row>
    <row r="9" spans="1:16" x14ac:dyDescent="0.2">
      <c r="B9" s="430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9"/>
    </row>
    <row r="11" spans="1:16" ht="22.5" x14ac:dyDescent="0.3">
      <c r="A11" s="1422"/>
      <c r="B11" s="1423" t="s">
        <v>597</v>
      </c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6"/>
    </row>
    <row r="12" spans="1:16" ht="5.25" customHeight="1" x14ac:dyDescent="0.2">
      <c r="B12" s="1419"/>
      <c r="C12" s="1416"/>
      <c r="D12" s="1416"/>
      <c r="E12" s="1416"/>
      <c r="F12" s="1416"/>
      <c r="G12" s="1416"/>
      <c r="H12" s="1416"/>
      <c r="I12" s="1416"/>
      <c r="J12" s="1416"/>
      <c r="K12" s="1416"/>
      <c r="L12" s="1416"/>
      <c r="M12" s="1416"/>
      <c r="N12" s="1416"/>
      <c r="O12" s="1420"/>
    </row>
    <row r="13" spans="1:16" x14ac:dyDescent="0.2">
      <c r="B13" s="1419"/>
      <c r="C13" s="1417" t="s">
        <v>983</v>
      </c>
      <c r="D13" s="1416"/>
      <c r="E13" s="176"/>
      <c r="F13" s="1416"/>
      <c r="G13" s="1416"/>
      <c r="H13" s="1416"/>
      <c r="I13" s="1416"/>
      <c r="J13" s="1416"/>
      <c r="K13" s="1416"/>
      <c r="L13" s="1416"/>
      <c r="M13" s="1416"/>
      <c r="N13" s="176" t="str">
        <f>Preferences.PowerUnits</f>
        <v>GW</v>
      </c>
      <c r="O13" s="1420"/>
    </row>
    <row r="14" spans="1:16" ht="5.25" customHeight="1" x14ac:dyDescent="0.2">
      <c r="B14" s="1419"/>
      <c r="C14" s="1416"/>
      <c r="D14" s="1416"/>
      <c r="E14" s="1416"/>
      <c r="F14" s="1416"/>
      <c r="G14" s="1416"/>
      <c r="H14" s="1416"/>
      <c r="I14" s="1416"/>
      <c r="J14" s="1416"/>
      <c r="K14" s="1416"/>
      <c r="L14" s="1416"/>
      <c r="M14" s="1416"/>
      <c r="N14" s="1416"/>
      <c r="O14" s="1420"/>
    </row>
    <row r="15" spans="1:16" ht="15.75" x14ac:dyDescent="0.25">
      <c r="B15" s="397"/>
      <c r="C15" s="98" t="s">
        <v>595</v>
      </c>
      <c r="D15" s="98" t="s">
        <v>65</v>
      </c>
      <c r="E15" s="98" t="s">
        <v>172</v>
      </c>
      <c r="F15" s="218">
        <v>2010</v>
      </c>
      <c r="G15" s="217">
        <v>2015</v>
      </c>
      <c r="H15" s="217">
        <v>2020</v>
      </c>
      <c r="I15" s="217">
        <v>2025</v>
      </c>
      <c r="J15" s="217">
        <v>2030</v>
      </c>
      <c r="K15" s="217">
        <v>2035</v>
      </c>
      <c r="L15" s="217">
        <v>2040</v>
      </c>
      <c r="M15" s="217">
        <v>2045</v>
      </c>
      <c r="N15" s="217">
        <v>2050</v>
      </c>
      <c r="O15" s="1420"/>
    </row>
    <row r="16" spans="1:16" ht="15.75" x14ac:dyDescent="0.2">
      <c r="B16" s="399"/>
      <c r="C16" s="1414">
        <v>1</v>
      </c>
      <c r="D16" s="1415"/>
      <c r="E16" s="146"/>
      <c r="F16" s="679">
        <f t="shared" ref="F16:N16" si="0">(Unit.GW)*1.9</f>
        <v>1.9</v>
      </c>
      <c r="G16" s="679">
        <f t="shared" si="0"/>
        <v>1.9</v>
      </c>
      <c r="H16" s="679">
        <f t="shared" si="0"/>
        <v>1.9</v>
      </c>
      <c r="I16" s="679">
        <f t="shared" si="0"/>
        <v>1.9</v>
      </c>
      <c r="J16" s="679">
        <f t="shared" si="0"/>
        <v>1.9</v>
      </c>
      <c r="K16" s="679">
        <f t="shared" si="0"/>
        <v>1.9</v>
      </c>
      <c r="L16" s="679">
        <f t="shared" si="0"/>
        <v>1.9</v>
      </c>
      <c r="M16" s="679">
        <f t="shared" si="0"/>
        <v>1.9</v>
      </c>
      <c r="N16" s="679">
        <f t="shared" si="0"/>
        <v>1.9</v>
      </c>
      <c r="O16" s="400"/>
    </row>
    <row r="17" spans="1:15" ht="15.75" x14ac:dyDescent="0.25">
      <c r="B17" s="397"/>
      <c r="C17" s="1414">
        <v>2</v>
      </c>
      <c r="D17" s="1415"/>
      <c r="E17" s="1415"/>
      <c r="F17" s="679">
        <f>(Unit.GW)*1.9</f>
        <v>1.9</v>
      </c>
      <c r="G17" s="679">
        <f>(Unit.GW)*1.9</f>
        <v>1.9</v>
      </c>
      <c r="H17" s="679">
        <f>(Unit.GW)*1.9</f>
        <v>1.9</v>
      </c>
      <c r="I17" s="679">
        <f>(Unit.GW)*1.9</f>
        <v>1.9</v>
      </c>
      <c r="J17" s="680">
        <f>(Unit.GW)*1.9</f>
        <v>1.9</v>
      </c>
      <c r="K17" s="680">
        <f>(Unit.GW)*5.24</f>
        <v>5.24</v>
      </c>
      <c r="L17" s="680">
        <f>(Unit.GW)*5.24</f>
        <v>5.24</v>
      </c>
      <c r="M17" s="680">
        <f>(Unit.GW)*5.24</f>
        <v>5.24</v>
      </c>
      <c r="N17" s="680">
        <f>(Unit.GW)*5.24</f>
        <v>5.24</v>
      </c>
      <c r="O17" s="1420"/>
    </row>
    <row r="18" spans="1:15" ht="15.75" x14ac:dyDescent="0.25">
      <c r="B18" s="397"/>
      <c r="C18" s="1414">
        <v>3</v>
      </c>
      <c r="D18" s="1415"/>
      <c r="E18" s="1415"/>
      <c r="F18" s="679">
        <f>(Unit.GW)*1.9</f>
        <v>1.9</v>
      </c>
      <c r="G18" s="679">
        <f>(Unit.GW)*1.9</f>
        <v>1.9</v>
      </c>
      <c r="H18" s="679">
        <f>(Unit.GW)*1.9</f>
        <v>1.9</v>
      </c>
      <c r="I18" s="679">
        <f>(Unit.GW)*1.9</f>
        <v>1.9</v>
      </c>
      <c r="J18" s="680">
        <f>(Unit.GW)*5.99</f>
        <v>5.99</v>
      </c>
      <c r="K18" s="680">
        <f>(Unit.GW)*5.24</f>
        <v>5.24</v>
      </c>
      <c r="L18" s="680">
        <f>(Unit.GW)*6.74</f>
        <v>6.74</v>
      </c>
      <c r="M18" s="680">
        <f>(Unit.GW)*7.49</f>
        <v>7.49</v>
      </c>
      <c r="N18" s="680">
        <f>(Unit.GW)*8.24</f>
        <v>8.24</v>
      </c>
      <c r="O18" s="1420"/>
    </row>
    <row r="19" spans="1:15" ht="15.75" x14ac:dyDescent="0.25">
      <c r="B19" s="397"/>
      <c r="C19" s="1412">
        <v>4</v>
      </c>
      <c r="D19" s="102"/>
      <c r="E19" s="102"/>
      <c r="F19" s="679">
        <f>(Unit.GW)*1.9</f>
        <v>1.9</v>
      </c>
      <c r="G19" s="679">
        <f>(Unit.GW)*1.9</f>
        <v>1.9</v>
      </c>
      <c r="H19" s="682">
        <f>(Unit.GW)*3.24</f>
        <v>3.24</v>
      </c>
      <c r="I19" s="682">
        <f>(Unit.GW)*4.57</f>
        <v>4.57</v>
      </c>
      <c r="J19" s="682">
        <f>(Unit.GW)*5.91</f>
        <v>5.91</v>
      </c>
      <c r="K19" s="682">
        <f>(Unit.GW)*7.24</f>
        <v>7.24</v>
      </c>
      <c r="L19" s="682">
        <f>(Unit.GW)*8.58</f>
        <v>8.58</v>
      </c>
      <c r="M19" s="682">
        <f>(Unit.GW)*9.91</f>
        <v>9.91</v>
      </c>
      <c r="N19" s="682">
        <f>(Unit.GW)*11.25</f>
        <v>11.25</v>
      </c>
      <c r="O19" s="1420"/>
    </row>
    <row r="20" spans="1:15" ht="15.75" x14ac:dyDescent="0.25">
      <c r="B20" s="397"/>
      <c r="C20" s="1386" t="s">
        <v>582</v>
      </c>
      <c r="D20" s="1387"/>
      <c r="E20" s="1387"/>
      <c r="F20" s="1408">
        <f t="shared" ref="F20:N20" si="1">(INDEX(F$16:F$19,ROUNDDOWN($E$8,0))*(1-MOD($E$8,1)))+(INDEX(F$16:F$19,ROUNDUP($E$8,0))*MOD($E$8,1))</f>
        <v>1.9</v>
      </c>
      <c r="G20" s="1388">
        <f t="shared" si="1"/>
        <v>1.9</v>
      </c>
      <c r="H20" s="1388">
        <f t="shared" si="1"/>
        <v>3.24</v>
      </c>
      <c r="I20" s="1388">
        <f t="shared" si="1"/>
        <v>4.57</v>
      </c>
      <c r="J20" s="1388">
        <f t="shared" si="1"/>
        <v>5.91</v>
      </c>
      <c r="K20" s="1388">
        <f t="shared" si="1"/>
        <v>7.24</v>
      </c>
      <c r="L20" s="1388">
        <f t="shared" si="1"/>
        <v>8.58</v>
      </c>
      <c r="M20" s="1388">
        <f t="shared" si="1"/>
        <v>9.91</v>
      </c>
      <c r="N20" s="1388">
        <f t="shared" si="1"/>
        <v>11.25</v>
      </c>
      <c r="O20" s="1420"/>
    </row>
    <row r="21" spans="1:15" x14ac:dyDescent="0.2">
      <c r="B21" s="401"/>
      <c r="C21" s="1416"/>
      <c r="D21" s="177"/>
      <c r="E21" s="1416"/>
      <c r="F21" s="562"/>
      <c r="G21" s="562"/>
      <c r="H21" s="562"/>
      <c r="I21" s="562"/>
      <c r="J21" s="562"/>
      <c r="K21" s="562"/>
      <c r="L21" s="562"/>
      <c r="M21" s="562"/>
      <c r="N21" s="562"/>
      <c r="O21" s="1420"/>
    </row>
    <row r="22" spans="1:15" x14ac:dyDescent="0.2">
      <c r="B22" s="578"/>
      <c r="C22" s="2433" t="s">
        <v>266</v>
      </c>
      <c r="D22" s="2533"/>
      <c r="E22" s="2433"/>
      <c r="F22" s="2433"/>
      <c r="G22" s="2433"/>
      <c r="H22" s="1416"/>
      <c r="I22" s="1416"/>
      <c r="J22" s="1416"/>
      <c r="K22" s="1416"/>
      <c r="L22" s="1416"/>
      <c r="M22" s="1416"/>
      <c r="N22" s="1416"/>
      <c r="O22" s="1420"/>
    </row>
    <row r="23" spans="1:15" x14ac:dyDescent="0.2">
      <c r="B23" s="578"/>
      <c r="C23" s="2534" t="s">
        <v>93</v>
      </c>
      <c r="D23" s="2533" t="s">
        <v>571</v>
      </c>
      <c r="E23" s="2433"/>
      <c r="F23" s="2433"/>
      <c r="G23" s="2433"/>
      <c r="H23" s="1416"/>
      <c r="I23" s="1416"/>
      <c r="J23" s="1416"/>
      <c r="K23" s="1416"/>
      <c r="L23" s="1416"/>
      <c r="M23" s="1416"/>
      <c r="N23" s="1416"/>
      <c r="O23" s="1420"/>
    </row>
    <row r="24" spans="1:15" x14ac:dyDescent="0.2">
      <c r="B24" s="578"/>
      <c r="C24" s="2534"/>
      <c r="D24" s="2533" t="s">
        <v>984</v>
      </c>
      <c r="E24" s="2433"/>
      <c r="F24" s="2433"/>
      <c r="G24" s="2433"/>
      <c r="H24" s="1416"/>
      <c r="I24" s="1416"/>
      <c r="J24" s="1416"/>
      <c r="K24" s="1416"/>
      <c r="L24" s="1416"/>
      <c r="M24" s="1416"/>
      <c r="N24" s="1416"/>
      <c r="O24" s="1420"/>
    </row>
    <row r="25" spans="1:15" x14ac:dyDescent="0.2">
      <c r="B25" s="578"/>
      <c r="C25" s="2534"/>
      <c r="D25" s="2533" t="s">
        <v>985</v>
      </c>
      <c r="E25" s="2433"/>
      <c r="F25" s="2433"/>
      <c r="G25" s="2433"/>
      <c r="H25" s="1416"/>
      <c r="I25" s="1416"/>
      <c r="J25" s="1416"/>
      <c r="K25" s="1416"/>
      <c r="L25" s="1416"/>
      <c r="M25" s="1416"/>
      <c r="N25" s="1416"/>
      <c r="O25" s="1420"/>
    </row>
    <row r="26" spans="1:15" x14ac:dyDescent="0.2">
      <c r="B26" s="578"/>
      <c r="C26" s="2534"/>
      <c r="D26" s="2533" t="s">
        <v>986</v>
      </c>
      <c r="E26" s="2433"/>
      <c r="F26" s="2433"/>
      <c r="G26" s="2433"/>
      <c r="H26" s="1416"/>
      <c r="I26" s="1416"/>
      <c r="J26" s="1416"/>
      <c r="K26" s="1416"/>
      <c r="L26" s="1416"/>
      <c r="M26" s="1416"/>
      <c r="N26" s="1416"/>
      <c r="O26" s="1420"/>
    </row>
    <row r="27" spans="1:15" x14ac:dyDescent="0.2">
      <c r="B27" s="578"/>
      <c r="C27" s="2433"/>
      <c r="D27" s="2533"/>
      <c r="E27" s="2433"/>
      <c r="F27" s="2433"/>
      <c r="G27" s="2433"/>
      <c r="H27" s="1416"/>
      <c r="I27" s="1416"/>
      <c r="J27" s="1416"/>
      <c r="K27" s="1416"/>
      <c r="L27" s="1416"/>
      <c r="M27" s="1416"/>
      <c r="N27" s="403"/>
      <c r="O27" s="404"/>
    </row>
    <row r="29" spans="1:15" s="84" customFormat="1" ht="22.5" x14ac:dyDescent="0.2">
      <c r="A29" s="408"/>
      <c r="B29" s="1423" t="s">
        <v>315</v>
      </c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6"/>
    </row>
    <row r="30" spans="1:15" ht="5.25" customHeight="1" x14ac:dyDescent="0.2">
      <c r="B30" s="1419"/>
      <c r="C30" s="1416"/>
      <c r="D30" s="1416"/>
      <c r="E30" s="1416"/>
      <c r="F30" s="1416"/>
      <c r="G30" s="1416"/>
      <c r="H30" s="1416"/>
      <c r="I30" s="1416"/>
      <c r="J30" s="1416"/>
      <c r="K30" s="1416"/>
      <c r="L30" s="1416"/>
      <c r="M30" s="1416"/>
      <c r="N30" s="1416"/>
      <c r="O30" s="1420"/>
    </row>
    <row r="31" spans="1:15" x14ac:dyDescent="0.2">
      <c r="B31" s="1419"/>
      <c r="C31" s="1417" t="s">
        <v>982</v>
      </c>
      <c r="D31" s="1416"/>
      <c r="E31" s="1416"/>
      <c r="F31" s="176"/>
      <c r="G31" s="1416"/>
      <c r="H31" s="1416"/>
      <c r="I31" s="1416"/>
      <c r="J31" s="1416"/>
      <c r="K31" s="1416"/>
      <c r="L31" s="1416"/>
      <c r="M31" s="1416"/>
      <c r="N31" s="1416"/>
      <c r="O31" s="1420"/>
    </row>
    <row r="32" spans="1:15" ht="6" customHeight="1" x14ac:dyDescent="0.2">
      <c r="B32" s="1419"/>
      <c r="C32" s="1416"/>
      <c r="D32" s="1416"/>
      <c r="E32" s="1416"/>
      <c r="F32" s="1416"/>
      <c r="G32" s="1416"/>
      <c r="H32" s="1416"/>
      <c r="I32" s="1416"/>
      <c r="J32" s="1416"/>
      <c r="K32" s="1416"/>
      <c r="L32" s="1416"/>
      <c r="M32" s="1416"/>
      <c r="N32" s="1416"/>
      <c r="O32" s="1420"/>
    </row>
    <row r="33" spans="2:17" ht="15.75" x14ac:dyDescent="0.25">
      <c r="B33" s="397"/>
      <c r="C33" s="98" t="s">
        <v>264</v>
      </c>
      <c r="D33" s="98" t="s">
        <v>278</v>
      </c>
      <c r="E33" s="98" t="s">
        <v>172</v>
      </c>
      <c r="F33" s="218">
        <v>2010</v>
      </c>
      <c r="G33" s="217">
        <v>2015</v>
      </c>
      <c r="H33" s="217">
        <v>2020</v>
      </c>
      <c r="I33" s="217">
        <v>2025</v>
      </c>
      <c r="J33" s="217">
        <v>2030</v>
      </c>
      <c r="K33" s="217">
        <v>2035</v>
      </c>
      <c r="L33" s="217">
        <v>2040</v>
      </c>
      <c r="M33" s="217">
        <v>2045</v>
      </c>
      <c r="N33" s="217">
        <v>2050</v>
      </c>
      <c r="O33" s="1420"/>
    </row>
    <row r="34" spans="2:17" ht="15.75" x14ac:dyDescent="0.25">
      <c r="B34" s="397"/>
      <c r="C34" s="121" t="s">
        <v>8</v>
      </c>
      <c r="D34" s="122" t="str">
        <f>INDEX(Vectors[Description], MATCH($C34,Vectors[Code], 0))</f>
        <v>Hydro</v>
      </c>
      <c r="E34" s="122"/>
      <c r="F34" s="129">
        <v>0.6</v>
      </c>
      <c r="G34" s="129">
        <v>0.6</v>
      </c>
      <c r="H34" s="129">
        <v>0.6</v>
      </c>
      <c r="I34" s="129">
        <v>0.6</v>
      </c>
      <c r="J34" s="129">
        <v>0.6</v>
      </c>
      <c r="K34" s="129">
        <v>0.6</v>
      </c>
      <c r="L34" s="129">
        <v>0.6</v>
      </c>
      <c r="M34" s="129">
        <v>0.6</v>
      </c>
      <c r="N34" s="129">
        <v>0.6</v>
      </c>
      <c r="O34" s="1420"/>
    </row>
    <row r="35" spans="2:17" ht="15.75" x14ac:dyDescent="0.25">
      <c r="B35" s="397"/>
      <c r="C35" s="1414"/>
      <c r="D35" s="1415"/>
      <c r="E35" s="1415"/>
      <c r="F35" s="174"/>
      <c r="G35" s="174"/>
      <c r="H35" s="174"/>
      <c r="I35" s="174"/>
      <c r="J35" s="174"/>
      <c r="K35" s="174"/>
      <c r="L35" s="174"/>
      <c r="M35" s="174"/>
      <c r="N35" s="174"/>
      <c r="O35" s="1420"/>
    </row>
    <row r="36" spans="2:17" ht="15.75" x14ac:dyDescent="0.25">
      <c r="B36" s="397"/>
      <c r="C36" s="1417" t="s">
        <v>1273</v>
      </c>
      <c r="D36" s="1416"/>
      <c r="E36" s="1416"/>
      <c r="F36" s="176"/>
      <c r="G36" s="1416"/>
      <c r="H36" s="1416"/>
      <c r="I36" s="174"/>
      <c r="J36" s="174"/>
      <c r="K36" s="174"/>
      <c r="L36" s="174"/>
      <c r="M36" s="174"/>
      <c r="N36" s="174"/>
      <c r="O36" s="1420"/>
    </row>
    <row r="37" spans="2:17" ht="4.5" customHeight="1" x14ac:dyDescent="0.25">
      <c r="B37" s="397"/>
      <c r="C37" s="1416"/>
      <c r="D37" s="1416"/>
      <c r="E37" s="1416"/>
      <c r="F37" s="1416"/>
      <c r="G37" s="1416"/>
      <c r="H37" s="1416"/>
      <c r="I37" s="1416"/>
      <c r="J37" s="174"/>
      <c r="K37" s="174"/>
      <c r="L37" s="174"/>
      <c r="M37" s="174"/>
      <c r="N37" s="174"/>
      <c r="O37" s="174"/>
      <c r="P37" s="1420"/>
    </row>
    <row r="38" spans="2:17" ht="15.75" x14ac:dyDescent="0.25">
      <c r="B38" s="397"/>
      <c r="C38" s="98"/>
      <c r="D38" s="98"/>
      <c r="E38" s="98"/>
      <c r="F38" s="217"/>
      <c r="G38" s="1261" t="s">
        <v>71</v>
      </c>
      <c r="H38" s="1261"/>
      <c r="I38" s="1416"/>
      <c r="J38" s="174"/>
      <c r="K38" s="174"/>
      <c r="L38" s="174"/>
      <c r="M38" s="174"/>
      <c r="N38" s="174"/>
      <c r="O38" s="174"/>
      <c r="P38" s="1420"/>
    </row>
    <row r="39" spans="2:17" ht="15.75" x14ac:dyDescent="0.25">
      <c r="B39" s="397"/>
      <c r="C39" s="1413"/>
      <c r="D39" s="107" t="s">
        <v>2356</v>
      </c>
      <c r="E39" s="107" t="s">
        <v>100</v>
      </c>
      <c r="F39" s="1266">
        <f>600*Unit.MW</f>
        <v>0.6</v>
      </c>
      <c r="G39" s="1265" t="str">
        <f>Preferences.PowerUnits&amp;"peak"</f>
        <v>GWpeak</v>
      </c>
      <c r="H39" s="1264"/>
      <c r="I39" s="1416"/>
      <c r="J39" s="174"/>
      <c r="K39" s="174"/>
      <c r="L39" s="174"/>
      <c r="M39" s="174"/>
      <c r="N39" s="174"/>
      <c r="O39" s="174"/>
      <c r="P39" s="1420"/>
    </row>
    <row r="40" spans="2:17" ht="15.75" x14ac:dyDescent="0.25">
      <c r="B40" s="397"/>
      <c r="C40" s="1413"/>
      <c r="D40" s="1415" t="s">
        <v>1279</v>
      </c>
      <c r="E40" s="107" t="s">
        <v>101</v>
      </c>
      <c r="F40" s="2507">
        <f>(0.2/36%)*Unit.W/Unit.m2</f>
        <v>5.5555555555555566E-4</v>
      </c>
      <c r="G40" s="2508" t="str">
        <f>Preferences.PowerUnits&amp;"peak/"&amp;Preferences.AreaUnits</f>
        <v>GWpeak/km^2</v>
      </c>
      <c r="H40" s="953"/>
      <c r="I40" s="1416"/>
      <c r="J40" s="174"/>
      <c r="K40" s="174"/>
      <c r="L40" s="174"/>
      <c r="M40" s="174"/>
      <c r="N40" s="174"/>
      <c r="O40" s="174"/>
      <c r="P40" s="1420"/>
    </row>
    <row r="41" spans="2:17" ht="15.75" x14ac:dyDescent="0.25">
      <c r="B41" s="397"/>
      <c r="C41" s="199"/>
      <c r="D41" s="200" t="s">
        <v>1280</v>
      </c>
      <c r="E41" s="200" t="s">
        <v>101</v>
      </c>
      <c r="F41" s="2509">
        <f>(11/36%)*Unit.W/Unit.m2</f>
        <v>3.0555555555555565E-2</v>
      </c>
      <c r="G41" s="2510" t="str">
        <f>Preferences.PowerUnits&amp;"peak/"&amp;Preferences.AreaUnits</f>
        <v>GWpeak/km^2</v>
      </c>
      <c r="H41" s="1263"/>
      <c r="I41" s="1416"/>
      <c r="J41" s="174"/>
      <c r="K41" s="174"/>
      <c r="L41" s="174"/>
      <c r="M41" s="174"/>
      <c r="N41" s="174"/>
      <c r="O41" s="174"/>
      <c r="P41" s="1420"/>
    </row>
    <row r="42" spans="2:17" ht="15.75" x14ac:dyDescent="0.25">
      <c r="B42" s="397"/>
      <c r="C42" s="1416"/>
      <c r="D42" s="1416"/>
      <c r="E42" s="1416"/>
      <c r="F42" s="1416"/>
      <c r="G42" s="1416"/>
      <c r="H42" s="1416"/>
      <c r="I42" s="1416"/>
      <c r="J42" s="174"/>
      <c r="K42" s="174"/>
      <c r="L42" s="174"/>
      <c r="M42" s="174"/>
      <c r="N42" s="174"/>
      <c r="O42" s="174"/>
      <c r="P42" s="1420"/>
    </row>
    <row r="43" spans="2:17" x14ac:dyDescent="0.2">
      <c r="B43" s="1416"/>
      <c r="C43" s="1416" t="s">
        <v>172</v>
      </c>
      <c r="D43" s="1416"/>
      <c r="E43" s="1416"/>
      <c r="F43" s="1416"/>
      <c r="G43" s="1416"/>
      <c r="H43" s="1416"/>
      <c r="I43" s="1416"/>
      <c r="J43" s="1416"/>
      <c r="K43" s="1416"/>
      <c r="L43" s="1416"/>
      <c r="M43" s="1416"/>
      <c r="N43" s="1416"/>
      <c r="O43" s="1416"/>
      <c r="P43" s="1420"/>
    </row>
    <row r="44" spans="2:17" x14ac:dyDescent="0.2">
      <c r="B44" s="1416"/>
      <c r="C44" s="161" t="s">
        <v>93</v>
      </c>
      <c r="D44" s="177" t="s">
        <v>984</v>
      </c>
      <c r="E44" s="1416"/>
      <c r="F44" s="1416"/>
      <c r="G44" s="1416"/>
      <c r="H44" s="1416"/>
      <c r="I44" s="1416"/>
      <c r="J44" s="1416"/>
      <c r="K44" s="1416"/>
      <c r="L44" s="1416"/>
      <c r="M44" s="1416"/>
      <c r="N44" s="1416"/>
      <c r="O44" s="1416"/>
      <c r="P44" s="1420"/>
    </row>
    <row r="45" spans="2:17" x14ac:dyDescent="0.2">
      <c r="B45" s="1416"/>
      <c r="C45" s="161" t="s">
        <v>100</v>
      </c>
      <c r="D45" s="177" t="s">
        <v>1278</v>
      </c>
      <c r="E45" s="1416"/>
      <c r="F45" s="1416"/>
      <c r="G45" s="1416"/>
      <c r="H45" s="1416"/>
      <c r="I45" s="1416"/>
      <c r="J45" s="1416"/>
      <c r="K45" s="1416"/>
      <c r="L45" s="1416"/>
      <c r="M45" s="1416"/>
      <c r="N45" s="1416"/>
      <c r="O45" s="1416"/>
      <c r="P45" s="1420"/>
    </row>
    <row r="46" spans="2:17" x14ac:dyDescent="0.2">
      <c r="B46" s="1416"/>
      <c r="C46" s="161" t="s">
        <v>101</v>
      </c>
      <c r="D46" s="177" t="s">
        <v>1283</v>
      </c>
      <c r="E46" s="1416"/>
      <c r="F46" s="1416"/>
      <c r="G46" s="1416"/>
      <c r="H46" s="1416"/>
      <c r="I46" s="1416"/>
      <c r="J46" s="1416"/>
      <c r="K46" s="1416"/>
      <c r="L46" s="1416"/>
      <c r="M46" s="1416"/>
      <c r="N46" s="1416"/>
      <c r="O46" s="1416"/>
      <c r="P46" s="1420"/>
    </row>
    <row r="47" spans="2:17" x14ac:dyDescent="0.2">
      <c r="B47" s="1416"/>
      <c r="C47" s="1416"/>
      <c r="D47" s="1416"/>
      <c r="E47" s="1416"/>
      <c r="F47" s="1416"/>
      <c r="G47" s="1416"/>
      <c r="H47" s="1416"/>
      <c r="I47" s="1416"/>
      <c r="J47" s="1416"/>
      <c r="K47" s="1416"/>
      <c r="L47" s="1416"/>
      <c r="M47" s="1416"/>
      <c r="N47" s="1416"/>
      <c r="O47" s="403"/>
      <c r="P47" s="403"/>
      <c r="Q47" s="2092"/>
    </row>
    <row r="48" spans="2:17" x14ac:dyDescent="0.2">
      <c r="Q48" s="2092"/>
    </row>
    <row r="49" spans="1:16" s="84" customFormat="1" ht="22.5" x14ac:dyDescent="0.2">
      <c r="A49" s="408"/>
      <c r="B49" s="1423" t="s">
        <v>1417</v>
      </c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34"/>
    </row>
    <row r="50" spans="1:16" ht="5.25" customHeight="1" x14ac:dyDescent="0.2">
      <c r="B50" s="473"/>
      <c r="C50" s="458"/>
      <c r="D50" s="458"/>
      <c r="E50" s="458"/>
      <c r="F50" s="458"/>
      <c r="G50" s="458"/>
      <c r="H50" s="458"/>
      <c r="I50" s="458"/>
      <c r="J50" s="458"/>
      <c r="K50" s="458"/>
      <c r="L50" s="458"/>
      <c r="M50" s="458"/>
      <c r="N50" s="458"/>
      <c r="O50" s="458"/>
      <c r="P50" s="2092"/>
    </row>
    <row r="51" spans="1:16" s="84" customFormat="1" x14ac:dyDescent="0.2">
      <c r="A51" s="2479"/>
      <c r="B51" s="1419"/>
      <c r="C51" s="1417" t="str">
        <f>"Capital cost of a "&amp;plantsize.III.b.1&amp;" "&amp;Preferences.PowerUnits&amp;" hydro plant"</f>
        <v>Capital cost of a 0.6 GW hydro plant</v>
      </c>
      <c r="D51" s="107"/>
      <c r="E51" s="1081"/>
      <c r="F51" s="1055"/>
      <c r="G51" s="760"/>
      <c r="H51" s="760"/>
      <c r="I51" s="760"/>
      <c r="J51" s="760"/>
      <c r="K51" s="760"/>
      <c r="L51" s="760"/>
      <c r="M51" s="760"/>
      <c r="N51" s="1255" t="str">
        <f>Preferences.moneyunits&amp;"/plant"</f>
        <v>N/plant</v>
      </c>
      <c r="O51" s="1416"/>
      <c r="P51" s="2092"/>
    </row>
    <row r="52" spans="1:16" s="84" customFormat="1" ht="4.5" customHeight="1" x14ac:dyDescent="0.2">
      <c r="A52" s="2479"/>
      <c r="B52" s="1419"/>
      <c r="C52" s="1848"/>
      <c r="D52" s="107"/>
      <c r="E52" s="1081"/>
      <c r="F52" s="1055"/>
      <c r="G52" s="760"/>
      <c r="H52" s="760"/>
      <c r="I52" s="760"/>
      <c r="J52" s="760"/>
      <c r="K52" s="760"/>
      <c r="L52" s="760"/>
      <c r="M52" s="760"/>
      <c r="N52" s="1416"/>
      <c r="O52" s="1416"/>
      <c r="P52" s="2092"/>
    </row>
    <row r="53" spans="1:16" s="84" customFormat="1" x14ac:dyDescent="0.2">
      <c r="A53" s="2479"/>
      <c r="B53" s="1419"/>
      <c r="C53" s="1101"/>
      <c r="D53" s="1519"/>
      <c r="E53" s="1567" t="s">
        <v>1321</v>
      </c>
      <c r="F53" s="1845">
        <v>2010</v>
      </c>
      <c r="G53" s="1845">
        <v>2015</v>
      </c>
      <c r="H53" s="1845">
        <v>2020</v>
      </c>
      <c r="I53" s="1845">
        <v>2025</v>
      </c>
      <c r="J53" s="1845">
        <v>2030</v>
      </c>
      <c r="K53" s="1845">
        <v>2035</v>
      </c>
      <c r="L53" s="1845">
        <v>2040</v>
      </c>
      <c r="M53" s="1845">
        <v>2045</v>
      </c>
      <c r="N53" s="1845">
        <v>2050</v>
      </c>
      <c r="O53" s="1416"/>
      <c r="P53" s="2230"/>
    </row>
    <row r="54" spans="1:16" s="84" customFormat="1" x14ac:dyDescent="0.2">
      <c r="A54" s="2479"/>
      <c r="B54" s="1419"/>
      <c r="C54" s="1846" t="s">
        <v>1871</v>
      </c>
      <c r="D54" s="1519"/>
      <c r="E54" s="1847">
        <f>(N54-F54)/(N$53-F$53)</f>
        <v>0</v>
      </c>
      <c r="F54" s="1566">
        <f>(600000*NAIRA2010_/Unit.kW)*plantsize.III.b.1</f>
        <v>360000000000</v>
      </c>
      <c r="G54" s="1566">
        <f>($E54*(G$53-F$53))+F54</f>
        <v>360000000000</v>
      </c>
      <c r="H54" s="1566">
        <f t="shared" ref="H54:M54" si="2">($E54*(H$53-G$53))+G54</f>
        <v>360000000000</v>
      </c>
      <c r="I54" s="1566">
        <f t="shared" si="2"/>
        <v>360000000000</v>
      </c>
      <c r="J54" s="1566">
        <f t="shared" si="2"/>
        <v>360000000000</v>
      </c>
      <c r="K54" s="1566">
        <f t="shared" si="2"/>
        <v>360000000000</v>
      </c>
      <c r="L54" s="1566">
        <f t="shared" si="2"/>
        <v>360000000000</v>
      </c>
      <c r="M54" s="1566">
        <f t="shared" si="2"/>
        <v>360000000000</v>
      </c>
      <c r="N54" s="1566">
        <f>(600000*NAIRA2010_/Unit.kW)*plantsize.III.b.1</f>
        <v>360000000000</v>
      </c>
      <c r="O54" s="1416"/>
      <c r="P54" s="2230"/>
    </row>
    <row r="55" spans="1:16" s="84" customFormat="1" x14ac:dyDescent="0.2">
      <c r="A55" s="2479"/>
      <c r="B55" s="1419"/>
      <c r="C55" s="606" t="s">
        <v>1872</v>
      </c>
      <c r="D55" s="107"/>
      <c r="E55" s="188">
        <f>(N55-F55)/(N$53-F$53)</f>
        <v>0</v>
      </c>
      <c r="F55" s="1055">
        <f>(525000*NAIRA2010_/Unit.kW)*plantsize.III.b.1</f>
        <v>315000000000</v>
      </c>
      <c r="G55" s="1055">
        <f t="shared" ref="G55:M56" si="3">($E55*(G$53-F$53))+F55</f>
        <v>315000000000</v>
      </c>
      <c r="H55" s="1055">
        <f t="shared" si="3"/>
        <v>315000000000</v>
      </c>
      <c r="I55" s="1055">
        <f t="shared" si="3"/>
        <v>315000000000</v>
      </c>
      <c r="J55" s="1055">
        <f t="shared" si="3"/>
        <v>315000000000</v>
      </c>
      <c r="K55" s="1055">
        <f t="shared" si="3"/>
        <v>315000000000</v>
      </c>
      <c r="L55" s="1055">
        <f t="shared" si="3"/>
        <v>315000000000</v>
      </c>
      <c r="M55" s="1055">
        <f t="shared" si="3"/>
        <v>315000000000</v>
      </c>
      <c r="N55" s="1055">
        <f>(525000*NAIRA2010_/Unit.kW)*plantsize.III.b.1</f>
        <v>315000000000</v>
      </c>
      <c r="O55" s="1416"/>
      <c r="P55" s="2230"/>
    </row>
    <row r="56" spans="1:16" s="84" customFormat="1" x14ac:dyDescent="0.2">
      <c r="A56" s="2479"/>
      <c r="B56" s="1419"/>
      <c r="C56" s="1731" t="s">
        <v>1873</v>
      </c>
      <c r="D56" s="189"/>
      <c r="E56" s="191">
        <f>(N56-F56)/(N$53-F$53)</f>
        <v>0</v>
      </c>
      <c r="F56" s="1056">
        <f>(450000*NAIRA2010_/Unit.kW)*plantsize.III.b.1</f>
        <v>270000000000</v>
      </c>
      <c r="G56" s="1056">
        <f t="shared" si="3"/>
        <v>270000000000</v>
      </c>
      <c r="H56" s="1056">
        <f t="shared" si="3"/>
        <v>270000000000</v>
      </c>
      <c r="I56" s="1056">
        <f t="shared" si="3"/>
        <v>270000000000</v>
      </c>
      <c r="J56" s="1056">
        <f t="shared" si="3"/>
        <v>270000000000</v>
      </c>
      <c r="K56" s="1056">
        <f>($E56*(K$53-J$53))+J56</f>
        <v>270000000000</v>
      </c>
      <c r="L56" s="1056">
        <f t="shared" si="3"/>
        <v>270000000000</v>
      </c>
      <c r="M56" s="1056">
        <f t="shared" si="3"/>
        <v>270000000000</v>
      </c>
      <c r="N56" s="1056">
        <f>(450000*NAIRA2010_/Unit.kW)*plantsize.III.b.1</f>
        <v>270000000000</v>
      </c>
      <c r="O56" s="1416"/>
      <c r="P56" s="2230"/>
    </row>
    <row r="57" spans="1:16" s="84" customFormat="1" x14ac:dyDescent="0.2">
      <c r="A57" s="2479"/>
      <c r="B57" s="1419"/>
      <c r="C57" s="1848"/>
      <c r="D57" s="107"/>
      <c r="E57" s="1081"/>
      <c r="F57" s="1055"/>
      <c r="G57" s="760"/>
      <c r="H57" s="760"/>
      <c r="I57" s="760"/>
      <c r="J57" s="760"/>
      <c r="K57" s="760"/>
      <c r="L57" s="760"/>
      <c r="M57" s="760"/>
      <c r="N57" s="1416"/>
      <c r="O57" s="1416"/>
      <c r="P57" s="2230"/>
    </row>
    <row r="58" spans="1:16" x14ac:dyDescent="0.2">
      <c r="B58" s="1419"/>
      <c r="C58" s="1417" t="str">
        <f>"Operating cost of a "&amp;plantsize.III.b.1&amp;" "&amp;Preferences.PowerUnits&amp;" hydro plant"</f>
        <v>Operating cost of a 0.6 GW hydro plant</v>
      </c>
      <c r="D58" s="107"/>
      <c r="E58" s="1081"/>
      <c r="F58" s="1055"/>
      <c r="G58" s="760"/>
      <c r="H58" s="760"/>
      <c r="I58" s="760"/>
      <c r="J58" s="760"/>
      <c r="K58" s="760"/>
      <c r="L58" s="760"/>
      <c r="M58" s="760"/>
      <c r="N58" s="1255" t="str">
        <f>Preferences.moneyunits&amp;"/plant"</f>
        <v>N/plant</v>
      </c>
      <c r="O58" s="1416"/>
      <c r="P58" s="2230"/>
    </row>
    <row r="59" spans="1:16" ht="4.5" customHeight="1" x14ac:dyDescent="0.2">
      <c r="B59" s="1419"/>
      <c r="C59" s="1848"/>
      <c r="D59" s="107"/>
      <c r="E59" s="1081"/>
      <c r="F59" s="1055"/>
      <c r="G59" s="760"/>
      <c r="H59" s="760"/>
      <c r="I59" s="760"/>
      <c r="J59" s="760"/>
      <c r="K59" s="760"/>
      <c r="L59" s="760"/>
      <c r="M59" s="760"/>
      <c r="N59" s="1416"/>
      <c r="O59" s="1416"/>
      <c r="P59" s="2230"/>
    </row>
    <row r="60" spans="1:16" x14ac:dyDescent="0.2">
      <c r="B60" s="1419"/>
      <c r="C60" s="1101"/>
      <c r="D60" s="1519"/>
      <c r="E60" s="1567" t="s">
        <v>1321</v>
      </c>
      <c r="F60" s="1845">
        <v>2010</v>
      </c>
      <c r="G60" s="1845">
        <v>2015</v>
      </c>
      <c r="H60" s="1845">
        <v>2020</v>
      </c>
      <c r="I60" s="1845">
        <v>2025</v>
      </c>
      <c r="J60" s="1845">
        <v>2030</v>
      </c>
      <c r="K60" s="1845">
        <v>2035</v>
      </c>
      <c r="L60" s="1845">
        <v>2040</v>
      </c>
      <c r="M60" s="1845">
        <v>2045</v>
      </c>
      <c r="N60" s="1845">
        <v>2050</v>
      </c>
      <c r="O60" s="1416"/>
      <c r="P60" s="2230"/>
    </row>
    <row r="61" spans="1:16" x14ac:dyDescent="0.2">
      <c r="B61" s="1419"/>
      <c r="C61" s="1846" t="s">
        <v>1871</v>
      </c>
      <c r="D61" s="1519"/>
      <c r="E61" s="1847">
        <f>(N61-F61)/(N$60-F$60)</f>
        <v>0</v>
      </c>
      <c r="F61" s="1566">
        <f>(1.05*NAIRA2010_/Unit.kW)*plantsize.III.b.1</f>
        <v>630000</v>
      </c>
      <c r="G61" s="1566">
        <f t="shared" ref="G61:M63" si="4">($E61*(G$60-F$60))+F61</f>
        <v>630000</v>
      </c>
      <c r="H61" s="1566">
        <f t="shared" si="4"/>
        <v>630000</v>
      </c>
      <c r="I61" s="1566">
        <f t="shared" si="4"/>
        <v>630000</v>
      </c>
      <c r="J61" s="1566">
        <f t="shared" si="4"/>
        <v>630000</v>
      </c>
      <c r="K61" s="1566">
        <f t="shared" si="4"/>
        <v>630000</v>
      </c>
      <c r="L61" s="1566">
        <f t="shared" si="4"/>
        <v>630000</v>
      </c>
      <c r="M61" s="1566">
        <f t="shared" si="4"/>
        <v>630000</v>
      </c>
      <c r="N61" s="1566">
        <f>(1.05*NAIRA2010_/Unit.kW)*plantsize.III.b.1</f>
        <v>630000</v>
      </c>
      <c r="O61" s="1416"/>
      <c r="P61" s="2230"/>
    </row>
    <row r="62" spans="1:16" s="20" customFormat="1" x14ac:dyDescent="0.2">
      <c r="B62" s="1419"/>
      <c r="C62" s="606" t="s">
        <v>1872</v>
      </c>
      <c r="D62" s="107"/>
      <c r="E62" s="188">
        <f>(N62-F62)/(N$60-F$60)</f>
        <v>0</v>
      </c>
      <c r="F62" s="1055">
        <f>(0.9*NAIRA2010_/Unit.kW)*plantsize.III.b.1</f>
        <v>540000</v>
      </c>
      <c r="G62" s="1055">
        <f t="shared" si="4"/>
        <v>540000</v>
      </c>
      <c r="H62" s="1055">
        <f t="shared" si="4"/>
        <v>540000</v>
      </c>
      <c r="I62" s="1055">
        <f t="shared" si="4"/>
        <v>540000</v>
      </c>
      <c r="J62" s="1055">
        <f t="shared" si="4"/>
        <v>540000</v>
      </c>
      <c r="K62" s="1055">
        <f t="shared" si="4"/>
        <v>540000</v>
      </c>
      <c r="L62" s="1055">
        <f t="shared" si="4"/>
        <v>540000</v>
      </c>
      <c r="M62" s="1055">
        <f t="shared" si="4"/>
        <v>540000</v>
      </c>
      <c r="N62" s="1055">
        <f>(0.9*NAIRA2010_/Unit.kW)*plantsize.III.b.1</f>
        <v>540000</v>
      </c>
      <c r="O62" s="1416"/>
      <c r="P62" s="2230"/>
    </row>
    <row r="63" spans="1:16" s="20" customFormat="1" ht="14.25" customHeight="1" x14ac:dyDescent="0.2">
      <c r="B63" s="1419"/>
      <c r="C63" s="1731" t="s">
        <v>1873</v>
      </c>
      <c r="D63" s="189"/>
      <c r="E63" s="191">
        <f>(N63-F63)/(N$60-F$60)</f>
        <v>0</v>
      </c>
      <c r="F63" s="1056">
        <f>(0.75*NAIRA2010_/Unit.kW)*plantsize.III.b.1</f>
        <v>450000</v>
      </c>
      <c r="G63" s="1056">
        <f t="shared" si="4"/>
        <v>450000</v>
      </c>
      <c r="H63" s="1056">
        <f t="shared" si="4"/>
        <v>450000</v>
      </c>
      <c r="I63" s="1056">
        <f t="shared" si="4"/>
        <v>450000</v>
      </c>
      <c r="J63" s="1056">
        <f t="shared" si="4"/>
        <v>450000</v>
      </c>
      <c r="K63" s="1056">
        <f t="shared" si="4"/>
        <v>450000</v>
      </c>
      <c r="L63" s="1056">
        <f t="shared" si="4"/>
        <v>450000</v>
      </c>
      <c r="M63" s="1056">
        <f t="shared" si="4"/>
        <v>450000</v>
      </c>
      <c r="N63" s="1056">
        <f>(0.75*NAIRA2010_/Unit.kW)*plantsize.III.b.1</f>
        <v>450000</v>
      </c>
      <c r="O63" s="1416"/>
      <c r="P63" s="2230"/>
    </row>
    <row r="64" spans="1:16" ht="15.75" customHeight="1" x14ac:dyDescent="0.2">
      <c r="B64" s="1377"/>
      <c r="C64" s="1377"/>
      <c r="D64" s="1416"/>
      <c r="E64" s="760"/>
      <c r="F64" s="1416"/>
      <c r="G64" s="1416"/>
      <c r="H64" s="1416"/>
      <c r="I64" s="1488"/>
      <c r="J64" s="1488"/>
      <c r="K64" s="1377"/>
      <c r="L64" s="1377"/>
      <c r="M64" s="1377"/>
      <c r="N64" s="1377"/>
      <c r="O64" s="1377"/>
      <c r="P64" s="2230"/>
    </row>
    <row r="65" spans="2:16" x14ac:dyDescent="0.2">
      <c r="B65" s="831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832"/>
    </row>
    <row r="66" spans="2:16" ht="15.75" x14ac:dyDescent="0.2">
      <c r="B66" s="1423" t="s">
        <v>332</v>
      </c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6"/>
    </row>
    <row r="67" spans="2:16" s="84" customFormat="1" ht="5.25" customHeight="1" x14ac:dyDescent="0.2">
      <c r="B67" s="1419"/>
      <c r="C67" s="1416"/>
      <c r="D67" s="1416"/>
      <c r="E67" s="1416"/>
      <c r="F67" s="1416"/>
      <c r="G67" s="1416"/>
      <c r="H67" s="1416"/>
      <c r="I67" s="1416"/>
      <c r="J67" s="1416"/>
      <c r="K67" s="1416"/>
      <c r="L67" s="1416"/>
      <c r="M67" s="1416"/>
      <c r="N67" s="1416"/>
      <c r="O67" s="1420"/>
    </row>
    <row r="68" spans="2:16" x14ac:dyDescent="0.2">
      <c r="B68" s="1419"/>
      <c r="C68" s="1417" t="s">
        <v>298</v>
      </c>
      <c r="D68" s="1416"/>
      <c r="E68" s="176"/>
      <c r="F68" s="1416"/>
      <c r="G68" s="1416"/>
      <c r="H68" s="1416"/>
      <c r="I68" s="1416"/>
      <c r="J68" s="1416"/>
      <c r="K68" s="1416"/>
      <c r="L68" s="1416"/>
      <c r="M68" s="1416"/>
      <c r="N68" s="176" t="str">
        <f>Preferences.PowerUnits</f>
        <v>GW</v>
      </c>
      <c r="O68" s="1420"/>
    </row>
    <row r="69" spans="2:16" ht="4.5" customHeight="1" x14ac:dyDescent="0.2">
      <c r="B69" s="1419"/>
      <c r="C69" s="1416"/>
      <c r="D69" s="1416"/>
      <c r="E69" s="1416"/>
      <c r="F69" s="1416"/>
      <c r="G69" s="1416"/>
      <c r="H69" s="1416"/>
      <c r="I69" s="1416"/>
      <c r="J69" s="1416"/>
      <c r="K69" s="1416"/>
      <c r="L69" s="1416"/>
      <c r="M69" s="1416"/>
      <c r="N69" s="1416"/>
      <c r="O69" s="1420"/>
    </row>
    <row r="70" spans="2:16" ht="15.75" x14ac:dyDescent="0.25">
      <c r="B70" s="397"/>
      <c r="C70" s="98" t="s">
        <v>264</v>
      </c>
      <c r="D70" s="98" t="s">
        <v>65</v>
      </c>
      <c r="E70" s="98" t="s">
        <v>172</v>
      </c>
      <c r="F70" s="218">
        <v>2010</v>
      </c>
      <c r="G70" s="217">
        <v>2015</v>
      </c>
      <c r="H70" s="217">
        <v>2020</v>
      </c>
      <c r="I70" s="217">
        <v>2025</v>
      </c>
      <c r="J70" s="217">
        <v>2030</v>
      </c>
      <c r="K70" s="217">
        <v>2035</v>
      </c>
      <c r="L70" s="217">
        <v>2040</v>
      </c>
      <c r="M70" s="217">
        <v>2045</v>
      </c>
      <c r="N70" s="217">
        <v>2050</v>
      </c>
      <c r="O70" s="1420"/>
    </row>
    <row r="71" spans="2:16" ht="13.5" customHeight="1" x14ac:dyDescent="0.2">
      <c r="B71" s="399"/>
      <c r="C71" s="121" t="s">
        <v>8</v>
      </c>
      <c r="D71" s="122" t="str">
        <f>INDEX(Vectors[Description], MATCH($C71,Vectors[Code], 0))</f>
        <v>Hydro</v>
      </c>
      <c r="E71" s="122"/>
      <c r="F71" s="889">
        <f t="shared" ref="F71:N71" si="5">F20</f>
        <v>1.9</v>
      </c>
      <c r="G71" s="1036">
        <f t="shared" si="5"/>
        <v>1.9</v>
      </c>
      <c r="H71" s="1036">
        <f t="shared" si="5"/>
        <v>3.24</v>
      </c>
      <c r="I71" s="1036">
        <f t="shared" si="5"/>
        <v>4.57</v>
      </c>
      <c r="J71" s="1036">
        <f t="shared" si="5"/>
        <v>5.91</v>
      </c>
      <c r="K71" s="1036">
        <f t="shared" si="5"/>
        <v>7.24</v>
      </c>
      <c r="L71" s="1036">
        <f t="shared" si="5"/>
        <v>8.58</v>
      </c>
      <c r="M71" s="1036">
        <f t="shared" si="5"/>
        <v>9.91</v>
      </c>
      <c r="N71" s="1036">
        <f t="shared" si="5"/>
        <v>11.25</v>
      </c>
      <c r="O71" s="1415"/>
      <c r="P71" s="37"/>
    </row>
    <row r="72" spans="2:16" x14ac:dyDescent="0.2">
      <c r="B72" s="460"/>
      <c r="C72" s="432"/>
      <c r="D72" s="433"/>
      <c r="E72" s="433"/>
      <c r="F72" s="487"/>
      <c r="G72" s="487"/>
      <c r="H72" s="487"/>
      <c r="I72" s="487"/>
      <c r="J72" s="487"/>
      <c r="K72" s="487"/>
      <c r="L72" s="487"/>
      <c r="M72" s="487"/>
      <c r="N72" s="487"/>
      <c r="O72" s="403"/>
      <c r="P72" s="37"/>
    </row>
    <row r="73" spans="2:16" x14ac:dyDescent="0.2">
      <c r="P73" s="37"/>
    </row>
    <row r="74" spans="2:16" x14ac:dyDescent="0.2">
      <c r="B74" s="2479" t="s">
        <v>1853</v>
      </c>
      <c r="C74" s="132"/>
      <c r="F74" s="20">
        <v>2010</v>
      </c>
      <c r="G74" s="20">
        <v>2015</v>
      </c>
      <c r="H74" s="20">
        <v>2020</v>
      </c>
      <c r="I74" s="20">
        <v>2025</v>
      </c>
      <c r="J74" s="20">
        <v>2030</v>
      </c>
      <c r="K74" s="20">
        <v>2035</v>
      </c>
      <c r="L74" s="20">
        <v>2040</v>
      </c>
      <c r="M74" s="20">
        <v>2045</v>
      </c>
      <c r="N74" s="20">
        <v>2050</v>
      </c>
      <c r="P74" s="37"/>
    </row>
    <row r="75" spans="2:16" x14ac:dyDescent="0.2">
      <c r="C75" s="1427" t="s">
        <v>328</v>
      </c>
      <c r="E75" s="2479" t="str">
        <f>Preferences.PowerUnits</f>
        <v>GW</v>
      </c>
      <c r="F75" s="23">
        <f t="shared" ref="F75:N75" si="6">F$71</f>
        <v>1.9</v>
      </c>
      <c r="G75" s="23">
        <f t="shared" si="6"/>
        <v>1.9</v>
      </c>
      <c r="H75" s="23">
        <f t="shared" si="6"/>
        <v>3.24</v>
      </c>
      <c r="I75" s="23">
        <f t="shared" si="6"/>
        <v>4.57</v>
      </c>
      <c r="J75" s="23">
        <f t="shared" si="6"/>
        <v>5.91</v>
      </c>
      <c r="K75" s="23">
        <f t="shared" si="6"/>
        <v>7.24</v>
      </c>
      <c r="L75" s="23">
        <f t="shared" si="6"/>
        <v>8.58</v>
      </c>
      <c r="M75" s="23">
        <f t="shared" si="6"/>
        <v>9.91</v>
      </c>
      <c r="N75" s="23">
        <f t="shared" si="6"/>
        <v>11.25</v>
      </c>
      <c r="P75" s="37"/>
    </row>
    <row r="76" spans="2:16" x14ac:dyDescent="0.2">
      <c r="B76" s="131" t="s">
        <v>345</v>
      </c>
      <c r="C76" s="2479" t="s">
        <v>327</v>
      </c>
      <c r="F76" s="15">
        <f t="shared" ref="F76:N76" si="7">F$34</f>
        <v>0.6</v>
      </c>
      <c r="G76" s="15">
        <f t="shared" si="7"/>
        <v>0.6</v>
      </c>
      <c r="H76" s="15">
        <f t="shared" si="7"/>
        <v>0.6</v>
      </c>
      <c r="I76" s="15">
        <f t="shared" si="7"/>
        <v>0.6</v>
      </c>
      <c r="J76" s="15">
        <f t="shared" si="7"/>
        <v>0.6</v>
      </c>
      <c r="K76" s="15">
        <f t="shared" si="7"/>
        <v>0.6</v>
      </c>
      <c r="L76" s="15">
        <f t="shared" si="7"/>
        <v>0.6</v>
      </c>
      <c r="M76" s="15">
        <f t="shared" si="7"/>
        <v>0.6</v>
      </c>
      <c r="N76" s="15">
        <f t="shared" si="7"/>
        <v>0.6</v>
      </c>
      <c r="P76" s="37"/>
    </row>
    <row r="77" spans="2:16" x14ac:dyDescent="0.2">
      <c r="B77" s="132" t="s">
        <v>346</v>
      </c>
      <c r="C77" s="1427" t="s">
        <v>580</v>
      </c>
      <c r="F77" s="114">
        <f t="shared" ref="F77:N77" si="8">F75*F76</f>
        <v>1.1399999999999999</v>
      </c>
      <c r="G77" s="114">
        <f t="shared" si="8"/>
        <v>1.1399999999999999</v>
      </c>
      <c r="H77" s="114">
        <f t="shared" si="8"/>
        <v>1.944</v>
      </c>
      <c r="I77" s="114">
        <f t="shared" si="8"/>
        <v>2.742</v>
      </c>
      <c r="J77" s="114">
        <f t="shared" si="8"/>
        <v>3.5459999999999998</v>
      </c>
      <c r="K77" s="114">
        <f t="shared" si="8"/>
        <v>4.3440000000000003</v>
      </c>
      <c r="L77" s="114">
        <f t="shared" si="8"/>
        <v>5.1479999999999997</v>
      </c>
      <c r="M77" s="114">
        <f t="shared" si="8"/>
        <v>5.9459999999999997</v>
      </c>
      <c r="N77" s="114">
        <f t="shared" si="8"/>
        <v>6.75</v>
      </c>
      <c r="P77" s="37"/>
    </row>
    <row r="78" spans="2:16" x14ac:dyDescent="0.2">
      <c r="B78" s="132"/>
      <c r="C78" s="1427"/>
      <c r="F78" s="114"/>
      <c r="G78" s="114"/>
      <c r="H78" s="114"/>
      <c r="I78" s="114"/>
      <c r="J78" s="114"/>
      <c r="K78" s="114"/>
      <c r="L78" s="114"/>
      <c r="M78" s="114"/>
      <c r="N78" s="114"/>
      <c r="P78" s="37"/>
    </row>
    <row r="79" spans="2:16" x14ac:dyDescent="0.2">
      <c r="C79" s="1427" t="s">
        <v>185</v>
      </c>
      <c r="E79" s="2479" t="str">
        <f>Preferences.EnergyUnits</f>
        <v>TWh</v>
      </c>
      <c r="F79" s="114">
        <f t="shared" ref="F79:N79" si="9">F$77*Preferences.Unit.Power*Unit.year/Preferences.Unit.Energy</f>
        <v>9.9932399999999983</v>
      </c>
      <c r="G79" s="114">
        <f t="shared" si="9"/>
        <v>9.9932399999999983</v>
      </c>
      <c r="H79" s="114">
        <f t="shared" si="9"/>
        <v>17.041104000000001</v>
      </c>
      <c r="I79" s="114">
        <f t="shared" si="9"/>
        <v>24.036372</v>
      </c>
      <c r="J79" s="114">
        <f t="shared" si="9"/>
        <v>31.084236000000001</v>
      </c>
      <c r="K79" s="114">
        <f t="shared" si="9"/>
        <v>38.079504000000007</v>
      </c>
      <c r="L79" s="114">
        <f t="shared" si="9"/>
        <v>45.127367999999997</v>
      </c>
      <c r="M79" s="114">
        <f t="shared" si="9"/>
        <v>52.122636</v>
      </c>
      <c r="N79" s="114">
        <f t="shared" si="9"/>
        <v>59.170499999999997</v>
      </c>
      <c r="P79" s="37"/>
    </row>
    <row r="80" spans="2:16" x14ac:dyDescent="0.2">
      <c r="C80" s="1427"/>
      <c r="F80" s="114"/>
      <c r="G80" s="114"/>
      <c r="H80" s="114"/>
      <c r="I80" s="114"/>
      <c r="J80" s="114"/>
      <c r="K80" s="114"/>
      <c r="L80" s="114"/>
      <c r="M80" s="114"/>
      <c r="N80" s="114"/>
      <c r="P80" s="37"/>
    </row>
    <row r="81" spans="1:16" x14ac:dyDescent="0.2">
      <c r="B81" s="2479" t="s">
        <v>1274</v>
      </c>
      <c r="C81" s="1427"/>
      <c r="F81" s="114"/>
      <c r="G81" s="114"/>
      <c r="H81" s="114"/>
      <c r="I81" s="114"/>
      <c r="J81" s="114"/>
      <c r="K81" s="114"/>
      <c r="L81" s="114"/>
      <c r="M81" s="114"/>
      <c r="N81" s="114"/>
      <c r="P81" s="37"/>
    </row>
    <row r="82" spans="1:16" x14ac:dyDescent="0.2">
      <c r="C82" s="2479" t="str">
        <f>"Approximate number of sites the size of Shiroro"</f>
        <v>Approximate number of sites the size of Shiroro</v>
      </c>
      <c r="E82" s="2479" t="s">
        <v>1275</v>
      </c>
      <c r="F82" s="1262">
        <f t="shared" ref="F82:M82" si="10">F75/$F$39</f>
        <v>3.1666666666666665</v>
      </c>
      <c r="G82" s="1262">
        <f t="shared" si="10"/>
        <v>3.1666666666666665</v>
      </c>
      <c r="H82" s="1262">
        <f t="shared" si="10"/>
        <v>5.4</v>
      </c>
      <c r="I82" s="1262">
        <f t="shared" si="10"/>
        <v>7.6166666666666671</v>
      </c>
      <c r="J82" s="1262">
        <f t="shared" si="10"/>
        <v>9.8500000000000014</v>
      </c>
      <c r="K82" s="1262">
        <f t="shared" si="10"/>
        <v>12.066666666666668</v>
      </c>
      <c r="L82" s="1262">
        <f t="shared" si="10"/>
        <v>14.3</v>
      </c>
      <c r="M82" s="1262">
        <f t="shared" si="10"/>
        <v>16.516666666666669</v>
      </c>
      <c r="N82" s="1262">
        <f>N75/$F$39</f>
        <v>18.75</v>
      </c>
      <c r="P82" s="37"/>
    </row>
    <row r="83" spans="1:16" x14ac:dyDescent="0.2">
      <c r="C83" s="2479" t="s">
        <v>1281</v>
      </c>
      <c r="E83" s="2479" t="str">
        <f>Preferences.AreaUnits</f>
        <v>km^2</v>
      </c>
      <c r="F83" s="1262">
        <f t="shared" ref="F83:N83" si="11">F75/$F$41</f>
        <v>62.181818181818159</v>
      </c>
      <c r="G83" s="1262">
        <f t="shared" si="11"/>
        <v>62.181818181818159</v>
      </c>
      <c r="H83" s="1262">
        <f t="shared" si="11"/>
        <v>106.03636363636362</v>
      </c>
      <c r="I83" s="1262">
        <f t="shared" si="11"/>
        <v>149.56363636363633</v>
      </c>
      <c r="J83" s="1262">
        <f t="shared" si="11"/>
        <v>193.41818181818175</v>
      </c>
      <c r="K83" s="1262">
        <f t="shared" si="11"/>
        <v>236.94545454545448</v>
      </c>
      <c r="L83" s="1262">
        <f t="shared" si="11"/>
        <v>280.7999999999999</v>
      </c>
      <c r="M83" s="1262">
        <f t="shared" si="11"/>
        <v>324.32727272727266</v>
      </c>
      <c r="N83" s="1262">
        <f t="shared" si="11"/>
        <v>368.18181818181807</v>
      </c>
      <c r="P83" s="37"/>
    </row>
    <row r="84" spans="1:16" x14ac:dyDescent="0.2">
      <c r="C84" s="2479" t="s">
        <v>1282</v>
      </c>
      <c r="E84" s="2479" t="str">
        <f>Preferences.AreaUnits</f>
        <v>km^2</v>
      </c>
      <c r="F84" s="1262">
        <f t="shared" ref="F84:O84" si="12">F75/$F$40</f>
        <v>3419.9999999999991</v>
      </c>
      <c r="G84" s="1262">
        <f t="shared" si="12"/>
        <v>3419.9999999999991</v>
      </c>
      <c r="H84" s="1262">
        <f t="shared" si="12"/>
        <v>5831.9999999999991</v>
      </c>
      <c r="I84" s="1262">
        <f t="shared" si="12"/>
        <v>8225.9999999999982</v>
      </c>
      <c r="J84" s="1262">
        <f t="shared" si="12"/>
        <v>10637.999999999998</v>
      </c>
      <c r="K84" s="1262">
        <f t="shared" si="12"/>
        <v>13031.999999999998</v>
      </c>
      <c r="L84" s="1262">
        <f t="shared" si="12"/>
        <v>15443.999999999996</v>
      </c>
      <c r="M84" s="1262">
        <f t="shared" si="12"/>
        <v>17837.999999999996</v>
      </c>
      <c r="N84" s="1262">
        <f t="shared" si="12"/>
        <v>20249.999999999996</v>
      </c>
      <c r="O84" s="1262">
        <f t="shared" si="12"/>
        <v>0</v>
      </c>
      <c r="P84" s="37"/>
    </row>
    <row r="85" spans="1:16" x14ac:dyDescent="0.2">
      <c r="F85" s="1262"/>
      <c r="G85" s="1262"/>
      <c r="H85" s="1262"/>
      <c r="I85" s="1262"/>
      <c r="J85" s="1262"/>
      <c r="K85" s="1262"/>
      <c r="L85" s="1262"/>
      <c r="M85" s="1262"/>
      <c r="N85" s="1262"/>
      <c r="O85" s="1262"/>
      <c r="P85" s="37"/>
    </row>
    <row r="86" spans="1:16" ht="16.5" customHeight="1" x14ac:dyDescent="0.3">
      <c r="A86" s="1422"/>
      <c r="C86" s="2479" t="s">
        <v>1641</v>
      </c>
      <c r="F86" s="1262"/>
      <c r="G86" s="1262"/>
      <c r="H86" s="1262"/>
      <c r="I86" s="1262"/>
      <c r="J86" s="1262"/>
      <c r="K86" s="1262"/>
      <c r="L86" s="1262"/>
      <c r="M86" s="1262"/>
      <c r="N86" s="1262"/>
      <c r="O86" s="1262"/>
      <c r="P86" s="37"/>
    </row>
    <row r="87" spans="1:16" x14ac:dyDescent="0.2">
      <c r="C87" s="2479" t="s">
        <v>1445</v>
      </c>
      <c r="F87" s="1262">
        <v>0</v>
      </c>
      <c r="G87" s="1026">
        <f t="shared" ref="G87:M87" si="13">(G82-F82)/(G70-F70)</f>
        <v>0</v>
      </c>
      <c r="H87" s="1026">
        <f t="shared" si="13"/>
        <v>0.44666666666666677</v>
      </c>
      <c r="I87" s="1026">
        <f t="shared" si="13"/>
        <v>0.44333333333333336</v>
      </c>
      <c r="J87" s="1026">
        <f t="shared" si="13"/>
        <v>0.44666666666666688</v>
      </c>
      <c r="K87" s="1026">
        <f t="shared" si="13"/>
        <v>0.44333333333333336</v>
      </c>
      <c r="L87" s="1026">
        <f t="shared" si="13"/>
        <v>0.44666666666666649</v>
      </c>
      <c r="M87" s="1026">
        <f t="shared" si="13"/>
        <v>0.44333333333333369</v>
      </c>
      <c r="N87" s="1026">
        <f>(N82-M82+N86)/(N70-M70)</f>
        <v>0.44666666666666616</v>
      </c>
      <c r="O87" s="1262"/>
    </row>
    <row r="88" spans="1:16" ht="12" customHeight="1" x14ac:dyDescent="0.2">
      <c r="O88" s="1262"/>
    </row>
    <row r="89" spans="1:16" ht="12.75" customHeight="1" x14ac:dyDescent="0.2">
      <c r="B89" s="2479" t="s">
        <v>1420</v>
      </c>
      <c r="F89" s="1262"/>
      <c r="G89" s="1262"/>
      <c r="H89" s="1262"/>
      <c r="I89" s="1262"/>
      <c r="J89" s="1262"/>
      <c r="K89" s="1262"/>
      <c r="L89" s="1262"/>
      <c r="M89" s="1262"/>
      <c r="N89" s="1262"/>
      <c r="O89" s="1262"/>
    </row>
    <row r="90" spans="1:16" x14ac:dyDescent="0.2">
      <c r="C90" s="2479" t="s">
        <v>1418</v>
      </c>
      <c r="E90" s="2479" t="str">
        <f>Preferences.moneyunits</f>
        <v>N</v>
      </c>
      <c r="F90" s="1262">
        <f>F87*F$56</f>
        <v>0</v>
      </c>
      <c r="G90" s="1262">
        <f t="shared" ref="G90:N90" si="14">G87*G$56</f>
        <v>0</v>
      </c>
      <c r="H90" s="1262">
        <f t="shared" si="14"/>
        <v>120600000000.00003</v>
      </c>
      <c r="I90" s="1262">
        <f t="shared" si="14"/>
        <v>119700000000</v>
      </c>
      <c r="J90" s="1262">
        <f t="shared" si="14"/>
        <v>120600000000.00006</v>
      </c>
      <c r="K90" s="1262">
        <f t="shared" si="14"/>
        <v>119700000000</v>
      </c>
      <c r="L90" s="1262">
        <f t="shared" si="14"/>
        <v>120599999999.99995</v>
      </c>
      <c r="M90" s="1262">
        <f t="shared" si="14"/>
        <v>119700000000.00009</v>
      </c>
      <c r="N90" s="1262">
        <f t="shared" si="14"/>
        <v>120599999999.99986</v>
      </c>
      <c r="O90" s="1262"/>
    </row>
    <row r="91" spans="1:16" x14ac:dyDescent="0.2">
      <c r="C91" s="2479" t="s">
        <v>1419</v>
      </c>
      <c r="E91" s="2479" t="str">
        <f>Preferences.moneyunits</f>
        <v>N</v>
      </c>
      <c r="F91" s="1262">
        <f t="shared" ref="F91:N91" si="15">F82*F63</f>
        <v>1425000</v>
      </c>
      <c r="G91" s="1262">
        <f t="shared" si="15"/>
        <v>1425000</v>
      </c>
      <c r="H91" s="1262">
        <f t="shared" si="15"/>
        <v>2430000</v>
      </c>
      <c r="I91" s="1262">
        <f t="shared" si="15"/>
        <v>3427500</v>
      </c>
      <c r="J91" s="1262">
        <f t="shared" si="15"/>
        <v>4432500.0000000009</v>
      </c>
      <c r="K91" s="1262">
        <f t="shared" si="15"/>
        <v>5430000.0000000009</v>
      </c>
      <c r="L91" s="1262">
        <f t="shared" si="15"/>
        <v>6435000</v>
      </c>
      <c r="M91" s="1262">
        <f t="shared" si="15"/>
        <v>7432500.0000000009</v>
      </c>
      <c r="N91" s="1262">
        <f t="shared" si="15"/>
        <v>8437500</v>
      </c>
      <c r="O91" s="1262"/>
    </row>
    <row r="92" spans="1:16" x14ac:dyDescent="0.2">
      <c r="C92" s="2479" t="s">
        <v>1421</v>
      </c>
      <c r="E92" s="2479" t="str">
        <f>Preferences.moneyunits</f>
        <v>N</v>
      </c>
      <c r="F92" s="1262">
        <f t="shared" ref="F92:N92" si="16">SUM(F90:F91)</f>
        <v>1425000</v>
      </c>
      <c r="G92" s="1262">
        <f t="shared" si="16"/>
        <v>1425000</v>
      </c>
      <c r="H92" s="1262">
        <f t="shared" si="16"/>
        <v>120602430000.00003</v>
      </c>
      <c r="I92" s="1262">
        <f t="shared" si="16"/>
        <v>119703427500</v>
      </c>
      <c r="J92" s="1262">
        <f t="shared" si="16"/>
        <v>120604432500.00006</v>
      </c>
      <c r="K92" s="1262">
        <f t="shared" si="16"/>
        <v>119705430000</v>
      </c>
      <c r="L92" s="1262">
        <f t="shared" si="16"/>
        <v>120606434999.99995</v>
      </c>
      <c r="M92" s="1262">
        <f t="shared" si="16"/>
        <v>119707432500.00009</v>
      </c>
      <c r="N92" s="1262">
        <f t="shared" si="16"/>
        <v>120608437499.99986</v>
      </c>
      <c r="O92" s="1262"/>
    </row>
    <row r="93" spans="1:16" x14ac:dyDescent="0.2">
      <c r="C93" s="1427"/>
      <c r="F93" s="114"/>
      <c r="G93" s="114"/>
      <c r="H93" s="114"/>
      <c r="I93" s="114"/>
      <c r="J93" s="114"/>
      <c r="K93" s="114"/>
      <c r="L93" s="114"/>
      <c r="M93" s="114"/>
      <c r="N93" s="114"/>
      <c r="O93" s="1262"/>
    </row>
    <row r="94" spans="1:16" x14ac:dyDescent="0.2">
      <c r="B94" s="2479" t="s">
        <v>1874</v>
      </c>
      <c r="F94" s="1262"/>
      <c r="G94" s="1262"/>
      <c r="H94" s="1262"/>
      <c r="I94" s="1262"/>
      <c r="J94" s="1262"/>
      <c r="K94" s="1262"/>
      <c r="L94" s="1262"/>
      <c r="M94" s="1262"/>
      <c r="N94" s="1262"/>
      <c r="O94" s="1262"/>
    </row>
    <row r="95" spans="1:16" x14ac:dyDescent="0.2">
      <c r="C95" s="2479" t="s">
        <v>1418</v>
      </c>
      <c r="E95" s="2479" t="str">
        <f>Preferences.moneyunits</f>
        <v>N</v>
      </c>
      <c r="F95" s="1262">
        <f>F87*F$55</f>
        <v>0</v>
      </c>
      <c r="G95" s="1262">
        <f t="shared" ref="G95:N95" si="17">G87*G$55</f>
        <v>0</v>
      </c>
      <c r="H95" s="1262">
        <f t="shared" si="17"/>
        <v>140700000000.00003</v>
      </c>
      <c r="I95" s="1262">
        <f t="shared" si="17"/>
        <v>139650000000</v>
      </c>
      <c r="J95" s="1262">
        <f t="shared" si="17"/>
        <v>140700000000.00006</v>
      </c>
      <c r="K95" s="1262">
        <f t="shared" si="17"/>
        <v>139650000000</v>
      </c>
      <c r="L95" s="1262">
        <f t="shared" si="17"/>
        <v>140699999999.99994</v>
      </c>
      <c r="M95" s="1262">
        <f t="shared" si="17"/>
        <v>139650000000.00012</v>
      </c>
      <c r="N95" s="1262">
        <f t="shared" si="17"/>
        <v>140699999999.99985</v>
      </c>
      <c r="O95" s="1262"/>
    </row>
    <row r="96" spans="1:16" x14ac:dyDescent="0.2">
      <c r="C96" s="2479" t="s">
        <v>1419</v>
      </c>
      <c r="E96" s="2479" t="str">
        <f>Preferences.moneyunits</f>
        <v>N</v>
      </c>
      <c r="F96" s="1262">
        <f t="shared" ref="F96:M96" si="18">F82*F62</f>
        <v>1710000</v>
      </c>
      <c r="G96" s="1262">
        <f t="shared" si="18"/>
        <v>1710000</v>
      </c>
      <c r="H96" s="1262">
        <f t="shared" si="18"/>
        <v>2916000</v>
      </c>
      <c r="I96" s="1262">
        <f t="shared" si="18"/>
        <v>4113000.0000000005</v>
      </c>
      <c r="J96" s="1262">
        <f t="shared" si="18"/>
        <v>5319000.0000000009</v>
      </c>
      <c r="K96" s="1262">
        <f t="shared" si="18"/>
        <v>6516000.0000000009</v>
      </c>
      <c r="L96" s="1262">
        <f t="shared" si="18"/>
        <v>7722000</v>
      </c>
      <c r="M96" s="1262">
        <f t="shared" si="18"/>
        <v>8919000.0000000019</v>
      </c>
      <c r="N96" s="1262">
        <f>N82*N62</f>
        <v>10125000</v>
      </c>
      <c r="O96" s="1262"/>
    </row>
    <row r="97" spans="2:16" x14ac:dyDescent="0.2">
      <c r="C97" s="2479" t="s">
        <v>1421</v>
      </c>
      <c r="E97" s="2479" t="str">
        <f>Preferences.moneyunits</f>
        <v>N</v>
      </c>
      <c r="F97" s="1262">
        <f t="shared" ref="F97:N97" si="19">SUM(F95:F96)</f>
        <v>1710000</v>
      </c>
      <c r="G97" s="1262">
        <f t="shared" si="19"/>
        <v>1710000</v>
      </c>
      <c r="H97" s="1262">
        <f t="shared" si="19"/>
        <v>140702916000.00003</v>
      </c>
      <c r="I97" s="1262">
        <f t="shared" si="19"/>
        <v>139654113000</v>
      </c>
      <c r="J97" s="1262">
        <f t="shared" si="19"/>
        <v>140705319000.00006</v>
      </c>
      <c r="K97" s="1262">
        <f t="shared" si="19"/>
        <v>139656516000</v>
      </c>
      <c r="L97" s="1262">
        <f t="shared" si="19"/>
        <v>140707721999.99994</v>
      </c>
      <c r="M97" s="1262">
        <f t="shared" si="19"/>
        <v>139658919000.00012</v>
      </c>
      <c r="N97" s="1262">
        <f t="shared" si="19"/>
        <v>140710124999.99985</v>
      </c>
    </row>
    <row r="98" spans="2:16" x14ac:dyDescent="0.2">
      <c r="F98" s="1262"/>
      <c r="G98" s="1262"/>
      <c r="H98" s="1262"/>
      <c r="I98" s="1262"/>
      <c r="J98" s="1262"/>
      <c r="K98" s="1262"/>
      <c r="L98" s="1262"/>
      <c r="M98" s="1262"/>
      <c r="N98" s="1262"/>
    </row>
    <row r="99" spans="2:16" x14ac:dyDescent="0.2">
      <c r="B99" s="2479" t="s">
        <v>1422</v>
      </c>
      <c r="F99" s="1262"/>
      <c r="G99" s="1262"/>
      <c r="H99" s="1262"/>
      <c r="I99" s="1262"/>
      <c r="J99" s="1262"/>
      <c r="K99" s="1262"/>
      <c r="L99" s="1262"/>
      <c r="M99" s="1262"/>
      <c r="N99" s="1262"/>
    </row>
    <row r="100" spans="2:16" x14ac:dyDescent="0.2">
      <c r="C100" s="2479" t="s">
        <v>1418</v>
      </c>
      <c r="E100" s="2479" t="str">
        <f>Preferences.moneyunits</f>
        <v>N</v>
      </c>
      <c r="F100" s="1262">
        <f t="shared" ref="F100:N100" si="20">F87*F$54</f>
        <v>0</v>
      </c>
      <c r="G100" s="1262">
        <f t="shared" si="20"/>
        <v>0</v>
      </c>
      <c r="H100" s="1262">
        <f t="shared" si="20"/>
        <v>160800000000.00003</v>
      </c>
      <c r="I100" s="1262">
        <f t="shared" si="20"/>
        <v>159600000000</v>
      </c>
      <c r="J100" s="1262">
        <f t="shared" si="20"/>
        <v>160800000000.00006</v>
      </c>
      <c r="K100" s="1262">
        <f t="shared" si="20"/>
        <v>159600000000</v>
      </c>
      <c r="L100" s="1262">
        <f t="shared" si="20"/>
        <v>160799999999.99994</v>
      </c>
      <c r="M100" s="1262">
        <f t="shared" si="20"/>
        <v>159600000000.00012</v>
      </c>
      <c r="N100" s="1262">
        <f t="shared" si="20"/>
        <v>160799999999.99982</v>
      </c>
    </row>
    <row r="101" spans="2:16" x14ac:dyDescent="0.2">
      <c r="C101" s="2479" t="s">
        <v>1419</v>
      </c>
      <c r="E101" s="2479" t="str">
        <f>Preferences.moneyunits</f>
        <v>N</v>
      </c>
      <c r="F101" s="1262">
        <f t="shared" ref="F101:N101" si="21">F82*F61</f>
        <v>1995000</v>
      </c>
      <c r="G101" s="1262">
        <f t="shared" si="21"/>
        <v>1995000</v>
      </c>
      <c r="H101" s="1262">
        <f t="shared" si="21"/>
        <v>3402000</v>
      </c>
      <c r="I101" s="1262">
        <f t="shared" si="21"/>
        <v>4798500</v>
      </c>
      <c r="J101" s="1262">
        <f t="shared" si="21"/>
        <v>6205500.0000000009</v>
      </c>
      <c r="K101" s="1262">
        <f t="shared" si="21"/>
        <v>7602000.0000000009</v>
      </c>
      <c r="L101" s="1262">
        <f t="shared" si="21"/>
        <v>9009000</v>
      </c>
      <c r="M101" s="1262">
        <f t="shared" si="21"/>
        <v>10405500.000000002</v>
      </c>
      <c r="N101" s="1262">
        <f t="shared" si="21"/>
        <v>11812500</v>
      </c>
    </row>
    <row r="102" spans="2:16" x14ac:dyDescent="0.2">
      <c r="C102" s="2479" t="s">
        <v>1421</v>
      </c>
      <c r="E102" s="2479" t="str">
        <f>Preferences.moneyunits</f>
        <v>N</v>
      </c>
      <c r="F102" s="1262">
        <f t="shared" ref="F102:N102" si="22">SUM(F100:F101)</f>
        <v>1995000</v>
      </c>
      <c r="G102" s="1262">
        <f t="shared" si="22"/>
        <v>1995000</v>
      </c>
      <c r="H102" s="1262">
        <f t="shared" si="22"/>
        <v>160803402000.00003</v>
      </c>
      <c r="I102" s="1262">
        <f t="shared" si="22"/>
        <v>159604798500</v>
      </c>
      <c r="J102" s="1262">
        <f t="shared" si="22"/>
        <v>160806205500.00006</v>
      </c>
      <c r="K102" s="1262">
        <f t="shared" si="22"/>
        <v>159607602000</v>
      </c>
      <c r="L102" s="1262">
        <f t="shared" si="22"/>
        <v>160809008999.99994</v>
      </c>
      <c r="M102" s="1262">
        <f t="shared" si="22"/>
        <v>159610405500.00012</v>
      </c>
      <c r="N102" s="1262">
        <f t="shared" si="22"/>
        <v>160811812499.99982</v>
      </c>
    </row>
    <row r="106" spans="2:16" ht="15.75" x14ac:dyDescent="0.2">
      <c r="B106" s="468" t="s">
        <v>236</v>
      </c>
      <c r="C106" s="421"/>
      <c r="D106" s="421"/>
      <c r="E106" s="421"/>
      <c r="F106" s="421"/>
      <c r="G106" s="421"/>
      <c r="H106" s="421"/>
      <c r="I106" s="421"/>
      <c r="J106" s="421"/>
      <c r="K106" s="421"/>
      <c r="L106" s="421"/>
      <c r="M106" s="421"/>
      <c r="N106" s="421"/>
      <c r="O106" s="421"/>
      <c r="P106" s="423"/>
    </row>
    <row r="107" spans="2:16" x14ac:dyDescent="0.2">
      <c r="B107" s="410"/>
      <c r="C107" s="412"/>
      <c r="D107" s="412"/>
      <c r="E107" s="412"/>
      <c r="F107" s="412"/>
      <c r="G107" s="412"/>
      <c r="H107" s="412"/>
      <c r="I107" s="412"/>
      <c r="J107" s="412"/>
      <c r="K107" s="412"/>
      <c r="L107" s="412"/>
      <c r="M107" s="412"/>
      <c r="N107" s="412"/>
      <c r="O107" s="412"/>
      <c r="P107" s="414"/>
    </row>
    <row r="108" spans="2:16" x14ac:dyDescent="0.2">
      <c r="B108" s="410"/>
      <c r="C108" s="424" t="s">
        <v>277</v>
      </c>
      <c r="D108" s="412"/>
      <c r="E108" s="413"/>
      <c r="F108" s="412"/>
      <c r="G108" s="413"/>
      <c r="H108" s="412"/>
      <c r="I108" s="412"/>
      <c r="J108" s="412"/>
      <c r="K108" s="412"/>
      <c r="L108" s="412"/>
      <c r="M108" s="412"/>
      <c r="N108" s="413" t="str">
        <f>Preferences.EnergyUnits</f>
        <v>TWh</v>
      </c>
      <c r="P108" s="414"/>
    </row>
    <row r="109" spans="2:16" x14ac:dyDescent="0.2">
      <c r="B109" s="410"/>
      <c r="C109" s="412"/>
      <c r="D109" s="412"/>
      <c r="E109" s="412"/>
      <c r="F109" s="412"/>
      <c r="G109" s="412"/>
      <c r="H109" s="412"/>
      <c r="I109" s="412"/>
      <c r="J109" s="412"/>
      <c r="K109" s="412"/>
      <c r="L109" s="412"/>
      <c r="M109" s="412"/>
      <c r="N109" s="412"/>
      <c r="O109" s="412"/>
      <c r="P109" s="414"/>
    </row>
    <row r="110" spans="2:16" ht="15.75" x14ac:dyDescent="0.25">
      <c r="B110" s="415"/>
      <c r="C110" s="426" t="s">
        <v>64</v>
      </c>
      <c r="D110" s="426" t="s">
        <v>150</v>
      </c>
      <c r="E110" s="426" t="s">
        <v>172</v>
      </c>
      <c r="F110" s="426" t="s">
        <v>241</v>
      </c>
      <c r="G110" s="426" t="s">
        <v>268</v>
      </c>
      <c r="H110" s="426" t="s">
        <v>269</v>
      </c>
      <c r="I110" s="426" t="s">
        <v>270</v>
      </c>
      <c r="J110" s="426" t="s">
        <v>271</v>
      </c>
      <c r="K110" s="426" t="s">
        <v>272</v>
      </c>
      <c r="L110" s="426" t="s">
        <v>273</v>
      </c>
      <c r="M110" s="426" t="s">
        <v>274</v>
      </c>
      <c r="N110" s="426" t="s">
        <v>275</v>
      </c>
      <c r="O110" s="414"/>
    </row>
    <row r="111" spans="2:16" ht="15.75" x14ac:dyDescent="0.25">
      <c r="B111" s="415"/>
      <c r="C111" s="97" t="s">
        <v>35</v>
      </c>
      <c r="D111" s="97" t="str">
        <f>INDEX(Vectors[Description], MATCH(III.b.1.Outputs[Vector], Vectors[Code], 0))</f>
        <v>Electricity (supplied to grid)</v>
      </c>
      <c r="E111" s="97"/>
      <c r="F111" s="241">
        <f t="shared" ref="F111:N111" si="23">F$79</f>
        <v>9.9932399999999983</v>
      </c>
      <c r="G111" s="241">
        <f t="shared" si="23"/>
        <v>9.9932399999999983</v>
      </c>
      <c r="H111" s="241">
        <f t="shared" si="23"/>
        <v>17.041104000000001</v>
      </c>
      <c r="I111" s="241">
        <f t="shared" si="23"/>
        <v>24.036372</v>
      </c>
      <c r="J111" s="241">
        <f t="shared" si="23"/>
        <v>31.084236000000001</v>
      </c>
      <c r="K111" s="241">
        <f t="shared" si="23"/>
        <v>38.079504000000007</v>
      </c>
      <c r="L111" s="241">
        <f t="shared" si="23"/>
        <v>45.127367999999997</v>
      </c>
      <c r="M111" s="241">
        <f t="shared" si="23"/>
        <v>52.122636</v>
      </c>
      <c r="N111" s="241">
        <f t="shared" si="23"/>
        <v>59.170499999999997</v>
      </c>
      <c r="O111" s="414"/>
    </row>
    <row r="112" spans="2:16" ht="15.75" x14ac:dyDescent="0.25">
      <c r="B112" s="415"/>
      <c r="C112" s="97" t="s">
        <v>8</v>
      </c>
      <c r="D112" s="97" t="str">
        <f>INDEX(Vectors[Description], MATCH(III.b.1.Outputs[Vector], Vectors[Code], 0))</f>
        <v>Hydro</v>
      </c>
      <c r="E112" s="97"/>
      <c r="F112" s="241">
        <f t="shared" ref="F112:N112" si="24">-F79</f>
        <v>-9.9932399999999983</v>
      </c>
      <c r="G112" s="241">
        <f t="shared" si="24"/>
        <v>-9.9932399999999983</v>
      </c>
      <c r="H112" s="241">
        <f t="shared" si="24"/>
        <v>-17.041104000000001</v>
      </c>
      <c r="I112" s="241">
        <f t="shared" si="24"/>
        <v>-24.036372</v>
      </c>
      <c r="J112" s="241">
        <f t="shared" si="24"/>
        <v>-31.084236000000001</v>
      </c>
      <c r="K112" s="241">
        <f t="shared" si="24"/>
        <v>-38.079504000000007</v>
      </c>
      <c r="L112" s="241">
        <f t="shared" si="24"/>
        <v>-45.127367999999997</v>
      </c>
      <c r="M112" s="241">
        <f t="shared" si="24"/>
        <v>-52.122636</v>
      </c>
      <c r="N112" s="241">
        <f t="shared" si="24"/>
        <v>-59.170499999999997</v>
      </c>
      <c r="O112" s="414"/>
    </row>
    <row r="113" spans="1:17" ht="15.75" x14ac:dyDescent="0.25">
      <c r="B113" s="415"/>
      <c r="C113" s="97" t="s">
        <v>105</v>
      </c>
      <c r="D113" s="97"/>
      <c r="E113" s="97"/>
      <c r="F113" s="97">
        <f>SUBTOTAL(109,III.b.1.Outputs[2010])</f>
        <v>0</v>
      </c>
      <c r="G113" s="97">
        <f>SUBTOTAL(109,III.b.1.Outputs[2015])</f>
        <v>0</v>
      </c>
      <c r="H113" s="97">
        <f>SUBTOTAL(109,III.b.1.Outputs[2020])</f>
        <v>0</v>
      </c>
      <c r="I113" s="97">
        <f>SUBTOTAL(109,III.b.1.Outputs[2025])</f>
        <v>0</v>
      </c>
      <c r="J113" s="97">
        <f>SUBTOTAL(109,III.b.1.Outputs[2030])</f>
        <v>0</v>
      </c>
      <c r="K113" s="97">
        <f>SUBTOTAL(109,III.b.1.Outputs[2035])</f>
        <v>0</v>
      </c>
      <c r="L113" s="97">
        <f>SUBTOTAL(109,III.b.1.Outputs[2040])</f>
        <v>0</v>
      </c>
      <c r="M113" s="97">
        <f>SUBTOTAL(109,III.b.1.Outputs[2045])</f>
        <v>0</v>
      </c>
      <c r="N113" s="97">
        <f>SUBTOTAL(109,III.b.1.Outputs[2050])</f>
        <v>0</v>
      </c>
      <c r="O113" s="414"/>
    </row>
    <row r="114" spans="1:17" ht="15.75" x14ac:dyDescent="0.25">
      <c r="B114" s="416"/>
      <c r="C114" s="417"/>
      <c r="D114" s="417"/>
      <c r="E114" s="417"/>
      <c r="F114" s="417"/>
      <c r="G114" s="417"/>
      <c r="H114" s="417"/>
      <c r="I114" s="417"/>
      <c r="J114" s="417"/>
      <c r="K114" s="417"/>
      <c r="L114" s="417"/>
      <c r="M114" s="417"/>
      <c r="N114" s="417"/>
      <c r="O114" s="417"/>
      <c r="P114" s="419"/>
      <c r="Q114" s="1245"/>
    </row>
    <row r="115" spans="1:17" x14ac:dyDescent="0.2">
      <c r="Q115" s="1245"/>
    </row>
    <row r="116" spans="1:17" ht="15.75" x14ac:dyDescent="0.2">
      <c r="B116" s="1430" t="s">
        <v>1225</v>
      </c>
      <c r="C116" s="1218"/>
      <c r="D116" s="1431"/>
      <c r="E116" s="1431"/>
      <c r="F116" s="1431"/>
      <c r="G116" s="1431"/>
      <c r="H116" s="1431"/>
      <c r="I116" s="1431"/>
      <c r="J116" s="1431"/>
      <c r="K116" s="1431"/>
      <c r="L116" s="1431"/>
      <c r="M116" s="1431"/>
      <c r="N116" s="1431"/>
      <c r="O116" s="1431"/>
      <c r="P116" s="1432"/>
      <c r="Q116" s="1245"/>
    </row>
    <row r="117" spans="1:17" x14ac:dyDescent="0.2">
      <c r="B117" s="1219"/>
      <c r="C117" s="1220"/>
      <c r="D117" s="1220"/>
      <c r="E117" s="1220"/>
      <c r="F117" s="1220"/>
      <c r="G117" s="1220"/>
      <c r="H117" s="1220"/>
      <c r="I117" s="1220"/>
      <c r="J117" s="1220"/>
      <c r="K117" s="1220"/>
      <c r="L117" s="1220"/>
      <c r="M117" s="1220"/>
      <c r="N117" s="1220"/>
      <c r="O117" s="1220"/>
      <c r="P117" s="1221"/>
      <c r="Q117" s="1245"/>
    </row>
    <row r="118" spans="1:17" x14ac:dyDescent="0.2">
      <c r="B118" s="1433"/>
      <c r="C118" s="1222" t="s">
        <v>1230</v>
      </c>
      <c r="D118" s="1434"/>
      <c r="E118" s="1223"/>
      <c r="F118" s="1434"/>
      <c r="G118" s="1223"/>
      <c r="H118" s="1434"/>
      <c r="I118" s="1434"/>
      <c r="J118" s="1434"/>
      <c r="K118" s="1434"/>
      <c r="L118" s="1434"/>
      <c r="M118" s="1434"/>
      <c r="N118" s="1434"/>
      <c r="O118" s="1223"/>
      <c r="P118" s="1435"/>
      <c r="Q118" s="1245"/>
    </row>
    <row r="119" spans="1:17" x14ac:dyDescent="0.2">
      <c r="B119" s="1433"/>
      <c r="C119" s="1434"/>
      <c r="D119" s="1434"/>
      <c r="E119" s="1434"/>
      <c r="F119" s="1434"/>
      <c r="G119" s="1434"/>
      <c r="H119" s="1434"/>
      <c r="I119" s="1434"/>
      <c r="J119" s="1434"/>
      <c r="K119" s="1434"/>
      <c r="L119" s="1434"/>
      <c r="M119" s="1434"/>
      <c r="N119" s="1434"/>
      <c r="O119" s="1434"/>
      <c r="P119" s="1435"/>
      <c r="Q119" s="1245"/>
    </row>
    <row r="120" spans="1:17" ht="15.75" x14ac:dyDescent="0.25">
      <c r="B120" s="1436"/>
      <c r="C120" s="1437" t="s">
        <v>64</v>
      </c>
      <c r="D120" s="1437" t="s">
        <v>1226</v>
      </c>
      <c r="E120" s="1437" t="s">
        <v>172</v>
      </c>
      <c r="F120" s="1437" t="s">
        <v>241</v>
      </c>
      <c r="G120" s="1437" t="s">
        <v>268</v>
      </c>
      <c r="H120" s="1437" t="s">
        <v>269</v>
      </c>
      <c r="I120" s="1437" t="s">
        <v>270</v>
      </c>
      <c r="J120" s="1437" t="s">
        <v>271</v>
      </c>
      <c r="K120" s="1437" t="s">
        <v>272</v>
      </c>
      <c r="L120" s="1437" t="s">
        <v>273</v>
      </c>
      <c r="M120" s="1437" t="s">
        <v>274</v>
      </c>
      <c r="N120" s="1437" t="s">
        <v>275</v>
      </c>
      <c r="O120" s="1435"/>
      <c r="P120" s="1245"/>
    </row>
    <row r="121" spans="1:17" ht="15.75" x14ac:dyDescent="0.25">
      <c r="B121" s="1436"/>
      <c r="C121" s="1438" t="s">
        <v>1232</v>
      </c>
      <c r="D121" s="1439" t="s">
        <v>1272</v>
      </c>
      <c r="E121" s="1439" t="str">
        <f>Preferences.PowerUnits</f>
        <v>GW</v>
      </c>
      <c r="F121" s="1226">
        <f t="shared" ref="F121:N121" si="25">F75</f>
        <v>1.9</v>
      </c>
      <c r="G121" s="1226">
        <f t="shared" si="25"/>
        <v>1.9</v>
      </c>
      <c r="H121" s="1226">
        <f t="shared" si="25"/>
        <v>3.24</v>
      </c>
      <c r="I121" s="1226">
        <f t="shared" si="25"/>
        <v>4.57</v>
      </c>
      <c r="J121" s="1226">
        <f t="shared" si="25"/>
        <v>5.91</v>
      </c>
      <c r="K121" s="1226">
        <f t="shared" si="25"/>
        <v>7.24</v>
      </c>
      <c r="L121" s="1226">
        <f t="shared" si="25"/>
        <v>8.58</v>
      </c>
      <c r="M121" s="1226">
        <f t="shared" si="25"/>
        <v>9.91</v>
      </c>
      <c r="N121" s="1226">
        <f t="shared" si="25"/>
        <v>11.25</v>
      </c>
      <c r="O121" s="1435"/>
      <c r="P121" s="1245"/>
    </row>
    <row r="122" spans="1:17" ht="15.75" x14ac:dyDescent="0.25">
      <c r="B122" s="1436"/>
      <c r="C122" s="1438" t="s">
        <v>1233</v>
      </c>
      <c r="D122" s="1439" t="str">
        <f>"Approximate number of sites the size of Glendoe"</f>
        <v>Approximate number of sites the size of Glendoe</v>
      </c>
      <c r="E122" s="1439" t="s">
        <v>1275</v>
      </c>
      <c r="F122" s="1226">
        <f t="shared" ref="F122:N124" si="26">F82</f>
        <v>3.1666666666666665</v>
      </c>
      <c r="G122" s="1226">
        <f t="shared" si="26"/>
        <v>3.1666666666666665</v>
      </c>
      <c r="H122" s="1226">
        <f t="shared" si="26"/>
        <v>5.4</v>
      </c>
      <c r="I122" s="1226">
        <f t="shared" si="26"/>
        <v>7.6166666666666671</v>
      </c>
      <c r="J122" s="1226">
        <f t="shared" si="26"/>
        <v>9.8500000000000014</v>
      </c>
      <c r="K122" s="1226">
        <f t="shared" si="26"/>
        <v>12.066666666666668</v>
      </c>
      <c r="L122" s="1226">
        <f t="shared" si="26"/>
        <v>14.3</v>
      </c>
      <c r="M122" s="1226">
        <f t="shared" si="26"/>
        <v>16.516666666666669</v>
      </c>
      <c r="N122" s="1226">
        <f t="shared" si="26"/>
        <v>18.75</v>
      </c>
      <c r="O122" s="1435"/>
      <c r="P122" s="1245"/>
    </row>
    <row r="123" spans="1:17" ht="15.75" x14ac:dyDescent="0.25">
      <c r="B123" s="1436"/>
      <c r="C123" s="1438" t="s">
        <v>1227</v>
      </c>
      <c r="D123" s="1438" t="s">
        <v>1299</v>
      </c>
      <c r="E123" s="1439" t="str">
        <f>Preferences.AreaUnits</f>
        <v>km^2</v>
      </c>
      <c r="F123" s="1226">
        <f t="shared" si="26"/>
        <v>62.181818181818159</v>
      </c>
      <c r="G123" s="1226">
        <f t="shared" si="26"/>
        <v>62.181818181818159</v>
      </c>
      <c r="H123" s="1226">
        <f t="shared" si="26"/>
        <v>106.03636363636362</v>
      </c>
      <c r="I123" s="1226">
        <f t="shared" si="26"/>
        <v>149.56363636363633</v>
      </c>
      <c r="J123" s="1226">
        <f t="shared" si="26"/>
        <v>193.41818181818175</v>
      </c>
      <c r="K123" s="1226">
        <f t="shared" si="26"/>
        <v>236.94545454545448</v>
      </c>
      <c r="L123" s="1226">
        <f t="shared" si="26"/>
        <v>280.7999999999999</v>
      </c>
      <c r="M123" s="1226">
        <f t="shared" si="26"/>
        <v>324.32727272727266</v>
      </c>
      <c r="N123" s="1226">
        <f t="shared" si="26"/>
        <v>368.18181818181807</v>
      </c>
      <c r="O123" s="1435"/>
      <c r="P123" s="1245"/>
    </row>
    <row r="124" spans="1:17" ht="15.75" x14ac:dyDescent="0.25">
      <c r="B124" s="1436"/>
      <c r="C124" s="1438"/>
      <c r="D124" s="1439" t="s">
        <v>1282</v>
      </c>
      <c r="E124" s="1439" t="str">
        <f>Preferences.AreaUnits</f>
        <v>km^2</v>
      </c>
      <c r="F124" s="1226">
        <f t="shared" si="26"/>
        <v>3419.9999999999991</v>
      </c>
      <c r="G124" s="1226">
        <f t="shared" si="26"/>
        <v>3419.9999999999991</v>
      </c>
      <c r="H124" s="1226">
        <f t="shared" si="26"/>
        <v>5831.9999999999991</v>
      </c>
      <c r="I124" s="1226">
        <f t="shared" si="26"/>
        <v>8225.9999999999982</v>
      </c>
      <c r="J124" s="1226">
        <f t="shared" si="26"/>
        <v>10637.999999999998</v>
      </c>
      <c r="K124" s="1226">
        <f t="shared" si="26"/>
        <v>13031.999999999998</v>
      </c>
      <c r="L124" s="1226">
        <f t="shared" si="26"/>
        <v>15443.999999999996</v>
      </c>
      <c r="M124" s="1226">
        <f t="shared" si="26"/>
        <v>17837.999999999996</v>
      </c>
      <c r="N124" s="1226">
        <f t="shared" si="26"/>
        <v>20249.999999999996</v>
      </c>
      <c r="O124" s="1435"/>
    </row>
    <row r="125" spans="1:17" ht="15.75" collapsed="1" x14ac:dyDescent="0.25">
      <c r="B125" s="1227"/>
      <c r="C125" s="1440"/>
      <c r="D125" s="1440"/>
      <c r="E125" s="1440"/>
      <c r="F125" s="1440"/>
      <c r="G125" s="1440"/>
      <c r="H125" s="1440"/>
      <c r="I125" s="1440"/>
      <c r="J125" s="1440"/>
      <c r="K125" s="1440"/>
      <c r="L125" s="1440"/>
      <c r="M125" s="1440"/>
      <c r="N125" s="1440"/>
      <c r="O125" s="1440"/>
      <c r="P125" s="1224"/>
    </row>
    <row r="126" spans="1:17" ht="22.5" x14ac:dyDescent="0.3">
      <c r="A126" s="1422"/>
    </row>
    <row r="127" spans="1:17" ht="15.75" x14ac:dyDescent="0.2">
      <c r="B127" s="1430" t="s">
        <v>1424</v>
      </c>
      <c r="C127" s="1431"/>
      <c r="D127" s="1431"/>
      <c r="E127" s="1431"/>
      <c r="F127" s="1431"/>
      <c r="G127" s="1431"/>
      <c r="H127" s="1431"/>
      <c r="I127" s="1431"/>
      <c r="J127" s="1431"/>
      <c r="K127" s="1431"/>
      <c r="L127" s="1431"/>
      <c r="M127" s="1431"/>
      <c r="N127" s="1431"/>
      <c r="O127" s="1431"/>
      <c r="P127" s="1432"/>
    </row>
    <row r="128" spans="1:17" x14ac:dyDescent="0.2">
      <c r="B128" s="1433"/>
      <c r="C128" s="1434"/>
      <c r="D128" s="1434"/>
      <c r="E128" s="1434"/>
      <c r="F128" s="1434"/>
      <c r="G128" s="1434"/>
      <c r="H128" s="1434"/>
      <c r="I128" s="1434"/>
      <c r="J128" s="1434"/>
      <c r="K128" s="1434"/>
      <c r="L128" s="1434"/>
      <c r="M128" s="1434"/>
      <c r="N128" s="1434"/>
      <c r="O128" s="1434"/>
      <c r="P128" s="1435"/>
    </row>
    <row r="129" spans="1:16" x14ac:dyDescent="0.2">
      <c r="B129" s="1433"/>
      <c r="C129" s="1441" t="s">
        <v>1425</v>
      </c>
      <c r="D129" s="1442"/>
      <c r="E129" s="1442"/>
      <c r="F129" s="1442"/>
      <c r="G129" s="1442"/>
      <c r="H129" s="1442"/>
      <c r="I129" s="1442"/>
      <c r="J129" s="1442"/>
      <c r="K129" s="1442"/>
      <c r="L129" s="1442"/>
      <c r="M129" s="1442"/>
      <c r="N129" s="1479" t="str">
        <f>Preferences.moneyunits</f>
        <v>N</v>
      </c>
      <c r="P129" s="1435"/>
    </row>
    <row r="130" spans="1:16" ht="4.5" customHeight="1" x14ac:dyDescent="0.25">
      <c r="A130" s="3"/>
      <c r="B130" s="1433"/>
      <c r="C130" s="1434"/>
      <c r="D130" s="1434"/>
      <c r="E130" s="1434"/>
      <c r="F130" s="1434"/>
      <c r="G130" s="1434"/>
      <c r="H130" s="1434"/>
      <c r="I130" s="1434"/>
      <c r="J130" s="1434"/>
      <c r="K130" s="1434"/>
      <c r="L130" s="1434"/>
      <c r="M130" s="1434"/>
      <c r="N130" s="1434"/>
      <c r="O130" s="1434"/>
      <c r="P130" s="1435"/>
    </row>
    <row r="131" spans="1:16" ht="15.75" x14ac:dyDescent="0.25">
      <c r="A131" s="3"/>
      <c r="B131" s="1436"/>
      <c r="C131" s="1437" t="s">
        <v>64</v>
      </c>
      <c r="D131" s="1437" t="s">
        <v>150</v>
      </c>
      <c r="E131" s="1437" t="s">
        <v>172</v>
      </c>
      <c r="F131" s="1437" t="s">
        <v>241</v>
      </c>
      <c r="G131" s="1437" t="s">
        <v>268</v>
      </c>
      <c r="H131" s="1437" t="s">
        <v>269</v>
      </c>
      <c r="I131" s="1437" t="s">
        <v>270</v>
      </c>
      <c r="J131" s="1437" t="s">
        <v>271</v>
      </c>
      <c r="K131" s="1437" t="s">
        <v>272</v>
      </c>
      <c r="L131" s="1437" t="s">
        <v>273</v>
      </c>
      <c r="M131" s="1437" t="s">
        <v>274</v>
      </c>
      <c r="N131" s="1437" t="s">
        <v>275</v>
      </c>
      <c r="O131" s="1443"/>
    </row>
    <row r="132" spans="1:16" ht="15.75" x14ac:dyDescent="0.25">
      <c r="A132" s="3"/>
      <c r="B132" s="1436"/>
      <c r="C132" s="1438" t="s">
        <v>1382</v>
      </c>
      <c r="D132" s="1439" t="str">
        <f>INDEX(CostVectors[Description], MATCH(C132, CostVectors[Code], 0))</f>
        <v>Low estimate of capital costs</v>
      </c>
      <c r="E132" s="1439"/>
      <c r="F132" s="1448">
        <f t="shared" ref="F132:N133" si="27">F90</f>
        <v>0</v>
      </c>
      <c r="G132" s="1448">
        <f t="shared" si="27"/>
        <v>0</v>
      </c>
      <c r="H132" s="1448">
        <f t="shared" si="27"/>
        <v>120600000000.00003</v>
      </c>
      <c r="I132" s="1448">
        <f t="shared" si="27"/>
        <v>119700000000</v>
      </c>
      <c r="J132" s="1448">
        <f t="shared" si="27"/>
        <v>120600000000.00006</v>
      </c>
      <c r="K132" s="1448">
        <f t="shared" si="27"/>
        <v>119700000000</v>
      </c>
      <c r="L132" s="1448">
        <f t="shared" si="27"/>
        <v>120599999999.99995</v>
      </c>
      <c r="M132" s="1448">
        <f t="shared" si="27"/>
        <v>119700000000.00009</v>
      </c>
      <c r="N132" s="1448">
        <f t="shared" si="27"/>
        <v>120599999999.99986</v>
      </c>
      <c r="O132" s="1443"/>
    </row>
    <row r="133" spans="1:16" ht="15.75" x14ac:dyDescent="0.25">
      <c r="A133" s="3"/>
      <c r="B133" s="1436"/>
      <c r="C133" s="1438" t="s">
        <v>1384</v>
      </c>
      <c r="D133" s="1439" t="str">
        <f>INDEX(CostVectors[Description], MATCH(C133, CostVectors[Code], 0))</f>
        <v>Low estimate of operating costs</v>
      </c>
      <c r="E133" s="1439"/>
      <c r="F133" s="1448">
        <f t="shared" si="27"/>
        <v>1425000</v>
      </c>
      <c r="G133" s="1448">
        <f t="shared" si="27"/>
        <v>1425000</v>
      </c>
      <c r="H133" s="1448">
        <f t="shared" si="27"/>
        <v>2430000</v>
      </c>
      <c r="I133" s="1448">
        <f t="shared" si="27"/>
        <v>3427500</v>
      </c>
      <c r="J133" s="1448">
        <f t="shared" si="27"/>
        <v>4432500.0000000009</v>
      </c>
      <c r="K133" s="1448">
        <f t="shared" si="27"/>
        <v>5430000.0000000009</v>
      </c>
      <c r="L133" s="1448">
        <f t="shared" si="27"/>
        <v>6435000</v>
      </c>
      <c r="M133" s="1448">
        <f t="shared" si="27"/>
        <v>7432500.0000000009</v>
      </c>
      <c r="N133" s="1448">
        <f t="shared" si="27"/>
        <v>8437500</v>
      </c>
      <c r="O133" s="1443"/>
    </row>
    <row r="134" spans="1:16" ht="15.75" x14ac:dyDescent="0.25">
      <c r="A134" s="3"/>
      <c r="B134" s="1436"/>
      <c r="C134" s="1438" t="s">
        <v>1866</v>
      </c>
      <c r="D134" s="1439" t="str">
        <f>INDEX(CostVectors[Description], MATCH(C134, CostVectors[Code], 0))</f>
        <v>Point estimate of capital costs</v>
      </c>
      <c r="E134" s="1439"/>
      <c r="F134" s="1448">
        <f>F95</f>
        <v>0</v>
      </c>
      <c r="G134" s="1448">
        <f t="shared" ref="G134:N134" si="28">G95</f>
        <v>0</v>
      </c>
      <c r="H134" s="1448">
        <f t="shared" si="28"/>
        <v>140700000000.00003</v>
      </c>
      <c r="I134" s="1448">
        <f t="shared" si="28"/>
        <v>139650000000</v>
      </c>
      <c r="J134" s="1448">
        <f t="shared" si="28"/>
        <v>140700000000.00006</v>
      </c>
      <c r="K134" s="1448">
        <f t="shared" si="28"/>
        <v>139650000000</v>
      </c>
      <c r="L134" s="1448">
        <f t="shared" si="28"/>
        <v>140699999999.99994</v>
      </c>
      <c r="M134" s="1448">
        <f t="shared" si="28"/>
        <v>139650000000.00012</v>
      </c>
      <c r="N134" s="1448">
        <f t="shared" si="28"/>
        <v>140699999999.99985</v>
      </c>
      <c r="O134" s="1443"/>
    </row>
    <row r="135" spans="1:16" ht="21.75" customHeight="1" collapsed="1" x14ac:dyDescent="0.25">
      <c r="B135" s="1436"/>
      <c r="C135" s="1438" t="s">
        <v>1868</v>
      </c>
      <c r="D135" s="1439" t="str">
        <f>INDEX(CostVectors[Description], MATCH(C135, CostVectors[Code], 0))</f>
        <v>Point estimate of operating costs</v>
      </c>
      <c r="E135" s="1439"/>
      <c r="F135" s="1448">
        <f t="shared" ref="F135:N135" si="29">F96</f>
        <v>1710000</v>
      </c>
      <c r="G135" s="1448">
        <f t="shared" si="29"/>
        <v>1710000</v>
      </c>
      <c r="H135" s="1448">
        <f t="shared" si="29"/>
        <v>2916000</v>
      </c>
      <c r="I135" s="1448">
        <f t="shared" si="29"/>
        <v>4113000.0000000005</v>
      </c>
      <c r="J135" s="1448">
        <f t="shared" si="29"/>
        <v>5319000.0000000009</v>
      </c>
      <c r="K135" s="1448">
        <f t="shared" si="29"/>
        <v>6516000.0000000009</v>
      </c>
      <c r="L135" s="1448">
        <f t="shared" si="29"/>
        <v>7722000</v>
      </c>
      <c r="M135" s="1448">
        <f t="shared" si="29"/>
        <v>8919000.0000000019</v>
      </c>
      <c r="N135" s="1448">
        <f t="shared" si="29"/>
        <v>10125000</v>
      </c>
      <c r="O135" s="1443"/>
    </row>
    <row r="136" spans="1:16" ht="14.25" x14ac:dyDescent="0.2">
      <c r="B136" s="1444"/>
      <c r="C136" s="1438" t="s">
        <v>1391</v>
      </c>
      <c r="D136" s="1439" t="str">
        <f>INDEX(CostVectors[Description], MATCH(C136, CostVectors[Code], 0))</f>
        <v>High estimate of capital costs</v>
      </c>
      <c r="E136" s="1439"/>
      <c r="F136" s="1448">
        <f>F100</f>
        <v>0</v>
      </c>
      <c r="G136" s="1448">
        <f t="shared" ref="G136:N136" si="30">G100</f>
        <v>0</v>
      </c>
      <c r="H136" s="1448">
        <f t="shared" si="30"/>
        <v>160800000000.00003</v>
      </c>
      <c r="I136" s="1448">
        <f t="shared" si="30"/>
        <v>159600000000</v>
      </c>
      <c r="J136" s="1448">
        <f t="shared" si="30"/>
        <v>160800000000.00006</v>
      </c>
      <c r="K136" s="1448">
        <f t="shared" si="30"/>
        <v>159600000000</v>
      </c>
      <c r="L136" s="1448">
        <f t="shared" si="30"/>
        <v>160799999999.99994</v>
      </c>
      <c r="M136" s="1448">
        <f t="shared" si="30"/>
        <v>159600000000.00012</v>
      </c>
      <c r="N136" s="1448">
        <f t="shared" si="30"/>
        <v>160799999999.99982</v>
      </c>
      <c r="O136" s="1445"/>
    </row>
    <row r="137" spans="1:16" ht="14.25" x14ac:dyDescent="0.2">
      <c r="B137" s="1444"/>
      <c r="C137" s="1438" t="s">
        <v>1393</v>
      </c>
      <c r="D137" s="1439" t="str">
        <f>INDEX(CostVectors[Description], MATCH(C137, CostVectors[Code], 0))</f>
        <v>High estimate of operating costs</v>
      </c>
      <c r="E137" s="1439"/>
      <c r="F137" s="1448">
        <f t="shared" ref="F137:N137" si="31">F101</f>
        <v>1995000</v>
      </c>
      <c r="G137" s="1448">
        <f t="shared" si="31"/>
        <v>1995000</v>
      </c>
      <c r="H137" s="1448">
        <f t="shared" si="31"/>
        <v>3402000</v>
      </c>
      <c r="I137" s="1448">
        <f t="shared" si="31"/>
        <v>4798500</v>
      </c>
      <c r="J137" s="1448">
        <f t="shared" si="31"/>
        <v>6205500.0000000009</v>
      </c>
      <c r="K137" s="1448">
        <f t="shared" si="31"/>
        <v>7602000.0000000009</v>
      </c>
      <c r="L137" s="1448">
        <f t="shared" si="31"/>
        <v>9009000</v>
      </c>
      <c r="M137" s="1448">
        <f t="shared" si="31"/>
        <v>10405500.000000002</v>
      </c>
      <c r="N137" s="1448">
        <f t="shared" si="31"/>
        <v>11812500</v>
      </c>
      <c r="O137" s="1445"/>
    </row>
    <row r="138" spans="1:16" ht="14.25" x14ac:dyDescent="0.2">
      <c r="B138" s="1446"/>
      <c r="C138" s="1440"/>
      <c r="D138" s="1440"/>
      <c r="E138" s="1440"/>
      <c r="F138" s="1440"/>
      <c r="G138" s="1440"/>
      <c r="H138" s="1440"/>
      <c r="I138" s="1440"/>
      <c r="J138" s="1440"/>
      <c r="K138" s="1440"/>
      <c r="L138" s="1440"/>
      <c r="M138" s="1440"/>
      <c r="N138" s="1440"/>
      <c r="O138" s="1440"/>
      <c r="P138" s="1447"/>
    </row>
  </sheetData>
  <hyperlinks>
    <hyperlink ref="E2" r:id="rId1"/>
  </hyperlinks>
  <pageMargins left="0.7" right="0.7" top="0.75" bottom="0.75" header="0.3" footer="0.3"/>
  <pageSetup paperSize="9" orientation="portrait" r:id="rId2"/>
  <tableParts count="3">
    <tablePart r:id="rId3"/>
    <tablePart r:id="rId4"/>
    <tablePart r:id="rId5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outlinePr summaryBelow="0"/>
    <pageSetUpPr autoPageBreaks="0"/>
  </sheetPr>
  <dimension ref="A1:Q138"/>
  <sheetViews>
    <sheetView windowProtection="1" zoomScaleNormal="100" workbookViewId="0"/>
  </sheetViews>
  <sheetFormatPr defaultColWidth="8.7109375" defaultRowHeight="12.75" x14ac:dyDescent="0.2"/>
  <cols>
    <col min="1" max="1" width="7.7109375" style="2479" customWidth="1"/>
    <col min="2" max="2" width="5.7109375" style="2479" customWidth="1"/>
    <col min="3" max="3" width="20.42578125" style="2479" customWidth="1"/>
    <col min="4" max="4" width="30.7109375" style="2479" customWidth="1"/>
    <col min="5" max="5" width="20.7109375" style="2479" customWidth="1"/>
    <col min="6" max="15" width="17.7109375" style="2479" customWidth="1"/>
    <col min="16" max="16" width="2" style="2479" customWidth="1"/>
    <col min="17" max="17" width="10.7109375" style="2479" customWidth="1"/>
    <col min="18" max="16384" width="8.7109375" style="2479"/>
  </cols>
  <sheetData>
    <row r="1" spans="1:16" ht="21" x14ac:dyDescent="0.35">
      <c r="A1" s="119" t="s">
        <v>62</v>
      </c>
      <c r="B1" s="119" t="str">
        <f>INDEX(Workstreams[Workstream], MATCH($A1, Workstreams[Code], 0))</f>
        <v>National renewable power generation</v>
      </c>
      <c r="C1" s="119"/>
    </row>
    <row r="2" spans="1:16" s="84" customFormat="1" ht="19.5" customHeight="1" x14ac:dyDescent="0.2">
      <c r="A2" s="6" t="s">
        <v>2365</v>
      </c>
      <c r="B2" s="6" t="str">
        <f>INDEX(Modules[Module], MATCH($A2,Modules[Code], 0))</f>
        <v>Small Hydroelectric power stations</v>
      </c>
      <c r="C2" s="6"/>
      <c r="E2" s="1380"/>
    </row>
    <row r="4" spans="1:16" ht="22.5" collapsed="1" x14ac:dyDescent="0.3">
      <c r="A4" s="1422"/>
      <c r="B4" s="468" t="s">
        <v>596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ht="5.25" customHeight="1" x14ac:dyDescent="0.2">
      <c r="B6" s="410"/>
      <c r="C6" s="411"/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6" ht="15.75" x14ac:dyDescent="0.25">
      <c r="B7" s="415"/>
      <c r="C7" s="412"/>
      <c r="D7" s="216" t="s">
        <v>342</v>
      </c>
      <c r="E7" s="216" t="s">
        <v>595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ht="15.75" x14ac:dyDescent="0.25">
      <c r="B8" s="415"/>
      <c r="C8" s="412"/>
      <c r="D8" s="238" t="s">
        <v>598</v>
      </c>
      <c r="E8" s="238">
        <f>III.b.2.scenario</f>
        <v>4</v>
      </c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4"/>
    </row>
    <row r="9" spans="1:16" x14ac:dyDescent="0.2">
      <c r="B9" s="430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9"/>
    </row>
    <row r="11" spans="1:16" ht="22.5" x14ac:dyDescent="0.3">
      <c r="A11" s="1422"/>
      <c r="B11" s="1423" t="s">
        <v>597</v>
      </c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6"/>
    </row>
    <row r="12" spans="1:16" ht="5.25" customHeight="1" x14ac:dyDescent="0.2">
      <c r="B12" s="1419"/>
      <c r="C12" s="1416"/>
      <c r="D12" s="1416"/>
      <c r="E12" s="1416"/>
      <c r="F12" s="1416"/>
      <c r="G12" s="1416"/>
      <c r="H12" s="1416"/>
      <c r="I12" s="1416"/>
      <c r="J12" s="1416"/>
      <c r="K12" s="1416"/>
      <c r="L12" s="1416"/>
      <c r="M12" s="1416"/>
      <c r="N12" s="1416"/>
      <c r="O12" s="1420"/>
    </row>
    <row r="13" spans="1:16" x14ac:dyDescent="0.2">
      <c r="B13" s="1419"/>
      <c r="C13" s="1417" t="s">
        <v>983</v>
      </c>
      <c r="D13" s="1416"/>
      <c r="E13" s="176"/>
      <c r="F13" s="1416"/>
      <c r="G13" s="1416"/>
      <c r="H13" s="1416"/>
      <c r="I13" s="1416"/>
      <c r="J13" s="1416"/>
      <c r="K13" s="1416"/>
      <c r="L13" s="1416"/>
      <c r="M13" s="1416"/>
      <c r="N13" s="176" t="str">
        <f>Preferences.PowerUnits</f>
        <v>GW</v>
      </c>
      <c r="O13" s="1420"/>
    </row>
    <row r="14" spans="1:16" ht="5.25" customHeight="1" x14ac:dyDescent="0.2">
      <c r="B14" s="1419"/>
      <c r="C14" s="1416"/>
      <c r="D14" s="1416"/>
      <c r="E14" s="1416"/>
      <c r="F14" s="1416"/>
      <c r="G14" s="1416"/>
      <c r="H14" s="1416"/>
      <c r="I14" s="1416"/>
      <c r="J14" s="1416"/>
      <c r="K14" s="1416"/>
      <c r="L14" s="1416"/>
      <c r="M14" s="1416"/>
      <c r="N14" s="1416"/>
      <c r="O14" s="1420"/>
    </row>
    <row r="15" spans="1:16" ht="15.75" x14ac:dyDescent="0.25">
      <c r="B15" s="397"/>
      <c r="C15" s="98" t="s">
        <v>595</v>
      </c>
      <c r="D15" s="98" t="s">
        <v>65</v>
      </c>
      <c r="E15" s="98" t="s">
        <v>172</v>
      </c>
      <c r="F15" s="218">
        <v>2010</v>
      </c>
      <c r="G15" s="217">
        <v>2015</v>
      </c>
      <c r="H15" s="217">
        <v>2020</v>
      </c>
      <c r="I15" s="217">
        <v>2025</v>
      </c>
      <c r="J15" s="217">
        <v>2030</v>
      </c>
      <c r="K15" s="217">
        <v>2035</v>
      </c>
      <c r="L15" s="217">
        <v>2040</v>
      </c>
      <c r="M15" s="217">
        <v>2045</v>
      </c>
      <c r="N15" s="217">
        <v>2050</v>
      </c>
      <c r="O15" s="1420"/>
    </row>
    <row r="16" spans="1:16" ht="15.75" x14ac:dyDescent="0.2">
      <c r="B16" s="399"/>
      <c r="C16" s="1414">
        <v>1</v>
      </c>
      <c r="D16" s="1415"/>
      <c r="E16" s="146"/>
      <c r="F16" s="2106">
        <f t="shared" ref="F16:N16" si="0">(Unit.GW)*0.064</f>
        <v>6.4000000000000001E-2</v>
      </c>
      <c r="G16" s="2106">
        <f t="shared" si="0"/>
        <v>6.4000000000000001E-2</v>
      </c>
      <c r="H16" s="2106">
        <f t="shared" si="0"/>
        <v>6.4000000000000001E-2</v>
      </c>
      <c r="I16" s="2106">
        <f t="shared" si="0"/>
        <v>6.4000000000000001E-2</v>
      </c>
      <c r="J16" s="2106">
        <f t="shared" si="0"/>
        <v>6.4000000000000001E-2</v>
      </c>
      <c r="K16" s="2106">
        <f t="shared" si="0"/>
        <v>6.4000000000000001E-2</v>
      </c>
      <c r="L16" s="2106">
        <f t="shared" si="0"/>
        <v>6.4000000000000001E-2</v>
      </c>
      <c r="M16" s="2106">
        <f t="shared" si="0"/>
        <v>6.4000000000000001E-2</v>
      </c>
      <c r="N16" s="2106">
        <f t="shared" si="0"/>
        <v>6.4000000000000001E-2</v>
      </c>
      <c r="O16" s="400"/>
    </row>
    <row r="17" spans="1:15" ht="15.75" x14ac:dyDescent="0.25">
      <c r="B17" s="397"/>
      <c r="C17" s="1414">
        <v>2</v>
      </c>
      <c r="D17" s="1415"/>
      <c r="E17" s="1415"/>
      <c r="F17" s="2106">
        <f t="shared" ref="F17:H19" si="1">(Unit.GW)*0.064</f>
        <v>6.4000000000000001E-2</v>
      </c>
      <c r="G17" s="2106">
        <f t="shared" si="1"/>
        <v>6.4000000000000001E-2</v>
      </c>
      <c r="H17" s="2106">
        <f t="shared" si="1"/>
        <v>6.4000000000000001E-2</v>
      </c>
      <c r="I17" s="2106">
        <f>(Unit.GW)*0.197285714285714</f>
        <v>0.19728571428571401</v>
      </c>
      <c r="J17" s="2106">
        <f>(Unit.GW)*0.263828571428571</f>
        <v>0.26382857142857102</v>
      </c>
      <c r="K17" s="2106">
        <f>(Unit.GW)*0.330371428571429</f>
        <v>0.33037142857142898</v>
      </c>
      <c r="L17" s="2106">
        <f>(Unit.GW)*0.396914285714286</f>
        <v>0.396914285714286</v>
      </c>
      <c r="M17" s="2106">
        <f>(Unit.GW)*0.463457142857143</f>
        <v>0.46345714285714301</v>
      </c>
      <c r="N17" s="2106">
        <f>(Unit.GW)*0.53</f>
        <v>0.53</v>
      </c>
      <c r="O17" s="1420"/>
    </row>
    <row r="18" spans="1:15" ht="15.75" x14ac:dyDescent="0.25">
      <c r="B18" s="397"/>
      <c r="C18" s="1414">
        <v>3</v>
      </c>
      <c r="D18" s="1415"/>
      <c r="E18" s="1415"/>
      <c r="F18" s="2106">
        <f t="shared" si="1"/>
        <v>6.4000000000000001E-2</v>
      </c>
      <c r="G18" s="2106">
        <f t="shared" si="1"/>
        <v>6.4000000000000001E-2</v>
      </c>
      <c r="H18" s="2106">
        <f t="shared" si="1"/>
        <v>6.4000000000000001E-2</v>
      </c>
      <c r="I18" s="2106">
        <f>(Unit.GW)*0.545857142857143</f>
        <v>0.54585714285714304</v>
      </c>
      <c r="J18" s="2106">
        <f>(Unit.GW)*0.786685714285714</f>
        <v>0.78668571428571399</v>
      </c>
      <c r="K18" s="2106">
        <f>(Unit.GW)*1.02751428571429</f>
        <v>1.02751428571429</v>
      </c>
      <c r="L18" s="2106">
        <f>(Unit.GW)*1.26834285714286</f>
        <v>1.2683428571428601</v>
      </c>
      <c r="M18" s="2106">
        <f>(Unit.GW)*1.50917142857143</f>
        <v>1.5091714285714299</v>
      </c>
      <c r="N18" s="2106">
        <f>(Unit.GW)*1.75</f>
        <v>1.75</v>
      </c>
      <c r="O18" s="1420"/>
    </row>
    <row r="19" spans="1:15" ht="15.75" x14ac:dyDescent="0.25">
      <c r="B19" s="397"/>
      <c r="C19" s="1412">
        <v>4</v>
      </c>
      <c r="D19" s="102"/>
      <c r="E19" s="102"/>
      <c r="F19" s="2106">
        <f t="shared" si="1"/>
        <v>6.4000000000000001E-2</v>
      </c>
      <c r="G19" s="2106">
        <f t="shared" si="1"/>
        <v>6.4000000000000001E-2</v>
      </c>
      <c r="H19" s="2106">
        <f t="shared" si="1"/>
        <v>6.4000000000000001E-2</v>
      </c>
      <c r="I19" s="2106">
        <f>(Unit.GW)*1.04585714285714</f>
        <v>1.0458571428571399</v>
      </c>
      <c r="J19" s="2106">
        <f>(Unit.GW)*1.53668571428571</f>
        <v>1.53668571428571</v>
      </c>
      <c r="K19" s="2106">
        <f>(Unit.GW)*2.02751428571429</f>
        <v>2.02751428571429</v>
      </c>
      <c r="L19" s="2106">
        <f>(Unit.GW)*2.51834285714286</f>
        <v>2.5183428571428599</v>
      </c>
      <c r="M19" s="2106">
        <f>(Unit.GW)*3.00917142857143</f>
        <v>3.0091714285714302</v>
      </c>
      <c r="N19" s="2106">
        <f>(Unit.GW)*3.5</f>
        <v>3.5</v>
      </c>
      <c r="O19" s="1420"/>
    </row>
    <row r="20" spans="1:15" ht="15.75" x14ac:dyDescent="0.25">
      <c r="B20" s="397"/>
      <c r="C20" s="1386" t="s">
        <v>582</v>
      </c>
      <c r="D20" s="1387"/>
      <c r="E20" s="1387"/>
      <c r="F20" s="1487">
        <f t="shared" ref="F20:N20" si="2">(INDEX(F$16:F$19,ROUNDDOWN($E$8,0))*(1-MOD($E$8,1)))+(INDEX(F$16:F$19,ROUNDUP($E$8,0))*MOD($E$8,1))</f>
        <v>6.4000000000000001E-2</v>
      </c>
      <c r="G20" s="1486">
        <f t="shared" si="2"/>
        <v>6.4000000000000001E-2</v>
      </c>
      <c r="H20" s="1486">
        <f t="shared" si="2"/>
        <v>6.4000000000000001E-2</v>
      </c>
      <c r="I20" s="1486">
        <f t="shared" si="2"/>
        <v>1.0458571428571399</v>
      </c>
      <c r="J20" s="1486">
        <f t="shared" si="2"/>
        <v>1.53668571428571</v>
      </c>
      <c r="K20" s="1486">
        <f t="shared" si="2"/>
        <v>2.02751428571429</v>
      </c>
      <c r="L20" s="1486">
        <f t="shared" si="2"/>
        <v>2.5183428571428599</v>
      </c>
      <c r="M20" s="1486">
        <f t="shared" si="2"/>
        <v>3.0091714285714302</v>
      </c>
      <c r="N20" s="1486">
        <f t="shared" si="2"/>
        <v>3.5</v>
      </c>
      <c r="O20" s="1420"/>
    </row>
    <row r="21" spans="1:15" x14ac:dyDescent="0.2">
      <c r="B21" s="401"/>
      <c r="C21" s="1416"/>
      <c r="D21" s="177"/>
      <c r="E21" s="1416"/>
      <c r="F21" s="562"/>
      <c r="G21" s="562"/>
      <c r="H21" s="562"/>
      <c r="I21" s="562"/>
      <c r="J21" s="562"/>
      <c r="K21" s="562"/>
      <c r="L21" s="562"/>
      <c r="M21" s="562"/>
      <c r="N21" s="562"/>
      <c r="O21" s="1420"/>
    </row>
    <row r="22" spans="1:15" x14ac:dyDescent="0.2">
      <c r="B22" s="578"/>
      <c r="C22" s="2535" t="s">
        <v>266</v>
      </c>
      <c r="D22" s="2536"/>
      <c r="E22" s="2535"/>
      <c r="F22" s="2535"/>
      <c r="G22" s="2535"/>
      <c r="H22" s="1416"/>
      <c r="I22" s="1416"/>
      <c r="J22" s="1416"/>
      <c r="K22" s="1416"/>
      <c r="L22" s="1416"/>
      <c r="M22" s="1416"/>
      <c r="N22" s="1416"/>
      <c r="O22" s="1420"/>
    </row>
    <row r="23" spans="1:15" x14ac:dyDescent="0.2">
      <c r="B23" s="578"/>
      <c r="C23" s="2537" t="s">
        <v>93</v>
      </c>
      <c r="D23" s="2536" t="s">
        <v>571</v>
      </c>
      <c r="E23" s="2535"/>
      <c r="F23" s="2535"/>
      <c r="G23" s="2535"/>
      <c r="H23" s="1416"/>
      <c r="I23" s="1416"/>
      <c r="J23" s="1416"/>
      <c r="K23" s="1416"/>
      <c r="L23" s="1416"/>
      <c r="M23" s="1416"/>
      <c r="N23" s="1416"/>
      <c r="O23" s="1420"/>
    </row>
    <row r="24" spans="1:15" x14ac:dyDescent="0.2">
      <c r="B24" s="578"/>
      <c r="C24" s="2537"/>
      <c r="D24" s="2536" t="s">
        <v>984</v>
      </c>
      <c r="E24" s="2535"/>
      <c r="F24" s="2535"/>
      <c r="G24" s="2535"/>
      <c r="H24" s="1416"/>
      <c r="I24" s="1416"/>
      <c r="J24" s="1416"/>
      <c r="K24" s="1416"/>
      <c r="L24" s="1416"/>
      <c r="M24" s="1416"/>
      <c r="N24" s="1416"/>
      <c r="O24" s="1420"/>
    </row>
    <row r="25" spans="1:15" x14ac:dyDescent="0.2">
      <c r="B25" s="578"/>
      <c r="C25" s="2537"/>
      <c r="D25" s="2536" t="s">
        <v>985</v>
      </c>
      <c r="E25" s="2535"/>
      <c r="F25" s="2535"/>
      <c r="G25" s="2535"/>
      <c r="H25" s="1416"/>
      <c r="I25" s="1416"/>
      <c r="J25" s="1416"/>
      <c r="K25" s="1416"/>
      <c r="L25" s="1416"/>
      <c r="M25" s="1416"/>
      <c r="N25" s="1416"/>
      <c r="O25" s="1420"/>
    </row>
    <row r="26" spans="1:15" x14ac:dyDescent="0.2">
      <c r="B26" s="578"/>
      <c r="C26" s="2537"/>
      <c r="D26" s="2536" t="s">
        <v>986</v>
      </c>
      <c r="E26" s="2535"/>
      <c r="F26" s="2535"/>
      <c r="G26" s="2535"/>
      <c r="H26" s="1416"/>
      <c r="I26" s="1416"/>
      <c r="J26" s="1416"/>
      <c r="K26" s="1416"/>
      <c r="L26" s="1416"/>
      <c r="M26" s="1416"/>
      <c r="N26" s="1416"/>
      <c r="O26" s="1420"/>
    </row>
    <row r="27" spans="1:15" x14ac:dyDescent="0.2">
      <c r="B27" s="578"/>
      <c r="C27" s="2535"/>
      <c r="D27" s="2536"/>
      <c r="E27" s="2535"/>
      <c r="F27" s="2535"/>
      <c r="G27" s="2535"/>
      <c r="H27" s="1416"/>
      <c r="I27" s="1416"/>
      <c r="J27" s="1416"/>
      <c r="K27" s="1416"/>
      <c r="L27" s="1416"/>
      <c r="M27" s="1416"/>
      <c r="N27" s="403"/>
      <c r="O27" s="404"/>
    </row>
    <row r="29" spans="1:15" s="84" customFormat="1" ht="22.5" x14ac:dyDescent="0.2">
      <c r="A29" s="408"/>
      <c r="B29" s="1423" t="s">
        <v>315</v>
      </c>
      <c r="C29" s="405"/>
      <c r="D29" s="405"/>
      <c r="E29" s="405"/>
      <c r="F29" s="405"/>
      <c r="G29" s="405"/>
      <c r="H29" s="405"/>
      <c r="I29" s="405"/>
      <c r="J29" s="405"/>
      <c r="K29" s="405"/>
      <c r="L29" s="405"/>
      <c r="M29" s="405"/>
      <c r="N29" s="405"/>
      <c r="O29" s="406"/>
    </row>
    <row r="30" spans="1:15" ht="5.25" customHeight="1" x14ac:dyDescent="0.2">
      <c r="B30" s="1419"/>
      <c r="C30" s="1416"/>
      <c r="D30" s="1416"/>
      <c r="E30" s="1416"/>
      <c r="F30" s="1416"/>
      <c r="G30" s="1416"/>
      <c r="H30" s="1416"/>
      <c r="I30" s="1416"/>
      <c r="J30" s="1416"/>
      <c r="K30" s="1416"/>
      <c r="L30" s="1416"/>
      <c r="M30" s="1416"/>
      <c r="N30" s="1416"/>
      <c r="O30" s="1420"/>
    </row>
    <row r="31" spans="1:15" x14ac:dyDescent="0.2">
      <c r="B31" s="1419"/>
      <c r="C31" s="1417" t="s">
        <v>982</v>
      </c>
      <c r="D31" s="1416"/>
      <c r="E31" s="1416"/>
      <c r="F31" s="176"/>
      <c r="G31" s="1416"/>
      <c r="H31" s="1416"/>
      <c r="I31" s="1416"/>
      <c r="J31" s="1416"/>
      <c r="K31" s="1416"/>
      <c r="L31" s="1416"/>
      <c r="M31" s="1416"/>
      <c r="N31" s="1416"/>
      <c r="O31" s="1420"/>
    </row>
    <row r="32" spans="1:15" ht="6" customHeight="1" x14ac:dyDescent="0.2">
      <c r="B32" s="1419"/>
      <c r="C32" s="1416"/>
      <c r="D32" s="1416"/>
      <c r="E32" s="1416"/>
      <c r="F32" s="1416"/>
      <c r="G32" s="1416"/>
      <c r="H32" s="1416"/>
      <c r="I32" s="1416"/>
      <c r="J32" s="1416"/>
      <c r="K32" s="1416"/>
      <c r="L32" s="1416"/>
      <c r="M32" s="1416"/>
      <c r="N32" s="1416"/>
      <c r="O32" s="1420"/>
    </row>
    <row r="33" spans="2:17" ht="15.75" x14ac:dyDescent="0.25">
      <c r="B33" s="397"/>
      <c r="C33" s="98" t="s">
        <v>264</v>
      </c>
      <c r="D33" s="98" t="s">
        <v>278</v>
      </c>
      <c r="E33" s="98" t="s">
        <v>172</v>
      </c>
      <c r="F33" s="218">
        <v>2010</v>
      </c>
      <c r="G33" s="217">
        <v>2015</v>
      </c>
      <c r="H33" s="217">
        <v>2020</v>
      </c>
      <c r="I33" s="217">
        <v>2025</v>
      </c>
      <c r="J33" s="217">
        <v>2030</v>
      </c>
      <c r="K33" s="217">
        <v>2035</v>
      </c>
      <c r="L33" s="217">
        <v>2040</v>
      </c>
      <c r="M33" s="217">
        <v>2045</v>
      </c>
      <c r="N33" s="217">
        <v>2050</v>
      </c>
      <c r="O33" s="1420"/>
    </row>
    <row r="34" spans="2:17" ht="15.75" x14ac:dyDescent="0.25">
      <c r="B34" s="397"/>
      <c r="C34" s="121" t="s">
        <v>8</v>
      </c>
      <c r="D34" s="122" t="str">
        <f>INDEX(Vectors[Description], MATCH($C34,Vectors[Code], 0))</f>
        <v>Hydro</v>
      </c>
      <c r="E34" s="122"/>
      <c r="F34" s="129">
        <v>0.5</v>
      </c>
      <c r="G34" s="129">
        <v>0.5</v>
      </c>
      <c r="H34" s="129">
        <v>0.5</v>
      </c>
      <c r="I34" s="129">
        <v>0.5</v>
      </c>
      <c r="J34" s="129">
        <v>0.5</v>
      </c>
      <c r="K34" s="129">
        <v>0.5</v>
      </c>
      <c r="L34" s="129">
        <v>0.5</v>
      </c>
      <c r="M34" s="129">
        <v>0.5</v>
      </c>
      <c r="N34" s="129">
        <v>0.5</v>
      </c>
      <c r="O34" s="1420"/>
    </row>
    <row r="35" spans="2:17" ht="15.75" x14ac:dyDescent="0.25">
      <c r="B35" s="397"/>
      <c r="C35" s="1414"/>
      <c r="D35" s="1415"/>
      <c r="E35" s="1415"/>
      <c r="F35" s="491"/>
      <c r="G35" s="174"/>
      <c r="H35" s="174"/>
      <c r="I35" s="174"/>
      <c r="J35" s="174"/>
      <c r="K35" s="174"/>
      <c r="L35" s="174"/>
      <c r="M35" s="174"/>
      <c r="N35" s="174"/>
      <c r="O35" s="174"/>
      <c r="P35" s="1420"/>
    </row>
    <row r="36" spans="2:17" ht="15.75" x14ac:dyDescent="0.25">
      <c r="B36" s="397"/>
      <c r="C36" s="1417" t="s">
        <v>1273</v>
      </c>
      <c r="D36" s="1416"/>
      <c r="E36" s="1416"/>
      <c r="F36" s="1416"/>
      <c r="G36" s="176"/>
      <c r="H36" s="1416"/>
      <c r="I36" s="1416"/>
      <c r="J36" s="174"/>
      <c r="K36" s="174"/>
      <c r="L36" s="174"/>
      <c r="M36" s="174"/>
      <c r="N36" s="174"/>
      <c r="O36" s="174"/>
      <c r="P36" s="1420"/>
    </row>
    <row r="37" spans="2:17" ht="4.5" customHeight="1" x14ac:dyDescent="0.25">
      <c r="B37" s="397"/>
      <c r="C37" s="1416"/>
      <c r="D37" s="1416"/>
      <c r="E37" s="1416"/>
      <c r="F37" s="1416"/>
      <c r="G37" s="1416"/>
      <c r="H37" s="1416"/>
      <c r="I37" s="1416"/>
      <c r="J37" s="174"/>
      <c r="K37" s="174"/>
      <c r="L37" s="174"/>
      <c r="M37" s="174"/>
      <c r="N37" s="174"/>
      <c r="O37" s="174"/>
      <c r="P37" s="1420"/>
    </row>
    <row r="38" spans="2:17" ht="15.75" x14ac:dyDescent="0.25">
      <c r="B38" s="397"/>
      <c r="C38" s="98"/>
      <c r="D38" s="98"/>
      <c r="E38" s="98"/>
      <c r="F38" s="217"/>
      <c r="G38" s="1261" t="s">
        <v>71</v>
      </c>
      <c r="H38" s="1261"/>
      <c r="I38" s="1416"/>
      <c r="J38" s="174"/>
      <c r="K38" s="174"/>
      <c r="L38" s="174"/>
      <c r="M38" s="174"/>
      <c r="N38" s="174"/>
      <c r="O38" s="174"/>
      <c r="P38" s="1420"/>
    </row>
    <row r="39" spans="2:17" ht="15.75" x14ac:dyDescent="0.25">
      <c r="B39" s="397"/>
      <c r="C39" s="1413"/>
      <c r="D39" s="2538" t="s">
        <v>2367</v>
      </c>
      <c r="E39" s="107" t="s">
        <v>100</v>
      </c>
      <c r="F39" s="1266">
        <f>5*Unit.MW</f>
        <v>5.0000000000000001E-3</v>
      </c>
      <c r="G39" s="1265" t="str">
        <f>Preferences.PowerUnits&amp;"peak"</f>
        <v>GWpeak</v>
      </c>
      <c r="H39" s="1264"/>
      <c r="I39" s="1416"/>
      <c r="J39" s="174"/>
      <c r="K39" s="174"/>
      <c r="L39" s="174"/>
      <c r="M39" s="174"/>
      <c r="N39" s="174"/>
      <c r="O39" s="174"/>
      <c r="P39" s="1420"/>
    </row>
    <row r="40" spans="2:17" ht="15.75" x14ac:dyDescent="0.25">
      <c r="B40" s="397"/>
      <c r="C40" s="1413"/>
      <c r="D40" s="1415" t="s">
        <v>1279</v>
      </c>
      <c r="E40" s="107" t="s">
        <v>101</v>
      </c>
      <c r="F40" s="2507">
        <f>(0.2/36%)*Unit.W/Unit.m2</f>
        <v>5.5555555555555566E-4</v>
      </c>
      <c r="G40" s="2508" t="str">
        <f>Preferences.PowerUnits&amp;"peak/"&amp;Preferences.AreaUnits</f>
        <v>GWpeak/km^2</v>
      </c>
      <c r="H40" s="953"/>
      <c r="I40" s="1416"/>
      <c r="J40" s="174"/>
      <c r="K40" s="174"/>
      <c r="L40" s="174"/>
      <c r="M40" s="174"/>
      <c r="N40" s="174"/>
      <c r="O40" s="174"/>
      <c r="P40" s="1420"/>
    </row>
    <row r="41" spans="2:17" ht="15.75" x14ac:dyDescent="0.25">
      <c r="B41" s="397"/>
      <c r="C41" s="199"/>
      <c r="D41" s="200" t="s">
        <v>1280</v>
      </c>
      <c r="E41" s="200" t="s">
        <v>101</v>
      </c>
      <c r="F41" s="2509">
        <f>(11/36%)*Unit.W/Unit.m2</f>
        <v>3.0555555555555565E-2</v>
      </c>
      <c r="G41" s="2510" t="str">
        <f>Preferences.PowerUnits&amp;"peak/"&amp;Preferences.AreaUnits</f>
        <v>GWpeak/km^2</v>
      </c>
      <c r="H41" s="1263"/>
      <c r="I41" s="1416"/>
      <c r="J41" s="174"/>
      <c r="K41" s="174"/>
      <c r="L41" s="174"/>
      <c r="M41" s="174"/>
      <c r="N41" s="174"/>
      <c r="O41" s="174"/>
      <c r="P41" s="1420"/>
    </row>
    <row r="42" spans="2:17" ht="15.75" x14ac:dyDescent="0.25">
      <c r="B42" s="397"/>
      <c r="C42" s="1416"/>
      <c r="D42" s="1416"/>
      <c r="E42" s="1416"/>
      <c r="F42" s="1416"/>
      <c r="G42" s="1416"/>
      <c r="H42" s="1416"/>
      <c r="I42" s="1416"/>
      <c r="J42" s="174"/>
      <c r="K42" s="174"/>
      <c r="L42" s="174"/>
      <c r="M42" s="174"/>
      <c r="N42" s="174"/>
      <c r="O42" s="174"/>
      <c r="P42" s="1420"/>
    </row>
    <row r="43" spans="2:17" x14ac:dyDescent="0.2">
      <c r="B43" s="1416"/>
      <c r="C43" s="2535" t="s">
        <v>172</v>
      </c>
      <c r="D43" s="2535"/>
      <c r="E43" s="2535"/>
      <c r="F43" s="2535"/>
      <c r="G43" s="2535"/>
      <c r="H43" s="2535"/>
      <c r="I43" s="1416"/>
      <c r="J43" s="1416"/>
      <c r="K43" s="1416"/>
      <c r="L43" s="1416"/>
      <c r="M43" s="1416"/>
      <c r="N43" s="1416"/>
      <c r="O43" s="1416"/>
      <c r="P43" s="1420"/>
    </row>
    <row r="44" spans="2:17" x14ac:dyDescent="0.2">
      <c r="B44" s="1416"/>
      <c r="C44" s="2539" t="s">
        <v>93</v>
      </c>
      <c r="D44" s="2536" t="s">
        <v>984</v>
      </c>
      <c r="E44" s="2535"/>
      <c r="F44" s="2535"/>
      <c r="G44" s="2535"/>
      <c r="H44" s="2535"/>
      <c r="I44" s="1416"/>
      <c r="J44" s="1416"/>
      <c r="K44" s="1416"/>
      <c r="L44" s="1416"/>
      <c r="M44" s="1416"/>
      <c r="N44" s="1416"/>
      <c r="O44" s="1416"/>
      <c r="P44" s="1420"/>
    </row>
    <row r="45" spans="2:17" x14ac:dyDescent="0.2">
      <c r="B45" s="1416"/>
      <c r="C45" s="2539" t="s">
        <v>100</v>
      </c>
      <c r="D45" s="2536" t="s">
        <v>1278</v>
      </c>
      <c r="E45" s="2535"/>
      <c r="F45" s="2535"/>
      <c r="G45" s="2535"/>
      <c r="H45" s="2535"/>
      <c r="I45" s="1416"/>
      <c r="J45" s="1416"/>
      <c r="K45" s="1416"/>
      <c r="L45" s="1416"/>
      <c r="M45" s="1416"/>
      <c r="N45" s="1416"/>
      <c r="O45" s="1416"/>
      <c r="P45" s="1420"/>
    </row>
    <row r="46" spans="2:17" x14ac:dyDescent="0.2">
      <c r="B46" s="1416"/>
      <c r="C46" s="2539" t="s">
        <v>101</v>
      </c>
      <c r="D46" s="2536" t="s">
        <v>1283</v>
      </c>
      <c r="E46" s="2535"/>
      <c r="F46" s="2535"/>
      <c r="G46" s="2535"/>
      <c r="H46" s="2535"/>
      <c r="I46" s="1416"/>
      <c r="J46" s="1416"/>
      <c r="K46" s="1416"/>
      <c r="L46" s="1416"/>
      <c r="M46" s="1416"/>
      <c r="N46" s="1416"/>
      <c r="O46" s="1416"/>
      <c r="P46" s="1420"/>
    </row>
    <row r="47" spans="2:17" x14ac:dyDescent="0.2">
      <c r="B47" s="1416"/>
      <c r="C47" s="1416"/>
      <c r="D47" s="1416"/>
      <c r="E47" s="1416"/>
      <c r="F47" s="1416"/>
      <c r="G47" s="1416"/>
      <c r="H47" s="1416"/>
      <c r="I47" s="1416"/>
      <c r="J47" s="1416"/>
      <c r="K47" s="1416"/>
      <c r="L47" s="1416"/>
      <c r="M47" s="1416"/>
      <c r="N47" s="1416"/>
      <c r="O47" s="403"/>
      <c r="P47" s="403"/>
      <c r="Q47" s="2092"/>
    </row>
    <row r="48" spans="2:17" x14ac:dyDescent="0.2">
      <c r="Q48" s="2092"/>
    </row>
    <row r="49" spans="1:16" s="84" customFormat="1" ht="22.5" x14ac:dyDescent="0.2">
      <c r="A49" s="408"/>
      <c r="B49" s="1423" t="s">
        <v>1417</v>
      </c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5"/>
      <c r="P49" s="34"/>
    </row>
    <row r="50" spans="1:16" ht="5.25" customHeight="1" x14ac:dyDescent="0.2">
      <c r="B50" s="473"/>
      <c r="C50" s="458"/>
      <c r="D50" s="458"/>
      <c r="E50" s="458"/>
      <c r="F50" s="458"/>
      <c r="G50" s="458"/>
      <c r="H50" s="458"/>
      <c r="I50" s="458"/>
      <c r="J50" s="458"/>
      <c r="K50" s="458"/>
      <c r="L50" s="458"/>
      <c r="M50" s="458"/>
      <c r="N50" s="458"/>
      <c r="O50" s="458"/>
      <c r="P50" s="2092"/>
    </row>
    <row r="51" spans="1:16" s="84" customFormat="1" x14ac:dyDescent="0.2">
      <c r="A51" s="2479"/>
      <c r="B51" s="1419"/>
      <c r="C51" s="1417" t="str">
        <f>"Capital cost of a "&amp;plantsize.III.b.2&amp;" "&amp;Preferences.PowerUnits&amp;" hydro plant"</f>
        <v>Capital cost of a 0.005 GW hydro plant</v>
      </c>
      <c r="D51" s="107"/>
      <c r="E51" s="1081"/>
      <c r="F51" s="1055"/>
      <c r="G51" s="760"/>
      <c r="H51" s="760"/>
      <c r="I51" s="760"/>
      <c r="J51" s="760"/>
      <c r="K51" s="760"/>
      <c r="L51" s="760"/>
      <c r="M51" s="760"/>
      <c r="N51" s="1255" t="str">
        <f>Preferences.moneyunits&amp;"/plant"</f>
        <v>N/plant</v>
      </c>
      <c r="O51" s="1416"/>
      <c r="P51" s="2092"/>
    </row>
    <row r="52" spans="1:16" s="84" customFormat="1" ht="4.5" customHeight="1" x14ac:dyDescent="0.2">
      <c r="A52" s="2479"/>
      <c r="B52" s="1419"/>
      <c r="C52" s="1848"/>
      <c r="D52" s="107"/>
      <c r="E52" s="1081"/>
      <c r="F52" s="1055"/>
      <c r="G52" s="760"/>
      <c r="H52" s="760"/>
      <c r="I52" s="760"/>
      <c r="J52" s="760"/>
      <c r="K52" s="760"/>
      <c r="L52" s="760"/>
      <c r="M52" s="760"/>
      <c r="N52" s="1416"/>
      <c r="O52" s="1416"/>
      <c r="P52" s="2092"/>
    </row>
    <row r="53" spans="1:16" s="84" customFormat="1" x14ac:dyDescent="0.2">
      <c r="A53" s="2479"/>
      <c r="B53" s="1419"/>
      <c r="C53" s="1101"/>
      <c r="D53" s="1519"/>
      <c r="E53" s="1567" t="s">
        <v>1321</v>
      </c>
      <c r="F53" s="1845">
        <v>2010</v>
      </c>
      <c r="G53" s="1845">
        <v>2015</v>
      </c>
      <c r="H53" s="1845">
        <v>2020</v>
      </c>
      <c r="I53" s="1845">
        <v>2025</v>
      </c>
      <c r="J53" s="1845">
        <v>2030</v>
      </c>
      <c r="K53" s="1845">
        <v>2035</v>
      </c>
      <c r="L53" s="1845">
        <v>2040</v>
      </c>
      <c r="M53" s="1845">
        <v>2045</v>
      </c>
      <c r="N53" s="1845">
        <v>2050</v>
      </c>
      <c r="O53" s="1416"/>
      <c r="P53" s="2230"/>
    </row>
    <row r="54" spans="1:16" s="84" customFormat="1" x14ac:dyDescent="0.2">
      <c r="A54" s="2479"/>
      <c r="B54" s="1419"/>
      <c r="C54" s="1846" t="s">
        <v>1871</v>
      </c>
      <c r="D54" s="1519"/>
      <c r="E54" s="1847">
        <f>(N54-F54)/(N$53-F$53)</f>
        <v>0</v>
      </c>
      <c r="F54" s="1566">
        <f>(750000*NAIRA2010_/Unit.kW)*plantsize.III.b.2</f>
        <v>3750000000</v>
      </c>
      <c r="G54" s="1566">
        <f>($E54*(G$53-F$53))+F54</f>
        <v>3750000000</v>
      </c>
      <c r="H54" s="1566">
        <f t="shared" ref="H54:M54" si="3">($E54*(H$53-G$53))+G54</f>
        <v>3750000000</v>
      </c>
      <c r="I54" s="1566">
        <f t="shared" si="3"/>
        <v>3750000000</v>
      </c>
      <c r="J54" s="1566">
        <f t="shared" si="3"/>
        <v>3750000000</v>
      </c>
      <c r="K54" s="1566">
        <f t="shared" si="3"/>
        <v>3750000000</v>
      </c>
      <c r="L54" s="1566">
        <f t="shared" si="3"/>
        <v>3750000000</v>
      </c>
      <c r="M54" s="1566">
        <f t="shared" si="3"/>
        <v>3750000000</v>
      </c>
      <c r="N54" s="1566">
        <f>(750000*NAIRA2010_/Unit.kW)*plantsize.III.b.2</f>
        <v>3750000000</v>
      </c>
      <c r="O54" s="1416"/>
      <c r="P54" s="2230"/>
    </row>
    <row r="55" spans="1:16" s="84" customFormat="1" x14ac:dyDescent="0.2">
      <c r="A55" s="2479"/>
      <c r="B55" s="1419"/>
      <c r="C55" s="606" t="s">
        <v>1872</v>
      </c>
      <c r="D55" s="107"/>
      <c r="E55" s="188">
        <f>(N55-F55)/(N$53-F$53)</f>
        <v>0</v>
      </c>
      <c r="F55" s="1055">
        <f>(675000*NAIRA2010_/Unit.kW)*plantsize.III.b.2</f>
        <v>3375000000</v>
      </c>
      <c r="G55" s="1055">
        <f t="shared" ref="G55:M56" si="4">($E55*(G$53-F$53))+F55</f>
        <v>3375000000</v>
      </c>
      <c r="H55" s="1055">
        <f t="shared" si="4"/>
        <v>3375000000</v>
      </c>
      <c r="I55" s="1055">
        <f t="shared" si="4"/>
        <v>3375000000</v>
      </c>
      <c r="J55" s="1055">
        <f t="shared" si="4"/>
        <v>3375000000</v>
      </c>
      <c r="K55" s="1055">
        <f t="shared" si="4"/>
        <v>3375000000</v>
      </c>
      <c r="L55" s="1055">
        <f t="shared" si="4"/>
        <v>3375000000</v>
      </c>
      <c r="M55" s="1055">
        <f t="shared" si="4"/>
        <v>3375000000</v>
      </c>
      <c r="N55" s="1055">
        <f>(675000*NAIRA2010_/Unit.kW)*plantsize.III.b.2</f>
        <v>3375000000</v>
      </c>
      <c r="O55" s="1416"/>
      <c r="P55" s="2230"/>
    </row>
    <row r="56" spans="1:16" s="84" customFormat="1" x14ac:dyDescent="0.2">
      <c r="A56" s="2479"/>
      <c r="B56" s="1419"/>
      <c r="C56" s="1731" t="s">
        <v>1873</v>
      </c>
      <c r="D56" s="189"/>
      <c r="E56" s="191">
        <f>(N56-F56)/(N$53-F$53)</f>
        <v>0</v>
      </c>
      <c r="F56" s="1056">
        <f>(600000*NAIRA2010_/Unit.kW)*plantsize.III.b.2</f>
        <v>3000000000</v>
      </c>
      <c r="G56" s="1056">
        <f t="shared" si="4"/>
        <v>3000000000</v>
      </c>
      <c r="H56" s="1056">
        <f t="shared" si="4"/>
        <v>3000000000</v>
      </c>
      <c r="I56" s="1056">
        <f t="shared" si="4"/>
        <v>3000000000</v>
      </c>
      <c r="J56" s="1056">
        <f t="shared" si="4"/>
        <v>3000000000</v>
      </c>
      <c r="K56" s="1056">
        <f>($E56*(K$53-J$53))+J56</f>
        <v>3000000000</v>
      </c>
      <c r="L56" s="1056">
        <f t="shared" si="4"/>
        <v>3000000000</v>
      </c>
      <c r="M56" s="1056">
        <f t="shared" si="4"/>
        <v>3000000000</v>
      </c>
      <c r="N56" s="1056">
        <f>(600000*NAIRA2010_/Unit.kW)*plantsize.III.b.2</f>
        <v>3000000000</v>
      </c>
      <c r="O56" s="1416"/>
      <c r="P56" s="2230"/>
    </row>
    <row r="57" spans="1:16" s="84" customFormat="1" x14ac:dyDescent="0.2">
      <c r="A57" s="2479"/>
      <c r="B57" s="1419"/>
      <c r="C57" s="1848"/>
      <c r="D57" s="107"/>
      <c r="E57" s="1081"/>
      <c r="F57" s="1055"/>
      <c r="G57" s="760"/>
      <c r="H57" s="760"/>
      <c r="I57" s="760"/>
      <c r="J57" s="760"/>
      <c r="K57" s="760"/>
      <c r="L57" s="760"/>
      <c r="M57" s="760"/>
      <c r="N57" s="1416"/>
      <c r="O57" s="1416"/>
      <c r="P57" s="2230"/>
    </row>
    <row r="58" spans="1:16" x14ac:dyDescent="0.2">
      <c r="B58" s="1419"/>
      <c r="C58" s="1417" t="str">
        <f>"Operating cost of a "&amp;plantsize.III.b.2&amp;" "&amp;Preferences.PowerUnits&amp;" hydro plant"</f>
        <v>Operating cost of a 0.005 GW hydro plant</v>
      </c>
      <c r="D58" s="107"/>
      <c r="E58" s="1081">
        <f>6*150/1000</f>
        <v>0.9</v>
      </c>
      <c r="F58" s="1055"/>
      <c r="G58" s="760"/>
      <c r="H58" s="760"/>
      <c r="I58" s="760"/>
      <c r="J58" s="760"/>
      <c r="K58" s="760"/>
      <c r="L58" s="760"/>
      <c r="M58" s="760"/>
      <c r="N58" s="1255" t="str">
        <f>Preferences.moneyunits&amp;"/plant"</f>
        <v>N/plant</v>
      </c>
      <c r="O58" s="1416"/>
      <c r="P58" s="2230"/>
    </row>
    <row r="59" spans="1:16" ht="4.5" customHeight="1" x14ac:dyDescent="0.2">
      <c r="B59" s="1419"/>
      <c r="C59" s="1848"/>
      <c r="D59" s="107"/>
      <c r="E59" s="1081"/>
      <c r="F59" s="1055"/>
      <c r="G59" s="760"/>
      <c r="H59" s="760"/>
      <c r="I59" s="760"/>
      <c r="J59" s="760"/>
      <c r="K59" s="760"/>
      <c r="L59" s="760"/>
      <c r="M59" s="760"/>
      <c r="N59" s="1416"/>
      <c r="O59" s="1416"/>
      <c r="P59" s="2230"/>
    </row>
    <row r="60" spans="1:16" x14ac:dyDescent="0.2">
      <c r="B60" s="1419"/>
      <c r="C60" s="1101"/>
      <c r="D60" s="1519"/>
      <c r="E60" s="1567" t="s">
        <v>1321</v>
      </c>
      <c r="F60" s="1845">
        <v>2010</v>
      </c>
      <c r="G60" s="1845">
        <v>2015</v>
      </c>
      <c r="H60" s="1845">
        <v>2020</v>
      </c>
      <c r="I60" s="1845">
        <v>2025</v>
      </c>
      <c r="J60" s="1845">
        <v>2030</v>
      </c>
      <c r="K60" s="1845">
        <v>2035</v>
      </c>
      <c r="L60" s="1845">
        <v>2040</v>
      </c>
      <c r="M60" s="1845">
        <v>2045</v>
      </c>
      <c r="N60" s="1845">
        <v>2050</v>
      </c>
      <c r="O60" s="1416"/>
      <c r="P60" s="2230"/>
    </row>
    <row r="61" spans="1:16" x14ac:dyDescent="0.2">
      <c r="B61" s="1419"/>
      <c r="C61" s="1846" t="s">
        <v>1871</v>
      </c>
      <c r="D61" s="1519"/>
      <c r="E61" s="1847">
        <f>(N61-F61)/(N$60-F$60)</f>
        <v>0</v>
      </c>
      <c r="F61" s="1566">
        <f>(1.5*NAIRA2010_/Unit.kW)*plantsize.III.b.2</f>
        <v>7500</v>
      </c>
      <c r="G61" s="1566">
        <f t="shared" ref="G61:M63" si="5">($E61*(G$60-F$60))+F61</f>
        <v>7500</v>
      </c>
      <c r="H61" s="1566">
        <f t="shared" si="5"/>
        <v>7500</v>
      </c>
      <c r="I61" s="1566">
        <f t="shared" si="5"/>
        <v>7500</v>
      </c>
      <c r="J61" s="1566">
        <f t="shared" si="5"/>
        <v>7500</v>
      </c>
      <c r="K61" s="1566">
        <f t="shared" si="5"/>
        <v>7500</v>
      </c>
      <c r="L61" s="1566">
        <f t="shared" si="5"/>
        <v>7500</v>
      </c>
      <c r="M61" s="1566">
        <f t="shared" si="5"/>
        <v>7500</v>
      </c>
      <c r="N61" s="1566">
        <f>(1.5*NAIRA2010_/Unit.kW)*plantsize.III.b.2</f>
        <v>7500</v>
      </c>
      <c r="O61" s="1416"/>
      <c r="P61" s="2230"/>
    </row>
    <row r="62" spans="1:16" s="20" customFormat="1" x14ac:dyDescent="0.2">
      <c r="B62" s="1419"/>
      <c r="C62" s="606" t="s">
        <v>1872</v>
      </c>
      <c r="D62" s="107"/>
      <c r="E62" s="188">
        <f>(N62-F62)/(N$60-F$60)</f>
        <v>0</v>
      </c>
      <c r="F62" s="1055">
        <f>(1.2*NAIRA2010_/Unit.kW)*plantsize.III.b.2</f>
        <v>6000</v>
      </c>
      <c r="G62" s="1055">
        <f t="shared" si="5"/>
        <v>6000</v>
      </c>
      <c r="H62" s="1055">
        <f t="shared" si="5"/>
        <v>6000</v>
      </c>
      <c r="I62" s="1055">
        <f t="shared" si="5"/>
        <v>6000</v>
      </c>
      <c r="J62" s="1055">
        <f t="shared" si="5"/>
        <v>6000</v>
      </c>
      <c r="K62" s="1055">
        <f t="shared" si="5"/>
        <v>6000</v>
      </c>
      <c r="L62" s="1055">
        <f t="shared" si="5"/>
        <v>6000</v>
      </c>
      <c r="M62" s="1055">
        <f t="shared" si="5"/>
        <v>6000</v>
      </c>
      <c r="N62" s="1055">
        <f>(1.2*NAIRA2010_/Unit.kW)*plantsize.III.b.2</f>
        <v>6000</v>
      </c>
      <c r="O62" s="1416"/>
      <c r="P62" s="2230"/>
    </row>
    <row r="63" spans="1:16" s="20" customFormat="1" ht="14.25" customHeight="1" x14ac:dyDescent="0.2">
      <c r="B63" s="1419"/>
      <c r="C63" s="1731" t="s">
        <v>1873</v>
      </c>
      <c r="D63" s="189"/>
      <c r="E63" s="191">
        <f>(N63-F63)/(N$60-F$60)</f>
        <v>0</v>
      </c>
      <c r="F63" s="1056">
        <f>(0.9*NAIRA2010_/Unit.kW)*plantsize.III.b.2</f>
        <v>4500.0000000000009</v>
      </c>
      <c r="G63" s="1056">
        <f t="shared" si="5"/>
        <v>4500.0000000000009</v>
      </c>
      <c r="H63" s="1056">
        <f t="shared" si="5"/>
        <v>4500.0000000000009</v>
      </c>
      <c r="I63" s="1056">
        <f t="shared" si="5"/>
        <v>4500.0000000000009</v>
      </c>
      <c r="J63" s="1056">
        <f t="shared" si="5"/>
        <v>4500.0000000000009</v>
      </c>
      <c r="K63" s="1056">
        <f t="shared" si="5"/>
        <v>4500.0000000000009</v>
      </c>
      <c r="L63" s="1056">
        <f t="shared" si="5"/>
        <v>4500.0000000000009</v>
      </c>
      <c r="M63" s="1056">
        <f t="shared" si="5"/>
        <v>4500.0000000000009</v>
      </c>
      <c r="N63" s="1056">
        <f>(0.9*NAIRA2010_/Unit.kW)*plantsize.III.b.2</f>
        <v>4500.0000000000009</v>
      </c>
      <c r="O63" s="1416"/>
      <c r="P63" s="2230"/>
    </row>
    <row r="64" spans="1:16" ht="15.75" customHeight="1" x14ac:dyDescent="0.2">
      <c r="B64" s="1377"/>
      <c r="C64" s="1377"/>
      <c r="D64" s="1416"/>
      <c r="E64" s="760"/>
      <c r="F64" s="1416"/>
      <c r="G64" s="1416"/>
      <c r="H64" s="1416"/>
      <c r="I64" s="1488"/>
      <c r="J64" s="1488"/>
      <c r="K64" s="1377"/>
      <c r="L64" s="1377"/>
      <c r="M64" s="1377"/>
      <c r="N64" s="1377"/>
      <c r="O64" s="1377"/>
      <c r="P64" s="2230"/>
    </row>
    <row r="65" spans="2:16" x14ac:dyDescent="0.2">
      <c r="B65" s="831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832"/>
    </row>
    <row r="66" spans="2:16" ht="15.75" x14ac:dyDescent="0.2">
      <c r="B66" s="1423" t="s">
        <v>332</v>
      </c>
      <c r="C66" s="405"/>
      <c r="D66" s="405"/>
      <c r="E66" s="405"/>
      <c r="F66" s="405"/>
      <c r="G66" s="405"/>
      <c r="H66" s="405"/>
      <c r="I66" s="405"/>
      <c r="J66" s="405"/>
      <c r="K66" s="405"/>
      <c r="L66" s="405"/>
      <c r="M66" s="405"/>
      <c r="N66" s="405"/>
      <c r="O66" s="406"/>
    </row>
    <row r="67" spans="2:16" s="84" customFormat="1" ht="5.25" customHeight="1" x14ac:dyDescent="0.2">
      <c r="B67" s="1419"/>
      <c r="C67" s="1416"/>
      <c r="D67" s="1416"/>
      <c r="E67" s="1416"/>
      <c r="F67" s="1416"/>
      <c r="G67" s="1416"/>
      <c r="H67" s="1416"/>
      <c r="I67" s="1416"/>
      <c r="J67" s="1416"/>
      <c r="K67" s="1416"/>
      <c r="L67" s="1416"/>
      <c r="M67" s="1416"/>
      <c r="N67" s="1416"/>
      <c r="O67" s="1420"/>
    </row>
    <row r="68" spans="2:16" x14ac:dyDescent="0.2">
      <c r="B68" s="1419"/>
      <c r="C68" s="1417" t="s">
        <v>298</v>
      </c>
      <c r="D68" s="1416"/>
      <c r="E68" s="176"/>
      <c r="F68" s="1416"/>
      <c r="G68" s="1416"/>
      <c r="H68" s="1416"/>
      <c r="I68" s="1416"/>
      <c r="J68" s="1416"/>
      <c r="K68" s="1416"/>
      <c r="L68" s="1416"/>
      <c r="M68" s="1416"/>
      <c r="N68" s="176" t="str">
        <f>Preferences.PowerUnits</f>
        <v>GW</v>
      </c>
      <c r="O68" s="1420"/>
    </row>
    <row r="69" spans="2:16" ht="4.5" customHeight="1" x14ac:dyDescent="0.2">
      <c r="B69" s="1419"/>
      <c r="C69" s="1416"/>
      <c r="D69" s="1416"/>
      <c r="E69" s="1416"/>
      <c r="F69" s="1416"/>
      <c r="G69" s="1416"/>
      <c r="H69" s="1416"/>
      <c r="I69" s="1416"/>
      <c r="J69" s="1416"/>
      <c r="K69" s="1416"/>
      <c r="L69" s="1416"/>
      <c r="M69" s="1416"/>
      <c r="N69" s="1416"/>
      <c r="O69" s="1420"/>
    </row>
    <row r="70" spans="2:16" ht="15.75" x14ac:dyDescent="0.25">
      <c r="B70" s="397"/>
      <c r="C70" s="98" t="s">
        <v>264</v>
      </c>
      <c r="D70" s="98" t="s">
        <v>65</v>
      </c>
      <c r="E70" s="98" t="s">
        <v>172</v>
      </c>
      <c r="F70" s="218">
        <v>2010</v>
      </c>
      <c r="G70" s="217">
        <v>2015</v>
      </c>
      <c r="H70" s="217">
        <v>2020</v>
      </c>
      <c r="I70" s="217">
        <v>2025</v>
      </c>
      <c r="J70" s="217">
        <v>2030</v>
      </c>
      <c r="K70" s="217">
        <v>2035</v>
      </c>
      <c r="L70" s="217">
        <v>2040</v>
      </c>
      <c r="M70" s="217">
        <v>2045</v>
      </c>
      <c r="N70" s="217">
        <v>2050</v>
      </c>
      <c r="O70" s="1420"/>
    </row>
    <row r="71" spans="2:16" ht="13.5" customHeight="1" x14ac:dyDescent="0.2">
      <c r="B71" s="399"/>
      <c r="C71" s="121" t="s">
        <v>8</v>
      </c>
      <c r="D71" s="122" t="str">
        <f>INDEX(Vectors[Description], MATCH($C71,Vectors[Code], 0))</f>
        <v>Hydro</v>
      </c>
      <c r="E71" s="122"/>
      <c r="F71" s="889">
        <f t="shared" ref="F71:N71" si="6">F20</f>
        <v>6.4000000000000001E-2</v>
      </c>
      <c r="G71" s="1036">
        <f t="shared" si="6"/>
        <v>6.4000000000000001E-2</v>
      </c>
      <c r="H71" s="1036">
        <f t="shared" si="6"/>
        <v>6.4000000000000001E-2</v>
      </c>
      <c r="I71" s="1036">
        <f t="shared" si="6"/>
        <v>1.0458571428571399</v>
      </c>
      <c r="J71" s="1036">
        <f t="shared" si="6"/>
        <v>1.53668571428571</v>
      </c>
      <c r="K71" s="1036">
        <f t="shared" si="6"/>
        <v>2.02751428571429</v>
      </c>
      <c r="L71" s="1036">
        <f t="shared" si="6"/>
        <v>2.5183428571428599</v>
      </c>
      <c r="M71" s="1036">
        <f t="shared" si="6"/>
        <v>3.0091714285714302</v>
      </c>
      <c r="N71" s="1036">
        <f t="shared" si="6"/>
        <v>3.5</v>
      </c>
      <c r="O71" s="1415"/>
      <c r="P71" s="37"/>
    </row>
    <row r="72" spans="2:16" x14ac:dyDescent="0.2">
      <c r="B72" s="460"/>
      <c r="C72" s="432"/>
      <c r="D72" s="433"/>
      <c r="E72" s="433"/>
      <c r="F72" s="487"/>
      <c r="G72" s="487"/>
      <c r="H72" s="487"/>
      <c r="I72" s="487"/>
      <c r="J72" s="487"/>
      <c r="K72" s="487"/>
      <c r="L72" s="487"/>
      <c r="M72" s="487"/>
      <c r="N72" s="487"/>
      <c r="O72" s="403"/>
      <c r="P72" s="37"/>
    </row>
    <row r="73" spans="2:16" x14ac:dyDescent="0.2">
      <c r="P73" s="37"/>
    </row>
    <row r="74" spans="2:16" x14ac:dyDescent="0.2">
      <c r="B74" s="2479" t="s">
        <v>1853</v>
      </c>
      <c r="C74" s="132"/>
      <c r="F74" s="20">
        <v>2010</v>
      </c>
      <c r="G74" s="20">
        <v>2015</v>
      </c>
      <c r="H74" s="20">
        <v>2020</v>
      </c>
      <c r="I74" s="20">
        <v>2025</v>
      </c>
      <c r="J74" s="20">
        <v>2030</v>
      </c>
      <c r="K74" s="20">
        <v>2035</v>
      </c>
      <c r="L74" s="20">
        <v>2040</v>
      </c>
      <c r="M74" s="20">
        <v>2045</v>
      </c>
      <c r="N74" s="20">
        <v>2050</v>
      </c>
      <c r="P74" s="37"/>
    </row>
    <row r="75" spans="2:16" x14ac:dyDescent="0.2">
      <c r="C75" s="1427" t="s">
        <v>328</v>
      </c>
      <c r="E75" s="2479" t="str">
        <f>Preferences.PowerUnits</f>
        <v>GW</v>
      </c>
      <c r="F75" s="23">
        <f t="shared" ref="F75:N75" si="7">F$71</f>
        <v>6.4000000000000001E-2</v>
      </c>
      <c r="G75" s="23">
        <f t="shared" si="7"/>
        <v>6.4000000000000001E-2</v>
      </c>
      <c r="H75" s="23">
        <f t="shared" si="7"/>
        <v>6.4000000000000001E-2</v>
      </c>
      <c r="I75" s="23">
        <f t="shared" si="7"/>
        <v>1.0458571428571399</v>
      </c>
      <c r="J75" s="23">
        <f t="shared" si="7"/>
        <v>1.53668571428571</v>
      </c>
      <c r="K75" s="23">
        <f t="shared" si="7"/>
        <v>2.02751428571429</v>
      </c>
      <c r="L75" s="23">
        <f t="shared" si="7"/>
        <v>2.5183428571428599</v>
      </c>
      <c r="M75" s="23">
        <f t="shared" si="7"/>
        <v>3.0091714285714302</v>
      </c>
      <c r="N75" s="23">
        <f t="shared" si="7"/>
        <v>3.5</v>
      </c>
      <c r="P75" s="37"/>
    </row>
    <row r="76" spans="2:16" x14ac:dyDescent="0.2">
      <c r="B76" s="131" t="s">
        <v>345</v>
      </c>
      <c r="C76" s="2479" t="s">
        <v>327</v>
      </c>
      <c r="F76" s="15">
        <f t="shared" ref="F76:N76" si="8">F$34</f>
        <v>0.5</v>
      </c>
      <c r="G76" s="15">
        <f t="shared" si="8"/>
        <v>0.5</v>
      </c>
      <c r="H76" s="15">
        <f t="shared" si="8"/>
        <v>0.5</v>
      </c>
      <c r="I76" s="15">
        <f t="shared" si="8"/>
        <v>0.5</v>
      </c>
      <c r="J76" s="15">
        <f t="shared" si="8"/>
        <v>0.5</v>
      </c>
      <c r="K76" s="15">
        <f t="shared" si="8"/>
        <v>0.5</v>
      </c>
      <c r="L76" s="15">
        <f t="shared" si="8"/>
        <v>0.5</v>
      </c>
      <c r="M76" s="15">
        <f t="shared" si="8"/>
        <v>0.5</v>
      </c>
      <c r="N76" s="15">
        <f t="shared" si="8"/>
        <v>0.5</v>
      </c>
      <c r="P76" s="37"/>
    </row>
    <row r="77" spans="2:16" x14ac:dyDescent="0.2">
      <c r="B77" s="132" t="s">
        <v>346</v>
      </c>
      <c r="C77" s="1427" t="s">
        <v>580</v>
      </c>
      <c r="F77" s="114">
        <f t="shared" ref="F77:N77" si="9">F75*F76</f>
        <v>3.2000000000000001E-2</v>
      </c>
      <c r="G77" s="114">
        <f t="shared" si="9"/>
        <v>3.2000000000000001E-2</v>
      </c>
      <c r="H77" s="114">
        <f t="shared" si="9"/>
        <v>3.2000000000000001E-2</v>
      </c>
      <c r="I77" s="114">
        <f t="shared" si="9"/>
        <v>0.52292857142856997</v>
      </c>
      <c r="J77" s="114">
        <f t="shared" si="9"/>
        <v>0.768342857142855</v>
      </c>
      <c r="K77" s="114">
        <f t="shared" si="9"/>
        <v>1.013757142857145</v>
      </c>
      <c r="L77" s="114">
        <f t="shared" si="9"/>
        <v>1.2591714285714299</v>
      </c>
      <c r="M77" s="114">
        <f t="shared" si="9"/>
        <v>1.5045857142857151</v>
      </c>
      <c r="N77" s="114">
        <f t="shared" si="9"/>
        <v>1.75</v>
      </c>
      <c r="P77" s="37"/>
    </row>
    <row r="78" spans="2:16" x14ac:dyDescent="0.2">
      <c r="B78" s="132"/>
      <c r="C78" s="1427"/>
      <c r="F78" s="114"/>
      <c r="G78" s="114"/>
      <c r="H78" s="114"/>
      <c r="I78" s="114"/>
      <c r="J78" s="114"/>
      <c r="K78" s="114"/>
      <c r="L78" s="114"/>
      <c r="M78" s="114"/>
      <c r="N78" s="114"/>
      <c r="P78" s="37"/>
    </row>
    <row r="79" spans="2:16" x14ac:dyDescent="0.2">
      <c r="C79" s="1427" t="s">
        <v>185</v>
      </c>
      <c r="E79" s="2479" t="str">
        <f>Preferences.EnergyUnits</f>
        <v>TWh</v>
      </c>
      <c r="F79" s="114">
        <f t="shared" ref="F79:N79" si="10">F$77*Preferences.Unit.Power*Unit.year/Preferences.Unit.Energy</f>
        <v>0.28051199999999998</v>
      </c>
      <c r="G79" s="114">
        <f t="shared" si="10"/>
        <v>0.28051199999999998</v>
      </c>
      <c r="H79" s="114">
        <f t="shared" si="10"/>
        <v>0.28051199999999998</v>
      </c>
      <c r="I79" s="114">
        <f t="shared" si="10"/>
        <v>4.5839918571428449</v>
      </c>
      <c r="J79" s="114">
        <f t="shared" si="10"/>
        <v>6.7352934857142674</v>
      </c>
      <c r="K79" s="114">
        <f t="shared" si="10"/>
        <v>8.8865951142857327</v>
      </c>
      <c r="L79" s="114">
        <f t="shared" si="10"/>
        <v>11.037896742857155</v>
      </c>
      <c r="M79" s="114">
        <f t="shared" si="10"/>
        <v>13.189198371428578</v>
      </c>
      <c r="N79" s="114">
        <f t="shared" si="10"/>
        <v>15.3405</v>
      </c>
      <c r="P79" s="37"/>
    </row>
    <row r="80" spans="2:16" x14ac:dyDescent="0.2">
      <c r="C80" s="1427"/>
      <c r="F80" s="114"/>
      <c r="G80" s="114"/>
      <c r="H80" s="114"/>
      <c r="I80" s="114"/>
      <c r="J80" s="114"/>
      <c r="K80" s="114"/>
      <c r="L80" s="114"/>
      <c r="M80" s="114"/>
      <c r="N80" s="114"/>
      <c r="P80" s="37"/>
    </row>
    <row r="81" spans="1:16" x14ac:dyDescent="0.2">
      <c r="B81" s="2479" t="s">
        <v>1274</v>
      </c>
      <c r="C81" s="1427"/>
      <c r="F81" s="114"/>
      <c r="G81" s="114"/>
      <c r="H81" s="114"/>
      <c r="I81" s="114"/>
      <c r="J81" s="114"/>
      <c r="K81" s="114"/>
      <c r="L81" s="114"/>
      <c r="M81" s="114"/>
      <c r="N81" s="114"/>
      <c r="P81" s="37"/>
    </row>
    <row r="82" spans="1:16" x14ac:dyDescent="0.2">
      <c r="C82" s="2479" t="str">
        <f>"Approximate number of sites the size of Shiroro"</f>
        <v>Approximate number of sites the size of Shiroro</v>
      </c>
      <c r="E82" s="2479" t="s">
        <v>1275</v>
      </c>
      <c r="F82" s="1262">
        <f t="shared" ref="F82:M82" si="11">F75/$F$39</f>
        <v>12.8</v>
      </c>
      <c r="G82" s="1262">
        <f t="shared" si="11"/>
        <v>12.8</v>
      </c>
      <c r="H82" s="1262">
        <f t="shared" si="11"/>
        <v>12.8</v>
      </c>
      <c r="I82" s="1262">
        <f t="shared" si="11"/>
        <v>209.17142857142798</v>
      </c>
      <c r="J82" s="1262">
        <f t="shared" si="11"/>
        <v>307.337142857142</v>
      </c>
      <c r="K82" s="1262">
        <f t="shared" si="11"/>
        <v>405.50285714285798</v>
      </c>
      <c r="L82" s="1262">
        <f t="shared" si="11"/>
        <v>503.66857142857197</v>
      </c>
      <c r="M82" s="1262">
        <f t="shared" si="11"/>
        <v>601.83428571428601</v>
      </c>
      <c r="N82" s="1262">
        <f>N75/$F$39</f>
        <v>700</v>
      </c>
      <c r="P82" s="37"/>
    </row>
    <row r="83" spans="1:16" x14ac:dyDescent="0.2">
      <c r="C83" s="2479" t="s">
        <v>1281</v>
      </c>
      <c r="E83" s="2479" t="str">
        <f>Preferences.AreaUnits</f>
        <v>km^2</v>
      </c>
      <c r="F83" s="1262">
        <f t="shared" ref="F83:N83" si="12">F75/$F$41</f>
        <v>2.0945454545454538</v>
      </c>
      <c r="G83" s="1262">
        <f t="shared" si="12"/>
        <v>2.0945454545454538</v>
      </c>
      <c r="H83" s="1262">
        <f t="shared" si="12"/>
        <v>2.0945454545454538</v>
      </c>
      <c r="I83" s="1262">
        <f t="shared" si="12"/>
        <v>34.228051948051842</v>
      </c>
      <c r="J83" s="1262">
        <f t="shared" si="12"/>
        <v>50.291532467532313</v>
      </c>
      <c r="K83" s="1262">
        <f t="shared" si="12"/>
        <v>66.355012987013112</v>
      </c>
      <c r="L83" s="1262">
        <f t="shared" si="12"/>
        <v>82.418493506493576</v>
      </c>
      <c r="M83" s="1262">
        <f t="shared" si="12"/>
        <v>98.481974025974054</v>
      </c>
      <c r="N83" s="1262">
        <f t="shared" si="12"/>
        <v>114.5454545454545</v>
      </c>
      <c r="P83" s="37"/>
    </row>
    <row r="84" spans="1:16" x14ac:dyDescent="0.2">
      <c r="C84" s="2479" t="s">
        <v>1282</v>
      </c>
      <c r="E84" s="2479" t="str">
        <f>Preferences.AreaUnits</f>
        <v>km^2</v>
      </c>
      <c r="F84" s="1262">
        <f t="shared" ref="F84:O84" si="13">F75/$F$40</f>
        <v>115.19999999999997</v>
      </c>
      <c r="G84" s="1262">
        <f t="shared" si="13"/>
        <v>115.19999999999997</v>
      </c>
      <c r="H84" s="1262">
        <f t="shared" si="13"/>
        <v>115.19999999999997</v>
      </c>
      <c r="I84" s="1262">
        <f t="shared" si="13"/>
        <v>1882.5428571428515</v>
      </c>
      <c r="J84" s="1262">
        <f t="shared" si="13"/>
        <v>2766.0342857142773</v>
      </c>
      <c r="K84" s="1262">
        <f t="shared" si="13"/>
        <v>3649.5257142857213</v>
      </c>
      <c r="L84" s="1262">
        <f t="shared" si="13"/>
        <v>4533.0171428571466</v>
      </c>
      <c r="M84" s="1262">
        <f t="shared" si="13"/>
        <v>5416.5085714285733</v>
      </c>
      <c r="N84" s="1262">
        <f t="shared" si="13"/>
        <v>6299.9999999999991</v>
      </c>
      <c r="O84" s="1262">
        <f t="shared" si="13"/>
        <v>0</v>
      </c>
      <c r="P84" s="37"/>
    </row>
    <row r="85" spans="1:16" x14ac:dyDescent="0.2">
      <c r="F85" s="1262"/>
      <c r="G85" s="1262"/>
      <c r="H85" s="1262"/>
      <c r="I85" s="1262"/>
      <c r="J85" s="1262"/>
      <c r="K85" s="1262"/>
      <c r="L85" s="1262"/>
      <c r="M85" s="1262"/>
      <c r="N85" s="1262"/>
      <c r="O85" s="1262"/>
      <c r="P85" s="37"/>
    </row>
    <row r="86" spans="1:16" ht="16.5" customHeight="1" x14ac:dyDescent="0.3">
      <c r="A86" s="1422"/>
      <c r="C86" s="2479" t="s">
        <v>1641</v>
      </c>
      <c r="F86" s="1262"/>
      <c r="G86" s="1262"/>
      <c r="H86" s="1262"/>
      <c r="I86" s="1262"/>
      <c r="J86" s="1262"/>
      <c r="K86" s="1262"/>
      <c r="L86" s="1262"/>
      <c r="M86" s="1262"/>
      <c r="N86" s="1262"/>
      <c r="O86" s="1262"/>
      <c r="P86" s="37"/>
    </row>
    <row r="87" spans="1:16" x14ac:dyDescent="0.2">
      <c r="C87" s="2479" t="s">
        <v>1445</v>
      </c>
      <c r="F87" s="1262">
        <v>0</v>
      </c>
      <c r="G87" s="1026">
        <f t="shared" ref="G87:M87" si="14">(G82-F82)/(G70-F70)</f>
        <v>0</v>
      </c>
      <c r="H87" s="1026">
        <f t="shared" si="14"/>
        <v>0</v>
      </c>
      <c r="I87" s="1026">
        <f t="shared" si="14"/>
        <v>39.274285714285597</v>
      </c>
      <c r="J87" s="1026">
        <f t="shared" si="14"/>
        <v>19.633142857142804</v>
      </c>
      <c r="K87" s="1026">
        <f t="shared" si="14"/>
        <v>19.633142857143195</v>
      </c>
      <c r="L87" s="1026">
        <f t="shared" si="14"/>
        <v>19.633142857142797</v>
      </c>
      <c r="M87" s="1026">
        <f t="shared" si="14"/>
        <v>19.633142857142808</v>
      </c>
      <c r="N87" s="1026">
        <f>(N82-M82+N86)/(N70-M70)</f>
        <v>19.633142857142797</v>
      </c>
      <c r="O87" s="1262"/>
    </row>
    <row r="88" spans="1:16" ht="12" customHeight="1" x14ac:dyDescent="0.2">
      <c r="O88" s="1262"/>
    </row>
    <row r="89" spans="1:16" ht="12.75" customHeight="1" x14ac:dyDescent="0.2">
      <c r="B89" s="2479" t="s">
        <v>1420</v>
      </c>
      <c r="F89" s="1262"/>
      <c r="G89" s="1262"/>
      <c r="H89" s="1262"/>
      <c r="I89" s="1262"/>
      <c r="J89" s="1262"/>
      <c r="K89" s="1262"/>
      <c r="L89" s="1262"/>
      <c r="M89" s="1262"/>
      <c r="N89" s="1262"/>
      <c r="O89" s="1262"/>
    </row>
    <row r="90" spans="1:16" x14ac:dyDescent="0.2">
      <c r="C90" s="2479" t="s">
        <v>1418</v>
      </c>
      <c r="E90" s="2479" t="str">
        <f>Preferences.moneyunits</f>
        <v>N</v>
      </c>
      <c r="F90" s="1262">
        <f>F87*F$56</f>
        <v>0</v>
      </c>
      <c r="G90" s="1262">
        <f t="shared" ref="G90:N90" si="15">G87*G$56</f>
        <v>0</v>
      </c>
      <c r="H90" s="1262">
        <f t="shared" si="15"/>
        <v>0</v>
      </c>
      <c r="I90" s="1262">
        <f t="shared" si="15"/>
        <v>117822857142.8568</v>
      </c>
      <c r="J90" s="1262">
        <f t="shared" si="15"/>
        <v>58899428571.428413</v>
      </c>
      <c r="K90" s="1262">
        <f t="shared" si="15"/>
        <v>58899428571.429588</v>
      </c>
      <c r="L90" s="1262">
        <f t="shared" si="15"/>
        <v>58899428571.428391</v>
      </c>
      <c r="M90" s="1262">
        <f t="shared" si="15"/>
        <v>58899428571.428421</v>
      </c>
      <c r="N90" s="1262">
        <f t="shared" si="15"/>
        <v>58899428571.428391</v>
      </c>
      <c r="O90" s="1262"/>
    </row>
    <row r="91" spans="1:16" x14ac:dyDescent="0.2">
      <c r="C91" s="2479" t="s">
        <v>1419</v>
      </c>
      <c r="E91" s="2479" t="str">
        <f>Preferences.moneyunits</f>
        <v>N</v>
      </c>
      <c r="F91" s="1262">
        <f t="shared" ref="F91:N91" si="16">F82*F63</f>
        <v>57600.000000000015</v>
      </c>
      <c r="G91" s="1262">
        <f t="shared" si="16"/>
        <v>57600.000000000015</v>
      </c>
      <c r="H91" s="1262">
        <f t="shared" si="16"/>
        <v>57600.000000000015</v>
      </c>
      <c r="I91" s="1262">
        <f t="shared" si="16"/>
        <v>941271.42857142608</v>
      </c>
      <c r="J91" s="1262">
        <f t="shared" si="16"/>
        <v>1383017.1428571392</v>
      </c>
      <c r="K91" s="1262">
        <f t="shared" si="16"/>
        <v>1824762.8571428612</v>
      </c>
      <c r="L91" s="1262">
        <f t="shared" si="16"/>
        <v>2266508.5714285742</v>
      </c>
      <c r="M91" s="1262">
        <f t="shared" si="16"/>
        <v>2708254.2857142878</v>
      </c>
      <c r="N91" s="1262">
        <f t="shared" si="16"/>
        <v>3150000.0000000005</v>
      </c>
      <c r="O91" s="1262"/>
    </row>
    <row r="92" spans="1:16" x14ac:dyDescent="0.2">
      <c r="C92" s="2479" t="s">
        <v>1421</v>
      </c>
      <c r="E92" s="2479" t="str">
        <f>Preferences.moneyunits</f>
        <v>N</v>
      </c>
      <c r="F92" s="1262">
        <f t="shared" ref="F92:N92" si="17">SUM(F90:F91)</f>
        <v>57600.000000000015</v>
      </c>
      <c r="G92" s="1262">
        <f t="shared" si="17"/>
        <v>57600.000000000015</v>
      </c>
      <c r="H92" s="1262">
        <f t="shared" si="17"/>
        <v>57600.000000000015</v>
      </c>
      <c r="I92" s="1262">
        <f t="shared" si="17"/>
        <v>117823798414.28537</v>
      </c>
      <c r="J92" s="1262">
        <f t="shared" si="17"/>
        <v>58900811588.571274</v>
      </c>
      <c r="K92" s="1262">
        <f t="shared" si="17"/>
        <v>58901253334.286728</v>
      </c>
      <c r="L92" s="1262">
        <f t="shared" si="17"/>
        <v>58901695079.999817</v>
      </c>
      <c r="M92" s="1262">
        <f t="shared" si="17"/>
        <v>58902136825.714134</v>
      </c>
      <c r="N92" s="1262">
        <f t="shared" si="17"/>
        <v>58902578571.428391</v>
      </c>
      <c r="O92" s="1262"/>
    </row>
    <row r="93" spans="1:16" x14ac:dyDescent="0.2">
      <c r="C93" s="1427"/>
      <c r="F93" s="114"/>
      <c r="G93" s="114"/>
      <c r="H93" s="114"/>
      <c r="I93" s="114"/>
      <c r="J93" s="114"/>
      <c r="K93" s="114"/>
      <c r="L93" s="114"/>
      <c r="M93" s="114"/>
      <c r="N93" s="114"/>
      <c r="O93" s="1262"/>
    </row>
    <row r="94" spans="1:16" x14ac:dyDescent="0.2">
      <c r="B94" s="2479" t="s">
        <v>1874</v>
      </c>
      <c r="F94" s="1262"/>
      <c r="G94" s="1262"/>
      <c r="H94" s="1262"/>
      <c r="I94" s="1262"/>
      <c r="J94" s="1262"/>
      <c r="K94" s="1262"/>
      <c r="L94" s="1262"/>
      <c r="M94" s="1262"/>
      <c r="N94" s="1262"/>
      <c r="O94" s="1262"/>
    </row>
    <row r="95" spans="1:16" x14ac:dyDescent="0.2">
      <c r="C95" s="2479" t="s">
        <v>1418</v>
      </c>
      <c r="E95" s="2479" t="str">
        <f>Preferences.moneyunits</f>
        <v>N</v>
      </c>
      <c r="F95" s="1262">
        <f>F87*F$55</f>
        <v>0</v>
      </c>
      <c r="G95" s="1262">
        <f t="shared" ref="G95:N95" si="18">G87*G$55</f>
        <v>0</v>
      </c>
      <c r="H95" s="1262">
        <f t="shared" si="18"/>
        <v>0</v>
      </c>
      <c r="I95" s="1262">
        <f t="shared" si="18"/>
        <v>132550714285.71388</v>
      </c>
      <c r="J95" s="1262">
        <f t="shared" si="18"/>
        <v>66261857142.856964</v>
      </c>
      <c r="K95" s="1262">
        <f t="shared" si="18"/>
        <v>66261857142.858284</v>
      </c>
      <c r="L95" s="1262">
        <f t="shared" si="18"/>
        <v>66261857142.856941</v>
      </c>
      <c r="M95" s="1262">
        <f t="shared" si="18"/>
        <v>66261857142.856979</v>
      </c>
      <c r="N95" s="1262">
        <f t="shared" si="18"/>
        <v>66261857142.856941</v>
      </c>
      <c r="O95" s="1262"/>
    </row>
    <row r="96" spans="1:16" x14ac:dyDescent="0.2">
      <c r="C96" s="2479" t="s">
        <v>1419</v>
      </c>
      <c r="E96" s="2479" t="str">
        <f>Preferences.moneyunits</f>
        <v>N</v>
      </c>
      <c r="F96" s="1262">
        <f t="shared" ref="F96:M96" si="19">F82*F62</f>
        <v>76800</v>
      </c>
      <c r="G96" s="1262">
        <f t="shared" si="19"/>
        <v>76800</v>
      </c>
      <c r="H96" s="1262">
        <f t="shared" si="19"/>
        <v>76800</v>
      </c>
      <c r="I96" s="1262">
        <f t="shared" si="19"/>
        <v>1255028.5714285679</v>
      </c>
      <c r="J96" s="1262">
        <f t="shared" si="19"/>
        <v>1844022.8571428519</v>
      </c>
      <c r="K96" s="1262">
        <f t="shared" si="19"/>
        <v>2433017.1428571478</v>
      </c>
      <c r="L96" s="1262">
        <f t="shared" si="19"/>
        <v>3022011.4285714319</v>
      </c>
      <c r="M96" s="1262">
        <f t="shared" si="19"/>
        <v>3611005.7142857159</v>
      </c>
      <c r="N96" s="1262">
        <f>N82*N62</f>
        <v>4200000</v>
      </c>
      <c r="O96" s="1262"/>
    </row>
    <row r="97" spans="2:16" x14ac:dyDescent="0.2">
      <c r="C97" s="2479" t="s">
        <v>1421</v>
      </c>
      <c r="E97" s="2479" t="str">
        <f>Preferences.moneyunits</f>
        <v>N</v>
      </c>
      <c r="F97" s="1262">
        <f t="shared" ref="F97:N97" si="20">SUM(F95:F96)</f>
        <v>76800</v>
      </c>
      <c r="G97" s="1262">
        <f t="shared" si="20"/>
        <v>76800</v>
      </c>
      <c r="H97" s="1262">
        <f t="shared" si="20"/>
        <v>76800</v>
      </c>
      <c r="I97" s="1262">
        <f t="shared" si="20"/>
        <v>132551969314.28531</v>
      </c>
      <c r="J97" s="1262">
        <f t="shared" si="20"/>
        <v>66263701165.714104</v>
      </c>
      <c r="K97" s="1262">
        <f t="shared" si="20"/>
        <v>66264290160.001144</v>
      </c>
      <c r="L97" s="1262">
        <f t="shared" si="20"/>
        <v>66264879154.285515</v>
      </c>
      <c r="M97" s="1262">
        <f t="shared" si="20"/>
        <v>66265468148.571266</v>
      </c>
      <c r="N97" s="1262">
        <f t="shared" si="20"/>
        <v>66266057142.856941</v>
      </c>
    </row>
    <row r="98" spans="2:16" x14ac:dyDescent="0.2">
      <c r="F98" s="1262"/>
      <c r="G98" s="1262"/>
      <c r="H98" s="1262"/>
      <c r="I98" s="1262"/>
      <c r="J98" s="1262"/>
      <c r="K98" s="1262"/>
      <c r="L98" s="1262"/>
      <c r="M98" s="1262"/>
      <c r="N98" s="1262"/>
    </row>
    <row r="99" spans="2:16" x14ac:dyDescent="0.2">
      <c r="B99" s="2479" t="s">
        <v>1422</v>
      </c>
      <c r="F99" s="1262"/>
      <c r="G99" s="1262"/>
      <c r="H99" s="1262"/>
      <c r="I99" s="1262"/>
      <c r="J99" s="1262"/>
      <c r="K99" s="1262"/>
      <c r="L99" s="1262"/>
      <c r="M99" s="1262"/>
      <c r="N99" s="1262"/>
    </row>
    <row r="100" spans="2:16" x14ac:dyDescent="0.2">
      <c r="C100" s="2479" t="s">
        <v>1418</v>
      </c>
      <c r="E100" s="2479" t="str">
        <f>Preferences.moneyunits</f>
        <v>N</v>
      </c>
      <c r="F100" s="1262">
        <f t="shared" ref="F100:N100" si="21">F87*F$54</f>
        <v>0</v>
      </c>
      <c r="G100" s="1262">
        <f t="shared" si="21"/>
        <v>0</v>
      </c>
      <c r="H100" s="1262">
        <f t="shared" si="21"/>
        <v>0</v>
      </c>
      <c r="I100" s="1262">
        <f t="shared" si="21"/>
        <v>147278571428.57098</v>
      </c>
      <c r="J100" s="1262">
        <f t="shared" si="21"/>
        <v>73624285714.285522</v>
      </c>
      <c r="K100" s="1262">
        <f t="shared" si="21"/>
        <v>73624285714.286987</v>
      </c>
      <c r="L100" s="1262">
        <f t="shared" si="21"/>
        <v>73624285714.285492</v>
      </c>
      <c r="M100" s="1262">
        <f t="shared" si="21"/>
        <v>73624285714.285522</v>
      </c>
      <c r="N100" s="1262">
        <f t="shared" si="21"/>
        <v>73624285714.285492</v>
      </c>
    </row>
    <row r="101" spans="2:16" x14ac:dyDescent="0.2">
      <c r="C101" s="2479" t="s">
        <v>1419</v>
      </c>
      <c r="E101" s="2479" t="str">
        <f>Preferences.moneyunits</f>
        <v>N</v>
      </c>
      <c r="F101" s="1262">
        <f t="shared" ref="F101:N101" si="22">F82*F61</f>
        <v>96000</v>
      </c>
      <c r="G101" s="1262">
        <f t="shared" si="22"/>
        <v>96000</v>
      </c>
      <c r="H101" s="1262">
        <f t="shared" si="22"/>
        <v>96000</v>
      </c>
      <c r="I101" s="1262">
        <f t="shared" si="22"/>
        <v>1568785.7142857099</v>
      </c>
      <c r="J101" s="1262">
        <f t="shared" si="22"/>
        <v>2305028.5714285648</v>
      </c>
      <c r="K101" s="1262">
        <f t="shared" si="22"/>
        <v>3041271.4285714347</v>
      </c>
      <c r="L101" s="1262">
        <f t="shared" si="22"/>
        <v>3777514.2857142896</v>
      </c>
      <c r="M101" s="1262">
        <f t="shared" si="22"/>
        <v>4513757.1428571455</v>
      </c>
      <c r="N101" s="1262">
        <f t="shared" si="22"/>
        <v>5250000</v>
      </c>
    </row>
    <row r="102" spans="2:16" x14ac:dyDescent="0.2">
      <c r="C102" s="2479" t="s">
        <v>1421</v>
      </c>
      <c r="E102" s="2479" t="str">
        <f>Preferences.moneyunits</f>
        <v>N</v>
      </c>
      <c r="F102" s="1262">
        <f t="shared" ref="F102:N102" si="23">SUM(F100:F101)</f>
        <v>96000</v>
      </c>
      <c r="G102" s="1262">
        <f t="shared" si="23"/>
        <v>96000</v>
      </c>
      <c r="H102" s="1262">
        <f t="shared" si="23"/>
        <v>96000</v>
      </c>
      <c r="I102" s="1262">
        <f t="shared" si="23"/>
        <v>147280140214.28528</v>
      </c>
      <c r="J102" s="1262">
        <f t="shared" si="23"/>
        <v>73626590742.856949</v>
      </c>
      <c r="K102" s="1262">
        <f t="shared" si="23"/>
        <v>73627326985.715561</v>
      </c>
      <c r="L102" s="1262">
        <f t="shared" si="23"/>
        <v>73628063228.571213</v>
      </c>
      <c r="M102" s="1262">
        <f t="shared" si="23"/>
        <v>73628799471.428375</v>
      </c>
      <c r="N102" s="1262">
        <f t="shared" si="23"/>
        <v>73629535714.285492</v>
      </c>
    </row>
    <row r="106" spans="2:16" ht="15.75" x14ac:dyDescent="0.2">
      <c r="B106" s="468" t="s">
        <v>236</v>
      </c>
      <c r="C106" s="421"/>
      <c r="D106" s="421"/>
      <c r="E106" s="421"/>
      <c r="F106" s="421"/>
      <c r="G106" s="421"/>
      <c r="H106" s="421"/>
      <c r="I106" s="421"/>
      <c r="J106" s="421"/>
      <c r="K106" s="421"/>
      <c r="L106" s="421"/>
      <c r="M106" s="421"/>
      <c r="N106" s="421"/>
      <c r="O106" s="421"/>
      <c r="P106" s="423"/>
    </row>
    <row r="107" spans="2:16" x14ac:dyDescent="0.2">
      <c r="B107" s="410"/>
      <c r="C107" s="412"/>
      <c r="D107" s="412"/>
      <c r="E107" s="412"/>
      <c r="F107" s="412"/>
      <c r="G107" s="412"/>
      <c r="H107" s="412"/>
      <c r="I107" s="412"/>
      <c r="J107" s="412"/>
      <c r="K107" s="412"/>
      <c r="L107" s="412"/>
      <c r="M107" s="412"/>
      <c r="N107" s="412"/>
      <c r="O107" s="412"/>
      <c r="P107" s="414"/>
    </row>
    <row r="108" spans="2:16" x14ac:dyDescent="0.2">
      <c r="B108" s="410"/>
      <c r="C108" s="424" t="s">
        <v>277</v>
      </c>
      <c r="D108" s="412"/>
      <c r="E108" s="413"/>
      <c r="F108" s="412"/>
      <c r="G108" s="413"/>
      <c r="H108" s="412"/>
      <c r="I108" s="412"/>
      <c r="J108" s="412"/>
      <c r="K108" s="412"/>
      <c r="L108" s="412"/>
      <c r="M108" s="412"/>
      <c r="N108" s="412"/>
      <c r="O108" s="413" t="str">
        <f>Preferences.EnergyUnits</f>
        <v>TWh</v>
      </c>
      <c r="P108" s="414"/>
    </row>
    <row r="109" spans="2:16" x14ac:dyDescent="0.2">
      <c r="B109" s="410"/>
      <c r="C109" s="412"/>
      <c r="D109" s="412"/>
      <c r="E109" s="412"/>
      <c r="F109" s="412"/>
      <c r="G109" s="412"/>
      <c r="H109" s="412"/>
      <c r="I109" s="412"/>
      <c r="J109" s="412"/>
      <c r="K109" s="412"/>
      <c r="L109" s="412"/>
      <c r="M109" s="412"/>
      <c r="N109" s="412"/>
      <c r="O109" s="412"/>
      <c r="P109" s="414"/>
    </row>
    <row r="110" spans="2:16" ht="15.75" x14ac:dyDescent="0.25">
      <c r="B110" s="415"/>
      <c r="C110" s="426" t="s">
        <v>64</v>
      </c>
      <c r="D110" s="426" t="s">
        <v>150</v>
      </c>
      <c r="E110" s="426" t="s">
        <v>172</v>
      </c>
      <c r="F110" s="426" t="s">
        <v>241</v>
      </c>
      <c r="G110" s="426" t="s">
        <v>268</v>
      </c>
      <c r="H110" s="426" t="s">
        <v>269</v>
      </c>
      <c r="I110" s="426" t="s">
        <v>270</v>
      </c>
      <c r="J110" s="426" t="s">
        <v>271</v>
      </c>
      <c r="K110" s="426" t="s">
        <v>272</v>
      </c>
      <c r="L110" s="426" t="s">
        <v>273</v>
      </c>
      <c r="M110" s="426" t="s">
        <v>274</v>
      </c>
      <c r="N110" s="426" t="s">
        <v>275</v>
      </c>
      <c r="O110" s="414"/>
    </row>
    <row r="111" spans="2:16" ht="15.75" x14ac:dyDescent="0.25">
      <c r="B111" s="415"/>
      <c r="C111" s="97" t="s">
        <v>35</v>
      </c>
      <c r="D111" s="97" t="str">
        <f>INDEX(Vectors[Description], MATCH(III.b.2.Outputs[Vector], Vectors[Code], 0))</f>
        <v>Electricity (supplied to grid)</v>
      </c>
      <c r="E111" s="97"/>
      <c r="F111" s="241">
        <f t="shared" ref="F111:N111" si="24">F$79</f>
        <v>0.28051199999999998</v>
      </c>
      <c r="G111" s="241">
        <f t="shared" si="24"/>
        <v>0.28051199999999998</v>
      </c>
      <c r="H111" s="241">
        <f t="shared" si="24"/>
        <v>0.28051199999999998</v>
      </c>
      <c r="I111" s="241">
        <f t="shared" si="24"/>
        <v>4.5839918571428449</v>
      </c>
      <c r="J111" s="241">
        <f t="shared" si="24"/>
        <v>6.7352934857142674</v>
      </c>
      <c r="K111" s="241">
        <f t="shared" si="24"/>
        <v>8.8865951142857327</v>
      </c>
      <c r="L111" s="241">
        <f t="shared" si="24"/>
        <v>11.037896742857155</v>
      </c>
      <c r="M111" s="241">
        <f t="shared" si="24"/>
        <v>13.189198371428578</v>
      </c>
      <c r="N111" s="241">
        <f t="shared" si="24"/>
        <v>15.3405</v>
      </c>
      <c r="O111" s="414"/>
    </row>
    <row r="112" spans="2:16" ht="15.75" x14ac:dyDescent="0.25">
      <c r="B112" s="415"/>
      <c r="C112" s="97" t="s">
        <v>8</v>
      </c>
      <c r="D112" s="97" t="str">
        <f>INDEX(Vectors[Description], MATCH(III.b.2.Outputs[Vector], Vectors[Code], 0))</f>
        <v>Hydro</v>
      </c>
      <c r="E112" s="97"/>
      <c r="F112" s="241">
        <f t="shared" ref="F112:N112" si="25">-F79</f>
        <v>-0.28051199999999998</v>
      </c>
      <c r="G112" s="241">
        <f t="shared" si="25"/>
        <v>-0.28051199999999998</v>
      </c>
      <c r="H112" s="241">
        <f t="shared" si="25"/>
        <v>-0.28051199999999998</v>
      </c>
      <c r="I112" s="241">
        <f t="shared" si="25"/>
        <v>-4.5839918571428449</v>
      </c>
      <c r="J112" s="241">
        <f t="shared" si="25"/>
        <v>-6.7352934857142674</v>
      </c>
      <c r="K112" s="241">
        <f t="shared" si="25"/>
        <v>-8.8865951142857327</v>
      </c>
      <c r="L112" s="241">
        <f t="shared" si="25"/>
        <v>-11.037896742857155</v>
      </c>
      <c r="M112" s="241">
        <f t="shared" si="25"/>
        <v>-13.189198371428578</v>
      </c>
      <c r="N112" s="241">
        <f t="shared" si="25"/>
        <v>-15.3405</v>
      </c>
      <c r="O112" s="414"/>
    </row>
    <row r="113" spans="1:17" ht="15.75" x14ac:dyDescent="0.25">
      <c r="B113" s="415"/>
      <c r="C113" s="97" t="s">
        <v>105</v>
      </c>
      <c r="D113" s="97"/>
      <c r="E113" s="97"/>
      <c r="F113" s="97">
        <f>SUBTOTAL(109,III.b.2.Outputs[2010])</f>
        <v>0</v>
      </c>
      <c r="G113" s="97">
        <f>SUBTOTAL(109,III.b.2.Outputs[2015])</f>
        <v>0</v>
      </c>
      <c r="H113" s="97">
        <f>SUBTOTAL(109,III.b.2.Outputs[2020])</f>
        <v>0</v>
      </c>
      <c r="I113" s="97">
        <f>SUBTOTAL(109,III.b.2.Outputs[2025])</f>
        <v>0</v>
      </c>
      <c r="J113" s="97">
        <f>SUBTOTAL(109,III.b.2.Outputs[2030])</f>
        <v>0</v>
      </c>
      <c r="K113" s="97">
        <f>SUBTOTAL(109,III.b.2.Outputs[2035])</f>
        <v>0</v>
      </c>
      <c r="L113" s="97">
        <f>SUBTOTAL(109,III.b.2.Outputs[2040])</f>
        <v>0</v>
      </c>
      <c r="M113" s="97">
        <f>SUBTOTAL(109,III.b.2.Outputs[2045])</f>
        <v>0</v>
      </c>
      <c r="N113" s="97">
        <f>SUBTOTAL(109,III.b.2.Outputs[2050])</f>
        <v>0</v>
      </c>
      <c r="O113" s="414"/>
    </row>
    <row r="114" spans="1:17" ht="15.75" x14ac:dyDescent="0.25">
      <c r="B114" s="416"/>
      <c r="C114" s="417"/>
      <c r="D114" s="417"/>
      <c r="E114" s="417"/>
      <c r="F114" s="417"/>
      <c r="G114" s="417"/>
      <c r="H114" s="417"/>
      <c r="I114" s="417"/>
      <c r="J114" s="417"/>
      <c r="K114" s="417"/>
      <c r="L114" s="417"/>
      <c r="M114" s="417"/>
      <c r="N114" s="417"/>
      <c r="O114" s="417"/>
      <c r="P114" s="419"/>
      <c r="Q114" s="1245"/>
    </row>
    <row r="115" spans="1:17" x14ac:dyDescent="0.2">
      <c r="Q115" s="1245"/>
    </row>
    <row r="116" spans="1:17" ht="15.75" x14ac:dyDescent="0.2">
      <c r="B116" s="1430" t="s">
        <v>1225</v>
      </c>
      <c r="C116" s="1218"/>
      <c r="D116" s="1431"/>
      <c r="E116" s="1431"/>
      <c r="F116" s="1431"/>
      <c r="G116" s="1431"/>
      <c r="H116" s="1431"/>
      <c r="I116" s="1431"/>
      <c r="J116" s="1431"/>
      <c r="K116" s="1431"/>
      <c r="L116" s="1431"/>
      <c r="M116" s="1431"/>
      <c r="N116" s="1431"/>
      <c r="O116" s="1431"/>
      <c r="P116" s="1432"/>
      <c r="Q116" s="1245"/>
    </row>
    <row r="117" spans="1:17" x14ac:dyDescent="0.2">
      <c r="B117" s="1219"/>
      <c r="C117" s="1220"/>
      <c r="D117" s="1220"/>
      <c r="E117" s="1220"/>
      <c r="F117" s="1220"/>
      <c r="G117" s="1220"/>
      <c r="H117" s="1220"/>
      <c r="I117" s="1220"/>
      <c r="J117" s="1220"/>
      <c r="K117" s="1220"/>
      <c r="L117" s="1220"/>
      <c r="M117" s="1220"/>
      <c r="N117" s="1220"/>
      <c r="O117" s="1220"/>
      <c r="P117" s="1221"/>
      <c r="Q117" s="1245"/>
    </row>
    <row r="118" spans="1:17" x14ac:dyDescent="0.2">
      <c r="B118" s="1433"/>
      <c r="C118" s="1222" t="s">
        <v>1230</v>
      </c>
      <c r="D118" s="1434"/>
      <c r="E118" s="1223"/>
      <c r="F118" s="1434"/>
      <c r="G118" s="1223"/>
      <c r="H118" s="1434"/>
      <c r="I118" s="1434"/>
      <c r="J118" s="1434"/>
      <c r="K118" s="1434"/>
      <c r="L118" s="1434"/>
      <c r="M118" s="1434"/>
      <c r="N118" s="1434"/>
      <c r="O118" s="1223"/>
      <c r="P118" s="1435"/>
      <c r="Q118" s="1245"/>
    </row>
    <row r="119" spans="1:17" x14ac:dyDescent="0.2">
      <c r="B119" s="1433"/>
      <c r="C119" s="1434"/>
      <c r="D119" s="1434"/>
      <c r="E119" s="1434"/>
      <c r="F119" s="1434"/>
      <c r="G119" s="1434"/>
      <c r="H119" s="1434"/>
      <c r="I119" s="1434"/>
      <c r="J119" s="1434"/>
      <c r="K119" s="1434"/>
      <c r="L119" s="1434"/>
      <c r="M119" s="1434"/>
      <c r="N119" s="1434"/>
      <c r="O119" s="1434"/>
      <c r="P119" s="1435"/>
      <c r="Q119" s="1245"/>
    </row>
    <row r="120" spans="1:17" ht="15.75" x14ac:dyDescent="0.25">
      <c r="B120" s="1436"/>
      <c r="C120" s="1437" t="s">
        <v>64</v>
      </c>
      <c r="D120" s="1437" t="s">
        <v>1226</v>
      </c>
      <c r="E120" s="1437" t="s">
        <v>172</v>
      </c>
      <c r="F120" s="1437" t="s">
        <v>241</v>
      </c>
      <c r="G120" s="1437" t="s">
        <v>268</v>
      </c>
      <c r="H120" s="1437" t="s">
        <v>269</v>
      </c>
      <c r="I120" s="1437" t="s">
        <v>270</v>
      </c>
      <c r="J120" s="1437" t="s">
        <v>271</v>
      </c>
      <c r="K120" s="1437" t="s">
        <v>272</v>
      </c>
      <c r="L120" s="1437" t="s">
        <v>273</v>
      </c>
      <c r="M120" s="1437" t="s">
        <v>274</v>
      </c>
      <c r="N120" s="1437" t="s">
        <v>275</v>
      </c>
      <c r="O120" s="1435"/>
      <c r="P120" s="1245"/>
    </row>
    <row r="121" spans="1:17" ht="15.75" x14ac:dyDescent="0.25">
      <c r="B121" s="1436"/>
      <c r="C121" s="1438" t="s">
        <v>1232</v>
      </c>
      <c r="D121" s="1439" t="s">
        <v>1272</v>
      </c>
      <c r="E121" s="1439" t="str">
        <f>Preferences.PowerUnits</f>
        <v>GW</v>
      </c>
      <c r="F121" s="1226">
        <f t="shared" ref="F121:N121" si="26">F75</f>
        <v>6.4000000000000001E-2</v>
      </c>
      <c r="G121" s="1226">
        <f t="shared" si="26"/>
        <v>6.4000000000000001E-2</v>
      </c>
      <c r="H121" s="1226">
        <f t="shared" si="26"/>
        <v>6.4000000000000001E-2</v>
      </c>
      <c r="I121" s="1226">
        <f t="shared" si="26"/>
        <v>1.0458571428571399</v>
      </c>
      <c r="J121" s="1226">
        <f t="shared" si="26"/>
        <v>1.53668571428571</v>
      </c>
      <c r="K121" s="1226">
        <f t="shared" si="26"/>
        <v>2.02751428571429</v>
      </c>
      <c r="L121" s="1226">
        <f t="shared" si="26"/>
        <v>2.5183428571428599</v>
      </c>
      <c r="M121" s="1226">
        <f t="shared" si="26"/>
        <v>3.0091714285714302</v>
      </c>
      <c r="N121" s="1226">
        <f t="shared" si="26"/>
        <v>3.5</v>
      </c>
      <c r="O121" s="1435"/>
      <c r="P121" s="1245"/>
    </row>
    <row r="122" spans="1:17" ht="15.75" x14ac:dyDescent="0.25">
      <c r="B122" s="1436"/>
      <c r="C122" s="1438" t="s">
        <v>1233</v>
      </c>
      <c r="D122" s="1439" t="str">
        <f>"Approximate number of sites the size of Glendoe"</f>
        <v>Approximate number of sites the size of Glendoe</v>
      </c>
      <c r="E122" s="1439" t="s">
        <v>1275</v>
      </c>
      <c r="F122" s="1226">
        <f t="shared" ref="F122:N122" si="27">F82</f>
        <v>12.8</v>
      </c>
      <c r="G122" s="1226">
        <f t="shared" si="27"/>
        <v>12.8</v>
      </c>
      <c r="H122" s="1226">
        <f t="shared" si="27"/>
        <v>12.8</v>
      </c>
      <c r="I122" s="1226">
        <f t="shared" si="27"/>
        <v>209.17142857142798</v>
      </c>
      <c r="J122" s="1226">
        <f t="shared" si="27"/>
        <v>307.337142857142</v>
      </c>
      <c r="K122" s="1226">
        <f t="shared" si="27"/>
        <v>405.50285714285798</v>
      </c>
      <c r="L122" s="1226">
        <f t="shared" si="27"/>
        <v>503.66857142857197</v>
      </c>
      <c r="M122" s="1226">
        <f t="shared" si="27"/>
        <v>601.83428571428601</v>
      </c>
      <c r="N122" s="1226">
        <f t="shared" si="27"/>
        <v>700</v>
      </c>
      <c r="O122" s="1435"/>
      <c r="P122" s="1245"/>
    </row>
    <row r="123" spans="1:17" ht="15.75" x14ac:dyDescent="0.25">
      <c r="B123" s="1436"/>
      <c r="C123" s="1438" t="s">
        <v>1227</v>
      </c>
      <c r="D123" s="1438" t="s">
        <v>1299</v>
      </c>
      <c r="E123" s="1439" t="str">
        <f>Preferences.AreaUnits</f>
        <v>km^2</v>
      </c>
      <c r="F123" s="1226">
        <f t="shared" ref="F123:N123" si="28">F83</f>
        <v>2.0945454545454538</v>
      </c>
      <c r="G123" s="1226">
        <f t="shared" si="28"/>
        <v>2.0945454545454538</v>
      </c>
      <c r="H123" s="1226">
        <f t="shared" si="28"/>
        <v>2.0945454545454538</v>
      </c>
      <c r="I123" s="1226">
        <f t="shared" si="28"/>
        <v>34.228051948051842</v>
      </c>
      <c r="J123" s="1226">
        <f t="shared" si="28"/>
        <v>50.291532467532313</v>
      </c>
      <c r="K123" s="1226">
        <f t="shared" si="28"/>
        <v>66.355012987013112</v>
      </c>
      <c r="L123" s="1226">
        <f t="shared" si="28"/>
        <v>82.418493506493576</v>
      </c>
      <c r="M123" s="1226">
        <f t="shared" si="28"/>
        <v>98.481974025974054</v>
      </c>
      <c r="N123" s="1226">
        <f t="shared" si="28"/>
        <v>114.5454545454545</v>
      </c>
      <c r="O123" s="1435"/>
      <c r="P123" s="1245"/>
    </row>
    <row r="124" spans="1:17" ht="15.75" x14ac:dyDescent="0.25">
      <c r="B124" s="1436"/>
      <c r="C124" s="1438"/>
      <c r="D124" s="1439" t="s">
        <v>1282</v>
      </c>
      <c r="E124" s="1439" t="str">
        <f>Preferences.AreaUnits</f>
        <v>km^2</v>
      </c>
      <c r="F124" s="1226">
        <f t="shared" ref="F124:N124" si="29">F84</f>
        <v>115.19999999999997</v>
      </c>
      <c r="G124" s="1226">
        <f t="shared" si="29"/>
        <v>115.19999999999997</v>
      </c>
      <c r="H124" s="1226">
        <f t="shared" si="29"/>
        <v>115.19999999999997</v>
      </c>
      <c r="I124" s="1226">
        <f t="shared" si="29"/>
        <v>1882.5428571428515</v>
      </c>
      <c r="J124" s="1226">
        <f t="shared" si="29"/>
        <v>2766.0342857142773</v>
      </c>
      <c r="K124" s="1226">
        <f t="shared" si="29"/>
        <v>3649.5257142857213</v>
      </c>
      <c r="L124" s="1226">
        <f t="shared" si="29"/>
        <v>4533.0171428571466</v>
      </c>
      <c r="M124" s="1226">
        <f t="shared" si="29"/>
        <v>5416.5085714285733</v>
      </c>
      <c r="N124" s="1226">
        <f t="shared" si="29"/>
        <v>6299.9999999999991</v>
      </c>
      <c r="O124" s="1435"/>
    </row>
    <row r="125" spans="1:17" ht="15.75" collapsed="1" x14ac:dyDescent="0.25">
      <c r="B125" s="1227"/>
      <c r="C125" s="1440"/>
      <c r="D125" s="1440"/>
      <c r="E125" s="1440"/>
      <c r="F125" s="1440"/>
      <c r="G125" s="1440"/>
      <c r="H125" s="1440"/>
      <c r="I125" s="1440"/>
      <c r="J125" s="1440"/>
      <c r="K125" s="1440"/>
      <c r="L125" s="1440"/>
      <c r="M125" s="1440"/>
      <c r="N125" s="1440"/>
      <c r="O125" s="1440"/>
      <c r="P125" s="1224"/>
    </row>
    <row r="126" spans="1:17" ht="22.5" x14ac:dyDescent="0.3">
      <c r="A126" s="1422"/>
    </row>
    <row r="127" spans="1:17" ht="15.75" x14ac:dyDescent="0.2">
      <c r="B127" s="1430" t="s">
        <v>1424</v>
      </c>
      <c r="C127" s="1431"/>
      <c r="D127" s="1431"/>
      <c r="E127" s="1431"/>
      <c r="F127" s="1431"/>
      <c r="G127" s="1431"/>
      <c r="H127" s="1431"/>
      <c r="I127" s="1431"/>
      <c r="J127" s="1431"/>
      <c r="K127" s="1431"/>
      <c r="L127" s="1431"/>
      <c r="M127" s="1431"/>
      <c r="N127" s="1431"/>
      <c r="O127" s="1431"/>
      <c r="P127" s="1432"/>
    </row>
    <row r="128" spans="1:17" x14ac:dyDescent="0.2">
      <c r="B128" s="1433"/>
      <c r="C128" s="1434"/>
      <c r="D128" s="1434"/>
      <c r="E128" s="1434"/>
      <c r="F128" s="1434"/>
      <c r="G128" s="1434"/>
      <c r="H128" s="1434"/>
      <c r="I128" s="1434"/>
      <c r="J128" s="1434"/>
      <c r="K128" s="1434"/>
      <c r="L128" s="1434"/>
      <c r="M128" s="1434"/>
      <c r="N128" s="1434"/>
      <c r="O128" s="1434"/>
      <c r="P128" s="1435"/>
    </row>
    <row r="129" spans="1:16" x14ac:dyDescent="0.2">
      <c r="B129" s="1433"/>
      <c r="C129" s="1441" t="s">
        <v>1425</v>
      </c>
      <c r="D129" s="1442"/>
      <c r="E129" s="1442"/>
      <c r="F129" s="1442"/>
      <c r="G129" s="1442"/>
      <c r="H129" s="1442"/>
      <c r="I129" s="1442"/>
      <c r="J129" s="1442"/>
      <c r="K129" s="1442"/>
      <c r="L129" s="1442"/>
      <c r="M129" s="1442"/>
      <c r="N129" s="1442"/>
      <c r="O129" s="1479" t="str">
        <f>Preferences.moneyunits</f>
        <v>N</v>
      </c>
      <c r="P129" s="1435"/>
    </row>
    <row r="130" spans="1:16" ht="4.5" customHeight="1" x14ac:dyDescent="0.25">
      <c r="A130" s="3"/>
      <c r="B130" s="1433"/>
      <c r="C130" s="1434"/>
      <c r="D130" s="1434"/>
      <c r="E130" s="1434"/>
      <c r="F130" s="1434"/>
      <c r="G130" s="1434"/>
      <c r="H130" s="1434"/>
      <c r="I130" s="1434"/>
      <c r="J130" s="1434"/>
      <c r="K130" s="1434"/>
      <c r="L130" s="1434"/>
      <c r="M130" s="1434"/>
      <c r="N130" s="1434"/>
      <c r="O130" s="1434"/>
      <c r="P130" s="1435"/>
    </row>
    <row r="131" spans="1:16" ht="15.75" x14ac:dyDescent="0.25">
      <c r="A131" s="3"/>
      <c r="B131" s="1436"/>
      <c r="C131" s="1437" t="s">
        <v>64</v>
      </c>
      <c r="D131" s="1437" t="s">
        <v>150</v>
      </c>
      <c r="E131" s="1437" t="s">
        <v>172</v>
      </c>
      <c r="F131" s="1437" t="s">
        <v>241</v>
      </c>
      <c r="G131" s="1437" t="s">
        <v>268</v>
      </c>
      <c r="H131" s="1437" t="s">
        <v>269</v>
      </c>
      <c r="I131" s="1437" t="s">
        <v>270</v>
      </c>
      <c r="J131" s="1437" t="s">
        <v>271</v>
      </c>
      <c r="K131" s="1437" t="s">
        <v>272</v>
      </c>
      <c r="L131" s="1437" t="s">
        <v>273</v>
      </c>
      <c r="M131" s="1437" t="s">
        <v>274</v>
      </c>
      <c r="N131" s="1437" t="s">
        <v>275</v>
      </c>
      <c r="O131" s="1443"/>
    </row>
    <row r="132" spans="1:16" ht="15.75" x14ac:dyDescent="0.25">
      <c r="A132" s="3"/>
      <c r="B132" s="1436"/>
      <c r="C132" s="1438" t="s">
        <v>1382</v>
      </c>
      <c r="D132" s="1439" t="str">
        <f>INDEX(CostVectors[Description], MATCH(C132,CostVectors[Code], 0))</f>
        <v>Low estimate of capital costs</v>
      </c>
      <c r="E132" s="1439"/>
      <c r="F132" s="1448">
        <f t="shared" ref="F132:N133" si="30">F90</f>
        <v>0</v>
      </c>
      <c r="G132" s="1448">
        <f t="shared" si="30"/>
        <v>0</v>
      </c>
      <c r="H132" s="1448">
        <f t="shared" si="30"/>
        <v>0</v>
      </c>
      <c r="I132" s="1448">
        <f t="shared" si="30"/>
        <v>117822857142.8568</v>
      </c>
      <c r="J132" s="1448">
        <f t="shared" si="30"/>
        <v>58899428571.428413</v>
      </c>
      <c r="K132" s="1448">
        <f t="shared" si="30"/>
        <v>58899428571.429588</v>
      </c>
      <c r="L132" s="1448">
        <f t="shared" si="30"/>
        <v>58899428571.428391</v>
      </c>
      <c r="M132" s="1448">
        <f t="shared" si="30"/>
        <v>58899428571.428421</v>
      </c>
      <c r="N132" s="1448">
        <f t="shared" si="30"/>
        <v>58899428571.428391</v>
      </c>
      <c r="O132" s="1443"/>
    </row>
    <row r="133" spans="1:16" ht="15.75" x14ac:dyDescent="0.25">
      <c r="A133" s="3"/>
      <c r="B133" s="1436"/>
      <c r="C133" s="1438" t="s">
        <v>1384</v>
      </c>
      <c r="D133" s="1439" t="str">
        <f>INDEX(CostVectors[Description], MATCH(C133,CostVectors[Code], 0))</f>
        <v>Low estimate of operating costs</v>
      </c>
      <c r="E133" s="1439"/>
      <c r="F133" s="1448">
        <f t="shared" si="30"/>
        <v>57600.000000000015</v>
      </c>
      <c r="G133" s="1448">
        <f t="shared" si="30"/>
        <v>57600.000000000015</v>
      </c>
      <c r="H133" s="1448">
        <f t="shared" si="30"/>
        <v>57600.000000000015</v>
      </c>
      <c r="I133" s="1448">
        <f t="shared" si="30"/>
        <v>941271.42857142608</v>
      </c>
      <c r="J133" s="1448">
        <f t="shared" si="30"/>
        <v>1383017.1428571392</v>
      </c>
      <c r="K133" s="1448">
        <f t="shared" si="30"/>
        <v>1824762.8571428612</v>
      </c>
      <c r="L133" s="1448">
        <f t="shared" si="30"/>
        <v>2266508.5714285742</v>
      </c>
      <c r="M133" s="1448">
        <f t="shared" si="30"/>
        <v>2708254.2857142878</v>
      </c>
      <c r="N133" s="1448">
        <f t="shared" si="30"/>
        <v>3150000.0000000005</v>
      </c>
      <c r="O133" s="1443"/>
    </row>
    <row r="134" spans="1:16" ht="15.75" x14ac:dyDescent="0.25">
      <c r="A134" s="3"/>
      <c r="B134" s="1436"/>
      <c r="C134" s="1438" t="s">
        <v>1866</v>
      </c>
      <c r="D134" s="1439" t="str">
        <f>INDEX(CostVectors[Description], MATCH(C134,CostVectors[Code], 0))</f>
        <v>Point estimate of capital costs</v>
      </c>
      <c r="E134" s="1439"/>
      <c r="F134" s="1448">
        <f>F95</f>
        <v>0</v>
      </c>
      <c r="G134" s="1448">
        <f t="shared" ref="G134:N134" si="31">G95</f>
        <v>0</v>
      </c>
      <c r="H134" s="1448">
        <f t="shared" si="31"/>
        <v>0</v>
      </c>
      <c r="I134" s="1448">
        <f t="shared" si="31"/>
        <v>132550714285.71388</v>
      </c>
      <c r="J134" s="1448">
        <f t="shared" si="31"/>
        <v>66261857142.856964</v>
      </c>
      <c r="K134" s="1448">
        <f t="shared" si="31"/>
        <v>66261857142.858284</v>
      </c>
      <c r="L134" s="1448">
        <f t="shared" si="31"/>
        <v>66261857142.856941</v>
      </c>
      <c r="M134" s="1448">
        <f t="shared" si="31"/>
        <v>66261857142.856979</v>
      </c>
      <c r="N134" s="1448">
        <f t="shared" si="31"/>
        <v>66261857142.856941</v>
      </c>
      <c r="O134" s="1443"/>
    </row>
    <row r="135" spans="1:16" ht="21.75" customHeight="1" collapsed="1" x14ac:dyDescent="0.25">
      <c r="B135" s="1436"/>
      <c r="C135" s="1438" t="s">
        <v>1868</v>
      </c>
      <c r="D135" s="1439" t="str">
        <f>INDEX(CostVectors[Description], MATCH(C135,CostVectors[Code], 0))</f>
        <v>Point estimate of operating costs</v>
      </c>
      <c r="E135" s="1439"/>
      <c r="F135" s="1448">
        <f t="shared" ref="F135:N135" si="32">F96</f>
        <v>76800</v>
      </c>
      <c r="G135" s="1448">
        <f t="shared" si="32"/>
        <v>76800</v>
      </c>
      <c r="H135" s="1448">
        <f t="shared" si="32"/>
        <v>76800</v>
      </c>
      <c r="I135" s="1448">
        <f t="shared" si="32"/>
        <v>1255028.5714285679</v>
      </c>
      <c r="J135" s="1448">
        <f t="shared" si="32"/>
        <v>1844022.8571428519</v>
      </c>
      <c r="K135" s="1448">
        <f t="shared" si="32"/>
        <v>2433017.1428571478</v>
      </c>
      <c r="L135" s="1448">
        <f t="shared" si="32"/>
        <v>3022011.4285714319</v>
      </c>
      <c r="M135" s="1448">
        <f t="shared" si="32"/>
        <v>3611005.7142857159</v>
      </c>
      <c r="N135" s="1448">
        <f t="shared" si="32"/>
        <v>4200000</v>
      </c>
      <c r="O135" s="1443"/>
    </row>
    <row r="136" spans="1:16" ht="14.25" x14ac:dyDescent="0.2">
      <c r="B136" s="1444"/>
      <c r="C136" s="1438" t="s">
        <v>1391</v>
      </c>
      <c r="D136" s="1439" t="str">
        <f>INDEX(CostVectors[Description], MATCH(C136,CostVectors[Code], 0))</f>
        <v>High estimate of capital costs</v>
      </c>
      <c r="E136" s="1439"/>
      <c r="F136" s="1448">
        <f>F100</f>
        <v>0</v>
      </c>
      <c r="G136" s="1448">
        <f t="shared" ref="G136:N136" si="33">G100</f>
        <v>0</v>
      </c>
      <c r="H136" s="1448">
        <f t="shared" si="33"/>
        <v>0</v>
      </c>
      <c r="I136" s="1448">
        <f t="shared" si="33"/>
        <v>147278571428.57098</v>
      </c>
      <c r="J136" s="1448">
        <f t="shared" si="33"/>
        <v>73624285714.285522</v>
      </c>
      <c r="K136" s="1448">
        <f t="shared" si="33"/>
        <v>73624285714.286987</v>
      </c>
      <c r="L136" s="1448">
        <f t="shared" si="33"/>
        <v>73624285714.285492</v>
      </c>
      <c r="M136" s="1448">
        <f t="shared" si="33"/>
        <v>73624285714.285522</v>
      </c>
      <c r="N136" s="1448">
        <f t="shared" si="33"/>
        <v>73624285714.285492</v>
      </c>
      <c r="O136" s="1445"/>
    </row>
    <row r="137" spans="1:16" ht="14.25" x14ac:dyDescent="0.2">
      <c r="B137" s="1444"/>
      <c r="C137" s="1438" t="s">
        <v>1393</v>
      </c>
      <c r="D137" s="1439" t="str">
        <f>INDEX(CostVectors[Description], MATCH(C137,CostVectors[Code], 0))</f>
        <v>High estimate of operating costs</v>
      </c>
      <c r="E137" s="1439"/>
      <c r="F137" s="1448">
        <f t="shared" ref="F137:N137" si="34">F101</f>
        <v>96000</v>
      </c>
      <c r="G137" s="1448">
        <f t="shared" si="34"/>
        <v>96000</v>
      </c>
      <c r="H137" s="1448">
        <f t="shared" si="34"/>
        <v>96000</v>
      </c>
      <c r="I137" s="1448">
        <f t="shared" si="34"/>
        <v>1568785.7142857099</v>
      </c>
      <c r="J137" s="1448">
        <f t="shared" si="34"/>
        <v>2305028.5714285648</v>
      </c>
      <c r="K137" s="1448">
        <f t="shared" si="34"/>
        <v>3041271.4285714347</v>
      </c>
      <c r="L137" s="1448">
        <f t="shared" si="34"/>
        <v>3777514.2857142896</v>
      </c>
      <c r="M137" s="1448">
        <f t="shared" si="34"/>
        <v>4513757.1428571455</v>
      </c>
      <c r="N137" s="1448">
        <f t="shared" si="34"/>
        <v>5250000</v>
      </c>
      <c r="O137" s="1445"/>
    </row>
    <row r="138" spans="1:16" ht="14.25" x14ac:dyDescent="0.2">
      <c r="B138" s="1446"/>
      <c r="C138" s="1440"/>
      <c r="D138" s="1440"/>
      <c r="E138" s="1440"/>
      <c r="F138" s="1440"/>
      <c r="G138" s="1440"/>
      <c r="H138" s="1440"/>
      <c r="I138" s="1440"/>
      <c r="J138" s="1440"/>
      <c r="K138" s="1440"/>
      <c r="L138" s="1440"/>
      <c r="M138" s="1440"/>
      <c r="N138" s="1440"/>
      <c r="O138" s="1440"/>
      <c r="P138" s="1447"/>
    </row>
  </sheetData>
  <pageMargins left="0.7" right="0.7" top="0.75" bottom="0.75" header="0.3" footer="0.3"/>
  <pageSetup paperSize="9" orientation="portrait"/>
  <tableParts count="3">
    <tablePart r:id="rId1"/>
    <tablePart r:id="rId2"/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outlinePr summaryBelow="0"/>
    <pageSetUpPr autoPageBreaks="0"/>
  </sheetPr>
  <dimension ref="A1:Q132"/>
  <sheetViews>
    <sheetView windowProtection="1" zoomScaleNormal="100" workbookViewId="0"/>
  </sheetViews>
  <sheetFormatPr defaultColWidth="8.7109375" defaultRowHeight="12.75" x14ac:dyDescent="0.2"/>
  <cols>
    <col min="1" max="1" width="7.7109375" style="2479" customWidth="1"/>
    <col min="2" max="2" width="5.7109375" style="2479" customWidth="1"/>
    <col min="3" max="3" width="20.42578125" style="2479" customWidth="1"/>
    <col min="4" max="4" width="30.7109375" style="2479" customWidth="1"/>
    <col min="5" max="5" width="20.7109375" style="2479" customWidth="1"/>
    <col min="6" max="15" width="17.7109375" style="2479" customWidth="1"/>
    <col min="16" max="16" width="2" style="2479" customWidth="1"/>
    <col min="17" max="17" width="10.7109375" style="2479" customWidth="1"/>
    <col min="18" max="16384" width="8.7109375" style="2479"/>
  </cols>
  <sheetData>
    <row r="1" spans="1:16" ht="21" x14ac:dyDescent="0.35">
      <c r="A1" s="119" t="s">
        <v>62</v>
      </c>
      <c r="B1" s="119" t="str">
        <f>INDEX(Workstreams[Workstream], MATCH($A1, Workstreams[Code], 0))</f>
        <v>National renewable power generation</v>
      </c>
      <c r="C1" s="119"/>
    </row>
    <row r="2" spans="1:16" s="84" customFormat="1" ht="19.5" customHeight="1" x14ac:dyDescent="0.2">
      <c r="A2" s="6" t="s">
        <v>2364</v>
      </c>
      <c r="B2" s="6" t="str">
        <f>INDEX(Modules[Module], MATCH($A2,Modules[Code], 0))</f>
        <v>Grid Connected Solar PV</v>
      </c>
      <c r="C2" s="6"/>
      <c r="E2" s="1380"/>
    </row>
    <row r="4" spans="1:16" ht="22.5" x14ac:dyDescent="0.3">
      <c r="A4" s="1422"/>
      <c r="B4" s="468" t="s">
        <v>596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ht="5.25" customHeight="1" x14ac:dyDescent="0.2">
      <c r="B6" s="410"/>
      <c r="C6" s="411"/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6" ht="15.75" x14ac:dyDescent="0.25">
      <c r="B7" s="415"/>
      <c r="C7" s="412"/>
      <c r="D7" s="216" t="s">
        <v>342</v>
      </c>
      <c r="E7" s="216" t="s">
        <v>595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ht="15.75" x14ac:dyDescent="0.25">
      <c r="B8" s="415"/>
      <c r="C8" s="412"/>
      <c r="D8" s="238" t="s">
        <v>598</v>
      </c>
      <c r="E8" s="238">
        <f>III.f.Scenario</f>
        <v>4</v>
      </c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4"/>
    </row>
    <row r="9" spans="1:16" x14ac:dyDescent="0.2">
      <c r="B9" s="430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9"/>
    </row>
    <row r="11" spans="1:16" ht="22.5" x14ac:dyDescent="0.3">
      <c r="A11" s="1422"/>
      <c r="B11" s="1423" t="s">
        <v>597</v>
      </c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6"/>
    </row>
    <row r="12" spans="1:16" x14ac:dyDescent="0.2">
      <c r="B12" s="1419"/>
      <c r="C12" s="1416"/>
      <c r="D12" s="1416"/>
      <c r="E12" s="1416"/>
      <c r="F12" s="1416"/>
      <c r="G12" s="1416"/>
      <c r="H12" s="1416"/>
      <c r="I12" s="1416"/>
      <c r="J12" s="1416"/>
      <c r="K12" s="1416"/>
      <c r="L12" s="1416"/>
      <c r="M12" s="1416"/>
      <c r="N12" s="1416"/>
      <c r="O12" s="1420"/>
    </row>
    <row r="13" spans="1:16" x14ac:dyDescent="0.2">
      <c r="B13" s="1419"/>
      <c r="C13" s="1417" t="s">
        <v>2357</v>
      </c>
      <c r="D13" s="1416"/>
      <c r="E13" s="176"/>
      <c r="F13" s="1416"/>
      <c r="G13" s="1416"/>
      <c r="H13" s="1416"/>
      <c r="I13" s="1416"/>
      <c r="J13" s="1416"/>
      <c r="K13" s="1416"/>
      <c r="L13" s="1416"/>
      <c r="M13" s="1416"/>
      <c r="N13" s="176" t="str">
        <f>Preferences.PowerUnits</f>
        <v>GW</v>
      </c>
      <c r="O13" s="1420"/>
    </row>
    <row r="14" spans="1:16" ht="5.25" customHeight="1" x14ac:dyDescent="0.2">
      <c r="B14" s="1419"/>
      <c r="C14" s="1416"/>
      <c r="D14" s="1416"/>
      <c r="E14" s="1416"/>
      <c r="F14" s="1416"/>
      <c r="G14" s="1416"/>
      <c r="H14" s="1416"/>
      <c r="I14" s="1416"/>
      <c r="J14" s="1416"/>
      <c r="K14" s="1416"/>
      <c r="L14" s="1416"/>
      <c r="M14" s="1416"/>
      <c r="N14" s="1416"/>
      <c r="O14" s="1420"/>
    </row>
    <row r="15" spans="1:16" ht="15.75" x14ac:dyDescent="0.25">
      <c r="B15" s="397"/>
      <c r="C15" s="98" t="s">
        <v>595</v>
      </c>
      <c r="D15" s="98" t="s">
        <v>65</v>
      </c>
      <c r="E15" s="98" t="s">
        <v>172</v>
      </c>
      <c r="F15" s="218">
        <v>2010</v>
      </c>
      <c r="G15" s="217">
        <v>2015</v>
      </c>
      <c r="H15" s="217">
        <v>2020</v>
      </c>
      <c r="I15" s="217">
        <v>2025</v>
      </c>
      <c r="J15" s="217">
        <v>2030</v>
      </c>
      <c r="K15" s="217">
        <v>2035</v>
      </c>
      <c r="L15" s="217">
        <v>2040</v>
      </c>
      <c r="M15" s="217">
        <v>2045</v>
      </c>
      <c r="N15" s="217">
        <v>2050</v>
      </c>
      <c r="O15" s="1420"/>
    </row>
    <row r="16" spans="1:16" ht="15.75" x14ac:dyDescent="0.2">
      <c r="B16" s="399"/>
      <c r="C16" s="1414">
        <v>1</v>
      </c>
      <c r="D16" s="1415"/>
      <c r="E16" s="146"/>
      <c r="F16" s="1563">
        <f t="shared" ref="F16:G19" si="0">0*Unit.GW</f>
        <v>0</v>
      </c>
      <c r="G16" s="1563">
        <f t="shared" si="0"/>
        <v>0</v>
      </c>
      <c r="H16" s="1563">
        <f>0.1*Unit.GW</f>
        <v>0.1</v>
      </c>
      <c r="I16" s="1563">
        <f>0.2*Unit.GW</f>
        <v>0.2</v>
      </c>
      <c r="J16" s="1563">
        <f>0.3*Unit.GW</f>
        <v>0.3</v>
      </c>
      <c r="K16" s="1563">
        <f>0.4*Unit.GW</f>
        <v>0.4</v>
      </c>
      <c r="L16" s="1563">
        <f>0.5*Unit.GW</f>
        <v>0.5</v>
      </c>
      <c r="M16" s="1563">
        <f>0.6*Unit.GW</f>
        <v>0.6</v>
      </c>
      <c r="N16" s="1563">
        <f>0.7*Unit.GW</f>
        <v>0.7</v>
      </c>
      <c r="O16" s="400"/>
    </row>
    <row r="17" spans="1:15" ht="15.75" x14ac:dyDescent="0.25">
      <c r="B17" s="397"/>
      <c r="C17" s="1414">
        <v>2</v>
      </c>
      <c r="D17" s="1415"/>
      <c r="E17" s="1415"/>
      <c r="F17" s="1563">
        <f t="shared" si="0"/>
        <v>0</v>
      </c>
      <c r="G17" s="1563">
        <f t="shared" si="0"/>
        <v>0</v>
      </c>
      <c r="H17" s="1563">
        <f>1*Unit.GW</f>
        <v>1</v>
      </c>
      <c r="I17" s="1563">
        <f>2.33*Unit.GW</f>
        <v>2.33</v>
      </c>
      <c r="J17" s="1563">
        <f>3.67*Unit.GW</f>
        <v>3.67</v>
      </c>
      <c r="K17" s="1563">
        <f>5*Unit.GW</f>
        <v>5</v>
      </c>
      <c r="L17" s="1563">
        <f>6.33*Unit.GW</f>
        <v>6.33</v>
      </c>
      <c r="M17" s="1563">
        <f>7.67*Unit.GW</f>
        <v>7.67</v>
      </c>
      <c r="N17" s="1416">
        <f>9*Unit.GW</f>
        <v>9</v>
      </c>
      <c r="O17" s="1416"/>
    </row>
    <row r="18" spans="1:15" ht="15.75" x14ac:dyDescent="0.25">
      <c r="B18" s="397"/>
      <c r="C18" s="1414">
        <v>3</v>
      </c>
      <c r="D18" s="1415"/>
      <c r="E18" s="1415"/>
      <c r="F18" s="1563">
        <f t="shared" si="0"/>
        <v>0</v>
      </c>
      <c r="G18" s="1563">
        <f t="shared" si="0"/>
        <v>0</v>
      </c>
      <c r="H18" s="1563">
        <f>2.298*Unit.GW</f>
        <v>2.298</v>
      </c>
      <c r="I18" s="1563">
        <f>5.58*Unit.GW</f>
        <v>5.58</v>
      </c>
      <c r="J18" s="1563">
        <f>7.87*Unit.GW</f>
        <v>7.87</v>
      </c>
      <c r="K18" s="1563">
        <f>10.15*Unit.GW</f>
        <v>10.15</v>
      </c>
      <c r="L18" s="1563">
        <f>14.43*Unit.GW</f>
        <v>14.43</v>
      </c>
      <c r="M18" s="1563">
        <f>18.72*Unit.GW</f>
        <v>18.72</v>
      </c>
      <c r="N18" s="1416">
        <f>25*Unit.GW</f>
        <v>25</v>
      </c>
      <c r="O18" s="1416"/>
    </row>
    <row r="19" spans="1:15" ht="15.75" x14ac:dyDescent="0.25">
      <c r="B19" s="397"/>
      <c r="C19" s="1412">
        <v>4</v>
      </c>
      <c r="D19" s="102"/>
      <c r="E19" s="102"/>
      <c r="F19" s="1563">
        <f t="shared" si="0"/>
        <v>0</v>
      </c>
      <c r="G19" s="1563">
        <f t="shared" si="0"/>
        <v>0</v>
      </c>
      <c r="H19" s="1563">
        <f>5.87*Unit.GW</f>
        <v>5.87</v>
      </c>
      <c r="I19" s="1563">
        <f>15.73*Unit.GW</f>
        <v>15.73</v>
      </c>
      <c r="J19" s="1563">
        <f>30.58*Unit.GW</f>
        <v>30.58</v>
      </c>
      <c r="K19" s="1563">
        <f>55.435*Unit.GW</f>
        <v>55.435000000000002</v>
      </c>
      <c r="L19" s="1563">
        <f>70.29*Unit.GW</f>
        <v>70.290000000000006</v>
      </c>
      <c r="M19" s="1563">
        <f>90.145*Unit.GW</f>
        <v>90.144999999999996</v>
      </c>
      <c r="N19" s="1416">
        <f>110*Unit.GW</f>
        <v>110</v>
      </c>
      <c r="O19" s="1416"/>
    </row>
    <row r="20" spans="1:15" ht="15.75" x14ac:dyDescent="0.25">
      <c r="B20" s="397"/>
      <c r="C20" s="1386" t="s">
        <v>582</v>
      </c>
      <c r="D20" s="1387"/>
      <c r="E20" s="1387"/>
      <c r="F20" s="1408">
        <f t="shared" ref="F20:N20" si="1">(INDEX(F$16:F$19,ROUNDDOWN($E$8,0))*(1-MOD($E$8,1)))+(INDEX(F$16:F$19,ROUNDUP($E$8,0))*MOD($E$8,1))</f>
        <v>0</v>
      </c>
      <c r="G20" s="1388">
        <f t="shared" si="1"/>
        <v>0</v>
      </c>
      <c r="H20" s="1388">
        <f>(INDEX(H$16:H$19,ROUNDDOWN($E$8,0))*(1-MOD($E$8,1)))+(INDEX(H$16:H$19,ROUNDUP($E$8,0))*MOD($E$8,1))</f>
        <v>5.87</v>
      </c>
      <c r="I20" s="1388">
        <f t="shared" si="1"/>
        <v>15.73</v>
      </c>
      <c r="J20" s="1388">
        <f t="shared" si="1"/>
        <v>30.58</v>
      </c>
      <c r="K20" s="1388">
        <f t="shared" si="1"/>
        <v>55.435000000000002</v>
      </c>
      <c r="L20" s="1388">
        <f t="shared" si="1"/>
        <v>70.290000000000006</v>
      </c>
      <c r="M20" s="1388">
        <f t="shared" si="1"/>
        <v>90.144999999999996</v>
      </c>
      <c r="N20" s="1388">
        <f t="shared" si="1"/>
        <v>110</v>
      </c>
      <c r="O20" s="1420"/>
    </row>
    <row r="21" spans="1:15" x14ac:dyDescent="0.2">
      <c r="B21" s="401"/>
      <c r="C21" s="1416"/>
      <c r="D21" s="177"/>
      <c r="E21" s="1416"/>
      <c r="F21" s="562"/>
      <c r="G21" s="562"/>
      <c r="H21" s="562"/>
      <c r="I21" s="562"/>
      <c r="J21" s="562"/>
      <c r="K21" s="562"/>
      <c r="L21" s="562"/>
      <c r="M21" s="562"/>
      <c r="N21" s="562"/>
      <c r="O21" s="1420"/>
    </row>
    <row r="22" spans="1:15" x14ac:dyDescent="0.2">
      <c r="B22" s="401"/>
      <c r="C22" s="2535" t="s">
        <v>266</v>
      </c>
      <c r="D22" s="2536"/>
      <c r="E22" s="1416"/>
      <c r="F22" s="1416"/>
      <c r="G22" s="1416"/>
      <c r="H22" s="1416"/>
      <c r="I22" s="1416"/>
      <c r="J22" s="1416"/>
      <c r="K22" s="1416"/>
      <c r="L22" s="1416"/>
      <c r="M22" s="1416"/>
      <c r="N22" s="1416"/>
      <c r="O22" s="1420"/>
    </row>
    <row r="23" spans="1:15" x14ac:dyDescent="0.2">
      <c r="B23" s="401"/>
      <c r="C23" s="2537" t="s">
        <v>93</v>
      </c>
      <c r="D23" s="2536" t="s">
        <v>571</v>
      </c>
      <c r="E23" s="1416"/>
      <c r="F23" s="1416"/>
      <c r="G23" s="1416"/>
      <c r="H23" s="1416"/>
      <c r="I23" s="1416"/>
      <c r="J23" s="1416"/>
      <c r="K23" s="1416"/>
      <c r="L23" s="1416"/>
      <c r="M23" s="1416"/>
      <c r="N23" s="1416"/>
      <c r="O23" s="1420"/>
    </row>
    <row r="24" spans="1:15" x14ac:dyDescent="0.2">
      <c r="B24" s="460"/>
      <c r="C24" s="403"/>
      <c r="D24" s="461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4"/>
    </row>
    <row r="26" spans="1:15" s="84" customFormat="1" ht="22.5" x14ac:dyDescent="0.2">
      <c r="A26" s="408"/>
      <c r="B26" s="1423" t="s">
        <v>315</v>
      </c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6"/>
    </row>
    <row r="27" spans="1:15" x14ac:dyDescent="0.2">
      <c r="B27" s="1419"/>
      <c r="C27" s="1416"/>
      <c r="D27" s="1416"/>
      <c r="E27" s="1416"/>
      <c r="F27" s="1416"/>
      <c r="G27" s="1416"/>
      <c r="H27" s="1416"/>
      <c r="I27" s="1416"/>
      <c r="J27" s="1416"/>
      <c r="K27" s="1416"/>
      <c r="L27" s="1416"/>
      <c r="M27" s="1416"/>
      <c r="N27" s="1416"/>
      <c r="O27" s="1420"/>
    </row>
    <row r="28" spans="1:15" x14ac:dyDescent="0.2">
      <c r="B28" s="1419"/>
      <c r="C28" s="1417" t="s">
        <v>327</v>
      </c>
      <c r="D28" s="1416"/>
      <c r="E28" s="1416"/>
      <c r="F28" s="176"/>
      <c r="G28" s="1416"/>
      <c r="H28" s="1416"/>
      <c r="I28" s="1416"/>
      <c r="J28" s="1416"/>
      <c r="K28" s="1416"/>
      <c r="L28" s="1416"/>
      <c r="M28" s="1416"/>
      <c r="N28" s="1416"/>
      <c r="O28" s="1420"/>
    </row>
    <row r="29" spans="1:15" ht="6" customHeight="1" x14ac:dyDescent="0.2">
      <c r="B29" s="1419"/>
      <c r="C29" s="1416"/>
      <c r="D29" s="1416"/>
      <c r="E29" s="1416"/>
      <c r="F29" s="1416"/>
      <c r="G29" s="1416"/>
      <c r="H29" s="1416"/>
      <c r="I29" s="1416"/>
      <c r="J29" s="1416"/>
      <c r="K29" s="1416"/>
      <c r="L29" s="1416"/>
      <c r="M29" s="1416"/>
      <c r="N29" s="1416"/>
      <c r="O29" s="1420"/>
    </row>
    <row r="30" spans="1:15" ht="15.75" x14ac:dyDescent="0.25">
      <c r="B30" s="397"/>
      <c r="C30" s="98" t="s">
        <v>264</v>
      </c>
      <c r="D30" s="98" t="s">
        <v>278</v>
      </c>
      <c r="E30" s="98" t="s">
        <v>172</v>
      </c>
      <c r="F30" s="218">
        <v>2010</v>
      </c>
      <c r="G30" s="217">
        <v>2015</v>
      </c>
      <c r="H30" s="217">
        <v>2020</v>
      </c>
      <c r="I30" s="217">
        <v>2025</v>
      </c>
      <c r="J30" s="217">
        <v>2030</v>
      </c>
      <c r="K30" s="217">
        <v>2035</v>
      </c>
      <c r="L30" s="217">
        <v>2040</v>
      </c>
      <c r="M30" s="217">
        <v>2045</v>
      </c>
      <c r="N30" s="217">
        <v>2050</v>
      </c>
      <c r="O30" s="1420"/>
    </row>
    <row r="31" spans="1:15" ht="15.75" x14ac:dyDescent="0.25">
      <c r="B31" s="397"/>
      <c r="C31" s="121" t="s">
        <v>25</v>
      </c>
      <c r="D31" s="122" t="str">
        <f>INDEX(Vectors[Description], MATCH($C31, Vectors[Code], 0))</f>
        <v>Solar</v>
      </c>
      <c r="E31" s="122"/>
      <c r="F31" s="129">
        <v>0.21</v>
      </c>
      <c r="G31" s="129">
        <v>0.21</v>
      </c>
      <c r="H31" s="129">
        <v>0.21</v>
      </c>
      <c r="I31" s="129">
        <v>0.21</v>
      </c>
      <c r="J31" s="129">
        <v>0.21</v>
      </c>
      <c r="K31" s="129">
        <v>0.21</v>
      </c>
      <c r="L31" s="129">
        <v>0.21</v>
      </c>
      <c r="M31" s="129">
        <v>0.21</v>
      </c>
      <c r="N31" s="129">
        <v>0.21</v>
      </c>
      <c r="O31" s="1420"/>
    </row>
    <row r="32" spans="1:15" x14ac:dyDescent="0.2">
      <c r="B32" s="1419"/>
      <c r="C32" s="1416"/>
      <c r="D32" s="1416"/>
      <c r="E32" s="1416"/>
      <c r="F32" s="1416"/>
      <c r="G32" s="1416"/>
      <c r="H32" s="1416"/>
      <c r="I32" s="1416"/>
      <c r="J32" s="1416"/>
      <c r="K32" s="1416"/>
      <c r="L32" s="1416"/>
      <c r="M32" s="1416"/>
      <c r="N32" s="1416"/>
      <c r="O32" s="1420"/>
    </row>
    <row r="33" spans="1:16" x14ac:dyDescent="0.2">
      <c r="B33" s="1419"/>
      <c r="C33" s="1417" t="s">
        <v>974</v>
      </c>
      <c r="D33" s="1416"/>
      <c r="E33" s="176"/>
      <c r="F33" s="1416"/>
      <c r="G33" s="1416"/>
      <c r="H33" s="1416"/>
      <c r="I33" s="1416"/>
      <c r="J33" s="1416"/>
      <c r="K33" s="1416"/>
      <c r="L33" s="1416"/>
      <c r="M33" s="1416"/>
      <c r="N33" s="176" t="s">
        <v>347</v>
      </c>
      <c r="O33" s="1420"/>
    </row>
    <row r="34" spans="1:16" ht="5.25" customHeight="1" x14ac:dyDescent="0.2">
      <c r="B34" s="1419"/>
      <c r="C34" s="1416"/>
      <c r="D34" s="1416"/>
      <c r="E34" s="1416"/>
      <c r="F34" s="1416"/>
      <c r="G34" s="1416"/>
      <c r="H34" s="1416"/>
      <c r="I34" s="1416"/>
      <c r="J34" s="1416"/>
      <c r="K34" s="1416"/>
      <c r="L34" s="1416"/>
      <c r="M34" s="1416"/>
      <c r="N34" s="1416"/>
      <c r="O34" s="1420"/>
    </row>
    <row r="35" spans="1:16" ht="15.75" x14ac:dyDescent="0.25">
      <c r="B35" s="397"/>
      <c r="C35" s="98" t="s">
        <v>264</v>
      </c>
      <c r="D35" s="98" t="s">
        <v>278</v>
      </c>
      <c r="E35" s="98" t="s">
        <v>172</v>
      </c>
      <c r="F35" s="218">
        <v>2010</v>
      </c>
      <c r="G35" s="217">
        <v>2015</v>
      </c>
      <c r="H35" s="217">
        <v>2020</v>
      </c>
      <c r="I35" s="217">
        <v>2025</v>
      </c>
      <c r="J35" s="217">
        <v>2030</v>
      </c>
      <c r="K35" s="217">
        <v>2035</v>
      </c>
      <c r="L35" s="217">
        <v>2040</v>
      </c>
      <c r="M35" s="217">
        <v>2045</v>
      </c>
      <c r="N35" s="217">
        <v>2050</v>
      </c>
      <c r="O35" s="1420"/>
    </row>
    <row r="36" spans="1:16" s="84" customFormat="1" ht="15.75" x14ac:dyDescent="0.2">
      <c r="B36" s="399"/>
      <c r="C36" s="121" t="s">
        <v>25</v>
      </c>
      <c r="D36" s="122" t="str">
        <f>INDEX(Vectors[Description], MATCH($C36, Vectors[Code], 0))</f>
        <v>Solar</v>
      </c>
      <c r="E36" s="122"/>
      <c r="F36" s="128">
        <v>0.2</v>
      </c>
      <c r="G36" s="128">
        <v>0.2</v>
      </c>
      <c r="H36" s="128">
        <v>0.2</v>
      </c>
      <c r="I36" s="128">
        <v>0.2</v>
      </c>
      <c r="J36" s="128">
        <v>0.2</v>
      </c>
      <c r="K36" s="128">
        <v>0.2</v>
      </c>
      <c r="L36" s="128">
        <v>0.2</v>
      </c>
      <c r="M36" s="128">
        <v>0.2</v>
      </c>
      <c r="N36" s="128">
        <v>0.2</v>
      </c>
      <c r="O36" s="400"/>
    </row>
    <row r="37" spans="1:16" s="84" customFormat="1" ht="15.75" x14ac:dyDescent="0.2">
      <c r="B37" s="399"/>
      <c r="C37" s="1414"/>
      <c r="D37" s="1415"/>
      <c r="E37" s="1415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400"/>
    </row>
    <row r="38" spans="1:16" s="84" customFormat="1" ht="15.75" x14ac:dyDescent="0.2">
      <c r="B38" s="399"/>
      <c r="C38" s="1414"/>
      <c r="D38" s="1415" t="s">
        <v>1447</v>
      </c>
      <c r="E38" s="2086">
        <f>5*Unit.MW</f>
        <v>5.0000000000000001E-3</v>
      </c>
      <c r="F38" s="174" t="str">
        <f>Preferences.PowerUnits</f>
        <v>GW</v>
      </c>
      <c r="G38" s="174"/>
      <c r="H38" s="174"/>
      <c r="I38" s="174"/>
      <c r="J38" s="174"/>
      <c r="K38" s="174"/>
      <c r="L38" s="174"/>
      <c r="M38" s="174"/>
      <c r="N38" s="174"/>
      <c r="O38" s="174"/>
      <c r="P38" s="400"/>
    </row>
    <row r="39" spans="1:16" x14ac:dyDescent="0.2">
      <c r="B39" s="401"/>
      <c r="C39" s="1416"/>
      <c r="D39" s="177"/>
      <c r="E39" s="1416"/>
      <c r="F39" s="1416"/>
      <c r="G39" s="1416"/>
      <c r="H39" s="1416"/>
      <c r="I39" s="1416"/>
      <c r="J39" s="1416"/>
      <c r="K39" s="1416"/>
      <c r="L39" s="1416"/>
      <c r="M39" s="1416"/>
      <c r="N39" s="1416"/>
      <c r="O39" s="1416"/>
      <c r="P39" s="1420"/>
    </row>
    <row r="41" spans="1:16" s="84" customFormat="1" ht="22.5" x14ac:dyDescent="0.2">
      <c r="A41" s="408"/>
      <c r="B41" s="1423" t="s">
        <v>1417</v>
      </c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34"/>
    </row>
    <row r="42" spans="1:16" s="84" customFormat="1" x14ac:dyDescent="0.2">
      <c r="A42" s="2479"/>
      <c r="B42" s="473"/>
      <c r="C42" s="458"/>
      <c r="D42" s="458"/>
      <c r="E42" s="458"/>
      <c r="F42" s="458"/>
      <c r="G42" s="458"/>
      <c r="H42" s="458"/>
      <c r="I42" s="458"/>
      <c r="J42" s="458"/>
      <c r="K42" s="458"/>
      <c r="L42" s="458"/>
      <c r="M42" s="458"/>
      <c r="N42" s="458"/>
      <c r="O42" s="458"/>
      <c r="P42" s="37"/>
    </row>
    <row r="43" spans="1:16" s="84" customFormat="1" ht="15.75" customHeight="1" x14ac:dyDescent="0.2">
      <c r="A43" s="2479"/>
      <c r="B43" s="1419"/>
      <c r="C43" s="1417" t="str">
        <f>"Capital cost of a "&amp;plantsize.III.f&amp;" "&amp;Preferences.PowerUnits&amp;" Solar source"</f>
        <v>Capital cost of a 0.005 GW Solar source</v>
      </c>
      <c r="D43" s="107"/>
      <c r="E43" s="1081"/>
      <c r="F43" s="1055"/>
      <c r="G43" s="760"/>
      <c r="H43" s="760"/>
      <c r="I43" s="760"/>
      <c r="J43" s="760"/>
      <c r="K43" s="760"/>
      <c r="L43" s="760"/>
      <c r="M43" s="760"/>
      <c r="N43" s="1255" t="str">
        <f>Preferences.moneyunits&amp;"/solar source"</f>
        <v>N/solar source</v>
      </c>
      <c r="O43" s="1416"/>
      <c r="P43" s="37"/>
    </row>
    <row r="44" spans="1:16" s="84" customFormat="1" ht="4.5" customHeight="1" x14ac:dyDescent="0.2">
      <c r="A44" s="2479"/>
      <c r="B44" s="1419"/>
      <c r="C44" s="1848"/>
      <c r="D44" s="107"/>
      <c r="E44" s="1081"/>
      <c r="F44" s="1055"/>
      <c r="G44" s="760"/>
      <c r="H44" s="760"/>
      <c r="I44" s="760"/>
      <c r="J44" s="760"/>
      <c r="K44" s="760"/>
      <c r="L44" s="760"/>
      <c r="M44" s="760"/>
      <c r="N44" s="1416"/>
      <c r="O44" s="1416"/>
      <c r="P44" s="37"/>
    </row>
    <row r="45" spans="1:16" s="84" customFormat="1" x14ac:dyDescent="0.2">
      <c r="A45" s="2479"/>
      <c r="B45" s="1419"/>
      <c r="C45" s="1101"/>
      <c r="D45" s="1519"/>
      <c r="E45" s="1567" t="s">
        <v>1321</v>
      </c>
      <c r="F45" s="1845">
        <v>2010</v>
      </c>
      <c r="G45" s="1845">
        <v>2015</v>
      </c>
      <c r="H45" s="1845">
        <v>2020</v>
      </c>
      <c r="I45" s="1845">
        <v>2025</v>
      </c>
      <c r="J45" s="1845">
        <v>2030</v>
      </c>
      <c r="K45" s="1845">
        <v>2035</v>
      </c>
      <c r="L45" s="1845">
        <v>2040</v>
      </c>
      <c r="M45" s="1845">
        <v>2045</v>
      </c>
      <c r="N45" s="1845">
        <v>2050</v>
      </c>
      <c r="O45" s="1416"/>
      <c r="P45" s="34"/>
    </row>
    <row r="46" spans="1:16" s="84" customFormat="1" ht="15.75" customHeight="1" x14ac:dyDescent="0.2">
      <c r="A46" s="2479"/>
      <c r="B46" s="1419"/>
      <c r="C46" s="1846" t="s">
        <v>1871</v>
      </c>
      <c r="D46" s="1519"/>
      <c r="E46" s="1847">
        <f>(N46-F46)/(N$45-F$45)</f>
        <v>0</v>
      </c>
      <c r="F46" s="1852">
        <f>(600000*NAIRA2010_/Unit.kW)*plantsize.III.f</f>
        <v>3000000000</v>
      </c>
      <c r="G46" s="1852">
        <f>($E46*(G$45-F$45))+F46</f>
        <v>3000000000</v>
      </c>
      <c r="H46" s="1852">
        <f t="shared" ref="H46:M46" si="2">($E46*(H$45-G$45))+G46</f>
        <v>3000000000</v>
      </c>
      <c r="I46" s="1852">
        <f t="shared" si="2"/>
        <v>3000000000</v>
      </c>
      <c r="J46" s="1852">
        <f t="shared" si="2"/>
        <v>3000000000</v>
      </c>
      <c r="K46" s="1852">
        <f t="shared" si="2"/>
        <v>3000000000</v>
      </c>
      <c r="L46" s="1852">
        <f>($E46*(L$45-K$45))+K46</f>
        <v>3000000000</v>
      </c>
      <c r="M46" s="1852">
        <f t="shared" si="2"/>
        <v>3000000000</v>
      </c>
      <c r="N46" s="1852">
        <f>(600000*NAIRA2010_/Unit.kW)*plantsize.III.f</f>
        <v>3000000000</v>
      </c>
      <c r="O46" s="1416"/>
      <c r="P46" s="37"/>
    </row>
    <row r="47" spans="1:16" s="84" customFormat="1" ht="15.75" customHeight="1" x14ac:dyDescent="0.2">
      <c r="A47" s="2479"/>
      <c r="B47" s="1419"/>
      <c r="C47" s="606" t="s">
        <v>1872</v>
      </c>
      <c r="D47" s="107"/>
      <c r="E47" s="188">
        <f t="shared" ref="E47:E48" si="3">(N47-F47)/(N$45-F$45)</f>
        <v>0</v>
      </c>
      <c r="F47" s="1849">
        <f>(525000*NAIRA2010_/Unit.kW)*plantsize.III.f</f>
        <v>2625000000</v>
      </c>
      <c r="G47" s="1849">
        <f t="shared" ref="G47:M48" si="4">($E47*(G$45-F$45))+F47</f>
        <v>2625000000</v>
      </c>
      <c r="H47" s="1849">
        <f t="shared" si="4"/>
        <v>2625000000</v>
      </c>
      <c r="I47" s="1849">
        <f t="shared" si="4"/>
        <v>2625000000</v>
      </c>
      <c r="J47" s="1849">
        <f t="shared" si="4"/>
        <v>2625000000</v>
      </c>
      <c r="K47" s="1849">
        <f t="shared" si="4"/>
        <v>2625000000</v>
      </c>
      <c r="L47" s="1849">
        <f t="shared" si="4"/>
        <v>2625000000</v>
      </c>
      <c r="M47" s="1849">
        <f t="shared" si="4"/>
        <v>2625000000</v>
      </c>
      <c r="N47" s="1849">
        <f>(525000*NAIRA2010_/Unit.kW)*plantsize.III.f</f>
        <v>2625000000</v>
      </c>
      <c r="O47" s="1416"/>
      <c r="P47" s="37"/>
    </row>
    <row r="48" spans="1:16" s="84" customFormat="1" ht="15.75" customHeight="1" x14ac:dyDescent="0.2">
      <c r="A48" s="2479"/>
      <c r="B48" s="1419"/>
      <c r="C48" s="1731" t="s">
        <v>1873</v>
      </c>
      <c r="D48" s="189"/>
      <c r="E48" s="191">
        <f t="shared" si="3"/>
        <v>0</v>
      </c>
      <c r="F48" s="1850">
        <f>(450000*NAIRA2010_/Unit.kW)*plantsize.III.f</f>
        <v>2250000000</v>
      </c>
      <c r="G48" s="1850">
        <f t="shared" si="4"/>
        <v>2250000000</v>
      </c>
      <c r="H48" s="1850">
        <f t="shared" si="4"/>
        <v>2250000000</v>
      </c>
      <c r="I48" s="1850">
        <f t="shared" si="4"/>
        <v>2250000000</v>
      </c>
      <c r="J48" s="1850">
        <f>($E48*(J$45-I$45))+I48</f>
        <v>2250000000</v>
      </c>
      <c r="K48" s="1850">
        <f t="shared" si="4"/>
        <v>2250000000</v>
      </c>
      <c r="L48" s="1850">
        <f t="shared" si="4"/>
        <v>2250000000</v>
      </c>
      <c r="M48" s="1850">
        <f t="shared" si="4"/>
        <v>2250000000</v>
      </c>
      <c r="N48" s="1850">
        <f>(450000*NAIRA2010_/Unit.kW)*plantsize.III.f</f>
        <v>2250000000</v>
      </c>
      <c r="O48" s="1416"/>
      <c r="P48" s="37"/>
    </row>
    <row r="49" spans="1:16" s="84" customFormat="1" x14ac:dyDescent="0.2">
      <c r="A49" s="2479"/>
      <c r="B49" s="1419"/>
      <c r="C49" s="1848"/>
      <c r="D49" s="107"/>
      <c r="E49" s="1081"/>
      <c r="F49" s="1055"/>
      <c r="G49" s="760"/>
      <c r="H49" s="760"/>
      <c r="I49" s="760"/>
      <c r="J49" s="760"/>
      <c r="K49" s="760"/>
      <c r="L49" s="760"/>
      <c r="M49" s="760"/>
      <c r="N49" s="1416"/>
      <c r="O49" s="1416"/>
      <c r="P49" s="37"/>
    </row>
    <row r="50" spans="1:16" ht="15.75" customHeight="1" x14ac:dyDescent="0.2">
      <c r="B50" s="1419"/>
      <c r="C50" s="1417" t="str">
        <f>"Operating cost of a "&amp;plantsize.III.f&amp;" "&amp;Preferences.PowerUnits&amp;" Solar source"</f>
        <v>Operating cost of a 0.005 GW Solar source</v>
      </c>
      <c r="D50" s="107"/>
      <c r="E50" s="1081"/>
      <c r="F50" s="1055"/>
      <c r="G50" s="760"/>
      <c r="H50" s="760"/>
      <c r="I50" s="760"/>
      <c r="J50" s="760"/>
      <c r="K50" s="760"/>
      <c r="L50" s="760"/>
      <c r="M50" s="760"/>
      <c r="N50" s="1255" t="str">
        <f>Preferences.moneyunits&amp;"/solar source"</f>
        <v>N/solar source</v>
      </c>
      <c r="O50" s="1416"/>
      <c r="P50" s="37"/>
    </row>
    <row r="51" spans="1:16" ht="6" customHeight="1" x14ac:dyDescent="0.2">
      <c r="B51" s="1419"/>
      <c r="C51" s="1848"/>
      <c r="D51" s="107"/>
      <c r="E51" s="1081"/>
      <c r="F51" s="1055"/>
      <c r="G51" s="760"/>
      <c r="H51" s="760"/>
      <c r="I51" s="760"/>
      <c r="J51" s="760"/>
      <c r="K51" s="760"/>
      <c r="L51" s="760"/>
      <c r="M51" s="760"/>
      <c r="N51" s="1416"/>
      <c r="O51" s="1416"/>
      <c r="P51" s="37"/>
    </row>
    <row r="52" spans="1:16" x14ac:dyDescent="0.2">
      <c r="B52" s="1419"/>
      <c r="C52" s="1101"/>
      <c r="D52" s="1519"/>
      <c r="E52" s="1567" t="s">
        <v>1321</v>
      </c>
      <c r="F52" s="1845">
        <v>2010</v>
      </c>
      <c r="G52" s="1845">
        <v>2015</v>
      </c>
      <c r="H52" s="1845">
        <v>2020</v>
      </c>
      <c r="I52" s="1845">
        <v>2025</v>
      </c>
      <c r="J52" s="1845">
        <v>2030</v>
      </c>
      <c r="K52" s="1845">
        <v>2035</v>
      </c>
      <c r="L52" s="1845">
        <v>2040</v>
      </c>
      <c r="M52" s="1845">
        <v>2045</v>
      </c>
      <c r="N52" s="1845">
        <v>2050</v>
      </c>
      <c r="O52" s="1416"/>
      <c r="P52" s="37"/>
    </row>
    <row r="53" spans="1:16" ht="15.75" customHeight="1" x14ac:dyDescent="0.2">
      <c r="B53" s="1419"/>
      <c r="C53" s="1846" t="s">
        <v>1871</v>
      </c>
      <c r="D53" s="1519"/>
      <c r="E53" s="1847">
        <f>(N53-F53)/(N$45-F$45)</f>
        <v>0</v>
      </c>
      <c r="F53" s="1852">
        <f>(3.45*NAIRA2010_/Unit.kW)*plantsize.III.f</f>
        <v>17250.000000000004</v>
      </c>
      <c r="G53" s="1852">
        <f t="shared" ref="G53:G55" si="5">($E53*(G$45-F$45))+F53</f>
        <v>17250.000000000004</v>
      </c>
      <c r="H53" s="1852">
        <f t="shared" ref="H53:H55" si="6">($E53*(H$45-G$45))+G53</f>
        <v>17250.000000000004</v>
      </c>
      <c r="I53" s="1852">
        <f t="shared" ref="I53:I55" si="7">($E53*(I$45-H$45))+H53</f>
        <v>17250.000000000004</v>
      </c>
      <c r="J53" s="1852">
        <f t="shared" ref="J53:J55" si="8">($E53*(J$45-I$45))+I53</f>
        <v>17250.000000000004</v>
      </c>
      <c r="K53" s="1852">
        <f t="shared" ref="K53:K55" si="9">($E53*(K$45-J$45))+J53</f>
        <v>17250.000000000004</v>
      </c>
      <c r="L53" s="1852">
        <f t="shared" ref="L53:L55" si="10">($E53*(L$45-K$45))+K53</f>
        <v>17250.000000000004</v>
      </c>
      <c r="M53" s="1852">
        <f t="shared" ref="M53:M55" si="11">($E53*(M$45-L$45))+L53</f>
        <v>17250.000000000004</v>
      </c>
      <c r="N53" s="1852">
        <f>(3.45*NAIRA2010_/Unit.kW)*plantsize.III.f</f>
        <v>17250.000000000004</v>
      </c>
      <c r="O53" s="1416"/>
      <c r="P53" s="37"/>
    </row>
    <row r="54" spans="1:16" ht="15.75" customHeight="1" x14ac:dyDescent="0.2">
      <c r="B54" s="1419"/>
      <c r="C54" s="606" t="s">
        <v>1872</v>
      </c>
      <c r="D54" s="107"/>
      <c r="E54" s="188">
        <f t="shared" ref="E54:E55" si="12">(N54-F54)/(N$45-F$45)</f>
        <v>0</v>
      </c>
      <c r="F54" s="1849">
        <f>(3*NAIRA2010_/Unit.kW)*plantsize.III.f</f>
        <v>15000</v>
      </c>
      <c r="G54" s="1849">
        <f t="shared" si="5"/>
        <v>15000</v>
      </c>
      <c r="H54" s="1849">
        <f t="shared" si="6"/>
        <v>15000</v>
      </c>
      <c r="I54" s="1849">
        <f t="shared" si="7"/>
        <v>15000</v>
      </c>
      <c r="J54" s="1849">
        <f t="shared" si="8"/>
        <v>15000</v>
      </c>
      <c r="K54" s="1849">
        <f t="shared" si="9"/>
        <v>15000</v>
      </c>
      <c r="L54" s="1849">
        <f t="shared" si="10"/>
        <v>15000</v>
      </c>
      <c r="M54" s="1849">
        <f t="shared" si="11"/>
        <v>15000</v>
      </c>
      <c r="N54" s="1849">
        <f>(3*NAIRA2010_/Unit.kW)*plantsize.III.f</f>
        <v>15000</v>
      </c>
      <c r="O54" s="1416"/>
      <c r="P54" s="37"/>
    </row>
    <row r="55" spans="1:16" ht="15.75" customHeight="1" x14ac:dyDescent="0.2">
      <c r="B55" s="1419"/>
      <c r="C55" s="1731" t="s">
        <v>1873</v>
      </c>
      <c r="D55" s="189"/>
      <c r="E55" s="191">
        <f t="shared" si="12"/>
        <v>0</v>
      </c>
      <c r="F55" s="1850">
        <f>(2.25*NAIRA2010_/Unit.kW)*plantsize.III.f</f>
        <v>11250</v>
      </c>
      <c r="G55" s="1850">
        <f t="shared" si="5"/>
        <v>11250</v>
      </c>
      <c r="H55" s="1850">
        <f t="shared" si="6"/>
        <v>11250</v>
      </c>
      <c r="I55" s="1850">
        <f t="shared" si="7"/>
        <v>11250</v>
      </c>
      <c r="J55" s="1850">
        <f t="shared" si="8"/>
        <v>11250</v>
      </c>
      <c r="K55" s="1850">
        <f t="shared" si="9"/>
        <v>11250</v>
      </c>
      <c r="L55" s="1850">
        <f t="shared" si="10"/>
        <v>11250</v>
      </c>
      <c r="M55" s="1850">
        <f t="shared" si="11"/>
        <v>11250</v>
      </c>
      <c r="N55" s="1850">
        <f>(2.25*NAIRA2010_/Unit.kW)*plantsize.III.f</f>
        <v>11250</v>
      </c>
      <c r="O55" s="1416"/>
      <c r="P55" s="37"/>
    </row>
    <row r="56" spans="1:16" ht="15.75" customHeight="1" x14ac:dyDescent="0.2">
      <c r="B56" s="1377"/>
      <c r="C56" s="1377"/>
      <c r="D56" s="1416"/>
      <c r="E56" s="760"/>
      <c r="F56" s="1416"/>
      <c r="G56" s="1416"/>
      <c r="H56" s="1416"/>
      <c r="I56" s="1488"/>
      <c r="J56" s="1488"/>
      <c r="K56" s="1377"/>
      <c r="L56" s="1377"/>
      <c r="M56" s="1377"/>
      <c r="N56" s="1377"/>
      <c r="O56" s="1377"/>
    </row>
    <row r="57" spans="1:16" ht="11.25" customHeight="1" x14ac:dyDescent="0.2">
      <c r="B57" s="1857"/>
      <c r="C57" s="2511"/>
      <c r="D57" s="2512"/>
      <c r="E57" s="1855"/>
      <c r="F57" s="2513"/>
      <c r="G57" s="2512"/>
      <c r="H57" s="2512"/>
      <c r="I57" s="2512"/>
      <c r="J57" s="2512"/>
      <c r="K57" s="2512"/>
      <c r="L57" s="2512"/>
      <c r="M57" s="2514"/>
      <c r="N57" s="2514"/>
      <c r="O57" s="2515"/>
    </row>
    <row r="58" spans="1:16" ht="15.75" x14ac:dyDescent="0.2">
      <c r="B58" s="1423" t="s">
        <v>332</v>
      </c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6"/>
    </row>
    <row r="59" spans="1:16" x14ac:dyDescent="0.2">
      <c r="B59" s="1419"/>
      <c r="C59" s="1416"/>
      <c r="D59" s="1416"/>
      <c r="E59" s="1416"/>
      <c r="F59" s="1416"/>
      <c r="G59" s="1416"/>
      <c r="H59" s="1416"/>
      <c r="I59" s="1416"/>
      <c r="J59" s="1416"/>
      <c r="K59" s="1416"/>
      <c r="L59" s="1416"/>
      <c r="M59" s="1416"/>
      <c r="N59" s="1416"/>
      <c r="O59" s="1420"/>
    </row>
    <row r="60" spans="1:16" x14ac:dyDescent="0.2">
      <c r="B60" s="1419"/>
      <c r="C60" s="1417" t="s">
        <v>298</v>
      </c>
      <c r="D60" s="1416"/>
      <c r="E60" s="176"/>
      <c r="F60" s="1416"/>
      <c r="G60" s="1416"/>
      <c r="H60" s="1416"/>
      <c r="I60" s="1416"/>
      <c r="J60" s="1416"/>
      <c r="K60" s="1416"/>
      <c r="L60" s="1416"/>
      <c r="M60" s="1416"/>
      <c r="N60" s="176" t="str">
        <f>Preferences.PowerUnits</f>
        <v>GW</v>
      </c>
      <c r="O60" s="1420"/>
    </row>
    <row r="61" spans="1:16" x14ac:dyDescent="0.2">
      <c r="B61" s="1419"/>
      <c r="C61" s="1416"/>
      <c r="D61" s="1416"/>
      <c r="E61" s="1416"/>
      <c r="F61" s="1416"/>
      <c r="G61" s="1416"/>
      <c r="H61" s="1416"/>
      <c r="I61" s="1416"/>
      <c r="J61" s="1416"/>
      <c r="K61" s="1416"/>
      <c r="L61" s="1416"/>
      <c r="M61" s="1416"/>
      <c r="N61" s="1416"/>
      <c r="O61" s="1420"/>
    </row>
    <row r="62" spans="1:16" ht="15.75" x14ac:dyDescent="0.25">
      <c r="B62" s="397"/>
      <c r="C62" s="98" t="s">
        <v>264</v>
      </c>
      <c r="D62" s="98" t="s">
        <v>65</v>
      </c>
      <c r="E62" s="98" t="s">
        <v>172</v>
      </c>
      <c r="F62" s="218">
        <v>2010</v>
      </c>
      <c r="G62" s="217">
        <v>2015</v>
      </c>
      <c r="H62" s="217">
        <v>2020</v>
      </c>
      <c r="I62" s="217">
        <v>2025</v>
      </c>
      <c r="J62" s="217">
        <v>2030</v>
      </c>
      <c r="K62" s="217">
        <v>2035</v>
      </c>
      <c r="L62" s="217">
        <v>2040</v>
      </c>
      <c r="M62" s="217">
        <v>2045</v>
      </c>
      <c r="N62" s="217">
        <v>2050</v>
      </c>
      <c r="O62" s="1420"/>
    </row>
    <row r="63" spans="1:16" ht="15.75" x14ac:dyDescent="0.2">
      <c r="B63" s="399"/>
      <c r="C63" s="121" t="s">
        <v>25</v>
      </c>
      <c r="D63" s="122" t="str">
        <f>INDEX(Vectors[Description], MATCH($C63,Vectors[Code], 0))</f>
        <v>Solar</v>
      </c>
      <c r="E63" s="122"/>
      <c r="F63" s="889">
        <f t="shared" ref="F63:N63" si="13">F20</f>
        <v>0</v>
      </c>
      <c r="G63" s="1036">
        <f t="shared" si="13"/>
        <v>0</v>
      </c>
      <c r="H63" s="1036">
        <f t="shared" si="13"/>
        <v>5.87</v>
      </c>
      <c r="I63" s="1036">
        <f t="shared" si="13"/>
        <v>15.73</v>
      </c>
      <c r="J63" s="1036">
        <f t="shared" si="13"/>
        <v>30.58</v>
      </c>
      <c r="K63" s="1036">
        <f t="shared" si="13"/>
        <v>55.435000000000002</v>
      </c>
      <c r="L63" s="1036">
        <f t="shared" si="13"/>
        <v>70.290000000000006</v>
      </c>
      <c r="M63" s="1036">
        <f t="shared" si="13"/>
        <v>90.144999999999996</v>
      </c>
      <c r="N63" s="1036">
        <f t="shared" si="13"/>
        <v>110</v>
      </c>
      <c r="O63" s="400"/>
    </row>
    <row r="64" spans="1:16" ht="11.25" customHeight="1" x14ac:dyDescent="0.2">
      <c r="B64" s="401"/>
      <c r="C64" s="1414"/>
      <c r="D64" s="1415"/>
      <c r="E64" s="1415"/>
      <c r="F64" s="207"/>
      <c r="G64" s="207"/>
      <c r="H64" s="207"/>
      <c r="I64" s="207"/>
      <c r="J64" s="207"/>
      <c r="K64" s="207"/>
      <c r="L64" s="207"/>
      <c r="M64" s="207"/>
      <c r="N64" s="207"/>
      <c r="O64" s="1420"/>
    </row>
    <row r="66" spans="2:14" x14ac:dyDescent="0.2">
      <c r="B66" s="2479" t="s">
        <v>2358</v>
      </c>
      <c r="F66" s="2479">
        <v>2010</v>
      </c>
      <c r="G66" s="2479">
        <v>2015</v>
      </c>
      <c r="H66" s="2479">
        <v>2020</v>
      </c>
      <c r="I66" s="2479">
        <v>2025</v>
      </c>
      <c r="J66" s="2479">
        <v>2030</v>
      </c>
      <c r="K66" s="2479">
        <v>2035</v>
      </c>
      <c r="L66" s="2479">
        <v>2040</v>
      </c>
      <c r="M66" s="2479">
        <v>2045</v>
      </c>
      <c r="N66" s="2479">
        <v>2050</v>
      </c>
    </row>
    <row r="68" spans="2:14" x14ac:dyDescent="0.2">
      <c r="C68" s="1427" t="s">
        <v>328</v>
      </c>
      <c r="E68" s="1426" t="str">
        <f>Preferences.PowerUnits</f>
        <v>GW</v>
      </c>
      <c r="F68" s="23">
        <f t="shared" ref="F68:N68" si="14">F$63</f>
        <v>0</v>
      </c>
      <c r="G68" s="23">
        <f t="shared" si="14"/>
        <v>0</v>
      </c>
      <c r="H68" s="23">
        <f t="shared" si="14"/>
        <v>5.87</v>
      </c>
      <c r="I68" s="23">
        <f t="shared" si="14"/>
        <v>15.73</v>
      </c>
      <c r="J68" s="23">
        <f t="shared" si="14"/>
        <v>30.58</v>
      </c>
      <c r="K68" s="23">
        <f t="shared" si="14"/>
        <v>55.435000000000002</v>
      </c>
      <c r="L68" s="23">
        <f t="shared" si="14"/>
        <v>70.290000000000006</v>
      </c>
      <c r="M68" s="23">
        <f t="shared" si="14"/>
        <v>90.144999999999996</v>
      </c>
      <c r="N68" s="23">
        <f t="shared" si="14"/>
        <v>110</v>
      </c>
    </row>
    <row r="69" spans="2:14" x14ac:dyDescent="0.2">
      <c r="B69" s="2479" t="s">
        <v>345</v>
      </c>
      <c r="C69" s="2479" t="s">
        <v>327</v>
      </c>
      <c r="E69" s="1426"/>
      <c r="F69" s="15">
        <f t="shared" ref="F69:N69" si="15">F$31</f>
        <v>0.21</v>
      </c>
      <c r="G69" s="15">
        <f t="shared" si="15"/>
        <v>0.21</v>
      </c>
      <c r="H69" s="15">
        <f t="shared" si="15"/>
        <v>0.21</v>
      </c>
      <c r="I69" s="15">
        <f t="shared" si="15"/>
        <v>0.21</v>
      </c>
      <c r="J69" s="15">
        <f t="shared" si="15"/>
        <v>0.21</v>
      </c>
      <c r="K69" s="15">
        <f t="shared" si="15"/>
        <v>0.21</v>
      </c>
      <c r="L69" s="15">
        <f t="shared" si="15"/>
        <v>0.21</v>
      </c>
      <c r="M69" s="15">
        <f t="shared" si="15"/>
        <v>0.21</v>
      </c>
      <c r="N69" s="15">
        <f t="shared" si="15"/>
        <v>0.21</v>
      </c>
    </row>
    <row r="70" spans="2:14" x14ac:dyDescent="0.2">
      <c r="B70" s="132" t="s">
        <v>346</v>
      </c>
      <c r="C70" s="1427" t="s">
        <v>580</v>
      </c>
      <c r="E70" s="1426"/>
      <c r="F70" s="114">
        <f t="shared" ref="F70:N70" si="16">F68*F69</f>
        <v>0</v>
      </c>
      <c r="G70" s="114">
        <f t="shared" si="16"/>
        <v>0</v>
      </c>
      <c r="H70" s="114">
        <f t="shared" si="16"/>
        <v>1.2326999999999999</v>
      </c>
      <c r="I70" s="114">
        <f t="shared" si="16"/>
        <v>3.3033000000000001</v>
      </c>
      <c r="J70" s="114">
        <f t="shared" si="16"/>
        <v>6.4217999999999993</v>
      </c>
      <c r="K70" s="114">
        <f t="shared" si="16"/>
        <v>11.641349999999999</v>
      </c>
      <c r="L70" s="114">
        <f t="shared" si="16"/>
        <v>14.760900000000001</v>
      </c>
      <c r="M70" s="114">
        <f t="shared" si="16"/>
        <v>18.930449999999997</v>
      </c>
      <c r="N70" s="114">
        <f t="shared" si="16"/>
        <v>23.099999999999998</v>
      </c>
    </row>
    <row r="71" spans="2:14" x14ac:dyDescent="0.2">
      <c r="C71" s="1427" t="s">
        <v>185</v>
      </c>
      <c r="E71" s="1426" t="str">
        <f>Preferences.EnergyUnits</f>
        <v>TWh</v>
      </c>
      <c r="F71" s="114">
        <f t="shared" ref="F71:M71" si="17">F70*Preferences.Unit.Power*Unit.year/Preferences.Unit.Energy</f>
        <v>0</v>
      </c>
      <c r="G71" s="114">
        <f t="shared" si="17"/>
        <v>0</v>
      </c>
      <c r="H71" s="114">
        <f t="shared" si="17"/>
        <v>10.8058482</v>
      </c>
      <c r="I71" s="114">
        <f t="shared" si="17"/>
        <v>28.956727799999999</v>
      </c>
      <c r="J71" s="114">
        <f t="shared" si="17"/>
        <v>56.293498799999988</v>
      </c>
      <c r="K71" s="114">
        <f t="shared" si="17"/>
        <v>102.04807409999999</v>
      </c>
      <c r="L71" s="114">
        <f t="shared" si="17"/>
        <v>129.39404940000003</v>
      </c>
      <c r="M71" s="114">
        <f t="shared" si="17"/>
        <v>165.94432469999998</v>
      </c>
      <c r="N71" s="114">
        <f>N70*Preferences.Unit.Power*Unit.year/Preferences.Unit.Energy</f>
        <v>202.49459999999999</v>
      </c>
    </row>
    <row r="72" spans="2:14" x14ac:dyDescent="0.2">
      <c r="E72" s="1426"/>
    </row>
    <row r="73" spans="2:14" x14ac:dyDescent="0.2">
      <c r="B73" s="39" t="s">
        <v>975</v>
      </c>
      <c r="E73" s="1426"/>
    </row>
    <row r="74" spans="2:14" x14ac:dyDescent="0.2">
      <c r="B74" s="39"/>
      <c r="C74" s="1427" t="s">
        <v>977</v>
      </c>
      <c r="E74" s="172" t="str">
        <f>Preferences.PowerUnits</f>
        <v>GW</v>
      </c>
      <c r="F74" s="114">
        <f t="shared" ref="F74:N74" si="18">F70/F$36</f>
        <v>0</v>
      </c>
      <c r="G74" s="114">
        <f t="shared" si="18"/>
        <v>0</v>
      </c>
      <c r="H74" s="114">
        <f t="shared" si="18"/>
        <v>6.1634999999999991</v>
      </c>
      <c r="I74" s="114">
        <f t="shared" si="18"/>
        <v>16.516500000000001</v>
      </c>
      <c r="J74" s="114">
        <f t="shared" si="18"/>
        <v>32.108999999999995</v>
      </c>
      <c r="K74" s="114">
        <f t="shared" si="18"/>
        <v>58.206749999999992</v>
      </c>
      <c r="L74" s="114">
        <f t="shared" si="18"/>
        <v>73.804500000000004</v>
      </c>
      <c r="M74" s="114">
        <f t="shared" si="18"/>
        <v>94.652249999999981</v>
      </c>
      <c r="N74" s="114">
        <f t="shared" si="18"/>
        <v>115.49999999999999</v>
      </c>
    </row>
    <row r="75" spans="2:14" x14ac:dyDescent="0.2">
      <c r="B75" s="1037" t="s">
        <v>976</v>
      </c>
      <c r="C75" s="2479" t="s">
        <v>978</v>
      </c>
      <c r="E75" s="1426" t="str">
        <f>Preferences.PowerUnits &amp; " / m2"</f>
        <v>GW / m2</v>
      </c>
      <c r="F75" s="1038">
        <f t="shared" ref="F75:N75" si="19">Global.NigeriaIncidentSolarEnergy_SouthFacing*Unit.W</f>
        <v>9.6300000000000014E-7</v>
      </c>
      <c r="G75" s="1038">
        <f t="shared" si="19"/>
        <v>9.6300000000000014E-7</v>
      </c>
      <c r="H75" s="1038">
        <f t="shared" si="19"/>
        <v>9.6300000000000014E-7</v>
      </c>
      <c r="I75" s="1038">
        <f t="shared" si="19"/>
        <v>9.6300000000000014E-7</v>
      </c>
      <c r="J75" s="1038">
        <f t="shared" si="19"/>
        <v>9.6300000000000014E-7</v>
      </c>
      <c r="K75" s="1038">
        <f t="shared" si="19"/>
        <v>9.6300000000000014E-7</v>
      </c>
      <c r="L75" s="1038">
        <f t="shared" si="19"/>
        <v>9.6300000000000014E-7</v>
      </c>
      <c r="M75" s="1038">
        <f t="shared" si="19"/>
        <v>9.6300000000000014E-7</v>
      </c>
      <c r="N75" s="1038">
        <f t="shared" si="19"/>
        <v>9.6300000000000014E-7</v>
      </c>
    </row>
    <row r="76" spans="2:14" ht="15" x14ac:dyDescent="0.2">
      <c r="B76" s="2479" t="s">
        <v>346</v>
      </c>
      <c r="C76" s="1427" t="s">
        <v>981</v>
      </c>
      <c r="E76" s="1426" t="s">
        <v>572</v>
      </c>
      <c r="F76" s="581">
        <f t="shared" ref="F76:N76" si="20">F74/F75</f>
        <v>0</v>
      </c>
      <c r="G76" s="581">
        <f t="shared" si="20"/>
        <v>0</v>
      </c>
      <c r="H76" s="581">
        <f t="shared" si="20"/>
        <v>6400311.526479749</v>
      </c>
      <c r="I76" s="581">
        <f t="shared" si="20"/>
        <v>17151090.342679124</v>
      </c>
      <c r="J76" s="581">
        <f t="shared" si="20"/>
        <v>33342679.127725847</v>
      </c>
      <c r="K76" s="581">
        <f t="shared" si="20"/>
        <v>60443146.417445466</v>
      </c>
      <c r="L76" s="581">
        <f t="shared" si="20"/>
        <v>76640186.915887848</v>
      </c>
      <c r="M76" s="581">
        <f t="shared" si="20"/>
        <v>98288940.809968814</v>
      </c>
      <c r="N76" s="581">
        <f t="shared" si="20"/>
        <v>119937694.70404981</v>
      </c>
    </row>
    <row r="77" spans="2:14" x14ac:dyDescent="0.2">
      <c r="C77" s="1427"/>
      <c r="E77" s="1426"/>
      <c r="F77" s="581"/>
      <c r="G77" s="581"/>
      <c r="H77" s="581"/>
      <c r="I77" s="581"/>
      <c r="J77" s="581"/>
      <c r="K77" s="581"/>
      <c r="L77" s="581"/>
      <c r="M77" s="581"/>
      <c r="N77" s="581"/>
    </row>
    <row r="78" spans="2:14" ht="4.5" customHeight="1" x14ac:dyDescent="0.2">
      <c r="C78" s="39"/>
      <c r="E78" s="582"/>
      <c r="F78" s="366"/>
      <c r="G78" s="366"/>
      <c r="H78" s="366"/>
      <c r="I78" s="366"/>
      <c r="J78" s="366"/>
      <c r="K78" s="366"/>
      <c r="L78" s="366"/>
      <c r="M78" s="366"/>
      <c r="N78" s="366"/>
    </row>
    <row r="79" spans="2:14" x14ac:dyDescent="0.2">
      <c r="B79" s="2479" t="s">
        <v>1274</v>
      </c>
      <c r="C79" s="1427"/>
      <c r="F79" s="114"/>
      <c r="G79" s="114"/>
      <c r="H79" s="114"/>
      <c r="I79" s="114"/>
      <c r="J79" s="114"/>
      <c r="K79" s="114"/>
      <c r="L79" s="114"/>
      <c r="M79" s="114"/>
      <c r="N79" s="114"/>
    </row>
    <row r="80" spans="2:14" x14ac:dyDescent="0.2">
      <c r="F80" s="1262"/>
      <c r="G80" s="1262"/>
      <c r="H80" s="1262"/>
      <c r="I80" s="1262"/>
      <c r="J80" s="1262"/>
      <c r="K80" s="1262"/>
      <c r="L80" s="1262"/>
      <c r="M80" s="1262"/>
      <c r="N80" s="1262"/>
    </row>
    <row r="81" spans="2:16" x14ac:dyDescent="0.2">
      <c r="C81" s="2479" t="s">
        <v>2373</v>
      </c>
      <c r="E81" s="2479" t="s">
        <v>1275</v>
      </c>
      <c r="F81" s="1262">
        <f t="shared" ref="F81:N81" si="21">F68/plantsize.III.f</f>
        <v>0</v>
      </c>
      <c r="G81" s="1262">
        <f t="shared" si="21"/>
        <v>0</v>
      </c>
      <c r="H81" s="1262">
        <f t="shared" si="21"/>
        <v>1174</v>
      </c>
      <c r="I81" s="1262">
        <f t="shared" si="21"/>
        <v>3146</v>
      </c>
      <c r="J81" s="1262">
        <f t="shared" si="21"/>
        <v>6115.9999999999991</v>
      </c>
      <c r="K81" s="1262">
        <f t="shared" si="21"/>
        <v>11087</v>
      </c>
      <c r="L81" s="1262">
        <f t="shared" si="21"/>
        <v>14058.000000000002</v>
      </c>
      <c r="M81" s="1262">
        <f t="shared" si="21"/>
        <v>18029</v>
      </c>
      <c r="N81" s="1262">
        <f t="shared" si="21"/>
        <v>22000</v>
      </c>
    </row>
    <row r="82" spans="2:16" x14ac:dyDescent="0.2">
      <c r="C82" s="2479" t="s">
        <v>1640</v>
      </c>
      <c r="F82" s="1262"/>
      <c r="G82" s="1498"/>
      <c r="H82" s="1498"/>
      <c r="I82" s="1498"/>
      <c r="J82" s="1498"/>
      <c r="K82" s="1498">
        <f>IF($E$8=1,0,-F63)</f>
        <v>0</v>
      </c>
      <c r="L82" s="1498">
        <f>IF($E$8=1,0,-G63)</f>
        <v>0</v>
      </c>
      <c r="M82" s="1498">
        <f>IF($E$8=1,0,-H63)</f>
        <v>-5.87</v>
      </c>
      <c r="N82" s="1498">
        <f>IF($E$8=1,0,-I63)</f>
        <v>-15.73</v>
      </c>
    </row>
    <row r="83" spans="2:16" x14ac:dyDescent="0.2">
      <c r="C83" s="2479" t="s">
        <v>2374</v>
      </c>
      <c r="E83" s="2479" t="s">
        <v>1275</v>
      </c>
      <c r="F83" s="1262"/>
      <c r="G83" s="1262"/>
      <c r="H83" s="1262"/>
      <c r="I83" s="1262">
        <f t="shared" ref="I83:N83" si="22">I82/plantsize.III.f</f>
        <v>0</v>
      </c>
      <c r="J83" s="1262">
        <f t="shared" si="22"/>
        <v>0</v>
      </c>
      <c r="K83" s="1262">
        <f t="shared" si="22"/>
        <v>0</v>
      </c>
      <c r="L83" s="1262">
        <f t="shared" si="22"/>
        <v>0</v>
      </c>
      <c r="M83" s="1262">
        <f t="shared" si="22"/>
        <v>-1174</v>
      </c>
      <c r="N83" s="1262">
        <f t="shared" si="22"/>
        <v>-3146</v>
      </c>
    </row>
    <row r="84" spans="2:16" x14ac:dyDescent="0.2">
      <c r="C84" s="2479" t="s">
        <v>2375</v>
      </c>
      <c r="F84" s="1262">
        <f>F81-F83</f>
        <v>0</v>
      </c>
      <c r="G84" s="1262">
        <f>G81-G83</f>
        <v>0</v>
      </c>
      <c r="H84" s="1262">
        <f t="shared" ref="H84:N84" si="23">H81-H83</f>
        <v>1174</v>
      </c>
      <c r="I84" s="1262">
        <f t="shared" si="23"/>
        <v>3146</v>
      </c>
      <c r="J84" s="1262">
        <f t="shared" si="23"/>
        <v>6115.9999999999991</v>
      </c>
      <c r="K84" s="1262">
        <f t="shared" si="23"/>
        <v>11087</v>
      </c>
      <c r="L84" s="1262">
        <f t="shared" si="23"/>
        <v>14058.000000000002</v>
      </c>
      <c r="M84" s="1262">
        <f t="shared" si="23"/>
        <v>19203</v>
      </c>
      <c r="N84" s="1262">
        <f t="shared" si="23"/>
        <v>25146</v>
      </c>
    </row>
    <row r="85" spans="2:16" x14ac:dyDescent="0.2">
      <c r="C85" s="2479" t="s">
        <v>1446</v>
      </c>
      <c r="F85" s="1262">
        <v>0</v>
      </c>
      <c r="G85" s="1262">
        <f t="shared" ref="G85:N85" si="24">IF(((G84-F81)/(G$30-F$30))&gt;0,(G84-F81)/(G$30-F$30),0)</f>
        <v>0</v>
      </c>
      <c r="H85" s="1262">
        <f t="shared" si="24"/>
        <v>234.8</v>
      </c>
      <c r="I85" s="1262">
        <f t="shared" si="24"/>
        <v>394.4</v>
      </c>
      <c r="J85" s="1262">
        <f t="shared" si="24"/>
        <v>593.99999999999977</v>
      </c>
      <c r="K85" s="1262">
        <f t="shared" si="24"/>
        <v>994.20000000000016</v>
      </c>
      <c r="L85" s="1262">
        <f t="shared" si="24"/>
        <v>594.20000000000039</v>
      </c>
      <c r="M85" s="1262">
        <f t="shared" si="24"/>
        <v>1028.9999999999995</v>
      </c>
      <c r="N85" s="1262">
        <f t="shared" si="24"/>
        <v>1423.4</v>
      </c>
    </row>
    <row r="86" spans="2:16" x14ac:dyDescent="0.2">
      <c r="F86" s="1262"/>
      <c r="G86" s="1262"/>
      <c r="H86" s="1262"/>
      <c r="I86" s="1262"/>
      <c r="J86" s="1262"/>
      <c r="K86" s="1262"/>
      <c r="L86" s="1262"/>
      <c r="M86" s="1262"/>
      <c r="N86" s="1262"/>
    </row>
    <row r="87" spans="2:16" x14ac:dyDescent="0.2">
      <c r="B87" s="2479" t="s">
        <v>1420</v>
      </c>
      <c r="F87" s="1262"/>
      <c r="G87" s="1262"/>
      <c r="H87" s="1262"/>
      <c r="I87" s="1262"/>
      <c r="J87" s="1262"/>
      <c r="K87" s="1262"/>
      <c r="L87" s="1262"/>
      <c r="M87" s="1262"/>
      <c r="N87" s="1262"/>
      <c r="O87" s="1262"/>
    </row>
    <row r="88" spans="2:16" x14ac:dyDescent="0.2">
      <c r="C88" s="2479" t="s">
        <v>1418</v>
      </c>
      <c r="E88" s="2479" t="str">
        <f>Preferences.moneyunits</f>
        <v>N</v>
      </c>
      <c r="F88" s="1262">
        <f t="shared" ref="F88:N88" si="25">F85*F$48</f>
        <v>0</v>
      </c>
      <c r="G88" s="1262">
        <f t="shared" si="25"/>
        <v>0</v>
      </c>
      <c r="H88" s="1262">
        <f>H85*H$48</f>
        <v>528300000000</v>
      </c>
      <c r="I88" s="1262">
        <f t="shared" si="25"/>
        <v>887400000000</v>
      </c>
      <c r="J88" s="1262">
        <f t="shared" si="25"/>
        <v>1336499999999.9995</v>
      </c>
      <c r="K88" s="1262">
        <f t="shared" si="25"/>
        <v>2236950000000.0005</v>
      </c>
      <c r="L88" s="1262">
        <f t="shared" si="25"/>
        <v>1336950000000.001</v>
      </c>
      <c r="M88" s="1262">
        <f t="shared" si="25"/>
        <v>2315249999999.999</v>
      </c>
      <c r="N88" s="1262">
        <f t="shared" si="25"/>
        <v>3202650000000</v>
      </c>
      <c r="O88" s="1262"/>
    </row>
    <row r="89" spans="2:16" x14ac:dyDescent="0.2">
      <c r="C89" s="2479" t="s">
        <v>1419</v>
      </c>
      <c r="E89" s="2479" t="str">
        <f>Preferences.moneyunits</f>
        <v>N</v>
      </c>
      <c r="F89" s="1262">
        <f t="shared" ref="F89:N89" si="26">F81*F55</f>
        <v>0</v>
      </c>
      <c r="G89" s="1262">
        <f t="shared" si="26"/>
        <v>0</v>
      </c>
      <c r="H89" s="1262">
        <f t="shared" si="26"/>
        <v>13207500</v>
      </c>
      <c r="I89" s="1262">
        <f t="shared" si="26"/>
        <v>35392500</v>
      </c>
      <c r="J89" s="1262">
        <f t="shared" si="26"/>
        <v>68804999.999999985</v>
      </c>
      <c r="K89" s="1262">
        <f t="shared" si="26"/>
        <v>124728750</v>
      </c>
      <c r="L89" s="1262">
        <f t="shared" si="26"/>
        <v>158152500.00000003</v>
      </c>
      <c r="M89" s="1262">
        <f t="shared" si="26"/>
        <v>202826250</v>
      </c>
      <c r="N89" s="1262">
        <f t="shared" si="26"/>
        <v>247500000</v>
      </c>
      <c r="O89" s="1262"/>
      <c r="P89" s="23"/>
    </row>
    <row r="90" spans="2:16" x14ac:dyDescent="0.2">
      <c r="C90" s="2479" t="s">
        <v>1421</v>
      </c>
      <c r="E90" s="2479" t="str">
        <f>Preferences.moneyunits</f>
        <v>N</v>
      </c>
      <c r="F90" s="1262">
        <f t="shared" ref="F90:N90" si="27">SUM(F88:F89)</f>
        <v>0</v>
      </c>
      <c r="G90" s="1262">
        <f t="shared" si="27"/>
        <v>0</v>
      </c>
      <c r="H90" s="1262">
        <f t="shared" si="27"/>
        <v>528313207500</v>
      </c>
      <c r="I90" s="1262">
        <f t="shared" si="27"/>
        <v>887435392500</v>
      </c>
      <c r="J90" s="1262">
        <f t="shared" si="27"/>
        <v>1336568804999.9995</v>
      </c>
      <c r="K90" s="1262">
        <f t="shared" si="27"/>
        <v>2237074728750.0005</v>
      </c>
      <c r="L90" s="1262">
        <f t="shared" si="27"/>
        <v>1337108152500.001</v>
      </c>
      <c r="M90" s="1262">
        <f t="shared" si="27"/>
        <v>2315452826249.999</v>
      </c>
      <c r="N90" s="1262">
        <f t="shared" si="27"/>
        <v>3202897500000</v>
      </c>
      <c r="O90" s="1262"/>
    </row>
    <row r="91" spans="2:16" x14ac:dyDescent="0.2">
      <c r="C91" s="1427"/>
      <c r="F91" s="114"/>
      <c r="G91" s="114"/>
      <c r="H91" s="114"/>
      <c r="I91" s="114"/>
      <c r="J91" s="114"/>
      <c r="K91" s="114"/>
      <c r="L91" s="114"/>
      <c r="M91" s="114"/>
      <c r="N91" s="114"/>
      <c r="O91" s="1262"/>
    </row>
    <row r="92" spans="2:16" x14ac:dyDescent="0.2">
      <c r="B92" s="2479" t="s">
        <v>1874</v>
      </c>
      <c r="F92" s="1262"/>
      <c r="G92" s="1262"/>
      <c r="H92" s="1262"/>
      <c r="I92" s="1262"/>
      <c r="J92" s="1262"/>
      <c r="K92" s="1262"/>
      <c r="L92" s="1262"/>
      <c r="M92" s="1262"/>
      <c r="N92" s="1262"/>
      <c r="O92" s="1262"/>
      <c r="P92" s="24"/>
    </row>
    <row r="93" spans="2:16" x14ac:dyDescent="0.2">
      <c r="C93" s="2479" t="s">
        <v>1418</v>
      </c>
      <c r="E93" s="2479" t="str">
        <f>Preferences.moneyunits</f>
        <v>N</v>
      </c>
      <c r="F93" s="1262">
        <f t="shared" ref="F93:N93" si="28">F85*F$47</f>
        <v>0</v>
      </c>
      <c r="G93" s="1262">
        <f t="shared" si="28"/>
        <v>0</v>
      </c>
      <c r="H93" s="1262">
        <f t="shared" si="28"/>
        <v>616350000000</v>
      </c>
      <c r="I93" s="1262">
        <f t="shared" si="28"/>
        <v>1035300000000</v>
      </c>
      <c r="J93" s="1262">
        <f t="shared" si="28"/>
        <v>1559249999999.9995</v>
      </c>
      <c r="K93" s="1262">
        <f t="shared" si="28"/>
        <v>2609775000000.0005</v>
      </c>
      <c r="L93" s="1262">
        <f t="shared" si="28"/>
        <v>1559775000000.001</v>
      </c>
      <c r="M93" s="1262">
        <f t="shared" si="28"/>
        <v>2701124999999.999</v>
      </c>
      <c r="N93" s="1262">
        <f t="shared" si="28"/>
        <v>3736425000000</v>
      </c>
      <c r="O93" s="1262"/>
    </row>
    <row r="94" spans="2:16" x14ac:dyDescent="0.2">
      <c r="C94" s="2479" t="s">
        <v>1419</v>
      </c>
      <c r="E94" s="2479" t="str">
        <f>Preferences.moneyunits</f>
        <v>N</v>
      </c>
      <c r="F94" s="1262">
        <f t="shared" ref="F94:N94" si="29">F81*F54</f>
        <v>0</v>
      </c>
      <c r="G94" s="1262">
        <f t="shared" si="29"/>
        <v>0</v>
      </c>
      <c r="H94" s="1262">
        <f t="shared" si="29"/>
        <v>17610000</v>
      </c>
      <c r="I94" s="1262">
        <f t="shared" si="29"/>
        <v>47190000</v>
      </c>
      <c r="J94" s="1262">
        <f t="shared" si="29"/>
        <v>91739999.999999985</v>
      </c>
      <c r="K94" s="1262">
        <f t="shared" si="29"/>
        <v>166305000</v>
      </c>
      <c r="L94" s="1262">
        <f t="shared" si="29"/>
        <v>210870000.00000003</v>
      </c>
      <c r="M94" s="1262">
        <f t="shared" si="29"/>
        <v>270435000</v>
      </c>
      <c r="N94" s="1262">
        <f t="shared" si="29"/>
        <v>330000000</v>
      </c>
      <c r="O94" s="1262"/>
    </row>
    <row r="95" spans="2:16" x14ac:dyDescent="0.2">
      <c r="C95" s="2479" t="s">
        <v>1421</v>
      </c>
      <c r="E95" s="2479" t="str">
        <f>Preferences.moneyunits</f>
        <v>N</v>
      </c>
      <c r="F95" s="1262">
        <f t="shared" ref="F95:N95" si="30">SUM(F93:F94)</f>
        <v>0</v>
      </c>
      <c r="G95" s="1262">
        <f t="shared" si="30"/>
        <v>0</v>
      </c>
      <c r="H95" s="1262">
        <f t="shared" si="30"/>
        <v>616367610000</v>
      </c>
      <c r="I95" s="1262">
        <f t="shared" si="30"/>
        <v>1035347190000</v>
      </c>
      <c r="J95" s="1262">
        <f t="shared" si="30"/>
        <v>1559341739999.9995</v>
      </c>
      <c r="K95" s="1262">
        <f t="shared" si="30"/>
        <v>2609941305000.0005</v>
      </c>
      <c r="L95" s="1262">
        <f t="shared" si="30"/>
        <v>1559985870000.001</v>
      </c>
      <c r="M95" s="1262">
        <f t="shared" si="30"/>
        <v>2701395434999.999</v>
      </c>
      <c r="N95" s="1262">
        <f t="shared" si="30"/>
        <v>3736755000000</v>
      </c>
    </row>
    <row r="96" spans="2:16" x14ac:dyDescent="0.2">
      <c r="F96" s="1262"/>
      <c r="G96" s="1262"/>
      <c r="H96" s="1262"/>
      <c r="I96" s="1262"/>
      <c r="J96" s="1262"/>
      <c r="K96" s="1262"/>
      <c r="L96" s="1262"/>
      <c r="M96" s="1262"/>
      <c r="N96" s="1262"/>
    </row>
    <row r="97" spans="2:17" x14ac:dyDescent="0.2">
      <c r="B97" s="2479" t="s">
        <v>1422</v>
      </c>
      <c r="F97" s="1262"/>
      <c r="G97" s="1262"/>
      <c r="H97" s="1262"/>
      <c r="I97" s="1262"/>
      <c r="J97" s="1262"/>
      <c r="K97" s="1262"/>
      <c r="L97" s="1262"/>
      <c r="M97" s="1262"/>
      <c r="N97" s="1262"/>
    </row>
    <row r="98" spans="2:17" x14ac:dyDescent="0.2">
      <c r="C98" s="2479" t="s">
        <v>1418</v>
      </c>
      <c r="E98" s="2479" t="str">
        <f>Preferences.moneyunits</f>
        <v>N</v>
      </c>
      <c r="F98" s="1262">
        <f t="shared" ref="F98:N98" si="31">F85*F$46</f>
        <v>0</v>
      </c>
      <c r="G98" s="1262">
        <f t="shared" si="31"/>
        <v>0</v>
      </c>
      <c r="H98" s="1262">
        <f t="shared" si="31"/>
        <v>704400000000</v>
      </c>
      <c r="I98" s="1262">
        <f t="shared" si="31"/>
        <v>1183200000000</v>
      </c>
      <c r="J98" s="1262">
        <f t="shared" si="31"/>
        <v>1781999999999.9993</v>
      </c>
      <c r="K98" s="1262">
        <f t="shared" si="31"/>
        <v>2982600000000.0005</v>
      </c>
      <c r="L98" s="1262">
        <f t="shared" si="31"/>
        <v>1782600000000.0012</v>
      </c>
      <c r="M98" s="1262">
        <f t="shared" si="31"/>
        <v>3086999999999.9985</v>
      </c>
      <c r="N98" s="1262">
        <f t="shared" si="31"/>
        <v>4270200000000.0005</v>
      </c>
    </row>
    <row r="99" spans="2:17" x14ac:dyDescent="0.2">
      <c r="C99" s="2479" t="s">
        <v>1419</v>
      </c>
      <c r="E99" s="2479" t="str">
        <f>Preferences.moneyunits</f>
        <v>N</v>
      </c>
      <c r="F99" s="1262">
        <f t="shared" ref="F99:N99" si="32">F81*F53</f>
        <v>0</v>
      </c>
      <c r="G99" s="1262">
        <f t="shared" si="32"/>
        <v>0</v>
      </c>
      <c r="H99" s="1262">
        <f t="shared" si="32"/>
        <v>20251500.000000004</v>
      </c>
      <c r="I99" s="1262">
        <f t="shared" si="32"/>
        <v>54268500.000000015</v>
      </c>
      <c r="J99" s="1262">
        <f t="shared" si="32"/>
        <v>105501000</v>
      </c>
      <c r="K99" s="1262">
        <f t="shared" si="32"/>
        <v>191250750.00000003</v>
      </c>
      <c r="L99" s="1262">
        <f t="shared" si="32"/>
        <v>242500500.00000009</v>
      </c>
      <c r="M99" s="1262">
        <f t="shared" si="32"/>
        <v>311000250.00000006</v>
      </c>
      <c r="N99" s="1262">
        <f t="shared" si="32"/>
        <v>379500000.00000006</v>
      </c>
      <c r="P99" s="1245"/>
    </row>
    <row r="100" spans="2:17" x14ac:dyDescent="0.2">
      <c r="C100" s="2479" t="s">
        <v>1421</v>
      </c>
      <c r="E100" s="2479" t="str">
        <f>Preferences.moneyunits</f>
        <v>N</v>
      </c>
      <c r="F100" s="1262">
        <f t="shared" ref="F100:N100" si="33">SUM(F98:F99)</f>
        <v>0</v>
      </c>
      <c r="G100" s="1262">
        <f t="shared" si="33"/>
        <v>0</v>
      </c>
      <c r="H100" s="1262">
        <f t="shared" si="33"/>
        <v>704420251500</v>
      </c>
      <c r="I100" s="1262">
        <f t="shared" si="33"/>
        <v>1183254268500</v>
      </c>
      <c r="J100" s="1262">
        <f t="shared" si="33"/>
        <v>1782105500999.9993</v>
      </c>
      <c r="K100" s="1262">
        <f t="shared" si="33"/>
        <v>2982791250750.0005</v>
      </c>
      <c r="L100" s="1262">
        <f t="shared" si="33"/>
        <v>1782842500500.0012</v>
      </c>
      <c r="M100" s="1262">
        <f t="shared" si="33"/>
        <v>3087311000249.9985</v>
      </c>
      <c r="N100" s="1262">
        <f t="shared" si="33"/>
        <v>4270579500000.0005</v>
      </c>
      <c r="P100" s="1245"/>
    </row>
    <row r="101" spans="2:17" x14ac:dyDescent="0.2">
      <c r="Q101" s="1245"/>
    </row>
    <row r="102" spans="2:17" ht="15.75" x14ac:dyDescent="0.2">
      <c r="B102" s="468" t="s">
        <v>236</v>
      </c>
      <c r="C102" s="421"/>
      <c r="D102" s="421"/>
      <c r="E102" s="421"/>
      <c r="F102" s="421"/>
      <c r="G102" s="421"/>
      <c r="H102" s="421"/>
      <c r="I102" s="421"/>
      <c r="J102" s="421"/>
      <c r="K102" s="421"/>
      <c r="L102" s="421"/>
      <c r="M102" s="421"/>
      <c r="N102" s="421"/>
      <c r="O102" s="421"/>
      <c r="P102" s="423"/>
      <c r="Q102" s="1245"/>
    </row>
    <row r="103" spans="2:17" x14ac:dyDescent="0.2">
      <c r="B103" s="410"/>
      <c r="C103" s="412"/>
      <c r="D103" s="412"/>
      <c r="E103" s="412"/>
      <c r="F103" s="412"/>
      <c r="G103" s="412"/>
      <c r="H103" s="412"/>
      <c r="I103" s="412"/>
      <c r="J103" s="412"/>
      <c r="K103" s="412"/>
      <c r="L103" s="412"/>
      <c r="M103" s="412"/>
      <c r="N103" s="412"/>
      <c r="O103" s="412"/>
      <c r="P103" s="414"/>
      <c r="Q103" s="1245"/>
    </row>
    <row r="104" spans="2:17" x14ac:dyDescent="0.2">
      <c r="B104" s="410"/>
      <c r="C104" s="424" t="s">
        <v>277</v>
      </c>
      <c r="D104" s="412"/>
      <c r="E104" s="413"/>
      <c r="F104" s="412"/>
      <c r="G104" s="413"/>
      <c r="H104" s="412"/>
      <c r="I104" s="412"/>
      <c r="J104" s="412"/>
      <c r="K104" s="412"/>
      <c r="L104" s="412"/>
      <c r="M104" s="412"/>
      <c r="N104" s="412"/>
      <c r="O104" s="413" t="str">
        <f>Preferences.EnergyUnits</f>
        <v>TWh</v>
      </c>
      <c r="P104" s="414"/>
      <c r="Q104" s="1245"/>
    </row>
    <row r="105" spans="2:17" x14ac:dyDescent="0.2">
      <c r="B105" s="410"/>
      <c r="C105" s="412"/>
      <c r="D105" s="412"/>
      <c r="E105" s="412"/>
      <c r="F105" s="412"/>
      <c r="G105" s="412"/>
      <c r="H105" s="412"/>
      <c r="I105" s="412"/>
      <c r="J105" s="412"/>
      <c r="K105" s="412"/>
      <c r="L105" s="412"/>
      <c r="M105" s="412"/>
      <c r="N105" s="412"/>
      <c r="O105" s="412"/>
      <c r="P105" s="414"/>
      <c r="Q105" s="1245"/>
    </row>
    <row r="106" spans="2:17" ht="15.75" x14ac:dyDescent="0.25">
      <c r="B106" s="415"/>
      <c r="C106" s="426" t="s">
        <v>64</v>
      </c>
      <c r="D106" s="426" t="s">
        <v>150</v>
      </c>
      <c r="E106" s="426" t="s">
        <v>172</v>
      </c>
      <c r="F106" s="426" t="s">
        <v>241</v>
      </c>
      <c r="G106" s="426" t="s">
        <v>268</v>
      </c>
      <c r="H106" s="426" t="s">
        <v>269</v>
      </c>
      <c r="I106" s="426" t="s">
        <v>270</v>
      </c>
      <c r="J106" s="426" t="s">
        <v>271</v>
      </c>
      <c r="K106" s="426" t="s">
        <v>272</v>
      </c>
      <c r="L106" s="426" t="s">
        <v>273</v>
      </c>
      <c r="M106" s="426" t="s">
        <v>274</v>
      </c>
      <c r="N106" s="426" t="s">
        <v>275</v>
      </c>
      <c r="O106" s="414"/>
      <c r="P106" s="1245"/>
    </row>
    <row r="107" spans="2:17" ht="15.75" x14ac:dyDescent="0.25">
      <c r="B107" s="415"/>
      <c r="C107" s="97" t="s">
        <v>35</v>
      </c>
      <c r="D107" s="97" t="str">
        <f>INDEX(Vectors[Description], MATCH(III.f.Outputs[Vector],Vectors[Code], 0))</f>
        <v>Electricity (supplied to grid)</v>
      </c>
      <c r="E107" s="97"/>
      <c r="F107" s="241">
        <f t="shared" ref="F107:N107" si="34">F$71</f>
        <v>0</v>
      </c>
      <c r="G107" s="241">
        <f t="shared" si="34"/>
        <v>0</v>
      </c>
      <c r="H107" s="241">
        <f t="shared" si="34"/>
        <v>10.8058482</v>
      </c>
      <c r="I107" s="241">
        <f t="shared" si="34"/>
        <v>28.956727799999999</v>
      </c>
      <c r="J107" s="241">
        <f t="shared" si="34"/>
        <v>56.293498799999988</v>
      </c>
      <c r="K107" s="241">
        <f t="shared" si="34"/>
        <v>102.04807409999999</v>
      </c>
      <c r="L107" s="241">
        <f t="shared" si="34"/>
        <v>129.39404940000003</v>
      </c>
      <c r="M107" s="241">
        <f t="shared" si="34"/>
        <v>165.94432469999998</v>
      </c>
      <c r="N107" s="241">
        <f t="shared" si="34"/>
        <v>202.49459999999999</v>
      </c>
      <c r="O107" s="414"/>
      <c r="P107" s="1245"/>
    </row>
    <row r="108" spans="2:17" ht="15.75" x14ac:dyDescent="0.25">
      <c r="B108" s="415"/>
      <c r="C108" s="97" t="s">
        <v>25</v>
      </c>
      <c r="D108" s="97" t="str">
        <f>INDEX(Vectors[Description], MATCH(III.f.Outputs[Vector],Vectors[Code], 0))</f>
        <v>Solar</v>
      </c>
      <c r="E108" s="97"/>
      <c r="F108" s="241">
        <f t="shared" ref="F108:N108" si="35">-F$71</f>
        <v>0</v>
      </c>
      <c r="G108" s="241">
        <f t="shared" si="35"/>
        <v>0</v>
      </c>
      <c r="H108" s="241">
        <f t="shared" si="35"/>
        <v>-10.8058482</v>
      </c>
      <c r="I108" s="241">
        <f t="shared" si="35"/>
        <v>-28.956727799999999</v>
      </c>
      <c r="J108" s="241">
        <f t="shared" si="35"/>
        <v>-56.293498799999988</v>
      </c>
      <c r="K108" s="241">
        <f t="shared" si="35"/>
        <v>-102.04807409999999</v>
      </c>
      <c r="L108" s="241">
        <f t="shared" si="35"/>
        <v>-129.39404940000003</v>
      </c>
      <c r="M108" s="241">
        <f t="shared" si="35"/>
        <v>-165.94432469999998</v>
      </c>
      <c r="N108" s="241">
        <f t="shared" si="35"/>
        <v>-202.49459999999999</v>
      </c>
      <c r="O108" s="414"/>
      <c r="P108" s="1245"/>
    </row>
    <row r="109" spans="2:17" ht="15.75" x14ac:dyDescent="0.25">
      <c r="B109" s="415"/>
      <c r="C109" s="97" t="s">
        <v>105</v>
      </c>
      <c r="D109" s="97"/>
      <c r="E109" s="97"/>
      <c r="F109" s="97">
        <f>SUBTOTAL(109,III.f.Outputs[2010])</f>
        <v>0</v>
      </c>
      <c r="G109" s="97">
        <f>SUBTOTAL(109,III.f.Outputs[2015])</f>
        <v>0</v>
      </c>
      <c r="H109" s="97">
        <f>SUBTOTAL(109,III.f.Outputs[2020])</f>
        <v>0</v>
      </c>
      <c r="I109" s="97">
        <f>SUBTOTAL(109,III.f.Outputs[2025])</f>
        <v>0</v>
      </c>
      <c r="J109" s="97">
        <f>SUBTOTAL(109,III.f.Outputs[2030])</f>
        <v>0</v>
      </c>
      <c r="K109" s="97">
        <f>SUBTOTAL(109,III.f.Outputs[2035])</f>
        <v>0</v>
      </c>
      <c r="L109" s="97">
        <f>SUBTOTAL(109,III.f.Outputs[2040])</f>
        <v>0</v>
      </c>
      <c r="M109" s="97">
        <f>SUBTOTAL(109,III.f.Outputs[2045])</f>
        <v>0</v>
      </c>
      <c r="N109" s="97">
        <f>SUBTOTAL(109,III.f.Outputs[2050])</f>
        <v>0</v>
      </c>
      <c r="O109" s="414"/>
      <c r="P109" s="1245"/>
    </row>
    <row r="110" spans="2:17" ht="15.75" x14ac:dyDescent="0.25">
      <c r="B110" s="416"/>
      <c r="C110" s="417"/>
      <c r="D110" s="417"/>
      <c r="E110" s="417"/>
      <c r="F110" s="417"/>
      <c r="G110" s="417"/>
      <c r="H110" s="417"/>
      <c r="I110" s="417"/>
      <c r="J110" s="417"/>
      <c r="K110" s="417"/>
      <c r="L110" s="417"/>
      <c r="M110" s="417"/>
      <c r="N110" s="417"/>
      <c r="O110" s="417"/>
      <c r="P110" s="419"/>
      <c r="Q110" s="1245"/>
    </row>
    <row r="112" spans="2:17" ht="15.75" x14ac:dyDescent="0.2">
      <c r="B112" s="1430" t="s">
        <v>1225</v>
      </c>
      <c r="C112" s="1218"/>
      <c r="D112" s="1431"/>
      <c r="E112" s="1431"/>
      <c r="F112" s="1431"/>
      <c r="G112" s="1431"/>
      <c r="H112" s="1431"/>
      <c r="I112" s="1431"/>
      <c r="J112" s="1431"/>
      <c r="K112" s="1431"/>
      <c r="L112" s="1431"/>
      <c r="M112" s="1431"/>
      <c r="N112" s="1431"/>
      <c r="O112" s="1431"/>
      <c r="P112" s="1432"/>
    </row>
    <row r="113" spans="2:16" x14ac:dyDescent="0.2">
      <c r="B113" s="1219"/>
      <c r="C113" s="1220"/>
      <c r="D113" s="1220"/>
      <c r="E113" s="1220"/>
      <c r="F113" s="1220"/>
      <c r="G113" s="1220"/>
      <c r="H113" s="1220"/>
      <c r="I113" s="1220"/>
      <c r="J113" s="1220"/>
      <c r="K113" s="1220"/>
      <c r="L113" s="1220"/>
      <c r="M113" s="1220"/>
      <c r="N113" s="1220"/>
      <c r="O113" s="1220"/>
      <c r="P113" s="1221"/>
    </row>
    <row r="114" spans="2:16" x14ac:dyDescent="0.2">
      <c r="B114" s="1433"/>
      <c r="C114" s="1222" t="s">
        <v>1230</v>
      </c>
      <c r="D114" s="1434"/>
      <c r="E114" s="1223"/>
      <c r="F114" s="1434"/>
      <c r="G114" s="1223"/>
      <c r="H114" s="1434"/>
      <c r="I114" s="1434"/>
      <c r="J114" s="1434"/>
      <c r="K114" s="1434"/>
      <c r="L114" s="1434"/>
      <c r="M114" s="1434"/>
      <c r="N114" s="1434"/>
      <c r="O114" s="1223"/>
      <c r="P114" s="1435"/>
    </row>
    <row r="115" spans="2:16" collapsed="1" x14ac:dyDescent="0.2">
      <c r="B115" s="1433"/>
      <c r="C115" s="1434"/>
      <c r="D115" s="1434"/>
      <c r="E115" s="1434"/>
      <c r="F115" s="1434"/>
      <c r="G115" s="1434"/>
      <c r="H115" s="1434"/>
      <c r="I115" s="1434"/>
      <c r="J115" s="1434"/>
      <c r="K115" s="1434"/>
      <c r="L115" s="1434"/>
      <c r="M115" s="1434"/>
      <c r="N115" s="1434"/>
      <c r="O115" s="1434"/>
      <c r="P115" s="1435"/>
    </row>
    <row r="116" spans="2:16" ht="15.75" x14ac:dyDescent="0.25">
      <c r="B116" s="1436"/>
      <c r="C116" s="1437" t="s">
        <v>64</v>
      </c>
      <c r="D116" s="1437" t="s">
        <v>1226</v>
      </c>
      <c r="E116" s="1437" t="s">
        <v>172</v>
      </c>
      <c r="F116" s="1437" t="s">
        <v>241</v>
      </c>
      <c r="G116" s="1437" t="s">
        <v>268</v>
      </c>
      <c r="H116" s="1437" t="s">
        <v>269</v>
      </c>
      <c r="I116" s="1437" t="s">
        <v>270</v>
      </c>
      <c r="J116" s="1437" t="s">
        <v>271</v>
      </c>
      <c r="K116" s="1437" t="s">
        <v>272</v>
      </c>
      <c r="L116" s="1437" t="s">
        <v>273</v>
      </c>
      <c r="M116" s="1437" t="s">
        <v>274</v>
      </c>
      <c r="N116" s="1437" t="s">
        <v>275</v>
      </c>
      <c r="O116" s="1435"/>
    </row>
    <row r="117" spans="2:16" ht="15.75" x14ac:dyDescent="0.25">
      <c r="B117" s="1436"/>
      <c r="C117" s="1438" t="s">
        <v>1227</v>
      </c>
      <c r="D117" s="1438" t="s">
        <v>1300</v>
      </c>
      <c r="E117" s="1439" t="str">
        <f>Preferences.AreaUnits</f>
        <v>km^2</v>
      </c>
      <c r="F117" s="1226">
        <f t="shared" ref="F117:N117" si="36">F76*Unit.m2</f>
        <v>0</v>
      </c>
      <c r="G117" s="1226">
        <f t="shared" si="36"/>
        <v>0</v>
      </c>
      <c r="H117" s="1226">
        <f t="shared" si="36"/>
        <v>6.400311526479749</v>
      </c>
      <c r="I117" s="1226">
        <f t="shared" si="36"/>
        <v>17.151090342679122</v>
      </c>
      <c r="J117" s="1226">
        <f t="shared" si="36"/>
        <v>33.342679127725845</v>
      </c>
      <c r="K117" s="1226">
        <f t="shared" si="36"/>
        <v>60.443146417445462</v>
      </c>
      <c r="L117" s="1226">
        <f t="shared" si="36"/>
        <v>76.640186915887838</v>
      </c>
      <c r="M117" s="1226">
        <f t="shared" si="36"/>
        <v>98.288940809968807</v>
      </c>
      <c r="N117" s="1226">
        <f t="shared" si="36"/>
        <v>119.9376947040498</v>
      </c>
      <c r="O117" s="1435"/>
    </row>
    <row r="118" spans="2:16" ht="15.75" x14ac:dyDescent="0.25">
      <c r="B118" s="1436"/>
      <c r="C118" s="1438" t="s">
        <v>1232</v>
      </c>
      <c r="D118" s="1439" t="str">
        <f>INDEX(Vectors[Description], MATCH(III.f.info[Vector], Vectors[Code], 0))</f>
        <v xml:space="preserve">Installed Capacity </v>
      </c>
      <c r="E118" s="1439" t="str">
        <f>Preferences.PowerUnits</f>
        <v>GW</v>
      </c>
      <c r="F118" s="1226">
        <f t="shared" ref="F118:N118" si="37">F63</f>
        <v>0</v>
      </c>
      <c r="G118" s="1226">
        <f t="shared" si="37"/>
        <v>0</v>
      </c>
      <c r="H118" s="1226">
        <f t="shared" si="37"/>
        <v>5.87</v>
      </c>
      <c r="I118" s="1226">
        <f t="shared" si="37"/>
        <v>15.73</v>
      </c>
      <c r="J118" s="1226">
        <f t="shared" si="37"/>
        <v>30.58</v>
      </c>
      <c r="K118" s="1226">
        <f t="shared" si="37"/>
        <v>55.435000000000002</v>
      </c>
      <c r="L118" s="1226">
        <f t="shared" si="37"/>
        <v>70.290000000000006</v>
      </c>
      <c r="M118" s="1226">
        <f t="shared" si="37"/>
        <v>90.144999999999996</v>
      </c>
      <c r="N118" s="1226">
        <f t="shared" si="37"/>
        <v>110</v>
      </c>
      <c r="O118" s="1435"/>
    </row>
    <row r="119" spans="2:16" ht="6" customHeight="1" x14ac:dyDescent="0.25">
      <c r="B119" s="1227"/>
      <c r="C119" s="1440"/>
      <c r="D119" s="1440"/>
      <c r="E119" s="1440"/>
      <c r="F119" s="1440"/>
      <c r="G119" s="1440"/>
      <c r="H119" s="1440"/>
      <c r="I119" s="1440"/>
      <c r="J119" s="1440"/>
      <c r="K119" s="1440"/>
      <c r="L119" s="1440"/>
      <c r="M119" s="1440"/>
      <c r="N119" s="1440"/>
      <c r="O119" s="1440"/>
      <c r="P119" s="1224"/>
    </row>
    <row r="121" spans="2:16" ht="15.75" x14ac:dyDescent="0.2">
      <c r="B121" s="1430" t="s">
        <v>1424</v>
      </c>
      <c r="C121" s="1431"/>
      <c r="D121" s="1431"/>
      <c r="E121" s="1431"/>
      <c r="F121" s="1431"/>
      <c r="G121" s="1431"/>
      <c r="H121" s="1431"/>
      <c r="I121" s="1431"/>
      <c r="J121" s="1431"/>
      <c r="K121" s="1431"/>
      <c r="L121" s="1431"/>
      <c r="M121" s="1431"/>
      <c r="N121" s="1431"/>
      <c r="O121" s="1431"/>
      <c r="P121" s="1432"/>
    </row>
    <row r="122" spans="2:16" x14ac:dyDescent="0.2">
      <c r="B122" s="1433"/>
      <c r="C122" s="1434"/>
      <c r="D122" s="1434"/>
      <c r="E122" s="1434"/>
      <c r="F122" s="1434"/>
      <c r="G122" s="1434"/>
      <c r="H122" s="1434"/>
      <c r="I122" s="1434"/>
      <c r="J122" s="1434"/>
      <c r="K122" s="1434"/>
      <c r="L122" s="1434"/>
      <c r="M122" s="1434"/>
      <c r="N122" s="1434"/>
      <c r="O122" s="1434"/>
      <c r="P122" s="1435"/>
    </row>
    <row r="123" spans="2:16" x14ac:dyDescent="0.2">
      <c r="B123" s="1433"/>
      <c r="C123" s="1441" t="s">
        <v>1425</v>
      </c>
      <c r="D123" s="1442"/>
      <c r="E123" s="1442"/>
      <c r="F123" s="1442"/>
      <c r="G123" s="1442"/>
      <c r="H123" s="1442"/>
      <c r="I123" s="1442"/>
      <c r="J123" s="1442"/>
      <c r="K123" s="1442"/>
      <c r="L123" s="1442"/>
      <c r="M123" s="1442"/>
      <c r="N123" s="1442"/>
      <c r="O123" s="1479" t="str">
        <f>Preferences.moneyunits</f>
        <v>N</v>
      </c>
      <c r="P123" s="1435"/>
    </row>
    <row r="124" spans="2:16" ht="4.5" customHeight="1" x14ac:dyDescent="0.2">
      <c r="B124" s="1433"/>
      <c r="C124" s="1434"/>
      <c r="D124" s="1434"/>
      <c r="E124" s="1434"/>
      <c r="F124" s="1434"/>
      <c r="G124" s="1434"/>
      <c r="H124" s="1434"/>
      <c r="I124" s="1434"/>
      <c r="J124" s="1434"/>
      <c r="K124" s="1434"/>
      <c r="L124" s="1434"/>
      <c r="M124" s="1434"/>
      <c r="N124" s="1434"/>
      <c r="O124" s="1434"/>
      <c r="P124" s="1435"/>
    </row>
    <row r="125" spans="2:16" ht="15.75" x14ac:dyDescent="0.25">
      <c r="B125" s="1436"/>
      <c r="C125" s="1437" t="s">
        <v>64</v>
      </c>
      <c r="D125" s="1437" t="s">
        <v>150</v>
      </c>
      <c r="E125" s="1437" t="s">
        <v>172</v>
      </c>
      <c r="F125" s="1437" t="s">
        <v>241</v>
      </c>
      <c r="G125" s="1437" t="s">
        <v>268</v>
      </c>
      <c r="H125" s="1437" t="s">
        <v>269</v>
      </c>
      <c r="I125" s="1437" t="s">
        <v>270</v>
      </c>
      <c r="J125" s="1437" t="s">
        <v>271</v>
      </c>
      <c r="K125" s="1437" t="s">
        <v>272</v>
      </c>
      <c r="L125" s="1437" t="s">
        <v>273</v>
      </c>
      <c r="M125" s="1437" t="s">
        <v>274</v>
      </c>
      <c r="N125" s="1437" t="s">
        <v>275</v>
      </c>
      <c r="O125" s="1443"/>
    </row>
    <row r="126" spans="2:16" ht="21.75" customHeight="1" x14ac:dyDescent="0.25">
      <c r="B126" s="1436"/>
      <c r="C126" s="1438" t="s">
        <v>1382</v>
      </c>
      <c r="D126" s="1439" t="str">
        <f>INDEX(CostVectors[Description], MATCH(C126, CostVectors[Code], 0))</f>
        <v>Low estimate of capital costs</v>
      </c>
      <c r="E126" s="1439"/>
      <c r="F126" s="1448">
        <f t="shared" ref="F126:N127" si="38">F88</f>
        <v>0</v>
      </c>
      <c r="G126" s="1448">
        <f t="shared" si="38"/>
        <v>0</v>
      </c>
      <c r="H126" s="1448">
        <f t="shared" si="38"/>
        <v>528300000000</v>
      </c>
      <c r="I126" s="1448">
        <f t="shared" si="38"/>
        <v>887400000000</v>
      </c>
      <c r="J126" s="1448">
        <f t="shared" si="38"/>
        <v>1336499999999.9995</v>
      </c>
      <c r="K126" s="1448">
        <f t="shared" si="38"/>
        <v>2236950000000.0005</v>
      </c>
      <c r="L126" s="1448">
        <f t="shared" si="38"/>
        <v>1336950000000.001</v>
      </c>
      <c r="M126" s="1448">
        <f t="shared" si="38"/>
        <v>2315249999999.999</v>
      </c>
      <c r="N126" s="1448">
        <f t="shared" si="38"/>
        <v>3202650000000</v>
      </c>
      <c r="O126" s="1443"/>
    </row>
    <row r="127" spans="2:16" ht="15.75" x14ac:dyDescent="0.25">
      <c r="B127" s="1436"/>
      <c r="C127" s="1438" t="s">
        <v>1384</v>
      </c>
      <c r="D127" s="1439" t="str">
        <f>INDEX(CostVectors[Description], MATCH(C127, CostVectors[Code], 0))</f>
        <v>Low estimate of operating costs</v>
      </c>
      <c r="E127" s="1439"/>
      <c r="F127" s="1448">
        <f t="shared" si="38"/>
        <v>0</v>
      </c>
      <c r="G127" s="1448">
        <f t="shared" si="38"/>
        <v>0</v>
      </c>
      <c r="H127" s="1448">
        <f>H89</f>
        <v>13207500</v>
      </c>
      <c r="I127" s="1448">
        <f t="shared" si="38"/>
        <v>35392500</v>
      </c>
      <c r="J127" s="1448">
        <f t="shared" si="38"/>
        <v>68804999.999999985</v>
      </c>
      <c r="K127" s="1448">
        <f t="shared" si="38"/>
        <v>124728750</v>
      </c>
      <c r="L127" s="1448">
        <f t="shared" si="38"/>
        <v>158152500.00000003</v>
      </c>
      <c r="M127" s="1448">
        <f t="shared" si="38"/>
        <v>202826250</v>
      </c>
      <c r="N127" s="1448">
        <f t="shared" si="38"/>
        <v>247500000</v>
      </c>
      <c r="O127" s="1443"/>
    </row>
    <row r="128" spans="2:16" ht="15.75" x14ac:dyDescent="0.25">
      <c r="B128" s="1436"/>
      <c r="C128" s="1438" t="s">
        <v>1866</v>
      </c>
      <c r="D128" s="1439" t="str">
        <f>INDEX(CostVectors[Description], MATCH(C128, CostVectors[Code], 0))</f>
        <v>Point estimate of capital costs</v>
      </c>
      <c r="E128" s="1439"/>
      <c r="F128" s="1448">
        <f t="shared" ref="F128:N129" si="39">F93</f>
        <v>0</v>
      </c>
      <c r="G128" s="1448">
        <f t="shared" si="39"/>
        <v>0</v>
      </c>
      <c r="H128" s="1448">
        <f t="shared" si="39"/>
        <v>616350000000</v>
      </c>
      <c r="I128" s="1448">
        <f t="shared" si="39"/>
        <v>1035300000000</v>
      </c>
      <c r="J128" s="1448">
        <f t="shared" si="39"/>
        <v>1559249999999.9995</v>
      </c>
      <c r="K128" s="1448">
        <f t="shared" si="39"/>
        <v>2609775000000.0005</v>
      </c>
      <c r="L128" s="1448">
        <f t="shared" si="39"/>
        <v>1559775000000.001</v>
      </c>
      <c r="M128" s="1448">
        <f t="shared" si="39"/>
        <v>2701124999999.999</v>
      </c>
      <c r="N128" s="1448">
        <f t="shared" si="39"/>
        <v>3736425000000</v>
      </c>
      <c r="O128" s="1443"/>
    </row>
    <row r="129" spans="2:16" ht="17.25" customHeight="1" x14ac:dyDescent="0.25">
      <c r="B129" s="1436"/>
      <c r="C129" s="1438" t="s">
        <v>1868</v>
      </c>
      <c r="D129" s="1439" t="str">
        <f>INDEX(CostVectors[Description], MATCH(C129, CostVectors[Code], 0))</f>
        <v>Point estimate of operating costs</v>
      </c>
      <c r="E129" s="1439"/>
      <c r="F129" s="1448">
        <f t="shared" si="39"/>
        <v>0</v>
      </c>
      <c r="G129" s="1448">
        <f t="shared" si="39"/>
        <v>0</v>
      </c>
      <c r="H129" s="1448">
        <f t="shared" si="39"/>
        <v>17610000</v>
      </c>
      <c r="I129" s="1448">
        <f t="shared" si="39"/>
        <v>47190000</v>
      </c>
      <c r="J129" s="1448">
        <f t="shared" si="39"/>
        <v>91739999.999999985</v>
      </c>
      <c r="K129" s="1448">
        <f t="shared" si="39"/>
        <v>166305000</v>
      </c>
      <c r="L129" s="1448">
        <f t="shared" si="39"/>
        <v>210870000.00000003</v>
      </c>
      <c r="M129" s="1448">
        <f t="shared" si="39"/>
        <v>270435000</v>
      </c>
      <c r="N129" s="1448">
        <f>N94</f>
        <v>330000000</v>
      </c>
      <c r="O129" s="1443"/>
    </row>
    <row r="130" spans="2:16" ht="14.25" x14ac:dyDescent="0.2">
      <c r="B130" s="1444"/>
      <c r="C130" s="1438" t="s">
        <v>1391</v>
      </c>
      <c r="D130" s="1439" t="str">
        <f>INDEX(CostVectors[Description], MATCH(C130, CostVectors[Code], 0))</f>
        <v>High estimate of capital costs</v>
      </c>
      <c r="E130" s="1439"/>
      <c r="F130" s="1448">
        <f t="shared" ref="F130:N131" si="40">F98</f>
        <v>0</v>
      </c>
      <c r="G130" s="1448">
        <f t="shared" si="40"/>
        <v>0</v>
      </c>
      <c r="H130" s="1448">
        <f t="shared" si="40"/>
        <v>704400000000</v>
      </c>
      <c r="I130" s="1448">
        <f t="shared" si="40"/>
        <v>1183200000000</v>
      </c>
      <c r="J130" s="1448">
        <f t="shared" si="40"/>
        <v>1781999999999.9993</v>
      </c>
      <c r="K130" s="1448">
        <f t="shared" si="40"/>
        <v>2982600000000.0005</v>
      </c>
      <c r="L130" s="1448">
        <f t="shared" si="40"/>
        <v>1782600000000.0012</v>
      </c>
      <c r="M130" s="1448">
        <f t="shared" si="40"/>
        <v>3086999999999.9985</v>
      </c>
      <c r="N130" s="1448">
        <f t="shared" si="40"/>
        <v>4270200000000.0005</v>
      </c>
      <c r="O130" s="1445"/>
    </row>
    <row r="131" spans="2:16" ht="14.25" x14ac:dyDescent="0.2">
      <c r="B131" s="1444"/>
      <c r="C131" s="1438" t="s">
        <v>1393</v>
      </c>
      <c r="D131" s="1439" t="str">
        <f>INDEX(CostVectors[Description], MATCH(C131, CostVectors[Code], 0))</f>
        <v>High estimate of operating costs</v>
      </c>
      <c r="E131" s="1439"/>
      <c r="F131" s="1448">
        <f t="shared" si="40"/>
        <v>0</v>
      </c>
      <c r="G131" s="1448">
        <f t="shared" si="40"/>
        <v>0</v>
      </c>
      <c r="H131" s="1448">
        <f t="shared" si="40"/>
        <v>20251500.000000004</v>
      </c>
      <c r="I131" s="1448">
        <f t="shared" si="40"/>
        <v>54268500.000000015</v>
      </c>
      <c r="J131" s="1448">
        <f t="shared" si="40"/>
        <v>105501000</v>
      </c>
      <c r="K131" s="1448">
        <f t="shared" si="40"/>
        <v>191250750.00000003</v>
      </c>
      <c r="L131" s="1448">
        <f t="shared" si="40"/>
        <v>242500500.00000009</v>
      </c>
      <c r="M131" s="1448">
        <f t="shared" si="40"/>
        <v>311000250.00000006</v>
      </c>
      <c r="N131" s="1448">
        <f t="shared" si="40"/>
        <v>379500000.00000006</v>
      </c>
      <c r="O131" s="1445"/>
    </row>
    <row r="132" spans="2:16" ht="14.25" x14ac:dyDescent="0.2">
      <c r="B132" s="1446"/>
      <c r="C132" s="1440"/>
      <c r="D132" s="1440"/>
      <c r="E132" s="1440"/>
      <c r="F132" s="1440"/>
      <c r="G132" s="1440"/>
      <c r="H132" s="1440"/>
      <c r="I132" s="1440"/>
      <c r="J132" s="1440"/>
      <c r="K132" s="1440"/>
      <c r="L132" s="1440"/>
      <c r="M132" s="1440"/>
      <c r="N132" s="1440"/>
      <c r="O132" s="1440"/>
      <c r="P132" s="1447"/>
    </row>
  </sheetData>
  <pageMargins left="0.7" right="0.7" top="0.75" bottom="0.75" header="0.3" footer="0.3"/>
  <pageSetup paperSize="9" orientation="portrait"/>
  <tableParts count="3">
    <tablePart r:id="rId1"/>
    <tablePart r:id="rId2"/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outlinePr summaryBelow="0"/>
    <pageSetUpPr autoPageBreaks="0"/>
  </sheetPr>
  <dimension ref="A1:Q134"/>
  <sheetViews>
    <sheetView windowProtection="1" zoomScaleNormal="100" workbookViewId="0"/>
  </sheetViews>
  <sheetFormatPr defaultColWidth="8.7109375" defaultRowHeight="12.75" x14ac:dyDescent="0.2"/>
  <cols>
    <col min="1" max="1" width="7.7109375" style="2479" customWidth="1"/>
    <col min="2" max="2" width="5.7109375" style="2479" customWidth="1"/>
    <col min="3" max="3" width="20.42578125" style="2479" customWidth="1"/>
    <col min="4" max="4" width="30.7109375" style="2479" customWidth="1"/>
    <col min="5" max="5" width="20.7109375" style="2479" customWidth="1"/>
    <col min="6" max="15" width="17.7109375" style="2479" customWidth="1"/>
    <col min="16" max="16" width="2" style="2479" customWidth="1"/>
    <col min="17" max="17" width="10.7109375" style="2479" customWidth="1"/>
    <col min="18" max="16384" width="8.7109375" style="2479"/>
  </cols>
  <sheetData>
    <row r="1" spans="1:16" ht="21" x14ac:dyDescent="0.35">
      <c r="A1" s="119" t="s">
        <v>62</v>
      </c>
      <c r="B1" s="119" t="str">
        <f>INDEX(Workstreams[Workstream], MATCH($A1, Workstreams[Code], 0))</f>
        <v>National renewable power generation</v>
      </c>
      <c r="C1" s="119"/>
    </row>
    <row r="2" spans="1:16" s="84" customFormat="1" ht="19.5" customHeight="1" x14ac:dyDescent="0.2">
      <c r="A2" s="6" t="s">
        <v>2376</v>
      </c>
      <c r="B2" s="6" t="str">
        <f>INDEX(Modules[Module], MATCH($A2, Modules[Code], 0))</f>
        <v>Concentrated Solar Power</v>
      </c>
      <c r="C2" s="6"/>
      <c r="E2" s="1380"/>
    </row>
    <row r="4" spans="1:16" ht="22.5" x14ac:dyDescent="0.3">
      <c r="A4" s="1422"/>
      <c r="B4" s="468" t="s">
        <v>596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ht="5.25" customHeight="1" x14ac:dyDescent="0.2">
      <c r="B6" s="410"/>
      <c r="C6" s="411"/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6" ht="15.75" x14ac:dyDescent="0.25">
      <c r="B7" s="415"/>
      <c r="C7" s="412"/>
      <c r="D7" s="216" t="s">
        <v>342</v>
      </c>
      <c r="E7" s="216" t="s">
        <v>595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ht="15.75" x14ac:dyDescent="0.25">
      <c r="B8" s="415"/>
      <c r="C8" s="412"/>
      <c r="D8" s="238" t="s">
        <v>598</v>
      </c>
      <c r="E8" s="238">
        <f>III.g.Scenario</f>
        <v>4</v>
      </c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4"/>
    </row>
    <row r="9" spans="1:16" x14ac:dyDescent="0.2">
      <c r="B9" s="430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9"/>
    </row>
    <row r="11" spans="1:16" ht="22.5" x14ac:dyDescent="0.3">
      <c r="A11" s="1422"/>
      <c r="B11" s="1423" t="s">
        <v>597</v>
      </c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6"/>
    </row>
    <row r="12" spans="1:16" x14ac:dyDescent="0.2">
      <c r="B12" s="1419"/>
      <c r="C12" s="1416"/>
      <c r="D12" s="1416"/>
      <c r="E12" s="1416"/>
      <c r="F12" s="1416"/>
      <c r="G12" s="1416"/>
      <c r="H12" s="1416"/>
      <c r="I12" s="1416"/>
      <c r="J12" s="1416"/>
      <c r="K12" s="1416"/>
      <c r="L12" s="1416"/>
      <c r="M12" s="1416"/>
      <c r="N12" s="1416"/>
      <c r="O12" s="1420"/>
    </row>
    <row r="13" spans="1:16" x14ac:dyDescent="0.2">
      <c r="B13" s="1419"/>
      <c r="C13" s="1417" t="s">
        <v>2359</v>
      </c>
      <c r="D13" s="1416"/>
      <c r="E13" s="176"/>
      <c r="F13" s="1416"/>
      <c r="G13" s="1416"/>
      <c r="H13" s="1416"/>
      <c r="I13" s="1416"/>
      <c r="J13" s="1416"/>
      <c r="K13" s="1416"/>
      <c r="L13" s="1416"/>
      <c r="M13" s="1416"/>
      <c r="N13" s="176" t="str">
        <f>Preferences.PowerUnits</f>
        <v>GW</v>
      </c>
      <c r="O13" s="1420"/>
    </row>
    <row r="14" spans="1:16" ht="5.25" customHeight="1" x14ac:dyDescent="0.2">
      <c r="B14" s="1419"/>
      <c r="C14" s="1416"/>
      <c r="D14" s="1416"/>
      <c r="E14" s="1416"/>
      <c r="F14" s="1416"/>
      <c r="G14" s="1416"/>
      <c r="H14" s="1416"/>
      <c r="I14" s="1416"/>
      <c r="J14" s="1416"/>
      <c r="K14" s="1416"/>
      <c r="L14" s="1416"/>
      <c r="M14" s="1416"/>
      <c r="N14" s="1416"/>
      <c r="O14" s="1420"/>
    </row>
    <row r="15" spans="1:16" ht="15.75" x14ac:dyDescent="0.25">
      <c r="B15" s="397"/>
      <c r="C15" s="98" t="s">
        <v>595</v>
      </c>
      <c r="D15" s="98" t="s">
        <v>65</v>
      </c>
      <c r="E15" s="98" t="s">
        <v>172</v>
      </c>
      <c r="F15" s="218">
        <v>2010</v>
      </c>
      <c r="G15" s="217">
        <v>2015</v>
      </c>
      <c r="H15" s="217">
        <v>2020</v>
      </c>
      <c r="I15" s="217">
        <v>2025</v>
      </c>
      <c r="J15" s="217">
        <v>2030</v>
      </c>
      <c r="K15" s="217">
        <v>2035</v>
      </c>
      <c r="L15" s="217">
        <v>2040</v>
      </c>
      <c r="M15" s="217">
        <v>2045</v>
      </c>
      <c r="N15" s="217">
        <v>2050</v>
      </c>
      <c r="O15" s="1420"/>
    </row>
    <row r="16" spans="1:16" ht="15.75" x14ac:dyDescent="0.2">
      <c r="B16" s="399"/>
      <c r="C16" s="1414">
        <v>1</v>
      </c>
      <c r="D16" s="1415"/>
      <c r="E16" s="146"/>
      <c r="F16" s="1416">
        <f t="shared" ref="F16:N16" si="0">0*Unit.GW</f>
        <v>0</v>
      </c>
      <c r="G16" s="1416">
        <f t="shared" si="0"/>
        <v>0</v>
      </c>
      <c r="H16" s="1416">
        <f t="shared" si="0"/>
        <v>0</v>
      </c>
      <c r="I16" s="1416">
        <f t="shared" si="0"/>
        <v>0</v>
      </c>
      <c r="J16" s="1416">
        <f t="shared" si="0"/>
        <v>0</v>
      </c>
      <c r="K16" s="1416">
        <f t="shared" si="0"/>
        <v>0</v>
      </c>
      <c r="L16" s="1416">
        <f t="shared" si="0"/>
        <v>0</v>
      </c>
      <c r="M16" s="1416">
        <f t="shared" si="0"/>
        <v>0</v>
      </c>
      <c r="N16" s="1416">
        <f t="shared" si="0"/>
        <v>0</v>
      </c>
      <c r="O16" s="400"/>
    </row>
    <row r="17" spans="1:15" ht="15.75" x14ac:dyDescent="0.25">
      <c r="B17" s="397"/>
      <c r="C17" s="1414">
        <v>2</v>
      </c>
      <c r="D17" s="1415"/>
      <c r="E17" s="1415"/>
      <c r="F17" s="1416">
        <f t="shared" ref="F17:G19" si="1">0*Unit.GW</f>
        <v>0</v>
      </c>
      <c r="G17" s="1416">
        <f t="shared" si="1"/>
        <v>0</v>
      </c>
      <c r="H17" s="2106">
        <f>0.143*Unit.GW</f>
        <v>0.14299999999999999</v>
      </c>
      <c r="I17" s="2106">
        <f>0.29*Unit.GW</f>
        <v>0.28999999999999998</v>
      </c>
      <c r="J17" s="2106">
        <f>0.43*Unit.GW</f>
        <v>0.43</v>
      </c>
      <c r="K17" s="2106">
        <f>0.57*Unit.GW</f>
        <v>0.56999999999999995</v>
      </c>
      <c r="L17" s="2106">
        <f>0.714*Unit.GW</f>
        <v>0.71399999999999997</v>
      </c>
      <c r="M17" s="2106">
        <f>0.86*Unit.GW</f>
        <v>0.86</v>
      </c>
      <c r="N17" s="2106">
        <f>1*Unit.GW</f>
        <v>1</v>
      </c>
      <c r="O17" s="1416"/>
    </row>
    <row r="18" spans="1:15" ht="15.75" x14ac:dyDescent="0.25">
      <c r="B18" s="397"/>
      <c r="C18" s="1414">
        <v>3</v>
      </c>
      <c r="D18" s="1415"/>
      <c r="E18" s="1415"/>
      <c r="F18" s="1416">
        <f t="shared" si="1"/>
        <v>0</v>
      </c>
      <c r="G18" s="1416">
        <f t="shared" si="1"/>
        <v>0</v>
      </c>
      <c r="H18" s="2106">
        <f>1.43*Unit.GW</f>
        <v>1.43</v>
      </c>
      <c r="I18" s="2106">
        <f>2.86*Unit.GW</f>
        <v>2.86</v>
      </c>
      <c r="J18" s="2106">
        <f>4.285*Unit.GW</f>
        <v>4.2850000000000001</v>
      </c>
      <c r="K18" s="2106">
        <f>5.714*Unit.GW</f>
        <v>5.7140000000000004</v>
      </c>
      <c r="L18" s="2106">
        <f>7.143*Unit.GW</f>
        <v>7.1429999999999998</v>
      </c>
      <c r="M18" s="2106">
        <f>8.57*Unit.GW</f>
        <v>8.57</v>
      </c>
      <c r="N18" s="2106">
        <f>10*Unit.GW</f>
        <v>10</v>
      </c>
      <c r="O18" s="1416"/>
    </row>
    <row r="19" spans="1:15" ht="15.75" x14ac:dyDescent="0.25">
      <c r="B19" s="397"/>
      <c r="C19" s="1412">
        <v>4</v>
      </c>
      <c r="D19" s="102"/>
      <c r="E19" s="102"/>
      <c r="F19" s="1416">
        <f t="shared" si="1"/>
        <v>0</v>
      </c>
      <c r="G19" s="1416">
        <f t="shared" si="1"/>
        <v>0</v>
      </c>
      <c r="H19" s="2106">
        <f>5.71*Unit.GW</f>
        <v>5.71</v>
      </c>
      <c r="I19" s="2106">
        <f>11.43*Unit.GW</f>
        <v>11.43</v>
      </c>
      <c r="J19" s="2106">
        <f>17.14*Unit.GW</f>
        <v>17.14</v>
      </c>
      <c r="K19" s="2106">
        <f>22.86*Unit.GW</f>
        <v>22.86</v>
      </c>
      <c r="L19" s="2106">
        <f>28.57*Unit.GW</f>
        <v>28.57</v>
      </c>
      <c r="M19" s="2106">
        <f>34.29*Unit.GW</f>
        <v>34.29</v>
      </c>
      <c r="N19" s="2106">
        <f>40*Unit.GW</f>
        <v>40</v>
      </c>
      <c r="O19" s="1416"/>
    </row>
    <row r="20" spans="1:15" ht="15.75" x14ac:dyDescent="0.25">
      <c r="B20" s="397"/>
      <c r="C20" s="1386" t="s">
        <v>582</v>
      </c>
      <c r="D20" s="1387"/>
      <c r="E20" s="1387"/>
      <c r="F20" s="1408">
        <f t="shared" ref="F20:N20" si="2">(INDEX(F$16:F$19,ROUNDDOWN($E$8,0))*(1-MOD($E$8,1)))+(INDEX(F$16:F$19,ROUNDUP($E$8,0))*MOD($E$8,1))</f>
        <v>0</v>
      </c>
      <c r="G20" s="1388">
        <f t="shared" si="2"/>
        <v>0</v>
      </c>
      <c r="H20" s="1388">
        <f>(INDEX(H$16:H$19,ROUNDDOWN($E$8,0))*(1-MOD($E$8,1)))+(INDEX(H$16:H$19,ROUNDUP($E$8,0))*MOD($E$8,1))</f>
        <v>5.71</v>
      </c>
      <c r="I20" s="1388">
        <f t="shared" si="2"/>
        <v>11.43</v>
      </c>
      <c r="J20" s="1388">
        <f t="shared" si="2"/>
        <v>17.14</v>
      </c>
      <c r="K20" s="1388">
        <f t="shared" si="2"/>
        <v>22.86</v>
      </c>
      <c r="L20" s="1388">
        <f t="shared" si="2"/>
        <v>28.57</v>
      </c>
      <c r="M20" s="1388">
        <f t="shared" si="2"/>
        <v>34.29</v>
      </c>
      <c r="N20" s="1388">
        <f t="shared" si="2"/>
        <v>40</v>
      </c>
      <c r="O20" s="1420"/>
    </row>
    <row r="21" spans="1:15" x14ac:dyDescent="0.2">
      <c r="B21" s="401"/>
      <c r="C21" s="1416"/>
      <c r="D21" s="177"/>
      <c r="E21" s="1416"/>
      <c r="F21" s="562"/>
      <c r="G21" s="562"/>
      <c r="H21" s="562"/>
      <c r="I21" s="562"/>
      <c r="J21" s="562"/>
      <c r="K21" s="562"/>
      <c r="L21" s="562"/>
      <c r="M21" s="562"/>
      <c r="N21" s="562"/>
      <c r="O21" s="1420"/>
    </row>
    <row r="22" spans="1:15" x14ac:dyDescent="0.2">
      <c r="B22" s="401"/>
      <c r="C22" s="1416"/>
      <c r="D22" s="177"/>
      <c r="E22" s="1416"/>
      <c r="F22" s="1416"/>
      <c r="G22" s="1416"/>
      <c r="H22" s="1416"/>
      <c r="I22" s="1416"/>
      <c r="J22" s="1416"/>
      <c r="K22" s="1416"/>
      <c r="L22" s="1416"/>
      <c r="M22" s="1416"/>
      <c r="N22" s="1416"/>
      <c r="O22" s="1420"/>
    </row>
    <row r="23" spans="1:15" x14ac:dyDescent="0.2">
      <c r="B23" s="401"/>
      <c r="C23" s="176"/>
      <c r="D23" s="177"/>
      <c r="E23" s="1416"/>
      <c r="F23" s="1416"/>
      <c r="G23" s="1416"/>
      <c r="H23" s="1416"/>
      <c r="I23" s="1416"/>
      <c r="J23" s="1416"/>
      <c r="K23" s="1416"/>
      <c r="L23" s="1416"/>
      <c r="M23" s="1416"/>
      <c r="N23" s="1416"/>
      <c r="O23" s="1420"/>
    </row>
    <row r="24" spans="1:15" x14ac:dyDescent="0.2">
      <c r="B24" s="460"/>
      <c r="C24" s="403"/>
      <c r="D24" s="461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4"/>
    </row>
    <row r="26" spans="1:15" s="84" customFormat="1" ht="22.5" x14ac:dyDescent="0.2">
      <c r="A26" s="408"/>
      <c r="B26" s="1423" t="s">
        <v>315</v>
      </c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6"/>
    </row>
    <row r="27" spans="1:15" x14ac:dyDescent="0.2">
      <c r="B27" s="1419"/>
      <c r="C27" s="1416"/>
      <c r="D27" s="1416"/>
      <c r="E27" s="1416"/>
      <c r="F27" s="1416"/>
      <c r="G27" s="1416"/>
      <c r="H27" s="1416"/>
      <c r="I27" s="1416"/>
      <c r="J27" s="1416"/>
      <c r="K27" s="1416"/>
      <c r="L27" s="1416"/>
      <c r="M27" s="1416"/>
      <c r="N27" s="1416"/>
      <c r="O27" s="1420"/>
    </row>
    <row r="28" spans="1:15" x14ac:dyDescent="0.2">
      <c r="B28" s="1419"/>
      <c r="C28" s="1417" t="s">
        <v>327</v>
      </c>
      <c r="D28" s="1416"/>
      <c r="E28" s="1416"/>
      <c r="F28" s="176"/>
      <c r="G28" s="1416"/>
      <c r="H28" s="1416"/>
      <c r="I28" s="1416"/>
      <c r="J28" s="1416"/>
      <c r="K28" s="1416"/>
      <c r="L28" s="1416"/>
      <c r="M28" s="1416"/>
      <c r="N28" s="1416"/>
      <c r="O28" s="1420"/>
    </row>
    <row r="29" spans="1:15" ht="6" customHeight="1" x14ac:dyDescent="0.2">
      <c r="B29" s="1419"/>
      <c r="C29" s="1416"/>
      <c r="D29" s="1416"/>
      <c r="E29" s="1416"/>
      <c r="F29" s="1416"/>
      <c r="G29" s="1416"/>
      <c r="H29" s="1416"/>
      <c r="I29" s="1416"/>
      <c r="J29" s="1416"/>
      <c r="K29" s="1416"/>
      <c r="L29" s="1416"/>
      <c r="M29" s="1416"/>
      <c r="N29" s="1416"/>
      <c r="O29" s="1420"/>
    </row>
    <row r="30" spans="1:15" ht="15.75" x14ac:dyDescent="0.25">
      <c r="B30" s="397"/>
      <c r="C30" s="98" t="s">
        <v>264</v>
      </c>
      <c r="D30" s="98" t="s">
        <v>278</v>
      </c>
      <c r="E30" s="98" t="s">
        <v>172</v>
      </c>
      <c r="F30" s="218">
        <v>2010</v>
      </c>
      <c r="G30" s="217">
        <v>2015</v>
      </c>
      <c r="H30" s="217">
        <v>2020</v>
      </c>
      <c r="I30" s="217">
        <v>2025</v>
      </c>
      <c r="J30" s="217">
        <v>2030</v>
      </c>
      <c r="K30" s="217">
        <v>2035</v>
      </c>
      <c r="L30" s="217">
        <v>2040</v>
      </c>
      <c r="M30" s="217">
        <v>2045</v>
      </c>
      <c r="N30" s="217">
        <v>2050</v>
      </c>
      <c r="O30" s="1420"/>
    </row>
    <row r="31" spans="1:15" ht="15.75" x14ac:dyDescent="0.25">
      <c r="B31" s="397"/>
      <c r="C31" s="121" t="s">
        <v>25</v>
      </c>
      <c r="D31" s="122" t="str">
        <f>INDEX(Vectors[Description], MATCH($C31,Vectors[Code], 0))</f>
        <v>Solar</v>
      </c>
      <c r="E31" s="122"/>
      <c r="F31" s="129">
        <v>0.35</v>
      </c>
      <c r="G31" s="129">
        <v>0.35</v>
      </c>
      <c r="H31" s="129">
        <v>0.35</v>
      </c>
      <c r="I31" s="129">
        <v>0.35</v>
      </c>
      <c r="J31" s="129">
        <v>0.35</v>
      </c>
      <c r="K31" s="129">
        <v>0.35</v>
      </c>
      <c r="L31" s="129">
        <v>0.35</v>
      </c>
      <c r="M31" s="129">
        <v>0.35</v>
      </c>
      <c r="N31" s="129">
        <v>0.35</v>
      </c>
      <c r="O31" s="1420"/>
    </row>
    <row r="32" spans="1:15" x14ac:dyDescent="0.2">
      <c r="B32" s="1419"/>
      <c r="C32" s="1416"/>
      <c r="D32" s="1416"/>
      <c r="E32" s="1416"/>
      <c r="F32" s="1416"/>
      <c r="G32" s="1416"/>
      <c r="H32" s="1416"/>
      <c r="I32" s="1416"/>
      <c r="J32" s="1416"/>
      <c r="K32" s="1416"/>
      <c r="L32" s="1416"/>
      <c r="M32" s="1416"/>
      <c r="N32" s="1416"/>
      <c r="O32" s="1420"/>
    </row>
    <row r="33" spans="1:16" x14ac:dyDescent="0.2">
      <c r="B33" s="1419"/>
      <c r="C33" s="1417" t="s">
        <v>974</v>
      </c>
      <c r="D33" s="1416"/>
      <c r="E33" s="176"/>
      <c r="F33" s="1416"/>
      <c r="G33" s="1416"/>
      <c r="H33" s="1416"/>
      <c r="I33" s="1416"/>
      <c r="J33" s="1416"/>
      <c r="K33" s="1416"/>
      <c r="L33" s="1416"/>
      <c r="M33" s="1416"/>
      <c r="N33" s="176" t="s">
        <v>347</v>
      </c>
      <c r="O33" s="1420"/>
    </row>
    <row r="34" spans="1:16" ht="5.25" customHeight="1" x14ac:dyDescent="0.2">
      <c r="B34" s="1419"/>
      <c r="C34" s="1416"/>
      <c r="D34" s="1416"/>
      <c r="E34" s="1416"/>
      <c r="F34" s="1416"/>
      <c r="G34" s="1416"/>
      <c r="H34" s="1416"/>
      <c r="I34" s="1416"/>
      <c r="J34" s="1416"/>
      <c r="K34" s="1416"/>
      <c r="L34" s="1416"/>
      <c r="M34" s="1416"/>
      <c r="N34" s="1416"/>
      <c r="O34" s="1420"/>
    </row>
    <row r="35" spans="1:16" ht="15.75" x14ac:dyDescent="0.25">
      <c r="B35" s="397"/>
      <c r="C35" s="98" t="s">
        <v>264</v>
      </c>
      <c r="D35" s="98" t="s">
        <v>278</v>
      </c>
      <c r="E35" s="98" t="s">
        <v>172</v>
      </c>
      <c r="F35" s="218">
        <v>2010</v>
      </c>
      <c r="G35" s="217">
        <v>2015</v>
      </c>
      <c r="H35" s="217">
        <v>2020</v>
      </c>
      <c r="I35" s="217">
        <v>2025</v>
      </c>
      <c r="J35" s="217">
        <v>2030</v>
      </c>
      <c r="K35" s="217">
        <v>2035</v>
      </c>
      <c r="L35" s="217">
        <v>2040</v>
      </c>
      <c r="M35" s="217">
        <v>2045</v>
      </c>
      <c r="N35" s="217">
        <v>2050</v>
      </c>
      <c r="O35" s="1420"/>
    </row>
    <row r="36" spans="1:16" s="84" customFormat="1" ht="15.75" x14ac:dyDescent="0.2">
      <c r="B36" s="399"/>
      <c r="C36" s="121" t="s">
        <v>25</v>
      </c>
      <c r="D36" s="122" t="str">
        <f>INDEX(Vectors[Description], MATCH($C36,Vectors[Code], 0))</f>
        <v>Solar</v>
      </c>
      <c r="E36" s="122"/>
      <c r="F36" s="128">
        <v>0.35</v>
      </c>
      <c r="G36" s="128">
        <v>0.35</v>
      </c>
      <c r="H36" s="128">
        <v>0.35</v>
      </c>
      <c r="I36" s="128">
        <v>0.35</v>
      </c>
      <c r="J36" s="128">
        <v>0.35</v>
      </c>
      <c r="K36" s="128">
        <v>0.35</v>
      </c>
      <c r="L36" s="128">
        <v>0.35</v>
      </c>
      <c r="M36" s="128">
        <v>0.35</v>
      </c>
      <c r="N36" s="128">
        <v>0.35</v>
      </c>
      <c r="O36" s="400"/>
    </row>
    <row r="37" spans="1:16" s="84" customFormat="1" ht="15.75" x14ac:dyDescent="0.2">
      <c r="B37" s="399"/>
      <c r="C37" s="1414"/>
      <c r="D37" s="1415"/>
      <c r="E37" s="1415"/>
      <c r="F37" s="174"/>
      <c r="G37" s="174"/>
      <c r="H37" s="174"/>
      <c r="I37" s="174"/>
      <c r="J37" s="174"/>
      <c r="K37" s="174"/>
      <c r="L37" s="174"/>
      <c r="M37" s="174"/>
      <c r="N37" s="174"/>
      <c r="O37" s="400"/>
    </row>
    <row r="38" spans="1:16" s="84" customFormat="1" ht="15.75" x14ac:dyDescent="0.2">
      <c r="B38" s="399"/>
      <c r="C38" s="178" t="s">
        <v>1273</v>
      </c>
      <c r="D38" s="1415"/>
      <c r="E38" s="1415"/>
      <c r="F38" s="174"/>
      <c r="G38" s="174"/>
      <c r="H38" s="174"/>
      <c r="I38" s="174"/>
      <c r="J38" s="174"/>
      <c r="K38" s="174"/>
      <c r="L38" s="174"/>
      <c r="M38" s="174"/>
      <c r="N38" s="174"/>
      <c r="O38" s="400"/>
    </row>
    <row r="39" spans="1:16" s="84" customFormat="1" ht="15.75" x14ac:dyDescent="0.2">
      <c r="B39" s="399"/>
      <c r="C39" s="1406"/>
      <c r="D39" s="1926" t="s">
        <v>1298</v>
      </c>
      <c r="E39" s="2516" t="str">
        <f>Preferences.PowerUnits&amp;"peak"</f>
        <v>GWpeak</v>
      </c>
      <c r="F39" s="174"/>
      <c r="G39" s="174"/>
      <c r="H39" s="174"/>
      <c r="I39" s="174"/>
      <c r="J39" s="174"/>
      <c r="K39" s="174"/>
      <c r="L39" s="174"/>
      <c r="M39" s="174"/>
      <c r="N39" s="174"/>
      <c r="O39" s="400"/>
    </row>
    <row r="40" spans="1:16" s="84" customFormat="1" ht="15.75" x14ac:dyDescent="0.2">
      <c r="B40" s="399"/>
      <c r="C40" s="1414"/>
      <c r="D40" s="1415" t="s">
        <v>2174</v>
      </c>
      <c r="E40" s="2517">
        <f>50*Unit.MW</f>
        <v>0.05</v>
      </c>
      <c r="F40" s="174"/>
      <c r="G40" s="174"/>
      <c r="H40" s="174"/>
      <c r="I40" s="174"/>
      <c r="J40" s="174"/>
      <c r="K40" s="174"/>
      <c r="L40" s="174"/>
      <c r="M40" s="174"/>
      <c r="N40" s="174"/>
      <c r="O40" s="400"/>
    </row>
    <row r="41" spans="1:16" x14ac:dyDescent="0.2">
      <c r="B41" s="401"/>
      <c r="C41" s="1416"/>
      <c r="D41" s="177"/>
      <c r="E41" s="1416"/>
      <c r="F41" s="1416"/>
      <c r="G41" s="1416"/>
      <c r="H41" s="1416"/>
      <c r="I41" s="1416"/>
      <c r="J41" s="1416"/>
      <c r="K41" s="1416"/>
      <c r="L41" s="1416"/>
      <c r="M41" s="1416"/>
      <c r="N41" s="1416"/>
      <c r="O41" s="1420"/>
    </row>
    <row r="43" spans="1:16" s="84" customFormat="1" ht="22.5" x14ac:dyDescent="0.2">
      <c r="A43" s="408"/>
      <c r="B43" s="1423" t="s">
        <v>1417</v>
      </c>
      <c r="C43" s="405"/>
      <c r="D43" s="405"/>
      <c r="E43" s="405"/>
      <c r="F43" s="405"/>
      <c r="G43" s="405"/>
      <c r="H43" s="405"/>
      <c r="I43" s="405"/>
      <c r="J43" s="405"/>
      <c r="K43" s="405"/>
      <c r="L43" s="405"/>
      <c r="M43" s="405"/>
      <c r="N43" s="405"/>
      <c r="O43" s="405"/>
      <c r="P43" s="34"/>
    </row>
    <row r="44" spans="1:16" s="84" customFormat="1" x14ac:dyDescent="0.2">
      <c r="A44" s="2479"/>
      <c r="B44" s="473"/>
      <c r="C44" s="458"/>
      <c r="D44" s="458"/>
      <c r="E44" s="458"/>
      <c r="F44" s="458"/>
      <c r="G44" s="458"/>
      <c r="H44" s="458"/>
      <c r="I44" s="458"/>
      <c r="J44" s="458"/>
      <c r="K44" s="458"/>
      <c r="L44" s="458"/>
      <c r="M44" s="458"/>
      <c r="N44" s="458"/>
      <c r="O44" s="458"/>
      <c r="P44" s="37"/>
    </row>
    <row r="45" spans="1:16" s="84" customFormat="1" ht="15.75" customHeight="1" x14ac:dyDescent="0.2">
      <c r="A45" s="2479"/>
      <c r="B45" s="1419"/>
      <c r="C45" s="1417" t="str">
        <f>"Capital cost of a "&amp;plantsize.IV.a&amp;" "&amp;Preferences.PowerUnits&amp;" Solar source"</f>
        <v>Capital cost of a 0.05 GW Solar source</v>
      </c>
      <c r="D45" s="107"/>
      <c r="E45" s="1081"/>
      <c r="F45" s="1055"/>
      <c r="G45" s="760"/>
      <c r="H45" s="760"/>
      <c r="I45" s="760"/>
      <c r="J45" s="760"/>
      <c r="K45" s="760"/>
      <c r="L45" s="760"/>
      <c r="M45" s="760"/>
      <c r="N45" s="1255" t="str">
        <f>Preferences.moneyunits&amp;"/solar source"</f>
        <v>N/solar source</v>
      </c>
      <c r="O45" s="1416"/>
      <c r="P45" s="37"/>
    </row>
    <row r="46" spans="1:16" s="84" customFormat="1" ht="4.5" customHeight="1" x14ac:dyDescent="0.2">
      <c r="A46" s="2479"/>
      <c r="B46" s="1419"/>
      <c r="C46" s="1848"/>
      <c r="D46" s="107"/>
      <c r="E46" s="1081"/>
      <c r="F46" s="1055"/>
      <c r="G46" s="760"/>
      <c r="H46" s="760"/>
      <c r="I46" s="760"/>
      <c r="J46" s="760"/>
      <c r="K46" s="760"/>
      <c r="L46" s="760"/>
      <c r="M46" s="760"/>
      <c r="N46" s="1416"/>
      <c r="O46" s="1416"/>
      <c r="P46" s="37"/>
    </row>
    <row r="47" spans="1:16" s="84" customFormat="1" x14ac:dyDescent="0.2">
      <c r="A47" s="2479"/>
      <c r="B47" s="1419"/>
      <c r="C47" s="1101"/>
      <c r="D47" s="1519"/>
      <c r="E47" s="1567" t="s">
        <v>1321</v>
      </c>
      <c r="F47" s="1845">
        <v>2010</v>
      </c>
      <c r="G47" s="1845">
        <v>2015</v>
      </c>
      <c r="H47" s="1845">
        <v>2020</v>
      </c>
      <c r="I47" s="1845">
        <v>2025</v>
      </c>
      <c r="J47" s="1845">
        <v>2030</v>
      </c>
      <c r="K47" s="1845">
        <v>2035</v>
      </c>
      <c r="L47" s="1845">
        <v>2040</v>
      </c>
      <c r="M47" s="1845">
        <v>2045</v>
      </c>
      <c r="N47" s="1845">
        <v>2050</v>
      </c>
      <c r="O47" s="1416"/>
      <c r="P47" s="34"/>
    </row>
    <row r="48" spans="1:16" s="84" customFormat="1" ht="15.75" customHeight="1" x14ac:dyDescent="0.2">
      <c r="A48" s="2479"/>
      <c r="B48" s="1419"/>
      <c r="C48" s="1846" t="s">
        <v>1871</v>
      </c>
      <c r="D48" s="1519"/>
      <c r="E48" s="1847">
        <f>(N48-F48)/(N$47-F$47)</f>
        <v>0</v>
      </c>
      <c r="F48" s="1852">
        <f>(825000*NAIRA2010_/Unit.kW)*plantsize.IV.a</f>
        <v>41250000000</v>
      </c>
      <c r="G48" s="1852">
        <f>($E48*(G$47-F$47))+F48</f>
        <v>41250000000</v>
      </c>
      <c r="H48" s="1852">
        <f t="shared" ref="H48:M48" si="3">($E48*(H$47-G$47))+G48</f>
        <v>41250000000</v>
      </c>
      <c r="I48" s="1852">
        <f t="shared" si="3"/>
        <v>41250000000</v>
      </c>
      <c r="J48" s="1852">
        <f t="shared" si="3"/>
        <v>41250000000</v>
      </c>
      <c r="K48" s="1852">
        <f t="shared" si="3"/>
        <v>41250000000</v>
      </c>
      <c r="L48" s="1852">
        <f>($E48*(L$47-K$47))+K48</f>
        <v>41250000000</v>
      </c>
      <c r="M48" s="1852">
        <f t="shared" si="3"/>
        <v>41250000000</v>
      </c>
      <c r="N48" s="1852">
        <f>(825000*NAIRA2010_/Unit.kW)*plantsize.IV.a</f>
        <v>41250000000</v>
      </c>
      <c r="O48" s="1416"/>
      <c r="P48" s="37"/>
    </row>
    <row r="49" spans="1:16" s="84" customFormat="1" ht="15.75" customHeight="1" x14ac:dyDescent="0.2">
      <c r="A49" s="2479"/>
      <c r="B49" s="1419"/>
      <c r="C49" s="606" t="s">
        <v>1872</v>
      </c>
      <c r="D49" s="107"/>
      <c r="E49" s="188">
        <f>(N49-F49)/(N$47-F$47)</f>
        <v>0</v>
      </c>
      <c r="F49" s="1849">
        <f>(750000*NAIRA2010_/Unit.kW)*plantsize.IV.a</f>
        <v>37500000000</v>
      </c>
      <c r="G49" s="1849">
        <f t="shared" ref="G49:M50" si="4">($E49*(G$47-F$47))+F49</f>
        <v>37500000000</v>
      </c>
      <c r="H49" s="1849">
        <f t="shared" si="4"/>
        <v>37500000000</v>
      </c>
      <c r="I49" s="1849">
        <f t="shared" si="4"/>
        <v>37500000000</v>
      </c>
      <c r="J49" s="1849">
        <f t="shared" si="4"/>
        <v>37500000000</v>
      </c>
      <c r="K49" s="1849">
        <f t="shared" si="4"/>
        <v>37500000000</v>
      </c>
      <c r="L49" s="1849">
        <f t="shared" si="4"/>
        <v>37500000000</v>
      </c>
      <c r="M49" s="1849">
        <f t="shared" si="4"/>
        <v>37500000000</v>
      </c>
      <c r="N49" s="1849">
        <f>(750000*NAIRA2010_/Unit.kW)*plantsize.IV.a</f>
        <v>37500000000</v>
      </c>
      <c r="O49" s="1416"/>
      <c r="P49" s="37"/>
    </row>
    <row r="50" spans="1:16" s="84" customFormat="1" ht="15.75" customHeight="1" x14ac:dyDescent="0.2">
      <c r="A50" s="2479"/>
      <c r="B50" s="1419"/>
      <c r="C50" s="1731" t="s">
        <v>1873</v>
      </c>
      <c r="D50" s="189"/>
      <c r="E50" s="191">
        <f>(N50-F50)/(N$47-F$47)</f>
        <v>0</v>
      </c>
      <c r="F50" s="1850">
        <f>(675000*NAIRA2010_/Unit.kW)*plantsize.IV.a</f>
        <v>33750000000</v>
      </c>
      <c r="G50" s="1850">
        <f t="shared" si="4"/>
        <v>33750000000</v>
      </c>
      <c r="H50" s="1850">
        <f t="shared" si="4"/>
        <v>33750000000</v>
      </c>
      <c r="I50" s="1850">
        <f t="shared" si="4"/>
        <v>33750000000</v>
      </c>
      <c r="J50" s="1850">
        <f>($E50*(J$47-I$47))+I50</f>
        <v>33750000000</v>
      </c>
      <c r="K50" s="1850">
        <f t="shared" si="4"/>
        <v>33750000000</v>
      </c>
      <c r="L50" s="1850">
        <f t="shared" si="4"/>
        <v>33750000000</v>
      </c>
      <c r="M50" s="1850">
        <f t="shared" si="4"/>
        <v>33750000000</v>
      </c>
      <c r="N50" s="1850">
        <f>(675000*NAIRA2010_/Unit.kW)*plantsize.IV.a</f>
        <v>33750000000</v>
      </c>
      <c r="O50" s="1416"/>
      <c r="P50" s="37"/>
    </row>
    <row r="51" spans="1:16" s="84" customFormat="1" x14ac:dyDescent="0.2">
      <c r="A51" s="2479"/>
      <c r="B51" s="1419"/>
      <c r="C51" s="1848"/>
      <c r="D51" s="107"/>
      <c r="E51" s="1081"/>
      <c r="F51" s="1055"/>
      <c r="G51" s="760"/>
      <c r="H51" s="760"/>
      <c r="I51" s="760"/>
      <c r="J51" s="760"/>
      <c r="K51" s="760"/>
      <c r="L51" s="760"/>
      <c r="M51" s="760"/>
      <c r="N51" s="1416"/>
      <c r="O51" s="1416"/>
      <c r="P51" s="37"/>
    </row>
    <row r="52" spans="1:16" ht="15.75" customHeight="1" x14ac:dyDescent="0.2">
      <c r="B52" s="1419"/>
      <c r="C52" s="1417" t="str">
        <f>"Operating cost of a "&amp;plantsize.IV.a&amp;" "&amp;Preferences.PowerUnits&amp;" Solar source"</f>
        <v>Operating cost of a 0.05 GW Solar source</v>
      </c>
      <c r="D52" s="107"/>
      <c r="E52" s="1081"/>
      <c r="F52" s="1055"/>
      <c r="G52" s="760"/>
      <c r="H52" s="760"/>
      <c r="I52" s="760"/>
      <c r="J52" s="760"/>
      <c r="K52" s="760"/>
      <c r="L52" s="760"/>
      <c r="M52" s="760"/>
      <c r="N52" s="1255" t="str">
        <f>Preferences.moneyunits&amp;"/solar source"</f>
        <v>N/solar source</v>
      </c>
      <c r="O52" s="1416"/>
      <c r="P52" s="37"/>
    </row>
    <row r="53" spans="1:16" ht="6" customHeight="1" x14ac:dyDescent="0.2">
      <c r="B53" s="1419"/>
      <c r="C53" s="1848"/>
      <c r="D53" s="107"/>
      <c r="E53" s="1081"/>
      <c r="F53" s="1055"/>
      <c r="G53" s="760"/>
      <c r="H53" s="760"/>
      <c r="I53" s="760"/>
      <c r="J53" s="760"/>
      <c r="K53" s="760"/>
      <c r="L53" s="760"/>
      <c r="M53" s="760"/>
      <c r="N53" s="1416"/>
      <c r="O53" s="1416"/>
      <c r="P53" s="37"/>
    </row>
    <row r="54" spans="1:16" x14ac:dyDescent="0.2">
      <c r="B54" s="1419"/>
      <c r="C54" s="1101"/>
      <c r="D54" s="1519"/>
      <c r="E54" s="1567" t="s">
        <v>1321</v>
      </c>
      <c r="F54" s="1845">
        <v>2010</v>
      </c>
      <c r="G54" s="1845">
        <v>2015</v>
      </c>
      <c r="H54" s="1845">
        <v>2020</v>
      </c>
      <c r="I54" s="1845">
        <v>2025</v>
      </c>
      <c r="J54" s="1845">
        <v>2030</v>
      </c>
      <c r="K54" s="1845">
        <v>2035</v>
      </c>
      <c r="L54" s="1845">
        <v>2040</v>
      </c>
      <c r="M54" s="1845">
        <v>2045</v>
      </c>
      <c r="N54" s="1845">
        <v>2050</v>
      </c>
      <c r="O54" s="1416"/>
      <c r="P54" s="37"/>
    </row>
    <row r="55" spans="1:16" ht="15.75" customHeight="1" x14ac:dyDescent="0.2">
      <c r="B55" s="1419"/>
      <c r="C55" s="1846" t="s">
        <v>1871</v>
      </c>
      <c r="D55" s="1519"/>
      <c r="E55" s="1847">
        <f>(N55-F55)/(N$54-F$54)</f>
        <v>0</v>
      </c>
      <c r="F55" s="1852">
        <f>(6*NAIRA2010_/Unit.kW)*plantsize.IV.a</f>
        <v>300000</v>
      </c>
      <c r="G55" s="1852">
        <f t="shared" ref="G55:M55" si="5">($E55*(G$47-F$47))+F55</f>
        <v>300000</v>
      </c>
      <c r="H55" s="1852">
        <f t="shared" si="5"/>
        <v>300000</v>
      </c>
      <c r="I55" s="1852">
        <f t="shared" si="5"/>
        <v>300000</v>
      </c>
      <c r="J55" s="1852">
        <f t="shared" si="5"/>
        <v>300000</v>
      </c>
      <c r="K55" s="1852">
        <f t="shared" si="5"/>
        <v>300000</v>
      </c>
      <c r="L55" s="1852">
        <f t="shared" si="5"/>
        <v>300000</v>
      </c>
      <c r="M55" s="1852">
        <f t="shared" si="5"/>
        <v>300000</v>
      </c>
      <c r="N55" s="1852">
        <f>(6*NAIRA2010_/Unit.kW)*plantsize.IV.a</f>
        <v>300000</v>
      </c>
      <c r="O55" s="1416"/>
      <c r="P55" s="37"/>
    </row>
    <row r="56" spans="1:16" ht="15.75" customHeight="1" x14ac:dyDescent="0.2">
      <c r="B56" s="1419"/>
      <c r="C56" s="606" t="s">
        <v>1872</v>
      </c>
      <c r="D56" s="107"/>
      <c r="E56" s="188">
        <f>(N56-F56)/(N$54-F$54)</f>
        <v>0</v>
      </c>
      <c r="F56" s="1849">
        <f>(5.25*NAIRA2010_/Unit.kW)*plantsize.IV.a</f>
        <v>262500</v>
      </c>
      <c r="G56" s="1849">
        <f t="shared" ref="G56" si="6">($E56*(G$47-F$47))+F56</f>
        <v>262500</v>
      </c>
      <c r="H56" s="1849">
        <f t="shared" ref="H56" si="7">($E56*(H$47-G$47))+G56</f>
        <v>262500</v>
      </c>
      <c r="I56" s="1849">
        <f t="shared" ref="I56" si="8">($E56*(I$47-H$47))+H56</f>
        <v>262500</v>
      </c>
      <c r="J56" s="1849">
        <f t="shared" ref="J56" si="9">($E56*(J$47-I$47))+I56</f>
        <v>262500</v>
      </c>
      <c r="K56" s="1849">
        <f t="shared" ref="K56" si="10">($E56*(K$47-J$47))+J56</f>
        <v>262500</v>
      </c>
      <c r="L56" s="1849">
        <f t="shared" ref="L56" si="11">($E56*(L$47-K$47))+K56</f>
        <v>262500</v>
      </c>
      <c r="M56" s="1849">
        <f t="shared" ref="M56" si="12">($E56*(M$47-L$47))+L56</f>
        <v>262500</v>
      </c>
      <c r="N56" s="1849">
        <f>(5.25*NAIRA2010_/Unit.kW)*plantsize.IV.a</f>
        <v>262500</v>
      </c>
      <c r="O56" s="1416"/>
      <c r="P56" s="37"/>
    </row>
    <row r="57" spans="1:16" ht="15.75" customHeight="1" x14ac:dyDescent="0.2">
      <c r="B57" s="1419"/>
      <c r="C57" s="1731" t="s">
        <v>1873</v>
      </c>
      <c r="D57" s="189"/>
      <c r="E57" s="191">
        <f>(N57-F57)/(N$54-F$54)</f>
        <v>0</v>
      </c>
      <c r="F57" s="1850">
        <f>(4.5*NAIRA2010_/Unit.kW)*plantsize.IV.a</f>
        <v>225000</v>
      </c>
      <c r="G57" s="1850">
        <f t="shared" ref="G57:M57" si="13">($E57*(G$47-F$47))+F57</f>
        <v>225000</v>
      </c>
      <c r="H57" s="1850">
        <f t="shared" si="13"/>
        <v>225000</v>
      </c>
      <c r="I57" s="1850">
        <f t="shared" si="13"/>
        <v>225000</v>
      </c>
      <c r="J57" s="1850">
        <f t="shared" si="13"/>
        <v>225000</v>
      </c>
      <c r="K57" s="1850">
        <f t="shared" si="13"/>
        <v>225000</v>
      </c>
      <c r="L57" s="1850">
        <f t="shared" si="13"/>
        <v>225000</v>
      </c>
      <c r="M57" s="1850">
        <f t="shared" si="13"/>
        <v>225000</v>
      </c>
      <c r="N57" s="1850">
        <f>(4.5*NAIRA2010_/Unit.kW)*plantsize.IV.a</f>
        <v>225000</v>
      </c>
      <c r="O57" s="1416"/>
      <c r="P57" s="37"/>
    </row>
    <row r="58" spans="1:16" ht="15.75" customHeight="1" x14ac:dyDescent="0.2">
      <c r="B58" s="1377"/>
      <c r="C58" s="1377"/>
      <c r="D58" s="1416"/>
      <c r="E58" s="760"/>
      <c r="F58" s="1416"/>
      <c r="G58" s="1416"/>
      <c r="H58" s="1416"/>
      <c r="I58" s="1488"/>
      <c r="J58" s="1488"/>
      <c r="K58" s="1377"/>
      <c r="L58" s="1377"/>
      <c r="M58" s="1377"/>
      <c r="N58" s="1377"/>
      <c r="O58" s="1377"/>
    </row>
    <row r="59" spans="1:16" ht="11.25" customHeight="1" x14ac:dyDescent="0.2">
      <c r="B59" s="1857"/>
      <c r="C59" s="2511"/>
      <c r="D59" s="2512"/>
      <c r="E59" s="1855"/>
      <c r="F59" s="2513"/>
      <c r="G59" s="2512"/>
      <c r="H59" s="2512"/>
      <c r="I59" s="2512"/>
      <c r="J59" s="2512"/>
      <c r="K59" s="2512"/>
      <c r="L59" s="2512"/>
      <c r="M59" s="2514"/>
      <c r="N59" s="2514"/>
      <c r="O59" s="2515"/>
    </row>
    <row r="60" spans="1:16" ht="15.75" x14ac:dyDescent="0.2">
      <c r="B60" s="1423" t="s">
        <v>332</v>
      </c>
      <c r="C60" s="405"/>
      <c r="D60" s="405"/>
      <c r="E60" s="405"/>
      <c r="F60" s="405"/>
      <c r="G60" s="405"/>
      <c r="H60" s="405"/>
      <c r="I60" s="405"/>
      <c r="J60" s="405"/>
      <c r="K60" s="405"/>
      <c r="L60" s="405"/>
      <c r="M60" s="405"/>
      <c r="N60" s="405"/>
      <c r="O60" s="406"/>
    </row>
    <row r="61" spans="1:16" x14ac:dyDescent="0.2">
      <c r="B61" s="1419"/>
      <c r="C61" s="1416"/>
      <c r="D61" s="1416"/>
      <c r="E61" s="1416"/>
      <c r="F61" s="1416"/>
      <c r="G61" s="1416"/>
      <c r="H61" s="1416"/>
      <c r="I61" s="1416"/>
      <c r="J61" s="1416"/>
      <c r="K61" s="1416"/>
      <c r="L61" s="1416"/>
      <c r="M61" s="1416"/>
      <c r="N61" s="1416"/>
      <c r="O61" s="1420"/>
    </row>
    <row r="62" spans="1:16" x14ac:dyDescent="0.2">
      <c r="B62" s="1419"/>
      <c r="C62" s="1417" t="s">
        <v>298</v>
      </c>
      <c r="D62" s="1416"/>
      <c r="E62" s="176"/>
      <c r="F62" s="1416"/>
      <c r="G62" s="1416"/>
      <c r="H62" s="1416"/>
      <c r="I62" s="1416"/>
      <c r="J62" s="1416"/>
      <c r="K62" s="1416"/>
      <c r="L62" s="1416"/>
      <c r="M62" s="1416"/>
      <c r="N62" s="176" t="str">
        <f>Preferences.PowerUnits</f>
        <v>GW</v>
      </c>
      <c r="O62" s="1420"/>
    </row>
    <row r="63" spans="1:16" x14ac:dyDescent="0.2">
      <c r="B63" s="1419"/>
      <c r="C63" s="1416"/>
      <c r="D63" s="1416"/>
      <c r="E63" s="1416"/>
      <c r="F63" s="1416"/>
      <c r="G63" s="1416"/>
      <c r="H63" s="1416"/>
      <c r="I63" s="1416"/>
      <c r="J63" s="1416"/>
      <c r="K63" s="1416"/>
      <c r="L63" s="1416"/>
      <c r="M63" s="1416"/>
      <c r="N63" s="1416"/>
      <c r="O63" s="1420"/>
    </row>
    <row r="64" spans="1:16" ht="15.75" x14ac:dyDescent="0.25">
      <c r="B64" s="397"/>
      <c r="C64" s="98" t="s">
        <v>264</v>
      </c>
      <c r="D64" s="98" t="s">
        <v>65</v>
      </c>
      <c r="E64" s="98" t="s">
        <v>172</v>
      </c>
      <c r="F64" s="218">
        <v>2010</v>
      </c>
      <c r="G64" s="217">
        <v>2015</v>
      </c>
      <c r="H64" s="217">
        <v>2020</v>
      </c>
      <c r="I64" s="217">
        <v>2025</v>
      </c>
      <c r="J64" s="217">
        <v>2030</v>
      </c>
      <c r="K64" s="217">
        <v>2035</v>
      </c>
      <c r="L64" s="217">
        <v>2040</v>
      </c>
      <c r="M64" s="217">
        <v>2045</v>
      </c>
      <c r="N64" s="217">
        <v>2050</v>
      </c>
      <c r="O64" s="1420"/>
    </row>
    <row r="65" spans="2:15" ht="15.75" x14ac:dyDescent="0.2">
      <c r="B65" s="399"/>
      <c r="C65" s="121" t="s">
        <v>25</v>
      </c>
      <c r="D65" s="122" t="str">
        <f>INDEX(Vectors[Description], MATCH($C65,Vectors[Code], 0))</f>
        <v>Solar</v>
      </c>
      <c r="E65" s="122"/>
      <c r="F65" s="889">
        <f t="shared" ref="F65:N65" si="14">F20</f>
        <v>0</v>
      </c>
      <c r="G65" s="1036">
        <f t="shared" si="14"/>
        <v>0</v>
      </c>
      <c r="H65" s="1036">
        <f t="shared" si="14"/>
        <v>5.71</v>
      </c>
      <c r="I65" s="1036">
        <f t="shared" si="14"/>
        <v>11.43</v>
      </c>
      <c r="J65" s="1036">
        <f t="shared" si="14"/>
        <v>17.14</v>
      </c>
      <c r="K65" s="1036">
        <f t="shared" si="14"/>
        <v>22.86</v>
      </c>
      <c r="L65" s="1036">
        <f t="shared" si="14"/>
        <v>28.57</v>
      </c>
      <c r="M65" s="1036">
        <f t="shared" si="14"/>
        <v>34.29</v>
      </c>
      <c r="N65" s="1036">
        <f t="shared" si="14"/>
        <v>40</v>
      </c>
      <c r="O65" s="400"/>
    </row>
    <row r="66" spans="2:15" ht="11.25" customHeight="1" x14ac:dyDescent="0.2">
      <c r="B66" s="401"/>
      <c r="C66" s="1414"/>
      <c r="D66" s="1415"/>
      <c r="E66" s="1415"/>
      <c r="F66" s="207"/>
      <c r="G66" s="207"/>
      <c r="H66" s="207"/>
      <c r="I66" s="207"/>
      <c r="J66" s="207"/>
      <c r="K66" s="207"/>
      <c r="L66" s="207"/>
      <c r="M66" s="207"/>
      <c r="N66" s="207"/>
      <c r="O66" s="1420"/>
    </row>
    <row r="68" spans="2:15" x14ac:dyDescent="0.2">
      <c r="B68" s="2479" t="s">
        <v>2174</v>
      </c>
      <c r="F68" s="2479">
        <v>2010</v>
      </c>
      <c r="G68" s="2479">
        <v>2015</v>
      </c>
      <c r="H68" s="2479">
        <v>2020</v>
      </c>
      <c r="I68" s="2479">
        <v>2025</v>
      </c>
      <c r="J68" s="2479">
        <v>2030</v>
      </c>
      <c r="K68" s="2479">
        <v>2035</v>
      </c>
      <c r="L68" s="2479">
        <v>2040</v>
      </c>
      <c r="M68" s="2479">
        <v>2045</v>
      </c>
      <c r="N68" s="2479">
        <v>2050</v>
      </c>
    </row>
    <row r="70" spans="2:15" x14ac:dyDescent="0.2">
      <c r="C70" s="1427" t="s">
        <v>328</v>
      </c>
      <c r="E70" s="1426" t="str">
        <f>Preferences.PowerUnits</f>
        <v>GW</v>
      </c>
      <c r="F70" s="23">
        <f t="shared" ref="F70:N70" si="15">F$65</f>
        <v>0</v>
      </c>
      <c r="G70" s="23">
        <f t="shared" si="15"/>
        <v>0</v>
      </c>
      <c r="H70" s="23">
        <f t="shared" si="15"/>
        <v>5.71</v>
      </c>
      <c r="I70" s="23">
        <f t="shared" si="15"/>
        <v>11.43</v>
      </c>
      <c r="J70" s="23">
        <f t="shared" si="15"/>
        <v>17.14</v>
      </c>
      <c r="K70" s="23">
        <f t="shared" si="15"/>
        <v>22.86</v>
      </c>
      <c r="L70" s="23">
        <f t="shared" si="15"/>
        <v>28.57</v>
      </c>
      <c r="M70" s="23">
        <f t="shared" si="15"/>
        <v>34.29</v>
      </c>
      <c r="N70" s="23">
        <f t="shared" si="15"/>
        <v>40</v>
      </c>
    </row>
    <row r="71" spans="2:15" x14ac:dyDescent="0.2">
      <c r="B71" s="2479" t="s">
        <v>345</v>
      </c>
      <c r="C71" s="2479" t="s">
        <v>327</v>
      </c>
      <c r="E71" s="1426"/>
      <c r="F71" s="15">
        <f t="shared" ref="F71:N71" si="16">F$31</f>
        <v>0.35</v>
      </c>
      <c r="G71" s="15">
        <f t="shared" si="16"/>
        <v>0.35</v>
      </c>
      <c r="H71" s="15">
        <f t="shared" si="16"/>
        <v>0.35</v>
      </c>
      <c r="I71" s="15">
        <f t="shared" si="16"/>
        <v>0.35</v>
      </c>
      <c r="J71" s="15">
        <f t="shared" si="16"/>
        <v>0.35</v>
      </c>
      <c r="K71" s="15">
        <f t="shared" si="16"/>
        <v>0.35</v>
      </c>
      <c r="L71" s="15">
        <f t="shared" si="16"/>
        <v>0.35</v>
      </c>
      <c r="M71" s="15">
        <f t="shared" si="16"/>
        <v>0.35</v>
      </c>
      <c r="N71" s="15">
        <f t="shared" si="16"/>
        <v>0.35</v>
      </c>
    </row>
    <row r="72" spans="2:15" x14ac:dyDescent="0.2">
      <c r="B72" s="132" t="s">
        <v>346</v>
      </c>
      <c r="C72" s="1427" t="s">
        <v>580</v>
      </c>
      <c r="E72" s="1426"/>
      <c r="F72" s="114">
        <f t="shared" ref="F72:N72" si="17">F70*F71</f>
        <v>0</v>
      </c>
      <c r="G72" s="114">
        <f t="shared" si="17"/>
        <v>0</v>
      </c>
      <c r="H72" s="114">
        <f t="shared" si="17"/>
        <v>1.9984999999999999</v>
      </c>
      <c r="I72" s="114">
        <f t="shared" si="17"/>
        <v>4.0004999999999997</v>
      </c>
      <c r="J72" s="114">
        <f t="shared" si="17"/>
        <v>5.9989999999999997</v>
      </c>
      <c r="K72" s="114">
        <f t="shared" si="17"/>
        <v>8.0009999999999994</v>
      </c>
      <c r="L72" s="114">
        <f t="shared" si="17"/>
        <v>9.9994999999999994</v>
      </c>
      <c r="M72" s="114">
        <f t="shared" si="17"/>
        <v>12.001499999999998</v>
      </c>
      <c r="N72" s="114">
        <f t="shared" si="17"/>
        <v>14</v>
      </c>
    </row>
    <row r="73" spans="2:15" x14ac:dyDescent="0.2">
      <c r="C73" s="1427" t="s">
        <v>185</v>
      </c>
      <c r="E73" s="1426" t="str">
        <f>Preferences.EnergyUnits</f>
        <v>TWh</v>
      </c>
      <c r="F73" s="114">
        <f t="shared" ref="F73:M73" si="18">F72*Preferences.Unit.Power*Unit.year/Preferences.Unit.Energy</f>
        <v>0</v>
      </c>
      <c r="G73" s="114">
        <f t="shared" si="18"/>
        <v>0</v>
      </c>
      <c r="H73" s="114">
        <f t="shared" si="18"/>
        <v>17.518851000000002</v>
      </c>
      <c r="I73" s="114">
        <f t="shared" si="18"/>
        <v>35.068382999999997</v>
      </c>
      <c r="J73" s="114">
        <f t="shared" si="18"/>
        <v>52.587233999999995</v>
      </c>
      <c r="K73" s="114">
        <f t="shared" si="18"/>
        <v>70.136765999999994</v>
      </c>
      <c r="L73" s="114">
        <f t="shared" si="18"/>
        <v>87.655616999999992</v>
      </c>
      <c r="M73" s="114">
        <f t="shared" si="18"/>
        <v>105.20514899999998</v>
      </c>
      <c r="N73" s="114">
        <f>N72*Preferences.Unit.Power*Unit.year/Preferences.Unit.Energy</f>
        <v>122.724</v>
      </c>
    </row>
    <row r="74" spans="2:15" x14ac:dyDescent="0.2">
      <c r="E74" s="1426"/>
    </row>
    <row r="75" spans="2:15" x14ac:dyDescent="0.2">
      <c r="B75" s="39" t="s">
        <v>975</v>
      </c>
      <c r="E75" s="1426"/>
    </row>
    <row r="76" spans="2:15" x14ac:dyDescent="0.2">
      <c r="B76" s="39"/>
      <c r="C76" s="1427" t="s">
        <v>977</v>
      </c>
      <c r="E76" s="172" t="str">
        <f>Preferences.PowerUnits</f>
        <v>GW</v>
      </c>
      <c r="F76" s="114">
        <f t="shared" ref="F76:N76" si="19">F72/F$36</f>
        <v>0</v>
      </c>
      <c r="G76" s="114">
        <f t="shared" si="19"/>
        <v>0</v>
      </c>
      <c r="H76" s="114">
        <f t="shared" si="19"/>
        <v>5.71</v>
      </c>
      <c r="I76" s="114">
        <f t="shared" si="19"/>
        <v>11.43</v>
      </c>
      <c r="J76" s="114">
        <f t="shared" si="19"/>
        <v>17.14</v>
      </c>
      <c r="K76" s="114">
        <f t="shared" si="19"/>
        <v>22.86</v>
      </c>
      <c r="L76" s="114">
        <f t="shared" si="19"/>
        <v>28.57</v>
      </c>
      <c r="M76" s="114">
        <f t="shared" si="19"/>
        <v>34.29</v>
      </c>
      <c r="N76" s="114">
        <f t="shared" si="19"/>
        <v>40</v>
      </c>
    </row>
    <row r="77" spans="2:15" x14ac:dyDescent="0.2">
      <c r="B77" s="1037" t="s">
        <v>976</v>
      </c>
      <c r="C77" s="2479" t="s">
        <v>978</v>
      </c>
      <c r="E77" s="1426" t="str">
        <f>Preferences.PowerUnits &amp; " / m2"</f>
        <v>GW / m2</v>
      </c>
      <c r="F77" s="1038">
        <f t="shared" ref="F77:N77" si="20">Global.NigeriaIncidentSolarEnergy_SouthFacing*Unit.W</f>
        <v>9.6300000000000014E-7</v>
      </c>
      <c r="G77" s="1038">
        <f t="shared" si="20"/>
        <v>9.6300000000000014E-7</v>
      </c>
      <c r="H77" s="1038">
        <f t="shared" si="20"/>
        <v>9.6300000000000014E-7</v>
      </c>
      <c r="I77" s="1038">
        <f t="shared" si="20"/>
        <v>9.6300000000000014E-7</v>
      </c>
      <c r="J77" s="1038">
        <f t="shared" si="20"/>
        <v>9.6300000000000014E-7</v>
      </c>
      <c r="K77" s="1038">
        <f t="shared" si="20"/>
        <v>9.6300000000000014E-7</v>
      </c>
      <c r="L77" s="1038">
        <f t="shared" si="20"/>
        <v>9.6300000000000014E-7</v>
      </c>
      <c r="M77" s="1038">
        <f t="shared" si="20"/>
        <v>9.6300000000000014E-7</v>
      </c>
      <c r="N77" s="1038">
        <f t="shared" si="20"/>
        <v>9.6300000000000014E-7</v>
      </c>
    </row>
    <row r="78" spans="2:15" ht="15" x14ac:dyDescent="0.2">
      <c r="B78" s="2479" t="s">
        <v>346</v>
      </c>
      <c r="C78" s="1427" t="s">
        <v>981</v>
      </c>
      <c r="E78" s="1426" t="s">
        <v>572</v>
      </c>
      <c r="F78" s="581">
        <f t="shared" ref="F78:N78" si="21">F76/F77</f>
        <v>0</v>
      </c>
      <c r="G78" s="581">
        <f t="shared" si="21"/>
        <v>0</v>
      </c>
      <c r="H78" s="581">
        <f t="shared" si="21"/>
        <v>5929387.3312564893</v>
      </c>
      <c r="I78" s="581">
        <f t="shared" si="21"/>
        <v>11869158.878504671</v>
      </c>
      <c r="J78" s="581">
        <f t="shared" si="21"/>
        <v>17798546.209761161</v>
      </c>
      <c r="K78" s="581">
        <f t="shared" si="21"/>
        <v>23738317.757009342</v>
      </c>
      <c r="L78" s="581">
        <f t="shared" si="21"/>
        <v>29667705.088265833</v>
      </c>
      <c r="M78" s="581">
        <f t="shared" si="21"/>
        <v>35607476.635514013</v>
      </c>
      <c r="N78" s="581">
        <f t="shared" si="21"/>
        <v>41536863.9667705</v>
      </c>
    </row>
    <row r="79" spans="2:15" x14ac:dyDescent="0.2">
      <c r="C79" s="1427"/>
      <c r="E79" s="1426"/>
      <c r="F79" s="581"/>
      <c r="G79" s="581"/>
      <c r="H79" s="581"/>
      <c r="I79" s="581"/>
      <c r="J79" s="581"/>
      <c r="K79" s="581"/>
      <c r="L79" s="581"/>
      <c r="M79" s="581"/>
      <c r="N79" s="581"/>
    </row>
    <row r="80" spans="2:15" ht="4.5" customHeight="1" x14ac:dyDescent="0.2">
      <c r="C80" s="39"/>
      <c r="E80" s="582"/>
      <c r="F80" s="366"/>
      <c r="G80" s="366"/>
      <c r="H80" s="366"/>
      <c r="I80" s="366"/>
      <c r="J80" s="366"/>
      <c r="K80" s="366"/>
      <c r="L80" s="366"/>
      <c r="M80" s="366"/>
      <c r="N80" s="366"/>
    </row>
    <row r="81" spans="2:16" x14ac:dyDescent="0.2">
      <c r="B81" s="2479" t="s">
        <v>1274</v>
      </c>
      <c r="C81" s="1427"/>
      <c r="F81" s="114"/>
      <c r="G81" s="114"/>
      <c r="H81" s="114"/>
      <c r="I81" s="114"/>
      <c r="J81" s="114"/>
      <c r="K81" s="114"/>
      <c r="L81" s="114"/>
      <c r="M81" s="114"/>
      <c r="N81" s="114"/>
    </row>
    <row r="82" spans="2:16" x14ac:dyDescent="0.2">
      <c r="F82" s="1262"/>
      <c r="G82" s="1262"/>
      <c r="H82" s="1262"/>
      <c r="I82" s="1262"/>
      <c r="J82" s="1262"/>
      <c r="K82" s="1262"/>
      <c r="L82" s="1262"/>
      <c r="M82" s="1262"/>
      <c r="N82" s="1262"/>
    </row>
    <row r="83" spans="2:16" x14ac:dyDescent="0.2">
      <c r="C83" s="2479" t="s">
        <v>2379</v>
      </c>
      <c r="E83" s="2479" t="s">
        <v>1275</v>
      </c>
      <c r="F83" s="1262">
        <f t="shared" ref="F83:N83" si="22">F70/plantsize.IV.a</f>
        <v>0</v>
      </c>
      <c r="G83" s="1262">
        <f t="shared" si="22"/>
        <v>0</v>
      </c>
      <c r="H83" s="1262">
        <f t="shared" si="22"/>
        <v>114.19999999999999</v>
      </c>
      <c r="I83" s="1262">
        <f t="shared" si="22"/>
        <v>228.6</v>
      </c>
      <c r="J83" s="1262">
        <f t="shared" si="22"/>
        <v>342.8</v>
      </c>
      <c r="K83" s="1262">
        <f t="shared" si="22"/>
        <v>457.2</v>
      </c>
      <c r="L83" s="1262">
        <f t="shared" si="22"/>
        <v>571.4</v>
      </c>
      <c r="M83" s="1262">
        <f t="shared" si="22"/>
        <v>685.8</v>
      </c>
      <c r="N83" s="1262">
        <f t="shared" si="22"/>
        <v>800</v>
      </c>
    </row>
    <row r="84" spans="2:16" x14ac:dyDescent="0.2">
      <c r="C84" s="2479" t="s">
        <v>1640</v>
      </c>
      <c r="F84" s="1262"/>
      <c r="G84" s="1498"/>
      <c r="H84" s="1498"/>
      <c r="I84" s="1498"/>
      <c r="J84" s="1498"/>
      <c r="K84" s="1498">
        <f>IF($E$8=1,0,-F65)</f>
        <v>0</v>
      </c>
      <c r="L84" s="1498">
        <f>IF($E$8=1,0,-G65)</f>
        <v>0</v>
      </c>
      <c r="M84" s="1498">
        <f>IF($E$8=1,0,-H65)</f>
        <v>-5.71</v>
      </c>
      <c r="N84" s="1498">
        <f>IF($E$8=1,0,-I65)</f>
        <v>-11.43</v>
      </c>
    </row>
    <row r="85" spans="2:16" x14ac:dyDescent="0.2">
      <c r="C85" s="2479" t="s">
        <v>2378</v>
      </c>
      <c r="E85" s="2479" t="s">
        <v>1275</v>
      </c>
      <c r="F85" s="1262"/>
      <c r="G85" s="1262"/>
      <c r="H85" s="1262"/>
      <c r="I85" s="1262">
        <f t="shared" ref="I85:N85" si="23">I84/plantsize.IV.a</f>
        <v>0</v>
      </c>
      <c r="J85" s="1262">
        <f t="shared" si="23"/>
        <v>0</v>
      </c>
      <c r="K85" s="1262">
        <f t="shared" si="23"/>
        <v>0</v>
      </c>
      <c r="L85" s="1262">
        <f t="shared" si="23"/>
        <v>0</v>
      </c>
      <c r="M85" s="1262">
        <f t="shared" si="23"/>
        <v>-114.19999999999999</v>
      </c>
      <c r="N85" s="1262">
        <f t="shared" si="23"/>
        <v>-228.6</v>
      </c>
    </row>
    <row r="86" spans="2:16" x14ac:dyDescent="0.2">
      <c r="C86" s="2479" t="s">
        <v>2377</v>
      </c>
      <c r="F86" s="1262">
        <f>F83-F85</f>
        <v>0</v>
      </c>
      <c r="G86" s="1262">
        <f>G83-G85</f>
        <v>0</v>
      </c>
      <c r="H86" s="1262">
        <f t="shared" ref="H86:N86" si="24">H83-H85</f>
        <v>114.19999999999999</v>
      </c>
      <c r="I86" s="1262">
        <f t="shared" si="24"/>
        <v>228.6</v>
      </c>
      <c r="J86" s="1262">
        <f t="shared" si="24"/>
        <v>342.8</v>
      </c>
      <c r="K86" s="1262">
        <f t="shared" si="24"/>
        <v>457.2</v>
      </c>
      <c r="L86" s="1262">
        <f t="shared" si="24"/>
        <v>571.4</v>
      </c>
      <c r="M86" s="1262">
        <f t="shared" si="24"/>
        <v>800</v>
      </c>
      <c r="N86" s="1262">
        <f t="shared" si="24"/>
        <v>1028.5999999999999</v>
      </c>
    </row>
    <row r="87" spans="2:16" x14ac:dyDescent="0.2">
      <c r="C87" s="2479" t="s">
        <v>1446</v>
      </c>
      <c r="F87" s="1262">
        <v>0</v>
      </c>
      <c r="G87" s="1262">
        <f t="shared" ref="G87:N87" si="25">IF(((G86-F83)/(G$30-F$30))&gt;0,(G86-F83)/(G$30-F$30),0)</f>
        <v>0</v>
      </c>
      <c r="H87" s="1262">
        <f t="shared" si="25"/>
        <v>22.839999999999996</v>
      </c>
      <c r="I87" s="1262">
        <f t="shared" si="25"/>
        <v>22.880000000000003</v>
      </c>
      <c r="J87" s="1262">
        <f t="shared" si="25"/>
        <v>22.840000000000003</v>
      </c>
      <c r="K87" s="1262">
        <f t="shared" si="25"/>
        <v>22.879999999999995</v>
      </c>
      <c r="L87" s="1262">
        <f t="shared" si="25"/>
        <v>22.839999999999996</v>
      </c>
      <c r="M87" s="1262">
        <f t="shared" si="25"/>
        <v>45.720000000000006</v>
      </c>
      <c r="N87" s="1262">
        <f t="shared" si="25"/>
        <v>68.559999999999988</v>
      </c>
    </row>
    <row r="88" spans="2:16" x14ac:dyDescent="0.2">
      <c r="F88" s="1262"/>
      <c r="G88" s="1262"/>
      <c r="H88" s="1262"/>
      <c r="I88" s="1262"/>
      <c r="J88" s="1262"/>
      <c r="K88" s="1262"/>
      <c r="L88" s="1262"/>
      <c r="M88" s="1262"/>
      <c r="N88" s="1262"/>
    </row>
    <row r="89" spans="2:16" x14ac:dyDescent="0.2">
      <c r="B89" s="2479" t="s">
        <v>1420</v>
      </c>
      <c r="F89" s="1262"/>
      <c r="G89" s="1262"/>
      <c r="H89" s="1262"/>
      <c r="I89" s="1262"/>
      <c r="J89" s="1262"/>
      <c r="K89" s="1262"/>
      <c r="L89" s="1262"/>
      <c r="M89" s="1262"/>
      <c r="N89" s="1262"/>
      <c r="O89" s="1262"/>
    </row>
    <row r="90" spans="2:16" x14ac:dyDescent="0.2">
      <c r="C90" s="2479" t="s">
        <v>1418</v>
      </c>
      <c r="E90" s="2479" t="str">
        <f>Preferences.moneyunits</f>
        <v>N</v>
      </c>
      <c r="F90" s="1262">
        <f t="shared" ref="F90:N90" si="26">F87*F$50</f>
        <v>0</v>
      </c>
      <c r="G90" s="1262">
        <f t="shared" si="26"/>
        <v>0</v>
      </c>
      <c r="H90" s="1262">
        <f>H87*H$50</f>
        <v>770849999999.99988</v>
      </c>
      <c r="I90" s="1262">
        <f t="shared" si="26"/>
        <v>772200000000.00012</v>
      </c>
      <c r="J90" s="1262">
        <f t="shared" si="26"/>
        <v>770850000000.00012</v>
      </c>
      <c r="K90" s="1262">
        <f t="shared" si="26"/>
        <v>772199999999.99988</v>
      </c>
      <c r="L90" s="1262">
        <f t="shared" si="26"/>
        <v>770849999999.99988</v>
      </c>
      <c r="M90" s="1262">
        <f t="shared" si="26"/>
        <v>1543050000000.0002</v>
      </c>
      <c r="N90" s="1262">
        <f t="shared" si="26"/>
        <v>2313899999999.9995</v>
      </c>
      <c r="O90" s="1262"/>
    </row>
    <row r="91" spans="2:16" x14ac:dyDescent="0.2">
      <c r="C91" s="2479" t="s">
        <v>1419</v>
      </c>
      <c r="E91" s="2479" t="str">
        <f>Preferences.moneyunits</f>
        <v>N</v>
      </c>
      <c r="F91" s="1262">
        <f t="shared" ref="F91:N91" si="27">F83*F57</f>
        <v>0</v>
      </c>
      <c r="G91" s="1262">
        <f t="shared" si="27"/>
        <v>0</v>
      </c>
      <c r="H91" s="1262">
        <f t="shared" si="27"/>
        <v>25694999.999999996</v>
      </c>
      <c r="I91" s="1262">
        <f t="shared" si="27"/>
        <v>51435000</v>
      </c>
      <c r="J91" s="1262">
        <f t="shared" si="27"/>
        <v>77130000</v>
      </c>
      <c r="K91" s="1262">
        <f t="shared" si="27"/>
        <v>102870000</v>
      </c>
      <c r="L91" s="1262">
        <f t="shared" si="27"/>
        <v>128565000</v>
      </c>
      <c r="M91" s="1262">
        <f t="shared" si="27"/>
        <v>154305000</v>
      </c>
      <c r="N91" s="1262">
        <f t="shared" si="27"/>
        <v>180000000</v>
      </c>
      <c r="O91" s="1262"/>
      <c r="P91" s="23"/>
    </row>
    <row r="92" spans="2:16" x14ac:dyDescent="0.2">
      <c r="C92" s="2479" t="s">
        <v>1421</v>
      </c>
      <c r="E92" s="2479" t="str">
        <f>Preferences.moneyunits</f>
        <v>N</v>
      </c>
      <c r="F92" s="1262">
        <f t="shared" ref="F92:N92" si="28">SUM(F90:F91)</f>
        <v>0</v>
      </c>
      <c r="G92" s="1262">
        <f t="shared" si="28"/>
        <v>0</v>
      </c>
      <c r="H92" s="1262">
        <f t="shared" si="28"/>
        <v>770875694999.99988</v>
      </c>
      <c r="I92" s="1262">
        <f t="shared" si="28"/>
        <v>772251435000.00012</v>
      </c>
      <c r="J92" s="1262">
        <f t="shared" si="28"/>
        <v>770927130000.00012</v>
      </c>
      <c r="K92" s="1262">
        <f t="shared" si="28"/>
        <v>772302869999.99988</v>
      </c>
      <c r="L92" s="1262">
        <f t="shared" si="28"/>
        <v>770978564999.99988</v>
      </c>
      <c r="M92" s="1262">
        <f t="shared" si="28"/>
        <v>1543204305000.0002</v>
      </c>
      <c r="N92" s="1262">
        <f t="shared" si="28"/>
        <v>2314079999999.9995</v>
      </c>
      <c r="O92" s="1262"/>
    </row>
    <row r="93" spans="2:16" x14ac:dyDescent="0.2">
      <c r="C93" s="1427"/>
      <c r="F93" s="114"/>
      <c r="G93" s="114"/>
      <c r="H93" s="114"/>
      <c r="I93" s="114"/>
      <c r="J93" s="114"/>
      <c r="K93" s="114"/>
      <c r="L93" s="114"/>
      <c r="M93" s="114"/>
      <c r="N93" s="114"/>
      <c r="O93" s="1262"/>
    </row>
    <row r="94" spans="2:16" x14ac:dyDescent="0.2">
      <c r="B94" s="2479" t="s">
        <v>1874</v>
      </c>
      <c r="F94" s="1262"/>
      <c r="G94" s="1262"/>
      <c r="H94" s="1262"/>
      <c r="I94" s="1262"/>
      <c r="J94" s="1262"/>
      <c r="K94" s="1262"/>
      <c r="L94" s="1262"/>
      <c r="M94" s="1262"/>
      <c r="N94" s="1262"/>
      <c r="O94" s="1262"/>
      <c r="P94" s="24"/>
    </row>
    <row r="95" spans="2:16" x14ac:dyDescent="0.2">
      <c r="C95" s="2479" t="s">
        <v>1418</v>
      </c>
      <c r="E95" s="2479" t="str">
        <f>Preferences.moneyunits</f>
        <v>N</v>
      </c>
      <c r="F95" s="1262">
        <f t="shared" ref="F95:N95" si="29">F87*F$49</f>
        <v>0</v>
      </c>
      <c r="G95" s="1262">
        <f t="shared" si="29"/>
        <v>0</v>
      </c>
      <c r="H95" s="1262">
        <f t="shared" si="29"/>
        <v>856499999999.99988</v>
      </c>
      <c r="I95" s="1262">
        <f t="shared" si="29"/>
        <v>858000000000.00012</v>
      </c>
      <c r="J95" s="1262">
        <f t="shared" si="29"/>
        <v>856500000000.00012</v>
      </c>
      <c r="K95" s="1262">
        <f t="shared" si="29"/>
        <v>857999999999.99988</v>
      </c>
      <c r="L95" s="1262">
        <f t="shared" si="29"/>
        <v>856499999999.99988</v>
      </c>
      <c r="M95" s="1262">
        <f t="shared" si="29"/>
        <v>1714500000000.0002</v>
      </c>
      <c r="N95" s="1262">
        <f t="shared" si="29"/>
        <v>2570999999999.9995</v>
      </c>
      <c r="O95" s="1262"/>
    </row>
    <row r="96" spans="2:16" x14ac:dyDescent="0.2">
      <c r="C96" s="2479" t="s">
        <v>1419</v>
      </c>
      <c r="E96" s="2479" t="str">
        <f>Preferences.moneyunits</f>
        <v>N</v>
      </c>
      <c r="F96" s="1262">
        <f t="shared" ref="F96:N96" si="30">F83*F56</f>
        <v>0</v>
      </c>
      <c r="G96" s="1262">
        <f t="shared" si="30"/>
        <v>0</v>
      </c>
      <c r="H96" s="1262">
        <f t="shared" si="30"/>
        <v>29977499.999999996</v>
      </c>
      <c r="I96" s="1262">
        <f t="shared" si="30"/>
        <v>60007500</v>
      </c>
      <c r="J96" s="1262">
        <f t="shared" si="30"/>
        <v>89985000</v>
      </c>
      <c r="K96" s="1262">
        <f t="shared" si="30"/>
        <v>120015000</v>
      </c>
      <c r="L96" s="1262">
        <f t="shared" si="30"/>
        <v>149992500</v>
      </c>
      <c r="M96" s="1262">
        <f t="shared" si="30"/>
        <v>180022500</v>
      </c>
      <c r="N96" s="1262">
        <f t="shared" si="30"/>
        <v>210000000</v>
      </c>
      <c r="O96" s="1262"/>
    </row>
    <row r="97" spans="2:17" x14ac:dyDescent="0.2">
      <c r="C97" s="2479" t="s">
        <v>1421</v>
      </c>
      <c r="E97" s="2479" t="str">
        <f>Preferences.moneyunits</f>
        <v>N</v>
      </c>
      <c r="F97" s="1262">
        <f t="shared" ref="F97:N97" si="31">SUM(F95:F96)</f>
        <v>0</v>
      </c>
      <c r="G97" s="1262">
        <f t="shared" si="31"/>
        <v>0</v>
      </c>
      <c r="H97" s="1262">
        <f t="shared" si="31"/>
        <v>856529977499.99988</v>
      </c>
      <c r="I97" s="1262">
        <f t="shared" si="31"/>
        <v>858060007500.00012</v>
      </c>
      <c r="J97" s="1262">
        <f t="shared" si="31"/>
        <v>856589985000.00012</v>
      </c>
      <c r="K97" s="1262">
        <f t="shared" si="31"/>
        <v>858120014999.99988</v>
      </c>
      <c r="L97" s="1262">
        <f t="shared" si="31"/>
        <v>856649992499.99988</v>
      </c>
      <c r="M97" s="1262">
        <f t="shared" si="31"/>
        <v>1714680022500.0002</v>
      </c>
      <c r="N97" s="1262">
        <f t="shared" si="31"/>
        <v>2571209999999.9995</v>
      </c>
    </row>
    <row r="98" spans="2:17" x14ac:dyDescent="0.2">
      <c r="F98" s="1262"/>
      <c r="G98" s="1262"/>
      <c r="H98" s="1262"/>
      <c r="I98" s="1262"/>
      <c r="J98" s="1262"/>
      <c r="K98" s="1262"/>
      <c r="L98" s="1262"/>
      <c r="M98" s="1262"/>
      <c r="N98" s="1262"/>
    </row>
    <row r="99" spans="2:17" x14ac:dyDescent="0.2">
      <c r="B99" s="2479" t="s">
        <v>1422</v>
      </c>
      <c r="F99" s="1262"/>
      <c r="G99" s="1262"/>
      <c r="H99" s="1262"/>
      <c r="I99" s="1262"/>
      <c r="J99" s="1262"/>
      <c r="K99" s="1262"/>
      <c r="L99" s="1262"/>
      <c r="M99" s="1262"/>
      <c r="N99" s="1262"/>
    </row>
    <row r="100" spans="2:17" x14ac:dyDescent="0.2">
      <c r="C100" s="2479" t="s">
        <v>1418</v>
      </c>
      <c r="E100" s="2479" t="str">
        <f>Preferences.moneyunits</f>
        <v>N</v>
      </c>
      <c r="F100" s="1262">
        <f t="shared" ref="F100:N100" si="32">F87*F$48</f>
        <v>0</v>
      </c>
      <c r="G100" s="1262">
        <f t="shared" si="32"/>
        <v>0</v>
      </c>
      <c r="H100" s="1262">
        <f t="shared" si="32"/>
        <v>942149999999.99988</v>
      </c>
      <c r="I100" s="1262">
        <f t="shared" si="32"/>
        <v>943800000000.00012</v>
      </c>
      <c r="J100" s="1262">
        <f t="shared" si="32"/>
        <v>942150000000.00012</v>
      </c>
      <c r="K100" s="1262">
        <f t="shared" si="32"/>
        <v>943799999999.99976</v>
      </c>
      <c r="L100" s="1262">
        <f t="shared" si="32"/>
        <v>942149999999.99988</v>
      </c>
      <c r="M100" s="1262">
        <f t="shared" si="32"/>
        <v>1885950000000.0002</v>
      </c>
      <c r="N100" s="1262">
        <f t="shared" si="32"/>
        <v>2828099999999.9995</v>
      </c>
    </row>
    <row r="101" spans="2:17" x14ac:dyDescent="0.2">
      <c r="C101" s="2479" t="s">
        <v>1419</v>
      </c>
      <c r="E101" s="2479" t="str">
        <f>Preferences.moneyunits</f>
        <v>N</v>
      </c>
      <c r="F101" s="1262">
        <f t="shared" ref="F101:N101" si="33">F83*F55</f>
        <v>0</v>
      </c>
      <c r="G101" s="1262">
        <f t="shared" si="33"/>
        <v>0</v>
      </c>
      <c r="H101" s="1262">
        <f t="shared" si="33"/>
        <v>34260000</v>
      </c>
      <c r="I101" s="1262">
        <f t="shared" si="33"/>
        <v>68580000</v>
      </c>
      <c r="J101" s="1262">
        <f t="shared" si="33"/>
        <v>102840000</v>
      </c>
      <c r="K101" s="1262">
        <f t="shared" si="33"/>
        <v>137160000</v>
      </c>
      <c r="L101" s="1262">
        <f t="shared" si="33"/>
        <v>171420000</v>
      </c>
      <c r="M101" s="1262">
        <f t="shared" si="33"/>
        <v>205740000</v>
      </c>
      <c r="N101" s="1262">
        <f t="shared" si="33"/>
        <v>240000000</v>
      </c>
      <c r="P101" s="1245"/>
    </row>
    <row r="102" spans="2:17" x14ac:dyDescent="0.2">
      <c r="C102" s="2479" t="s">
        <v>1421</v>
      </c>
      <c r="E102" s="2479" t="str">
        <f>Preferences.moneyunits</f>
        <v>N</v>
      </c>
      <c r="F102" s="1262">
        <f t="shared" ref="F102:N102" si="34">SUM(F100:F101)</f>
        <v>0</v>
      </c>
      <c r="G102" s="1262">
        <f t="shared" si="34"/>
        <v>0</v>
      </c>
      <c r="H102" s="1262">
        <f t="shared" si="34"/>
        <v>942184259999.99988</v>
      </c>
      <c r="I102" s="1262">
        <f t="shared" si="34"/>
        <v>943868580000.00012</v>
      </c>
      <c r="J102" s="1262">
        <f t="shared" si="34"/>
        <v>942252840000.00012</v>
      </c>
      <c r="K102" s="1262">
        <f t="shared" si="34"/>
        <v>943937159999.99976</v>
      </c>
      <c r="L102" s="1262">
        <f t="shared" si="34"/>
        <v>942321419999.99988</v>
      </c>
      <c r="M102" s="1262">
        <f t="shared" si="34"/>
        <v>1886155740000.0002</v>
      </c>
      <c r="N102" s="1262">
        <f t="shared" si="34"/>
        <v>2828339999999.9995</v>
      </c>
      <c r="P102" s="1245"/>
    </row>
    <row r="103" spans="2:17" x14ac:dyDescent="0.2">
      <c r="Q103" s="1245"/>
    </row>
    <row r="104" spans="2:17" ht="15.75" x14ac:dyDescent="0.2">
      <c r="B104" s="468" t="s">
        <v>236</v>
      </c>
      <c r="C104" s="421"/>
      <c r="D104" s="421"/>
      <c r="E104" s="421"/>
      <c r="F104" s="421"/>
      <c r="G104" s="421"/>
      <c r="H104" s="421"/>
      <c r="I104" s="421"/>
      <c r="J104" s="421"/>
      <c r="K104" s="421"/>
      <c r="L104" s="421"/>
      <c r="M104" s="421"/>
      <c r="N104" s="421"/>
      <c r="O104" s="421"/>
      <c r="P104" s="423"/>
      <c r="Q104" s="1245"/>
    </row>
    <row r="105" spans="2:17" x14ac:dyDescent="0.2">
      <c r="B105" s="410"/>
      <c r="C105" s="412"/>
      <c r="D105" s="412"/>
      <c r="E105" s="412"/>
      <c r="F105" s="412"/>
      <c r="G105" s="412"/>
      <c r="H105" s="412"/>
      <c r="I105" s="412"/>
      <c r="J105" s="412"/>
      <c r="K105" s="412"/>
      <c r="L105" s="412"/>
      <c r="M105" s="412"/>
      <c r="N105" s="412"/>
      <c r="O105" s="412"/>
      <c r="P105" s="414"/>
      <c r="Q105" s="1245"/>
    </row>
    <row r="106" spans="2:17" x14ac:dyDescent="0.2">
      <c r="B106" s="410"/>
      <c r="C106" s="424" t="s">
        <v>277</v>
      </c>
      <c r="D106" s="412"/>
      <c r="E106" s="413"/>
      <c r="F106" s="412"/>
      <c r="G106" s="413"/>
      <c r="H106" s="412"/>
      <c r="I106" s="412"/>
      <c r="J106" s="412"/>
      <c r="K106" s="412"/>
      <c r="L106" s="412"/>
      <c r="M106" s="412"/>
      <c r="N106" s="412"/>
      <c r="O106" s="413" t="str">
        <f>Preferences.EnergyUnits</f>
        <v>TWh</v>
      </c>
      <c r="P106" s="414"/>
      <c r="Q106" s="1245"/>
    </row>
    <row r="107" spans="2:17" x14ac:dyDescent="0.2">
      <c r="B107" s="410"/>
      <c r="C107" s="412"/>
      <c r="D107" s="412"/>
      <c r="E107" s="412"/>
      <c r="F107" s="412"/>
      <c r="G107" s="412"/>
      <c r="H107" s="412"/>
      <c r="I107" s="412"/>
      <c r="J107" s="412"/>
      <c r="K107" s="412"/>
      <c r="L107" s="412"/>
      <c r="M107" s="412"/>
      <c r="N107" s="412"/>
      <c r="O107" s="412"/>
      <c r="P107" s="414"/>
      <c r="Q107" s="1245"/>
    </row>
    <row r="108" spans="2:17" ht="15.75" x14ac:dyDescent="0.25">
      <c r="B108" s="415"/>
      <c r="C108" s="426" t="s">
        <v>64</v>
      </c>
      <c r="D108" s="426" t="s">
        <v>150</v>
      </c>
      <c r="E108" s="426" t="s">
        <v>172</v>
      </c>
      <c r="F108" s="426" t="s">
        <v>241</v>
      </c>
      <c r="G108" s="426" t="s">
        <v>268</v>
      </c>
      <c r="H108" s="426" t="s">
        <v>269</v>
      </c>
      <c r="I108" s="426" t="s">
        <v>270</v>
      </c>
      <c r="J108" s="426" t="s">
        <v>271</v>
      </c>
      <c r="K108" s="426" t="s">
        <v>272</v>
      </c>
      <c r="L108" s="426" t="s">
        <v>273</v>
      </c>
      <c r="M108" s="426" t="s">
        <v>274</v>
      </c>
      <c r="N108" s="426" t="s">
        <v>275</v>
      </c>
      <c r="O108" s="414"/>
      <c r="P108" s="1245"/>
    </row>
    <row r="109" spans="2:17" ht="15.75" x14ac:dyDescent="0.25">
      <c r="B109" s="415"/>
      <c r="C109" s="97" t="s">
        <v>35</v>
      </c>
      <c r="D109" s="97" t="str">
        <f>INDEX(Vectors[Description], MATCH(III.g.Outputs[Vector],Vectors[Code], 0))</f>
        <v>Electricity (supplied to grid)</v>
      </c>
      <c r="E109" s="97"/>
      <c r="F109" s="241">
        <f t="shared" ref="F109:N109" si="35">F$73</f>
        <v>0</v>
      </c>
      <c r="G109" s="241">
        <f t="shared" si="35"/>
        <v>0</v>
      </c>
      <c r="H109" s="241">
        <f t="shared" si="35"/>
        <v>17.518851000000002</v>
      </c>
      <c r="I109" s="241">
        <f t="shared" si="35"/>
        <v>35.068382999999997</v>
      </c>
      <c r="J109" s="241">
        <f t="shared" si="35"/>
        <v>52.587233999999995</v>
      </c>
      <c r="K109" s="241">
        <f t="shared" si="35"/>
        <v>70.136765999999994</v>
      </c>
      <c r="L109" s="241">
        <f t="shared" si="35"/>
        <v>87.655616999999992</v>
      </c>
      <c r="M109" s="241">
        <f t="shared" si="35"/>
        <v>105.20514899999998</v>
      </c>
      <c r="N109" s="241">
        <f t="shared" si="35"/>
        <v>122.724</v>
      </c>
      <c r="O109" s="414"/>
      <c r="P109" s="1245"/>
    </row>
    <row r="110" spans="2:17" ht="15.75" x14ac:dyDescent="0.25">
      <c r="B110" s="415"/>
      <c r="C110" s="97" t="s">
        <v>25</v>
      </c>
      <c r="D110" s="97" t="str">
        <f>INDEX(Vectors[Description], MATCH(III.g.Outputs[Vector],Vectors[Code], 0))</f>
        <v>Solar</v>
      </c>
      <c r="E110" s="97"/>
      <c r="F110" s="241">
        <f t="shared" ref="F110:N110" si="36">-F$73</f>
        <v>0</v>
      </c>
      <c r="G110" s="241">
        <f t="shared" si="36"/>
        <v>0</v>
      </c>
      <c r="H110" s="241">
        <f t="shared" si="36"/>
        <v>-17.518851000000002</v>
      </c>
      <c r="I110" s="241">
        <f t="shared" si="36"/>
        <v>-35.068382999999997</v>
      </c>
      <c r="J110" s="241">
        <f t="shared" si="36"/>
        <v>-52.587233999999995</v>
      </c>
      <c r="K110" s="241">
        <f t="shared" si="36"/>
        <v>-70.136765999999994</v>
      </c>
      <c r="L110" s="241">
        <f t="shared" si="36"/>
        <v>-87.655616999999992</v>
      </c>
      <c r="M110" s="241">
        <f t="shared" si="36"/>
        <v>-105.20514899999998</v>
      </c>
      <c r="N110" s="241">
        <f t="shared" si="36"/>
        <v>-122.724</v>
      </c>
      <c r="O110" s="414"/>
      <c r="P110" s="1245"/>
    </row>
    <row r="111" spans="2:17" ht="15.75" x14ac:dyDescent="0.25">
      <c r="B111" s="415"/>
      <c r="C111" s="97" t="s">
        <v>105</v>
      </c>
      <c r="D111" s="97"/>
      <c r="E111" s="97"/>
      <c r="F111" s="97">
        <f>SUBTOTAL(109,III.g.Outputs[2010])</f>
        <v>0</v>
      </c>
      <c r="G111" s="97">
        <f>SUBTOTAL(109,III.g.Outputs[2015])</f>
        <v>0</v>
      </c>
      <c r="H111" s="97">
        <f>SUBTOTAL(109,III.g.Outputs[2020])</f>
        <v>0</v>
      </c>
      <c r="I111" s="97">
        <f>SUBTOTAL(109,III.g.Outputs[2025])</f>
        <v>0</v>
      </c>
      <c r="J111" s="97">
        <f>SUBTOTAL(109,III.g.Outputs[2030])</f>
        <v>0</v>
      </c>
      <c r="K111" s="97">
        <f>SUBTOTAL(109,III.g.Outputs[2035])</f>
        <v>0</v>
      </c>
      <c r="L111" s="97">
        <f>SUBTOTAL(109,III.g.Outputs[2040])</f>
        <v>0</v>
      </c>
      <c r="M111" s="97">
        <f>SUBTOTAL(109,III.g.Outputs[2045])</f>
        <v>0</v>
      </c>
      <c r="N111" s="97">
        <f>SUBTOTAL(109,III.g.Outputs[2050])</f>
        <v>0</v>
      </c>
      <c r="O111" s="414"/>
      <c r="P111" s="1245"/>
    </row>
    <row r="112" spans="2:17" ht="15.75" x14ac:dyDescent="0.25">
      <c r="B112" s="416"/>
      <c r="C112" s="417"/>
      <c r="D112" s="417"/>
      <c r="E112" s="417"/>
      <c r="F112" s="417"/>
      <c r="G112" s="417"/>
      <c r="H112" s="417"/>
      <c r="I112" s="417"/>
      <c r="J112" s="417"/>
      <c r="K112" s="417"/>
      <c r="L112" s="417"/>
      <c r="M112" s="417"/>
      <c r="N112" s="417"/>
      <c r="O112" s="417"/>
      <c r="P112" s="419"/>
      <c r="Q112" s="1245"/>
    </row>
    <row r="114" spans="2:16" ht="15.75" x14ac:dyDescent="0.2">
      <c r="B114" s="1430" t="s">
        <v>1225</v>
      </c>
      <c r="C114" s="1218"/>
      <c r="D114" s="1431"/>
      <c r="E114" s="1431"/>
      <c r="F114" s="1431"/>
      <c r="G114" s="1431"/>
      <c r="H114" s="1431"/>
      <c r="I114" s="1431"/>
      <c r="J114" s="1431"/>
      <c r="K114" s="1431"/>
      <c r="L114" s="1431"/>
      <c r="M114" s="1431"/>
      <c r="N114" s="1431"/>
      <c r="O114" s="1431"/>
      <c r="P114" s="1432"/>
    </row>
    <row r="115" spans="2:16" x14ac:dyDescent="0.2">
      <c r="B115" s="1219"/>
      <c r="C115" s="1220"/>
      <c r="D115" s="1220"/>
      <c r="E115" s="1220"/>
      <c r="F115" s="1220"/>
      <c r="G115" s="1220"/>
      <c r="H115" s="1220"/>
      <c r="I115" s="1220"/>
      <c r="J115" s="1220"/>
      <c r="K115" s="1220"/>
      <c r="L115" s="1220"/>
      <c r="M115" s="1220"/>
      <c r="N115" s="1220"/>
      <c r="O115" s="1220"/>
      <c r="P115" s="1221"/>
    </row>
    <row r="116" spans="2:16" x14ac:dyDescent="0.2">
      <c r="B116" s="1433"/>
      <c r="C116" s="1222" t="s">
        <v>1230</v>
      </c>
      <c r="D116" s="1434"/>
      <c r="E116" s="1223"/>
      <c r="F116" s="1434"/>
      <c r="G116" s="1223"/>
      <c r="H116" s="1434"/>
      <c r="I116" s="1434"/>
      <c r="J116" s="1434"/>
      <c r="K116" s="1434"/>
      <c r="L116" s="1434"/>
      <c r="M116" s="1434"/>
      <c r="N116" s="1434"/>
      <c r="O116" s="1223"/>
      <c r="P116" s="1435"/>
    </row>
    <row r="117" spans="2:16" collapsed="1" x14ac:dyDescent="0.2">
      <c r="B117" s="1433"/>
      <c r="C117" s="1434"/>
      <c r="D117" s="1434"/>
      <c r="E117" s="1434"/>
      <c r="F117" s="1434"/>
      <c r="G117" s="1434"/>
      <c r="H117" s="1434"/>
      <c r="I117" s="1434"/>
      <c r="J117" s="1434"/>
      <c r="K117" s="1434"/>
      <c r="L117" s="1434"/>
      <c r="M117" s="1434"/>
      <c r="N117" s="1434"/>
      <c r="O117" s="1434"/>
      <c r="P117" s="1435"/>
    </row>
    <row r="118" spans="2:16" ht="15.75" x14ac:dyDescent="0.25">
      <c r="B118" s="1436"/>
      <c r="C118" s="1437" t="s">
        <v>64</v>
      </c>
      <c r="D118" s="1437" t="s">
        <v>1226</v>
      </c>
      <c r="E118" s="1437" t="s">
        <v>172</v>
      </c>
      <c r="F118" s="1437" t="s">
        <v>241</v>
      </c>
      <c r="G118" s="1437" t="s">
        <v>268</v>
      </c>
      <c r="H118" s="1437" t="s">
        <v>269</v>
      </c>
      <c r="I118" s="1437" t="s">
        <v>270</v>
      </c>
      <c r="J118" s="1437" t="s">
        <v>271</v>
      </c>
      <c r="K118" s="1437" t="s">
        <v>272</v>
      </c>
      <c r="L118" s="1437" t="s">
        <v>273</v>
      </c>
      <c r="M118" s="1437" t="s">
        <v>274</v>
      </c>
      <c r="N118" s="1437" t="s">
        <v>275</v>
      </c>
      <c r="O118" s="1435"/>
    </row>
    <row r="119" spans="2:16" ht="15.75" x14ac:dyDescent="0.25">
      <c r="B119" s="1436"/>
      <c r="C119" s="1438" t="s">
        <v>1227</v>
      </c>
      <c r="D119" s="1438" t="s">
        <v>2380</v>
      </c>
      <c r="E119" s="1439" t="str">
        <f>Preferences.AreaUnits</f>
        <v>km^2</v>
      </c>
      <c r="F119" s="1226">
        <f t="shared" ref="F119:N119" si="37">F78*Unit.m2</f>
        <v>0</v>
      </c>
      <c r="G119" s="1226">
        <f t="shared" si="37"/>
        <v>0</v>
      </c>
      <c r="H119" s="1226">
        <f t="shared" si="37"/>
        <v>5.9293873312564891</v>
      </c>
      <c r="I119" s="1226">
        <f t="shared" si="37"/>
        <v>11.86915887850467</v>
      </c>
      <c r="J119" s="1226">
        <f t="shared" si="37"/>
        <v>17.79854620976116</v>
      </c>
      <c r="K119" s="1226">
        <f t="shared" si="37"/>
        <v>23.738317757009341</v>
      </c>
      <c r="L119" s="1226">
        <f t="shared" si="37"/>
        <v>29.66770508826583</v>
      </c>
      <c r="M119" s="1226">
        <f t="shared" si="37"/>
        <v>35.607476635514011</v>
      </c>
      <c r="N119" s="1226">
        <f t="shared" si="37"/>
        <v>41.536863966770497</v>
      </c>
      <c r="O119" s="1435"/>
    </row>
    <row r="120" spans="2:16" ht="15.75" x14ac:dyDescent="0.25">
      <c r="B120" s="1436"/>
      <c r="C120" s="1438" t="s">
        <v>1232</v>
      </c>
      <c r="D120" s="1439" t="str">
        <f>INDEX(Vectors[Description], MATCH(III.g.info[Vector], Vectors[Code], 0))</f>
        <v xml:space="preserve">Installed Capacity </v>
      </c>
      <c r="E120" s="1439" t="str">
        <f>Preferences.PowerUnits</f>
        <v>GW</v>
      </c>
      <c r="F120" s="1226">
        <f t="shared" ref="F120:N120" si="38">F65</f>
        <v>0</v>
      </c>
      <c r="G120" s="1226">
        <f t="shared" si="38"/>
        <v>0</v>
      </c>
      <c r="H120" s="1226">
        <f t="shared" si="38"/>
        <v>5.71</v>
      </c>
      <c r="I120" s="1226">
        <f t="shared" si="38"/>
        <v>11.43</v>
      </c>
      <c r="J120" s="1226">
        <f t="shared" si="38"/>
        <v>17.14</v>
      </c>
      <c r="K120" s="1226">
        <f t="shared" si="38"/>
        <v>22.86</v>
      </c>
      <c r="L120" s="1226">
        <f t="shared" si="38"/>
        <v>28.57</v>
      </c>
      <c r="M120" s="1226">
        <f t="shared" si="38"/>
        <v>34.29</v>
      </c>
      <c r="N120" s="1226">
        <f t="shared" si="38"/>
        <v>40</v>
      </c>
      <c r="O120" s="1435"/>
    </row>
    <row r="121" spans="2:16" ht="6" customHeight="1" x14ac:dyDescent="0.25">
      <c r="B121" s="1227"/>
      <c r="C121" s="1440"/>
      <c r="D121" s="1440"/>
      <c r="E121" s="1440"/>
      <c r="F121" s="1440"/>
      <c r="G121" s="1440"/>
      <c r="H121" s="1440"/>
      <c r="I121" s="1440"/>
      <c r="J121" s="1440"/>
      <c r="K121" s="1440"/>
      <c r="L121" s="1440"/>
      <c r="M121" s="1440"/>
      <c r="N121" s="1440"/>
      <c r="O121" s="1440"/>
      <c r="P121" s="1224"/>
    </row>
    <row r="123" spans="2:16" ht="15.75" x14ac:dyDescent="0.2">
      <c r="B123" s="1430" t="s">
        <v>1424</v>
      </c>
      <c r="C123" s="1431"/>
      <c r="D123" s="1431"/>
      <c r="E123" s="1431"/>
      <c r="F123" s="1431"/>
      <c r="G123" s="1431"/>
      <c r="H123" s="1431"/>
      <c r="I123" s="1431"/>
      <c r="J123" s="1431"/>
      <c r="K123" s="1431"/>
      <c r="L123" s="1431"/>
      <c r="M123" s="1431"/>
      <c r="N123" s="1431"/>
      <c r="O123" s="1431"/>
      <c r="P123" s="1432"/>
    </row>
    <row r="124" spans="2:16" x14ac:dyDescent="0.2">
      <c r="B124" s="1433"/>
      <c r="C124" s="1434"/>
      <c r="D124" s="1434"/>
      <c r="E124" s="1434"/>
      <c r="F124" s="1434"/>
      <c r="G124" s="1434"/>
      <c r="H124" s="1434"/>
      <c r="I124" s="1434"/>
      <c r="J124" s="1434"/>
      <c r="K124" s="1434"/>
      <c r="L124" s="1434"/>
      <c r="M124" s="1434"/>
      <c r="N124" s="1434"/>
      <c r="O124" s="1434"/>
      <c r="P124" s="1435"/>
    </row>
    <row r="125" spans="2:16" x14ac:dyDescent="0.2">
      <c r="B125" s="1433"/>
      <c r="C125" s="1441" t="s">
        <v>1425</v>
      </c>
      <c r="D125" s="1442"/>
      <c r="E125" s="1442"/>
      <c r="F125" s="1442"/>
      <c r="G125" s="1442"/>
      <c r="H125" s="1442"/>
      <c r="I125" s="1442"/>
      <c r="J125" s="1442"/>
      <c r="K125" s="1442"/>
      <c r="L125" s="1442"/>
      <c r="M125" s="1442"/>
      <c r="N125" s="1442"/>
      <c r="O125" s="1479" t="str">
        <f>Preferences.moneyunits</f>
        <v>N</v>
      </c>
      <c r="P125" s="1435"/>
    </row>
    <row r="126" spans="2:16" ht="4.5" customHeight="1" x14ac:dyDescent="0.2">
      <c r="B126" s="1433"/>
      <c r="C126" s="1434"/>
      <c r="D126" s="1434"/>
      <c r="E126" s="1434"/>
      <c r="F126" s="1434"/>
      <c r="G126" s="1434"/>
      <c r="H126" s="1434"/>
      <c r="I126" s="1434"/>
      <c r="J126" s="1434"/>
      <c r="K126" s="1434"/>
      <c r="L126" s="1434"/>
      <c r="M126" s="1434"/>
      <c r="N126" s="1434"/>
      <c r="O126" s="1434"/>
      <c r="P126" s="1435"/>
    </row>
    <row r="127" spans="2:16" ht="15.75" x14ac:dyDescent="0.25">
      <c r="B127" s="1436"/>
      <c r="C127" s="1437" t="s">
        <v>64</v>
      </c>
      <c r="D127" s="1437" t="s">
        <v>150</v>
      </c>
      <c r="E127" s="1437" t="s">
        <v>172</v>
      </c>
      <c r="F127" s="1437" t="s">
        <v>241</v>
      </c>
      <c r="G127" s="1437" t="s">
        <v>268</v>
      </c>
      <c r="H127" s="1437" t="s">
        <v>269</v>
      </c>
      <c r="I127" s="1437" t="s">
        <v>270</v>
      </c>
      <c r="J127" s="1437" t="s">
        <v>271</v>
      </c>
      <c r="K127" s="1437" t="s">
        <v>272</v>
      </c>
      <c r="L127" s="1437" t="s">
        <v>273</v>
      </c>
      <c r="M127" s="1437" t="s">
        <v>274</v>
      </c>
      <c r="N127" s="1437" t="s">
        <v>275</v>
      </c>
      <c r="O127" s="1443"/>
    </row>
    <row r="128" spans="2:16" ht="21.75" customHeight="1" x14ac:dyDescent="0.25">
      <c r="B128" s="1436"/>
      <c r="C128" s="1438" t="s">
        <v>1382</v>
      </c>
      <c r="D128" s="1439" t="str">
        <f>INDEX(CostVectors[Description], MATCH(C128, CostVectors[Code], 0))</f>
        <v>Low estimate of capital costs</v>
      </c>
      <c r="E128" s="1439"/>
      <c r="F128" s="1448">
        <f t="shared" ref="F128:N129" si="39">F90</f>
        <v>0</v>
      </c>
      <c r="G128" s="1448">
        <f t="shared" si="39"/>
        <v>0</v>
      </c>
      <c r="H128" s="1448">
        <f t="shared" si="39"/>
        <v>770849999999.99988</v>
      </c>
      <c r="I128" s="1448">
        <f t="shared" si="39"/>
        <v>772200000000.00012</v>
      </c>
      <c r="J128" s="1448">
        <f t="shared" si="39"/>
        <v>770850000000.00012</v>
      </c>
      <c r="K128" s="1448">
        <f t="shared" si="39"/>
        <v>772199999999.99988</v>
      </c>
      <c r="L128" s="1448">
        <f t="shared" si="39"/>
        <v>770849999999.99988</v>
      </c>
      <c r="M128" s="1448">
        <f t="shared" si="39"/>
        <v>1543050000000.0002</v>
      </c>
      <c r="N128" s="1448">
        <f t="shared" si="39"/>
        <v>2313899999999.9995</v>
      </c>
      <c r="O128" s="1443"/>
    </row>
    <row r="129" spans="2:16" ht="15.75" x14ac:dyDescent="0.25">
      <c r="B129" s="1436"/>
      <c r="C129" s="1438" t="s">
        <v>1384</v>
      </c>
      <c r="D129" s="1439" t="str">
        <f>INDEX(CostVectors[Description], MATCH(C129, CostVectors[Code], 0))</f>
        <v>Low estimate of operating costs</v>
      </c>
      <c r="E129" s="1439"/>
      <c r="F129" s="1448">
        <f t="shared" si="39"/>
        <v>0</v>
      </c>
      <c r="G129" s="1448">
        <f t="shared" si="39"/>
        <v>0</v>
      </c>
      <c r="H129" s="1448">
        <f>H91</f>
        <v>25694999.999999996</v>
      </c>
      <c r="I129" s="1448">
        <f t="shared" si="39"/>
        <v>51435000</v>
      </c>
      <c r="J129" s="1448">
        <f t="shared" si="39"/>
        <v>77130000</v>
      </c>
      <c r="K129" s="1448">
        <f t="shared" si="39"/>
        <v>102870000</v>
      </c>
      <c r="L129" s="1448">
        <f t="shared" si="39"/>
        <v>128565000</v>
      </c>
      <c r="M129" s="1448">
        <f t="shared" si="39"/>
        <v>154305000</v>
      </c>
      <c r="N129" s="1448">
        <f t="shared" si="39"/>
        <v>180000000</v>
      </c>
      <c r="O129" s="1443"/>
    </row>
    <row r="130" spans="2:16" ht="15.75" x14ac:dyDescent="0.25">
      <c r="B130" s="1436"/>
      <c r="C130" s="1438" t="s">
        <v>1866</v>
      </c>
      <c r="D130" s="1439" t="str">
        <f>INDEX(CostVectors[Description], MATCH(C130, CostVectors[Code], 0))</f>
        <v>Point estimate of capital costs</v>
      </c>
      <c r="E130" s="1439"/>
      <c r="F130" s="1448">
        <f t="shared" ref="F130:N131" si="40">F95</f>
        <v>0</v>
      </c>
      <c r="G130" s="1448">
        <f t="shared" si="40"/>
        <v>0</v>
      </c>
      <c r="H130" s="1448">
        <f t="shared" si="40"/>
        <v>856499999999.99988</v>
      </c>
      <c r="I130" s="1448">
        <f t="shared" si="40"/>
        <v>858000000000.00012</v>
      </c>
      <c r="J130" s="1448">
        <f t="shared" si="40"/>
        <v>856500000000.00012</v>
      </c>
      <c r="K130" s="1448">
        <f t="shared" si="40"/>
        <v>857999999999.99988</v>
      </c>
      <c r="L130" s="1448">
        <f t="shared" si="40"/>
        <v>856499999999.99988</v>
      </c>
      <c r="M130" s="1448">
        <f t="shared" si="40"/>
        <v>1714500000000.0002</v>
      </c>
      <c r="N130" s="1448">
        <f t="shared" si="40"/>
        <v>2570999999999.9995</v>
      </c>
      <c r="O130" s="1443"/>
    </row>
    <row r="131" spans="2:16" ht="17.25" customHeight="1" x14ac:dyDescent="0.25">
      <c r="B131" s="1436"/>
      <c r="C131" s="1438" t="s">
        <v>1868</v>
      </c>
      <c r="D131" s="1439" t="str">
        <f>INDEX(CostVectors[Description], MATCH(C131, CostVectors[Code], 0))</f>
        <v>Point estimate of operating costs</v>
      </c>
      <c r="E131" s="1439"/>
      <c r="F131" s="1448">
        <f t="shared" si="40"/>
        <v>0</v>
      </c>
      <c r="G131" s="1448">
        <f t="shared" si="40"/>
        <v>0</v>
      </c>
      <c r="H131" s="1448">
        <f t="shared" si="40"/>
        <v>29977499.999999996</v>
      </c>
      <c r="I131" s="1448">
        <f t="shared" si="40"/>
        <v>60007500</v>
      </c>
      <c r="J131" s="1448">
        <f t="shared" si="40"/>
        <v>89985000</v>
      </c>
      <c r="K131" s="1448">
        <f t="shared" si="40"/>
        <v>120015000</v>
      </c>
      <c r="L131" s="1448">
        <f t="shared" si="40"/>
        <v>149992500</v>
      </c>
      <c r="M131" s="1448">
        <f t="shared" si="40"/>
        <v>180022500</v>
      </c>
      <c r="N131" s="1448">
        <f>N96</f>
        <v>210000000</v>
      </c>
      <c r="O131" s="1443"/>
    </row>
    <row r="132" spans="2:16" ht="14.25" x14ac:dyDescent="0.2">
      <c r="B132" s="1444"/>
      <c r="C132" s="1438" t="s">
        <v>1391</v>
      </c>
      <c r="D132" s="1439" t="str">
        <f>INDEX(CostVectors[Description], MATCH(C132, CostVectors[Code], 0))</f>
        <v>High estimate of capital costs</v>
      </c>
      <c r="E132" s="1439"/>
      <c r="F132" s="1448">
        <f t="shared" ref="F132:N133" si="41">F100</f>
        <v>0</v>
      </c>
      <c r="G132" s="1448">
        <f t="shared" si="41"/>
        <v>0</v>
      </c>
      <c r="H132" s="1448">
        <f t="shared" si="41"/>
        <v>942149999999.99988</v>
      </c>
      <c r="I132" s="1448">
        <f t="shared" si="41"/>
        <v>943800000000.00012</v>
      </c>
      <c r="J132" s="1448">
        <f t="shared" si="41"/>
        <v>942150000000.00012</v>
      </c>
      <c r="K132" s="1448">
        <f t="shared" si="41"/>
        <v>943799999999.99976</v>
      </c>
      <c r="L132" s="1448">
        <f t="shared" si="41"/>
        <v>942149999999.99988</v>
      </c>
      <c r="M132" s="1448">
        <f t="shared" si="41"/>
        <v>1885950000000.0002</v>
      </c>
      <c r="N132" s="1448">
        <f t="shared" si="41"/>
        <v>2828099999999.9995</v>
      </c>
      <c r="O132" s="1445"/>
    </row>
    <row r="133" spans="2:16" ht="14.25" x14ac:dyDescent="0.2">
      <c r="B133" s="1444"/>
      <c r="C133" s="1438" t="s">
        <v>1393</v>
      </c>
      <c r="D133" s="1439" t="str">
        <f>INDEX(CostVectors[Description], MATCH(C133, CostVectors[Code], 0))</f>
        <v>High estimate of operating costs</v>
      </c>
      <c r="E133" s="1439"/>
      <c r="F133" s="1448">
        <f t="shared" si="41"/>
        <v>0</v>
      </c>
      <c r="G133" s="1448">
        <f t="shared" si="41"/>
        <v>0</v>
      </c>
      <c r="H133" s="1448">
        <f t="shared" si="41"/>
        <v>34260000</v>
      </c>
      <c r="I133" s="1448">
        <f t="shared" si="41"/>
        <v>68580000</v>
      </c>
      <c r="J133" s="1448">
        <f t="shared" si="41"/>
        <v>102840000</v>
      </c>
      <c r="K133" s="1448">
        <f t="shared" si="41"/>
        <v>137160000</v>
      </c>
      <c r="L133" s="1448">
        <f t="shared" si="41"/>
        <v>171420000</v>
      </c>
      <c r="M133" s="1448">
        <f t="shared" si="41"/>
        <v>205740000</v>
      </c>
      <c r="N133" s="1448">
        <f t="shared" si="41"/>
        <v>240000000</v>
      </c>
      <c r="O133" s="1445"/>
    </row>
    <row r="134" spans="2:16" ht="14.25" x14ac:dyDescent="0.2">
      <c r="B134" s="1446"/>
      <c r="C134" s="1440"/>
      <c r="D134" s="1440"/>
      <c r="E134" s="1440"/>
      <c r="F134" s="1440"/>
      <c r="G134" s="1440"/>
      <c r="H134" s="1440"/>
      <c r="I134" s="1440"/>
      <c r="J134" s="1440"/>
      <c r="K134" s="1440"/>
      <c r="L134" s="1440"/>
      <c r="M134" s="1440"/>
      <c r="N134" s="1440"/>
      <c r="O134" s="1440"/>
      <c r="P134" s="1447"/>
    </row>
  </sheetData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/>
    <outlinePr summaryBelow="0"/>
    <pageSetUpPr autoPageBreaks="0"/>
  </sheetPr>
  <dimension ref="A1:Q134"/>
  <sheetViews>
    <sheetView windowProtection="1" zoomScaleNormal="100" workbookViewId="0"/>
  </sheetViews>
  <sheetFormatPr defaultColWidth="8.7109375" defaultRowHeight="12.75" x14ac:dyDescent="0.2"/>
  <cols>
    <col min="1" max="1" width="7.7109375" style="2479" customWidth="1"/>
    <col min="2" max="2" width="5.7109375" style="2479" customWidth="1"/>
    <col min="3" max="3" width="20.42578125" style="2479" customWidth="1"/>
    <col min="4" max="4" width="30.7109375" style="2479" customWidth="1"/>
    <col min="5" max="5" width="20.7109375" style="2479" customWidth="1"/>
    <col min="6" max="15" width="17.7109375" style="2479" customWidth="1"/>
    <col min="16" max="16" width="2" style="2479" customWidth="1"/>
    <col min="17" max="17" width="10.7109375" style="2479" customWidth="1"/>
    <col min="18" max="16384" width="8.7109375" style="2479"/>
  </cols>
  <sheetData>
    <row r="1" spans="1:16" ht="21" x14ac:dyDescent="0.35">
      <c r="A1" s="119" t="s">
        <v>63</v>
      </c>
      <c r="B1" s="119" t="str">
        <f>INDEX(Workstreams[Workstream], MATCH($A1, Workstreams[Code], 0))</f>
        <v>Distributed renewable power generation</v>
      </c>
      <c r="C1" s="119"/>
    </row>
    <row r="2" spans="1:16" s="84" customFormat="1" ht="19.5" customHeight="1" x14ac:dyDescent="0.2">
      <c r="A2" s="6" t="s">
        <v>409</v>
      </c>
      <c r="B2" s="6" t="str">
        <f>INDEX(Modules[Module], MATCH($A2,Modules[Code], 0))</f>
        <v>Stand-Alone Solar PV</v>
      </c>
      <c r="C2" s="6"/>
      <c r="E2" s="1380"/>
    </row>
    <row r="4" spans="1:16" ht="22.5" x14ac:dyDescent="0.3">
      <c r="A4" s="1422"/>
      <c r="B4" s="468" t="s">
        <v>596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ht="5.25" customHeight="1" x14ac:dyDescent="0.2">
      <c r="B6" s="410"/>
      <c r="C6" s="411"/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6" ht="15.75" x14ac:dyDescent="0.25">
      <c r="B7" s="415"/>
      <c r="C7" s="412"/>
      <c r="D7" s="216" t="s">
        <v>342</v>
      </c>
      <c r="E7" s="216" t="s">
        <v>595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ht="15.75" x14ac:dyDescent="0.25">
      <c r="B8" s="415"/>
      <c r="C8" s="412"/>
      <c r="D8" s="238" t="s">
        <v>598</v>
      </c>
      <c r="E8" s="238">
        <f>IV.a.Scenario</f>
        <v>4</v>
      </c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4"/>
    </row>
    <row r="9" spans="1:16" x14ac:dyDescent="0.2">
      <c r="B9" s="430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8"/>
      <c r="P9" s="419"/>
    </row>
    <row r="10" spans="1:16" x14ac:dyDescent="0.2">
      <c r="N10" s="2479">
        <f>60000000/42752435</f>
        <v>1.4034288339365932</v>
      </c>
    </row>
    <row r="11" spans="1:16" ht="22.5" x14ac:dyDescent="0.3">
      <c r="A11" s="1422"/>
      <c r="B11" s="1423" t="s">
        <v>597</v>
      </c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6"/>
    </row>
    <row r="12" spans="1:16" x14ac:dyDescent="0.2">
      <c r="B12" s="1419"/>
      <c r="C12" s="1416"/>
      <c r="D12" s="1416"/>
      <c r="E12" s="1416"/>
      <c r="F12" s="1416"/>
      <c r="G12" s="1416"/>
      <c r="H12" s="1416"/>
      <c r="I12" s="1416"/>
      <c r="J12" s="1416"/>
      <c r="K12" s="1416"/>
      <c r="L12" s="1416"/>
      <c r="M12" s="1416"/>
      <c r="N12" s="1416"/>
      <c r="O12" s="1420"/>
    </row>
    <row r="13" spans="1:16" x14ac:dyDescent="0.2">
      <c r="B13" s="1419"/>
      <c r="C13" s="1417" t="s">
        <v>2357</v>
      </c>
      <c r="D13" s="1416"/>
      <c r="E13" s="176"/>
      <c r="F13" s="1416"/>
      <c r="G13" s="1416"/>
      <c r="H13" s="1416"/>
      <c r="I13" s="1416"/>
      <c r="J13" s="1416"/>
      <c r="K13" s="1416"/>
      <c r="L13" s="1416"/>
      <c r="M13" s="1416"/>
      <c r="N13" s="176" t="str">
        <f>Preferences.PowerUnits</f>
        <v>GW</v>
      </c>
      <c r="O13" s="1420"/>
    </row>
    <row r="14" spans="1:16" ht="5.25" customHeight="1" x14ac:dyDescent="0.2">
      <c r="B14" s="1419"/>
      <c r="C14" s="1416"/>
      <c r="D14" s="1416"/>
      <c r="E14" s="1416"/>
      <c r="F14" s="1416"/>
      <c r="G14" s="1416"/>
      <c r="H14" s="1416"/>
      <c r="I14" s="1416"/>
      <c r="J14" s="1416"/>
      <c r="K14" s="1416"/>
      <c r="L14" s="1416"/>
      <c r="M14" s="1416"/>
      <c r="N14" s="1416"/>
      <c r="O14" s="1420"/>
    </row>
    <row r="15" spans="1:16" ht="15.75" x14ac:dyDescent="0.25">
      <c r="B15" s="397"/>
      <c r="C15" s="98" t="s">
        <v>595</v>
      </c>
      <c r="D15" s="98" t="s">
        <v>65</v>
      </c>
      <c r="E15" s="98" t="s">
        <v>172</v>
      </c>
      <c r="F15" s="218">
        <v>2010</v>
      </c>
      <c r="G15" s="217">
        <v>2015</v>
      </c>
      <c r="H15" s="217">
        <v>2020</v>
      </c>
      <c r="I15" s="217">
        <v>2025</v>
      </c>
      <c r="J15" s="217">
        <v>2030</v>
      </c>
      <c r="K15" s="217">
        <v>2035</v>
      </c>
      <c r="L15" s="217">
        <v>2040</v>
      </c>
      <c r="M15" s="217">
        <v>2045</v>
      </c>
      <c r="N15" s="217">
        <v>2050</v>
      </c>
      <c r="O15" s="1420"/>
    </row>
    <row r="16" spans="1:16" ht="15.75" x14ac:dyDescent="0.2">
      <c r="B16" s="399"/>
      <c r="C16" s="1414">
        <v>1</v>
      </c>
      <c r="D16" s="1415"/>
      <c r="E16" s="146"/>
      <c r="F16" s="1563">
        <f>0.015*Unit.GW</f>
        <v>1.4999999999999999E-2</v>
      </c>
      <c r="G16" s="1563">
        <f>0.5*Unit.GW</f>
        <v>0.5</v>
      </c>
      <c r="H16" s="1563">
        <f>1*Unit.GW</f>
        <v>1</v>
      </c>
      <c r="I16" s="1563">
        <f>1.5*Unit.GW</f>
        <v>1.5</v>
      </c>
      <c r="J16" s="1563">
        <f>2*Unit.GW</f>
        <v>2</v>
      </c>
      <c r="K16" s="1563">
        <f>2.5*Unit.GW</f>
        <v>2.5</v>
      </c>
      <c r="L16" s="1563">
        <f>3*Unit.GW</f>
        <v>3</v>
      </c>
      <c r="M16" s="1563">
        <f>3.5*Unit.GW</f>
        <v>3.5</v>
      </c>
      <c r="N16" s="1563">
        <f>4*Unit.GW</f>
        <v>4</v>
      </c>
      <c r="O16" s="400"/>
    </row>
    <row r="17" spans="1:15" ht="15.75" x14ac:dyDescent="0.25">
      <c r="B17" s="397"/>
      <c r="C17" s="1414">
        <v>2</v>
      </c>
      <c r="D17" s="1415"/>
      <c r="E17" s="1415"/>
      <c r="F17" s="1563">
        <f>0.015*Unit.GW</f>
        <v>1.4999999999999999E-2</v>
      </c>
      <c r="G17" s="1563">
        <f>0.5*Unit.GW</f>
        <v>0.5</v>
      </c>
      <c r="H17" s="1563">
        <f>2*Unit.GW</f>
        <v>2</v>
      </c>
      <c r="I17" s="1563">
        <f>4.33*Unit.GW</f>
        <v>4.33</v>
      </c>
      <c r="J17" s="1563">
        <f>6.67*Unit.GW</f>
        <v>6.67</v>
      </c>
      <c r="K17" s="1563">
        <f>9*Unit.GW</f>
        <v>9</v>
      </c>
      <c r="L17" s="1563">
        <f>11.33*Unit.GW</f>
        <v>11.33</v>
      </c>
      <c r="M17" s="1563">
        <f>13.67*Unit.GW</f>
        <v>13.67</v>
      </c>
      <c r="N17" s="1416">
        <f>16*Unit.GW</f>
        <v>16</v>
      </c>
      <c r="O17" s="1416"/>
    </row>
    <row r="18" spans="1:15" ht="15.75" x14ac:dyDescent="0.25">
      <c r="B18" s="397"/>
      <c r="C18" s="1414">
        <v>3</v>
      </c>
      <c r="D18" s="1415"/>
      <c r="E18" s="1415"/>
      <c r="F18" s="1563">
        <f>0.015*Unit.GW</f>
        <v>1.4999999999999999E-2</v>
      </c>
      <c r="G18" s="1563">
        <f>0.5*Unit.GW</f>
        <v>0.5</v>
      </c>
      <c r="H18" s="1563">
        <f>4.298*Unit.GW</f>
        <v>4.298</v>
      </c>
      <c r="I18" s="1563">
        <f>8.58*Unit.GW</f>
        <v>8.58</v>
      </c>
      <c r="J18" s="1563">
        <f>12.87*Unit.GW</f>
        <v>12.87</v>
      </c>
      <c r="K18" s="1563">
        <f>17.15*Unit.GW</f>
        <v>17.149999999999999</v>
      </c>
      <c r="L18" s="1563">
        <f>21.43*Unit.GW</f>
        <v>21.43</v>
      </c>
      <c r="M18" s="1563">
        <f>25.72*Unit.GW</f>
        <v>25.72</v>
      </c>
      <c r="N18" s="1416">
        <f>30*Unit.GW</f>
        <v>30</v>
      </c>
      <c r="O18" s="1416"/>
    </row>
    <row r="19" spans="1:15" ht="15.75" x14ac:dyDescent="0.25">
      <c r="B19" s="397"/>
      <c r="C19" s="1412">
        <v>4</v>
      </c>
      <c r="D19" s="102"/>
      <c r="E19" s="102"/>
      <c r="F19" s="1563">
        <f>0.015*Unit.GW</f>
        <v>1.4999999999999999E-2</v>
      </c>
      <c r="G19" s="1563">
        <f>0.5*Unit.GW</f>
        <v>0.5</v>
      </c>
      <c r="H19" s="1563">
        <f>10.87*Unit.GW</f>
        <v>10.87</v>
      </c>
      <c r="I19" s="1563">
        <f>17.73*Unit.GW</f>
        <v>17.73</v>
      </c>
      <c r="J19" s="1563">
        <f>24.58*Unit.GW</f>
        <v>24.58</v>
      </c>
      <c r="K19" s="1563">
        <f>30.435*Unit.GW</f>
        <v>30.434999999999999</v>
      </c>
      <c r="L19" s="1563">
        <f>37*Unit.GW</f>
        <v>37</v>
      </c>
      <c r="M19" s="1563">
        <f>45.145*Unit.GW</f>
        <v>45.145000000000003</v>
      </c>
      <c r="N19" s="1416">
        <f>60*Unit.GW</f>
        <v>60</v>
      </c>
      <c r="O19" s="1416"/>
    </row>
    <row r="20" spans="1:15" ht="15.75" x14ac:dyDescent="0.25">
      <c r="B20" s="397"/>
      <c r="C20" s="1386" t="s">
        <v>582</v>
      </c>
      <c r="D20" s="1387"/>
      <c r="E20" s="1387"/>
      <c r="F20" s="1408">
        <f t="shared" ref="F20:N20" si="0">(INDEX(F$16:F$19,ROUNDDOWN($E$8,0))*(1-MOD($E$8,1)))+(INDEX(F$16:F$19,ROUNDUP($E$8,0))*MOD($E$8,1))</f>
        <v>1.4999999999999999E-2</v>
      </c>
      <c r="G20" s="1388">
        <f t="shared" si="0"/>
        <v>0.5</v>
      </c>
      <c r="H20" s="1388">
        <f>(INDEX(H$16:H$19,ROUNDDOWN($E$8,0))*(1-MOD($E$8,1)))+(INDEX(H$16:H$19,ROUNDUP($E$8,0))*MOD($E$8,1))</f>
        <v>10.87</v>
      </c>
      <c r="I20" s="1388">
        <f t="shared" si="0"/>
        <v>17.73</v>
      </c>
      <c r="J20" s="1388">
        <f t="shared" si="0"/>
        <v>24.58</v>
      </c>
      <c r="K20" s="1388">
        <f t="shared" si="0"/>
        <v>30.434999999999999</v>
      </c>
      <c r="L20" s="1388">
        <f t="shared" si="0"/>
        <v>37</v>
      </c>
      <c r="M20" s="1388">
        <f t="shared" si="0"/>
        <v>45.145000000000003</v>
      </c>
      <c r="N20" s="1388">
        <f t="shared" si="0"/>
        <v>60</v>
      </c>
      <c r="O20" s="1420"/>
    </row>
    <row r="21" spans="1:15" x14ac:dyDescent="0.2">
      <c r="B21" s="401"/>
      <c r="C21" s="1416"/>
      <c r="D21" s="177"/>
      <c r="E21" s="1416"/>
      <c r="F21" s="562"/>
      <c r="G21" s="562"/>
      <c r="H21" s="562"/>
      <c r="I21" s="562"/>
      <c r="J21" s="562"/>
      <c r="K21" s="562"/>
      <c r="L21" s="562"/>
      <c r="M21" s="562"/>
      <c r="N21" s="562"/>
      <c r="O21" s="1420"/>
    </row>
    <row r="22" spans="1:15" x14ac:dyDescent="0.2">
      <c r="B22" s="401"/>
      <c r="C22" s="2535" t="s">
        <v>266</v>
      </c>
      <c r="D22" s="2536"/>
      <c r="E22" s="1416"/>
      <c r="F22" s="1416"/>
      <c r="G22" s="1416"/>
      <c r="H22" s="1416"/>
      <c r="I22" s="1416"/>
      <c r="J22" s="1416"/>
      <c r="K22" s="1416"/>
      <c r="L22" s="1416"/>
      <c r="M22" s="1416"/>
      <c r="N22" s="1416"/>
      <c r="O22" s="1420"/>
    </row>
    <row r="23" spans="1:15" x14ac:dyDescent="0.2">
      <c r="B23" s="401"/>
      <c r="C23" s="2537" t="s">
        <v>93</v>
      </c>
      <c r="D23" s="2536" t="s">
        <v>571</v>
      </c>
      <c r="E23" s="1416"/>
      <c r="F23" s="1416"/>
      <c r="G23" s="1416"/>
      <c r="H23" s="1416"/>
      <c r="I23" s="1416"/>
      <c r="J23" s="1416"/>
      <c r="K23" s="1416"/>
      <c r="L23" s="1416"/>
      <c r="M23" s="1416"/>
      <c r="N23" s="1416"/>
      <c r="O23" s="1420"/>
    </row>
    <row r="24" spans="1:15" x14ac:dyDescent="0.2">
      <c r="B24" s="460"/>
      <c r="C24" s="403"/>
      <c r="D24" s="461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4"/>
    </row>
    <row r="26" spans="1:15" s="84" customFormat="1" ht="22.5" x14ac:dyDescent="0.2">
      <c r="A26" s="408"/>
      <c r="B26" s="1423" t="s">
        <v>315</v>
      </c>
      <c r="C26" s="405"/>
      <c r="D26" s="405"/>
      <c r="E26" s="405"/>
      <c r="F26" s="405"/>
      <c r="G26" s="405"/>
      <c r="H26" s="405"/>
      <c r="I26" s="405"/>
      <c r="J26" s="405"/>
      <c r="K26" s="405"/>
      <c r="L26" s="405"/>
      <c r="M26" s="405"/>
      <c r="N26" s="405"/>
      <c r="O26" s="406"/>
    </row>
    <row r="27" spans="1:15" x14ac:dyDescent="0.2">
      <c r="B27" s="1419"/>
      <c r="C27" s="1416"/>
      <c r="D27" s="1416"/>
      <c r="E27" s="1416"/>
      <c r="F27" s="1416"/>
      <c r="G27" s="1416"/>
      <c r="H27" s="1416"/>
      <c r="I27" s="1416"/>
      <c r="J27" s="1416"/>
      <c r="K27" s="1416"/>
      <c r="L27" s="1416"/>
      <c r="M27" s="1416"/>
      <c r="N27" s="1416"/>
      <c r="O27" s="1420"/>
    </row>
    <row r="28" spans="1:15" x14ac:dyDescent="0.2">
      <c r="B28" s="1419"/>
      <c r="C28" s="1417" t="s">
        <v>327</v>
      </c>
      <c r="D28" s="1416"/>
      <c r="E28" s="1416"/>
      <c r="F28" s="176"/>
      <c r="G28" s="1416"/>
      <c r="H28" s="1416"/>
      <c r="I28" s="1416"/>
      <c r="J28" s="1416"/>
      <c r="K28" s="1416"/>
      <c r="L28" s="1416"/>
      <c r="M28" s="1416"/>
      <c r="N28" s="1416"/>
      <c r="O28" s="1420"/>
    </row>
    <row r="29" spans="1:15" ht="6" customHeight="1" x14ac:dyDescent="0.2">
      <c r="B29" s="1419"/>
      <c r="C29" s="1416"/>
      <c r="D29" s="1416"/>
      <c r="E29" s="1416"/>
      <c r="F29" s="1416"/>
      <c r="G29" s="1416"/>
      <c r="H29" s="1416"/>
      <c r="I29" s="1416"/>
      <c r="J29" s="1416"/>
      <c r="K29" s="1416"/>
      <c r="L29" s="1416"/>
      <c r="M29" s="1416"/>
      <c r="N29" s="1416"/>
      <c r="O29" s="1420"/>
    </row>
    <row r="30" spans="1:15" ht="15.75" x14ac:dyDescent="0.25">
      <c r="B30" s="397"/>
      <c r="C30" s="98" t="s">
        <v>264</v>
      </c>
      <c r="D30" s="98" t="s">
        <v>278</v>
      </c>
      <c r="E30" s="98" t="s">
        <v>172</v>
      </c>
      <c r="F30" s="218">
        <v>2010</v>
      </c>
      <c r="G30" s="217">
        <v>2015</v>
      </c>
      <c r="H30" s="217">
        <v>2020</v>
      </c>
      <c r="I30" s="217">
        <v>2025</v>
      </c>
      <c r="J30" s="217">
        <v>2030</v>
      </c>
      <c r="K30" s="217">
        <v>2035</v>
      </c>
      <c r="L30" s="217">
        <v>2040</v>
      </c>
      <c r="M30" s="217">
        <v>2045</v>
      </c>
      <c r="N30" s="217">
        <v>2050</v>
      </c>
      <c r="O30" s="1420"/>
    </row>
    <row r="31" spans="1:15" ht="15.75" x14ac:dyDescent="0.25">
      <c r="B31" s="397"/>
      <c r="C31" s="121" t="s">
        <v>25</v>
      </c>
      <c r="D31" s="122" t="str">
        <f>INDEX(Vectors[Description], MATCH($C31, Vectors[Code], 0))</f>
        <v>Solar</v>
      </c>
      <c r="E31" s="122"/>
      <c r="F31" s="129">
        <v>0.21</v>
      </c>
      <c r="G31" s="129">
        <v>0.21</v>
      </c>
      <c r="H31" s="129">
        <v>0.21</v>
      </c>
      <c r="I31" s="129">
        <v>0.21</v>
      </c>
      <c r="J31" s="129">
        <v>0.21</v>
      </c>
      <c r="K31" s="129">
        <v>0.21</v>
      </c>
      <c r="L31" s="129">
        <v>0.21</v>
      </c>
      <c r="M31" s="129">
        <v>0.21</v>
      </c>
      <c r="N31" s="129">
        <v>0.21</v>
      </c>
      <c r="O31" s="1420"/>
    </row>
    <row r="32" spans="1:15" x14ac:dyDescent="0.2">
      <c r="B32" s="1419"/>
      <c r="C32" s="1416"/>
      <c r="D32" s="1416"/>
      <c r="E32" s="1416"/>
      <c r="F32" s="1416"/>
      <c r="G32" s="1416"/>
      <c r="H32" s="1416"/>
      <c r="I32" s="1416"/>
      <c r="J32" s="1416"/>
      <c r="K32" s="1416"/>
      <c r="L32" s="1416"/>
      <c r="M32" s="1416"/>
      <c r="N32" s="1416"/>
      <c r="O32" s="1420"/>
    </row>
    <row r="33" spans="1:16" x14ac:dyDescent="0.2">
      <c r="B33" s="1419"/>
      <c r="C33" s="1417" t="s">
        <v>974</v>
      </c>
      <c r="D33" s="1416"/>
      <c r="E33" s="176"/>
      <c r="F33" s="1416"/>
      <c r="G33" s="1416"/>
      <c r="H33" s="1416"/>
      <c r="I33" s="1416"/>
      <c r="J33" s="1416"/>
      <c r="K33" s="1416"/>
      <c r="L33" s="1416"/>
      <c r="M33" s="1416"/>
      <c r="N33" s="176" t="s">
        <v>347</v>
      </c>
      <c r="O33" s="1420"/>
    </row>
    <row r="34" spans="1:16" ht="5.25" customHeight="1" x14ac:dyDescent="0.2">
      <c r="B34" s="1419"/>
      <c r="C34" s="1416"/>
      <c r="D34" s="1416"/>
      <c r="E34" s="1416"/>
      <c r="F34" s="1416"/>
      <c r="G34" s="1416"/>
      <c r="H34" s="1416"/>
      <c r="I34" s="1416"/>
      <c r="J34" s="1416"/>
      <c r="K34" s="1416"/>
      <c r="L34" s="1416"/>
      <c r="M34" s="1416"/>
      <c r="N34" s="1416"/>
      <c r="O34" s="1420"/>
    </row>
    <row r="35" spans="1:16" ht="15.75" x14ac:dyDescent="0.25">
      <c r="B35" s="397"/>
      <c r="C35" s="98" t="s">
        <v>264</v>
      </c>
      <c r="D35" s="98" t="s">
        <v>278</v>
      </c>
      <c r="E35" s="98" t="s">
        <v>172</v>
      </c>
      <c r="F35" s="218">
        <v>2010</v>
      </c>
      <c r="G35" s="217">
        <v>2015</v>
      </c>
      <c r="H35" s="217">
        <v>2020</v>
      </c>
      <c r="I35" s="217">
        <v>2025</v>
      </c>
      <c r="J35" s="217">
        <v>2030</v>
      </c>
      <c r="K35" s="217">
        <v>2035</v>
      </c>
      <c r="L35" s="217">
        <v>2040</v>
      </c>
      <c r="M35" s="217">
        <v>2045</v>
      </c>
      <c r="N35" s="217">
        <v>2050</v>
      </c>
      <c r="O35" s="1420"/>
    </row>
    <row r="36" spans="1:16" s="84" customFormat="1" ht="15.75" x14ac:dyDescent="0.2">
      <c r="B36" s="399"/>
      <c r="C36" s="121" t="s">
        <v>25</v>
      </c>
      <c r="D36" s="122" t="str">
        <f>INDEX(Vectors[Description], MATCH($C36, Vectors[Code], 0))</f>
        <v>Solar</v>
      </c>
      <c r="E36" s="122"/>
      <c r="F36" s="128">
        <v>0.2</v>
      </c>
      <c r="G36" s="128">
        <v>0.2</v>
      </c>
      <c r="H36" s="128">
        <v>0.2</v>
      </c>
      <c r="I36" s="128">
        <v>0.2</v>
      </c>
      <c r="J36" s="128">
        <v>0.2</v>
      </c>
      <c r="K36" s="128">
        <v>0.2</v>
      </c>
      <c r="L36" s="128">
        <v>0.2</v>
      </c>
      <c r="M36" s="128">
        <v>0.2</v>
      </c>
      <c r="N36" s="128">
        <v>0.2</v>
      </c>
      <c r="O36" s="400"/>
    </row>
    <row r="37" spans="1:16" s="84" customFormat="1" ht="15.75" x14ac:dyDescent="0.2">
      <c r="B37" s="399"/>
      <c r="C37" s="1414"/>
      <c r="D37" s="1415"/>
      <c r="E37" s="1415"/>
      <c r="F37" s="174"/>
      <c r="G37" s="174"/>
      <c r="H37" s="174"/>
      <c r="I37" s="174"/>
      <c r="J37" s="174"/>
      <c r="K37" s="174"/>
      <c r="L37" s="174"/>
      <c r="M37" s="174"/>
      <c r="N37" s="174"/>
      <c r="O37" s="174"/>
      <c r="P37" s="400"/>
    </row>
    <row r="38" spans="1:16" s="84" customFormat="1" ht="15.75" x14ac:dyDescent="0.2">
      <c r="B38" s="399"/>
      <c r="C38" s="1414"/>
      <c r="D38" s="1415" t="s">
        <v>1447</v>
      </c>
      <c r="E38" s="2086">
        <f>1*Unit.kW</f>
        <v>9.9999999999999995E-7</v>
      </c>
      <c r="F38" s="174" t="str">
        <f>Preferences.PowerUnits</f>
        <v>GW</v>
      </c>
      <c r="G38" s="174"/>
      <c r="H38" s="174"/>
      <c r="I38" s="174"/>
      <c r="J38" s="174"/>
      <c r="K38" s="174"/>
      <c r="L38" s="174"/>
      <c r="M38" s="174"/>
      <c r="N38" s="174"/>
      <c r="O38" s="174"/>
      <c r="P38" s="400"/>
    </row>
    <row r="39" spans="1:16" x14ac:dyDescent="0.2">
      <c r="B39" s="401"/>
      <c r="C39" s="1416"/>
      <c r="D39" s="177"/>
      <c r="E39" s="1416"/>
      <c r="F39" s="1416"/>
      <c r="G39" s="1416"/>
      <c r="H39" s="1416"/>
      <c r="I39" s="1416"/>
      <c r="J39" s="1416"/>
      <c r="K39" s="1416"/>
      <c r="L39" s="1416"/>
      <c r="M39" s="1416"/>
      <c r="N39" s="1416"/>
      <c r="O39" s="1416"/>
      <c r="P39" s="1420"/>
    </row>
    <row r="41" spans="1:16" s="84" customFormat="1" ht="22.5" x14ac:dyDescent="0.2">
      <c r="A41" s="408"/>
      <c r="B41" s="1423" t="s">
        <v>1417</v>
      </c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34"/>
    </row>
    <row r="42" spans="1:16" s="84" customFormat="1" x14ac:dyDescent="0.2">
      <c r="A42" s="2479"/>
      <c r="B42" s="473"/>
      <c r="C42" s="458"/>
      <c r="D42" s="458"/>
      <c r="E42" s="458"/>
      <c r="F42" s="458"/>
      <c r="G42" s="458"/>
      <c r="H42" s="458"/>
      <c r="I42" s="458"/>
      <c r="J42" s="458"/>
      <c r="K42" s="458"/>
      <c r="L42" s="458"/>
      <c r="M42" s="458"/>
      <c r="N42" s="458"/>
      <c r="O42" s="458"/>
      <c r="P42" s="37"/>
    </row>
    <row r="43" spans="1:16" s="84" customFormat="1" ht="15.75" customHeight="1" x14ac:dyDescent="0.2">
      <c r="A43" s="2479"/>
      <c r="B43" s="1419"/>
      <c r="C43" s="1417" t="str">
        <f>"Capital cost of a "&amp;plantsize.IV.a&amp;" "&amp;Preferences.PowerUnits&amp;" Solar source"</f>
        <v>Capital cost of a 0.000001 GW Solar source</v>
      </c>
      <c r="D43" s="107"/>
      <c r="E43" s="1081"/>
      <c r="F43" s="1055"/>
      <c r="G43" s="760"/>
      <c r="H43" s="760"/>
      <c r="I43" s="760"/>
      <c r="J43" s="760"/>
      <c r="K43" s="760"/>
      <c r="L43" s="760"/>
      <c r="M43" s="760"/>
      <c r="N43" s="1255" t="str">
        <f>Preferences.moneyunits&amp;"/solar source"</f>
        <v>N/solar source</v>
      </c>
      <c r="O43" s="1416"/>
      <c r="P43" s="37"/>
    </row>
    <row r="44" spans="1:16" s="84" customFormat="1" ht="4.5" customHeight="1" x14ac:dyDescent="0.2">
      <c r="A44" s="2479"/>
      <c r="B44" s="1419"/>
      <c r="C44" s="1848"/>
      <c r="D44" s="107"/>
      <c r="E44" s="1081"/>
      <c r="F44" s="1055"/>
      <c r="G44" s="760"/>
      <c r="H44" s="760"/>
      <c r="I44" s="760"/>
      <c r="J44" s="760"/>
      <c r="K44" s="760"/>
      <c r="L44" s="760"/>
      <c r="M44" s="760"/>
      <c r="N44" s="1416"/>
      <c r="O44" s="1416"/>
      <c r="P44" s="37"/>
    </row>
    <row r="45" spans="1:16" s="84" customFormat="1" x14ac:dyDescent="0.2">
      <c r="A45" s="2479"/>
      <c r="B45" s="1419"/>
      <c r="C45" s="1101"/>
      <c r="D45" s="1519"/>
      <c r="E45" s="1567" t="s">
        <v>1321</v>
      </c>
      <c r="F45" s="1845">
        <v>2010</v>
      </c>
      <c r="G45" s="1845">
        <v>2015</v>
      </c>
      <c r="H45" s="1845">
        <v>2020</v>
      </c>
      <c r="I45" s="1845">
        <v>2025</v>
      </c>
      <c r="J45" s="1845">
        <v>2030</v>
      </c>
      <c r="K45" s="1845">
        <v>2035</v>
      </c>
      <c r="L45" s="1845">
        <v>2040</v>
      </c>
      <c r="M45" s="1845">
        <v>2045</v>
      </c>
      <c r="N45" s="1845">
        <v>2050</v>
      </c>
      <c r="O45" s="1416"/>
      <c r="P45" s="34"/>
    </row>
    <row r="46" spans="1:16" s="84" customFormat="1" ht="15.75" customHeight="1" x14ac:dyDescent="0.2">
      <c r="A46" s="2479"/>
      <c r="B46" s="1419"/>
      <c r="C46" s="1846" t="s">
        <v>1871</v>
      </c>
      <c r="D46" s="1519"/>
      <c r="E46" s="1847">
        <f>(N46-F46)/(N$45-F$45)</f>
        <v>0</v>
      </c>
      <c r="F46" s="1852">
        <f>(825000*NAIRA2010_/Unit.kW)*plantsize.IV.a</f>
        <v>825000</v>
      </c>
      <c r="G46" s="1852">
        <f>($E46*(G$45-F$45))+F46</f>
        <v>825000</v>
      </c>
      <c r="H46" s="1852">
        <f t="shared" ref="H46:M46" si="1">($E46*(H$45-G$45))+G46</f>
        <v>825000</v>
      </c>
      <c r="I46" s="1852">
        <f t="shared" si="1"/>
        <v>825000</v>
      </c>
      <c r="J46" s="1852">
        <f t="shared" si="1"/>
        <v>825000</v>
      </c>
      <c r="K46" s="1852">
        <f t="shared" si="1"/>
        <v>825000</v>
      </c>
      <c r="L46" s="1852">
        <f>($E46*(L$45-K$45))+K46</f>
        <v>825000</v>
      </c>
      <c r="M46" s="1852">
        <f t="shared" si="1"/>
        <v>825000</v>
      </c>
      <c r="N46" s="1852">
        <f>(825000*NAIRA2010_/Unit.kW)*plantsize.IV.a</f>
        <v>825000</v>
      </c>
      <c r="O46" s="1416"/>
      <c r="P46" s="37"/>
    </row>
    <row r="47" spans="1:16" s="84" customFormat="1" ht="15.75" customHeight="1" x14ac:dyDescent="0.2">
      <c r="A47" s="2479"/>
      <c r="B47" s="1419"/>
      <c r="C47" s="606" t="s">
        <v>1872</v>
      </c>
      <c r="D47" s="107"/>
      <c r="E47" s="188">
        <f>(N47-F47)/(N$45-F$45)</f>
        <v>0</v>
      </c>
      <c r="F47" s="1849">
        <f>(750000*NAIRA2010_/Unit.kW)*plantsize.IV.a</f>
        <v>750000</v>
      </c>
      <c r="G47" s="1849">
        <f t="shared" ref="G47:M48" si="2">($E47*(G$45-F$45))+F47</f>
        <v>750000</v>
      </c>
      <c r="H47" s="1849">
        <f t="shared" si="2"/>
        <v>750000</v>
      </c>
      <c r="I47" s="1849">
        <f t="shared" si="2"/>
        <v>750000</v>
      </c>
      <c r="J47" s="1849">
        <f t="shared" si="2"/>
        <v>750000</v>
      </c>
      <c r="K47" s="1849">
        <f t="shared" si="2"/>
        <v>750000</v>
      </c>
      <c r="L47" s="1849">
        <f t="shared" si="2"/>
        <v>750000</v>
      </c>
      <c r="M47" s="1849">
        <f t="shared" si="2"/>
        <v>750000</v>
      </c>
      <c r="N47" s="1849">
        <f>(750000*NAIRA2010_/Unit.kW)*plantsize.IV.a</f>
        <v>750000</v>
      </c>
      <c r="O47" s="1416"/>
      <c r="P47" s="37"/>
    </row>
    <row r="48" spans="1:16" s="84" customFormat="1" ht="15.75" customHeight="1" x14ac:dyDescent="0.2">
      <c r="A48" s="2479"/>
      <c r="B48" s="1419"/>
      <c r="C48" s="1731" t="s">
        <v>1873</v>
      </c>
      <c r="D48" s="189"/>
      <c r="E48" s="191">
        <f>(N48-F48)/(N$45-F$45)</f>
        <v>0</v>
      </c>
      <c r="F48" s="1850">
        <f>(675000*NAIRA2010_/Unit.kW)*plantsize.IV.a</f>
        <v>675000</v>
      </c>
      <c r="G48" s="1850">
        <f t="shared" si="2"/>
        <v>675000</v>
      </c>
      <c r="H48" s="1850">
        <f t="shared" si="2"/>
        <v>675000</v>
      </c>
      <c r="I48" s="1850">
        <f t="shared" si="2"/>
        <v>675000</v>
      </c>
      <c r="J48" s="1850">
        <f>($E48*(J$45-I$45))+I48</f>
        <v>675000</v>
      </c>
      <c r="K48" s="1850">
        <f t="shared" si="2"/>
        <v>675000</v>
      </c>
      <c r="L48" s="1850">
        <f t="shared" si="2"/>
        <v>675000</v>
      </c>
      <c r="M48" s="1850">
        <f t="shared" si="2"/>
        <v>675000</v>
      </c>
      <c r="N48" s="1850">
        <f>(675000*NAIRA2010_/Unit.kW)*plantsize.IV.a</f>
        <v>675000</v>
      </c>
      <c r="O48" s="1416"/>
      <c r="P48" s="37"/>
    </row>
    <row r="49" spans="1:16" s="84" customFormat="1" x14ac:dyDescent="0.2">
      <c r="A49" s="2479"/>
      <c r="B49" s="1419"/>
      <c r="C49" s="1848"/>
      <c r="D49" s="107"/>
      <c r="E49" s="1081"/>
      <c r="F49" s="1055"/>
      <c r="G49" s="760"/>
      <c r="H49" s="760"/>
      <c r="I49" s="760"/>
      <c r="J49" s="760"/>
      <c r="K49" s="760"/>
      <c r="L49" s="760"/>
      <c r="M49" s="760"/>
      <c r="N49" s="1416"/>
      <c r="O49" s="1416"/>
      <c r="P49" s="37"/>
    </row>
    <row r="50" spans="1:16" ht="15.75" customHeight="1" x14ac:dyDescent="0.2">
      <c r="B50" s="1419"/>
      <c r="C50" s="1417" t="str">
        <f>"Operating cost of a "&amp;plantsize.IV.a&amp;" "&amp;Preferences.PowerUnits&amp;" Solar source"</f>
        <v>Operating cost of a 0.000001 GW Solar source</v>
      </c>
      <c r="D50" s="107"/>
      <c r="E50" s="1081">
        <f>4500*150</f>
        <v>675000</v>
      </c>
      <c r="F50" s="1055"/>
      <c r="G50" s="760"/>
      <c r="H50" s="760"/>
      <c r="I50" s="760"/>
      <c r="J50" s="760"/>
      <c r="K50" s="760"/>
      <c r="L50" s="760"/>
      <c r="M50" s="760"/>
      <c r="N50" s="1255" t="str">
        <f>Preferences.moneyunits&amp;"/solar source"</f>
        <v>N/solar source</v>
      </c>
      <c r="O50" s="1416"/>
      <c r="P50" s="37"/>
    </row>
    <row r="51" spans="1:16" ht="6" customHeight="1" x14ac:dyDescent="0.2">
      <c r="B51" s="1419"/>
      <c r="C51" s="1848"/>
      <c r="D51" s="107"/>
      <c r="E51" s="1081"/>
      <c r="F51" s="1055"/>
      <c r="G51" s="760"/>
      <c r="H51" s="760"/>
      <c r="I51" s="760"/>
      <c r="J51" s="760"/>
      <c r="K51" s="760"/>
      <c r="L51" s="760"/>
      <c r="M51" s="760"/>
      <c r="N51" s="1416"/>
      <c r="O51" s="1416"/>
      <c r="P51" s="37"/>
    </row>
    <row r="52" spans="1:16" x14ac:dyDescent="0.2">
      <c r="B52" s="1419"/>
      <c r="C52" s="1101"/>
      <c r="D52" s="1519"/>
      <c r="E52" s="1567" t="s">
        <v>1321</v>
      </c>
      <c r="F52" s="1845">
        <v>2010</v>
      </c>
      <c r="G52" s="1845">
        <v>2015</v>
      </c>
      <c r="H52" s="1845">
        <v>2020</v>
      </c>
      <c r="I52" s="1845">
        <v>2025</v>
      </c>
      <c r="J52" s="1845">
        <v>2030</v>
      </c>
      <c r="K52" s="1845">
        <v>2035</v>
      </c>
      <c r="L52" s="1845">
        <v>2040</v>
      </c>
      <c r="M52" s="1845">
        <v>2045</v>
      </c>
      <c r="N52" s="1845">
        <v>2050</v>
      </c>
      <c r="O52" s="1416"/>
      <c r="P52" s="37"/>
    </row>
    <row r="53" spans="1:16" ht="15.75" customHeight="1" x14ac:dyDescent="0.2">
      <c r="B53" s="1419"/>
      <c r="C53" s="1846" t="s">
        <v>1871</v>
      </c>
      <c r="D53" s="1519"/>
      <c r="E53" s="1847">
        <f>(N53-F53)/(N$52-F$52)</f>
        <v>0</v>
      </c>
      <c r="F53" s="1852">
        <f>(3.5*NAIRA2010_/Unit.kW)*plantsize.IV.a</f>
        <v>3.5</v>
      </c>
      <c r="G53" s="1852">
        <f t="shared" ref="G53:M53" si="3">($E53*(G$45-F$45))+F53</f>
        <v>3.5</v>
      </c>
      <c r="H53" s="1852">
        <f t="shared" si="3"/>
        <v>3.5</v>
      </c>
      <c r="I53" s="1852">
        <f t="shared" si="3"/>
        <v>3.5</v>
      </c>
      <c r="J53" s="1852">
        <f t="shared" si="3"/>
        <v>3.5</v>
      </c>
      <c r="K53" s="1852">
        <f t="shared" si="3"/>
        <v>3.5</v>
      </c>
      <c r="L53" s="1852">
        <f t="shared" si="3"/>
        <v>3.5</v>
      </c>
      <c r="M53" s="1852">
        <f t="shared" si="3"/>
        <v>3.5</v>
      </c>
      <c r="N53" s="1852">
        <f>(3.5*NAIRA2010_/Unit.kW)*plantsize.IV.a</f>
        <v>3.5</v>
      </c>
      <c r="O53" s="1416"/>
      <c r="P53" s="37"/>
    </row>
    <row r="54" spans="1:16" ht="15.75" customHeight="1" x14ac:dyDescent="0.2">
      <c r="B54" s="1419"/>
      <c r="C54" s="606" t="s">
        <v>1872</v>
      </c>
      <c r="D54" s="107"/>
      <c r="E54" s="188">
        <f>(N54-F54)/(N$52-F$52)</f>
        <v>0</v>
      </c>
      <c r="F54" s="1849">
        <f>(3*NAIRA2010_/Unit.kW)*plantsize.IV.a</f>
        <v>3</v>
      </c>
      <c r="G54" s="1849">
        <f t="shared" ref="G54" si="4">($E54*(G$45-F$45))+F54</f>
        <v>3</v>
      </c>
      <c r="H54" s="1849">
        <f t="shared" ref="H54" si="5">($E54*(H$45-G$45))+G54</f>
        <v>3</v>
      </c>
      <c r="I54" s="1849">
        <f t="shared" ref="I54" si="6">($E54*(I$45-H$45))+H54</f>
        <v>3</v>
      </c>
      <c r="J54" s="1849">
        <f t="shared" ref="J54" si="7">($E54*(J$45-I$45))+I54</f>
        <v>3</v>
      </c>
      <c r="K54" s="1849">
        <f t="shared" ref="K54" si="8">($E54*(K$45-J$45))+J54</f>
        <v>3</v>
      </c>
      <c r="L54" s="1849">
        <f t="shared" ref="L54" si="9">($E54*(L$45-K$45))+K54</f>
        <v>3</v>
      </c>
      <c r="M54" s="1849">
        <f t="shared" ref="M54" si="10">($E54*(M$45-L$45))+L54</f>
        <v>3</v>
      </c>
      <c r="N54" s="1849">
        <f>(3*NAIRA2010_/Unit.kW)*plantsize.IV.a</f>
        <v>3</v>
      </c>
      <c r="O54" s="1416"/>
      <c r="P54" s="37"/>
    </row>
    <row r="55" spans="1:16" ht="15.75" customHeight="1" x14ac:dyDescent="0.2">
      <c r="B55" s="1419"/>
      <c r="C55" s="1731" t="s">
        <v>1873</v>
      </c>
      <c r="D55" s="189"/>
      <c r="E55" s="191">
        <f>(N55-F55)/(N$52-F$52)</f>
        <v>0</v>
      </c>
      <c r="F55" s="1850">
        <f>(2.25*NAIRA2010_/Unit.kW)*plantsize.IV.a</f>
        <v>2.25</v>
      </c>
      <c r="G55" s="1850">
        <f t="shared" ref="G55:M55" si="11">($E55*(G$45-F$45))+F55</f>
        <v>2.25</v>
      </c>
      <c r="H55" s="1850">
        <f t="shared" si="11"/>
        <v>2.25</v>
      </c>
      <c r="I55" s="1850">
        <f t="shared" si="11"/>
        <v>2.25</v>
      </c>
      <c r="J55" s="1850">
        <f t="shared" si="11"/>
        <v>2.25</v>
      </c>
      <c r="K55" s="1850">
        <f t="shared" si="11"/>
        <v>2.25</v>
      </c>
      <c r="L55" s="1850">
        <f t="shared" si="11"/>
        <v>2.25</v>
      </c>
      <c r="M55" s="1850">
        <f t="shared" si="11"/>
        <v>2.25</v>
      </c>
      <c r="N55" s="1850">
        <f>(2.25*NAIRA2010_/Unit.kW)*plantsize.IV.a</f>
        <v>2.25</v>
      </c>
      <c r="O55" s="1416"/>
      <c r="P55" s="37"/>
    </row>
    <row r="56" spans="1:16" ht="15.75" customHeight="1" x14ac:dyDescent="0.2">
      <c r="B56" s="1377"/>
      <c r="C56" s="1377"/>
      <c r="D56" s="1416"/>
      <c r="E56" s="760"/>
      <c r="F56" s="1416"/>
      <c r="G56" s="1416"/>
      <c r="H56" s="1416"/>
      <c r="I56" s="1488"/>
      <c r="J56" s="1488"/>
      <c r="K56" s="1377"/>
      <c r="L56" s="1377"/>
      <c r="M56" s="1377"/>
      <c r="N56" s="1377"/>
      <c r="O56" s="1377"/>
    </row>
    <row r="57" spans="1:16" ht="11.25" customHeight="1" x14ac:dyDescent="0.2">
      <c r="B57" s="1857"/>
      <c r="C57" s="2511"/>
      <c r="D57" s="2512"/>
      <c r="E57" s="1855"/>
      <c r="F57" s="2513"/>
      <c r="G57" s="2512"/>
      <c r="H57" s="2512"/>
      <c r="I57" s="2512"/>
      <c r="J57" s="2512"/>
      <c r="K57" s="2512"/>
      <c r="L57" s="2512"/>
      <c r="M57" s="2514"/>
      <c r="N57" s="2514"/>
      <c r="O57" s="2515"/>
    </row>
    <row r="58" spans="1:16" ht="15.75" x14ac:dyDescent="0.2">
      <c r="B58" s="1423" t="s">
        <v>332</v>
      </c>
      <c r="C58" s="405"/>
      <c r="D58" s="405"/>
      <c r="E58" s="405"/>
      <c r="F58" s="405"/>
      <c r="G58" s="405"/>
      <c r="H58" s="405"/>
      <c r="I58" s="405"/>
      <c r="J58" s="405"/>
      <c r="K58" s="405"/>
      <c r="L58" s="405"/>
      <c r="M58" s="405"/>
      <c r="N58" s="405"/>
      <c r="O58" s="406"/>
    </row>
    <row r="59" spans="1:16" x14ac:dyDescent="0.2">
      <c r="B59" s="1419"/>
      <c r="C59" s="1416"/>
      <c r="D59" s="1416"/>
      <c r="E59" s="1416"/>
      <c r="F59" s="1416"/>
      <c r="G59" s="1416"/>
      <c r="H59" s="1416"/>
      <c r="I59" s="1416"/>
      <c r="J59" s="1416"/>
      <c r="K59" s="1416"/>
      <c r="L59" s="1416"/>
      <c r="M59" s="1416"/>
      <c r="N59" s="1416"/>
      <c r="O59" s="1420"/>
    </row>
    <row r="60" spans="1:16" x14ac:dyDescent="0.2">
      <c r="B60" s="1419"/>
      <c r="C60" s="1417" t="s">
        <v>298</v>
      </c>
      <c r="D60" s="1416"/>
      <c r="E60" s="176"/>
      <c r="F60" s="1416"/>
      <c r="G60" s="1416"/>
      <c r="H60" s="1416"/>
      <c r="I60" s="1416"/>
      <c r="J60" s="1416"/>
      <c r="K60" s="1416"/>
      <c r="L60" s="1416"/>
      <c r="M60" s="1416"/>
      <c r="N60" s="176" t="str">
        <f>Preferences.PowerUnits</f>
        <v>GW</v>
      </c>
      <c r="O60" s="1420"/>
    </row>
    <row r="61" spans="1:16" x14ac:dyDescent="0.2">
      <c r="B61" s="1419"/>
      <c r="C61" s="1416"/>
      <c r="D61" s="1416"/>
      <c r="E61" s="1416"/>
      <c r="F61" s="1416"/>
      <c r="G61" s="1416"/>
      <c r="H61" s="1416"/>
      <c r="I61" s="1416"/>
      <c r="J61" s="1416"/>
      <c r="K61" s="1416"/>
      <c r="L61" s="1416"/>
      <c r="M61" s="1416"/>
      <c r="N61" s="1416"/>
      <c r="O61" s="1420"/>
    </row>
    <row r="62" spans="1:16" ht="15.75" x14ac:dyDescent="0.25">
      <c r="B62" s="397"/>
      <c r="C62" s="98" t="s">
        <v>264</v>
      </c>
      <c r="D62" s="98" t="s">
        <v>65</v>
      </c>
      <c r="E62" s="98" t="s">
        <v>172</v>
      </c>
      <c r="F62" s="218">
        <v>2010</v>
      </c>
      <c r="G62" s="217">
        <v>2015</v>
      </c>
      <c r="H62" s="217">
        <v>2020</v>
      </c>
      <c r="I62" s="217">
        <v>2025</v>
      </c>
      <c r="J62" s="217">
        <v>2030</v>
      </c>
      <c r="K62" s="217">
        <v>2035</v>
      </c>
      <c r="L62" s="217">
        <v>2040</v>
      </c>
      <c r="M62" s="217">
        <v>2045</v>
      </c>
      <c r="N62" s="217">
        <v>2050</v>
      </c>
      <c r="O62" s="1420"/>
    </row>
    <row r="63" spans="1:16" ht="15.75" x14ac:dyDescent="0.2">
      <c r="B63" s="399"/>
      <c r="C63" s="121" t="s">
        <v>25</v>
      </c>
      <c r="D63" s="122" t="str">
        <f>INDEX(Vectors[Description], MATCH($C63,Vectors[Code], 0))</f>
        <v>Solar</v>
      </c>
      <c r="E63" s="122"/>
      <c r="F63" s="889">
        <f t="shared" ref="F63:N63" si="12">F20</f>
        <v>1.4999999999999999E-2</v>
      </c>
      <c r="G63" s="1036">
        <f t="shared" si="12"/>
        <v>0.5</v>
      </c>
      <c r="H63" s="1036">
        <f t="shared" si="12"/>
        <v>10.87</v>
      </c>
      <c r="I63" s="1036">
        <f t="shared" si="12"/>
        <v>17.73</v>
      </c>
      <c r="J63" s="1036">
        <f t="shared" si="12"/>
        <v>24.58</v>
      </c>
      <c r="K63" s="1036">
        <f t="shared" si="12"/>
        <v>30.434999999999999</v>
      </c>
      <c r="L63" s="1036">
        <f t="shared" si="12"/>
        <v>37</v>
      </c>
      <c r="M63" s="1036">
        <f t="shared" si="12"/>
        <v>45.145000000000003</v>
      </c>
      <c r="N63" s="1036">
        <f t="shared" si="12"/>
        <v>60</v>
      </c>
      <c r="O63" s="400"/>
    </row>
    <row r="64" spans="1:16" ht="11.25" customHeight="1" x14ac:dyDescent="0.2">
      <c r="B64" s="401"/>
      <c r="C64" s="1414"/>
      <c r="D64" s="1415"/>
      <c r="E64" s="1415"/>
      <c r="F64" s="207"/>
      <c r="G64" s="207"/>
      <c r="H64" s="207"/>
      <c r="I64" s="207"/>
      <c r="J64" s="207"/>
      <c r="K64" s="207"/>
      <c r="L64" s="207"/>
      <c r="M64" s="207"/>
      <c r="N64" s="207"/>
      <c r="O64" s="1420"/>
    </row>
    <row r="66" spans="2:14" x14ac:dyDescent="0.2">
      <c r="B66" s="2479" t="s">
        <v>2358</v>
      </c>
      <c r="F66" s="2479">
        <v>2010</v>
      </c>
      <c r="G66" s="2479">
        <v>2015</v>
      </c>
      <c r="H66" s="2479">
        <v>2020</v>
      </c>
      <c r="I66" s="2479">
        <v>2025</v>
      </c>
      <c r="J66" s="2479">
        <v>2030</v>
      </c>
      <c r="K66" s="2479">
        <v>2035</v>
      </c>
      <c r="L66" s="2479">
        <v>2040</v>
      </c>
      <c r="M66" s="2479">
        <v>2045</v>
      </c>
      <c r="N66" s="2479">
        <v>2050</v>
      </c>
    </row>
    <row r="68" spans="2:14" x14ac:dyDescent="0.2">
      <c r="C68" s="1427" t="s">
        <v>328</v>
      </c>
      <c r="E68" s="1426" t="str">
        <f>Preferences.PowerUnits</f>
        <v>GW</v>
      </c>
      <c r="F68" s="23">
        <f t="shared" ref="F68:N68" si="13">F$63</f>
        <v>1.4999999999999999E-2</v>
      </c>
      <c r="G68" s="23">
        <f t="shared" si="13"/>
        <v>0.5</v>
      </c>
      <c r="H68" s="23">
        <f t="shared" si="13"/>
        <v>10.87</v>
      </c>
      <c r="I68" s="23">
        <f t="shared" si="13"/>
        <v>17.73</v>
      </c>
      <c r="J68" s="23">
        <f t="shared" si="13"/>
        <v>24.58</v>
      </c>
      <c r="K68" s="23">
        <f t="shared" si="13"/>
        <v>30.434999999999999</v>
      </c>
      <c r="L68" s="23">
        <f t="shared" si="13"/>
        <v>37</v>
      </c>
      <c r="M68" s="23">
        <f t="shared" si="13"/>
        <v>45.145000000000003</v>
      </c>
      <c r="N68" s="23">
        <f t="shared" si="13"/>
        <v>60</v>
      </c>
    </row>
    <row r="69" spans="2:14" x14ac:dyDescent="0.2">
      <c r="B69" s="2479" t="s">
        <v>345</v>
      </c>
      <c r="C69" s="2479" t="s">
        <v>327</v>
      </c>
      <c r="E69" s="1426"/>
      <c r="F69" s="15">
        <f t="shared" ref="F69:N69" si="14">F$31</f>
        <v>0.21</v>
      </c>
      <c r="G69" s="15">
        <f t="shared" si="14"/>
        <v>0.21</v>
      </c>
      <c r="H69" s="15">
        <f t="shared" si="14"/>
        <v>0.21</v>
      </c>
      <c r="I69" s="15">
        <f t="shared" si="14"/>
        <v>0.21</v>
      </c>
      <c r="J69" s="15">
        <f t="shared" si="14"/>
        <v>0.21</v>
      </c>
      <c r="K69" s="15">
        <f t="shared" si="14"/>
        <v>0.21</v>
      </c>
      <c r="L69" s="15">
        <f t="shared" si="14"/>
        <v>0.21</v>
      </c>
      <c r="M69" s="15">
        <f t="shared" si="14"/>
        <v>0.21</v>
      </c>
      <c r="N69" s="15">
        <f t="shared" si="14"/>
        <v>0.21</v>
      </c>
    </row>
    <row r="70" spans="2:14" x14ac:dyDescent="0.2">
      <c r="B70" s="132" t="s">
        <v>346</v>
      </c>
      <c r="C70" s="1427" t="s">
        <v>580</v>
      </c>
      <c r="E70" s="1426"/>
      <c r="F70" s="114">
        <f t="shared" ref="F70:N70" si="15">F68*F69</f>
        <v>3.1499999999999996E-3</v>
      </c>
      <c r="G70" s="114">
        <f t="shared" si="15"/>
        <v>0.105</v>
      </c>
      <c r="H70" s="114">
        <f t="shared" si="15"/>
        <v>2.2826999999999997</v>
      </c>
      <c r="I70" s="114">
        <f t="shared" si="15"/>
        <v>3.7233000000000001</v>
      </c>
      <c r="J70" s="114">
        <f t="shared" si="15"/>
        <v>5.1617999999999995</v>
      </c>
      <c r="K70" s="114">
        <f t="shared" si="15"/>
        <v>6.3913499999999992</v>
      </c>
      <c r="L70" s="114">
        <f t="shared" si="15"/>
        <v>7.77</v>
      </c>
      <c r="M70" s="114">
        <f t="shared" si="15"/>
        <v>9.4804500000000012</v>
      </c>
      <c r="N70" s="114">
        <f t="shared" si="15"/>
        <v>12.6</v>
      </c>
    </row>
    <row r="71" spans="2:14" x14ac:dyDescent="0.2">
      <c r="C71" s="1427" t="s">
        <v>185</v>
      </c>
      <c r="E71" s="1426" t="str">
        <f>Preferences.EnergyUnits</f>
        <v>TWh</v>
      </c>
      <c r="F71" s="114">
        <f t="shared" ref="F71:M71" si="16">F70*Preferences.Unit.Power*Unit.year/Preferences.Unit.Energy</f>
        <v>2.7612899999999996E-2</v>
      </c>
      <c r="G71" s="114">
        <f t="shared" si="16"/>
        <v>0.92042999999999997</v>
      </c>
      <c r="H71" s="114">
        <f t="shared" si="16"/>
        <v>20.0101482</v>
      </c>
      <c r="I71" s="114">
        <f t="shared" si="16"/>
        <v>32.638447800000002</v>
      </c>
      <c r="J71" s="114">
        <f t="shared" si="16"/>
        <v>45.248338799999999</v>
      </c>
      <c r="K71" s="114">
        <f t="shared" si="16"/>
        <v>56.026574099999991</v>
      </c>
      <c r="L71" s="114">
        <f t="shared" si="16"/>
        <v>68.111819999999994</v>
      </c>
      <c r="M71" s="114">
        <f t="shared" si="16"/>
        <v>83.105624700000007</v>
      </c>
      <c r="N71" s="114">
        <f>N70*Preferences.Unit.Power*Unit.year/Preferences.Unit.Energy</f>
        <v>110.4516</v>
      </c>
    </row>
    <row r="72" spans="2:14" x14ac:dyDescent="0.2">
      <c r="E72" s="1426"/>
    </row>
    <row r="73" spans="2:14" x14ac:dyDescent="0.2">
      <c r="B73" s="39" t="s">
        <v>975</v>
      </c>
      <c r="E73" s="1426"/>
    </row>
    <row r="74" spans="2:14" x14ac:dyDescent="0.2">
      <c r="B74" s="39"/>
      <c r="C74" s="1427" t="s">
        <v>977</v>
      </c>
      <c r="E74" s="172" t="str">
        <f>Preferences.PowerUnits</f>
        <v>GW</v>
      </c>
      <c r="F74" s="114">
        <f t="shared" ref="F74:N74" si="17">F70/F$36</f>
        <v>1.5749999999999997E-2</v>
      </c>
      <c r="G74" s="114">
        <f t="shared" si="17"/>
        <v>0.52499999999999991</v>
      </c>
      <c r="H74" s="114">
        <f t="shared" si="17"/>
        <v>11.413499999999997</v>
      </c>
      <c r="I74" s="114">
        <f t="shared" si="17"/>
        <v>18.616499999999998</v>
      </c>
      <c r="J74" s="114">
        <f t="shared" si="17"/>
        <v>25.808999999999997</v>
      </c>
      <c r="K74" s="114">
        <f t="shared" si="17"/>
        <v>31.956749999999996</v>
      </c>
      <c r="L74" s="114">
        <f t="shared" si="17"/>
        <v>38.849999999999994</v>
      </c>
      <c r="M74" s="114">
        <f t="shared" si="17"/>
        <v>47.402250000000002</v>
      </c>
      <c r="N74" s="114">
        <f t="shared" si="17"/>
        <v>62.999999999999993</v>
      </c>
    </row>
    <row r="75" spans="2:14" x14ac:dyDescent="0.2">
      <c r="B75" s="1037" t="s">
        <v>976</v>
      </c>
      <c r="C75" s="2479" t="s">
        <v>978</v>
      </c>
      <c r="E75" s="1426" t="str">
        <f>Preferences.PowerUnits &amp; " / m2"</f>
        <v>GW / m2</v>
      </c>
      <c r="F75" s="1038">
        <f t="shared" ref="F75:N75" si="18">Global.NigeriaIncidentSolarEnergy_SouthFacing*Unit.W</f>
        <v>9.6300000000000014E-7</v>
      </c>
      <c r="G75" s="1038">
        <f t="shared" si="18"/>
        <v>9.6300000000000014E-7</v>
      </c>
      <c r="H75" s="1038">
        <f t="shared" si="18"/>
        <v>9.6300000000000014E-7</v>
      </c>
      <c r="I75" s="1038">
        <f t="shared" si="18"/>
        <v>9.6300000000000014E-7</v>
      </c>
      <c r="J75" s="1038">
        <f t="shared" si="18"/>
        <v>9.6300000000000014E-7</v>
      </c>
      <c r="K75" s="1038">
        <f t="shared" si="18"/>
        <v>9.6300000000000014E-7</v>
      </c>
      <c r="L75" s="1038">
        <f t="shared" si="18"/>
        <v>9.6300000000000014E-7</v>
      </c>
      <c r="M75" s="1038">
        <f t="shared" si="18"/>
        <v>9.6300000000000014E-7</v>
      </c>
      <c r="N75" s="1038">
        <f t="shared" si="18"/>
        <v>9.6300000000000014E-7</v>
      </c>
    </row>
    <row r="76" spans="2:14" ht="15" x14ac:dyDescent="0.2">
      <c r="B76" s="2479" t="s">
        <v>346</v>
      </c>
      <c r="C76" s="1427" t="s">
        <v>981</v>
      </c>
      <c r="E76" s="1426" t="s">
        <v>572</v>
      </c>
      <c r="F76" s="581">
        <f t="shared" ref="F76:N76" si="19">F74/F75</f>
        <v>16355.140186915882</v>
      </c>
      <c r="G76" s="581">
        <f t="shared" si="19"/>
        <v>545171.33956386277</v>
      </c>
      <c r="H76" s="581">
        <f t="shared" si="19"/>
        <v>11852024.922118375</v>
      </c>
      <c r="I76" s="581">
        <f t="shared" si="19"/>
        <v>19331775.700934574</v>
      </c>
      <c r="J76" s="581">
        <f t="shared" si="19"/>
        <v>26800623.052959494</v>
      </c>
      <c r="K76" s="581">
        <f t="shared" si="19"/>
        <v>33184579.439252328</v>
      </c>
      <c r="L76" s="581">
        <f t="shared" si="19"/>
        <v>40342679.127725847</v>
      </c>
      <c r="M76" s="581">
        <f t="shared" si="19"/>
        <v>49223520.249221176</v>
      </c>
      <c r="N76" s="581">
        <f t="shared" si="19"/>
        <v>65420560.747663535</v>
      </c>
    </row>
    <row r="77" spans="2:14" x14ac:dyDescent="0.2">
      <c r="C77" s="1427"/>
      <c r="E77" s="1426"/>
      <c r="F77" s="581"/>
      <c r="G77" s="581"/>
      <c r="H77" s="581"/>
      <c r="I77" s="581"/>
      <c r="J77" s="581"/>
      <c r="K77" s="581"/>
      <c r="L77" s="581"/>
      <c r="M77" s="581"/>
      <c r="N77" s="581"/>
    </row>
    <row r="78" spans="2:14" ht="15" x14ac:dyDescent="0.2">
      <c r="C78" s="2540" t="s">
        <v>979</v>
      </c>
      <c r="D78" s="588"/>
      <c r="E78" s="2541" t="s">
        <v>581</v>
      </c>
      <c r="F78" s="2542">
        <f>F76/INDEX(Global.Assumptions[Households], MATCH(F$66,Global.Assumptions[Year], 0))</f>
        <v>5.5540964391699241E-4</v>
      </c>
      <c r="G78" s="2542">
        <f>G76/INDEX(Global.Assumptions[Households], MATCH(G$66,Global.Assumptions[Year], 0))</f>
        <v>1.7289601841962075E-2</v>
      </c>
      <c r="H78" s="2542">
        <f>H76/INDEX(Global.Assumptions[Households], MATCH(H$66,Global.Assumptions[Year], 0))</f>
        <v>0.32035458029733344</v>
      </c>
      <c r="I78" s="2542">
        <f>I76/INDEX(Global.Assumptions[Households], MATCH(I$66,Global.Assumptions[Year], 0))</f>
        <v>0.44473405477355643</v>
      </c>
      <c r="J78" s="2542">
        <f>J76/INDEX(Global.Assumptions[Households], MATCH(J$66,Global.Assumptions[Year], 0))</f>
        <v>0.54494691970971021</v>
      </c>
      <c r="K78" s="2542">
        <f>K76/INDEX(Global.Assumptions[Households], MATCH(K$66,Global.Assumptions[Year], 0))</f>
        <v>0.57344657524314202</v>
      </c>
      <c r="L78" s="2542">
        <f>L76/INDEX(Global.Assumptions[Households], MATCH(L$66,Global.Assumptions[Year], 0))</f>
        <v>0.63142318207981007</v>
      </c>
      <c r="M78" s="2542">
        <f>M76/INDEX(Global.Assumptions[Households], MATCH(M$66,Global.Assumptions[Year], 0))</f>
        <v>0.69779458836840891</v>
      </c>
      <c r="N78" s="2542">
        <f>N76/INDEX(Global.Assumptions[Households], MATCH(N$66,Global.Assumptions[Year], 0))</f>
        <v>0.83997881176367484</v>
      </c>
    </row>
    <row r="79" spans="2:14" ht="15" x14ac:dyDescent="0.2">
      <c r="C79" s="39" t="s">
        <v>980</v>
      </c>
      <c r="E79" s="582" t="s">
        <v>581</v>
      </c>
      <c r="F79" s="366">
        <f>F76/INDEX(Global.Assumptions[Population], MATCH(F$66, Global.Assumptions[Year], 0))</f>
        <v>1.0479427243716839E-4</v>
      </c>
      <c r="G79" s="366">
        <f>G76/INDEX(Global.Assumptions[Population], MATCH(G$66, Global.Assumptions[Year], 0))</f>
        <v>3.0874289003503708E-3</v>
      </c>
      <c r="H79" s="366">
        <f>H76/INDEX(Global.Assumptions[Population], MATCH(H$66, Global.Assumptions[Year], 0))</f>
        <v>5.9324922277283969E-2</v>
      </c>
      <c r="I79" s="366">
        <f>I76/INDEX(Global.Assumptions[Population], MATCH(I$66, Global.Assumptions[Year], 0))</f>
        <v>8.5525779764145465E-2</v>
      </c>
      <c r="J79" s="366">
        <f>J76/INDEX(Global.Assumptions[Population], MATCH(J$66, Global.Assumptions[Year], 0))</f>
        <v>0.10479748455955964</v>
      </c>
      <c r="K79" s="366">
        <f>K76/INDEX(Global.Assumptions[Population], MATCH(K$66, Global.Assumptions[Year], 0))</f>
        <v>0.11468931504862839</v>
      </c>
      <c r="L79" s="366">
        <f>L76/INDEX(Global.Assumptions[Population], MATCH(L$66, Global.Assumptions[Year], 0))</f>
        <v>0.12628463641596202</v>
      </c>
      <c r="M79" s="366">
        <f>M76/INDEX(Global.Assumptions[Population], MATCH(M$66, Global.Assumptions[Year], 0))</f>
        <v>0.13955891767368175</v>
      </c>
      <c r="N79" s="366">
        <f>N76/INDEX(Global.Assumptions[Population], MATCH(N$66, Global.Assumptions[Year], 0))</f>
        <v>0.16799576235273497</v>
      </c>
    </row>
    <row r="80" spans="2:14" ht="4.5" customHeight="1" x14ac:dyDescent="0.2">
      <c r="C80" s="39"/>
      <c r="E80" s="582"/>
      <c r="F80" s="366"/>
      <c r="G80" s="366"/>
      <c r="H80" s="366"/>
      <c r="I80" s="366"/>
      <c r="J80" s="366"/>
      <c r="K80" s="366"/>
      <c r="L80" s="366"/>
      <c r="M80" s="366"/>
      <c r="N80" s="366"/>
    </row>
    <row r="81" spans="2:16" x14ac:dyDescent="0.2">
      <c r="B81" s="2479" t="s">
        <v>1274</v>
      </c>
      <c r="C81" s="1427"/>
      <c r="F81" s="114"/>
      <c r="G81" s="114"/>
      <c r="H81" s="114"/>
      <c r="I81" s="114"/>
      <c r="J81" s="114"/>
      <c r="K81" s="114"/>
      <c r="L81" s="114"/>
      <c r="M81" s="114"/>
      <c r="N81" s="114"/>
    </row>
    <row r="82" spans="2:16" x14ac:dyDescent="0.2">
      <c r="F82" s="1262"/>
      <c r="G82" s="1262"/>
      <c r="H82" s="1262"/>
      <c r="I82" s="1262"/>
      <c r="J82" s="1262"/>
      <c r="K82" s="1262"/>
      <c r="L82" s="1262"/>
      <c r="M82" s="1262"/>
      <c r="N82" s="1262"/>
    </row>
    <row r="83" spans="2:16" x14ac:dyDescent="0.2">
      <c r="C83" s="2479" t="s">
        <v>2368</v>
      </c>
      <c r="E83" s="2479" t="s">
        <v>1275</v>
      </c>
      <c r="F83" s="1262">
        <f t="shared" ref="F83:N83" si="20">F68/plantsize.IV.a</f>
        <v>15000</v>
      </c>
      <c r="G83" s="1262">
        <f t="shared" si="20"/>
        <v>500000</v>
      </c>
      <c r="H83" s="1262">
        <f>H68/plantsize.IV.a</f>
        <v>10870000</v>
      </c>
      <c r="I83" s="1262">
        <f t="shared" si="20"/>
        <v>17730000</v>
      </c>
      <c r="J83" s="1262">
        <f t="shared" si="20"/>
        <v>24580000</v>
      </c>
      <c r="K83" s="1262">
        <f t="shared" si="20"/>
        <v>30435000</v>
      </c>
      <c r="L83" s="1262">
        <f t="shared" si="20"/>
        <v>37000000</v>
      </c>
      <c r="M83" s="1262">
        <f t="shared" si="20"/>
        <v>45145000.000000007</v>
      </c>
      <c r="N83" s="1262">
        <f t="shared" si="20"/>
        <v>60000000</v>
      </c>
    </row>
    <row r="84" spans="2:16" x14ac:dyDescent="0.2">
      <c r="C84" s="2479" t="s">
        <v>1640</v>
      </c>
      <c r="F84" s="1262"/>
      <c r="G84" s="1498"/>
      <c r="H84" s="1498"/>
      <c r="I84" s="1498"/>
      <c r="J84" s="1498"/>
      <c r="K84" s="1498">
        <f>IF($E$8=1,0,-F63)</f>
        <v>-1.4999999999999999E-2</v>
      </c>
      <c r="L84" s="1498">
        <f>IF($E$8=1,0,-G63)</f>
        <v>-0.5</v>
      </c>
      <c r="M84" s="1498">
        <f>IF($E$8=1,0,-H63)</f>
        <v>-10.87</v>
      </c>
      <c r="N84" s="1498">
        <f>IF($E$8=1,0,-I63)</f>
        <v>-17.73</v>
      </c>
    </row>
    <row r="85" spans="2:16" x14ac:dyDescent="0.2">
      <c r="C85" s="2479" t="s">
        <v>2369</v>
      </c>
      <c r="E85" s="2479" t="s">
        <v>1275</v>
      </c>
      <c r="F85" s="1262"/>
      <c r="G85" s="1262"/>
      <c r="H85" s="1262"/>
      <c r="I85" s="1262">
        <f t="shared" ref="I85:N85" si="21">I84/plantsize.IV.a</f>
        <v>0</v>
      </c>
      <c r="J85" s="1262">
        <f t="shared" si="21"/>
        <v>0</v>
      </c>
      <c r="K85" s="1262">
        <f t="shared" si="21"/>
        <v>-15000</v>
      </c>
      <c r="L85" s="1262">
        <f t="shared" si="21"/>
        <v>-500000</v>
      </c>
      <c r="M85" s="1262">
        <f t="shared" si="21"/>
        <v>-10870000</v>
      </c>
      <c r="N85" s="1262">
        <f t="shared" si="21"/>
        <v>-17730000</v>
      </c>
    </row>
    <row r="86" spans="2:16" x14ac:dyDescent="0.2">
      <c r="C86" s="2479" t="s">
        <v>2370</v>
      </c>
      <c r="F86" s="1262">
        <f>F83-F85</f>
        <v>15000</v>
      </c>
      <c r="G86" s="1262">
        <f>G83-G85</f>
        <v>500000</v>
      </c>
      <c r="H86" s="1262">
        <f t="shared" ref="H86:N86" si="22">H83-H85</f>
        <v>10870000</v>
      </c>
      <c r="I86" s="1262">
        <f t="shared" si="22"/>
        <v>17730000</v>
      </c>
      <c r="J86" s="1262">
        <f t="shared" si="22"/>
        <v>24580000</v>
      </c>
      <c r="K86" s="1262">
        <f t="shared" si="22"/>
        <v>30450000</v>
      </c>
      <c r="L86" s="1262">
        <f t="shared" si="22"/>
        <v>37500000</v>
      </c>
      <c r="M86" s="1262">
        <f t="shared" si="22"/>
        <v>56015000.000000007</v>
      </c>
      <c r="N86" s="1262">
        <f t="shared" si="22"/>
        <v>77730000</v>
      </c>
    </row>
    <row r="87" spans="2:16" x14ac:dyDescent="0.2">
      <c r="C87" s="2479" t="s">
        <v>1446</v>
      </c>
      <c r="F87" s="1262">
        <v>0</v>
      </c>
      <c r="G87" s="1262">
        <f t="shared" ref="G87:N87" si="23">IF(((G86-F83)/(G$30-F$30))&gt;0,(G86-F83)/(G$30-F$30),0)</f>
        <v>97000</v>
      </c>
      <c r="H87" s="1262">
        <f t="shared" si="23"/>
        <v>2074000</v>
      </c>
      <c r="I87" s="1262">
        <f t="shared" si="23"/>
        <v>1372000</v>
      </c>
      <c r="J87" s="1262">
        <f t="shared" si="23"/>
        <v>1370000</v>
      </c>
      <c r="K87" s="1262">
        <f t="shared" si="23"/>
        <v>1174000</v>
      </c>
      <c r="L87" s="1262">
        <f t="shared" si="23"/>
        <v>1413000</v>
      </c>
      <c r="M87" s="1262">
        <f t="shared" si="23"/>
        <v>3803000.0000000014</v>
      </c>
      <c r="N87" s="1262">
        <f t="shared" si="23"/>
        <v>6516999.9999999981</v>
      </c>
    </row>
    <row r="88" spans="2:16" x14ac:dyDescent="0.2">
      <c r="F88" s="1262"/>
      <c r="G88" s="1262"/>
      <c r="H88" s="1262"/>
      <c r="I88" s="1262"/>
      <c r="J88" s="1262"/>
      <c r="K88" s="1262"/>
      <c r="L88" s="1262"/>
      <c r="M88" s="1262"/>
      <c r="N88" s="1262"/>
    </row>
    <row r="89" spans="2:16" x14ac:dyDescent="0.2">
      <c r="B89" s="2479" t="s">
        <v>1420</v>
      </c>
      <c r="F89" s="1262"/>
      <c r="G89" s="1262"/>
      <c r="H89" s="1262"/>
      <c r="I89" s="1262"/>
      <c r="J89" s="1262"/>
      <c r="K89" s="1262"/>
      <c r="L89" s="1262"/>
      <c r="M89" s="1262"/>
      <c r="N89" s="1262"/>
      <c r="O89" s="1262"/>
    </row>
    <row r="90" spans="2:16" x14ac:dyDescent="0.2">
      <c r="C90" s="2479" t="s">
        <v>1418</v>
      </c>
      <c r="E90" s="2479" t="str">
        <f>Preferences.moneyunits</f>
        <v>N</v>
      </c>
      <c r="F90" s="1262">
        <f t="shared" ref="F90:N90" si="24">F87*F$48</f>
        <v>0</v>
      </c>
      <c r="G90" s="1262">
        <f t="shared" si="24"/>
        <v>65475000000</v>
      </c>
      <c r="H90" s="1262">
        <f>H87*H$48</f>
        <v>1399950000000</v>
      </c>
      <c r="I90" s="1262">
        <f t="shared" si="24"/>
        <v>926100000000</v>
      </c>
      <c r="J90" s="1262">
        <f t="shared" si="24"/>
        <v>924750000000</v>
      </c>
      <c r="K90" s="1262">
        <f t="shared" si="24"/>
        <v>792450000000</v>
      </c>
      <c r="L90" s="1262">
        <f t="shared" si="24"/>
        <v>953775000000</v>
      </c>
      <c r="M90" s="1262">
        <f t="shared" si="24"/>
        <v>2567025000000.001</v>
      </c>
      <c r="N90" s="1262">
        <f t="shared" si="24"/>
        <v>4398974999999.999</v>
      </c>
      <c r="O90" s="1262"/>
    </row>
    <row r="91" spans="2:16" x14ac:dyDescent="0.2">
      <c r="C91" s="2479" t="s">
        <v>1419</v>
      </c>
      <c r="E91" s="2479" t="str">
        <f>Preferences.moneyunits</f>
        <v>N</v>
      </c>
      <c r="F91" s="1262">
        <f t="shared" ref="F91:N91" si="25">F83*F55</f>
        <v>33750</v>
      </c>
      <c r="G91" s="1262">
        <f t="shared" si="25"/>
        <v>1125000</v>
      </c>
      <c r="H91" s="1262">
        <f>H83*H55</f>
        <v>24457500</v>
      </c>
      <c r="I91" s="1262">
        <f t="shared" si="25"/>
        <v>39892500</v>
      </c>
      <c r="J91" s="1262">
        <f t="shared" si="25"/>
        <v>55305000</v>
      </c>
      <c r="K91" s="1262">
        <f t="shared" si="25"/>
        <v>68478750</v>
      </c>
      <c r="L91" s="1262">
        <f t="shared" si="25"/>
        <v>83250000</v>
      </c>
      <c r="M91" s="1262">
        <f t="shared" si="25"/>
        <v>101576250.00000001</v>
      </c>
      <c r="N91" s="1262">
        <f t="shared" si="25"/>
        <v>135000000</v>
      </c>
      <c r="O91" s="1262"/>
      <c r="P91" s="23"/>
    </row>
    <row r="92" spans="2:16" x14ac:dyDescent="0.2">
      <c r="C92" s="2479" t="s">
        <v>1421</v>
      </c>
      <c r="E92" s="2479" t="str">
        <f>Preferences.moneyunits</f>
        <v>N</v>
      </c>
      <c r="F92" s="1262">
        <f t="shared" ref="F92:N92" si="26">SUM(F90:F91)</f>
        <v>33750</v>
      </c>
      <c r="G92" s="1262">
        <f t="shared" si="26"/>
        <v>65476125000</v>
      </c>
      <c r="H92" s="1262">
        <f t="shared" si="26"/>
        <v>1399974457500</v>
      </c>
      <c r="I92" s="1262">
        <f t="shared" si="26"/>
        <v>926139892500</v>
      </c>
      <c r="J92" s="1262">
        <f t="shared" si="26"/>
        <v>924805305000</v>
      </c>
      <c r="K92" s="1262">
        <f t="shared" si="26"/>
        <v>792518478750</v>
      </c>
      <c r="L92" s="1262">
        <f t="shared" si="26"/>
        <v>953858250000</v>
      </c>
      <c r="M92" s="1262">
        <f t="shared" si="26"/>
        <v>2567126576250.001</v>
      </c>
      <c r="N92" s="1262">
        <f t="shared" si="26"/>
        <v>4399109999999.999</v>
      </c>
      <c r="O92" s="1262"/>
    </row>
    <row r="93" spans="2:16" x14ac:dyDescent="0.2">
      <c r="C93" s="1427"/>
      <c r="F93" s="114"/>
      <c r="G93" s="114"/>
      <c r="H93" s="114"/>
      <c r="I93" s="114"/>
      <c r="J93" s="114"/>
      <c r="K93" s="114"/>
      <c r="L93" s="114"/>
      <c r="M93" s="114"/>
      <c r="N93" s="114"/>
      <c r="O93" s="1262"/>
    </row>
    <row r="94" spans="2:16" x14ac:dyDescent="0.2">
      <c r="B94" s="2479" t="s">
        <v>1874</v>
      </c>
      <c r="F94" s="1262"/>
      <c r="G94" s="1262"/>
      <c r="H94" s="1262"/>
      <c r="I94" s="1262"/>
      <c r="J94" s="1262"/>
      <c r="K94" s="1262"/>
      <c r="L94" s="1262"/>
      <c r="M94" s="1262"/>
      <c r="N94" s="1262"/>
      <c r="O94" s="1262"/>
      <c r="P94" s="24"/>
    </row>
    <row r="95" spans="2:16" x14ac:dyDescent="0.2">
      <c r="C95" s="2479" t="s">
        <v>1418</v>
      </c>
      <c r="E95" s="2479" t="str">
        <f>Preferences.moneyunits</f>
        <v>N</v>
      </c>
      <c r="F95" s="1262">
        <f t="shared" ref="F95:N95" si="27">F87*F$47</f>
        <v>0</v>
      </c>
      <c r="G95" s="1262">
        <f t="shared" si="27"/>
        <v>72750000000</v>
      </c>
      <c r="H95" s="1262">
        <f t="shared" si="27"/>
        <v>1555500000000</v>
      </c>
      <c r="I95" s="1262">
        <f t="shared" si="27"/>
        <v>1029000000000</v>
      </c>
      <c r="J95" s="1262">
        <f t="shared" si="27"/>
        <v>1027500000000</v>
      </c>
      <c r="K95" s="1262">
        <f t="shared" si="27"/>
        <v>880500000000</v>
      </c>
      <c r="L95" s="1262">
        <f t="shared" si="27"/>
        <v>1059750000000</v>
      </c>
      <c r="M95" s="1262">
        <f t="shared" si="27"/>
        <v>2852250000000.001</v>
      </c>
      <c r="N95" s="1262">
        <f t="shared" si="27"/>
        <v>4887749999999.999</v>
      </c>
      <c r="O95" s="1262"/>
    </row>
    <row r="96" spans="2:16" x14ac:dyDescent="0.2">
      <c r="C96" s="2479" t="s">
        <v>1419</v>
      </c>
      <c r="E96" s="2479" t="str">
        <f>Preferences.moneyunits</f>
        <v>N</v>
      </c>
      <c r="F96" s="1262">
        <f t="shared" ref="F96:M96" si="28">F83*F54</f>
        <v>45000</v>
      </c>
      <c r="G96" s="1262">
        <f t="shared" si="28"/>
        <v>1500000</v>
      </c>
      <c r="H96" s="1262">
        <f t="shared" si="28"/>
        <v>32610000</v>
      </c>
      <c r="I96" s="1262">
        <f t="shared" si="28"/>
        <v>53190000</v>
      </c>
      <c r="J96" s="1262">
        <f t="shared" si="28"/>
        <v>73740000</v>
      </c>
      <c r="K96" s="1262">
        <f t="shared" si="28"/>
        <v>91305000</v>
      </c>
      <c r="L96" s="1262">
        <f t="shared" si="28"/>
        <v>111000000</v>
      </c>
      <c r="M96" s="1262">
        <f t="shared" si="28"/>
        <v>135435000.00000003</v>
      </c>
      <c r="N96" s="1262">
        <f>N83*N54</f>
        <v>180000000</v>
      </c>
      <c r="O96" s="1262"/>
    </row>
    <row r="97" spans="2:17" x14ac:dyDescent="0.2">
      <c r="C97" s="2479" t="s">
        <v>1421</v>
      </c>
      <c r="E97" s="2479" t="str">
        <f>Preferences.moneyunits</f>
        <v>N</v>
      </c>
      <c r="F97" s="1262">
        <f t="shared" ref="F97:N97" si="29">SUM(F95:F96)</f>
        <v>45000</v>
      </c>
      <c r="G97" s="1262">
        <f t="shared" si="29"/>
        <v>72751500000</v>
      </c>
      <c r="H97" s="1262">
        <f t="shared" si="29"/>
        <v>1555532610000</v>
      </c>
      <c r="I97" s="1262">
        <f t="shared" si="29"/>
        <v>1029053190000</v>
      </c>
      <c r="J97" s="1262">
        <f t="shared" si="29"/>
        <v>1027573740000</v>
      </c>
      <c r="K97" s="1262">
        <f t="shared" si="29"/>
        <v>880591305000</v>
      </c>
      <c r="L97" s="1262">
        <f t="shared" si="29"/>
        <v>1059861000000</v>
      </c>
      <c r="M97" s="1262">
        <f t="shared" si="29"/>
        <v>2852385435000.001</v>
      </c>
      <c r="N97" s="1262">
        <f t="shared" si="29"/>
        <v>4887929999999.999</v>
      </c>
    </row>
    <row r="98" spans="2:17" x14ac:dyDescent="0.2">
      <c r="F98" s="1262"/>
      <c r="G98" s="1262"/>
      <c r="H98" s="1262"/>
      <c r="I98" s="1262"/>
      <c r="J98" s="1262"/>
      <c r="K98" s="1262"/>
      <c r="L98" s="1262"/>
      <c r="M98" s="1262"/>
      <c r="N98" s="1262"/>
    </row>
    <row r="99" spans="2:17" x14ac:dyDescent="0.2">
      <c r="B99" s="2479" t="s">
        <v>1422</v>
      </c>
      <c r="F99" s="1262"/>
      <c r="G99" s="1262"/>
      <c r="H99" s="1262"/>
      <c r="I99" s="1262"/>
      <c r="J99" s="1262"/>
      <c r="K99" s="1262"/>
      <c r="L99" s="1262"/>
      <c r="M99" s="1262"/>
      <c r="N99" s="1262"/>
    </row>
    <row r="100" spans="2:17" x14ac:dyDescent="0.2">
      <c r="C100" s="2479" t="s">
        <v>1418</v>
      </c>
      <c r="E100" s="2479" t="str">
        <f>Preferences.moneyunits</f>
        <v>N</v>
      </c>
      <c r="F100" s="1262">
        <f t="shared" ref="F100:N100" si="30">F87*F$46</f>
        <v>0</v>
      </c>
      <c r="G100" s="1262">
        <f t="shared" si="30"/>
        <v>80025000000</v>
      </c>
      <c r="H100" s="1262">
        <f t="shared" si="30"/>
        <v>1711050000000</v>
      </c>
      <c r="I100" s="1262">
        <f t="shared" si="30"/>
        <v>1131900000000</v>
      </c>
      <c r="J100" s="1262">
        <f t="shared" si="30"/>
        <v>1130250000000</v>
      </c>
      <c r="K100" s="1262">
        <f t="shared" si="30"/>
        <v>968550000000</v>
      </c>
      <c r="L100" s="1262">
        <f t="shared" si="30"/>
        <v>1165725000000</v>
      </c>
      <c r="M100" s="1262">
        <f t="shared" si="30"/>
        <v>3137475000000.001</v>
      </c>
      <c r="N100" s="1262">
        <f t="shared" si="30"/>
        <v>5376524999999.998</v>
      </c>
    </row>
    <row r="101" spans="2:17" x14ac:dyDescent="0.2">
      <c r="C101" s="2479" t="s">
        <v>1419</v>
      </c>
      <c r="E101" s="2479" t="str">
        <f>Preferences.moneyunits</f>
        <v>N</v>
      </c>
      <c r="F101" s="1262">
        <f t="shared" ref="F101:N101" si="31">F83*F53</f>
        <v>52500</v>
      </c>
      <c r="G101" s="1262">
        <f t="shared" si="31"/>
        <v>1750000</v>
      </c>
      <c r="H101" s="1262">
        <f t="shared" si="31"/>
        <v>38045000</v>
      </c>
      <c r="I101" s="1262">
        <f t="shared" si="31"/>
        <v>62055000</v>
      </c>
      <c r="J101" s="1262">
        <f t="shared" si="31"/>
        <v>86030000</v>
      </c>
      <c r="K101" s="1262">
        <f t="shared" si="31"/>
        <v>106522500</v>
      </c>
      <c r="L101" s="1262">
        <f t="shared" si="31"/>
        <v>129500000</v>
      </c>
      <c r="M101" s="1262">
        <f t="shared" si="31"/>
        <v>158007500.00000003</v>
      </c>
      <c r="N101" s="1262">
        <f t="shared" si="31"/>
        <v>210000000</v>
      </c>
      <c r="P101" s="1245"/>
    </row>
    <row r="102" spans="2:17" x14ac:dyDescent="0.2">
      <c r="C102" s="2479" t="s">
        <v>1421</v>
      </c>
      <c r="E102" s="2479" t="str">
        <f>Preferences.moneyunits</f>
        <v>N</v>
      </c>
      <c r="F102" s="1262">
        <f t="shared" ref="F102:N102" si="32">SUM(F100:F101)</f>
        <v>52500</v>
      </c>
      <c r="G102" s="1262">
        <f t="shared" si="32"/>
        <v>80026750000</v>
      </c>
      <c r="H102" s="1262">
        <f t="shared" si="32"/>
        <v>1711088045000</v>
      </c>
      <c r="I102" s="1262">
        <f t="shared" si="32"/>
        <v>1131962055000</v>
      </c>
      <c r="J102" s="1262">
        <f t="shared" si="32"/>
        <v>1130336030000</v>
      </c>
      <c r="K102" s="1262">
        <f t="shared" si="32"/>
        <v>968656522500</v>
      </c>
      <c r="L102" s="1262">
        <f t="shared" si="32"/>
        <v>1165854500000</v>
      </c>
      <c r="M102" s="1262">
        <f t="shared" si="32"/>
        <v>3137633007500.001</v>
      </c>
      <c r="N102" s="1262">
        <f t="shared" si="32"/>
        <v>5376734999999.998</v>
      </c>
      <c r="P102" s="1245"/>
    </row>
    <row r="103" spans="2:17" x14ac:dyDescent="0.2">
      <c r="Q103" s="1245"/>
    </row>
    <row r="104" spans="2:17" ht="15.75" x14ac:dyDescent="0.2">
      <c r="B104" s="468" t="s">
        <v>236</v>
      </c>
      <c r="C104" s="421"/>
      <c r="D104" s="421"/>
      <c r="E104" s="421"/>
      <c r="F104" s="421"/>
      <c r="G104" s="421"/>
      <c r="H104" s="421"/>
      <c r="I104" s="421"/>
      <c r="J104" s="421"/>
      <c r="K104" s="421"/>
      <c r="L104" s="421"/>
      <c r="M104" s="421"/>
      <c r="N104" s="421"/>
      <c r="O104" s="421"/>
      <c r="P104" s="423"/>
      <c r="Q104" s="1245"/>
    </row>
    <row r="105" spans="2:17" x14ac:dyDescent="0.2">
      <c r="B105" s="410"/>
      <c r="C105" s="412"/>
      <c r="D105" s="412"/>
      <c r="E105" s="412"/>
      <c r="F105" s="412"/>
      <c r="G105" s="412"/>
      <c r="H105" s="412"/>
      <c r="I105" s="412"/>
      <c r="J105" s="412"/>
      <c r="K105" s="412"/>
      <c r="L105" s="412"/>
      <c r="M105" s="412"/>
      <c r="N105" s="412"/>
      <c r="O105" s="412"/>
      <c r="P105" s="414"/>
      <c r="Q105" s="1245"/>
    </row>
    <row r="106" spans="2:17" x14ac:dyDescent="0.2">
      <c r="B106" s="410"/>
      <c r="C106" s="424" t="s">
        <v>277</v>
      </c>
      <c r="D106" s="412"/>
      <c r="E106" s="413"/>
      <c r="F106" s="412"/>
      <c r="G106" s="413"/>
      <c r="H106" s="412"/>
      <c r="I106" s="412"/>
      <c r="J106" s="412"/>
      <c r="K106" s="412"/>
      <c r="L106" s="412"/>
      <c r="M106" s="412"/>
      <c r="N106" s="412"/>
      <c r="O106" s="413" t="str">
        <f>Preferences.EnergyUnits</f>
        <v>TWh</v>
      </c>
      <c r="P106" s="414"/>
      <c r="Q106" s="1245"/>
    </row>
    <row r="107" spans="2:17" x14ac:dyDescent="0.2">
      <c r="B107" s="410"/>
      <c r="C107" s="412"/>
      <c r="D107" s="412"/>
      <c r="E107" s="412"/>
      <c r="F107" s="412"/>
      <c r="G107" s="412"/>
      <c r="H107" s="412"/>
      <c r="I107" s="412"/>
      <c r="J107" s="412"/>
      <c r="K107" s="412"/>
      <c r="L107" s="412"/>
      <c r="M107" s="412"/>
      <c r="N107" s="412"/>
      <c r="O107" s="412"/>
      <c r="P107" s="414"/>
      <c r="Q107" s="1245"/>
    </row>
    <row r="108" spans="2:17" ht="15.75" x14ac:dyDescent="0.25">
      <c r="B108" s="415"/>
      <c r="C108" s="426" t="s">
        <v>64</v>
      </c>
      <c r="D108" s="426" t="s">
        <v>150</v>
      </c>
      <c r="E108" s="426" t="s">
        <v>172</v>
      </c>
      <c r="F108" s="426" t="s">
        <v>241</v>
      </c>
      <c r="G108" s="426" t="s">
        <v>268</v>
      </c>
      <c r="H108" s="426" t="s">
        <v>269</v>
      </c>
      <c r="I108" s="426" t="s">
        <v>270</v>
      </c>
      <c r="J108" s="426" t="s">
        <v>271</v>
      </c>
      <c r="K108" s="426" t="s">
        <v>272</v>
      </c>
      <c r="L108" s="426" t="s">
        <v>273</v>
      </c>
      <c r="M108" s="426" t="s">
        <v>274</v>
      </c>
      <c r="N108" s="426" t="s">
        <v>275</v>
      </c>
      <c r="O108" s="414"/>
      <c r="P108" s="1245"/>
    </row>
    <row r="109" spans="2:17" ht="15.75" x14ac:dyDescent="0.25">
      <c r="B109" s="415"/>
      <c r="C109" s="97" t="s">
        <v>35</v>
      </c>
      <c r="D109" s="97" t="str">
        <f>INDEX(Vectors[Description], MATCH(IV.a.Outputs[Vector],Vectors[Code], 0))</f>
        <v>Electricity (supplied to grid)</v>
      </c>
      <c r="E109" s="97"/>
      <c r="F109" s="241">
        <f t="shared" ref="F109:N109" si="33">F$71</f>
        <v>2.7612899999999996E-2</v>
      </c>
      <c r="G109" s="241">
        <f t="shared" si="33"/>
        <v>0.92042999999999997</v>
      </c>
      <c r="H109" s="241">
        <f t="shared" si="33"/>
        <v>20.0101482</v>
      </c>
      <c r="I109" s="241">
        <f t="shared" si="33"/>
        <v>32.638447800000002</v>
      </c>
      <c r="J109" s="241">
        <f t="shared" si="33"/>
        <v>45.248338799999999</v>
      </c>
      <c r="K109" s="241">
        <f t="shared" si="33"/>
        <v>56.026574099999991</v>
      </c>
      <c r="L109" s="241">
        <f t="shared" si="33"/>
        <v>68.111819999999994</v>
      </c>
      <c r="M109" s="241">
        <f t="shared" si="33"/>
        <v>83.105624700000007</v>
      </c>
      <c r="N109" s="241">
        <f t="shared" si="33"/>
        <v>110.4516</v>
      </c>
      <c r="O109" s="414"/>
      <c r="P109" s="1245"/>
    </row>
    <row r="110" spans="2:17" ht="15.75" x14ac:dyDescent="0.25">
      <c r="B110" s="415"/>
      <c r="C110" s="97" t="s">
        <v>25</v>
      </c>
      <c r="D110" s="97" t="str">
        <f>INDEX(Vectors[Description], MATCH(IV.a.Outputs[Vector],Vectors[Code], 0))</f>
        <v>Solar</v>
      </c>
      <c r="E110" s="97"/>
      <c r="F110" s="241">
        <f t="shared" ref="F110:N110" si="34">-F$71</f>
        <v>-2.7612899999999996E-2</v>
      </c>
      <c r="G110" s="241">
        <f t="shared" si="34"/>
        <v>-0.92042999999999997</v>
      </c>
      <c r="H110" s="241">
        <f t="shared" si="34"/>
        <v>-20.0101482</v>
      </c>
      <c r="I110" s="241">
        <f t="shared" si="34"/>
        <v>-32.638447800000002</v>
      </c>
      <c r="J110" s="241">
        <f t="shared" si="34"/>
        <v>-45.248338799999999</v>
      </c>
      <c r="K110" s="241">
        <f t="shared" si="34"/>
        <v>-56.026574099999991</v>
      </c>
      <c r="L110" s="241">
        <f t="shared" si="34"/>
        <v>-68.111819999999994</v>
      </c>
      <c r="M110" s="241">
        <f t="shared" si="34"/>
        <v>-83.105624700000007</v>
      </c>
      <c r="N110" s="241">
        <f t="shared" si="34"/>
        <v>-110.4516</v>
      </c>
      <c r="O110" s="414"/>
      <c r="P110" s="1245"/>
    </row>
    <row r="111" spans="2:17" ht="15.75" x14ac:dyDescent="0.25">
      <c r="B111" s="415"/>
      <c r="C111" s="97" t="s">
        <v>105</v>
      </c>
      <c r="D111" s="97"/>
      <c r="E111" s="97"/>
      <c r="F111" s="97">
        <f>SUBTOTAL(109,IV.a.Outputs[2010])</f>
        <v>0</v>
      </c>
      <c r="G111" s="97">
        <f>SUBTOTAL(109,IV.a.Outputs[2015])</f>
        <v>0</v>
      </c>
      <c r="H111" s="97">
        <f>SUBTOTAL(109,IV.a.Outputs[2020])</f>
        <v>0</v>
      </c>
      <c r="I111" s="97">
        <f>SUBTOTAL(109,IV.a.Outputs[2025])</f>
        <v>0</v>
      </c>
      <c r="J111" s="97">
        <f>SUBTOTAL(109,IV.a.Outputs[2030])</f>
        <v>0</v>
      </c>
      <c r="K111" s="97">
        <f>SUBTOTAL(109,IV.a.Outputs[2035])</f>
        <v>0</v>
      </c>
      <c r="L111" s="97">
        <f>SUBTOTAL(109,IV.a.Outputs[2040])</f>
        <v>0</v>
      </c>
      <c r="M111" s="97">
        <f>SUBTOTAL(109,IV.a.Outputs[2045])</f>
        <v>0</v>
      </c>
      <c r="N111" s="97">
        <f>SUBTOTAL(109,IV.a.Outputs[2050])</f>
        <v>0</v>
      </c>
      <c r="O111" s="414"/>
      <c r="P111" s="1245"/>
    </row>
    <row r="112" spans="2:17" ht="15.75" x14ac:dyDescent="0.25">
      <c r="B112" s="416"/>
      <c r="C112" s="417"/>
      <c r="D112" s="417"/>
      <c r="E112" s="417"/>
      <c r="F112" s="417"/>
      <c r="G112" s="417"/>
      <c r="H112" s="417"/>
      <c r="I112" s="417"/>
      <c r="J112" s="417"/>
      <c r="K112" s="417"/>
      <c r="L112" s="417"/>
      <c r="M112" s="417"/>
      <c r="N112" s="417"/>
      <c r="O112" s="417"/>
      <c r="P112" s="419"/>
      <c r="Q112" s="1245"/>
    </row>
    <row r="114" spans="2:16" ht="15.75" x14ac:dyDescent="0.2">
      <c r="B114" s="1430" t="s">
        <v>1225</v>
      </c>
      <c r="C114" s="1218"/>
      <c r="D114" s="1431"/>
      <c r="E114" s="1431"/>
      <c r="F114" s="1431"/>
      <c r="G114" s="1431"/>
      <c r="H114" s="1431"/>
      <c r="I114" s="1431"/>
      <c r="J114" s="1431"/>
      <c r="K114" s="1431"/>
      <c r="L114" s="1431"/>
      <c r="M114" s="1431"/>
      <c r="N114" s="1431"/>
      <c r="O114" s="1431"/>
      <c r="P114" s="1432"/>
    </row>
    <row r="115" spans="2:16" x14ac:dyDescent="0.2">
      <c r="B115" s="1219"/>
      <c r="C115" s="1220"/>
      <c r="D115" s="1220"/>
      <c r="E115" s="1220"/>
      <c r="F115" s="1220"/>
      <c r="G115" s="1220"/>
      <c r="H115" s="1220"/>
      <c r="I115" s="1220"/>
      <c r="J115" s="1220"/>
      <c r="K115" s="1220"/>
      <c r="L115" s="1220"/>
      <c r="M115" s="1220"/>
      <c r="N115" s="1220"/>
      <c r="O115" s="1220"/>
      <c r="P115" s="1221"/>
    </row>
    <row r="116" spans="2:16" x14ac:dyDescent="0.2">
      <c r="B116" s="1433"/>
      <c r="C116" s="1222" t="s">
        <v>1230</v>
      </c>
      <c r="D116" s="1434"/>
      <c r="E116" s="1223"/>
      <c r="F116" s="1434"/>
      <c r="G116" s="1223"/>
      <c r="H116" s="1434"/>
      <c r="I116" s="1434"/>
      <c r="J116" s="1434"/>
      <c r="K116" s="1434"/>
      <c r="L116" s="1434"/>
      <c r="M116" s="1434"/>
      <c r="N116" s="1434"/>
      <c r="O116" s="1223"/>
      <c r="P116" s="1435"/>
    </row>
    <row r="117" spans="2:16" collapsed="1" x14ac:dyDescent="0.2">
      <c r="B117" s="1433"/>
      <c r="C117" s="1434"/>
      <c r="D117" s="1434"/>
      <c r="E117" s="1434"/>
      <c r="F117" s="1434"/>
      <c r="G117" s="1434"/>
      <c r="H117" s="1434"/>
      <c r="I117" s="1434"/>
      <c r="J117" s="1434"/>
      <c r="K117" s="1434"/>
      <c r="L117" s="1434"/>
      <c r="M117" s="1434"/>
      <c r="N117" s="1434"/>
      <c r="O117" s="1434"/>
      <c r="P117" s="1435"/>
    </row>
    <row r="118" spans="2:16" ht="15.75" x14ac:dyDescent="0.25">
      <c r="B118" s="1436"/>
      <c r="C118" s="1437" t="s">
        <v>64</v>
      </c>
      <c r="D118" s="1437" t="s">
        <v>1226</v>
      </c>
      <c r="E118" s="1437" t="s">
        <v>172</v>
      </c>
      <c r="F118" s="1437" t="s">
        <v>241</v>
      </c>
      <c r="G118" s="1437" t="s">
        <v>268</v>
      </c>
      <c r="H118" s="1437" t="s">
        <v>269</v>
      </c>
      <c r="I118" s="1437" t="s">
        <v>270</v>
      </c>
      <c r="J118" s="1437" t="s">
        <v>271</v>
      </c>
      <c r="K118" s="1437" t="s">
        <v>272</v>
      </c>
      <c r="L118" s="1437" t="s">
        <v>273</v>
      </c>
      <c r="M118" s="1437" t="s">
        <v>274</v>
      </c>
      <c r="N118" s="1437" t="s">
        <v>275</v>
      </c>
      <c r="O118" s="1435"/>
    </row>
    <row r="119" spans="2:16" ht="15.75" x14ac:dyDescent="0.25">
      <c r="B119" s="1436"/>
      <c r="C119" s="1438" t="s">
        <v>1227</v>
      </c>
      <c r="D119" s="1438" t="s">
        <v>1300</v>
      </c>
      <c r="E119" s="1439" t="str">
        <f>Preferences.AreaUnits</f>
        <v>km^2</v>
      </c>
      <c r="F119" s="1226">
        <f t="shared" ref="F119:N119" si="35">F76*Unit.m2</f>
        <v>1.6355140186915879E-2</v>
      </c>
      <c r="G119" s="1226">
        <f t="shared" si="35"/>
        <v>0.54517133956386277</v>
      </c>
      <c r="H119" s="1226">
        <f t="shared" si="35"/>
        <v>11.852024922118375</v>
      </c>
      <c r="I119" s="1226">
        <f t="shared" si="35"/>
        <v>19.331775700934575</v>
      </c>
      <c r="J119" s="1226">
        <f t="shared" si="35"/>
        <v>26.800623052959494</v>
      </c>
      <c r="K119" s="1226">
        <f t="shared" si="35"/>
        <v>33.184579439252325</v>
      </c>
      <c r="L119" s="1226">
        <f t="shared" si="35"/>
        <v>40.342679127725845</v>
      </c>
      <c r="M119" s="1226">
        <f t="shared" si="35"/>
        <v>49.223520249221174</v>
      </c>
      <c r="N119" s="1226">
        <f t="shared" si="35"/>
        <v>65.420560747663529</v>
      </c>
      <c r="O119" s="1435"/>
    </row>
    <row r="120" spans="2:16" ht="15.75" x14ac:dyDescent="0.25">
      <c r="B120" s="1436"/>
      <c r="C120" s="1438" t="s">
        <v>1232</v>
      </c>
      <c r="D120" s="1439" t="str">
        <f>INDEX(Vectors[Description], MATCH(IV.a.info[Vector], Vectors[Code], 0))</f>
        <v xml:space="preserve">Installed Capacity </v>
      </c>
      <c r="E120" s="1439" t="str">
        <f>Preferences.PowerUnits</f>
        <v>GW</v>
      </c>
      <c r="F120" s="1226">
        <f t="shared" ref="F120:N120" si="36">F63</f>
        <v>1.4999999999999999E-2</v>
      </c>
      <c r="G120" s="1226">
        <f t="shared" si="36"/>
        <v>0.5</v>
      </c>
      <c r="H120" s="1226">
        <f t="shared" si="36"/>
        <v>10.87</v>
      </c>
      <c r="I120" s="1226">
        <f t="shared" si="36"/>
        <v>17.73</v>
      </c>
      <c r="J120" s="1226">
        <f t="shared" si="36"/>
        <v>24.58</v>
      </c>
      <c r="K120" s="1226">
        <f t="shared" si="36"/>
        <v>30.434999999999999</v>
      </c>
      <c r="L120" s="1226">
        <f t="shared" si="36"/>
        <v>37</v>
      </c>
      <c r="M120" s="1226">
        <f t="shared" si="36"/>
        <v>45.145000000000003</v>
      </c>
      <c r="N120" s="1226">
        <f t="shared" si="36"/>
        <v>60</v>
      </c>
      <c r="O120" s="1435"/>
    </row>
    <row r="121" spans="2:16" ht="6" customHeight="1" x14ac:dyDescent="0.25">
      <c r="B121" s="1227"/>
      <c r="C121" s="1440"/>
      <c r="D121" s="1440"/>
      <c r="E121" s="1440"/>
      <c r="F121" s="1440"/>
      <c r="G121" s="1440"/>
      <c r="H121" s="1440"/>
      <c r="I121" s="1440"/>
      <c r="J121" s="1440"/>
      <c r="K121" s="1440"/>
      <c r="L121" s="1440"/>
      <c r="M121" s="1440"/>
      <c r="N121" s="1440"/>
      <c r="O121" s="1440"/>
      <c r="P121" s="1224"/>
    </row>
    <row r="123" spans="2:16" ht="15.75" x14ac:dyDescent="0.2">
      <c r="B123" s="1430" t="s">
        <v>1424</v>
      </c>
      <c r="C123" s="1431"/>
      <c r="D123" s="1431"/>
      <c r="E123" s="1431"/>
      <c r="F123" s="1431"/>
      <c r="G123" s="1431"/>
      <c r="H123" s="1431"/>
      <c r="I123" s="1431"/>
      <c r="J123" s="1431"/>
      <c r="K123" s="1431"/>
      <c r="L123" s="1431"/>
      <c r="M123" s="1431"/>
      <c r="N123" s="1431"/>
      <c r="O123" s="1431"/>
      <c r="P123" s="1432"/>
    </row>
    <row r="124" spans="2:16" x14ac:dyDescent="0.2">
      <c r="B124" s="1433"/>
      <c r="C124" s="1434"/>
      <c r="D124" s="1434"/>
      <c r="E124" s="1434"/>
      <c r="F124" s="1434"/>
      <c r="G124" s="1434"/>
      <c r="H124" s="1434"/>
      <c r="I124" s="1434"/>
      <c r="J124" s="1434"/>
      <c r="K124" s="1434"/>
      <c r="L124" s="1434"/>
      <c r="M124" s="1434"/>
      <c r="N124" s="1434"/>
      <c r="O124" s="1434"/>
      <c r="P124" s="1435"/>
    </row>
    <row r="125" spans="2:16" x14ac:dyDescent="0.2">
      <c r="B125" s="1433"/>
      <c r="C125" s="1441" t="s">
        <v>1425</v>
      </c>
      <c r="D125" s="1442"/>
      <c r="E125" s="1442"/>
      <c r="F125" s="1442"/>
      <c r="G125" s="1442"/>
      <c r="H125" s="1442"/>
      <c r="I125" s="1442"/>
      <c r="J125" s="1442"/>
      <c r="K125" s="1442"/>
      <c r="L125" s="1442"/>
      <c r="M125" s="1442"/>
      <c r="N125" s="1442"/>
      <c r="O125" s="1479" t="str">
        <f>Preferences.moneyunits</f>
        <v>N</v>
      </c>
      <c r="P125" s="1435"/>
    </row>
    <row r="126" spans="2:16" ht="4.5" customHeight="1" x14ac:dyDescent="0.2">
      <c r="B126" s="1433"/>
      <c r="C126" s="1434"/>
      <c r="D126" s="1434"/>
      <c r="E126" s="1434"/>
      <c r="F126" s="1434"/>
      <c r="G126" s="1434"/>
      <c r="H126" s="1434"/>
      <c r="I126" s="1434"/>
      <c r="J126" s="1434"/>
      <c r="K126" s="1434"/>
      <c r="L126" s="1434"/>
      <c r="M126" s="1434"/>
      <c r="N126" s="1434"/>
      <c r="O126" s="1434"/>
      <c r="P126" s="1435"/>
    </row>
    <row r="127" spans="2:16" ht="15.75" x14ac:dyDescent="0.25">
      <c r="B127" s="1436"/>
      <c r="C127" s="1437" t="s">
        <v>64</v>
      </c>
      <c r="D127" s="1437" t="s">
        <v>150</v>
      </c>
      <c r="E127" s="1437" t="s">
        <v>172</v>
      </c>
      <c r="F127" s="1437" t="s">
        <v>241</v>
      </c>
      <c r="G127" s="1437" t="s">
        <v>268</v>
      </c>
      <c r="H127" s="1437" t="s">
        <v>269</v>
      </c>
      <c r="I127" s="1437" t="s">
        <v>270</v>
      </c>
      <c r="J127" s="1437" t="s">
        <v>271</v>
      </c>
      <c r="K127" s="1437" t="s">
        <v>272</v>
      </c>
      <c r="L127" s="1437" t="s">
        <v>273</v>
      </c>
      <c r="M127" s="1437" t="s">
        <v>274</v>
      </c>
      <c r="N127" s="1437" t="s">
        <v>275</v>
      </c>
      <c r="O127" s="1443"/>
    </row>
    <row r="128" spans="2:16" ht="21.75" customHeight="1" x14ac:dyDescent="0.25">
      <c r="B128" s="1436"/>
      <c r="C128" s="1438" t="s">
        <v>1382</v>
      </c>
      <c r="D128" s="1439" t="str">
        <f>INDEX(CostVectors[Description], MATCH(C128, CostVectors[Code], 0))</f>
        <v>Low estimate of capital costs</v>
      </c>
      <c r="E128" s="1439"/>
      <c r="F128" s="1448">
        <f t="shared" ref="F128:N129" si="37">F90</f>
        <v>0</v>
      </c>
      <c r="G128" s="1448">
        <f t="shared" si="37"/>
        <v>65475000000</v>
      </c>
      <c r="H128" s="1448">
        <f t="shared" si="37"/>
        <v>1399950000000</v>
      </c>
      <c r="I128" s="1448">
        <f t="shared" si="37"/>
        <v>926100000000</v>
      </c>
      <c r="J128" s="1448">
        <f t="shared" si="37"/>
        <v>924750000000</v>
      </c>
      <c r="K128" s="1448">
        <f t="shared" si="37"/>
        <v>792450000000</v>
      </c>
      <c r="L128" s="1448">
        <f t="shared" si="37"/>
        <v>953775000000</v>
      </c>
      <c r="M128" s="1448">
        <f t="shared" si="37"/>
        <v>2567025000000.001</v>
      </c>
      <c r="N128" s="1448">
        <f t="shared" si="37"/>
        <v>4398974999999.999</v>
      </c>
      <c r="O128" s="1443"/>
    </row>
    <row r="129" spans="2:16" ht="15.75" x14ac:dyDescent="0.25">
      <c r="B129" s="1436"/>
      <c r="C129" s="1438" t="s">
        <v>1384</v>
      </c>
      <c r="D129" s="1439" t="str">
        <f>INDEX(CostVectors[Description], MATCH(C129, CostVectors[Code], 0))</f>
        <v>Low estimate of operating costs</v>
      </c>
      <c r="E129" s="1439"/>
      <c r="F129" s="1448">
        <f t="shared" si="37"/>
        <v>33750</v>
      </c>
      <c r="G129" s="1448">
        <f t="shared" si="37"/>
        <v>1125000</v>
      </c>
      <c r="H129" s="1448">
        <f>H91</f>
        <v>24457500</v>
      </c>
      <c r="I129" s="1448">
        <f t="shared" si="37"/>
        <v>39892500</v>
      </c>
      <c r="J129" s="1448">
        <f t="shared" si="37"/>
        <v>55305000</v>
      </c>
      <c r="K129" s="1448">
        <f t="shared" si="37"/>
        <v>68478750</v>
      </c>
      <c r="L129" s="1448">
        <f t="shared" si="37"/>
        <v>83250000</v>
      </c>
      <c r="M129" s="1448">
        <f t="shared" si="37"/>
        <v>101576250.00000001</v>
      </c>
      <c r="N129" s="1448">
        <f t="shared" si="37"/>
        <v>135000000</v>
      </c>
      <c r="O129" s="1443"/>
    </row>
    <row r="130" spans="2:16" ht="15.75" x14ac:dyDescent="0.25">
      <c r="B130" s="1436"/>
      <c r="C130" s="1438" t="s">
        <v>1866</v>
      </c>
      <c r="D130" s="1439" t="str">
        <f>INDEX(CostVectors[Description], MATCH(C130, CostVectors[Code], 0))</f>
        <v>Point estimate of capital costs</v>
      </c>
      <c r="E130" s="1439"/>
      <c r="F130" s="1448">
        <f t="shared" ref="F130:N131" si="38">F95</f>
        <v>0</v>
      </c>
      <c r="G130" s="1448">
        <f t="shared" si="38"/>
        <v>72750000000</v>
      </c>
      <c r="H130" s="1448">
        <f t="shared" si="38"/>
        <v>1555500000000</v>
      </c>
      <c r="I130" s="1448">
        <f t="shared" si="38"/>
        <v>1029000000000</v>
      </c>
      <c r="J130" s="1448">
        <f t="shared" si="38"/>
        <v>1027500000000</v>
      </c>
      <c r="K130" s="1448">
        <f t="shared" si="38"/>
        <v>880500000000</v>
      </c>
      <c r="L130" s="1448">
        <f t="shared" si="38"/>
        <v>1059750000000</v>
      </c>
      <c r="M130" s="1448">
        <f t="shared" si="38"/>
        <v>2852250000000.001</v>
      </c>
      <c r="N130" s="1448">
        <f t="shared" si="38"/>
        <v>4887749999999.999</v>
      </c>
      <c r="O130" s="1443"/>
    </row>
    <row r="131" spans="2:16" ht="17.25" customHeight="1" x14ac:dyDescent="0.25">
      <c r="B131" s="1436"/>
      <c r="C131" s="1438" t="s">
        <v>1868</v>
      </c>
      <c r="D131" s="1439" t="str">
        <f>INDEX(CostVectors[Description], MATCH(C131, CostVectors[Code], 0))</f>
        <v>Point estimate of operating costs</v>
      </c>
      <c r="E131" s="1439"/>
      <c r="F131" s="1448">
        <f t="shared" si="38"/>
        <v>45000</v>
      </c>
      <c r="G131" s="1448">
        <f t="shared" si="38"/>
        <v>1500000</v>
      </c>
      <c r="H131" s="1448">
        <f t="shared" si="38"/>
        <v>32610000</v>
      </c>
      <c r="I131" s="1448">
        <f t="shared" si="38"/>
        <v>53190000</v>
      </c>
      <c r="J131" s="1448">
        <f t="shared" si="38"/>
        <v>73740000</v>
      </c>
      <c r="K131" s="1448">
        <f t="shared" si="38"/>
        <v>91305000</v>
      </c>
      <c r="L131" s="1448">
        <f t="shared" si="38"/>
        <v>111000000</v>
      </c>
      <c r="M131" s="1448">
        <f t="shared" si="38"/>
        <v>135435000.00000003</v>
      </c>
      <c r="N131" s="1448">
        <f>N96</f>
        <v>180000000</v>
      </c>
      <c r="O131" s="1443"/>
    </row>
    <row r="132" spans="2:16" ht="14.25" x14ac:dyDescent="0.2">
      <c r="B132" s="1444"/>
      <c r="C132" s="1438" t="s">
        <v>1391</v>
      </c>
      <c r="D132" s="1439" t="str">
        <f>INDEX(CostVectors[Description], MATCH(C132, CostVectors[Code], 0))</f>
        <v>High estimate of capital costs</v>
      </c>
      <c r="E132" s="1439"/>
      <c r="F132" s="1448">
        <f t="shared" ref="F132:N133" si="39">F100</f>
        <v>0</v>
      </c>
      <c r="G132" s="1448">
        <f t="shared" si="39"/>
        <v>80025000000</v>
      </c>
      <c r="H132" s="1448">
        <f t="shared" si="39"/>
        <v>1711050000000</v>
      </c>
      <c r="I132" s="1448">
        <f t="shared" si="39"/>
        <v>1131900000000</v>
      </c>
      <c r="J132" s="1448">
        <f t="shared" si="39"/>
        <v>1130250000000</v>
      </c>
      <c r="K132" s="1448">
        <f t="shared" si="39"/>
        <v>968550000000</v>
      </c>
      <c r="L132" s="1448">
        <f t="shared" si="39"/>
        <v>1165725000000</v>
      </c>
      <c r="M132" s="1448">
        <f t="shared" si="39"/>
        <v>3137475000000.001</v>
      </c>
      <c r="N132" s="1448">
        <f t="shared" si="39"/>
        <v>5376524999999.998</v>
      </c>
      <c r="O132" s="1445"/>
    </row>
    <row r="133" spans="2:16" ht="14.25" x14ac:dyDescent="0.2">
      <c r="B133" s="1444"/>
      <c r="C133" s="1438" t="s">
        <v>1393</v>
      </c>
      <c r="D133" s="1439" t="str">
        <f>INDEX(CostVectors[Description], MATCH(C133, CostVectors[Code], 0))</f>
        <v>High estimate of operating costs</v>
      </c>
      <c r="E133" s="1439"/>
      <c r="F133" s="1448">
        <f t="shared" si="39"/>
        <v>52500</v>
      </c>
      <c r="G133" s="1448">
        <f t="shared" si="39"/>
        <v>1750000</v>
      </c>
      <c r="H133" s="1448">
        <f t="shared" si="39"/>
        <v>38045000</v>
      </c>
      <c r="I133" s="1448">
        <f t="shared" si="39"/>
        <v>62055000</v>
      </c>
      <c r="J133" s="1448">
        <f t="shared" si="39"/>
        <v>86030000</v>
      </c>
      <c r="K133" s="1448">
        <f t="shared" si="39"/>
        <v>106522500</v>
      </c>
      <c r="L133" s="1448">
        <f t="shared" si="39"/>
        <v>129500000</v>
      </c>
      <c r="M133" s="1448">
        <f t="shared" si="39"/>
        <v>158007500.00000003</v>
      </c>
      <c r="N133" s="1448">
        <f t="shared" si="39"/>
        <v>210000000</v>
      </c>
      <c r="O133" s="1445"/>
    </row>
    <row r="134" spans="2:16" ht="14.25" x14ac:dyDescent="0.2">
      <c r="B134" s="1446"/>
      <c r="C134" s="1440"/>
      <c r="D134" s="1440"/>
      <c r="E134" s="1440"/>
      <c r="F134" s="1440"/>
      <c r="G134" s="1440"/>
      <c r="H134" s="1440"/>
      <c r="I134" s="1440"/>
      <c r="J134" s="1440"/>
      <c r="K134" s="1440"/>
      <c r="L134" s="1440"/>
      <c r="M134" s="1440"/>
      <c r="N134" s="1440"/>
      <c r="O134" s="1440"/>
      <c r="P134" s="1447"/>
    </row>
  </sheetData>
  <pageMargins left="0.7" right="0.7" top="0.75" bottom="0.75" header="0.3" footer="0.3"/>
  <pageSetup paperSize="9" orientation="portrait"/>
  <legacyDrawing r:id="rId1"/>
  <tableParts count="3">
    <tablePart r:id="rId2"/>
    <tablePart r:id="rId3"/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enableFormatConditionsCalculation="0">
    <tabColor theme="9"/>
    <outlinePr summaryBelow="0"/>
    <pageSetUpPr autoPageBreaks="0"/>
  </sheetPr>
  <dimension ref="A1:Q457"/>
  <sheetViews>
    <sheetView windowProtection="1" zoomScaleNormal="100" workbookViewId="0"/>
  </sheetViews>
  <sheetFormatPr defaultColWidth="8.7109375" defaultRowHeight="12.75" x14ac:dyDescent="0.2"/>
  <cols>
    <col min="1" max="1" width="7.7109375" style="1451" customWidth="1"/>
    <col min="2" max="2" width="5.7109375" style="1451" customWidth="1"/>
    <col min="3" max="3" width="20.42578125" style="1451" customWidth="1"/>
    <col min="4" max="4" width="30.7109375" style="1451" customWidth="1"/>
    <col min="5" max="5" width="20.7109375" style="1451" customWidth="1"/>
    <col min="6" max="14" width="17.7109375" style="1451" customWidth="1"/>
    <col min="15" max="15" width="15.5703125" style="1451" bestFit="1" customWidth="1"/>
    <col min="16" max="16" width="10.42578125" style="1451" customWidth="1"/>
    <col min="17" max="17" width="10.7109375" style="1451" customWidth="1"/>
    <col min="18" max="16384" width="8.7109375" style="1451"/>
  </cols>
  <sheetData>
    <row r="1" spans="1:16" ht="21" x14ac:dyDescent="0.35">
      <c r="A1" s="119" t="s">
        <v>224</v>
      </c>
      <c r="B1" s="119" t="str">
        <f>INDEX(Workstreams[Workstream], MATCH($A1, Workstreams[Code], 0))</f>
        <v>Bioenergy</v>
      </c>
      <c r="C1" s="119"/>
    </row>
    <row r="2" spans="1:16" s="84" customFormat="1" ht="19.5" customHeight="1" x14ac:dyDescent="0.2">
      <c r="A2" s="6" t="s">
        <v>400</v>
      </c>
      <c r="B2" s="6" t="str">
        <f>INDEX(Modules[Module], MATCH($A2, Modules[Code], 0))</f>
        <v>Types of fuel from Biomass</v>
      </c>
      <c r="C2" s="6"/>
      <c r="E2" s="1380"/>
    </row>
    <row r="3" spans="1:16" ht="3.75" customHeight="1" x14ac:dyDescent="0.2"/>
    <row r="4" spans="1:16" ht="22.5" collapsed="1" x14ac:dyDescent="0.3">
      <c r="A4" s="1422"/>
      <c r="B4" s="468" t="s">
        <v>600</v>
      </c>
      <c r="C4" s="420"/>
      <c r="D4" s="421"/>
      <c r="E4" s="422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1"/>
      <c r="D5" s="412"/>
      <c r="E5" s="413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ht="15.75" x14ac:dyDescent="0.25">
      <c r="B6" s="415"/>
      <c r="C6" s="412"/>
      <c r="D6" s="216" t="s">
        <v>342</v>
      </c>
      <c r="E6" s="216" t="s">
        <v>595</v>
      </c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6" ht="15.75" x14ac:dyDescent="0.25">
      <c r="B7" s="415"/>
      <c r="C7" s="412"/>
      <c r="D7" s="238" t="s">
        <v>671</v>
      </c>
      <c r="E7" s="238">
        <f>V.a.Scenario</f>
        <v>4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ht="15.75" x14ac:dyDescent="0.25">
      <c r="B8" s="416"/>
      <c r="C8" s="417"/>
      <c r="D8" s="417"/>
      <c r="E8" s="417"/>
      <c r="F8" s="418"/>
      <c r="G8" s="418"/>
      <c r="H8" s="418"/>
      <c r="I8" s="418"/>
      <c r="J8" s="418"/>
      <c r="K8" s="418"/>
      <c r="L8" s="418"/>
      <c r="M8" s="418"/>
      <c r="N8" s="418"/>
      <c r="O8" s="418"/>
      <c r="P8" s="419"/>
    </row>
    <row r="10" spans="1:16" ht="22.5" collapsed="1" x14ac:dyDescent="0.3">
      <c r="A10" s="1422"/>
      <c r="B10" s="468" t="s">
        <v>235</v>
      </c>
      <c r="C10" s="421"/>
      <c r="D10" s="421"/>
      <c r="E10" s="421"/>
      <c r="F10" s="421"/>
      <c r="G10" s="421"/>
      <c r="H10" s="421"/>
      <c r="I10" s="421"/>
      <c r="J10" s="421"/>
      <c r="K10" s="421"/>
      <c r="L10" s="421"/>
      <c r="M10" s="421"/>
      <c r="N10" s="421"/>
      <c r="O10" s="421"/>
      <c r="P10" s="423"/>
    </row>
    <row r="11" spans="1:16" x14ac:dyDescent="0.2">
      <c r="B11" s="469"/>
      <c r="C11" s="412"/>
      <c r="D11" s="412"/>
      <c r="E11" s="412"/>
      <c r="F11" s="412"/>
      <c r="G11" s="412"/>
      <c r="H11" s="412"/>
      <c r="I11" s="412"/>
      <c r="J11" s="412"/>
      <c r="K11" s="412"/>
      <c r="L11" s="412"/>
      <c r="M11" s="412"/>
      <c r="N11" s="412"/>
      <c r="O11" s="412"/>
      <c r="P11" s="414"/>
    </row>
    <row r="12" spans="1:16" x14ac:dyDescent="0.2">
      <c r="B12" s="469"/>
      <c r="C12" s="424" t="s">
        <v>747</v>
      </c>
      <c r="D12" s="412"/>
      <c r="E12" s="413"/>
      <c r="F12" s="412"/>
      <c r="G12" s="412"/>
      <c r="H12" s="412"/>
      <c r="I12" s="412"/>
      <c r="J12" s="412"/>
      <c r="K12" s="412"/>
      <c r="L12" s="412"/>
      <c r="M12" s="412"/>
      <c r="N12" s="413" t="str">
        <f>Preferences.EnergyUnits</f>
        <v>TWh</v>
      </c>
      <c r="P12" s="414"/>
    </row>
    <row r="13" spans="1:16" ht="6" customHeight="1" x14ac:dyDescent="0.2">
      <c r="B13" s="469"/>
      <c r="C13" s="411"/>
      <c r="D13" s="412"/>
      <c r="E13" s="413"/>
      <c r="F13" s="412"/>
      <c r="G13" s="412"/>
      <c r="H13" s="412"/>
      <c r="I13" s="412"/>
      <c r="J13" s="412"/>
      <c r="K13" s="412"/>
      <c r="L13" s="412"/>
      <c r="M13" s="412"/>
      <c r="N13" s="412"/>
      <c r="O13" s="412"/>
      <c r="P13" s="414"/>
    </row>
    <row r="14" spans="1:16" s="84" customFormat="1" ht="15.75" x14ac:dyDescent="0.2">
      <c r="A14" s="89"/>
      <c r="B14" s="470"/>
      <c r="C14" s="426" t="s">
        <v>64</v>
      </c>
      <c r="D14" s="426" t="s">
        <v>150</v>
      </c>
      <c r="E14" s="426" t="s">
        <v>172</v>
      </c>
      <c r="F14" s="426" t="s">
        <v>241</v>
      </c>
      <c r="G14" s="426" t="s">
        <v>268</v>
      </c>
      <c r="H14" s="426" t="s">
        <v>269</v>
      </c>
      <c r="I14" s="426" t="s">
        <v>270</v>
      </c>
      <c r="J14" s="426" t="s">
        <v>271</v>
      </c>
      <c r="K14" s="426" t="s">
        <v>272</v>
      </c>
      <c r="L14" s="426" t="s">
        <v>273</v>
      </c>
      <c r="M14" s="426" t="s">
        <v>274</v>
      </c>
      <c r="N14" s="426" t="s">
        <v>275</v>
      </c>
      <c r="O14" s="507"/>
    </row>
    <row r="15" spans="1:16" s="84" customFormat="1" ht="15.75" x14ac:dyDescent="0.2">
      <c r="A15" s="89"/>
      <c r="B15" s="470"/>
      <c r="C15" s="426" t="s">
        <v>296</v>
      </c>
      <c r="D15" s="426" t="str">
        <f>INDEX(Vectors[Description], MATCH(V.a.Inputs[Vector], Vectors[Code], 0))</f>
        <v>Dry biomass and waste</v>
      </c>
      <c r="E15" s="426"/>
      <c r="F15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32.417971204444449</v>
      </c>
      <c r="G15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73.060329723562404</v>
      </c>
      <c r="H15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143.92492401211445</v>
      </c>
      <c r="I15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228.27574607949157</v>
      </c>
      <c r="J15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257.75408732010584</v>
      </c>
      <c r="K15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313.39118684291782</v>
      </c>
      <c r="L15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347.52707500652309</v>
      </c>
      <c r="M15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381.86251050585577</v>
      </c>
      <c r="N15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387.93811788325291</v>
      </c>
      <c r="O15" s="507"/>
    </row>
    <row r="16" spans="1:16" s="84" customFormat="1" ht="15.75" x14ac:dyDescent="0.2">
      <c r="A16" s="89"/>
      <c r="B16" s="470"/>
      <c r="C16" s="97" t="s">
        <v>383</v>
      </c>
      <c r="D16" s="97" t="str">
        <f>INDEX(Vectors[Description], MATCH(V.a.Inputs[Vector], Vectors[Code], 0))</f>
        <v>Wet biomass and waste</v>
      </c>
      <c r="E16" s="97"/>
      <c r="F16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8.9312228459752419</v>
      </c>
      <c r="G16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31.919583891554964</v>
      </c>
      <c r="H16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60.160926366401561</v>
      </c>
      <c r="I16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67.248031985705921</v>
      </c>
      <c r="J16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75.067689113939565</v>
      </c>
      <c r="K16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83.34026863475772</v>
      </c>
      <c r="L16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92.533974835322084</v>
      </c>
      <c r="M16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102.69414017084114</v>
      </c>
      <c r="N16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114.0710003108473</v>
      </c>
      <c r="O16" s="507"/>
    </row>
    <row r="17" spans="1:16" s="84" customFormat="1" ht="15.75" x14ac:dyDescent="0.2">
      <c r="A17" s="89"/>
      <c r="B17" s="470"/>
      <c r="C17" s="97" t="s">
        <v>1164</v>
      </c>
      <c r="D17" s="97" t="str">
        <f>INDEX(Vectors[Description], MATCH(V.a.Inputs[Vector], Vectors[Code], 0))</f>
        <v>Gaseous waste</v>
      </c>
      <c r="E17" s="97"/>
      <c r="F17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12.32445930299996</v>
      </c>
      <c r="G17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11.254146912530599</v>
      </c>
      <c r="H17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9.7112997118455926</v>
      </c>
      <c r="I17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8.716547040987356</v>
      </c>
      <c r="J17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7.3179329830517172</v>
      </c>
      <c r="K17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6.7479704068045194</v>
      </c>
      <c r="L17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5.9620308549013927</v>
      </c>
      <c r="M17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4.9487424290318085</v>
      </c>
      <c r="N17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3.6967332308852345</v>
      </c>
      <c r="O17" s="507"/>
    </row>
    <row r="18" spans="1:16" s="84" customFormat="1" ht="15.75" x14ac:dyDescent="0.2">
      <c r="A18" s="89"/>
      <c r="B18" s="470"/>
      <c r="C18" s="426" t="s">
        <v>871</v>
      </c>
      <c r="D18" s="426" t="str">
        <f>INDEX(Vectors[Description], MATCH(V.a.Inputs[Vector], Vectors[Code], 0))</f>
        <v>Energy crops (second generation)</v>
      </c>
      <c r="E18" s="426"/>
      <c r="F18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1662.4488171111111</v>
      </c>
      <c r="G18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1790.9295179502994</v>
      </c>
      <c r="H18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1929.3397217722111</v>
      </c>
      <c r="I18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2078.4468203239321</v>
      </c>
      <c r="J18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2239.0775124593119</v>
      </c>
      <c r="K18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2412.1223876296331</v>
      </c>
      <c r="L18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2598.5408636047873</v>
      </c>
      <c r="M18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2799.3665058013253</v>
      </c>
      <c r="N18" s="500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3015.7127577094616</v>
      </c>
      <c r="O18" s="507"/>
    </row>
    <row r="19" spans="1:16" s="84" customFormat="1" ht="15.75" x14ac:dyDescent="0.2">
      <c r="A19" s="89"/>
      <c r="B19" s="470"/>
      <c r="C19" s="426" t="s">
        <v>1161</v>
      </c>
      <c r="D19" s="426" t="str">
        <f>INDEX(Vectors[Description], MATCH(V.a.Inputs[Vector], Vectors[Code], 0))</f>
        <v>Energy crops (first generation)</v>
      </c>
      <c r="E19" s="426"/>
      <c r="F19" s="241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10.777293333333335</v>
      </c>
      <c r="G19" s="241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12.388265322112064</v>
      </c>
      <c r="H19" s="241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14.240042740265427</v>
      </c>
      <c r="I19" s="241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16.368620785239571</v>
      </c>
      <c r="J19" s="241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18.815375157082052</v>
      </c>
      <c r="K19" s="241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21.627866327074862</v>
      </c>
      <c r="L19" s="241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24.860764027112872</v>
      </c>
      <c r="M19" s="241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28.576909930226151</v>
      </c>
      <c r="N19" s="241">
        <f ca="1">INDEX(INDIRECT("'"&amp;V.a.Inputs[#Headers]&amp;"'!Year.Matrix"), MATCH("Subtotal."&amp;$A$2, INDIRECT("'"&amp;V.a.Inputs[#Headers]&amp;"'!Year.Modules"), 0), MATCH(V.a.Inputs[Vector], INDIRECT("'"&amp;V.a.Inputs[#Headers]&amp;"'!Year.Vectors"), 0))</f>
        <v>32.848539178829725</v>
      </c>
      <c r="O19" s="507"/>
    </row>
    <row r="20" spans="1:16" s="84" customFormat="1" ht="15.75" x14ac:dyDescent="0.2">
      <c r="A20" s="89"/>
      <c r="B20" s="470"/>
      <c r="C20" s="97"/>
      <c r="D20" s="97"/>
      <c r="E20" s="97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429"/>
    </row>
    <row r="21" spans="1:16" s="84" customFormat="1" ht="15.75" x14ac:dyDescent="0.2">
      <c r="A21" s="89"/>
      <c r="B21" s="770"/>
      <c r="C21" s="424" t="s">
        <v>549</v>
      </c>
      <c r="D21" s="412"/>
      <c r="E21" s="413"/>
      <c r="F21" s="412"/>
      <c r="G21" s="412"/>
      <c r="H21" s="412"/>
      <c r="I21" s="412"/>
      <c r="J21" s="412"/>
      <c r="K21" s="412"/>
      <c r="L21" s="412"/>
      <c r="M21" s="412"/>
      <c r="N21" s="413" t="str">
        <f>Preferences.EnergyUnits</f>
        <v>TWh</v>
      </c>
      <c r="P21" s="97"/>
    </row>
    <row r="22" spans="1:16" s="84" customFormat="1" ht="5.25" customHeight="1" x14ac:dyDescent="0.2">
      <c r="A22" s="89"/>
      <c r="B22" s="770"/>
      <c r="C22" s="411"/>
      <c r="D22" s="412"/>
      <c r="E22" s="413"/>
      <c r="F22" s="412"/>
      <c r="G22" s="412"/>
      <c r="H22" s="412"/>
      <c r="I22" s="412"/>
      <c r="J22" s="412"/>
      <c r="K22" s="412"/>
      <c r="L22" s="412"/>
      <c r="M22" s="412"/>
      <c r="N22" s="412"/>
      <c r="O22" s="412"/>
      <c r="P22" s="97"/>
    </row>
    <row r="23" spans="1:16" s="84" customFormat="1" ht="15.75" x14ac:dyDescent="0.2">
      <c r="A23" s="89"/>
      <c r="B23" s="770"/>
      <c r="C23" s="426" t="s">
        <v>64</v>
      </c>
      <c r="D23" s="426" t="s">
        <v>150</v>
      </c>
      <c r="E23" s="426" t="s">
        <v>172</v>
      </c>
      <c r="F23" s="426" t="s">
        <v>241</v>
      </c>
      <c r="G23" s="426" t="s">
        <v>268</v>
      </c>
      <c r="H23" s="426" t="s">
        <v>269</v>
      </c>
      <c r="I23" s="426" t="s">
        <v>270</v>
      </c>
      <c r="J23" s="426" t="s">
        <v>271</v>
      </c>
      <c r="K23" s="426" t="s">
        <v>272</v>
      </c>
      <c r="L23" s="426" t="s">
        <v>273</v>
      </c>
      <c r="M23" s="426" t="s">
        <v>274</v>
      </c>
      <c r="N23" s="426" t="s">
        <v>275</v>
      </c>
      <c r="O23" s="97"/>
    </row>
    <row r="24" spans="1:16" s="84" customFormat="1" ht="15.75" x14ac:dyDescent="0.2">
      <c r="A24" s="89"/>
      <c r="B24" s="770"/>
      <c r="C24" s="426" t="s">
        <v>36</v>
      </c>
      <c r="D24" s="426" t="str">
        <f>INDEX(Vectors[Description], MATCH(V.a.InputsRequested[Vector], Vectors[Code], 0))</f>
        <v>Solid hydrocarbons</v>
      </c>
      <c r="E24" s="426"/>
      <c r="F24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-1.5203815348896348</v>
      </c>
      <c r="G24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-1.8097434927284919</v>
      </c>
      <c r="H24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-25.824701842565585</v>
      </c>
      <c r="I24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-122.5769415325465</v>
      </c>
      <c r="J24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-281.95754953591495</v>
      </c>
      <c r="K24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-512.36760581012402</v>
      </c>
      <c r="L24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-756.52138704566835</v>
      </c>
      <c r="M24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-998.96810111333627</v>
      </c>
      <c r="N24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-1241.5439171180863</v>
      </c>
      <c r="O24" s="97"/>
    </row>
    <row r="25" spans="1:16" s="84" customFormat="1" ht="15.75" x14ac:dyDescent="0.2">
      <c r="A25" s="89"/>
      <c r="B25" s="770"/>
      <c r="C25" s="426" t="s">
        <v>38</v>
      </c>
      <c r="D25" s="426" t="str">
        <f>INDEX(Vectors[Description], MATCH(V.a.InputsRequested[Vector], Vectors[Code], 0))</f>
        <v>Liquid hydrocarbons</v>
      </c>
      <c r="E25" s="426"/>
      <c r="F25" s="247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-303.91749505847918</v>
      </c>
      <c r="G25" s="247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-312.27574152710514</v>
      </c>
      <c r="H25" s="247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-224.89080078518401</v>
      </c>
      <c r="I25" s="247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-192.49549654130479</v>
      </c>
      <c r="J25" s="247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-195.55535526588415</v>
      </c>
      <c r="K25" s="247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-203.77870008523075</v>
      </c>
      <c r="L25" s="247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-204.0817691128814</v>
      </c>
      <c r="M25" s="247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-203.49573603510598</v>
      </c>
      <c r="N25" s="247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-200.0606200439783</v>
      </c>
      <c r="O25" s="97"/>
    </row>
    <row r="26" spans="1:16" s="84" customFormat="1" ht="15.75" x14ac:dyDescent="0.2">
      <c r="A26" s="89"/>
      <c r="B26" s="770"/>
      <c r="C26" s="426" t="s">
        <v>39</v>
      </c>
      <c r="D26" s="426" t="str">
        <f>INDEX(Vectors[Description], MATCH(V.a.InputsRequested[Vector], Vectors[Code], 0))</f>
        <v>Gaseous hydrocarbons</v>
      </c>
      <c r="E26" s="426"/>
      <c r="F26" s="2628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-426.21576409221666</v>
      </c>
      <c r="G26" s="2628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-472.64165496789121</v>
      </c>
      <c r="H26" s="2628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-602.03428222027173</v>
      </c>
      <c r="I26" s="2628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-685.1459402163606</v>
      </c>
      <c r="J26" s="2628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-767.69800998239816</v>
      </c>
      <c r="K26" s="2628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-904.21021087293411</v>
      </c>
      <c r="L26" s="2628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-1036.4823636817698</v>
      </c>
      <c r="M26" s="2628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-1165.943944513436</v>
      </c>
      <c r="N26" s="2628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-1292.18715265321</v>
      </c>
      <c r="O26" s="97"/>
    </row>
    <row r="27" spans="1:16" s="84" customFormat="1" ht="15.75" x14ac:dyDescent="0.2">
      <c r="A27" s="89"/>
      <c r="B27" s="770"/>
      <c r="C27" s="426" t="s">
        <v>2184</v>
      </c>
      <c r="D27" s="426" t="str">
        <f>INDEX(Vectors[Description], MATCH(V.a.InputsRequested[Vector], Vectors[Code], 0))</f>
        <v>Traditional Fuel</v>
      </c>
      <c r="E27" s="426"/>
      <c r="F27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-207.89751104902211</v>
      </c>
      <c r="G27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-184.5626425169898</v>
      </c>
      <c r="H27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-174.26276521348021</v>
      </c>
      <c r="I27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-161.01204691117439</v>
      </c>
      <c r="J27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-139.84015467028291</v>
      </c>
      <c r="K27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-119.88593635939728</v>
      </c>
      <c r="L27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-92.776442187623488</v>
      </c>
      <c r="M27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-67.553818988990002</v>
      </c>
      <c r="N27" s="500">
        <f ca="1">INDEX(INDIRECT("'"&amp;V.a.InputsRequested[#Headers]&amp;"'!Year.Matrix"), MATCH("Subtotal."&amp;$A$2, INDIRECT("'"&amp;V.a.InputsRequested[#Headers]&amp;"'!Year.Modules"), 0), MATCH(V.a.InputsRequested[Vector], INDIRECT("'"&amp;V.a.InputsRequested[#Headers]&amp;"'!Year.Vectors"), 0))</f>
        <v>-45.201438373394261</v>
      </c>
      <c r="O27" s="97"/>
    </row>
    <row r="28" spans="1:16" s="84" customFormat="1" ht="15.75" x14ac:dyDescent="0.2">
      <c r="A28" s="89"/>
      <c r="B28" s="770"/>
      <c r="C28" s="97"/>
      <c r="D28" s="97"/>
      <c r="E28" s="97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97"/>
    </row>
    <row r="29" spans="1:16" x14ac:dyDescent="0.2">
      <c r="B29" s="471"/>
    </row>
    <row r="30" spans="1:16" ht="22.5" collapsed="1" x14ac:dyDescent="0.3">
      <c r="A30" s="1422"/>
      <c r="B30" s="1423" t="s">
        <v>597</v>
      </c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6"/>
    </row>
    <row r="31" spans="1:16" x14ac:dyDescent="0.2">
      <c r="B31" s="473"/>
      <c r="C31" s="458"/>
      <c r="D31" s="458"/>
      <c r="E31" s="458"/>
      <c r="F31" s="458"/>
      <c r="G31" s="458"/>
      <c r="H31" s="458"/>
      <c r="I31" s="458"/>
      <c r="J31" s="458"/>
      <c r="K31" s="458"/>
      <c r="L31" s="458"/>
      <c r="M31" s="458"/>
      <c r="N31" s="458"/>
      <c r="O31" s="458"/>
      <c r="P31" s="459"/>
    </row>
    <row r="32" spans="1:16" x14ac:dyDescent="0.2">
      <c r="B32" s="477"/>
      <c r="C32" s="1417" t="s">
        <v>748</v>
      </c>
      <c r="D32" s="177"/>
      <c r="E32" s="1416"/>
      <c r="F32" s="1417" t="s">
        <v>671</v>
      </c>
      <c r="G32" s="1416"/>
      <c r="H32" s="1416"/>
      <c r="I32" s="1416"/>
      <c r="J32" s="1416"/>
      <c r="K32" s="1417"/>
      <c r="L32" s="1416"/>
      <c r="M32" s="1416"/>
      <c r="N32" s="1416"/>
      <c r="O32" s="1416"/>
      <c r="P32" s="1420"/>
    </row>
    <row r="33" spans="2:16" ht="5.25" customHeight="1" x14ac:dyDescent="0.2">
      <c r="B33" s="477"/>
      <c r="C33" s="1416"/>
      <c r="D33" s="177"/>
      <c r="E33" s="1416"/>
      <c r="F33" s="1416"/>
      <c r="G33" s="1416"/>
      <c r="H33" s="1416"/>
      <c r="I33" s="1416"/>
      <c r="J33" s="1416"/>
      <c r="K33" s="1416"/>
      <c r="L33" s="1416"/>
      <c r="M33" s="1416"/>
      <c r="N33" s="1416"/>
      <c r="O33" s="1416"/>
      <c r="P33" s="1420"/>
    </row>
    <row r="34" spans="2:16" ht="15.75" x14ac:dyDescent="0.25">
      <c r="B34" s="475"/>
      <c r="C34" s="98" t="s">
        <v>673</v>
      </c>
      <c r="D34" s="98" t="s">
        <v>873</v>
      </c>
      <c r="E34" s="98" t="s">
        <v>874</v>
      </c>
      <c r="F34" s="665">
        <v>1</v>
      </c>
      <c r="G34" s="665">
        <v>2</v>
      </c>
      <c r="H34" s="665">
        <v>3</v>
      </c>
      <c r="I34" s="665">
        <v>4</v>
      </c>
      <c r="J34" s="1416"/>
      <c r="K34" s="1416"/>
      <c r="L34" s="1416"/>
      <c r="M34" s="1416"/>
      <c r="N34" s="1416"/>
      <c r="O34" s="1416"/>
      <c r="P34" s="1420"/>
    </row>
    <row r="35" spans="2:16" ht="15.75" x14ac:dyDescent="0.25">
      <c r="B35" s="475"/>
      <c r="C35" s="913" t="s">
        <v>296</v>
      </c>
      <c r="D35" s="146" t="str">
        <f>INDEX(Vectors[Description], MATCH($C35, Vectors[Code], 0))</f>
        <v>Dry biomass and waste</v>
      </c>
      <c r="E35" s="146" t="s">
        <v>669</v>
      </c>
      <c r="F35" s="914">
        <v>0.4</v>
      </c>
      <c r="G35" s="914">
        <v>0.4</v>
      </c>
      <c r="H35" s="914">
        <v>0</v>
      </c>
      <c r="I35" s="914">
        <v>0</v>
      </c>
      <c r="J35" s="1416"/>
      <c r="K35" s="1416"/>
      <c r="L35" s="1416"/>
      <c r="M35" s="1416"/>
      <c r="N35" s="1416"/>
      <c r="O35" s="1416"/>
      <c r="P35" s="1420"/>
    </row>
    <row r="36" spans="2:16" ht="15.75" x14ac:dyDescent="0.25">
      <c r="B36" s="475"/>
      <c r="C36" s="237" t="s">
        <v>296</v>
      </c>
      <c r="D36" s="1415" t="str">
        <f>INDEX(Vectors[Description], MATCH($C36, Vectors[Code], 0))</f>
        <v>Dry biomass and waste</v>
      </c>
      <c r="E36" s="1415" t="s">
        <v>122</v>
      </c>
      <c r="F36" s="562">
        <v>0</v>
      </c>
      <c r="G36" s="562">
        <v>0</v>
      </c>
      <c r="H36" s="562">
        <v>0.4</v>
      </c>
      <c r="I36" s="562">
        <v>0</v>
      </c>
      <c r="J36" s="1416"/>
      <c r="K36" s="1416"/>
      <c r="L36" s="1416"/>
      <c r="M36" s="1416"/>
      <c r="N36" s="1416"/>
      <c r="O36" s="1416"/>
      <c r="P36" s="1420"/>
    </row>
    <row r="37" spans="2:16" s="2479" customFormat="1" ht="15.75" x14ac:dyDescent="0.25">
      <c r="B37" s="475"/>
      <c r="C37" s="237" t="s">
        <v>296</v>
      </c>
      <c r="D37" s="1415" t="str">
        <f>INDEX(Vectors[Description], MATCH($C37, Vectors[Code], 0))</f>
        <v>Dry biomass and waste</v>
      </c>
      <c r="E37" s="1415" t="s">
        <v>10</v>
      </c>
      <c r="F37" s="562">
        <v>0</v>
      </c>
      <c r="G37" s="562">
        <v>0</v>
      </c>
      <c r="H37" s="562">
        <v>0</v>
      </c>
      <c r="I37" s="562">
        <v>0.4</v>
      </c>
      <c r="J37" s="1416"/>
      <c r="K37" s="1416"/>
      <c r="L37" s="1416"/>
      <c r="M37" s="1416"/>
      <c r="N37" s="1416"/>
      <c r="O37" s="1416"/>
      <c r="P37" s="1420"/>
    </row>
    <row r="38" spans="2:16" ht="15.75" x14ac:dyDescent="0.25">
      <c r="B38" s="475"/>
      <c r="C38" s="915" t="s">
        <v>296</v>
      </c>
      <c r="D38" s="624" t="str">
        <f>INDEX(Vectors[Description], MATCH($C38, Vectors[Code], 0))</f>
        <v>Dry biomass and waste</v>
      </c>
      <c r="E38" s="624" t="s">
        <v>2185</v>
      </c>
      <c r="F38" s="916">
        <v>0.6</v>
      </c>
      <c r="G38" s="916">
        <v>0.6</v>
      </c>
      <c r="H38" s="916">
        <v>0.6</v>
      </c>
      <c r="I38" s="916">
        <v>0.6</v>
      </c>
      <c r="J38" s="1416"/>
      <c r="K38" s="1416"/>
      <c r="L38" s="1416"/>
      <c r="M38" s="1416"/>
      <c r="N38" s="1416"/>
      <c r="O38" s="1416"/>
      <c r="P38" s="1420"/>
    </row>
    <row r="39" spans="2:16" ht="15.75" x14ac:dyDescent="0.25">
      <c r="B39" s="475"/>
      <c r="C39" s="913" t="s">
        <v>383</v>
      </c>
      <c r="D39" s="146" t="str">
        <f>INDEX(Vectors[Description], MATCH($C39, Vectors[Code], 0))</f>
        <v>Wet biomass and waste</v>
      </c>
      <c r="E39" s="146" t="s">
        <v>669</v>
      </c>
      <c r="F39" s="914">
        <v>0</v>
      </c>
      <c r="G39" s="914">
        <v>0</v>
      </c>
      <c r="H39" s="914">
        <v>0</v>
      </c>
      <c r="I39" s="914">
        <v>0</v>
      </c>
      <c r="J39" s="1416"/>
      <c r="K39" s="1416"/>
      <c r="L39" s="1416"/>
      <c r="M39" s="1416"/>
      <c r="N39" s="1416"/>
      <c r="O39" s="1416"/>
      <c r="P39" s="1420"/>
    </row>
    <row r="40" spans="2:16" ht="15.75" x14ac:dyDescent="0.25">
      <c r="B40" s="475"/>
      <c r="C40" s="237" t="s">
        <v>383</v>
      </c>
      <c r="D40" s="1415" t="str">
        <f>INDEX(Vectors[Description], MATCH($C40, Vectors[Code], 0))</f>
        <v>Wet biomass and waste</v>
      </c>
      <c r="E40" s="1415" t="s">
        <v>122</v>
      </c>
      <c r="F40" s="562">
        <v>0</v>
      </c>
      <c r="G40" s="562">
        <v>0</v>
      </c>
      <c r="H40" s="562">
        <v>1</v>
      </c>
      <c r="I40" s="562">
        <v>0</v>
      </c>
      <c r="J40" s="1416"/>
      <c r="K40" s="1416"/>
      <c r="L40" s="1416"/>
      <c r="M40" s="1416"/>
      <c r="N40" s="1416"/>
      <c r="O40" s="1416"/>
      <c r="P40" s="1420"/>
    </row>
    <row r="41" spans="2:16" s="2479" customFormat="1" ht="15.75" x14ac:dyDescent="0.25">
      <c r="B41" s="475"/>
      <c r="C41" s="237" t="s">
        <v>383</v>
      </c>
      <c r="D41" s="1415" t="str">
        <f>INDEX(Vectors[Description], MATCH($C41, Vectors[Code], 0))</f>
        <v>Wet biomass and waste</v>
      </c>
      <c r="E41" s="1415" t="s">
        <v>10</v>
      </c>
      <c r="F41" s="562">
        <v>1</v>
      </c>
      <c r="G41" s="562">
        <v>1</v>
      </c>
      <c r="H41" s="562">
        <v>0</v>
      </c>
      <c r="I41" s="562">
        <v>1</v>
      </c>
      <c r="J41" s="1416"/>
      <c r="K41" s="1416"/>
      <c r="L41" s="1416"/>
      <c r="M41" s="1416"/>
      <c r="N41" s="1416"/>
      <c r="O41" s="1416"/>
      <c r="P41" s="1420"/>
    </row>
    <row r="42" spans="2:16" ht="15.75" x14ac:dyDescent="0.25">
      <c r="B42" s="475"/>
      <c r="C42" s="915" t="s">
        <v>383</v>
      </c>
      <c r="D42" s="624" t="str">
        <f>INDEX(Vectors[Description], MATCH($C42, Vectors[Code], 0))</f>
        <v>Wet biomass and waste</v>
      </c>
      <c r="E42" s="624" t="s">
        <v>2185</v>
      </c>
      <c r="F42" s="916">
        <v>0</v>
      </c>
      <c r="G42" s="916">
        <v>0</v>
      </c>
      <c r="H42" s="916">
        <v>0</v>
      </c>
      <c r="I42" s="916">
        <v>0</v>
      </c>
      <c r="J42" s="1416"/>
      <c r="K42" s="1416"/>
      <c r="L42" s="1416"/>
      <c r="M42" s="1416"/>
      <c r="N42" s="1416"/>
      <c r="O42" s="1416"/>
      <c r="P42" s="1420"/>
    </row>
    <row r="43" spans="2:16" ht="15.75" x14ac:dyDescent="0.25">
      <c r="B43" s="475"/>
      <c r="C43" s="237" t="s">
        <v>871</v>
      </c>
      <c r="D43" s="1415" t="str">
        <f>INDEX(Vectors[Description], MATCH($C43, Vectors[Code], 0))</f>
        <v>Energy crops (second generation)</v>
      </c>
      <c r="E43" s="1415" t="s">
        <v>669</v>
      </c>
      <c r="F43" s="562">
        <v>0</v>
      </c>
      <c r="G43" s="562">
        <v>0.36</v>
      </c>
      <c r="H43" s="562">
        <v>0</v>
      </c>
      <c r="I43" s="562">
        <v>0</v>
      </c>
      <c r="J43" s="1416"/>
      <c r="K43" s="1416"/>
      <c r="L43" s="1416"/>
      <c r="M43" s="1416"/>
      <c r="N43" s="1416"/>
      <c r="O43" s="1416"/>
      <c r="P43" s="1420"/>
    </row>
    <row r="44" spans="2:16" ht="15.75" x14ac:dyDescent="0.25">
      <c r="B44" s="475"/>
      <c r="C44" s="237" t="s">
        <v>871</v>
      </c>
      <c r="D44" s="1415" t="str">
        <f>INDEX(Vectors[Description], MATCH($C44, Vectors[Code], 0))</f>
        <v>Energy crops (second generation)</v>
      </c>
      <c r="E44" s="1415" t="s">
        <v>122</v>
      </c>
      <c r="F44" s="562">
        <v>0.36</v>
      </c>
      <c r="G44" s="562">
        <v>0</v>
      </c>
      <c r="H44" s="562">
        <v>0.36</v>
      </c>
      <c r="I44" s="562">
        <v>0</v>
      </c>
      <c r="J44" s="1416"/>
      <c r="K44" s="1416"/>
      <c r="L44" s="1416"/>
      <c r="M44" s="1416"/>
      <c r="N44" s="1416"/>
      <c r="O44" s="1416"/>
      <c r="P44" s="1420"/>
    </row>
    <row r="45" spans="2:16" s="2479" customFormat="1" ht="15.75" x14ac:dyDescent="0.25">
      <c r="B45" s="475"/>
      <c r="C45" s="237" t="s">
        <v>871</v>
      </c>
      <c r="D45" s="1415" t="str">
        <f>INDEX(Vectors[Description], MATCH($C45, Vectors[Code], 0))</f>
        <v>Energy crops (second generation)</v>
      </c>
      <c r="E45" s="1415" t="s">
        <v>10</v>
      </c>
      <c r="F45" s="562">
        <v>0</v>
      </c>
      <c r="G45" s="562">
        <v>0</v>
      </c>
      <c r="H45" s="562">
        <v>0</v>
      </c>
      <c r="I45" s="562">
        <v>0.36</v>
      </c>
      <c r="J45" s="1416"/>
      <c r="K45" s="1416"/>
      <c r="L45" s="1416"/>
      <c r="M45" s="1416"/>
      <c r="N45" s="1416"/>
      <c r="O45" s="1416"/>
      <c r="P45" s="1420"/>
    </row>
    <row r="46" spans="2:16" ht="15.75" x14ac:dyDescent="0.25">
      <c r="B46" s="475"/>
      <c r="C46" s="915" t="s">
        <v>871</v>
      </c>
      <c r="D46" s="624" t="str">
        <f>INDEX(Vectors[Description], MATCH($C46, Vectors[Code], 0))</f>
        <v>Energy crops (second generation)</v>
      </c>
      <c r="E46" s="624" t="s">
        <v>2185</v>
      </c>
      <c r="F46" s="916">
        <v>0.64</v>
      </c>
      <c r="G46" s="916">
        <v>0.64</v>
      </c>
      <c r="H46" s="916">
        <v>0.64</v>
      </c>
      <c r="I46" s="916">
        <v>0.64</v>
      </c>
      <c r="J46" s="1416"/>
      <c r="K46" s="1416"/>
      <c r="L46" s="1416"/>
      <c r="M46" s="1416"/>
      <c r="N46" s="1416"/>
      <c r="O46" s="1416"/>
      <c r="P46" s="1420"/>
    </row>
    <row r="47" spans="2:16" ht="15.75" x14ac:dyDescent="0.25">
      <c r="B47" s="475"/>
      <c r="C47" s="237" t="s">
        <v>1161</v>
      </c>
      <c r="D47" s="1415" t="str">
        <f>INDEX(Vectors[Description], MATCH($C47, Vectors[Code], 0))</f>
        <v>Energy crops (first generation)</v>
      </c>
      <c r="E47" s="1415" t="s">
        <v>669</v>
      </c>
      <c r="F47" s="562">
        <v>0</v>
      </c>
      <c r="G47" s="562">
        <v>0</v>
      </c>
      <c r="H47" s="562">
        <v>0</v>
      </c>
      <c r="I47" s="562">
        <v>0</v>
      </c>
      <c r="J47" s="1416"/>
      <c r="K47" s="1416"/>
      <c r="L47" s="1416"/>
      <c r="M47" s="1416"/>
      <c r="N47" s="1416"/>
      <c r="O47" s="1416"/>
      <c r="P47" s="1420"/>
    </row>
    <row r="48" spans="2:16" ht="15.75" x14ac:dyDescent="0.25">
      <c r="B48" s="475"/>
      <c r="C48" s="237" t="s">
        <v>1161</v>
      </c>
      <c r="D48" s="1415" t="str">
        <f>INDEX(Vectors[Description], MATCH($C48, Vectors[Code], 0))</f>
        <v>Energy crops (first generation)</v>
      </c>
      <c r="E48" s="1415" t="s">
        <v>122</v>
      </c>
      <c r="F48" s="562">
        <v>0.8</v>
      </c>
      <c r="G48" s="562">
        <v>0.8</v>
      </c>
      <c r="H48" s="562">
        <v>0.8</v>
      </c>
      <c r="I48" s="562">
        <v>0.8</v>
      </c>
      <c r="J48" s="1416"/>
      <c r="K48" s="1416"/>
      <c r="L48" s="1416"/>
      <c r="M48" s="1416"/>
      <c r="N48" s="1416"/>
      <c r="O48" s="1416"/>
      <c r="P48" s="1420"/>
    </row>
    <row r="49" spans="1:16" s="2479" customFormat="1" ht="15.75" x14ac:dyDescent="0.25">
      <c r="B49" s="475"/>
      <c r="C49" s="237" t="s">
        <v>1161</v>
      </c>
      <c r="D49" s="1415" t="str">
        <f>INDEX(Vectors[Description], MATCH($C49, Vectors[Code], 0))</f>
        <v>Energy crops (first generation)</v>
      </c>
      <c r="E49" s="1415" t="s">
        <v>10</v>
      </c>
      <c r="F49" s="562">
        <v>0</v>
      </c>
      <c r="G49" s="562">
        <v>0</v>
      </c>
      <c r="H49" s="562">
        <v>0</v>
      </c>
      <c r="I49" s="562">
        <v>0</v>
      </c>
      <c r="J49" s="1416"/>
      <c r="K49" s="1416"/>
      <c r="L49" s="1416"/>
      <c r="M49" s="1416"/>
      <c r="N49" s="1416"/>
      <c r="O49" s="1416"/>
      <c r="P49" s="1420"/>
    </row>
    <row r="50" spans="1:16" ht="15.75" x14ac:dyDescent="0.25">
      <c r="B50" s="475"/>
      <c r="C50" s="915" t="s">
        <v>1161</v>
      </c>
      <c r="D50" s="624" t="str">
        <f>INDEX(Vectors[Description], MATCH($C50, Vectors[Code], 0))</f>
        <v>Energy crops (first generation)</v>
      </c>
      <c r="E50" s="624" t="s">
        <v>2185</v>
      </c>
      <c r="F50" s="916">
        <v>0.2</v>
      </c>
      <c r="G50" s="916">
        <v>0.2</v>
      </c>
      <c r="H50" s="916">
        <v>0.2</v>
      </c>
      <c r="I50" s="916">
        <v>0.2</v>
      </c>
      <c r="J50" s="1416"/>
      <c r="K50" s="1416"/>
      <c r="L50" s="1416"/>
      <c r="M50" s="1416"/>
      <c r="N50" s="1416"/>
      <c r="O50" s="1416"/>
      <c r="P50" s="1420"/>
    </row>
    <row r="51" spans="1:16" ht="15.75" x14ac:dyDescent="0.25">
      <c r="B51" s="475"/>
      <c r="C51" s="237" t="s">
        <v>1164</v>
      </c>
      <c r="D51" s="1415" t="str">
        <f>INDEX(Vectors[Description], MATCH($C51, Vectors[Code], 0))</f>
        <v>Gaseous waste</v>
      </c>
      <c r="E51" s="1415" t="s">
        <v>669</v>
      </c>
      <c r="F51" s="562">
        <v>0</v>
      </c>
      <c r="G51" s="562">
        <v>0</v>
      </c>
      <c r="H51" s="562">
        <v>0</v>
      </c>
      <c r="I51" s="562">
        <v>0</v>
      </c>
      <c r="J51" s="1416"/>
      <c r="K51" s="1416"/>
      <c r="L51" s="1416"/>
      <c r="M51" s="1416"/>
      <c r="N51" s="1416"/>
      <c r="O51" s="1416"/>
      <c r="P51" s="1420"/>
    </row>
    <row r="52" spans="1:16" ht="15.75" x14ac:dyDescent="0.25">
      <c r="B52" s="475"/>
      <c r="C52" s="237" t="s">
        <v>1164</v>
      </c>
      <c r="D52" s="1415" t="str">
        <f>INDEX(Vectors[Description], MATCH($C52, Vectors[Code], 0))</f>
        <v>Gaseous waste</v>
      </c>
      <c r="E52" s="1415" t="s">
        <v>122</v>
      </c>
      <c r="F52" s="562">
        <v>0</v>
      </c>
      <c r="G52" s="562">
        <v>0</v>
      </c>
      <c r="H52" s="562">
        <v>0</v>
      </c>
      <c r="I52" s="562">
        <v>0</v>
      </c>
      <c r="J52" s="1416"/>
      <c r="K52" s="1416"/>
      <c r="L52" s="1416"/>
      <c r="M52" s="1416"/>
      <c r="N52" s="1416"/>
      <c r="O52" s="1416"/>
      <c r="P52" s="1420"/>
    </row>
    <row r="53" spans="1:16" s="2479" customFormat="1" ht="15.75" x14ac:dyDescent="0.25">
      <c r="B53" s="475"/>
      <c r="C53" s="237" t="s">
        <v>1164</v>
      </c>
      <c r="D53" s="1415" t="str">
        <f>INDEX(Vectors[Description], MATCH($C53, Vectors[Code], 0))</f>
        <v>Gaseous waste</v>
      </c>
      <c r="E53" s="1415" t="s">
        <v>10</v>
      </c>
      <c r="F53" s="562">
        <v>1</v>
      </c>
      <c r="G53" s="562">
        <v>1</v>
      </c>
      <c r="H53" s="562">
        <v>1</v>
      </c>
      <c r="I53" s="562">
        <v>1</v>
      </c>
      <c r="J53" s="1416"/>
      <c r="K53" s="1416"/>
      <c r="L53" s="1416"/>
      <c r="M53" s="1416"/>
      <c r="N53" s="1416"/>
      <c r="O53" s="1416"/>
      <c r="P53" s="1420"/>
    </row>
    <row r="54" spans="1:16" ht="15.75" x14ac:dyDescent="0.25">
      <c r="B54" s="475"/>
      <c r="C54" s="1096" t="s">
        <v>1164</v>
      </c>
      <c r="D54" s="200" t="str">
        <f>INDEX(Vectors[Description], MATCH($C54, Vectors[Code], 0))</f>
        <v>Gaseous waste</v>
      </c>
      <c r="E54" s="200" t="s">
        <v>2185</v>
      </c>
      <c r="F54" s="565">
        <v>0</v>
      </c>
      <c r="G54" s="565">
        <v>0</v>
      </c>
      <c r="H54" s="565">
        <v>0</v>
      </c>
      <c r="I54" s="565">
        <v>0</v>
      </c>
      <c r="J54" s="1416"/>
      <c r="K54" s="1416"/>
      <c r="L54" s="1416"/>
      <c r="M54" s="1416"/>
      <c r="N54" s="1416"/>
      <c r="O54" s="1416"/>
      <c r="P54" s="1420"/>
    </row>
    <row r="55" spans="1:16" ht="15.75" x14ac:dyDescent="0.25">
      <c r="B55" s="475"/>
      <c r="C55" s="1414"/>
      <c r="D55" s="1415"/>
      <c r="E55" s="1415"/>
      <c r="F55" s="1415"/>
      <c r="G55" s="1415"/>
      <c r="H55" s="1415"/>
      <c r="I55" s="1415"/>
      <c r="J55" s="1416"/>
      <c r="K55" s="1416"/>
      <c r="L55" s="1416"/>
      <c r="M55" s="1416"/>
      <c r="N55" s="1416"/>
      <c r="O55" s="1416"/>
      <c r="P55" s="1420"/>
    </row>
    <row r="56" spans="1:16" x14ac:dyDescent="0.2">
      <c r="B56" s="477"/>
      <c r="C56" s="1414" t="s">
        <v>266</v>
      </c>
      <c r="D56" s="1415"/>
      <c r="E56" s="1415"/>
      <c r="F56" s="160"/>
      <c r="G56" s="351"/>
      <c r="H56" s="351"/>
      <c r="I56" s="351"/>
      <c r="J56" s="351"/>
      <c r="K56" s="351"/>
      <c r="L56" s="351"/>
      <c r="M56" s="351"/>
      <c r="N56" s="351"/>
      <c r="O56" s="351"/>
      <c r="P56" s="1420"/>
    </row>
    <row r="57" spans="1:16" x14ac:dyDescent="0.2">
      <c r="B57" s="477"/>
      <c r="C57" s="1414"/>
      <c r="D57" s="1415" t="s">
        <v>1203</v>
      </c>
      <c r="E57" s="1415"/>
      <c r="F57" s="160"/>
      <c r="G57" s="351"/>
      <c r="H57" s="351"/>
      <c r="I57" s="351"/>
      <c r="J57" s="351"/>
      <c r="K57" s="351"/>
      <c r="L57" s="351"/>
      <c r="M57" s="351"/>
      <c r="N57" s="351"/>
      <c r="O57" s="351"/>
      <c r="P57" s="1420"/>
    </row>
    <row r="58" spans="1:16" x14ac:dyDescent="0.2">
      <c r="B58" s="477"/>
      <c r="C58" s="1414"/>
      <c r="D58" s="1415" t="s">
        <v>1167</v>
      </c>
      <c r="E58" s="1415"/>
      <c r="F58" s="160"/>
      <c r="G58" s="351"/>
      <c r="H58" s="351"/>
      <c r="I58" s="351"/>
      <c r="J58" s="351"/>
      <c r="K58" s="351"/>
      <c r="L58" s="351"/>
      <c r="M58" s="351"/>
      <c r="N58" s="351"/>
      <c r="O58" s="351"/>
      <c r="P58" s="1420"/>
    </row>
    <row r="59" spans="1:16" ht="17.100000000000001" customHeight="1" x14ac:dyDescent="0.2">
      <c r="B59" s="477"/>
      <c r="C59" s="1414"/>
      <c r="D59" s="1415" t="s">
        <v>854</v>
      </c>
      <c r="E59" s="1415"/>
      <c r="F59" s="160"/>
      <c r="G59" s="351"/>
      <c r="H59" s="351"/>
      <c r="I59" s="351"/>
      <c r="J59" s="351"/>
      <c r="K59" s="351"/>
      <c r="L59" s="351"/>
      <c r="M59" s="351"/>
      <c r="N59" s="351"/>
      <c r="O59" s="351"/>
      <c r="P59" s="1420"/>
    </row>
    <row r="60" spans="1:16" ht="17.100000000000001" customHeight="1" x14ac:dyDescent="0.2">
      <c r="B60" s="477"/>
      <c r="C60" s="237"/>
      <c r="D60" s="467"/>
      <c r="E60" s="1415"/>
      <c r="F60" s="160"/>
      <c r="G60" s="351"/>
      <c r="H60" s="351"/>
      <c r="I60" s="351"/>
      <c r="J60" s="351"/>
      <c r="K60" s="351"/>
      <c r="L60" s="351"/>
      <c r="M60" s="351"/>
      <c r="N60" s="351"/>
      <c r="O60" s="351"/>
      <c r="P60" s="1420"/>
    </row>
    <row r="61" spans="1:16" ht="17.100000000000001" customHeight="1" x14ac:dyDescent="0.2">
      <c r="B61" s="471"/>
    </row>
    <row r="62" spans="1:16" s="84" customFormat="1" ht="17.100000000000001" customHeight="1" collapsed="1" x14ac:dyDescent="0.2">
      <c r="A62" s="408"/>
      <c r="B62" s="1423" t="s">
        <v>315</v>
      </c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6"/>
    </row>
    <row r="63" spans="1:16" ht="17.100000000000001" customHeight="1" x14ac:dyDescent="0.2">
      <c r="B63" s="474"/>
      <c r="C63" s="1416"/>
      <c r="D63" s="1416"/>
      <c r="E63" s="1416"/>
      <c r="F63" s="1416"/>
      <c r="G63" s="1416"/>
      <c r="H63" s="1416"/>
      <c r="I63" s="1416"/>
      <c r="J63" s="1416"/>
      <c r="K63" s="1416"/>
      <c r="L63" s="1416"/>
      <c r="M63" s="1416"/>
      <c r="N63" s="1416"/>
      <c r="O63" s="1416"/>
      <c r="P63" s="1420"/>
    </row>
    <row r="64" spans="1:16" ht="17.100000000000001" customHeight="1" x14ac:dyDescent="0.2">
      <c r="B64" s="474"/>
      <c r="C64" s="1417" t="s">
        <v>1212</v>
      </c>
      <c r="D64" s="1416"/>
      <c r="E64" s="1416"/>
      <c r="F64" s="1416"/>
      <c r="G64" s="1416"/>
      <c r="H64" s="176"/>
      <c r="I64" s="1416"/>
      <c r="J64" s="1416"/>
      <c r="K64" s="161" t="s">
        <v>750</v>
      </c>
      <c r="L64" s="1416"/>
      <c r="M64" s="1416"/>
      <c r="N64" s="1416"/>
      <c r="O64" s="1416"/>
      <c r="P64" s="1416"/>
    </row>
    <row r="65" spans="2:17" ht="17.100000000000001" customHeight="1" x14ac:dyDescent="0.2">
      <c r="B65" s="474"/>
      <c r="C65" s="1416"/>
      <c r="D65" s="1416"/>
      <c r="E65" s="1416"/>
      <c r="F65" s="1416"/>
      <c r="G65" s="1416"/>
      <c r="H65" s="1416"/>
      <c r="I65" s="1416"/>
      <c r="J65" s="1416"/>
      <c r="K65" s="1416"/>
      <c r="L65" s="1416"/>
      <c r="M65" s="1413"/>
      <c r="N65" s="1413"/>
      <c r="O65" s="1413"/>
      <c r="P65" s="670"/>
    </row>
    <row r="66" spans="2:17" s="20" customFormat="1" ht="32.25" customHeight="1" x14ac:dyDescent="0.2">
      <c r="B66" s="477"/>
      <c r="C66" s="1897"/>
      <c r="D66" s="1897"/>
      <c r="E66" s="1897"/>
      <c r="F66" s="1898"/>
      <c r="G66" s="1899" t="str">
        <f>INDEX(Vectors[Description], MATCH(G$67, Vectors[Code], 0))</f>
        <v>Wet biomass and waste</v>
      </c>
      <c r="H66" s="1900" t="str">
        <f>INDEX(Vectors[Description], MATCH(H$67, Vectors[Code], 0))</f>
        <v>Dry biomass and waste</v>
      </c>
      <c r="I66" s="1900" t="str">
        <f>INDEX(Vectors[Description], MATCH(I$67, Vectors[Code], 0))</f>
        <v>Energy crops (second generation)</v>
      </c>
      <c r="J66" s="1900" t="str">
        <f>INDEX(Vectors[Description], MATCH(J$67, Vectors[Code], 0))</f>
        <v>Energy crops (first generation)</v>
      </c>
      <c r="K66" s="1900" t="str">
        <f>INDEX(Vectors[Description], MATCH(K$67, Vectors[Code], 0))</f>
        <v>Gaseous waste</v>
      </c>
      <c r="L66" s="578"/>
      <c r="M66" s="1901"/>
      <c r="N66" s="344"/>
      <c r="O66" s="344"/>
      <c r="P66" s="954"/>
    </row>
    <row r="67" spans="2:17" ht="17.100000000000001" customHeight="1" x14ac:dyDescent="0.25">
      <c r="B67" s="475"/>
      <c r="C67" s="181" t="s">
        <v>264</v>
      </c>
      <c r="D67" s="181" t="s">
        <v>65</v>
      </c>
      <c r="E67" s="181" t="s">
        <v>172</v>
      </c>
      <c r="F67" s="1097" t="s">
        <v>749</v>
      </c>
      <c r="G67" s="1098" t="s">
        <v>383</v>
      </c>
      <c r="H67" s="1099" t="s">
        <v>296</v>
      </c>
      <c r="I67" s="1099" t="s">
        <v>871</v>
      </c>
      <c r="J67" s="1099" t="s">
        <v>1161</v>
      </c>
      <c r="K67" s="1099" t="s">
        <v>1164</v>
      </c>
      <c r="L67" s="669"/>
      <c r="M67" s="237"/>
      <c r="N67" s="1415"/>
      <c r="O67" s="1415"/>
      <c r="P67" s="954"/>
    </row>
    <row r="68" spans="2:17" ht="17.100000000000001" customHeight="1" x14ac:dyDescent="0.25">
      <c r="B68" s="475"/>
      <c r="C68" s="192" t="s">
        <v>36</v>
      </c>
      <c r="D68" s="192" t="str">
        <f>INDEX(Vectors[Description], MATCH($C68, Vectors[Code], 0))</f>
        <v>Solid hydrocarbons</v>
      </c>
      <c r="E68" s="706" t="s">
        <v>170</v>
      </c>
      <c r="F68" s="707"/>
      <c r="G68" s="1452"/>
      <c r="H68" s="1453">
        <v>0.9</v>
      </c>
      <c r="I68" s="1453">
        <v>0.9</v>
      </c>
      <c r="J68" s="1452"/>
      <c r="K68" s="1159"/>
      <c r="L68" s="108"/>
      <c r="M68" s="237"/>
      <c r="N68" s="1415"/>
      <c r="O68" s="1415"/>
      <c r="P68" s="954"/>
    </row>
    <row r="69" spans="2:17" ht="17.100000000000001" customHeight="1" x14ac:dyDescent="0.25">
      <c r="B69" s="475"/>
      <c r="C69" s="107" t="s">
        <v>38</v>
      </c>
      <c r="D69" s="107" t="str">
        <f>INDEX(Vectors[Description], MATCH($C69, Vectors[Code], 0))</f>
        <v>Liquid hydrocarbons</v>
      </c>
      <c r="E69" s="1413"/>
      <c r="F69" s="708"/>
      <c r="G69" s="1453">
        <v>0.318</v>
      </c>
      <c r="H69" s="1453">
        <v>0.37</v>
      </c>
      <c r="I69" s="1453">
        <v>0.37</v>
      </c>
      <c r="J69" s="1453">
        <v>0.31</v>
      </c>
      <c r="K69" s="1158"/>
      <c r="L69" s="108"/>
      <c r="M69" s="237"/>
      <c r="N69" s="1415"/>
      <c r="O69" s="1415"/>
      <c r="P69" s="1880"/>
    </row>
    <row r="70" spans="2:17" s="2479" customFormat="1" ht="17.100000000000001" customHeight="1" x14ac:dyDescent="0.25">
      <c r="B70" s="475"/>
      <c r="C70" s="107" t="s">
        <v>39</v>
      </c>
      <c r="D70" s="107" t="str">
        <f>INDEX(Vectors[Description], MATCH($C70, Vectors[Code], 0))</f>
        <v>Gaseous hydrocarbons</v>
      </c>
      <c r="E70" s="1413" t="s">
        <v>660</v>
      </c>
      <c r="F70" s="708"/>
      <c r="G70" s="1453">
        <v>0.75</v>
      </c>
      <c r="H70" s="1453">
        <v>0.58499999999999996</v>
      </c>
      <c r="I70" s="1453">
        <v>0.58499999999999996</v>
      </c>
      <c r="J70" s="1453"/>
      <c r="K70" s="1158">
        <v>1</v>
      </c>
      <c r="L70" s="108"/>
      <c r="M70" s="237"/>
      <c r="N70" s="1415"/>
      <c r="O70" s="1415"/>
      <c r="P70" s="1880"/>
    </row>
    <row r="71" spans="2:17" ht="17.100000000000001" customHeight="1" x14ac:dyDescent="0.25">
      <c r="B71" s="475"/>
      <c r="C71" s="189" t="s">
        <v>2184</v>
      </c>
      <c r="D71" s="189" t="str">
        <f>INDEX(Vectors[Description], MATCH($C71, Vectors[Code], 0))</f>
        <v>Traditional Fuel</v>
      </c>
      <c r="E71" s="190"/>
      <c r="F71" s="709"/>
      <c r="G71" s="1454"/>
      <c r="H71" s="1454">
        <v>1</v>
      </c>
      <c r="I71" s="1454">
        <v>1</v>
      </c>
      <c r="J71" s="1454">
        <v>1</v>
      </c>
      <c r="K71" s="1168"/>
      <c r="L71" s="108"/>
      <c r="M71" s="237"/>
      <c r="N71" s="1415"/>
      <c r="O71" s="1415"/>
      <c r="P71" s="954"/>
      <c r="Q71" s="588"/>
    </row>
    <row r="72" spans="2:17" ht="17.100000000000001" customHeight="1" x14ac:dyDescent="0.25">
      <c r="B72" s="475"/>
      <c r="C72" s="107"/>
      <c r="D72" s="107"/>
      <c r="E72" s="1413"/>
      <c r="F72" s="108"/>
      <c r="G72" s="660"/>
      <c r="H72" s="108"/>
      <c r="I72" s="108"/>
      <c r="J72" s="108"/>
      <c r="K72" s="108"/>
      <c r="L72" s="108"/>
      <c r="M72" s="237"/>
      <c r="N72" s="1415"/>
      <c r="O72" s="1415"/>
      <c r="P72" s="692"/>
      <c r="Q72" s="588"/>
    </row>
    <row r="73" spans="2:17" ht="17.100000000000001" customHeight="1" x14ac:dyDescent="0.2">
      <c r="B73" s="477"/>
      <c r="C73" s="1416" t="s">
        <v>266</v>
      </c>
      <c r="D73" s="177"/>
      <c r="E73" s="1416"/>
      <c r="F73" s="1416"/>
      <c r="G73" s="1416"/>
      <c r="H73" s="1416"/>
      <c r="I73" s="1416"/>
      <c r="J73" s="1416"/>
      <c r="K73" s="1416"/>
      <c r="L73" s="1416"/>
      <c r="M73" s="237"/>
      <c r="N73" s="1415"/>
      <c r="O73" s="1415"/>
      <c r="P73" s="954"/>
      <c r="Q73" s="588"/>
    </row>
    <row r="74" spans="2:17" s="1411" customFormat="1" ht="17.100000000000001" customHeight="1" x14ac:dyDescent="0.2">
      <c r="B74" s="480"/>
      <c r="C74" s="463" t="s">
        <v>93</v>
      </c>
      <c r="D74" s="464" t="s">
        <v>751</v>
      </c>
      <c r="E74" s="465"/>
      <c r="F74" s="465"/>
      <c r="G74" s="465"/>
      <c r="H74" s="465"/>
      <c r="I74" s="465"/>
      <c r="J74" s="465"/>
      <c r="K74" s="465"/>
      <c r="L74" s="465"/>
      <c r="M74" s="237"/>
      <c r="N74" s="1415"/>
      <c r="O74" s="1415"/>
      <c r="P74" s="954"/>
      <c r="Q74" s="1503"/>
    </row>
    <row r="75" spans="2:17" s="1411" customFormat="1" ht="17.100000000000001" customHeight="1" x14ac:dyDescent="0.2">
      <c r="B75" s="480"/>
      <c r="C75" s="463" t="s">
        <v>170</v>
      </c>
      <c r="D75" s="467" t="s">
        <v>752</v>
      </c>
      <c r="E75" s="465"/>
      <c r="F75" s="465"/>
      <c r="G75" s="465"/>
      <c r="H75" s="465"/>
      <c r="I75" s="465"/>
      <c r="J75" s="465"/>
      <c r="K75" s="465"/>
      <c r="L75" s="465"/>
      <c r="M75" s="237"/>
      <c r="N75" s="1415"/>
      <c r="O75" s="1415"/>
      <c r="P75" s="954"/>
      <c r="Q75" s="1503"/>
    </row>
    <row r="76" spans="2:17" s="1411" customFormat="1" ht="17.100000000000001" customHeight="1" x14ac:dyDescent="0.2">
      <c r="B76" s="480"/>
      <c r="C76" s="237" t="s">
        <v>660</v>
      </c>
      <c r="D76" s="467" t="s">
        <v>753</v>
      </c>
      <c r="E76" s="465"/>
      <c r="F76" s="465"/>
      <c r="G76" s="465"/>
      <c r="H76" s="465"/>
      <c r="I76" s="465"/>
      <c r="J76" s="465"/>
      <c r="K76" s="465"/>
      <c r="L76" s="465"/>
      <c r="M76" s="237"/>
      <c r="N76" s="1415"/>
      <c r="O76" s="1415"/>
      <c r="P76" s="1880"/>
      <c r="Q76" s="1503"/>
    </row>
    <row r="77" spans="2:17" s="1411" customFormat="1" ht="17.100000000000001" customHeight="1" x14ac:dyDescent="0.2">
      <c r="B77" s="480"/>
      <c r="C77" s="237"/>
      <c r="D77" s="467"/>
      <c r="E77" s="465"/>
      <c r="F77" s="465"/>
      <c r="G77" s="465"/>
      <c r="H77" s="465"/>
      <c r="I77" s="465"/>
      <c r="J77" s="465"/>
      <c r="K77" s="465"/>
      <c r="L77" s="465"/>
      <c r="M77" s="237"/>
      <c r="N77" s="1415"/>
      <c r="O77" s="1415"/>
      <c r="P77" s="954"/>
      <c r="Q77" s="1503"/>
    </row>
    <row r="78" spans="2:17" s="1140" customFormat="1" ht="17.100000000000001" customHeight="1" x14ac:dyDescent="0.2">
      <c r="B78" s="1141"/>
      <c r="C78" s="1142" t="s">
        <v>1211</v>
      </c>
      <c r="D78" s="1143"/>
      <c r="E78" s="1143"/>
      <c r="F78" s="1143"/>
      <c r="G78" s="1143"/>
      <c r="H78" s="1144"/>
      <c r="I78" s="1143"/>
      <c r="J78" s="1143"/>
      <c r="K78" s="1145" t="s">
        <v>750</v>
      </c>
      <c r="L78" s="1143"/>
      <c r="M78" s="237"/>
      <c r="N78" s="1415"/>
      <c r="O78" s="1415"/>
      <c r="P78" s="954"/>
      <c r="Q78" s="1874"/>
    </row>
    <row r="79" spans="2:17" s="1140" customFormat="1" ht="17.100000000000001" customHeight="1" x14ac:dyDescent="0.2">
      <c r="B79" s="1141"/>
      <c r="C79" s="1143"/>
      <c r="D79" s="1143"/>
      <c r="E79" s="1143"/>
      <c r="F79" s="1143"/>
      <c r="G79" s="1143"/>
      <c r="H79" s="1143"/>
      <c r="I79" s="1143"/>
      <c r="J79" s="1143"/>
      <c r="K79" s="1143"/>
      <c r="L79" s="1143"/>
      <c r="M79" s="237"/>
      <c r="N79" s="1415"/>
      <c r="O79" s="1415"/>
      <c r="P79" s="954"/>
      <c r="Q79" s="1874"/>
    </row>
    <row r="80" spans="2:17" s="1140" customFormat="1" ht="35.25" customHeight="1" x14ac:dyDescent="0.2">
      <c r="B80" s="1141"/>
      <c r="C80" s="1146"/>
      <c r="D80" s="1146"/>
      <c r="E80" s="1146"/>
      <c r="F80" s="1147"/>
      <c r="G80" s="1895" t="s">
        <v>687</v>
      </c>
      <c r="H80" s="1896" t="s">
        <v>686</v>
      </c>
      <c r="I80" s="1896" t="s">
        <v>1160</v>
      </c>
      <c r="J80" s="1896" t="s">
        <v>1166</v>
      </c>
      <c r="K80" s="1896" t="s">
        <v>103</v>
      </c>
      <c r="L80" s="1143"/>
      <c r="M80" s="1893"/>
      <c r="N80" s="1540"/>
      <c r="O80" s="1540"/>
      <c r="P80" s="1894"/>
      <c r="Q80" s="1874"/>
    </row>
    <row r="81" spans="2:17" s="1140" customFormat="1" ht="17.100000000000001" customHeight="1" x14ac:dyDescent="0.25">
      <c r="B81" s="1148"/>
      <c r="C81" s="1149" t="s">
        <v>264</v>
      </c>
      <c r="D81" s="1149" t="s">
        <v>65</v>
      </c>
      <c r="E81" s="1149" t="s">
        <v>172</v>
      </c>
      <c r="F81" s="1150" t="s">
        <v>749</v>
      </c>
      <c r="G81" s="1151" t="s">
        <v>383</v>
      </c>
      <c r="H81" s="1152" t="s">
        <v>296</v>
      </c>
      <c r="I81" s="1152" t="s">
        <v>871</v>
      </c>
      <c r="J81" s="1152" t="s">
        <v>1161</v>
      </c>
      <c r="K81" s="1152" t="s">
        <v>1164</v>
      </c>
      <c r="L81" s="1153"/>
      <c r="M81" s="237"/>
      <c r="N81" s="1415"/>
      <c r="O81" s="1415"/>
      <c r="P81" s="954"/>
      <c r="Q81" s="1874"/>
    </row>
    <row r="82" spans="2:17" s="1140" customFormat="1" ht="17.100000000000001" customHeight="1" x14ac:dyDescent="0.25">
      <c r="B82" s="1148"/>
      <c r="C82" s="1154" t="s">
        <v>36</v>
      </c>
      <c r="D82" s="1154" t="s">
        <v>49</v>
      </c>
      <c r="E82" s="1155" t="s">
        <v>170</v>
      </c>
      <c r="F82" s="1156"/>
      <c r="G82" s="1157"/>
      <c r="H82" s="1158">
        <v>0.95</v>
      </c>
      <c r="I82" s="1159">
        <v>0.95</v>
      </c>
      <c r="J82" s="1159"/>
      <c r="K82" s="1159"/>
      <c r="L82" s="1158"/>
      <c r="M82" s="1158"/>
      <c r="N82" s="1158"/>
      <c r="O82" s="1158"/>
      <c r="P82" s="1143"/>
      <c r="Q82" s="1874"/>
    </row>
    <row r="83" spans="2:17" s="1140" customFormat="1" ht="17.100000000000001" customHeight="1" x14ac:dyDescent="0.25">
      <c r="B83" s="1148"/>
      <c r="C83" s="1160" t="s">
        <v>38</v>
      </c>
      <c r="D83" s="1160" t="s">
        <v>50</v>
      </c>
      <c r="E83" s="1161"/>
      <c r="F83" s="1162"/>
      <c r="G83" s="1163">
        <v>0.38200000000000001</v>
      </c>
      <c r="H83" s="1158">
        <v>0.45</v>
      </c>
      <c r="I83" s="1158">
        <v>0.45</v>
      </c>
      <c r="J83" s="1158">
        <v>0.316</v>
      </c>
      <c r="K83" s="1158"/>
      <c r="L83" s="1158"/>
      <c r="M83" s="176"/>
      <c r="N83" s="1416"/>
      <c r="O83" s="1416"/>
      <c r="P83" s="1416"/>
      <c r="Q83" s="37"/>
    </row>
    <row r="84" spans="2:17" s="1140" customFormat="1" ht="17.100000000000001" customHeight="1" x14ac:dyDescent="0.25">
      <c r="B84" s="1148"/>
      <c r="C84" s="1160" t="s">
        <v>39</v>
      </c>
      <c r="D84" s="1160" t="s">
        <v>50</v>
      </c>
      <c r="E84" s="1161" t="s">
        <v>660</v>
      </c>
      <c r="F84" s="1162"/>
      <c r="G84" s="1163">
        <v>0.85</v>
      </c>
      <c r="H84" s="1158">
        <v>0.66200000000000003</v>
      </c>
      <c r="I84" s="1158">
        <v>0.66200000000000003</v>
      </c>
      <c r="J84" s="1158"/>
      <c r="K84" s="1158">
        <v>1</v>
      </c>
      <c r="L84" s="1158"/>
      <c r="M84" s="176"/>
      <c r="N84" s="1416"/>
      <c r="O84" s="1416"/>
      <c r="P84" s="1416"/>
      <c r="Q84" s="37"/>
    </row>
    <row r="85" spans="2:17" s="1140" customFormat="1" ht="17.100000000000001" customHeight="1" x14ac:dyDescent="0.25">
      <c r="B85" s="1148"/>
      <c r="C85" s="1164" t="s">
        <v>2184</v>
      </c>
      <c r="D85" s="1164" t="s">
        <v>197</v>
      </c>
      <c r="E85" s="1165"/>
      <c r="F85" s="1166"/>
      <c r="G85" s="1167"/>
      <c r="H85" s="1454">
        <v>1</v>
      </c>
      <c r="I85" s="1454">
        <v>1</v>
      </c>
      <c r="J85" s="1168">
        <v>1</v>
      </c>
      <c r="K85" s="1168"/>
      <c r="L85" s="1158"/>
      <c r="M85" s="1158"/>
      <c r="N85" s="1158"/>
      <c r="O85" s="1158"/>
      <c r="P85" s="1143"/>
      <c r="Q85" s="1874"/>
    </row>
    <row r="86" spans="2:17" s="1140" customFormat="1" ht="17.100000000000001" customHeight="1" x14ac:dyDescent="0.25">
      <c r="B86" s="1148"/>
      <c r="C86" s="1160"/>
      <c r="D86" s="1160"/>
      <c r="E86" s="1161"/>
      <c r="F86" s="1158"/>
      <c r="G86" s="1163"/>
      <c r="H86" s="1158"/>
      <c r="I86" s="1158"/>
      <c r="J86" s="1158"/>
      <c r="K86" s="1158"/>
      <c r="L86" s="1158"/>
      <c r="M86" s="1158"/>
      <c r="N86" s="1158"/>
      <c r="O86" s="1158"/>
      <c r="P86" s="1143"/>
      <c r="Q86" s="1874"/>
    </row>
    <row r="87" spans="2:17" s="1140" customFormat="1" ht="17.100000000000001" customHeight="1" x14ac:dyDescent="0.2">
      <c r="B87" s="1141"/>
      <c r="C87" s="1143" t="s">
        <v>266</v>
      </c>
      <c r="D87" s="1169"/>
      <c r="E87" s="1143"/>
      <c r="F87" s="1143"/>
      <c r="G87" s="1143"/>
      <c r="H87" s="1143"/>
      <c r="I87" s="1143"/>
      <c r="J87" s="1143"/>
      <c r="K87" s="1143"/>
      <c r="L87" s="1143"/>
      <c r="M87" s="1143"/>
      <c r="N87" s="1143"/>
      <c r="O87" s="1143"/>
      <c r="P87" s="1143"/>
      <c r="Q87" s="1874"/>
    </row>
    <row r="88" spans="2:17" s="1411" customFormat="1" ht="17.100000000000001" customHeight="1" x14ac:dyDescent="0.2">
      <c r="B88" s="480"/>
      <c r="C88" s="463" t="s">
        <v>170</v>
      </c>
      <c r="D88" s="467" t="s">
        <v>752</v>
      </c>
      <c r="E88" s="465"/>
      <c r="F88" s="465"/>
      <c r="G88" s="465"/>
      <c r="H88" s="465"/>
      <c r="I88" s="465"/>
      <c r="J88" s="465"/>
      <c r="K88" s="465"/>
      <c r="L88" s="465"/>
      <c r="M88" s="465"/>
      <c r="N88" s="465"/>
      <c r="O88" s="465"/>
      <c r="P88" s="465"/>
      <c r="Q88" s="1503"/>
    </row>
    <row r="89" spans="2:17" s="1411" customFormat="1" ht="17.100000000000001" customHeight="1" x14ac:dyDescent="0.2">
      <c r="B89" s="480"/>
      <c r="C89" s="1170" t="s">
        <v>660</v>
      </c>
      <c r="D89" s="467" t="s">
        <v>753</v>
      </c>
      <c r="E89" s="465"/>
      <c r="F89" s="465"/>
      <c r="G89" s="465"/>
      <c r="H89" s="465"/>
      <c r="I89" s="465"/>
      <c r="J89" s="465"/>
      <c r="K89" s="465"/>
      <c r="L89" s="465"/>
      <c r="M89" s="465"/>
      <c r="N89" s="465"/>
      <c r="O89" s="465"/>
      <c r="P89" s="465"/>
      <c r="Q89" s="1503"/>
    </row>
    <row r="90" spans="2:17" s="1140" customFormat="1" ht="17.100000000000001" customHeight="1" x14ac:dyDescent="0.2">
      <c r="B90" s="1171"/>
      <c r="C90" s="1172"/>
      <c r="D90" s="1172"/>
      <c r="E90" s="1172"/>
      <c r="F90" s="1172"/>
      <c r="G90" s="1143"/>
      <c r="H90" s="1143"/>
      <c r="I90" s="1143"/>
      <c r="J90" s="1143"/>
      <c r="K90" s="1143"/>
      <c r="L90" s="1143"/>
      <c r="M90" s="1143"/>
      <c r="N90" s="1143"/>
      <c r="O90" s="1143"/>
      <c r="P90" s="1143"/>
      <c r="Q90" s="1874"/>
    </row>
    <row r="91" spans="2:17" ht="17.100000000000001" customHeight="1" x14ac:dyDescent="0.2">
      <c r="B91" s="1416"/>
      <c r="C91" s="180" t="s">
        <v>673</v>
      </c>
      <c r="D91" s="180" t="s">
        <v>873</v>
      </c>
      <c r="E91" s="180" t="s">
        <v>874</v>
      </c>
      <c r="F91" s="180" t="s">
        <v>1483</v>
      </c>
      <c r="G91" s="1252"/>
      <c r="H91" s="1926"/>
      <c r="I91" s="1926"/>
      <c r="J91" s="1415"/>
      <c r="K91" s="1415"/>
      <c r="L91" s="1415"/>
      <c r="M91" s="1416"/>
      <c r="N91" s="1416"/>
      <c r="O91" s="1416"/>
      <c r="P91" s="1416"/>
      <c r="Q91" s="588"/>
    </row>
    <row r="92" spans="2:17" ht="17.100000000000001" customHeight="1" x14ac:dyDescent="0.2">
      <c r="B92" s="1416"/>
      <c r="C92" s="1881" t="s">
        <v>296</v>
      </c>
      <c r="D92" s="1102" t="str">
        <f>INDEX(Vectors[Description], MATCH($C92, Vectors[Code], 0))</f>
        <v>Dry biomass and waste</v>
      </c>
      <c r="E92" s="1102" t="s">
        <v>669</v>
      </c>
      <c r="F92" s="2235">
        <v>1</v>
      </c>
      <c r="G92" s="2110">
        <v>0.41666666666666663</v>
      </c>
      <c r="H92" s="1102"/>
      <c r="I92" s="2235">
        <f>((100000/1000000)*VI.a!I178)</f>
        <v>0</v>
      </c>
      <c r="J92" s="1415"/>
      <c r="K92" s="1415"/>
      <c r="L92" s="1415"/>
      <c r="M92" s="1416"/>
      <c r="N92" s="1416"/>
      <c r="O92" s="1416"/>
      <c r="P92" s="1416"/>
      <c r="Q92" s="588"/>
    </row>
    <row r="93" spans="2:17" ht="17.100000000000001" customHeight="1" x14ac:dyDescent="0.2">
      <c r="B93" s="669"/>
      <c r="C93" s="237" t="s">
        <v>296</v>
      </c>
      <c r="D93" s="1415" t="str">
        <f>INDEX(Vectors[Description], MATCH($C92, Vectors[Code], 0))</f>
        <v>Dry biomass and waste</v>
      </c>
      <c r="E93" s="1415" t="s">
        <v>122</v>
      </c>
      <c r="F93" s="954">
        <v>1</v>
      </c>
      <c r="G93" s="1563">
        <v>0.75341230690526695</v>
      </c>
      <c r="H93" s="1415"/>
      <c r="I93" s="954">
        <f>16000000*Conversion.UKgallons.to.litres*Constants.Density.JetFuel*Constants.GCV.ATF</f>
        <v>0.75341230690526695</v>
      </c>
      <c r="J93" s="1415"/>
      <c r="K93" s="1415"/>
      <c r="L93" s="1415"/>
      <c r="M93" s="1416"/>
      <c r="N93" s="1416"/>
      <c r="O93" s="1416"/>
      <c r="P93" s="1416"/>
      <c r="Q93" s="588"/>
    </row>
    <row r="94" spans="2:17" ht="17.100000000000001" customHeight="1" x14ac:dyDescent="0.2">
      <c r="B94" s="108"/>
      <c r="C94" s="1096" t="s">
        <v>296</v>
      </c>
      <c r="D94" s="200" t="str">
        <f>INDEX(Vectors[Description], MATCH($C93, Vectors[Code], 0))</f>
        <v>Dry biomass and waste</v>
      </c>
      <c r="E94" s="200" t="s">
        <v>10</v>
      </c>
      <c r="F94" s="955">
        <v>1</v>
      </c>
      <c r="G94" s="2111">
        <v>0.8</v>
      </c>
      <c r="H94" s="200"/>
      <c r="I94" s="955">
        <f>800*Unit.GWh</f>
        <v>0.8</v>
      </c>
      <c r="J94" s="1870"/>
      <c r="K94" s="1870"/>
      <c r="L94" s="1870"/>
      <c r="M94" s="1377"/>
      <c r="N94" s="1377"/>
      <c r="O94" s="1377"/>
      <c r="P94" s="1377"/>
      <c r="Q94" s="588"/>
    </row>
    <row r="95" spans="2:17" ht="17.100000000000001" customHeight="1" x14ac:dyDescent="0.2">
      <c r="B95" s="108"/>
      <c r="C95" s="1881" t="s">
        <v>383</v>
      </c>
      <c r="D95" s="1102" t="str">
        <f>INDEX(Vectors[Description], MATCH($C95, Vectors[Code], 0))</f>
        <v>Wet biomass and waste</v>
      </c>
      <c r="E95" s="1102" t="s">
        <v>669</v>
      </c>
      <c r="F95" s="2237">
        <v>1</v>
      </c>
      <c r="G95" s="2110"/>
      <c r="H95" s="1102"/>
      <c r="I95" s="2237"/>
      <c r="J95" s="1870"/>
      <c r="K95" s="1870"/>
      <c r="L95" s="1870"/>
      <c r="M95" s="1377"/>
      <c r="N95" s="1377"/>
      <c r="O95" s="1377"/>
      <c r="P95" s="1377"/>
      <c r="Q95" s="588"/>
    </row>
    <row r="96" spans="2:17" ht="17.100000000000001" customHeight="1" x14ac:dyDescent="0.2">
      <c r="B96" s="108"/>
      <c r="C96" s="237" t="s">
        <v>383</v>
      </c>
      <c r="D96" s="1415" t="str">
        <f>INDEX(Vectors[Description], MATCH($C96, Vectors[Code], 0))</f>
        <v>Wet biomass and waste</v>
      </c>
      <c r="E96" s="1415" t="s">
        <v>122</v>
      </c>
      <c r="F96" s="954">
        <v>1</v>
      </c>
      <c r="G96" s="1563">
        <v>0.75341230690526695</v>
      </c>
      <c r="H96" s="1415"/>
      <c r="I96" s="954">
        <f>I93</f>
        <v>0.75341230690526695</v>
      </c>
      <c r="J96" s="1870"/>
      <c r="K96" s="1870"/>
      <c r="L96" s="1870"/>
      <c r="M96" s="1377"/>
      <c r="N96" s="1377"/>
      <c r="O96" s="1377"/>
      <c r="P96" s="1377"/>
      <c r="Q96" s="588"/>
    </row>
    <row r="97" spans="1:17" ht="17.100000000000001" customHeight="1" x14ac:dyDescent="0.2">
      <c r="B97" s="108"/>
      <c r="C97" s="1096" t="s">
        <v>383</v>
      </c>
      <c r="D97" s="200" t="str">
        <f>INDEX(Vectors[Description], MATCH($C97, Vectors[Code], 0))</f>
        <v>Wet biomass and waste</v>
      </c>
      <c r="E97" s="200" t="s">
        <v>10</v>
      </c>
      <c r="F97" s="2238">
        <v>1</v>
      </c>
      <c r="G97" s="2111">
        <v>1.6304760000000001E-2</v>
      </c>
      <c r="H97" s="200"/>
      <c r="I97" s="2238">
        <f>2*Unit.MW*93%*Conversion.to.annual.energy</f>
        <v>1.6304760000000001E-2</v>
      </c>
      <c r="J97" s="1870"/>
      <c r="K97" s="1870"/>
      <c r="L97" s="1870"/>
      <c r="M97" s="1377"/>
      <c r="N97" s="1377"/>
      <c r="O97" s="1377"/>
      <c r="P97" s="1377"/>
      <c r="Q97" s="588"/>
    </row>
    <row r="98" spans="1:17" ht="17.100000000000001" customHeight="1" x14ac:dyDescent="0.2">
      <c r="B98" s="1416"/>
      <c r="C98" s="1881" t="s">
        <v>871</v>
      </c>
      <c r="D98" s="1102" t="str">
        <f>INDEX(Vectors[Description], MATCH($C98, Vectors[Code], 0))</f>
        <v>Energy crops (second generation)</v>
      </c>
      <c r="E98" s="1102" t="s">
        <v>669</v>
      </c>
      <c r="F98" s="2235">
        <v>1</v>
      </c>
      <c r="G98" s="2110">
        <v>0.41666666666666663</v>
      </c>
      <c r="H98" s="1102"/>
      <c r="I98" s="2235">
        <f>I92</f>
        <v>0</v>
      </c>
      <c r="J98" s="1870"/>
      <c r="K98" s="1870"/>
      <c r="L98" s="1870"/>
      <c r="M98" s="1377"/>
      <c r="N98" s="1377"/>
      <c r="O98" s="1377"/>
      <c r="P98" s="1377"/>
      <c r="Q98" s="588"/>
    </row>
    <row r="99" spans="1:17" ht="17.100000000000001" customHeight="1" x14ac:dyDescent="0.2">
      <c r="B99" s="465"/>
      <c r="C99" s="237" t="s">
        <v>871</v>
      </c>
      <c r="D99" s="1415" t="str">
        <f>INDEX(Vectors[Description], MATCH($C99, Vectors[Code], 0))</f>
        <v>Energy crops (second generation)</v>
      </c>
      <c r="E99" s="1415" t="s">
        <v>122</v>
      </c>
      <c r="F99" s="954">
        <v>1</v>
      </c>
      <c r="G99" s="2239">
        <v>0.75341230690526695</v>
      </c>
      <c r="H99" s="1415"/>
      <c r="I99" s="954">
        <f>I93</f>
        <v>0.75341230690526695</v>
      </c>
      <c r="J99" s="1870"/>
      <c r="K99" s="1870"/>
      <c r="L99" s="1870"/>
      <c r="M99" s="1377"/>
      <c r="N99" s="1377"/>
      <c r="O99" s="1377"/>
      <c r="P99" s="1377"/>
      <c r="Q99" s="588"/>
    </row>
    <row r="100" spans="1:17" ht="17.100000000000001" customHeight="1" x14ac:dyDescent="0.2">
      <c r="B100" s="465"/>
      <c r="C100" s="1096" t="s">
        <v>871</v>
      </c>
      <c r="D100" s="200" t="str">
        <f>INDEX(Vectors[Description], MATCH($C100, Vectors[Code], 0))</f>
        <v>Energy crops (second generation)</v>
      </c>
      <c r="E100" s="200" t="s">
        <v>10</v>
      </c>
      <c r="F100" s="955">
        <v>1</v>
      </c>
      <c r="G100" s="2240">
        <v>0.8</v>
      </c>
      <c r="H100" s="524"/>
      <c r="I100" s="955">
        <f>I94</f>
        <v>0.8</v>
      </c>
      <c r="J100" s="1377"/>
      <c r="K100" s="1377"/>
      <c r="L100" s="1377"/>
      <c r="M100" s="1377"/>
      <c r="N100" s="1377"/>
      <c r="O100" s="1377"/>
      <c r="P100" s="1377"/>
      <c r="Q100" s="588"/>
    </row>
    <row r="101" spans="1:17" ht="17.100000000000001" customHeight="1" x14ac:dyDescent="0.2">
      <c r="B101" s="465"/>
      <c r="C101" s="1881" t="s">
        <v>1161</v>
      </c>
      <c r="D101" s="1102" t="str">
        <f>INDEX(Vectors[Description], MATCH($C101, Vectors[Code], 0))</f>
        <v>Energy crops (first generation)</v>
      </c>
      <c r="E101" s="1102" t="s">
        <v>669</v>
      </c>
      <c r="F101" s="2237">
        <v>1</v>
      </c>
      <c r="G101" s="2241"/>
      <c r="H101" s="1904"/>
      <c r="I101" s="2237"/>
      <c r="J101" s="1377"/>
      <c r="K101" s="1377"/>
      <c r="L101" s="1377"/>
      <c r="M101" s="1377"/>
      <c r="N101" s="1377"/>
      <c r="O101" s="1377"/>
      <c r="P101" s="1377"/>
    </row>
    <row r="102" spans="1:17" ht="17.100000000000001" customHeight="1" x14ac:dyDescent="0.2">
      <c r="B102" s="465"/>
      <c r="C102" s="237" t="s">
        <v>1161</v>
      </c>
      <c r="D102" s="1415" t="str">
        <f>INDEX(Vectors[Description], MATCH($C102, Vectors[Code], 0))</f>
        <v>Energy crops (first generation)</v>
      </c>
      <c r="E102" s="1415" t="s">
        <v>122</v>
      </c>
      <c r="F102" s="954">
        <v>1</v>
      </c>
      <c r="G102" s="2239">
        <v>1.7155062000000001</v>
      </c>
      <c r="H102" s="1416"/>
      <c r="I102" s="954">
        <f>206*Unit.MW*95%*Conversion.to.annual.energy</f>
        <v>1.7155062000000001</v>
      </c>
      <c r="J102" s="1377"/>
      <c r="K102" s="1377"/>
      <c r="L102" s="1377"/>
      <c r="M102" s="1377"/>
      <c r="N102" s="1377"/>
      <c r="O102" s="1377"/>
      <c r="P102" s="1377"/>
    </row>
    <row r="103" spans="1:17" ht="17.100000000000001" customHeight="1" x14ac:dyDescent="0.2">
      <c r="B103" s="1143"/>
      <c r="C103" s="1096" t="s">
        <v>1161</v>
      </c>
      <c r="D103" s="200" t="str">
        <f>INDEX(Vectors[Description], MATCH($C103, Vectors[Code], 0))</f>
        <v>Energy crops (first generation)</v>
      </c>
      <c r="E103" s="200" t="s">
        <v>10</v>
      </c>
      <c r="F103" s="955">
        <v>1</v>
      </c>
      <c r="G103" s="2242"/>
      <c r="H103" s="524"/>
      <c r="I103" s="955"/>
      <c r="J103" s="1377"/>
      <c r="K103" s="1377"/>
      <c r="L103" s="1377"/>
      <c r="M103" s="1377"/>
      <c r="N103" s="1377"/>
      <c r="O103" s="1377"/>
      <c r="P103" s="1377"/>
    </row>
    <row r="104" spans="1:17" ht="17.100000000000001" customHeight="1" x14ac:dyDescent="0.2">
      <c r="B104" s="1143"/>
      <c r="C104" s="1881" t="s">
        <v>1164</v>
      </c>
      <c r="D104" s="1102" t="str">
        <f>INDEX(Vectors[Description], MATCH($C104, Vectors[Code], 0))</f>
        <v>Gaseous waste</v>
      </c>
      <c r="E104" s="1102" t="s">
        <v>669</v>
      </c>
      <c r="F104" s="2235">
        <v>1</v>
      </c>
      <c r="G104" s="2243"/>
      <c r="H104" s="1146"/>
      <c r="I104" s="2235"/>
      <c r="J104" s="1872"/>
      <c r="K104" s="1872"/>
      <c r="L104" s="1872"/>
      <c r="M104" s="1377"/>
      <c r="N104" s="1377"/>
      <c r="O104" s="1377"/>
      <c r="P104" s="1377"/>
    </row>
    <row r="105" spans="1:17" ht="17.100000000000001" customHeight="1" x14ac:dyDescent="0.2">
      <c r="B105" s="1143"/>
      <c r="C105" s="237" t="s">
        <v>1164</v>
      </c>
      <c r="D105" s="1415" t="str">
        <f>INDEX(Vectors[Description], MATCH($C105, Vectors[Code], 0))</f>
        <v>Gaseous waste</v>
      </c>
      <c r="E105" s="1415" t="s">
        <v>122</v>
      </c>
      <c r="F105" s="954">
        <v>1</v>
      </c>
      <c r="G105" s="2244"/>
      <c r="H105" s="1143"/>
      <c r="I105" s="954"/>
      <c r="J105" s="1872"/>
      <c r="K105" s="1872"/>
      <c r="L105" s="1872"/>
      <c r="M105" s="1377"/>
      <c r="N105" s="1377"/>
      <c r="O105" s="1377"/>
      <c r="P105" s="1377"/>
    </row>
    <row r="106" spans="1:17" ht="17.100000000000001" customHeight="1" x14ac:dyDescent="0.2">
      <c r="B106" s="1153"/>
      <c r="C106" s="1096" t="s">
        <v>1164</v>
      </c>
      <c r="D106" s="200" t="str">
        <f>INDEX(Vectors[Description], MATCH($C106, Vectors[Code], 0))</f>
        <v>Gaseous waste</v>
      </c>
      <c r="E106" s="200" t="s">
        <v>10</v>
      </c>
      <c r="F106" s="955">
        <v>1</v>
      </c>
      <c r="G106" s="2242">
        <v>2.4720120000000002E-2</v>
      </c>
      <c r="H106" s="2236"/>
      <c r="I106" s="955">
        <f>3*Unit.MW*94%*Conversion.to.annual.energy</f>
        <v>2.4720120000000002E-2</v>
      </c>
      <c r="J106" s="1872"/>
      <c r="K106" s="1872"/>
      <c r="L106" s="1872"/>
      <c r="M106" s="1377"/>
      <c r="N106" s="1377"/>
      <c r="O106" s="1377"/>
      <c r="P106" s="1377"/>
    </row>
    <row r="107" spans="1:17" ht="17.100000000000001" customHeight="1" x14ac:dyDescent="0.2">
      <c r="B107" s="1158"/>
      <c r="C107" s="1158"/>
      <c r="D107" s="1158"/>
      <c r="E107" s="1158"/>
      <c r="F107" s="1143"/>
      <c r="G107" s="1143"/>
      <c r="H107" s="1143"/>
      <c r="I107" s="1872"/>
      <c r="J107" s="1872"/>
      <c r="K107" s="1872"/>
      <c r="L107" s="1872"/>
      <c r="M107" s="1377"/>
      <c r="N107" s="1377"/>
      <c r="O107" s="1377"/>
      <c r="P107" s="1377"/>
    </row>
    <row r="108" spans="1:17" ht="17.100000000000001" customHeight="1" x14ac:dyDescent="0.2">
      <c r="A108" s="1862"/>
      <c r="B108" s="1869"/>
      <c r="C108" s="1875" t="s">
        <v>1770</v>
      </c>
      <c r="D108" s="1876">
        <v>30</v>
      </c>
      <c r="E108" s="1878" t="s">
        <v>1771</v>
      </c>
      <c r="F108" s="1876"/>
      <c r="G108" s="1876"/>
      <c r="H108" s="1876"/>
      <c r="I108" s="1877">
        <f>1/D108</f>
        <v>3.3333333333333333E-2</v>
      </c>
      <c r="J108" s="1878" t="s">
        <v>1772</v>
      </c>
      <c r="K108" s="1876"/>
      <c r="L108" s="1879"/>
      <c r="M108" s="1377"/>
      <c r="N108" s="1377"/>
      <c r="O108" s="1377"/>
      <c r="P108" s="1377"/>
    </row>
    <row r="109" spans="1:17" ht="17.100000000000001" customHeight="1" x14ac:dyDescent="0.2">
      <c r="B109" s="1158"/>
      <c r="C109" s="1158"/>
      <c r="D109" s="1158"/>
      <c r="E109" s="1158"/>
      <c r="F109" s="1143"/>
      <c r="G109" s="1143"/>
      <c r="H109" s="1143"/>
      <c r="I109" s="1872"/>
      <c r="J109" s="1872"/>
      <c r="K109" s="1872"/>
      <c r="L109" s="1872"/>
      <c r="M109" s="1377"/>
      <c r="N109" s="1377"/>
      <c r="O109" s="1377"/>
      <c r="P109" s="1377"/>
    </row>
    <row r="110" spans="1:17" ht="17.100000000000001" customHeight="1" x14ac:dyDescent="0.2">
      <c r="A110" s="2132"/>
      <c r="B110" s="1873"/>
      <c r="C110" s="1873"/>
      <c r="D110" s="1873"/>
      <c r="E110" s="1873"/>
      <c r="F110" s="1873"/>
      <c r="G110" s="1873"/>
      <c r="H110" s="2231"/>
      <c r="I110" s="2231"/>
      <c r="J110" s="2231"/>
      <c r="K110" s="2231"/>
      <c r="L110" s="2231"/>
      <c r="M110" s="2132"/>
      <c r="N110" s="2132"/>
      <c r="O110" s="2132"/>
      <c r="P110" s="2132"/>
      <c r="Q110" s="2132"/>
    </row>
    <row r="111" spans="1:17" ht="17.100000000000001" customHeight="1" x14ac:dyDescent="0.2">
      <c r="A111" s="588"/>
      <c r="B111" s="2019" t="s">
        <v>1417</v>
      </c>
      <c r="C111" s="2017"/>
      <c r="D111" s="2017"/>
      <c r="E111" s="2017"/>
      <c r="F111" s="2017"/>
      <c r="G111" s="2017"/>
      <c r="H111" s="2017"/>
      <c r="I111" s="2017"/>
      <c r="J111" s="2017"/>
      <c r="K111" s="2017"/>
      <c r="L111" s="2017"/>
      <c r="M111" s="2017"/>
      <c r="N111" s="2017"/>
      <c r="O111" s="2017"/>
      <c r="P111" s="1934"/>
    </row>
    <row r="112" spans="1:17" s="1958" customFormat="1" ht="17.100000000000001" customHeight="1" x14ac:dyDescent="0.2">
      <c r="A112" s="588"/>
      <c r="B112" s="1966"/>
      <c r="C112" s="1415"/>
      <c r="D112" s="1415"/>
      <c r="E112" s="1415"/>
      <c r="F112" s="1415"/>
      <c r="G112" s="1415"/>
      <c r="H112" s="1415"/>
      <c r="I112" s="1415"/>
      <c r="J112" s="1415"/>
      <c r="K112" s="1415"/>
      <c r="L112" s="1415"/>
      <c r="M112" s="1415"/>
      <c r="N112" s="1415"/>
      <c r="O112" s="1415"/>
      <c r="P112" s="1377"/>
    </row>
    <row r="113" spans="1:16" s="1958" customFormat="1" ht="17.100000000000001" customHeight="1" x14ac:dyDescent="0.2">
      <c r="A113" s="588"/>
      <c r="B113" s="1966"/>
      <c r="C113" s="1967" t="s">
        <v>1418</v>
      </c>
      <c r="D113" s="1415"/>
      <c r="E113" s="1415"/>
      <c r="F113" s="1415"/>
      <c r="G113" s="1415"/>
      <c r="H113" s="1415"/>
      <c r="I113" s="1415"/>
      <c r="J113" s="1415"/>
      <c r="K113" s="1415"/>
      <c r="L113" s="1415"/>
      <c r="M113" s="1415"/>
      <c r="N113" s="1415"/>
      <c r="O113" s="1415"/>
      <c r="P113" s="1377"/>
    </row>
    <row r="114" spans="1:16" s="1863" customFormat="1" ht="17.100000000000001" customHeight="1" x14ac:dyDescent="0.2">
      <c r="A114" s="588"/>
      <c r="B114" s="465"/>
      <c r="C114" s="465"/>
      <c r="D114" s="465"/>
      <c r="E114" s="465"/>
      <c r="F114" s="465"/>
      <c r="G114" s="465"/>
      <c r="H114" s="465"/>
      <c r="I114" s="465"/>
      <c r="J114" s="465"/>
      <c r="K114" s="465"/>
      <c r="L114" s="1416"/>
      <c r="M114" s="1416"/>
      <c r="N114" s="1416"/>
      <c r="O114" s="1416"/>
      <c r="P114" s="1377"/>
    </row>
    <row r="115" spans="1:16" ht="17.100000000000001" customHeight="1" x14ac:dyDescent="0.2">
      <c r="B115" s="477"/>
      <c r="C115" s="1417" t="str">
        <f>"High estimate capital cost of a typical plant"</f>
        <v>High estimate capital cost of a typical plant</v>
      </c>
      <c r="D115" s="177"/>
      <c r="E115" s="1416"/>
      <c r="F115" s="1455"/>
      <c r="G115" s="1254"/>
      <c r="H115" s="2749"/>
      <c r="I115" s="2749"/>
      <c r="J115" s="1417"/>
      <c r="K115" s="1416"/>
      <c r="L115" s="1416"/>
      <c r="M115" s="1416"/>
      <c r="N115" s="1416"/>
      <c r="O115" s="1417" t="str">
        <f>Preferences.moneyunits &amp;"/"&amp;" plant"</f>
        <v>N/ plant</v>
      </c>
      <c r="P115" s="1416"/>
    </row>
    <row r="116" spans="1:16" ht="17.100000000000001" customHeight="1" x14ac:dyDescent="0.2">
      <c r="B116" s="477"/>
      <c r="C116" s="1416"/>
      <c r="D116" s="177"/>
      <c r="E116" s="1416"/>
      <c r="F116" s="1416"/>
      <c r="G116" s="1416"/>
      <c r="H116" s="1416"/>
      <c r="I116" s="1416"/>
      <c r="J116" s="1416"/>
      <c r="K116" s="1416"/>
      <c r="L116" s="1416"/>
      <c r="M116" s="1416"/>
      <c r="N116" s="1416"/>
      <c r="O116" s="1416"/>
      <c r="P116" s="1416"/>
    </row>
    <row r="117" spans="1:16" ht="17.100000000000001" customHeight="1" x14ac:dyDescent="0.25">
      <c r="B117" s="475"/>
      <c r="C117" s="180" t="s">
        <v>673</v>
      </c>
      <c r="D117" s="180" t="s">
        <v>873</v>
      </c>
      <c r="E117" s="180" t="s">
        <v>874</v>
      </c>
      <c r="F117" s="1567" t="s">
        <v>1321</v>
      </c>
      <c r="G117" s="1845">
        <v>2010</v>
      </c>
      <c r="H117" s="1845">
        <v>2015</v>
      </c>
      <c r="I117" s="1845">
        <v>2020</v>
      </c>
      <c r="J117" s="1845">
        <v>2025</v>
      </c>
      <c r="K117" s="1845">
        <v>2030</v>
      </c>
      <c r="L117" s="1845">
        <v>2035</v>
      </c>
      <c r="M117" s="1845">
        <v>2040</v>
      </c>
      <c r="N117" s="1845">
        <v>2045</v>
      </c>
      <c r="O117" s="1546">
        <v>2050</v>
      </c>
      <c r="P117" s="1377"/>
    </row>
    <row r="118" spans="1:16" ht="17.100000000000001" customHeight="1" x14ac:dyDescent="0.25">
      <c r="B118" s="475"/>
      <c r="C118" s="1881" t="s">
        <v>296</v>
      </c>
      <c r="D118" s="1102" t="str">
        <f>INDEX(Vectors[Description], MATCH($C118, Vectors[Code], 0))</f>
        <v>Dry biomass and waste</v>
      </c>
      <c r="E118" s="1102" t="s">
        <v>669</v>
      </c>
      <c r="F118" s="1847">
        <f t="shared" ref="F118:F132" si="0">(O118-G118)/(O$117-G$117)</f>
        <v>0</v>
      </c>
      <c r="G118" s="1924">
        <v>0</v>
      </c>
      <c r="H118" s="1923">
        <f>($F118*(H$117-G$117))+G118</f>
        <v>0</v>
      </c>
      <c r="I118" s="1923">
        <f t="shared" ref="I118:N118" si="1">($F118*(I$117-H$117))+H118</f>
        <v>0</v>
      </c>
      <c r="J118" s="1923">
        <f t="shared" si="1"/>
        <v>0</v>
      </c>
      <c r="K118" s="1923">
        <f t="shared" si="1"/>
        <v>0</v>
      </c>
      <c r="L118" s="1923">
        <f t="shared" si="1"/>
        <v>0</v>
      </c>
      <c r="M118" s="1923">
        <f t="shared" si="1"/>
        <v>0</v>
      </c>
      <c r="N118" s="1923">
        <f t="shared" si="1"/>
        <v>0</v>
      </c>
      <c r="O118" s="1924">
        <v>0</v>
      </c>
      <c r="P118" s="1377"/>
    </row>
    <row r="119" spans="1:16" ht="17.100000000000001" customHeight="1" x14ac:dyDescent="0.25">
      <c r="B119" s="475"/>
      <c r="C119" s="237" t="s">
        <v>296</v>
      </c>
      <c r="D119" s="1415" t="str">
        <f>INDEX(Vectors[Description], MATCH($C119, Vectors[Code], 0))</f>
        <v>Dry biomass and waste</v>
      </c>
      <c r="E119" s="1415" t="s">
        <v>122</v>
      </c>
      <c r="F119" s="188">
        <f t="shared" si="0"/>
        <v>0</v>
      </c>
      <c r="G119" s="1922">
        <f>((250*263*NAIRA2010_/Unit.MWh)*plantsize.V.a.Dry_bio_and_waste_to_liquid)</f>
        <v>65750000000</v>
      </c>
      <c r="H119" s="1921">
        <f t="shared" ref="H119:N119" si="2">($F119*(H$117-G$117))+G119</f>
        <v>65750000000</v>
      </c>
      <c r="I119" s="1921">
        <f t="shared" si="2"/>
        <v>65750000000</v>
      </c>
      <c r="J119" s="1921">
        <f t="shared" si="2"/>
        <v>65750000000</v>
      </c>
      <c r="K119" s="1921">
        <f t="shared" si="2"/>
        <v>65750000000</v>
      </c>
      <c r="L119" s="1921">
        <f t="shared" si="2"/>
        <v>65750000000</v>
      </c>
      <c r="M119" s="1921">
        <f t="shared" si="2"/>
        <v>65750000000</v>
      </c>
      <c r="N119" s="1921">
        <f t="shared" si="2"/>
        <v>65750000000</v>
      </c>
      <c r="O119" s="1922">
        <f>((250*263*NAIRA2010_/Unit.MWh)*plantsize.V.a.Dry_bio_and_waste_to_liquid)</f>
        <v>65750000000</v>
      </c>
      <c r="P119" s="1377"/>
    </row>
    <row r="120" spans="1:16" ht="17.100000000000001" customHeight="1" x14ac:dyDescent="0.25">
      <c r="B120" s="475"/>
      <c r="C120" s="1096" t="s">
        <v>296</v>
      </c>
      <c r="D120" s="200" t="str">
        <f>INDEX(Vectors[Description], MATCH($C120, Vectors[Code], 0))</f>
        <v>Dry biomass and waste</v>
      </c>
      <c r="E120" s="200" t="s">
        <v>10</v>
      </c>
      <c r="F120" s="191">
        <f t="shared" si="0"/>
        <v>0</v>
      </c>
      <c r="G120" s="1933">
        <f>((250*253*NAIRA2010_/Unit.MWh)*plantsize.V.a.Dry_bio_and_waste_to_gas)</f>
        <v>63250000000</v>
      </c>
      <c r="H120" s="1925">
        <f t="shared" ref="H120:N120" si="3">($F120*(H$117-G$117))+G120</f>
        <v>63250000000</v>
      </c>
      <c r="I120" s="1925">
        <f t="shared" si="3"/>
        <v>63250000000</v>
      </c>
      <c r="J120" s="1925">
        <f t="shared" si="3"/>
        <v>63250000000</v>
      </c>
      <c r="K120" s="1925">
        <f t="shared" si="3"/>
        <v>63250000000</v>
      </c>
      <c r="L120" s="1925">
        <f t="shared" si="3"/>
        <v>63250000000</v>
      </c>
      <c r="M120" s="1925">
        <f t="shared" si="3"/>
        <v>63250000000</v>
      </c>
      <c r="N120" s="1925">
        <f t="shared" si="3"/>
        <v>63250000000</v>
      </c>
      <c r="O120" s="1933">
        <f>((250*253*NAIRA2010_/Unit.MWh)*plantsize.V.a.Dry_bio_and_waste_to_gas)</f>
        <v>63250000000</v>
      </c>
      <c r="P120" s="1377"/>
    </row>
    <row r="121" spans="1:16" ht="17.100000000000001" customHeight="1" x14ac:dyDescent="0.25">
      <c r="B121" s="475"/>
      <c r="C121" s="1881" t="s">
        <v>383</v>
      </c>
      <c r="D121" s="1102" t="str">
        <f>INDEX(Vectors[Description], MATCH($C121, Vectors[Code], 0))</f>
        <v>Wet biomass and waste</v>
      </c>
      <c r="E121" s="1102" t="s">
        <v>669</v>
      </c>
      <c r="F121" s="1847">
        <f t="shared" si="0"/>
        <v>0</v>
      </c>
      <c r="G121" s="2232">
        <v>0</v>
      </c>
      <c r="H121" s="1923">
        <f t="shared" ref="H121:N121" si="4">($F121*(H$117-G$117))+G121</f>
        <v>0</v>
      </c>
      <c r="I121" s="1923">
        <f t="shared" si="4"/>
        <v>0</v>
      </c>
      <c r="J121" s="1923">
        <f t="shared" si="4"/>
        <v>0</v>
      </c>
      <c r="K121" s="1923">
        <f t="shared" si="4"/>
        <v>0</v>
      </c>
      <c r="L121" s="1923">
        <f t="shared" si="4"/>
        <v>0</v>
      </c>
      <c r="M121" s="1923">
        <f t="shared" si="4"/>
        <v>0</v>
      </c>
      <c r="N121" s="1923">
        <f t="shared" si="4"/>
        <v>0</v>
      </c>
      <c r="O121" s="2232">
        <v>0</v>
      </c>
      <c r="P121" s="1377"/>
    </row>
    <row r="122" spans="1:16" ht="17.100000000000001" customHeight="1" x14ac:dyDescent="0.25">
      <c r="B122" s="475"/>
      <c r="C122" s="237" t="s">
        <v>383</v>
      </c>
      <c r="D122" s="1415" t="str">
        <f>INDEX(Vectors[Description], MATCH($C122, Vectors[Code], 0))</f>
        <v>Wet biomass and waste</v>
      </c>
      <c r="E122" s="1415" t="s">
        <v>122</v>
      </c>
      <c r="F122" s="188">
        <f t="shared" si="0"/>
        <v>0</v>
      </c>
      <c r="G122" s="1922">
        <f>G119</f>
        <v>65750000000</v>
      </c>
      <c r="H122" s="1921">
        <f t="shared" ref="H122:N122" si="5">($F122*(H$117-G$117))+G122</f>
        <v>65750000000</v>
      </c>
      <c r="I122" s="1921">
        <f t="shared" si="5"/>
        <v>65750000000</v>
      </c>
      <c r="J122" s="1921">
        <f t="shared" si="5"/>
        <v>65750000000</v>
      </c>
      <c r="K122" s="1921">
        <f t="shared" si="5"/>
        <v>65750000000</v>
      </c>
      <c r="L122" s="1921">
        <f t="shared" si="5"/>
        <v>65750000000</v>
      </c>
      <c r="M122" s="1921">
        <f t="shared" si="5"/>
        <v>65750000000</v>
      </c>
      <c r="N122" s="1921">
        <f t="shared" si="5"/>
        <v>65750000000</v>
      </c>
      <c r="O122" s="1922">
        <f>O119</f>
        <v>65750000000</v>
      </c>
      <c r="P122" s="1377"/>
    </row>
    <row r="123" spans="1:16" ht="17.100000000000001" customHeight="1" x14ac:dyDescent="0.25">
      <c r="B123" s="475"/>
      <c r="C123" s="1096" t="s">
        <v>383</v>
      </c>
      <c r="D123" s="200" t="str">
        <f>INDEX(Vectors[Description], MATCH($C123, Vectors[Code], 0))</f>
        <v>Wet biomass and waste</v>
      </c>
      <c r="E123" s="200" t="s">
        <v>10</v>
      </c>
      <c r="F123" s="191">
        <f t="shared" si="0"/>
        <v>0</v>
      </c>
      <c r="G123" s="1933">
        <f>((250*1154*NAIRA2010_/Unit.MWh)*plantsize.V.a.Wet_bio_and_waste_to_gas)</f>
        <v>288500000000</v>
      </c>
      <c r="H123" s="1925">
        <f t="shared" ref="H123:N123" si="6">($F123*(H$117-G$117))+G123</f>
        <v>288500000000</v>
      </c>
      <c r="I123" s="1925">
        <f t="shared" si="6"/>
        <v>288500000000</v>
      </c>
      <c r="J123" s="1925">
        <f t="shared" si="6"/>
        <v>288500000000</v>
      </c>
      <c r="K123" s="1925">
        <f t="shared" si="6"/>
        <v>288500000000</v>
      </c>
      <c r="L123" s="1925">
        <f t="shared" si="6"/>
        <v>288500000000</v>
      </c>
      <c r="M123" s="1925">
        <f t="shared" si="6"/>
        <v>288500000000</v>
      </c>
      <c r="N123" s="1925">
        <f t="shared" si="6"/>
        <v>288500000000</v>
      </c>
      <c r="O123" s="1933">
        <f>((250*1154*NAIRA2010_/Unit.MWh)*plantsize.V.a.Wet_bio_and_waste_to_gas)</f>
        <v>288500000000</v>
      </c>
      <c r="P123" s="1377"/>
    </row>
    <row r="124" spans="1:16" ht="17.100000000000001" customHeight="1" x14ac:dyDescent="0.25">
      <c r="B124" s="475"/>
      <c r="C124" s="1881" t="s">
        <v>871</v>
      </c>
      <c r="D124" s="1102" t="str">
        <f>INDEX(Vectors[Description], MATCH($C124, Vectors[Code], 0))</f>
        <v>Energy crops (second generation)</v>
      </c>
      <c r="E124" s="1102" t="s">
        <v>669</v>
      </c>
      <c r="F124" s="1847">
        <f t="shared" si="0"/>
        <v>0</v>
      </c>
      <c r="G124" s="1924">
        <f t="shared" ref="G124:G126" si="7">G118</f>
        <v>0</v>
      </c>
      <c r="H124" s="1923">
        <f t="shared" ref="H124:N124" si="8">($F124*(H$117-G$117))+G124</f>
        <v>0</v>
      </c>
      <c r="I124" s="1923">
        <f t="shared" si="8"/>
        <v>0</v>
      </c>
      <c r="J124" s="1923">
        <f t="shared" si="8"/>
        <v>0</v>
      </c>
      <c r="K124" s="1923">
        <f t="shared" si="8"/>
        <v>0</v>
      </c>
      <c r="L124" s="1923">
        <f t="shared" si="8"/>
        <v>0</v>
      </c>
      <c r="M124" s="1923">
        <f t="shared" si="8"/>
        <v>0</v>
      </c>
      <c r="N124" s="1923">
        <f t="shared" si="8"/>
        <v>0</v>
      </c>
      <c r="O124" s="1924">
        <f>O118</f>
        <v>0</v>
      </c>
      <c r="P124" s="1377"/>
    </row>
    <row r="125" spans="1:16" ht="17.100000000000001" customHeight="1" x14ac:dyDescent="0.25">
      <c r="B125" s="475"/>
      <c r="C125" s="237" t="s">
        <v>871</v>
      </c>
      <c r="D125" s="1415" t="str">
        <f>INDEX(Vectors[Description], MATCH($C125, Vectors[Code], 0))</f>
        <v>Energy crops (second generation)</v>
      </c>
      <c r="E125" s="1415" t="s">
        <v>122</v>
      </c>
      <c r="F125" s="188">
        <f t="shared" si="0"/>
        <v>0</v>
      </c>
      <c r="G125" s="1922">
        <f t="shared" si="7"/>
        <v>65750000000</v>
      </c>
      <c r="H125" s="1921">
        <f t="shared" ref="H125:N125" si="9">($F125*(H$117-G$117))+G125</f>
        <v>65750000000</v>
      </c>
      <c r="I125" s="1921">
        <f t="shared" si="9"/>
        <v>65750000000</v>
      </c>
      <c r="J125" s="1921">
        <f t="shared" si="9"/>
        <v>65750000000</v>
      </c>
      <c r="K125" s="1921">
        <f t="shared" si="9"/>
        <v>65750000000</v>
      </c>
      <c r="L125" s="1921">
        <f t="shared" si="9"/>
        <v>65750000000</v>
      </c>
      <c r="M125" s="1921">
        <f t="shared" si="9"/>
        <v>65750000000</v>
      </c>
      <c r="N125" s="1921">
        <f t="shared" si="9"/>
        <v>65750000000</v>
      </c>
      <c r="O125" s="1922">
        <f>O119</f>
        <v>65750000000</v>
      </c>
      <c r="P125" s="1377"/>
    </row>
    <row r="126" spans="1:16" ht="17.100000000000001" customHeight="1" x14ac:dyDescent="0.25">
      <c r="B126" s="475"/>
      <c r="C126" s="1096" t="s">
        <v>871</v>
      </c>
      <c r="D126" s="200" t="str">
        <f>INDEX(Vectors[Description], MATCH($C126, Vectors[Code], 0))</f>
        <v>Energy crops (second generation)</v>
      </c>
      <c r="E126" s="200" t="s">
        <v>10</v>
      </c>
      <c r="F126" s="191">
        <f t="shared" si="0"/>
        <v>0</v>
      </c>
      <c r="G126" s="1933">
        <f t="shared" si="7"/>
        <v>63250000000</v>
      </c>
      <c r="H126" s="1925">
        <f t="shared" ref="H126:N126" si="10">($F126*(H$117-G$117))+G126</f>
        <v>63250000000</v>
      </c>
      <c r="I126" s="1925">
        <f t="shared" si="10"/>
        <v>63250000000</v>
      </c>
      <c r="J126" s="1925">
        <f t="shared" si="10"/>
        <v>63250000000</v>
      </c>
      <c r="K126" s="1925">
        <f t="shared" si="10"/>
        <v>63250000000</v>
      </c>
      <c r="L126" s="1925">
        <f t="shared" si="10"/>
        <v>63250000000</v>
      </c>
      <c r="M126" s="1925">
        <f t="shared" si="10"/>
        <v>63250000000</v>
      </c>
      <c r="N126" s="1925">
        <f t="shared" si="10"/>
        <v>63250000000</v>
      </c>
      <c r="O126" s="1933">
        <f>O120</f>
        <v>63250000000</v>
      </c>
      <c r="P126" s="1377"/>
    </row>
    <row r="127" spans="1:16" ht="17.100000000000001" customHeight="1" x14ac:dyDescent="0.25">
      <c r="B127" s="475"/>
      <c r="C127" s="1881" t="s">
        <v>1161</v>
      </c>
      <c r="D127" s="1102" t="str">
        <f>INDEX(Vectors[Description], MATCH($C127, Vectors[Code], 0))</f>
        <v>Energy crops (first generation)</v>
      </c>
      <c r="E127" s="1102" t="s">
        <v>669</v>
      </c>
      <c r="F127" s="1847">
        <f t="shared" si="0"/>
        <v>0</v>
      </c>
      <c r="G127" s="2232"/>
      <c r="H127" s="1923">
        <f t="shared" ref="H127:N127" si="11">($F127*(H$117-G$117))+G127</f>
        <v>0</v>
      </c>
      <c r="I127" s="1923">
        <f t="shared" si="11"/>
        <v>0</v>
      </c>
      <c r="J127" s="1923">
        <f t="shared" si="11"/>
        <v>0</v>
      </c>
      <c r="K127" s="1923">
        <f t="shared" si="11"/>
        <v>0</v>
      </c>
      <c r="L127" s="1923">
        <f t="shared" si="11"/>
        <v>0</v>
      </c>
      <c r="M127" s="1923">
        <f t="shared" si="11"/>
        <v>0</v>
      </c>
      <c r="N127" s="1923">
        <f t="shared" si="11"/>
        <v>0</v>
      </c>
      <c r="O127" s="2232"/>
      <c r="P127" s="1377"/>
    </row>
    <row r="128" spans="1:16" ht="17.100000000000001" customHeight="1" x14ac:dyDescent="0.25">
      <c r="B128" s="475"/>
      <c r="C128" s="237" t="s">
        <v>1161</v>
      </c>
      <c r="D128" s="1415" t="str">
        <f>INDEX(Vectors[Description], MATCH($C128, Vectors[Code], 0))</f>
        <v>Energy crops (first generation)</v>
      </c>
      <c r="E128" s="1415" t="s">
        <v>122</v>
      </c>
      <c r="F128" s="188">
        <f t="shared" si="0"/>
        <v>0</v>
      </c>
      <c r="G128" s="1922">
        <f>((250*119*NAIRA2010_/Unit.MWh)*$F102)</f>
        <v>29750000000</v>
      </c>
      <c r="H128" s="1921">
        <f t="shared" ref="H128:N128" si="12">($F128*(H$117-G$117))+G128</f>
        <v>29750000000</v>
      </c>
      <c r="I128" s="1921">
        <f t="shared" si="12"/>
        <v>29750000000</v>
      </c>
      <c r="J128" s="1921">
        <f t="shared" si="12"/>
        <v>29750000000</v>
      </c>
      <c r="K128" s="1921">
        <f t="shared" si="12"/>
        <v>29750000000</v>
      </c>
      <c r="L128" s="1921">
        <f t="shared" si="12"/>
        <v>29750000000</v>
      </c>
      <c r="M128" s="1921">
        <f t="shared" si="12"/>
        <v>29750000000</v>
      </c>
      <c r="N128" s="1921">
        <f t="shared" si="12"/>
        <v>29750000000</v>
      </c>
      <c r="O128" s="1922">
        <f>((250*119*NAIRA2010_/Unit.MWh)*$F102)</f>
        <v>29750000000</v>
      </c>
      <c r="P128" s="1377"/>
    </row>
    <row r="129" spans="2:17" ht="17.100000000000001" customHeight="1" x14ac:dyDescent="0.25">
      <c r="B129" s="475"/>
      <c r="C129" s="1096" t="s">
        <v>1161</v>
      </c>
      <c r="D129" s="200" t="str">
        <f>INDEX(Vectors[Description], MATCH($C129, Vectors[Code], 0))</f>
        <v>Energy crops (first generation)</v>
      </c>
      <c r="E129" s="200" t="s">
        <v>10</v>
      </c>
      <c r="F129" s="191">
        <f t="shared" si="0"/>
        <v>0</v>
      </c>
      <c r="G129" s="1933"/>
      <c r="H129" s="1925">
        <f t="shared" ref="H129:N129" si="13">($F129*(H$117-G$117))+G129</f>
        <v>0</v>
      </c>
      <c r="I129" s="1925">
        <f t="shared" si="13"/>
        <v>0</v>
      </c>
      <c r="J129" s="1925">
        <f t="shared" si="13"/>
        <v>0</v>
      </c>
      <c r="K129" s="1925">
        <f t="shared" si="13"/>
        <v>0</v>
      </c>
      <c r="L129" s="1925">
        <f t="shared" si="13"/>
        <v>0</v>
      </c>
      <c r="M129" s="1925">
        <f t="shared" si="13"/>
        <v>0</v>
      </c>
      <c r="N129" s="1925">
        <f t="shared" si="13"/>
        <v>0</v>
      </c>
      <c r="O129" s="1933"/>
      <c r="P129" s="1377"/>
    </row>
    <row r="130" spans="2:17" ht="17.100000000000001" customHeight="1" x14ac:dyDescent="0.25">
      <c r="B130" s="475"/>
      <c r="C130" s="1881" t="s">
        <v>1164</v>
      </c>
      <c r="D130" s="1102" t="str">
        <f>INDEX(Vectors[Description], MATCH($C130, Vectors[Code], 0))</f>
        <v>Gaseous waste</v>
      </c>
      <c r="E130" s="1102" t="s">
        <v>669</v>
      </c>
      <c r="F130" s="1847">
        <f t="shared" si="0"/>
        <v>0</v>
      </c>
      <c r="G130" s="1924"/>
      <c r="H130" s="1923">
        <f t="shared" ref="H130:N130" si="14">($F130*(H$117-G$117))+G130</f>
        <v>0</v>
      </c>
      <c r="I130" s="1923">
        <f t="shared" si="14"/>
        <v>0</v>
      </c>
      <c r="J130" s="1923">
        <f t="shared" si="14"/>
        <v>0</v>
      </c>
      <c r="K130" s="1923">
        <f>($F130*(K$117-J$117))+J130</f>
        <v>0</v>
      </c>
      <c r="L130" s="1923">
        <f t="shared" si="14"/>
        <v>0</v>
      </c>
      <c r="M130" s="1923">
        <f t="shared" si="14"/>
        <v>0</v>
      </c>
      <c r="N130" s="1923">
        <f t="shared" si="14"/>
        <v>0</v>
      </c>
      <c r="O130" s="1924"/>
      <c r="P130" s="1377"/>
    </row>
    <row r="131" spans="2:17" s="1863" customFormat="1" ht="17.100000000000001" customHeight="1" x14ac:dyDescent="0.25">
      <c r="B131" s="475"/>
      <c r="C131" s="237" t="s">
        <v>1164</v>
      </c>
      <c r="D131" s="1415" t="str">
        <f>INDEX(Vectors[Description], MATCH($C131, Vectors[Code], 0))</f>
        <v>Gaseous waste</v>
      </c>
      <c r="E131" s="1415" t="s">
        <v>122</v>
      </c>
      <c r="F131" s="188">
        <f t="shared" si="0"/>
        <v>0</v>
      </c>
      <c r="G131" s="1922"/>
      <c r="H131" s="1921">
        <f t="shared" ref="H131:N131" si="15">($F131*(H$117-G$117))+G131</f>
        <v>0</v>
      </c>
      <c r="I131" s="1921">
        <f t="shared" si="15"/>
        <v>0</v>
      </c>
      <c r="J131" s="1921">
        <f t="shared" si="15"/>
        <v>0</v>
      </c>
      <c r="K131" s="1921">
        <f t="shared" si="15"/>
        <v>0</v>
      </c>
      <c r="L131" s="1921">
        <f t="shared" si="15"/>
        <v>0</v>
      </c>
      <c r="M131" s="1921">
        <f t="shared" si="15"/>
        <v>0</v>
      </c>
      <c r="N131" s="1921">
        <f t="shared" si="15"/>
        <v>0</v>
      </c>
      <c r="O131" s="1922"/>
      <c r="P131" s="1377"/>
    </row>
    <row r="132" spans="2:17" s="1863" customFormat="1" ht="17.100000000000001" customHeight="1" x14ac:dyDescent="0.25">
      <c r="B132" s="475"/>
      <c r="C132" s="1096" t="s">
        <v>1164</v>
      </c>
      <c r="D132" s="200" t="str">
        <f>INDEX(Vectors[Description], MATCH($C132, Vectors[Code], 0))</f>
        <v>Gaseous waste</v>
      </c>
      <c r="E132" s="200" t="s">
        <v>10</v>
      </c>
      <c r="F132" s="191">
        <f t="shared" si="0"/>
        <v>175856250000</v>
      </c>
      <c r="G132" s="1933">
        <f>((250*113*NAIRA2010_/Unit.MWh)*$F106)</f>
        <v>28250000000</v>
      </c>
      <c r="H132" s="1925">
        <f t="shared" ref="H132:N132" si="16">($F132*(H$117-G$117))+G132</f>
        <v>907531250000</v>
      </c>
      <c r="I132" s="1925">
        <f t="shared" si="16"/>
        <v>1786812500000</v>
      </c>
      <c r="J132" s="1925">
        <f t="shared" si="16"/>
        <v>2666093750000</v>
      </c>
      <c r="K132" s="1925">
        <f t="shared" si="16"/>
        <v>3545375000000</v>
      </c>
      <c r="L132" s="1925">
        <f t="shared" si="16"/>
        <v>4424656250000</v>
      </c>
      <c r="M132" s="1925">
        <f t="shared" si="16"/>
        <v>5303937500000</v>
      </c>
      <c r="N132" s="1925">
        <f t="shared" si="16"/>
        <v>6183218750000</v>
      </c>
      <c r="O132" s="1933">
        <f>((250*113*GBP/Unit.MWh)*$F106)</f>
        <v>7062500000000</v>
      </c>
      <c r="P132" s="1377"/>
    </row>
    <row r="133" spans="2:17" s="1863" customFormat="1" ht="17.100000000000001" customHeight="1" x14ac:dyDescent="0.2">
      <c r="B133" s="1419"/>
      <c r="C133" s="1416"/>
      <c r="D133" s="1416"/>
      <c r="E133" s="1416"/>
      <c r="F133" s="1416"/>
      <c r="G133" s="1416"/>
      <c r="H133" s="1416"/>
      <c r="I133" s="1416"/>
      <c r="J133" s="1416"/>
      <c r="K133" s="1416"/>
      <c r="L133" s="1416"/>
      <c r="M133" s="1416"/>
      <c r="N133" s="1416"/>
      <c r="O133" s="1416"/>
      <c r="P133" s="1416"/>
      <c r="Q133" s="1416"/>
    </row>
    <row r="134" spans="2:17" s="1863" customFormat="1" ht="17.100000000000001" customHeight="1" x14ac:dyDescent="0.2">
      <c r="B134" s="1419"/>
      <c r="C134" s="1416"/>
      <c r="D134" s="176" t="s">
        <v>1770</v>
      </c>
      <c r="E134" s="1416">
        <v>30</v>
      </c>
      <c r="F134" s="1416" t="s">
        <v>1771</v>
      </c>
      <c r="G134" s="1416"/>
      <c r="H134" s="1416"/>
      <c r="I134" s="1416"/>
      <c r="J134" s="562">
        <f>1/E134</f>
        <v>3.3333333333333333E-2</v>
      </c>
      <c r="K134" s="1416" t="s">
        <v>1772</v>
      </c>
      <c r="L134" s="1416"/>
      <c r="M134" s="1416"/>
      <c r="N134" s="1416"/>
      <c r="O134" s="1416"/>
      <c r="P134" s="1416"/>
      <c r="Q134" s="1416"/>
    </row>
    <row r="135" spans="2:17" s="1863" customFormat="1" ht="17.100000000000001" customHeight="1" x14ac:dyDescent="0.2">
      <c r="B135" s="1419"/>
      <c r="C135" s="1417" t="str">
        <f>"Point estimate capital cost of a typical plant"</f>
        <v>Point estimate capital cost of a typical plant</v>
      </c>
      <c r="D135" s="177"/>
      <c r="E135" s="1416"/>
      <c r="F135" s="1864"/>
      <c r="G135" s="1864"/>
      <c r="H135" s="1864"/>
      <c r="I135" s="1864"/>
      <c r="J135" s="1864"/>
      <c r="K135" s="1417"/>
      <c r="L135" s="1416"/>
      <c r="M135" s="1416"/>
      <c r="N135" s="1416"/>
      <c r="O135" s="1417" t="str">
        <f>Preferences.moneyunits &amp;"/"&amp;" plant"</f>
        <v>N/ plant</v>
      </c>
      <c r="Q135" s="1416"/>
    </row>
    <row r="136" spans="2:17" s="1863" customFormat="1" ht="17.100000000000001" customHeight="1" x14ac:dyDescent="0.2">
      <c r="B136" s="1419"/>
      <c r="C136" s="1416"/>
      <c r="D136" s="177"/>
      <c r="E136" s="1416"/>
      <c r="F136" s="1416"/>
      <c r="G136" s="1416"/>
      <c r="H136" s="1416"/>
      <c r="I136" s="1416"/>
      <c r="J136" s="1416"/>
      <c r="K136" s="1416"/>
      <c r="L136" s="1416"/>
      <c r="M136" s="1416"/>
      <c r="N136" s="1416"/>
      <c r="O136" s="1416"/>
      <c r="P136" s="1416"/>
      <c r="Q136" s="1416"/>
    </row>
    <row r="137" spans="2:17" s="1863" customFormat="1" ht="17.100000000000001" customHeight="1" x14ac:dyDescent="0.2">
      <c r="B137" s="1419"/>
      <c r="C137" s="180" t="s">
        <v>673</v>
      </c>
      <c r="D137" s="180" t="s">
        <v>873</v>
      </c>
      <c r="E137" s="180" t="s">
        <v>874</v>
      </c>
      <c r="F137" s="1567" t="s">
        <v>1321</v>
      </c>
      <c r="G137" s="1845">
        <v>2010</v>
      </c>
      <c r="H137" s="1845">
        <v>2015</v>
      </c>
      <c r="I137" s="1845">
        <v>2020</v>
      </c>
      <c r="J137" s="1845">
        <v>2025</v>
      </c>
      <c r="K137" s="1843">
        <v>2030</v>
      </c>
      <c r="L137" s="1843">
        <v>2035</v>
      </c>
      <c r="M137" s="1843">
        <v>2040</v>
      </c>
      <c r="N137" s="1843">
        <v>2045</v>
      </c>
      <c r="O137" s="1843">
        <v>2050</v>
      </c>
      <c r="P137" s="1377"/>
    </row>
    <row r="138" spans="2:17" s="1863" customFormat="1" ht="17.100000000000001" customHeight="1" x14ac:dyDescent="0.2">
      <c r="B138" s="1419"/>
      <c r="C138" s="1881" t="s">
        <v>296</v>
      </c>
      <c r="D138" s="1102" t="str">
        <f>INDEX(Vectors[Description], MATCH($C138, Vectors[Code], 0))</f>
        <v>Dry biomass and waste</v>
      </c>
      <c r="E138" s="1102" t="s">
        <v>669</v>
      </c>
      <c r="F138" s="1847">
        <f t="shared" ref="F138:F152" si="17">(O138-G138)/(O$137-G$137)</f>
        <v>0</v>
      </c>
      <c r="G138" s="1924"/>
      <c r="H138" s="1923">
        <f t="shared" ref="H138:N138" si="18">($F138*(H$117-G$117))+G138</f>
        <v>0</v>
      </c>
      <c r="I138" s="1923">
        <f t="shared" si="18"/>
        <v>0</v>
      </c>
      <c r="J138" s="1923">
        <f t="shared" si="18"/>
        <v>0</v>
      </c>
      <c r="K138" s="1923">
        <f t="shared" si="18"/>
        <v>0</v>
      </c>
      <c r="L138" s="1923">
        <f t="shared" si="18"/>
        <v>0</v>
      </c>
      <c r="M138" s="1923">
        <f t="shared" si="18"/>
        <v>0</v>
      </c>
      <c r="N138" s="1923">
        <f t="shared" si="18"/>
        <v>0</v>
      </c>
      <c r="O138" s="1924"/>
      <c r="P138" s="1377"/>
    </row>
    <row r="139" spans="2:17" s="1863" customFormat="1" ht="17.100000000000001" customHeight="1" collapsed="1" x14ac:dyDescent="0.2">
      <c r="B139" s="477"/>
      <c r="C139" s="237" t="s">
        <v>296</v>
      </c>
      <c r="D139" s="1415" t="str">
        <f>INDEX(Vectors[Description], MATCH($C139, Vectors[Code], 0))</f>
        <v>Dry biomass and waste</v>
      </c>
      <c r="E139" s="1415" t="s">
        <v>122</v>
      </c>
      <c r="F139" s="188">
        <f t="shared" si="17"/>
        <v>0</v>
      </c>
      <c r="G139" s="1922">
        <f>((250*20.33*NAIRA2010_/Unit.GJ)*plantsize.V.a.Dry_bio_and_waste_to_liquid)</f>
        <v>18297000000</v>
      </c>
      <c r="H139" s="1922">
        <f t="shared" ref="H139:N139" si="19">((20.33*MGBP/Unit.PJ)*plantsize.V.a.Dry_bio_and_waste_to_liquid)*(Price2000)</f>
        <v>49193555582.852234</v>
      </c>
      <c r="I139" s="1922">
        <f t="shared" si="19"/>
        <v>49193555582.852234</v>
      </c>
      <c r="J139" s="1922">
        <f t="shared" si="19"/>
        <v>49193555582.852234</v>
      </c>
      <c r="K139" s="1922">
        <f t="shared" si="19"/>
        <v>49193555582.852234</v>
      </c>
      <c r="L139" s="1922">
        <f t="shared" si="19"/>
        <v>49193555582.852234</v>
      </c>
      <c r="M139" s="1922">
        <f t="shared" si="19"/>
        <v>49193555582.852234</v>
      </c>
      <c r="N139" s="1922">
        <f t="shared" si="19"/>
        <v>49193555582.852234</v>
      </c>
      <c r="O139" s="1922">
        <f>((250*20.33*NAIRA2010_/Unit.GJ)*plantsize.V.a.Dry_bio_and_waste_to_liquid)</f>
        <v>18297000000</v>
      </c>
      <c r="P139" s="1377"/>
    </row>
    <row r="140" spans="2:17" s="1863" customFormat="1" ht="17.100000000000001" customHeight="1" x14ac:dyDescent="0.2">
      <c r="B140" s="477"/>
      <c r="C140" s="1096" t="s">
        <v>296</v>
      </c>
      <c r="D140" s="200" t="str">
        <f>INDEX(Vectors[Description], MATCH($C140, Vectors[Code], 0))</f>
        <v>Dry biomass and waste</v>
      </c>
      <c r="E140" s="200" t="s">
        <v>10</v>
      </c>
      <c r="F140" s="191">
        <f t="shared" si="17"/>
        <v>0</v>
      </c>
      <c r="G140" s="1922">
        <f>((250*22.8*NAIRA2010_/Unit.GJ)*plantsize.V.a.Dry_bio_and_waste_to_liquid)</f>
        <v>20520000000</v>
      </c>
      <c r="H140" s="1922">
        <f t="shared" ref="H140:N140" si="20">((22.8*MGBP/Unit.PJ)*plantsize.V.a.Dry_bio_and_waste_to_liquid)*(Price2000)</f>
        <v>55170342709.740822</v>
      </c>
      <c r="I140" s="1922">
        <f t="shared" si="20"/>
        <v>55170342709.740822</v>
      </c>
      <c r="J140" s="1922">
        <f t="shared" si="20"/>
        <v>55170342709.740822</v>
      </c>
      <c r="K140" s="1922">
        <f t="shared" si="20"/>
        <v>55170342709.740822</v>
      </c>
      <c r="L140" s="1922">
        <f t="shared" si="20"/>
        <v>55170342709.740822</v>
      </c>
      <c r="M140" s="1922">
        <f t="shared" si="20"/>
        <v>55170342709.740822</v>
      </c>
      <c r="N140" s="1922">
        <f t="shared" si="20"/>
        <v>55170342709.740822</v>
      </c>
      <c r="O140" s="1922">
        <f>((250*22.8*NAIRA2010_/Unit.GJ)*plantsize.V.a.Dry_bio_and_waste_to_liquid)</f>
        <v>20520000000</v>
      </c>
      <c r="P140" s="1377"/>
    </row>
    <row r="141" spans="2:17" s="1863" customFormat="1" ht="17.100000000000001" customHeight="1" x14ac:dyDescent="0.25">
      <c r="B141" s="475"/>
      <c r="C141" s="1881" t="s">
        <v>383</v>
      </c>
      <c r="D141" s="1102" t="str">
        <f>INDEX(Vectors[Description], MATCH($C141, Vectors[Code], 0))</f>
        <v>Wet biomass and waste</v>
      </c>
      <c r="E141" s="1102" t="s">
        <v>669</v>
      </c>
      <c r="F141" s="1847">
        <f t="shared" si="17"/>
        <v>0</v>
      </c>
      <c r="G141" s="2232"/>
      <c r="H141" s="1923">
        <f t="shared" ref="H141:N142" si="21">($F141*(H$117-G$117))+G141</f>
        <v>0</v>
      </c>
      <c r="I141" s="1923">
        <f t="shared" si="21"/>
        <v>0</v>
      </c>
      <c r="J141" s="1923">
        <f t="shared" si="21"/>
        <v>0</v>
      </c>
      <c r="K141" s="1923">
        <f t="shared" si="21"/>
        <v>0</v>
      </c>
      <c r="L141" s="1923">
        <f t="shared" si="21"/>
        <v>0</v>
      </c>
      <c r="M141" s="1923">
        <f t="shared" si="21"/>
        <v>0</v>
      </c>
      <c r="N141" s="1923">
        <f t="shared" si="21"/>
        <v>0</v>
      </c>
      <c r="O141" s="2232"/>
      <c r="P141" s="1377"/>
    </row>
    <row r="142" spans="2:17" s="1863" customFormat="1" ht="17.100000000000001" customHeight="1" x14ac:dyDescent="0.25">
      <c r="B142" s="475"/>
      <c r="C142" s="237" t="s">
        <v>383</v>
      </c>
      <c r="D142" s="1415" t="str">
        <f>INDEX(Vectors[Description], MATCH($C142, Vectors[Code], 0))</f>
        <v>Wet biomass and waste</v>
      </c>
      <c r="E142" s="1415" t="s">
        <v>122</v>
      </c>
      <c r="F142" s="188">
        <f t="shared" si="17"/>
        <v>0</v>
      </c>
      <c r="G142" s="1922">
        <f>((250*20.33*NAIRA2010_/Unit.GJ)*plantsize.V.a.Dry_bio_and_waste_to_liquid)</f>
        <v>18297000000</v>
      </c>
      <c r="H142" s="1921">
        <f t="shared" si="21"/>
        <v>18297000000</v>
      </c>
      <c r="I142" s="1921">
        <f t="shared" si="21"/>
        <v>18297000000</v>
      </c>
      <c r="J142" s="1921">
        <f t="shared" si="21"/>
        <v>18297000000</v>
      </c>
      <c r="K142" s="1921">
        <f t="shared" si="21"/>
        <v>18297000000</v>
      </c>
      <c r="L142" s="1921">
        <f t="shared" si="21"/>
        <v>18297000000</v>
      </c>
      <c r="M142" s="1921">
        <f t="shared" si="21"/>
        <v>18297000000</v>
      </c>
      <c r="N142" s="1921">
        <f t="shared" si="21"/>
        <v>18297000000</v>
      </c>
      <c r="O142" s="1922">
        <f>((250*20.33*NAIRA2010_/Unit.GJ)*plantsize.V.a.Dry_bio_and_waste_to_liquid)</f>
        <v>18297000000</v>
      </c>
      <c r="P142" s="1377"/>
    </row>
    <row r="143" spans="2:17" s="1863" customFormat="1" ht="17.100000000000001" customHeight="1" x14ac:dyDescent="0.25">
      <c r="B143" s="475"/>
      <c r="C143" s="1096" t="s">
        <v>383</v>
      </c>
      <c r="D143" s="200" t="str">
        <f>INDEX(Vectors[Description], MATCH($C143, Vectors[Code], 0))</f>
        <v>Wet biomass and waste</v>
      </c>
      <c r="E143" s="200" t="s">
        <v>10</v>
      </c>
      <c r="F143" s="191">
        <f t="shared" si="17"/>
        <v>0</v>
      </c>
      <c r="G143" s="1933">
        <f t="shared" ref="G143:O143" si="22">(G162+((G123-G162)*0.35))</f>
        <v>103900000000</v>
      </c>
      <c r="H143" s="1933">
        <f t="shared" si="22"/>
        <v>103900000000</v>
      </c>
      <c r="I143" s="1933">
        <f t="shared" si="22"/>
        <v>103900000000</v>
      </c>
      <c r="J143" s="1933">
        <f t="shared" si="22"/>
        <v>103900000000</v>
      </c>
      <c r="K143" s="1933">
        <f t="shared" si="22"/>
        <v>103900000000</v>
      </c>
      <c r="L143" s="1933">
        <f t="shared" si="22"/>
        <v>103900000000</v>
      </c>
      <c r="M143" s="1933">
        <f t="shared" si="22"/>
        <v>103900000000</v>
      </c>
      <c r="N143" s="1933">
        <f t="shared" si="22"/>
        <v>103900000000</v>
      </c>
      <c r="O143" s="1933">
        <f t="shared" si="22"/>
        <v>103900000000</v>
      </c>
      <c r="P143" s="1377"/>
    </row>
    <row r="144" spans="2:17" s="1863" customFormat="1" ht="17.100000000000001" customHeight="1" x14ac:dyDescent="0.25">
      <c r="B144" s="475"/>
      <c r="C144" s="1881" t="s">
        <v>871</v>
      </c>
      <c r="D144" s="1102" t="str">
        <f>INDEX(Vectors[Description], MATCH($C144, Vectors[Code], 0))</f>
        <v>Energy crops (second generation)</v>
      </c>
      <c r="E144" s="1102" t="s">
        <v>669</v>
      </c>
      <c r="F144" s="1847">
        <f t="shared" si="17"/>
        <v>0</v>
      </c>
      <c r="G144" s="1924">
        <f t="shared" ref="G144:G146" si="23">G138</f>
        <v>0</v>
      </c>
      <c r="H144" s="1923">
        <f t="shared" ref="H144:N151" si="24">($F144*(H$117-G$117))+G144</f>
        <v>0</v>
      </c>
      <c r="I144" s="1923">
        <f t="shared" si="24"/>
        <v>0</v>
      </c>
      <c r="J144" s="1923">
        <f t="shared" si="24"/>
        <v>0</v>
      </c>
      <c r="K144" s="1923">
        <f t="shared" si="24"/>
        <v>0</v>
      </c>
      <c r="L144" s="1923">
        <f t="shared" si="24"/>
        <v>0</v>
      </c>
      <c r="M144" s="1923">
        <f t="shared" si="24"/>
        <v>0</v>
      </c>
      <c r="N144" s="1923">
        <f t="shared" si="24"/>
        <v>0</v>
      </c>
      <c r="O144" s="1924">
        <f>O138</f>
        <v>0</v>
      </c>
      <c r="P144" s="1377"/>
    </row>
    <row r="145" spans="2:16" s="1863" customFormat="1" ht="17.100000000000001" customHeight="1" x14ac:dyDescent="0.25">
      <c r="B145" s="475"/>
      <c r="C145" s="237" t="s">
        <v>871</v>
      </c>
      <c r="D145" s="1415" t="str">
        <f>INDEX(Vectors[Description], MATCH($C145, Vectors[Code], 0))</f>
        <v>Energy crops (second generation)</v>
      </c>
      <c r="E145" s="1415" t="s">
        <v>122</v>
      </c>
      <c r="F145" s="188">
        <f t="shared" si="17"/>
        <v>0</v>
      </c>
      <c r="G145" s="1922">
        <f>((250*20.33*NAIRA2010_/Unit.GJ)*plantsize.V.a.Dry_bio_and_waste_to_liquid)</f>
        <v>18297000000</v>
      </c>
      <c r="H145" s="1921">
        <f t="shared" si="24"/>
        <v>18297000000</v>
      </c>
      <c r="I145" s="1921">
        <f t="shared" si="24"/>
        <v>18297000000</v>
      </c>
      <c r="J145" s="1921">
        <f t="shared" si="24"/>
        <v>18297000000</v>
      </c>
      <c r="K145" s="1921">
        <f t="shared" si="24"/>
        <v>18297000000</v>
      </c>
      <c r="L145" s="1921">
        <f t="shared" si="24"/>
        <v>18297000000</v>
      </c>
      <c r="M145" s="1921">
        <f t="shared" si="24"/>
        <v>18297000000</v>
      </c>
      <c r="N145" s="1921">
        <f t="shared" si="24"/>
        <v>18297000000</v>
      </c>
      <c r="O145" s="1922">
        <f>((250*20.33*NAIRA2010_/Unit.GJ)*plantsize.V.a.Dry_bio_and_waste_to_liquid)</f>
        <v>18297000000</v>
      </c>
      <c r="P145" s="1377"/>
    </row>
    <row r="146" spans="2:16" s="1863" customFormat="1" ht="17.100000000000001" customHeight="1" x14ac:dyDescent="0.25">
      <c r="B146" s="475"/>
      <c r="C146" s="1096" t="s">
        <v>871</v>
      </c>
      <c r="D146" s="200" t="str">
        <f>INDEX(Vectors[Description], MATCH($C146, Vectors[Code], 0))</f>
        <v>Energy crops (second generation)</v>
      </c>
      <c r="E146" s="200" t="s">
        <v>10</v>
      </c>
      <c r="F146" s="191">
        <f t="shared" si="17"/>
        <v>0</v>
      </c>
      <c r="G146" s="1933">
        <f t="shared" si="23"/>
        <v>20520000000</v>
      </c>
      <c r="H146" s="1925">
        <f t="shared" si="24"/>
        <v>20520000000</v>
      </c>
      <c r="I146" s="1925">
        <f t="shared" si="24"/>
        <v>20520000000</v>
      </c>
      <c r="J146" s="1925">
        <f t="shared" si="24"/>
        <v>20520000000</v>
      </c>
      <c r="K146" s="1925">
        <f t="shared" si="24"/>
        <v>20520000000</v>
      </c>
      <c r="L146" s="1925">
        <f t="shared" si="24"/>
        <v>20520000000</v>
      </c>
      <c r="M146" s="1925">
        <f t="shared" si="24"/>
        <v>20520000000</v>
      </c>
      <c r="N146" s="1925">
        <f t="shared" si="24"/>
        <v>20520000000</v>
      </c>
      <c r="O146" s="1933">
        <f>O140</f>
        <v>20520000000</v>
      </c>
      <c r="P146" s="1377"/>
    </row>
    <row r="147" spans="2:16" s="1863" customFormat="1" ht="17.100000000000001" customHeight="1" x14ac:dyDescent="0.25">
      <c r="B147" s="475"/>
      <c r="C147" s="1881" t="s">
        <v>1161</v>
      </c>
      <c r="D147" s="1102" t="str">
        <f>INDEX(Vectors[Description], MATCH($C147, Vectors[Code], 0))</f>
        <v>Energy crops (first generation)</v>
      </c>
      <c r="E147" s="1102" t="s">
        <v>669</v>
      </c>
      <c r="F147" s="1847">
        <f t="shared" si="17"/>
        <v>0</v>
      </c>
      <c r="G147" s="2232"/>
      <c r="H147" s="1923">
        <f t="shared" si="24"/>
        <v>0</v>
      </c>
      <c r="I147" s="1923">
        <f t="shared" si="24"/>
        <v>0</v>
      </c>
      <c r="J147" s="1923">
        <f t="shared" si="24"/>
        <v>0</v>
      </c>
      <c r="K147" s="1923">
        <f t="shared" si="24"/>
        <v>0</v>
      </c>
      <c r="L147" s="1923">
        <f t="shared" si="24"/>
        <v>0</v>
      </c>
      <c r="M147" s="1923">
        <f t="shared" si="24"/>
        <v>0</v>
      </c>
      <c r="N147" s="1923">
        <f t="shared" si="24"/>
        <v>0</v>
      </c>
      <c r="O147" s="2232"/>
      <c r="P147" s="1377"/>
    </row>
    <row r="148" spans="2:16" s="1863" customFormat="1" ht="17.100000000000001" customHeight="1" x14ac:dyDescent="0.25">
      <c r="B148" s="475"/>
      <c r="C148" s="237" t="s">
        <v>1161</v>
      </c>
      <c r="D148" s="1415" t="str">
        <f>INDEX(Vectors[Description], MATCH($C148, Vectors[Code], 0))</f>
        <v>Energy crops (first generation)</v>
      </c>
      <c r="E148" s="1415" t="s">
        <v>122</v>
      </c>
      <c r="F148" s="188">
        <f t="shared" si="17"/>
        <v>0</v>
      </c>
      <c r="G148" s="1922">
        <f>((250*20.871*NAIRA2010_/Unit.GJ)*$F$102)</f>
        <v>18783900000</v>
      </c>
      <c r="H148" s="1921">
        <f t="shared" si="24"/>
        <v>18783900000</v>
      </c>
      <c r="I148" s="1921">
        <f t="shared" si="24"/>
        <v>18783900000</v>
      </c>
      <c r="J148" s="1921">
        <f t="shared" si="24"/>
        <v>18783900000</v>
      </c>
      <c r="K148" s="1921">
        <f t="shared" si="24"/>
        <v>18783900000</v>
      </c>
      <c r="L148" s="1921">
        <f t="shared" si="24"/>
        <v>18783900000</v>
      </c>
      <c r="M148" s="1921">
        <f t="shared" si="24"/>
        <v>18783900000</v>
      </c>
      <c r="N148" s="1921">
        <f t="shared" si="24"/>
        <v>18783900000</v>
      </c>
      <c r="O148" s="1922">
        <f>((250*20.871*NAIRA2010_/Unit.GJ)*$F$102)</f>
        <v>18783900000</v>
      </c>
      <c r="P148" s="1377"/>
    </row>
    <row r="149" spans="2:16" s="39" customFormat="1" ht="17.100000000000001" customHeight="1" x14ac:dyDescent="0.25">
      <c r="B149" s="475"/>
      <c r="C149" s="1096" t="s">
        <v>1161</v>
      </c>
      <c r="D149" s="200" t="str">
        <f>INDEX(Vectors[Description], MATCH($C149, Vectors[Code], 0))</f>
        <v>Energy crops (first generation)</v>
      </c>
      <c r="E149" s="200" t="s">
        <v>10</v>
      </c>
      <c r="F149" s="191">
        <f t="shared" si="17"/>
        <v>0</v>
      </c>
      <c r="G149" s="1933"/>
      <c r="H149" s="1925">
        <f t="shared" si="24"/>
        <v>0</v>
      </c>
      <c r="I149" s="1925">
        <f t="shared" si="24"/>
        <v>0</v>
      </c>
      <c r="J149" s="1925">
        <f t="shared" si="24"/>
        <v>0</v>
      </c>
      <c r="K149" s="1925">
        <f t="shared" si="24"/>
        <v>0</v>
      </c>
      <c r="L149" s="1925">
        <f t="shared" si="24"/>
        <v>0</v>
      </c>
      <c r="M149" s="1925">
        <f t="shared" si="24"/>
        <v>0</v>
      </c>
      <c r="N149" s="1925">
        <f t="shared" si="24"/>
        <v>0</v>
      </c>
      <c r="O149" s="1933"/>
      <c r="P149" s="1481"/>
    </row>
    <row r="150" spans="2:16" s="39" customFormat="1" ht="17.100000000000001" customHeight="1" x14ac:dyDescent="0.25">
      <c r="B150" s="475"/>
      <c r="C150" s="1881" t="s">
        <v>1164</v>
      </c>
      <c r="D150" s="1102" t="str">
        <f>INDEX(Vectors[Description], MATCH($C150, Vectors[Code], 0))</f>
        <v>Gaseous waste</v>
      </c>
      <c r="E150" s="1102" t="s">
        <v>669</v>
      </c>
      <c r="F150" s="1847">
        <f t="shared" si="17"/>
        <v>0</v>
      </c>
      <c r="G150" s="1924"/>
      <c r="H150" s="1923">
        <f t="shared" si="24"/>
        <v>0</v>
      </c>
      <c r="I150" s="1923">
        <f t="shared" si="24"/>
        <v>0</v>
      </c>
      <c r="J150" s="1923">
        <f t="shared" si="24"/>
        <v>0</v>
      </c>
      <c r="K150" s="1923">
        <f t="shared" si="24"/>
        <v>0</v>
      </c>
      <c r="L150" s="1923">
        <f t="shared" si="24"/>
        <v>0</v>
      </c>
      <c r="M150" s="1923">
        <f t="shared" si="24"/>
        <v>0</v>
      </c>
      <c r="N150" s="1923">
        <f t="shared" si="24"/>
        <v>0</v>
      </c>
      <c r="O150" s="1924"/>
      <c r="P150" s="1481"/>
    </row>
    <row r="151" spans="2:16" s="1863" customFormat="1" ht="17.100000000000001" customHeight="1" x14ac:dyDescent="0.25">
      <c r="B151" s="475"/>
      <c r="C151" s="237" t="s">
        <v>1164</v>
      </c>
      <c r="D151" s="1415" t="str">
        <f>INDEX(Vectors[Description], MATCH($C151, Vectors[Code], 0))</f>
        <v>Gaseous waste</v>
      </c>
      <c r="E151" s="1415" t="s">
        <v>122</v>
      </c>
      <c r="F151" s="188">
        <f t="shared" si="17"/>
        <v>0</v>
      </c>
      <c r="G151" s="1922"/>
      <c r="H151" s="1921">
        <f t="shared" si="24"/>
        <v>0</v>
      </c>
      <c r="I151" s="1921">
        <f t="shared" si="24"/>
        <v>0</v>
      </c>
      <c r="J151" s="1921">
        <f t="shared" si="24"/>
        <v>0</v>
      </c>
      <c r="K151" s="1921">
        <f t="shared" si="24"/>
        <v>0</v>
      </c>
      <c r="L151" s="1921">
        <f t="shared" si="24"/>
        <v>0</v>
      </c>
      <c r="M151" s="1921">
        <f t="shared" si="24"/>
        <v>0</v>
      </c>
      <c r="N151" s="1921">
        <f t="shared" si="24"/>
        <v>0</v>
      </c>
      <c r="O151" s="1922"/>
      <c r="P151" s="1377"/>
    </row>
    <row r="152" spans="2:16" s="1863" customFormat="1" ht="17.100000000000001" customHeight="1" x14ac:dyDescent="0.25">
      <c r="B152" s="475"/>
      <c r="C152" s="1096" t="s">
        <v>1164</v>
      </c>
      <c r="D152" s="200" t="str">
        <f>INDEX(Vectors[Description], MATCH($C152, Vectors[Code], 0))</f>
        <v>Gaseous waste</v>
      </c>
      <c r="E152" s="200" t="s">
        <v>10</v>
      </c>
      <c r="F152" s="191">
        <f t="shared" si="17"/>
        <v>52756875000</v>
      </c>
      <c r="G152" s="1933">
        <f t="shared" ref="G152:O152" si="25">(G171+((G132-G171)*0.3))</f>
        <v>24575000000</v>
      </c>
      <c r="H152" s="1933">
        <f t="shared" si="25"/>
        <v>288359375000</v>
      </c>
      <c r="I152" s="1933">
        <f t="shared" si="25"/>
        <v>552143750000</v>
      </c>
      <c r="J152" s="1933">
        <f t="shared" si="25"/>
        <v>815928125000</v>
      </c>
      <c r="K152" s="1933">
        <f t="shared" si="25"/>
        <v>1079712500000</v>
      </c>
      <c r="L152" s="1933">
        <f t="shared" si="25"/>
        <v>1343496875000</v>
      </c>
      <c r="M152" s="1933">
        <f t="shared" si="25"/>
        <v>1607281250000</v>
      </c>
      <c r="N152" s="1933">
        <f t="shared" si="25"/>
        <v>1871065625000</v>
      </c>
      <c r="O152" s="1933">
        <f t="shared" si="25"/>
        <v>2134850000000</v>
      </c>
      <c r="P152" s="1377"/>
    </row>
    <row r="153" spans="2:16" s="39" customFormat="1" ht="17.100000000000001" customHeight="1" x14ac:dyDescent="0.25">
      <c r="B153" s="475"/>
      <c r="C153" s="1416"/>
      <c r="D153" s="1416"/>
      <c r="E153" s="1416"/>
      <c r="F153" s="1416"/>
      <c r="G153" s="1416"/>
      <c r="H153" s="1416"/>
      <c r="I153" s="1416"/>
      <c r="J153" s="1416"/>
      <c r="K153" s="1416"/>
      <c r="L153" s="1416"/>
      <c r="M153" s="1416"/>
      <c r="N153" s="1416"/>
      <c r="O153" s="1416"/>
      <c r="P153" s="1018"/>
    </row>
    <row r="154" spans="2:16" s="39" customFormat="1" ht="17.100000000000001" customHeight="1" x14ac:dyDescent="0.25">
      <c r="B154" s="475"/>
      <c r="C154" s="1417" t="str">
        <f>"Low estimate capital cost of a typical plant"</f>
        <v>Low estimate capital cost of a typical plant</v>
      </c>
      <c r="D154" s="177"/>
      <c r="E154" s="1416"/>
      <c r="F154" s="1864"/>
      <c r="G154" s="1864"/>
      <c r="H154" s="1864"/>
      <c r="I154" s="1864"/>
      <c r="J154" s="1417"/>
      <c r="K154" s="1416"/>
      <c r="L154" s="1416"/>
      <c r="M154" s="1416"/>
      <c r="N154" s="1416"/>
      <c r="O154" s="1417" t="str">
        <f>Preferences.moneyunits &amp;"/"&amp;" plant"</f>
        <v>N/ plant</v>
      </c>
      <c r="P154" s="1018"/>
    </row>
    <row r="155" spans="2:16" s="1863" customFormat="1" ht="17.100000000000001" customHeight="1" x14ac:dyDescent="0.25">
      <c r="B155" s="475"/>
      <c r="C155" s="1416"/>
      <c r="D155" s="177"/>
      <c r="E155" s="1416"/>
      <c r="F155" s="1416"/>
      <c r="G155" s="1416"/>
      <c r="H155" s="1416"/>
      <c r="I155" s="1416"/>
      <c r="J155" s="1416"/>
      <c r="K155" s="1416"/>
      <c r="L155" s="1416"/>
      <c r="M155" s="1416"/>
      <c r="N155" s="1416"/>
      <c r="O155" s="1416"/>
      <c r="P155" s="1416"/>
    </row>
    <row r="156" spans="2:16" s="1863" customFormat="1" ht="17.100000000000001" customHeight="1" x14ac:dyDescent="0.25">
      <c r="B156" s="475"/>
      <c r="C156" s="180" t="s">
        <v>673</v>
      </c>
      <c r="D156" s="180" t="s">
        <v>873</v>
      </c>
      <c r="E156" s="180" t="s">
        <v>874</v>
      </c>
      <c r="F156" s="1567" t="s">
        <v>1321</v>
      </c>
      <c r="G156" s="1845">
        <v>2010</v>
      </c>
      <c r="H156" s="1845">
        <v>2015</v>
      </c>
      <c r="I156" s="1845">
        <v>2020</v>
      </c>
      <c r="J156" s="1845">
        <v>2025</v>
      </c>
      <c r="K156" s="1845">
        <v>2030</v>
      </c>
      <c r="L156" s="1845">
        <v>2035</v>
      </c>
      <c r="M156" s="1845">
        <v>2040</v>
      </c>
      <c r="N156" s="1845">
        <v>2045</v>
      </c>
      <c r="O156" s="1845">
        <v>2050</v>
      </c>
      <c r="P156" s="1377"/>
    </row>
    <row r="157" spans="2:16" s="39" customFormat="1" ht="17.100000000000001" customHeight="1" x14ac:dyDescent="0.2">
      <c r="B157" s="1419"/>
      <c r="C157" s="1881" t="s">
        <v>296</v>
      </c>
      <c r="D157" s="1102" t="str">
        <f>INDEX(Vectors[Description], MATCH($C157, Vectors[Code], 0))</f>
        <v>Dry biomass and waste</v>
      </c>
      <c r="E157" s="1102" t="s">
        <v>669</v>
      </c>
      <c r="F157" s="1847">
        <f t="shared" ref="F157:F171" si="26">(O157-G157)/(O$156-G$156)</f>
        <v>0</v>
      </c>
      <c r="G157" s="1924"/>
      <c r="H157" s="1923">
        <f>($F157*(H$156-G$156))+G157</f>
        <v>0</v>
      </c>
      <c r="I157" s="1923">
        <f t="shared" ref="I157:N157" si="27">($F157*(I$156-H$156))+H157</f>
        <v>0</v>
      </c>
      <c r="J157" s="1923">
        <f t="shared" si="27"/>
        <v>0</v>
      </c>
      <c r="K157" s="1923">
        <f t="shared" si="27"/>
        <v>0</v>
      </c>
      <c r="L157" s="1923">
        <f t="shared" si="27"/>
        <v>0</v>
      </c>
      <c r="M157" s="1923">
        <f t="shared" si="27"/>
        <v>0</v>
      </c>
      <c r="N157" s="1923">
        <f t="shared" si="27"/>
        <v>0</v>
      </c>
      <c r="O157" s="1924"/>
      <c r="P157" s="1481"/>
    </row>
    <row r="158" spans="2:16" s="39" customFormat="1" ht="17.100000000000001" customHeight="1" x14ac:dyDescent="0.2">
      <c r="B158" s="1419"/>
      <c r="C158" s="237" t="s">
        <v>296</v>
      </c>
      <c r="D158" s="1415" t="str">
        <f>INDEX(Vectors[Description], MATCH($C158, Vectors[Code], 0))</f>
        <v>Dry biomass and waste</v>
      </c>
      <c r="E158" s="1415" t="s">
        <v>122</v>
      </c>
      <c r="F158" s="188">
        <f t="shared" si="26"/>
        <v>0</v>
      </c>
      <c r="G158" s="1922">
        <f>((250*23*NAIRA2010_/Unit.MWh)*plantsize.V.a.Dry_bio_and_waste_to_liquid)</f>
        <v>5750000000</v>
      </c>
      <c r="H158" s="1921">
        <f t="shared" ref="H158:N158" si="28">($F158*(H$156-G$156))+G158</f>
        <v>5750000000</v>
      </c>
      <c r="I158" s="1921">
        <f t="shared" si="28"/>
        <v>5750000000</v>
      </c>
      <c r="J158" s="1921">
        <f t="shared" si="28"/>
        <v>5750000000</v>
      </c>
      <c r="K158" s="1921">
        <f t="shared" si="28"/>
        <v>5750000000</v>
      </c>
      <c r="L158" s="1921">
        <f t="shared" si="28"/>
        <v>5750000000</v>
      </c>
      <c r="M158" s="1921">
        <f t="shared" si="28"/>
        <v>5750000000</v>
      </c>
      <c r="N158" s="1921">
        <f t="shared" si="28"/>
        <v>5750000000</v>
      </c>
      <c r="O158" s="1922">
        <f>((250*23*NAIRA2010_/Unit.MWh)*plantsize.V.a.Dry_bio_and_waste_to_liquid)</f>
        <v>5750000000</v>
      </c>
      <c r="P158" s="1481"/>
    </row>
    <row r="159" spans="2:16" s="1863" customFormat="1" ht="17.100000000000001" customHeight="1" x14ac:dyDescent="0.2">
      <c r="B159" s="1419"/>
      <c r="C159" s="1096" t="s">
        <v>296</v>
      </c>
      <c r="D159" s="200" t="str">
        <f>INDEX(Vectors[Description], MATCH($C159, Vectors[Code], 0))</f>
        <v>Dry biomass and waste</v>
      </c>
      <c r="E159" s="200" t="s">
        <v>10</v>
      </c>
      <c r="F159" s="191">
        <f t="shared" si="26"/>
        <v>0</v>
      </c>
      <c r="G159" s="1933">
        <f>((250*43*NAIRA2010_/Unit.MWh)*plantsize.V.a.Dry_bio_and_waste_to_gas)</f>
        <v>10750000000</v>
      </c>
      <c r="H159" s="1925">
        <f t="shared" ref="H159:N159" si="29">($F159*(H$156-G$156))+G159</f>
        <v>10750000000</v>
      </c>
      <c r="I159" s="1925">
        <f t="shared" si="29"/>
        <v>10750000000</v>
      </c>
      <c r="J159" s="1925">
        <f t="shared" si="29"/>
        <v>10750000000</v>
      </c>
      <c r="K159" s="1925">
        <f t="shared" si="29"/>
        <v>10750000000</v>
      </c>
      <c r="L159" s="1925">
        <f t="shared" si="29"/>
        <v>10750000000</v>
      </c>
      <c r="M159" s="1925">
        <f t="shared" si="29"/>
        <v>10750000000</v>
      </c>
      <c r="N159" s="1925">
        <f t="shared" si="29"/>
        <v>10750000000</v>
      </c>
      <c r="O159" s="1933">
        <f>((250*43*NAIRA2010_/Unit.MWh)*plantsize.V.a.Dry_bio_and_waste_to_gas)</f>
        <v>10750000000</v>
      </c>
      <c r="P159" s="1377"/>
    </row>
    <row r="160" spans="2:16" s="1863" customFormat="1" ht="17.100000000000001" customHeight="1" x14ac:dyDescent="0.2">
      <c r="B160" s="1419"/>
      <c r="C160" s="1881" t="s">
        <v>383</v>
      </c>
      <c r="D160" s="1102" t="str">
        <f>INDEX(Vectors[Description], MATCH($C160, Vectors[Code], 0))</f>
        <v>Wet biomass and waste</v>
      </c>
      <c r="E160" s="1102" t="s">
        <v>669</v>
      </c>
      <c r="F160" s="1847">
        <f t="shared" si="26"/>
        <v>0</v>
      </c>
      <c r="G160" s="2232"/>
      <c r="H160" s="1923">
        <f t="shared" ref="H160:N160" si="30">($F160*(H$156-G$156))+G160</f>
        <v>0</v>
      </c>
      <c r="I160" s="1923">
        <f t="shared" si="30"/>
        <v>0</v>
      </c>
      <c r="J160" s="1923">
        <f t="shared" si="30"/>
        <v>0</v>
      </c>
      <c r="K160" s="1923">
        <f t="shared" si="30"/>
        <v>0</v>
      </c>
      <c r="L160" s="1923">
        <f t="shared" si="30"/>
        <v>0</v>
      </c>
      <c r="M160" s="1923">
        <f t="shared" si="30"/>
        <v>0</v>
      </c>
      <c r="N160" s="1923">
        <f t="shared" si="30"/>
        <v>0</v>
      </c>
      <c r="O160" s="2232"/>
      <c r="P160" s="1377"/>
    </row>
    <row r="161" spans="2:16" s="1863" customFormat="1" ht="17.100000000000001" customHeight="1" x14ac:dyDescent="0.2">
      <c r="B161" s="1419"/>
      <c r="C161" s="237" t="s">
        <v>383</v>
      </c>
      <c r="D161" s="1415" t="str">
        <f>INDEX(Vectors[Description], MATCH($C161, Vectors[Code], 0))</f>
        <v>Wet biomass and waste</v>
      </c>
      <c r="E161" s="1415" t="s">
        <v>122</v>
      </c>
      <c r="F161" s="188">
        <f t="shared" si="26"/>
        <v>0</v>
      </c>
      <c r="G161" s="1922">
        <f>G158</f>
        <v>5750000000</v>
      </c>
      <c r="H161" s="1921">
        <f t="shared" ref="H161:N161" si="31">($F161*(H$156-G$156))+G161</f>
        <v>5750000000</v>
      </c>
      <c r="I161" s="1921">
        <f t="shared" si="31"/>
        <v>5750000000</v>
      </c>
      <c r="J161" s="1921">
        <f t="shared" si="31"/>
        <v>5750000000</v>
      </c>
      <c r="K161" s="1921">
        <f t="shared" si="31"/>
        <v>5750000000</v>
      </c>
      <c r="L161" s="1921">
        <f t="shared" si="31"/>
        <v>5750000000</v>
      </c>
      <c r="M161" s="1921">
        <f t="shared" si="31"/>
        <v>5750000000</v>
      </c>
      <c r="N161" s="1921">
        <f t="shared" si="31"/>
        <v>5750000000</v>
      </c>
      <c r="O161" s="1922">
        <f>O158</f>
        <v>5750000000</v>
      </c>
      <c r="P161" s="1377"/>
    </row>
    <row r="162" spans="2:16" s="1863" customFormat="1" ht="17.100000000000001" customHeight="1" x14ac:dyDescent="0.2">
      <c r="B162" s="1419"/>
      <c r="C162" s="1096" t="s">
        <v>383</v>
      </c>
      <c r="D162" s="200" t="str">
        <f>INDEX(Vectors[Description], MATCH($C162, Vectors[Code], 0))</f>
        <v>Wet biomass and waste</v>
      </c>
      <c r="E162" s="200" t="s">
        <v>10</v>
      </c>
      <c r="F162" s="191">
        <f t="shared" si="26"/>
        <v>0</v>
      </c>
      <c r="G162" s="1933">
        <f>((250*18*NAIRA2010_/Unit.MWh)*plantsize.V.a.Wet_bio_and_waste_to_gas)</f>
        <v>4500000000</v>
      </c>
      <c r="H162" s="1925">
        <f t="shared" ref="H162:N162" si="32">($F162*(H$156-G$156))+G162</f>
        <v>4500000000</v>
      </c>
      <c r="I162" s="1925">
        <f t="shared" si="32"/>
        <v>4500000000</v>
      </c>
      <c r="J162" s="1925">
        <f t="shared" si="32"/>
        <v>4500000000</v>
      </c>
      <c r="K162" s="1925">
        <f t="shared" si="32"/>
        <v>4500000000</v>
      </c>
      <c r="L162" s="1925">
        <f t="shared" si="32"/>
        <v>4500000000</v>
      </c>
      <c r="M162" s="1925">
        <f t="shared" si="32"/>
        <v>4500000000</v>
      </c>
      <c r="N162" s="1925">
        <f t="shared" si="32"/>
        <v>4500000000</v>
      </c>
      <c r="O162" s="1933">
        <f>((250*18*NAIRA2010_/Unit.MWh)*plantsize.V.a.Wet_bio_and_waste_to_gas)</f>
        <v>4500000000</v>
      </c>
      <c r="P162" s="1377"/>
    </row>
    <row r="163" spans="2:16" s="1863" customFormat="1" ht="17.100000000000001" customHeight="1" x14ac:dyDescent="0.2">
      <c r="B163" s="477"/>
      <c r="C163" s="1881" t="s">
        <v>871</v>
      </c>
      <c r="D163" s="1102" t="str">
        <f>INDEX(Vectors[Description], MATCH($C163, Vectors[Code], 0))</f>
        <v>Energy crops (second generation)</v>
      </c>
      <c r="E163" s="1102" t="s">
        <v>669</v>
      </c>
      <c r="F163" s="1847">
        <f t="shared" si="26"/>
        <v>0</v>
      </c>
      <c r="G163" s="1924">
        <f t="shared" ref="G163:G165" si="33">G157</f>
        <v>0</v>
      </c>
      <c r="H163" s="1923">
        <f t="shared" ref="H163:N163" si="34">($F163*(H$156-G$156))+G163</f>
        <v>0</v>
      </c>
      <c r="I163" s="1923">
        <f t="shared" si="34"/>
        <v>0</v>
      </c>
      <c r="J163" s="1923">
        <f t="shared" si="34"/>
        <v>0</v>
      </c>
      <c r="K163" s="1923">
        <f t="shared" si="34"/>
        <v>0</v>
      </c>
      <c r="L163" s="1923">
        <f t="shared" si="34"/>
        <v>0</v>
      </c>
      <c r="M163" s="1923">
        <f t="shared" si="34"/>
        <v>0</v>
      </c>
      <c r="N163" s="1923">
        <f t="shared" si="34"/>
        <v>0</v>
      </c>
      <c r="O163" s="1924">
        <f>O157</f>
        <v>0</v>
      </c>
      <c r="P163" s="1377"/>
    </row>
    <row r="164" spans="2:16" s="1863" customFormat="1" ht="17.100000000000001" customHeight="1" x14ac:dyDescent="0.2">
      <c r="B164" s="477"/>
      <c r="C164" s="237" t="s">
        <v>871</v>
      </c>
      <c r="D164" s="1415" t="str">
        <f>INDEX(Vectors[Description], MATCH($C164, Vectors[Code], 0))</f>
        <v>Energy crops (second generation)</v>
      </c>
      <c r="E164" s="1415" t="s">
        <v>122</v>
      </c>
      <c r="F164" s="188">
        <f t="shared" si="26"/>
        <v>0</v>
      </c>
      <c r="G164" s="1922">
        <f t="shared" si="33"/>
        <v>5750000000</v>
      </c>
      <c r="H164" s="1921">
        <f t="shared" ref="H164:N164" si="35">($F164*(H$156-G$156))+G164</f>
        <v>5750000000</v>
      </c>
      <c r="I164" s="1921">
        <f t="shared" si="35"/>
        <v>5750000000</v>
      </c>
      <c r="J164" s="1921">
        <f t="shared" si="35"/>
        <v>5750000000</v>
      </c>
      <c r="K164" s="1921">
        <f t="shared" si="35"/>
        <v>5750000000</v>
      </c>
      <c r="L164" s="1921">
        <f t="shared" si="35"/>
        <v>5750000000</v>
      </c>
      <c r="M164" s="1921">
        <f t="shared" si="35"/>
        <v>5750000000</v>
      </c>
      <c r="N164" s="1921">
        <f t="shared" si="35"/>
        <v>5750000000</v>
      </c>
      <c r="O164" s="1922">
        <f>O158</f>
        <v>5750000000</v>
      </c>
      <c r="P164" s="1377"/>
    </row>
    <row r="165" spans="2:16" s="1863" customFormat="1" ht="17.100000000000001" customHeight="1" x14ac:dyDescent="0.25">
      <c r="B165" s="475"/>
      <c r="C165" s="1096" t="s">
        <v>871</v>
      </c>
      <c r="D165" s="200" t="str">
        <f>INDEX(Vectors[Description], MATCH($C165, Vectors[Code], 0))</f>
        <v>Energy crops (second generation)</v>
      </c>
      <c r="E165" s="200" t="s">
        <v>10</v>
      </c>
      <c r="F165" s="191">
        <f t="shared" si="26"/>
        <v>0</v>
      </c>
      <c r="G165" s="1933">
        <f t="shared" si="33"/>
        <v>10750000000</v>
      </c>
      <c r="H165" s="1925">
        <f t="shared" ref="H165:N165" si="36">($F165*(H$156-G$156))+G165</f>
        <v>10750000000</v>
      </c>
      <c r="I165" s="1925">
        <f t="shared" si="36"/>
        <v>10750000000</v>
      </c>
      <c r="J165" s="1925">
        <f t="shared" si="36"/>
        <v>10750000000</v>
      </c>
      <c r="K165" s="1925">
        <f>($F165*(K$156-J$156))+J165</f>
        <v>10750000000</v>
      </c>
      <c r="L165" s="1925">
        <f t="shared" si="36"/>
        <v>10750000000</v>
      </c>
      <c r="M165" s="1925">
        <f t="shared" si="36"/>
        <v>10750000000</v>
      </c>
      <c r="N165" s="1925">
        <f t="shared" si="36"/>
        <v>10750000000</v>
      </c>
      <c r="O165" s="1933">
        <f>O159</f>
        <v>10750000000</v>
      </c>
      <c r="P165" s="1377"/>
    </row>
    <row r="166" spans="2:16" s="1863" customFormat="1" ht="17.100000000000001" customHeight="1" x14ac:dyDescent="0.25">
      <c r="B166" s="475"/>
      <c r="C166" s="1881" t="s">
        <v>1161</v>
      </c>
      <c r="D166" s="1102" t="str">
        <f>INDEX(Vectors[Description], MATCH($C166, Vectors[Code], 0))</f>
        <v>Energy crops (first generation)</v>
      </c>
      <c r="E166" s="1102" t="s">
        <v>669</v>
      </c>
      <c r="F166" s="1847">
        <f t="shared" si="26"/>
        <v>0</v>
      </c>
      <c r="G166" s="2232"/>
      <c r="H166" s="1923">
        <f t="shared" ref="H166:N166" si="37">($F166*(H$156-G$156))+G166</f>
        <v>0</v>
      </c>
      <c r="I166" s="1923">
        <f t="shared" si="37"/>
        <v>0</v>
      </c>
      <c r="J166" s="1923">
        <f t="shared" si="37"/>
        <v>0</v>
      </c>
      <c r="K166" s="1923">
        <f t="shared" si="37"/>
        <v>0</v>
      </c>
      <c r="L166" s="1923">
        <f t="shared" si="37"/>
        <v>0</v>
      </c>
      <c r="M166" s="1923">
        <f t="shared" si="37"/>
        <v>0</v>
      </c>
      <c r="N166" s="1923">
        <f t="shared" si="37"/>
        <v>0</v>
      </c>
      <c r="O166" s="2232"/>
      <c r="P166" s="1377"/>
    </row>
    <row r="167" spans="2:16" s="1863" customFormat="1" ht="17.100000000000001" customHeight="1" x14ac:dyDescent="0.25">
      <c r="B167" s="475"/>
      <c r="C167" s="237" t="s">
        <v>1161</v>
      </c>
      <c r="D167" s="1415" t="str">
        <f>INDEX(Vectors[Description], MATCH($C167, Vectors[Code], 0))</f>
        <v>Energy crops (first generation)</v>
      </c>
      <c r="E167" s="1415" t="s">
        <v>122</v>
      </c>
      <c r="F167" s="188">
        <f t="shared" si="26"/>
        <v>0</v>
      </c>
      <c r="G167" s="1922">
        <f>((250*5*NAIRA2010_/Unit.MWh)*plantsize.V.a.Energy_crops_1st_generation_to_liquid)</f>
        <v>1250000000</v>
      </c>
      <c r="H167" s="1921">
        <f t="shared" ref="H167:N167" si="38">($F167*(H$156-G$156))+G167</f>
        <v>1250000000</v>
      </c>
      <c r="I167" s="1921">
        <f t="shared" si="38"/>
        <v>1250000000</v>
      </c>
      <c r="J167" s="1921">
        <f t="shared" si="38"/>
        <v>1250000000</v>
      </c>
      <c r="K167" s="1921">
        <f t="shared" si="38"/>
        <v>1250000000</v>
      </c>
      <c r="L167" s="1921">
        <f t="shared" si="38"/>
        <v>1250000000</v>
      </c>
      <c r="M167" s="1921">
        <f t="shared" si="38"/>
        <v>1250000000</v>
      </c>
      <c r="N167" s="1921">
        <f t="shared" si="38"/>
        <v>1250000000</v>
      </c>
      <c r="O167" s="1922">
        <f>((250*5*NAIRA2010_/Unit.MWh)*plantsize.V.a.Energy_crops_1st_generation_to_liquid)</f>
        <v>1250000000</v>
      </c>
      <c r="P167" s="1377"/>
    </row>
    <row r="168" spans="2:16" s="1863" customFormat="1" ht="17.100000000000001" customHeight="1" x14ac:dyDescent="0.25">
      <c r="B168" s="475"/>
      <c r="C168" s="1096" t="s">
        <v>1161</v>
      </c>
      <c r="D168" s="200" t="str">
        <f>INDEX(Vectors[Description], MATCH($C168, Vectors[Code], 0))</f>
        <v>Energy crops (first generation)</v>
      </c>
      <c r="E168" s="200" t="s">
        <v>10</v>
      </c>
      <c r="F168" s="191">
        <f t="shared" si="26"/>
        <v>0</v>
      </c>
      <c r="G168" s="1933"/>
      <c r="H168" s="1925">
        <f t="shared" ref="H168:N168" si="39">($F168*(H$156-G$156))+G168</f>
        <v>0</v>
      </c>
      <c r="I168" s="1925">
        <f t="shared" si="39"/>
        <v>0</v>
      </c>
      <c r="J168" s="1925">
        <f t="shared" si="39"/>
        <v>0</v>
      </c>
      <c r="K168" s="1925">
        <f t="shared" si="39"/>
        <v>0</v>
      </c>
      <c r="L168" s="1925">
        <f t="shared" si="39"/>
        <v>0</v>
      </c>
      <c r="M168" s="1925">
        <f t="shared" si="39"/>
        <v>0</v>
      </c>
      <c r="N168" s="1925">
        <f t="shared" si="39"/>
        <v>0</v>
      </c>
      <c r="O168" s="1933"/>
      <c r="P168" s="1377"/>
    </row>
    <row r="169" spans="2:16" s="1863" customFormat="1" ht="17.100000000000001" customHeight="1" x14ac:dyDescent="0.25">
      <c r="B169" s="475"/>
      <c r="C169" s="1881" t="s">
        <v>1164</v>
      </c>
      <c r="D169" s="1102" t="str">
        <f>INDEX(Vectors[Description], MATCH($C169, Vectors[Code], 0))</f>
        <v>Gaseous waste</v>
      </c>
      <c r="E169" s="1102" t="s">
        <v>669</v>
      </c>
      <c r="F169" s="1847">
        <f t="shared" si="26"/>
        <v>0</v>
      </c>
      <c r="G169" s="1924"/>
      <c r="H169" s="1923">
        <f t="shared" ref="H169:N169" si="40">($F169*(H$156-G$156))+G169</f>
        <v>0</v>
      </c>
      <c r="I169" s="1923">
        <f t="shared" si="40"/>
        <v>0</v>
      </c>
      <c r="J169" s="1923">
        <f t="shared" si="40"/>
        <v>0</v>
      </c>
      <c r="K169" s="1923">
        <f t="shared" si="40"/>
        <v>0</v>
      </c>
      <c r="L169" s="1923">
        <f t="shared" si="40"/>
        <v>0</v>
      </c>
      <c r="M169" s="1923">
        <f t="shared" si="40"/>
        <v>0</v>
      </c>
      <c r="N169" s="1923">
        <f t="shared" si="40"/>
        <v>0</v>
      </c>
      <c r="O169" s="1924"/>
      <c r="P169" s="1377"/>
    </row>
    <row r="170" spans="2:16" s="1863" customFormat="1" ht="17.100000000000001" customHeight="1" x14ac:dyDescent="0.25">
      <c r="B170" s="475"/>
      <c r="C170" s="237" t="s">
        <v>1164</v>
      </c>
      <c r="D170" s="1415" t="str">
        <f>INDEX(Vectors[Description], MATCH($C170, Vectors[Code], 0))</f>
        <v>Gaseous waste</v>
      </c>
      <c r="E170" s="1415" t="s">
        <v>122</v>
      </c>
      <c r="F170" s="188">
        <f t="shared" si="26"/>
        <v>0</v>
      </c>
      <c r="G170" s="1922"/>
      <c r="H170" s="1921">
        <f t="shared" ref="H170:N170" si="41">($F170*(H$156-G$156))+G170</f>
        <v>0</v>
      </c>
      <c r="I170" s="1921">
        <f t="shared" si="41"/>
        <v>0</v>
      </c>
      <c r="J170" s="1921">
        <f t="shared" si="41"/>
        <v>0</v>
      </c>
      <c r="K170" s="1921">
        <f t="shared" si="41"/>
        <v>0</v>
      </c>
      <c r="L170" s="1921">
        <f t="shared" si="41"/>
        <v>0</v>
      </c>
      <c r="M170" s="1921">
        <f t="shared" si="41"/>
        <v>0</v>
      </c>
      <c r="N170" s="1921">
        <f t="shared" si="41"/>
        <v>0</v>
      </c>
      <c r="O170" s="1922"/>
      <c r="P170" s="1377"/>
    </row>
    <row r="171" spans="2:16" s="1863" customFormat="1" ht="17.100000000000001" customHeight="1" x14ac:dyDescent="0.25">
      <c r="B171" s="475"/>
      <c r="C171" s="1096" t="s">
        <v>1164</v>
      </c>
      <c r="D171" s="200" t="str">
        <f>INDEX(Vectors[Description], MATCH($C171, Vectors[Code], 0))</f>
        <v>Gaseous waste</v>
      </c>
      <c r="E171" s="200" t="s">
        <v>10</v>
      </c>
      <c r="F171" s="191">
        <f t="shared" si="26"/>
        <v>0</v>
      </c>
      <c r="G171" s="1933">
        <f>((250*92*NAIRA2010_/Unit.MWh)*plantsize.V.a.Gaseous_waste_to_gas)</f>
        <v>23000000000</v>
      </c>
      <c r="H171" s="1925">
        <f t="shared" ref="H171:N171" si="42">($F171*(H$156-G$156))+G171</f>
        <v>23000000000</v>
      </c>
      <c r="I171" s="1925">
        <f t="shared" si="42"/>
        <v>23000000000</v>
      </c>
      <c r="J171" s="1925">
        <f t="shared" si="42"/>
        <v>23000000000</v>
      </c>
      <c r="K171" s="1925">
        <f t="shared" si="42"/>
        <v>23000000000</v>
      </c>
      <c r="L171" s="1925">
        <f t="shared" si="42"/>
        <v>23000000000</v>
      </c>
      <c r="M171" s="1925">
        <f t="shared" si="42"/>
        <v>23000000000</v>
      </c>
      <c r="N171" s="1925">
        <f t="shared" si="42"/>
        <v>23000000000</v>
      </c>
      <c r="O171" s="1933">
        <f>((250*92*NAIRA2010_/Unit.MWh)*plantsize.V.a.Gaseous_waste_to_gas)</f>
        <v>23000000000</v>
      </c>
      <c r="P171" s="1377"/>
    </row>
    <row r="172" spans="2:16" s="1863" customFormat="1" ht="17.100000000000001" customHeight="1" x14ac:dyDescent="0.25">
      <c r="B172" s="475"/>
      <c r="C172" s="1416"/>
      <c r="D172" s="1416"/>
      <c r="E172" s="1416"/>
      <c r="F172" s="1416"/>
      <c r="G172" s="1416"/>
      <c r="H172" s="1416"/>
      <c r="I172" s="1416"/>
      <c r="J172" s="1416"/>
      <c r="K172" s="1416"/>
      <c r="L172" s="1416"/>
      <c r="M172" s="1416"/>
      <c r="N172" s="1416"/>
      <c r="O172" s="1416"/>
      <c r="P172" s="1416"/>
    </row>
    <row r="173" spans="2:16" s="1863" customFormat="1" ht="17.100000000000001" customHeight="1" x14ac:dyDescent="0.25">
      <c r="B173" s="475"/>
      <c r="C173" s="1377"/>
      <c r="D173" s="1377"/>
      <c r="E173" s="1377"/>
      <c r="F173" s="1377"/>
      <c r="G173" s="1377"/>
      <c r="H173" s="1377"/>
      <c r="I173" s="1377"/>
      <c r="J173" s="1377"/>
      <c r="K173" s="1377"/>
      <c r="L173" s="1377"/>
      <c r="M173" s="1377"/>
      <c r="N173" s="1377"/>
      <c r="O173" s="1377"/>
      <c r="P173" s="1377"/>
    </row>
    <row r="174" spans="2:16" s="1863" customFormat="1" ht="17.100000000000001" customHeight="1" x14ac:dyDescent="0.25">
      <c r="B174" s="475"/>
      <c r="C174" s="1868" t="s">
        <v>1419</v>
      </c>
      <c r="D174" s="1377"/>
      <c r="E174" s="1377"/>
      <c r="F174" s="1377"/>
      <c r="G174" s="1377"/>
      <c r="H174" s="1377"/>
      <c r="I174" s="1377"/>
      <c r="J174" s="1377"/>
      <c r="K174" s="1377"/>
      <c r="L174" s="1377"/>
      <c r="M174" s="1377"/>
      <c r="N174" s="1377"/>
      <c r="O174" s="1377"/>
      <c r="P174" s="1377"/>
    </row>
    <row r="175" spans="2:16" s="1863" customFormat="1" ht="17.100000000000001" customHeight="1" x14ac:dyDescent="0.25">
      <c r="B175" s="475"/>
      <c r="C175" s="1417" t="str">
        <f>"High estimate operating cost of a typical plant"</f>
        <v>High estimate operating cost of a typical plant</v>
      </c>
      <c r="D175" s="177"/>
      <c r="E175" s="1416"/>
      <c r="F175" s="1864"/>
      <c r="G175" s="1864"/>
      <c r="H175" s="1864"/>
      <c r="I175" s="1864"/>
      <c r="J175" s="1417"/>
      <c r="K175" s="1416"/>
      <c r="L175" s="1416"/>
      <c r="M175" s="1416"/>
      <c r="N175" s="1416"/>
      <c r="O175" s="1417" t="str">
        <f>Preferences.moneyunits &amp;"/"&amp;" plant"</f>
        <v>N/ plant</v>
      </c>
      <c r="P175" s="1416"/>
    </row>
    <row r="176" spans="2:16" s="1863" customFormat="1" ht="17.100000000000001" customHeight="1" x14ac:dyDescent="0.25">
      <c r="B176" s="475"/>
      <c r="C176" s="1416"/>
      <c r="D176" s="177"/>
      <c r="E176" s="1416"/>
      <c r="F176" s="1416"/>
      <c r="G176" s="1416"/>
      <c r="H176" s="1416"/>
      <c r="I176" s="1416"/>
      <c r="J176" s="1416"/>
      <c r="K176" s="1416"/>
      <c r="L176" s="1416"/>
      <c r="M176" s="1416"/>
      <c r="N176" s="1416"/>
      <c r="O176" s="1416"/>
      <c r="P176" s="1416"/>
    </row>
    <row r="177" spans="1:16" s="1863" customFormat="1" ht="17.100000000000001" customHeight="1" x14ac:dyDescent="0.25">
      <c r="B177" s="475"/>
      <c r="C177" s="98" t="s">
        <v>673</v>
      </c>
      <c r="D177" s="98" t="s">
        <v>873</v>
      </c>
      <c r="E177" s="180" t="s">
        <v>874</v>
      </c>
      <c r="F177" s="1567" t="s">
        <v>1321</v>
      </c>
      <c r="G177" s="1845">
        <v>2010</v>
      </c>
      <c r="H177" s="1845">
        <v>2015</v>
      </c>
      <c r="I177" s="1845">
        <v>2020</v>
      </c>
      <c r="J177" s="1845">
        <v>2025</v>
      </c>
      <c r="K177" s="1845">
        <v>2030</v>
      </c>
      <c r="L177" s="1845">
        <v>2035</v>
      </c>
      <c r="M177" s="1845">
        <v>2040</v>
      </c>
      <c r="N177" s="1845">
        <v>2045</v>
      </c>
      <c r="O177" s="1845">
        <v>2050</v>
      </c>
      <c r="P177" s="1377"/>
    </row>
    <row r="178" spans="1:16" s="1863" customFormat="1" ht="17.100000000000001" customHeight="1" x14ac:dyDescent="0.25">
      <c r="B178" s="475"/>
      <c r="C178" s="913" t="s">
        <v>296</v>
      </c>
      <c r="D178" s="146" t="str">
        <f>INDEX(Vectors[Description], MATCH($C178, Vectors[Code], 0))</f>
        <v>Dry biomass and waste</v>
      </c>
      <c r="E178" s="1102" t="s">
        <v>669</v>
      </c>
      <c r="F178" s="1847">
        <f t="shared" ref="F178:F192" si="43">(O178-G178)/(O$177-G$177)</f>
        <v>0</v>
      </c>
      <c r="G178" s="1924">
        <f>(250*23*NAIRA2010_/Unit.MWh)*plantsize.V.a.Dry_bio_and_waste_to_solid</f>
        <v>5750000000</v>
      </c>
      <c r="H178" s="1923">
        <f>($F178*(H$177-G$177))+G178</f>
        <v>5750000000</v>
      </c>
      <c r="I178" s="1923">
        <f t="shared" ref="I178:N178" si="44">($F178*(I$177-H$177))+H178</f>
        <v>5750000000</v>
      </c>
      <c r="J178" s="1923">
        <f t="shared" si="44"/>
        <v>5750000000</v>
      </c>
      <c r="K178" s="1923">
        <f t="shared" si="44"/>
        <v>5750000000</v>
      </c>
      <c r="L178" s="1923">
        <f t="shared" si="44"/>
        <v>5750000000</v>
      </c>
      <c r="M178" s="1923">
        <f t="shared" si="44"/>
        <v>5750000000</v>
      </c>
      <c r="N178" s="1923">
        <f t="shared" si="44"/>
        <v>5750000000</v>
      </c>
      <c r="O178" s="1924">
        <f>(250*23*NAIRA2010_/Unit.MWh)*plantsize.V.a.Dry_bio_and_waste_to_solid</f>
        <v>5750000000</v>
      </c>
      <c r="P178" s="1377"/>
    </row>
    <row r="179" spans="1:16" s="1863" customFormat="1" ht="17.100000000000001" customHeight="1" x14ac:dyDescent="0.3">
      <c r="A179" s="1422"/>
      <c r="B179" s="475"/>
      <c r="C179" s="237" t="s">
        <v>296</v>
      </c>
      <c r="D179" s="1415" t="str">
        <f>INDEX(Vectors[Description], MATCH($C179, Vectors[Code], 0))</f>
        <v>Dry biomass and waste</v>
      </c>
      <c r="E179" s="1415" t="s">
        <v>122</v>
      </c>
      <c r="F179" s="188">
        <f t="shared" si="43"/>
        <v>0</v>
      </c>
      <c r="G179" s="1922">
        <f>((250*63*NAIRA2010_/Unit.MWh)*plantsize.V.a.Dry_bio_and_waste_to_liquid)</f>
        <v>15750000000</v>
      </c>
      <c r="H179" s="1921">
        <f t="shared" ref="H179:N179" si="45">($F179*(H$177-G$177))+G179</f>
        <v>15750000000</v>
      </c>
      <c r="I179" s="1921">
        <f t="shared" si="45"/>
        <v>15750000000</v>
      </c>
      <c r="J179" s="1921">
        <f t="shared" si="45"/>
        <v>15750000000</v>
      </c>
      <c r="K179" s="1921">
        <f t="shared" si="45"/>
        <v>15750000000</v>
      </c>
      <c r="L179" s="1921">
        <f t="shared" si="45"/>
        <v>15750000000</v>
      </c>
      <c r="M179" s="1921">
        <f t="shared" si="45"/>
        <v>15750000000</v>
      </c>
      <c r="N179" s="1921">
        <f t="shared" si="45"/>
        <v>15750000000</v>
      </c>
      <c r="O179" s="1922">
        <f>((250*63*NAIRA2010_/Unit.MWh)*plantsize.V.a.Dry_bio_and_waste_to_liquid)</f>
        <v>15750000000</v>
      </c>
      <c r="P179" s="1377"/>
    </row>
    <row r="180" spans="1:16" s="1863" customFormat="1" ht="17.100000000000001" customHeight="1" x14ac:dyDescent="0.25">
      <c r="B180" s="475"/>
      <c r="C180" s="915" t="s">
        <v>296</v>
      </c>
      <c r="D180" s="624" t="str">
        <f>INDEX(Vectors[Description], MATCH($C180, Vectors[Code], 0))</f>
        <v>Dry biomass and waste</v>
      </c>
      <c r="E180" s="200" t="s">
        <v>10</v>
      </c>
      <c r="F180" s="191">
        <f t="shared" si="43"/>
        <v>0</v>
      </c>
      <c r="G180" s="1933">
        <f>((250*77*NAIRA2010_/Unit.MWh)*plantsize.V.a.Dry_bio_and_waste_to_gas)</f>
        <v>19250000000</v>
      </c>
      <c r="H180" s="1925">
        <f t="shared" ref="H180:N180" si="46">($F180*(H$177-G$177))+G180</f>
        <v>19250000000</v>
      </c>
      <c r="I180" s="1925">
        <f t="shared" si="46"/>
        <v>19250000000</v>
      </c>
      <c r="J180" s="1925">
        <f t="shared" si="46"/>
        <v>19250000000</v>
      </c>
      <c r="K180" s="1925">
        <f t="shared" si="46"/>
        <v>19250000000</v>
      </c>
      <c r="L180" s="1925">
        <f t="shared" si="46"/>
        <v>19250000000</v>
      </c>
      <c r="M180" s="1925">
        <f t="shared" si="46"/>
        <v>19250000000</v>
      </c>
      <c r="N180" s="1925">
        <f t="shared" si="46"/>
        <v>19250000000</v>
      </c>
      <c r="O180" s="1933">
        <f>((250*77*NAIRA2010_/Unit.MWh)*plantsize.V.a.Dry_bio_and_waste_to_gas)</f>
        <v>19250000000</v>
      </c>
      <c r="P180" s="1377"/>
    </row>
    <row r="181" spans="1:16" s="1863" customFormat="1" ht="17.100000000000001" customHeight="1" x14ac:dyDescent="0.2">
      <c r="B181" s="1419"/>
      <c r="C181" s="913" t="s">
        <v>383</v>
      </c>
      <c r="D181" s="146" t="str">
        <f>INDEX(Vectors[Description], MATCH($C181, Vectors[Code], 0))</f>
        <v>Wet biomass and waste</v>
      </c>
      <c r="E181" s="1102" t="s">
        <v>669</v>
      </c>
      <c r="F181" s="1847">
        <f t="shared" si="43"/>
        <v>0</v>
      </c>
      <c r="G181" s="2232"/>
      <c r="H181" s="1923">
        <f t="shared" ref="H181:N181" si="47">($F181*(H$177-G$177))+G181</f>
        <v>0</v>
      </c>
      <c r="I181" s="1923">
        <f t="shared" si="47"/>
        <v>0</v>
      </c>
      <c r="J181" s="1923">
        <f t="shared" si="47"/>
        <v>0</v>
      </c>
      <c r="K181" s="1923">
        <f t="shared" si="47"/>
        <v>0</v>
      </c>
      <c r="L181" s="1923">
        <f t="shared" si="47"/>
        <v>0</v>
      </c>
      <c r="M181" s="1923">
        <f t="shared" si="47"/>
        <v>0</v>
      </c>
      <c r="N181" s="1923">
        <f t="shared" si="47"/>
        <v>0</v>
      </c>
      <c r="O181" s="2232"/>
      <c r="P181" s="1377"/>
    </row>
    <row r="182" spans="1:16" s="1863" customFormat="1" ht="17.100000000000001" customHeight="1" x14ac:dyDescent="0.2">
      <c r="B182" s="1419"/>
      <c r="C182" s="237" t="s">
        <v>383</v>
      </c>
      <c r="D182" s="1415" t="str">
        <f>INDEX(Vectors[Description], MATCH($C182, Vectors[Code], 0))</f>
        <v>Wet biomass and waste</v>
      </c>
      <c r="E182" s="1415" t="s">
        <v>122</v>
      </c>
      <c r="F182" s="188">
        <f t="shared" si="43"/>
        <v>0</v>
      </c>
      <c r="G182" s="1922">
        <f>G179</f>
        <v>15750000000</v>
      </c>
      <c r="H182" s="1921">
        <f t="shared" ref="H182:N182" si="48">($F182*(H$177-G$177))+G182</f>
        <v>15750000000</v>
      </c>
      <c r="I182" s="1921">
        <f t="shared" si="48"/>
        <v>15750000000</v>
      </c>
      <c r="J182" s="1921">
        <f t="shared" si="48"/>
        <v>15750000000</v>
      </c>
      <c r="K182" s="1921">
        <f t="shared" si="48"/>
        <v>15750000000</v>
      </c>
      <c r="L182" s="1921">
        <f t="shared" si="48"/>
        <v>15750000000</v>
      </c>
      <c r="M182" s="1921">
        <f t="shared" si="48"/>
        <v>15750000000</v>
      </c>
      <c r="N182" s="1921">
        <f t="shared" si="48"/>
        <v>15750000000</v>
      </c>
      <c r="O182" s="1922">
        <f>O179</f>
        <v>15750000000</v>
      </c>
      <c r="P182" s="1377"/>
    </row>
    <row r="183" spans="1:16" s="1863" customFormat="1" ht="17.100000000000001" customHeight="1" x14ac:dyDescent="0.2">
      <c r="B183" s="1419"/>
      <c r="C183" s="915" t="s">
        <v>383</v>
      </c>
      <c r="D183" s="624" t="str">
        <f>INDEX(Vectors[Description], MATCH($C183, Vectors[Code], 0))</f>
        <v>Wet biomass and waste</v>
      </c>
      <c r="E183" s="200" t="s">
        <v>10</v>
      </c>
      <c r="F183" s="191">
        <f t="shared" si="43"/>
        <v>0</v>
      </c>
      <c r="G183" s="1933">
        <f>((250*74*NAIRA2010_/Unit.MWh)*plantsize.V.a.Wet_bio_and_waste_to_gas)</f>
        <v>18500000000</v>
      </c>
      <c r="H183" s="1925">
        <f t="shared" ref="H183:N183" si="49">($F183*(H$177-G$177))+G183</f>
        <v>18500000000</v>
      </c>
      <c r="I183" s="1925">
        <f t="shared" si="49"/>
        <v>18500000000</v>
      </c>
      <c r="J183" s="1925">
        <f t="shared" si="49"/>
        <v>18500000000</v>
      </c>
      <c r="K183" s="1925">
        <f t="shared" si="49"/>
        <v>18500000000</v>
      </c>
      <c r="L183" s="1925">
        <f t="shared" si="49"/>
        <v>18500000000</v>
      </c>
      <c r="M183" s="1925">
        <f t="shared" si="49"/>
        <v>18500000000</v>
      </c>
      <c r="N183" s="1925">
        <f t="shared" si="49"/>
        <v>18500000000</v>
      </c>
      <c r="O183" s="1933">
        <f>((250*74*NAIRA2010_/Unit.MWh)*plantsize.V.a.Wet_bio_and_waste_to_gas)</f>
        <v>18500000000</v>
      </c>
      <c r="P183" s="1377"/>
    </row>
    <row r="184" spans="1:16" s="1863" customFormat="1" ht="17.100000000000001" customHeight="1" x14ac:dyDescent="0.2">
      <c r="B184" s="1419"/>
      <c r="C184" s="237" t="s">
        <v>871</v>
      </c>
      <c r="D184" s="1415" t="str">
        <f>INDEX(Vectors[Description], MATCH($C184, Vectors[Code], 0))</f>
        <v>Energy crops (second generation)</v>
      </c>
      <c r="E184" s="1102" t="s">
        <v>669</v>
      </c>
      <c r="F184" s="1847">
        <f t="shared" si="43"/>
        <v>0</v>
      </c>
      <c r="G184" s="1924">
        <f t="shared" ref="G184:G186" si="50">G178</f>
        <v>5750000000</v>
      </c>
      <c r="H184" s="1923">
        <f t="shared" ref="H184:N184" si="51">($F184*(H$177-G$177))+G184</f>
        <v>5750000000</v>
      </c>
      <c r="I184" s="1923">
        <f t="shared" si="51"/>
        <v>5750000000</v>
      </c>
      <c r="J184" s="1923">
        <f t="shared" si="51"/>
        <v>5750000000</v>
      </c>
      <c r="K184" s="1923">
        <f t="shared" si="51"/>
        <v>5750000000</v>
      </c>
      <c r="L184" s="1923">
        <f t="shared" si="51"/>
        <v>5750000000</v>
      </c>
      <c r="M184" s="1923">
        <f t="shared" si="51"/>
        <v>5750000000</v>
      </c>
      <c r="N184" s="1923">
        <f t="shared" si="51"/>
        <v>5750000000</v>
      </c>
      <c r="O184" s="1924">
        <f>O178</f>
        <v>5750000000</v>
      </c>
      <c r="P184" s="1377"/>
    </row>
    <row r="185" spans="1:16" s="1863" customFormat="1" ht="17.100000000000001" customHeight="1" x14ac:dyDescent="0.2">
      <c r="B185" s="1419"/>
      <c r="C185" s="237" t="s">
        <v>871</v>
      </c>
      <c r="D185" s="1415" t="str">
        <f>INDEX(Vectors[Description], MATCH($C185, Vectors[Code], 0))</f>
        <v>Energy crops (second generation)</v>
      </c>
      <c r="E185" s="1415" t="s">
        <v>122</v>
      </c>
      <c r="F185" s="188">
        <f t="shared" si="43"/>
        <v>0</v>
      </c>
      <c r="G185" s="1922">
        <f t="shared" si="50"/>
        <v>15750000000</v>
      </c>
      <c r="H185" s="1921">
        <f t="shared" ref="H185:N185" si="52">($F185*(H$177-G$177))+G185</f>
        <v>15750000000</v>
      </c>
      <c r="I185" s="1921">
        <f t="shared" si="52"/>
        <v>15750000000</v>
      </c>
      <c r="J185" s="1921">
        <f t="shared" si="52"/>
        <v>15750000000</v>
      </c>
      <c r="K185" s="1921">
        <f t="shared" si="52"/>
        <v>15750000000</v>
      </c>
      <c r="L185" s="1921">
        <f t="shared" si="52"/>
        <v>15750000000</v>
      </c>
      <c r="M185" s="1921">
        <f t="shared" si="52"/>
        <v>15750000000</v>
      </c>
      <c r="N185" s="1921">
        <f t="shared" si="52"/>
        <v>15750000000</v>
      </c>
      <c r="O185" s="1922">
        <f>O179</f>
        <v>15750000000</v>
      </c>
      <c r="P185" s="1377"/>
    </row>
    <row r="186" spans="1:16" s="1863" customFormat="1" ht="17.100000000000001" customHeight="1" x14ac:dyDescent="0.2">
      <c r="B186" s="1419"/>
      <c r="C186" s="915" t="s">
        <v>871</v>
      </c>
      <c r="D186" s="624" t="str">
        <f>INDEX(Vectors[Description], MATCH($C186, Vectors[Code], 0))</f>
        <v>Energy crops (second generation)</v>
      </c>
      <c r="E186" s="200" t="s">
        <v>10</v>
      </c>
      <c r="F186" s="191">
        <f t="shared" si="43"/>
        <v>0</v>
      </c>
      <c r="G186" s="1933">
        <f t="shared" si="50"/>
        <v>19250000000</v>
      </c>
      <c r="H186" s="1925">
        <f t="shared" ref="H186:N186" si="53">($F186*(H$177-G$177))+G186</f>
        <v>19250000000</v>
      </c>
      <c r="I186" s="1925">
        <f t="shared" si="53"/>
        <v>19250000000</v>
      </c>
      <c r="J186" s="1925">
        <f t="shared" si="53"/>
        <v>19250000000</v>
      </c>
      <c r="K186" s="1925">
        <f t="shared" si="53"/>
        <v>19250000000</v>
      </c>
      <c r="L186" s="1925">
        <f t="shared" si="53"/>
        <v>19250000000</v>
      </c>
      <c r="M186" s="1925">
        <f t="shared" si="53"/>
        <v>19250000000</v>
      </c>
      <c r="N186" s="1925">
        <f t="shared" si="53"/>
        <v>19250000000</v>
      </c>
      <c r="O186" s="1933">
        <f>O180</f>
        <v>19250000000</v>
      </c>
      <c r="P186" s="1377"/>
    </row>
    <row r="187" spans="1:16" s="1863" customFormat="1" ht="17.100000000000001" customHeight="1" x14ac:dyDescent="0.2">
      <c r="B187" s="477"/>
      <c r="C187" s="237" t="s">
        <v>1161</v>
      </c>
      <c r="D187" s="1415" t="str">
        <f>INDEX(Vectors[Description], MATCH($C187, Vectors[Code], 0))</f>
        <v>Energy crops (first generation)</v>
      </c>
      <c r="E187" s="1102" t="s">
        <v>669</v>
      </c>
      <c r="F187" s="1847">
        <f t="shared" si="43"/>
        <v>0</v>
      </c>
      <c r="G187" s="2232"/>
      <c r="H187" s="1923">
        <f t="shared" ref="H187:N187" si="54">($F187*(H$177-G$177))+G187</f>
        <v>0</v>
      </c>
      <c r="I187" s="1923">
        <f t="shared" si="54"/>
        <v>0</v>
      </c>
      <c r="J187" s="1923">
        <f t="shared" si="54"/>
        <v>0</v>
      </c>
      <c r="K187" s="1923">
        <f t="shared" si="54"/>
        <v>0</v>
      </c>
      <c r="L187" s="1923">
        <f t="shared" si="54"/>
        <v>0</v>
      </c>
      <c r="M187" s="1923">
        <f t="shared" si="54"/>
        <v>0</v>
      </c>
      <c r="N187" s="1923">
        <f t="shared" si="54"/>
        <v>0</v>
      </c>
      <c r="O187" s="2232"/>
      <c r="P187" s="1377"/>
    </row>
    <row r="188" spans="1:16" s="1863" customFormat="1" ht="17.100000000000001" customHeight="1" x14ac:dyDescent="0.2">
      <c r="B188" s="477"/>
      <c r="C188" s="237" t="s">
        <v>1161</v>
      </c>
      <c r="D188" s="1415" t="str">
        <f>INDEX(Vectors[Description], MATCH($C188, Vectors[Code], 0))</f>
        <v>Energy crops (first generation)</v>
      </c>
      <c r="E188" s="1415" t="s">
        <v>122</v>
      </c>
      <c r="F188" s="188">
        <f t="shared" si="43"/>
        <v>0</v>
      </c>
      <c r="G188" s="1922">
        <f>((250*23*NAIRA2010_/Unit.MWh)*plantsize.V.a.Energy_crops_1st_generation_to_liquid)</f>
        <v>5750000000</v>
      </c>
      <c r="H188" s="1921">
        <f t="shared" ref="H188:N188" si="55">($F188*(H$177-G$177))+G188</f>
        <v>5750000000</v>
      </c>
      <c r="I188" s="1921">
        <f t="shared" si="55"/>
        <v>5750000000</v>
      </c>
      <c r="J188" s="1921">
        <f t="shared" si="55"/>
        <v>5750000000</v>
      </c>
      <c r="K188" s="1921">
        <f t="shared" si="55"/>
        <v>5750000000</v>
      </c>
      <c r="L188" s="1921">
        <f t="shared" si="55"/>
        <v>5750000000</v>
      </c>
      <c r="M188" s="1921">
        <f t="shared" si="55"/>
        <v>5750000000</v>
      </c>
      <c r="N188" s="1921">
        <f t="shared" si="55"/>
        <v>5750000000</v>
      </c>
      <c r="O188" s="1922">
        <f>((250*23*NAIRA2010_/Unit.MWh)*plantsize.V.a.Energy_crops_1st_generation_to_liquid)</f>
        <v>5750000000</v>
      </c>
      <c r="P188" s="1377"/>
    </row>
    <row r="189" spans="1:16" s="1863" customFormat="1" ht="17.100000000000001" customHeight="1" x14ac:dyDescent="0.25">
      <c r="A189" s="39"/>
      <c r="B189" s="475"/>
      <c r="C189" s="915" t="s">
        <v>1161</v>
      </c>
      <c r="D189" s="624" t="str">
        <f>INDEX(Vectors[Description], MATCH($C189, Vectors[Code], 0))</f>
        <v>Energy crops (first generation)</v>
      </c>
      <c r="E189" s="200" t="s">
        <v>10</v>
      </c>
      <c r="F189" s="191">
        <f t="shared" si="43"/>
        <v>0</v>
      </c>
      <c r="G189" s="1933"/>
      <c r="H189" s="1925">
        <f t="shared" ref="H189:N189" si="56">($F189*(H$177-G$177))+G189</f>
        <v>0</v>
      </c>
      <c r="I189" s="1925">
        <f t="shared" si="56"/>
        <v>0</v>
      </c>
      <c r="J189" s="1925">
        <f t="shared" si="56"/>
        <v>0</v>
      </c>
      <c r="K189" s="1925">
        <f t="shared" si="56"/>
        <v>0</v>
      </c>
      <c r="L189" s="1925">
        <f t="shared" si="56"/>
        <v>0</v>
      </c>
      <c r="M189" s="1925">
        <f t="shared" si="56"/>
        <v>0</v>
      </c>
      <c r="N189" s="1925">
        <f t="shared" si="56"/>
        <v>0</v>
      </c>
      <c r="O189" s="1933"/>
      <c r="P189" s="1377"/>
    </row>
    <row r="190" spans="1:16" s="1863" customFormat="1" ht="17.100000000000001" customHeight="1" x14ac:dyDescent="0.25">
      <c r="A190" s="39"/>
      <c r="B190" s="475"/>
      <c r="C190" s="237" t="s">
        <v>1164</v>
      </c>
      <c r="D190" s="1415" t="str">
        <f>INDEX(Vectors[Description], MATCH($C190, Vectors[Code], 0))</f>
        <v>Gaseous waste</v>
      </c>
      <c r="E190" s="1102" t="s">
        <v>669</v>
      </c>
      <c r="F190" s="1847">
        <f t="shared" si="43"/>
        <v>0</v>
      </c>
      <c r="G190" s="1924"/>
      <c r="H190" s="1923">
        <f t="shared" ref="H190:N190" si="57">($F190*(H$177-G$177))+G190</f>
        <v>0</v>
      </c>
      <c r="I190" s="1923">
        <f t="shared" si="57"/>
        <v>0</v>
      </c>
      <c r="J190" s="1923">
        <f t="shared" si="57"/>
        <v>0</v>
      </c>
      <c r="K190" s="1923">
        <f t="shared" si="57"/>
        <v>0</v>
      </c>
      <c r="L190" s="1923">
        <f t="shared" si="57"/>
        <v>0</v>
      </c>
      <c r="M190" s="1923">
        <f t="shared" si="57"/>
        <v>0</v>
      </c>
      <c r="N190" s="1923">
        <f t="shared" si="57"/>
        <v>0</v>
      </c>
      <c r="O190" s="1924"/>
      <c r="P190" s="1377"/>
    </row>
    <row r="191" spans="1:16" s="1863" customFormat="1" ht="17.100000000000001" customHeight="1" x14ac:dyDescent="0.25">
      <c r="B191" s="475"/>
      <c r="C191" s="237" t="s">
        <v>1164</v>
      </c>
      <c r="D191" s="1415" t="str">
        <f>INDEX(Vectors[Description], MATCH($C191, Vectors[Code], 0))</f>
        <v>Gaseous waste</v>
      </c>
      <c r="E191" s="1415" t="s">
        <v>122</v>
      </c>
      <c r="F191" s="188">
        <f t="shared" si="43"/>
        <v>0</v>
      </c>
      <c r="G191" s="1922"/>
      <c r="H191" s="1921">
        <f t="shared" ref="H191:N191" si="58">($F191*(H$177-G$177))+G191</f>
        <v>0</v>
      </c>
      <c r="I191" s="1921">
        <f t="shared" si="58"/>
        <v>0</v>
      </c>
      <c r="J191" s="1921">
        <f t="shared" si="58"/>
        <v>0</v>
      </c>
      <c r="K191" s="1921">
        <f t="shared" si="58"/>
        <v>0</v>
      </c>
      <c r="L191" s="1921">
        <f t="shared" si="58"/>
        <v>0</v>
      </c>
      <c r="M191" s="1921">
        <f t="shared" si="58"/>
        <v>0</v>
      </c>
      <c r="N191" s="1921">
        <f t="shared" si="58"/>
        <v>0</v>
      </c>
      <c r="O191" s="1922"/>
      <c r="P191" s="1377"/>
    </row>
    <row r="192" spans="1:16" s="1863" customFormat="1" ht="17.100000000000001" customHeight="1" x14ac:dyDescent="0.25">
      <c r="B192" s="475"/>
      <c r="C192" s="1096" t="s">
        <v>1164</v>
      </c>
      <c r="D192" s="200" t="str">
        <f>INDEX(Vectors[Description], MATCH($C192, Vectors[Code], 0))</f>
        <v>Gaseous waste</v>
      </c>
      <c r="E192" s="200" t="s">
        <v>10</v>
      </c>
      <c r="F192" s="191">
        <f t="shared" si="43"/>
        <v>0</v>
      </c>
      <c r="G192" s="1933">
        <f>((250*19*NAIRA2010_/Unit.MWh)*plantsize.V.a.Gaseous_waste_to_gas)</f>
        <v>4750000000</v>
      </c>
      <c r="H192" s="1925">
        <f t="shared" ref="H192:N192" si="59">($F192*(H$177-G$177))+G192</f>
        <v>4750000000</v>
      </c>
      <c r="I192" s="1925">
        <f t="shared" si="59"/>
        <v>4750000000</v>
      </c>
      <c r="J192" s="1925">
        <f t="shared" si="59"/>
        <v>4750000000</v>
      </c>
      <c r="K192" s="1925">
        <f t="shared" si="59"/>
        <v>4750000000</v>
      </c>
      <c r="L192" s="1925">
        <f t="shared" si="59"/>
        <v>4750000000</v>
      </c>
      <c r="M192" s="1925">
        <f t="shared" si="59"/>
        <v>4750000000</v>
      </c>
      <c r="N192" s="1925">
        <f t="shared" si="59"/>
        <v>4750000000</v>
      </c>
      <c r="O192" s="1933">
        <f>((250*19*NAIRA2010_/Unit.MWh)*plantsize.V.a.Gaseous_waste_to_gas)</f>
        <v>4750000000</v>
      </c>
      <c r="P192" s="1377"/>
    </row>
    <row r="193" spans="1:16" s="1863" customFormat="1" ht="17.100000000000001" customHeight="1" x14ac:dyDescent="0.25">
      <c r="A193" s="39"/>
      <c r="B193" s="475"/>
      <c r="C193" s="1416"/>
      <c r="D193" s="1416"/>
      <c r="E193" s="1416"/>
      <c r="F193" s="1416"/>
      <c r="G193" s="1416"/>
      <c r="H193" s="1416"/>
      <c r="I193" s="1416"/>
      <c r="J193" s="1416"/>
      <c r="K193" s="1416"/>
      <c r="L193" s="1416"/>
      <c r="M193" s="1416"/>
      <c r="N193" s="1416"/>
      <c r="O193" s="1416"/>
      <c r="P193" s="1416"/>
    </row>
    <row r="194" spans="1:16" s="1863" customFormat="1" ht="17.100000000000001" customHeight="1" x14ac:dyDescent="0.25">
      <c r="A194" s="39"/>
      <c r="B194" s="475"/>
      <c r="C194" s="1417" t="str">
        <f>"Point estimate operating cost of a typical plant"</f>
        <v>Point estimate operating cost of a typical plant</v>
      </c>
      <c r="D194" s="177"/>
      <c r="E194" s="1416"/>
      <c r="F194" s="1864"/>
      <c r="G194" s="1864"/>
      <c r="H194" s="1864"/>
      <c r="I194" s="1864"/>
      <c r="J194" s="1417"/>
      <c r="K194" s="1416"/>
      <c r="L194" s="1416"/>
      <c r="M194" s="1416"/>
      <c r="N194" s="1416"/>
      <c r="O194" s="1417" t="str">
        <f>Preferences.moneyunits &amp;"/"&amp;" plant"</f>
        <v>N/ plant</v>
      </c>
      <c r="P194" s="1416"/>
    </row>
    <row r="195" spans="1:16" s="1863" customFormat="1" ht="17.100000000000001" customHeight="1" x14ac:dyDescent="0.25">
      <c r="B195" s="475"/>
      <c r="C195" s="1416"/>
      <c r="D195" s="177"/>
      <c r="E195" s="1416"/>
      <c r="F195" s="1416"/>
      <c r="G195" s="1416"/>
      <c r="H195" s="1416"/>
      <c r="I195" s="1416"/>
      <c r="J195" s="1416"/>
      <c r="K195" s="1416"/>
      <c r="L195" s="1416"/>
      <c r="M195" s="1416"/>
      <c r="N195" s="1416"/>
      <c r="O195" s="1420"/>
      <c r="P195" s="1377"/>
    </row>
    <row r="196" spans="1:16" s="1863" customFormat="1" ht="17.100000000000001" customHeight="1" x14ac:dyDescent="0.25">
      <c r="B196" s="475"/>
      <c r="C196" s="98" t="s">
        <v>673</v>
      </c>
      <c r="D196" s="98" t="s">
        <v>873</v>
      </c>
      <c r="E196" s="98" t="s">
        <v>874</v>
      </c>
      <c r="F196" s="1842" t="s">
        <v>1321</v>
      </c>
      <c r="G196" s="1843">
        <v>2010</v>
      </c>
      <c r="H196" s="1843">
        <v>2015</v>
      </c>
      <c r="I196" s="1843">
        <v>2020</v>
      </c>
      <c r="J196" s="1843">
        <v>2025</v>
      </c>
      <c r="K196" s="1843">
        <v>2030</v>
      </c>
      <c r="L196" s="1843">
        <v>2035</v>
      </c>
      <c r="M196" s="1843">
        <v>2040</v>
      </c>
      <c r="N196" s="1843">
        <v>2045</v>
      </c>
      <c r="O196" s="1843">
        <v>2050</v>
      </c>
      <c r="P196" s="1377"/>
    </row>
    <row r="197" spans="1:16" s="1863" customFormat="1" ht="17.100000000000001" customHeight="1" x14ac:dyDescent="0.25">
      <c r="A197" s="39"/>
      <c r="B197" s="475"/>
      <c r="C197" s="913" t="s">
        <v>296</v>
      </c>
      <c r="D197" s="146" t="str">
        <f>INDEX(Vectors[Description], MATCH($C197, Vectors[Code], 0))</f>
        <v>Dry biomass and waste</v>
      </c>
      <c r="E197" s="146" t="s">
        <v>669</v>
      </c>
      <c r="F197" s="1847">
        <f t="shared" ref="F197:F211" si="60">(O197-G197)/(O$177-G$177)</f>
        <v>0</v>
      </c>
      <c r="G197" s="2101">
        <f>(250*2*NAIRA2010_/Unit.GJ)*plantsize.V.a.Dry_bio_and_waste_to_solid</f>
        <v>1800000000.0000002</v>
      </c>
      <c r="H197" s="2101">
        <f t="shared" ref="H197:N197" si="61">(2*MGBP/Unit.PJ)*plantsize.V.a.Dry_bio_and_waste_to_solid*(Price2000)</f>
        <v>4839503746.4684935</v>
      </c>
      <c r="I197" s="2101">
        <f t="shared" si="61"/>
        <v>4839503746.4684935</v>
      </c>
      <c r="J197" s="2101">
        <f t="shared" si="61"/>
        <v>4839503746.4684935</v>
      </c>
      <c r="K197" s="2101">
        <f t="shared" si="61"/>
        <v>4839503746.4684935</v>
      </c>
      <c r="L197" s="2101">
        <f t="shared" si="61"/>
        <v>4839503746.4684935</v>
      </c>
      <c r="M197" s="2101">
        <f t="shared" si="61"/>
        <v>4839503746.4684935</v>
      </c>
      <c r="N197" s="2101">
        <f t="shared" si="61"/>
        <v>4839503746.4684935</v>
      </c>
      <c r="O197" s="2101">
        <f>(250*2*NAIRA2010_/Unit.GJ)*plantsize.V.a.Dry_bio_and_waste_to_solid</f>
        <v>1800000000.0000002</v>
      </c>
      <c r="P197" s="1377"/>
    </row>
    <row r="198" spans="1:16" s="1863" customFormat="1" ht="17.100000000000001" customHeight="1" x14ac:dyDescent="0.25">
      <c r="A198" s="39"/>
      <c r="B198" s="475"/>
      <c r="C198" s="237" t="s">
        <v>296</v>
      </c>
      <c r="D198" s="1415" t="str">
        <f>INDEX(Vectors[Description], MATCH($C198, Vectors[Code], 0))</f>
        <v>Dry biomass and waste</v>
      </c>
      <c r="E198" s="1415" t="s">
        <v>122</v>
      </c>
      <c r="F198" s="188">
        <f t="shared" si="60"/>
        <v>0</v>
      </c>
      <c r="G198" s="2102">
        <f>((250*4.15*NAIRA2010_/Unit.GJ)*plantsize.V.a.Dry_bio_and_waste_to_liquid)</f>
        <v>3735000000.0000005</v>
      </c>
      <c r="H198" s="2102">
        <f t="shared" ref="H198:N198" si="62">((4.15*MGBP/Unit.PJ)*plantsize.V.a.Dry_bio_and_waste_to_liquid)*(Price2000)</f>
        <v>10041970273.922125</v>
      </c>
      <c r="I198" s="2102">
        <f t="shared" si="62"/>
        <v>10041970273.922125</v>
      </c>
      <c r="J198" s="2102">
        <f t="shared" si="62"/>
        <v>10041970273.922125</v>
      </c>
      <c r="K198" s="2102">
        <f t="shared" si="62"/>
        <v>10041970273.922125</v>
      </c>
      <c r="L198" s="2102">
        <f t="shared" si="62"/>
        <v>10041970273.922125</v>
      </c>
      <c r="M198" s="2102">
        <f t="shared" si="62"/>
        <v>10041970273.922125</v>
      </c>
      <c r="N198" s="2102">
        <f t="shared" si="62"/>
        <v>10041970273.922125</v>
      </c>
      <c r="O198" s="2102">
        <f>((250*4.15*NAIRA2010_/Unit.GJ)*plantsize.V.a.Dry_bio_and_waste_to_liquid)</f>
        <v>3735000000.0000005</v>
      </c>
      <c r="P198" s="1377"/>
    </row>
    <row r="199" spans="1:16" s="1863" customFormat="1" ht="17.100000000000001" customHeight="1" x14ac:dyDescent="0.25">
      <c r="B199" s="475"/>
      <c r="C199" s="915" t="s">
        <v>296</v>
      </c>
      <c r="D199" s="624" t="str">
        <f>INDEX(Vectors[Description], MATCH($C199, Vectors[Code], 0))</f>
        <v>Dry biomass and waste</v>
      </c>
      <c r="E199" s="624" t="s">
        <v>10</v>
      </c>
      <c r="F199" s="191">
        <f t="shared" si="60"/>
        <v>0</v>
      </c>
      <c r="G199" s="2100">
        <f>((G180-G218)*35%)+G218</f>
        <v>7225000000</v>
      </c>
      <c r="H199" s="1925">
        <f t="shared" ref="H199:N199" si="63">($F199*(H$177-G$177))+G199</f>
        <v>7225000000</v>
      </c>
      <c r="I199" s="1925">
        <f t="shared" si="63"/>
        <v>7225000000</v>
      </c>
      <c r="J199" s="1925">
        <f t="shared" si="63"/>
        <v>7225000000</v>
      </c>
      <c r="K199" s="1925">
        <f t="shared" si="63"/>
        <v>7225000000</v>
      </c>
      <c r="L199" s="1925">
        <f t="shared" si="63"/>
        <v>7225000000</v>
      </c>
      <c r="M199" s="1925">
        <f t="shared" si="63"/>
        <v>7225000000</v>
      </c>
      <c r="N199" s="1925">
        <f t="shared" si="63"/>
        <v>7225000000</v>
      </c>
      <c r="O199" s="2100">
        <f>((O180-O218)*35%)+O218</f>
        <v>7225000000</v>
      </c>
      <c r="P199" s="1377"/>
    </row>
    <row r="200" spans="1:16" s="1863" customFormat="1" ht="17.100000000000001" customHeight="1" x14ac:dyDescent="0.25">
      <c r="B200" s="475"/>
      <c r="C200" s="913" t="s">
        <v>383</v>
      </c>
      <c r="D200" s="146" t="str">
        <f>INDEX(Vectors[Description], MATCH($C200, Vectors[Code], 0))</f>
        <v>Wet biomass and waste</v>
      </c>
      <c r="E200" s="146" t="s">
        <v>669</v>
      </c>
      <c r="F200" s="1847">
        <f t="shared" si="60"/>
        <v>0</v>
      </c>
      <c r="G200" s="2232"/>
      <c r="H200" s="1923">
        <f t="shared" ref="H200:N200" si="64">($F200*(H$177-G$177))+G200</f>
        <v>0</v>
      </c>
      <c r="I200" s="1923">
        <f t="shared" si="64"/>
        <v>0</v>
      </c>
      <c r="J200" s="1923">
        <f t="shared" si="64"/>
        <v>0</v>
      </c>
      <c r="K200" s="1923">
        <f t="shared" si="64"/>
        <v>0</v>
      </c>
      <c r="L200" s="1923">
        <f t="shared" si="64"/>
        <v>0</v>
      </c>
      <c r="M200" s="1923">
        <f t="shared" si="64"/>
        <v>0</v>
      </c>
      <c r="N200" s="1923">
        <f t="shared" si="64"/>
        <v>0</v>
      </c>
      <c r="O200" s="2232"/>
      <c r="P200" s="1377"/>
    </row>
    <row r="201" spans="1:16" s="1863" customFormat="1" ht="17.100000000000001" customHeight="1" x14ac:dyDescent="0.25">
      <c r="B201" s="475"/>
      <c r="C201" s="237" t="s">
        <v>383</v>
      </c>
      <c r="D201" s="1415" t="str">
        <f>INDEX(Vectors[Description], MATCH($C201, Vectors[Code], 0))</f>
        <v>Wet biomass and waste</v>
      </c>
      <c r="E201" s="1415" t="s">
        <v>122</v>
      </c>
      <c r="F201" s="188">
        <f t="shared" si="60"/>
        <v>0</v>
      </c>
      <c r="G201" s="1922">
        <f>((250*4.15*NAIRA2010_/Unit.GJ)*plantsize.V.a.Dry_bio_and_waste_to_liquid)</f>
        <v>3735000000.0000005</v>
      </c>
      <c r="H201" s="1921">
        <f t="shared" ref="H201:N201" si="65">($F201*(H$177-G$177))+G201</f>
        <v>3735000000.0000005</v>
      </c>
      <c r="I201" s="1921">
        <f t="shared" si="65"/>
        <v>3735000000.0000005</v>
      </c>
      <c r="J201" s="1921">
        <f t="shared" si="65"/>
        <v>3735000000.0000005</v>
      </c>
      <c r="K201" s="1921">
        <f t="shared" si="65"/>
        <v>3735000000.0000005</v>
      </c>
      <c r="L201" s="1921">
        <f t="shared" si="65"/>
        <v>3735000000.0000005</v>
      </c>
      <c r="M201" s="1921">
        <f t="shared" si="65"/>
        <v>3735000000.0000005</v>
      </c>
      <c r="N201" s="1921">
        <f t="shared" si="65"/>
        <v>3735000000.0000005</v>
      </c>
      <c r="O201" s="1922">
        <f>((250*4.15*NAIRA2010_/Unit.GJ)*plantsize.V.a.Dry_bio_and_waste_to_liquid)</f>
        <v>3735000000.0000005</v>
      </c>
      <c r="P201" s="1377"/>
    </row>
    <row r="202" spans="1:16" s="1863" customFormat="1" ht="17.100000000000001" customHeight="1" x14ac:dyDescent="0.25">
      <c r="B202" s="475"/>
      <c r="C202" s="915" t="s">
        <v>383</v>
      </c>
      <c r="D202" s="624" t="str">
        <f>INDEX(Vectors[Description], MATCH($C202, Vectors[Code], 0))</f>
        <v>Wet biomass and waste</v>
      </c>
      <c r="E202" s="624" t="s">
        <v>10</v>
      </c>
      <c r="F202" s="191">
        <f t="shared" si="60"/>
        <v>0</v>
      </c>
      <c r="G202" s="1933">
        <f>(G221+((G183-G221)*0.35))</f>
        <v>6637500000</v>
      </c>
      <c r="H202" s="1925">
        <f t="shared" ref="H202:N202" si="66">($F202*(H$177-G$177))+G202</f>
        <v>6637500000</v>
      </c>
      <c r="I202" s="1925">
        <f t="shared" si="66"/>
        <v>6637500000</v>
      </c>
      <c r="J202" s="1925">
        <f t="shared" si="66"/>
        <v>6637500000</v>
      </c>
      <c r="K202" s="1925">
        <f t="shared" si="66"/>
        <v>6637500000</v>
      </c>
      <c r="L202" s="1925">
        <f t="shared" si="66"/>
        <v>6637500000</v>
      </c>
      <c r="M202" s="1925">
        <f t="shared" si="66"/>
        <v>6637500000</v>
      </c>
      <c r="N202" s="1925">
        <f t="shared" si="66"/>
        <v>6637500000</v>
      </c>
      <c r="O202" s="1933">
        <f>(O221+((O183-O221)*0.35))</f>
        <v>6637500000</v>
      </c>
      <c r="P202" s="1377"/>
    </row>
    <row r="203" spans="1:16" s="1863" customFormat="1" ht="17.100000000000001" customHeight="1" x14ac:dyDescent="0.25">
      <c r="B203" s="475"/>
      <c r="C203" s="237" t="s">
        <v>871</v>
      </c>
      <c r="D203" s="1415" t="str">
        <f>INDEX(Vectors[Description], MATCH($C203, Vectors[Code], 0))</f>
        <v>Energy crops (second generation)</v>
      </c>
      <c r="E203" s="1415" t="s">
        <v>669</v>
      </c>
      <c r="F203" s="1847">
        <f t="shared" si="60"/>
        <v>0</v>
      </c>
      <c r="G203" s="1924">
        <f>G197</f>
        <v>1800000000.0000002</v>
      </c>
      <c r="H203" s="1923">
        <f t="shared" ref="H203:N203" si="67">($F203*(H$177-G$177))+G203</f>
        <v>1800000000.0000002</v>
      </c>
      <c r="I203" s="1923">
        <f t="shared" si="67"/>
        <v>1800000000.0000002</v>
      </c>
      <c r="J203" s="1923">
        <f t="shared" si="67"/>
        <v>1800000000.0000002</v>
      </c>
      <c r="K203" s="1923">
        <f t="shared" si="67"/>
        <v>1800000000.0000002</v>
      </c>
      <c r="L203" s="1923">
        <f t="shared" si="67"/>
        <v>1800000000.0000002</v>
      </c>
      <c r="M203" s="1923">
        <f t="shared" si="67"/>
        <v>1800000000.0000002</v>
      </c>
      <c r="N203" s="1923">
        <f t="shared" si="67"/>
        <v>1800000000.0000002</v>
      </c>
      <c r="O203" s="1924">
        <f>O197</f>
        <v>1800000000.0000002</v>
      </c>
      <c r="P203" s="1377"/>
    </row>
    <row r="204" spans="1:16" s="1863" customFormat="1" ht="17.100000000000001" customHeight="1" x14ac:dyDescent="0.25">
      <c r="B204" s="475"/>
      <c r="C204" s="237" t="s">
        <v>871</v>
      </c>
      <c r="D204" s="1415" t="str">
        <f>INDEX(Vectors[Description], MATCH($C204, Vectors[Code], 0))</f>
        <v>Energy crops (second generation)</v>
      </c>
      <c r="E204" s="1415" t="s">
        <v>122</v>
      </c>
      <c r="F204" s="188">
        <f t="shared" si="60"/>
        <v>0</v>
      </c>
      <c r="G204" s="1922">
        <f>((250*4.15*NAIRA2010_/Unit.GJ)*plantsize.V.a.Dry_bio_and_waste_to_liquid)</f>
        <v>3735000000.0000005</v>
      </c>
      <c r="H204" s="1921">
        <f t="shared" ref="H204:N204" si="68">($F204*(H$177-G$177))+G204</f>
        <v>3735000000.0000005</v>
      </c>
      <c r="I204" s="1921">
        <f t="shared" si="68"/>
        <v>3735000000.0000005</v>
      </c>
      <c r="J204" s="1921">
        <f t="shared" si="68"/>
        <v>3735000000.0000005</v>
      </c>
      <c r="K204" s="1921">
        <f t="shared" si="68"/>
        <v>3735000000.0000005</v>
      </c>
      <c r="L204" s="1921">
        <f t="shared" si="68"/>
        <v>3735000000.0000005</v>
      </c>
      <c r="M204" s="1921">
        <f t="shared" si="68"/>
        <v>3735000000.0000005</v>
      </c>
      <c r="N204" s="1921">
        <f t="shared" si="68"/>
        <v>3735000000.0000005</v>
      </c>
      <c r="O204" s="1922">
        <f>((250*4.15*NAIRA2010_/Unit.GJ)*plantsize.V.a.Dry_bio_and_waste_to_liquid)</f>
        <v>3735000000.0000005</v>
      </c>
      <c r="P204" s="1377"/>
    </row>
    <row r="205" spans="1:16" s="1863" customFormat="1" ht="17.100000000000001" customHeight="1" x14ac:dyDescent="0.2">
      <c r="B205" s="1419"/>
      <c r="C205" s="915" t="s">
        <v>871</v>
      </c>
      <c r="D205" s="624" t="str">
        <f>INDEX(Vectors[Description], MATCH($C205, Vectors[Code], 0))</f>
        <v>Energy crops (second generation)</v>
      </c>
      <c r="E205" s="624" t="s">
        <v>10</v>
      </c>
      <c r="F205" s="191">
        <f t="shared" si="60"/>
        <v>0</v>
      </c>
      <c r="G205" s="1933">
        <f>G199</f>
        <v>7225000000</v>
      </c>
      <c r="H205" s="1925">
        <f t="shared" ref="H205:N205" si="69">($F205*(H$177-G$177))+G205</f>
        <v>7225000000</v>
      </c>
      <c r="I205" s="1925">
        <f t="shared" si="69"/>
        <v>7225000000</v>
      </c>
      <c r="J205" s="1925">
        <f t="shared" si="69"/>
        <v>7225000000</v>
      </c>
      <c r="K205" s="1925">
        <f t="shared" si="69"/>
        <v>7225000000</v>
      </c>
      <c r="L205" s="1925">
        <f t="shared" si="69"/>
        <v>7225000000</v>
      </c>
      <c r="M205" s="1925">
        <f t="shared" si="69"/>
        <v>7225000000</v>
      </c>
      <c r="N205" s="1925">
        <f t="shared" si="69"/>
        <v>7225000000</v>
      </c>
      <c r="O205" s="1933">
        <f>((O186-O224)*35%)+O224</f>
        <v>7225000000</v>
      </c>
      <c r="P205" s="1377"/>
    </row>
    <row r="206" spans="1:16" s="1863" customFormat="1" ht="17.100000000000001" customHeight="1" x14ac:dyDescent="0.2">
      <c r="B206" s="1419"/>
      <c r="C206" s="237" t="s">
        <v>1161</v>
      </c>
      <c r="D206" s="1415" t="str">
        <f>INDEX(Vectors[Description], MATCH($C206, Vectors[Code], 0))</f>
        <v>Energy crops (first generation)</v>
      </c>
      <c r="E206" s="1415" t="s">
        <v>669</v>
      </c>
      <c r="F206" s="1847">
        <f t="shared" si="60"/>
        <v>0</v>
      </c>
      <c r="G206" s="2232"/>
      <c r="H206" s="1923">
        <f t="shared" ref="H206:N206" si="70">($F206*(H$177-G$177))+G206</f>
        <v>0</v>
      </c>
      <c r="I206" s="1923">
        <f t="shared" si="70"/>
        <v>0</v>
      </c>
      <c r="J206" s="1923">
        <f t="shared" si="70"/>
        <v>0</v>
      </c>
      <c r="K206" s="1923">
        <f t="shared" si="70"/>
        <v>0</v>
      </c>
      <c r="L206" s="1923">
        <f t="shared" si="70"/>
        <v>0</v>
      </c>
      <c r="M206" s="1923">
        <f t="shared" si="70"/>
        <v>0</v>
      </c>
      <c r="N206" s="1923">
        <f t="shared" si="70"/>
        <v>0</v>
      </c>
      <c r="O206" s="2232"/>
      <c r="P206" s="1377"/>
    </row>
    <row r="207" spans="1:16" s="1863" customFormat="1" ht="17.100000000000001" customHeight="1" x14ac:dyDescent="0.2">
      <c r="B207" s="1419"/>
      <c r="C207" s="237" t="s">
        <v>1161</v>
      </c>
      <c r="D207" s="1415" t="str">
        <f>INDEX(Vectors[Description], MATCH($C207, Vectors[Code], 0))</f>
        <v>Energy crops (first generation)</v>
      </c>
      <c r="E207" s="1415" t="s">
        <v>122</v>
      </c>
      <c r="F207" s="188">
        <f t="shared" si="60"/>
        <v>0</v>
      </c>
      <c r="G207" s="1922">
        <f>((250*3.453*NAIRA2010_/Unit.GJ)*plantsize.V.a.Energy_crops_1st_generation_to_liquid)</f>
        <v>3107700000</v>
      </c>
      <c r="H207" s="1921">
        <f t="shared" ref="H207:N207" si="71">($F207*(H$177-G$177))+G207</f>
        <v>3107700000</v>
      </c>
      <c r="I207" s="1921">
        <f t="shared" si="71"/>
        <v>3107700000</v>
      </c>
      <c r="J207" s="1921">
        <f t="shared" si="71"/>
        <v>3107700000</v>
      </c>
      <c r="K207" s="1921">
        <f t="shared" si="71"/>
        <v>3107700000</v>
      </c>
      <c r="L207" s="1921">
        <f t="shared" si="71"/>
        <v>3107700000</v>
      </c>
      <c r="M207" s="1921">
        <f t="shared" si="71"/>
        <v>3107700000</v>
      </c>
      <c r="N207" s="1921">
        <f t="shared" si="71"/>
        <v>3107700000</v>
      </c>
      <c r="O207" s="1922">
        <f>((250*3.453*NAIRA2010_/Unit.GJ)*plantsize.V.a.Energy_crops_1st_generation_to_liquid)</f>
        <v>3107700000</v>
      </c>
      <c r="P207" s="1377"/>
    </row>
    <row r="208" spans="1:16" s="1863" customFormat="1" ht="17.100000000000001" customHeight="1" x14ac:dyDescent="0.2">
      <c r="B208" s="1419"/>
      <c r="C208" s="915" t="s">
        <v>1161</v>
      </c>
      <c r="D208" s="624" t="str">
        <f>INDEX(Vectors[Description], MATCH($C208, Vectors[Code], 0))</f>
        <v>Energy crops (first generation)</v>
      </c>
      <c r="E208" s="624" t="s">
        <v>10</v>
      </c>
      <c r="F208" s="191">
        <f t="shared" si="60"/>
        <v>0</v>
      </c>
      <c r="G208" s="1933"/>
      <c r="H208" s="1925">
        <f t="shared" ref="H208:N208" si="72">($F208*(H$177-G$177))+G208</f>
        <v>0</v>
      </c>
      <c r="I208" s="1925">
        <f t="shared" si="72"/>
        <v>0</v>
      </c>
      <c r="J208" s="1925">
        <f t="shared" si="72"/>
        <v>0</v>
      </c>
      <c r="K208" s="1925">
        <f t="shared" si="72"/>
        <v>0</v>
      </c>
      <c r="L208" s="1925">
        <f t="shared" si="72"/>
        <v>0</v>
      </c>
      <c r="M208" s="1925">
        <f t="shared" si="72"/>
        <v>0</v>
      </c>
      <c r="N208" s="1925">
        <f t="shared" si="72"/>
        <v>0</v>
      </c>
      <c r="O208" s="1933"/>
      <c r="P208" s="1377"/>
    </row>
    <row r="209" spans="2:16" s="1863" customFormat="1" ht="17.100000000000001" customHeight="1" x14ac:dyDescent="0.2">
      <c r="B209" s="1419"/>
      <c r="C209" s="237" t="s">
        <v>1164</v>
      </c>
      <c r="D209" s="1415" t="str">
        <f>INDEX(Vectors[Description], MATCH($C209, Vectors[Code], 0))</f>
        <v>Gaseous waste</v>
      </c>
      <c r="E209" s="1415" t="s">
        <v>669</v>
      </c>
      <c r="F209" s="1847">
        <f t="shared" si="60"/>
        <v>0</v>
      </c>
      <c r="G209" s="1924"/>
      <c r="H209" s="1923">
        <f t="shared" ref="H209:N209" si="73">($F209*(H$177-G$177))+G209</f>
        <v>0</v>
      </c>
      <c r="I209" s="1923">
        <f t="shared" si="73"/>
        <v>0</v>
      </c>
      <c r="J209" s="1923">
        <f t="shared" si="73"/>
        <v>0</v>
      </c>
      <c r="K209" s="1923">
        <f t="shared" si="73"/>
        <v>0</v>
      </c>
      <c r="L209" s="1923">
        <f t="shared" si="73"/>
        <v>0</v>
      </c>
      <c r="M209" s="1923">
        <f t="shared" si="73"/>
        <v>0</v>
      </c>
      <c r="N209" s="1923">
        <f t="shared" si="73"/>
        <v>0</v>
      </c>
      <c r="O209" s="1924"/>
      <c r="P209" s="1377"/>
    </row>
    <row r="210" spans="2:16" s="1863" customFormat="1" ht="17.100000000000001" customHeight="1" x14ac:dyDescent="0.2">
      <c r="B210" s="1419"/>
      <c r="C210" s="237" t="s">
        <v>1164</v>
      </c>
      <c r="D210" s="1415" t="str">
        <f>INDEX(Vectors[Description], MATCH($C210, Vectors[Code], 0))</f>
        <v>Gaseous waste</v>
      </c>
      <c r="E210" s="1415" t="s">
        <v>122</v>
      </c>
      <c r="F210" s="188">
        <f t="shared" si="60"/>
        <v>0</v>
      </c>
      <c r="G210" s="1922"/>
      <c r="H210" s="1921">
        <f t="shared" ref="H210:N210" si="74">($F210*(H$177-G$177))+G210</f>
        <v>0</v>
      </c>
      <c r="I210" s="1921">
        <f t="shared" si="74"/>
        <v>0</v>
      </c>
      <c r="J210" s="1921">
        <f t="shared" si="74"/>
        <v>0</v>
      </c>
      <c r="K210" s="1921">
        <f t="shared" si="74"/>
        <v>0</v>
      </c>
      <c r="L210" s="1921">
        <f t="shared" si="74"/>
        <v>0</v>
      </c>
      <c r="M210" s="1921">
        <f t="shared" si="74"/>
        <v>0</v>
      </c>
      <c r="N210" s="1921">
        <f t="shared" si="74"/>
        <v>0</v>
      </c>
      <c r="O210" s="1922"/>
      <c r="P210" s="1377"/>
    </row>
    <row r="211" spans="2:16" s="1863" customFormat="1" ht="17.100000000000001" customHeight="1" x14ac:dyDescent="0.2">
      <c r="B211" s="477"/>
      <c r="C211" s="1096" t="s">
        <v>1164</v>
      </c>
      <c r="D211" s="200" t="str">
        <f>INDEX(Vectors[Description], MATCH($C211, Vectors[Code], 0))</f>
        <v>Gaseous waste</v>
      </c>
      <c r="E211" s="200" t="s">
        <v>10</v>
      </c>
      <c r="F211" s="191">
        <f t="shared" si="60"/>
        <v>0</v>
      </c>
      <c r="G211" s="1933">
        <f>(G230+((G192-G230)*0.35))</f>
        <v>3775000000</v>
      </c>
      <c r="H211" s="1933">
        <f t="shared" ref="H211:N211" si="75">(H230+((H192-H230)*0.3))</f>
        <v>3700000000</v>
      </c>
      <c r="I211" s="1933">
        <f t="shared" si="75"/>
        <v>3700000000</v>
      </c>
      <c r="J211" s="1933">
        <f t="shared" si="75"/>
        <v>3700000000</v>
      </c>
      <c r="K211" s="1933">
        <f t="shared" si="75"/>
        <v>3700000000</v>
      </c>
      <c r="L211" s="1933">
        <f t="shared" si="75"/>
        <v>3700000000</v>
      </c>
      <c r="M211" s="1933">
        <f t="shared" si="75"/>
        <v>3700000000</v>
      </c>
      <c r="N211" s="1933">
        <f t="shared" si="75"/>
        <v>3700000000</v>
      </c>
      <c r="O211" s="1933">
        <f>(O230+((O192-O230)*0.35))</f>
        <v>3775000000</v>
      </c>
      <c r="P211" s="1377"/>
    </row>
    <row r="212" spans="2:16" s="1863" customFormat="1" ht="17.100000000000001" customHeight="1" x14ac:dyDescent="0.2">
      <c r="B212" s="477"/>
      <c r="C212" s="1416"/>
      <c r="D212" s="1416"/>
      <c r="E212" s="1416"/>
      <c r="F212" s="1416"/>
      <c r="G212" s="1416"/>
      <c r="H212" s="1416"/>
      <c r="I212" s="1416"/>
      <c r="J212" s="1416"/>
      <c r="K212" s="1416"/>
      <c r="L212" s="1416"/>
      <c r="M212" s="1416"/>
      <c r="N212" s="1416"/>
      <c r="O212" s="1416"/>
      <c r="P212" s="1416"/>
    </row>
    <row r="213" spans="2:16" s="1863" customFormat="1" ht="17.100000000000001" customHeight="1" x14ac:dyDescent="0.25">
      <c r="B213" s="475"/>
      <c r="C213" s="1417" t="str">
        <f>"Low estimate operating cost of a typical plant"</f>
        <v>Low estimate operating cost of a typical plant</v>
      </c>
      <c r="D213" s="177"/>
      <c r="E213" s="1416"/>
      <c r="F213" s="1864"/>
      <c r="G213" s="1864"/>
      <c r="H213" s="1864"/>
      <c r="I213" s="1864"/>
      <c r="J213" s="1417"/>
      <c r="K213" s="1416"/>
      <c r="L213" s="1416"/>
      <c r="M213" s="1416"/>
      <c r="N213" s="1416"/>
      <c r="O213" s="1417" t="str">
        <f>Preferences.moneyunits &amp;"/"&amp;" plant"</f>
        <v>N/ plant</v>
      </c>
      <c r="P213" s="1416"/>
    </row>
    <row r="214" spans="2:16" s="1863" customFormat="1" ht="17.100000000000001" customHeight="1" x14ac:dyDescent="0.25">
      <c r="B214" s="475"/>
      <c r="C214" s="1416"/>
      <c r="D214" s="177"/>
      <c r="E214" s="1416"/>
      <c r="F214" s="1416"/>
      <c r="G214" s="1416"/>
      <c r="H214" s="1416"/>
      <c r="I214" s="1416"/>
      <c r="J214" s="1416"/>
      <c r="K214" s="1416"/>
      <c r="L214" s="1416"/>
      <c r="M214" s="1416"/>
      <c r="N214" s="1416"/>
      <c r="O214" s="1416"/>
      <c r="P214" s="1416"/>
    </row>
    <row r="215" spans="2:16" s="1863" customFormat="1" ht="17.100000000000001" customHeight="1" x14ac:dyDescent="0.25">
      <c r="B215" s="475"/>
      <c r="C215" s="98" t="s">
        <v>673</v>
      </c>
      <c r="D215" s="98" t="s">
        <v>873</v>
      </c>
      <c r="E215" s="180" t="s">
        <v>874</v>
      </c>
      <c r="F215" s="1567" t="s">
        <v>1321</v>
      </c>
      <c r="G215" s="1845">
        <v>2010</v>
      </c>
      <c r="H215" s="1845">
        <v>2015</v>
      </c>
      <c r="I215" s="1845">
        <v>2020</v>
      </c>
      <c r="J215" s="1845">
        <v>2025</v>
      </c>
      <c r="K215" s="1845">
        <v>2030</v>
      </c>
      <c r="L215" s="1845">
        <v>2035</v>
      </c>
      <c r="M215" s="1845">
        <v>2040</v>
      </c>
      <c r="N215" s="1845">
        <v>2045</v>
      </c>
      <c r="O215" s="1845">
        <v>2050</v>
      </c>
      <c r="P215" s="1377"/>
    </row>
    <row r="216" spans="2:16" s="1863" customFormat="1" ht="17.100000000000001" customHeight="1" x14ac:dyDescent="0.25">
      <c r="B216" s="475"/>
      <c r="C216" s="913" t="s">
        <v>296</v>
      </c>
      <c r="D216" s="146" t="str">
        <f>INDEX(Vectors[Description], MATCH($C216, Vectors[Code], 0))</f>
        <v>Dry biomass and waste</v>
      </c>
      <c r="E216" s="1102" t="s">
        <v>669</v>
      </c>
      <c r="F216" s="1847">
        <f t="shared" ref="F216:F230" si="76">(O216-G216)/(O$215-G$215)</f>
        <v>0</v>
      </c>
      <c r="G216" s="1924">
        <f>(250*1*NAIRA2010_/Unit.MWh)*plantsize.V.a.Dry_bio_and_waste_to_solid</f>
        <v>250000000</v>
      </c>
      <c r="H216" s="1923">
        <f>($F216*(H$215-G$215))+G216</f>
        <v>250000000</v>
      </c>
      <c r="I216" s="1923">
        <f t="shared" ref="I216:N216" si="77">($F216*(I$215-H$215))+H216</f>
        <v>250000000</v>
      </c>
      <c r="J216" s="1923">
        <f t="shared" si="77"/>
        <v>250000000</v>
      </c>
      <c r="K216" s="1923">
        <f t="shared" si="77"/>
        <v>250000000</v>
      </c>
      <c r="L216" s="1923">
        <f t="shared" si="77"/>
        <v>250000000</v>
      </c>
      <c r="M216" s="1923">
        <f t="shared" si="77"/>
        <v>250000000</v>
      </c>
      <c r="N216" s="1923">
        <f t="shared" si="77"/>
        <v>250000000</v>
      </c>
      <c r="O216" s="1924">
        <f>(250*1*NAIRA2010_/Unit.MWh)*plantsize.V.a.Dry_bio_and_waste_to_solid</f>
        <v>250000000</v>
      </c>
      <c r="P216" s="1377"/>
    </row>
    <row r="217" spans="2:16" s="1863" customFormat="1" ht="17.100000000000001" customHeight="1" x14ac:dyDescent="0.25">
      <c r="B217" s="475"/>
      <c r="C217" s="237" t="s">
        <v>296</v>
      </c>
      <c r="D217" s="1415" t="str">
        <f>INDEX(Vectors[Description], MATCH($C217, Vectors[Code], 0))</f>
        <v>Dry biomass and waste</v>
      </c>
      <c r="E217" s="1415" t="s">
        <v>122</v>
      </c>
      <c r="F217" s="188">
        <f t="shared" si="76"/>
        <v>0</v>
      </c>
      <c r="G217" s="1922">
        <f>((250*4*NAIRA2010_/Unit.MWh)*plantsize.V.a.Dry_bio_and_waste_to_liquid)</f>
        <v>1000000000</v>
      </c>
      <c r="H217" s="1921">
        <f t="shared" ref="H217:N217" si="78">($F217*(H$215-G$215))+G217</f>
        <v>1000000000</v>
      </c>
      <c r="I217" s="1921">
        <f t="shared" si="78"/>
        <v>1000000000</v>
      </c>
      <c r="J217" s="1921">
        <f t="shared" si="78"/>
        <v>1000000000</v>
      </c>
      <c r="K217" s="1921">
        <f t="shared" si="78"/>
        <v>1000000000</v>
      </c>
      <c r="L217" s="1921">
        <f t="shared" si="78"/>
        <v>1000000000</v>
      </c>
      <c r="M217" s="1921">
        <f t="shared" si="78"/>
        <v>1000000000</v>
      </c>
      <c r="N217" s="1921">
        <f t="shared" si="78"/>
        <v>1000000000</v>
      </c>
      <c r="O217" s="1922">
        <f>((250*4*NAIRA2010_/Unit.MWh)*plantsize.V.a.Dry_bio_and_waste_to_liquid)</f>
        <v>1000000000</v>
      </c>
      <c r="P217" s="1377"/>
    </row>
    <row r="218" spans="2:16" s="1863" customFormat="1" ht="17.100000000000001" customHeight="1" x14ac:dyDescent="0.25">
      <c r="B218" s="475"/>
      <c r="C218" s="915" t="s">
        <v>296</v>
      </c>
      <c r="D218" s="624" t="str">
        <f>INDEX(Vectors[Description], MATCH($C218, Vectors[Code], 0))</f>
        <v>Dry biomass and waste</v>
      </c>
      <c r="E218" s="1415" t="s">
        <v>10</v>
      </c>
      <c r="F218" s="188">
        <f t="shared" si="76"/>
        <v>0</v>
      </c>
      <c r="G218" s="1922">
        <f>((250*3*NAIRA2010_/Unit.MWh)*plantsize.V.a.Dry_bio_and_waste_to_gas)</f>
        <v>750000000</v>
      </c>
      <c r="H218" s="1925">
        <f t="shared" ref="H218:N218" si="79">($F218*(H$215-G$215))+G218</f>
        <v>750000000</v>
      </c>
      <c r="I218" s="1925">
        <f t="shared" si="79"/>
        <v>750000000</v>
      </c>
      <c r="J218" s="1925">
        <f t="shared" si="79"/>
        <v>750000000</v>
      </c>
      <c r="K218" s="1925">
        <f t="shared" si="79"/>
        <v>750000000</v>
      </c>
      <c r="L218" s="1925">
        <f t="shared" si="79"/>
        <v>750000000</v>
      </c>
      <c r="M218" s="1925">
        <f t="shared" si="79"/>
        <v>750000000</v>
      </c>
      <c r="N218" s="1925">
        <f t="shared" si="79"/>
        <v>750000000</v>
      </c>
      <c r="O218" s="1933">
        <f>((250*3*NAIRA2010_/Unit.MWh)*plantsize.V.a.Dry_bio_and_waste_to_gas)</f>
        <v>750000000</v>
      </c>
      <c r="P218" s="1377"/>
    </row>
    <row r="219" spans="2:16" s="1863" customFormat="1" ht="17.100000000000001" customHeight="1" x14ac:dyDescent="0.25">
      <c r="B219" s="475"/>
      <c r="C219" s="913" t="s">
        <v>383</v>
      </c>
      <c r="D219" s="146" t="str">
        <f>INDEX(Vectors[Description], MATCH($C219, Vectors[Code], 0))</f>
        <v>Wet biomass and waste</v>
      </c>
      <c r="E219" s="1102" t="s">
        <v>669</v>
      </c>
      <c r="F219" s="1847">
        <f t="shared" si="76"/>
        <v>0</v>
      </c>
      <c r="G219" s="2232"/>
      <c r="H219" s="1923">
        <f t="shared" ref="H219:N219" si="80">($F219*(H$215-G$215))+G219</f>
        <v>0</v>
      </c>
      <c r="I219" s="1923">
        <f t="shared" si="80"/>
        <v>0</v>
      </c>
      <c r="J219" s="1923">
        <f t="shared" si="80"/>
        <v>0</v>
      </c>
      <c r="K219" s="1923">
        <f t="shared" si="80"/>
        <v>0</v>
      </c>
      <c r="L219" s="1923">
        <f t="shared" si="80"/>
        <v>0</v>
      </c>
      <c r="M219" s="1923">
        <f t="shared" si="80"/>
        <v>0</v>
      </c>
      <c r="N219" s="1923">
        <f t="shared" si="80"/>
        <v>0</v>
      </c>
      <c r="O219" s="2232"/>
      <c r="P219" s="1377"/>
    </row>
    <row r="220" spans="2:16" s="1863" customFormat="1" ht="17.100000000000001" customHeight="1" x14ac:dyDescent="0.25">
      <c r="B220" s="475"/>
      <c r="C220" s="237" t="s">
        <v>383</v>
      </c>
      <c r="D220" s="1415" t="str">
        <f>INDEX(Vectors[Description], MATCH($C220, Vectors[Code], 0))</f>
        <v>Wet biomass and waste</v>
      </c>
      <c r="E220" s="1415" t="s">
        <v>122</v>
      </c>
      <c r="F220" s="188">
        <f t="shared" si="76"/>
        <v>0</v>
      </c>
      <c r="G220" s="1922">
        <f>G217</f>
        <v>1000000000</v>
      </c>
      <c r="H220" s="1921">
        <f t="shared" ref="H220:N220" si="81">($F220*(H$215-G$215))+G220</f>
        <v>1000000000</v>
      </c>
      <c r="I220" s="1921">
        <f t="shared" si="81"/>
        <v>1000000000</v>
      </c>
      <c r="J220" s="1921">
        <f t="shared" si="81"/>
        <v>1000000000</v>
      </c>
      <c r="K220" s="1921">
        <f t="shared" si="81"/>
        <v>1000000000</v>
      </c>
      <c r="L220" s="1921">
        <f t="shared" si="81"/>
        <v>1000000000</v>
      </c>
      <c r="M220" s="1921">
        <f t="shared" si="81"/>
        <v>1000000000</v>
      </c>
      <c r="N220" s="1921">
        <f t="shared" si="81"/>
        <v>1000000000</v>
      </c>
      <c r="O220" s="1922">
        <f>O217</f>
        <v>1000000000</v>
      </c>
      <c r="P220" s="1377"/>
    </row>
    <row r="221" spans="2:16" s="1863" customFormat="1" ht="17.100000000000001" customHeight="1" x14ac:dyDescent="0.25">
      <c r="B221" s="475"/>
      <c r="C221" s="915" t="s">
        <v>383</v>
      </c>
      <c r="D221" s="624" t="str">
        <f>INDEX(Vectors[Description], MATCH($C221, Vectors[Code], 0))</f>
        <v>Wet biomass and waste</v>
      </c>
      <c r="E221" s="1415" t="s">
        <v>10</v>
      </c>
      <c r="F221" s="188">
        <f t="shared" si="76"/>
        <v>0</v>
      </c>
      <c r="G221" s="1922">
        <f>((250*1*NAIRA2010_/Unit.MWh)*plantsize.V.a.Wet_bio_and_waste_to_gas)</f>
        <v>250000000</v>
      </c>
      <c r="H221" s="1925">
        <f t="shared" ref="H221:N221" si="82">($F221*(H$215-G$215))+G221</f>
        <v>250000000</v>
      </c>
      <c r="I221" s="1925">
        <f t="shared" si="82"/>
        <v>250000000</v>
      </c>
      <c r="J221" s="1925">
        <f t="shared" si="82"/>
        <v>250000000</v>
      </c>
      <c r="K221" s="1925">
        <f t="shared" si="82"/>
        <v>250000000</v>
      </c>
      <c r="L221" s="1925">
        <f t="shared" si="82"/>
        <v>250000000</v>
      </c>
      <c r="M221" s="1925">
        <f t="shared" si="82"/>
        <v>250000000</v>
      </c>
      <c r="N221" s="1925">
        <f t="shared" si="82"/>
        <v>250000000</v>
      </c>
      <c r="O221" s="1933">
        <f>((250*1*NAIRA2010_/Unit.MWh)*plantsize.V.a.Wet_bio_and_waste_to_gas)</f>
        <v>250000000</v>
      </c>
      <c r="P221" s="1377"/>
    </row>
    <row r="222" spans="2:16" s="1863" customFormat="1" ht="17.100000000000001" customHeight="1" x14ac:dyDescent="0.25">
      <c r="B222" s="475"/>
      <c r="C222" s="237" t="s">
        <v>871</v>
      </c>
      <c r="D222" s="1415" t="str">
        <f>INDEX(Vectors[Description], MATCH($C222, Vectors[Code], 0))</f>
        <v>Energy crops (second generation)</v>
      </c>
      <c r="E222" s="1102" t="s">
        <v>669</v>
      </c>
      <c r="F222" s="1847">
        <f t="shared" si="76"/>
        <v>0</v>
      </c>
      <c r="G222" s="1924">
        <f t="shared" ref="G222:G224" si="83">G216</f>
        <v>250000000</v>
      </c>
      <c r="H222" s="1923">
        <f t="shared" ref="H222:N222" si="84">($F222*(H$215-G$215))+G222</f>
        <v>250000000</v>
      </c>
      <c r="I222" s="1923">
        <f t="shared" si="84"/>
        <v>250000000</v>
      </c>
      <c r="J222" s="1923">
        <f t="shared" si="84"/>
        <v>250000000</v>
      </c>
      <c r="K222" s="1923">
        <f t="shared" si="84"/>
        <v>250000000</v>
      </c>
      <c r="L222" s="1923">
        <f t="shared" si="84"/>
        <v>250000000</v>
      </c>
      <c r="M222" s="1923">
        <f t="shared" si="84"/>
        <v>250000000</v>
      </c>
      <c r="N222" s="1923">
        <f t="shared" si="84"/>
        <v>250000000</v>
      </c>
      <c r="O222" s="1924">
        <f>O216</f>
        <v>250000000</v>
      </c>
      <c r="P222" s="1377"/>
    </row>
    <row r="223" spans="2:16" s="1863" customFormat="1" ht="17.100000000000001" customHeight="1" x14ac:dyDescent="0.25">
      <c r="B223" s="475"/>
      <c r="C223" s="237" t="s">
        <v>871</v>
      </c>
      <c r="D223" s="1415" t="str">
        <f>INDEX(Vectors[Description], MATCH($C223, Vectors[Code], 0))</f>
        <v>Energy crops (second generation)</v>
      </c>
      <c r="E223" s="1415" t="s">
        <v>122</v>
      </c>
      <c r="F223" s="188">
        <f t="shared" si="76"/>
        <v>0</v>
      </c>
      <c r="G223" s="1922">
        <f t="shared" si="83"/>
        <v>1000000000</v>
      </c>
      <c r="H223" s="1921">
        <f t="shared" ref="H223:N223" si="85">($F223*(H$215-G$215))+G223</f>
        <v>1000000000</v>
      </c>
      <c r="I223" s="1921">
        <f t="shared" si="85"/>
        <v>1000000000</v>
      </c>
      <c r="J223" s="1921">
        <f t="shared" si="85"/>
        <v>1000000000</v>
      </c>
      <c r="K223" s="1921">
        <f t="shared" si="85"/>
        <v>1000000000</v>
      </c>
      <c r="L223" s="1921">
        <f t="shared" si="85"/>
        <v>1000000000</v>
      </c>
      <c r="M223" s="1921">
        <f t="shared" si="85"/>
        <v>1000000000</v>
      </c>
      <c r="N223" s="1921">
        <f t="shared" si="85"/>
        <v>1000000000</v>
      </c>
      <c r="O223" s="1922">
        <f>O217</f>
        <v>1000000000</v>
      </c>
      <c r="P223" s="1377"/>
    </row>
    <row r="224" spans="2:16" s="1863" customFormat="1" ht="17.100000000000001" customHeight="1" x14ac:dyDescent="0.25">
      <c r="B224" s="475"/>
      <c r="C224" s="915" t="s">
        <v>871</v>
      </c>
      <c r="D224" s="624" t="str">
        <f>INDEX(Vectors[Description], MATCH($C224, Vectors[Code], 0))</f>
        <v>Energy crops (second generation)</v>
      </c>
      <c r="E224" s="1415" t="s">
        <v>10</v>
      </c>
      <c r="F224" s="188">
        <f t="shared" si="76"/>
        <v>0</v>
      </c>
      <c r="G224" s="1922">
        <f t="shared" si="83"/>
        <v>750000000</v>
      </c>
      <c r="H224" s="1925">
        <f t="shared" ref="H224:N224" si="86">($F224*(H$215-G$215))+G224</f>
        <v>750000000</v>
      </c>
      <c r="I224" s="1925">
        <f t="shared" si="86"/>
        <v>750000000</v>
      </c>
      <c r="J224" s="1925">
        <f t="shared" si="86"/>
        <v>750000000</v>
      </c>
      <c r="K224" s="1925">
        <f t="shared" si="86"/>
        <v>750000000</v>
      </c>
      <c r="L224" s="1925">
        <f t="shared" si="86"/>
        <v>750000000</v>
      </c>
      <c r="M224" s="1925">
        <f t="shared" si="86"/>
        <v>750000000</v>
      </c>
      <c r="N224" s="1925">
        <f t="shared" si="86"/>
        <v>750000000</v>
      </c>
      <c r="O224" s="1933">
        <f>O218</f>
        <v>750000000</v>
      </c>
      <c r="P224" s="1377"/>
    </row>
    <row r="225" spans="1:16" s="1863" customFormat="1" ht="17.100000000000001" customHeight="1" x14ac:dyDescent="0.25">
      <c r="B225" s="475"/>
      <c r="C225" s="237" t="s">
        <v>1161</v>
      </c>
      <c r="D225" s="1415" t="str">
        <f>INDEX(Vectors[Description], MATCH($C225, Vectors[Code], 0))</f>
        <v>Energy crops (first generation)</v>
      </c>
      <c r="E225" s="1102" t="s">
        <v>669</v>
      </c>
      <c r="F225" s="1847">
        <f t="shared" si="76"/>
        <v>0</v>
      </c>
      <c r="G225" s="2232"/>
      <c r="H225" s="1923">
        <f t="shared" ref="H225:N225" si="87">($F225*(H$215-G$215))+G225</f>
        <v>0</v>
      </c>
      <c r="I225" s="1923">
        <f t="shared" si="87"/>
        <v>0</v>
      </c>
      <c r="J225" s="1923">
        <f t="shared" si="87"/>
        <v>0</v>
      </c>
      <c r="K225" s="1923">
        <f t="shared" si="87"/>
        <v>0</v>
      </c>
      <c r="L225" s="1923">
        <f t="shared" si="87"/>
        <v>0</v>
      </c>
      <c r="M225" s="1923">
        <f t="shared" si="87"/>
        <v>0</v>
      </c>
      <c r="N225" s="1923">
        <f t="shared" si="87"/>
        <v>0</v>
      </c>
      <c r="O225" s="2232"/>
      <c r="P225" s="1377"/>
    </row>
    <row r="226" spans="1:16" s="1863" customFormat="1" ht="17.100000000000001" customHeight="1" x14ac:dyDescent="0.25">
      <c r="B226" s="475"/>
      <c r="C226" s="237" t="s">
        <v>1161</v>
      </c>
      <c r="D226" s="1415" t="str">
        <f>INDEX(Vectors[Description], MATCH($C226, Vectors[Code], 0))</f>
        <v>Energy crops (first generation)</v>
      </c>
      <c r="E226" s="1415" t="s">
        <v>122</v>
      </c>
      <c r="F226" s="188">
        <f t="shared" si="76"/>
        <v>0</v>
      </c>
      <c r="G226" s="1922">
        <f>((250*1*NAIRA2010_/Unit.MWh)*plantsize.V.a.Energy_crops_1st_generation_to_liquid)</f>
        <v>250000000</v>
      </c>
      <c r="H226" s="1921">
        <f t="shared" ref="H226:N226" si="88">($F226*(H$215-G$215))+G226</f>
        <v>250000000</v>
      </c>
      <c r="I226" s="1921">
        <f t="shared" si="88"/>
        <v>250000000</v>
      </c>
      <c r="J226" s="1921">
        <f t="shared" si="88"/>
        <v>250000000</v>
      </c>
      <c r="K226" s="1921">
        <f t="shared" si="88"/>
        <v>250000000</v>
      </c>
      <c r="L226" s="1921">
        <f t="shared" si="88"/>
        <v>250000000</v>
      </c>
      <c r="M226" s="1921">
        <f t="shared" si="88"/>
        <v>250000000</v>
      </c>
      <c r="N226" s="1921">
        <f t="shared" si="88"/>
        <v>250000000</v>
      </c>
      <c r="O226" s="1922">
        <f>((250*1*NAIRA2010_/Unit.MWh)*plantsize.V.a.Energy_crops_1st_generation_to_liquid)</f>
        <v>250000000</v>
      </c>
      <c r="P226" s="1377"/>
    </row>
    <row r="227" spans="1:16" s="1863" customFormat="1" ht="17.100000000000001" customHeight="1" x14ac:dyDescent="0.25">
      <c r="B227" s="475"/>
      <c r="C227" s="915" t="s">
        <v>1161</v>
      </c>
      <c r="D227" s="624" t="str">
        <f>INDEX(Vectors[Description], MATCH($C227, Vectors[Code], 0))</f>
        <v>Energy crops (first generation)</v>
      </c>
      <c r="E227" s="1415" t="s">
        <v>10</v>
      </c>
      <c r="F227" s="188">
        <f t="shared" si="76"/>
        <v>0</v>
      </c>
      <c r="G227" s="1922"/>
      <c r="H227" s="1925">
        <f t="shared" ref="H227:N227" si="89">($F227*(H$215-G$215))+G227</f>
        <v>0</v>
      </c>
      <c r="I227" s="1925">
        <f t="shared" si="89"/>
        <v>0</v>
      </c>
      <c r="J227" s="1925">
        <f t="shared" si="89"/>
        <v>0</v>
      </c>
      <c r="K227" s="1925">
        <f t="shared" si="89"/>
        <v>0</v>
      </c>
      <c r="L227" s="1925">
        <f t="shared" si="89"/>
        <v>0</v>
      </c>
      <c r="M227" s="1925">
        <f t="shared" si="89"/>
        <v>0</v>
      </c>
      <c r="N227" s="1925">
        <f t="shared" si="89"/>
        <v>0</v>
      </c>
      <c r="O227" s="1933"/>
      <c r="P227" s="1377"/>
    </row>
    <row r="228" spans="1:16" s="1863" customFormat="1" ht="17.100000000000001" customHeight="1" x14ac:dyDescent="0.25">
      <c r="B228" s="475"/>
      <c r="C228" s="237" t="s">
        <v>1164</v>
      </c>
      <c r="D228" s="1415" t="str">
        <f>INDEX(Vectors[Description], MATCH($C228, Vectors[Code], 0))</f>
        <v>Gaseous waste</v>
      </c>
      <c r="E228" s="1102" t="s">
        <v>669</v>
      </c>
      <c r="F228" s="1847">
        <f t="shared" si="76"/>
        <v>0</v>
      </c>
      <c r="G228" s="1924"/>
      <c r="H228" s="1921">
        <f t="shared" ref="H228:N228" si="90">($F228*(H$215-G$215))+G228</f>
        <v>0</v>
      </c>
      <c r="I228" s="1921">
        <f t="shared" si="90"/>
        <v>0</v>
      </c>
      <c r="J228" s="1921">
        <f t="shared" si="90"/>
        <v>0</v>
      </c>
      <c r="K228" s="1921">
        <f t="shared" si="90"/>
        <v>0</v>
      </c>
      <c r="L228" s="1921">
        <f t="shared" si="90"/>
        <v>0</v>
      </c>
      <c r="M228" s="1921">
        <f t="shared" si="90"/>
        <v>0</v>
      </c>
      <c r="N228" s="1921">
        <f t="shared" si="90"/>
        <v>0</v>
      </c>
      <c r="O228" s="1922"/>
      <c r="P228" s="1377"/>
    </row>
    <row r="229" spans="1:16" s="1863" customFormat="1" ht="17.100000000000001" customHeight="1" x14ac:dyDescent="0.2">
      <c r="B229" s="1419"/>
      <c r="C229" s="237" t="s">
        <v>1164</v>
      </c>
      <c r="D229" s="1415" t="str">
        <f>INDEX(Vectors[Description], MATCH($C229, Vectors[Code], 0))</f>
        <v>Gaseous waste</v>
      </c>
      <c r="E229" s="1415" t="s">
        <v>122</v>
      </c>
      <c r="F229" s="188">
        <f t="shared" si="76"/>
        <v>0</v>
      </c>
      <c r="G229" s="1922"/>
      <c r="H229" s="1921">
        <f t="shared" ref="H229:N229" si="91">($F229*(H$215-G$215))+G229</f>
        <v>0</v>
      </c>
      <c r="I229" s="1921">
        <f t="shared" si="91"/>
        <v>0</v>
      </c>
      <c r="J229" s="1921">
        <f t="shared" si="91"/>
        <v>0</v>
      </c>
      <c r="K229" s="1921">
        <f t="shared" si="91"/>
        <v>0</v>
      </c>
      <c r="L229" s="1921">
        <f t="shared" si="91"/>
        <v>0</v>
      </c>
      <c r="M229" s="1921">
        <f t="shared" si="91"/>
        <v>0</v>
      </c>
      <c r="N229" s="1921">
        <f t="shared" si="91"/>
        <v>0</v>
      </c>
      <c r="O229" s="1922"/>
      <c r="P229" s="1377"/>
    </row>
    <row r="230" spans="1:16" s="1863" customFormat="1" ht="17.100000000000001" customHeight="1" x14ac:dyDescent="0.2">
      <c r="B230" s="1419"/>
      <c r="C230" s="1096" t="s">
        <v>1164</v>
      </c>
      <c r="D230" s="200" t="str">
        <f>INDEX(Vectors[Description], MATCH($C230, Vectors[Code], 0))</f>
        <v>Gaseous waste</v>
      </c>
      <c r="E230" s="200" t="s">
        <v>10</v>
      </c>
      <c r="F230" s="191">
        <f t="shared" si="76"/>
        <v>0</v>
      </c>
      <c r="G230" s="1933">
        <f>((250*13*NAIRA2010_/Unit.MWh)*plantsize.V.a.Gaseous_waste_to_gas)</f>
        <v>3250000000</v>
      </c>
      <c r="H230" s="1925">
        <f t="shared" ref="H230:N230" si="92">($F230*(H$215-G$215))+G230</f>
        <v>3250000000</v>
      </c>
      <c r="I230" s="1925">
        <f t="shared" si="92"/>
        <v>3250000000</v>
      </c>
      <c r="J230" s="1925">
        <f t="shared" si="92"/>
        <v>3250000000</v>
      </c>
      <c r="K230" s="1925">
        <f t="shared" si="92"/>
        <v>3250000000</v>
      </c>
      <c r="L230" s="1925">
        <f t="shared" si="92"/>
        <v>3250000000</v>
      </c>
      <c r="M230" s="1925">
        <f t="shared" si="92"/>
        <v>3250000000</v>
      </c>
      <c r="N230" s="1925">
        <f t="shared" si="92"/>
        <v>3250000000</v>
      </c>
      <c r="O230" s="1933">
        <f>((250*13*NAIRA2010_/Unit.MWh)*plantsize.V.a.Gaseous_waste_to_gas)</f>
        <v>3250000000</v>
      </c>
      <c r="P230" s="1377"/>
    </row>
    <row r="231" spans="1:16" s="1863" customFormat="1" ht="17.100000000000001" customHeight="1" x14ac:dyDescent="0.2">
      <c r="B231" s="1419"/>
      <c r="C231" s="1416"/>
      <c r="D231" s="1416"/>
      <c r="E231" s="1416"/>
      <c r="F231" s="1416"/>
      <c r="G231" s="1416"/>
      <c r="H231" s="1416"/>
      <c r="I231" s="1416"/>
      <c r="J231" s="1416"/>
      <c r="K231" s="1416"/>
      <c r="L231" s="1416"/>
      <c r="M231" s="1416"/>
      <c r="N231" s="1416"/>
      <c r="O231" s="1416"/>
      <c r="P231" s="1416"/>
    </row>
    <row r="232" spans="1:16" s="1863" customFormat="1" ht="17.100000000000001" customHeight="1" x14ac:dyDescent="0.2">
      <c r="A232" s="588"/>
      <c r="B232" s="831"/>
      <c r="C232" s="588"/>
    </row>
    <row r="233" spans="1:16" s="1863" customFormat="1" ht="17.100000000000001" customHeight="1" x14ac:dyDescent="0.2"/>
    <row r="234" spans="1:16" s="1863" customFormat="1" ht="17.100000000000001" customHeight="1" x14ac:dyDescent="0.25">
      <c r="B234" s="481" t="s">
        <v>279</v>
      </c>
    </row>
    <row r="235" spans="1:16" s="1863" customFormat="1" ht="17.100000000000001" customHeight="1" x14ac:dyDescent="0.2">
      <c r="B235" s="1427">
        <v>1</v>
      </c>
      <c r="C235" s="1863" t="s">
        <v>754</v>
      </c>
    </row>
    <row r="236" spans="1:16" s="1863" customFormat="1" ht="17.100000000000001" customHeight="1" x14ac:dyDescent="0.2">
      <c r="B236" s="1427">
        <v>2</v>
      </c>
      <c r="C236" s="1863" t="s">
        <v>755</v>
      </c>
    </row>
    <row r="237" spans="1:16" s="1863" customFormat="1" ht="17.100000000000001" customHeight="1" x14ac:dyDescent="0.2">
      <c r="B237" s="1427">
        <v>3</v>
      </c>
      <c r="C237" s="1863" t="s">
        <v>875</v>
      </c>
    </row>
    <row r="238" spans="1:16" s="1863" customFormat="1" ht="17.100000000000001" customHeight="1" x14ac:dyDescent="0.2">
      <c r="B238" s="1427">
        <v>4</v>
      </c>
      <c r="C238" s="1863" t="s">
        <v>1168</v>
      </c>
    </row>
    <row r="239" spans="1:16" s="1863" customFormat="1" ht="17.100000000000001" customHeight="1" x14ac:dyDescent="0.2">
      <c r="B239" s="1427">
        <v>5</v>
      </c>
      <c r="C239" s="1863" t="s">
        <v>819</v>
      </c>
    </row>
    <row r="240" spans="1:16" s="1863" customFormat="1" ht="17.100000000000001" customHeight="1" x14ac:dyDescent="0.2">
      <c r="B240" s="1427">
        <v>6</v>
      </c>
      <c r="C240" s="1863" t="s">
        <v>757</v>
      </c>
    </row>
    <row r="241" spans="2:15" s="1863" customFormat="1" ht="17.100000000000001" customHeight="1" x14ac:dyDescent="0.2">
      <c r="F241" s="1427">
        <v>2010</v>
      </c>
      <c r="G241" s="1427">
        <v>2015</v>
      </c>
      <c r="H241" s="1427">
        <v>2020</v>
      </c>
      <c r="I241" s="1427">
        <v>2025</v>
      </c>
      <c r="J241" s="1427">
        <v>2030</v>
      </c>
      <c r="K241" s="1427">
        <v>2035</v>
      </c>
      <c r="L241" s="1427">
        <v>2040</v>
      </c>
      <c r="M241" s="1427">
        <v>2045</v>
      </c>
      <c r="N241" s="1427">
        <v>2050</v>
      </c>
    </row>
    <row r="242" spans="2:15" s="1863" customFormat="1" ht="17.100000000000001" customHeight="1" x14ac:dyDescent="0.2">
      <c r="B242" s="1427">
        <v>1</v>
      </c>
      <c r="C242" s="1427" t="s">
        <v>820</v>
      </c>
    </row>
    <row r="243" spans="2:15" s="1863" customFormat="1" ht="17.100000000000001" customHeight="1" x14ac:dyDescent="0.2">
      <c r="C243" s="1427" t="s">
        <v>296</v>
      </c>
      <c r="D243" s="147" t="str">
        <f>INDEX(Vectors[Description], MATCH($C243, Vectors[Code], 0))</f>
        <v>Dry biomass and waste</v>
      </c>
      <c r="E243" s="172" t="str">
        <f>Preferences.EnergyUnits</f>
        <v>TWh</v>
      </c>
      <c r="F243" s="114">
        <f t="shared" ref="F243:N243" ca="1" si="93">F$15</f>
        <v>32.417971204444449</v>
      </c>
      <c r="G243" s="114">
        <f t="shared" ca="1" si="93"/>
        <v>73.060329723562404</v>
      </c>
      <c r="H243" s="114">
        <f t="shared" ca="1" si="93"/>
        <v>143.92492401211445</v>
      </c>
      <c r="I243" s="114">
        <f t="shared" ca="1" si="93"/>
        <v>228.27574607949157</v>
      </c>
      <c r="J243" s="114">
        <f t="shared" ca="1" si="93"/>
        <v>257.75408732010584</v>
      </c>
      <c r="K243" s="114">
        <f t="shared" ca="1" si="93"/>
        <v>313.39118684291782</v>
      </c>
      <c r="L243" s="114">
        <f t="shared" ca="1" si="93"/>
        <v>347.52707500652309</v>
      </c>
      <c r="M243" s="114">
        <f t="shared" ca="1" si="93"/>
        <v>381.86251050585577</v>
      </c>
      <c r="N243" s="114">
        <f t="shared" ca="1" si="93"/>
        <v>387.93811788325291</v>
      </c>
    </row>
    <row r="244" spans="2:15" s="1863" customFormat="1" ht="17.100000000000001" customHeight="1" x14ac:dyDescent="0.2">
      <c r="B244" s="582" t="s">
        <v>345</v>
      </c>
      <c r="C244" s="39" t="s">
        <v>876</v>
      </c>
      <c r="D244" s="39" t="s">
        <v>669</v>
      </c>
      <c r="E244" s="582"/>
      <c r="F244" s="710">
        <f>SUMIFS(INDEX($F$35:$I$54, , MATCH($E$7, $F$34:$I$34, 0)), $C$35:$C$54, $C$243, $E$35:$E$54, D244 )</f>
        <v>0</v>
      </c>
      <c r="G244" s="710"/>
      <c r="H244" s="710"/>
      <c r="I244" s="710"/>
      <c r="J244" s="710"/>
      <c r="K244" s="710"/>
      <c r="L244" s="710"/>
      <c r="M244" s="710"/>
      <c r="N244" s="710"/>
      <c r="O244" s="39"/>
    </row>
    <row r="245" spans="2:15" s="1863" customFormat="1" ht="17.100000000000001" customHeight="1" x14ac:dyDescent="0.2">
      <c r="B245" s="582" t="s">
        <v>345</v>
      </c>
      <c r="C245" s="39" t="s">
        <v>756</v>
      </c>
      <c r="D245" s="39"/>
      <c r="E245" s="582"/>
      <c r="F245" s="710">
        <f>INDEX($H$68:$H$71, MATCH($C246, $C$68:$C$71, 0))</f>
        <v>0.9</v>
      </c>
      <c r="G245" s="710">
        <f>INDEX($H$68:$H$71, MATCH($C246, $C$68:$C$71, 0))</f>
        <v>0.9</v>
      </c>
      <c r="H245" s="710">
        <f>INDEX($H$68:$H$71, MATCH($C246, $C$68:$C$71, 0))</f>
        <v>0.9</v>
      </c>
      <c r="I245" s="710">
        <f t="shared" ref="I245:N245" si="94">INDEX($H$82:$H$85, MATCH($C246, $C$82:$C$85, 0))</f>
        <v>0.95</v>
      </c>
      <c r="J245" s="710">
        <f t="shared" si="94"/>
        <v>0.95</v>
      </c>
      <c r="K245" s="710">
        <f t="shared" si="94"/>
        <v>0.95</v>
      </c>
      <c r="L245" s="710">
        <f t="shared" si="94"/>
        <v>0.95</v>
      </c>
      <c r="M245" s="710">
        <f t="shared" si="94"/>
        <v>0.95</v>
      </c>
      <c r="N245" s="710">
        <f t="shared" si="94"/>
        <v>0.95</v>
      </c>
      <c r="O245" s="39"/>
    </row>
    <row r="246" spans="2:15" s="1863" customFormat="1" ht="17.100000000000001" customHeight="1" x14ac:dyDescent="0.2">
      <c r="B246" s="196" t="s">
        <v>346</v>
      </c>
      <c r="C246" s="20" t="s">
        <v>36</v>
      </c>
      <c r="D246" s="20" t="str">
        <f>INDEX(Vectors[Description], MATCH($C246, Vectors[Code], 0))</f>
        <v>Solid hydrocarbons</v>
      </c>
      <c r="E246" s="583" t="str">
        <f>Preferences.EnergyUnits</f>
        <v>TWh</v>
      </c>
      <c r="F246" s="917">
        <f ca="1">F$243*$F244*F$245</f>
        <v>0</v>
      </c>
      <c r="G246" s="917">
        <f t="shared" ref="G246:N246" ca="1" si="95">G$243*$F244*G$245</f>
        <v>0</v>
      </c>
      <c r="H246" s="917">
        <f t="shared" ca="1" si="95"/>
        <v>0</v>
      </c>
      <c r="I246" s="917">
        <f t="shared" ca="1" si="95"/>
        <v>0</v>
      </c>
      <c r="J246" s="917">
        <f t="shared" ca="1" si="95"/>
        <v>0</v>
      </c>
      <c r="K246" s="917">
        <f t="shared" ca="1" si="95"/>
        <v>0</v>
      </c>
      <c r="L246" s="917">
        <f t="shared" ca="1" si="95"/>
        <v>0</v>
      </c>
      <c r="M246" s="917">
        <f t="shared" ca="1" si="95"/>
        <v>0</v>
      </c>
      <c r="N246" s="917">
        <f t="shared" ca="1" si="95"/>
        <v>0</v>
      </c>
    </row>
    <row r="247" spans="2:15" s="1863" customFormat="1" ht="17.100000000000001" customHeight="1" x14ac:dyDescent="0.2">
      <c r="C247" s="132"/>
      <c r="E247" s="1426"/>
      <c r="F247" s="114"/>
      <c r="G247" s="114"/>
      <c r="H247" s="114"/>
      <c r="I247" s="114"/>
      <c r="J247" s="114"/>
      <c r="K247" s="114"/>
      <c r="L247" s="114"/>
      <c r="M247" s="114"/>
      <c r="N247" s="114"/>
    </row>
    <row r="248" spans="2:15" s="1863" customFormat="1" ht="17.100000000000001" customHeight="1" x14ac:dyDescent="0.2">
      <c r="B248" s="582" t="s">
        <v>345</v>
      </c>
      <c r="C248" s="39" t="s">
        <v>876</v>
      </c>
      <c r="D248" s="39" t="s">
        <v>122</v>
      </c>
      <c r="E248" s="582"/>
      <c r="F248" s="710">
        <f>SUMIFS(INDEX($F$35:$I$54, , MATCH($E$7, $F$34:$I$34, 0)), $C$35:$C$54, $C$243, $E$35:$E$54, D248 )</f>
        <v>0</v>
      </c>
      <c r="G248" s="710"/>
      <c r="H248" s="710"/>
      <c r="I248" s="710"/>
      <c r="J248" s="710"/>
      <c r="K248" s="710"/>
      <c r="L248" s="710"/>
      <c r="M248" s="710"/>
      <c r="N248" s="710"/>
      <c r="O248" s="39"/>
    </row>
    <row r="249" spans="2:15" s="1863" customFormat="1" ht="17.100000000000001" customHeight="1" x14ac:dyDescent="0.2">
      <c r="B249" s="582" t="s">
        <v>345</v>
      </c>
      <c r="C249" s="39" t="s">
        <v>756</v>
      </c>
      <c r="D249" s="39"/>
      <c r="E249" s="582"/>
      <c r="F249" s="710">
        <f>INDEX($H$68:$H$71, MATCH($C250, $C$68:$C$71, 0))</f>
        <v>0.37</v>
      </c>
      <c r="G249" s="710">
        <f>INDEX($H$68:$H$71, MATCH($C250, $C$68:$C$71, 0))</f>
        <v>0.37</v>
      </c>
      <c r="H249" s="710">
        <f>INDEX($H$68:$H$71, MATCH($C250, $C$68:$C$71, 0))</f>
        <v>0.37</v>
      </c>
      <c r="I249" s="710">
        <f t="shared" ref="I249:N249" si="96">INDEX($H$82:$H$85, MATCH($C250, $C$82:$C$85, 0))</f>
        <v>0.45</v>
      </c>
      <c r="J249" s="710">
        <f t="shared" si="96"/>
        <v>0.45</v>
      </c>
      <c r="K249" s="710">
        <f t="shared" si="96"/>
        <v>0.45</v>
      </c>
      <c r="L249" s="710">
        <f t="shared" si="96"/>
        <v>0.45</v>
      </c>
      <c r="M249" s="710">
        <f t="shared" si="96"/>
        <v>0.45</v>
      </c>
      <c r="N249" s="710">
        <f t="shared" si="96"/>
        <v>0.45</v>
      </c>
      <c r="O249" s="39"/>
    </row>
    <row r="250" spans="2:15" s="1863" customFormat="1" ht="17.100000000000001" customHeight="1" x14ac:dyDescent="0.2">
      <c r="B250" s="196" t="s">
        <v>346</v>
      </c>
      <c r="C250" s="20" t="s">
        <v>38</v>
      </c>
      <c r="D250" s="20" t="str">
        <f>INDEX(Vectors[Description], MATCH($C250, Vectors[Code], 0))</f>
        <v>Liquid hydrocarbons</v>
      </c>
      <c r="E250" s="583" t="str">
        <f>Preferences.EnergyUnits</f>
        <v>TWh</v>
      </c>
      <c r="F250" s="917">
        <f ca="1">F$243*$F248*F249</f>
        <v>0</v>
      </c>
      <c r="G250" s="917">
        <f t="shared" ref="G250:N250" ca="1" si="97">G$243*$F248*G249</f>
        <v>0</v>
      </c>
      <c r="H250" s="917">
        <f t="shared" ca="1" si="97"/>
        <v>0</v>
      </c>
      <c r="I250" s="917">
        <f t="shared" ca="1" si="97"/>
        <v>0</v>
      </c>
      <c r="J250" s="917">
        <f t="shared" ca="1" si="97"/>
        <v>0</v>
      </c>
      <c r="K250" s="917">
        <f t="shared" ca="1" si="97"/>
        <v>0</v>
      </c>
      <c r="L250" s="917">
        <f t="shared" ca="1" si="97"/>
        <v>0</v>
      </c>
      <c r="M250" s="917">
        <f t="shared" ca="1" si="97"/>
        <v>0</v>
      </c>
      <c r="N250" s="917">
        <f t="shared" ca="1" si="97"/>
        <v>0</v>
      </c>
    </row>
    <row r="251" spans="2:15" s="1863" customFormat="1" ht="17.100000000000001" customHeight="1" x14ac:dyDescent="0.2">
      <c r="C251" s="1427"/>
      <c r="E251" s="1426"/>
      <c r="F251" s="114"/>
      <c r="G251" s="114"/>
      <c r="H251" s="114"/>
      <c r="I251" s="114"/>
      <c r="J251" s="114"/>
      <c r="K251" s="114"/>
      <c r="L251" s="114"/>
      <c r="M251" s="114"/>
      <c r="N251" s="114"/>
    </row>
    <row r="252" spans="2:15" s="1863" customFormat="1" ht="17.100000000000001" customHeight="1" x14ac:dyDescent="0.2">
      <c r="B252" s="582" t="s">
        <v>345</v>
      </c>
      <c r="C252" s="39" t="s">
        <v>876</v>
      </c>
      <c r="D252" s="39" t="s">
        <v>10</v>
      </c>
      <c r="E252" s="582"/>
      <c r="F252" s="710">
        <f>SUMIFS(INDEX($F$35:$I$54, , MATCH($E$7, $F$34:$I$34, 0)), $C$35:$C$54, $C$243, $E$35:$E$54, D252 )</f>
        <v>0.4</v>
      </c>
      <c r="G252" s="710"/>
      <c r="H252" s="710"/>
      <c r="I252" s="710"/>
      <c r="J252" s="710"/>
      <c r="K252" s="710"/>
      <c r="L252" s="710"/>
      <c r="M252" s="710"/>
      <c r="N252" s="710"/>
      <c r="O252" s="39"/>
    </row>
    <row r="253" spans="2:15" s="1863" customFormat="1" ht="17.100000000000001" customHeight="1" x14ac:dyDescent="0.2">
      <c r="B253" s="582" t="s">
        <v>345</v>
      </c>
      <c r="C253" s="39" t="s">
        <v>756</v>
      </c>
      <c r="D253" s="39"/>
      <c r="E253" s="582"/>
      <c r="F253" s="710">
        <f>INDEX($H$68:$H$71, MATCH($C254, $C$68:$C$71, 0))</f>
        <v>0.58499999999999996</v>
      </c>
      <c r="G253" s="710">
        <f>INDEX($H$68:$H$71, MATCH($C254, $C$68:$C$71, 0))</f>
        <v>0.58499999999999996</v>
      </c>
      <c r="H253" s="710">
        <f>INDEX($H$68:$H$71, MATCH($C254, $C$68:$C$71, 0))</f>
        <v>0.58499999999999996</v>
      </c>
      <c r="I253" s="710">
        <f t="shared" ref="I253:N253" si="98">INDEX($H$82:$H$85, MATCH($C254, $C$82:$C$85, 0))</f>
        <v>0.66200000000000003</v>
      </c>
      <c r="J253" s="710">
        <f t="shared" si="98"/>
        <v>0.66200000000000003</v>
      </c>
      <c r="K253" s="710">
        <f t="shared" si="98"/>
        <v>0.66200000000000003</v>
      </c>
      <c r="L253" s="710">
        <f t="shared" si="98"/>
        <v>0.66200000000000003</v>
      </c>
      <c r="M253" s="710">
        <f t="shared" si="98"/>
        <v>0.66200000000000003</v>
      </c>
      <c r="N253" s="710">
        <f t="shared" si="98"/>
        <v>0.66200000000000003</v>
      </c>
      <c r="O253" s="39"/>
    </row>
    <row r="254" spans="2:15" s="1863" customFormat="1" ht="17.100000000000001" customHeight="1" x14ac:dyDescent="0.2">
      <c r="B254" s="196" t="s">
        <v>346</v>
      </c>
      <c r="C254" s="20" t="s">
        <v>39</v>
      </c>
      <c r="D254" s="20" t="str">
        <f>INDEX(Vectors[Description], MATCH($C254, Vectors[Code], 0))</f>
        <v>Gaseous hydrocarbons</v>
      </c>
      <c r="E254" s="583" t="str">
        <f>Preferences.EnergyUnits</f>
        <v>TWh</v>
      </c>
      <c r="F254" s="917">
        <f ca="1">F$243*$F252*F253</f>
        <v>7.5858052618400009</v>
      </c>
      <c r="G254" s="917">
        <f t="shared" ref="G254:N254" ca="1" si="99">G$243*$F252*G253</f>
        <v>17.096117155313603</v>
      </c>
      <c r="H254" s="917">
        <f t="shared" ca="1" si="99"/>
        <v>33.678432218834779</v>
      </c>
      <c r="I254" s="917">
        <f t="shared" ca="1" si="99"/>
        <v>60.447417561849377</v>
      </c>
      <c r="J254" s="917">
        <f t="shared" ca="1" si="99"/>
        <v>68.253282322364029</v>
      </c>
      <c r="K254" s="917">
        <f t="shared" ca="1" si="99"/>
        <v>82.985986276004652</v>
      </c>
      <c r="L254" s="917">
        <f t="shared" ca="1" si="99"/>
        <v>92.02516946172733</v>
      </c>
      <c r="M254" s="917">
        <f t="shared" ca="1" si="99"/>
        <v>101.11719278195061</v>
      </c>
      <c r="N254" s="917">
        <f t="shared" ca="1" si="99"/>
        <v>102.72601361548539</v>
      </c>
    </row>
    <row r="255" spans="2:15" s="2479" customFormat="1" ht="17.100000000000001" customHeight="1" x14ac:dyDescent="0.2">
      <c r="B255" s="196"/>
      <c r="C255" s="20"/>
      <c r="D255" s="20"/>
      <c r="E255" s="583"/>
      <c r="F255" s="918"/>
      <c r="G255" s="918"/>
      <c r="H255" s="918"/>
      <c r="I255" s="918"/>
      <c r="J255" s="918"/>
      <c r="K255" s="918"/>
      <c r="L255" s="918"/>
      <c r="M255" s="918"/>
      <c r="N255" s="918"/>
    </row>
    <row r="256" spans="2:15" s="2479" customFormat="1" ht="17.100000000000001" customHeight="1" x14ac:dyDescent="0.2">
      <c r="B256" s="582" t="s">
        <v>345</v>
      </c>
      <c r="C256" s="39" t="s">
        <v>876</v>
      </c>
      <c r="D256" s="39" t="s">
        <v>2185</v>
      </c>
      <c r="E256" s="582"/>
      <c r="F256" s="710">
        <f>SUMIFS(INDEX($F$35:$I$54, , MATCH($E$7, $F$34:$I$34, 0)), $C$35:$C$54, $C$243, $E$35:$E$54, D256 )</f>
        <v>0.6</v>
      </c>
      <c r="G256" s="710"/>
      <c r="H256" s="710"/>
      <c r="I256" s="710"/>
      <c r="J256" s="710"/>
      <c r="K256" s="710"/>
      <c r="L256" s="710"/>
      <c r="M256" s="710"/>
      <c r="N256" s="710"/>
    </row>
    <row r="257" spans="2:16" s="2479" customFormat="1" ht="17.100000000000001" customHeight="1" x14ac:dyDescent="0.2">
      <c r="B257" s="582" t="s">
        <v>345</v>
      </c>
      <c r="C257" s="39" t="s">
        <v>756</v>
      </c>
      <c r="D257" s="39"/>
      <c r="E257" s="582"/>
      <c r="F257" s="710">
        <f>INDEX($H$68:$H$71, MATCH($C258, $C$68:$C$71, 0))</f>
        <v>1</v>
      </c>
      <c r="G257" s="710">
        <f>INDEX($H$68:$H$71, MATCH($C258, $C$68:$C$71, 0))</f>
        <v>1</v>
      </c>
      <c r="H257" s="710">
        <f>INDEX($H$68:$H$71, MATCH($C258, $C$68:$C$71, 0))</f>
        <v>1</v>
      </c>
      <c r="I257" s="710">
        <f t="shared" ref="I257:N257" si="100">INDEX($H$82:$H$85, MATCH($C258, $C$82:$C$85, 0))</f>
        <v>1</v>
      </c>
      <c r="J257" s="710">
        <f t="shared" si="100"/>
        <v>1</v>
      </c>
      <c r="K257" s="710">
        <f t="shared" si="100"/>
        <v>1</v>
      </c>
      <c r="L257" s="710">
        <f t="shared" si="100"/>
        <v>1</v>
      </c>
      <c r="M257" s="710">
        <f t="shared" si="100"/>
        <v>1</v>
      </c>
      <c r="N257" s="710">
        <f t="shared" si="100"/>
        <v>1</v>
      </c>
    </row>
    <row r="258" spans="2:16" s="2479" customFormat="1" ht="17.100000000000001" customHeight="1" x14ac:dyDescent="0.2">
      <c r="B258" s="196" t="s">
        <v>346</v>
      </c>
      <c r="C258" s="39" t="s">
        <v>2184</v>
      </c>
      <c r="D258" s="20" t="str">
        <f>INDEX(Vectors[Description], MATCH($C258, Vectors[Code], 0))</f>
        <v>Traditional Fuel</v>
      </c>
      <c r="E258" s="583" t="str">
        <f>Preferences.EnergyUnits</f>
        <v>TWh</v>
      </c>
      <c r="F258" s="917">
        <f ca="1">F$243*$F256*F257</f>
        <v>19.45078272266667</v>
      </c>
      <c r="G258" s="917">
        <f t="shared" ref="G258:N258" ca="1" si="101">G$243*$F256*G257</f>
        <v>43.836197834137444</v>
      </c>
      <c r="H258" s="917">
        <f t="shared" ca="1" si="101"/>
        <v>86.354954407268664</v>
      </c>
      <c r="I258" s="917">
        <f t="shared" ca="1" si="101"/>
        <v>136.96544764769493</v>
      </c>
      <c r="J258" s="917">
        <f t="shared" ca="1" si="101"/>
        <v>154.65245239206351</v>
      </c>
      <c r="K258" s="917">
        <f t="shared" ca="1" si="101"/>
        <v>188.03471210575069</v>
      </c>
      <c r="L258" s="917">
        <f t="shared" ca="1" si="101"/>
        <v>208.51624500391384</v>
      </c>
      <c r="M258" s="917">
        <f t="shared" ca="1" si="101"/>
        <v>229.11750630351347</v>
      </c>
      <c r="N258" s="917">
        <f t="shared" ca="1" si="101"/>
        <v>232.76287072995174</v>
      </c>
    </row>
    <row r="259" spans="2:16" s="1863" customFormat="1" ht="17.100000000000001" customHeight="1" x14ac:dyDescent="0.2">
      <c r="C259" s="1427"/>
      <c r="E259" s="1426"/>
      <c r="F259" s="114"/>
      <c r="G259" s="114"/>
      <c r="H259" s="114"/>
      <c r="I259" s="114"/>
      <c r="J259" s="114"/>
      <c r="K259" s="114"/>
      <c r="L259" s="114"/>
      <c r="M259" s="114"/>
      <c r="N259" s="114"/>
    </row>
    <row r="260" spans="2:16" s="1863" customFormat="1" ht="17.100000000000001" customHeight="1" x14ac:dyDescent="0.2">
      <c r="B260" s="1427">
        <v>2</v>
      </c>
      <c r="C260" s="1427" t="s">
        <v>821</v>
      </c>
    </row>
    <row r="261" spans="2:16" s="1863" customFormat="1" ht="17.100000000000001" customHeight="1" x14ac:dyDescent="0.2">
      <c r="C261" s="1427" t="s">
        <v>383</v>
      </c>
      <c r="D261" s="147" t="str">
        <f>INDEX(Vectors[Description], MATCH($C261, Vectors[Code], 0))</f>
        <v>Wet biomass and waste</v>
      </c>
      <c r="E261" s="172" t="str">
        <f>Preferences.EnergyUnits</f>
        <v>TWh</v>
      </c>
      <c r="F261" s="114">
        <f t="shared" ref="F261:N261" ca="1" si="102">F$16</f>
        <v>8.9312228459752419</v>
      </c>
      <c r="G261" s="114">
        <f t="shared" ca="1" si="102"/>
        <v>31.919583891554964</v>
      </c>
      <c r="H261" s="114">
        <f t="shared" ca="1" si="102"/>
        <v>60.160926366401561</v>
      </c>
      <c r="I261" s="114">
        <f t="shared" ca="1" si="102"/>
        <v>67.248031985705921</v>
      </c>
      <c r="J261" s="114">
        <f t="shared" ca="1" si="102"/>
        <v>75.067689113939565</v>
      </c>
      <c r="K261" s="114">
        <f t="shared" ca="1" si="102"/>
        <v>83.34026863475772</v>
      </c>
      <c r="L261" s="114">
        <f t="shared" ca="1" si="102"/>
        <v>92.533974835322084</v>
      </c>
      <c r="M261" s="114">
        <f t="shared" ca="1" si="102"/>
        <v>102.69414017084114</v>
      </c>
      <c r="N261" s="114">
        <f t="shared" ca="1" si="102"/>
        <v>114.0710003108473</v>
      </c>
    </row>
    <row r="262" spans="2:16" s="1863" customFormat="1" ht="17.100000000000001" customHeight="1" x14ac:dyDescent="0.2">
      <c r="B262" s="582" t="s">
        <v>345</v>
      </c>
      <c r="C262" s="39" t="s">
        <v>876</v>
      </c>
      <c r="D262" s="39" t="s">
        <v>669</v>
      </c>
      <c r="E262" s="582"/>
      <c r="F262" s="710">
        <f>SUMIFS(INDEX($F$35:$I$54, , MATCH($E$7, $F$34:$I$34, 0)), $C$35:$C$54, $C$261, $E$35:$E$54, D262 )</f>
        <v>0</v>
      </c>
      <c r="G262" s="710"/>
      <c r="H262" s="710"/>
      <c r="I262" s="710"/>
      <c r="J262" s="710"/>
      <c r="K262" s="710"/>
      <c r="L262" s="710"/>
      <c r="M262" s="710"/>
      <c r="N262" s="710"/>
    </row>
    <row r="263" spans="2:16" s="1863" customFormat="1" ht="17.100000000000001" customHeight="1" x14ac:dyDescent="0.2">
      <c r="B263" s="582" t="s">
        <v>345</v>
      </c>
      <c r="C263" s="39" t="s">
        <v>756</v>
      </c>
      <c r="D263" s="39"/>
      <c r="E263" s="582"/>
      <c r="F263" s="710">
        <f>INDEX($G$68:$G$71, MATCH($C264, $C$68:$C$71, 0))</f>
        <v>0</v>
      </c>
      <c r="G263" s="710">
        <f>INDEX($G$68:$G$71, MATCH($C264, $C$68:$C$71, 0))</f>
        <v>0</v>
      </c>
      <c r="H263" s="710">
        <f>INDEX($G$68:$G$71, MATCH($C264, $C$68:$C$71, 0))</f>
        <v>0</v>
      </c>
      <c r="I263" s="710">
        <f t="shared" ref="I263:N263" si="103">INDEX($G$82:$G$85, MATCH($C264, $C$82:$C$85, 0))</f>
        <v>0</v>
      </c>
      <c r="J263" s="710">
        <f t="shared" si="103"/>
        <v>0</v>
      </c>
      <c r="K263" s="710">
        <f t="shared" si="103"/>
        <v>0</v>
      </c>
      <c r="L263" s="710">
        <f t="shared" si="103"/>
        <v>0</v>
      </c>
      <c r="M263" s="710">
        <f t="shared" si="103"/>
        <v>0</v>
      </c>
      <c r="N263" s="710">
        <f t="shared" si="103"/>
        <v>0</v>
      </c>
      <c r="P263" s="39"/>
    </row>
    <row r="264" spans="2:16" s="1863" customFormat="1" ht="17.100000000000001" customHeight="1" x14ac:dyDescent="0.2">
      <c r="B264" s="196" t="s">
        <v>346</v>
      </c>
      <c r="C264" s="20" t="s">
        <v>36</v>
      </c>
      <c r="D264" s="20" t="str">
        <f>INDEX(Vectors[Description], MATCH($C264, Vectors[Code], 0))</f>
        <v>Solid hydrocarbons</v>
      </c>
      <c r="E264" s="583" t="str">
        <f>Preferences.EnergyUnits</f>
        <v>TWh</v>
      </c>
      <c r="F264" s="917">
        <f ca="1">F$261*$F262*F263</f>
        <v>0</v>
      </c>
      <c r="G264" s="917">
        <f t="shared" ref="G264:N264" ca="1" si="104">G$261*$F262*G263</f>
        <v>0</v>
      </c>
      <c r="H264" s="917">
        <f t="shared" ca="1" si="104"/>
        <v>0</v>
      </c>
      <c r="I264" s="917">
        <f t="shared" ca="1" si="104"/>
        <v>0</v>
      </c>
      <c r="J264" s="917">
        <f t="shared" ca="1" si="104"/>
        <v>0</v>
      </c>
      <c r="K264" s="917">
        <f t="shared" ca="1" si="104"/>
        <v>0</v>
      </c>
      <c r="L264" s="917">
        <f t="shared" ca="1" si="104"/>
        <v>0</v>
      </c>
      <c r="M264" s="917">
        <f t="shared" ca="1" si="104"/>
        <v>0</v>
      </c>
      <c r="N264" s="917">
        <f t="shared" ca="1" si="104"/>
        <v>0</v>
      </c>
      <c r="P264" s="39"/>
    </row>
    <row r="265" spans="2:16" s="1863" customFormat="1" ht="17.100000000000001" customHeight="1" x14ac:dyDescent="0.2">
      <c r="C265" s="132"/>
      <c r="E265" s="1426"/>
      <c r="F265" s="114"/>
      <c r="G265" s="114"/>
      <c r="H265" s="114"/>
      <c r="I265" s="114"/>
      <c r="J265" s="114"/>
      <c r="K265" s="114"/>
      <c r="L265" s="114"/>
      <c r="M265" s="114"/>
      <c r="N265" s="114"/>
    </row>
    <row r="266" spans="2:16" s="1863" customFormat="1" ht="17.100000000000001" customHeight="1" x14ac:dyDescent="0.2">
      <c r="B266" s="582" t="s">
        <v>345</v>
      </c>
      <c r="C266" s="39" t="s">
        <v>876</v>
      </c>
      <c r="D266" s="39" t="s">
        <v>122</v>
      </c>
      <c r="E266" s="582"/>
      <c r="F266" s="710">
        <f>SUMIFS(INDEX($F$35:$I$54, , MATCH($E$7, $F$34:$I$34, 0)), $C$35:$C$54, $C$261, $E$35:$E$54, D266 )</f>
        <v>0</v>
      </c>
      <c r="G266" s="710"/>
      <c r="H266" s="710"/>
      <c r="I266" s="710"/>
      <c r="J266" s="710"/>
      <c r="K266" s="710"/>
      <c r="L266" s="710"/>
      <c r="M266" s="710"/>
      <c r="N266" s="710"/>
    </row>
    <row r="267" spans="2:16" s="1863" customFormat="1" ht="17.100000000000001" customHeight="1" x14ac:dyDescent="0.2">
      <c r="B267" s="582" t="s">
        <v>345</v>
      </c>
      <c r="C267" s="39" t="s">
        <v>756</v>
      </c>
      <c r="D267" s="39"/>
      <c r="E267" s="582"/>
      <c r="F267" s="710">
        <f>INDEX($G$68:$G$71, MATCH($C268, $C$68:$C$71, 0))</f>
        <v>0.318</v>
      </c>
      <c r="G267" s="710">
        <f>INDEX($G$68:$G$71, MATCH($C268, $C$68:$C$71, 0))</f>
        <v>0.318</v>
      </c>
      <c r="H267" s="710">
        <f>INDEX($G$68:$G$71, MATCH($C268, $C$68:$C$71, 0))</f>
        <v>0.318</v>
      </c>
      <c r="I267" s="710">
        <f t="shared" ref="I267:N267" si="105">INDEX($G$82:$G$85, MATCH($C268, $C$82:$C$85, 0))</f>
        <v>0.38200000000000001</v>
      </c>
      <c r="J267" s="710">
        <f t="shared" si="105"/>
        <v>0.38200000000000001</v>
      </c>
      <c r="K267" s="710">
        <f t="shared" si="105"/>
        <v>0.38200000000000001</v>
      </c>
      <c r="L267" s="710">
        <f t="shared" si="105"/>
        <v>0.38200000000000001</v>
      </c>
      <c r="M267" s="710">
        <f t="shared" si="105"/>
        <v>0.38200000000000001</v>
      </c>
      <c r="N267" s="710">
        <f t="shared" si="105"/>
        <v>0.38200000000000001</v>
      </c>
      <c r="P267" s="39"/>
    </row>
    <row r="268" spans="2:16" s="1863" customFormat="1" ht="17.100000000000001" customHeight="1" x14ac:dyDescent="0.2">
      <c r="B268" s="196" t="s">
        <v>346</v>
      </c>
      <c r="C268" s="20" t="s">
        <v>38</v>
      </c>
      <c r="D268" s="20" t="str">
        <f>INDEX(Vectors[Description], MATCH($C268, Vectors[Code], 0))</f>
        <v>Liquid hydrocarbons</v>
      </c>
      <c r="E268" s="583" t="str">
        <f>Preferences.EnergyUnits</f>
        <v>TWh</v>
      </c>
      <c r="F268" s="917">
        <f ca="1">F$261*$F266*F267</f>
        <v>0</v>
      </c>
      <c r="G268" s="917">
        <f t="shared" ref="G268:N268" ca="1" si="106">G$261*$F266*G267</f>
        <v>0</v>
      </c>
      <c r="H268" s="917">
        <f t="shared" ca="1" si="106"/>
        <v>0</v>
      </c>
      <c r="I268" s="917">
        <f t="shared" ca="1" si="106"/>
        <v>0</v>
      </c>
      <c r="J268" s="917">
        <f t="shared" ca="1" si="106"/>
        <v>0</v>
      </c>
      <c r="K268" s="917">
        <f t="shared" ca="1" si="106"/>
        <v>0</v>
      </c>
      <c r="L268" s="917">
        <f t="shared" ca="1" si="106"/>
        <v>0</v>
      </c>
      <c r="M268" s="917">
        <f t="shared" ca="1" si="106"/>
        <v>0</v>
      </c>
      <c r="N268" s="917">
        <f t="shared" ca="1" si="106"/>
        <v>0</v>
      </c>
      <c r="P268" s="39"/>
    </row>
    <row r="269" spans="2:16" s="1863" customFormat="1" ht="17.100000000000001" customHeight="1" x14ac:dyDescent="0.2">
      <c r="C269" s="1427"/>
      <c r="E269" s="1426"/>
      <c r="F269" s="114"/>
      <c r="G269" s="114"/>
      <c r="H269" s="114"/>
      <c r="I269" s="114"/>
      <c r="J269" s="114"/>
      <c r="K269" s="114"/>
      <c r="L269" s="114"/>
      <c r="M269" s="114"/>
      <c r="N269" s="114"/>
    </row>
    <row r="270" spans="2:16" s="1863" customFormat="1" ht="17.100000000000001" customHeight="1" x14ac:dyDescent="0.2">
      <c r="B270" s="582" t="s">
        <v>345</v>
      </c>
      <c r="C270" s="39" t="s">
        <v>876</v>
      </c>
      <c r="D270" s="39" t="s">
        <v>10</v>
      </c>
      <c r="E270" s="582"/>
      <c r="F270" s="710">
        <f>SUMIFS(INDEX($F$35:$I$54, , MATCH($E$7, $F$34:$I$34, 0)), $C$35:$C$54, $C$261, $E$35:$E$54, D270 )</f>
        <v>1</v>
      </c>
      <c r="G270" s="710"/>
      <c r="H270" s="710"/>
      <c r="I270" s="710"/>
      <c r="J270" s="710"/>
      <c r="K270" s="710"/>
      <c r="L270" s="710"/>
      <c r="M270" s="710"/>
      <c r="N270" s="710"/>
    </row>
    <row r="271" spans="2:16" s="1863" customFormat="1" ht="17.100000000000001" customHeight="1" x14ac:dyDescent="0.2">
      <c r="B271" s="582" t="s">
        <v>345</v>
      </c>
      <c r="C271" s="39" t="s">
        <v>756</v>
      </c>
      <c r="D271" s="39"/>
      <c r="E271" s="582"/>
      <c r="F271" s="710">
        <f>INDEX($G$68:$G$71, MATCH($C272, $C$68:$C$71, 0))</f>
        <v>0.75</v>
      </c>
      <c r="G271" s="710">
        <f>INDEX($G$68:$G$71, MATCH($C272, $C$68:$C$71, 0))</f>
        <v>0.75</v>
      </c>
      <c r="H271" s="710">
        <f>INDEX($G$68:$G$71, MATCH($C272, $C$68:$C$71, 0))</f>
        <v>0.75</v>
      </c>
      <c r="I271" s="710">
        <f t="shared" ref="I271:N271" si="107">INDEX($G$82:$G$85, MATCH($C272, $C$82:$C$85, 0))</f>
        <v>0.85</v>
      </c>
      <c r="J271" s="710">
        <f t="shared" si="107"/>
        <v>0.85</v>
      </c>
      <c r="K271" s="710">
        <f t="shared" si="107"/>
        <v>0.85</v>
      </c>
      <c r="L271" s="710">
        <f t="shared" si="107"/>
        <v>0.85</v>
      </c>
      <c r="M271" s="710">
        <f t="shared" si="107"/>
        <v>0.85</v>
      </c>
      <c r="N271" s="710">
        <f t="shared" si="107"/>
        <v>0.85</v>
      </c>
      <c r="P271" s="39"/>
    </row>
    <row r="272" spans="2:16" s="1863" customFormat="1" ht="17.100000000000001" customHeight="1" x14ac:dyDescent="0.2">
      <c r="B272" s="132" t="s">
        <v>346</v>
      </c>
      <c r="C272" s="20" t="s">
        <v>39</v>
      </c>
      <c r="D272" s="20" t="str">
        <f>INDEX(Vectors[Description], MATCH($C272, Vectors[Code], 0))</f>
        <v>Gaseous hydrocarbons</v>
      </c>
      <c r="E272" s="583" t="str">
        <f>Preferences.EnergyUnits</f>
        <v>TWh</v>
      </c>
      <c r="F272" s="917">
        <f ca="1">F$261*$F270*F271</f>
        <v>6.6984171344814314</v>
      </c>
      <c r="G272" s="917">
        <f t="shared" ref="G272:N272" ca="1" si="108">G$261*$F270*G271</f>
        <v>23.939687918666223</v>
      </c>
      <c r="H272" s="917">
        <f t="shared" ca="1" si="108"/>
        <v>45.120694774801173</v>
      </c>
      <c r="I272" s="917">
        <f t="shared" ca="1" si="108"/>
        <v>57.160827187850032</v>
      </c>
      <c r="J272" s="917">
        <f t="shared" ca="1" si="108"/>
        <v>63.807535746848629</v>
      </c>
      <c r="K272" s="917">
        <f t="shared" ca="1" si="108"/>
        <v>70.839228339544064</v>
      </c>
      <c r="L272" s="917">
        <f t="shared" ca="1" si="108"/>
        <v>78.653878610023767</v>
      </c>
      <c r="M272" s="917">
        <f t="shared" ca="1" si="108"/>
        <v>87.29001914521497</v>
      </c>
      <c r="N272" s="917">
        <f t="shared" ca="1" si="108"/>
        <v>96.960350264220196</v>
      </c>
      <c r="P272" s="39"/>
    </row>
    <row r="273" spans="2:16" s="2479" customFormat="1" ht="17.100000000000001" customHeight="1" x14ac:dyDescent="0.2">
      <c r="B273" s="132"/>
      <c r="C273" s="20"/>
      <c r="D273" s="20"/>
      <c r="E273" s="583"/>
      <c r="F273" s="918"/>
      <c r="G273" s="918"/>
      <c r="H273" s="918"/>
      <c r="I273" s="918"/>
      <c r="J273" s="918"/>
      <c r="K273" s="918"/>
      <c r="L273" s="918"/>
      <c r="M273" s="918"/>
      <c r="N273" s="918"/>
      <c r="P273" s="39"/>
    </row>
    <row r="274" spans="2:16" s="2479" customFormat="1" ht="17.100000000000001" customHeight="1" x14ac:dyDescent="0.2">
      <c r="B274" s="582" t="s">
        <v>345</v>
      </c>
      <c r="C274" s="39" t="s">
        <v>876</v>
      </c>
      <c r="D274" s="39" t="s">
        <v>2185</v>
      </c>
      <c r="E274" s="582"/>
      <c r="F274" s="710">
        <f>SUMIFS(INDEX($F$35:$I$54, , MATCH($E$7, $F$34:$I$34, 0)), $C$35:$C$54, $C$261, $E$35:$E$54, D274 )</f>
        <v>0</v>
      </c>
      <c r="G274" s="710"/>
      <c r="H274" s="710"/>
      <c r="I274" s="710"/>
      <c r="J274" s="710"/>
      <c r="K274" s="710"/>
      <c r="L274" s="710"/>
      <c r="M274" s="710"/>
      <c r="N274" s="710"/>
      <c r="P274" s="39"/>
    </row>
    <row r="275" spans="2:16" s="2479" customFormat="1" ht="17.100000000000001" customHeight="1" x14ac:dyDescent="0.2">
      <c r="B275" s="582" t="s">
        <v>345</v>
      </c>
      <c r="C275" s="39" t="s">
        <v>756</v>
      </c>
      <c r="D275" s="39"/>
      <c r="E275" s="582"/>
      <c r="F275" s="710">
        <f>INDEX($G$68:$G$71, MATCH($C276, $C$68:$C$71, 0))</f>
        <v>0</v>
      </c>
      <c r="G275" s="710">
        <f>INDEX($G$68:$G$71, MATCH($C276, $C$68:$C$71, 0))</f>
        <v>0</v>
      </c>
      <c r="H275" s="710">
        <f>INDEX($G$68:$G$71, MATCH($C276, $C$68:$C$71, 0))</f>
        <v>0</v>
      </c>
      <c r="I275" s="710">
        <f t="shared" ref="I275:N275" si="109">INDEX($G$82:$G$85, MATCH($C276, $C$82:$C$85, 0))</f>
        <v>0</v>
      </c>
      <c r="J275" s="710">
        <f t="shared" si="109"/>
        <v>0</v>
      </c>
      <c r="K275" s="710">
        <f t="shared" si="109"/>
        <v>0</v>
      </c>
      <c r="L275" s="710">
        <f t="shared" si="109"/>
        <v>0</v>
      </c>
      <c r="M275" s="710">
        <f t="shared" si="109"/>
        <v>0</v>
      </c>
      <c r="N275" s="710">
        <f t="shared" si="109"/>
        <v>0</v>
      </c>
      <c r="P275" s="39"/>
    </row>
    <row r="276" spans="2:16" s="2479" customFormat="1" ht="17.100000000000001" customHeight="1" x14ac:dyDescent="0.2">
      <c r="B276" s="132" t="s">
        <v>346</v>
      </c>
      <c r="C276" s="20" t="s">
        <v>2184</v>
      </c>
      <c r="D276" s="20" t="str">
        <f>INDEX(Vectors[Description], MATCH($C276, Vectors[Code], 0))</f>
        <v>Traditional Fuel</v>
      </c>
      <c r="E276" s="583" t="str">
        <f>Preferences.EnergyUnits</f>
        <v>TWh</v>
      </c>
      <c r="F276" s="917">
        <f ca="1">F$261*$F274*F275</f>
        <v>0</v>
      </c>
      <c r="G276" s="917">
        <f t="shared" ref="G276:N276" ca="1" si="110">G$261*$F274*G275</f>
        <v>0</v>
      </c>
      <c r="H276" s="917">
        <f t="shared" ca="1" si="110"/>
        <v>0</v>
      </c>
      <c r="I276" s="917">
        <f t="shared" ca="1" si="110"/>
        <v>0</v>
      </c>
      <c r="J276" s="917">
        <f t="shared" ca="1" si="110"/>
        <v>0</v>
      </c>
      <c r="K276" s="917">
        <f t="shared" ca="1" si="110"/>
        <v>0</v>
      </c>
      <c r="L276" s="917">
        <f t="shared" ca="1" si="110"/>
        <v>0</v>
      </c>
      <c r="M276" s="917">
        <f t="shared" ca="1" si="110"/>
        <v>0</v>
      </c>
      <c r="N276" s="917">
        <f t="shared" ca="1" si="110"/>
        <v>0</v>
      </c>
      <c r="P276" s="39"/>
    </row>
    <row r="277" spans="2:16" s="2479" customFormat="1" ht="17.100000000000001" customHeight="1" x14ac:dyDescent="0.2">
      <c r="B277" s="132"/>
      <c r="C277" s="20"/>
      <c r="D277" s="20"/>
      <c r="E277" s="583"/>
      <c r="F277" s="918"/>
      <c r="G277" s="918"/>
      <c r="H277" s="918"/>
      <c r="I277" s="918"/>
      <c r="J277" s="918"/>
      <c r="K277" s="918"/>
      <c r="L277" s="918"/>
      <c r="M277" s="918"/>
      <c r="N277" s="918"/>
      <c r="P277" s="39"/>
    </row>
    <row r="278" spans="2:16" s="1863" customFormat="1" ht="17.100000000000001" customHeight="1" x14ac:dyDescent="0.2">
      <c r="B278" s="1427">
        <v>3</v>
      </c>
      <c r="C278" s="1427" t="s">
        <v>877</v>
      </c>
    </row>
    <row r="279" spans="2:16" s="1863" customFormat="1" ht="17.100000000000001" customHeight="1" x14ac:dyDescent="0.2">
      <c r="C279" s="1427" t="s">
        <v>871</v>
      </c>
      <c r="D279" s="147" t="str">
        <f>INDEX(Vectors[Description], MATCH($C279, Vectors[Code], 0))</f>
        <v>Energy crops (second generation)</v>
      </c>
      <c r="E279" s="172" t="str">
        <f>Preferences.EnergyUnits</f>
        <v>TWh</v>
      </c>
      <c r="F279" s="114">
        <f ca="1">F$18</f>
        <v>1662.4488171111111</v>
      </c>
      <c r="G279" s="114">
        <f t="shared" ref="G279:N279" ca="1" si="111">G$18</f>
        <v>1790.9295179502994</v>
      </c>
      <c r="H279" s="114">
        <f t="shared" ca="1" si="111"/>
        <v>1929.3397217722111</v>
      </c>
      <c r="I279" s="114">
        <f t="shared" ca="1" si="111"/>
        <v>2078.4468203239321</v>
      </c>
      <c r="J279" s="114">
        <f t="shared" ca="1" si="111"/>
        <v>2239.0775124593119</v>
      </c>
      <c r="K279" s="114">
        <f t="shared" ca="1" si="111"/>
        <v>2412.1223876296331</v>
      </c>
      <c r="L279" s="114">
        <f t="shared" ca="1" si="111"/>
        <v>2598.5408636047873</v>
      </c>
      <c r="M279" s="114">
        <f t="shared" ca="1" si="111"/>
        <v>2799.3665058013253</v>
      </c>
      <c r="N279" s="114">
        <f t="shared" ca="1" si="111"/>
        <v>3015.7127577094616</v>
      </c>
    </row>
    <row r="280" spans="2:16" s="1863" customFormat="1" ht="17.100000000000001" customHeight="1" x14ac:dyDescent="0.2">
      <c r="B280" s="582" t="s">
        <v>345</v>
      </c>
      <c r="C280" s="39" t="s">
        <v>876</v>
      </c>
      <c r="D280" s="39" t="s">
        <v>669</v>
      </c>
      <c r="E280" s="582"/>
      <c r="F280" s="710">
        <f>SUMIFS(INDEX($F$35:$I$54, , MATCH($E$7, $F$34:$I$34, 0)), $C$35:$C$54, $C$279, $E$35:$E$54, D280 )</f>
        <v>0</v>
      </c>
      <c r="G280" s="710"/>
      <c r="H280" s="710"/>
      <c r="I280" s="710"/>
      <c r="J280" s="710"/>
      <c r="K280" s="710"/>
      <c r="L280" s="710"/>
      <c r="M280" s="710"/>
      <c r="N280" s="710"/>
    </row>
    <row r="281" spans="2:16" s="1863" customFormat="1" ht="17.100000000000001" customHeight="1" x14ac:dyDescent="0.2">
      <c r="B281" s="582" t="s">
        <v>345</v>
      </c>
      <c r="C281" s="39" t="s">
        <v>756</v>
      </c>
      <c r="D281" s="39"/>
      <c r="E281" s="582"/>
      <c r="F281" s="710">
        <f>INDEX($I$68:$I$71, MATCH($C282, $C$68:$C$71, 0))</f>
        <v>0.9</v>
      </c>
      <c r="G281" s="710">
        <f>INDEX($I$68:$I$71, MATCH($C282, $C$68:$C$71, 0))</f>
        <v>0.9</v>
      </c>
      <c r="H281" s="710">
        <f>INDEX($I$68:$I$71, MATCH($C282, $C$68:$C$71, 0))</f>
        <v>0.9</v>
      </c>
      <c r="I281" s="710">
        <f t="shared" ref="I281:N281" si="112">INDEX($I$82:$I$85, MATCH($C282, $C$82:$C$85, 0))</f>
        <v>0.95</v>
      </c>
      <c r="J281" s="710">
        <f t="shared" si="112"/>
        <v>0.95</v>
      </c>
      <c r="K281" s="710">
        <f t="shared" si="112"/>
        <v>0.95</v>
      </c>
      <c r="L281" s="710">
        <f t="shared" si="112"/>
        <v>0.95</v>
      </c>
      <c r="M281" s="710">
        <f t="shared" si="112"/>
        <v>0.95</v>
      </c>
      <c r="N281" s="710">
        <f t="shared" si="112"/>
        <v>0.95</v>
      </c>
    </row>
    <row r="282" spans="2:16" s="1863" customFormat="1" ht="17.100000000000001" customHeight="1" x14ac:dyDescent="0.2">
      <c r="B282" s="196" t="s">
        <v>346</v>
      </c>
      <c r="C282" s="20" t="s">
        <v>36</v>
      </c>
      <c r="D282" s="20" t="str">
        <f>INDEX(Vectors[Description], MATCH($C282, Vectors[Code], 0))</f>
        <v>Solid hydrocarbons</v>
      </c>
      <c r="E282" s="583" t="str">
        <f>Preferences.EnergyUnits</f>
        <v>TWh</v>
      </c>
      <c r="F282" s="917">
        <f ca="1">F$279*$F280*F281</f>
        <v>0</v>
      </c>
      <c r="G282" s="917">
        <f t="shared" ref="G282:N282" ca="1" si="113">G$279*$F280*G281</f>
        <v>0</v>
      </c>
      <c r="H282" s="917">
        <f t="shared" ca="1" si="113"/>
        <v>0</v>
      </c>
      <c r="I282" s="917">
        <f t="shared" ca="1" si="113"/>
        <v>0</v>
      </c>
      <c r="J282" s="917">
        <f t="shared" ca="1" si="113"/>
        <v>0</v>
      </c>
      <c r="K282" s="917">
        <f t="shared" ca="1" si="113"/>
        <v>0</v>
      </c>
      <c r="L282" s="917">
        <f t="shared" ca="1" si="113"/>
        <v>0</v>
      </c>
      <c r="M282" s="917">
        <f t="shared" ca="1" si="113"/>
        <v>0</v>
      </c>
      <c r="N282" s="917">
        <f t="shared" ca="1" si="113"/>
        <v>0</v>
      </c>
    </row>
    <row r="283" spans="2:16" s="1863" customFormat="1" ht="17.100000000000001" customHeight="1" x14ac:dyDescent="0.2">
      <c r="C283" s="132"/>
      <c r="E283" s="1426"/>
      <c r="F283" s="114"/>
      <c r="G283" s="114"/>
      <c r="H283" s="114"/>
      <c r="I283" s="114"/>
      <c r="J283" s="114"/>
      <c r="K283" s="114"/>
      <c r="L283" s="114"/>
      <c r="M283" s="114"/>
      <c r="N283" s="114"/>
    </row>
    <row r="284" spans="2:16" s="1863" customFormat="1" ht="17.100000000000001" customHeight="1" x14ac:dyDescent="0.2">
      <c r="B284" s="582" t="s">
        <v>345</v>
      </c>
      <c r="C284" s="39" t="s">
        <v>876</v>
      </c>
      <c r="D284" s="39" t="s">
        <v>122</v>
      </c>
      <c r="E284" s="582"/>
      <c r="F284" s="710">
        <f>SUMIFS(INDEX($F$35:$I$54, , MATCH($E$7, $F$34:$I$34, 0)), $C$35:$C$54, $C$279, $E$35:$E$54, D284 )</f>
        <v>0</v>
      </c>
      <c r="G284" s="710"/>
      <c r="H284" s="710"/>
      <c r="I284" s="710"/>
      <c r="J284" s="710"/>
      <c r="K284" s="710"/>
      <c r="L284" s="710"/>
      <c r="M284" s="710"/>
      <c r="N284" s="710"/>
    </row>
    <row r="285" spans="2:16" s="1863" customFormat="1" ht="17.100000000000001" customHeight="1" x14ac:dyDescent="0.2">
      <c r="B285" s="582" t="s">
        <v>345</v>
      </c>
      <c r="C285" s="39" t="s">
        <v>756</v>
      </c>
      <c r="D285" s="39"/>
      <c r="E285" s="582"/>
      <c r="F285" s="710">
        <f>INDEX($I$68:$I$71, MATCH($C286, $C$68:$C$71, 0))</f>
        <v>0.37</v>
      </c>
      <c r="G285" s="710">
        <f>INDEX($I$68:$I$71, MATCH($C286, $C$68:$C$71, 0))</f>
        <v>0.37</v>
      </c>
      <c r="H285" s="710">
        <f>INDEX($I$68:$I$71, MATCH($C286, $C$68:$C$71, 0))</f>
        <v>0.37</v>
      </c>
      <c r="I285" s="710">
        <f t="shared" ref="I285:N285" si="114">INDEX($I$82:$I$85, MATCH($C286, $C$82:$C$85, 0))</f>
        <v>0.45</v>
      </c>
      <c r="J285" s="710">
        <f t="shared" si="114"/>
        <v>0.45</v>
      </c>
      <c r="K285" s="710">
        <f t="shared" si="114"/>
        <v>0.45</v>
      </c>
      <c r="L285" s="710">
        <f t="shared" si="114"/>
        <v>0.45</v>
      </c>
      <c r="M285" s="710">
        <f t="shared" si="114"/>
        <v>0.45</v>
      </c>
      <c r="N285" s="710">
        <f t="shared" si="114"/>
        <v>0.45</v>
      </c>
    </row>
    <row r="286" spans="2:16" s="1863" customFormat="1" ht="17.100000000000001" customHeight="1" x14ac:dyDescent="0.2">
      <c r="B286" s="196" t="s">
        <v>346</v>
      </c>
      <c r="C286" s="20" t="s">
        <v>38</v>
      </c>
      <c r="D286" s="20" t="str">
        <f>INDEX(Vectors[Description], MATCH($C286, Vectors[Code], 0))</f>
        <v>Liquid hydrocarbons</v>
      </c>
      <c r="E286" s="583" t="str">
        <f>Preferences.EnergyUnits</f>
        <v>TWh</v>
      </c>
      <c r="F286" s="917">
        <f ca="1">F$279*$F280*F285</f>
        <v>0</v>
      </c>
      <c r="G286" s="917">
        <f t="shared" ref="G286:N286" ca="1" si="115">G$279*$F280*G285</f>
        <v>0</v>
      </c>
      <c r="H286" s="917">
        <f t="shared" ca="1" si="115"/>
        <v>0</v>
      </c>
      <c r="I286" s="917">
        <f t="shared" ca="1" si="115"/>
        <v>0</v>
      </c>
      <c r="J286" s="917">
        <f t="shared" ca="1" si="115"/>
        <v>0</v>
      </c>
      <c r="K286" s="917">
        <f t="shared" ca="1" si="115"/>
        <v>0</v>
      </c>
      <c r="L286" s="917">
        <f t="shared" ca="1" si="115"/>
        <v>0</v>
      </c>
      <c r="M286" s="917">
        <f t="shared" ca="1" si="115"/>
        <v>0</v>
      </c>
      <c r="N286" s="917">
        <f t="shared" ca="1" si="115"/>
        <v>0</v>
      </c>
    </row>
    <row r="287" spans="2:16" s="1863" customFormat="1" ht="17.100000000000001" customHeight="1" x14ac:dyDescent="0.2">
      <c r="C287" s="1427"/>
      <c r="E287" s="1426"/>
      <c r="F287" s="114"/>
      <c r="G287" s="114"/>
      <c r="H287" s="114"/>
      <c r="I287" s="114"/>
      <c r="J287" s="114"/>
      <c r="K287" s="114"/>
      <c r="L287" s="114"/>
      <c r="M287" s="114"/>
      <c r="N287" s="114"/>
    </row>
    <row r="288" spans="2:16" s="1863" customFormat="1" ht="17.100000000000001" customHeight="1" x14ac:dyDescent="0.2">
      <c r="B288" s="582" t="s">
        <v>345</v>
      </c>
      <c r="C288" s="39" t="s">
        <v>876</v>
      </c>
      <c r="D288" s="39" t="s">
        <v>10</v>
      </c>
      <c r="E288" s="582"/>
      <c r="F288" s="710">
        <f>SUMIFS(INDEX($F$35:$I$54, , MATCH($E$7, $F$34:$I$34, 0)), $C$35:$C$54, $C$279, $E$35:$E$54, D288 )</f>
        <v>0.36</v>
      </c>
      <c r="G288" s="710"/>
      <c r="H288" s="710"/>
      <c r="I288" s="710"/>
      <c r="J288" s="710"/>
      <c r="K288" s="710"/>
      <c r="L288" s="710"/>
      <c r="M288" s="710"/>
      <c r="N288" s="710"/>
    </row>
    <row r="289" spans="2:16" s="1863" customFormat="1" ht="17.100000000000001" customHeight="1" x14ac:dyDescent="0.2">
      <c r="B289" s="582" t="s">
        <v>345</v>
      </c>
      <c r="C289" s="39" t="s">
        <v>756</v>
      </c>
      <c r="D289" s="39"/>
      <c r="E289" s="582"/>
      <c r="F289" s="710">
        <f>INDEX($I$68:$I$71, MATCH($C290, $C$68:$C$71, 0))</f>
        <v>0.58499999999999996</v>
      </c>
      <c r="G289" s="710">
        <f>INDEX($I$68:$I$71, MATCH($C290, $C$68:$C$71, 0))</f>
        <v>0.58499999999999996</v>
      </c>
      <c r="H289" s="710">
        <f>INDEX($I$68:$I$71, MATCH($C290, $C$68:$C$71, 0))</f>
        <v>0.58499999999999996</v>
      </c>
      <c r="I289" s="710">
        <f t="shared" ref="I289:N289" si="116">INDEX($I$82:$I$85, MATCH($C290, $C$82:$C$85, 0))</f>
        <v>0.66200000000000003</v>
      </c>
      <c r="J289" s="710">
        <f t="shared" si="116"/>
        <v>0.66200000000000003</v>
      </c>
      <c r="K289" s="710">
        <f t="shared" si="116"/>
        <v>0.66200000000000003</v>
      </c>
      <c r="L289" s="710">
        <f t="shared" si="116"/>
        <v>0.66200000000000003</v>
      </c>
      <c r="M289" s="710">
        <f t="shared" si="116"/>
        <v>0.66200000000000003</v>
      </c>
      <c r="N289" s="710">
        <f t="shared" si="116"/>
        <v>0.66200000000000003</v>
      </c>
    </row>
    <row r="290" spans="2:16" s="1863" customFormat="1" ht="17.100000000000001" customHeight="1" x14ac:dyDescent="0.2">
      <c r="B290" s="196" t="s">
        <v>346</v>
      </c>
      <c r="C290" s="20" t="s">
        <v>39</v>
      </c>
      <c r="D290" s="20" t="str">
        <f>INDEX(Vectors[Description], MATCH($C290, Vectors[Code], 0))</f>
        <v>Gaseous hydrocarbons</v>
      </c>
      <c r="E290" s="583" t="str">
        <f>Preferences.EnergyUnits</f>
        <v>TWh</v>
      </c>
      <c r="F290" s="917">
        <f ca="1">F$279*$F288*F289</f>
        <v>350.11172088359996</v>
      </c>
      <c r="G290" s="917">
        <f t="shared" ref="G290:N290" ca="1" si="117">G$279*$F288*G289</f>
        <v>377.16975648033304</v>
      </c>
      <c r="H290" s="917">
        <f t="shared" ca="1" si="117"/>
        <v>406.31894540522762</v>
      </c>
      <c r="I290" s="917">
        <f t="shared" ca="1" si="117"/>
        <v>495.33544621959953</v>
      </c>
      <c r="J290" s="917">
        <f t="shared" ca="1" si="117"/>
        <v>533.61695276930323</v>
      </c>
      <c r="K290" s="917">
        <f t="shared" ca="1" si="117"/>
        <v>574.8570074198941</v>
      </c>
      <c r="L290" s="917">
        <f t="shared" ca="1" si="117"/>
        <v>619.28425861429298</v>
      </c>
      <c r="M290" s="917">
        <f t="shared" ca="1" si="117"/>
        <v>667.14502566257181</v>
      </c>
      <c r="N290" s="917">
        <f t="shared" ca="1" si="117"/>
        <v>718.7046644173189</v>
      </c>
    </row>
    <row r="291" spans="2:16" s="2479" customFormat="1" ht="17.100000000000001" customHeight="1" x14ac:dyDescent="0.2">
      <c r="B291" s="196"/>
      <c r="C291" s="20"/>
      <c r="D291" s="20"/>
      <c r="E291" s="583"/>
      <c r="F291" s="918"/>
      <c r="G291" s="918"/>
      <c r="H291" s="918"/>
      <c r="I291" s="918"/>
      <c r="J291" s="918"/>
      <c r="K291" s="918"/>
      <c r="L291" s="918"/>
      <c r="M291" s="918"/>
      <c r="N291" s="918"/>
    </row>
    <row r="292" spans="2:16" s="2479" customFormat="1" ht="17.100000000000001" customHeight="1" x14ac:dyDescent="0.2">
      <c r="B292" s="582" t="s">
        <v>345</v>
      </c>
      <c r="C292" s="39" t="s">
        <v>876</v>
      </c>
      <c r="D292" s="39" t="s">
        <v>2185</v>
      </c>
      <c r="E292" s="582"/>
      <c r="F292" s="710">
        <f>SUMIFS(INDEX($F$35:$I$54, , MATCH($E$7, $F$34:$I$34, 0)), $C$35:$C$54, $C$279, $E$35:$E$54, D292 )</f>
        <v>0.64</v>
      </c>
      <c r="G292" s="710"/>
      <c r="H292" s="710"/>
      <c r="I292" s="710"/>
      <c r="J292" s="710"/>
      <c r="K292" s="710"/>
      <c r="L292" s="710"/>
      <c r="M292" s="710"/>
      <c r="N292" s="710"/>
    </row>
    <row r="293" spans="2:16" s="2479" customFormat="1" ht="17.100000000000001" customHeight="1" x14ac:dyDescent="0.2">
      <c r="B293" s="582" t="s">
        <v>345</v>
      </c>
      <c r="C293" s="39" t="s">
        <v>756</v>
      </c>
      <c r="D293" s="39"/>
      <c r="E293" s="582"/>
      <c r="F293" s="710">
        <f>INDEX($I$68:$I$71, MATCH($C294, $C$68:$C$71, 0))</f>
        <v>1</v>
      </c>
      <c r="G293" s="710">
        <f>INDEX($I$68:$I$71, MATCH($C294, $C$68:$C$71, 0))</f>
        <v>1</v>
      </c>
      <c r="H293" s="710">
        <f>INDEX($I$68:$I$71, MATCH($C294, $C$68:$C$71, 0))</f>
        <v>1</v>
      </c>
      <c r="I293" s="710">
        <f t="shared" ref="I293:N293" si="118">INDEX($I$82:$I$85, MATCH($C294, $C$82:$C$85, 0))</f>
        <v>1</v>
      </c>
      <c r="J293" s="710">
        <f t="shared" si="118"/>
        <v>1</v>
      </c>
      <c r="K293" s="710">
        <f t="shared" si="118"/>
        <v>1</v>
      </c>
      <c r="L293" s="710">
        <f t="shared" si="118"/>
        <v>1</v>
      </c>
      <c r="M293" s="710">
        <f t="shared" si="118"/>
        <v>1</v>
      </c>
      <c r="N293" s="710">
        <f t="shared" si="118"/>
        <v>1</v>
      </c>
    </row>
    <row r="294" spans="2:16" s="2479" customFormat="1" ht="17.100000000000001" customHeight="1" x14ac:dyDescent="0.2">
      <c r="B294" s="196" t="s">
        <v>346</v>
      </c>
      <c r="C294" s="20" t="s">
        <v>2184</v>
      </c>
      <c r="D294" s="20" t="str">
        <f>INDEX(Vectors[Description], MATCH($C294, Vectors[Code], 0))</f>
        <v>Traditional Fuel</v>
      </c>
      <c r="E294" s="583" t="str">
        <f>Preferences.EnergyUnits</f>
        <v>TWh</v>
      </c>
      <c r="F294" s="917">
        <f ca="1">F$279*$F292*F293</f>
        <v>1063.9672429511111</v>
      </c>
      <c r="G294" s="917">
        <f t="shared" ref="G294:N294" ca="1" si="119">G$279*$F292*G293</f>
        <v>1146.1948914881916</v>
      </c>
      <c r="H294" s="917">
        <f t="shared" ca="1" si="119"/>
        <v>1234.7774219342152</v>
      </c>
      <c r="I294" s="917">
        <f t="shared" ca="1" si="119"/>
        <v>1330.2059650073165</v>
      </c>
      <c r="J294" s="917">
        <f t="shared" ca="1" si="119"/>
        <v>1433.0096079739596</v>
      </c>
      <c r="K294" s="917">
        <f t="shared" ca="1" si="119"/>
        <v>1543.7583280829651</v>
      </c>
      <c r="L294" s="917">
        <f t="shared" ca="1" si="119"/>
        <v>1663.066152707064</v>
      </c>
      <c r="M294" s="917">
        <f t="shared" ca="1" si="119"/>
        <v>1791.5945637128482</v>
      </c>
      <c r="N294" s="917">
        <f t="shared" ca="1" si="119"/>
        <v>1930.0561649340555</v>
      </c>
    </row>
    <row r="295" spans="2:16" s="1863" customFormat="1" ht="17.100000000000001" customHeight="1" x14ac:dyDescent="0.2">
      <c r="B295" s="196"/>
      <c r="C295" s="20"/>
      <c r="D295" s="20"/>
      <c r="E295" s="583"/>
      <c r="F295" s="918"/>
      <c r="G295" s="918"/>
      <c r="H295" s="918"/>
      <c r="I295" s="918"/>
      <c r="J295" s="918"/>
      <c r="K295" s="918"/>
      <c r="L295" s="918"/>
      <c r="M295" s="918"/>
      <c r="N295" s="918"/>
    </row>
    <row r="296" spans="2:16" s="1863" customFormat="1" ht="17.100000000000001" customHeight="1" x14ac:dyDescent="0.2">
      <c r="C296" s="1427" t="s">
        <v>1161</v>
      </c>
      <c r="D296" s="147" t="str">
        <f>INDEX(Vectors[Description], MATCH($C296, Vectors[Code], 0))</f>
        <v>Energy crops (first generation)</v>
      </c>
      <c r="E296" s="172" t="str">
        <f>Preferences.EnergyUnits</f>
        <v>TWh</v>
      </c>
      <c r="F296" s="114">
        <f t="shared" ref="F296:N296" ca="1" si="120">F19</f>
        <v>10.777293333333335</v>
      </c>
      <c r="G296" s="114">
        <f t="shared" ca="1" si="120"/>
        <v>12.388265322112064</v>
      </c>
      <c r="H296" s="114">
        <f t="shared" ca="1" si="120"/>
        <v>14.240042740265427</v>
      </c>
      <c r="I296" s="114">
        <f t="shared" ca="1" si="120"/>
        <v>16.368620785239571</v>
      </c>
      <c r="J296" s="114">
        <f t="shared" ca="1" si="120"/>
        <v>18.815375157082052</v>
      </c>
      <c r="K296" s="114">
        <f t="shared" ca="1" si="120"/>
        <v>21.627866327074862</v>
      </c>
      <c r="L296" s="114">
        <f t="shared" ca="1" si="120"/>
        <v>24.860764027112872</v>
      </c>
      <c r="M296" s="114">
        <f t="shared" ca="1" si="120"/>
        <v>28.576909930226151</v>
      </c>
      <c r="N296" s="114">
        <f t="shared" ca="1" si="120"/>
        <v>32.848539178829725</v>
      </c>
    </row>
    <row r="297" spans="2:16" s="1863" customFormat="1" ht="17.100000000000001" customHeight="1" x14ac:dyDescent="0.2">
      <c r="B297" s="582" t="s">
        <v>345</v>
      </c>
      <c r="C297" s="39" t="s">
        <v>876</v>
      </c>
      <c r="D297" s="39" t="s">
        <v>669</v>
      </c>
      <c r="E297" s="582"/>
      <c r="F297" s="710">
        <f>SUMIFS(INDEX($F$35:$I$54, , MATCH($E$7, $F$34:$I$34, 0)), $C$35:$C$54, $C$296, $E$35:$E$54, E297 )</f>
        <v>0</v>
      </c>
      <c r="G297" s="710"/>
      <c r="H297" s="710"/>
      <c r="I297" s="710"/>
      <c r="J297" s="710"/>
      <c r="K297" s="710"/>
      <c r="L297" s="710"/>
      <c r="M297" s="710"/>
      <c r="N297" s="710"/>
    </row>
    <row r="298" spans="2:16" s="1863" customFormat="1" ht="17.100000000000001" customHeight="1" x14ac:dyDescent="0.2">
      <c r="B298" s="582" t="s">
        <v>345</v>
      </c>
      <c r="C298" s="39" t="s">
        <v>756</v>
      </c>
      <c r="D298" s="39"/>
      <c r="E298" s="582"/>
      <c r="F298" s="710">
        <f>INDEX($J$68:$J$71, MATCH($C299, $C$68:$C$71, 0))</f>
        <v>0</v>
      </c>
      <c r="G298" s="710">
        <f>INDEX($J$68:$J$71, MATCH($C299, $C$68:$C$71, 0))</f>
        <v>0</v>
      </c>
      <c r="H298" s="710">
        <f>INDEX($J$68:$J$71, MATCH($C299, $C$68:$C$71, 0))</f>
        <v>0</v>
      </c>
      <c r="I298" s="710"/>
      <c r="J298" s="710"/>
      <c r="K298" s="710"/>
      <c r="L298" s="710"/>
      <c r="M298" s="710"/>
      <c r="N298" s="710"/>
    </row>
    <row r="299" spans="2:16" s="1863" customFormat="1" ht="17.100000000000001" customHeight="1" collapsed="1" x14ac:dyDescent="0.2">
      <c r="B299" s="196" t="s">
        <v>346</v>
      </c>
      <c r="C299" s="20" t="s">
        <v>36</v>
      </c>
      <c r="D299" s="20" t="str">
        <f>INDEX(Vectors[Description], MATCH($C299, Vectors[Code], 0))</f>
        <v>Solid hydrocarbons</v>
      </c>
      <c r="E299" s="583" t="str">
        <f>Preferences.EnergyUnits</f>
        <v>TWh</v>
      </c>
      <c r="F299" s="917">
        <f ca="1">F$296*$F297*$F298</f>
        <v>0</v>
      </c>
      <c r="G299" s="917">
        <f t="shared" ref="G299:N299" ca="1" si="121">G$296*$F297*$F298</f>
        <v>0</v>
      </c>
      <c r="H299" s="917">
        <f t="shared" ca="1" si="121"/>
        <v>0</v>
      </c>
      <c r="I299" s="917">
        <f t="shared" ca="1" si="121"/>
        <v>0</v>
      </c>
      <c r="J299" s="917">
        <f t="shared" ca="1" si="121"/>
        <v>0</v>
      </c>
      <c r="K299" s="917">
        <f t="shared" ca="1" si="121"/>
        <v>0</v>
      </c>
      <c r="L299" s="917">
        <f t="shared" ca="1" si="121"/>
        <v>0</v>
      </c>
      <c r="M299" s="917">
        <f t="shared" ca="1" si="121"/>
        <v>0</v>
      </c>
      <c r="N299" s="917">
        <f t="shared" ca="1" si="121"/>
        <v>0</v>
      </c>
    </row>
    <row r="300" spans="2:16" s="1863" customFormat="1" ht="17.100000000000001" customHeight="1" x14ac:dyDescent="0.2">
      <c r="C300" s="132"/>
      <c r="E300" s="1426"/>
      <c r="F300" s="114"/>
      <c r="G300" s="114"/>
      <c r="H300" s="114"/>
      <c r="I300" s="114"/>
      <c r="J300" s="114"/>
      <c r="K300" s="114"/>
      <c r="L300" s="114"/>
      <c r="M300" s="114"/>
      <c r="N300" s="114"/>
    </row>
    <row r="301" spans="2:16" s="1863" customFormat="1" ht="17.100000000000001" customHeight="1" x14ac:dyDescent="0.2">
      <c r="B301" s="582" t="s">
        <v>345</v>
      </c>
      <c r="C301" s="39" t="s">
        <v>876</v>
      </c>
      <c r="D301" s="39" t="s">
        <v>122</v>
      </c>
      <c r="E301" s="582"/>
      <c r="F301" s="710">
        <f>SUMIFS(INDEX($F$35:$I$54, , MATCH($E$7, $F$34:$I$34, 0)), $C$35:$C$54, $C$296, $E$35:$E$54, D301 )</f>
        <v>0.8</v>
      </c>
      <c r="G301" s="710"/>
      <c r="H301" s="710"/>
      <c r="I301" s="710"/>
      <c r="J301" s="710"/>
      <c r="K301" s="710"/>
      <c r="L301" s="710"/>
      <c r="M301" s="710"/>
      <c r="N301" s="710"/>
    </row>
    <row r="302" spans="2:16" s="1863" customFormat="1" ht="17.100000000000001" customHeight="1" x14ac:dyDescent="0.2">
      <c r="B302" s="582" t="s">
        <v>345</v>
      </c>
      <c r="C302" s="39" t="s">
        <v>756</v>
      </c>
      <c r="D302" s="39"/>
      <c r="E302" s="582"/>
      <c r="F302" s="710">
        <f>INDEX($J$68:$J$71, MATCH($C303, $C$68:$C$71, 0))</f>
        <v>0.31</v>
      </c>
      <c r="G302" s="710">
        <f>INDEX($J$68:$J$71, MATCH($C303, $C$68:$C$71, 0))</f>
        <v>0.31</v>
      </c>
      <c r="H302" s="710">
        <f>INDEX($J$68:$J$71, MATCH($C303, $C$68:$C$71, 0))</f>
        <v>0.31</v>
      </c>
      <c r="I302" s="710">
        <f t="shared" ref="I302:N302" si="122">INDEX($J$82:$J$85, MATCH($C303, $C$82:$C$85, 0))</f>
        <v>0.316</v>
      </c>
      <c r="J302" s="710">
        <f t="shared" si="122"/>
        <v>0.316</v>
      </c>
      <c r="K302" s="710">
        <f t="shared" si="122"/>
        <v>0.316</v>
      </c>
      <c r="L302" s="710">
        <f t="shared" si="122"/>
        <v>0.316</v>
      </c>
      <c r="M302" s="710">
        <f t="shared" si="122"/>
        <v>0.316</v>
      </c>
      <c r="N302" s="710">
        <f t="shared" si="122"/>
        <v>0.316</v>
      </c>
      <c r="O302" s="1882"/>
      <c r="P302" s="1882"/>
    </row>
    <row r="303" spans="2:16" s="1863" customFormat="1" ht="17.100000000000001" customHeight="1" x14ac:dyDescent="0.2">
      <c r="B303" s="196" t="s">
        <v>346</v>
      </c>
      <c r="C303" s="20" t="s">
        <v>38</v>
      </c>
      <c r="D303" s="20" t="str">
        <f>INDEX(Vectors[Description], MATCH($C303, Vectors[Code], 0))</f>
        <v>Liquid hydrocarbons</v>
      </c>
      <c r="E303" s="583" t="str">
        <f>Preferences.EnergyUnits</f>
        <v>TWh</v>
      </c>
      <c r="F303" s="917">
        <f ca="1">F$296*$F301*F302</f>
        <v>2.6727687466666672</v>
      </c>
      <c r="G303" s="917">
        <f t="shared" ref="G303:N303" ca="1" si="123">G$296*$F301*G302</f>
        <v>3.0722897998837917</v>
      </c>
      <c r="H303" s="917">
        <f t="shared" ca="1" si="123"/>
        <v>3.5315305995858264</v>
      </c>
      <c r="I303" s="917">
        <f t="shared" ca="1" si="123"/>
        <v>4.1379873345085638</v>
      </c>
      <c r="J303" s="917">
        <f t="shared" ca="1" si="123"/>
        <v>4.7565268397103431</v>
      </c>
      <c r="K303" s="917">
        <f t="shared" ca="1" si="123"/>
        <v>5.4675246074845258</v>
      </c>
      <c r="L303" s="917">
        <f t="shared" ca="1" si="123"/>
        <v>6.284801146054134</v>
      </c>
      <c r="M303" s="917">
        <f t="shared" ca="1" si="123"/>
        <v>7.2242428303611712</v>
      </c>
      <c r="N303" s="917">
        <f t="shared" ca="1" si="123"/>
        <v>8.3041107044081546</v>
      </c>
      <c r="O303" s="1882"/>
      <c r="P303" s="1882"/>
    </row>
    <row r="304" spans="2:16" s="1863" customFormat="1" ht="17.100000000000001" customHeight="1" x14ac:dyDescent="0.2">
      <c r="C304" s="1427"/>
      <c r="E304" s="1426"/>
      <c r="F304" s="114"/>
      <c r="G304" s="114"/>
      <c r="H304" s="114"/>
      <c r="I304" s="114"/>
      <c r="J304" s="114"/>
      <c r="K304" s="114"/>
      <c r="L304" s="114"/>
      <c r="M304" s="114"/>
      <c r="N304" s="114"/>
      <c r="O304" s="1882"/>
      <c r="P304" s="1882"/>
    </row>
    <row r="305" spans="2:16" s="1863" customFormat="1" ht="17.100000000000001" customHeight="1" x14ac:dyDescent="0.2">
      <c r="B305" s="582" t="s">
        <v>345</v>
      </c>
      <c r="C305" s="39" t="s">
        <v>876</v>
      </c>
      <c r="D305" s="39" t="s">
        <v>10</v>
      </c>
      <c r="E305" s="582"/>
      <c r="F305" s="710">
        <f>SUMIFS(INDEX($F$35:$I$54, , MATCH($E$7, $F$34:$I$34, 0)), $C$35:$C$54, $C$296, $E$35:$E$54, D305 )</f>
        <v>0</v>
      </c>
      <c r="G305" s="710"/>
      <c r="H305" s="710"/>
      <c r="I305" s="710"/>
      <c r="J305" s="710"/>
      <c r="K305" s="710"/>
      <c r="L305" s="710"/>
      <c r="M305" s="710"/>
      <c r="N305" s="710"/>
      <c r="O305" s="1882"/>
      <c r="P305" s="1882"/>
    </row>
    <row r="306" spans="2:16" s="1863" customFormat="1" ht="17.100000000000001" customHeight="1" x14ac:dyDescent="0.2">
      <c r="B306" s="582" t="s">
        <v>345</v>
      </c>
      <c r="C306" s="39" t="s">
        <v>756</v>
      </c>
      <c r="D306" s="39"/>
      <c r="E306" s="582"/>
      <c r="F306" s="710">
        <f>INDEX($K$68:$K$71, MATCH($C307, $C$68:$C$71, 0))</f>
        <v>1</v>
      </c>
      <c r="G306" s="710">
        <f t="shared" ref="G306:N306" si="124">INDEX($K$68:$K$71, MATCH($C307, $C$68:$C$71, 0))</f>
        <v>1</v>
      </c>
      <c r="H306" s="710">
        <f t="shared" si="124"/>
        <v>1</v>
      </c>
      <c r="I306" s="710">
        <f t="shared" si="124"/>
        <v>1</v>
      </c>
      <c r="J306" s="710">
        <f t="shared" si="124"/>
        <v>1</v>
      </c>
      <c r="K306" s="710">
        <f t="shared" si="124"/>
        <v>1</v>
      </c>
      <c r="L306" s="710">
        <f t="shared" si="124"/>
        <v>1</v>
      </c>
      <c r="M306" s="710">
        <f t="shared" si="124"/>
        <v>1</v>
      </c>
      <c r="N306" s="710">
        <f t="shared" si="124"/>
        <v>1</v>
      </c>
      <c r="O306" s="1882"/>
      <c r="P306" s="1882"/>
    </row>
    <row r="307" spans="2:16" s="1863" customFormat="1" ht="17.100000000000001" customHeight="1" x14ac:dyDescent="0.2">
      <c r="B307" s="196" t="s">
        <v>346</v>
      </c>
      <c r="C307" s="20" t="s">
        <v>39</v>
      </c>
      <c r="D307" s="20" t="str">
        <f>INDEX(Vectors[Description], MATCH($C307, Vectors[Code], 0))</f>
        <v>Gaseous hydrocarbons</v>
      </c>
      <c r="E307" s="583" t="str">
        <f>Preferences.EnergyUnits</f>
        <v>TWh</v>
      </c>
      <c r="F307" s="917">
        <f t="shared" ref="F307:N307" ca="1" si="125">F$296*$F305*$F306</f>
        <v>0</v>
      </c>
      <c r="G307" s="917">
        <f t="shared" ca="1" si="125"/>
        <v>0</v>
      </c>
      <c r="H307" s="917">
        <f t="shared" ca="1" si="125"/>
        <v>0</v>
      </c>
      <c r="I307" s="917">
        <f t="shared" ca="1" si="125"/>
        <v>0</v>
      </c>
      <c r="J307" s="917">
        <f t="shared" ca="1" si="125"/>
        <v>0</v>
      </c>
      <c r="K307" s="917">
        <f t="shared" ca="1" si="125"/>
        <v>0</v>
      </c>
      <c r="L307" s="917">
        <f t="shared" ca="1" si="125"/>
        <v>0</v>
      </c>
      <c r="M307" s="917">
        <f t="shared" ca="1" si="125"/>
        <v>0</v>
      </c>
      <c r="N307" s="917">
        <f t="shared" ca="1" si="125"/>
        <v>0</v>
      </c>
      <c r="O307" s="1882"/>
      <c r="P307" s="1882"/>
    </row>
    <row r="308" spans="2:16" s="2479" customFormat="1" ht="17.100000000000001" customHeight="1" x14ac:dyDescent="0.2">
      <c r="B308" s="196"/>
      <c r="C308" s="20"/>
      <c r="D308" s="20"/>
      <c r="E308" s="583"/>
      <c r="F308" s="918"/>
      <c r="G308" s="918"/>
      <c r="H308" s="918"/>
      <c r="I308" s="918"/>
      <c r="J308" s="918"/>
      <c r="K308" s="918"/>
      <c r="L308" s="918"/>
      <c r="M308" s="918"/>
      <c r="N308" s="918"/>
      <c r="O308" s="2132"/>
      <c r="P308" s="2132"/>
    </row>
    <row r="309" spans="2:16" s="2479" customFormat="1" ht="17.100000000000001" customHeight="1" x14ac:dyDescent="0.2">
      <c r="B309" s="582" t="s">
        <v>345</v>
      </c>
      <c r="C309" s="39" t="s">
        <v>876</v>
      </c>
      <c r="D309" s="39" t="s">
        <v>2185</v>
      </c>
      <c r="E309" s="582"/>
      <c r="F309" s="710">
        <f>SUMIFS(INDEX($F$35:$I$54, , MATCH($E$7, $F$34:$I$34, 0)), $C$35:$C$54, $C$296, $E$35:$E$54, D309 )</f>
        <v>0.2</v>
      </c>
      <c r="G309" s="710"/>
      <c r="H309" s="710"/>
      <c r="I309" s="710"/>
      <c r="J309" s="710"/>
      <c r="K309" s="710"/>
      <c r="L309" s="710"/>
      <c r="M309" s="710"/>
      <c r="N309" s="710"/>
      <c r="O309" s="2132"/>
      <c r="P309" s="2132"/>
    </row>
    <row r="310" spans="2:16" s="2479" customFormat="1" ht="17.100000000000001" customHeight="1" x14ac:dyDescent="0.2">
      <c r="B310" s="582" t="s">
        <v>345</v>
      </c>
      <c r="C310" s="39" t="s">
        <v>756</v>
      </c>
      <c r="D310" s="39"/>
      <c r="E310" s="582"/>
      <c r="F310" s="710">
        <f>INDEX($K$68:$K$71, MATCH($C311, $C$68:$C$71, 0))</f>
        <v>0</v>
      </c>
      <c r="G310" s="710">
        <f t="shared" ref="G310:N310" si="126">INDEX($K$68:$K$71, MATCH($C311, $C$68:$C$71, 0))</f>
        <v>0</v>
      </c>
      <c r="H310" s="710">
        <f t="shared" si="126"/>
        <v>0</v>
      </c>
      <c r="I310" s="710">
        <f t="shared" si="126"/>
        <v>0</v>
      </c>
      <c r="J310" s="710">
        <f t="shared" si="126"/>
        <v>0</v>
      </c>
      <c r="K310" s="710">
        <f t="shared" si="126"/>
        <v>0</v>
      </c>
      <c r="L310" s="710">
        <f t="shared" si="126"/>
        <v>0</v>
      </c>
      <c r="M310" s="710">
        <f t="shared" si="126"/>
        <v>0</v>
      </c>
      <c r="N310" s="710">
        <f t="shared" si="126"/>
        <v>0</v>
      </c>
      <c r="O310" s="2132"/>
      <c r="P310" s="2132"/>
    </row>
    <row r="311" spans="2:16" s="2479" customFormat="1" ht="17.100000000000001" customHeight="1" x14ac:dyDescent="0.2">
      <c r="B311" s="196" t="s">
        <v>346</v>
      </c>
      <c r="C311" s="20" t="s">
        <v>2184</v>
      </c>
      <c r="D311" s="20" t="str">
        <f>INDEX(Vectors[Description], MATCH($C311, Vectors[Code], 0))</f>
        <v>Traditional Fuel</v>
      </c>
      <c r="E311" s="583" t="str">
        <f>Preferences.EnergyUnits</f>
        <v>TWh</v>
      </c>
      <c r="F311" s="917">
        <f t="shared" ref="F311:N311" ca="1" si="127">F$296*$F309*$F310</f>
        <v>0</v>
      </c>
      <c r="G311" s="917">
        <f t="shared" ca="1" si="127"/>
        <v>0</v>
      </c>
      <c r="H311" s="917">
        <f t="shared" ca="1" si="127"/>
        <v>0</v>
      </c>
      <c r="I311" s="917">
        <f t="shared" ca="1" si="127"/>
        <v>0</v>
      </c>
      <c r="J311" s="917">
        <f t="shared" ca="1" si="127"/>
        <v>0</v>
      </c>
      <c r="K311" s="917">
        <f t="shared" ca="1" si="127"/>
        <v>0</v>
      </c>
      <c r="L311" s="917">
        <f t="shared" ca="1" si="127"/>
        <v>0</v>
      </c>
      <c r="M311" s="917">
        <f t="shared" ca="1" si="127"/>
        <v>0</v>
      </c>
      <c r="N311" s="917">
        <f t="shared" ca="1" si="127"/>
        <v>0</v>
      </c>
      <c r="O311" s="2132"/>
      <c r="P311" s="2132"/>
    </row>
    <row r="312" spans="2:16" s="1863" customFormat="1" ht="17.100000000000001" customHeight="1" x14ac:dyDescent="0.2">
      <c r="C312" s="1427"/>
      <c r="D312" s="147"/>
      <c r="E312" s="172"/>
      <c r="F312" s="114"/>
      <c r="G312" s="114"/>
      <c r="H312" s="114"/>
      <c r="I312" s="114"/>
      <c r="J312" s="114"/>
      <c r="K312" s="114"/>
      <c r="L312" s="114"/>
      <c r="M312" s="114"/>
      <c r="N312" s="114"/>
      <c r="O312" s="1882"/>
      <c r="P312" s="1882"/>
    </row>
    <row r="313" spans="2:16" s="1863" customFormat="1" ht="17.100000000000001" customHeight="1" x14ac:dyDescent="0.2">
      <c r="B313" s="1427">
        <v>4</v>
      </c>
      <c r="C313" s="1427" t="s">
        <v>1169</v>
      </c>
      <c r="O313" s="1882"/>
      <c r="P313" s="1882"/>
    </row>
    <row r="314" spans="2:16" s="1863" customFormat="1" ht="17.100000000000001" customHeight="1" x14ac:dyDescent="0.2">
      <c r="C314" s="1427" t="s">
        <v>1164</v>
      </c>
      <c r="D314" s="147" t="str">
        <f>INDEX(Vectors[Description], MATCH($C314, Vectors[Code], 0))</f>
        <v>Gaseous waste</v>
      </c>
      <c r="E314" s="172" t="str">
        <f>Preferences.EnergyUnits</f>
        <v>TWh</v>
      </c>
      <c r="F314" s="114">
        <f t="shared" ref="F314:N314" ca="1" si="128">F$17</f>
        <v>12.32445930299996</v>
      </c>
      <c r="G314" s="114">
        <f t="shared" ca="1" si="128"/>
        <v>11.254146912530599</v>
      </c>
      <c r="H314" s="114">
        <f t="shared" ca="1" si="128"/>
        <v>9.7112997118455926</v>
      </c>
      <c r="I314" s="114">
        <f t="shared" ca="1" si="128"/>
        <v>8.716547040987356</v>
      </c>
      <c r="J314" s="114">
        <f t="shared" ca="1" si="128"/>
        <v>7.3179329830517172</v>
      </c>
      <c r="K314" s="114">
        <f t="shared" ca="1" si="128"/>
        <v>6.7479704068045194</v>
      </c>
      <c r="L314" s="114">
        <f t="shared" ca="1" si="128"/>
        <v>5.9620308549013927</v>
      </c>
      <c r="M314" s="114">
        <f t="shared" ca="1" si="128"/>
        <v>4.9487424290318085</v>
      </c>
      <c r="N314" s="114">
        <f t="shared" ca="1" si="128"/>
        <v>3.6967332308852345</v>
      </c>
      <c r="O314" s="1882"/>
      <c r="P314" s="1882"/>
    </row>
    <row r="315" spans="2:16" s="1863" customFormat="1" ht="17.100000000000001" customHeight="1" x14ac:dyDescent="0.2">
      <c r="B315" s="582" t="s">
        <v>345</v>
      </c>
      <c r="C315" s="39" t="s">
        <v>876</v>
      </c>
      <c r="D315" s="39" t="s">
        <v>669</v>
      </c>
      <c r="E315" s="582"/>
      <c r="F315" s="710">
        <f>SUMIFS(INDEX($F$35:$I$54, , MATCH($E$7, $F$34:$I$34, 0)), $C$35:$C$54, $C$314, $E$35:$E$54, D315 )</f>
        <v>0</v>
      </c>
      <c r="G315" s="710"/>
      <c r="H315" s="710"/>
      <c r="I315" s="710"/>
      <c r="J315" s="710"/>
      <c r="K315" s="710"/>
      <c r="L315" s="710"/>
      <c r="M315" s="710"/>
      <c r="N315" s="710"/>
      <c r="O315" s="1882"/>
      <c r="P315" s="1882"/>
    </row>
    <row r="316" spans="2:16" s="1863" customFormat="1" ht="17.100000000000001" customHeight="1" x14ac:dyDescent="0.2">
      <c r="B316" s="582" t="s">
        <v>345</v>
      </c>
      <c r="C316" s="39" t="s">
        <v>756</v>
      </c>
      <c r="D316" s="39"/>
      <c r="E316" s="582"/>
      <c r="F316" s="710">
        <f>INDEX($K$68:$K$71, MATCH($C317, $C$68:$C$71, 0))</f>
        <v>0</v>
      </c>
      <c r="G316" s="710">
        <f>INDEX($K$68:$K$71, MATCH($C317, $C$68:$C$71, 0))</f>
        <v>0</v>
      </c>
      <c r="H316" s="710">
        <f>INDEX($K$68:$K$71, MATCH($C317, $C$68:$C$71, 0))</f>
        <v>0</v>
      </c>
      <c r="I316" s="710">
        <f t="shared" ref="I316:N316" si="129">INDEX($K$82:$K$85, MATCH($C317, $C$82:$C$85, 0))</f>
        <v>0</v>
      </c>
      <c r="J316" s="710">
        <f t="shared" si="129"/>
        <v>0</v>
      </c>
      <c r="K316" s="710">
        <f t="shared" si="129"/>
        <v>0</v>
      </c>
      <c r="L316" s="710">
        <f t="shared" si="129"/>
        <v>0</v>
      </c>
      <c r="M316" s="710">
        <f t="shared" si="129"/>
        <v>0</v>
      </c>
      <c r="N316" s="710">
        <f t="shared" si="129"/>
        <v>0</v>
      </c>
      <c r="O316" s="1882"/>
      <c r="P316" s="1882"/>
    </row>
    <row r="317" spans="2:16" s="1863" customFormat="1" ht="17.100000000000001" customHeight="1" x14ac:dyDescent="0.2">
      <c r="B317" s="196" t="s">
        <v>346</v>
      </c>
      <c r="C317" s="20" t="s">
        <v>36</v>
      </c>
      <c r="D317" s="20" t="str">
        <f>INDEX(Vectors[Description], MATCH($C317, Vectors[Code], 0))</f>
        <v>Solid hydrocarbons</v>
      </c>
      <c r="E317" s="583" t="str">
        <f>Preferences.EnergyUnits</f>
        <v>TWh</v>
      </c>
      <c r="F317" s="917">
        <f t="shared" ref="F317:N317" ca="1" si="130">F$314*$F315*F316</f>
        <v>0</v>
      </c>
      <c r="G317" s="917">
        <f t="shared" ca="1" si="130"/>
        <v>0</v>
      </c>
      <c r="H317" s="917">
        <f t="shared" ca="1" si="130"/>
        <v>0</v>
      </c>
      <c r="I317" s="917">
        <f t="shared" ca="1" si="130"/>
        <v>0</v>
      </c>
      <c r="J317" s="917">
        <f t="shared" ca="1" si="130"/>
        <v>0</v>
      </c>
      <c r="K317" s="917">
        <f t="shared" ca="1" si="130"/>
        <v>0</v>
      </c>
      <c r="L317" s="917">
        <f t="shared" ca="1" si="130"/>
        <v>0</v>
      </c>
      <c r="M317" s="917">
        <f t="shared" ca="1" si="130"/>
        <v>0</v>
      </c>
      <c r="N317" s="917">
        <f t="shared" ca="1" si="130"/>
        <v>0</v>
      </c>
      <c r="O317" s="918"/>
      <c r="P317" s="1882"/>
    </row>
    <row r="318" spans="2:16" s="1863" customFormat="1" ht="17.100000000000001" customHeight="1" x14ac:dyDescent="0.2">
      <c r="C318" s="132"/>
      <c r="E318" s="1426"/>
      <c r="F318" s="114"/>
      <c r="G318" s="114"/>
      <c r="H318" s="114"/>
      <c r="I318" s="114"/>
      <c r="J318" s="114"/>
      <c r="K318" s="114"/>
      <c r="L318" s="114"/>
      <c r="M318" s="114"/>
      <c r="N318" s="114"/>
      <c r="O318" s="1882"/>
      <c r="P318" s="1882"/>
    </row>
    <row r="319" spans="2:16" s="1863" customFormat="1" ht="17.100000000000001" customHeight="1" x14ac:dyDescent="0.2">
      <c r="B319" s="582" t="s">
        <v>345</v>
      </c>
      <c r="C319" s="39" t="s">
        <v>876</v>
      </c>
      <c r="D319" s="39" t="s">
        <v>122</v>
      </c>
      <c r="E319" s="582"/>
      <c r="F319" s="710">
        <f>SUMIFS(INDEX($F$35:$I$54, , MATCH($E$7, $F$34:$I$34, 0)), $C$35:$C$54, $C$314, $E$35:$E$54, D319 )</f>
        <v>0</v>
      </c>
      <c r="G319" s="710"/>
      <c r="H319" s="710"/>
      <c r="I319" s="710"/>
      <c r="J319" s="710"/>
      <c r="K319" s="710"/>
      <c r="L319" s="710"/>
      <c r="M319" s="710"/>
      <c r="N319" s="710"/>
      <c r="O319" s="1882"/>
      <c r="P319" s="1882"/>
    </row>
    <row r="320" spans="2:16" s="1863" customFormat="1" ht="17.100000000000001" customHeight="1" collapsed="1" x14ac:dyDescent="0.2">
      <c r="B320" s="582" t="s">
        <v>345</v>
      </c>
      <c r="C320" s="39" t="s">
        <v>756</v>
      </c>
      <c r="D320" s="39"/>
      <c r="E320" s="582"/>
      <c r="F320" s="710">
        <f>INDEX($K$68:$K$71, MATCH($C321, $C$68:$C$71, 0))</f>
        <v>0</v>
      </c>
      <c r="G320" s="710">
        <f>INDEX($K$68:$K$71, MATCH($C321, $C$68:$C$71, 0))</f>
        <v>0</v>
      </c>
      <c r="H320" s="710">
        <f>INDEX($K$68:$K$71, MATCH($C321, $C$68:$C$71, 0))</f>
        <v>0</v>
      </c>
      <c r="I320" s="710">
        <f t="shared" ref="I320:N320" si="131">INDEX($K$82:$K$85, MATCH($C321, $C$82:$C$85, 0))</f>
        <v>0</v>
      </c>
      <c r="J320" s="710">
        <f t="shared" si="131"/>
        <v>0</v>
      </c>
      <c r="K320" s="710">
        <f t="shared" si="131"/>
        <v>0</v>
      </c>
      <c r="L320" s="710">
        <f t="shared" si="131"/>
        <v>0</v>
      </c>
      <c r="M320" s="710">
        <f t="shared" si="131"/>
        <v>0</v>
      </c>
      <c r="N320" s="710">
        <f t="shared" si="131"/>
        <v>0</v>
      </c>
      <c r="O320" s="1882"/>
      <c r="P320" s="1882"/>
    </row>
    <row r="321" spans="1:16" s="1863" customFormat="1" ht="17.100000000000001" customHeight="1" x14ac:dyDescent="0.2">
      <c r="B321" s="196" t="s">
        <v>346</v>
      </c>
      <c r="C321" s="20" t="s">
        <v>38</v>
      </c>
      <c r="D321" s="20" t="str">
        <f>INDEX(Vectors[Description], MATCH($C321, Vectors[Code], 0))</f>
        <v>Liquid hydrocarbons</v>
      </c>
      <c r="E321" s="583" t="str">
        <f>Preferences.EnergyUnits</f>
        <v>TWh</v>
      </c>
      <c r="F321" s="917">
        <f t="shared" ref="F321:N321" ca="1" si="132">F$314*$F319*F320</f>
        <v>0</v>
      </c>
      <c r="G321" s="917">
        <f t="shared" ca="1" si="132"/>
        <v>0</v>
      </c>
      <c r="H321" s="917">
        <f t="shared" ca="1" si="132"/>
        <v>0</v>
      </c>
      <c r="I321" s="917">
        <f t="shared" ca="1" si="132"/>
        <v>0</v>
      </c>
      <c r="J321" s="917">
        <f t="shared" ca="1" si="132"/>
        <v>0</v>
      </c>
      <c r="K321" s="917">
        <f t="shared" ca="1" si="132"/>
        <v>0</v>
      </c>
      <c r="L321" s="917">
        <f t="shared" ca="1" si="132"/>
        <v>0</v>
      </c>
      <c r="M321" s="917">
        <f t="shared" ca="1" si="132"/>
        <v>0</v>
      </c>
      <c r="N321" s="917">
        <f t="shared" ca="1" si="132"/>
        <v>0</v>
      </c>
      <c r="O321" s="1882"/>
      <c r="P321" s="1882"/>
    </row>
    <row r="322" spans="1:16" s="1863" customFormat="1" ht="17.100000000000001" customHeight="1" x14ac:dyDescent="0.2">
      <c r="C322" s="1427"/>
      <c r="E322" s="1426"/>
      <c r="F322" s="114"/>
      <c r="G322" s="114"/>
      <c r="H322" s="114"/>
      <c r="I322" s="114"/>
      <c r="J322" s="114"/>
      <c r="K322" s="114"/>
      <c r="L322" s="114"/>
      <c r="M322" s="114"/>
      <c r="N322" s="114"/>
      <c r="O322" s="1882"/>
      <c r="P322" s="1882"/>
    </row>
    <row r="323" spans="1:16" s="1863" customFormat="1" ht="17.100000000000001" customHeight="1" x14ac:dyDescent="0.2">
      <c r="B323" s="582" t="s">
        <v>345</v>
      </c>
      <c r="C323" s="39" t="s">
        <v>876</v>
      </c>
      <c r="D323" s="39" t="s">
        <v>10</v>
      </c>
      <c r="E323" s="582"/>
      <c r="F323" s="710">
        <f>SUMIFS(INDEX($F$35:$I$54, , MATCH($E$7, $F$34:$I$34, 0)), $C$35:$C$54, $C$314, $E$35:$E$54, D323 )</f>
        <v>1</v>
      </c>
      <c r="G323" s="710"/>
      <c r="H323" s="710"/>
      <c r="I323" s="710"/>
      <c r="J323" s="710"/>
      <c r="K323" s="710"/>
      <c r="L323" s="710"/>
      <c r="M323" s="710"/>
      <c r="N323" s="710"/>
      <c r="O323" s="1882"/>
      <c r="P323" s="1882"/>
    </row>
    <row r="324" spans="1:16" s="1863" customFormat="1" ht="17.100000000000001" customHeight="1" x14ac:dyDescent="0.2">
      <c r="B324" s="582" t="s">
        <v>345</v>
      </c>
      <c r="C324" s="39" t="s">
        <v>756</v>
      </c>
      <c r="D324" s="39"/>
      <c r="E324" s="582"/>
      <c r="F324" s="710">
        <f>INDEX($K$68:$K$71, MATCH($C325, $C$68:$C$71, 0))</f>
        <v>1</v>
      </c>
      <c r="G324" s="710">
        <f>INDEX($K$68:$K$71, MATCH($C325, $C$68:$C$71, 0))</f>
        <v>1</v>
      </c>
      <c r="H324" s="710">
        <f>INDEX($K$68:$K$71, MATCH($C325, $C$68:$C$71, 0))</f>
        <v>1</v>
      </c>
      <c r="I324" s="710">
        <f t="shared" ref="I324:N324" si="133">INDEX($K$82:$K$85, MATCH($C325, $C$82:$C$85, 0))</f>
        <v>1</v>
      </c>
      <c r="J324" s="710">
        <f t="shared" si="133"/>
        <v>1</v>
      </c>
      <c r="K324" s="710">
        <f t="shared" si="133"/>
        <v>1</v>
      </c>
      <c r="L324" s="710">
        <f t="shared" si="133"/>
        <v>1</v>
      </c>
      <c r="M324" s="710">
        <f t="shared" si="133"/>
        <v>1</v>
      </c>
      <c r="N324" s="710">
        <f t="shared" si="133"/>
        <v>1</v>
      </c>
      <c r="O324" s="1882"/>
      <c r="P324" s="1882"/>
    </row>
    <row r="325" spans="1:16" s="1863" customFormat="1" ht="17.100000000000001" customHeight="1" x14ac:dyDescent="0.2">
      <c r="B325" s="196" t="s">
        <v>346</v>
      </c>
      <c r="C325" s="20" t="s">
        <v>39</v>
      </c>
      <c r="D325" s="20" t="str">
        <f>INDEX(Vectors[Description], MATCH($C325, Vectors[Code], 0))</f>
        <v>Gaseous hydrocarbons</v>
      </c>
      <c r="E325" s="583" t="str">
        <f>Preferences.EnergyUnits</f>
        <v>TWh</v>
      </c>
      <c r="F325" s="917">
        <f ca="1">F$314*$F323*F324</f>
        <v>12.32445930299996</v>
      </c>
      <c r="G325" s="917">
        <f t="shared" ref="G325:N325" ca="1" si="134">G$314*$F323*G324</f>
        <v>11.254146912530599</v>
      </c>
      <c r="H325" s="917">
        <f t="shared" ca="1" si="134"/>
        <v>9.7112997118455926</v>
      </c>
      <c r="I325" s="917">
        <f t="shared" ca="1" si="134"/>
        <v>8.716547040987356</v>
      </c>
      <c r="J325" s="917">
        <f t="shared" ca="1" si="134"/>
        <v>7.3179329830517172</v>
      </c>
      <c r="K325" s="917">
        <f t="shared" ca="1" si="134"/>
        <v>6.7479704068045194</v>
      </c>
      <c r="L325" s="917">
        <f t="shared" ca="1" si="134"/>
        <v>5.9620308549013927</v>
      </c>
      <c r="M325" s="917">
        <f t="shared" ca="1" si="134"/>
        <v>4.9487424290318085</v>
      </c>
      <c r="N325" s="917">
        <f t="shared" ca="1" si="134"/>
        <v>3.6967332308852345</v>
      </c>
      <c r="O325" s="1882"/>
      <c r="P325" s="1882"/>
    </row>
    <row r="326" spans="1:16" s="2479" customFormat="1" ht="17.100000000000001" customHeight="1" x14ac:dyDescent="0.2">
      <c r="B326" s="196"/>
      <c r="C326" s="20"/>
      <c r="D326" s="20"/>
      <c r="E326" s="583"/>
      <c r="F326" s="918"/>
      <c r="G326" s="918"/>
      <c r="H326" s="918"/>
      <c r="I326" s="918"/>
      <c r="J326" s="918"/>
      <c r="K326" s="918"/>
      <c r="L326" s="918"/>
      <c r="M326" s="918"/>
      <c r="N326" s="918"/>
      <c r="O326" s="2132"/>
      <c r="P326" s="2132"/>
    </row>
    <row r="327" spans="1:16" s="2479" customFormat="1" ht="17.100000000000001" customHeight="1" x14ac:dyDescent="0.2">
      <c r="B327" s="582" t="s">
        <v>345</v>
      </c>
      <c r="C327" s="39" t="s">
        <v>876</v>
      </c>
      <c r="D327" s="39" t="s">
        <v>2185</v>
      </c>
      <c r="E327" s="582"/>
      <c r="F327" s="710">
        <f>SUMIFS(INDEX($F$35:$I$54, , MATCH($E$7, $F$34:$I$34, 0)), $C$35:$C$54, $C$314, $E$35:$E$54, D327 )</f>
        <v>0</v>
      </c>
      <c r="G327" s="710"/>
      <c r="H327" s="710"/>
      <c r="I327" s="710"/>
      <c r="J327" s="710"/>
      <c r="K327" s="710"/>
      <c r="L327" s="710"/>
      <c r="M327" s="710"/>
      <c r="N327" s="710"/>
      <c r="O327" s="2132"/>
      <c r="P327" s="2132"/>
    </row>
    <row r="328" spans="1:16" s="2479" customFormat="1" ht="17.100000000000001" customHeight="1" x14ac:dyDescent="0.2">
      <c r="B328" s="582" t="s">
        <v>345</v>
      </c>
      <c r="C328" s="39" t="s">
        <v>756</v>
      </c>
      <c r="D328" s="39"/>
      <c r="E328" s="582"/>
      <c r="F328" s="710">
        <f>INDEX($K$68:$K$71, MATCH($C329, $C$68:$C$71, 0))</f>
        <v>0</v>
      </c>
      <c r="G328" s="710">
        <f>INDEX($K$68:$K$71, MATCH($C329, $C$68:$C$71, 0))</f>
        <v>0</v>
      </c>
      <c r="H328" s="710">
        <f>INDEX($K$68:$K$71, MATCH($C329, $C$68:$C$71, 0))</f>
        <v>0</v>
      </c>
      <c r="I328" s="710">
        <f t="shared" ref="I328:N328" si="135">INDEX($K$82:$K$85, MATCH($C329, $C$82:$C$85, 0))</f>
        <v>0</v>
      </c>
      <c r="J328" s="710">
        <f t="shared" si="135"/>
        <v>0</v>
      </c>
      <c r="K328" s="710">
        <f t="shared" si="135"/>
        <v>0</v>
      </c>
      <c r="L328" s="710">
        <f t="shared" si="135"/>
        <v>0</v>
      </c>
      <c r="M328" s="710">
        <f t="shared" si="135"/>
        <v>0</v>
      </c>
      <c r="N328" s="710">
        <f t="shared" si="135"/>
        <v>0</v>
      </c>
      <c r="O328" s="2132"/>
      <c r="P328" s="2132"/>
    </row>
    <row r="329" spans="1:16" s="2479" customFormat="1" ht="17.100000000000001" customHeight="1" x14ac:dyDescent="0.2">
      <c r="B329" s="196" t="s">
        <v>346</v>
      </c>
      <c r="C329" s="20" t="s">
        <v>2184</v>
      </c>
      <c r="D329" s="20" t="str">
        <f>INDEX(Vectors[Description], MATCH($C329, Vectors[Code], 0))</f>
        <v>Traditional Fuel</v>
      </c>
      <c r="E329" s="583" t="str">
        <f>Preferences.EnergyUnits</f>
        <v>TWh</v>
      </c>
      <c r="F329" s="917">
        <f ca="1">F$314*$F327*F328</f>
        <v>0</v>
      </c>
      <c r="G329" s="917">
        <f t="shared" ref="G329:N329" ca="1" si="136">G$314*$F327*G328</f>
        <v>0</v>
      </c>
      <c r="H329" s="917">
        <f t="shared" ca="1" si="136"/>
        <v>0</v>
      </c>
      <c r="I329" s="917">
        <f t="shared" ca="1" si="136"/>
        <v>0</v>
      </c>
      <c r="J329" s="917">
        <f t="shared" ca="1" si="136"/>
        <v>0</v>
      </c>
      <c r="K329" s="917">
        <f t="shared" ca="1" si="136"/>
        <v>0</v>
      </c>
      <c r="L329" s="917">
        <f t="shared" ca="1" si="136"/>
        <v>0</v>
      </c>
      <c r="M329" s="917">
        <f t="shared" ca="1" si="136"/>
        <v>0</v>
      </c>
      <c r="N329" s="917">
        <f t="shared" ca="1" si="136"/>
        <v>0</v>
      </c>
      <c r="O329" s="2132"/>
      <c r="P329" s="2132"/>
    </row>
    <row r="330" spans="1:16" s="1863" customFormat="1" ht="17.100000000000001" customHeight="1" x14ac:dyDescent="0.2">
      <c r="C330" s="1427"/>
      <c r="D330" s="147"/>
      <c r="E330" s="172"/>
      <c r="F330" s="114"/>
      <c r="G330" s="114"/>
      <c r="H330" s="114"/>
      <c r="I330" s="114"/>
      <c r="J330" s="114"/>
      <c r="K330" s="114"/>
      <c r="L330" s="114"/>
      <c r="M330" s="114"/>
      <c r="N330" s="114"/>
      <c r="O330" s="1882"/>
      <c r="P330" s="1882"/>
    </row>
    <row r="331" spans="1:16" s="1863" customFormat="1" ht="17.100000000000001" customHeight="1" x14ac:dyDescent="0.3">
      <c r="A331" s="1422"/>
      <c r="B331" s="1427">
        <v>5</v>
      </c>
      <c r="C331" s="1427" t="s">
        <v>822</v>
      </c>
      <c r="F331" s="23"/>
      <c r="G331" s="23"/>
      <c r="H331" s="23"/>
      <c r="I331" s="23"/>
      <c r="J331" s="23"/>
      <c r="K331" s="23"/>
      <c r="L331" s="23"/>
      <c r="M331" s="23"/>
      <c r="N331" s="23"/>
      <c r="O331" s="1882"/>
      <c r="P331" s="1882"/>
    </row>
    <row r="332" spans="1:16" s="1863" customFormat="1" ht="17.100000000000001" customHeight="1" collapsed="1" x14ac:dyDescent="0.2">
      <c r="C332" s="131"/>
      <c r="F332" s="23"/>
      <c r="G332" s="23"/>
      <c r="H332" s="23"/>
      <c r="I332" s="23"/>
      <c r="J332" s="23"/>
      <c r="K332" s="23"/>
      <c r="L332" s="23"/>
      <c r="M332" s="23"/>
      <c r="N332" s="23"/>
      <c r="O332" s="1882"/>
      <c r="P332" s="1882"/>
    </row>
    <row r="333" spans="1:16" s="1863" customFormat="1" ht="17.100000000000001" customHeight="1" x14ac:dyDescent="0.2">
      <c r="C333" s="1427" t="s">
        <v>823</v>
      </c>
      <c r="F333" s="23"/>
      <c r="G333" s="23"/>
      <c r="H333" s="23"/>
      <c r="I333" s="23"/>
      <c r="J333" s="23"/>
      <c r="K333" s="23"/>
      <c r="L333" s="23"/>
      <c r="M333" s="23"/>
      <c r="N333" s="23"/>
      <c r="O333" s="1882"/>
      <c r="P333" s="1882"/>
    </row>
    <row r="334" spans="1:16" s="1863" customFormat="1" ht="17.100000000000001" customHeight="1" x14ac:dyDescent="0.2">
      <c r="B334" s="1426" t="s">
        <v>36</v>
      </c>
      <c r="C334" s="20" t="str">
        <f>INDEX(Vectors[Description], MATCH($B334, Vectors[Code], 0))</f>
        <v>Solid hydrocarbons</v>
      </c>
      <c r="E334" s="583" t="str">
        <f>Preferences.EnergyUnits</f>
        <v>TWh</v>
      </c>
      <c r="F334" s="23">
        <f t="shared" ref="F334:N334" ca="1" si="137">F246+F264+F282+F299+F317</f>
        <v>0</v>
      </c>
      <c r="G334" s="23">
        <f t="shared" ca="1" si="137"/>
        <v>0</v>
      </c>
      <c r="H334" s="23">
        <f t="shared" ca="1" si="137"/>
        <v>0</v>
      </c>
      <c r="I334" s="23">
        <f t="shared" ca="1" si="137"/>
        <v>0</v>
      </c>
      <c r="J334" s="23">
        <f t="shared" ca="1" si="137"/>
        <v>0</v>
      </c>
      <c r="K334" s="23">
        <f t="shared" ca="1" si="137"/>
        <v>0</v>
      </c>
      <c r="L334" s="23">
        <f t="shared" ca="1" si="137"/>
        <v>0</v>
      </c>
      <c r="M334" s="23">
        <f t="shared" ca="1" si="137"/>
        <v>0</v>
      </c>
      <c r="N334" s="23">
        <f t="shared" ca="1" si="137"/>
        <v>0</v>
      </c>
      <c r="O334" s="1882"/>
      <c r="P334" s="1882"/>
    </row>
    <row r="335" spans="1:16" s="1863" customFormat="1" ht="17.100000000000001" customHeight="1" x14ac:dyDescent="0.25">
      <c r="A335" s="3"/>
      <c r="B335" s="1426" t="s">
        <v>38</v>
      </c>
      <c r="C335" s="20" t="str">
        <f>INDEX(Vectors[Description], MATCH($B335, Vectors[Code], 0))</f>
        <v>Liquid hydrocarbons</v>
      </c>
      <c r="E335" s="583" t="str">
        <f>Preferences.EnergyUnits</f>
        <v>TWh</v>
      </c>
      <c r="F335" s="23">
        <f t="shared" ref="F335:N335" ca="1" si="138">F250+F268+F286+F303+F319</f>
        <v>2.6727687466666672</v>
      </c>
      <c r="G335" s="23">
        <f t="shared" ca="1" si="138"/>
        <v>3.0722897998837917</v>
      </c>
      <c r="H335" s="23">
        <f t="shared" ca="1" si="138"/>
        <v>3.5315305995858264</v>
      </c>
      <c r="I335" s="23">
        <f t="shared" ca="1" si="138"/>
        <v>4.1379873345085638</v>
      </c>
      <c r="J335" s="23">
        <f t="shared" ca="1" si="138"/>
        <v>4.7565268397103431</v>
      </c>
      <c r="K335" s="23">
        <f t="shared" ca="1" si="138"/>
        <v>5.4675246074845258</v>
      </c>
      <c r="L335" s="23">
        <f t="shared" ca="1" si="138"/>
        <v>6.284801146054134</v>
      </c>
      <c r="M335" s="23">
        <f t="shared" ca="1" si="138"/>
        <v>7.2242428303611712</v>
      </c>
      <c r="N335" s="23">
        <f t="shared" ca="1" si="138"/>
        <v>8.3041107044081546</v>
      </c>
      <c r="O335" s="1882"/>
      <c r="P335" s="1882"/>
    </row>
    <row r="336" spans="1:16" s="1863" customFormat="1" ht="17.100000000000001" customHeight="1" x14ac:dyDescent="0.25">
      <c r="A336" s="3"/>
      <c r="B336" s="1426" t="s">
        <v>39</v>
      </c>
      <c r="C336" s="20" t="str">
        <f>INDEX(Vectors[Description], MATCH($B336, Vectors[Code], 0))</f>
        <v>Gaseous hydrocarbons</v>
      </c>
      <c r="E336" s="583" t="str">
        <f>Preferences.EnergyUnits</f>
        <v>TWh</v>
      </c>
      <c r="F336" s="23">
        <f t="shared" ref="F336:N336" ca="1" si="139">F254+F272+F290+F307+F325</f>
        <v>376.72040258292134</v>
      </c>
      <c r="G336" s="23">
        <f t="shared" ca="1" si="139"/>
        <v>429.45970846684344</v>
      </c>
      <c r="H336" s="23">
        <f t="shared" ca="1" si="139"/>
        <v>494.82937211070913</v>
      </c>
      <c r="I336" s="23">
        <f t="shared" ca="1" si="139"/>
        <v>621.66023801028632</v>
      </c>
      <c r="J336" s="23">
        <f t="shared" ca="1" si="139"/>
        <v>672.99570382156764</v>
      </c>
      <c r="K336" s="23">
        <f t="shared" ca="1" si="139"/>
        <v>735.43019244224729</v>
      </c>
      <c r="L336" s="23">
        <f t="shared" ca="1" si="139"/>
        <v>795.92533754094541</v>
      </c>
      <c r="M336" s="23">
        <f t="shared" ca="1" si="139"/>
        <v>860.50098001876916</v>
      </c>
      <c r="N336" s="23">
        <f t="shared" ca="1" si="139"/>
        <v>922.08776152790972</v>
      </c>
    </row>
    <row r="337" spans="1:15" s="2479" customFormat="1" ht="17.100000000000001" customHeight="1" x14ac:dyDescent="0.25">
      <c r="A337" s="3"/>
      <c r="B337" s="1426" t="s">
        <v>2184</v>
      </c>
      <c r="C337" s="20" t="str">
        <f>INDEX(Vectors[Description], MATCH($B337, Vectors[Code], 0))</f>
        <v>Traditional Fuel</v>
      </c>
      <c r="E337" s="583" t="str">
        <f>Preferences.EnergyUnits</f>
        <v>TWh</v>
      </c>
      <c r="F337" s="23">
        <f ca="1">F258+F276+F294+F311+F329</f>
        <v>1083.4180256737777</v>
      </c>
      <c r="G337" s="23">
        <f t="shared" ref="G337:N337" ca="1" si="140">G258+G276+G294+G311+G329</f>
        <v>1190.0310893223291</v>
      </c>
      <c r="H337" s="23">
        <f t="shared" ca="1" si="140"/>
        <v>1321.1323763414839</v>
      </c>
      <c r="I337" s="23">
        <f t="shared" ca="1" si="140"/>
        <v>1467.1714126550114</v>
      </c>
      <c r="J337" s="23">
        <f t="shared" ca="1" si="140"/>
        <v>1587.6620603660231</v>
      </c>
      <c r="K337" s="23">
        <f t="shared" ca="1" si="140"/>
        <v>1731.7930401887158</v>
      </c>
      <c r="L337" s="23">
        <f t="shared" ca="1" si="140"/>
        <v>1871.5823977109778</v>
      </c>
      <c r="M337" s="23">
        <f t="shared" ca="1" si="140"/>
        <v>2020.7120700163616</v>
      </c>
      <c r="N337" s="23">
        <f t="shared" ca="1" si="140"/>
        <v>2162.8190356640071</v>
      </c>
    </row>
    <row r="338" spans="1:15" s="1863" customFormat="1" ht="17.100000000000001" customHeight="1" x14ac:dyDescent="0.25">
      <c r="A338" s="3"/>
      <c r="C338" s="131"/>
      <c r="F338" s="23"/>
      <c r="G338" s="23"/>
      <c r="H338" s="23"/>
      <c r="I338" s="23"/>
      <c r="J338" s="23"/>
      <c r="K338" s="23"/>
      <c r="L338" s="23"/>
      <c r="M338" s="23"/>
      <c r="N338" s="23"/>
    </row>
    <row r="339" spans="1:15" s="1863" customFormat="1" ht="17.100000000000001" customHeight="1" x14ac:dyDescent="0.25">
      <c r="A339" s="3"/>
      <c r="C339" s="1427" t="s">
        <v>825</v>
      </c>
      <c r="F339" s="23"/>
      <c r="G339" s="23"/>
      <c r="H339" s="23"/>
      <c r="I339" s="23"/>
      <c r="J339" s="23"/>
      <c r="K339" s="23"/>
      <c r="L339" s="23"/>
      <c r="M339" s="23"/>
      <c r="N339" s="23"/>
    </row>
    <row r="340" spans="1:15" s="1863" customFormat="1" ht="17.100000000000001" customHeight="1" x14ac:dyDescent="0.25">
      <c r="A340" s="3"/>
      <c r="B340" s="1426" t="s">
        <v>36</v>
      </c>
      <c r="C340" s="20" t="str">
        <f>INDEX(Vectors[Description], MATCH($B340, Vectors[Code], 0))</f>
        <v>Solid hydrocarbons</v>
      </c>
      <c r="E340" s="583" t="str">
        <f>Preferences.EnergyUnits</f>
        <v>TWh</v>
      </c>
      <c r="F340" s="23">
        <f t="shared" ref="F340:N340" ca="1" si="141">MAX(MIN(F334, -F24),0)</f>
        <v>0</v>
      </c>
      <c r="G340" s="23">
        <f t="shared" ca="1" si="141"/>
        <v>0</v>
      </c>
      <c r="H340" s="23">
        <f t="shared" ca="1" si="141"/>
        <v>0</v>
      </c>
      <c r="I340" s="23">
        <f t="shared" ca="1" si="141"/>
        <v>0</v>
      </c>
      <c r="J340" s="23">
        <f t="shared" ca="1" si="141"/>
        <v>0</v>
      </c>
      <c r="K340" s="23">
        <f t="shared" ca="1" si="141"/>
        <v>0</v>
      </c>
      <c r="L340" s="23">
        <f t="shared" ca="1" si="141"/>
        <v>0</v>
      </c>
      <c r="M340" s="23">
        <f t="shared" ca="1" si="141"/>
        <v>0</v>
      </c>
      <c r="N340" s="23">
        <f t="shared" ca="1" si="141"/>
        <v>0</v>
      </c>
    </row>
    <row r="341" spans="1:15" s="1863" customFormat="1" ht="17.100000000000001" customHeight="1" x14ac:dyDescent="0.25">
      <c r="A341" s="3"/>
      <c r="B341" s="1426" t="s">
        <v>38</v>
      </c>
      <c r="C341" s="20" t="str">
        <f>INDEX(Vectors[Description], MATCH($B341, Vectors[Code], 0))</f>
        <v>Liquid hydrocarbons</v>
      </c>
      <c r="E341" s="583" t="str">
        <f>Preferences.EnergyUnits</f>
        <v>TWh</v>
      </c>
      <c r="F341" s="23">
        <f t="shared" ref="F341:N341" ca="1" si="142">MAX(MIN(F335, -F25),0)</f>
        <v>2.6727687466666672</v>
      </c>
      <c r="G341" s="23">
        <f t="shared" ca="1" si="142"/>
        <v>3.0722897998837917</v>
      </c>
      <c r="H341" s="23">
        <f t="shared" ca="1" si="142"/>
        <v>3.5315305995858264</v>
      </c>
      <c r="I341" s="23">
        <f t="shared" ca="1" si="142"/>
        <v>4.1379873345085638</v>
      </c>
      <c r="J341" s="23">
        <f t="shared" ca="1" si="142"/>
        <v>4.7565268397103431</v>
      </c>
      <c r="K341" s="23">
        <f t="shared" ca="1" si="142"/>
        <v>5.4675246074845258</v>
      </c>
      <c r="L341" s="23">
        <f t="shared" ca="1" si="142"/>
        <v>6.284801146054134</v>
      </c>
      <c r="M341" s="23">
        <f t="shared" ca="1" si="142"/>
        <v>7.2242428303611712</v>
      </c>
      <c r="N341" s="23">
        <f t="shared" ca="1" si="142"/>
        <v>8.3041107044081546</v>
      </c>
    </row>
    <row r="342" spans="1:15" s="1863" customFormat="1" ht="17.100000000000001" customHeight="1" x14ac:dyDescent="0.25">
      <c r="A342" s="3"/>
      <c r="B342" s="1426" t="s">
        <v>39</v>
      </c>
      <c r="C342" s="20" t="str">
        <f>INDEX(Vectors[Description], MATCH($B342, Vectors[Code], 0))</f>
        <v>Gaseous hydrocarbons</v>
      </c>
      <c r="E342" s="583" t="str">
        <f>Preferences.EnergyUnits</f>
        <v>TWh</v>
      </c>
      <c r="F342" s="23">
        <f t="shared" ref="F342:N342" ca="1" si="143">MAX(MIN(F336, -F26),0)</f>
        <v>376.72040258292134</v>
      </c>
      <c r="G342" s="23">
        <f t="shared" ca="1" si="143"/>
        <v>429.45970846684344</v>
      </c>
      <c r="H342" s="23">
        <f t="shared" ca="1" si="143"/>
        <v>494.82937211070913</v>
      </c>
      <c r="I342" s="23">
        <f t="shared" ca="1" si="143"/>
        <v>621.66023801028632</v>
      </c>
      <c r="J342" s="23">
        <f t="shared" ca="1" si="143"/>
        <v>672.99570382156764</v>
      </c>
      <c r="K342" s="23">
        <f t="shared" ca="1" si="143"/>
        <v>735.43019244224729</v>
      </c>
      <c r="L342" s="23">
        <f t="shared" ca="1" si="143"/>
        <v>795.92533754094541</v>
      </c>
      <c r="M342" s="23">
        <f t="shared" ca="1" si="143"/>
        <v>860.50098001876916</v>
      </c>
      <c r="N342" s="23">
        <f t="shared" ca="1" si="143"/>
        <v>922.08776152790972</v>
      </c>
    </row>
    <row r="343" spans="1:15" s="2479" customFormat="1" ht="17.100000000000001" customHeight="1" x14ac:dyDescent="0.25">
      <c r="A343" s="3"/>
      <c r="B343" s="1426" t="s">
        <v>2184</v>
      </c>
      <c r="C343" s="20" t="str">
        <f>INDEX(Vectors[Description], MATCH($B343, Vectors[Code], 0))</f>
        <v>Traditional Fuel</v>
      </c>
      <c r="E343" s="583" t="str">
        <f>Preferences.EnergyUnits</f>
        <v>TWh</v>
      </c>
      <c r="F343" s="23">
        <f t="shared" ref="F343:N343" ca="1" si="144">MAX(MIN(F337, -F27),0)</f>
        <v>207.89751104902211</v>
      </c>
      <c r="G343" s="23">
        <f t="shared" ca="1" si="144"/>
        <v>184.5626425169898</v>
      </c>
      <c r="H343" s="23">
        <f t="shared" ca="1" si="144"/>
        <v>174.26276521348021</v>
      </c>
      <c r="I343" s="23">
        <f t="shared" ca="1" si="144"/>
        <v>161.01204691117439</v>
      </c>
      <c r="J343" s="23">
        <f t="shared" ca="1" si="144"/>
        <v>139.84015467028291</v>
      </c>
      <c r="K343" s="23">
        <f t="shared" ca="1" si="144"/>
        <v>119.88593635939728</v>
      </c>
      <c r="L343" s="23">
        <f t="shared" ca="1" si="144"/>
        <v>92.776442187623488</v>
      </c>
      <c r="M343" s="23">
        <f t="shared" ca="1" si="144"/>
        <v>67.553818988990002</v>
      </c>
      <c r="N343" s="23">
        <f t="shared" ca="1" si="144"/>
        <v>45.201438373394261</v>
      </c>
    </row>
    <row r="344" spans="1:15" s="1863" customFormat="1" ht="17.100000000000001" customHeight="1" x14ac:dyDescent="0.25">
      <c r="A344" s="3"/>
      <c r="C344" s="131"/>
      <c r="F344" s="23"/>
      <c r="G344" s="23"/>
      <c r="H344" s="23"/>
      <c r="I344" s="23"/>
      <c r="J344" s="23"/>
      <c r="K344" s="23"/>
      <c r="L344" s="23"/>
      <c r="M344" s="23"/>
      <c r="N344" s="23"/>
      <c r="O344" s="23"/>
    </row>
    <row r="345" spans="1:15" s="1863" customFormat="1" ht="17.100000000000001" customHeight="1" x14ac:dyDescent="0.25">
      <c r="A345" s="3"/>
      <c r="B345" s="1426" t="s">
        <v>64</v>
      </c>
      <c r="C345" s="1427" t="s">
        <v>1219</v>
      </c>
      <c r="D345" s="1863" t="s">
        <v>1220</v>
      </c>
      <c r="E345" s="1426" t="s">
        <v>574</v>
      </c>
      <c r="F345" s="1427" t="s">
        <v>241</v>
      </c>
      <c r="G345" s="1427" t="s">
        <v>268</v>
      </c>
      <c r="H345" s="1427" t="s">
        <v>269</v>
      </c>
      <c r="I345" s="1427" t="s">
        <v>270</v>
      </c>
      <c r="J345" s="1427" t="s">
        <v>271</v>
      </c>
      <c r="K345" s="1427" t="s">
        <v>272</v>
      </c>
      <c r="L345" s="1427" t="s">
        <v>273</v>
      </c>
      <c r="M345" s="1427" t="s">
        <v>274</v>
      </c>
      <c r="N345" s="1427" t="s">
        <v>275</v>
      </c>
    </row>
    <row r="346" spans="1:15" s="1863" customFormat="1" ht="17.100000000000001" customHeight="1" x14ac:dyDescent="0.25">
      <c r="A346" s="3"/>
      <c r="B346" s="1426" t="s">
        <v>36</v>
      </c>
      <c r="C346" s="20" t="str">
        <f>INDEX(Vectors[Description], MATCH($B346, Vectors[Code], 0))</f>
        <v>Solid hydrocarbons</v>
      </c>
      <c r="E346" s="583" t="str">
        <f>Preferences.EnergyUnits</f>
        <v>TWh</v>
      </c>
      <c r="F346" s="23">
        <f t="shared" ref="F346:N346" ca="1" si="145">F334-F340</f>
        <v>0</v>
      </c>
      <c r="G346" s="23">
        <f t="shared" ca="1" si="145"/>
        <v>0</v>
      </c>
      <c r="H346" s="23">
        <f t="shared" ca="1" si="145"/>
        <v>0</v>
      </c>
      <c r="I346" s="23">
        <f t="shared" ca="1" si="145"/>
        <v>0</v>
      </c>
      <c r="J346" s="23">
        <f t="shared" ca="1" si="145"/>
        <v>0</v>
      </c>
      <c r="K346" s="23">
        <f t="shared" ca="1" si="145"/>
        <v>0</v>
      </c>
      <c r="L346" s="23">
        <f t="shared" ca="1" si="145"/>
        <v>0</v>
      </c>
      <c r="M346" s="23">
        <f t="shared" ca="1" si="145"/>
        <v>0</v>
      </c>
      <c r="N346" s="23">
        <f t="shared" ca="1" si="145"/>
        <v>0</v>
      </c>
    </row>
    <row r="347" spans="1:15" s="1863" customFormat="1" ht="17.100000000000001" customHeight="1" x14ac:dyDescent="0.25">
      <c r="A347" s="3"/>
      <c r="B347" s="1426" t="s">
        <v>38</v>
      </c>
      <c r="C347" s="20" t="str">
        <f>INDEX(Vectors[Description], MATCH($B347, Vectors[Code], 0))</f>
        <v>Liquid hydrocarbons</v>
      </c>
      <c r="E347" s="583" t="str">
        <f>Preferences.EnergyUnits</f>
        <v>TWh</v>
      </c>
      <c r="F347" s="23">
        <f t="shared" ref="F347:N347" ca="1" si="146">F335-F341</f>
        <v>0</v>
      </c>
      <c r="G347" s="23">
        <f t="shared" ca="1" si="146"/>
        <v>0</v>
      </c>
      <c r="H347" s="23">
        <f t="shared" ca="1" si="146"/>
        <v>0</v>
      </c>
      <c r="I347" s="23">
        <f t="shared" ca="1" si="146"/>
        <v>0</v>
      </c>
      <c r="J347" s="23">
        <f t="shared" ca="1" si="146"/>
        <v>0</v>
      </c>
      <c r="K347" s="23">
        <f t="shared" ca="1" si="146"/>
        <v>0</v>
      </c>
      <c r="L347" s="23">
        <f t="shared" ca="1" si="146"/>
        <v>0</v>
      </c>
      <c r="M347" s="23">
        <f t="shared" ca="1" si="146"/>
        <v>0</v>
      </c>
      <c r="N347" s="23">
        <f t="shared" ca="1" si="146"/>
        <v>0</v>
      </c>
    </row>
    <row r="348" spans="1:15" s="2479" customFormat="1" ht="17.100000000000001" customHeight="1" x14ac:dyDescent="0.25">
      <c r="A348" s="3"/>
      <c r="B348" s="1426" t="s">
        <v>39</v>
      </c>
      <c r="C348" s="2468" t="str">
        <f>INDEX(Vectors[Description], MATCH($B348, Vectors[Code], 0))</f>
        <v>Gaseous hydrocarbons</v>
      </c>
      <c r="E348" s="2604" t="str">
        <f>Preferences.EnergyUnits</f>
        <v>TWh</v>
      </c>
      <c r="F348" s="2605">
        <f t="shared" ref="F348:N348" ca="1" si="147">F336-F342</f>
        <v>0</v>
      </c>
      <c r="G348" s="2605">
        <f t="shared" ca="1" si="147"/>
        <v>0</v>
      </c>
      <c r="H348" s="2605">
        <f t="shared" ca="1" si="147"/>
        <v>0</v>
      </c>
      <c r="I348" s="2605">
        <f t="shared" ca="1" si="147"/>
        <v>0</v>
      </c>
      <c r="J348" s="2605">
        <f t="shared" ca="1" si="147"/>
        <v>0</v>
      </c>
      <c r="K348" s="2605">
        <f t="shared" ca="1" si="147"/>
        <v>0</v>
      </c>
      <c r="L348" s="2605">
        <f t="shared" ca="1" si="147"/>
        <v>0</v>
      </c>
      <c r="M348" s="2605">
        <f t="shared" ca="1" si="147"/>
        <v>0</v>
      </c>
      <c r="N348" s="2605">
        <f t="shared" ca="1" si="147"/>
        <v>0</v>
      </c>
    </row>
    <row r="349" spans="1:15" s="1863" customFormat="1" ht="17.100000000000001" customHeight="1" x14ac:dyDescent="0.25">
      <c r="A349" s="3"/>
      <c r="B349" s="1426" t="s">
        <v>2184</v>
      </c>
      <c r="C349" s="20" t="str">
        <f>INDEX(Vectors[Description], MATCH($B349, Vectors[Code], 0))</f>
        <v>Traditional Fuel</v>
      </c>
      <c r="E349" s="583" t="str">
        <f>Preferences.EnergyUnits</f>
        <v>TWh</v>
      </c>
      <c r="F349" s="23">
        <f ca="1">F337-F343</f>
        <v>875.52051462475561</v>
      </c>
      <c r="G349" s="23">
        <f t="shared" ref="G349:N349" ca="1" si="148">G337-G343</f>
        <v>1005.4684468053392</v>
      </c>
      <c r="H349" s="23">
        <f t="shared" ca="1" si="148"/>
        <v>1146.8696111280037</v>
      </c>
      <c r="I349" s="23">
        <f t="shared" ca="1" si="148"/>
        <v>1306.159365743837</v>
      </c>
      <c r="J349" s="23">
        <f t="shared" ca="1" si="148"/>
        <v>1447.82190569574</v>
      </c>
      <c r="K349" s="23">
        <f t="shared" ca="1" si="148"/>
        <v>1611.9071038293187</v>
      </c>
      <c r="L349" s="23">
        <f t="shared" ca="1" si="148"/>
        <v>1778.8059555233544</v>
      </c>
      <c r="M349" s="23">
        <f t="shared" ca="1" si="148"/>
        <v>1953.1582510273715</v>
      </c>
      <c r="N349" s="23">
        <f t="shared" ca="1" si="148"/>
        <v>2117.6175972906126</v>
      </c>
    </row>
    <row r="350" spans="1:15" s="1863" customFormat="1" ht="17.100000000000001" customHeight="1" x14ac:dyDescent="0.2">
      <c r="B350" s="1426"/>
      <c r="C350" s="20"/>
      <c r="F350" s="23"/>
      <c r="G350" s="23"/>
      <c r="H350" s="23"/>
      <c r="I350" s="23"/>
      <c r="J350" s="23"/>
      <c r="K350" s="23"/>
      <c r="L350" s="23"/>
      <c r="M350" s="23"/>
      <c r="N350" s="23"/>
      <c r="O350" s="23"/>
    </row>
    <row r="351" spans="1:15" s="1863" customFormat="1" ht="17.100000000000001" customHeight="1" x14ac:dyDescent="0.3">
      <c r="A351" s="1422"/>
      <c r="B351" s="1427">
        <v>6</v>
      </c>
      <c r="C351" s="1427" t="s">
        <v>826</v>
      </c>
      <c r="F351" s="114"/>
      <c r="G351" s="114"/>
      <c r="H351" s="114"/>
      <c r="I351" s="114"/>
      <c r="J351" s="114"/>
      <c r="K351" s="114"/>
      <c r="L351" s="114"/>
      <c r="M351" s="114"/>
      <c r="N351" s="114"/>
      <c r="O351" s="114"/>
    </row>
    <row r="352" spans="1:15" s="1863" customFormat="1" ht="17.100000000000001" customHeight="1" x14ac:dyDescent="0.2">
      <c r="B352" s="1427"/>
      <c r="C352" s="1427"/>
      <c r="F352" s="114"/>
      <c r="G352" s="114"/>
      <c r="H352" s="114"/>
      <c r="I352" s="114"/>
      <c r="J352" s="114"/>
      <c r="K352" s="114"/>
      <c r="L352" s="114"/>
      <c r="M352" s="114"/>
      <c r="N352" s="114"/>
      <c r="O352" s="114"/>
    </row>
    <row r="353" spans="2:15" s="1863" customFormat="1" ht="17.100000000000001" customHeight="1" x14ac:dyDescent="0.25">
      <c r="B353" s="583"/>
      <c r="C353" s="1863" t="s">
        <v>827</v>
      </c>
      <c r="E353" s="1863" t="s">
        <v>493</v>
      </c>
      <c r="F353" s="1428">
        <f t="array" aca="1" ref="F353" ca="1">SUM(F$340:F$342*SUMIFS(EF[CO2], EF[Vector], $B$340:$B$342))</f>
        <v>69.984746261924187</v>
      </c>
      <c r="G353" s="1428">
        <f t="array" aca="1" ref="G353" ca="1">SUM(G$340:G$342*SUMIFS(EF[CO2], EF[Vector], $B$340:$B$342))</f>
        <v>79.788658807870121</v>
      </c>
      <c r="H353" s="1428">
        <f t="array" aca="1" ref="H353" ca="1">SUM(H$340:H$342*SUMIFS(EF[CO2], EF[Vector], $B$340:$B$342))</f>
        <v>91.931487118266929</v>
      </c>
      <c r="I353" s="1428">
        <f t="array" aca="1" ref="I353" ca="1">SUM(I$340:I$342*SUMIFS(EF[CO2], EF[Vector], $B$340:$B$342))</f>
        <v>115.41998062751981</v>
      </c>
      <c r="J353" s="1428">
        <f t="array" aca="1" ref="J353" ca="1">SUM(J$340:J$342*SUMIFS(EF[CO2], EF[Vector], $B$340:$B$342))</f>
        <v>125.020341213096</v>
      </c>
      <c r="K353" s="1428">
        <f t="array" aca="1" ref="K353" ca="1">SUM(K$340:K$342*SUMIFS(EF[CO2], EF[Vector], $B$340:$B$342))</f>
        <v>136.68603656124461</v>
      </c>
      <c r="L353" s="1428">
        <f t="array" aca="1" ref="L353" ca="1">SUM(L$340:L$342*SUMIFS(EF[CO2], EF[Vector], $B$340:$B$342))</f>
        <v>148.02146239404746</v>
      </c>
      <c r="M353" s="1428">
        <f t="array" aca="1" ref="M353" ca="1">SUM(M$340:M$342*SUMIFS(EF[CO2], EF[Vector], $B$340:$B$342))</f>
        <v>160.13824103104378</v>
      </c>
      <c r="N353" s="1428">
        <f t="array" aca="1" ref="N353" ca="1">SUM(N$340:N$342*SUMIFS(EF[CO2], EF[Vector], $B$340:$B$342))</f>
        <v>171.74017579723738</v>
      </c>
    </row>
    <row r="354" spans="2:15" s="1863" customFormat="1" ht="17.100000000000001" customHeight="1" x14ac:dyDescent="0.2">
      <c r="B354" s="583"/>
      <c r="F354" s="1428"/>
      <c r="G354" s="1428"/>
      <c r="H354" s="1428"/>
      <c r="I354" s="1428"/>
      <c r="J354" s="1428"/>
      <c r="K354" s="1428"/>
      <c r="L354" s="1428"/>
      <c r="M354" s="1428"/>
      <c r="N354" s="1428"/>
    </row>
    <row r="355" spans="2:15" s="1863" customFormat="1" ht="17.100000000000001" customHeight="1" x14ac:dyDescent="0.2">
      <c r="B355" s="1427">
        <v>6</v>
      </c>
      <c r="C355" s="1427" t="s">
        <v>1484</v>
      </c>
      <c r="F355" s="1428"/>
      <c r="G355" s="1428"/>
      <c r="H355" s="1428"/>
      <c r="I355" s="1428"/>
      <c r="J355" s="1428"/>
      <c r="K355" s="1428"/>
      <c r="L355" s="1428"/>
      <c r="M355" s="1428"/>
      <c r="N355" s="1428"/>
    </row>
    <row r="356" spans="2:15" s="1863" customFormat="1" ht="17.100000000000001" customHeight="1" x14ac:dyDescent="0.2">
      <c r="B356" s="1427"/>
      <c r="C356" s="1427"/>
      <c r="F356" s="1428"/>
      <c r="G356" s="1428"/>
      <c r="H356" s="1428"/>
      <c r="I356" s="1428"/>
      <c r="J356" s="1428"/>
      <c r="K356" s="1428"/>
      <c r="L356" s="1428"/>
      <c r="M356" s="1428"/>
      <c r="N356" s="1428"/>
    </row>
    <row r="357" spans="2:15" s="1863" customFormat="1" ht="17.100000000000001" customHeight="1" x14ac:dyDescent="0.2">
      <c r="B357" s="1427" t="s">
        <v>1485</v>
      </c>
      <c r="C357" s="1427" t="s">
        <v>105</v>
      </c>
      <c r="D357" s="1883"/>
      <c r="E357" s="1883"/>
      <c r="F357" s="1428"/>
      <c r="G357" s="1428"/>
      <c r="H357" s="1428"/>
      <c r="I357" s="1428"/>
      <c r="J357" s="1428"/>
      <c r="K357" s="1428"/>
      <c r="L357" s="1428"/>
      <c r="M357" s="1428"/>
      <c r="N357" s="1428" t="s">
        <v>1486</v>
      </c>
    </row>
    <row r="358" spans="2:15" s="1863" customFormat="1" ht="17.100000000000001" customHeight="1" x14ac:dyDescent="0.2">
      <c r="B358" s="1427"/>
      <c r="C358" s="1427" t="s">
        <v>873</v>
      </c>
      <c r="D358" s="1427"/>
      <c r="E358" s="1427" t="s">
        <v>874</v>
      </c>
      <c r="F358" s="172" t="s">
        <v>241</v>
      </c>
      <c r="G358" s="172" t="s">
        <v>268</v>
      </c>
      <c r="H358" s="172" t="s">
        <v>269</v>
      </c>
      <c r="I358" s="172" t="s">
        <v>270</v>
      </c>
      <c r="J358" s="172" t="s">
        <v>271</v>
      </c>
      <c r="K358" s="172" t="s">
        <v>272</v>
      </c>
      <c r="L358" s="172" t="s">
        <v>273</v>
      </c>
      <c r="M358" s="172" t="s">
        <v>274</v>
      </c>
      <c r="N358" s="172" t="s">
        <v>275</v>
      </c>
      <c r="O358" s="172" t="s">
        <v>275</v>
      </c>
    </row>
    <row r="359" spans="2:15" s="1863" customFormat="1" ht="17.100000000000001" customHeight="1" x14ac:dyDescent="0.2">
      <c r="B359" s="1427"/>
      <c r="C359" s="20" t="s">
        <v>1257</v>
      </c>
      <c r="D359" s="1883"/>
      <c r="E359" s="20" t="s">
        <v>669</v>
      </c>
      <c r="F359" s="166">
        <f t="shared" ref="F359:N359" ca="1" si="149">IFERROR(F$246/plantsize.V.a.Dry_bio_and_waste_to_solid,0)</f>
        <v>0</v>
      </c>
      <c r="G359" s="166">
        <f t="shared" ca="1" si="149"/>
        <v>0</v>
      </c>
      <c r="H359" s="166">
        <f t="shared" ca="1" si="149"/>
        <v>0</v>
      </c>
      <c r="I359" s="166">
        <f t="shared" ca="1" si="149"/>
        <v>0</v>
      </c>
      <c r="J359" s="166">
        <f t="shared" ca="1" si="149"/>
        <v>0</v>
      </c>
      <c r="K359" s="166">
        <f t="shared" ca="1" si="149"/>
        <v>0</v>
      </c>
      <c r="L359" s="166">
        <f t="shared" ca="1" si="149"/>
        <v>0</v>
      </c>
      <c r="M359" s="166">
        <f t="shared" ca="1" si="149"/>
        <v>0</v>
      </c>
      <c r="N359" s="166">
        <f t="shared" ca="1" si="149"/>
        <v>0</v>
      </c>
      <c r="O359" s="166">
        <v>0</v>
      </c>
    </row>
    <row r="360" spans="2:15" s="1863" customFormat="1" ht="17.100000000000001" customHeight="1" x14ac:dyDescent="0.2">
      <c r="B360" s="1427"/>
      <c r="C360" s="20" t="s">
        <v>1257</v>
      </c>
      <c r="D360" s="1883"/>
      <c r="E360" s="20" t="s">
        <v>122</v>
      </c>
      <c r="F360" s="166">
        <f t="shared" ref="F360:N360" ca="1" si="150">IFERROR(F$250/plantsize.V.a.Dry_bio_and_waste_to_liquid,0)</f>
        <v>0</v>
      </c>
      <c r="G360" s="166">
        <f t="shared" ca="1" si="150"/>
        <v>0</v>
      </c>
      <c r="H360" s="166">
        <f t="shared" ca="1" si="150"/>
        <v>0</v>
      </c>
      <c r="I360" s="166">
        <f t="shared" ca="1" si="150"/>
        <v>0</v>
      </c>
      <c r="J360" s="166">
        <f t="shared" ca="1" si="150"/>
        <v>0</v>
      </c>
      <c r="K360" s="166">
        <f t="shared" ca="1" si="150"/>
        <v>0</v>
      </c>
      <c r="L360" s="166">
        <f t="shared" ca="1" si="150"/>
        <v>0</v>
      </c>
      <c r="M360" s="166">
        <f t="shared" ca="1" si="150"/>
        <v>0</v>
      </c>
      <c r="N360" s="166">
        <f t="shared" ca="1" si="150"/>
        <v>0</v>
      </c>
      <c r="O360" s="166">
        <v>0</v>
      </c>
    </row>
    <row r="361" spans="2:15" s="1863" customFormat="1" ht="17.100000000000001" customHeight="1" x14ac:dyDescent="0.2">
      <c r="B361" s="1427"/>
      <c r="C361" s="20" t="s">
        <v>1257</v>
      </c>
      <c r="D361" s="1883"/>
      <c r="E361" s="20" t="s">
        <v>10</v>
      </c>
      <c r="F361" s="166">
        <f t="shared" ref="F361:N361" ca="1" si="151">IFERROR(F$254/plantsize.V.a.Dry_bio_and_waste_to_gas,0)</f>
        <v>7.5858052618400009</v>
      </c>
      <c r="G361" s="166">
        <f t="shared" ca="1" si="151"/>
        <v>17.096117155313603</v>
      </c>
      <c r="H361" s="166">
        <f t="shared" ca="1" si="151"/>
        <v>33.678432218834779</v>
      </c>
      <c r="I361" s="166">
        <f t="shared" ca="1" si="151"/>
        <v>60.447417561849377</v>
      </c>
      <c r="J361" s="166">
        <f t="shared" ca="1" si="151"/>
        <v>68.253282322364029</v>
      </c>
      <c r="K361" s="166">
        <f t="shared" ca="1" si="151"/>
        <v>82.985986276004652</v>
      </c>
      <c r="L361" s="166">
        <f t="shared" ca="1" si="151"/>
        <v>92.02516946172733</v>
      </c>
      <c r="M361" s="166">
        <f t="shared" ca="1" si="151"/>
        <v>101.11719278195061</v>
      </c>
      <c r="N361" s="166">
        <f t="shared" ca="1" si="151"/>
        <v>102.72601361548539</v>
      </c>
      <c r="O361" s="166">
        <v>89.936692250524857</v>
      </c>
    </row>
    <row r="362" spans="2:15" s="1863" customFormat="1" ht="17.100000000000001" customHeight="1" x14ac:dyDescent="0.2">
      <c r="B362" s="1427"/>
      <c r="C362" s="20" t="s">
        <v>1258</v>
      </c>
      <c r="D362" s="1883"/>
      <c r="E362" s="20" t="s">
        <v>669</v>
      </c>
      <c r="F362" s="166">
        <f t="shared" ref="F362:N362" ca="1" si="152">IFERROR(F264/plantsize.V.a.Wet_bio_and_waste_to_solid,0)</f>
        <v>0</v>
      </c>
      <c r="G362" s="166">
        <f t="shared" ca="1" si="152"/>
        <v>0</v>
      </c>
      <c r="H362" s="166">
        <f t="shared" ca="1" si="152"/>
        <v>0</v>
      </c>
      <c r="I362" s="166">
        <f t="shared" ca="1" si="152"/>
        <v>0</v>
      </c>
      <c r="J362" s="166">
        <f t="shared" ca="1" si="152"/>
        <v>0</v>
      </c>
      <c r="K362" s="166">
        <f t="shared" ca="1" si="152"/>
        <v>0</v>
      </c>
      <c r="L362" s="166">
        <f t="shared" ca="1" si="152"/>
        <v>0</v>
      </c>
      <c r="M362" s="166">
        <f t="shared" ca="1" si="152"/>
        <v>0</v>
      </c>
      <c r="N362" s="166">
        <f t="shared" ca="1" si="152"/>
        <v>0</v>
      </c>
      <c r="O362" s="166">
        <v>0</v>
      </c>
    </row>
    <row r="363" spans="2:15" s="1863" customFormat="1" ht="17.100000000000001" customHeight="1" x14ac:dyDescent="0.2">
      <c r="B363" s="1427"/>
      <c r="C363" s="20" t="s">
        <v>1258</v>
      </c>
      <c r="D363" s="1883"/>
      <c r="E363" s="20" t="s">
        <v>122</v>
      </c>
      <c r="F363" s="166">
        <f t="shared" ref="F363:N363" ca="1" si="153">IFERROR(F268/plantsize.V.a.Wet_bio_and_waste_to_liquid,0)</f>
        <v>0</v>
      </c>
      <c r="G363" s="166">
        <f t="shared" ca="1" si="153"/>
        <v>0</v>
      </c>
      <c r="H363" s="166">
        <f t="shared" ca="1" si="153"/>
        <v>0</v>
      </c>
      <c r="I363" s="166">
        <f t="shared" ca="1" si="153"/>
        <v>0</v>
      </c>
      <c r="J363" s="166">
        <f t="shared" ca="1" si="153"/>
        <v>0</v>
      </c>
      <c r="K363" s="166">
        <f t="shared" ca="1" si="153"/>
        <v>0</v>
      </c>
      <c r="L363" s="166">
        <f t="shared" ca="1" si="153"/>
        <v>0</v>
      </c>
      <c r="M363" s="166">
        <f t="shared" ca="1" si="153"/>
        <v>0</v>
      </c>
      <c r="N363" s="166">
        <f t="shared" ca="1" si="153"/>
        <v>0</v>
      </c>
      <c r="O363" s="166">
        <v>0</v>
      </c>
    </row>
    <row r="364" spans="2:15" s="1863" customFormat="1" ht="17.100000000000001" customHeight="1" x14ac:dyDescent="0.2">
      <c r="B364" s="1427"/>
      <c r="C364" s="20" t="s">
        <v>1258</v>
      </c>
      <c r="D364" s="1883"/>
      <c r="E364" s="20" t="s">
        <v>10</v>
      </c>
      <c r="F364" s="166">
        <f t="shared" ref="F364:N364" ca="1" si="154">IFERROR(F272/plantsize.V.a.Wet_bio_and_waste_to_gas,0)</f>
        <v>6.6984171344814314</v>
      </c>
      <c r="G364" s="166">
        <f t="shared" ca="1" si="154"/>
        <v>23.939687918666223</v>
      </c>
      <c r="H364" s="166">
        <f t="shared" ca="1" si="154"/>
        <v>45.120694774801173</v>
      </c>
      <c r="I364" s="166">
        <f t="shared" ca="1" si="154"/>
        <v>57.160827187850032</v>
      </c>
      <c r="J364" s="166">
        <f t="shared" ca="1" si="154"/>
        <v>63.807535746848629</v>
      </c>
      <c r="K364" s="166">
        <f t="shared" ca="1" si="154"/>
        <v>70.839228339544064</v>
      </c>
      <c r="L364" s="166">
        <f t="shared" ca="1" si="154"/>
        <v>78.653878610023767</v>
      </c>
      <c r="M364" s="166">
        <f t="shared" ca="1" si="154"/>
        <v>87.29001914521497</v>
      </c>
      <c r="N364" s="166">
        <f t="shared" ca="1" si="154"/>
        <v>96.960350264220196</v>
      </c>
      <c r="O364" s="166">
        <v>3251.6078089086968</v>
      </c>
    </row>
    <row r="365" spans="2:15" s="1863" customFormat="1" ht="17.100000000000001" customHeight="1" x14ac:dyDescent="0.2">
      <c r="B365" s="1427"/>
      <c r="C365" s="20" t="s">
        <v>1160</v>
      </c>
      <c r="D365" s="1883"/>
      <c r="E365" s="20" t="s">
        <v>669</v>
      </c>
      <c r="F365" s="166">
        <f t="shared" ref="F365:N365" ca="1" si="155">IFERROR(F282/plantsize.V.a.Energy_crops_2nd_generation_to_solid,0)</f>
        <v>0</v>
      </c>
      <c r="G365" s="166">
        <f t="shared" ca="1" si="155"/>
        <v>0</v>
      </c>
      <c r="H365" s="166">
        <f t="shared" ca="1" si="155"/>
        <v>0</v>
      </c>
      <c r="I365" s="166">
        <f t="shared" ca="1" si="155"/>
        <v>0</v>
      </c>
      <c r="J365" s="166">
        <f t="shared" ca="1" si="155"/>
        <v>0</v>
      </c>
      <c r="K365" s="166">
        <f t="shared" ca="1" si="155"/>
        <v>0</v>
      </c>
      <c r="L365" s="166">
        <f t="shared" ca="1" si="155"/>
        <v>0</v>
      </c>
      <c r="M365" s="166">
        <f t="shared" ca="1" si="155"/>
        <v>0</v>
      </c>
      <c r="N365" s="166">
        <f t="shared" ca="1" si="155"/>
        <v>0</v>
      </c>
      <c r="O365" s="166">
        <v>0</v>
      </c>
    </row>
    <row r="366" spans="2:15" s="1863" customFormat="1" ht="17.100000000000001" customHeight="1" x14ac:dyDescent="0.2">
      <c r="B366" s="1427"/>
      <c r="C366" s="20" t="s">
        <v>1160</v>
      </c>
      <c r="D366" s="1883"/>
      <c r="E366" s="20" t="s">
        <v>122</v>
      </c>
      <c r="F366" s="166">
        <f t="shared" ref="F366:N366" ca="1" si="156">IFERROR(F286/plantsize.V.a.Energy_crops_2nd_generation_to_liquid,0)</f>
        <v>0</v>
      </c>
      <c r="G366" s="166">
        <f t="shared" ca="1" si="156"/>
        <v>0</v>
      </c>
      <c r="H366" s="166">
        <f t="shared" ca="1" si="156"/>
        <v>0</v>
      </c>
      <c r="I366" s="166">
        <f t="shared" ca="1" si="156"/>
        <v>0</v>
      </c>
      <c r="J366" s="166">
        <f t="shared" ca="1" si="156"/>
        <v>0</v>
      </c>
      <c r="K366" s="166">
        <f t="shared" ca="1" si="156"/>
        <v>0</v>
      </c>
      <c r="L366" s="166">
        <f t="shared" ca="1" si="156"/>
        <v>0</v>
      </c>
      <c r="M366" s="166">
        <f t="shared" ca="1" si="156"/>
        <v>0</v>
      </c>
      <c r="N366" s="166">
        <f t="shared" ca="1" si="156"/>
        <v>0</v>
      </c>
      <c r="O366" s="166">
        <v>0</v>
      </c>
    </row>
    <row r="367" spans="2:15" s="1863" customFormat="1" ht="17.100000000000001" customHeight="1" x14ac:dyDescent="0.2">
      <c r="B367" s="1427"/>
      <c r="C367" s="20" t="s">
        <v>1160</v>
      </c>
      <c r="D367" s="1883"/>
      <c r="E367" s="20" t="s">
        <v>10</v>
      </c>
      <c r="F367" s="166">
        <f t="shared" ref="F367:N367" ca="1" si="157">IFERROR(F290/plantsize.V.a.Energy_crops_2nd_generation_to_gas,0)</f>
        <v>350.11172088359996</v>
      </c>
      <c r="G367" s="166">
        <f t="shared" ca="1" si="157"/>
        <v>377.16975648033304</v>
      </c>
      <c r="H367" s="166">
        <f t="shared" ca="1" si="157"/>
        <v>406.31894540522762</v>
      </c>
      <c r="I367" s="166">
        <f t="shared" ca="1" si="157"/>
        <v>495.33544621959953</v>
      </c>
      <c r="J367" s="166">
        <f t="shared" ca="1" si="157"/>
        <v>533.61695276930323</v>
      </c>
      <c r="K367" s="166">
        <f t="shared" ca="1" si="157"/>
        <v>574.8570074198941</v>
      </c>
      <c r="L367" s="166">
        <f t="shared" ca="1" si="157"/>
        <v>619.28425861429298</v>
      </c>
      <c r="M367" s="166">
        <f t="shared" ca="1" si="157"/>
        <v>667.14502566257181</v>
      </c>
      <c r="N367" s="166">
        <f t="shared" ca="1" si="157"/>
        <v>718.7046644173189</v>
      </c>
      <c r="O367" s="166">
        <v>149.05082667316455</v>
      </c>
    </row>
    <row r="368" spans="2:15" s="1863" customFormat="1" ht="17.100000000000001" customHeight="1" x14ac:dyDescent="0.2">
      <c r="B368" s="1427"/>
      <c r="C368" s="20" t="s">
        <v>1166</v>
      </c>
      <c r="D368" s="1883"/>
      <c r="E368" s="20" t="s">
        <v>669</v>
      </c>
      <c r="F368" s="166">
        <f t="shared" ref="F368:N368" ca="1" si="158">IFERROR(F299/plantsize.V.a.Energy_crops_1st_generation_to_solid,0)</f>
        <v>0</v>
      </c>
      <c r="G368" s="166">
        <f t="shared" ca="1" si="158"/>
        <v>0</v>
      </c>
      <c r="H368" s="166">
        <f t="shared" ca="1" si="158"/>
        <v>0</v>
      </c>
      <c r="I368" s="166">
        <f t="shared" ca="1" si="158"/>
        <v>0</v>
      </c>
      <c r="J368" s="166">
        <f t="shared" ca="1" si="158"/>
        <v>0</v>
      </c>
      <c r="K368" s="166">
        <f t="shared" ca="1" si="158"/>
        <v>0</v>
      </c>
      <c r="L368" s="166">
        <f t="shared" ca="1" si="158"/>
        <v>0</v>
      </c>
      <c r="M368" s="166">
        <f t="shared" ca="1" si="158"/>
        <v>0</v>
      </c>
      <c r="N368" s="166">
        <f t="shared" ca="1" si="158"/>
        <v>0</v>
      </c>
      <c r="O368" s="166">
        <v>0</v>
      </c>
    </row>
    <row r="369" spans="2:16" s="1863" customFormat="1" ht="17.100000000000001" customHeight="1" x14ac:dyDescent="0.2">
      <c r="B369" s="1427"/>
      <c r="C369" s="20" t="s">
        <v>1166</v>
      </c>
      <c r="D369" s="1883"/>
      <c r="E369" s="20" t="s">
        <v>122</v>
      </c>
      <c r="F369" s="166">
        <f t="shared" ref="F369:N369" ca="1" si="159">IFERROR(F303/plantsize.V.a.Energy_crops_1st_generation_to_liquid,0)</f>
        <v>2.6727687466666672</v>
      </c>
      <c r="G369" s="166">
        <f t="shared" ca="1" si="159"/>
        <v>3.0722897998837917</v>
      </c>
      <c r="H369" s="166">
        <f t="shared" ca="1" si="159"/>
        <v>3.5315305995858264</v>
      </c>
      <c r="I369" s="166">
        <f t="shared" ca="1" si="159"/>
        <v>4.1379873345085638</v>
      </c>
      <c r="J369" s="166">
        <f t="shared" ca="1" si="159"/>
        <v>4.7565268397103431</v>
      </c>
      <c r="K369" s="166">
        <f t="shared" ca="1" si="159"/>
        <v>5.4675246074845258</v>
      </c>
      <c r="L369" s="166">
        <f t="shared" ca="1" si="159"/>
        <v>6.284801146054134</v>
      </c>
      <c r="M369" s="166">
        <f t="shared" ca="1" si="159"/>
        <v>7.2242428303611712</v>
      </c>
      <c r="N369" s="166">
        <f t="shared" ca="1" si="159"/>
        <v>8.3041107044081546</v>
      </c>
      <c r="O369" s="166">
        <v>0.34771350800080847</v>
      </c>
    </row>
    <row r="370" spans="2:16" s="1863" customFormat="1" ht="17.100000000000001" customHeight="1" x14ac:dyDescent="0.2">
      <c r="B370" s="1427"/>
      <c r="C370" s="20" t="s">
        <v>1166</v>
      </c>
      <c r="D370" s="1883"/>
      <c r="E370" s="20" t="s">
        <v>10</v>
      </c>
      <c r="F370" s="166">
        <f t="shared" ref="F370:N370" ca="1" si="160">IFERROR(F307/plantsize.V.a.Energy_crops_1st_generation_to_gas,0)</f>
        <v>0</v>
      </c>
      <c r="G370" s="166">
        <f t="shared" ca="1" si="160"/>
        <v>0</v>
      </c>
      <c r="H370" s="166">
        <f t="shared" ca="1" si="160"/>
        <v>0</v>
      </c>
      <c r="I370" s="166">
        <f t="shared" ca="1" si="160"/>
        <v>0</v>
      </c>
      <c r="J370" s="166">
        <f t="shared" ca="1" si="160"/>
        <v>0</v>
      </c>
      <c r="K370" s="166">
        <f t="shared" ca="1" si="160"/>
        <v>0</v>
      </c>
      <c r="L370" s="166">
        <f t="shared" ca="1" si="160"/>
        <v>0</v>
      </c>
      <c r="M370" s="166">
        <f t="shared" ca="1" si="160"/>
        <v>0</v>
      </c>
      <c r="N370" s="166">
        <f t="shared" ca="1" si="160"/>
        <v>0</v>
      </c>
      <c r="O370" s="166">
        <v>0</v>
      </c>
    </row>
    <row r="371" spans="2:16" s="1863" customFormat="1" ht="17.100000000000001" customHeight="1" x14ac:dyDescent="0.2">
      <c r="B371" s="583"/>
      <c r="C371" s="20" t="s">
        <v>103</v>
      </c>
      <c r="D371" s="1883"/>
      <c r="E371" s="20" t="s">
        <v>669</v>
      </c>
      <c r="F371" s="166">
        <f t="shared" ref="F371:N371" ca="1" si="161">IFERROR(F317/plantsize.V.a.Gaseous_waste_to_solid,0)</f>
        <v>0</v>
      </c>
      <c r="G371" s="166">
        <f t="shared" ca="1" si="161"/>
        <v>0</v>
      </c>
      <c r="H371" s="166">
        <f t="shared" ca="1" si="161"/>
        <v>0</v>
      </c>
      <c r="I371" s="166">
        <f t="shared" ca="1" si="161"/>
        <v>0</v>
      </c>
      <c r="J371" s="166">
        <f t="shared" ca="1" si="161"/>
        <v>0</v>
      </c>
      <c r="K371" s="166">
        <f t="shared" ca="1" si="161"/>
        <v>0</v>
      </c>
      <c r="L371" s="166">
        <f t="shared" ca="1" si="161"/>
        <v>0</v>
      </c>
      <c r="M371" s="166">
        <f t="shared" ca="1" si="161"/>
        <v>0</v>
      </c>
      <c r="N371" s="166">
        <f t="shared" ca="1" si="161"/>
        <v>0</v>
      </c>
      <c r="O371" s="166">
        <v>0</v>
      </c>
    </row>
    <row r="372" spans="2:16" s="1863" customFormat="1" ht="17.100000000000001" customHeight="1" x14ac:dyDescent="0.2">
      <c r="B372" s="583"/>
      <c r="C372" s="20" t="s">
        <v>103</v>
      </c>
      <c r="D372" s="1883"/>
      <c r="E372" s="20" t="s">
        <v>122</v>
      </c>
      <c r="F372" s="166">
        <f t="shared" ref="F372:N372" ca="1" si="162">IFERROR(F321/plantsize.V.a.Gaseous_waste_to_liquid,0)</f>
        <v>0</v>
      </c>
      <c r="G372" s="166">
        <f t="shared" ca="1" si="162"/>
        <v>0</v>
      </c>
      <c r="H372" s="166">
        <f t="shared" ca="1" si="162"/>
        <v>0</v>
      </c>
      <c r="I372" s="166">
        <f t="shared" ca="1" si="162"/>
        <v>0</v>
      </c>
      <c r="J372" s="166">
        <f t="shared" ca="1" si="162"/>
        <v>0</v>
      </c>
      <c r="K372" s="166">
        <f t="shared" ca="1" si="162"/>
        <v>0</v>
      </c>
      <c r="L372" s="166">
        <f t="shared" ca="1" si="162"/>
        <v>0</v>
      </c>
      <c r="M372" s="166">
        <f t="shared" ca="1" si="162"/>
        <v>0</v>
      </c>
      <c r="N372" s="166">
        <f t="shared" ca="1" si="162"/>
        <v>0</v>
      </c>
      <c r="O372" s="166">
        <v>0</v>
      </c>
    </row>
    <row r="373" spans="2:16" s="1863" customFormat="1" ht="17.100000000000001" customHeight="1" x14ac:dyDescent="0.2">
      <c r="B373" s="583"/>
      <c r="C373" s="20" t="s">
        <v>103</v>
      </c>
      <c r="D373" s="1883"/>
      <c r="E373" s="20" t="s">
        <v>10</v>
      </c>
      <c r="F373" s="166">
        <f t="shared" ref="F373:N373" ca="1" si="163">IFERROR(F325/plantsize.V.a.Gaseous_waste_to_gas,0)</f>
        <v>12.32445930299996</v>
      </c>
      <c r="G373" s="166">
        <f t="shared" ca="1" si="163"/>
        <v>11.254146912530599</v>
      </c>
      <c r="H373" s="166">
        <f t="shared" ca="1" si="163"/>
        <v>9.7112997118455926</v>
      </c>
      <c r="I373" s="166">
        <f t="shared" ca="1" si="163"/>
        <v>8.716547040987356</v>
      </c>
      <c r="J373" s="166">
        <f t="shared" ca="1" si="163"/>
        <v>7.3179329830517172</v>
      </c>
      <c r="K373" s="166">
        <f t="shared" ca="1" si="163"/>
        <v>6.7479704068045194</v>
      </c>
      <c r="L373" s="166">
        <f t="shared" ca="1" si="163"/>
        <v>5.9620308549013927</v>
      </c>
      <c r="M373" s="166">
        <f t="shared" ca="1" si="163"/>
        <v>4.9487424290318085</v>
      </c>
      <c r="N373" s="166">
        <f t="shared" ca="1" si="163"/>
        <v>3.6967332308852345</v>
      </c>
      <c r="O373" s="166">
        <v>117.00369135602762</v>
      </c>
    </row>
    <row r="374" spans="2:16" s="1863" customFormat="1" ht="17.100000000000001" customHeight="1" x14ac:dyDescent="0.2">
      <c r="B374" s="1427"/>
      <c r="C374" s="1427"/>
      <c r="D374" s="1883"/>
      <c r="E374" s="1883"/>
      <c r="F374" s="1428"/>
      <c r="G374" s="1428"/>
      <c r="H374" s="1428"/>
      <c r="I374" s="1428"/>
      <c r="J374" s="1428"/>
      <c r="K374" s="1428"/>
      <c r="L374" s="1428"/>
      <c r="M374" s="1428"/>
      <c r="N374" s="1428"/>
      <c r="O374" s="1428"/>
    </row>
    <row r="375" spans="2:16" s="1863" customFormat="1" ht="17.100000000000001" customHeight="1" x14ac:dyDescent="0.2">
      <c r="B375" s="1427" t="s">
        <v>1487</v>
      </c>
      <c r="C375" s="1427" t="s">
        <v>1488</v>
      </c>
      <c r="D375" s="1883"/>
      <c r="E375" s="1883"/>
      <c r="F375" s="1428"/>
      <c r="G375" s="1428"/>
      <c r="H375" s="1428"/>
      <c r="I375" s="1428"/>
      <c r="J375" s="1428"/>
      <c r="K375" s="1428"/>
      <c r="L375" s="1428"/>
      <c r="M375" s="1428"/>
      <c r="N375" s="1428" t="s">
        <v>1486</v>
      </c>
      <c r="O375" s="1428" t="s">
        <v>1486</v>
      </c>
    </row>
    <row r="376" spans="2:16" s="1863" customFormat="1" ht="17.100000000000001" customHeight="1" x14ac:dyDescent="0.2">
      <c r="B376" s="1427"/>
      <c r="C376" s="1427" t="s">
        <v>873</v>
      </c>
      <c r="D376" s="1427"/>
      <c r="E376" s="1427" t="s">
        <v>874</v>
      </c>
      <c r="F376" s="172" t="s">
        <v>241</v>
      </c>
      <c r="G376" s="172" t="s">
        <v>268</v>
      </c>
      <c r="H376" s="172" t="s">
        <v>269</v>
      </c>
      <c r="I376" s="172" t="s">
        <v>270</v>
      </c>
      <c r="J376" s="172" t="s">
        <v>271</v>
      </c>
      <c r="K376" s="172" t="s">
        <v>272</v>
      </c>
      <c r="L376" s="172" t="s">
        <v>273</v>
      </c>
      <c r="M376" s="172" t="s">
        <v>274</v>
      </c>
      <c r="N376" s="172" t="s">
        <v>275</v>
      </c>
      <c r="O376" s="172"/>
    </row>
    <row r="377" spans="2:16" s="1863" customFormat="1" ht="17.100000000000001" customHeight="1" x14ac:dyDescent="0.2">
      <c r="B377" s="1427"/>
      <c r="C377" s="20" t="s">
        <v>1257</v>
      </c>
      <c r="D377" s="1883"/>
      <c r="E377" s="20" t="s">
        <v>669</v>
      </c>
      <c r="F377" s="166">
        <f t="shared" ref="F377:N377" ca="1" si="164">MAX((G359-F359)/(G$376-F$376),0)+(F359*$J$134)</f>
        <v>0</v>
      </c>
      <c r="G377" s="166">
        <f t="shared" ca="1" si="164"/>
        <v>0</v>
      </c>
      <c r="H377" s="166">
        <f t="shared" ca="1" si="164"/>
        <v>0</v>
      </c>
      <c r="I377" s="166">
        <f t="shared" ca="1" si="164"/>
        <v>0</v>
      </c>
      <c r="J377" s="166">
        <f t="shared" ca="1" si="164"/>
        <v>0</v>
      </c>
      <c r="K377" s="166">
        <f t="shared" ca="1" si="164"/>
        <v>0</v>
      </c>
      <c r="L377" s="166">
        <f t="shared" ca="1" si="164"/>
        <v>0</v>
      </c>
      <c r="M377" s="166">
        <f t="shared" ca="1" si="164"/>
        <v>0</v>
      </c>
      <c r="N377" s="166">
        <f t="shared" ca="1" si="164"/>
        <v>0</v>
      </c>
      <c r="O377" s="166">
        <v>0</v>
      </c>
      <c r="P377" s="1025"/>
    </row>
    <row r="378" spans="2:16" s="1863" customFormat="1" ht="17.100000000000001" customHeight="1" x14ac:dyDescent="0.2">
      <c r="B378" s="1427"/>
      <c r="C378" s="20" t="s">
        <v>1257</v>
      </c>
      <c r="D378" s="1883"/>
      <c r="E378" s="20" t="s">
        <v>122</v>
      </c>
      <c r="F378" s="166">
        <f t="shared" ref="F378:N378" ca="1" si="165">MAX((G360-F360)/(G$376-F$376),0)+(F360*$J$134)</f>
        <v>0</v>
      </c>
      <c r="G378" s="166">
        <f t="shared" ca="1" si="165"/>
        <v>0</v>
      </c>
      <c r="H378" s="166">
        <f t="shared" ca="1" si="165"/>
        <v>0</v>
      </c>
      <c r="I378" s="166">
        <f t="shared" ca="1" si="165"/>
        <v>0</v>
      </c>
      <c r="J378" s="166">
        <f t="shared" ca="1" si="165"/>
        <v>0</v>
      </c>
      <c r="K378" s="166">
        <f t="shared" ca="1" si="165"/>
        <v>0</v>
      </c>
      <c r="L378" s="166">
        <f t="shared" ca="1" si="165"/>
        <v>0</v>
      </c>
      <c r="M378" s="166">
        <f t="shared" ca="1" si="165"/>
        <v>0</v>
      </c>
      <c r="N378" s="166">
        <f t="shared" ca="1" si="165"/>
        <v>0</v>
      </c>
      <c r="O378" s="166">
        <v>0</v>
      </c>
      <c r="P378" s="1025"/>
    </row>
    <row r="379" spans="2:16" s="1863" customFormat="1" ht="17.100000000000001" customHeight="1" x14ac:dyDescent="0.2">
      <c r="B379" s="1427"/>
      <c r="C379" s="20" t="s">
        <v>1257</v>
      </c>
      <c r="D379" s="1883"/>
      <c r="E379" s="20" t="s">
        <v>10</v>
      </c>
      <c r="F379" s="166">
        <f t="shared" ref="F379:N379" ca="1" si="166">MAX((G361-F361)/(G$376-F$376),0)+(F361*$J$134)</f>
        <v>2.1549225540893873</v>
      </c>
      <c r="G379" s="166">
        <f t="shared" ca="1" si="166"/>
        <v>3.886333584548022</v>
      </c>
      <c r="H379" s="166">
        <f t="shared" ca="1" si="166"/>
        <v>6.4764114758974127</v>
      </c>
      <c r="I379" s="166">
        <f t="shared" ca="1" si="166"/>
        <v>3.5760868708312428</v>
      </c>
      <c r="J379" s="166">
        <f t="shared" ca="1" si="166"/>
        <v>5.2216502014735919</v>
      </c>
      <c r="K379" s="166">
        <f t="shared" ca="1" si="166"/>
        <v>4.574036179678024</v>
      </c>
      <c r="L379" s="166">
        <f t="shared" ca="1" si="166"/>
        <v>4.8859103127688996</v>
      </c>
      <c r="M379" s="166">
        <f t="shared" ca="1" si="166"/>
        <v>3.6923372594386428</v>
      </c>
      <c r="N379" s="166">
        <f t="shared" ca="1" si="166"/>
        <v>3.4304391471982743</v>
      </c>
      <c r="O379" s="166">
        <v>2.9978897416841619</v>
      </c>
      <c r="P379" s="1025"/>
    </row>
    <row r="380" spans="2:16" s="1863" customFormat="1" ht="17.100000000000001" customHeight="1" x14ac:dyDescent="0.2">
      <c r="B380" s="1427"/>
      <c r="C380" s="20" t="s">
        <v>1258</v>
      </c>
      <c r="D380" s="1883"/>
      <c r="E380" s="20" t="s">
        <v>669</v>
      </c>
      <c r="F380" s="166">
        <f t="shared" ref="F380:N380" ca="1" si="167">MAX((G362-F362)/(G$376-F$376),0)+(F362*$J$134)</f>
        <v>0</v>
      </c>
      <c r="G380" s="166">
        <f t="shared" ca="1" si="167"/>
        <v>0</v>
      </c>
      <c r="H380" s="166">
        <f t="shared" ca="1" si="167"/>
        <v>0</v>
      </c>
      <c r="I380" s="166">
        <f t="shared" ca="1" si="167"/>
        <v>0</v>
      </c>
      <c r="J380" s="166">
        <f t="shared" ca="1" si="167"/>
        <v>0</v>
      </c>
      <c r="K380" s="166">
        <f t="shared" ca="1" si="167"/>
        <v>0</v>
      </c>
      <c r="L380" s="166">
        <f t="shared" ca="1" si="167"/>
        <v>0</v>
      </c>
      <c r="M380" s="166">
        <f t="shared" ca="1" si="167"/>
        <v>0</v>
      </c>
      <c r="N380" s="166">
        <f t="shared" ca="1" si="167"/>
        <v>0</v>
      </c>
      <c r="O380" s="166">
        <v>0</v>
      </c>
      <c r="P380" s="1025"/>
    </row>
    <row r="381" spans="2:16" s="1863" customFormat="1" ht="17.100000000000001" customHeight="1" x14ac:dyDescent="0.2">
      <c r="B381" s="1427"/>
      <c r="C381" s="20" t="s">
        <v>1258</v>
      </c>
      <c r="D381" s="1883"/>
      <c r="E381" s="20" t="s">
        <v>122</v>
      </c>
      <c r="F381" s="166">
        <f t="shared" ref="F381:N381" ca="1" si="168">MAX((G363-F363)/(G$376-F$376),0)+(F363*$J$134)</f>
        <v>0</v>
      </c>
      <c r="G381" s="166">
        <f t="shared" ca="1" si="168"/>
        <v>0</v>
      </c>
      <c r="H381" s="166">
        <f t="shared" ca="1" si="168"/>
        <v>0</v>
      </c>
      <c r="I381" s="166">
        <f t="shared" ca="1" si="168"/>
        <v>0</v>
      </c>
      <c r="J381" s="166">
        <f t="shared" ca="1" si="168"/>
        <v>0</v>
      </c>
      <c r="K381" s="166">
        <f t="shared" ca="1" si="168"/>
        <v>0</v>
      </c>
      <c r="L381" s="166">
        <f t="shared" ca="1" si="168"/>
        <v>0</v>
      </c>
      <c r="M381" s="166">
        <f t="shared" ca="1" si="168"/>
        <v>0</v>
      </c>
      <c r="N381" s="166">
        <f t="shared" ca="1" si="168"/>
        <v>0</v>
      </c>
      <c r="O381" s="166">
        <v>0</v>
      </c>
      <c r="P381" s="1025"/>
    </row>
    <row r="382" spans="2:16" s="1863" customFormat="1" ht="17.100000000000001" customHeight="1" x14ac:dyDescent="0.2">
      <c r="B382" s="1427"/>
      <c r="C382" s="20" t="s">
        <v>1258</v>
      </c>
      <c r="D382" s="1883"/>
      <c r="E382" s="20" t="s">
        <v>10</v>
      </c>
      <c r="F382" s="166">
        <f t="shared" ref="F382:N382" ca="1" si="169">MAX((G364-F364)/(G$376-F$376),0)+(F364*$J$134)</f>
        <v>3.6715347279863395</v>
      </c>
      <c r="G382" s="166">
        <f t="shared" ca="1" si="169"/>
        <v>5.0341909685158637</v>
      </c>
      <c r="H382" s="166">
        <f t="shared" ca="1" si="169"/>
        <v>3.9120496417698107</v>
      </c>
      <c r="I382" s="166">
        <f t="shared" ca="1" si="169"/>
        <v>3.2347026180613874</v>
      </c>
      <c r="J382" s="166">
        <f t="shared" ca="1" si="169"/>
        <v>3.5332563767673748</v>
      </c>
      <c r="K382" s="166">
        <f t="shared" ca="1" si="169"/>
        <v>3.9242376654140756</v>
      </c>
      <c r="L382" s="166">
        <f t="shared" ca="1" si="169"/>
        <v>4.3490240607056991</v>
      </c>
      <c r="M382" s="166">
        <f t="shared" ca="1" si="169"/>
        <v>4.8437335286415442</v>
      </c>
      <c r="N382" s="166">
        <f t="shared" ca="1" si="169"/>
        <v>3.2320116754740065</v>
      </c>
      <c r="O382" s="166">
        <v>108.38692696362322</v>
      </c>
      <c r="P382" s="1025"/>
    </row>
    <row r="383" spans="2:16" s="1863" customFormat="1" ht="17.100000000000001" customHeight="1" x14ac:dyDescent="0.2">
      <c r="B383" s="1427"/>
      <c r="C383" s="20" t="s">
        <v>1160</v>
      </c>
      <c r="D383" s="1883"/>
      <c r="E383" s="20" t="s">
        <v>669</v>
      </c>
      <c r="F383" s="166">
        <f t="shared" ref="F383:N383" ca="1" si="170">MAX((G365-F365)/(G$376-F$376),0)+(F365*$J$134)</f>
        <v>0</v>
      </c>
      <c r="G383" s="166">
        <f t="shared" ca="1" si="170"/>
        <v>0</v>
      </c>
      <c r="H383" s="166">
        <f t="shared" ca="1" si="170"/>
        <v>0</v>
      </c>
      <c r="I383" s="166">
        <f t="shared" ca="1" si="170"/>
        <v>0</v>
      </c>
      <c r="J383" s="166">
        <f t="shared" ca="1" si="170"/>
        <v>0</v>
      </c>
      <c r="K383" s="166">
        <f t="shared" ca="1" si="170"/>
        <v>0</v>
      </c>
      <c r="L383" s="166">
        <f t="shared" ca="1" si="170"/>
        <v>0</v>
      </c>
      <c r="M383" s="166">
        <f t="shared" ca="1" si="170"/>
        <v>0</v>
      </c>
      <c r="N383" s="166">
        <f t="shared" ca="1" si="170"/>
        <v>0</v>
      </c>
      <c r="O383" s="166">
        <v>0</v>
      </c>
      <c r="P383" s="1025"/>
    </row>
    <row r="384" spans="2:16" s="1863" customFormat="1" ht="17.100000000000001" customHeight="1" x14ac:dyDescent="0.2">
      <c r="B384" s="1427"/>
      <c r="C384" s="20" t="s">
        <v>1160</v>
      </c>
      <c r="D384" s="1883"/>
      <c r="E384" s="20" t="s">
        <v>122</v>
      </c>
      <c r="F384" s="166">
        <f t="shared" ref="F384:N384" ca="1" si="171">MAX((G366-F366)/(G$376-F$376),0)+(F366*$J$134)</f>
        <v>0</v>
      </c>
      <c r="G384" s="166">
        <f t="shared" ca="1" si="171"/>
        <v>0</v>
      </c>
      <c r="H384" s="166">
        <f t="shared" ca="1" si="171"/>
        <v>0</v>
      </c>
      <c r="I384" s="166">
        <f t="shared" ca="1" si="171"/>
        <v>0</v>
      </c>
      <c r="J384" s="166">
        <f t="shared" ca="1" si="171"/>
        <v>0</v>
      </c>
      <c r="K384" s="166">
        <f t="shared" ca="1" si="171"/>
        <v>0</v>
      </c>
      <c r="L384" s="166">
        <f t="shared" ca="1" si="171"/>
        <v>0</v>
      </c>
      <c r="M384" s="166">
        <f t="shared" ca="1" si="171"/>
        <v>0</v>
      </c>
      <c r="N384" s="166">
        <f t="shared" ca="1" si="171"/>
        <v>0</v>
      </c>
      <c r="O384" s="166">
        <v>0</v>
      </c>
      <c r="P384" s="1025"/>
    </row>
    <row r="385" spans="1:16" s="1863" customFormat="1" ht="17.100000000000001" customHeight="1" x14ac:dyDescent="0.2">
      <c r="B385" s="1427"/>
      <c r="C385" s="20" t="s">
        <v>1160</v>
      </c>
      <c r="D385" s="1883"/>
      <c r="E385" s="20" t="s">
        <v>10</v>
      </c>
      <c r="F385" s="166">
        <f t="shared" ref="F385:N385" ca="1" si="172">MAX((G367-F367)/(G$376-F$376),0)+(F367*$J$134)</f>
        <v>17.081997815466615</v>
      </c>
      <c r="G385" s="166">
        <f t="shared" ca="1" si="172"/>
        <v>18.402163000990019</v>
      </c>
      <c r="H385" s="166">
        <f t="shared" ca="1" si="172"/>
        <v>31.347265009715301</v>
      </c>
      <c r="I385" s="166">
        <f t="shared" ca="1" si="172"/>
        <v>24.167482850594055</v>
      </c>
      <c r="J385" s="166">
        <f t="shared" ca="1" si="172"/>
        <v>26.03524268909495</v>
      </c>
      <c r="K385" s="166">
        <f t="shared" ca="1" si="172"/>
        <v>28.047350486209581</v>
      </c>
      <c r="L385" s="166">
        <f t="shared" ca="1" si="172"/>
        <v>30.214962030132199</v>
      </c>
      <c r="M385" s="166">
        <f t="shared" ca="1" si="172"/>
        <v>32.550095273035147</v>
      </c>
      <c r="N385" s="166">
        <f t="shared" ca="1" si="172"/>
        <v>24.234702068094769</v>
      </c>
      <c r="O385" s="166">
        <v>4.9683608891054849</v>
      </c>
      <c r="P385" s="1025"/>
    </row>
    <row r="386" spans="1:16" s="1863" customFormat="1" ht="17.100000000000001" customHeight="1" x14ac:dyDescent="0.2">
      <c r="B386" s="1427"/>
      <c r="C386" s="20" t="s">
        <v>1166</v>
      </c>
      <c r="D386" s="1883"/>
      <c r="E386" s="20" t="s">
        <v>669</v>
      </c>
      <c r="F386" s="166">
        <f t="shared" ref="F386:N386" ca="1" si="173">MAX((G368-F368)/(G$376-F$376),0)+(F368*$J$134)</f>
        <v>0</v>
      </c>
      <c r="G386" s="166">
        <f t="shared" ca="1" si="173"/>
        <v>0</v>
      </c>
      <c r="H386" s="166">
        <f t="shared" ca="1" si="173"/>
        <v>0</v>
      </c>
      <c r="I386" s="166">
        <f t="shared" ca="1" si="173"/>
        <v>0</v>
      </c>
      <c r="J386" s="166">
        <f t="shared" ca="1" si="173"/>
        <v>0</v>
      </c>
      <c r="K386" s="166">
        <f t="shared" ca="1" si="173"/>
        <v>0</v>
      </c>
      <c r="L386" s="166">
        <f t="shared" ca="1" si="173"/>
        <v>0</v>
      </c>
      <c r="M386" s="166">
        <f t="shared" ca="1" si="173"/>
        <v>0</v>
      </c>
      <c r="N386" s="166">
        <f t="shared" ca="1" si="173"/>
        <v>0</v>
      </c>
      <c r="O386" s="166">
        <v>0</v>
      </c>
      <c r="P386" s="1025"/>
    </row>
    <row r="387" spans="1:16" s="1863" customFormat="1" ht="17.100000000000001" customHeight="1" x14ac:dyDescent="0.2">
      <c r="B387" s="1427"/>
      <c r="C387" s="20" t="s">
        <v>1166</v>
      </c>
      <c r="D387" s="1883"/>
      <c r="E387" s="20" t="s">
        <v>122</v>
      </c>
      <c r="F387" s="166">
        <f t="shared" ref="F387:N387" ca="1" si="174">MAX((G369-F369)/(G$376-F$376),0)+(F369*$J$134)</f>
        <v>0.16899650219898049</v>
      </c>
      <c r="G387" s="166">
        <f t="shared" ca="1" si="174"/>
        <v>0.19425781993653332</v>
      </c>
      <c r="H387" s="166">
        <f t="shared" ca="1" si="174"/>
        <v>0.23900903363740839</v>
      </c>
      <c r="I387" s="166">
        <f t="shared" ca="1" si="174"/>
        <v>0.26164081219064134</v>
      </c>
      <c r="J387" s="166">
        <f t="shared" ca="1" si="174"/>
        <v>0.30075044821184799</v>
      </c>
      <c r="K387" s="166">
        <f t="shared" ca="1" si="174"/>
        <v>0.34570612796340583</v>
      </c>
      <c r="L387" s="166">
        <f t="shared" ca="1" si="174"/>
        <v>0.39738170839654524</v>
      </c>
      <c r="M387" s="166">
        <f t="shared" ca="1" si="174"/>
        <v>0.45678166915476903</v>
      </c>
      <c r="N387" s="166">
        <f t="shared" ca="1" si="174"/>
        <v>0.28068485951103966</v>
      </c>
      <c r="O387" s="166">
        <v>1.1590450266693616E-2</v>
      </c>
      <c r="P387" s="1025"/>
    </row>
    <row r="388" spans="1:16" s="1863" customFormat="1" ht="17.100000000000001" customHeight="1" x14ac:dyDescent="0.2">
      <c r="B388" s="1427"/>
      <c r="C388" s="20" t="s">
        <v>1166</v>
      </c>
      <c r="D388" s="1883"/>
      <c r="E388" s="20" t="s">
        <v>10</v>
      </c>
      <c r="F388" s="166">
        <f t="shared" ref="F388:N388" ca="1" si="175">MAX((G370-F370)/(G$376-F$376),0)+(F370*$J$134)</f>
        <v>0</v>
      </c>
      <c r="G388" s="166">
        <f t="shared" ca="1" si="175"/>
        <v>0</v>
      </c>
      <c r="H388" s="166">
        <f t="shared" ca="1" si="175"/>
        <v>0</v>
      </c>
      <c r="I388" s="166">
        <f t="shared" ca="1" si="175"/>
        <v>0</v>
      </c>
      <c r="J388" s="166">
        <f t="shared" ca="1" si="175"/>
        <v>0</v>
      </c>
      <c r="K388" s="166">
        <f t="shared" ca="1" si="175"/>
        <v>0</v>
      </c>
      <c r="L388" s="166">
        <f t="shared" ca="1" si="175"/>
        <v>0</v>
      </c>
      <c r="M388" s="166">
        <f t="shared" ca="1" si="175"/>
        <v>0</v>
      </c>
      <c r="N388" s="166">
        <f t="shared" ca="1" si="175"/>
        <v>0</v>
      </c>
      <c r="O388" s="166">
        <v>0</v>
      </c>
      <c r="P388" s="1025"/>
    </row>
    <row r="389" spans="1:16" s="1863" customFormat="1" ht="17.100000000000001" customHeight="1" x14ac:dyDescent="0.2">
      <c r="B389" s="583"/>
      <c r="C389" s="20" t="s">
        <v>103</v>
      </c>
      <c r="D389" s="1883"/>
      <c r="E389" s="20" t="s">
        <v>669</v>
      </c>
      <c r="F389" s="166">
        <f t="shared" ref="F389:N389" ca="1" si="176">MAX((G371-F371)/(G$376-F$376),0)+(F371*$J$134)</f>
        <v>0</v>
      </c>
      <c r="G389" s="166">
        <f t="shared" ca="1" si="176"/>
        <v>0</v>
      </c>
      <c r="H389" s="166">
        <f t="shared" ca="1" si="176"/>
        <v>0</v>
      </c>
      <c r="I389" s="166">
        <f t="shared" ca="1" si="176"/>
        <v>0</v>
      </c>
      <c r="J389" s="166">
        <f t="shared" ca="1" si="176"/>
        <v>0</v>
      </c>
      <c r="K389" s="166">
        <f t="shared" ca="1" si="176"/>
        <v>0</v>
      </c>
      <c r="L389" s="166">
        <f t="shared" ca="1" si="176"/>
        <v>0</v>
      </c>
      <c r="M389" s="166">
        <f t="shared" ca="1" si="176"/>
        <v>0</v>
      </c>
      <c r="N389" s="166">
        <f t="shared" ca="1" si="176"/>
        <v>0</v>
      </c>
      <c r="O389" s="166">
        <v>0</v>
      </c>
    </row>
    <row r="390" spans="1:16" s="1863" customFormat="1" ht="17.100000000000001" customHeight="1" x14ac:dyDescent="0.2">
      <c r="B390" s="583"/>
      <c r="C390" s="20" t="s">
        <v>103</v>
      </c>
      <c r="D390" s="1883"/>
      <c r="E390" s="20" t="s">
        <v>122</v>
      </c>
      <c r="F390" s="166">
        <f t="shared" ref="F390:N390" ca="1" si="177">MAX((G372-F372)/(G$376-F$376),0)+(F372*$J$134)</f>
        <v>0</v>
      </c>
      <c r="G390" s="166">
        <f t="shared" ca="1" si="177"/>
        <v>0</v>
      </c>
      <c r="H390" s="166">
        <f t="shared" ca="1" si="177"/>
        <v>0</v>
      </c>
      <c r="I390" s="166">
        <f t="shared" ca="1" si="177"/>
        <v>0</v>
      </c>
      <c r="J390" s="166">
        <f t="shared" ca="1" si="177"/>
        <v>0</v>
      </c>
      <c r="K390" s="166">
        <f t="shared" ca="1" si="177"/>
        <v>0</v>
      </c>
      <c r="L390" s="166">
        <f t="shared" ca="1" si="177"/>
        <v>0</v>
      </c>
      <c r="M390" s="166">
        <f t="shared" ca="1" si="177"/>
        <v>0</v>
      </c>
      <c r="N390" s="166">
        <f t="shared" ca="1" si="177"/>
        <v>0</v>
      </c>
      <c r="O390" s="166">
        <v>0</v>
      </c>
    </row>
    <row r="391" spans="1:16" s="1863" customFormat="1" ht="17.100000000000001" customHeight="1" x14ac:dyDescent="0.2">
      <c r="B391" s="583"/>
      <c r="C391" s="20" t="s">
        <v>103</v>
      </c>
      <c r="D391" s="1883"/>
      <c r="E391" s="20" t="s">
        <v>10</v>
      </c>
      <c r="F391" s="166">
        <f t="shared" ref="F391:N391" ca="1" si="178">MAX((G373-F373)/(G$376-F$376),0)+(F373*$J$134)</f>
        <v>0.41081531009999867</v>
      </c>
      <c r="G391" s="166">
        <f t="shared" ca="1" si="178"/>
        <v>0.37513823041768662</v>
      </c>
      <c r="H391" s="166">
        <f t="shared" ca="1" si="178"/>
        <v>0.3237099903948531</v>
      </c>
      <c r="I391" s="166">
        <f t="shared" ca="1" si="178"/>
        <v>0.29055156803291188</v>
      </c>
      <c r="J391" s="166">
        <f t="shared" ca="1" si="178"/>
        <v>0.24393109943505722</v>
      </c>
      <c r="K391" s="166">
        <f t="shared" ca="1" si="178"/>
        <v>0.22493234689348399</v>
      </c>
      <c r="L391" s="166">
        <f t="shared" ca="1" si="178"/>
        <v>0.19873436183004642</v>
      </c>
      <c r="M391" s="166">
        <f t="shared" ca="1" si="178"/>
        <v>0.16495808096772696</v>
      </c>
      <c r="N391" s="166">
        <f t="shared" ca="1" si="178"/>
        <v>0.12322444102950782</v>
      </c>
      <c r="O391" s="166">
        <v>3.9001230452009206</v>
      </c>
    </row>
    <row r="392" spans="1:16" s="1863" customFormat="1" ht="17.100000000000001" customHeight="1" x14ac:dyDescent="0.2">
      <c r="B392" s="583"/>
      <c r="C392" s="1883"/>
      <c r="D392" s="1883"/>
      <c r="E392" s="1883"/>
      <c r="F392" s="1428"/>
      <c r="G392" s="1428"/>
      <c r="H392" s="1428"/>
      <c r="I392" s="1428"/>
      <c r="J392" s="1428"/>
      <c r="K392" s="1428"/>
      <c r="L392" s="1428"/>
      <c r="M392" s="1428"/>
      <c r="N392" s="1428"/>
      <c r="O392" s="1428"/>
    </row>
    <row r="393" spans="1:16" s="1863" customFormat="1" ht="17.100000000000001" customHeight="1" x14ac:dyDescent="0.2">
      <c r="A393" s="1867"/>
      <c r="B393" s="1883" t="s">
        <v>1420</v>
      </c>
      <c r="C393" s="1883"/>
      <c r="D393" s="1883"/>
      <c r="E393" s="1883"/>
      <c r="F393" s="1262"/>
      <c r="G393" s="1262"/>
      <c r="H393" s="1262"/>
      <c r="I393" s="1262"/>
      <c r="J393" s="1262"/>
      <c r="K393" s="1262"/>
      <c r="L393" s="1262"/>
      <c r="M393" s="1262"/>
      <c r="N393" s="1262"/>
      <c r="O393" s="1262"/>
      <c r="P393" s="1867"/>
    </row>
    <row r="394" spans="1:16" s="1863" customFormat="1" ht="17.100000000000001" customHeight="1" x14ac:dyDescent="0.2">
      <c r="A394" s="1867"/>
      <c r="B394" s="1883"/>
      <c r="C394" s="1883" t="s">
        <v>1418</v>
      </c>
      <c r="D394" s="1883"/>
      <c r="E394" s="1883" t="str">
        <f>Preferences.moneyunits</f>
        <v>N</v>
      </c>
      <c r="F394" s="1262">
        <f t="shared" ref="F394:N394" ca="1" si="179">SUMPRODUCT(F377:F391,G157:G171)</f>
        <v>232978798008.71423</v>
      </c>
      <c r="G394" s="1262">
        <f t="shared" ca="1" si="179"/>
        <v>271126199227.38275</v>
      </c>
      <c r="H394" s="1262">
        <f t="shared" ca="1" si="179"/>
        <v>431952836679.42914</v>
      </c>
      <c r="I394" s="1262">
        <f t="shared" ca="1" si="179"/>
        <v>319809273366.59344</v>
      </c>
      <c r="J394" s="1262">
        <f t="shared" ca="1" si="179"/>
        <v>357897605616.33612</v>
      </c>
      <c r="K394" s="1262">
        <f t="shared" ca="1" si="179"/>
        <v>373944552791.15948</v>
      </c>
      <c r="L394" s="1262">
        <f t="shared" ca="1" si="179"/>
        <v>401972603416.94916</v>
      </c>
      <c r="M394" s="1262">
        <f t="shared" ca="1" si="179"/>
        <v>415767963551.68134</v>
      </c>
      <c r="N394" s="1262">
        <f t="shared" ca="1" si="179"/>
        <v>315129338822.10071</v>
      </c>
      <c r="O394" s="1262">
        <v>314.95749342538903</v>
      </c>
      <c r="P394" s="1867"/>
    </row>
    <row r="395" spans="1:16" s="1863" customFormat="1" ht="17.100000000000001" customHeight="1" x14ac:dyDescent="0.2">
      <c r="A395" s="1867"/>
      <c r="B395" s="1883"/>
      <c r="C395" s="1883" t="s">
        <v>1419</v>
      </c>
      <c r="D395" s="1883"/>
      <c r="E395" s="1883" t="str">
        <f>Preferences.moneyunits</f>
        <v>N</v>
      </c>
      <c r="F395" s="1262">
        <f t="shared" ref="F395:N395" ca="1" si="180">SUMPRODUCT(F$359:F$373,G216:G230)</f>
        <v>310670433814.11688</v>
      </c>
      <c r="G395" s="1262">
        <f t="shared" ca="1" si="180"/>
        <v>339028377122.09686</v>
      </c>
      <c r="H395" s="1262">
        <f t="shared" ca="1" si="180"/>
        <v>373722813625.14172</v>
      </c>
      <c r="I395" s="1262">
        <f t="shared" ca="1" si="180"/>
        <v>460490629349.88525</v>
      </c>
      <c r="J395" s="1262">
        <f t="shared" ca="1" si="180"/>
        <v>492326974160.30829</v>
      </c>
      <c r="K395" s="1262">
        <f t="shared" ca="1" si="180"/>
        <v>534389837330.7959</v>
      </c>
      <c r="L395" s="1262">
        <f t="shared" ca="1" si="180"/>
        <v>574093341274.46436</v>
      </c>
      <c r="M395" s="1262">
        <f t="shared" ca="1" si="180"/>
        <v>615908642221.63928</v>
      </c>
      <c r="N395" s="1262">
        <f t="shared" ca="1" si="180"/>
        <v>654403506767.13733</v>
      </c>
      <c r="O395" s="1262">
        <v>665.9767331715658</v>
      </c>
      <c r="P395" s="1867"/>
    </row>
    <row r="396" spans="1:16" s="1863" customFormat="1" ht="17.100000000000001" customHeight="1" x14ac:dyDescent="0.2">
      <c r="A396" s="1867"/>
      <c r="B396" s="1883"/>
      <c r="C396" s="1883" t="s">
        <v>1421</v>
      </c>
      <c r="D396" s="1883"/>
      <c r="E396" s="1883" t="str">
        <f>Preferences.moneyunits</f>
        <v>N</v>
      </c>
      <c r="F396" s="1262">
        <f t="shared" ref="F396:N396" ca="1" si="181">SUM(F394:F395)</f>
        <v>543649231822.83112</v>
      </c>
      <c r="G396" s="1262">
        <f t="shared" ca="1" si="181"/>
        <v>610154576349.47961</v>
      </c>
      <c r="H396" s="1262">
        <f t="shared" ca="1" si="181"/>
        <v>805675650304.5708</v>
      </c>
      <c r="I396" s="1262">
        <f t="shared" ca="1" si="181"/>
        <v>780299902716.47876</v>
      </c>
      <c r="J396" s="1262">
        <f t="shared" ca="1" si="181"/>
        <v>850224579776.64441</v>
      </c>
      <c r="K396" s="1262">
        <f t="shared" ca="1" si="181"/>
        <v>908334390121.95532</v>
      </c>
      <c r="L396" s="1262">
        <f t="shared" ca="1" si="181"/>
        <v>976065944691.41357</v>
      </c>
      <c r="M396" s="1262">
        <f t="shared" ca="1" si="181"/>
        <v>1031676605773.3206</v>
      </c>
      <c r="N396" s="1262">
        <f t="shared" ca="1" si="181"/>
        <v>969532845589.23804</v>
      </c>
      <c r="O396" s="1262">
        <v>980.93422659695489</v>
      </c>
      <c r="P396" s="1867"/>
    </row>
    <row r="397" spans="1:16" s="1863" customFormat="1" ht="17.100000000000001" customHeight="1" x14ac:dyDescent="0.2">
      <c r="A397" s="1867"/>
      <c r="B397" s="1883"/>
      <c r="C397" s="1427"/>
      <c r="D397" s="1883"/>
      <c r="E397" s="1883"/>
      <c r="F397" s="114"/>
      <c r="G397" s="114"/>
      <c r="H397" s="114"/>
      <c r="I397" s="114"/>
      <c r="J397" s="114"/>
      <c r="K397" s="114"/>
      <c r="L397" s="114"/>
      <c r="M397" s="114"/>
      <c r="N397" s="114"/>
      <c r="O397" s="114"/>
      <c r="P397" s="1867"/>
    </row>
    <row r="398" spans="1:16" s="1863" customFormat="1" ht="17.100000000000001" customHeight="1" x14ac:dyDescent="0.2">
      <c r="A398" s="1867"/>
      <c r="B398" s="1883" t="s">
        <v>1874</v>
      </c>
      <c r="C398" s="1883"/>
      <c r="D398" s="1883"/>
      <c r="E398" s="1883"/>
      <c r="F398" s="1262"/>
      <c r="G398" s="1262"/>
      <c r="H398" s="1262"/>
      <c r="I398" s="1262"/>
      <c r="J398" s="1262"/>
      <c r="K398" s="1262"/>
      <c r="L398" s="1262"/>
      <c r="M398" s="1262"/>
      <c r="N398" s="1262"/>
      <c r="O398" s="1262"/>
      <c r="P398" s="1867"/>
    </row>
    <row r="399" spans="1:16" s="1863" customFormat="1" ht="17.100000000000001" customHeight="1" x14ac:dyDescent="0.2">
      <c r="A399" s="1867"/>
      <c r="B399" s="1883"/>
      <c r="C399" s="1883" t="s">
        <v>1418</v>
      </c>
      <c r="D399" s="1883"/>
      <c r="E399" s="1883" t="str">
        <f>Preferences.moneyunits</f>
        <v>N</v>
      </c>
      <c r="F399" s="1262">
        <f t="shared" ref="F399:N399" ca="1" si="182">SUMPRODUCT(F$377:F$391,G138:G152)</f>
        <v>789484263864.43274</v>
      </c>
      <c r="G399" s="1262">
        <f t="shared" ca="1" si="182"/>
        <v>1226898727278.7593</v>
      </c>
      <c r="H399" s="1262">
        <f t="shared" ca="1" si="182"/>
        <v>1590237646229.8196</v>
      </c>
      <c r="I399" s="1262">
        <f t="shared" ca="1" si="182"/>
        <v>1271280119307.344</v>
      </c>
      <c r="J399" s="1262">
        <f t="shared" ca="1" si="182"/>
        <v>1458453472194.9846</v>
      </c>
      <c r="K399" s="1262">
        <f t="shared" ca="1" si="182"/>
        <v>1544300683487.9968</v>
      </c>
      <c r="L399" s="1262">
        <f t="shared" ca="1" si="182"/>
        <v>1668318358942.6514</v>
      </c>
      <c r="M399" s="1262">
        <f t="shared" ca="1" si="182"/>
        <v>1692126916691.6299</v>
      </c>
      <c r="N399" s="1262">
        <f t="shared" ca="1" si="182"/>
        <v>1171832765083.9768</v>
      </c>
      <c r="O399" s="1262">
        <v>2914.1685839333768</v>
      </c>
      <c r="P399" s="1867"/>
    </row>
    <row r="400" spans="1:16" s="1863" customFormat="1" ht="17.100000000000001" customHeight="1" x14ac:dyDescent="0.2">
      <c r="A400" s="1867"/>
      <c r="B400" s="1883"/>
      <c r="C400" s="1883" t="s">
        <v>1419</v>
      </c>
      <c r="D400" s="1883"/>
      <c r="E400" s="1883" t="str">
        <f>Preferences.moneyunits</f>
        <v>N</v>
      </c>
      <c r="F400" s="1262">
        <f t="shared" ref="F400:N400" ca="1" si="183">SUMPRODUCT(F$359:F$373,G197:G211)</f>
        <v>2683656367433.7651</v>
      </c>
      <c r="G400" s="1262">
        <f t="shared" ca="1" si="183"/>
        <v>3058658714165.1562</v>
      </c>
      <c r="H400" s="1262">
        <f t="shared" ca="1" si="183"/>
        <v>3525376411479.7554</v>
      </c>
      <c r="I400" s="1262">
        <f t="shared" ca="1" si="183"/>
        <v>4440047028571.4287</v>
      </c>
      <c r="J400" s="1262">
        <f t="shared" ca="1" si="183"/>
        <v>4813893177554.0625</v>
      </c>
      <c r="K400" s="1262">
        <f t="shared" ca="1" si="183"/>
        <v>5265069924284.4482</v>
      </c>
      <c r="L400" s="1262">
        <f t="shared" ca="1" si="183"/>
        <v>5702866527808.0068</v>
      </c>
      <c r="M400" s="1262">
        <f t="shared" ca="1" si="183"/>
        <v>6170843156769.3701</v>
      </c>
      <c r="N400" s="1262">
        <f t="shared" ca="1" si="183"/>
        <v>6618172826448.4531</v>
      </c>
      <c r="O400" s="1262">
        <v>9101.6285319398467</v>
      </c>
      <c r="P400" s="1867"/>
    </row>
    <row r="401" spans="1:17" s="1863" customFormat="1" ht="17.100000000000001" customHeight="1" x14ac:dyDescent="0.2">
      <c r="A401" s="1867"/>
      <c r="B401" s="1883"/>
      <c r="C401" s="1883" t="s">
        <v>1421</v>
      </c>
      <c r="D401" s="1883"/>
      <c r="E401" s="1883" t="str">
        <f>Preferences.moneyunits</f>
        <v>N</v>
      </c>
      <c r="F401" s="1262">
        <f t="shared" ref="F401:N401" ca="1" si="184">SUM(F399:F400)</f>
        <v>3473140631298.1978</v>
      </c>
      <c r="G401" s="1262">
        <f t="shared" ca="1" si="184"/>
        <v>4285557441443.9155</v>
      </c>
      <c r="H401" s="1262">
        <f t="shared" ca="1" si="184"/>
        <v>5115614057709.5752</v>
      </c>
      <c r="I401" s="1262">
        <f t="shared" ca="1" si="184"/>
        <v>5711327147878.7725</v>
      </c>
      <c r="J401" s="1262">
        <f t="shared" ca="1" si="184"/>
        <v>6272346649749.0469</v>
      </c>
      <c r="K401" s="1262">
        <f t="shared" ca="1" si="184"/>
        <v>6809370607772.4453</v>
      </c>
      <c r="L401" s="1262">
        <f t="shared" ca="1" si="184"/>
        <v>7371184886750.6582</v>
      </c>
      <c r="M401" s="1262">
        <f t="shared" ca="1" si="184"/>
        <v>7862970073461</v>
      </c>
      <c r="N401" s="1262">
        <f t="shared" ca="1" si="184"/>
        <v>7790005591532.4297</v>
      </c>
      <c r="O401" s="1262">
        <v>12015.797115873223</v>
      </c>
      <c r="P401" s="1867"/>
    </row>
    <row r="402" spans="1:17" s="1863" customFormat="1" ht="17.100000000000001" customHeight="1" x14ac:dyDescent="0.2">
      <c r="A402" s="1867"/>
      <c r="B402" s="1883"/>
      <c r="C402" s="1883"/>
      <c r="D402" s="1883"/>
      <c r="E402" s="1883"/>
      <c r="F402" s="1262"/>
      <c r="G402" s="1262"/>
      <c r="H402" s="1262"/>
      <c r="I402" s="1262"/>
      <c r="J402" s="1262"/>
      <c r="K402" s="1262"/>
      <c r="L402" s="1262"/>
      <c r="M402" s="1262"/>
      <c r="N402" s="1262"/>
      <c r="O402" s="1262"/>
      <c r="P402" s="1867"/>
    </row>
    <row r="403" spans="1:17" s="1863" customFormat="1" ht="17.100000000000001" customHeight="1" x14ac:dyDescent="0.2">
      <c r="A403" s="1867"/>
      <c r="B403" s="1883" t="s">
        <v>1422</v>
      </c>
      <c r="C403" s="1883"/>
      <c r="D403" s="1883"/>
      <c r="E403" s="1883"/>
      <c r="F403" s="1262"/>
      <c r="G403" s="1262"/>
      <c r="H403" s="1262"/>
      <c r="I403" s="1262"/>
      <c r="J403" s="1262"/>
      <c r="K403" s="1262"/>
      <c r="L403" s="1262"/>
      <c r="M403" s="1262"/>
      <c r="N403" s="1262"/>
      <c r="O403" s="1262"/>
      <c r="P403" s="1867"/>
    </row>
    <row r="404" spans="1:17" s="1863" customFormat="1" ht="17.100000000000001" customHeight="1" x14ac:dyDescent="0.2">
      <c r="A404" s="1867"/>
      <c r="B404" s="1883"/>
      <c r="C404" s="1883" t="s">
        <v>1418</v>
      </c>
      <c r="D404" s="1883"/>
      <c r="E404" s="1883" t="str">
        <f>Preferences.moneyunits</f>
        <v>N</v>
      </c>
      <c r="F404" s="1262">
        <f t="shared" ref="F404:N404" ca="1" si="185">SUMPRODUCT(F$377:F$391,G118:G132)</f>
        <v>2292606160849.2207</v>
      </c>
      <c r="G404" s="1262">
        <f t="shared" ca="1" si="185"/>
        <v>3208340340768.9702</v>
      </c>
      <c r="H404" s="1262">
        <f t="shared" ca="1" si="185"/>
        <v>4106493435328.7104</v>
      </c>
      <c r="I404" s="1262">
        <f t="shared" ca="1" si="185"/>
        <v>3470414023938.7778</v>
      </c>
      <c r="J404" s="1262">
        <f t="shared" ca="1" si="185"/>
        <v>3870117487519.7158</v>
      </c>
      <c r="K404" s="1262">
        <f t="shared" ca="1" si="185"/>
        <v>4200978344905.6846</v>
      </c>
      <c r="L404" s="1262">
        <f t="shared" ca="1" si="185"/>
        <v>4540720357275.8379</v>
      </c>
      <c r="M404" s="1262">
        <f t="shared" ca="1" si="185"/>
        <v>4723312134553.0742</v>
      </c>
      <c r="N404" s="1262">
        <f t="shared" ca="1" si="185"/>
        <v>3560878539582.8887</v>
      </c>
      <c r="O404" s="1262">
        <v>8037.0545449067422</v>
      </c>
      <c r="P404" s="1867"/>
    </row>
    <row r="405" spans="1:17" s="1863" customFormat="1" ht="17.100000000000001" customHeight="1" x14ac:dyDescent="0.2">
      <c r="A405" s="1867"/>
      <c r="B405" s="1883"/>
      <c r="C405" s="1883" t="s">
        <v>1419</v>
      </c>
      <c r="D405" s="1883"/>
      <c r="E405" s="1883" t="str">
        <f>Preferences.moneyunits</f>
        <v>N</v>
      </c>
      <c r="F405" s="1262">
        <f t="shared" ref="F405:N405" ca="1" si="186">SUMPRODUCT(F$359:F$373,G178:G192)</f>
        <v>7083507697270.208</v>
      </c>
      <c r="G405" s="1262">
        <f t="shared" ca="1" si="186"/>
        <v>8103625158165.376</v>
      </c>
      <c r="H405" s="1262">
        <f t="shared" ca="1" si="186"/>
        <v>9371117347175.9082</v>
      </c>
      <c r="I405" s="1262">
        <f t="shared" ca="1" si="186"/>
        <v>11821492456386.23</v>
      </c>
      <c r="J405" s="1262">
        <f t="shared" ca="1" si="186"/>
        <v>12828551647829.125</v>
      </c>
      <c r="K405" s="1262">
        <f t="shared" ca="1" si="186"/>
        <v>14037494478852.973</v>
      </c>
      <c r="L405" s="1262">
        <f t="shared" ca="1" si="186"/>
        <v>15212260497899.424</v>
      </c>
      <c r="M405" s="1262">
        <f t="shared" ca="1" si="186"/>
        <v>16468958982056.012</v>
      </c>
      <c r="N405" s="1262">
        <f t="shared" ca="1" si="186"/>
        <v>17671615151416.605</v>
      </c>
      <c r="O405" s="1262">
        <v>24754.459578858015</v>
      </c>
      <c r="P405" s="1867"/>
    </row>
    <row r="406" spans="1:17" s="1863" customFormat="1" ht="17.100000000000001" customHeight="1" x14ac:dyDescent="0.2">
      <c r="A406" s="1867"/>
      <c r="B406" s="1883"/>
      <c r="C406" s="1883" t="s">
        <v>1421</v>
      </c>
      <c r="D406" s="1883"/>
      <c r="E406" s="1883" t="str">
        <f>Preferences.moneyunits</f>
        <v>N</v>
      </c>
      <c r="F406" s="1262">
        <f t="shared" ref="F406:N406" ca="1" si="187">SUM(F404:F405)</f>
        <v>9376113858119.4297</v>
      </c>
      <c r="G406" s="1262">
        <f t="shared" ca="1" si="187"/>
        <v>11311965498934.346</v>
      </c>
      <c r="H406" s="1262">
        <f t="shared" ca="1" si="187"/>
        <v>13477610782504.619</v>
      </c>
      <c r="I406" s="1262">
        <f t="shared" ca="1" si="187"/>
        <v>15291906480325.008</v>
      </c>
      <c r="J406" s="1262">
        <f t="shared" ca="1" si="187"/>
        <v>16698669135348.84</v>
      </c>
      <c r="K406" s="1262">
        <f t="shared" ca="1" si="187"/>
        <v>18238472823758.656</v>
      </c>
      <c r="L406" s="1262">
        <f t="shared" ca="1" si="187"/>
        <v>19752980855175.262</v>
      </c>
      <c r="M406" s="1262">
        <f t="shared" ca="1" si="187"/>
        <v>21192271116609.086</v>
      </c>
      <c r="N406" s="1262">
        <f t="shared" ca="1" si="187"/>
        <v>21232493690999.492</v>
      </c>
      <c r="O406" s="1262">
        <v>32791.514123764755</v>
      </c>
      <c r="P406" s="1867"/>
    </row>
    <row r="407" spans="1:17" s="1863" customFormat="1" ht="17.100000000000001" customHeight="1" x14ac:dyDescent="0.2"/>
    <row r="408" spans="1:17" s="1863" customFormat="1" ht="17.100000000000001" customHeight="1" x14ac:dyDescent="0.2"/>
    <row r="409" spans="1:17" s="1863" customFormat="1" ht="17.100000000000001" customHeight="1" x14ac:dyDescent="0.2">
      <c r="B409" s="468" t="s">
        <v>236</v>
      </c>
      <c r="C409" s="421"/>
      <c r="D409" s="421"/>
      <c r="E409" s="421"/>
      <c r="F409" s="421"/>
      <c r="G409" s="421"/>
      <c r="H409" s="421"/>
      <c r="I409" s="421"/>
      <c r="J409" s="421"/>
      <c r="K409" s="421"/>
      <c r="L409" s="421"/>
      <c r="M409" s="421"/>
      <c r="N409" s="421"/>
      <c r="O409" s="421"/>
      <c r="P409" s="423"/>
      <c r="Q409" s="1025"/>
    </row>
    <row r="410" spans="1:17" s="1863" customFormat="1" ht="17.100000000000001" customHeight="1" x14ac:dyDescent="0.2">
      <c r="B410" s="410"/>
      <c r="C410" s="412"/>
      <c r="D410" s="412"/>
      <c r="E410" s="412"/>
      <c r="F410" s="412"/>
      <c r="G410" s="412"/>
      <c r="H410" s="412"/>
      <c r="I410" s="412"/>
      <c r="J410" s="412"/>
      <c r="K410" s="412"/>
      <c r="L410" s="412"/>
      <c r="M410" s="412"/>
      <c r="N410" s="412"/>
      <c r="O410" s="412"/>
      <c r="P410" s="414"/>
      <c r="Q410" s="1025"/>
    </row>
    <row r="411" spans="1:17" s="1863" customFormat="1" ht="17.100000000000001" customHeight="1" x14ac:dyDescent="0.2">
      <c r="B411" s="410"/>
      <c r="C411" s="424" t="s">
        <v>277</v>
      </c>
      <c r="D411" s="412"/>
      <c r="E411" s="413" t="str">
        <f>Preferences.EnergyUnits</f>
        <v>TWh</v>
      </c>
      <c r="F411" s="412"/>
      <c r="G411" s="413"/>
      <c r="H411" s="412"/>
      <c r="I411" s="412"/>
      <c r="J411" s="412"/>
      <c r="K411" s="412"/>
      <c r="L411" s="412"/>
      <c r="M411" s="412"/>
      <c r="N411" s="412"/>
      <c r="O411" s="412"/>
      <c r="P411" s="414"/>
      <c r="Q411" s="1025"/>
    </row>
    <row r="412" spans="1:17" s="1863" customFormat="1" ht="17.100000000000001" customHeight="1" x14ac:dyDescent="0.2">
      <c r="B412" s="410"/>
      <c r="C412" s="412"/>
      <c r="D412" s="412"/>
      <c r="E412" s="412"/>
      <c r="F412" s="412"/>
      <c r="G412" s="412"/>
      <c r="H412" s="412"/>
      <c r="I412" s="412"/>
      <c r="J412" s="412"/>
      <c r="K412" s="412"/>
      <c r="L412" s="412"/>
      <c r="M412" s="412"/>
      <c r="N412" s="412"/>
      <c r="O412" s="412"/>
      <c r="P412" s="414"/>
    </row>
    <row r="413" spans="1:17" s="1863" customFormat="1" ht="17.100000000000001" customHeight="1" x14ac:dyDescent="0.25">
      <c r="B413" s="415"/>
      <c r="C413" s="426" t="s">
        <v>64</v>
      </c>
      <c r="D413" s="426" t="s">
        <v>150</v>
      </c>
      <c r="E413" s="426" t="s">
        <v>172</v>
      </c>
      <c r="F413" s="426" t="s">
        <v>241</v>
      </c>
      <c r="G413" s="426" t="s">
        <v>268</v>
      </c>
      <c r="H413" s="426" t="s">
        <v>269</v>
      </c>
      <c r="I413" s="426" t="s">
        <v>270</v>
      </c>
      <c r="J413" s="426" t="s">
        <v>271</v>
      </c>
      <c r="K413" s="426" t="s">
        <v>272</v>
      </c>
      <c r="L413" s="426" t="s">
        <v>273</v>
      </c>
      <c r="M413" s="426" t="s">
        <v>274</v>
      </c>
      <c r="N413" s="426" t="s">
        <v>275</v>
      </c>
      <c r="O413" s="414"/>
    </row>
    <row r="414" spans="1:17" s="1863" customFormat="1" ht="17.100000000000001" customHeight="1" x14ac:dyDescent="0.25">
      <c r="B414" s="415"/>
      <c r="C414" s="97" t="s">
        <v>36</v>
      </c>
      <c r="D414" s="97" t="str">
        <f>INDEX(Vectors[Description], MATCH(V.a.Outputs[Vector], Vectors[Code], 0))</f>
        <v>Solid hydrocarbons</v>
      </c>
      <c r="E414" s="97"/>
      <c r="F414" s="241">
        <f t="shared" ref="F414:N414" ca="1" si="188">F334</f>
        <v>0</v>
      </c>
      <c r="G414" s="241">
        <f t="shared" ca="1" si="188"/>
        <v>0</v>
      </c>
      <c r="H414" s="241">
        <f t="shared" ca="1" si="188"/>
        <v>0</v>
      </c>
      <c r="I414" s="241">
        <f t="shared" ca="1" si="188"/>
        <v>0</v>
      </c>
      <c r="J414" s="241">
        <f t="shared" ca="1" si="188"/>
        <v>0</v>
      </c>
      <c r="K414" s="241">
        <f t="shared" ca="1" si="188"/>
        <v>0</v>
      </c>
      <c r="L414" s="241">
        <f t="shared" ca="1" si="188"/>
        <v>0</v>
      </c>
      <c r="M414" s="241">
        <f t="shared" ca="1" si="188"/>
        <v>0</v>
      </c>
      <c r="N414" s="241">
        <f t="shared" ca="1" si="188"/>
        <v>0</v>
      </c>
      <c r="O414" s="414"/>
    </row>
    <row r="415" spans="1:17" s="1863" customFormat="1" ht="17.100000000000001" customHeight="1" x14ac:dyDescent="0.25">
      <c r="B415" s="415"/>
      <c r="C415" s="97" t="s">
        <v>38</v>
      </c>
      <c r="D415" s="97" t="str">
        <f>INDEX(Vectors[Description], MATCH(V.a.Outputs[Vector], Vectors[Code], 0))</f>
        <v>Liquid hydrocarbons</v>
      </c>
      <c r="E415" s="97"/>
      <c r="F415" s="241">
        <f t="shared" ref="F415:N415" ca="1" si="189">F335</f>
        <v>2.6727687466666672</v>
      </c>
      <c r="G415" s="241">
        <f t="shared" ca="1" si="189"/>
        <v>3.0722897998837917</v>
      </c>
      <c r="H415" s="241">
        <f t="shared" ca="1" si="189"/>
        <v>3.5315305995858264</v>
      </c>
      <c r="I415" s="241">
        <f t="shared" ca="1" si="189"/>
        <v>4.1379873345085638</v>
      </c>
      <c r="J415" s="241">
        <f t="shared" ca="1" si="189"/>
        <v>4.7565268397103431</v>
      </c>
      <c r="K415" s="241">
        <f t="shared" ca="1" si="189"/>
        <v>5.4675246074845258</v>
      </c>
      <c r="L415" s="241">
        <f t="shared" ca="1" si="189"/>
        <v>6.284801146054134</v>
      </c>
      <c r="M415" s="241">
        <f t="shared" ca="1" si="189"/>
        <v>7.2242428303611712</v>
      </c>
      <c r="N415" s="241">
        <f t="shared" ca="1" si="189"/>
        <v>8.3041107044081546</v>
      </c>
      <c r="O415" s="414"/>
    </row>
    <row r="416" spans="1:17" s="1863" customFormat="1" ht="17.100000000000001" customHeight="1" x14ac:dyDescent="0.25">
      <c r="B416" s="415"/>
      <c r="C416" s="97" t="s">
        <v>39</v>
      </c>
      <c r="D416" s="97" t="str">
        <f>INDEX(Vectors[Description], MATCH(V.a.Outputs[Vector], Vectors[Code], 0))</f>
        <v>Gaseous hydrocarbons</v>
      </c>
      <c r="E416" s="97"/>
      <c r="F416" s="241">
        <f t="shared" ref="F416:N417" ca="1" si="190">F336</f>
        <v>376.72040258292134</v>
      </c>
      <c r="G416" s="241">
        <f t="shared" ca="1" si="190"/>
        <v>429.45970846684344</v>
      </c>
      <c r="H416" s="241">
        <f t="shared" ca="1" si="190"/>
        <v>494.82937211070913</v>
      </c>
      <c r="I416" s="241">
        <f t="shared" ca="1" si="190"/>
        <v>621.66023801028632</v>
      </c>
      <c r="J416" s="241">
        <f t="shared" ca="1" si="190"/>
        <v>672.99570382156764</v>
      </c>
      <c r="K416" s="241">
        <f t="shared" ca="1" si="190"/>
        <v>735.43019244224729</v>
      </c>
      <c r="L416" s="241">
        <f t="shared" ca="1" si="190"/>
        <v>795.92533754094541</v>
      </c>
      <c r="M416" s="241">
        <f t="shared" ca="1" si="190"/>
        <v>860.50098001876916</v>
      </c>
      <c r="N416" s="241">
        <f t="shared" ca="1" si="190"/>
        <v>922.08776152790972</v>
      </c>
      <c r="O416" s="414"/>
    </row>
    <row r="417" spans="2:16" s="2479" customFormat="1" ht="17.100000000000001" customHeight="1" x14ac:dyDescent="0.25">
      <c r="B417" s="415"/>
      <c r="C417" s="97" t="s">
        <v>2184</v>
      </c>
      <c r="D417" s="97" t="str">
        <f>INDEX(Vectors[Description], MATCH(V.a.Outputs[Vector], Vectors[Code], 0))</f>
        <v>Traditional Fuel</v>
      </c>
      <c r="E417" s="97"/>
      <c r="F417" s="241">
        <f t="shared" ca="1" si="190"/>
        <v>1083.4180256737777</v>
      </c>
      <c r="G417" s="241">
        <f t="shared" ca="1" si="190"/>
        <v>1190.0310893223291</v>
      </c>
      <c r="H417" s="241">
        <f t="shared" ca="1" si="190"/>
        <v>1321.1323763414839</v>
      </c>
      <c r="I417" s="241">
        <f t="shared" ca="1" si="190"/>
        <v>1467.1714126550114</v>
      </c>
      <c r="J417" s="241">
        <f t="shared" ca="1" si="190"/>
        <v>1587.6620603660231</v>
      </c>
      <c r="K417" s="241">
        <f t="shared" ca="1" si="190"/>
        <v>1731.7930401887158</v>
      </c>
      <c r="L417" s="241">
        <f t="shared" ca="1" si="190"/>
        <v>1871.5823977109778</v>
      </c>
      <c r="M417" s="241">
        <f t="shared" ca="1" si="190"/>
        <v>2020.7120700163616</v>
      </c>
      <c r="N417" s="241">
        <f t="shared" ca="1" si="190"/>
        <v>2162.8190356640071</v>
      </c>
      <c r="O417" s="414"/>
    </row>
    <row r="418" spans="2:16" s="1863" customFormat="1" ht="17.100000000000001" customHeight="1" x14ac:dyDescent="0.25">
      <c r="B418" s="415"/>
      <c r="C418" s="97" t="s">
        <v>296</v>
      </c>
      <c r="D418" s="97" t="str">
        <f>INDEX(Vectors[Description], MATCH(V.a.Outputs[Vector], Vectors[Code], 0))</f>
        <v>Dry biomass and waste</v>
      </c>
      <c r="E418" s="97"/>
      <c r="F418" s="241">
        <f t="shared" ref="F418:N418" ca="1" si="191">-F$15</f>
        <v>-32.417971204444449</v>
      </c>
      <c r="G418" s="241">
        <f t="shared" ca="1" si="191"/>
        <v>-73.060329723562404</v>
      </c>
      <c r="H418" s="241">
        <f t="shared" ca="1" si="191"/>
        <v>-143.92492401211445</v>
      </c>
      <c r="I418" s="241">
        <f t="shared" ca="1" si="191"/>
        <v>-228.27574607949157</v>
      </c>
      <c r="J418" s="241">
        <f t="shared" ca="1" si="191"/>
        <v>-257.75408732010584</v>
      </c>
      <c r="K418" s="241">
        <f t="shared" ca="1" si="191"/>
        <v>-313.39118684291782</v>
      </c>
      <c r="L418" s="241">
        <f t="shared" ca="1" si="191"/>
        <v>-347.52707500652309</v>
      </c>
      <c r="M418" s="241">
        <f t="shared" ca="1" si="191"/>
        <v>-381.86251050585577</v>
      </c>
      <c r="N418" s="241">
        <f t="shared" ca="1" si="191"/>
        <v>-387.93811788325291</v>
      </c>
      <c r="O418" s="414"/>
    </row>
    <row r="419" spans="2:16" s="1863" customFormat="1" ht="17.100000000000001" customHeight="1" x14ac:dyDescent="0.25">
      <c r="B419" s="415"/>
      <c r="C419" s="97" t="s">
        <v>383</v>
      </c>
      <c r="D419" s="97" t="str">
        <f>INDEX(Vectors[Description], MATCH(V.a.Outputs[Vector], Vectors[Code], 0))</f>
        <v>Wet biomass and waste</v>
      </c>
      <c r="E419" s="97"/>
      <c r="F419" s="241">
        <f t="shared" ref="F419:N419" ca="1" si="192">-F$16</f>
        <v>-8.9312228459752419</v>
      </c>
      <c r="G419" s="241">
        <f t="shared" ca="1" si="192"/>
        <v>-31.919583891554964</v>
      </c>
      <c r="H419" s="241">
        <f t="shared" ca="1" si="192"/>
        <v>-60.160926366401561</v>
      </c>
      <c r="I419" s="241">
        <f t="shared" ca="1" si="192"/>
        <v>-67.248031985705921</v>
      </c>
      <c r="J419" s="241">
        <f t="shared" ca="1" si="192"/>
        <v>-75.067689113939565</v>
      </c>
      <c r="K419" s="241">
        <f t="shared" ca="1" si="192"/>
        <v>-83.34026863475772</v>
      </c>
      <c r="L419" s="241">
        <f t="shared" ca="1" si="192"/>
        <v>-92.533974835322084</v>
      </c>
      <c r="M419" s="241">
        <f t="shared" ca="1" si="192"/>
        <v>-102.69414017084114</v>
      </c>
      <c r="N419" s="241">
        <f t="shared" ca="1" si="192"/>
        <v>-114.0710003108473</v>
      </c>
      <c r="O419" s="414"/>
    </row>
    <row r="420" spans="2:16" s="1863" customFormat="1" ht="17.100000000000001" customHeight="1" x14ac:dyDescent="0.25">
      <c r="B420" s="415"/>
      <c r="C420" s="97" t="s">
        <v>1164</v>
      </c>
      <c r="D420" s="97" t="str">
        <f>INDEX(Vectors[Description], MATCH(V.a.Outputs[Vector], Vectors[Code], 0))</f>
        <v>Gaseous waste</v>
      </c>
      <c r="E420" s="97"/>
      <c r="F420" s="241">
        <f t="shared" ref="F420:N420" ca="1" si="193">-F17</f>
        <v>-12.32445930299996</v>
      </c>
      <c r="G420" s="241">
        <f t="shared" ca="1" si="193"/>
        <v>-11.254146912530599</v>
      </c>
      <c r="H420" s="241">
        <f t="shared" ca="1" si="193"/>
        <v>-9.7112997118455926</v>
      </c>
      <c r="I420" s="241">
        <f t="shared" ca="1" si="193"/>
        <v>-8.716547040987356</v>
      </c>
      <c r="J420" s="241">
        <f t="shared" ca="1" si="193"/>
        <v>-7.3179329830517172</v>
      </c>
      <c r="K420" s="241">
        <f t="shared" ca="1" si="193"/>
        <v>-6.7479704068045194</v>
      </c>
      <c r="L420" s="241">
        <f t="shared" ca="1" si="193"/>
        <v>-5.9620308549013927</v>
      </c>
      <c r="M420" s="241">
        <f t="shared" ca="1" si="193"/>
        <v>-4.9487424290318085</v>
      </c>
      <c r="N420" s="241">
        <f t="shared" ca="1" si="193"/>
        <v>-3.6967332308852345</v>
      </c>
      <c r="O420" s="414"/>
    </row>
    <row r="421" spans="2:16" s="1863" customFormat="1" ht="17.100000000000001" customHeight="1" x14ac:dyDescent="0.25">
      <c r="B421" s="415"/>
      <c r="C421" s="97" t="s">
        <v>871</v>
      </c>
      <c r="D421" s="97" t="str">
        <f>INDEX(Vectors[Description], MATCH(V.a.Outputs[Vector], Vectors[Code], 0))</f>
        <v>Energy crops (second generation)</v>
      </c>
      <c r="E421" s="97"/>
      <c r="F421" s="241">
        <f t="shared" ref="F421:N421" ca="1" si="194">-F$18</f>
        <v>-1662.4488171111111</v>
      </c>
      <c r="G421" s="241">
        <f t="shared" ca="1" si="194"/>
        <v>-1790.9295179502994</v>
      </c>
      <c r="H421" s="241">
        <f t="shared" ca="1" si="194"/>
        <v>-1929.3397217722111</v>
      </c>
      <c r="I421" s="241">
        <f t="shared" ca="1" si="194"/>
        <v>-2078.4468203239321</v>
      </c>
      <c r="J421" s="241">
        <f t="shared" ca="1" si="194"/>
        <v>-2239.0775124593119</v>
      </c>
      <c r="K421" s="241">
        <f t="shared" ca="1" si="194"/>
        <v>-2412.1223876296331</v>
      </c>
      <c r="L421" s="241">
        <f t="shared" ca="1" si="194"/>
        <v>-2598.5408636047873</v>
      </c>
      <c r="M421" s="241">
        <f t="shared" ca="1" si="194"/>
        <v>-2799.3665058013253</v>
      </c>
      <c r="N421" s="241">
        <f t="shared" ca="1" si="194"/>
        <v>-3015.7127577094616</v>
      </c>
      <c r="O421" s="414"/>
    </row>
    <row r="422" spans="2:16" s="1863" customFormat="1" ht="17.100000000000001" customHeight="1" x14ac:dyDescent="0.25">
      <c r="B422" s="415"/>
      <c r="C422" s="97" t="s">
        <v>1161</v>
      </c>
      <c r="D422" s="97" t="str">
        <f>INDEX(Vectors[Description], MATCH(V.a.Outputs[Vector], Vectors[Code], 0))</f>
        <v>Energy crops (first generation)</v>
      </c>
      <c r="E422" s="97"/>
      <c r="F422" s="241">
        <f ca="1">-F$19</f>
        <v>-10.777293333333335</v>
      </c>
      <c r="G422" s="241">
        <f t="shared" ref="G422:N422" ca="1" si="195">-G$19</f>
        <v>-12.388265322112064</v>
      </c>
      <c r="H422" s="241">
        <f t="shared" ca="1" si="195"/>
        <v>-14.240042740265427</v>
      </c>
      <c r="I422" s="241">
        <f t="shared" ca="1" si="195"/>
        <v>-16.368620785239571</v>
      </c>
      <c r="J422" s="241">
        <f t="shared" ca="1" si="195"/>
        <v>-18.815375157082052</v>
      </c>
      <c r="K422" s="241">
        <f t="shared" ca="1" si="195"/>
        <v>-21.627866327074862</v>
      </c>
      <c r="L422" s="241">
        <f t="shared" ca="1" si="195"/>
        <v>-24.860764027112872</v>
      </c>
      <c r="M422" s="241">
        <f t="shared" ca="1" si="195"/>
        <v>-28.576909930226151</v>
      </c>
      <c r="N422" s="241">
        <f t="shared" ca="1" si="195"/>
        <v>-32.848539178829725</v>
      </c>
      <c r="O422" s="414"/>
    </row>
    <row r="423" spans="2:16" s="1863" customFormat="1" ht="17.100000000000001" customHeight="1" x14ac:dyDescent="0.25">
      <c r="B423" s="415"/>
      <c r="C423" s="97" t="s">
        <v>26</v>
      </c>
      <c r="D423" s="97" t="str">
        <f>INDEX(Vectors[Description], MATCH(V.a.Outputs[Vector], Vectors[Code], 0))</f>
        <v>Conversion losses</v>
      </c>
      <c r="E423" s="97"/>
      <c r="F423" s="241">
        <f ca="1">SUM(V.a.Inputs[2010])-SUM(F$334:F$337)</f>
        <v>264.08856679449832</v>
      </c>
      <c r="G423" s="241">
        <f ca="1">SUM(V.a.Inputs[2015])-SUM(G$334:G$337)</f>
        <v>296.98875621100319</v>
      </c>
      <c r="H423" s="241">
        <f ca="1">SUM(V.a.Inputs[2020])-SUM(H$334:H$337)</f>
        <v>337.88363555105911</v>
      </c>
      <c r="I423" s="241">
        <f ca="1">SUM(V.a.Inputs[2025])-SUM(I$334:I$337)</f>
        <v>306.08612821555016</v>
      </c>
      <c r="J423" s="241">
        <f ca="1">SUM(V.a.Inputs[2030])-SUM(J$334:J$337)</f>
        <v>332.61830600618987</v>
      </c>
      <c r="K423" s="241">
        <f ca="1">SUM(V.a.Inputs[2035])-SUM(K$334:K$337)</f>
        <v>364.53892260274051</v>
      </c>
      <c r="L423" s="241">
        <f ca="1">SUM(V.a.Inputs[2040])-SUM(L$334:L$337)</f>
        <v>395.6321719306693</v>
      </c>
      <c r="M423" s="241">
        <f ca="1">SUM(V.a.Inputs[2045])-SUM(M$334:M$337)</f>
        <v>429.01151597178796</v>
      </c>
      <c r="N423" s="241">
        <f ca="1">SUM(V.a.Inputs[2050])-SUM(N$334:N$337)</f>
        <v>461.05624041695228</v>
      </c>
      <c r="O423" s="414"/>
    </row>
    <row r="424" spans="2:16" s="1863" customFormat="1" ht="17.100000000000001" customHeight="1" x14ac:dyDescent="0.25">
      <c r="B424" s="415"/>
      <c r="C424" s="2626" t="s">
        <v>105</v>
      </c>
      <c r="D424" s="2626"/>
      <c r="E424" s="2626"/>
      <c r="F424" s="2627">
        <f ca="1">SUBTOTAL(109,V.a.Outputs[2010])</f>
        <v>0</v>
      </c>
      <c r="G424" s="2627">
        <f ca="1">SUBTOTAL(109,V.a.Outputs[2015])</f>
        <v>0</v>
      </c>
      <c r="H424" s="2627">
        <f ca="1">SUBTOTAL(109,V.a.Outputs[2020])</f>
        <v>0</v>
      </c>
      <c r="I424" s="2627">
        <f ca="1">SUBTOTAL(109,V.a.Outputs[2025])</f>
        <v>0</v>
      </c>
      <c r="J424" s="2627">
        <f ca="1">SUBTOTAL(109,V.a.Outputs[2030])</f>
        <v>0</v>
      </c>
      <c r="K424" s="2627">
        <f ca="1">SUBTOTAL(109,V.a.Outputs[2035])</f>
        <v>0</v>
      </c>
      <c r="L424" s="2627">
        <f ca="1">SUBTOTAL(109,V.a.Outputs[2040])</f>
        <v>0</v>
      </c>
      <c r="M424" s="2627">
        <f ca="1">SUBTOTAL(109,V.a.Outputs[2045])</f>
        <v>-5.6843418860808015E-13</v>
      </c>
      <c r="N424" s="2627">
        <f ca="1">SUBTOTAL(109,V.a.Outputs[2050])</f>
        <v>0</v>
      </c>
      <c r="O424" s="414"/>
    </row>
    <row r="425" spans="2:16" s="1863" customFormat="1" ht="17.100000000000001" customHeight="1" x14ac:dyDescent="0.25">
      <c r="B425" s="416"/>
      <c r="C425" s="417"/>
      <c r="D425" s="417"/>
      <c r="E425" s="417"/>
      <c r="F425" s="417"/>
      <c r="G425" s="417"/>
      <c r="H425" s="417"/>
      <c r="I425" s="417"/>
      <c r="J425" s="417"/>
      <c r="K425" s="417"/>
      <c r="L425" s="417"/>
      <c r="M425" s="417"/>
      <c r="N425" s="417"/>
      <c r="O425" s="417"/>
      <c r="P425" s="419"/>
    </row>
    <row r="426" spans="2:16" s="1863" customFormat="1" ht="17.100000000000001" customHeight="1" x14ac:dyDescent="0.2"/>
    <row r="427" spans="2:16" s="1863" customFormat="1" ht="17.100000000000001" customHeight="1" x14ac:dyDescent="0.2">
      <c r="B427" s="484" t="s">
        <v>361</v>
      </c>
      <c r="C427" s="436"/>
      <c r="D427" s="437"/>
      <c r="E427" s="437"/>
      <c r="F427" s="437"/>
      <c r="G427" s="437"/>
      <c r="H427" s="437"/>
      <c r="I427" s="437"/>
      <c r="J427" s="437"/>
      <c r="K427" s="437"/>
      <c r="L427" s="437"/>
      <c r="M427" s="437"/>
      <c r="N427" s="437"/>
      <c r="O427" s="437"/>
      <c r="P427" s="438"/>
    </row>
    <row r="428" spans="2:16" s="1863" customFormat="1" ht="17.100000000000001" customHeight="1" x14ac:dyDescent="0.2">
      <c r="B428" s="444"/>
      <c r="C428" s="445"/>
      <c r="D428" s="445"/>
      <c r="E428" s="445"/>
      <c r="F428" s="445"/>
      <c r="G428" s="445"/>
      <c r="H428" s="445"/>
      <c r="I428" s="445"/>
      <c r="J428" s="445"/>
      <c r="K428" s="445"/>
      <c r="L428" s="445"/>
      <c r="M428" s="445"/>
      <c r="N428" s="445"/>
      <c r="O428" s="445"/>
      <c r="P428" s="446"/>
    </row>
    <row r="429" spans="2:16" s="1863" customFormat="1" ht="17.100000000000001" customHeight="1" x14ac:dyDescent="0.25">
      <c r="B429" s="447"/>
      <c r="C429" s="439" t="s">
        <v>491</v>
      </c>
      <c r="D429" s="440"/>
      <c r="E429" s="441"/>
      <c r="F429" s="440"/>
      <c r="G429" s="441"/>
      <c r="H429" s="440"/>
      <c r="I429" s="440"/>
      <c r="J429" s="440"/>
      <c r="K429" s="440"/>
      <c r="L429" s="440"/>
      <c r="M429" s="440"/>
      <c r="N429" s="441" t="s">
        <v>493</v>
      </c>
      <c r="P429" s="448"/>
    </row>
    <row r="430" spans="2:16" s="1863" customFormat="1" ht="17.100000000000001" customHeight="1" x14ac:dyDescent="0.2">
      <c r="B430" s="447"/>
      <c r="C430" s="440"/>
      <c r="D430" s="440"/>
      <c r="E430" s="440"/>
      <c r="F430" s="440"/>
      <c r="G430" s="440"/>
      <c r="H430" s="440"/>
      <c r="I430" s="440"/>
      <c r="J430" s="440"/>
      <c r="K430" s="440"/>
      <c r="L430" s="440"/>
      <c r="M430" s="440"/>
      <c r="N430" s="440"/>
      <c r="O430" s="440"/>
      <c r="P430" s="448"/>
    </row>
    <row r="431" spans="2:16" s="1863" customFormat="1" ht="17.100000000000001" customHeight="1" x14ac:dyDescent="0.25">
      <c r="B431" s="449"/>
      <c r="C431" s="503" t="s">
        <v>490</v>
      </c>
      <c r="D431" s="503" t="s">
        <v>461</v>
      </c>
      <c r="E431" s="503" t="s">
        <v>172</v>
      </c>
      <c r="F431" s="503" t="s">
        <v>241</v>
      </c>
      <c r="G431" s="503" t="s">
        <v>268</v>
      </c>
      <c r="H431" s="503" t="s">
        <v>269</v>
      </c>
      <c r="I431" s="503" t="s">
        <v>270</v>
      </c>
      <c r="J431" s="503" t="s">
        <v>271</v>
      </c>
      <c r="K431" s="503" t="s">
        <v>272</v>
      </c>
      <c r="L431" s="503" t="s">
        <v>273</v>
      </c>
      <c r="M431" s="503" t="s">
        <v>274</v>
      </c>
      <c r="N431" s="503" t="s">
        <v>275</v>
      </c>
      <c r="O431" s="448"/>
    </row>
    <row r="432" spans="2:16" s="1863" customFormat="1" ht="17.100000000000001" customHeight="1" x14ac:dyDescent="0.25">
      <c r="B432" s="449"/>
      <c r="C432" s="442" t="s">
        <v>473</v>
      </c>
      <c r="D432" s="501" t="s">
        <v>469</v>
      </c>
      <c r="E432" s="1457" t="str">
        <f>INDEX(IPCC[Sector_description], MATCH(V.a.Emissions[IPCC Sector], IPCC[Sector_code], 0))</f>
        <v>Bioenergy credit</v>
      </c>
      <c r="F432" s="1457">
        <f t="shared" ref="F432:N432" ca="1" si="196">-F353</f>
        <v>-69.984746261924187</v>
      </c>
      <c r="G432" s="1457">
        <f ca="1">-G353</f>
        <v>-79.788658807870121</v>
      </c>
      <c r="H432" s="1457">
        <f t="shared" ca="1" si="196"/>
        <v>-91.931487118266929</v>
      </c>
      <c r="I432" s="1457">
        <f t="shared" ca="1" si="196"/>
        <v>-115.41998062751981</v>
      </c>
      <c r="J432" s="1457">
        <f t="shared" ca="1" si="196"/>
        <v>-125.020341213096</v>
      </c>
      <c r="K432" s="1457">
        <f t="shared" ca="1" si="196"/>
        <v>-136.68603656124461</v>
      </c>
      <c r="L432" s="1457">
        <f t="shared" ca="1" si="196"/>
        <v>-148.02146239404746</v>
      </c>
      <c r="M432" s="1457">
        <f t="shared" ca="1" si="196"/>
        <v>-160.13824103104378</v>
      </c>
      <c r="N432" s="1457">
        <f t="shared" ca="1" si="196"/>
        <v>-171.74017579723738</v>
      </c>
      <c r="O432" s="448"/>
    </row>
    <row r="433" spans="2:16" s="1863" customFormat="1" ht="17.100000000000001" customHeight="1" x14ac:dyDescent="0.25">
      <c r="B433" s="449"/>
      <c r="C433" s="443" t="s">
        <v>105</v>
      </c>
      <c r="D433" s="513"/>
      <c r="E433" s="443"/>
      <c r="F433" s="1465">
        <f ca="1">SUBTOTAL(109,V.a.Emissions[2010])</f>
        <v>-69.984746261924187</v>
      </c>
      <c r="G433" s="1465">
        <f ca="1">SUBTOTAL(109,V.a.Emissions[2015])</f>
        <v>-79.788658807870121</v>
      </c>
      <c r="H433" s="1465">
        <f ca="1">SUBTOTAL(109,V.a.Emissions[2020])</f>
        <v>-91.931487118266929</v>
      </c>
      <c r="I433" s="1465">
        <f ca="1">SUBTOTAL(109,V.a.Emissions[2025])</f>
        <v>-115.41998062751981</v>
      </c>
      <c r="J433" s="1465">
        <f ca="1">SUBTOTAL(109,V.a.Emissions[2030])</f>
        <v>-125.020341213096</v>
      </c>
      <c r="K433" s="1465">
        <f ca="1">SUBTOTAL(109,V.a.Emissions[2035])</f>
        <v>-136.68603656124461</v>
      </c>
      <c r="L433" s="1465">
        <f ca="1">SUBTOTAL(109,V.a.Emissions[2040])</f>
        <v>-148.02146239404746</v>
      </c>
      <c r="M433" s="1465">
        <f ca="1">SUBTOTAL(109,V.a.Emissions[2045])</f>
        <v>-160.13824103104378</v>
      </c>
      <c r="N433" s="1465">
        <f ca="1">SUBTOTAL(109,V.a.Emissions[2050])</f>
        <v>-171.74017579723738</v>
      </c>
      <c r="O433" s="448"/>
    </row>
    <row r="434" spans="2:16" s="1863" customFormat="1" ht="17.100000000000001" customHeight="1" x14ac:dyDescent="0.2">
      <c r="B434" s="450"/>
      <c r="C434" s="451"/>
      <c r="D434" s="451"/>
      <c r="E434" s="451"/>
      <c r="F434" s="451"/>
      <c r="G434" s="451"/>
      <c r="H434" s="451"/>
      <c r="I434" s="451"/>
      <c r="J434" s="451"/>
      <c r="K434" s="451"/>
      <c r="L434" s="451"/>
      <c r="M434" s="451"/>
      <c r="N434" s="451"/>
      <c r="O434" s="451"/>
      <c r="P434" s="452"/>
    </row>
    <row r="435" spans="2:16" s="1863" customFormat="1" ht="17.100000000000001" customHeight="1" x14ac:dyDescent="0.2"/>
    <row r="436" spans="2:16" s="1863" customFormat="1" ht="17.100000000000001" customHeight="1" x14ac:dyDescent="0.2">
      <c r="B436" s="1430" t="s">
        <v>1225</v>
      </c>
      <c r="C436" s="1218"/>
      <c r="D436" s="1431"/>
      <c r="E436" s="1431"/>
      <c r="F436" s="1431"/>
      <c r="G436" s="1431"/>
      <c r="H436" s="1431"/>
      <c r="I436" s="1431"/>
      <c r="J436" s="1431"/>
      <c r="K436" s="1431"/>
      <c r="L436" s="1431"/>
      <c r="M436" s="1431"/>
      <c r="N436" s="1431"/>
      <c r="O436" s="1431"/>
      <c r="P436" s="1432"/>
    </row>
    <row r="437" spans="2:16" s="1863" customFormat="1" ht="17.100000000000001" customHeight="1" x14ac:dyDescent="0.2">
      <c r="B437" s="1219"/>
      <c r="C437" s="1220"/>
      <c r="D437" s="1220"/>
      <c r="E437" s="1220"/>
      <c r="F437" s="1220"/>
      <c r="G437" s="1220"/>
      <c r="H437" s="1220"/>
      <c r="I437" s="1220"/>
      <c r="J437" s="1220"/>
      <c r="K437" s="1220"/>
      <c r="L437" s="1220"/>
      <c r="M437" s="1220"/>
      <c r="N437" s="1220"/>
      <c r="O437" s="1220"/>
      <c r="P437" s="1221"/>
    </row>
    <row r="438" spans="2:16" s="1863" customFormat="1" ht="17.100000000000001" customHeight="1" x14ac:dyDescent="0.2">
      <c r="B438" s="1433"/>
      <c r="C438" s="1222" t="s">
        <v>1230</v>
      </c>
      <c r="D438" s="1434"/>
      <c r="E438" s="1223"/>
      <c r="F438" s="1434"/>
      <c r="G438" s="1223"/>
      <c r="H438" s="1434"/>
      <c r="I438" s="1434"/>
      <c r="J438" s="1434"/>
      <c r="K438" s="1434"/>
      <c r="L438" s="1434"/>
      <c r="M438" s="1434"/>
      <c r="N438" s="1434"/>
      <c r="O438" s="1223"/>
      <c r="P438" s="1435"/>
    </row>
    <row r="439" spans="2:16" s="1863" customFormat="1" ht="17.100000000000001" customHeight="1" x14ac:dyDescent="0.2">
      <c r="B439" s="1433"/>
      <c r="C439" s="1434"/>
      <c r="D439" s="1434"/>
      <c r="E439" s="1434"/>
      <c r="F439" s="1434"/>
      <c r="G439" s="1434"/>
      <c r="H439" s="1434"/>
      <c r="I439" s="1434"/>
      <c r="J439" s="1434"/>
      <c r="K439" s="1434"/>
      <c r="L439" s="1434"/>
      <c r="M439" s="1434"/>
      <c r="N439" s="1434"/>
      <c r="O439" s="1434"/>
      <c r="P439" s="1435"/>
    </row>
    <row r="440" spans="2:16" s="1863" customFormat="1" ht="17.100000000000001" customHeight="1" x14ac:dyDescent="0.25">
      <c r="B440" s="1436"/>
      <c r="C440" s="1437" t="s">
        <v>64</v>
      </c>
      <c r="D440" s="1437" t="s">
        <v>1226</v>
      </c>
      <c r="E440" s="1437" t="s">
        <v>172</v>
      </c>
      <c r="F440" s="1437" t="s">
        <v>241</v>
      </c>
      <c r="G440" s="1437" t="s">
        <v>268</v>
      </c>
      <c r="H440" s="1437" t="s">
        <v>269</v>
      </c>
      <c r="I440" s="1437" t="s">
        <v>270</v>
      </c>
      <c r="J440" s="1437" t="s">
        <v>271</v>
      </c>
      <c r="K440" s="1437" t="s">
        <v>272</v>
      </c>
      <c r="L440" s="1437" t="s">
        <v>273</v>
      </c>
      <c r="M440" s="1437" t="s">
        <v>274</v>
      </c>
      <c r="N440" s="1437" t="s">
        <v>275</v>
      </c>
      <c r="O440" s="1435"/>
    </row>
    <row r="441" spans="2:16" s="1863" customFormat="1" ht="17.100000000000001" customHeight="1" x14ac:dyDescent="0.25">
      <c r="B441" s="1436"/>
      <c r="C441" s="1438"/>
      <c r="D441" s="1439"/>
      <c r="E441" s="1439"/>
      <c r="F441" s="1226"/>
      <c r="G441" s="1226"/>
      <c r="H441" s="1226"/>
      <c r="I441" s="1226"/>
      <c r="J441" s="1226"/>
      <c r="K441" s="1226"/>
      <c r="L441" s="1226"/>
      <c r="M441" s="1226"/>
      <c r="N441" s="1226"/>
      <c r="O441" s="1435"/>
    </row>
    <row r="442" spans="2:16" s="1863" customFormat="1" ht="17.100000000000001" customHeight="1" x14ac:dyDescent="0.25">
      <c r="B442" s="1436"/>
      <c r="C442" s="1438"/>
      <c r="D442" s="1439"/>
      <c r="E442" s="1439"/>
      <c r="F442" s="1226"/>
      <c r="G442" s="1226"/>
      <c r="H442" s="1226"/>
      <c r="I442" s="1226"/>
      <c r="J442" s="1226"/>
      <c r="K442" s="1226"/>
      <c r="L442" s="1226"/>
      <c r="M442" s="1226"/>
      <c r="N442" s="1226"/>
      <c r="O442" s="1435"/>
    </row>
    <row r="443" spans="2:16" s="1863" customFormat="1" ht="17.100000000000001" customHeight="1" x14ac:dyDescent="0.25">
      <c r="B443" s="1227"/>
      <c r="C443" s="1440"/>
      <c r="D443" s="1440"/>
      <c r="E443" s="1440"/>
      <c r="F443" s="1440"/>
      <c r="G443" s="1440"/>
      <c r="H443" s="1440"/>
      <c r="I443" s="1440"/>
      <c r="J443" s="1440"/>
      <c r="K443" s="1440"/>
      <c r="L443" s="1440"/>
      <c r="M443" s="1440"/>
      <c r="N443" s="1440"/>
      <c r="O443" s="1440"/>
      <c r="P443" s="1224"/>
    </row>
    <row r="444" spans="2:16" s="1863" customFormat="1" ht="17.100000000000001" customHeight="1" x14ac:dyDescent="0.2"/>
    <row r="445" spans="2:16" s="1863" customFormat="1" ht="17.100000000000001" customHeight="1" x14ac:dyDescent="0.2">
      <c r="B445" s="1430" t="s">
        <v>1424</v>
      </c>
      <c r="C445" s="1431"/>
      <c r="D445" s="1431"/>
      <c r="E445" s="1431"/>
      <c r="F445" s="1431"/>
      <c r="G445" s="1431"/>
      <c r="H445" s="1431"/>
      <c r="I445" s="1431"/>
      <c r="J445" s="1431"/>
      <c r="K445" s="1431"/>
      <c r="L445" s="1431"/>
      <c r="M445" s="1431"/>
      <c r="N445" s="1431"/>
      <c r="O445" s="1431"/>
      <c r="P445" s="1432"/>
    </row>
    <row r="446" spans="2:16" s="1863" customFormat="1" ht="17.100000000000001" customHeight="1" x14ac:dyDescent="0.2">
      <c r="B446" s="1433"/>
      <c r="C446" s="1434"/>
      <c r="D446" s="1434"/>
      <c r="E446" s="1434"/>
      <c r="F446" s="1434"/>
      <c r="G446" s="1434"/>
      <c r="H446" s="1434"/>
      <c r="I446" s="1434"/>
      <c r="J446" s="1434"/>
      <c r="K446" s="1434"/>
      <c r="L446" s="1434"/>
      <c r="M446" s="1434"/>
      <c r="N446" s="1434"/>
      <c r="O446" s="1434"/>
      <c r="P446" s="1435"/>
    </row>
    <row r="447" spans="2:16" s="1863" customFormat="1" ht="17.100000000000001" customHeight="1" x14ac:dyDescent="0.2">
      <c r="B447" s="1433"/>
      <c r="C447" s="1441" t="s">
        <v>1425</v>
      </c>
      <c r="D447" s="1442"/>
      <c r="E447" s="1442"/>
      <c r="F447" s="1442"/>
      <c r="G447" s="1442"/>
      <c r="H447" s="1442"/>
      <c r="I447" s="1442"/>
      <c r="J447" s="1442"/>
      <c r="K447" s="1442"/>
      <c r="L447" s="1442"/>
      <c r="M447" s="1442"/>
      <c r="N447" s="1479" t="str">
        <f>Preferences.moneyunits</f>
        <v>N</v>
      </c>
      <c r="P447" s="1435"/>
    </row>
    <row r="448" spans="2:16" s="1863" customFormat="1" ht="17.100000000000001" customHeight="1" x14ac:dyDescent="0.2">
      <c r="B448" s="1433"/>
      <c r="C448" s="1434"/>
      <c r="D448" s="1434"/>
      <c r="E448" s="1434"/>
      <c r="F448" s="1434"/>
      <c r="G448" s="1434"/>
      <c r="H448" s="1434"/>
      <c r="I448" s="1434"/>
      <c r="J448" s="1434"/>
      <c r="K448" s="1434"/>
      <c r="L448" s="1434"/>
      <c r="M448" s="1434"/>
      <c r="N448" s="1434"/>
      <c r="O448" s="1434"/>
      <c r="P448" s="1435"/>
    </row>
    <row r="449" spans="2:16" s="1863" customFormat="1" ht="17.100000000000001" customHeight="1" x14ac:dyDescent="0.25">
      <c r="B449" s="1436"/>
      <c r="C449" s="1437" t="s">
        <v>64</v>
      </c>
      <c r="D449" s="1437" t="s">
        <v>150</v>
      </c>
      <c r="E449" s="1437" t="s">
        <v>172</v>
      </c>
      <c r="F449" s="1437" t="s">
        <v>241</v>
      </c>
      <c r="G449" s="1437" t="s">
        <v>268</v>
      </c>
      <c r="H449" s="1437" t="s">
        <v>269</v>
      </c>
      <c r="I449" s="1437" t="s">
        <v>270</v>
      </c>
      <c r="J449" s="1437" t="s">
        <v>271</v>
      </c>
      <c r="K449" s="1437" t="s">
        <v>272</v>
      </c>
      <c r="L449" s="1437" t="s">
        <v>273</v>
      </c>
      <c r="M449" s="1437" t="s">
        <v>274</v>
      </c>
      <c r="N449" s="1437" t="s">
        <v>275</v>
      </c>
      <c r="O449" s="1443"/>
    </row>
    <row r="450" spans="2:16" s="1863" customFormat="1" ht="17.100000000000001" customHeight="1" x14ac:dyDescent="0.25">
      <c r="B450" s="1436"/>
      <c r="C450" s="1438" t="s">
        <v>1391</v>
      </c>
      <c r="D450" s="1439" t="str">
        <f>INDEX(CostVectors[Description], MATCH(C450, CostVectors[Code], 0))</f>
        <v>High estimate of capital costs</v>
      </c>
      <c r="E450" s="1439"/>
      <c r="F450" s="2096">
        <f t="shared" ref="F450:N450" ca="1" si="197">F404</f>
        <v>2292606160849.2207</v>
      </c>
      <c r="G450" s="2096">
        <f t="shared" ca="1" si="197"/>
        <v>3208340340768.9702</v>
      </c>
      <c r="H450" s="2096">
        <f t="shared" ca="1" si="197"/>
        <v>4106493435328.7104</v>
      </c>
      <c r="I450" s="2096">
        <f t="shared" ca="1" si="197"/>
        <v>3470414023938.7778</v>
      </c>
      <c r="J450" s="2096">
        <f t="shared" ca="1" si="197"/>
        <v>3870117487519.7158</v>
      </c>
      <c r="K450" s="2096">
        <f t="shared" ca="1" si="197"/>
        <v>4200978344905.6846</v>
      </c>
      <c r="L450" s="2096">
        <f t="shared" ca="1" si="197"/>
        <v>4540720357275.8379</v>
      </c>
      <c r="M450" s="2096">
        <f t="shared" ca="1" si="197"/>
        <v>4723312134553.0742</v>
      </c>
      <c r="N450" s="2096">
        <f t="shared" ca="1" si="197"/>
        <v>3560878539582.8887</v>
      </c>
      <c r="O450" s="1443"/>
    </row>
    <row r="451" spans="2:16" s="1863" customFormat="1" ht="17.100000000000001" customHeight="1" x14ac:dyDescent="0.25">
      <c r="B451" s="1436"/>
      <c r="C451" s="1438" t="s">
        <v>1393</v>
      </c>
      <c r="D451" s="1439" t="str">
        <f>INDEX(CostVectors[Description], MATCH(C451, CostVectors[Code], 0))</f>
        <v>High estimate of operating costs</v>
      </c>
      <c r="E451" s="1439"/>
      <c r="F451" s="2096">
        <f t="shared" ref="F451:M451" ca="1" si="198">F405</f>
        <v>7083507697270.208</v>
      </c>
      <c r="G451" s="2096">
        <f t="shared" ca="1" si="198"/>
        <v>8103625158165.376</v>
      </c>
      <c r="H451" s="2096">
        <f t="shared" ca="1" si="198"/>
        <v>9371117347175.9082</v>
      </c>
      <c r="I451" s="2096">
        <f t="shared" ca="1" si="198"/>
        <v>11821492456386.23</v>
      </c>
      <c r="J451" s="2096">
        <f t="shared" ca="1" si="198"/>
        <v>12828551647829.125</v>
      </c>
      <c r="K451" s="2096">
        <f t="shared" ca="1" si="198"/>
        <v>14037494478852.973</v>
      </c>
      <c r="L451" s="2096">
        <f t="shared" ca="1" si="198"/>
        <v>15212260497899.424</v>
      </c>
      <c r="M451" s="2096">
        <f t="shared" ca="1" si="198"/>
        <v>16468958982056.012</v>
      </c>
      <c r="N451" s="2096">
        <f ca="1">N405</f>
        <v>17671615151416.605</v>
      </c>
      <c r="O451" s="1443"/>
    </row>
    <row r="452" spans="2:16" s="1863" customFormat="1" ht="17.100000000000001" customHeight="1" x14ac:dyDescent="0.25">
      <c r="B452" s="1436"/>
      <c r="C452" s="1438" t="s">
        <v>1866</v>
      </c>
      <c r="D452" s="1439" t="str">
        <f>INDEX(CostVectors[Description], MATCH(C452, CostVectors[Code], 0))</f>
        <v>Point estimate of capital costs</v>
      </c>
      <c r="E452" s="1439"/>
      <c r="F452" s="2096">
        <f t="shared" ref="F452:N452" ca="1" si="199">F399</f>
        <v>789484263864.43274</v>
      </c>
      <c r="G452" s="2096">
        <f t="shared" ca="1" si="199"/>
        <v>1226898727278.7593</v>
      </c>
      <c r="H452" s="2096">
        <f t="shared" ca="1" si="199"/>
        <v>1590237646229.8196</v>
      </c>
      <c r="I452" s="2096">
        <f t="shared" ca="1" si="199"/>
        <v>1271280119307.344</v>
      </c>
      <c r="J452" s="2096">
        <f t="shared" ca="1" si="199"/>
        <v>1458453472194.9846</v>
      </c>
      <c r="K452" s="2096">
        <f t="shared" ca="1" si="199"/>
        <v>1544300683487.9968</v>
      </c>
      <c r="L452" s="2096">
        <f t="shared" ca="1" si="199"/>
        <v>1668318358942.6514</v>
      </c>
      <c r="M452" s="2096">
        <f t="shared" ca="1" si="199"/>
        <v>1692126916691.6299</v>
      </c>
      <c r="N452" s="2096">
        <f t="shared" ca="1" si="199"/>
        <v>1171832765083.9768</v>
      </c>
      <c r="O452" s="1443"/>
    </row>
    <row r="453" spans="2:16" s="1863" customFormat="1" ht="17.100000000000001" customHeight="1" x14ac:dyDescent="0.25">
      <c r="B453" s="1436"/>
      <c r="C453" s="1438" t="s">
        <v>1868</v>
      </c>
      <c r="D453" s="1439" t="str">
        <f>INDEX(CostVectors[Description], MATCH(C453, CostVectors[Code], 0))</f>
        <v>Point estimate of operating costs</v>
      </c>
      <c r="E453" s="1439"/>
      <c r="F453" s="2096">
        <f t="shared" ref="F453:N453" ca="1" si="200">F400</f>
        <v>2683656367433.7651</v>
      </c>
      <c r="G453" s="2096">
        <f t="shared" ca="1" si="200"/>
        <v>3058658714165.1562</v>
      </c>
      <c r="H453" s="2096">
        <f t="shared" ca="1" si="200"/>
        <v>3525376411479.7554</v>
      </c>
      <c r="I453" s="2096">
        <f t="shared" ca="1" si="200"/>
        <v>4440047028571.4287</v>
      </c>
      <c r="J453" s="2096">
        <f t="shared" ca="1" si="200"/>
        <v>4813893177554.0625</v>
      </c>
      <c r="K453" s="2096">
        <f t="shared" ca="1" si="200"/>
        <v>5265069924284.4482</v>
      </c>
      <c r="L453" s="2096">
        <f t="shared" ca="1" si="200"/>
        <v>5702866527808.0068</v>
      </c>
      <c r="M453" s="2096">
        <f t="shared" ca="1" si="200"/>
        <v>6170843156769.3701</v>
      </c>
      <c r="N453" s="2096">
        <f t="shared" ca="1" si="200"/>
        <v>6618172826448.4531</v>
      </c>
      <c r="O453" s="1443"/>
    </row>
    <row r="454" spans="2:16" s="1863" customFormat="1" ht="17.100000000000001" customHeight="1" x14ac:dyDescent="0.2">
      <c r="B454" s="1444"/>
      <c r="C454" s="1438" t="s">
        <v>1382</v>
      </c>
      <c r="D454" s="1439" t="str">
        <f>INDEX(CostVectors[Description], MATCH(C454, CostVectors[Code], 0))</f>
        <v>Low estimate of capital costs</v>
      </c>
      <c r="E454" s="1439"/>
      <c r="F454" s="2096">
        <f t="shared" ref="F454:N454" ca="1" si="201">F394</f>
        <v>232978798008.71423</v>
      </c>
      <c r="G454" s="2096">
        <f t="shared" ca="1" si="201"/>
        <v>271126199227.38275</v>
      </c>
      <c r="H454" s="2096">
        <f t="shared" ca="1" si="201"/>
        <v>431952836679.42914</v>
      </c>
      <c r="I454" s="2096">
        <f t="shared" ca="1" si="201"/>
        <v>319809273366.59344</v>
      </c>
      <c r="J454" s="2096">
        <f t="shared" ca="1" si="201"/>
        <v>357897605616.33612</v>
      </c>
      <c r="K454" s="2096">
        <f t="shared" ca="1" si="201"/>
        <v>373944552791.15948</v>
      </c>
      <c r="L454" s="2096">
        <f t="shared" ca="1" si="201"/>
        <v>401972603416.94916</v>
      </c>
      <c r="M454" s="2096">
        <f t="shared" ca="1" si="201"/>
        <v>415767963551.68134</v>
      </c>
      <c r="N454" s="2096">
        <f t="shared" ca="1" si="201"/>
        <v>315129338822.10071</v>
      </c>
      <c r="O454" s="1445"/>
    </row>
    <row r="455" spans="2:16" s="1863" customFormat="1" ht="17.100000000000001" customHeight="1" x14ac:dyDescent="0.2">
      <c r="B455" s="1444"/>
      <c r="C455" s="1438" t="s">
        <v>1384</v>
      </c>
      <c r="D455" s="1439" t="str">
        <f>INDEX(CostVectors[Description], MATCH(C455, CostVectors[Code], 0))</f>
        <v>Low estimate of operating costs</v>
      </c>
      <c r="E455" s="1439"/>
      <c r="F455" s="2096">
        <f t="shared" ref="F455:N455" ca="1" si="202">F395</f>
        <v>310670433814.11688</v>
      </c>
      <c r="G455" s="2096">
        <f t="shared" ca="1" si="202"/>
        <v>339028377122.09686</v>
      </c>
      <c r="H455" s="2096">
        <f t="shared" ca="1" si="202"/>
        <v>373722813625.14172</v>
      </c>
      <c r="I455" s="2096">
        <f t="shared" ca="1" si="202"/>
        <v>460490629349.88525</v>
      </c>
      <c r="J455" s="2096">
        <f t="shared" ca="1" si="202"/>
        <v>492326974160.30829</v>
      </c>
      <c r="K455" s="2096">
        <f t="shared" ca="1" si="202"/>
        <v>534389837330.7959</v>
      </c>
      <c r="L455" s="2096">
        <f t="shared" ca="1" si="202"/>
        <v>574093341274.46436</v>
      </c>
      <c r="M455" s="2096">
        <f t="shared" ca="1" si="202"/>
        <v>615908642221.63928</v>
      </c>
      <c r="N455" s="2096">
        <f t="shared" ca="1" si="202"/>
        <v>654403506767.13733</v>
      </c>
      <c r="O455" s="1445"/>
    </row>
    <row r="456" spans="2:16" s="1863" customFormat="1" ht="17.100000000000001" customHeight="1" x14ac:dyDescent="0.2">
      <c r="B456" s="1446"/>
      <c r="C456" s="1440"/>
      <c r="D456" s="1440"/>
      <c r="E456" s="1440"/>
      <c r="F456" s="1440"/>
      <c r="G456" s="1440"/>
      <c r="H456" s="1440"/>
      <c r="I456" s="1440"/>
      <c r="J456" s="1440"/>
      <c r="K456" s="1440"/>
      <c r="L456" s="1440"/>
      <c r="M456" s="1440"/>
      <c r="N456" s="1440"/>
      <c r="O456" s="1440"/>
      <c r="P456" s="1447"/>
    </row>
    <row r="457" spans="2:16" s="1863" customFormat="1" ht="17.100000000000001" customHeight="1" x14ac:dyDescent="0.2"/>
  </sheetData>
  <mergeCells count="1">
    <mergeCell ref="H115:I115"/>
  </mergeCells>
  <pageMargins left="0.7" right="0.7" top="0.75" bottom="0.75" header="0.3" footer="0.3"/>
  <pageSetup paperSize="9" orientation="portrait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 enableFormatConditionsCalculation="0">
    <tabColor theme="9"/>
    <outlinePr summaryBelow="0"/>
    <pageSetUpPr autoPageBreaks="0"/>
  </sheetPr>
  <dimension ref="A1:Q144"/>
  <sheetViews>
    <sheetView windowProtection="1" zoomScaleNormal="100" workbookViewId="0"/>
  </sheetViews>
  <sheetFormatPr defaultColWidth="8.7109375" defaultRowHeight="12.75" x14ac:dyDescent="0.2"/>
  <cols>
    <col min="1" max="1" width="7.7109375" style="1451" customWidth="1"/>
    <col min="2" max="2" width="5.7109375" style="1451" customWidth="1"/>
    <col min="3" max="3" width="20.42578125" style="1451" customWidth="1"/>
    <col min="4" max="4" width="30.7109375" style="1451" customWidth="1"/>
    <col min="5" max="5" width="20.7109375" style="1451" customWidth="1"/>
    <col min="6" max="15" width="17.7109375" style="1451" customWidth="1"/>
    <col min="16" max="16" width="2" style="1451" customWidth="1"/>
    <col min="17" max="17" width="10.7109375" style="1451" customWidth="1"/>
    <col min="18" max="16384" width="8.7109375" style="1451"/>
  </cols>
  <sheetData>
    <row r="1" spans="1:16" ht="21" x14ac:dyDescent="0.35">
      <c r="A1" s="119" t="s">
        <v>224</v>
      </c>
      <c r="B1" s="119" t="str">
        <f>INDEX(Workstreams[Workstream], MATCH($A1, Workstreams[Code], 0))</f>
        <v>Bioenergy</v>
      </c>
      <c r="C1" s="119"/>
    </row>
    <row r="2" spans="1:16" s="84" customFormat="1" ht="19.5" customHeight="1" x14ac:dyDescent="0.2">
      <c r="A2" s="6" t="s">
        <v>838</v>
      </c>
      <c r="B2" s="6" t="str">
        <f>INDEX(Modules[Module], MATCH($A2, Modules[Code], 0))</f>
        <v>Bioenergy imports</v>
      </c>
      <c r="C2" s="6"/>
      <c r="E2" s="1380"/>
    </row>
    <row r="4" spans="1:16" ht="22.5" x14ac:dyDescent="0.3">
      <c r="A4" s="1422"/>
      <c r="B4" s="468" t="s">
        <v>600</v>
      </c>
      <c r="C4" s="420"/>
      <c r="D4" s="421"/>
      <c r="E4" s="422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1"/>
      <c r="D5" s="412"/>
      <c r="E5" s="413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ht="15.75" x14ac:dyDescent="0.25">
      <c r="B6" s="415"/>
      <c r="C6" s="412"/>
      <c r="D6" s="216" t="s">
        <v>342</v>
      </c>
      <c r="E6" s="216" t="s">
        <v>595</v>
      </c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6" ht="15.75" x14ac:dyDescent="0.25">
      <c r="B7" s="415"/>
      <c r="C7" s="412"/>
      <c r="D7" s="238" t="s">
        <v>671</v>
      </c>
      <c r="E7" s="238">
        <f>V.b.Scenario</f>
        <v>4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ht="15.75" x14ac:dyDescent="0.25">
      <c r="B8" s="416"/>
      <c r="C8" s="417"/>
      <c r="D8" s="417"/>
      <c r="E8" s="417"/>
      <c r="F8" s="418"/>
      <c r="G8" s="418"/>
      <c r="H8" s="418"/>
      <c r="I8" s="418"/>
      <c r="J8" s="418"/>
      <c r="K8" s="418"/>
      <c r="L8" s="418"/>
      <c r="M8" s="418"/>
      <c r="N8" s="418"/>
      <c r="O8" s="418"/>
      <c r="P8" s="419"/>
    </row>
    <row r="10" spans="1:16" ht="22.5" x14ac:dyDescent="0.3">
      <c r="A10" s="1422"/>
      <c r="B10" s="468" t="s">
        <v>235</v>
      </c>
      <c r="C10" s="421"/>
      <c r="D10" s="421"/>
      <c r="E10" s="421"/>
      <c r="F10" s="421"/>
      <c r="G10" s="421"/>
      <c r="H10" s="421"/>
      <c r="I10" s="421"/>
      <c r="J10" s="421"/>
      <c r="K10" s="421"/>
      <c r="L10" s="421"/>
      <c r="M10" s="421"/>
      <c r="N10" s="421"/>
      <c r="O10" s="421"/>
      <c r="P10" s="423"/>
    </row>
    <row r="11" spans="1:16" x14ac:dyDescent="0.2">
      <c r="B11" s="469"/>
      <c r="C11" s="412"/>
      <c r="D11" s="412"/>
      <c r="E11" s="412"/>
      <c r="F11" s="412"/>
      <c r="G11" s="412"/>
      <c r="H11" s="412"/>
      <c r="I11" s="412"/>
      <c r="J11" s="412"/>
      <c r="K11" s="412"/>
      <c r="L11" s="412"/>
      <c r="M11" s="412"/>
      <c r="N11" s="412"/>
      <c r="O11" s="412"/>
      <c r="P11" s="414"/>
    </row>
    <row r="12" spans="1:16" s="84" customFormat="1" ht="15.75" x14ac:dyDescent="0.2">
      <c r="A12" s="89"/>
      <c r="B12" s="770"/>
      <c r="C12" s="424" t="s">
        <v>549</v>
      </c>
      <c r="D12" s="412"/>
      <c r="E12" s="413"/>
      <c r="F12" s="412"/>
      <c r="G12" s="412"/>
      <c r="H12" s="412"/>
      <c r="I12" s="412"/>
      <c r="J12" s="412"/>
      <c r="K12" s="412"/>
      <c r="L12" s="412"/>
      <c r="M12" s="412"/>
      <c r="N12" s="413" t="str">
        <f>Preferences.EnergyUnits</f>
        <v>TWh</v>
      </c>
      <c r="P12" s="97"/>
    </row>
    <row r="13" spans="1:16" s="84" customFormat="1" ht="5.25" customHeight="1" x14ac:dyDescent="0.2">
      <c r="A13" s="89"/>
      <c r="B13" s="770"/>
      <c r="C13" s="411"/>
      <c r="D13" s="412"/>
      <c r="E13" s="413"/>
      <c r="F13" s="412"/>
      <c r="G13" s="412"/>
      <c r="H13" s="412"/>
      <c r="I13" s="412"/>
      <c r="J13" s="412"/>
      <c r="K13" s="412"/>
      <c r="L13" s="412"/>
      <c r="M13" s="412"/>
      <c r="N13" s="412"/>
      <c r="O13" s="412"/>
      <c r="P13" s="97"/>
    </row>
    <row r="14" spans="1:16" s="84" customFormat="1" ht="15.75" x14ac:dyDescent="0.2">
      <c r="A14" s="89"/>
      <c r="B14" s="770"/>
      <c r="C14" s="426" t="s">
        <v>64</v>
      </c>
      <c r="D14" s="426" t="s">
        <v>150</v>
      </c>
      <c r="E14" s="426" t="s">
        <v>172</v>
      </c>
      <c r="F14" s="426" t="s">
        <v>241</v>
      </c>
      <c r="G14" s="426" t="s">
        <v>268</v>
      </c>
      <c r="H14" s="426" t="s">
        <v>269</v>
      </c>
      <c r="I14" s="426" t="s">
        <v>270</v>
      </c>
      <c r="J14" s="426" t="s">
        <v>271</v>
      </c>
      <c r="K14" s="426" t="s">
        <v>272</v>
      </c>
      <c r="L14" s="426" t="s">
        <v>273</v>
      </c>
      <c r="M14" s="426" t="s">
        <v>274</v>
      </c>
      <c r="N14" s="426" t="s">
        <v>275</v>
      </c>
      <c r="O14" s="97"/>
    </row>
    <row r="15" spans="1:16" s="84" customFormat="1" ht="15.75" x14ac:dyDescent="0.2">
      <c r="A15" s="89"/>
      <c r="B15" s="770"/>
      <c r="C15" s="426" t="s">
        <v>36</v>
      </c>
      <c r="D15" s="426" t="str">
        <f>INDEX(Vectors[Description], MATCH(V.b.Inputs[Vector], Vectors[Code], 0))</f>
        <v>Solid hydrocarbons</v>
      </c>
      <c r="E15" s="426"/>
      <c r="F15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-1.5203815348896348</v>
      </c>
      <c r="G15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-1.8097434927284919</v>
      </c>
      <c r="H15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-25.824701842565585</v>
      </c>
      <c r="I15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-122.5769415325465</v>
      </c>
      <c r="J15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-281.95754953591495</v>
      </c>
      <c r="K15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-512.36760581012402</v>
      </c>
      <c r="L15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-756.52138704566835</v>
      </c>
      <c r="M15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-998.96810111333627</v>
      </c>
      <c r="N15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-1241.5439171180863</v>
      </c>
      <c r="O15" s="97"/>
    </row>
    <row r="16" spans="1:16" s="84" customFormat="1" ht="15.75" x14ac:dyDescent="0.2">
      <c r="A16" s="89"/>
      <c r="B16" s="770"/>
      <c r="C16" s="426" t="s">
        <v>38</v>
      </c>
      <c r="D16" s="426" t="str">
        <f>INDEX(Vectors[Description], MATCH(V.b.Inputs[Vector], Vectors[Code], 0))</f>
        <v>Liquid hydrocarbons</v>
      </c>
      <c r="E16" s="426"/>
      <c r="F16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-301.24472631181249</v>
      </c>
      <c r="G16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-309.20345172722136</v>
      </c>
      <c r="H16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-221.35927018559818</v>
      </c>
      <c r="I16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-188.35750920679624</v>
      </c>
      <c r="J16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-190.7988284261738</v>
      </c>
      <c r="K16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-198.31117547774622</v>
      </c>
      <c r="L16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-197.79696796682728</v>
      </c>
      <c r="M16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-196.27149320474481</v>
      </c>
      <c r="N16" s="500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-191.75650933957016</v>
      </c>
      <c r="O16" s="97"/>
    </row>
    <row r="17" spans="1:16" s="84" customFormat="1" ht="15.75" x14ac:dyDescent="0.2">
      <c r="A17" s="89"/>
      <c r="B17" s="770"/>
      <c r="C17" s="426" t="s">
        <v>39</v>
      </c>
      <c r="D17" s="426" t="str">
        <f>INDEX(Vectors[Description], MATCH(V.b.Inputs[Vector], Vectors[Code], 0))</f>
        <v>Gaseous hydrocarbons</v>
      </c>
      <c r="E17" s="426"/>
      <c r="F17" s="2628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-49.495361509295321</v>
      </c>
      <c r="G17" s="2628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-43.181946501047776</v>
      </c>
      <c r="H17" s="2628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-107.2049101095626</v>
      </c>
      <c r="I17" s="2628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-63.485702206074279</v>
      </c>
      <c r="J17" s="2628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-94.702306160830517</v>
      </c>
      <c r="K17" s="2628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-168.78001843068682</v>
      </c>
      <c r="L17" s="2628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-240.55702614082441</v>
      </c>
      <c r="M17" s="2628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-305.44296449466685</v>
      </c>
      <c r="N17" s="2628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-370.09939112530026</v>
      </c>
      <c r="O17" s="97"/>
    </row>
    <row r="18" spans="1:16" s="84" customFormat="1" ht="15.75" x14ac:dyDescent="0.2">
      <c r="A18" s="89"/>
      <c r="B18" s="770"/>
      <c r="C18" s="426" t="s">
        <v>2184</v>
      </c>
      <c r="D18" s="1199" t="str">
        <f>INDEX(Vectors[Description], MATCH(V.b.Inputs[Vector], Vectors[Code], 0))</f>
        <v>Traditional Fuel</v>
      </c>
      <c r="E18" s="1199"/>
      <c r="F18" s="241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875.52051462475561</v>
      </c>
      <c r="G18" s="241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1005.4684468053392</v>
      </c>
      <c r="H18" s="241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1146.8696111280037</v>
      </c>
      <c r="I18" s="241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1306.159365743837</v>
      </c>
      <c r="J18" s="241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1447.82190569574</v>
      </c>
      <c r="K18" s="241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1611.9071038293187</v>
      </c>
      <c r="L18" s="241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1778.8059555233544</v>
      </c>
      <c r="M18" s="241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1953.1582510273715</v>
      </c>
      <c r="N18" s="241">
        <f ca="1">INDEX(INDIRECT("'"&amp;V.b.Inputs[#Headers]&amp;"'!Year.Matrix"), MATCH("Subtotal."&amp;$A$2, INDIRECT("'"&amp;V.b.Inputs[#Headers]&amp;"'!Year.Modules"), 0), MATCH(V.b.Inputs[Vector], INDIRECT("'"&amp;V.b.Inputs[#Headers]&amp;"'!Year.Vectors"), 0))</f>
        <v>2117.6175972906126</v>
      </c>
      <c r="O18" s="97"/>
    </row>
    <row r="19" spans="1:16" s="84" customFormat="1" ht="15.75" x14ac:dyDescent="0.2">
      <c r="A19" s="89"/>
      <c r="B19" s="770"/>
      <c r="C19" s="97"/>
      <c r="D19" s="97"/>
      <c r="E19" s="97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97"/>
    </row>
    <row r="20" spans="1:16" x14ac:dyDescent="0.2">
      <c r="B20" s="471"/>
    </row>
    <row r="21" spans="1:16" s="84" customFormat="1" ht="22.5" x14ac:dyDescent="0.2">
      <c r="A21" s="408"/>
      <c r="B21" s="1423" t="s">
        <v>597</v>
      </c>
      <c r="C21" s="405"/>
      <c r="D21" s="405"/>
      <c r="E21" s="405"/>
      <c r="F21" s="405"/>
      <c r="G21" s="405"/>
      <c r="H21" s="405"/>
      <c r="I21" s="405"/>
      <c r="J21" s="405"/>
      <c r="K21" s="405"/>
      <c r="L21" s="405"/>
      <c r="M21" s="405"/>
      <c r="N21" s="405"/>
      <c r="O21" s="406"/>
    </row>
    <row r="22" spans="1:16" x14ac:dyDescent="0.2">
      <c r="B22" s="1419"/>
      <c r="C22" s="1416"/>
      <c r="D22" s="1416"/>
      <c r="E22" s="1416"/>
      <c r="F22" s="1416"/>
      <c r="G22" s="1416"/>
      <c r="H22" s="1416"/>
      <c r="I22" s="1416"/>
      <c r="J22" s="1416"/>
      <c r="K22" s="1416"/>
      <c r="L22" s="1416"/>
      <c r="M22" s="1416"/>
      <c r="N22" s="1416"/>
      <c r="O22" s="1420"/>
    </row>
    <row r="23" spans="1:16" x14ac:dyDescent="0.2">
      <c r="B23" s="1419"/>
      <c r="C23" s="1417" t="s">
        <v>842</v>
      </c>
      <c r="D23" s="1416"/>
      <c r="E23" s="176"/>
      <c r="F23" s="1416"/>
      <c r="G23" s="1416"/>
      <c r="H23" s="1416"/>
      <c r="I23" s="1416"/>
      <c r="J23" s="1416"/>
      <c r="K23" s="1416"/>
      <c r="L23" s="1416"/>
      <c r="M23" s="1416"/>
      <c r="N23" s="176" t="str">
        <f>Preferences.EnergyUnits</f>
        <v>TWh</v>
      </c>
      <c r="O23" s="1420"/>
    </row>
    <row r="24" spans="1:16" ht="6" customHeight="1" x14ac:dyDescent="0.2">
      <c r="B24" s="1419"/>
      <c r="C24" s="1416"/>
      <c r="D24" s="1416"/>
      <c r="E24" s="1416"/>
      <c r="F24" s="1416"/>
      <c r="G24" s="1416"/>
      <c r="H24" s="1416"/>
      <c r="I24" s="1416"/>
      <c r="J24" s="1416"/>
      <c r="K24" s="1416"/>
      <c r="L24" s="1416"/>
      <c r="M24" s="1416"/>
      <c r="N24" s="1416"/>
      <c r="O24" s="1420"/>
    </row>
    <row r="25" spans="1:16" ht="15.75" x14ac:dyDescent="0.25">
      <c r="B25" s="397"/>
      <c r="C25" s="98" t="s">
        <v>595</v>
      </c>
      <c r="D25" s="98" t="s">
        <v>65</v>
      </c>
      <c r="E25" s="98" t="s">
        <v>172</v>
      </c>
      <c r="F25" s="218">
        <v>2010</v>
      </c>
      <c r="G25" s="224">
        <v>2015</v>
      </c>
      <c r="H25" s="224">
        <v>2020</v>
      </c>
      <c r="I25" s="224">
        <v>2025</v>
      </c>
      <c r="J25" s="224">
        <v>2030</v>
      </c>
      <c r="K25" s="224">
        <v>2035</v>
      </c>
      <c r="L25" s="224">
        <v>2040</v>
      </c>
      <c r="M25" s="224">
        <v>2045</v>
      </c>
      <c r="N25" s="217">
        <v>2050</v>
      </c>
      <c r="O25" s="1420"/>
    </row>
    <row r="26" spans="1:16" s="84" customFormat="1" ht="15.75" x14ac:dyDescent="0.2">
      <c r="B26" s="399"/>
      <c r="C26" s="1414">
        <v>1</v>
      </c>
      <c r="D26" s="1415"/>
      <c r="E26" s="146"/>
      <c r="F26" s="160">
        <f>0*Unit.ktoe</f>
        <v>0</v>
      </c>
      <c r="G26" s="2620">
        <f>$F26+($N26-$F26)/($N$25-$F$25)*(G$25-$F$25)</f>
        <v>0</v>
      </c>
      <c r="H26" s="2618">
        <f t="shared" ref="H26:M29" si="0">$F26+($N26-$F26)/($N$25-$F$25)*(H$25-$F$25)</f>
        <v>0</v>
      </c>
      <c r="I26" s="2618">
        <f t="shared" si="0"/>
        <v>0</v>
      </c>
      <c r="J26" s="2618">
        <f t="shared" si="0"/>
        <v>0</v>
      </c>
      <c r="K26" s="2618">
        <f t="shared" si="0"/>
        <v>0</v>
      </c>
      <c r="L26" s="2618">
        <f t="shared" si="0"/>
        <v>0</v>
      </c>
      <c r="M26" s="2618">
        <f t="shared" si="0"/>
        <v>0</v>
      </c>
      <c r="N26" s="66">
        <v>0</v>
      </c>
      <c r="O26" s="400"/>
    </row>
    <row r="27" spans="1:16" ht="15.75" x14ac:dyDescent="0.25">
      <c r="B27" s="397"/>
      <c r="C27" s="1414">
        <v>2</v>
      </c>
      <c r="D27" s="1415"/>
      <c r="E27" s="1415"/>
      <c r="F27" s="160">
        <f>0*Unit.ktoe</f>
        <v>0</v>
      </c>
      <c r="G27" s="2621">
        <f>$F27+($N27-$F27)/($N$25-$F$25)*(G$25-$F$25)</f>
        <v>0</v>
      </c>
      <c r="H27" s="756">
        <f t="shared" si="0"/>
        <v>0</v>
      </c>
      <c r="I27" s="756">
        <f t="shared" si="0"/>
        <v>0</v>
      </c>
      <c r="J27" s="756">
        <f t="shared" si="0"/>
        <v>0</v>
      </c>
      <c r="K27" s="756">
        <f t="shared" si="0"/>
        <v>0</v>
      </c>
      <c r="L27" s="756">
        <f t="shared" si="0"/>
        <v>0</v>
      </c>
      <c r="M27" s="756">
        <f t="shared" si="0"/>
        <v>0</v>
      </c>
      <c r="N27" s="771">
        <v>0</v>
      </c>
      <c r="O27" s="1420"/>
    </row>
    <row r="28" spans="1:16" ht="15.75" x14ac:dyDescent="0.25">
      <c r="B28" s="397"/>
      <c r="C28" s="1414">
        <v>3</v>
      </c>
      <c r="D28" s="1415"/>
      <c r="E28" s="1415"/>
      <c r="F28" s="160">
        <f>0*Unit.ktoe</f>
        <v>0</v>
      </c>
      <c r="G28" s="2621">
        <f>$F28+($N28-$F28)/($N$25-$F$25)*(G$25-$F$25)</f>
        <v>0</v>
      </c>
      <c r="H28" s="756">
        <f t="shared" si="0"/>
        <v>0</v>
      </c>
      <c r="I28" s="756">
        <f t="shared" si="0"/>
        <v>0</v>
      </c>
      <c r="J28" s="756">
        <f t="shared" si="0"/>
        <v>0</v>
      </c>
      <c r="K28" s="756">
        <f t="shared" si="0"/>
        <v>0</v>
      </c>
      <c r="L28" s="756">
        <f t="shared" si="0"/>
        <v>0</v>
      </c>
      <c r="M28" s="756">
        <f t="shared" si="0"/>
        <v>0</v>
      </c>
      <c r="N28" s="771">
        <v>0</v>
      </c>
      <c r="O28" s="1420"/>
    </row>
    <row r="29" spans="1:16" ht="15.75" x14ac:dyDescent="0.25">
      <c r="B29" s="397"/>
      <c r="C29" s="1412">
        <v>4</v>
      </c>
      <c r="D29" s="102"/>
      <c r="E29" s="102"/>
      <c r="F29" s="113">
        <f>0*Unit.ktoe</f>
        <v>0</v>
      </c>
      <c r="G29" s="2622">
        <f>$F29+($N29-$F29)/($N$25-$F$25)*(G$25-$F$25)</f>
        <v>0</v>
      </c>
      <c r="H29" s="2619">
        <f t="shared" si="0"/>
        <v>0</v>
      </c>
      <c r="I29" s="2619">
        <f t="shared" si="0"/>
        <v>0</v>
      </c>
      <c r="J29" s="2619">
        <f t="shared" si="0"/>
        <v>0</v>
      </c>
      <c r="K29" s="2619">
        <f t="shared" si="0"/>
        <v>0</v>
      </c>
      <c r="L29" s="2619">
        <f t="shared" si="0"/>
        <v>0</v>
      </c>
      <c r="M29" s="2619">
        <f t="shared" si="0"/>
        <v>0</v>
      </c>
      <c r="N29" s="772">
        <v>0</v>
      </c>
      <c r="O29" s="1420"/>
    </row>
    <row r="30" spans="1:16" ht="15.75" x14ac:dyDescent="0.25">
      <c r="B30" s="397"/>
      <c r="C30" s="1386" t="s">
        <v>582</v>
      </c>
      <c r="D30" s="1387"/>
      <c r="E30" s="1387"/>
      <c r="F30" s="1408">
        <f t="shared" ref="F30:N30" si="1">(INDEX(F$26:F$29,ROUNDDOWN($E$7,0))*(1-MOD($E$7,1)))+(INDEX(F$26:F$29,ROUNDUP($E$7,0))*MOD($E$7,1))</f>
        <v>0</v>
      </c>
      <c r="G30" s="750">
        <f t="shared" si="1"/>
        <v>0</v>
      </c>
      <c r="H30" s="750">
        <f t="shared" si="1"/>
        <v>0</v>
      </c>
      <c r="I30" s="750">
        <f t="shared" si="1"/>
        <v>0</v>
      </c>
      <c r="J30" s="750">
        <f t="shared" si="1"/>
        <v>0</v>
      </c>
      <c r="K30" s="750">
        <f t="shared" si="1"/>
        <v>0</v>
      </c>
      <c r="L30" s="750">
        <f t="shared" si="1"/>
        <v>0</v>
      </c>
      <c r="M30" s="750">
        <f t="shared" si="1"/>
        <v>0</v>
      </c>
      <c r="N30" s="1388">
        <f t="shared" si="1"/>
        <v>0</v>
      </c>
      <c r="O30" s="1420"/>
    </row>
    <row r="31" spans="1:16" ht="15.75" x14ac:dyDescent="0.25">
      <c r="B31" s="397"/>
      <c r="C31" s="180"/>
      <c r="D31" s="180"/>
      <c r="E31" s="180"/>
      <c r="F31" s="224"/>
      <c r="G31" s="224"/>
      <c r="H31" s="224"/>
      <c r="I31" s="224"/>
      <c r="J31" s="224"/>
      <c r="K31" s="224"/>
      <c r="L31" s="224"/>
      <c r="M31" s="224"/>
      <c r="N31" s="224"/>
      <c r="O31" s="1420"/>
    </row>
    <row r="32" spans="1:16" ht="15.75" x14ac:dyDescent="0.25">
      <c r="B32" s="397"/>
      <c r="C32" s="1417" t="s">
        <v>843</v>
      </c>
      <c r="D32" s="1416"/>
      <c r="E32" s="176"/>
      <c r="F32" s="1416"/>
      <c r="G32" s="1416"/>
      <c r="H32" s="1416"/>
      <c r="I32" s="1416"/>
      <c r="J32" s="1416"/>
      <c r="K32" s="1416"/>
      <c r="L32" s="1416"/>
      <c r="M32" s="1416"/>
      <c r="N32" s="176" t="str">
        <f>Preferences.EnergyUnits</f>
        <v>TWh</v>
      </c>
      <c r="O32" s="1420"/>
    </row>
    <row r="33" spans="2:17" ht="4.5" customHeight="1" x14ac:dyDescent="0.25">
      <c r="B33" s="397"/>
      <c r="C33" s="1416"/>
      <c r="D33" s="1416"/>
      <c r="E33" s="1416"/>
      <c r="F33" s="1416"/>
      <c r="G33" s="1416"/>
      <c r="H33" s="1416"/>
      <c r="I33" s="1416"/>
      <c r="J33" s="1416"/>
      <c r="K33" s="1416"/>
      <c r="L33" s="1416"/>
      <c r="M33" s="1416"/>
      <c r="N33" s="1416"/>
      <c r="O33" s="1420"/>
    </row>
    <row r="34" spans="2:17" ht="15.75" x14ac:dyDescent="0.25">
      <c r="B34" s="397"/>
      <c r="C34" s="98" t="s">
        <v>595</v>
      </c>
      <c r="D34" s="98" t="s">
        <v>65</v>
      </c>
      <c r="E34" s="98" t="s">
        <v>172</v>
      </c>
      <c r="F34" s="218">
        <v>2010</v>
      </c>
      <c r="G34" s="224">
        <v>2015</v>
      </c>
      <c r="H34" s="224">
        <v>2020</v>
      </c>
      <c r="I34" s="224">
        <v>2025</v>
      </c>
      <c r="J34" s="224">
        <v>2030</v>
      </c>
      <c r="K34" s="224">
        <v>2035</v>
      </c>
      <c r="L34" s="224">
        <v>2040</v>
      </c>
      <c r="M34" s="224">
        <v>2045</v>
      </c>
      <c r="N34" s="217">
        <v>2050</v>
      </c>
      <c r="O34" s="1420"/>
    </row>
    <row r="35" spans="2:17" ht="15.75" x14ac:dyDescent="0.25">
      <c r="B35" s="397"/>
      <c r="C35" s="1414">
        <v>1</v>
      </c>
      <c r="D35" s="1415"/>
      <c r="E35" s="146"/>
      <c r="F35" s="160">
        <f>0*Unit.ktoe</f>
        <v>0</v>
      </c>
      <c r="G35" s="2635">
        <f>$F35+($N35-$F35)/($N$25-$F$25)*(G$25-$F$25)</f>
        <v>0</v>
      </c>
      <c r="H35" s="2618">
        <f t="shared" ref="H35:M38" si="2">$F35+($N35-$F35)/($N$25-$F$25)*(H$25-$F$25)</f>
        <v>0</v>
      </c>
      <c r="I35" s="2618">
        <f t="shared" si="2"/>
        <v>0</v>
      </c>
      <c r="J35" s="2618">
        <f t="shared" si="2"/>
        <v>0</v>
      </c>
      <c r="K35" s="2618">
        <f t="shared" si="2"/>
        <v>0</v>
      </c>
      <c r="L35" s="2618">
        <f t="shared" si="2"/>
        <v>0</v>
      </c>
      <c r="M35" s="2618">
        <f t="shared" si="2"/>
        <v>0</v>
      </c>
      <c r="N35" s="66">
        <f>0*Unit.TWh</f>
        <v>0</v>
      </c>
      <c r="O35" s="1420"/>
    </row>
    <row r="36" spans="2:17" ht="15.75" x14ac:dyDescent="0.25">
      <c r="B36" s="397"/>
      <c r="C36" s="1414">
        <v>2</v>
      </c>
      <c r="D36" s="1415"/>
      <c r="E36" s="1415"/>
      <c r="F36" s="160">
        <f>0*Unit.ktoe</f>
        <v>0</v>
      </c>
      <c r="G36" s="757">
        <f>$F36+($N36-$F36)/($N$25-$F$25)*(G$25-$F$25)</f>
        <v>0</v>
      </c>
      <c r="H36" s="758">
        <f t="shared" si="2"/>
        <v>0</v>
      </c>
      <c r="I36" s="758">
        <f t="shared" si="2"/>
        <v>0</v>
      </c>
      <c r="J36" s="758">
        <f t="shared" si="2"/>
        <v>0</v>
      </c>
      <c r="K36" s="758">
        <f t="shared" si="2"/>
        <v>0</v>
      </c>
      <c r="L36" s="758">
        <f t="shared" si="2"/>
        <v>0</v>
      </c>
      <c r="M36" s="758">
        <f t="shared" si="2"/>
        <v>0</v>
      </c>
      <c r="N36" s="66">
        <f>0*Unit.TWh</f>
        <v>0</v>
      </c>
      <c r="O36" s="1420"/>
    </row>
    <row r="37" spans="2:17" ht="15.75" x14ac:dyDescent="0.25">
      <c r="B37" s="397"/>
      <c r="C37" s="1414">
        <v>3</v>
      </c>
      <c r="D37" s="1415"/>
      <c r="E37" s="1415"/>
      <c r="F37" s="160">
        <f>0*Unit.ktoe</f>
        <v>0</v>
      </c>
      <c r="G37" s="757">
        <f>$F37+($N37-$F37)/($N$25-$F$25)*(G$25-$F$25)</f>
        <v>0</v>
      </c>
      <c r="H37" s="758">
        <f t="shared" si="2"/>
        <v>0</v>
      </c>
      <c r="I37" s="758">
        <f t="shared" si="2"/>
        <v>0</v>
      </c>
      <c r="J37" s="758">
        <f t="shared" si="2"/>
        <v>0</v>
      </c>
      <c r="K37" s="758">
        <f t="shared" si="2"/>
        <v>0</v>
      </c>
      <c r="L37" s="758">
        <f t="shared" si="2"/>
        <v>0</v>
      </c>
      <c r="M37" s="758">
        <f t="shared" si="2"/>
        <v>0</v>
      </c>
      <c r="N37" s="66">
        <f>0*Unit.TWh</f>
        <v>0</v>
      </c>
      <c r="O37" s="1416"/>
      <c r="P37" s="37"/>
    </row>
    <row r="38" spans="2:17" ht="15.75" x14ac:dyDescent="0.25">
      <c r="B38" s="397"/>
      <c r="C38" s="1412">
        <v>4</v>
      </c>
      <c r="D38" s="102"/>
      <c r="E38" s="102"/>
      <c r="F38" s="160">
        <f>0*Unit.ktoe</f>
        <v>0</v>
      </c>
      <c r="G38" s="759">
        <f>$F38+($N38-$F38)/($N$25-$F$25)*(G$25-$F$25)</f>
        <v>0</v>
      </c>
      <c r="H38" s="2636">
        <f t="shared" si="2"/>
        <v>0</v>
      </c>
      <c r="I38" s="2636">
        <f t="shared" si="2"/>
        <v>0</v>
      </c>
      <c r="J38" s="2636">
        <f t="shared" si="2"/>
        <v>0</v>
      </c>
      <c r="K38" s="2636">
        <f t="shared" si="2"/>
        <v>0</v>
      </c>
      <c r="L38" s="2636">
        <f t="shared" si="2"/>
        <v>0</v>
      </c>
      <c r="M38" s="2636">
        <f t="shared" si="2"/>
        <v>0</v>
      </c>
      <c r="N38" s="66">
        <f>0*Unit.TWh</f>
        <v>0</v>
      </c>
      <c r="O38" s="1416"/>
      <c r="P38" s="37"/>
    </row>
    <row r="39" spans="2:17" ht="15.75" x14ac:dyDescent="0.25">
      <c r="B39" s="397"/>
      <c r="C39" s="1386" t="s">
        <v>582</v>
      </c>
      <c r="D39" s="1387"/>
      <c r="E39" s="1387"/>
      <c r="F39" s="1408">
        <f t="shared" ref="F39:N39" si="3">(INDEX(F$35:F$38,ROUNDDOWN($E$7,0))*(1-MOD($E$7,1)))+(INDEX(F$35:F$38,ROUNDUP($E$7,0))*MOD($E$7,1))</f>
        <v>0</v>
      </c>
      <c r="G39" s="1388">
        <f t="shared" si="3"/>
        <v>0</v>
      </c>
      <c r="H39" s="750">
        <f t="shared" si="3"/>
        <v>0</v>
      </c>
      <c r="I39" s="750">
        <f t="shared" si="3"/>
        <v>0</v>
      </c>
      <c r="J39" s="750">
        <f t="shared" si="3"/>
        <v>0</v>
      </c>
      <c r="K39" s="750">
        <f t="shared" si="3"/>
        <v>0</v>
      </c>
      <c r="L39" s="750">
        <f t="shared" si="3"/>
        <v>0</v>
      </c>
      <c r="M39" s="750">
        <f t="shared" si="3"/>
        <v>0</v>
      </c>
      <c r="N39" s="750">
        <f t="shared" si="3"/>
        <v>0</v>
      </c>
      <c r="O39" s="1416"/>
      <c r="P39" s="37"/>
    </row>
    <row r="40" spans="2:17" ht="15.75" x14ac:dyDescent="0.25">
      <c r="B40" s="397"/>
      <c r="C40" s="1414"/>
      <c r="D40" s="1415"/>
      <c r="E40" s="1415"/>
      <c r="F40" s="213"/>
      <c r="G40" s="174"/>
      <c r="H40" s="174"/>
      <c r="I40" s="174"/>
      <c r="J40" s="174"/>
      <c r="K40" s="174"/>
      <c r="L40" s="174"/>
      <c r="M40" s="174"/>
      <c r="N40" s="174"/>
      <c r="O40" s="174"/>
      <c r="P40" s="1416"/>
      <c r="Q40" s="37"/>
    </row>
    <row r="41" spans="2:17" ht="15.75" x14ac:dyDescent="0.25">
      <c r="B41" s="397"/>
      <c r="C41" s="1417" t="s">
        <v>1273</v>
      </c>
      <c r="D41" s="1416"/>
      <c r="E41" s="1416"/>
      <c r="F41" s="1416"/>
      <c r="G41" s="176"/>
      <c r="H41" s="1416"/>
      <c r="I41" s="1416"/>
      <c r="J41" s="1416"/>
      <c r="K41" s="1416"/>
      <c r="L41" s="1416"/>
      <c r="M41" s="1416"/>
      <c r="N41" s="1416"/>
      <c r="O41" s="1416"/>
      <c r="P41" s="1416"/>
      <c r="Q41" s="37"/>
    </row>
    <row r="42" spans="2:17" ht="4.5" customHeight="1" x14ac:dyDescent="0.25">
      <c r="B42" s="397"/>
      <c r="C42" s="1416"/>
      <c r="D42" s="1416"/>
      <c r="E42" s="1416"/>
      <c r="F42" s="1416"/>
      <c r="G42" s="1416"/>
      <c r="H42" s="1416"/>
      <c r="I42" s="1416"/>
      <c r="J42" s="1416"/>
      <c r="K42" s="1416"/>
      <c r="L42" s="1416"/>
      <c r="M42" s="1416"/>
      <c r="N42" s="1416"/>
      <c r="O42" s="1416"/>
      <c r="P42" s="1416"/>
      <c r="Q42" s="37"/>
    </row>
    <row r="43" spans="2:17" ht="15.75" x14ac:dyDescent="0.25">
      <c r="B43" s="397"/>
      <c r="C43" s="98"/>
      <c r="D43" s="98"/>
      <c r="E43" s="98"/>
      <c r="F43" s="217"/>
      <c r="G43" s="1261" t="s">
        <v>71</v>
      </c>
      <c r="H43" s="1261"/>
      <c r="I43" s="1416"/>
      <c r="J43" s="523"/>
      <c r="K43" s="523"/>
      <c r="L43" s="523"/>
      <c r="M43" s="523"/>
      <c r="N43" s="523"/>
      <c r="O43" s="523"/>
      <c r="P43" s="1416"/>
      <c r="Q43" s="37"/>
    </row>
    <row r="44" spans="2:17" ht="15.75" x14ac:dyDescent="0.25">
      <c r="B44" s="397"/>
      <c r="C44" s="125"/>
      <c r="D44" s="124" t="s">
        <v>1284</v>
      </c>
      <c r="E44" s="125"/>
      <c r="F44" s="1268">
        <f>0.6*Unit.W/Unit.m2</f>
        <v>6.0000000000000006E-4</v>
      </c>
      <c r="G44" s="1267" t="str">
        <f>Preferences.PowerUnits&amp;"/"&amp;Preferences.AreaUnits</f>
        <v>GW/km^2</v>
      </c>
      <c r="H44" s="1269"/>
      <c r="I44" s="1416"/>
      <c r="J44" s="523"/>
      <c r="K44" s="523"/>
      <c r="L44" s="523"/>
      <c r="M44" s="523"/>
      <c r="N44" s="523"/>
      <c r="O44" s="523"/>
      <c r="P44" s="1416"/>
      <c r="Q44" s="37"/>
    </row>
    <row r="45" spans="2:17" ht="15.75" x14ac:dyDescent="0.25">
      <c r="B45" s="397"/>
      <c r="C45" s="1414"/>
      <c r="D45" s="1415"/>
      <c r="E45" s="1415"/>
      <c r="F45" s="488"/>
      <c r="G45" s="174"/>
      <c r="H45" s="174"/>
      <c r="I45" s="174"/>
      <c r="J45" s="174"/>
      <c r="K45" s="174"/>
      <c r="L45" s="174"/>
      <c r="M45" s="174"/>
      <c r="N45" s="174"/>
      <c r="O45" s="174"/>
      <c r="P45" s="1416"/>
      <c r="Q45" s="1859"/>
    </row>
    <row r="46" spans="2:17" s="20" customFormat="1" x14ac:dyDescent="0.2">
      <c r="B46" s="401"/>
      <c r="C46" s="866" t="s">
        <v>266</v>
      </c>
      <c r="D46" s="464"/>
      <c r="E46" s="578"/>
      <c r="F46" s="578"/>
      <c r="G46" s="578"/>
      <c r="H46" s="578"/>
      <c r="I46" s="578"/>
      <c r="J46" s="578"/>
      <c r="K46" s="578"/>
      <c r="L46" s="578"/>
      <c r="M46" s="578"/>
      <c r="N46" s="578"/>
      <c r="O46" s="578"/>
      <c r="P46" s="578"/>
      <c r="Q46" s="37"/>
    </row>
    <row r="47" spans="2:17" s="356" customFormat="1" x14ac:dyDescent="0.2">
      <c r="B47" s="867"/>
      <c r="C47" s="463" t="s">
        <v>93</v>
      </c>
      <c r="D47" s="464" t="s">
        <v>840</v>
      </c>
      <c r="E47" s="467"/>
      <c r="F47" s="467"/>
      <c r="G47" s="467"/>
      <c r="H47" s="467"/>
      <c r="I47" s="467"/>
      <c r="J47" s="467"/>
      <c r="K47" s="467"/>
      <c r="L47" s="467"/>
      <c r="M47" s="467"/>
      <c r="N47" s="467"/>
      <c r="O47" s="467"/>
      <c r="P47" s="467"/>
      <c r="Q47" s="37"/>
    </row>
    <row r="48" spans="2:17" s="356" customFormat="1" x14ac:dyDescent="0.2">
      <c r="B48" s="867"/>
      <c r="C48" s="463"/>
      <c r="D48" s="464" t="s">
        <v>841</v>
      </c>
      <c r="E48" s="467"/>
      <c r="F48" s="467"/>
      <c r="G48" s="467"/>
      <c r="H48" s="467"/>
      <c r="I48" s="467"/>
      <c r="J48" s="467"/>
      <c r="K48" s="467"/>
      <c r="L48" s="467"/>
      <c r="M48" s="467"/>
      <c r="N48" s="467"/>
      <c r="O48" s="467"/>
      <c r="P48" s="467"/>
      <c r="Q48" s="37"/>
    </row>
    <row r="49" spans="1:17" s="20" customFormat="1" x14ac:dyDescent="0.2">
      <c r="B49" s="460"/>
      <c r="C49" s="868"/>
      <c r="D49" s="868"/>
      <c r="E49" s="868"/>
      <c r="F49" s="868"/>
      <c r="G49" s="868"/>
      <c r="H49" s="868"/>
      <c r="I49" s="868"/>
      <c r="J49" s="868"/>
      <c r="K49" s="868"/>
      <c r="L49" s="868"/>
      <c r="M49" s="868"/>
      <c r="N49" s="868"/>
      <c r="O49" s="868"/>
      <c r="P49" s="868"/>
      <c r="Q49" s="37"/>
    </row>
    <row r="50" spans="1:17" x14ac:dyDescent="0.2">
      <c r="Q50" s="37"/>
    </row>
    <row r="51" spans="1:17" s="84" customFormat="1" ht="22.5" collapsed="1" x14ac:dyDescent="0.2">
      <c r="A51" s="408"/>
      <c r="B51" s="1423" t="s">
        <v>315</v>
      </c>
      <c r="C51" s="405"/>
      <c r="D51" s="405"/>
      <c r="E51" s="405"/>
      <c r="F51" s="405"/>
      <c r="G51" s="405"/>
      <c r="H51" s="405"/>
      <c r="I51" s="405"/>
      <c r="J51" s="405"/>
      <c r="K51" s="405"/>
      <c r="L51" s="405"/>
      <c r="M51" s="405"/>
      <c r="N51" s="405"/>
      <c r="O51" s="405"/>
      <c r="P51" s="37"/>
    </row>
    <row r="52" spans="1:17" s="1615" customFormat="1" ht="15.75" x14ac:dyDescent="0.25">
      <c r="B52" s="475"/>
      <c r="C52" s="107"/>
      <c r="D52" s="107"/>
      <c r="E52" s="1413"/>
      <c r="F52" s="660"/>
      <c r="G52" s="108"/>
      <c r="H52" s="108"/>
      <c r="I52" s="108"/>
      <c r="J52" s="108"/>
      <c r="K52" s="108"/>
      <c r="L52" s="108"/>
      <c r="M52" s="108"/>
      <c r="N52" s="108"/>
      <c r="O52" s="1416"/>
      <c r="P52" s="37"/>
    </row>
    <row r="53" spans="1:17" s="1615" customFormat="1" x14ac:dyDescent="0.2">
      <c r="P53" s="37"/>
    </row>
    <row r="54" spans="1:17" s="84" customFormat="1" ht="22.5" x14ac:dyDescent="0.2">
      <c r="A54" s="408"/>
      <c r="B54" s="1423" t="s">
        <v>1417</v>
      </c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5"/>
      <c r="P54" s="34"/>
    </row>
    <row r="55" spans="1:17" x14ac:dyDescent="0.2">
      <c r="B55" s="473"/>
      <c r="C55" s="458"/>
      <c r="D55" s="458"/>
      <c r="E55" s="458"/>
      <c r="F55" s="458"/>
      <c r="G55" s="458"/>
      <c r="H55" s="458"/>
      <c r="I55" s="458"/>
      <c r="J55" s="458"/>
      <c r="K55" s="458"/>
      <c r="L55" s="458"/>
      <c r="M55" s="458"/>
      <c r="N55" s="458"/>
      <c r="O55" s="458"/>
      <c r="P55" s="37"/>
    </row>
    <row r="56" spans="1:17" x14ac:dyDescent="0.2">
      <c r="B56" s="1419"/>
      <c r="C56" s="1417" t="str">
        <f>"Cost of solid imported bioenergy"</f>
        <v>Cost of solid imported bioenergy</v>
      </c>
      <c r="D56" s="107"/>
      <c r="E56" s="1081"/>
      <c r="F56" s="1055"/>
      <c r="G56" s="760"/>
      <c r="H56" s="760"/>
      <c r="I56" s="760"/>
      <c r="J56" s="760"/>
      <c r="K56" s="760"/>
      <c r="L56" s="760"/>
      <c r="M56" s="760"/>
      <c r="N56" s="1255" t="str">
        <f>Preferences.moneyunits&amp;"/"&amp;Preferences.EnergyUnits&amp;""</f>
        <v>N/TWh</v>
      </c>
      <c r="O56" s="1416"/>
      <c r="P56" s="37"/>
    </row>
    <row r="57" spans="1:17" ht="4.5" customHeight="1" x14ac:dyDescent="0.2">
      <c r="B57" s="1419"/>
      <c r="C57" s="1848"/>
      <c r="D57" s="107"/>
      <c r="E57" s="1081"/>
      <c r="F57" s="1055"/>
      <c r="G57" s="760"/>
      <c r="H57" s="760"/>
      <c r="I57" s="760"/>
      <c r="J57" s="760"/>
      <c r="K57" s="760"/>
      <c r="L57" s="760"/>
      <c r="M57" s="760"/>
      <c r="N57" s="1416"/>
      <c r="O57" s="1416"/>
      <c r="P57" s="37"/>
    </row>
    <row r="58" spans="1:17" x14ac:dyDescent="0.2">
      <c r="B58" s="1419"/>
      <c r="C58" s="1840"/>
      <c r="D58" s="1841"/>
      <c r="E58" s="1842" t="s">
        <v>1321</v>
      </c>
      <c r="F58" s="2204">
        <v>2010</v>
      </c>
      <c r="G58" s="2139">
        <v>2015</v>
      </c>
      <c r="H58" s="2139">
        <v>2020</v>
      </c>
      <c r="I58" s="2139">
        <v>2025</v>
      </c>
      <c r="J58" s="2139">
        <v>2030</v>
      </c>
      <c r="K58" s="2139">
        <v>2035</v>
      </c>
      <c r="L58" s="2139">
        <v>2040</v>
      </c>
      <c r="M58" s="2139">
        <v>2045</v>
      </c>
      <c r="N58" s="2139">
        <v>2050</v>
      </c>
      <c r="O58" s="1416"/>
      <c r="P58" s="37"/>
    </row>
    <row r="59" spans="1:17" x14ac:dyDescent="0.2">
      <c r="B59" s="1419"/>
      <c r="C59" s="606" t="s">
        <v>1871</v>
      </c>
      <c r="D59" s="107"/>
      <c r="E59" s="188">
        <f>(N59-F59)/(N$58-F$58)</f>
        <v>0</v>
      </c>
      <c r="F59" s="2202">
        <f>(250*89*NAIRA2010_/Unit.MWh)</f>
        <v>22250000000</v>
      </c>
      <c r="G59" s="1921">
        <f t="shared" ref="G59:M59" si="4">($E59*(G$58-F$58))+F59</f>
        <v>22250000000</v>
      </c>
      <c r="H59" s="1921">
        <f t="shared" si="4"/>
        <v>22250000000</v>
      </c>
      <c r="I59" s="1921">
        <f t="shared" si="4"/>
        <v>22250000000</v>
      </c>
      <c r="J59" s="1921">
        <f t="shared" si="4"/>
        <v>22250000000</v>
      </c>
      <c r="K59" s="1921">
        <f t="shared" si="4"/>
        <v>22250000000</v>
      </c>
      <c r="L59" s="1921">
        <f t="shared" si="4"/>
        <v>22250000000</v>
      </c>
      <c r="M59" s="1921">
        <f t="shared" si="4"/>
        <v>22250000000</v>
      </c>
      <c r="N59" s="2102">
        <f>(250*89*NAIRA2010_/Unit.MWh)</f>
        <v>22250000000</v>
      </c>
      <c r="O59" s="1416"/>
      <c r="P59" s="37"/>
    </row>
    <row r="60" spans="1:17" x14ac:dyDescent="0.2">
      <c r="B60" s="1419"/>
      <c r="C60" s="606" t="s">
        <v>1872</v>
      </c>
      <c r="D60" s="107"/>
      <c r="E60" s="188">
        <f>(N60-F60)/(N$58-F$58)</f>
        <v>17325000</v>
      </c>
      <c r="F60" s="2202">
        <f>(250*10.78*NAIRA2010_/Unit.GJ)</f>
        <v>9702000000</v>
      </c>
      <c r="G60" s="2102">
        <f t="shared" ref="G60:M60" si="5">($E60*(G$58-F$58))+F60</f>
        <v>9788625000</v>
      </c>
      <c r="H60" s="2102">
        <f t="shared" si="5"/>
        <v>9875250000</v>
      </c>
      <c r="I60" s="2102">
        <f t="shared" si="5"/>
        <v>9961875000</v>
      </c>
      <c r="J60" s="2102">
        <f t="shared" si="5"/>
        <v>10048500000</v>
      </c>
      <c r="K60" s="2102">
        <f>($E60*(K$58-J$58))+J60</f>
        <v>10135125000</v>
      </c>
      <c r="L60" s="2102">
        <f t="shared" si="5"/>
        <v>10221750000</v>
      </c>
      <c r="M60" s="2102">
        <f t="shared" si="5"/>
        <v>10308375000</v>
      </c>
      <c r="N60" s="2102">
        <f>(250*11.55*NAIRA2010_/Unit.GJ)</f>
        <v>10395000000</v>
      </c>
      <c r="O60" s="1416"/>
      <c r="P60" s="2092"/>
    </row>
    <row r="61" spans="1:17" x14ac:dyDescent="0.2">
      <c r="B61" s="1419"/>
      <c r="C61" s="1731" t="s">
        <v>1873</v>
      </c>
      <c r="D61" s="189"/>
      <c r="E61" s="191">
        <f>(N61-F61)/(N$58-F$58)</f>
        <v>0</v>
      </c>
      <c r="F61" s="2203">
        <f>(250*20*NAIRA2010_/Unit.MWh)</f>
        <v>5000000000</v>
      </c>
      <c r="G61" s="1925">
        <f>($E61*(G$58-F$58))+F61</f>
        <v>5000000000</v>
      </c>
      <c r="H61" s="1925">
        <f t="shared" ref="H61:M61" si="6">($E61*(H$58-G$58))+G61</f>
        <v>5000000000</v>
      </c>
      <c r="I61" s="1925">
        <f t="shared" si="6"/>
        <v>5000000000</v>
      </c>
      <c r="J61" s="1925">
        <f>($E61*(J$58-I$58))+I61</f>
        <v>5000000000</v>
      </c>
      <c r="K61" s="1925">
        <f t="shared" si="6"/>
        <v>5000000000</v>
      </c>
      <c r="L61" s="1925">
        <f t="shared" si="6"/>
        <v>5000000000</v>
      </c>
      <c r="M61" s="1925">
        <f t="shared" si="6"/>
        <v>5000000000</v>
      </c>
      <c r="N61" s="2100">
        <f>(250*20*NAIRA2010_/Unit.MWh)</f>
        <v>5000000000</v>
      </c>
      <c r="O61" s="1416"/>
      <c r="P61" s="37"/>
    </row>
    <row r="62" spans="1:17" x14ac:dyDescent="0.2">
      <c r="B62" s="1419"/>
      <c r="C62" s="1848"/>
      <c r="D62" s="107"/>
      <c r="E62" s="1081"/>
      <c r="F62" s="1055"/>
      <c r="G62" s="760"/>
      <c r="H62" s="760"/>
      <c r="I62" s="760"/>
      <c r="J62" s="760"/>
      <c r="K62" s="760"/>
      <c r="L62" s="760"/>
      <c r="M62" s="760"/>
      <c r="N62" s="1416"/>
      <c r="O62" s="1416"/>
      <c r="P62" s="37"/>
    </row>
    <row r="63" spans="1:17" x14ac:dyDescent="0.2">
      <c r="B63" s="1419"/>
      <c r="C63" s="1417" t="str">
        <f>"Cost of liquid imported bioenergy"</f>
        <v>Cost of liquid imported bioenergy</v>
      </c>
      <c r="D63" s="107"/>
      <c r="E63" s="1081"/>
      <c r="F63" s="1055"/>
      <c r="G63" s="760"/>
      <c r="H63" s="760"/>
      <c r="I63" s="760"/>
      <c r="J63" s="760"/>
      <c r="K63" s="760"/>
      <c r="L63" s="760"/>
      <c r="M63" s="760"/>
      <c r="N63" s="1255" t="str">
        <f>Preferences.moneyunits&amp;"/"&amp;Preferences.EnergyUnits&amp;""</f>
        <v>N/TWh</v>
      </c>
      <c r="O63" s="1416"/>
      <c r="P63" s="37"/>
    </row>
    <row r="64" spans="1:17" ht="4.5" customHeight="1" x14ac:dyDescent="0.2">
      <c r="B64" s="1419"/>
      <c r="C64" s="1848"/>
      <c r="D64" s="107"/>
      <c r="E64" s="1081"/>
      <c r="F64" s="1055"/>
      <c r="G64" s="760"/>
      <c r="H64" s="760"/>
      <c r="I64" s="760"/>
      <c r="J64" s="760"/>
      <c r="K64" s="760"/>
      <c r="L64" s="760"/>
      <c r="M64" s="760"/>
      <c r="N64" s="1416"/>
      <c r="O64" s="1416"/>
      <c r="P64" s="37"/>
    </row>
    <row r="65" spans="2:16" x14ac:dyDescent="0.2">
      <c r="B65" s="1419"/>
      <c r="C65" s="1840"/>
      <c r="D65" s="1841"/>
      <c r="E65" s="1842" t="s">
        <v>1321</v>
      </c>
      <c r="F65" s="2204">
        <v>2010</v>
      </c>
      <c r="G65" s="2139">
        <v>2015</v>
      </c>
      <c r="H65" s="2139">
        <v>2020</v>
      </c>
      <c r="I65" s="2139">
        <v>2025</v>
      </c>
      <c r="J65" s="2139">
        <v>2030</v>
      </c>
      <c r="K65" s="2139">
        <v>2035</v>
      </c>
      <c r="L65" s="2139">
        <v>2040</v>
      </c>
      <c r="M65" s="2139">
        <v>2045</v>
      </c>
      <c r="N65" s="2139">
        <v>2050</v>
      </c>
      <c r="O65" s="1416"/>
      <c r="P65" s="37"/>
    </row>
    <row r="66" spans="2:16" x14ac:dyDescent="0.2">
      <c r="B66" s="1419"/>
      <c r="C66" s="606" t="s">
        <v>1871</v>
      </c>
      <c r="D66" s="107"/>
      <c r="E66" s="188">
        <f>(N66-F66)/(N$65-F$65)</f>
        <v>0</v>
      </c>
      <c r="F66" s="2202">
        <f>(250*108*NAIRA2010_/Unit.MWh)</f>
        <v>27000000000</v>
      </c>
      <c r="G66" s="1921">
        <f>($E66*(G$65-F$65))+F66</f>
        <v>27000000000</v>
      </c>
      <c r="H66" s="1921">
        <f t="shared" ref="H66:M66" si="7">($E66*(H$65-G$65))+G66</f>
        <v>27000000000</v>
      </c>
      <c r="I66" s="1921">
        <f t="shared" si="7"/>
        <v>27000000000</v>
      </c>
      <c r="J66" s="1921">
        <f t="shared" si="7"/>
        <v>27000000000</v>
      </c>
      <c r="K66" s="1921">
        <f t="shared" si="7"/>
        <v>27000000000</v>
      </c>
      <c r="L66" s="1921">
        <f t="shared" si="7"/>
        <v>27000000000</v>
      </c>
      <c r="M66" s="1921">
        <f t="shared" si="7"/>
        <v>27000000000</v>
      </c>
      <c r="N66" s="2102">
        <f>(250*108*NAIRA2010_/Unit.MWh)</f>
        <v>27000000000</v>
      </c>
      <c r="O66" s="1416"/>
      <c r="P66" s="37"/>
    </row>
    <row r="67" spans="2:16" x14ac:dyDescent="0.2">
      <c r="B67" s="1419"/>
      <c r="C67" s="606" t="s">
        <v>1872</v>
      </c>
      <c r="D67" s="107"/>
      <c r="E67" s="188">
        <f>(N67-F67)/(N$65-F$65)</f>
        <v>51974999.999999955</v>
      </c>
      <c r="F67" s="2202">
        <f>(250*18.48*NAIRA2010_/Unit.GJ)</f>
        <v>16632000000.000002</v>
      </c>
      <c r="G67" s="2102">
        <f>(17.9119*MGBP/Unit.PJ)*(Price2000)</f>
        <v>43342353578.184502</v>
      </c>
      <c r="H67" s="2102">
        <f>(18.1425*MGBP/Unit.PJ)*(Price2000)</f>
        <v>43900348360.152321</v>
      </c>
      <c r="I67" s="2102">
        <f>(18.1425*MGBP/Unit.PJ)*(Price2000)</f>
        <v>43900348360.152321</v>
      </c>
      <c r="J67" s="2102">
        <f>(17.95*MGBP/Unit.PJ)*(Price2000)</f>
        <v>43434546124.554726</v>
      </c>
      <c r="K67" s="2102">
        <f>(17.95*MGBP/Unit.PJ)*(Price2000)</f>
        <v>43434546124.554726</v>
      </c>
      <c r="L67" s="2102">
        <f>(17.95*MGBP/Unit.PJ)*(Price2000)</f>
        <v>43434546124.554726</v>
      </c>
      <c r="M67" s="2102">
        <f>(17.95*MGBP/Unit.PJ)*(Price2000)</f>
        <v>43434546124.554726</v>
      </c>
      <c r="N67" s="2102">
        <f>(250*20.79*NAIRA2010_/Unit.GJ)</f>
        <v>18711000000</v>
      </c>
      <c r="O67" s="1416"/>
      <c r="P67" s="2092"/>
    </row>
    <row r="68" spans="2:16" x14ac:dyDescent="0.2">
      <c r="B68" s="1419"/>
      <c r="C68" s="1731" t="s">
        <v>1873</v>
      </c>
      <c r="D68" s="189"/>
      <c r="E68" s="191">
        <f>(N68-F68)/(N$65-F$65)</f>
        <v>0</v>
      </c>
      <c r="F68" s="2203">
        <f>(250*20*NAIRA2010_/Unit.MWh)</f>
        <v>5000000000</v>
      </c>
      <c r="G68" s="1925">
        <f t="shared" ref="G68:M68" si="8">($E68*(G$65-F$65))+F68</f>
        <v>5000000000</v>
      </c>
      <c r="H68" s="1925">
        <f t="shared" si="8"/>
        <v>5000000000</v>
      </c>
      <c r="I68" s="1925">
        <f t="shared" si="8"/>
        <v>5000000000</v>
      </c>
      <c r="J68" s="1925">
        <f t="shared" si="8"/>
        <v>5000000000</v>
      </c>
      <c r="K68" s="1925">
        <f t="shared" si="8"/>
        <v>5000000000</v>
      </c>
      <c r="L68" s="1925">
        <f>($E68*(L$65-K$65))+K68</f>
        <v>5000000000</v>
      </c>
      <c r="M68" s="1925">
        <f t="shared" si="8"/>
        <v>5000000000</v>
      </c>
      <c r="N68" s="2100">
        <f>(250*20*NAIRA2010_/Unit.MWh)</f>
        <v>5000000000</v>
      </c>
      <c r="O68" s="1416"/>
      <c r="P68" s="37"/>
    </row>
    <row r="69" spans="2:16" x14ac:dyDescent="0.2">
      <c r="B69" s="1377"/>
      <c r="C69" s="1377"/>
      <c r="D69" s="1416"/>
      <c r="E69" s="760"/>
      <c r="F69" s="1416"/>
      <c r="G69" s="1416"/>
      <c r="H69" s="1416"/>
      <c r="I69" s="1488"/>
      <c r="J69" s="1488"/>
      <c r="K69" s="1377"/>
      <c r="L69" s="1377"/>
      <c r="M69" s="1377"/>
      <c r="N69" s="1377"/>
      <c r="O69" s="1377"/>
      <c r="P69" s="37"/>
    </row>
    <row r="70" spans="2:16" x14ac:dyDescent="0.2">
      <c r="P70" s="37"/>
    </row>
    <row r="71" spans="2:16" ht="15.75" x14ac:dyDescent="0.25">
      <c r="B71" s="134" t="s">
        <v>279</v>
      </c>
      <c r="P71" s="37"/>
    </row>
    <row r="72" spans="2:16" x14ac:dyDescent="0.2">
      <c r="B72" s="1427">
        <v>1</v>
      </c>
      <c r="C72" s="1451" t="s">
        <v>862</v>
      </c>
      <c r="P72" s="37"/>
    </row>
    <row r="73" spans="2:16" x14ac:dyDescent="0.2">
      <c r="P73" s="37"/>
    </row>
    <row r="74" spans="2:16" x14ac:dyDescent="0.2">
      <c r="C74" s="1427" t="s">
        <v>580</v>
      </c>
      <c r="F74" s="1392">
        <v>2010</v>
      </c>
      <c r="G74" s="1392">
        <v>2015</v>
      </c>
      <c r="H74" s="1392">
        <v>2020</v>
      </c>
      <c r="I74" s="1392">
        <v>2025</v>
      </c>
      <c r="J74" s="1392">
        <v>2030</v>
      </c>
      <c r="K74" s="1392">
        <v>2035</v>
      </c>
      <c r="L74" s="1392">
        <v>2040</v>
      </c>
      <c r="M74" s="1392">
        <v>2045</v>
      </c>
      <c r="N74" s="1392">
        <v>2050</v>
      </c>
      <c r="P74" s="37"/>
    </row>
    <row r="75" spans="2:16" x14ac:dyDescent="0.2">
      <c r="B75" s="1426" t="s">
        <v>36</v>
      </c>
      <c r="C75" s="20" t="str">
        <f>INDEX(Vectors[Description], MATCH($B75, Vectors[Code], 0))</f>
        <v>Solid hydrocarbons</v>
      </c>
      <c r="E75" s="1426" t="str">
        <f>Preferences.EnergyUnits</f>
        <v>TWh</v>
      </c>
      <c r="F75" s="23">
        <f t="shared" ref="F75:N75" si="9">F30</f>
        <v>0</v>
      </c>
      <c r="G75" s="23">
        <f t="shared" si="9"/>
        <v>0</v>
      </c>
      <c r="H75" s="23">
        <f t="shared" si="9"/>
        <v>0</v>
      </c>
      <c r="I75" s="23">
        <f t="shared" si="9"/>
        <v>0</v>
      </c>
      <c r="J75" s="23">
        <f t="shared" si="9"/>
        <v>0</v>
      </c>
      <c r="K75" s="23">
        <f t="shared" si="9"/>
        <v>0</v>
      </c>
      <c r="L75" s="23">
        <f t="shared" si="9"/>
        <v>0</v>
      </c>
      <c r="M75" s="23">
        <f t="shared" si="9"/>
        <v>0</v>
      </c>
      <c r="N75" s="23">
        <f t="shared" si="9"/>
        <v>0</v>
      </c>
      <c r="P75" s="37"/>
    </row>
    <row r="76" spans="2:16" x14ac:dyDescent="0.2">
      <c r="B76" s="1426" t="s">
        <v>38</v>
      </c>
      <c r="C76" s="20" t="str">
        <f>INDEX(Vectors[Description], MATCH($B76, Vectors[Code], 0))</f>
        <v>Liquid hydrocarbons</v>
      </c>
      <c r="E76" s="1426" t="str">
        <f>Preferences.EnergyUnits</f>
        <v>TWh</v>
      </c>
      <c r="F76" s="23">
        <f t="shared" ref="F76:N76" si="10">F39</f>
        <v>0</v>
      </c>
      <c r="G76" s="23">
        <f t="shared" si="10"/>
        <v>0</v>
      </c>
      <c r="H76" s="23">
        <f t="shared" si="10"/>
        <v>0</v>
      </c>
      <c r="I76" s="23">
        <f t="shared" si="10"/>
        <v>0</v>
      </c>
      <c r="J76" s="23">
        <f t="shared" si="10"/>
        <v>0</v>
      </c>
      <c r="K76" s="23">
        <f t="shared" si="10"/>
        <v>0</v>
      </c>
      <c r="L76" s="23">
        <f t="shared" si="10"/>
        <v>0</v>
      </c>
      <c r="M76" s="23">
        <f t="shared" si="10"/>
        <v>0</v>
      </c>
      <c r="N76" s="23">
        <f t="shared" si="10"/>
        <v>0</v>
      </c>
      <c r="P76" s="37"/>
    </row>
    <row r="77" spans="2:16" x14ac:dyDescent="0.2">
      <c r="B77" s="1426"/>
      <c r="C77" s="20"/>
      <c r="E77" s="1426"/>
      <c r="F77" s="23"/>
      <c r="G77" s="23"/>
      <c r="H77" s="23"/>
      <c r="I77" s="23"/>
      <c r="J77" s="23"/>
      <c r="K77" s="23"/>
      <c r="L77" s="23"/>
      <c r="M77" s="23"/>
      <c r="N77" s="23"/>
      <c r="P77" s="37"/>
    </row>
    <row r="78" spans="2:16" x14ac:dyDescent="0.2">
      <c r="B78" s="1426"/>
      <c r="C78" s="1427" t="s">
        <v>1366</v>
      </c>
      <c r="E78" s="1426"/>
      <c r="F78" s="23"/>
      <c r="G78" s="23"/>
      <c r="H78" s="23"/>
      <c r="I78" s="23"/>
      <c r="J78" s="23"/>
      <c r="K78" s="23"/>
      <c r="L78" s="23"/>
      <c r="M78" s="23"/>
      <c r="N78" s="23"/>
      <c r="P78" s="37"/>
    </row>
    <row r="79" spans="2:16" x14ac:dyDescent="0.2">
      <c r="B79" s="1426" t="s">
        <v>36</v>
      </c>
      <c r="C79" s="20" t="str">
        <f>INDEX(Vectors[Description], MATCH($B79, Vectors[Code], 0))</f>
        <v>Solid hydrocarbons</v>
      </c>
      <c r="E79" s="1426" t="str">
        <f>Preferences.EnergyUnits</f>
        <v>TWh</v>
      </c>
      <c r="F79" s="23">
        <f t="shared" ref="F79:N79" ca="1" si="11">MIN(F75, -F15)</f>
        <v>0</v>
      </c>
      <c r="G79" s="23">
        <f t="shared" ca="1" si="11"/>
        <v>0</v>
      </c>
      <c r="H79" s="23">
        <f t="shared" ca="1" si="11"/>
        <v>0</v>
      </c>
      <c r="I79" s="23">
        <f t="shared" ca="1" si="11"/>
        <v>0</v>
      </c>
      <c r="J79" s="23">
        <f t="shared" ca="1" si="11"/>
        <v>0</v>
      </c>
      <c r="K79" s="23">
        <f t="shared" ca="1" si="11"/>
        <v>0</v>
      </c>
      <c r="L79" s="23">
        <f t="shared" ca="1" si="11"/>
        <v>0</v>
      </c>
      <c r="M79" s="23">
        <f t="shared" ca="1" si="11"/>
        <v>0</v>
      </c>
      <c r="N79" s="23">
        <f t="shared" ca="1" si="11"/>
        <v>0</v>
      </c>
      <c r="P79" s="37"/>
    </row>
    <row r="80" spans="2:16" x14ac:dyDescent="0.2">
      <c r="B80" s="1426" t="s">
        <v>38</v>
      </c>
      <c r="C80" s="20" t="str">
        <f>INDEX(Vectors[Description], MATCH($B80, Vectors[Code], 0))</f>
        <v>Liquid hydrocarbons</v>
      </c>
      <c r="E80" s="1426" t="str">
        <f>Preferences.EnergyUnits</f>
        <v>TWh</v>
      </c>
      <c r="F80" s="23">
        <f t="shared" ref="F80:N80" ca="1" si="12">MIN(F76, -F16)</f>
        <v>0</v>
      </c>
      <c r="G80" s="23">
        <f t="shared" ca="1" si="12"/>
        <v>0</v>
      </c>
      <c r="H80" s="23">
        <f t="shared" ca="1" si="12"/>
        <v>0</v>
      </c>
      <c r="I80" s="23">
        <f t="shared" ca="1" si="12"/>
        <v>0</v>
      </c>
      <c r="J80" s="23">
        <f t="shared" ca="1" si="12"/>
        <v>0</v>
      </c>
      <c r="K80" s="23">
        <f t="shared" ca="1" si="12"/>
        <v>0</v>
      </c>
      <c r="L80" s="23">
        <f t="shared" ca="1" si="12"/>
        <v>0</v>
      </c>
      <c r="M80" s="23">
        <f t="shared" ca="1" si="12"/>
        <v>0</v>
      </c>
      <c r="N80" s="23">
        <f t="shared" ca="1" si="12"/>
        <v>0</v>
      </c>
      <c r="P80" s="37"/>
    </row>
    <row r="81" spans="2:16" x14ac:dyDescent="0.2">
      <c r="B81" s="1426" t="s">
        <v>39</v>
      </c>
      <c r="C81" s="1451" t="s">
        <v>197</v>
      </c>
      <c r="E81" s="1426" t="str">
        <f>Preferences.EnergyUnits</f>
        <v>TWh</v>
      </c>
      <c r="F81" s="23">
        <f ca="1">MIN(0,-F17)</f>
        <v>0</v>
      </c>
      <c r="G81" s="23">
        <f t="shared" ref="G81:N81" ca="1" si="13">MIN(0,-G17)</f>
        <v>0</v>
      </c>
      <c r="H81" s="23">
        <f t="shared" ca="1" si="13"/>
        <v>0</v>
      </c>
      <c r="I81" s="23">
        <f t="shared" ca="1" si="13"/>
        <v>0</v>
      </c>
      <c r="J81" s="23">
        <f t="shared" ca="1" si="13"/>
        <v>0</v>
      </c>
      <c r="K81" s="23">
        <f t="shared" ca="1" si="13"/>
        <v>0</v>
      </c>
      <c r="L81" s="23">
        <f t="shared" ca="1" si="13"/>
        <v>0</v>
      </c>
      <c r="M81" s="23">
        <f t="shared" ca="1" si="13"/>
        <v>0</v>
      </c>
      <c r="N81" s="23">
        <f t="shared" ca="1" si="13"/>
        <v>0</v>
      </c>
      <c r="P81" s="37"/>
    </row>
    <row r="82" spans="2:16" s="2479" customFormat="1" x14ac:dyDescent="0.2">
      <c r="B82" s="1426" t="s">
        <v>2184</v>
      </c>
      <c r="C82" s="2479" t="s">
        <v>2185</v>
      </c>
      <c r="E82" s="1426" t="str">
        <f>Preferences.EnergyUnits</f>
        <v>TWh</v>
      </c>
      <c r="F82" s="23">
        <f ca="1">MIN(0,-F18)</f>
        <v>-875.52051462475561</v>
      </c>
      <c r="G82" s="23">
        <f t="shared" ref="G82:N82" ca="1" si="14">MIN(0,-G18)</f>
        <v>-1005.4684468053392</v>
      </c>
      <c r="H82" s="23">
        <f t="shared" ca="1" si="14"/>
        <v>-1146.8696111280037</v>
      </c>
      <c r="I82" s="23">
        <f t="shared" ca="1" si="14"/>
        <v>-1306.159365743837</v>
      </c>
      <c r="J82" s="23">
        <f t="shared" ca="1" si="14"/>
        <v>-1447.82190569574</v>
      </c>
      <c r="K82" s="23">
        <f t="shared" ca="1" si="14"/>
        <v>-1611.9071038293187</v>
      </c>
      <c r="L82" s="23">
        <f t="shared" ca="1" si="14"/>
        <v>-1778.8059555233544</v>
      </c>
      <c r="M82" s="23">
        <f t="shared" ca="1" si="14"/>
        <v>-1953.1582510273715</v>
      </c>
      <c r="N82" s="23">
        <f t="shared" ca="1" si="14"/>
        <v>-2117.6175972906126</v>
      </c>
      <c r="P82" s="37"/>
    </row>
    <row r="83" spans="2:16" x14ac:dyDescent="0.2">
      <c r="B83" s="1426"/>
      <c r="E83" s="1426"/>
      <c r="F83" s="23"/>
      <c r="G83" s="23"/>
      <c r="H83" s="23"/>
      <c r="I83" s="23"/>
      <c r="J83" s="23"/>
      <c r="K83" s="23"/>
      <c r="L83" s="23"/>
      <c r="M83" s="23"/>
      <c r="N83" s="23"/>
    </row>
    <row r="84" spans="2:16" x14ac:dyDescent="0.2">
      <c r="B84" s="1426"/>
      <c r="C84" s="1427" t="s">
        <v>2505</v>
      </c>
      <c r="E84" s="1426"/>
      <c r="F84" s="23"/>
      <c r="G84" s="23"/>
      <c r="H84" s="23"/>
      <c r="I84" s="23"/>
      <c r="J84" s="23"/>
      <c r="K84" s="23"/>
      <c r="L84" s="23"/>
      <c r="M84" s="23"/>
      <c r="N84" s="23"/>
    </row>
    <row r="85" spans="2:16" x14ac:dyDescent="0.2">
      <c r="B85" s="1426" t="s">
        <v>36</v>
      </c>
      <c r="C85" s="20" t="str">
        <f>INDEX(Vectors[Description], MATCH($B85, Vectors[Code], 0))</f>
        <v>Solid hydrocarbons</v>
      </c>
      <c r="E85" s="1426" t="str">
        <f>Preferences.EnergyUnits</f>
        <v>TWh</v>
      </c>
      <c r="F85" s="23">
        <f t="shared" ref="F85:N85" ca="1" si="15">IF((MIN(F79, -F15)&gt;0),MIN(F79, -F15),0)</f>
        <v>0</v>
      </c>
      <c r="G85" s="23">
        <f t="shared" ca="1" si="15"/>
        <v>0</v>
      </c>
      <c r="H85" s="23">
        <f t="shared" ca="1" si="15"/>
        <v>0</v>
      </c>
      <c r="I85" s="23">
        <f t="shared" ca="1" si="15"/>
        <v>0</v>
      </c>
      <c r="J85" s="23">
        <f t="shared" ca="1" si="15"/>
        <v>0</v>
      </c>
      <c r="K85" s="23">
        <f t="shared" ca="1" si="15"/>
        <v>0</v>
      </c>
      <c r="L85" s="23">
        <f t="shared" ca="1" si="15"/>
        <v>0</v>
      </c>
      <c r="M85" s="23">
        <f t="shared" ca="1" si="15"/>
        <v>0</v>
      </c>
      <c r="N85" s="23">
        <f t="shared" ca="1" si="15"/>
        <v>0</v>
      </c>
    </row>
    <row r="86" spans="2:16" x14ac:dyDescent="0.2">
      <c r="B86" s="1426" t="s">
        <v>38</v>
      </c>
      <c r="C86" s="20" t="str">
        <f>INDEX(Vectors[Description], MATCH($B86, Vectors[Code], 0))</f>
        <v>Liquid hydrocarbons</v>
      </c>
      <c r="E86" s="1426" t="str">
        <f>Preferences.EnergyUnits</f>
        <v>TWh</v>
      </c>
      <c r="F86" s="23">
        <f t="shared" ref="F86:N86" ca="1" si="16">IF((MIN(F80, -F16)&gt;0),MIN(F80, -F16),0)</f>
        <v>0</v>
      </c>
      <c r="G86" s="23">
        <f t="shared" ca="1" si="16"/>
        <v>0</v>
      </c>
      <c r="H86" s="23">
        <f t="shared" ca="1" si="16"/>
        <v>0</v>
      </c>
      <c r="I86" s="23">
        <f t="shared" ca="1" si="16"/>
        <v>0</v>
      </c>
      <c r="J86" s="23">
        <f t="shared" ca="1" si="16"/>
        <v>0</v>
      </c>
      <c r="K86" s="23">
        <f t="shared" ca="1" si="16"/>
        <v>0</v>
      </c>
      <c r="L86" s="23">
        <f t="shared" ca="1" si="16"/>
        <v>0</v>
      </c>
      <c r="M86" s="23">
        <f t="shared" ca="1" si="16"/>
        <v>0</v>
      </c>
      <c r="N86" s="23">
        <f t="shared" ca="1" si="16"/>
        <v>0</v>
      </c>
    </row>
    <row r="87" spans="2:16" x14ac:dyDescent="0.2">
      <c r="B87" s="1426" t="s">
        <v>39</v>
      </c>
      <c r="C87" s="1451" t="s">
        <v>197</v>
      </c>
      <c r="E87" s="1426" t="str">
        <f>Preferences.EnergyUnits</f>
        <v>TWh</v>
      </c>
      <c r="F87" s="23">
        <f ca="1">IF((MIN(F81, -F17)&gt;0),MIN(F81, -F17),0)</f>
        <v>0</v>
      </c>
      <c r="G87" s="23">
        <f t="shared" ref="G87:N87" ca="1" si="17">IF((MIN(G81, -G17)&gt;0),MIN(G81, -G17),0)</f>
        <v>0</v>
      </c>
      <c r="H87" s="23">
        <f t="shared" ca="1" si="17"/>
        <v>0</v>
      </c>
      <c r="I87" s="23">
        <f t="shared" ca="1" si="17"/>
        <v>0</v>
      </c>
      <c r="J87" s="23">
        <f t="shared" ca="1" si="17"/>
        <v>0</v>
      </c>
      <c r="K87" s="23">
        <f t="shared" ca="1" si="17"/>
        <v>0</v>
      </c>
      <c r="L87" s="23">
        <f t="shared" ca="1" si="17"/>
        <v>0</v>
      </c>
      <c r="M87" s="23">
        <f t="shared" ca="1" si="17"/>
        <v>0</v>
      </c>
      <c r="N87" s="23">
        <f t="shared" ca="1" si="17"/>
        <v>0</v>
      </c>
    </row>
    <row r="88" spans="2:16" s="2479" customFormat="1" x14ac:dyDescent="0.2">
      <c r="B88" s="1426" t="s">
        <v>2184</v>
      </c>
      <c r="C88" s="2479" t="s">
        <v>2185</v>
      </c>
      <c r="E88" s="1426" t="str">
        <f>Preferences.EnergyUnits</f>
        <v>TWh</v>
      </c>
      <c r="F88" s="23">
        <f ca="1">IF((MIN(F82, -F18)&gt;0),MIN(F82, -F18),0)</f>
        <v>0</v>
      </c>
      <c r="G88" s="23">
        <f t="shared" ref="G88:N88" ca="1" si="18">IF((MIN(G82, -G18)&gt;0),MIN(G82, -G18),0)</f>
        <v>0</v>
      </c>
      <c r="H88" s="23">
        <f t="shared" ca="1" si="18"/>
        <v>0</v>
      </c>
      <c r="I88" s="23">
        <f t="shared" ca="1" si="18"/>
        <v>0</v>
      </c>
      <c r="J88" s="23">
        <f t="shared" ca="1" si="18"/>
        <v>0</v>
      </c>
      <c r="K88" s="23">
        <f t="shared" ca="1" si="18"/>
        <v>0</v>
      </c>
      <c r="L88" s="23">
        <f t="shared" ca="1" si="18"/>
        <v>0</v>
      </c>
      <c r="M88" s="23">
        <f t="shared" ca="1" si="18"/>
        <v>0</v>
      </c>
      <c r="N88" s="23">
        <f t="shared" ca="1" si="18"/>
        <v>0</v>
      </c>
    </row>
    <row r="89" spans="2:16" x14ac:dyDescent="0.2">
      <c r="B89" s="1426"/>
      <c r="C89" s="20"/>
      <c r="F89" s="15"/>
      <c r="G89" s="15"/>
      <c r="H89" s="15"/>
      <c r="I89" s="15"/>
      <c r="J89" s="15"/>
      <c r="K89" s="15"/>
      <c r="L89" s="15"/>
      <c r="M89" s="15"/>
      <c r="N89" s="15"/>
    </row>
    <row r="90" spans="2:16" x14ac:dyDescent="0.2">
      <c r="B90" s="1451">
        <v>2</v>
      </c>
      <c r="C90" s="1427" t="s">
        <v>827</v>
      </c>
      <c r="E90" s="1426" t="s">
        <v>492</v>
      </c>
      <c r="F90" s="1428">
        <f t="array" aca="1" ref="F90" ca="1">SUM(F$85:F$86*SUMIFS(EF[CO2],EF[Vector], $B$85:$B$86))</f>
        <v>0</v>
      </c>
      <c r="G90" s="1428">
        <f t="array" aca="1" ref="G90" ca="1">SUM(G$85:G$86*SUMIFS(EF[CO2],EF[Vector], $B$85:$B$86))</f>
        <v>0</v>
      </c>
      <c r="H90" s="1428">
        <f t="array" aca="1" ref="H90" ca="1">SUM(H$85:H$86*SUMIFS(EF[CO2],EF[Vector], $B$85:$B$86))</f>
        <v>0</v>
      </c>
      <c r="I90" s="1428">
        <f t="array" aca="1" ref="I90" ca="1">SUM(I$85:I$86*SUMIFS(EF[CO2],EF[Vector], $B$85:$B$86))</f>
        <v>0</v>
      </c>
      <c r="J90" s="1428">
        <f t="array" aca="1" ref="J90" ca="1">SUM(J$85:J$86*SUMIFS(EF[CO2],EF[Vector], $B$85:$B$86))</f>
        <v>0</v>
      </c>
      <c r="K90" s="1428">
        <f t="array" aca="1" ref="K90" ca="1">SUM(K$85:K$86*SUMIFS(EF[CO2],EF[Vector], $B$85:$B$86))</f>
        <v>0</v>
      </c>
      <c r="L90" s="1428">
        <f t="array" aca="1" ref="L90" ca="1">SUM(L$85:L$86*SUMIFS(EF[CO2],EF[Vector], $B$85:$B$86))</f>
        <v>0</v>
      </c>
      <c r="M90" s="1428">
        <f t="array" aca="1" ref="M90" ca="1">SUM(M$85:M$86*SUMIFS(EF[CO2],EF[Vector], $B$85:$B$86))</f>
        <v>0</v>
      </c>
      <c r="N90" s="1428">
        <f t="array" aca="1" ref="N90" ca="1">SUM(N$85:N$86*SUMIFS(EF[CO2],EF[Vector], $B$85:$B$86))</f>
        <v>0</v>
      </c>
    </row>
    <row r="91" spans="2:16" x14ac:dyDescent="0.2">
      <c r="C91" s="1427"/>
      <c r="E91" s="1426"/>
      <c r="F91" s="1428"/>
      <c r="G91" s="1428"/>
      <c r="H91" s="1428"/>
      <c r="I91" s="1428"/>
      <c r="J91" s="1428"/>
      <c r="K91" s="1428"/>
      <c r="L91" s="1428"/>
      <c r="M91" s="1428"/>
      <c r="N91" s="1428"/>
    </row>
    <row r="92" spans="2:16" x14ac:dyDescent="0.2">
      <c r="C92" s="20" t="s">
        <v>1285</v>
      </c>
      <c r="E92" s="1426" t="str">
        <f>Preferences.AreaUnits</f>
        <v>km^2</v>
      </c>
      <c r="F92" s="166">
        <f t="shared" ref="F92:N92" ca="1" si="19">SUM(F79:F82)*Conversion.to.average.power/$F$44</f>
        <v>-166461.42570247839</v>
      </c>
      <c r="G92" s="166">
        <f t="shared" ca="1" si="19"/>
        <v>-191168.23461961726</v>
      </c>
      <c r="H92" s="166">
        <f t="shared" ca="1" si="19"/>
        <v>-218052.62969199242</v>
      </c>
      <c r="I92" s="166">
        <f t="shared" ca="1" si="19"/>
        <v>-248338.15608484231</v>
      </c>
      <c r="J92" s="166">
        <f t="shared" ca="1" si="19"/>
        <v>-275272.24612056802</v>
      </c>
      <c r="K92" s="166">
        <f t="shared" ca="1" si="19"/>
        <v>-306469.52312520309</v>
      </c>
      <c r="L92" s="166">
        <f t="shared" ca="1" si="19"/>
        <v>-338201.75593645027</v>
      </c>
      <c r="M92" s="166">
        <f t="shared" ca="1" si="19"/>
        <v>-371351.10103950318</v>
      </c>
      <c r="N92" s="166">
        <f t="shared" ca="1" si="19"/>
        <v>-402619.51427686744</v>
      </c>
    </row>
    <row r="93" spans="2:16" x14ac:dyDescent="0.2">
      <c r="C93" s="20"/>
      <c r="E93" s="1426"/>
      <c r="F93" s="166"/>
      <c r="G93" s="166"/>
      <c r="H93" s="166"/>
      <c r="I93" s="166"/>
      <c r="J93" s="166"/>
      <c r="K93" s="166"/>
      <c r="L93" s="166"/>
      <c r="M93" s="166"/>
      <c r="N93" s="166"/>
    </row>
    <row r="94" spans="2:16" x14ac:dyDescent="0.2">
      <c r="B94" s="1427">
        <v>3</v>
      </c>
      <c r="C94" s="1427" t="s">
        <v>1424</v>
      </c>
      <c r="E94" s="1426"/>
    </row>
    <row r="95" spans="2:16" x14ac:dyDescent="0.2">
      <c r="B95" s="1427"/>
      <c r="E95" s="1426"/>
    </row>
    <row r="96" spans="2:16" x14ac:dyDescent="0.2">
      <c r="B96" s="1883" t="s">
        <v>1422</v>
      </c>
      <c r="C96" s="1883"/>
      <c r="D96" s="1883"/>
      <c r="E96" s="1883"/>
      <c r="F96" s="1262"/>
      <c r="G96" s="1262"/>
      <c r="H96" s="1262"/>
      <c r="I96" s="1262"/>
      <c r="J96" s="1262"/>
      <c r="K96" s="1262"/>
      <c r="L96" s="1262"/>
      <c r="M96" s="1262"/>
      <c r="N96" s="1262"/>
    </row>
    <row r="97" spans="1:16" x14ac:dyDescent="0.2">
      <c r="C97" s="1883" t="s">
        <v>1421</v>
      </c>
      <c r="D97" s="1883"/>
      <c r="E97" s="1883" t="str">
        <f>Preferences.moneyunits</f>
        <v>N</v>
      </c>
      <c r="F97" s="1262">
        <f t="shared" ref="F97:N97" ca="1" si="20">(F59*F85)+(F66*F86)</f>
        <v>0</v>
      </c>
      <c r="G97" s="1262">
        <f t="shared" ca="1" si="20"/>
        <v>0</v>
      </c>
      <c r="H97" s="1262">
        <f t="shared" ca="1" si="20"/>
        <v>0</v>
      </c>
      <c r="I97" s="1262">
        <f t="shared" ca="1" si="20"/>
        <v>0</v>
      </c>
      <c r="J97" s="1262">
        <f t="shared" ca="1" si="20"/>
        <v>0</v>
      </c>
      <c r="K97" s="1262">
        <f t="shared" ca="1" si="20"/>
        <v>0</v>
      </c>
      <c r="L97" s="1262">
        <f t="shared" ca="1" si="20"/>
        <v>0</v>
      </c>
      <c r="M97" s="1262">
        <f t="shared" ca="1" si="20"/>
        <v>0</v>
      </c>
      <c r="N97" s="1262">
        <f t="shared" ca="1" si="20"/>
        <v>0</v>
      </c>
    </row>
    <row r="99" spans="1:16" x14ac:dyDescent="0.2">
      <c r="B99" s="1883" t="s">
        <v>1874</v>
      </c>
      <c r="C99" s="1883"/>
      <c r="D99" s="1883"/>
      <c r="E99" s="1883"/>
      <c r="F99" s="1262"/>
      <c r="G99" s="1262"/>
      <c r="H99" s="1262"/>
      <c r="I99" s="1262"/>
      <c r="J99" s="1262"/>
      <c r="K99" s="1262"/>
      <c r="L99" s="1262"/>
      <c r="M99" s="1262"/>
      <c r="N99" s="1262"/>
    </row>
    <row r="100" spans="1:16" x14ac:dyDescent="0.2">
      <c r="B100" s="1883"/>
      <c r="C100" s="1883" t="s">
        <v>1421</v>
      </c>
      <c r="D100" s="1883"/>
      <c r="E100" s="1883" t="str">
        <f>Preferences.moneyunits</f>
        <v>N</v>
      </c>
      <c r="F100" s="1262">
        <f t="shared" ref="F100:N100" ca="1" si="21">(F60*F85)+(F67*F86)</f>
        <v>0</v>
      </c>
      <c r="G100" s="1262">
        <f t="shared" ca="1" si="21"/>
        <v>0</v>
      </c>
      <c r="H100" s="1262">
        <f t="shared" ca="1" si="21"/>
        <v>0</v>
      </c>
      <c r="I100" s="1262">
        <f t="shared" ca="1" si="21"/>
        <v>0</v>
      </c>
      <c r="J100" s="1262">
        <f t="shared" ca="1" si="21"/>
        <v>0</v>
      </c>
      <c r="K100" s="1262">
        <f t="shared" ca="1" si="21"/>
        <v>0</v>
      </c>
      <c r="L100" s="1262">
        <f t="shared" ca="1" si="21"/>
        <v>0</v>
      </c>
      <c r="M100" s="1262">
        <f t="shared" ca="1" si="21"/>
        <v>0</v>
      </c>
      <c r="N100" s="1262">
        <f t="shared" ca="1" si="21"/>
        <v>0</v>
      </c>
    </row>
    <row r="101" spans="1:16" ht="11.25" customHeight="1" x14ac:dyDescent="0.2"/>
    <row r="102" spans="1:16" x14ac:dyDescent="0.2">
      <c r="B102" s="1883" t="s">
        <v>1420</v>
      </c>
      <c r="C102" s="1883"/>
      <c r="D102" s="1883"/>
      <c r="E102" s="1883"/>
      <c r="F102" s="1262"/>
      <c r="G102" s="1262"/>
      <c r="H102" s="1262"/>
      <c r="I102" s="1262"/>
      <c r="J102" s="1262"/>
      <c r="K102" s="1262"/>
      <c r="L102" s="1262"/>
      <c r="M102" s="1262"/>
      <c r="N102" s="1262"/>
    </row>
    <row r="103" spans="1:16" x14ac:dyDescent="0.2">
      <c r="B103" s="1883"/>
      <c r="C103" s="1883" t="s">
        <v>1421</v>
      </c>
      <c r="D103" s="1883"/>
      <c r="E103" s="1883" t="str">
        <f>Preferences.moneyunits</f>
        <v>N</v>
      </c>
      <c r="F103" s="1262">
        <f t="shared" ref="F103:N103" ca="1" si="22">(F61*F85)+(F68*F86)</f>
        <v>0</v>
      </c>
      <c r="G103" s="1262">
        <f t="shared" ca="1" si="22"/>
        <v>0</v>
      </c>
      <c r="H103" s="1262">
        <f t="shared" ca="1" si="22"/>
        <v>0</v>
      </c>
      <c r="I103" s="1262">
        <f t="shared" ca="1" si="22"/>
        <v>0</v>
      </c>
      <c r="J103" s="1262">
        <f t="shared" ca="1" si="22"/>
        <v>0</v>
      </c>
      <c r="K103" s="1262">
        <f t="shared" ca="1" si="22"/>
        <v>0</v>
      </c>
      <c r="L103" s="1262">
        <f t="shared" ca="1" si="22"/>
        <v>0</v>
      </c>
      <c r="M103" s="1262">
        <f t="shared" ca="1" si="22"/>
        <v>0</v>
      </c>
      <c r="N103" s="1262">
        <f t="shared" ca="1" si="22"/>
        <v>0</v>
      </c>
    </row>
    <row r="104" spans="1:16" ht="22.5" x14ac:dyDescent="0.3">
      <c r="A104" s="1422"/>
      <c r="B104" s="1883"/>
    </row>
    <row r="105" spans="1:16" ht="15.75" x14ac:dyDescent="0.2">
      <c r="B105" s="468" t="s">
        <v>236</v>
      </c>
      <c r="C105" s="421"/>
      <c r="D105" s="421"/>
      <c r="E105" s="421"/>
      <c r="F105" s="421"/>
      <c r="G105" s="421"/>
      <c r="H105" s="421"/>
      <c r="I105" s="421"/>
      <c r="J105" s="421"/>
      <c r="K105" s="421"/>
      <c r="L105" s="421"/>
      <c r="M105" s="421"/>
      <c r="N105" s="421"/>
      <c r="O105" s="421"/>
      <c r="P105" s="423"/>
    </row>
    <row r="106" spans="1:16" x14ac:dyDescent="0.2">
      <c r="B106" s="410"/>
      <c r="C106" s="412"/>
      <c r="D106" s="412"/>
      <c r="E106" s="412"/>
      <c r="F106" s="412"/>
      <c r="G106" s="412"/>
      <c r="H106" s="412"/>
      <c r="I106" s="412"/>
      <c r="J106" s="412"/>
      <c r="K106" s="412"/>
      <c r="L106" s="412"/>
      <c r="M106" s="412"/>
      <c r="N106" s="412"/>
      <c r="O106" s="412"/>
      <c r="P106" s="414"/>
    </row>
    <row r="107" spans="1:16" x14ac:dyDescent="0.2">
      <c r="B107" s="410"/>
      <c r="C107" s="424" t="s">
        <v>277</v>
      </c>
      <c r="D107" s="412"/>
      <c r="E107" s="413"/>
      <c r="F107" s="412"/>
      <c r="G107" s="413"/>
      <c r="H107" s="412"/>
      <c r="I107" s="412"/>
      <c r="J107" s="412"/>
      <c r="K107" s="412"/>
      <c r="L107" s="412"/>
      <c r="M107" s="412"/>
      <c r="N107" s="413" t="str">
        <f>Preferences.EnergyUnits</f>
        <v>TWh</v>
      </c>
      <c r="P107" s="414"/>
    </row>
    <row r="108" spans="1:16" ht="4.5" customHeight="1" x14ac:dyDescent="0.2">
      <c r="B108" s="410"/>
      <c r="C108" s="412"/>
      <c r="D108" s="412"/>
      <c r="E108" s="412"/>
      <c r="F108" s="412"/>
      <c r="G108" s="412"/>
      <c r="H108" s="412"/>
      <c r="I108" s="412"/>
      <c r="J108" s="412"/>
      <c r="K108" s="412"/>
      <c r="L108" s="412"/>
      <c r="M108" s="412"/>
      <c r="N108" s="412"/>
      <c r="O108" s="412"/>
      <c r="P108" s="414"/>
    </row>
    <row r="109" spans="1:16" ht="15.75" x14ac:dyDescent="0.25">
      <c r="B109" s="415"/>
      <c r="C109" s="426" t="s">
        <v>64</v>
      </c>
      <c r="D109" s="426" t="s">
        <v>150</v>
      </c>
      <c r="E109" s="426" t="s">
        <v>172</v>
      </c>
      <c r="F109" s="426" t="s">
        <v>241</v>
      </c>
      <c r="G109" s="426" t="s">
        <v>268</v>
      </c>
      <c r="H109" s="426" t="s">
        <v>269</v>
      </c>
      <c r="I109" s="426" t="s">
        <v>270</v>
      </c>
      <c r="J109" s="426" t="s">
        <v>271</v>
      </c>
      <c r="K109" s="426" t="s">
        <v>272</v>
      </c>
      <c r="L109" s="426" t="s">
        <v>273</v>
      </c>
      <c r="M109" s="426" t="s">
        <v>274</v>
      </c>
      <c r="N109" s="426" t="s">
        <v>275</v>
      </c>
      <c r="O109" s="414"/>
    </row>
    <row r="110" spans="1:16" ht="15.75" x14ac:dyDescent="0.25">
      <c r="B110" s="415"/>
      <c r="C110" s="97" t="s">
        <v>36</v>
      </c>
      <c r="D110" s="97" t="str">
        <f>INDEX(Vectors[Description], MATCH(V.b.Outputs[Vector], Vectors[Code], 0))</f>
        <v>Solid hydrocarbons</v>
      </c>
      <c r="E110" s="97"/>
      <c r="F110" s="241">
        <f t="shared" ref="F110:N110" ca="1" si="23">F79</f>
        <v>0</v>
      </c>
      <c r="G110" s="241">
        <f t="shared" ca="1" si="23"/>
        <v>0</v>
      </c>
      <c r="H110" s="241">
        <f t="shared" ca="1" si="23"/>
        <v>0</v>
      </c>
      <c r="I110" s="241">
        <f t="shared" ca="1" si="23"/>
        <v>0</v>
      </c>
      <c r="J110" s="241">
        <f t="shared" ca="1" si="23"/>
        <v>0</v>
      </c>
      <c r="K110" s="241">
        <f t="shared" ca="1" si="23"/>
        <v>0</v>
      </c>
      <c r="L110" s="241">
        <f t="shared" ca="1" si="23"/>
        <v>0</v>
      </c>
      <c r="M110" s="241">
        <f t="shared" ca="1" si="23"/>
        <v>0</v>
      </c>
      <c r="N110" s="241">
        <f t="shared" ca="1" si="23"/>
        <v>0</v>
      </c>
      <c r="O110" s="414"/>
    </row>
    <row r="111" spans="1:16" ht="15.75" x14ac:dyDescent="0.25">
      <c r="B111" s="415"/>
      <c r="C111" s="97" t="s">
        <v>38</v>
      </c>
      <c r="D111" s="97" t="str">
        <f>INDEX(Vectors[Description], MATCH(V.b.Outputs[Vector], Vectors[Code], 0))</f>
        <v>Liquid hydrocarbons</v>
      </c>
      <c r="E111" s="97"/>
      <c r="F111" s="241">
        <f t="shared" ref="F111:N111" ca="1" si="24">F80</f>
        <v>0</v>
      </c>
      <c r="G111" s="241">
        <f t="shared" ca="1" si="24"/>
        <v>0</v>
      </c>
      <c r="H111" s="241">
        <f t="shared" ca="1" si="24"/>
        <v>0</v>
      </c>
      <c r="I111" s="241">
        <f t="shared" ca="1" si="24"/>
        <v>0</v>
      </c>
      <c r="J111" s="241">
        <f t="shared" ca="1" si="24"/>
        <v>0</v>
      </c>
      <c r="K111" s="241">
        <f t="shared" ca="1" si="24"/>
        <v>0</v>
      </c>
      <c r="L111" s="241">
        <f t="shared" ca="1" si="24"/>
        <v>0</v>
      </c>
      <c r="M111" s="241">
        <f t="shared" ca="1" si="24"/>
        <v>0</v>
      </c>
      <c r="N111" s="241">
        <f t="shared" ca="1" si="24"/>
        <v>0</v>
      </c>
      <c r="O111" s="414"/>
    </row>
    <row r="112" spans="1:16" ht="15.75" x14ac:dyDescent="0.25">
      <c r="B112" s="415"/>
      <c r="C112" s="97" t="s">
        <v>39</v>
      </c>
      <c r="D112" s="97" t="str">
        <f>INDEX(Vectors[Description], MATCH(V.b.Outputs[Vector], Vectors[Code], 0))</f>
        <v>Gaseous hydrocarbons</v>
      </c>
      <c r="E112" s="97"/>
      <c r="F112" s="241">
        <f t="shared" ref="F112:N113" ca="1" si="25">F81</f>
        <v>0</v>
      </c>
      <c r="G112" s="241">
        <f t="shared" ca="1" si="25"/>
        <v>0</v>
      </c>
      <c r="H112" s="241">
        <f t="shared" ca="1" si="25"/>
        <v>0</v>
      </c>
      <c r="I112" s="241">
        <f t="shared" ca="1" si="25"/>
        <v>0</v>
      </c>
      <c r="J112" s="241">
        <f t="shared" ca="1" si="25"/>
        <v>0</v>
      </c>
      <c r="K112" s="241">
        <f t="shared" ca="1" si="25"/>
        <v>0</v>
      </c>
      <c r="L112" s="241">
        <f t="shared" ca="1" si="25"/>
        <v>0</v>
      </c>
      <c r="M112" s="241">
        <f t="shared" ca="1" si="25"/>
        <v>0</v>
      </c>
      <c r="N112" s="241">
        <f t="shared" ca="1" si="25"/>
        <v>0</v>
      </c>
      <c r="O112" s="414"/>
    </row>
    <row r="113" spans="1:16" s="2479" customFormat="1" ht="15.75" x14ac:dyDescent="0.25">
      <c r="B113" s="415"/>
      <c r="C113" s="97" t="s">
        <v>2184</v>
      </c>
      <c r="D113" s="97" t="str">
        <f>INDEX(Vectors[Description], MATCH(V.b.Outputs[Vector], Vectors[Code], 0))</f>
        <v>Traditional Fuel</v>
      </c>
      <c r="E113" s="97"/>
      <c r="F113" s="241">
        <f t="shared" ca="1" si="25"/>
        <v>-875.52051462475561</v>
      </c>
      <c r="G113" s="241">
        <f t="shared" ca="1" si="25"/>
        <v>-1005.4684468053392</v>
      </c>
      <c r="H113" s="241">
        <f t="shared" ca="1" si="25"/>
        <v>-1146.8696111280037</v>
      </c>
      <c r="I113" s="241">
        <f t="shared" ca="1" si="25"/>
        <v>-1306.159365743837</v>
      </c>
      <c r="J113" s="241">
        <f t="shared" ca="1" si="25"/>
        <v>-1447.82190569574</v>
      </c>
      <c r="K113" s="241">
        <f t="shared" ca="1" si="25"/>
        <v>-1611.9071038293187</v>
      </c>
      <c r="L113" s="241">
        <f t="shared" ca="1" si="25"/>
        <v>-1778.8059555233544</v>
      </c>
      <c r="M113" s="241">
        <f t="shared" ca="1" si="25"/>
        <v>-1953.1582510273715</v>
      </c>
      <c r="N113" s="241">
        <f t="shared" ca="1" si="25"/>
        <v>-2117.6175972906126</v>
      </c>
      <c r="O113" s="414"/>
    </row>
    <row r="114" spans="1:16" ht="13.5" customHeight="1" x14ac:dyDescent="0.25">
      <c r="B114" s="415"/>
      <c r="C114" s="97" t="s">
        <v>46</v>
      </c>
      <c r="D114" s="97" t="str">
        <f>INDEX(Vectors[Description], MATCH(V.b.Outputs[Vector], Vectors[Code], 0))</f>
        <v>Biomass oversupply (imports)</v>
      </c>
      <c r="E114" s="97"/>
      <c r="F114" s="241">
        <f ca="1">-(F79+F80+F81+F82)</f>
        <v>875.52051462475561</v>
      </c>
      <c r="G114" s="241">
        <f t="shared" ref="G114:N114" ca="1" si="26">-(G79+G80+G81+G82)</f>
        <v>1005.4684468053392</v>
      </c>
      <c r="H114" s="241">
        <f t="shared" ca="1" si="26"/>
        <v>1146.8696111280037</v>
      </c>
      <c r="I114" s="241">
        <f t="shared" ca="1" si="26"/>
        <v>1306.159365743837</v>
      </c>
      <c r="J114" s="241">
        <f t="shared" ca="1" si="26"/>
        <v>1447.82190569574</v>
      </c>
      <c r="K114" s="241">
        <f t="shared" ca="1" si="26"/>
        <v>1611.9071038293187</v>
      </c>
      <c r="L114" s="241">
        <f t="shared" ca="1" si="26"/>
        <v>1778.8059555233544</v>
      </c>
      <c r="M114" s="241">
        <f t="shared" ca="1" si="26"/>
        <v>1953.1582510273715</v>
      </c>
      <c r="N114" s="241">
        <f t="shared" ca="1" si="26"/>
        <v>2117.6175972906126</v>
      </c>
      <c r="O114" s="414"/>
    </row>
    <row r="115" spans="1:16" ht="15.75" x14ac:dyDescent="0.25">
      <c r="B115" s="415"/>
      <c r="C115" s="97" t="s">
        <v>105</v>
      </c>
      <c r="D115" s="97"/>
      <c r="E115" s="97"/>
      <c r="F115" s="2697">
        <f ca="1">SUBTOTAL(109,V.b.Outputs[2010])</f>
        <v>0</v>
      </c>
      <c r="G115" s="97">
        <f ca="1">SUBTOTAL(109,V.b.Outputs[2015])</f>
        <v>0</v>
      </c>
      <c r="H115" s="97">
        <f ca="1">SUBTOTAL(109,V.b.Outputs[2020])</f>
        <v>0</v>
      </c>
      <c r="I115" s="97">
        <f ca="1">SUBTOTAL(109,V.b.Outputs[2025])</f>
        <v>0</v>
      </c>
      <c r="J115" s="97">
        <f ca="1">SUBTOTAL(109,V.b.Outputs[2030])</f>
        <v>0</v>
      </c>
      <c r="K115" s="97">
        <f ca="1">SUBTOTAL(109,V.b.Outputs[2035])</f>
        <v>0</v>
      </c>
      <c r="L115" s="97">
        <f ca="1">SUBTOTAL(109,V.b.Outputs[2040])</f>
        <v>0</v>
      </c>
      <c r="M115" s="97">
        <f ca="1">SUBTOTAL(109,V.b.Outputs[2045])</f>
        <v>0</v>
      </c>
      <c r="N115" s="97">
        <f ca="1">SUBTOTAL(109,V.b.Outputs[2050])</f>
        <v>0</v>
      </c>
      <c r="O115" s="414"/>
    </row>
    <row r="116" spans="1:16" ht="15.75" x14ac:dyDescent="0.25">
      <c r="B116" s="416"/>
      <c r="C116" s="417"/>
      <c r="D116" s="417"/>
      <c r="E116" s="417"/>
      <c r="F116" s="417"/>
      <c r="G116" s="417"/>
      <c r="H116" s="417"/>
      <c r="I116" s="417"/>
      <c r="J116" s="417"/>
      <c r="K116" s="417"/>
      <c r="L116" s="417"/>
      <c r="M116" s="417"/>
      <c r="N116" s="417"/>
      <c r="O116" s="417"/>
      <c r="P116" s="419"/>
    </row>
    <row r="118" spans="1:16" ht="15.75" x14ac:dyDescent="0.25">
      <c r="A118" s="3"/>
      <c r="B118" s="484" t="s">
        <v>361</v>
      </c>
      <c r="C118" s="436"/>
      <c r="D118" s="437"/>
      <c r="E118" s="437"/>
      <c r="F118" s="437"/>
      <c r="G118" s="437"/>
      <c r="H118" s="437"/>
      <c r="I118" s="437"/>
      <c r="J118" s="437"/>
      <c r="K118" s="437"/>
      <c r="L118" s="437"/>
      <c r="M118" s="437"/>
      <c r="N118" s="437"/>
      <c r="O118" s="437"/>
      <c r="P118" s="438"/>
    </row>
    <row r="119" spans="1:16" ht="15.75" x14ac:dyDescent="0.25">
      <c r="A119" s="3"/>
      <c r="B119" s="444"/>
      <c r="C119" s="445"/>
      <c r="D119" s="445"/>
      <c r="E119" s="445"/>
      <c r="F119" s="445"/>
      <c r="G119" s="445"/>
      <c r="H119" s="445"/>
      <c r="I119" s="445"/>
      <c r="J119" s="445"/>
      <c r="K119" s="445"/>
      <c r="L119" s="445"/>
      <c r="M119" s="445"/>
      <c r="N119" s="445"/>
      <c r="O119" s="445"/>
      <c r="P119" s="446"/>
    </row>
    <row r="120" spans="1:16" ht="21.75" customHeight="1" x14ac:dyDescent="0.25">
      <c r="A120" s="3"/>
      <c r="B120" s="447"/>
      <c r="C120" s="439" t="s">
        <v>491</v>
      </c>
      <c r="D120" s="440"/>
      <c r="E120" s="441"/>
      <c r="F120" s="440"/>
      <c r="G120" s="441"/>
      <c r="H120" s="440"/>
      <c r="I120" s="440"/>
      <c r="J120" s="440"/>
      <c r="K120" s="440"/>
      <c r="L120" s="440"/>
      <c r="M120" s="440"/>
      <c r="N120" s="441" t="s">
        <v>493</v>
      </c>
      <c r="P120" s="448"/>
    </row>
    <row r="121" spans="1:16" ht="3.75" customHeight="1" x14ac:dyDescent="0.25">
      <c r="A121" s="3"/>
      <c r="B121" s="447"/>
      <c r="C121" s="440"/>
      <c r="D121" s="440"/>
      <c r="E121" s="440"/>
      <c r="F121" s="440"/>
      <c r="G121" s="440"/>
      <c r="H121" s="440"/>
      <c r="I121" s="440"/>
      <c r="J121" s="440"/>
      <c r="K121" s="440"/>
      <c r="L121" s="440"/>
      <c r="M121" s="440"/>
      <c r="N121" s="440"/>
      <c r="O121" s="440"/>
      <c r="P121" s="448"/>
    </row>
    <row r="122" spans="1:16" ht="15.75" x14ac:dyDescent="0.25">
      <c r="A122" s="3"/>
      <c r="B122" s="449"/>
      <c r="C122" s="503" t="s">
        <v>490</v>
      </c>
      <c r="D122" s="503" t="s">
        <v>461</v>
      </c>
      <c r="E122" s="503" t="s">
        <v>172</v>
      </c>
      <c r="F122" s="503" t="s">
        <v>241</v>
      </c>
      <c r="G122" s="503" t="s">
        <v>268</v>
      </c>
      <c r="H122" s="503" t="s">
        <v>269</v>
      </c>
      <c r="I122" s="503" t="s">
        <v>270</v>
      </c>
      <c r="J122" s="503" t="s">
        <v>271</v>
      </c>
      <c r="K122" s="503" t="s">
        <v>272</v>
      </c>
      <c r="L122" s="503" t="s">
        <v>273</v>
      </c>
      <c r="M122" s="503" t="s">
        <v>274</v>
      </c>
      <c r="N122" s="503" t="s">
        <v>275</v>
      </c>
      <c r="O122" s="448"/>
    </row>
    <row r="123" spans="1:16" ht="16.5" customHeight="1" x14ac:dyDescent="0.25">
      <c r="A123" s="3"/>
      <c r="B123" s="449"/>
      <c r="C123" s="442" t="s">
        <v>473</v>
      </c>
      <c r="D123" s="501" t="s">
        <v>469</v>
      </c>
      <c r="E123" s="442" t="str">
        <f>INDEX(IPCC[Sector_description], MATCH(V.b.Emissions[IPCC Sector], IPCC[Sector_code], 0))</f>
        <v>Bioenergy credit</v>
      </c>
      <c r="F123" s="677">
        <f t="shared" ref="F123:N123" ca="1" si="27">-F90</f>
        <v>0</v>
      </c>
      <c r="G123" s="677">
        <f t="shared" ca="1" si="27"/>
        <v>0</v>
      </c>
      <c r="H123" s="677">
        <f t="shared" ca="1" si="27"/>
        <v>0</v>
      </c>
      <c r="I123" s="677">
        <f t="shared" ca="1" si="27"/>
        <v>0</v>
      </c>
      <c r="J123" s="677">
        <f t="shared" ca="1" si="27"/>
        <v>0</v>
      </c>
      <c r="K123" s="677">
        <f t="shared" ca="1" si="27"/>
        <v>0</v>
      </c>
      <c r="L123" s="677">
        <f t="shared" ca="1" si="27"/>
        <v>0</v>
      </c>
      <c r="M123" s="677">
        <f t="shared" ca="1" si="27"/>
        <v>0</v>
      </c>
      <c r="N123" s="677">
        <f t="shared" ca="1" si="27"/>
        <v>0</v>
      </c>
      <c r="O123" s="448"/>
    </row>
    <row r="124" spans="1:16" ht="15.75" x14ac:dyDescent="0.25">
      <c r="A124" s="3"/>
      <c r="B124" s="449"/>
      <c r="C124" s="443" t="s">
        <v>105</v>
      </c>
      <c r="D124" s="513"/>
      <c r="E124" s="443"/>
      <c r="F124" s="512">
        <f ca="1">SUBTOTAL(109,V.b.Emissions[2010])</f>
        <v>0</v>
      </c>
      <c r="G124" s="512">
        <f ca="1">SUBTOTAL(109,V.b.Emissions[2015])</f>
        <v>0</v>
      </c>
      <c r="H124" s="512">
        <f ca="1">SUBTOTAL(109,V.b.Emissions[2020])</f>
        <v>0</v>
      </c>
      <c r="I124" s="512">
        <f ca="1">SUBTOTAL(109,V.b.Emissions[2025])</f>
        <v>0</v>
      </c>
      <c r="J124" s="512">
        <f ca="1">SUBTOTAL(109,V.b.Emissions[2030])</f>
        <v>0</v>
      </c>
      <c r="K124" s="512">
        <f ca="1">SUBTOTAL(109,V.b.Emissions[2035])</f>
        <v>0</v>
      </c>
      <c r="L124" s="512">
        <f ca="1">SUBTOTAL(109,V.b.Emissions[2040])</f>
        <v>0</v>
      </c>
      <c r="M124" s="512">
        <f ca="1">SUBTOTAL(109,V.b.Emissions[2045])</f>
        <v>0</v>
      </c>
      <c r="N124" s="512">
        <f ca="1">SUBTOTAL(109,V.b.Emissions[2050])</f>
        <v>0</v>
      </c>
      <c r="O124" s="448"/>
    </row>
    <row r="125" spans="1:16" x14ac:dyDescent="0.2">
      <c r="B125" s="450"/>
      <c r="C125" s="451"/>
      <c r="D125" s="451"/>
      <c r="E125" s="451"/>
      <c r="F125" s="451"/>
      <c r="G125" s="451"/>
      <c r="H125" s="451"/>
      <c r="I125" s="451"/>
      <c r="J125" s="451"/>
      <c r="K125" s="451"/>
      <c r="L125" s="451"/>
      <c r="M125" s="451"/>
      <c r="N125" s="451"/>
      <c r="O125" s="451"/>
      <c r="P125" s="452"/>
    </row>
    <row r="126" spans="1:16" ht="22.5" x14ac:dyDescent="0.3">
      <c r="A126" s="1422"/>
    </row>
    <row r="127" spans="1:16" ht="15.75" x14ac:dyDescent="0.2">
      <c r="B127" s="1430" t="s">
        <v>1225</v>
      </c>
      <c r="C127" s="1218"/>
      <c r="D127" s="1431"/>
      <c r="E127" s="1431"/>
      <c r="F127" s="1431"/>
      <c r="G127" s="1431"/>
      <c r="H127" s="1431"/>
      <c r="I127" s="1431"/>
      <c r="J127" s="1431"/>
      <c r="K127" s="1431"/>
      <c r="L127" s="1431"/>
      <c r="M127" s="1431"/>
      <c r="N127" s="1431"/>
      <c r="O127" s="1431"/>
      <c r="P127" s="1432"/>
    </row>
    <row r="128" spans="1:16" x14ac:dyDescent="0.2">
      <c r="B128" s="1219"/>
      <c r="C128" s="1220"/>
      <c r="D128" s="1220"/>
      <c r="E128" s="1220"/>
      <c r="F128" s="1220"/>
      <c r="G128" s="1220"/>
      <c r="H128" s="1220"/>
      <c r="I128" s="1220"/>
      <c r="J128" s="1220"/>
      <c r="K128" s="1220"/>
      <c r="L128" s="1220"/>
      <c r="M128" s="1220"/>
      <c r="N128" s="1220"/>
      <c r="O128" s="1220"/>
      <c r="P128" s="1221"/>
    </row>
    <row r="129" spans="1:17" x14ac:dyDescent="0.2">
      <c r="B129" s="1433"/>
      <c r="C129" s="1222" t="s">
        <v>1230</v>
      </c>
      <c r="D129" s="1434"/>
      <c r="E129" s="1223"/>
      <c r="F129" s="1434"/>
      <c r="G129" s="1223"/>
      <c r="H129" s="1434"/>
      <c r="I129" s="1434"/>
      <c r="J129" s="1434"/>
      <c r="K129" s="1434"/>
      <c r="L129" s="1434"/>
      <c r="M129" s="1434"/>
      <c r="N129" s="1434"/>
      <c r="O129" s="1223"/>
      <c r="P129" s="1435"/>
    </row>
    <row r="130" spans="1:17" ht="4.5" customHeight="1" x14ac:dyDescent="0.2">
      <c r="B130" s="1433"/>
      <c r="C130" s="1434"/>
      <c r="D130" s="1434"/>
      <c r="E130" s="1434"/>
      <c r="F130" s="1434"/>
      <c r="G130" s="1434"/>
      <c r="H130" s="1434"/>
      <c r="I130" s="1434"/>
      <c r="J130" s="1434"/>
      <c r="K130" s="1434"/>
      <c r="L130" s="1434"/>
      <c r="M130" s="1434"/>
      <c r="N130" s="1434"/>
      <c r="O130" s="1434"/>
      <c r="P130" s="1435"/>
    </row>
    <row r="131" spans="1:17" ht="18" customHeight="1" x14ac:dyDescent="0.25">
      <c r="B131" s="1436"/>
      <c r="C131" s="1437" t="s">
        <v>64</v>
      </c>
      <c r="D131" s="1437" t="s">
        <v>1226</v>
      </c>
      <c r="E131" s="1437" t="s">
        <v>172</v>
      </c>
      <c r="F131" s="1437" t="s">
        <v>241</v>
      </c>
      <c r="G131" s="1437" t="s">
        <v>268</v>
      </c>
      <c r="H131" s="1437" t="s">
        <v>269</v>
      </c>
      <c r="I131" s="1437" t="s">
        <v>270</v>
      </c>
      <c r="J131" s="1437" t="s">
        <v>271</v>
      </c>
      <c r="K131" s="1437" t="s">
        <v>272</v>
      </c>
      <c r="L131" s="1437" t="s">
        <v>273</v>
      </c>
      <c r="M131" s="1437" t="s">
        <v>274</v>
      </c>
      <c r="N131" s="1437" t="s">
        <v>275</v>
      </c>
      <c r="O131" s="1435"/>
    </row>
    <row r="132" spans="1:17" ht="15.75" x14ac:dyDescent="0.25">
      <c r="B132" s="1436"/>
      <c r="C132" s="1438" t="s">
        <v>1293</v>
      </c>
      <c r="D132" s="1438" t="s">
        <v>1301</v>
      </c>
      <c r="E132" s="1439" t="str">
        <f>Preferences.AreaUnits</f>
        <v>km^2</v>
      </c>
      <c r="F132" s="1226">
        <f ca="1">-F92</f>
        <v>166461.42570247839</v>
      </c>
      <c r="G132" s="1226">
        <f t="shared" ref="G132:N132" ca="1" si="28">-G92</f>
        <v>191168.23461961726</v>
      </c>
      <c r="H132" s="1226">
        <f t="shared" ca="1" si="28"/>
        <v>218052.62969199242</v>
      </c>
      <c r="I132" s="1226">
        <f t="shared" ca="1" si="28"/>
        <v>248338.15608484231</v>
      </c>
      <c r="J132" s="1226">
        <f t="shared" ca="1" si="28"/>
        <v>275272.24612056802</v>
      </c>
      <c r="K132" s="1226">
        <f t="shared" ca="1" si="28"/>
        <v>306469.52312520309</v>
      </c>
      <c r="L132" s="1226">
        <f t="shared" ca="1" si="28"/>
        <v>338201.75593645027</v>
      </c>
      <c r="M132" s="1226">
        <f t="shared" ca="1" si="28"/>
        <v>371351.10103950318</v>
      </c>
      <c r="N132" s="1226">
        <f t="shared" ca="1" si="28"/>
        <v>402619.51427686744</v>
      </c>
      <c r="O132" s="1435"/>
    </row>
    <row r="133" spans="1:17" ht="15.75" x14ac:dyDescent="0.25">
      <c r="B133" s="1227"/>
      <c r="C133" s="1440"/>
      <c r="D133" s="1440"/>
      <c r="E133" s="1440"/>
      <c r="F133" s="1440"/>
      <c r="G133" s="1440"/>
      <c r="H133" s="1440"/>
      <c r="I133" s="1440"/>
      <c r="J133" s="1440"/>
      <c r="K133" s="1440"/>
      <c r="L133" s="1440"/>
      <c r="M133" s="1440"/>
      <c r="N133" s="1440"/>
      <c r="O133" s="1440"/>
      <c r="P133" s="1224"/>
    </row>
    <row r="135" spans="1:17" ht="15.75" x14ac:dyDescent="0.2">
      <c r="B135" s="1430" t="s">
        <v>1424</v>
      </c>
      <c r="C135" s="1431"/>
      <c r="D135" s="1431"/>
      <c r="E135" s="1431"/>
      <c r="F135" s="1431"/>
      <c r="G135" s="1431"/>
      <c r="H135" s="1431"/>
      <c r="I135" s="1431"/>
      <c r="J135" s="1431"/>
      <c r="K135" s="1431"/>
      <c r="L135" s="1431"/>
      <c r="M135" s="1431"/>
      <c r="N135" s="1431"/>
      <c r="O135" s="1431"/>
      <c r="P135" s="1432"/>
    </row>
    <row r="136" spans="1:17" x14ac:dyDescent="0.2">
      <c r="B136" s="1433"/>
      <c r="C136" s="1434"/>
      <c r="D136" s="1434"/>
      <c r="E136" s="1434"/>
      <c r="F136" s="1434"/>
      <c r="G136" s="1434"/>
      <c r="H136" s="1434"/>
      <c r="I136" s="1434"/>
      <c r="J136" s="1434"/>
      <c r="K136" s="1434"/>
      <c r="L136" s="1434"/>
      <c r="M136" s="1434"/>
      <c r="N136" s="1434"/>
      <c r="O136" s="1434"/>
      <c r="P136" s="1435"/>
    </row>
    <row r="137" spans="1:17" x14ac:dyDescent="0.2">
      <c r="B137" s="1433"/>
      <c r="C137" s="1441" t="s">
        <v>1425</v>
      </c>
      <c r="D137" s="1442"/>
      <c r="E137" s="1442"/>
      <c r="F137" s="1442"/>
      <c r="G137" s="1442"/>
      <c r="H137" s="1442"/>
      <c r="I137" s="1442"/>
      <c r="J137" s="1442"/>
      <c r="K137" s="1442"/>
      <c r="L137" s="1442"/>
      <c r="M137" s="1442"/>
      <c r="N137" s="1442"/>
      <c r="O137" s="1442"/>
      <c r="P137" s="1435"/>
    </row>
    <row r="138" spans="1:17" ht="6" customHeight="1" x14ac:dyDescent="0.2">
      <c r="B138" s="1433"/>
      <c r="C138" s="1434"/>
      <c r="D138" s="1434"/>
      <c r="E138" s="1434"/>
      <c r="F138" s="1434"/>
      <c r="G138" s="1434"/>
      <c r="H138" s="1434"/>
      <c r="I138" s="1434"/>
      <c r="J138" s="1434"/>
      <c r="K138" s="1434"/>
      <c r="L138" s="1434"/>
      <c r="M138" s="1434"/>
      <c r="N138" s="1434"/>
      <c r="O138" s="1434"/>
      <c r="P138" s="1435"/>
    </row>
    <row r="139" spans="1:17" ht="15.75" x14ac:dyDescent="0.25">
      <c r="B139" s="1436"/>
      <c r="C139" s="1437" t="s">
        <v>64</v>
      </c>
      <c r="D139" s="1437" t="s">
        <v>150</v>
      </c>
      <c r="E139" s="1437" t="s">
        <v>172</v>
      </c>
      <c r="F139" s="1437" t="s">
        <v>241</v>
      </c>
      <c r="G139" s="1437" t="s">
        <v>268</v>
      </c>
      <c r="H139" s="1437" t="s">
        <v>269</v>
      </c>
      <c r="I139" s="1437" t="s">
        <v>270</v>
      </c>
      <c r="J139" s="1437" t="s">
        <v>271</v>
      </c>
      <c r="K139" s="1437" t="s">
        <v>272</v>
      </c>
      <c r="L139" s="1437" t="s">
        <v>273</v>
      </c>
      <c r="M139" s="1437" t="s">
        <v>274</v>
      </c>
      <c r="N139" s="1437" t="s">
        <v>275</v>
      </c>
      <c r="O139" s="1443"/>
    </row>
    <row r="140" spans="1:17" s="1883" customFormat="1" ht="15.75" x14ac:dyDescent="0.25">
      <c r="B140" s="1436"/>
      <c r="C140" s="1438" t="s">
        <v>1395</v>
      </c>
      <c r="D140" s="1888" t="str">
        <f>INDEX(CostVectors[Description], MATCH(C140, CostVectors[Code], 0))</f>
        <v>High estimate of fuel costs</v>
      </c>
      <c r="E140" s="1393"/>
      <c r="F140" s="1394">
        <f t="shared" ref="F140:N140" ca="1" si="29">F97</f>
        <v>0</v>
      </c>
      <c r="G140" s="1394">
        <f t="shared" ca="1" si="29"/>
        <v>0</v>
      </c>
      <c r="H140" s="1394">
        <f t="shared" ca="1" si="29"/>
        <v>0</v>
      </c>
      <c r="I140" s="1394">
        <f t="shared" ca="1" si="29"/>
        <v>0</v>
      </c>
      <c r="J140" s="1394">
        <f t="shared" ca="1" si="29"/>
        <v>0</v>
      </c>
      <c r="K140" s="1394">
        <f t="shared" ca="1" si="29"/>
        <v>0</v>
      </c>
      <c r="L140" s="1394">
        <f t="shared" ca="1" si="29"/>
        <v>0</v>
      </c>
      <c r="M140" s="1394">
        <f t="shared" ca="1" si="29"/>
        <v>0</v>
      </c>
      <c r="N140" s="1394">
        <f t="shared" ca="1" si="29"/>
        <v>0</v>
      </c>
      <c r="O140" s="1443"/>
    </row>
    <row r="141" spans="1:17" ht="15.75" x14ac:dyDescent="0.25">
      <c r="B141" s="1436"/>
      <c r="C141" s="1438" t="s">
        <v>1869</v>
      </c>
      <c r="D141" s="1888" t="str">
        <f>INDEX(CostVectors[Description], MATCH(C141, CostVectors[Code], 0))</f>
        <v>Point estimate of fuel costs</v>
      </c>
      <c r="E141" s="1393"/>
      <c r="F141" s="1394">
        <f t="shared" ref="F141:N141" ca="1" si="30">F100</f>
        <v>0</v>
      </c>
      <c r="G141" s="1394">
        <f t="shared" ca="1" si="30"/>
        <v>0</v>
      </c>
      <c r="H141" s="1394">
        <f t="shared" ca="1" si="30"/>
        <v>0</v>
      </c>
      <c r="I141" s="1394">
        <f t="shared" ca="1" si="30"/>
        <v>0</v>
      </c>
      <c r="J141" s="1394">
        <f t="shared" ca="1" si="30"/>
        <v>0</v>
      </c>
      <c r="K141" s="1394">
        <f t="shared" ca="1" si="30"/>
        <v>0</v>
      </c>
      <c r="L141" s="1394">
        <f t="shared" ca="1" si="30"/>
        <v>0</v>
      </c>
      <c r="M141" s="1394">
        <f t="shared" ca="1" si="30"/>
        <v>0</v>
      </c>
      <c r="N141" s="1394">
        <f t="shared" ca="1" si="30"/>
        <v>0</v>
      </c>
      <c r="O141" s="1443"/>
    </row>
    <row r="142" spans="1:17" ht="14.25" x14ac:dyDescent="0.2">
      <c r="B142" s="1444"/>
      <c r="C142" s="1889" t="s">
        <v>1386</v>
      </c>
      <c r="D142" s="1890" t="str">
        <f>INDEX(CostVectors[Description], MATCH(C142, CostVectors[Code], 0))</f>
        <v>Low estimate of fuel costs</v>
      </c>
      <c r="E142" s="2233"/>
      <c r="F142" s="2234">
        <f t="shared" ref="F142:N142" ca="1" si="31">F103</f>
        <v>0</v>
      </c>
      <c r="G142" s="2234">
        <f t="shared" ca="1" si="31"/>
        <v>0</v>
      </c>
      <c r="H142" s="2234">
        <f t="shared" ca="1" si="31"/>
        <v>0</v>
      </c>
      <c r="I142" s="2234">
        <f t="shared" ca="1" si="31"/>
        <v>0</v>
      </c>
      <c r="J142" s="2234">
        <f t="shared" ca="1" si="31"/>
        <v>0</v>
      </c>
      <c r="K142" s="2234">
        <f t="shared" ca="1" si="31"/>
        <v>0</v>
      </c>
      <c r="L142" s="2234">
        <f t="shared" ca="1" si="31"/>
        <v>0</v>
      </c>
      <c r="M142" s="2234">
        <f t="shared" ca="1" si="31"/>
        <v>0</v>
      </c>
      <c r="N142" s="2234">
        <f t="shared" ca="1" si="31"/>
        <v>0</v>
      </c>
      <c r="O142" s="1443"/>
    </row>
    <row r="143" spans="1:17" ht="14.25" x14ac:dyDescent="0.2">
      <c r="B143" s="1444"/>
      <c r="C143" s="1438"/>
      <c r="D143" s="1888"/>
      <c r="E143" s="1439"/>
      <c r="F143" s="1448"/>
      <c r="G143" s="1448"/>
      <c r="H143" s="1448"/>
      <c r="I143" s="1448"/>
      <c r="J143" s="1448"/>
      <c r="K143" s="1448"/>
      <c r="L143" s="1448"/>
      <c r="M143" s="1448"/>
      <c r="N143" s="1448"/>
      <c r="O143" s="1445"/>
    </row>
    <row r="144" spans="1:17" x14ac:dyDescent="0.2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</row>
  </sheetData>
  <pageMargins left="0.7" right="0.7" top="0.75" bottom="0.75" header="0.3" footer="0.3"/>
  <pageSetup paperSize="9" orientation="portrait"/>
  <tableParts count="5">
    <tablePart r:id="rId1"/>
    <tablePart r:id="rId2"/>
    <tablePart r:id="rId3"/>
    <tablePart r:id="rId4"/>
    <tablePart r:id="rId5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>
    <tabColor theme="5" tint="0.39997558519241921"/>
    <pageSetUpPr autoPageBreaks="0"/>
  </sheetPr>
  <dimension ref="A1:BJ314"/>
  <sheetViews>
    <sheetView windowProtection="1" zoomScaleNormal="100" workbookViewId="0"/>
  </sheetViews>
  <sheetFormatPr defaultColWidth="9.140625" defaultRowHeight="12.75" outlineLevelCol="1" x14ac:dyDescent="0.2"/>
  <cols>
    <col min="1" max="1" width="2.140625" style="38" customWidth="1"/>
    <col min="2" max="2" width="4.42578125" customWidth="1"/>
    <col min="3" max="3" width="5.42578125" customWidth="1"/>
    <col min="4" max="4" width="28.140625" customWidth="1"/>
    <col min="5" max="5" width="10.28515625" customWidth="1"/>
    <col min="6" max="6" width="16" customWidth="1"/>
    <col min="7" max="7" width="10.28515625" style="2281" hidden="1" customWidth="1" outlineLevel="1"/>
    <col min="8" max="48" width="10.7109375" style="2281" hidden="1" customWidth="1" outlineLevel="1"/>
    <col min="49" max="49" width="17.42578125" style="2281" hidden="1" customWidth="1" outlineLevel="1"/>
    <col min="50" max="50" width="10.7109375" customWidth="1" collapsed="1"/>
    <col min="51" max="52" width="10" customWidth="1"/>
    <col min="53" max="54" width="10.42578125" customWidth="1"/>
    <col min="55" max="57" width="10.28515625" customWidth="1"/>
    <col min="58" max="60" width="11.28515625" customWidth="1"/>
    <col min="62" max="62" width="16.7109375" style="38" customWidth="1"/>
  </cols>
  <sheetData>
    <row r="1" spans="1:62" ht="6.75" customHeight="1" x14ac:dyDescent="0.2"/>
    <row r="2" spans="1:62" s="38" customFormat="1" ht="22.5" x14ac:dyDescent="0.3">
      <c r="A2" s="409"/>
      <c r="B2" s="468" t="s">
        <v>835</v>
      </c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  <c r="AA2" s="421"/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1"/>
      <c r="AP2" s="421"/>
      <c r="AQ2" s="421"/>
      <c r="AR2" s="421"/>
      <c r="AS2" s="421"/>
      <c r="AT2" s="421"/>
      <c r="AU2" s="421"/>
      <c r="AV2" s="421"/>
      <c r="AW2" s="421"/>
      <c r="AX2" s="421"/>
      <c r="AY2" s="421"/>
      <c r="AZ2" s="421"/>
      <c r="BA2" s="421"/>
      <c r="BB2" s="421"/>
      <c r="BC2" s="421"/>
      <c r="BD2" s="421"/>
      <c r="BE2" s="421"/>
      <c r="BF2" s="421"/>
      <c r="BG2" s="421"/>
      <c r="BH2" s="423"/>
    </row>
    <row r="3" spans="1:62" s="84" customFormat="1" ht="20.25" customHeight="1" x14ac:dyDescent="0.2">
      <c r="B3" s="410"/>
      <c r="C3" s="412"/>
      <c r="D3" s="412"/>
      <c r="E3" s="412"/>
      <c r="F3" s="412"/>
      <c r="G3" s="2285"/>
      <c r="H3" s="2285"/>
      <c r="I3" s="2285"/>
      <c r="J3" s="2285"/>
      <c r="K3" s="2285"/>
      <c r="L3" s="2285"/>
      <c r="M3" s="2285"/>
      <c r="N3" s="2285"/>
      <c r="O3" s="2285"/>
      <c r="P3" s="2285"/>
      <c r="Q3" s="2285"/>
      <c r="R3" s="2285"/>
      <c r="S3" s="2285"/>
      <c r="T3" s="2285"/>
      <c r="U3" s="2285"/>
      <c r="V3" s="2285"/>
      <c r="W3" s="2285"/>
      <c r="X3" s="2285"/>
      <c r="Y3" s="2285"/>
      <c r="Z3" s="2285"/>
      <c r="AA3" s="2285"/>
      <c r="AB3" s="2285"/>
      <c r="AC3" s="2285"/>
      <c r="AD3" s="2285"/>
      <c r="AE3" s="2285"/>
      <c r="AF3" s="2285"/>
      <c r="AG3" s="2285"/>
      <c r="AH3" s="2285"/>
      <c r="AI3" s="2285"/>
      <c r="AJ3" s="2285"/>
      <c r="AK3" s="2285"/>
      <c r="AL3" s="2285"/>
      <c r="AM3" s="2285"/>
      <c r="AN3" s="2285"/>
      <c r="AO3" s="2285"/>
      <c r="AP3" s="2285"/>
      <c r="AQ3" s="2285"/>
      <c r="AR3" s="2285"/>
      <c r="AS3" s="2285"/>
      <c r="AT3" s="2285"/>
      <c r="AU3" s="2285"/>
      <c r="AV3" s="2285"/>
      <c r="AW3" s="412"/>
      <c r="AX3" s="412" t="s">
        <v>2039</v>
      </c>
      <c r="AY3" s="412"/>
      <c r="AZ3" s="412"/>
      <c r="BA3" s="412"/>
      <c r="BB3" s="412"/>
      <c r="BC3" s="412"/>
      <c r="BD3" s="412"/>
      <c r="BE3" s="412"/>
      <c r="BF3" s="780"/>
      <c r="BG3" s="781"/>
      <c r="BH3" s="429"/>
    </row>
    <row r="4" spans="1:62" ht="20.25" customHeight="1" x14ac:dyDescent="0.2">
      <c r="B4" s="410"/>
      <c r="C4" s="412"/>
      <c r="D4" s="774" t="str">
        <f>Preferences.EnergyUnits &amp; " / year"</f>
        <v>TWh / year</v>
      </c>
      <c r="E4" s="412"/>
      <c r="F4" s="2283"/>
      <c r="G4" s="2286"/>
      <c r="H4" s="2286"/>
      <c r="I4" s="2286"/>
      <c r="J4" s="2286"/>
      <c r="K4" s="2286"/>
      <c r="L4" s="2286"/>
      <c r="M4" s="2286"/>
      <c r="N4" s="2286"/>
      <c r="O4" s="2286"/>
      <c r="P4" s="2286"/>
      <c r="Q4" s="2286"/>
      <c r="R4" s="2286"/>
      <c r="S4" s="2286"/>
      <c r="T4" s="2286"/>
      <c r="U4" s="2286"/>
      <c r="V4" s="2286"/>
      <c r="W4" s="2286"/>
      <c r="X4" s="2286"/>
      <c r="Y4" s="2286"/>
      <c r="Z4" s="2286"/>
      <c r="AA4" s="2286"/>
      <c r="AB4" s="2286"/>
      <c r="AC4" s="2286"/>
      <c r="AD4" s="2286"/>
      <c r="AE4" s="2286"/>
      <c r="AF4" s="2286"/>
      <c r="AG4" s="2286"/>
      <c r="AH4" s="2286"/>
      <c r="AI4" s="2286"/>
      <c r="AJ4" s="2286"/>
      <c r="AK4" s="2286"/>
      <c r="AL4" s="2286"/>
      <c r="AM4" s="2286"/>
      <c r="AN4" s="2286"/>
      <c r="AO4" s="2286"/>
      <c r="AP4" s="2286"/>
      <c r="AQ4" s="2286"/>
      <c r="AR4" s="2286"/>
      <c r="AS4" s="2286"/>
      <c r="AT4" s="2286"/>
      <c r="AU4" s="2286"/>
      <c r="AV4" s="2331"/>
      <c r="AW4" s="412"/>
      <c r="AX4" s="775">
        <v>2010</v>
      </c>
      <c r="AY4" s="775">
        <v>2015</v>
      </c>
      <c r="AZ4" s="775">
        <v>2020</v>
      </c>
      <c r="BA4" s="775">
        <v>2025</v>
      </c>
      <c r="BB4" s="775">
        <v>2030</v>
      </c>
      <c r="BC4" s="775">
        <v>2035</v>
      </c>
      <c r="BD4" s="775">
        <v>2040</v>
      </c>
      <c r="BE4" s="775">
        <v>2045</v>
      </c>
      <c r="BF4" s="775">
        <v>2050</v>
      </c>
      <c r="BG4" s="414"/>
      <c r="BH4" s="38"/>
      <c r="BJ4"/>
    </row>
    <row r="5" spans="1:62" s="38" customFormat="1" x14ac:dyDescent="0.2">
      <c r="B5" s="410"/>
      <c r="C5" s="412"/>
      <c r="D5" s="412"/>
      <c r="E5" s="412"/>
      <c r="F5" s="412"/>
      <c r="G5" s="2285"/>
      <c r="H5" s="2285"/>
      <c r="I5" s="2285"/>
      <c r="J5" s="2285"/>
      <c r="K5" s="2285"/>
      <c r="L5" s="2285"/>
      <c r="M5" s="2285"/>
      <c r="N5" s="2285"/>
      <c r="O5" s="2285"/>
      <c r="P5" s="2285"/>
      <c r="Q5" s="2285"/>
      <c r="R5" s="2285"/>
      <c r="S5" s="2285"/>
      <c r="T5" s="2285"/>
      <c r="U5" s="2285"/>
      <c r="V5" s="2285"/>
      <c r="W5" s="2285"/>
      <c r="X5" s="2285"/>
      <c r="Y5" s="2285"/>
      <c r="Z5" s="2285"/>
      <c r="AA5" s="2285"/>
      <c r="AB5" s="2285"/>
      <c r="AC5" s="2285"/>
      <c r="AD5" s="2285"/>
      <c r="AE5" s="2285"/>
      <c r="AF5" s="2285"/>
      <c r="AG5" s="2285"/>
      <c r="AH5" s="2285"/>
      <c r="AI5" s="2285"/>
      <c r="AJ5" s="2285"/>
      <c r="AK5" s="2285"/>
      <c r="AL5" s="2285"/>
      <c r="AM5" s="2285"/>
      <c r="AN5" s="2285"/>
      <c r="AO5" s="2285"/>
      <c r="AP5" s="2285"/>
      <c r="AQ5" s="2285"/>
      <c r="AR5" s="2285"/>
      <c r="AS5" s="2285"/>
      <c r="AT5" s="2285"/>
      <c r="AU5" s="2285"/>
      <c r="AV5" s="2285"/>
      <c r="AW5" s="412"/>
      <c r="AX5" s="412"/>
      <c r="AY5" s="412"/>
      <c r="AZ5" s="412"/>
      <c r="BA5" s="412"/>
      <c r="BB5" s="412"/>
      <c r="BC5" s="412"/>
      <c r="BD5" s="412"/>
      <c r="BE5" s="412"/>
      <c r="BF5" s="412"/>
      <c r="BG5" s="414"/>
    </row>
    <row r="6" spans="1:62" s="81" customFormat="1" x14ac:dyDescent="0.2">
      <c r="B6" s="782"/>
      <c r="C6" s="803" t="s">
        <v>836</v>
      </c>
      <c r="D6" s="783"/>
      <c r="E6" s="412"/>
      <c r="F6" s="784"/>
      <c r="G6" s="2287"/>
      <c r="H6" s="2287"/>
      <c r="I6" s="2287"/>
      <c r="J6" s="2287"/>
      <c r="K6" s="2287"/>
      <c r="L6" s="2287"/>
      <c r="M6" s="2287"/>
      <c r="N6" s="2287"/>
      <c r="O6" s="2287"/>
      <c r="P6" s="2287"/>
      <c r="Q6" s="2287"/>
      <c r="R6" s="2287"/>
      <c r="S6" s="2287"/>
      <c r="T6" s="2287"/>
      <c r="U6" s="2287"/>
      <c r="V6" s="2287"/>
      <c r="W6" s="2287"/>
      <c r="X6" s="2287"/>
      <c r="Y6" s="2287"/>
      <c r="Z6" s="2287"/>
      <c r="AA6" s="2287"/>
      <c r="AB6" s="2287"/>
      <c r="AC6" s="2287"/>
      <c r="AD6" s="2287"/>
      <c r="AE6" s="2287"/>
      <c r="AF6" s="2287"/>
      <c r="AG6" s="2287"/>
      <c r="AH6" s="2287"/>
      <c r="AI6" s="2287"/>
      <c r="AJ6" s="2287"/>
      <c r="AK6" s="2287"/>
      <c r="AL6" s="2287"/>
      <c r="AM6" s="2287"/>
      <c r="AN6" s="2287"/>
      <c r="AO6" s="2287"/>
      <c r="AP6" s="2287"/>
      <c r="AQ6" s="2287"/>
      <c r="AR6" s="2287"/>
      <c r="AS6" s="2287"/>
      <c r="AT6" s="2287"/>
      <c r="AU6" s="2287"/>
      <c r="AV6" s="2287"/>
      <c r="AW6" s="412"/>
      <c r="AX6" s="784"/>
      <c r="AY6" s="784"/>
      <c r="AZ6" s="784"/>
      <c r="BA6" s="784"/>
      <c r="BB6" s="784"/>
      <c r="BC6" s="784"/>
      <c r="BD6" s="784"/>
      <c r="BE6" s="784"/>
      <c r="BF6" s="784"/>
      <c r="BG6" s="785"/>
      <c r="BH6" s="367"/>
    </row>
    <row r="7" spans="1:62" s="81" customFormat="1" x14ac:dyDescent="0.2">
      <c r="B7" s="782"/>
      <c r="C7" s="783" t="s">
        <v>28</v>
      </c>
      <c r="D7" s="783" t="str">
        <f>INDEX(Vectors[Description], MATCH($C7, Vectors[Code], 0))</f>
        <v>Road transport</v>
      </c>
      <c r="E7" s="412"/>
      <c r="F7" s="784"/>
      <c r="G7" s="2287"/>
      <c r="H7" s="2287"/>
      <c r="I7" s="2287"/>
      <c r="J7" s="2287"/>
      <c r="K7" s="2287"/>
      <c r="L7" s="2287"/>
      <c r="M7" s="2287"/>
      <c r="N7" s="2287"/>
      <c r="O7" s="2287"/>
      <c r="P7" s="2287"/>
      <c r="Q7" s="2287"/>
      <c r="R7" s="2287"/>
      <c r="S7" s="2287"/>
      <c r="T7" s="2287"/>
      <c r="U7" s="2287"/>
      <c r="V7" s="2287"/>
      <c r="W7" s="2287"/>
      <c r="X7" s="2287"/>
      <c r="Y7" s="2287"/>
      <c r="Z7" s="2287"/>
      <c r="AA7" s="2287"/>
      <c r="AB7" s="2287"/>
      <c r="AC7" s="2287"/>
      <c r="AD7" s="2287"/>
      <c r="AE7" s="2287"/>
      <c r="AF7" s="2287"/>
      <c r="AG7" s="2287"/>
      <c r="AH7" s="2287"/>
      <c r="AI7" s="2287"/>
      <c r="AJ7" s="2287"/>
      <c r="AK7" s="2287"/>
      <c r="AL7" s="2287"/>
      <c r="AM7" s="2287"/>
      <c r="AN7" s="2287"/>
      <c r="AO7" s="2287"/>
      <c r="AP7" s="2287"/>
      <c r="AQ7" s="2287"/>
      <c r="AR7" s="2287"/>
      <c r="AS7" s="2287"/>
      <c r="AT7" s="2287"/>
      <c r="AU7" s="2287"/>
      <c r="AV7" s="2287"/>
      <c r="AW7" s="412"/>
      <c r="AX7" s="784">
        <f ca="1">INDEX(INDIRECT("'"&amp;AX$4&amp;"'!Year.NetBalance"), MATCH('Intermediate output'!$C7, INDIRECT("'"&amp;AX$4&amp;"'!Year.Vectors"), 0))</f>
        <v>102.3149280766313</v>
      </c>
      <c r="AY7" s="784">
        <f ca="1">INDEX(INDIRECT("'"&amp;AY$4&amp;"'!Year.NetBalance"), MATCH('Intermediate output'!$C7, INDIRECT("'"&amp;AY$4&amp;"'!Year.Vectors"), 0))</f>
        <v>98.573713532137731</v>
      </c>
      <c r="AZ7" s="784">
        <f ca="1">INDEX(INDIRECT("'"&amp;AZ$4&amp;"'!Year.NetBalance"), MATCH('Intermediate output'!$C7, INDIRECT("'"&amp;AZ$4&amp;"'!Year.Vectors"), 0))</f>
        <v>95.196935864243045</v>
      </c>
      <c r="BA7" s="784">
        <f ca="1">INDEX(INDIRECT("'"&amp;BA$4&amp;"'!Year.NetBalance"), MATCH('Intermediate output'!$C7, INDIRECT("'"&amp;BA$4&amp;"'!Year.Vectors"), 0))</f>
        <v>91.616521511184374</v>
      </c>
      <c r="BB7" s="784">
        <f ca="1">INDEX(INDIRECT("'"&amp;BB$4&amp;"'!Year.NetBalance"), MATCH('Intermediate output'!$C7, INDIRECT("'"&amp;BB$4&amp;"'!Year.Vectors"), 0))</f>
        <v>87.702870215268888</v>
      </c>
      <c r="BC7" s="784">
        <f ca="1">INDEX(INDIRECT("'"&amp;BC$4&amp;"'!Year.NetBalance"), MATCH('Intermediate output'!$C7, INDIRECT("'"&amp;BC$4&amp;"'!Year.Vectors"), 0))</f>
        <v>94.494594530868937</v>
      </c>
      <c r="BD7" s="784">
        <f ca="1">INDEX(INDIRECT("'"&amp;BD$4&amp;"'!Year.NetBalance"), MATCH('Intermediate output'!$C7, INDIRECT("'"&amp;BD$4&amp;"'!Year.Vectors"), 0))</f>
        <v>100.21442697127782</v>
      </c>
      <c r="BE7" s="784">
        <f ca="1">INDEX(INDIRECT("'"&amp;BE$4&amp;"'!Year.NetBalance"), MATCH('Intermediate output'!$C7, INDIRECT("'"&amp;BE$4&amp;"'!Year.Vectors"), 0))</f>
        <v>107.4464981999182</v>
      </c>
      <c r="BF7" s="784">
        <f ca="1">INDEX(INDIRECT("'"&amp;BF$4&amp;"'!Year.NetBalance"), MATCH('Intermediate output'!$C7, INDIRECT("'"&amp;BF$4&amp;"'!Year.Vectors"), 0))</f>
        <v>115.70828124472884</v>
      </c>
      <c r="BG7" s="785"/>
      <c r="BH7" s="367"/>
    </row>
    <row r="8" spans="1:62" s="81" customFormat="1" x14ac:dyDescent="0.2">
      <c r="B8" s="782"/>
      <c r="C8" s="783" t="s">
        <v>29</v>
      </c>
      <c r="D8" s="783" t="str">
        <f>INDEX(Vectors[Description], MATCH($C8, Vectors[Code], 0))</f>
        <v>Rail transport</v>
      </c>
      <c r="E8" s="412"/>
      <c r="F8" s="784"/>
      <c r="G8" s="2332"/>
      <c r="H8" s="2332"/>
      <c r="I8" s="2332"/>
      <c r="J8" s="2332"/>
      <c r="K8" s="2332"/>
      <c r="L8" s="2332"/>
      <c r="M8" s="2332"/>
      <c r="N8" s="2332"/>
      <c r="O8" s="2332"/>
      <c r="P8" s="2332"/>
      <c r="Q8" s="2332"/>
      <c r="R8" s="2332"/>
      <c r="S8" s="2332"/>
      <c r="T8" s="2332"/>
      <c r="U8" s="2332"/>
      <c r="V8" s="2332"/>
      <c r="W8" s="2332"/>
      <c r="X8" s="2332"/>
      <c r="Y8" s="2332"/>
      <c r="Z8" s="2332"/>
      <c r="AA8" s="2332"/>
      <c r="AB8" s="2332"/>
      <c r="AC8" s="2332"/>
      <c r="AD8" s="2332"/>
      <c r="AE8" s="2332"/>
      <c r="AF8" s="2332"/>
      <c r="AG8" s="2332"/>
      <c r="AH8" s="2332"/>
      <c r="AI8" s="2332"/>
      <c r="AJ8" s="2332"/>
      <c r="AK8" s="2332"/>
      <c r="AL8" s="2332"/>
      <c r="AM8" s="2332"/>
      <c r="AN8" s="2332"/>
      <c r="AO8" s="2287"/>
      <c r="AP8" s="2287"/>
      <c r="AQ8" s="2287"/>
      <c r="AR8" s="2287"/>
      <c r="AS8" s="2287"/>
      <c r="AT8" s="2287"/>
      <c r="AU8" s="2287"/>
      <c r="AV8" s="2333"/>
      <c r="AW8" s="412"/>
      <c r="AX8" s="784">
        <f ca="1">INDEX(INDIRECT("'"&amp;AX$4&amp;"'!Year.NetBalance"), MATCH('Intermediate output'!$C8, INDIRECT("'"&amp;AX$4&amp;"'!Year.Vectors"), 0))</f>
        <v>25.076957917110953</v>
      </c>
      <c r="AY8" s="784">
        <f ca="1">INDEX(INDIRECT("'"&amp;AY$4&amp;"'!Year.NetBalance"), MATCH('Intermediate output'!$C8, INDIRECT("'"&amp;AY$4&amp;"'!Year.Vectors"), 0))</f>
        <v>42.475937245436782</v>
      </c>
      <c r="AZ8" s="784">
        <f ca="1">INDEX(INDIRECT("'"&amp;AZ$4&amp;"'!Year.NetBalance"), MATCH('Intermediate output'!$C8, INDIRECT("'"&amp;AZ$4&amp;"'!Year.Vectors"), 0))</f>
        <v>49.917389989978602</v>
      </c>
      <c r="BA8" s="784">
        <f ca="1">INDEX(INDIRECT("'"&amp;BA$4&amp;"'!Year.NetBalance"), MATCH('Intermediate output'!$C8, INDIRECT("'"&amp;BA$4&amp;"'!Year.Vectors"), 0))</f>
        <v>55.17577889636857</v>
      </c>
      <c r="BB8" s="784">
        <f ca="1">INDEX(INDIRECT("'"&amp;BB$4&amp;"'!Year.NetBalance"), MATCH('Intermediate output'!$C8, INDIRECT("'"&amp;BB$4&amp;"'!Year.Vectors"), 0))</f>
        <v>59.254113213404999</v>
      </c>
      <c r="BC8" s="784">
        <f ca="1">INDEX(INDIRECT("'"&amp;BC$4&amp;"'!Year.NetBalance"), MATCH('Intermediate output'!$C8, INDIRECT("'"&amp;BC$4&amp;"'!Year.Vectors"), 0))</f>
        <v>62.417203676107818</v>
      </c>
      <c r="BD8" s="784">
        <f ca="1">INDEX(INDIRECT("'"&amp;BD$4&amp;"'!Year.NetBalance"), MATCH('Intermediate output'!$C8, INDIRECT("'"&amp;BD$4&amp;"'!Year.Vectors"), 0))</f>
        <v>63.419361714598281</v>
      </c>
      <c r="BE8" s="784">
        <f ca="1">INDEX(INDIRECT("'"&amp;BE$4&amp;"'!Year.NetBalance"), MATCH('Intermediate output'!$C8, INDIRECT("'"&amp;BE$4&amp;"'!Year.Vectors"), 0))</f>
        <v>63.640391829160592</v>
      </c>
      <c r="BF8" s="784">
        <f ca="1">INDEX(INDIRECT("'"&amp;BF$4&amp;"'!Year.NetBalance"), MATCH('Intermediate output'!$C8, INDIRECT("'"&amp;BF$4&amp;"'!Year.Vectors"), 0))</f>
        <v>63.15812022583664</v>
      </c>
      <c r="BG8" s="785"/>
      <c r="BH8" s="367"/>
    </row>
    <row r="9" spans="1:62" s="81" customFormat="1" x14ac:dyDescent="0.2">
      <c r="B9" s="782"/>
      <c r="C9" s="783" t="s">
        <v>30</v>
      </c>
      <c r="D9" s="783" t="str">
        <f>INDEX(Vectors[Description], MATCH($C9, Vectors[Code], 0))</f>
        <v>Domestic aviation</v>
      </c>
      <c r="E9" s="412"/>
      <c r="F9" s="784"/>
      <c r="G9" s="2287"/>
      <c r="H9" s="2287"/>
      <c r="I9" s="2287"/>
      <c r="J9" s="2287"/>
      <c r="K9" s="2287"/>
      <c r="L9" s="2287"/>
      <c r="M9" s="2287"/>
      <c r="N9" s="2287"/>
      <c r="O9" s="2287"/>
      <c r="P9" s="2287"/>
      <c r="Q9" s="2287"/>
      <c r="R9" s="2287"/>
      <c r="S9" s="2287"/>
      <c r="T9" s="2287"/>
      <c r="U9" s="2287"/>
      <c r="V9" s="2287"/>
      <c r="W9" s="2287"/>
      <c r="X9" s="2287"/>
      <c r="Y9" s="2287"/>
      <c r="Z9" s="2287"/>
      <c r="AA9" s="2287"/>
      <c r="AB9" s="2287"/>
      <c r="AC9" s="2287"/>
      <c r="AD9" s="2287"/>
      <c r="AE9" s="2287"/>
      <c r="AF9" s="2287"/>
      <c r="AG9" s="2287"/>
      <c r="AH9" s="2287"/>
      <c r="AI9" s="2287"/>
      <c r="AJ9" s="2287"/>
      <c r="AK9" s="2287"/>
      <c r="AL9" s="2287"/>
      <c r="AM9" s="2287"/>
      <c r="AN9" s="2287"/>
      <c r="AO9" s="2287"/>
      <c r="AP9" s="2287"/>
      <c r="AQ9" s="2287"/>
      <c r="AR9" s="2287"/>
      <c r="AS9" s="2287"/>
      <c r="AT9" s="2287"/>
      <c r="AU9" s="2287"/>
      <c r="AV9" s="2287"/>
      <c r="AW9" s="412"/>
      <c r="AX9" s="784">
        <f ca="1">INDEX(INDIRECT("'"&amp;AX$4&amp;"'!Year.NetBalance"), MATCH('Intermediate output'!$C9, INDIRECT("'"&amp;AX$4&amp;"'!Year.Vectors"), 0))</f>
        <v>0</v>
      </c>
      <c r="AY9" s="784">
        <f ca="1">INDEX(INDIRECT("'"&amp;AY$4&amp;"'!Year.NetBalance"), MATCH('Intermediate output'!$C9, INDIRECT("'"&amp;AY$4&amp;"'!Year.Vectors"), 0))</f>
        <v>0</v>
      </c>
      <c r="AZ9" s="784">
        <f ca="1">INDEX(INDIRECT("'"&amp;AZ$4&amp;"'!Year.NetBalance"), MATCH('Intermediate output'!$C9, INDIRECT("'"&amp;AZ$4&amp;"'!Year.Vectors"), 0))</f>
        <v>0</v>
      </c>
      <c r="BA9" s="784">
        <f ca="1">INDEX(INDIRECT("'"&amp;BA$4&amp;"'!Year.NetBalance"), MATCH('Intermediate output'!$C9, INDIRECT("'"&amp;BA$4&amp;"'!Year.Vectors"), 0))</f>
        <v>0</v>
      </c>
      <c r="BB9" s="784">
        <f ca="1">INDEX(INDIRECT("'"&amp;BB$4&amp;"'!Year.NetBalance"), MATCH('Intermediate output'!$C9, INDIRECT("'"&amp;BB$4&amp;"'!Year.Vectors"), 0))</f>
        <v>0</v>
      </c>
      <c r="BC9" s="784">
        <f ca="1">INDEX(INDIRECT("'"&amp;BC$4&amp;"'!Year.NetBalance"), MATCH('Intermediate output'!$C9, INDIRECT("'"&amp;BC$4&amp;"'!Year.Vectors"), 0))</f>
        <v>0</v>
      </c>
      <c r="BD9" s="784">
        <f ca="1">INDEX(INDIRECT("'"&amp;BD$4&amp;"'!Year.NetBalance"), MATCH('Intermediate output'!$C9, INDIRECT("'"&amp;BD$4&amp;"'!Year.Vectors"), 0))</f>
        <v>0</v>
      </c>
      <c r="BE9" s="784">
        <f ca="1">INDEX(INDIRECT("'"&amp;BE$4&amp;"'!Year.NetBalance"), MATCH('Intermediate output'!$C9, INDIRECT("'"&amp;BE$4&amp;"'!Year.Vectors"), 0))</f>
        <v>0</v>
      </c>
      <c r="BF9" s="784">
        <f ca="1">INDEX(INDIRECT("'"&amp;BF$4&amp;"'!Year.NetBalance"), MATCH('Intermediate output'!$C9, INDIRECT("'"&amp;BF$4&amp;"'!Year.Vectors"), 0))</f>
        <v>0</v>
      </c>
      <c r="BG9" s="785"/>
      <c r="BH9" s="367"/>
    </row>
    <row r="10" spans="1:62" s="81" customFormat="1" x14ac:dyDescent="0.2">
      <c r="B10" s="782"/>
      <c r="C10" s="783" t="s">
        <v>31</v>
      </c>
      <c r="D10" s="783" t="str">
        <f>INDEX(Vectors[Description], MATCH($C10, Vectors[Code], 0))</f>
        <v>Berge</v>
      </c>
      <c r="E10" s="412"/>
      <c r="F10" s="784"/>
      <c r="G10" s="2287"/>
      <c r="H10" s="2287"/>
      <c r="I10" s="2287"/>
      <c r="J10" s="2287"/>
      <c r="K10" s="2287"/>
      <c r="L10" s="2287"/>
      <c r="M10" s="2287"/>
      <c r="N10" s="2287"/>
      <c r="O10" s="2287"/>
      <c r="P10" s="2287"/>
      <c r="Q10" s="2287"/>
      <c r="R10" s="2287"/>
      <c r="S10" s="2287"/>
      <c r="T10" s="2287"/>
      <c r="U10" s="2287"/>
      <c r="V10" s="2287"/>
      <c r="W10" s="2287"/>
      <c r="X10" s="2287"/>
      <c r="Y10" s="2287"/>
      <c r="Z10" s="2287"/>
      <c r="AA10" s="2287"/>
      <c r="AB10" s="2287"/>
      <c r="AC10" s="2287"/>
      <c r="AD10" s="2287"/>
      <c r="AE10" s="2287"/>
      <c r="AF10" s="2287"/>
      <c r="AG10" s="2287"/>
      <c r="AH10" s="2287"/>
      <c r="AI10" s="2287"/>
      <c r="AJ10" s="2287"/>
      <c r="AK10" s="2287"/>
      <c r="AL10" s="2287"/>
      <c r="AM10" s="2287"/>
      <c r="AN10" s="2287"/>
      <c r="AO10" s="2287"/>
      <c r="AP10" s="2287"/>
      <c r="AQ10" s="2287"/>
      <c r="AR10" s="2287"/>
      <c r="AS10" s="2287"/>
      <c r="AT10" s="2287"/>
      <c r="AU10" s="2287"/>
      <c r="AV10" s="2287"/>
      <c r="AW10" s="412"/>
      <c r="AX10" s="784">
        <f ca="1">INDEX(INDIRECT("'"&amp;AX$4&amp;"'!Year.NetBalance"), MATCH('Intermediate output'!$C10, INDIRECT("'"&amp;AX$4&amp;"'!Year.Vectors"), 0))</f>
        <v>0</v>
      </c>
      <c r="AY10" s="784">
        <f ca="1">INDEX(INDIRECT("'"&amp;AY$4&amp;"'!Year.NetBalance"), MATCH('Intermediate output'!$C10, INDIRECT("'"&amp;AY$4&amp;"'!Year.Vectors"), 0))</f>
        <v>1.2059144801278183E-13</v>
      </c>
      <c r="AZ10" s="784">
        <f ca="1">INDEX(INDIRECT("'"&amp;AZ$4&amp;"'!Year.NetBalance"), MATCH('Intermediate output'!$C10, INDIRECT("'"&amp;AZ$4&amp;"'!Year.Vectors"), 0))</f>
        <v>2.4118289602556366E-13</v>
      </c>
      <c r="BA10" s="784">
        <f ca="1">INDEX(INDIRECT("'"&amp;BA$4&amp;"'!Year.NetBalance"), MATCH('Intermediate output'!$C10, INDIRECT("'"&amp;BA$4&amp;"'!Year.Vectors"), 0))</f>
        <v>3.6177434403834546E-13</v>
      </c>
      <c r="BB10" s="784">
        <f ca="1">INDEX(INDIRECT("'"&amp;BB$4&amp;"'!Year.NetBalance"), MATCH('Intermediate output'!$C10, INDIRECT("'"&amp;BB$4&amp;"'!Year.Vectors"), 0))</f>
        <v>4.8236579205112732E-13</v>
      </c>
      <c r="BC10" s="784">
        <f ca="1">INDEX(INDIRECT("'"&amp;BC$4&amp;"'!Year.NetBalance"), MATCH('Intermediate output'!$C10, INDIRECT("'"&amp;BC$4&amp;"'!Year.Vectors"), 0))</f>
        <v>6.0295724006390912E-13</v>
      </c>
      <c r="BD10" s="784">
        <f ca="1">INDEX(INDIRECT("'"&amp;BD$4&amp;"'!Year.NetBalance"), MATCH('Intermediate output'!$C10, INDIRECT("'"&amp;BD$4&amp;"'!Year.Vectors"), 0))</f>
        <v>7.2354868807669103E-13</v>
      </c>
      <c r="BE10" s="784">
        <f ca="1">INDEX(INDIRECT("'"&amp;BE$4&amp;"'!Year.NetBalance"), MATCH('Intermediate output'!$C10, INDIRECT("'"&amp;BE$4&amp;"'!Year.Vectors"), 0))</f>
        <v>8.4414013608947293E-13</v>
      </c>
      <c r="BF10" s="784">
        <f ca="1">INDEX(INDIRECT("'"&amp;BF$4&amp;"'!Year.NetBalance"), MATCH('Intermediate output'!$C10, INDIRECT("'"&amp;BF$4&amp;"'!Year.Vectors"), 0))</f>
        <v>9.6473158410225464E-13</v>
      </c>
      <c r="BG10" s="785"/>
      <c r="BH10" s="367"/>
    </row>
    <row r="11" spans="1:62" s="1411" customFormat="1" x14ac:dyDescent="0.2">
      <c r="B11" s="782"/>
      <c r="C11" s="783" t="s">
        <v>2336</v>
      </c>
      <c r="D11" s="783" t="str">
        <f>INDEX(Vectors[Description], MATCH($C11, Vectors[Code], 0))</f>
        <v>Pipeline</v>
      </c>
      <c r="E11" s="412"/>
      <c r="F11" s="784"/>
      <c r="G11" s="2287"/>
      <c r="H11" s="2287"/>
      <c r="I11" s="2287"/>
      <c r="J11" s="2287"/>
      <c r="K11" s="2287"/>
      <c r="L11" s="2287"/>
      <c r="M11" s="2287"/>
      <c r="N11" s="2287"/>
      <c r="O11" s="2287"/>
      <c r="P11" s="2287"/>
      <c r="Q11" s="2287"/>
      <c r="R11" s="2287"/>
      <c r="S11" s="2287"/>
      <c r="T11" s="2287"/>
      <c r="U11" s="2287"/>
      <c r="V11" s="2287"/>
      <c r="W11" s="2287"/>
      <c r="X11" s="2287"/>
      <c r="Y11" s="2287"/>
      <c r="Z11" s="2287"/>
      <c r="AA11" s="2287"/>
      <c r="AB11" s="2287"/>
      <c r="AC11" s="2287"/>
      <c r="AD11" s="2287"/>
      <c r="AE11" s="2287"/>
      <c r="AF11" s="2287"/>
      <c r="AG11" s="2287"/>
      <c r="AH11" s="2287"/>
      <c r="AI11" s="2287"/>
      <c r="AJ11" s="2287"/>
      <c r="AK11" s="2287"/>
      <c r="AL11" s="2287"/>
      <c r="AM11" s="2287"/>
      <c r="AN11" s="2287"/>
      <c r="AO11" s="2287"/>
      <c r="AP11" s="2287"/>
      <c r="AQ11" s="2287"/>
      <c r="AR11" s="2287"/>
      <c r="AS11" s="2287"/>
      <c r="AT11" s="2287"/>
      <c r="AU11" s="2287"/>
      <c r="AV11" s="2287"/>
      <c r="AW11" s="412"/>
      <c r="AX11" s="784">
        <f ca="1">INDEX(INDIRECT("'"&amp;AX$4&amp;"'!Year.NetBalance"), MATCH('Intermediate output'!$C11, INDIRECT("'"&amp;AX$4&amp;"'!Year.Vectors"), 0))</f>
        <v>1.0449356110119832</v>
      </c>
      <c r="AY11" s="784">
        <f ca="1">INDEX(INDIRECT("'"&amp;AY$4&amp;"'!Year.NetBalance"), MATCH('Intermediate output'!$C11, INDIRECT("'"&amp;AY$4&amp;"'!Year.Vectors"), 0))</f>
        <v>2.2204881734004642</v>
      </c>
      <c r="AZ11" s="784">
        <f ca="1">INDEX(INDIRECT("'"&amp;AZ$4&amp;"'!Year.NetBalance"), MATCH('Intermediate output'!$C11, INDIRECT("'"&amp;AZ$4&amp;"'!Year.Vectors"), 0))</f>
        <v>3.3960407357889455</v>
      </c>
      <c r="BA11" s="784">
        <f ca="1">INDEX(INDIRECT("'"&amp;BA$4&amp;"'!Year.NetBalance"), MATCH('Intermediate output'!$C11, INDIRECT("'"&amp;BA$4&amp;"'!Year.Vectors"), 0))</f>
        <v>4.5715932981774268</v>
      </c>
      <c r="BB11" s="784">
        <f ca="1">INDEX(INDIRECT("'"&amp;BB$4&amp;"'!Year.NetBalance"), MATCH('Intermediate output'!$C11, INDIRECT("'"&amp;BB$4&amp;"'!Year.Vectors"), 0))</f>
        <v>5.747145860565908</v>
      </c>
      <c r="BC11" s="784">
        <f ca="1">INDEX(INDIRECT("'"&amp;BC$4&amp;"'!Year.NetBalance"), MATCH('Intermediate output'!$C11, INDIRECT("'"&amp;BC$4&amp;"'!Year.Vectors"), 0))</f>
        <v>6.9226984229543893</v>
      </c>
      <c r="BD11" s="784">
        <f ca="1">INDEX(INDIRECT("'"&amp;BD$4&amp;"'!Year.NetBalance"), MATCH('Intermediate output'!$C11, INDIRECT("'"&amp;BD$4&amp;"'!Year.Vectors"), 0))</f>
        <v>8.0982509853428706</v>
      </c>
      <c r="BE11" s="784">
        <f ca="1">INDEX(INDIRECT("'"&amp;BE$4&amp;"'!Year.NetBalance"), MATCH('Intermediate output'!$C11, INDIRECT("'"&amp;BE$4&amp;"'!Year.Vectors"), 0))</f>
        <v>9.273803547731351</v>
      </c>
      <c r="BF11" s="784">
        <f ca="1">INDEX(INDIRECT("'"&amp;BF$4&amp;"'!Year.NetBalance"), MATCH('Intermediate output'!$C11, INDIRECT("'"&amp;BF$4&amp;"'!Year.Vectors"), 0))</f>
        <v>10.449356110119831</v>
      </c>
      <c r="BG11" s="785"/>
      <c r="BH11" s="367"/>
    </row>
    <row r="12" spans="1:62" s="38" customFormat="1" x14ac:dyDescent="0.2">
      <c r="B12" s="410"/>
      <c r="C12" s="412"/>
      <c r="D12" s="412" t="s">
        <v>125</v>
      </c>
      <c r="E12" s="412"/>
      <c r="F12" s="786"/>
      <c r="G12" s="2288"/>
      <c r="H12" s="2288"/>
      <c r="I12" s="2288"/>
      <c r="J12" s="2288"/>
      <c r="K12" s="2288"/>
      <c r="L12" s="2288"/>
      <c r="M12" s="2288"/>
      <c r="N12" s="2288"/>
      <c r="O12" s="2288"/>
      <c r="P12" s="2288"/>
      <c r="Q12" s="2288"/>
      <c r="R12" s="2288"/>
      <c r="S12" s="2288"/>
      <c r="T12" s="2288"/>
      <c r="U12" s="2288"/>
      <c r="V12" s="2288"/>
      <c r="W12" s="2288"/>
      <c r="X12" s="2288"/>
      <c r="Y12" s="2288"/>
      <c r="Z12" s="2288"/>
      <c r="AA12" s="2288"/>
      <c r="AB12" s="2288"/>
      <c r="AC12" s="2288"/>
      <c r="AD12" s="2288"/>
      <c r="AE12" s="2288"/>
      <c r="AF12" s="2288"/>
      <c r="AG12" s="2288"/>
      <c r="AH12" s="2288"/>
      <c r="AI12" s="2288"/>
      <c r="AJ12" s="2288"/>
      <c r="AK12" s="2288"/>
      <c r="AL12" s="2288"/>
      <c r="AM12" s="2288"/>
      <c r="AN12" s="2288"/>
      <c r="AO12" s="2288"/>
      <c r="AP12" s="2288"/>
      <c r="AQ12" s="2288"/>
      <c r="AR12" s="2288"/>
      <c r="AS12" s="2288"/>
      <c r="AT12" s="2288"/>
      <c r="AU12" s="2288"/>
      <c r="AV12" s="2287"/>
      <c r="AW12" s="412"/>
      <c r="AX12" s="786">
        <f ca="1">SUM(AX7:AX11)</f>
        <v>128.43682160475424</v>
      </c>
      <c r="AY12" s="786">
        <f t="shared" ref="AY12:BF12" ca="1" si="0">SUM(AY7:AY11)</f>
        <v>143.27013895097511</v>
      </c>
      <c r="AZ12" s="786">
        <f t="shared" ca="1" si="0"/>
        <v>148.51036659001082</v>
      </c>
      <c r="BA12" s="786">
        <f t="shared" ca="1" si="0"/>
        <v>151.36389370573073</v>
      </c>
      <c r="BB12" s="786">
        <f t="shared" ca="1" si="0"/>
        <v>152.70412928924026</v>
      </c>
      <c r="BC12" s="786">
        <f t="shared" ca="1" si="0"/>
        <v>163.83449662993175</v>
      </c>
      <c r="BD12" s="786">
        <f t="shared" ca="1" si="0"/>
        <v>171.73203967121967</v>
      </c>
      <c r="BE12" s="786">
        <f t="shared" ca="1" si="0"/>
        <v>180.360693576811</v>
      </c>
      <c r="BF12" s="786">
        <f t="shared" ca="1" si="0"/>
        <v>189.31575758068627</v>
      </c>
      <c r="BG12" s="787"/>
      <c r="BH12" s="23"/>
    </row>
    <row r="13" spans="1:62" x14ac:dyDescent="0.2">
      <c r="B13" s="410"/>
      <c r="C13" s="804" t="s">
        <v>9</v>
      </c>
      <c r="D13" s="412" t="str">
        <f>INDEX(Vectors[Description], MATCH($C13, Vectors[Code], 0))</f>
        <v>Industry</v>
      </c>
      <c r="E13" s="412"/>
      <c r="F13" s="786"/>
      <c r="G13" s="2288"/>
      <c r="H13" s="2288"/>
      <c r="I13" s="2288"/>
      <c r="J13" s="2288"/>
      <c r="K13" s="2288"/>
      <c r="L13" s="2288"/>
      <c r="M13" s="2288"/>
      <c r="N13" s="2288"/>
      <c r="O13" s="2288"/>
      <c r="P13" s="2288"/>
      <c r="Q13" s="2288"/>
      <c r="R13" s="2288"/>
      <c r="S13" s="2288"/>
      <c r="T13" s="2288"/>
      <c r="U13" s="2288"/>
      <c r="V13" s="2288"/>
      <c r="W13" s="2288"/>
      <c r="X13" s="2288"/>
      <c r="Y13" s="2288"/>
      <c r="Z13" s="2288"/>
      <c r="AA13" s="2288"/>
      <c r="AB13" s="2288"/>
      <c r="AC13" s="2288"/>
      <c r="AD13" s="2288"/>
      <c r="AE13" s="2288"/>
      <c r="AF13" s="2288"/>
      <c r="AG13" s="2288"/>
      <c r="AH13" s="2288"/>
      <c r="AI13" s="2288"/>
      <c r="AJ13" s="2288"/>
      <c r="AK13" s="2288"/>
      <c r="AL13" s="2288"/>
      <c r="AM13" s="2288"/>
      <c r="AN13" s="2288"/>
      <c r="AO13" s="2288"/>
      <c r="AP13" s="2288"/>
      <c r="AQ13" s="2288"/>
      <c r="AR13" s="2288"/>
      <c r="AS13" s="2288"/>
      <c r="AT13" s="2288"/>
      <c r="AU13" s="2288"/>
      <c r="AV13" s="2287"/>
      <c r="AW13" s="412"/>
      <c r="AX13" s="786">
        <f ca="1">INDEX(INDIRECT("'"&amp;AX$4&amp;"'!Year.NetBalance"), MATCH('Intermediate output'!$C13, INDIRECT("'"&amp;AX$4&amp;"'!Year.Vectors"), 0))</f>
        <v>419.34528169394542</v>
      </c>
      <c r="AY13" s="786">
        <f ca="1">INDEX(INDIRECT("'"&amp;AY$4&amp;"'!Year.NetBalance"), MATCH('Intermediate output'!$C13, INDIRECT("'"&amp;AY$4&amp;"'!Year.Vectors"), 0))</f>
        <v>394.98215312294013</v>
      </c>
      <c r="AZ13" s="786">
        <f ca="1">INDEX(INDIRECT("'"&amp;AZ$4&amp;"'!Year.NetBalance"), MATCH('Intermediate output'!$C13, INDIRECT("'"&amp;AZ$4&amp;"'!Year.Vectors"), 0))</f>
        <v>370.71748563692677</v>
      </c>
      <c r="BA13" s="786">
        <f ca="1">INDEX(INDIRECT("'"&amp;BA$4&amp;"'!Year.NetBalance"), MATCH('Intermediate output'!$C13, INDIRECT("'"&amp;BA$4&amp;"'!Year.Vectors"), 0))</f>
        <v>349.58782518850057</v>
      </c>
      <c r="BB13" s="786">
        <f ca="1">INDEX(INDIRECT("'"&amp;BB$4&amp;"'!Year.NetBalance"), MATCH('Intermediate output'!$C13, INDIRECT("'"&amp;BB$4&amp;"'!Year.Vectors"), 0))</f>
        <v>328.36034930214595</v>
      </c>
      <c r="BC13" s="786">
        <f ca="1">INDEX(INDIRECT("'"&amp;BC$4&amp;"'!Year.NetBalance"), MATCH('Intermediate output'!$C13, INDIRECT("'"&amp;BC$4&amp;"'!Year.Vectors"), 0))</f>
        <v>309.99575906391863</v>
      </c>
      <c r="BD13" s="786">
        <f ca="1">INDEX(INDIRECT("'"&amp;BD$4&amp;"'!Year.NetBalance"), MATCH('Intermediate output'!$C13, INDIRECT("'"&amp;BD$4&amp;"'!Year.Vectors"), 0))</f>
        <v>294.87382567799034</v>
      </c>
      <c r="BE13" s="786">
        <f ca="1">INDEX(INDIRECT("'"&amp;BE$4&amp;"'!Year.NetBalance"), MATCH('Intermediate output'!$C13, INDIRECT("'"&amp;BE$4&amp;"'!Year.Vectors"), 0))</f>
        <v>283.43578325749672</v>
      </c>
      <c r="BF13" s="786">
        <f ca="1">INDEX(INDIRECT("'"&amp;BF$4&amp;"'!Year.NetBalance"), MATCH('Intermediate output'!$C13, INDIRECT("'"&amp;BF$4&amp;"'!Year.Vectors"), 0))</f>
        <v>276.1943057542378</v>
      </c>
      <c r="BG13" s="787"/>
      <c r="BH13" s="23"/>
      <c r="BJ13"/>
    </row>
    <row r="14" spans="1:62" x14ac:dyDescent="0.2">
      <c r="B14" s="410"/>
      <c r="C14" s="804" t="s">
        <v>5</v>
      </c>
      <c r="D14" s="412" t="str">
        <f>INDEX(Vectors[Description], MATCH($C14, Vectors[Code], 0))</f>
        <v>Cooling</v>
      </c>
      <c r="E14" s="412"/>
      <c r="F14" s="786"/>
      <c r="G14" s="2288"/>
      <c r="H14" s="2288"/>
      <c r="I14" s="2288"/>
      <c r="J14" s="2288"/>
      <c r="K14" s="2288"/>
      <c r="L14" s="2288"/>
      <c r="M14" s="2288"/>
      <c r="N14" s="2288"/>
      <c r="O14" s="2288"/>
      <c r="P14" s="2288"/>
      <c r="Q14" s="2288"/>
      <c r="R14" s="2288"/>
      <c r="S14" s="2288"/>
      <c r="T14" s="2288"/>
      <c r="U14" s="2288"/>
      <c r="V14" s="2288"/>
      <c r="W14" s="2288"/>
      <c r="X14" s="2288"/>
      <c r="Y14" s="2288"/>
      <c r="Z14" s="2288"/>
      <c r="AA14" s="2288"/>
      <c r="AB14" s="2288"/>
      <c r="AC14" s="2288"/>
      <c r="AD14" s="2288"/>
      <c r="AE14" s="2288"/>
      <c r="AF14" s="2288"/>
      <c r="AG14" s="2288"/>
      <c r="AH14" s="2288"/>
      <c r="AI14" s="2288"/>
      <c r="AJ14" s="2288"/>
      <c r="AK14" s="2288"/>
      <c r="AL14" s="2288"/>
      <c r="AM14" s="2288"/>
      <c r="AN14" s="2288"/>
      <c r="AO14" s="2288"/>
      <c r="AP14" s="2288"/>
      <c r="AQ14" s="2288"/>
      <c r="AR14" s="2288"/>
      <c r="AS14" s="2288"/>
      <c r="AT14" s="2288"/>
      <c r="AU14" s="2288"/>
      <c r="AV14" s="2287"/>
      <c r="AW14" s="412"/>
      <c r="AX14" s="786">
        <f ca="1">INDEX(INDIRECT("'"&amp;AX$4&amp;"'!Year.NetBalance"), MATCH('Intermediate output'!$C14, INDIRECT("'"&amp;AX$4&amp;"'!Year.Vectors"), 0))</f>
        <v>46.191013019682934</v>
      </c>
      <c r="AY14" s="786">
        <f ca="1">INDEX(INDIRECT("'"&amp;AY$4&amp;"'!Year.NetBalance"), MATCH('Intermediate output'!$C14, INDIRECT("'"&amp;AY$4&amp;"'!Year.Vectors"), 0))</f>
        <v>53.519847980518854</v>
      </c>
      <c r="AZ14" s="786">
        <f ca="1">INDEX(INDIRECT("'"&amp;AZ$4&amp;"'!Year.NetBalance"), MATCH('Intermediate output'!$C14, INDIRECT("'"&amp;AZ$4&amp;"'!Year.Vectors"), 0))</f>
        <v>65.109017777829635</v>
      </c>
      <c r="BA14" s="786">
        <f ca="1">INDEX(INDIRECT("'"&amp;BA$4&amp;"'!Year.NetBalance"), MATCH('Intermediate output'!$C14, INDIRECT("'"&amp;BA$4&amp;"'!Year.Vectors"), 0))</f>
        <v>77.828245025810716</v>
      </c>
      <c r="BB14" s="786">
        <f ca="1">INDEX(INDIRECT("'"&amp;BB$4&amp;"'!Year.NetBalance"), MATCH('Intermediate output'!$C14, INDIRECT("'"&amp;BB$4&amp;"'!Year.Vectors"), 0))</f>
        <v>89.131279635070655</v>
      </c>
      <c r="BC14" s="786">
        <f ca="1">INDEX(INDIRECT("'"&amp;BC$4&amp;"'!Year.NetBalance"), MATCH('Intermediate output'!$C14, INDIRECT("'"&amp;BC$4&amp;"'!Year.Vectors"), 0))</f>
        <v>104.15840897030208</v>
      </c>
      <c r="BD14" s="786">
        <f ca="1">INDEX(INDIRECT("'"&amp;BD$4&amp;"'!Year.NetBalance"), MATCH('Intermediate output'!$C14, INDIRECT("'"&amp;BD$4&amp;"'!Year.Vectors"), 0))</f>
        <v>114.82360568835084</v>
      </c>
      <c r="BE14" s="786">
        <f ca="1">INDEX(INDIRECT("'"&amp;BE$4&amp;"'!Year.NetBalance"), MATCH('Intermediate output'!$C14, INDIRECT("'"&amp;BE$4&amp;"'!Year.Vectors"), 0))</f>
        <v>125.64327023914129</v>
      </c>
      <c r="BF14" s="786">
        <f ca="1">INDEX(INDIRECT("'"&amp;BF$4&amp;"'!Year.NetBalance"), MATCH('Intermediate output'!$C14, INDIRECT("'"&amp;BF$4&amp;"'!Year.Vectors"), 0))</f>
        <v>136.57044448493946</v>
      </c>
      <c r="BG14" s="787"/>
      <c r="BH14" s="23"/>
      <c r="BJ14"/>
    </row>
    <row r="15" spans="1:62" x14ac:dyDescent="0.2">
      <c r="B15" s="410"/>
      <c r="C15" s="804" t="s">
        <v>44</v>
      </c>
      <c r="D15" s="412" t="str">
        <f>INDEX(Vectors[Description], MATCH($C15, Vectors[Code], 0))</f>
        <v>Lighting &amp; appliances</v>
      </c>
      <c r="E15" s="412"/>
      <c r="F15" s="786"/>
      <c r="G15" s="2288"/>
      <c r="H15" s="2288"/>
      <c r="I15" s="2288"/>
      <c r="J15" s="2288"/>
      <c r="K15" s="2288"/>
      <c r="L15" s="2288"/>
      <c r="M15" s="2288"/>
      <c r="N15" s="2288"/>
      <c r="O15" s="2288"/>
      <c r="P15" s="2288"/>
      <c r="Q15" s="2288"/>
      <c r="R15" s="2288"/>
      <c r="S15" s="2288"/>
      <c r="T15" s="2288"/>
      <c r="U15" s="2288"/>
      <c r="V15" s="2288"/>
      <c r="W15" s="2288"/>
      <c r="X15" s="2288"/>
      <c r="Y15" s="2288"/>
      <c r="Z15" s="2288"/>
      <c r="AA15" s="2288"/>
      <c r="AB15" s="2288"/>
      <c r="AC15" s="2288"/>
      <c r="AD15" s="2288"/>
      <c r="AE15" s="2288"/>
      <c r="AF15" s="2288"/>
      <c r="AG15" s="2288"/>
      <c r="AH15" s="2288"/>
      <c r="AI15" s="2288"/>
      <c r="AJ15" s="2288"/>
      <c r="AK15" s="2288"/>
      <c r="AL15" s="2288"/>
      <c r="AM15" s="2288"/>
      <c r="AN15" s="2288"/>
      <c r="AO15" s="2288"/>
      <c r="AP15" s="2288"/>
      <c r="AQ15" s="2288"/>
      <c r="AR15" s="2288"/>
      <c r="AS15" s="2288"/>
      <c r="AT15" s="2288"/>
      <c r="AU15" s="2288"/>
      <c r="AV15" s="2287"/>
      <c r="AW15" s="412"/>
      <c r="AX15" s="786">
        <f ca="1">INDEX(INDIRECT("'"&amp;AX$4&amp;"'!Year.NetBalance"), MATCH('Intermediate output'!$C15, INDIRECT("'"&amp;AX$4&amp;"'!Year.Vectors"), 0))</f>
        <v>31.295223413352669</v>
      </c>
      <c r="AY15" s="786">
        <f ca="1">INDEX(INDIRECT("'"&amp;AY$4&amp;"'!Year.NetBalance"), MATCH('Intermediate output'!$C15, INDIRECT("'"&amp;AY$4&amp;"'!Year.Vectors"), 0))</f>
        <v>36.686116203690624</v>
      </c>
      <c r="AZ15" s="786">
        <f ca="1">INDEX(INDIRECT("'"&amp;AZ$4&amp;"'!Year.NetBalance"), MATCH('Intermediate output'!$C15, INDIRECT("'"&amp;AZ$4&amp;"'!Year.Vectors"), 0))</f>
        <v>69.119383751249117</v>
      </c>
      <c r="BA15" s="786">
        <f ca="1">INDEX(INDIRECT("'"&amp;BA$4&amp;"'!Year.NetBalance"), MATCH('Intermediate output'!$C15, INDIRECT("'"&amp;BA$4&amp;"'!Year.Vectors"), 0))</f>
        <v>143.64019818412442</v>
      </c>
      <c r="BB15" s="786">
        <f ca="1">INDEX(INDIRECT("'"&amp;BB$4&amp;"'!Year.NetBalance"), MATCH('Intermediate output'!$C15, INDIRECT("'"&amp;BB$4&amp;"'!Year.Vectors"), 0))</f>
        <v>224.74473101896561</v>
      </c>
      <c r="BC15" s="786">
        <f ca="1">INDEX(INDIRECT("'"&amp;BC$4&amp;"'!Year.NetBalance"), MATCH('Intermediate output'!$C15, INDIRECT("'"&amp;BC$4&amp;"'!Year.Vectors"), 0))</f>
        <v>334.68229252873908</v>
      </c>
      <c r="BD15" s="786">
        <f ca="1">INDEX(INDIRECT("'"&amp;BD$4&amp;"'!Year.NetBalance"), MATCH('Intermediate output'!$C15, INDIRECT("'"&amp;BD$4&amp;"'!Year.Vectors"), 0))</f>
        <v>439.09796990378345</v>
      </c>
      <c r="BE15" s="786">
        <f ca="1">INDEX(INDIRECT("'"&amp;BE$4&amp;"'!Year.NetBalance"), MATCH('Intermediate output'!$C15, INDIRECT("'"&amp;BE$4&amp;"'!Year.Vectors"), 0))</f>
        <v>552.9641205990697</v>
      </c>
      <c r="BF15" s="786">
        <f ca="1">INDEX(INDIRECT("'"&amp;BF$4&amp;"'!Year.NetBalance"), MATCH('Intermediate output'!$C15, INDIRECT("'"&amp;BF$4&amp;"'!Year.Vectors"), 0))</f>
        <v>678.71617088874098</v>
      </c>
      <c r="BG15" s="787"/>
      <c r="BH15" s="23"/>
      <c r="BJ15"/>
    </row>
    <row r="16" spans="1:62" s="2479" customFormat="1" x14ac:dyDescent="0.2">
      <c r="B16" s="410"/>
      <c r="C16" s="804" t="s">
        <v>2205</v>
      </c>
      <c r="D16" s="412" t="str">
        <f>INDEX(Vectors[Description], MATCH($C16, Vectors[Code], 0))</f>
        <v>Cooking</v>
      </c>
      <c r="E16" s="412"/>
      <c r="F16" s="786"/>
      <c r="G16" s="2288"/>
      <c r="H16" s="2288"/>
      <c r="I16" s="2288"/>
      <c r="J16" s="2288"/>
      <c r="K16" s="2288"/>
      <c r="L16" s="2288"/>
      <c r="M16" s="2288"/>
      <c r="N16" s="2288"/>
      <c r="O16" s="2288"/>
      <c r="P16" s="2288"/>
      <c r="Q16" s="2288"/>
      <c r="R16" s="2288"/>
      <c r="S16" s="2288"/>
      <c r="T16" s="2288"/>
      <c r="U16" s="2288"/>
      <c r="V16" s="2288"/>
      <c r="W16" s="2288"/>
      <c r="X16" s="2288"/>
      <c r="Y16" s="2288"/>
      <c r="Z16" s="2288"/>
      <c r="AA16" s="2288"/>
      <c r="AB16" s="2288"/>
      <c r="AC16" s="2288"/>
      <c r="AD16" s="2288"/>
      <c r="AE16" s="2288"/>
      <c r="AF16" s="2288"/>
      <c r="AG16" s="2288"/>
      <c r="AH16" s="2288"/>
      <c r="AI16" s="2288"/>
      <c r="AJ16" s="2288"/>
      <c r="AK16" s="2288"/>
      <c r="AL16" s="2288"/>
      <c r="AM16" s="2288"/>
      <c r="AN16" s="2288"/>
      <c r="AO16" s="2288"/>
      <c r="AP16" s="2288"/>
      <c r="AQ16" s="2288"/>
      <c r="AR16" s="2288"/>
      <c r="AS16" s="2288"/>
      <c r="AT16" s="2288"/>
      <c r="AU16" s="2288"/>
      <c r="AV16" s="2287"/>
      <c r="AW16" s="412"/>
      <c r="AX16" s="786">
        <f ca="1">INDEX(INDIRECT("'"&amp;AX$4&amp;"'!Year.NetBalance"), MATCH('Intermediate output'!$C16, INDIRECT("'"&amp;AX$4&amp;"'!Year.Vectors"), 0))</f>
        <v>244.94029459261003</v>
      </c>
      <c r="AY16" s="786">
        <f ca="1">INDEX(INDIRECT("'"&amp;AY$4&amp;"'!Year.NetBalance"), MATCH('Intermediate output'!$C16, INDIRECT("'"&amp;AY$4&amp;"'!Year.Vectors"), 0))</f>
        <v>237.93519496128644</v>
      </c>
      <c r="AZ16" s="786">
        <f ca="1">INDEX(INDIRECT("'"&amp;AZ$4&amp;"'!Year.NetBalance"), MATCH('Intermediate output'!$C16, INDIRECT("'"&amp;AZ$4&amp;"'!Year.Vectors"), 0))</f>
        <v>249.1957189496236</v>
      </c>
      <c r="BA16" s="786">
        <f ca="1">INDEX(INDIRECT("'"&amp;BA$4&amp;"'!Year.NetBalance"), MATCH('Intermediate output'!$C16, INDIRECT("'"&amp;BA$4&amp;"'!Year.Vectors"), 0))</f>
        <v>257.93373420427446</v>
      </c>
      <c r="BB16" s="786">
        <f ca="1">INDEX(INDIRECT("'"&amp;BB$4&amp;"'!Year.NetBalance"), MATCH('Intermediate output'!$C16, INDIRECT("'"&amp;BB$4&amp;"'!Year.Vectors"), 0))</f>
        <v>253.21809995124116</v>
      </c>
      <c r="BC16" s="786">
        <f ca="1">INDEX(INDIRECT("'"&amp;BC$4&amp;"'!Year.NetBalance"), MATCH('Intermediate output'!$C16, INDIRECT("'"&amp;BC$4&amp;"'!Year.Vectors"), 0))</f>
        <v>253.51908831090404</v>
      </c>
      <c r="BD16" s="786">
        <f ca="1">INDEX(INDIRECT("'"&amp;BD$4&amp;"'!Year.NetBalance"), MATCH('Intermediate output'!$C16, INDIRECT("'"&amp;BD$4&amp;"'!Year.Vectors"), 0))</f>
        <v>232.49054882061384</v>
      </c>
      <c r="BE16" s="786">
        <f ca="1">INDEX(INDIRECT("'"&amp;BE$4&amp;"'!Year.NetBalance"), MATCH('Intermediate output'!$C16, INDIRECT("'"&amp;BE$4&amp;"'!Year.Vectors"), 0))</f>
        <v>204.16202861606214</v>
      </c>
      <c r="BF16" s="786">
        <f ca="1">INDEX(INDIRECT("'"&amp;BF$4&amp;"'!Year.NetBalance"), MATCH('Intermediate output'!$C16, INDIRECT("'"&amp;BF$4&amp;"'!Year.Vectors"), 0))</f>
        <v>167.26510658441217</v>
      </c>
      <c r="BG16" s="787"/>
      <c r="BH16" s="23"/>
    </row>
    <row r="17" spans="2:60" s="147" customFormat="1" ht="18" x14ac:dyDescent="0.2">
      <c r="B17" s="788"/>
      <c r="C17" s="805"/>
      <c r="D17" s="776" t="s">
        <v>105</v>
      </c>
      <c r="E17" s="412"/>
      <c r="F17" s="779"/>
      <c r="G17" s="2289"/>
      <c r="H17" s="2289"/>
      <c r="I17" s="2289"/>
      <c r="J17" s="2289"/>
      <c r="K17" s="2289"/>
      <c r="L17" s="2289"/>
      <c r="M17" s="2289"/>
      <c r="N17" s="2289"/>
      <c r="O17" s="2289"/>
      <c r="P17" s="2289"/>
      <c r="Q17" s="2289"/>
      <c r="R17" s="2289"/>
      <c r="S17" s="2289"/>
      <c r="T17" s="2289"/>
      <c r="U17" s="2289"/>
      <c r="V17" s="2289"/>
      <c r="W17" s="2289"/>
      <c r="X17" s="2289"/>
      <c r="Y17" s="2289"/>
      <c r="Z17" s="2289"/>
      <c r="AA17" s="2289"/>
      <c r="AB17" s="2289"/>
      <c r="AC17" s="2289"/>
      <c r="AD17" s="2289"/>
      <c r="AE17" s="2289"/>
      <c r="AF17" s="2289"/>
      <c r="AG17" s="2289"/>
      <c r="AH17" s="2289"/>
      <c r="AI17" s="2289"/>
      <c r="AJ17" s="2289"/>
      <c r="AK17" s="2289"/>
      <c r="AL17" s="2289"/>
      <c r="AM17" s="2289"/>
      <c r="AN17" s="2289"/>
      <c r="AO17" s="2289"/>
      <c r="AP17" s="2289"/>
      <c r="AQ17" s="2289"/>
      <c r="AR17" s="2289"/>
      <c r="AS17" s="2289"/>
      <c r="AT17" s="2289"/>
      <c r="AU17" s="2289"/>
      <c r="AV17" s="2289"/>
      <c r="AW17" s="412"/>
      <c r="AX17" s="777">
        <f ca="1">AX12+AX13+AX14+AX15+AX16</f>
        <v>870.20863432434533</v>
      </c>
      <c r="AY17" s="777">
        <f t="shared" ref="AY17:BF17" ca="1" si="1">AY12+AY13+AY14+AY15+AY16</f>
        <v>866.39345121941119</v>
      </c>
      <c r="AZ17" s="777">
        <f t="shared" ca="1" si="1"/>
        <v>902.65197270563988</v>
      </c>
      <c r="BA17" s="777">
        <f t="shared" ca="1" si="1"/>
        <v>980.35389630844088</v>
      </c>
      <c r="BB17" s="777">
        <f t="shared" ca="1" si="1"/>
        <v>1048.1585891966636</v>
      </c>
      <c r="BC17" s="777">
        <f t="shared" ca="1" si="1"/>
        <v>1166.1900455037955</v>
      </c>
      <c r="BD17" s="777">
        <f t="shared" ca="1" si="1"/>
        <v>1253.0179897619582</v>
      </c>
      <c r="BE17" s="777">
        <f t="shared" ca="1" si="1"/>
        <v>1346.5658962885807</v>
      </c>
      <c r="BF17" s="777">
        <f t="shared" ca="1" si="1"/>
        <v>1448.0617852930168</v>
      </c>
      <c r="BG17" s="789"/>
      <c r="BH17" s="152"/>
    </row>
    <row r="18" spans="2:60" s="82" customFormat="1" x14ac:dyDescent="0.2">
      <c r="B18" s="790"/>
      <c r="C18" s="806"/>
      <c r="D18" s="424"/>
      <c r="E18" s="412"/>
      <c r="F18" s="791"/>
      <c r="G18" s="2290"/>
      <c r="H18" s="2290"/>
      <c r="I18" s="2290"/>
      <c r="J18" s="2290"/>
      <c r="K18" s="2290"/>
      <c r="L18" s="2290"/>
      <c r="M18" s="2290"/>
      <c r="N18" s="2290"/>
      <c r="O18" s="2290"/>
      <c r="P18" s="2290"/>
      <c r="Q18" s="2290"/>
      <c r="R18" s="2290"/>
      <c r="S18" s="2290"/>
      <c r="T18" s="2290"/>
      <c r="U18" s="2290"/>
      <c r="V18" s="2290"/>
      <c r="W18" s="2290"/>
      <c r="X18" s="2290"/>
      <c r="Y18" s="2290"/>
      <c r="Z18" s="2290"/>
      <c r="AA18" s="2290"/>
      <c r="AB18" s="2290"/>
      <c r="AC18" s="2290"/>
      <c r="AD18" s="2290"/>
      <c r="AE18" s="2290"/>
      <c r="AF18" s="2290"/>
      <c r="AG18" s="2290"/>
      <c r="AH18" s="2290"/>
      <c r="AI18" s="2290"/>
      <c r="AJ18" s="2290"/>
      <c r="AK18" s="2290"/>
      <c r="AL18" s="2290"/>
      <c r="AM18" s="2290"/>
      <c r="AN18" s="2290"/>
      <c r="AO18" s="2290"/>
      <c r="AP18" s="2290"/>
      <c r="AQ18" s="2290"/>
      <c r="AR18" s="2290"/>
      <c r="AS18" s="2290"/>
      <c r="AT18" s="2290"/>
      <c r="AU18" s="2290"/>
      <c r="AV18" s="2290"/>
      <c r="AW18" s="412"/>
      <c r="AX18" s="791"/>
      <c r="AY18" s="791"/>
      <c r="AZ18" s="791"/>
      <c r="BA18" s="791"/>
      <c r="BB18" s="791"/>
      <c r="BC18" s="791"/>
      <c r="BD18" s="791"/>
      <c r="BE18" s="791"/>
      <c r="BF18" s="791"/>
      <c r="BG18" s="792"/>
      <c r="BH18" s="114"/>
    </row>
    <row r="19" spans="2:60" s="39" customFormat="1" x14ac:dyDescent="0.2">
      <c r="B19" s="793"/>
      <c r="C19" s="807"/>
      <c r="D19" s="794" t="s">
        <v>560</v>
      </c>
      <c r="E19" s="412"/>
      <c r="F19" s="795"/>
      <c r="G19" s="2291"/>
      <c r="H19" s="2291"/>
      <c r="I19" s="2291"/>
      <c r="J19" s="2291"/>
      <c r="K19" s="2291"/>
      <c r="L19" s="2291"/>
      <c r="M19" s="2291"/>
      <c r="N19" s="2291"/>
      <c r="O19" s="2291"/>
      <c r="P19" s="2291"/>
      <c r="Q19" s="2291"/>
      <c r="R19" s="2291"/>
      <c r="S19" s="2291"/>
      <c r="T19" s="2291"/>
      <c r="U19" s="2291"/>
      <c r="V19" s="2291"/>
      <c r="W19" s="2291"/>
      <c r="X19" s="2291"/>
      <c r="Y19" s="2291"/>
      <c r="Z19" s="2291"/>
      <c r="AA19" s="2291"/>
      <c r="AB19" s="2291"/>
      <c r="AC19" s="2291"/>
      <c r="AD19" s="2291"/>
      <c r="AE19" s="2291"/>
      <c r="AF19" s="2291"/>
      <c r="AG19" s="2291"/>
      <c r="AH19" s="2291"/>
      <c r="AI19" s="2291"/>
      <c r="AJ19" s="2291"/>
      <c r="AK19" s="2291"/>
      <c r="AL19" s="2291"/>
      <c r="AM19" s="2291"/>
      <c r="AN19" s="2291"/>
      <c r="AO19" s="2291"/>
      <c r="AP19" s="2291"/>
      <c r="AQ19" s="2291"/>
      <c r="AR19" s="2291"/>
      <c r="AS19" s="2291"/>
      <c r="AT19" s="2291"/>
      <c r="AU19" s="2291"/>
      <c r="AV19" s="2291"/>
      <c r="AW19" s="412"/>
      <c r="AX19" s="795">
        <f t="shared" ref="AX19:BF19" ca="1" si="2">MAX(0,AX$42-AX$17)</f>
        <v>343.80139344287215</v>
      </c>
      <c r="AY19" s="795">
        <f t="shared" ca="1" si="2"/>
        <v>413.07245285431941</v>
      </c>
      <c r="AZ19" s="795">
        <f t="shared" ca="1" si="2"/>
        <v>532.34385522823584</v>
      </c>
      <c r="BA19" s="795">
        <f t="shared" ca="1" si="2"/>
        <v>635.58497309643349</v>
      </c>
      <c r="BB19" s="795">
        <f t="shared" ca="1" si="2"/>
        <v>845.23843066441759</v>
      </c>
      <c r="BC19" s="795">
        <f t="shared" ca="1" si="2"/>
        <v>1133.0979513491641</v>
      </c>
      <c r="BD19" s="795">
        <f t="shared" ca="1" si="2"/>
        <v>1466.3282734776321</v>
      </c>
      <c r="BE19" s="795">
        <f t="shared" ca="1" si="2"/>
        <v>1827.8268459079929</v>
      </c>
      <c r="BF19" s="795">
        <f t="shared" ca="1" si="2"/>
        <v>2295.1601354191002</v>
      </c>
      <c r="BG19" s="796"/>
      <c r="BH19" s="366"/>
    </row>
    <row r="20" spans="2:60" s="38" customFormat="1" x14ac:dyDescent="0.2">
      <c r="B20" s="410"/>
      <c r="C20" s="804"/>
      <c r="D20" s="412"/>
      <c r="E20" s="412"/>
      <c r="F20" s="412"/>
      <c r="G20" s="2285"/>
      <c r="H20" s="2285"/>
      <c r="I20" s="2285"/>
      <c r="J20" s="2285"/>
      <c r="K20" s="2285"/>
      <c r="L20" s="2285"/>
      <c r="M20" s="2285"/>
      <c r="N20" s="2285"/>
      <c r="O20" s="2285"/>
      <c r="P20" s="2285"/>
      <c r="Q20" s="2285"/>
      <c r="R20" s="2285"/>
      <c r="S20" s="2285"/>
      <c r="T20" s="2285"/>
      <c r="U20" s="2285"/>
      <c r="V20" s="2285"/>
      <c r="W20" s="2285"/>
      <c r="X20" s="2285"/>
      <c r="Y20" s="2285"/>
      <c r="Z20" s="2285"/>
      <c r="AA20" s="2285"/>
      <c r="AB20" s="2285"/>
      <c r="AC20" s="2285"/>
      <c r="AD20" s="2285"/>
      <c r="AE20" s="2285"/>
      <c r="AF20" s="2285"/>
      <c r="AG20" s="2285"/>
      <c r="AH20" s="2285"/>
      <c r="AI20" s="2285"/>
      <c r="AJ20" s="2285"/>
      <c r="AK20" s="2285"/>
      <c r="AL20" s="2285"/>
      <c r="AM20" s="2285"/>
      <c r="AN20" s="2285"/>
      <c r="AO20" s="2285"/>
      <c r="AP20" s="2285"/>
      <c r="AQ20" s="2285"/>
      <c r="AR20" s="2285"/>
      <c r="AS20" s="2285"/>
      <c r="AT20" s="2285"/>
      <c r="AU20" s="2285"/>
      <c r="AV20" s="2285"/>
      <c r="AW20" s="412"/>
      <c r="AX20" s="786"/>
      <c r="AY20" s="786"/>
      <c r="AZ20" s="786"/>
      <c r="BA20" s="786"/>
      <c r="BB20" s="786"/>
      <c r="BC20" s="786"/>
      <c r="BD20" s="786"/>
      <c r="BE20" s="786"/>
      <c r="BF20" s="786"/>
      <c r="BG20" s="787"/>
      <c r="BH20" s="23"/>
    </row>
    <row r="21" spans="2:60" s="81" customFormat="1" x14ac:dyDescent="0.2">
      <c r="B21" s="782"/>
      <c r="C21" s="803" t="s">
        <v>673</v>
      </c>
      <c r="D21" s="783"/>
      <c r="E21" s="412"/>
      <c r="F21" s="784"/>
      <c r="G21" s="2287"/>
      <c r="H21" s="2287"/>
      <c r="I21" s="2287"/>
      <c r="J21" s="2287"/>
      <c r="K21" s="2287"/>
      <c r="L21" s="2287"/>
      <c r="M21" s="2287"/>
      <c r="N21" s="2287"/>
      <c r="O21" s="2287"/>
      <c r="P21" s="2287"/>
      <c r="Q21" s="2287"/>
      <c r="R21" s="2287"/>
      <c r="S21" s="2287"/>
      <c r="T21" s="2287"/>
      <c r="U21" s="2287"/>
      <c r="V21" s="2287"/>
      <c r="W21" s="2287"/>
      <c r="X21" s="2287"/>
      <c r="Y21" s="2287"/>
      <c r="Z21" s="2287"/>
      <c r="AA21" s="2287"/>
      <c r="AB21" s="2287"/>
      <c r="AC21" s="2287"/>
      <c r="AD21" s="2287"/>
      <c r="AE21" s="2287"/>
      <c r="AF21" s="2287"/>
      <c r="AG21" s="2287"/>
      <c r="AH21" s="2287"/>
      <c r="AI21" s="2287"/>
      <c r="AJ21" s="2287"/>
      <c r="AK21" s="2287"/>
      <c r="AL21" s="2287"/>
      <c r="AM21" s="2287"/>
      <c r="AN21" s="2287"/>
      <c r="AO21" s="2287"/>
      <c r="AP21" s="2287"/>
      <c r="AQ21" s="2287"/>
      <c r="AR21" s="2287"/>
      <c r="AS21" s="2287"/>
      <c r="AT21" s="2287"/>
      <c r="AU21" s="2287"/>
      <c r="AV21" s="2287"/>
      <c r="AW21" s="412"/>
      <c r="AX21" s="784"/>
      <c r="AY21" s="784"/>
      <c r="AZ21" s="784"/>
      <c r="BA21" s="784"/>
      <c r="BB21" s="784"/>
      <c r="BC21" s="784"/>
      <c r="BD21" s="784"/>
      <c r="BE21" s="784"/>
      <c r="BF21" s="784"/>
      <c r="BG21" s="785"/>
      <c r="BH21" s="367"/>
    </row>
    <row r="22" spans="2:60" s="81" customFormat="1" x14ac:dyDescent="0.2">
      <c r="B22" s="782"/>
      <c r="C22" s="808" t="s">
        <v>6</v>
      </c>
      <c r="D22" s="783" t="str">
        <f>INDEX(Vectors[Description], MATCH($C22, Vectors[Code], 0))</f>
        <v>Nuclear fission</v>
      </c>
      <c r="E22" s="412"/>
      <c r="F22" s="784"/>
      <c r="G22" s="2287"/>
      <c r="H22" s="2287"/>
      <c r="I22" s="2287"/>
      <c r="J22" s="2287"/>
      <c r="K22" s="2287"/>
      <c r="L22" s="2287"/>
      <c r="M22" s="2287"/>
      <c r="N22" s="2287"/>
      <c r="O22" s="2287"/>
      <c r="P22" s="2287"/>
      <c r="Q22" s="2287"/>
      <c r="R22" s="2287"/>
      <c r="S22" s="2287"/>
      <c r="T22" s="2287"/>
      <c r="U22" s="2287"/>
      <c r="V22" s="2287"/>
      <c r="W22" s="2287"/>
      <c r="X22" s="2287"/>
      <c r="Y22" s="2287"/>
      <c r="Z22" s="2287"/>
      <c r="AA22" s="2287"/>
      <c r="AB22" s="2287"/>
      <c r="AC22" s="2287"/>
      <c r="AD22" s="2287"/>
      <c r="AE22" s="2287"/>
      <c r="AF22" s="2287"/>
      <c r="AG22" s="2287"/>
      <c r="AH22" s="2287"/>
      <c r="AI22" s="2287"/>
      <c r="AJ22" s="2287"/>
      <c r="AK22" s="2287"/>
      <c r="AL22" s="2287"/>
      <c r="AM22" s="2287"/>
      <c r="AN22" s="2287"/>
      <c r="AO22" s="2287"/>
      <c r="AP22" s="2287"/>
      <c r="AQ22" s="2287"/>
      <c r="AR22" s="2287"/>
      <c r="AS22" s="2287"/>
      <c r="AT22" s="2287"/>
      <c r="AU22" s="2287"/>
      <c r="AV22" s="2287"/>
      <c r="AW22" s="412"/>
      <c r="AX22" s="784">
        <f ca="1">-INDEX(INDIRECT("'"&amp;AX$4&amp;"'!Year.NetBalance"), MATCH('Intermediate output'!$C22, INDIRECT("'"&amp;AX$4&amp;"'!Year.Vectors"), 0))</f>
        <v>0</v>
      </c>
      <c r="AY22" s="784">
        <f ca="1">-INDEX(INDIRECT("'"&amp;AY$4&amp;"'!Year.NetBalance"), MATCH('Intermediate output'!$C22, INDIRECT("'"&amp;AY$4&amp;"'!Year.Vectors"), 0))</f>
        <v>0</v>
      </c>
      <c r="AZ22" s="784">
        <f ca="1">-INDEX(INDIRECT("'"&amp;AZ$4&amp;"'!Year.NetBalance"), MATCH('Intermediate output'!$C22, INDIRECT("'"&amp;AZ$4&amp;"'!Year.Vectors"), 0))</f>
        <v>0</v>
      </c>
      <c r="BA22" s="784">
        <f ca="1">-INDEX(INDIRECT("'"&amp;BA$4&amp;"'!Year.NetBalance"), MATCH('Intermediate output'!$C22, INDIRECT("'"&amp;BA$4&amp;"'!Year.Vectors"), 0))</f>
        <v>21.428000000000004</v>
      </c>
      <c r="BB22" s="784">
        <f ca="1">-INDEX(INDIRECT("'"&amp;BB$4&amp;"'!Year.NetBalance"), MATCH('Intermediate output'!$C22, INDIRECT("'"&amp;BB$4&amp;"'!Year.Vectors"), 0))</f>
        <v>40.713200000000001</v>
      </c>
      <c r="BC22" s="784">
        <f ca="1">-INDEX(INDIRECT("'"&amp;BC$4&amp;"'!Year.NetBalance"), MATCH('Intermediate output'!$C22, INDIRECT("'"&amp;BC$4&amp;"'!Year.Vectors"), 0))</f>
        <v>79.283600000000021</v>
      </c>
      <c r="BD22" s="784">
        <f ca="1">-INDEX(INDIRECT("'"&amp;BD$4&amp;"'!Year.NetBalance"), MATCH('Intermediate output'!$C22, INDIRECT("'"&amp;BD$4&amp;"'!Year.Vectors"), 0))</f>
        <v>152.13880000000003</v>
      </c>
      <c r="BE22" s="784">
        <f ca="1">-INDEX(INDIRECT("'"&amp;BE$4&amp;"'!Year.NetBalance"), MATCH('Intermediate output'!$C22, INDIRECT("'"&amp;BE$4&amp;"'!Year.Vectors"), 0))</f>
        <v>293.56360000000006</v>
      </c>
      <c r="BF22" s="784">
        <f ca="1">-INDEX(INDIRECT("'"&amp;BF$4&amp;"'!Year.NetBalance"), MATCH('Intermediate output'!$C22, INDIRECT("'"&amp;BF$4&amp;"'!Year.Vectors"), 0))</f>
        <v>567.8420000000001</v>
      </c>
      <c r="BG22" s="785"/>
      <c r="BH22" s="367"/>
    </row>
    <row r="23" spans="2:60" s="81" customFormat="1" x14ac:dyDescent="0.2">
      <c r="B23" s="782"/>
      <c r="C23" s="808" t="s">
        <v>25</v>
      </c>
      <c r="D23" s="783" t="str">
        <f>INDEX(Vectors[Description], MATCH($C23, Vectors[Code], 0))</f>
        <v>Solar</v>
      </c>
      <c r="E23" s="412"/>
      <c r="F23" s="784"/>
      <c r="G23" s="2287"/>
      <c r="H23" s="2287"/>
      <c r="I23" s="2287"/>
      <c r="J23" s="2287"/>
      <c r="K23" s="2287"/>
      <c r="L23" s="2287"/>
      <c r="M23" s="2287"/>
      <c r="N23" s="2287"/>
      <c r="O23" s="2287"/>
      <c r="P23" s="2287"/>
      <c r="Q23" s="2287"/>
      <c r="R23" s="2287"/>
      <c r="S23" s="2287"/>
      <c r="T23" s="2287"/>
      <c r="U23" s="2287"/>
      <c r="V23" s="2287"/>
      <c r="W23" s="2287"/>
      <c r="X23" s="2287"/>
      <c r="Y23" s="2287"/>
      <c r="Z23" s="2287"/>
      <c r="AA23" s="2287"/>
      <c r="AB23" s="2287"/>
      <c r="AC23" s="2287"/>
      <c r="AD23" s="2287"/>
      <c r="AE23" s="2287"/>
      <c r="AF23" s="2287"/>
      <c r="AG23" s="2287"/>
      <c r="AH23" s="2287"/>
      <c r="AI23" s="2287"/>
      <c r="AJ23" s="2287"/>
      <c r="AK23" s="2287"/>
      <c r="AL23" s="2287"/>
      <c r="AM23" s="2287"/>
      <c r="AN23" s="2287"/>
      <c r="AO23" s="2287"/>
      <c r="AP23" s="2287"/>
      <c r="AQ23" s="2287"/>
      <c r="AR23" s="2287"/>
      <c r="AS23" s="2287"/>
      <c r="AT23" s="2287"/>
      <c r="AU23" s="2287"/>
      <c r="AV23" s="2287"/>
      <c r="AW23" s="412"/>
      <c r="AX23" s="784">
        <f ca="1">-INDEX(INDIRECT("'"&amp;AX$4&amp;"'!Year.NetBalance"), MATCH('Intermediate output'!$C23, INDIRECT("'"&amp;AX$4&amp;"'!Year.Vectors"), 0))</f>
        <v>2.7612899999999996E-2</v>
      </c>
      <c r="AY23" s="784">
        <f ca="1">-INDEX(INDIRECT("'"&amp;AY$4&amp;"'!Year.NetBalance"), MATCH('Intermediate output'!$C23, INDIRECT("'"&amp;AY$4&amp;"'!Year.Vectors"), 0))</f>
        <v>0.92042999999999997</v>
      </c>
      <c r="AZ23" s="784">
        <f ca="1">-INDEX(INDIRECT("'"&amp;AZ$4&amp;"'!Year.NetBalance"), MATCH('Intermediate output'!$C23, INDIRECT("'"&amp;AZ$4&amp;"'!Year.Vectors"), 0))</f>
        <v>48.334847400000001</v>
      </c>
      <c r="BA23" s="784">
        <f ca="1">-INDEX(INDIRECT("'"&amp;BA$4&amp;"'!Year.NetBalance"), MATCH('Intermediate output'!$C23, INDIRECT("'"&amp;BA$4&amp;"'!Year.Vectors"), 0))</f>
        <v>96.663558599999988</v>
      </c>
      <c r="BB23" s="784">
        <f ca="1">-INDEX(INDIRECT("'"&amp;BB$4&amp;"'!Year.NetBalance"), MATCH('Intermediate output'!$C23, INDIRECT("'"&amp;BB$4&amp;"'!Year.Vectors"), 0))</f>
        <v>154.12907159999997</v>
      </c>
      <c r="BC23" s="784">
        <f ca="1">-INDEX(INDIRECT("'"&amp;BC$4&amp;"'!Year.NetBalance"), MATCH('Intermediate output'!$C23, INDIRECT("'"&amp;BC$4&amp;"'!Year.Vectors"), 0))</f>
        <v>228.21141419999998</v>
      </c>
      <c r="BD23" s="784">
        <f ca="1">-INDEX(INDIRECT("'"&amp;BD$4&amp;"'!Year.NetBalance"), MATCH('Intermediate output'!$C23, INDIRECT("'"&amp;BD$4&amp;"'!Year.Vectors"), 0))</f>
        <v>285.16148640000006</v>
      </c>
      <c r="BE23" s="784">
        <f ca="1">-INDEX(INDIRECT("'"&amp;BE$4&amp;"'!Year.NetBalance"), MATCH('Intermediate output'!$C23, INDIRECT("'"&amp;BE$4&amp;"'!Year.Vectors"), 0))</f>
        <v>354.25509839999995</v>
      </c>
      <c r="BF23" s="784">
        <f ca="1">-INDEX(INDIRECT("'"&amp;BF$4&amp;"'!Year.NetBalance"), MATCH('Intermediate output'!$C23, INDIRECT("'"&amp;BF$4&amp;"'!Year.Vectors"), 0))</f>
        <v>435.67019999999997</v>
      </c>
      <c r="BG23" s="785"/>
      <c r="BH23" s="367"/>
    </row>
    <row r="24" spans="2:60" s="81" customFormat="1" x14ac:dyDescent="0.2">
      <c r="B24" s="782"/>
      <c r="C24" s="808" t="s">
        <v>7</v>
      </c>
      <c r="D24" s="783" t="str">
        <f>INDEX(Vectors[Description], MATCH($C24, Vectors[Code], 0))</f>
        <v>Wind</v>
      </c>
      <c r="E24" s="412"/>
      <c r="F24" s="784"/>
      <c r="G24" s="2287"/>
      <c r="H24" s="2287"/>
      <c r="I24" s="2287"/>
      <c r="J24" s="2287"/>
      <c r="K24" s="2287"/>
      <c r="L24" s="2287"/>
      <c r="M24" s="2287"/>
      <c r="N24" s="2287"/>
      <c r="O24" s="2287"/>
      <c r="P24" s="2287"/>
      <c r="Q24" s="2287"/>
      <c r="R24" s="2287"/>
      <c r="S24" s="2287"/>
      <c r="T24" s="2287"/>
      <c r="U24" s="2287"/>
      <c r="V24" s="2287"/>
      <c r="W24" s="2287"/>
      <c r="X24" s="2287"/>
      <c r="Y24" s="2287"/>
      <c r="Z24" s="2287"/>
      <c r="AA24" s="2287"/>
      <c r="AB24" s="2287"/>
      <c r="AC24" s="2287"/>
      <c r="AD24" s="2287"/>
      <c r="AE24" s="2287"/>
      <c r="AF24" s="2287"/>
      <c r="AG24" s="2287"/>
      <c r="AH24" s="2287"/>
      <c r="AI24" s="2287"/>
      <c r="AJ24" s="2287"/>
      <c r="AK24" s="2287"/>
      <c r="AL24" s="2287"/>
      <c r="AM24" s="2287"/>
      <c r="AN24" s="2287"/>
      <c r="AO24" s="2287"/>
      <c r="AP24" s="2287"/>
      <c r="AQ24" s="2287"/>
      <c r="AR24" s="2287"/>
      <c r="AS24" s="2287"/>
      <c r="AT24" s="2287"/>
      <c r="AU24" s="2287"/>
      <c r="AV24" s="2287"/>
      <c r="AW24" s="412"/>
      <c r="AX24" s="784">
        <f ca="1">-INDEX(INDIRECT("'"&amp;AX$4&amp;"'!Year.NetBalance"), MATCH('Intermediate output'!$C24, INDIRECT("'"&amp;AX$4&amp;"'!Year.Vectors"), 0))</f>
        <v>0</v>
      </c>
      <c r="AY24" s="784">
        <f ca="1">-INDEX(INDIRECT("'"&amp;AY$4&amp;"'!Year.NetBalance"), MATCH('Intermediate output'!$C24, INDIRECT("'"&amp;AY$4&amp;"'!Year.Vectors"), 0))</f>
        <v>0</v>
      </c>
      <c r="AZ24" s="784">
        <f ca="1">-INDEX(INDIRECT("'"&amp;AZ$4&amp;"'!Year.NetBalance"), MATCH('Intermediate output'!$C24, INDIRECT("'"&amp;AZ$4&amp;"'!Year.Vectors"), 0))</f>
        <v>3.6817200000000003</v>
      </c>
      <c r="BA24" s="784">
        <f ca="1">-INDEX(INDIRECT("'"&amp;BA$4&amp;"'!Year.NetBalance"), MATCH('Intermediate output'!$C24, INDIRECT("'"&amp;BA$4&amp;"'!Year.Vectors"), 0))</f>
        <v>7.3634400000000007</v>
      </c>
      <c r="BB24" s="784">
        <f ca="1">-INDEX(INDIRECT("'"&amp;BB$4&amp;"'!Year.NetBalance"), MATCH('Intermediate output'!$C24, INDIRECT("'"&amp;BB$4&amp;"'!Year.Vectors"), 0))</f>
        <v>11.045159999999999</v>
      </c>
      <c r="BC24" s="784">
        <f ca="1">-INDEX(INDIRECT("'"&amp;BC$4&amp;"'!Year.NetBalance"), MATCH('Intermediate output'!$C24, INDIRECT("'"&amp;BC$4&amp;"'!Year.Vectors"), 0))</f>
        <v>14.726880000000001</v>
      </c>
      <c r="BD24" s="784">
        <f ca="1">-INDEX(INDIRECT("'"&amp;BD$4&amp;"'!Year.NetBalance"), MATCH('Intermediate output'!$C24, INDIRECT("'"&amp;BD$4&amp;"'!Year.Vectors"), 0))</f>
        <v>14.726880000000001</v>
      </c>
      <c r="BE24" s="784">
        <f ca="1">-INDEX(INDIRECT("'"&amp;BE$4&amp;"'!Year.NetBalance"), MATCH('Intermediate output'!$C24, INDIRECT("'"&amp;BE$4&amp;"'!Year.Vectors"), 0))</f>
        <v>18.4086</v>
      </c>
      <c r="BF24" s="784">
        <f ca="1">-INDEX(INDIRECT("'"&amp;BF$4&amp;"'!Year.NetBalance"), MATCH('Intermediate output'!$C24, INDIRECT("'"&amp;BF$4&amp;"'!Year.Vectors"), 0))</f>
        <v>22.090319999999998</v>
      </c>
      <c r="BG24" s="785"/>
      <c r="BH24" s="367"/>
    </row>
    <row r="25" spans="2:60" s="81" customFormat="1" x14ac:dyDescent="0.2">
      <c r="B25" s="782"/>
      <c r="C25" s="808" t="s">
        <v>8</v>
      </c>
      <c r="D25" s="783" t="str">
        <f>INDEX(Vectors[Description], MATCH($C25, Vectors[Code], 0))</f>
        <v>Hydro</v>
      </c>
      <c r="E25" s="412"/>
      <c r="F25" s="784"/>
      <c r="G25" s="2287"/>
      <c r="H25" s="2287"/>
      <c r="I25" s="2287"/>
      <c r="J25" s="2287"/>
      <c r="K25" s="2287"/>
      <c r="L25" s="2287"/>
      <c r="M25" s="2287"/>
      <c r="N25" s="2287"/>
      <c r="O25" s="2287"/>
      <c r="P25" s="2287"/>
      <c r="Q25" s="2287"/>
      <c r="R25" s="2287"/>
      <c r="S25" s="2287"/>
      <c r="T25" s="2287"/>
      <c r="U25" s="2287"/>
      <c r="V25" s="2287"/>
      <c r="W25" s="2287"/>
      <c r="X25" s="2287"/>
      <c r="Y25" s="2287"/>
      <c r="Z25" s="2287"/>
      <c r="AA25" s="2287"/>
      <c r="AB25" s="2287"/>
      <c r="AC25" s="2287"/>
      <c r="AD25" s="2287"/>
      <c r="AE25" s="2287"/>
      <c r="AF25" s="2287"/>
      <c r="AG25" s="2287"/>
      <c r="AH25" s="2287"/>
      <c r="AI25" s="2287"/>
      <c r="AJ25" s="2287"/>
      <c r="AK25" s="2287"/>
      <c r="AL25" s="2287"/>
      <c r="AM25" s="2287"/>
      <c r="AN25" s="2287"/>
      <c r="AO25" s="2287"/>
      <c r="AP25" s="2287"/>
      <c r="AQ25" s="2287"/>
      <c r="AR25" s="2287"/>
      <c r="AS25" s="2287"/>
      <c r="AT25" s="2287"/>
      <c r="AU25" s="2287"/>
      <c r="AV25" s="2287"/>
      <c r="AW25" s="412"/>
      <c r="AX25" s="784">
        <f ca="1">-INDEX(INDIRECT("'"&amp;AX$4&amp;"'!Year.NetBalance"), MATCH('Intermediate output'!$C25, INDIRECT("'"&amp;AX$4&amp;"'!Year.Vectors"), 0))</f>
        <v>10.273751999999998</v>
      </c>
      <c r="AY25" s="784">
        <f ca="1">-INDEX(INDIRECT("'"&amp;AY$4&amp;"'!Year.NetBalance"), MATCH('Intermediate output'!$C25, INDIRECT("'"&amp;AY$4&amp;"'!Year.Vectors"), 0))</f>
        <v>10.273751999999998</v>
      </c>
      <c r="AZ25" s="784">
        <f ca="1">-INDEX(INDIRECT("'"&amp;AZ$4&amp;"'!Year.NetBalance"), MATCH('Intermediate output'!$C25, INDIRECT("'"&amp;AZ$4&amp;"'!Year.Vectors"), 0))</f>
        <v>17.321616000000002</v>
      </c>
      <c r="BA25" s="784">
        <f ca="1">-INDEX(INDIRECT("'"&amp;BA$4&amp;"'!Year.NetBalance"), MATCH('Intermediate output'!$C25, INDIRECT("'"&amp;BA$4&amp;"'!Year.Vectors"), 0))</f>
        <v>28.620363857142845</v>
      </c>
      <c r="BB25" s="784">
        <f ca="1">-INDEX(INDIRECT("'"&amp;BB$4&amp;"'!Year.NetBalance"), MATCH('Intermediate output'!$C25, INDIRECT("'"&amp;BB$4&amp;"'!Year.Vectors"), 0))</f>
        <v>37.81952948571427</v>
      </c>
      <c r="BC25" s="784">
        <f ca="1">-INDEX(INDIRECT("'"&amp;BC$4&amp;"'!Year.NetBalance"), MATCH('Intermediate output'!$C25, INDIRECT("'"&amp;BC$4&amp;"'!Year.Vectors"), 0))</f>
        <v>46.96609911428574</v>
      </c>
      <c r="BD25" s="784">
        <f ca="1">-INDEX(INDIRECT("'"&amp;BD$4&amp;"'!Year.NetBalance"), MATCH('Intermediate output'!$C25, INDIRECT("'"&amp;BD$4&amp;"'!Year.Vectors"), 0))</f>
        <v>56.165264742857154</v>
      </c>
      <c r="BE25" s="784">
        <f ca="1">-INDEX(INDIRECT("'"&amp;BE$4&amp;"'!Year.NetBalance"), MATCH('Intermediate output'!$C25, INDIRECT("'"&amp;BE$4&amp;"'!Year.Vectors"), 0))</f>
        <v>65.311834371428574</v>
      </c>
      <c r="BF25" s="784">
        <f ca="1">-INDEX(INDIRECT("'"&amp;BF$4&amp;"'!Year.NetBalance"), MATCH('Intermediate output'!$C25, INDIRECT("'"&amp;BF$4&amp;"'!Year.Vectors"), 0))</f>
        <v>74.510999999999996</v>
      </c>
      <c r="BG25" s="785"/>
      <c r="BH25" s="23"/>
    </row>
    <row r="26" spans="2:60" s="81" customFormat="1" x14ac:dyDescent="0.2">
      <c r="B26" s="782"/>
      <c r="C26" s="808" t="s">
        <v>47</v>
      </c>
      <c r="D26" s="783" t="str">
        <f>INDEX(Vectors[Description], MATCH($C26, Vectors[Code], 0))</f>
        <v>Electricity oversupply (imports)</v>
      </c>
      <c r="E26" s="412"/>
      <c r="F26" s="784"/>
      <c r="G26" s="2287"/>
      <c r="H26" s="2287"/>
      <c r="I26" s="2287"/>
      <c r="J26" s="2287"/>
      <c r="K26" s="2287"/>
      <c r="L26" s="2287"/>
      <c r="M26" s="2287"/>
      <c r="N26" s="2287"/>
      <c r="O26" s="2287"/>
      <c r="P26" s="2287"/>
      <c r="Q26" s="2287"/>
      <c r="R26" s="2287"/>
      <c r="S26" s="2287"/>
      <c r="T26" s="2287"/>
      <c r="U26" s="2287"/>
      <c r="V26" s="2287"/>
      <c r="W26" s="2287"/>
      <c r="X26" s="2287"/>
      <c r="Y26" s="2287"/>
      <c r="Z26" s="2287"/>
      <c r="AA26" s="2287"/>
      <c r="AB26" s="2287"/>
      <c r="AC26" s="2287"/>
      <c r="AD26" s="2287"/>
      <c r="AE26" s="2287"/>
      <c r="AF26" s="2287"/>
      <c r="AG26" s="2287"/>
      <c r="AH26" s="2287"/>
      <c r="AI26" s="2287"/>
      <c r="AJ26" s="2287"/>
      <c r="AK26" s="2287"/>
      <c r="AL26" s="2287"/>
      <c r="AM26" s="2287"/>
      <c r="AN26" s="2287"/>
      <c r="AO26" s="2287"/>
      <c r="AP26" s="2287"/>
      <c r="AQ26" s="2287"/>
      <c r="AR26" s="2287"/>
      <c r="AS26" s="2287"/>
      <c r="AT26" s="2287"/>
      <c r="AU26" s="2287"/>
      <c r="AV26" s="2287"/>
      <c r="AW26" s="412"/>
      <c r="AX26" s="784">
        <f ca="1">-INDEX(INDIRECT("'"&amp;AX$4&amp;"'!Year.NetBalance"), MATCH('Intermediate output'!$C26, INDIRECT("'"&amp;AX$4&amp;"'!Year.Vectors"), 0))</f>
        <v>-0.52500000000000002</v>
      </c>
      <c r="AY26" s="784">
        <f ca="1">-INDEX(INDIRECT("'"&amp;AY$4&amp;"'!Year.NetBalance"), MATCH('Intermediate output'!$C26, INDIRECT("'"&amp;AY$4&amp;"'!Year.Vectors"), 0))</f>
        <v>-0.52500000000000002</v>
      </c>
      <c r="AZ26" s="784">
        <f ca="1">-INDEX(INDIRECT("'"&amp;AZ$4&amp;"'!Year.NetBalance"), MATCH('Intermediate output'!$C26, INDIRECT("'"&amp;AZ$4&amp;"'!Year.Vectors"), 0))</f>
        <v>-0.5249999999999716</v>
      </c>
      <c r="BA26" s="784">
        <f ca="1">-INDEX(INDIRECT("'"&amp;BA$4&amp;"'!Year.NetBalance"), MATCH('Intermediate output'!$C26, INDIRECT("'"&amp;BA$4&amp;"'!Year.Vectors"), 0))</f>
        <v>-6.2148748956779176</v>
      </c>
      <c r="BB26" s="784">
        <f ca="1">-INDEX(INDIRECT("'"&amp;BB$4&amp;"'!Year.NetBalance"), MATCH('Intermediate output'!$C26, INDIRECT("'"&amp;BB$4&amp;"'!Year.Vectors"), 0))</f>
        <v>-69.115744359233204</v>
      </c>
      <c r="BC26" s="784">
        <f ca="1">-INDEX(INDIRECT("'"&amp;BC$4&amp;"'!Year.NetBalance"), MATCH('Intermediate output'!$C26, INDIRECT("'"&amp;BC$4&amp;"'!Year.Vectors"), 0))</f>
        <v>-176.70673241292081</v>
      </c>
      <c r="BD26" s="784">
        <f ca="1">-INDEX(INDIRECT("'"&amp;BD$4&amp;"'!Year.NetBalance"), MATCH('Intermediate output'!$C26, INDIRECT("'"&amp;BD$4&amp;"'!Year.Vectors"), 0))</f>
        <v>-277.22698617556915</v>
      </c>
      <c r="BE26" s="784">
        <f ca="1">-INDEX(INDIRECT("'"&amp;BE$4&amp;"'!Year.NetBalance"), MATCH('Intermediate output'!$C26, INDIRECT("'"&amp;BE$4&amp;"'!Year.Vectors"), 0))</f>
        <v>-425.78482277144678</v>
      </c>
      <c r="BF26" s="784">
        <f ca="1">-INDEX(INDIRECT("'"&amp;BF$4&amp;"'!Year.NetBalance"), MATCH('Intermediate output'!$C26, INDIRECT("'"&amp;BF$4&amp;"'!Year.Vectors"), 0))</f>
        <v>-601.38216058700823</v>
      </c>
      <c r="BG26" s="785"/>
      <c r="BH26" s="367"/>
    </row>
    <row r="27" spans="2:60" s="38" customFormat="1" x14ac:dyDescent="0.2">
      <c r="B27" s="410"/>
      <c r="C27" s="804"/>
      <c r="D27" s="412" t="s">
        <v>878</v>
      </c>
      <c r="E27" s="412"/>
      <c r="F27" s="786"/>
      <c r="G27" s="2288"/>
      <c r="H27" s="2288"/>
      <c r="I27" s="2288"/>
      <c r="J27" s="2288"/>
      <c r="K27" s="2288"/>
      <c r="L27" s="2288"/>
      <c r="M27" s="2288"/>
      <c r="N27" s="2288"/>
      <c r="O27" s="2288"/>
      <c r="P27" s="2288"/>
      <c r="Q27" s="2288"/>
      <c r="R27" s="2288"/>
      <c r="S27" s="2288"/>
      <c r="T27" s="2288"/>
      <c r="U27" s="2288"/>
      <c r="V27" s="2288"/>
      <c r="W27" s="2288"/>
      <c r="X27" s="2288"/>
      <c r="Y27" s="2288"/>
      <c r="Z27" s="2288"/>
      <c r="AA27" s="2288"/>
      <c r="AB27" s="2288"/>
      <c r="AC27" s="2288"/>
      <c r="AD27" s="2288"/>
      <c r="AE27" s="2288"/>
      <c r="AF27" s="2288"/>
      <c r="AG27" s="2288"/>
      <c r="AH27" s="2288"/>
      <c r="AI27" s="2288"/>
      <c r="AJ27" s="2288"/>
      <c r="AK27" s="2288"/>
      <c r="AL27" s="2288"/>
      <c r="AM27" s="2288"/>
      <c r="AN27" s="2288"/>
      <c r="AO27" s="2288"/>
      <c r="AP27" s="2288"/>
      <c r="AQ27" s="2288"/>
      <c r="AR27" s="2288"/>
      <c r="AS27" s="2288"/>
      <c r="AT27" s="2288"/>
      <c r="AU27" s="2288"/>
      <c r="AV27" s="2288"/>
      <c r="AW27" s="412"/>
      <c r="AX27" s="786">
        <f t="shared" ref="AX27" ca="1" si="3">SUM(AX22:AX26)</f>
        <v>9.7763648999999972</v>
      </c>
      <c r="AY27" s="786">
        <f t="shared" ref="AY27:BF27" ca="1" si="4">SUM(AY22:AY26)</f>
        <v>10.669181999999998</v>
      </c>
      <c r="AZ27" s="786">
        <f t="shared" ca="1" si="4"/>
        <v>68.813183400000028</v>
      </c>
      <c r="BA27" s="786">
        <f t="shared" ca="1" si="4"/>
        <v>147.86048756146491</v>
      </c>
      <c r="BB27" s="786">
        <f t="shared" ca="1" si="4"/>
        <v>174.59121672648104</v>
      </c>
      <c r="BC27" s="786">
        <f t="shared" ca="1" si="4"/>
        <v>192.48126090136492</v>
      </c>
      <c r="BD27" s="786">
        <f t="shared" ca="1" si="4"/>
        <v>230.96544496728814</v>
      </c>
      <c r="BE27" s="786">
        <f t="shared" ca="1" si="4"/>
        <v>305.75430999998173</v>
      </c>
      <c r="BF27" s="786">
        <f t="shared" ca="1" si="4"/>
        <v>498.73135941299188</v>
      </c>
      <c r="BG27" s="787"/>
      <c r="BH27" s="23"/>
    </row>
    <row r="28" spans="2:60" s="81" customFormat="1" x14ac:dyDescent="0.2">
      <c r="B28" s="782"/>
      <c r="C28" s="783" t="s">
        <v>42</v>
      </c>
      <c r="D28" s="783" t="str">
        <f>INDEX(Vectors[Description], MATCH($C28, Vectors[Code], 0))</f>
        <v>Waste</v>
      </c>
      <c r="E28" s="412"/>
      <c r="F28" s="784"/>
      <c r="G28" s="2287"/>
      <c r="H28" s="2287"/>
      <c r="I28" s="2287"/>
      <c r="J28" s="2287"/>
      <c r="K28" s="2287"/>
      <c r="L28" s="2287"/>
      <c r="M28" s="2287"/>
      <c r="N28" s="2287"/>
      <c r="O28" s="2287"/>
      <c r="P28" s="2287"/>
      <c r="Q28" s="2287"/>
      <c r="R28" s="2287"/>
      <c r="S28" s="2287"/>
      <c r="T28" s="2287"/>
      <c r="U28" s="2287"/>
      <c r="V28" s="2287"/>
      <c r="W28" s="2287"/>
      <c r="X28" s="2287"/>
      <c r="Y28" s="2287"/>
      <c r="Z28" s="2287"/>
      <c r="AA28" s="2287"/>
      <c r="AB28" s="2287"/>
      <c r="AC28" s="2287"/>
      <c r="AD28" s="2287"/>
      <c r="AE28" s="2287"/>
      <c r="AF28" s="2287"/>
      <c r="AG28" s="2287"/>
      <c r="AH28" s="2287"/>
      <c r="AI28" s="2287"/>
      <c r="AJ28" s="2287"/>
      <c r="AK28" s="2287"/>
      <c r="AL28" s="2287"/>
      <c r="AM28" s="2287"/>
      <c r="AN28" s="2287"/>
      <c r="AO28" s="2287"/>
      <c r="AP28" s="2287"/>
      <c r="AQ28" s="2287"/>
      <c r="AR28" s="2287"/>
      <c r="AS28" s="2287"/>
      <c r="AT28" s="2287"/>
      <c r="AU28" s="2287"/>
      <c r="AV28" s="2287"/>
      <c r="AW28" s="412"/>
      <c r="AX28" s="784">
        <f ca="1">-INDEX(INDIRECT("'"&amp;AX$4&amp;"'!Year.NetBalance"), MATCH('Intermediate output'!$C28, INDIRECT("'"&amp;AX$4&amp;"'!Year.Vectors"), 0))</f>
        <v>57.597242020086313</v>
      </c>
      <c r="AY28" s="784">
        <f ca="1">-INDEX(INDIRECT("'"&amp;AY$4&amp;"'!Year.NetBalance"), MATCH('Intermediate output'!$C28, INDIRECT("'"&amp;AY$4&amp;"'!Year.Vectors"), 0))</f>
        <v>121.12064677764798</v>
      </c>
      <c r="AZ28" s="784">
        <f ca="1">-INDEX(INDIRECT("'"&amp;AZ$4&amp;"'!Year.NetBalance"), MATCH('Intermediate output'!$C28, INDIRECT("'"&amp;AZ$4&amp;"'!Year.Vectors"), 0))</f>
        <v>219.64673392369494</v>
      </c>
      <c r="BA28" s="784">
        <f ca="1">-INDEX(INDIRECT("'"&amp;BA$4&amp;"'!Year.NetBalance"), MATCH('Intermediate output'!$C28, INDIRECT("'"&amp;BA$4&amp;"'!Year.Vectors"), 0))</f>
        <v>309.82678506451816</v>
      </c>
      <c r="BB28" s="784">
        <f ca="1">-INDEX(INDIRECT("'"&amp;BB$4&amp;"'!Year.NetBalance"), MATCH('Intermediate output'!$C28, INDIRECT("'"&amp;BB$4&amp;"'!Year.Vectors"), 0))</f>
        <v>345.4630455004305</v>
      </c>
      <c r="BC28" s="784">
        <f ca="1">-INDEX(INDIRECT("'"&amp;BC$4&amp;"'!Year.NetBalance"), MATCH('Intermediate output'!$C28, INDIRECT("'"&amp;BC$4&amp;"'!Year.Vectors"), 0))</f>
        <v>408.5262134053134</v>
      </c>
      <c r="BD28" s="784">
        <f ca="1">-INDEX(INDIRECT("'"&amp;BD$4&amp;"'!Year.NetBalance"), MATCH('Intermediate output'!$C28, INDIRECT("'"&amp;BD$4&amp;"'!Year.Vectors"), 0))</f>
        <v>450.79331965507987</v>
      </c>
      <c r="BE28" s="784">
        <f ca="1">-INDEX(INDIRECT("'"&amp;BE$4&amp;"'!Year.NetBalance"), MATCH('Intermediate output'!$C28, INDIRECT("'"&amp;BE$4&amp;"'!Year.Vectors"), 0))</f>
        <v>493.99908350156198</v>
      </c>
      <c r="BF28" s="784">
        <f ca="1">-INDEX(INDIRECT("'"&amp;BF$4&amp;"'!Year.NetBalance"), MATCH('Intermediate output'!$C28, INDIRECT("'"&amp;BF$4&amp;"'!Year.Vectors"), 0))</f>
        <v>509.9229932583188</v>
      </c>
      <c r="BG28" s="785"/>
      <c r="BH28" s="367"/>
    </row>
    <row r="29" spans="2:60" s="81" customFormat="1" x14ac:dyDescent="0.2">
      <c r="B29" s="782"/>
      <c r="C29" s="783" t="s">
        <v>451</v>
      </c>
      <c r="D29" s="783" t="str">
        <f>INDEX(Vectors[Description], MATCH($C29, Vectors[Code], 0))</f>
        <v>Agriculture</v>
      </c>
      <c r="E29" s="412"/>
      <c r="F29" s="784"/>
      <c r="G29" s="2287"/>
      <c r="H29" s="2287"/>
      <c r="I29" s="2287"/>
      <c r="J29" s="2287"/>
      <c r="K29" s="2287"/>
      <c r="L29" s="2287"/>
      <c r="M29" s="2287"/>
      <c r="N29" s="2287"/>
      <c r="O29" s="2287"/>
      <c r="P29" s="2287"/>
      <c r="Q29" s="2287"/>
      <c r="R29" s="2287"/>
      <c r="S29" s="2287"/>
      <c r="T29" s="2287"/>
      <c r="U29" s="2287"/>
      <c r="V29" s="2287"/>
      <c r="W29" s="2287"/>
      <c r="X29" s="2287"/>
      <c r="Y29" s="2287"/>
      <c r="Z29" s="2287"/>
      <c r="AA29" s="2287"/>
      <c r="AB29" s="2287"/>
      <c r="AC29" s="2287"/>
      <c r="AD29" s="2287"/>
      <c r="AE29" s="2287"/>
      <c r="AF29" s="2287"/>
      <c r="AG29" s="2287"/>
      <c r="AH29" s="2287"/>
      <c r="AI29" s="2287"/>
      <c r="AJ29" s="2287"/>
      <c r="AK29" s="2287"/>
      <c r="AL29" s="2287"/>
      <c r="AM29" s="2287"/>
      <c r="AN29" s="2287"/>
      <c r="AO29" s="2287"/>
      <c r="AP29" s="2287"/>
      <c r="AQ29" s="2287"/>
      <c r="AR29" s="2287"/>
      <c r="AS29" s="2287"/>
      <c r="AT29" s="2287"/>
      <c r="AU29" s="2287"/>
      <c r="AV29" s="2287"/>
      <c r="AW29" s="412"/>
      <c r="AX29" s="784">
        <f ca="1">-INDEX(INDIRECT("'"&amp;AX$4&amp;"'!Year.NetBalance"), MATCH('Intermediate output'!$C29, INDIRECT("'"&amp;AX$4&amp;"'!Year.Vectors"), 0))</f>
        <v>1673.2261104444444</v>
      </c>
      <c r="AY29" s="784">
        <f ca="1">-INDEX(INDIRECT("'"&amp;AY$4&amp;"'!Year.NetBalance"), MATCH('Intermediate output'!$C29, INDIRECT("'"&amp;AY$4&amp;"'!Year.Vectors"), 0))</f>
        <v>1803.3177832724116</v>
      </c>
      <c r="AZ29" s="784">
        <f ca="1">-INDEX(INDIRECT("'"&amp;AZ$4&amp;"'!Year.NetBalance"), MATCH('Intermediate output'!$C29, INDIRECT("'"&amp;AZ$4&amp;"'!Year.Vectors"), 0))</f>
        <v>1943.5797645124765</v>
      </c>
      <c r="BA29" s="784">
        <f ca="1">-INDEX(INDIRECT("'"&amp;BA$4&amp;"'!Year.NetBalance"), MATCH('Intermediate output'!$C29, INDIRECT("'"&amp;BA$4&amp;"'!Year.Vectors"), 0))</f>
        <v>2094.8154411091718</v>
      </c>
      <c r="BB29" s="784">
        <f ca="1">-INDEX(INDIRECT("'"&amp;BB$4&amp;"'!Year.NetBalance"), MATCH('Intermediate output'!$C29, INDIRECT("'"&amp;BB$4&amp;"'!Year.Vectors"), 0))</f>
        <v>2257.8928876163941</v>
      </c>
      <c r="BC29" s="784">
        <f ca="1">-INDEX(INDIRECT("'"&amp;BC$4&amp;"'!Year.NetBalance"), MATCH('Intermediate output'!$C29, INDIRECT("'"&amp;BC$4&amp;"'!Year.Vectors"), 0))</f>
        <v>2433.7502539567081</v>
      </c>
      <c r="BD29" s="784">
        <f ca="1">-INDEX(INDIRECT("'"&amp;BD$4&amp;"'!Year.NetBalance"), MATCH('Intermediate output'!$C29, INDIRECT("'"&amp;BD$4&amp;"'!Year.Vectors"), 0))</f>
        <v>2623.4016276319003</v>
      </c>
      <c r="BE29" s="784">
        <f ca="1">-INDEX(INDIRECT("'"&amp;BE$4&amp;"'!Year.NetBalance"), MATCH('Intermediate output'!$C29, INDIRECT("'"&amp;BE$4&amp;"'!Year.Vectors"), 0))</f>
        <v>2827.9434157315513</v>
      </c>
      <c r="BF29" s="784">
        <f ca="1">-INDEX(INDIRECT("'"&amp;BF$4&amp;"'!Year.NetBalance"), MATCH('Intermediate output'!$C29, INDIRECT("'"&amp;BF$4&amp;"'!Year.Vectors"), 0))</f>
        <v>3048.5612968882915</v>
      </c>
      <c r="BG29" s="785"/>
      <c r="BH29" s="367"/>
    </row>
    <row r="30" spans="2:60" s="81" customFormat="1" x14ac:dyDescent="0.2">
      <c r="B30" s="782"/>
      <c r="C30" s="783" t="s">
        <v>46</v>
      </c>
      <c r="D30" s="783" t="str">
        <f>INDEX(Vectors[Description], MATCH($C30, Vectors[Code], 0))</f>
        <v>Biomass oversupply (imports)</v>
      </c>
      <c r="E30" s="412"/>
      <c r="F30" s="784"/>
      <c r="G30" s="2287"/>
      <c r="H30" s="2287"/>
      <c r="I30" s="2287"/>
      <c r="J30" s="2287"/>
      <c r="K30" s="2287"/>
      <c r="L30" s="2287"/>
      <c r="M30" s="2287"/>
      <c r="N30" s="2287"/>
      <c r="O30" s="2287"/>
      <c r="P30" s="2287"/>
      <c r="Q30" s="2287"/>
      <c r="R30" s="2287"/>
      <c r="S30" s="2287"/>
      <c r="T30" s="2287"/>
      <c r="U30" s="2287"/>
      <c r="V30" s="2287"/>
      <c r="W30" s="2287"/>
      <c r="X30" s="2287"/>
      <c r="Y30" s="2287"/>
      <c r="Z30" s="2287"/>
      <c r="AA30" s="2287"/>
      <c r="AB30" s="2287"/>
      <c r="AC30" s="2287"/>
      <c r="AD30" s="2287"/>
      <c r="AE30" s="2287"/>
      <c r="AF30" s="2287"/>
      <c r="AG30" s="2287"/>
      <c r="AH30" s="2287"/>
      <c r="AI30" s="2287"/>
      <c r="AJ30" s="2287"/>
      <c r="AK30" s="2287"/>
      <c r="AL30" s="2287"/>
      <c r="AM30" s="2287"/>
      <c r="AN30" s="2287"/>
      <c r="AO30" s="2287"/>
      <c r="AP30" s="2287"/>
      <c r="AQ30" s="2287"/>
      <c r="AR30" s="2287"/>
      <c r="AS30" s="2287"/>
      <c r="AT30" s="2287"/>
      <c r="AU30" s="2287"/>
      <c r="AV30" s="2287"/>
      <c r="AW30" s="412"/>
      <c r="AX30" s="784">
        <f ca="1">-INDEX(INDIRECT("'"&amp;AX$4&amp;"'!Year.NetBalance"), MATCH('Intermediate output'!$C30, INDIRECT("'"&amp;AX$4&amp;"'!Year.Vectors"), 0))</f>
        <v>-875.52051462475561</v>
      </c>
      <c r="AY30" s="784">
        <f ca="1">-INDEX(INDIRECT("'"&amp;AY$4&amp;"'!Year.NetBalance"), MATCH('Intermediate output'!$C30, INDIRECT("'"&amp;AY$4&amp;"'!Year.Vectors"), 0))</f>
        <v>-1005.4684468053392</v>
      </c>
      <c r="AZ30" s="784">
        <f ca="1">-INDEX(INDIRECT("'"&amp;AZ$4&amp;"'!Year.NetBalance"), MATCH('Intermediate output'!$C30, INDIRECT("'"&amp;AZ$4&amp;"'!Year.Vectors"), 0))</f>
        <v>-1146.8696111280037</v>
      </c>
      <c r="BA30" s="784">
        <f ca="1">-INDEX(INDIRECT("'"&amp;BA$4&amp;"'!Year.NetBalance"), MATCH('Intermediate output'!$C30, INDIRECT("'"&amp;BA$4&amp;"'!Year.Vectors"), 0))</f>
        <v>-1306.159365743837</v>
      </c>
      <c r="BB30" s="784">
        <f ca="1">-INDEX(INDIRECT("'"&amp;BB$4&amp;"'!Year.NetBalance"), MATCH('Intermediate output'!$C30, INDIRECT("'"&amp;BB$4&amp;"'!Year.Vectors"), 0))</f>
        <v>-1447.82190569574</v>
      </c>
      <c r="BC30" s="784">
        <f ca="1">-INDEX(INDIRECT("'"&amp;BC$4&amp;"'!Year.NetBalance"), MATCH('Intermediate output'!$C30, INDIRECT("'"&amp;BC$4&amp;"'!Year.Vectors"), 0))</f>
        <v>-1611.9071038293187</v>
      </c>
      <c r="BD30" s="784">
        <f ca="1">-INDEX(INDIRECT("'"&amp;BD$4&amp;"'!Year.NetBalance"), MATCH('Intermediate output'!$C30, INDIRECT("'"&amp;BD$4&amp;"'!Year.Vectors"), 0))</f>
        <v>-1778.8059555233544</v>
      </c>
      <c r="BE30" s="784">
        <f ca="1">-INDEX(INDIRECT("'"&amp;BE$4&amp;"'!Year.NetBalance"), MATCH('Intermediate output'!$C30, INDIRECT("'"&amp;BE$4&amp;"'!Year.Vectors"), 0))</f>
        <v>-1953.1582510273715</v>
      </c>
      <c r="BF30" s="784">
        <f ca="1">-INDEX(INDIRECT("'"&amp;BF$4&amp;"'!Year.NetBalance"), MATCH('Intermediate output'!$C30, INDIRECT("'"&amp;BF$4&amp;"'!Year.Vectors"), 0))</f>
        <v>-2117.6175972906126</v>
      </c>
      <c r="BG30" s="785"/>
      <c r="BH30" s="367"/>
    </row>
    <row r="31" spans="2:60" s="38" customFormat="1" x14ac:dyDescent="0.2">
      <c r="B31" s="410"/>
      <c r="C31" s="412"/>
      <c r="D31" s="412" t="s">
        <v>453</v>
      </c>
      <c r="E31" s="412"/>
      <c r="F31" s="786"/>
      <c r="G31" s="2288"/>
      <c r="H31" s="2288"/>
      <c r="I31" s="2288"/>
      <c r="J31" s="2288"/>
      <c r="K31" s="2288"/>
      <c r="L31" s="2288"/>
      <c r="M31" s="2288"/>
      <c r="N31" s="2288"/>
      <c r="O31" s="2288"/>
      <c r="P31" s="2288"/>
      <c r="Q31" s="2288"/>
      <c r="R31" s="2288"/>
      <c r="S31" s="2288"/>
      <c r="T31" s="2288"/>
      <c r="U31" s="2288"/>
      <c r="V31" s="2288"/>
      <c r="W31" s="2288"/>
      <c r="X31" s="2288"/>
      <c r="Y31" s="2288"/>
      <c r="Z31" s="2288"/>
      <c r="AA31" s="2288"/>
      <c r="AB31" s="2288"/>
      <c r="AC31" s="2288"/>
      <c r="AD31" s="2288"/>
      <c r="AE31" s="2288"/>
      <c r="AF31" s="2288"/>
      <c r="AG31" s="2288"/>
      <c r="AH31" s="2288"/>
      <c r="AI31" s="2288"/>
      <c r="AJ31" s="2288"/>
      <c r="AK31" s="2288"/>
      <c r="AL31" s="2288"/>
      <c r="AM31" s="2288"/>
      <c r="AN31" s="2288"/>
      <c r="AO31" s="2288"/>
      <c r="AP31" s="2288"/>
      <c r="AQ31" s="2288"/>
      <c r="AR31" s="2288"/>
      <c r="AS31" s="2288"/>
      <c r="AT31" s="2288"/>
      <c r="AU31" s="2288"/>
      <c r="AV31" s="2288"/>
      <c r="AW31" s="412"/>
      <c r="AX31" s="786">
        <f t="shared" ref="AX31" ca="1" si="5">SUM(AX28:AX30)</f>
        <v>855.30283783977507</v>
      </c>
      <c r="AY31" s="786">
        <f t="shared" ref="AY31:BF31" ca="1" si="6">SUM(AY28:AY30)</f>
        <v>918.96998324472042</v>
      </c>
      <c r="AZ31" s="786">
        <f t="shared" ca="1" si="6"/>
        <v>1016.3568873081676</v>
      </c>
      <c r="BA31" s="786">
        <f t="shared" ca="1" si="6"/>
        <v>1098.4828604298527</v>
      </c>
      <c r="BB31" s="786">
        <f t="shared" ca="1" si="6"/>
        <v>1155.5340274210844</v>
      </c>
      <c r="BC31" s="786">
        <f t="shared" ca="1" si="6"/>
        <v>1230.3693635327027</v>
      </c>
      <c r="BD31" s="786">
        <f t="shared" ca="1" si="6"/>
        <v>1295.3889917636257</v>
      </c>
      <c r="BE31" s="786">
        <f t="shared" ca="1" si="6"/>
        <v>1368.7842482057417</v>
      </c>
      <c r="BF31" s="786">
        <f t="shared" ca="1" si="6"/>
        <v>1440.8666928559978</v>
      </c>
      <c r="BG31" s="787"/>
      <c r="BH31" s="23"/>
    </row>
    <row r="32" spans="2:60" s="81" customFormat="1" x14ac:dyDescent="0.2">
      <c r="B32" s="782"/>
      <c r="C32" s="783" t="s">
        <v>417</v>
      </c>
      <c r="D32" s="783" t="str">
        <f>INDEX(Vectors[Description], MATCH($C32, Vectors[Code], 0))</f>
        <v>Coal oversupply (imports)</v>
      </c>
      <c r="E32" s="412"/>
      <c r="F32" s="784"/>
      <c r="G32" s="2287"/>
      <c r="H32" s="2287"/>
      <c r="I32" s="2287"/>
      <c r="J32" s="2287"/>
      <c r="K32" s="2287"/>
      <c r="L32" s="2287"/>
      <c r="M32" s="2287"/>
      <c r="N32" s="2287"/>
      <c r="O32" s="2287"/>
      <c r="P32" s="2287"/>
      <c r="Q32" s="2287"/>
      <c r="R32" s="2287"/>
      <c r="S32" s="2287"/>
      <c r="T32" s="2287"/>
      <c r="U32" s="2287"/>
      <c r="V32" s="2287"/>
      <c r="W32" s="2287"/>
      <c r="X32" s="2287"/>
      <c r="Y32" s="2287"/>
      <c r="Z32" s="2287"/>
      <c r="AA32" s="2287"/>
      <c r="AB32" s="2287"/>
      <c r="AC32" s="2287"/>
      <c r="AD32" s="2287"/>
      <c r="AE32" s="2287"/>
      <c r="AF32" s="2287"/>
      <c r="AG32" s="2287"/>
      <c r="AH32" s="2287"/>
      <c r="AI32" s="2287"/>
      <c r="AJ32" s="2287"/>
      <c r="AK32" s="2287"/>
      <c r="AL32" s="2287"/>
      <c r="AM32" s="2287"/>
      <c r="AN32" s="2287"/>
      <c r="AO32" s="2287"/>
      <c r="AP32" s="2287"/>
      <c r="AQ32" s="2287"/>
      <c r="AR32" s="2287"/>
      <c r="AS32" s="2287"/>
      <c r="AT32" s="2287"/>
      <c r="AU32" s="2287"/>
      <c r="AV32" s="2287"/>
      <c r="AW32" s="412"/>
      <c r="AX32" s="784">
        <f ca="1">-INDEX(INDIRECT("'"&amp;AX$4&amp;"'!Year.NetBalance"), MATCH('Intermediate output'!$C32, INDIRECT("'"&amp;AX$4&amp;"'!Year.Vectors"), 0))</f>
        <v>-8.5753578045170311</v>
      </c>
      <c r="AY32" s="784">
        <f ca="1">-INDEX(INDIRECT("'"&amp;AY$4&amp;"'!Year.NetBalance"), MATCH('Intermediate output'!$C32, INDIRECT("'"&amp;AY$4&amp;"'!Year.Vectors"), 0))</f>
        <v>-9.2489934300115078</v>
      </c>
      <c r="AZ32" s="784">
        <f ca="1">-INDEX(INDIRECT("'"&amp;AZ$4&amp;"'!Year.NetBalance"), MATCH('Intermediate output'!$C32, INDIRECT("'"&amp;AZ$4&amp;"'!Year.Vectors"), 0))</f>
        <v>12.802967336492252</v>
      </c>
      <c r="BA32" s="784">
        <f ca="1">-INDEX(INDIRECT("'"&amp;BA$4&amp;"'!Year.NetBalance"), MATCH('Intermediate output'!$C32, INDIRECT("'"&amp;BA$4&amp;"'!Year.Vectors"), 0))</f>
        <v>99.490481574213163</v>
      </c>
      <c r="BB32" s="784">
        <f ca="1">-INDEX(INDIRECT("'"&amp;BB$4&amp;"'!Year.NetBalance"), MATCH('Intermediate output'!$C32, INDIRECT("'"&amp;BB$4&amp;"'!Year.Vectors"), 0))</f>
        <v>242.6342134525816</v>
      </c>
      <c r="BC32" s="784">
        <f ca="1">-INDEX(INDIRECT("'"&amp;BC$4&amp;"'!Year.NetBalance"), MATCH('Intermediate output'!$C32, INDIRECT("'"&amp;BC$4&amp;"'!Year.Vectors"), 0))</f>
        <v>456.82081828929068</v>
      </c>
      <c r="BD32" s="784">
        <f ca="1">-INDEX(INDIRECT("'"&amp;BD$4&amp;"'!Year.NetBalance"), MATCH('Intermediate output'!$C32, INDIRECT("'"&amp;BD$4&amp;"'!Year.Vectors"), 0))</f>
        <v>684.75114808733497</v>
      </c>
      <c r="BE32" s="784">
        <f ca="1">-INDEX(INDIRECT("'"&amp;BE$4&amp;"'!Year.NetBalance"), MATCH('Intermediate output'!$C32, INDIRECT("'"&amp;BE$4&amp;"'!Year.Vectors"), 0))</f>
        <v>910.97441071750291</v>
      </c>
      <c r="BF32" s="784">
        <f ca="1">-INDEX(INDIRECT("'"&amp;BF$4&amp;"'!Year.NetBalance"), MATCH('Intermediate output'!$C32, INDIRECT("'"&amp;BF$4&amp;"'!Year.Vectors"), 0))</f>
        <v>1137.326775284753</v>
      </c>
      <c r="BG32" s="785"/>
      <c r="BH32" s="367"/>
    </row>
    <row r="33" spans="2:62" s="81" customFormat="1" x14ac:dyDescent="0.2">
      <c r="B33" s="782"/>
      <c r="C33" s="783" t="s">
        <v>425</v>
      </c>
      <c r="D33" s="783" t="str">
        <f>INDEX(Vectors[Description], MATCH($C33, Vectors[Code], 0))</f>
        <v>Coal reserves</v>
      </c>
      <c r="E33" s="412"/>
      <c r="F33" s="784"/>
      <c r="G33" s="2287"/>
      <c r="H33" s="2287"/>
      <c r="I33" s="2287"/>
      <c r="J33" s="2287"/>
      <c r="K33" s="2287"/>
      <c r="L33" s="2287"/>
      <c r="M33" s="2287"/>
      <c r="N33" s="2287"/>
      <c r="O33" s="2287"/>
      <c r="P33" s="2287"/>
      <c r="Q33" s="2287"/>
      <c r="R33" s="2287"/>
      <c r="S33" s="2287"/>
      <c r="T33" s="2287"/>
      <c r="U33" s="2287"/>
      <c r="V33" s="2287"/>
      <c r="W33" s="2287"/>
      <c r="X33" s="2287"/>
      <c r="Y33" s="2287"/>
      <c r="Z33" s="2287"/>
      <c r="AA33" s="2287"/>
      <c r="AB33" s="2287"/>
      <c r="AC33" s="2287"/>
      <c r="AD33" s="2287"/>
      <c r="AE33" s="2287"/>
      <c r="AF33" s="2287"/>
      <c r="AG33" s="2287"/>
      <c r="AH33" s="2287"/>
      <c r="AI33" s="2287"/>
      <c r="AJ33" s="2287"/>
      <c r="AK33" s="2287"/>
      <c r="AL33" s="2287"/>
      <c r="AM33" s="2287"/>
      <c r="AN33" s="2287"/>
      <c r="AO33" s="2287"/>
      <c r="AP33" s="2287"/>
      <c r="AQ33" s="2287"/>
      <c r="AR33" s="2287"/>
      <c r="AS33" s="2287"/>
      <c r="AT33" s="2287"/>
      <c r="AU33" s="2287"/>
      <c r="AV33" s="2287"/>
      <c r="AW33" s="412"/>
      <c r="AX33" s="784">
        <f ca="1">-INDEX(INDIRECT("'"&amp;AX$4&amp;"'!Year.NetBalance"), MATCH('Intermediate output'!$C33, INDIRECT("'"&amp;AX$4&amp;"'!Year.Vectors"), 0))</f>
        <v>6.17215067274</v>
      </c>
      <c r="AY33" s="784">
        <f ca="1">-INDEX(INDIRECT("'"&amp;AY$4&amp;"'!Year.NetBalance"), MATCH('Intermediate output'!$C33, INDIRECT("'"&amp;AY$4&amp;"'!Year.Vectors"), 0))</f>
        <v>6.17215067274</v>
      </c>
      <c r="AZ33" s="784">
        <f ca="1">-INDEX(INDIRECT("'"&amp;AZ$4&amp;"'!Year.NetBalance"), MATCH('Intermediate output'!$C33, INDIRECT("'"&amp;AZ$4&amp;"'!Year.Vectors"), 0))</f>
        <v>7.17215067274</v>
      </c>
      <c r="BA33" s="784">
        <f ca="1">-INDEX(INDIRECT("'"&amp;BA$4&amp;"'!Year.NetBalance"), MATCH('Intermediate output'!$C33, INDIRECT("'"&amp;BA$4&amp;"'!Year.Vectors"), 0))</f>
        <v>17.5</v>
      </c>
      <c r="BB33" s="784">
        <f ca="1">-INDEX(INDIRECT("'"&amp;BB$4&amp;"'!Year.NetBalance"), MATCH('Intermediate output'!$C33, INDIRECT("'"&amp;BB$4&amp;"'!Year.Vectors"), 0))</f>
        <v>34</v>
      </c>
      <c r="BC33" s="784">
        <f ca="1">-INDEX(INDIRECT("'"&amp;BC$4&amp;"'!Year.NetBalance"), MATCH('Intermediate output'!$C33, INDIRECT("'"&amp;BC$4&amp;"'!Year.Vectors"), 0))</f>
        <v>50.5</v>
      </c>
      <c r="BD33" s="784">
        <f ca="1">-INDEX(INDIRECT("'"&amp;BD$4&amp;"'!Year.NetBalance"), MATCH('Intermediate output'!$C33, INDIRECT("'"&amp;BD$4&amp;"'!Year.Vectors"), 0))</f>
        <v>67</v>
      </c>
      <c r="BE33" s="784">
        <f ca="1">-INDEX(INDIRECT("'"&amp;BE$4&amp;"'!Year.NetBalance"), MATCH('Intermediate output'!$C33, INDIRECT("'"&amp;BE$4&amp;"'!Year.Vectors"), 0))</f>
        <v>83.5</v>
      </c>
      <c r="BF33" s="784">
        <f ca="1">-INDEX(INDIRECT("'"&amp;BF$4&amp;"'!Year.NetBalance"), MATCH('Intermediate output'!$C33, INDIRECT("'"&amp;BF$4&amp;"'!Year.Vectors"), 0))</f>
        <v>100</v>
      </c>
      <c r="BG33" s="785"/>
      <c r="BH33" s="367"/>
    </row>
    <row r="34" spans="2:62" s="38" customFormat="1" x14ac:dyDescent="0.2">
      <c r="B34" s="410"/>
      <c r="C34" s="412"/>
      <c r="D34" s="412" t="s">
        <v>104</v>
      </c>
      <c r="E34" s="412"/>
      <c r="F34" s="786"/>
      <c r="G34" s="2288"/>
      <c r="H34" s="2288"/>
      <c r="I34" s="2288"/>
      <c r="J34" s="2288"/>
      <c r="K34" s="2288"/>
      <c r="L34" s="2288"/>
      <c r="M34" s="2288"/>
      <c r="N34" s="2288"/>
      <c r="O34" s="2288"/>
      <c r="P34" s="2288"/>
      <c r="Q34" s="2288"/>
      <c r="R34" s="2288"/>
      <c r="S34" s="2288"/>
      <c r="T34" s="2288"/>
      <c r="U34" s="2288"/>
      <c r="V34" s="2288"/>
      <c r="W34" s="2288"/>
      <c r="X34" s="2288"/>
      <c r="Y34" s="2288"/>
      <c r="Z34" s="2288"/>
      <c r="AA34" s="2288"/>
      <c r="AB34" s="2288"/>
      <c r="AC34" s="2288"/>
      <c r="AD34" s="2288"/>
      <c r="AE34" s="2288"/>
      <c r="AF34" s="2288"/>
      <c r="AG34" s="2288"/>
      <c r="AH34" s="2288"/>
      <c r="AI34" s="2288"/>
      <c r="AJ34" s="2288"/>
      <c r="AK34" s="2288"/>
      <c r="AL34" s="2288"/>
      <c r="AM34" s="2288"/>
      <c r="AN34" s="2288"/>
      <c r="AO34" s="2288"/>
      <c r="AP34" s="2288"/>
      <c r="AQ34" s="2288"/>
      <c r="AR34" s="2288"/>
      <c r="AS34" s="2288"/>
      <c r="AT34" s="2288"/>
      <c r="AU34" s="2288"/>
      <c r="AV34" s="2288"/>
      <c r="AW34" s="412"/>
      <c r="AX34" s="786">
        <f t="shared" ref="AX34" ca="1" si="7">SUM(AX32:AX33)</f>
        <v>-2.4032071317770312</v>
      </c>
      <c r="AY34" s="786">
        <f t="shared" ref="AY34:BF34" ca="1" si="8">SUM(AY32:AY33)</f>
        <v>-3.0768427572715078</v>
      </c>
      <c r="AZ34" s="786">
        <f t="shared" ca="1" si="8"/>
        <v>19.975118009232251</v>
      </c>
      <c r="BA34" s="786">
        <f t="shared" ca="1" si="8"/>
        <v>116.99048157421316</v>
      </c>
      <c r="BB34" s="786">
        <f t="shared" ca="1" si="8"/>
        <v>276.6342134525816</v>
      </c>
      <c r="BC34" s="786">
        <f t="shared" ca="1" si="8"/>
        <v>507.32081828929068</v>
      </c>
      <c r="BD34" s="786">
        <f t="shared" ca="1" si="8"/>
        <v>751.75114808733497</v>
      </c>
      <c r="BE34" s="786">
        <f t="shared" ca="1" si="8"/>
        <v>994.47441071750291</v>
      </c>
      <c r="BF34" s="786">
        <f t="shared" ca="1" si="8"/>
        <v>1237.326775284753</v>
      </c>
      <c r="BG34" s="787"/>
      <c r="BH34" s="23"/>
    </row>
    <row r="35" spans="2:62" s="81" customFormat="1" x14ac:dyDescent="0.2">
      <c r="B35" s="782"/>
      <c r="C35" s="783" t="s">
        <v>426</v>
      </c>
      <c r="D35" s="783" t="str">
        <f>INDEX(Vectors[Description], MATCH($C35, Vectors[Code], 0))</f>
        <v>Oil reserves</v>
      </c>
      <c r="E35" s="412"/>
      <c r="F35" s="784"/>
      <c r="G35" s="2287"/>
      <c r="H35" s="2287"/>
      <c r="I35" s="2287"/>
      <c r="J35" s="2287"/>
      <c r="K35" s="2287"/>
      <c r="L35" s="2287"/>
      <c r="M35" s="2287"/>
      <c r="N35" s="2287"/>
      <c r="O35" s="2287"/>
      <c r="P35" s="2287"/>
      <c r="Q35" s="2287"/>
      <c r="R35" s="2287"/>
      <c r="S35" s="2287"/>
      <c r="T35" s="2287"/>
      <c r="U35" s="2287"/>
      <c r="V35" s="2287"/>
      <c r="W35" s="2287"/>
      <c r="X35" s="2287"/>
      <c r="Y35" s="2287"/>
      <c r="Z35" s="2287"/>
      <c r="AA35" s="2287"/>
      <c r="AB35" s="2287"/>
      <c r="AC35" s="2287"/>
      <c r="AD35" s="2287"/>
      <c r="AE35" s="2287"/>
      <c r="AF35" s="2287"/>
      <c r="AG35" s="2287"/>
      <c r="AH35" s="2287"/>
      <c r="AI35" s="2287"/>
      <c r="AJ35" s="2287"/>
      <c r="AK35" s="2287"/>
      <c r="AL35" s="2287"/>
      <c r="AM35" s="2287"/>
      <c r="AN35" s="2287"/>
      <c r="AO35" s="2287"/>
      <c r="AP35" s="2287"/>
      <c r="AQ35" s="2287"/>
      <c r="AR35" s="2287"/>
      <c r="AS35" s="2287"/>
      <c r="AT35" s="2287"/>
      <c r="AU35" s="2287"/>
      <c r="AV35" s="2287"/>
      <c r="AW35" s="412"/>
      <c r="AX35" s="784">
        <f ca="1">-INDEX(INDIRECT("'"&amp;AX$4&amp;"'!Year.NetBalance"), MATCH('Intermediate output'!$C35, INDIRECT("'"&amp;AX$4&amp;"'!Year.Vectors"), 0))</f>
        <v>1458.9378638800001</v>
      </c>
      <c r="AY35" s="784">
        <f ca="1">-INDEX(INDIRECT("'"&amp;AY$4&amp;"'!Year.NetBalance"), MATCH('Intermediate output'!$C35, INDIRECT("'"&amp;AY$4&amp;"'!Year.Vectors"), 0))</f>
        <v>1458.9378638800001</v>
      </c>
      <c r="AZ35" s="784">
        <f ca="1">-INDEX(INDIRECT("'"&amp;AZ$4&amp;"'!Year.NetBalance"), MATCH('Intermediate output'!$C35, INDIRECT("'"&amp;AZ$4&amp;"'!Year.Vectors"), 0))</f>
        <v>1448.5168791380001</v>
      </c>
      <c r="BA35" s="784">
        <f ca="1">-INDEX(INDIRECT("'"&amp;BA$4&amp;"'!Year.NetBalance"), MATCH('Intermediate output'!$C35, INDIRECT("'"&amp;BA$4&amp;"'!Year.Vectors"), 0))</f>
        <v>1438.0958943960002</v>
      </c>
      <c r="BB35" s="784">
        <f ca="1">-INDEX(INDIRECT("'"&amp;BB$4&amp;"'!Year.NetBalance"), MATCH('Intermediate output'!$C35, INDIRECT("'"&amp;BB$4&amp;"'!Year.Vectors"), 0))</f>
        <v>1427.6749096540002</v>
      </c>
      <c r="BC35" s="784">
        <f ca="1">-INDEX(INDIRECT("'"&amp;BC$4&amp;"'!Year.NetBalance"), MATCH('Intermediate output'!$C35, INDIRECT("'"&amp;BC$4&amp;"'!Year.Vectors"), 0))</f>
        <v>1417.253924912</v>
      </c>
      <c r="BD35" s="784">
        <f ca="1">-INDEX(INDIRECT("'"&amp;BD$4&amp;"'!Year.NetBalance"), MATCH('Intermediate output'!$C35, INDIRECT("'"&amp;BD$4&amp;"'!Year.Vectors"), 0))</f>
        <v>1406.83294017</v>
      </c>
      <c r="BE35" s="784">
        <f ca="1">-INDEX(INDIRECT("'"&amp;BE$4&amp;"'!Year.NetBalance"), MATCH('Intermediate output'!$C35, INDIRECT("'"&amp;BE$4&amp;"'!Year.Vectors"), 0))</f>
        <v>1396.4119554280001</v>
      </c>
      <c r="BF35" s="784">
        <f ca="1">-INDEX(INDIRECT("'"&amp;BF$4&amp;"'!Year.NetBalance"), MATCH('Intermediate output'!$C35, INDIRECT("'"&amp;BF$4&amp;"'!Year.Vectors"), 0))</f>
        <v>1385.9909706860001</v>
      </c>
      <c r="BG35" s="785"/>
      <c r="BH35" s="367"/>
    </row>
    <row r="36" spans="2:62" s="81" customFormat="1" x14ac:dyDescent="0.2">
      <c r="B36" s="782"/>
      <c r="C36" s="783" t="s">
        <v>418</v>
      </c>
      <c r="D36" s="783" t="str">
        <f>INDEX(Vectors[Description], MATCH($C36, Vectors[Code], 0))</f>
        <v>Oil and petroleum products oversupply (imports)</v>
      </c>
      <c r="E36" s="412"/>
      <c r="F36" s="784"/>
      <c r="G36" s="2287"/>
      <c r="H36" s="2287"/>
      <c r="I36" s="2287"/>
      <c r="J36" s="2287"/>
      <c r="K36" s="2287"/>
      <c r="L36" s="2287"/>
      <c r="M36" s="2287"/>
      <c r="N36" s="2287"/>
      <c r="O36" s="2287"/>
      <c r="P36" s="2287"/>
      <c r="Q36" s="2287"/>
      <c r="R36" s="2287"/>
      <c r="S36" s="2287"/>
      <c r="T36" s="2287"/>
      <c r="U36" s="2287"/>
      <c r="V36" s="2287"/>
      <c r="W36" s="2287"/>
      <c r="X36" s="2287"/>
      <c r="Y36" s="2287"/>
      <c r="Z36" s="2287"/>
      <c r="AA36" s="2287"/>
      <c r="AB36" s="2287"/>
      <c r="AC36" s="2287"/>
      <c r="AD36" s="2287"/>
      <c r="AE36" s="2287"/>
      <c r="AF36" s="2287"/>
      <c r="AG36" s="2287"/>
      <c r="AH36" s="2287"/>
      <c r="AI36" s="2287"/>
      <c r="AJ36" s="2287"/>
      <c r="AK36" s="2287"/>
      <c r="AL36" s="2287"/>
      <c r="AM36" s="2287"/>
      <c r="AN36" s="2287"/>
      <c r="AO36" s="2287"/>
      <c r="AP36" s="2287"/>
      <c r="AQ36" s="2287"/>
      <c r="AR36" s="2287"/>
      <c r="AS36" s="2287"/>
      <c r="AT36" s="2287"/>
      <c r="AU36" s="2287"/>
      <c r="AV36" s="2287"/>
      <c r="AW36" s="412"/>
      <c r="AX36" s="784">
        <f ca="1">-INDEX(INDIRECT("'"&amp;AX$4&amp;"'!Year.NetBalance"), MATCH('Intermediate output'!$C36, INDIRECT("'"&amp;AX$4&amp;"'!Year.Vectors"), 0))</f>
        <v>-1157.6931375681877</v>
      </c>
      <c r="AY36" s="784">
        <f ca="1">-INDEX(INDIRECT("'"&amp;AY$4&amp;"'!Year.NetBalance"), MATCH('Intermediate output'!$C36, INDIRECT("'"&amp;AY$4&amp;"'!Year.Vectors"), 0))</f>
        <v>-1149.7344121527788</v>
      </c>
      <c r="AZ36" s="784">
        <f ca="1">-INDEX(INDIRECT("'"&amp;AZ$4&amp;"'!Year.NetBalance"), MATCH('Intermediate output'!$C36, INDIRECT("'"&amp;AZ$4&amp;"'!Year.Vectors"), 0))</f>
        <v>-1227.1576089524019</v>
      </c>
      <c r="BA36" s="784">
        <f ca="1">-INDEX(INDIRECT("'"&amp;BA$4&amp;"'!Year.NetBalance"), MATCH('Intermediate output'!$C36, INDIRECT("'"&amp;BA$4&amp;"'!Year.Vectors"), 0))</f>
        <v>-1249.7383851892039</v>
      </c>
      <c r="BB36" s="784">
        <f ca="1">-INDEX(INDIRECT("'"&amp;BB$4&amp;"'!Year.NetBalance"), MATCH('Intermediate output'!$C36, INDIRECT("'"&amp;BB$4&amp;"'!Year.Vectors"), 0))</f>
        <v>-1236.8760812278265</v>
      </c>
      <c r="BC36" s="784">
        <f ca="1">-INDEX(INDIRECT("'"&amp;BC$4&amp;"'!Year.NetBalance"), MATCH('Intermediate output'!$C36, INDIRECT("'"&amp;BC$4&amp;"'!Year.Vectors"), 0))</f>
        <v>-1218.9427494342538</v>
      </c>
      <c r="BD36" s="784">
        <f ca="1">-INDEX(INDIRECT("'"&amp;BD$4&amp;"'!Year.NetBalance"), MATCH('Intermediate output'!$C36, INDIRECT("'"&amp;BD$4&amp;"'!Year.Vectors"), 0))</f>
        <v>-1209.0359722031728</v>
      </c>
      <c r="BE36" s="784">
        <f ca="1">-INDEX(INDIRECT("'"&amp;BE$4&amp;"'!Year.NetBalance"), MATCH('Intermediate output'!$C36, INDIRECT("'"&amp;BE$4&amp;"'!Year.Vectors"), 0))</f>
        <v>-1200.1404622232553</v>
      </c>
      <c r="BF36" s="784">
        <f ca="1">-INDEX(INDIRECT("'"&amp;BF$4&amp;"'!Year.NetBalance"), MATCH('Intermediate output'!$C36, INDIRECT("'"&amp;BF$4&amp;"'!Year.Vectors"), 0))</f>
        <v>-1194.23446134643</v>
      </c>
      <c r="BG36" s="785"/>
      <c r="BH36" s="367"/>
    </row>
    <row r="37" spans="2:62" s="81" customFormat="1" x14ac:dyDescent="0.2">
      <c r="B37" s="782"/>
      <c r="C37" s="783" t="s">
        <v>323</v>
      </c>
      <c r="D37" s="783" t="str">
        <f>INDEX(Vectors[Description], MATCH($C37, Vectors[Code], 0))</f>
        <v>Petroleum products oversupply</v>
      </c>
      <c r="E37" s="412"/>
      <c r="F37" s="784"/>
      <c r="G37" s="2287"/>
      <c r="H37" s="2287"/>
      <c r="I37" s="2287"/>
      <c r="J37" s="2287"/>
      <c r="K37" s="2287"/>
      <c r="L37" s="2287"/>
      <c r="M37" s="2287"/>
      <c r="N37" s="2287"/>
      <c r="O37" s="2287"/>
      <c r="P37" s="2287"/>
      <c r="Q37" s="2287"/>
      <c r="R37" s="2287"/>
      <c r="S37" s="2287"/>
      <c r="T37" s="2287"/>
      <c r="U37" s="2287"/>
      <c r="V37" s="2287"/>
      <c r="W37" s="2287"/>
      <c r="X37" s="2287"/>
      <c r="Y37" s="2287"/>
      <c r="Z37" s="2287"/>
      <c r="AA37" s="2287"/>
      <c r="AB37" s="2287"/>
      <c r="AC37" s="2287"/>
      <c r="AD37" s="2287"/>
      <c r="AE37" s="2287"/>
      <c r="AF37" s="2287"/>
      <c r="AG37" s="2287"/>
      <c r="AH37" s="2287"/>
      <c r="AI37" s="2287"/>
      <c r="AJ37" s="2287"/>
      <c r="AK37" s="2287"/>
      <c r="AL37" s="2287"/>
      <c r="AM37" s="2287"/>
      <c r="AN37" s="2287"/>
      <c r="AO37" s="2287"/>
      <c r="AP37" s="2287"/>
      <c r="AQ37" s="2287"/>
      <c r="AR37" s="2287"/>
      <c r="AS37" s="2287"/>
      <c r="AT37" s="2287"/>
      <c r="AU37" s="2287"/>
      <c r="AV37" s="2287"/>
      <c r="AW37" s="412"/>
      <c r="AX37" s="784">
        <f ca="1">-INDEX(INDIRECT("'"&amp;AX$4&amp;"'!Year.NetBalance"), MATCH('Intermediate output'!$C37, INDIRECT("'"&amp;AX$4&amp;"'!Year.Vectors"), 0))</f>
        <v>0</v>
      </c>
      <c r="AY37" s="784">
        <f ca="1">-INDEX(INDIRECT("'"&amp;AY$4&amp;"'!Year.NetBalance"), MATCH('Intermediate output'!$C37, INDIRECT("'"&amp;AY$4&amp;"'!Year.Vectors"), 0))</f>
        <v>0</v>
      </c>
      <c r="AZ37" s="784">
        <f ca="1">-INDEX(INDIRECT("'"&amp;AZ$4&amp;"'!Year.NetBalance"), MATCH('Intermediate output'!$C37, INDIRECT("'"&amp;AZ$4&amp;"'!Year.Vectors"), 0))</f>
        <v>0</v>
      </c>
      <c r="BA37" s="784">
        <f ca="1">-INDEX(INDIRECT("'"&amp;BA$4&amp;"'!Year.NetBalance"), MATCH('Intermediate output'!$C37, INDIRECT("'"&amp;BA$4&amp;"'!Year.Vectors"), 0))</f>
        <v>0</v>
      </c>
      <c r="BB37" s="784">
        <f ca="1">-INDEX(INDIRECT("'"&amp;BB$4&amp;"'!Year.NetBalance"), MATCH('Intermediate output'!$C37, INDIRECT("'"&amp;BB$4&amp;"'!Year.Vectors"), 0))</f>
        <v>0</v>
      </c>
      <c r="BC37" s="784">
        <f ca="1">-INDEX(INDIRECT("'"&amp;BC$4&amp;"'!Year.NetBalance"), MATCH('Intermediate output'!$C37, INDIRECT("'"&amp;BC$4&amp;"'!Year.Vectors"), 0))</f>
        <v>0</v>
      </c>
      <c r="BD37" s="784">
        <f ca="1">-INDEX(INDIRECT("'"&amp;BD$4&amp;"'!Year.NetBalance"), MATCH('Intermediate output'!$C37, INDIRECT("'"&amp;BD$4&amp;"'!Year.Vectors"), 0))</f>
        <v>0</v>
      </c>
      <c r="BE37" s="784">
        <f ca="1">-INDEX(INDIRECT("'"&amp;BE$4&amp;"'!Year.NetBalance"), MATCH('Intermediate output'!$C37, INDIRECT("'"&amp;BE$4&amp;"'!Year.Vectors"), 0))</f>
        <v>0</v>
      </c>
      <c r="BF37" s="784">
        <f ca="1">-INDEX(INDIRECT("'"&amp;BF$4&amp;"'!Year.NetBalance"), MATCH('Intermediate output'!$C37, INDIRECT("'"&amp;BF$4&amp;"'!Year.Vectors"), 0))</f>
        <v>0</v>
      </c>
      <c r="BG37" s="785"/>
      <c r="BH37" s="367"/>
    </row>
    <row r="38" spans="2:62" s="38" customFormat="1" x14ac:dyDescent="0.2">
      <c r="B38" s="410"/>
      <c r="C38" s="412"/>
      <c r="D38" s="412" t="s">
        <v>650</v>
      </c>
      <c r="E38" s="412"/>
      <c r="F38" s="786"/>
      <c r="G38" s="2288"/>
      <c r="H38" s="2288"/>
      <c r="I38" s="2288"/>
      <c r="J38" s="2288"/>
      <c r="K38" s="2288"/>
      <c r="L38" s="2288"/>
      <c r="M38" s="2288"/>
      <c r="N38" s="2288"/>
      <c r="O38" s="2288"/>
      <c r="P38" s="2288"/>
      <c r="Q38" s="2288"/>
      <c r="R38" s="2288"/>
      <c r="S38" s="2288"/>
      <c r="T38" s="2288"/>
      <c r="U38" s="2288"/>
      <c r="V38" s="2288"/>
      <c r="W38" s="2288"/>
      <c r="X38" s="2288"/>
      <c r="Y38" s="2288"/>
      <c r="Z38" s="2288"/>
      <c r="AA38" s="2288"/>
      <c r="AB38" s="2288"/>
      <c r="AC38" s="2288"/>
      <c r="AD38" s="2288"/>
      <c r="AE38" s="2288"/>
      <c r="AF38" s="2288"/>
      <c r="AG38" s="2288"/>
      <c r="AH38" s="2288"/>
      <c r="AI38" s="2288"/>
      <c r="AJ38" s="2288"/>
      <c r="AK38" s="2288"/>
      <c r="AL38" s="2288"/>
      <c r="AM38" s="2288"/>
      <c r="AN38" s="2288"/>
      <c r="AO38" s="2288"/>
      <c r="AP38" s="2288"/>
      <c r="AQ38" s="2288"/>
      <c r="AR38" s="2288"/>
      <c r="AS38" s="2288"/>
      <c r="AT38" s="2288"/>
      <c r="AU38" s="2288"/>
      <c r="AV38" s="2288"/>
      <c r="AW38" s="412"/>
      <c r="AX38" s="786">
        <f t="shared" ref="AX38" ca="1" si="9">SUM(AX35:AX37)</f>
        <v>301.24472631181243</v>
      </c>
      <c r="AY38" s="786">
        <f t="shared" ref="AY38:BF38" ca="1" si="10">SUM(AY35:AY37)</f>
        <v>309.20345172722136</v>
      </c>
      <c r="AZ38" s="786">
        <f t="shared" ca="1" si="10"/>
        <v>221.35927018559823</v>
      </c>
      <c r="BA38" s="786">
        <f t="shared" ca="1" si="10"/>
        <v>188.35750920679629</v>
      </c>
      <c r="BB38" s="786">
        <f t="shared" ca="1" si="10"/>
        <v>190.79882842617371</v>
      </c>
      <c r="BC38" s="786">
        <f t="shared" ca="1" si="10"/>
        <v>198.31117547774625</v>
      </c>
      <c r="BD38" s="786">
        <f t="shared" ca="1" si="10"/>
        <v>197.7969679668272</v>
      </c>
      <c r="BE38" s="786">
        <f t="shared" ca="1" si="10"/>
        <v>196.27149320474473</v>
      </c>
      <c r="BF38" s="786">
        <f t="shared" ca="1" si="10"/>
        <v>191.75650933957013</v>
      </c>
      <c r="BG38" s="787"/>
      <c r="BH38" s="615"/>
    </row>
    <row r="39" spans="2:62" s="81" customFormat="1" x14ac:dyDescent="0.2">
      <c r="B39" s="782"/>
      <c r="C39" s="783" t="s">
        <v>419</v>
      </c>
      <c r="D39" s="783" t="str">
        <f>INDEX(Vectors[Description], MATCH($C39, Vectors[Code], 0))</f>
        <v>Gas oversupply (imports)</v>
      </c>
      <c r="E39" s="412"/>
      <c r="F39" s="784"/>
      <c r="G39" s="2287"/>
      <c r="H39" s="2287"/>
      <c r="I39" s="2287"/>
      <c r="J39" s="2287"/>
      <c r="K39" s="2287"/>
      <c r="L39" s="2287"/>
      <c r="M39" s="2287"/>
      <c r="N39" s="2287"/>
      <c r="O39" s="2287"/>
      <c r="P39" s="2287"/>
      <c r="Q39" s="2287"/>
      <c r="R39" s="2287"/>
      <c r="S39" s="2287"/>
      <c r="T39" s="2287"/>
      <c r="U39" s="2287"/>
      <c r="V39" s="2287"/>
      <c r="W39" s="2287"/>
      <c r="X39" s="2287"/>
      <c r="Y39" s="2287"/>
      <c r="Z39" s="2287"/>
      <c r="AA39" s="2287"/>
      <c r="AB39" s="2287"/>
      <c r="AC39" s="2287"/>
      <c r="AD39" s="2287"/>
      <c r="AE39" s="2287"/>
      <c r="AF39" s="2287"/>
      <c r="AG39" s="2287"/>
      <c r="AH39" s="2287"/>
      <c r="AI39" s="2287"/>
      <c r="AJ39" s="2287"/>
      <c r="AK39" s="2287"/>
      <c r="AL39" s="2287"/>
      <c r="AM39" s="2287"/>
      <c r="AN39" s="2287"/>
      <c r="AO39" s="2287"/>
      <c r="AP39" s="2287"/>
      <c r="AQ39" s="2287"/>
      <c r="AR39" s="2287"/>
      <c r="AS39" s="2287"/>
      <c r="AT39" s="2287"/>
      <c r="AU39" s="2287"/>
      <c r="AV39" s="2287"/>
      <c r="AW39" s="412"/>
      <c r="AX39" s="784">
        <f ca="1">-INDEX(INDIRECT("'"&amp;AX$4&amp;"'!Year.NetBalance"), MATCH('Intermediate output'!$C39, INDIRECT("'"&amp;AX$4&amp;"'!Year.Vectors"), 0))</f>
        <v>-711.34280526370412</v>
      </c>
      <c r="AY39" s="784">
        <f ca="1">-INDEX(INDIRECT("'"&amp;AY$4&amp;"'!Year.NetBalance"), MATCH('Intermediate output'!$C39, INDIRECT("'"&amp;AY$4&amp;"'!Year.Vectors"), 0))</f>
        <v>-801.22020347427303</v>
      </c>
      <c r="AZ39" s="784">
        <f ca="1">-INDEX(INDIRECT("'"&amp;AZ$4&amp;"'!Year.NetBalance"), MATCH('Intermediate output'!$C39, INDIRECT("'"&amp;AZ$4&amp;"'!Year.Vectors"), 0))</f>
        <v>-752.15463096912265</v>
      </c>
      <c r="BA39" s="784">
        <f ca="1">-INDEX(INDIRECT("'"&amp;BA$4&amp;"'!Year.NetBalance"), MATCH('Intermediate output'!$C39, INDIRECT("'"&amp;BA$4&amp;"'!Year.Vectors"), 0))</f>
        <v>-812.12413603411949</v>
      </c>
      <c r="BB39" s="784">
        <f ca="1">-INDEX(INDIRECT("'"&amp;BB$4&amp;"'!Year.NetBalance"), MATCH('Intermediate output'!$C39, INDIRECT("'"&amp;BB$4&amp;"'!Year.Vectors"), 0))</f>
        <v>-796.25859949857295</v>
      </c>
      <c r="BC39" s="784">
        <f ca="1">-INDEX(INDIRECT("'"&amp;BC$4&amp;"'!Year.NetBalance"), MATCH('Intermediate output'!$C39, INDIRECT("'"&amp;BC$4&amp;"'!Year.Vectors"), 0))</f>
        <v>-737.01762134814498</v>
      </c>
      <c r="BD39" s="784">
        <f ca="1">-INDEX(INDIRECT("'"&amp;BD$4&amp;"'!Year.NetBalance"), MATCH('Intermediate output'!$C39, INDIRECT("'"&amp;BD$4&amp;"'!Year.Vectors"), 0))</f>
        <v>-680.10495621215239</v>
      </c>
      <c r="BE39" s="784">
        <f ca="1">-INDEX(INDIRECT("'"&amp;BE$4&amp;"'!Year.NetBalance"), MATCH('Intermediate output'!$C39, INDIRECT("'"&amp;BE$4&amp;"'!Year.Vectors"), 0))</f>
        <v>-630.16605326473041</v>
      </c>
      <c r="BF39" s="784">
        <f ca="1">-INDEX(INDIRECT("'"&amp;BF$4&amp;"'!Year.NetBalance"), MATCH('Intermediate output'!$C39, INDIRECT("'"&amp;BF$4&amp;"'!Year.Vectors"), 0))</f>
        <v>-580.45941618119616</v>
      </c>
      <c r="BG39" s="785"/>
      <c r="BH39" s="367"/>
    </row>
    <row r="40" spans="2:62" s="81" customFormat="1" x14ac:dyDescent="0.2">
      <c r="B40" s="782"/>
      <c r="C40" s="783" t="s">
        <v>427</v>
      </c>
      <c r="D40" s="783" t="str">
        <f>INDEX(Vectors[Description], MATCH($C40, Vectors[Code], 0))</f>
        <v>Gas reserves</v>
      </c>
      <c r="E40" s="412"/>
      <c r="F40" s="784"/>
      <c r="G40" s="2287"/>
      <c r="H40" s="2287"/>
      <c r="I40" s="2287"/>
      <c r="J40" s="2287"/>
      <c r="K40" s="2287"/>
      <c r="L40" s="2287"/>
      <c r="M40" s="2287"/>
      <c r="N40" s="2287"/>
      <c r="O40" s="2287"/>
      <c r="P40" s="2287"/>
      <c r="Q40" s="2287"/>
      <c r="R40" s="2287"/>
      <c r="S40" s="2287"/>
      <c r="T40" s="2287"/>
      <c r="U40" s="2287"/>
      <c r="V40" s="2287"/>
      <c r="W40" s="2287"/>
      <c r="X40" s="2287"/>
      <c r="Y40" s="2287"/>
      <c r="Z40" s="2287"/>
      <c r="AA40" s="2287"/>
      <c r="AB40" s="2287"/>
      <c r="AC40" s="2287"/>
      <c r="AD40" s="2287"/>
      <c r="AE40" s="2287"/>
      <c r="AF40" s="2287"/>
      <c r="AG40" s="2287"/>
      <c r="AH40" s="2287"/>
      <c r="AI40" s="2287"/>
      <c r="AJ40" s="2287"/>
      <c r="AK40" s="2287"/>
      <c r="AL40" s="2287"/>
      <c r="AM40" s="2287"/>
      <c r="AN40" s="2287"/>
      <c r="AO40" s="2287"/>
      <c r="AP40" s="2287"/>
      <c r="AQ40" s="2287"/>
      <c r="AR40" s="2287"/>
      <c r="AS40" s="2287"/>
      <c r="AT40" s="2287"/>
      <c r="AU40" s="2287"/>
      <c r="AV40" s="2287"/>
      <c r="AW40" s="412"/>
      <c r="AX40" s="784">
        <f ca="1">-INDEX(INDIRECT("'"&amp;AX$4&amp;"'!Year.NetBalance"), MATCH('Intermediate output'!$C40, INDIRECT("'"&amp;AX$4&amp;"'!Year.Vectors"), 0))</f>
        <v>761.432111111111</v>
      </c>
      <c r="AY40" s="784">
        <f ca="1">-INDEX(INDIRECT("'"&amp;AY$4&amp;"'!Year.NetBalance"), MATCH('Intermediate output'!$C40, INDIRECT("'"&amp;AY$4&amp;"'!Year.Vectors"), 0))</f>
        <v>844.92033333333336</v>
      </c>
      <c r="AZ40" s="784">
        <f ca="1">-INDEX(INDIRECT("'"&amp;AZ$4&amp;"'!Year.NetBalance"), MATCH('Intermediate output'!$C40, INDIRECT("'"&amp;AZ$4&amp;"'!Year.Vectors"), 0))</f>
        <v>860.64599999999996</v>
      </c>
      <c r="BA40" s="784">
        <f ca="1">-INDEX(INDIRECT("'"&amp;BA$4&amp;"'!Year.NetBalance"), MATCH('Intermediate output'!$C40, INDIRECT("'"&amp;BA$4&amp;"'!Year.Vectors"), 0))</f>
        <v>876.37166666666667</v>
      </c>
      <c r="BB40" s="784">
        <f ca="1">-INDEX(INDIRECT("'"&amp;BB$4&amp;"'!Year.NetBalance"), MATCH('Intermediate output'!$C40, INDIRECT("'"&amp;BB$4&amp;"'!Year.Vectors"), 0))</f>
        <v>892.09733333333338</v>
      </c>
      <c r="BC40" s="784">
        <f ca="1">-INDEX(INDIRECT("'"&amp;BC$4&amp;"'!Year.NetBalance"), MATCH('Intermediate output'!$C40, INDIRECT("'"&amp;BC$4&amp;"'!Year.Vectors"), 0))</f>
        <v>907.82299999999998</v>
      </c>
      <c r="BD40" s="784">
        <f ca="1">-INDEX(INDIRECT("'"&amp;BD$4&amp;"'!Year.NetBalance"), MATCH('Intermediate output'!$C40, INDIRECT("'"&amp;BD$4&amp;"'!Year.Vectors"), 0))</f>
        <v>923.54866666666669</v>
      </c>
      <c r="BE40" s="784">
        <f ca="1">-INDEX(INDIRECT("'"&amp;BE$4&amp;"'!Year.NetBalance"), MATCH('Intermediate output'!$C40, INDIRECT("'"&amp;BE$4&amp;"'!Year.Vectors"), 0))</f>
        <v>939.27433333333329</v>
      </c>
      <c r="BF40" s="784">
        <f ca="1">-INDEX(INDIRECT("'"&amp;BF$4&amp;"'!Year.NetBalance"), MATCH('Intermediate output'!$C40, INDIRECT("'"&amp;BF$4&amp;"'!Year.Vectors"), 0))</f>
        <v>955</v>
      </c>
      <c r="BG40" s="785"/>
      <c r="BH40" s="367"/>
    </row>
    <row r="41" spans="2:62" s="38" customFormat="1" x14ac:dyDescent="0.2">
      <c r="B41" s="410"/>
      <c r="C41" s="412"/>
      <c r="D41" s="412" t="s">
        <v>130</v>
      </c>
      <c r="E41" s="412"/>
      <c r="F41" s="786"/>
      <c r="G41" s="2288"/>
      <c r="H41" s="2288"/>
      <c r="I41" s="2288"/>
      <c r="J41" s="2288"/>
      <c r="K41" s="2288"/>
      <c r="L41" s="2288"/>
      <c r="M41" s="2288"/>
      <c r="N41" s="2288"/>
      <c r="O41" s="2288"/>
      <c r="P41" s="2288"/>
      <c r="Q41" s="2288"/>
      <c r="R41" s="2288"/>
      <c r="S41" s="2288"/>
      <c r="T41" s="2288"/>
      <c r="U41" s="2288"/>
      <c r="V41" s="2288"/>
      <c r="W41" s="2288"/>
      <c r="X41" s="2288"/>
      <c r="Y41" s="2288"/>
      <c r="Z41" s="2288"/>
      <c r="AA41" s="2288"/>
      <c r="AB41" s="2288"/>
      <c r="AC41" s="2288"/>
      <c r="AD41" s="2288"/>
      <c r="AE41" s="2288"/>
      <c r="AF41" s="2288"/>
      <c r="AG41" s="2288"/>
      <c r="AH41" s="2288"/>
      <c r="AI41" s="2288"/>
      <c r="AJ41" s="2288"/>
      <c r="AK41" s="2288"/>
      <c r="AL41" s="2288"/>
      <c r="AM41" s="2288"/>
      <c r="AN41" s="2288"/>
      <c r="AO41" s="2288"/>
      <c r="AP41" s="2288"/>
      <c r="AQ41" s="2288"/>
      <c r="AR41" s="2288"/>
      <c r="AS41" s="2288"/>
      <c r="AT41" s="2288"/>
      <c r="AU41" s="2288"/>
      <c r="AV41" s="2288"/>
      <c r="AW41" s="412"/>
      <c r="AX41" s="786">
        <f t="shared" ref="AX41" ca="1" si="11">SUM(AX39:AX40)</f>
        <v>50.089305847406877</v>
      </c>
      <c r="AY41" s="786">
        <f t="shared" ref="AY41:BF41" ca="1" si="12">SUM(AY39:AY40)</f>
        <v>43.700129859060326</v>
      </c>
      <c r="AZ41" s="786">
        <f t="shared" ca="1" si="12"/>
        <v>108.49136903087731</v>
      </c>
      <c r="BA41" s="786">
        <f t="shared" ca="1" si="12"/>
        <v>64.247530632547182</v>
      </c>
      <c r="BB41" s="786">
        <f t="shared" ca="1" si="12"/>
        <v>95.838733834760433</v>
      </c>
      <c r="BC41" s="786">
        <f t="shared" ca="1" si="12"/>
        <v>170.80537865185499</v>
      </c>
      <c r="BD41" s="786">
        <f t="shared" ca="1" si="12"/>
        <v>243.4437104545143</v>
      </c>
      <c r="BE41" s="786">
        <f t="shared" ca="1" si="12"/>
        <v>309.10828006860288</v>
      </c>
      <c r="BF41" s="786">
        <f t="shared" ca="1" si="12"/>
        <v>374.54058381880384</v>
      </c>
      <c r="BG41" s="787"/>
      <c r="BH41" s="615"/>
    </row>
    <row r="42" spans="2:62" s="147" customFormat="1" ht="18" x14ac:dyDescent="0.2">
      <c r="B42" s="788"/>
      <c r="C42" s="778"/>
      <c r="D42" s="776" t="s">
        <v>446</v>
      </c>
      <c r="E42" s="412"/>
      <c r="F42" s="779"/>
      <c r="G42" s="2289"/>
      <c r="H42" s="2289"/>
      <c r="I42" s="2289"/>
      <c r="J42" s="2289"/>
      <c r="K42" s="2289"/>
      <c r="L42" s="2289"/>
      <c r="M42" s="2289"/>
      <c r="N42" s="2289"/>
      <c r="O42" s="2289"/>
      <c r="P42" s="2289"/>
      <c r="Q42" s="2289"/>
      <c r="R42" s="2289"/>
      <c r="S42" s="2289"/>
      <c r="T42" s="2289"/>
      <c r="U42" s="2289"/>
      <c r="V42" s="2289"/>
      <c r="W42" s="2289"/>
      <c r="X42" s="2289"/>
      <c r="Y42" s="2289"/>
      <c r="Z42" s="2289"/>
      <c r="AA42" s="2289"/>
      <c r="AB42" s="2289"/>
      <c r="AC42" s="2289"/>
      <c r="AD42" s="2289"/>
      <c r="AE42" s="2289"/>
      <c r="AF42" s="2289"/>
      <c r="AG42" s="2289"/>
      <c r="AH42" s="2289"/>
      <c r="AI42" s="2289"/>
      <c r="AJ42" s="2289"/>
      <c r="AK42" s="2289"/>
      <c r="AL42" s="2289"/>
      <c r="AM42" s="2289"/>
      <c r="AN42" s="2289"/>
      <c r="AO42" s="2289"/>
      <c r="AP42" s="2289"/>
      <c r="AQ42" s="2289"/>
      <c r="AR42" s="2289"/>
      <c r="AS42" s="2289"/>
      <c r="AT42" s="2289"/>
      <c r="AU42" s="2289"/>
      <c r="AV42" s="2289"/>
      <c r="AW42" s="412"/>
      <c r="AX42" s="777">
        <f ca="1">AX27+AX31+AX34+AX38+AX41</f>
        <v>1214.0100277672175</v>
      </c>
      <c r="AY42" s="777">
        <f t="shared" ref="AY42:BF42" ca="1" si="13">AY27+AY31+AY34+AY38+AY41</f>
        <v>1279.4659040737306</v>
      </c>
      <c r="AZ42" s="777">
        <f t="shared" ca="1" si="13"/>
        <v>1434.9958279338757</v>
      </c>
      <c r="BA42" s="777">
        <f t="shared" ca="1" si="13"/>
        <v>1615.9388694048744</v>
      </c>
      <c r="BB42" s="777">
        <f t="shared" ca="1" si="13"/>
        <v>1893.3970198610812</v>
      </c>
      <c r="BC42" s="777">
        <f t="shared" ca="1" si="13"/>
        <v>2299.2879968529596</v>
      </c>
      <c r="BD42" s="777">
        <f t="shared" ca="1" si="13"/>
        <v>2719.3462632395904</v>
      </c>
      <c r="BE42" s="777">
        <f t="shared" ca="1" si="13"/>
        <v>3174.3927421965736</v>
      </c>
      <c r="BF42" s="777">
        <f t="shared" ca="1" si="13"/>
        <v>3743.221920712117</v>
      </c>
      <c r="BG42" s="789"/>
      <c r="BH42" s="152"/>
    </row>
    <row r="43" spans="2:62" s="39" customFormat="1" x14ac:dyDescent="0.2">
      <c r="B43" s="793"/>
      <c r="C43" s="794"/>
      <c r="D43" s="794"/>
      <c r="E43" s="412"/>
      <c r="F43" s="794"/>
      <c r="G43" s="2292"/>
      <c r="H43" s="2292"/>
      <c r="I43" s="2292"/>
      <c r="J43" s="2292"/>
      <c r="K43" s="2292"/>
      <c r="L43" s="2292"/>
      <c r="M43" s="2292"/>
      <c r="N43" s="2292"/>
      <c r="O43" s="2292"/>
      <c r="P43" s="2292"/>
      <c r="Q43" s="2292"/>
      <c r="R43" s="2292"/>
      <c r="S43" s="2292"/>
      <c r="T43" s="2292"/>
      <c r="U43" s="2292"/>
      <c r="V43" s="2292"/>
      <c r="W43" s="2292"/>
      <c r="X43" s="2292"/>
      <c r="Y43" s="2292"/>
      <c r="Z43" s="2292"/>
      <c r="AA43" s="2292"/>
      <c r="AB43" s="2292"/>
      <c r="AC43" s="2292"/>
      <c r="AD43" s="2292"/>
      <c r="AE43" s="2292"/>
      <c r="AF43" s="2292"/>
      <c r="AG43" s="2292"/>
      <c r="AH43" s="2292"/>
      <c r="AI43" s="2292"/>
      <c r="AJ43" s="2292"/>
      <c r="AK43" s="2292"/>
      <c r="AL43" s="2292"/>
      <c r="AM43" s="2292"/>
      <c r="AN43" s="2292"/>
      <c r="AO43" s="2292"/>
      <c r="AP43" s="2292"/>
      <c r="AQ43" s="2292"/>
      <c r="AR43" s="2292"/>
      <c r="AS43" s="2292"/>
      <c r="AT43" s="2292"/>
      <c r="AU43" s="2292"/>
      <c r="AV43" s="2292"/>
      <c r="AW43" s="412"/>
      <c r="AX43" s="795"/>
      <c r="AY43" s="795"/>
      <c r="AZ43" s="795"/>
      <c r="BA43" s="795"/>
      <c r="BB43" s="795"/>
      <c r="BC43" s="795"/>
      <c r="BD43" s="795"/>
      <c r="BE43" s="795"/>
      <c r="BF43" s="795"/>
      <c r="BG43" s="796"/>
      <c r="BH43" s="136"/>
    </row>
    <row r="44" spans="2:62" s="39" customFormat="1" x14ac:dyDescent="0.2">
      <c r="B44" s="793"/>
      <c r="C44" s="794"/>
      <c r="D44" s="794" t="s">
        <v>561</v>
      </c>
      <c r="E44" s="412"/>
      <c r="F44" s="794"/>
      <c r="G44" s="2292"/>
      <c r="H44" s="2292"/>
      <c r="I44" s="2292"/>
      <c r="J44" s="2292"/>
      <c r="K44" s="2292"/>
      <c r="L44" s="2292"/>
      <c r="M44" s="2292"/>
      <c r="N44" s="2292"/>
      <c r="O44" s="2292"/>
      <c r="P44" s="2292"/>
      <c r="Q44" s="2292"/>
      <c r="R44" s="2292"/>
      <c r="S44" s="2292"/>
      <c r="T44" s="2292"/>
      <c r="U44" s="2292"/>
      <c r="V44" s="2292"/>
      <c r="W44" s="2292"/>
      <c r="X44" s="2292"/>
      <c r="Y44" s="2292"/>
      <c r="Z44" s="2292"/>
      <c r="AA44" s="2292"/>
      <c r="AB44" s="2292"/>
      <c r="AC44" s="2292"/>
      <c r="AD44" s="2292"/>
      <c r="AE44" s="2292"/>
      <c r="AF44" s="2292"/>
      <c r="AG44" s="2292"/>
      <c r="AH44" s="2292"/>
      <c r="AI44" s="2292"/>
      <c r="AJ44" s="2292"/>
      <c r="AK44" s="2292"/>
      <c r="AL44" s="2292"/>
      <c r="AM44" s="2292"/>
      <c r="AN44" s="2292"/>
      <c r="AO44" s="2292"/>
      <c r="AP44" s="2292"/>
      <c r="AQ44" s="2292"/>
      <c r="AR44" s="2292"/>
      <c r="AS44" s="2292"/>
      <c r="AT44" s="2292"/>
      <c r="AU44" s="2292"/>
      <c r="AV44" s="2292"/>
      <c r="AW44" s="412"/>
      <c r="AX44" s="795">
        <f t="shared" ref="AX44:BF44" ca="1" si="14">MAX(0,-(AX$42-AX$17))</f>
        <v>0</v>
      </c>
      <c r="AY44" s="795">
        <f t="shared" ca="1" si="14"/>
        <v>0</v>
      </c>
      <c r="AZ44" s="795">
        <f t="shared" ca="1" si="14"/>
        <v>0</v>
      </c>
      <c r="BA44" s="795">
        <f t="shared" ca="1" si="14"/>
        <v>0</v>
      </c>
      <c r="BB44" s="795">
        <f t="shared" ca="1" si="14"/>
        <v>0</v>
      </c>
      <c r="BC44" s="795">
        <f t="shared" ca="1" si="14"/>
        <v>0</v>
      </c>
      <c r="BD44" s="795">
        <f t="shared" ca="1" si="14"/>
        <v>0</v>
      </c>
      <c r="BE44" s="795">
        <f t="shared" ca="1" si="14"/>
        <v>0</v>
      </c>
      <c r="BF44" s="795">
        <f t="shared" ca="1" si="14"/>
        <v>0</v>
      </c>
      <c r="BG44" s="796"/>
      <c r="BH44" s="366"/>
    </row>
    <row r="45" spans="2:62" s="38" customFormat="1" x14ac:dyDescent="0.2">
      <c r="B45" s="410"/>
      <c r="C45" s="412"/>
      <c r="D45" s="412"/>
      <c r="E45" s="412"/>
      <c r="F45" s="412"/>
      <c r="G45" s="2285"/>
      <c r="H45" s="2285"/>
      <c r="I45" s="2285"/>
      <c r="J45" s="2285"/>
      <c r="K45" s="2285"/>
      <c r="L45" s="2285"/>
      <c r="M45" s="2285"/>
      <c r="N45" s="2285"/>
      <c r="O45" s="2285"/>
      <c r="P45" s="2285"/>
      <c r="Q45" s="2285"/>
      <c r="R45" s="2285"/>
      <c r="S45" s="2285"/>
      <c r="T45" s="2285"/>
      <c r="U45" s="2285"/>
      <c r="V45" s="2285"/>
      <c r="W45" s="2285"/>
      <c r="X45" s="2285"/>
      <c r="Y45" s="2285"/>
      <c r="Z45" s="2285"/>
      <c r="AA45" s="2285"/>
      <c r="AB45" s="2285"/>
      <c r="AC45" s="2285"/>
      <c r="AD45" s="2285"/>
      <c r="AE45" s="2285"/>
      <c r="AF45" s="2285"/>
      <c r="AG45" s="2285"/>
      <c r="AH45" s="2285"/>
      <c r="AI45" s="2285"/>
      <c r="AJ45" s="2285"/>
      <c r="AK45" s="2285"/>
      <c r="AL45" s="2285"/>
      <c r="AM45" s="2285"/>
      <c r="AN45" s="2285"/>
      <c r="AO45" s="2285"/>
      <c r="AP45" s="2285"/>
      <c r="AQ45" s="2285"/>
      <c r="AR45" s="2285"/>
      <c r="AS45" s="2285"/>
      <c r="AT45" s="2285"/>
      <c r="AU45" s="2285"/>
      <c r="AV45" s="2285"/>
      <c r="AW45" s="412"/>
      <c r="AX45" s="786"/>
      <c r="AY45" s="786"/>
      <c r="AZ45" s="786"/>
      <c r="BA45" s="786"/>
      <c r="BB45" s="786"/>
      <c r="BC45" s="786"/>
      <c r="BD45" s="786"/>
      <c r="BE45" s="786"/>
      <c r="BF45" s="786"/>
      <c r="BG45" s="787"/>
      <c r="BH45" s="23"/>
    </row>
    <row r="46" spans="2:62" s="38" customFormat="1" x14ac:dyDescent="0.2">
      <c r="B46" s="410"/>
      <c r="C46" s="790" t="s">
        <v>447</v>
      </c>
      <c r="D46" s="412"/>
      <c r="E46" s="412"/>
      <c r="F46" s="412"/>
      <c r="G46" s="2285"/>
      <c r="H46" s="2285"/>
      <c r="I46" s="2285"/>
      <c r="J46" s="2285"/>
      <c r="K46" s="2285"/>
      <c r="L46" s="2285"/>
      <c r="M46" s="2285"/>
      <c r="N46" s="2285"/>
      <c r="O46" s="2285"/>
      <c r="P46" s="2285"/>
      <c r="Q46" s="2285"/>
      <c r="R46" s="2285"/>
      <c r="S46" s="2285"/>
      <c r="T46" s="2285"/>
      <c r="U46" s="2285"/>
      <c r="V46" s="2285"/>
      <c r="W46" s="2285"/>
      <c r="X46" s="2285"/>
      <c r="Y46" s="2285"/>
      <c r="Z46" s="2285"/>
      <c r="AA46" s="2285"/>
      <c r="AB46" s="2285"/>
      <c r="AC46" s="2285"/>
      <c r="AD46" s="2285"/>
      <c r="AE46" s="2285"/>
      <c r="AF46" s="2285"/>
      <c r="AG46" s="2285"/>
      <c r="AH46" s="2285"/>
      <c r="AI46" s="2285"/>
      <c r="AJ46" s="2285"/>
      <c r="AK46" s="2285"/>
      <c r="AL46" s="2285"/>
      <c r="AM46" s="2285"/>
      <c r="AN46" s="2285"/>
      <c r="AO46" s="2285"/>
      <c r="AP46" s="2285"/>
      <c r="AQ46" s="2285"/>
      <c r="AR46" s="2285"/>
      <c r="AS46" s="2285"/>
      <c r="AT46" s="2285"/>
      <c r="AU46" s="2285"/>
      <c r="AV46" s="2285"/>
      <c r="AW46" s="412"/>
      <c r="AX46" s="786"/>
      <c r="AY46" s="786"/>
      <c r="AZ46" s="786"/>
      <c r="BA46" s="786"/>
      <c r="BB46" s="786"/>
      <c r="BC46" s="786"/>
      <c r="BD46" s="786"/>
      <c r="BE46" s="786"/>
      <c r="BF46" s="786"/>
      <c r="BG46" s="787"/>
      <c r="BH46" s="23"/>
    </row>
    <row r="47" spans="2:62" x14ac:dyDescent="0.2">
      <c r="B47" s="410"/>
      <c r="C47" s="804" t="s">
        <v>26</v>
      </c>
      <c r="D47" s="412" t="str">
        <f>INDEX(Vectors[Description], MATCH($C47, Vectors[Code], 0))</f>
        <v>Conversion losses</v>
      </c>
      <c r="E47" s="412"/>
      <c r="F47" s="784"/>
      <c r="G47" s="2287"/>
      <c r="H47" s="2287"/>
      <c r="I47" s="2287"/>
      <c r="J47" s="2287"/>
      <c r="K47" s="2287"/>
      <c r="L47" s="2287"/>
      <c r="M47" s="2287"/>
      <c r="N47" s="2287"/>
      <c r="O47" s="2287"/>
      <c r="P47" s="2287"/>
      <c r="Q47" s="2287"/>
      <c r="R47" s="2287"/>
      <c r="S47" s="2287"/>
      <c r="T47" s="2287"/>
      <c r="U47" s="2287"/>
      <c r="V47" s="2287"/>
      <c r="W47" s="2287"/>
      <c r="X47" s="2287"/>
      <c r="Y47" s="2287"/>
      <c r="Z47" s="2287"/>
      <c r="AA47" s="2287"/>
      <c r="AB47" s="2287"/>
      <c r="AC47" s="2287"/>
      <c r="AD47" s="2287"/>
      <c r="AE47" s="2287"/>
      <c r="AF47" s="2287"/>
      <c r="AG47" s="2287"/>
      <c r="AH47" s="2287"/>
      <c r="AI47" s="2287"/>
      <c r="AJ47" s="2287"/>
      <c r="AK47" s="2287"/>
      <c r="AL47" s="2287"/>
      <c r="AM47" s="2287"/>
      <c r="AN47" s="2287"/>
      <c r="AO47" s="2287"/>
      <c r="AP47" s="2287"/>
      <c r="AQ47" s="2287"/>
      <c r="AR47" s="2287"/>
      <c r="AS47" s="2287"/>
      <c r="AT47" s="2287"/>
      <c r="AU47" s="2287"/>
      <c r="AV47" s="2287"/>
      <c r="AW47" s="412"/>
      <c r="AX47" s="786">
        <f ca="1">INDEX(INDIRECT("'"&amp;AX$4&amp;"'!Year.NetBalance"), MATCH('Intermediate output'!$C47, INDIRECT("'"&amp;AX$4&amp;"'!Year.Vectors"), 0))</f>
        <v>311.91818613481109</v>
      </c>
      <c r="AY47" s="786">
        <f ca="1">INDEX(INDIRECT("'"&amp;AY$4&amp;"'!Year.NetBalance"), MATCH('Intermediate output'!$C47, INDIRECT("'"&amp;AY$4&amp;"'!Year.Vectors"), 0))</f>
        <v>375.47462895520124</v>
      </c>
      <c r="AZ47" s="786">
        <f ca="1">INDEX(INDIRECT("'"&amp;AZ$4&amp;"'!Year.NetBalance"), MATCH('Intermediate output'!$C47, INDIRECT("'"&amp;AZ$4&amp;"'!Year.Vectors"), 0))</f>
        <v>485.60106617176382</v>
      </c>
      <c r="BA47" s="786">
        <f ca="1">INDEX(INDIRECT("'"&amp;BA$4&amp;"'!Year.NetBalance"), MATCH('Intermediate output'!$C47, INDIRECT("'"&amp;BA$4&amp;"'!Year.Vectors"), 0))</f>
        <v>568.55172293133967</v>
      </c>
      <c r="BB47" s="786">
        <f ca="1">INDEX(INDIRECT("'"&amp;BB$4&amp;"'!Year.NetBalance"), MATCH('Intermediate output'!$C47, INDIRECT("'"&amp;BB$4&amp;"'!Year.Vectors"), 0))</f>
        <v>754.99488751145304</v>
      </c>
      <c r="BC47" s="786">
        <f ca="1">INDEX(INDIRECT("'"&amp;BC$4&amp;"'!Year.NetBalance"), MATCH('Intermediate output'!$C47, INDIRECT("'"&amp;BC$4&amp;"'!Year.Vectors"), 0))</f>
        <v>1029.5451659027406</v>
      </c>
      <c r="BD47" s="786">
        <f ca="1">INDEX(INDIRECT("'"&amp;BD$4&amp;"'!Year.NetBalance"), MATCH('Intermediate output'!$C47, INDIRECT("'"&amp;BD$4&amp;"'!Year.Vectors"), 0))</f>
        <v>1334.028829683301</v>
      </c>
      <c r="BE47" s="786">
        <f ca="1">INDEX(INDIRECT("'"&amp;BE$4&amp;"'!Year.NetBalance"), MATCH('Intermediate output'!$C47, INDIRECT("'"&amp;BE$4&amp;"'!Year.Vectors"), 0))</f>
        <v>1683.6212466191564</v>
      </c>
      <c r="BF47" s="786">
        <f ca="1">INDEX(INDIRECT("'"&amp;BF$4&amp;"'!Year.NetBalance"), MATCH('Intermediate output'!$C47, INDIRECT("'"&amp;BF$4&amp;"'!Year.Vectors"), 0))</f>
        <v>2116.8409178590578</v>
      </c>
      <c r="BG47" s="787"/>
      <c r="BH47" s="23"/>
      <c r="BJ47"/>
    </row>
    <row r="48" spans="2:62" x14ac:dyDescent="0.2">
      <c r="B48" s="410"/>
      <c r="C48" s="804" t="s">
        <v>27</v>
      </c>
      <c r="D48" s="412" t="str">
        <f>INDEX(Vectors[Description], MATCH($C48, Vectors[Code], 0))</f>
        <v>Distribution losses and own use</v>
      </c>
      <c r="E48" s="412"/>
      <c r="F48" s="784"/>
      <c r="G48" s="2287"/>
      <c r="H48" s="2287"/>
      <c r="I48" s="2287"/>
      <c r="J48" s="2287"/>
      <c r="K48" s="2287"/>
      <c r="L48" s="2287"/>
      <c r="M48" s="2287"/>
      <c r="N48" s="2287"/>
      <c r="O48" s="2287"/>
      <c r="P48" s="2287"/>
      <c r="Q48" s="2287"/>
      <c r="R48" s="2287"/>
      <c r="S48" s="2287"/>
      <c r="T48" s="2287"/>
      <c r="U48" s="2287"/>
      <c r="V48" s="2287"/>
      <c r="W48" s="2287"/>
      <c r="X48" s="2287"/>
      <c r="Y48" s="2287"/>
      <c r="Z48" s="2287"/>
      <c r="AA48" s="2287"/>
      <c r="AB48" s="2287"/>
      <c r="AC48" s="2287"/>
      <c r="AD48" s="2287"/>
      <c r="AE48" s="2287"/>
      <c r="AF48" s="2287"/>
      <c r="AG48" s="2287"/>
      <c r="AH48" s="2287"/>
      <c r="AI48" s="2287"/>
      <c r="AJ48" s="2287"/>
      <c r="AK48" s="2287"/>
      <c r="AL48" s="2287"/>
      <c r="AM48" s="2287"/>
      <c r="AN48" s="2287"/>
      <c r="AO48" s="2287"/>
      <c r="AP48" s="2287"/>
      <c r="AQ48" s="2287"/>
      <c r="AR48" s="2287"/>
      <c r="AS48" s="2287"/>
      <c r="AT48" s="2287"/>
      <c r="AU48" s="2287"/>
      <c r="AV48" s="2287"/>
      <c r="AW48" s="412"/>
      <c r="AX48" s="786">
        <f ca="1">INDEX(INDIRECT("'"&amp;AX$4&amp;"'!Year.NetBalance"), MATCH('Intermediate output'!$C48, INDIRECT("'"&amp;AX$4&amp;"'!Year.Vectors"), 0))</f>
        <v>31.883207308061046</v>
      </c>
      <c r="AY48" s="786">
        <f ca="1">INDEX(INDIRECT("'"&amp;AY$4&amp;"'!Year.NetBalance"), MATCH('Intermediate output'!$C48, INDIRECT("'"&amp;AY$4&amp;"'!Year.Vectors"), 0))</f>
        <v>37.597823899117927</v>
      </c>
      <c r="AZ48" s="786">
        <f ca="1">INDEX(INDIRECT("'"&amp;AZ$4&amp;"'!Year.NetBalance"), MATCH('Intermediate output'!$C48, INDIRECT("'"&amp;AZ$4&amp;"'!Year.Vectors"), 0))</f>
        <v>46.742789056471665</v>
      </c>
      <c r="BA48" s="786">
        <f ca="1">INDEX(INDIRECT("'"&amp;BA$4&amp;"'!Year.NetBalance"), MATCH('Intermediate output'!$C48, INDIRECT("'"&amp;BA$4&amp;"'!Year.Vectors"), 0))</f>
        <v>67.033250165093506</v>
      </c>
      <c r="BB48" s="786">
        <f ca="1">INDEX(INDIRECT("'"&amp;BB$4&amp;"'!Year.NetBalance"), MATCH('Intermediate output'!$C48, INDIRECT("'"&amp;BB$4&amp;"'!Year.Vectors"), 0))</f>
        <v>90.243543152964321</v>
      </c>
      <c r="BC48" s="786">
        <f ca="1">INDEX(INDIRECT("'"&amp;BC$4&amp;"'!Year.NetBalance"), MATCH('Intermediate output'!$C48, INDIRECT("'"&amp;BC$4&amp;"'!Year.Vectors"), 0))</f>
        <v>103.55278544642364</v>
      </c>
      <c r="BD48" s="786">
        <f ca="1">INDEX(INDIRECT("'"&amp;BD$4&amp;"'!Year.NetBalance"), MATCH('Intermediate output'!$C48, INDIRECT("'"&amp;BD$4&amp;"'!Year.Vectors"), 0))</f>
        <v>132.29944379433093</v>
      </c>
      <c r="BE48" s="786">
        <f ca="1">INDEX(INDIRECT("'"&amp;BE$4&amp;"'!Year.NetBalance"), MATCH('Intermediate output'!$C48, INDIRECT("'"&amp;BE$4&amp;"'!Year.Vectors"), 0))</f>
        <v>144.20559928883719</v>
      </c>
      <c r="BF48" s="786">
        <f ca="1">INDEX(INDIRECT("'"&amp;BF$4&amp;"'!Year.NetBalance"), MATCH('Intermediate output'!$C48, INDIRECT("'"&amp;BF$4&amp;"'!Year.Vectors"), 0))</f>
        <v>178.31921756004235</v>
      </c>
      <c r="BG48" s="787"/>
      <c r="BH48" s="23"/>
      <c r="BJ48"/>
    </row>
    <row r="49" spans="2:62" s="84" customFormat="1" ht="18" x14ac:dyDescent="0.2">
      <c r="B49" s="797"/>
      <c r="C49" s="97"/>
      <c r="D49" s="776" t="s">
        <v>448</v>
      </c>
      <c r="E49" s="412"/>
      <c r="F49" s="779"/>
      <c r="G49" s="2289"/>
      <c r="H49" s="2289"/>
      <c r="I49" s="2289"/>
      <c r="J49" s="2289"/>
      <c r="K49" s="2289"/>
      <c r="L49" s="2289"/>
      <c r="M49" s="2289"/>
      <c r="N49" s="2289"/>
      <c r="O49" s="2289"/>
      <c r="P49" s="2289"/>
      <c r="Q49" s="2289"/>
      <c r="R49" s="2289"/>
      <c r="S49" s="2289"/>
      <c r="T49" s="2289"/>
      <c r="U49" s="2289"/>
      <c r="V49" s="2289"/>
      <c r="W49" s="2289"/>
      <c r="X49" s="2289"/>
      <c r="Y49" s="2289"/>
      <c r="Z49" s="2289"/>
      <c r="AA49" s="2289"/>
      <c r="AB49" s="2289"/>
      <c r="AC49" s="2289"/>
      <c r="AD49" s="2289"/>
      <c r="AE49" s="2289"/>
      <c r="AF49" s="2289"/>
      <c r="AG49" s="2289"/>
      <c r="AH49" s="2289"/>
      <c r="AI49" s="2289"/>
      <c r="AJ49" s="2289"/>
      <c r="AK49" s="2289"/>
      <c r="AL49" s="2289"/>
      <c r="AM49" s="2289"/>
      <c r="AN49" s="2289"/>
      <c r="AO49" s="2289"/>
      <c r="AP49" s="2289"/>
      <c r="AQ49" s="2289"/>
      <c r="AR49" s="2289"/>
      <c r="AS49" s="2289"/>
      <c r="AT49" s="2289"/>
      <c r="AU49" s="2289"/>
      <c r="AV49" s="2289"/>
      <c r="AW49" s="412"/>
      <c r="AX49" s="777">
        <f t="shared" ref="AX49" ca="1" si="15">AX42-SUM(AX47:AX48)</f>
        <v>870.20863432434533</v>
      </c>
      <c r="AY49" s="777">
        <f t="shared" ref="AY49:BF49" ca="1" si="16">AY42-SUM(AY47:AY48)</f>
        <v>866.39345121941142</v>
      </c>
      <c r="AZ49" s="777">
        <f t="shared" ca="1" si="16"/>
        <v>902.65197270564022</v>
      </c>
      <c r="BA49" s="777">
        <f t="shared" ca="1" si="16"/>
        <v>980.35389630844122</v>
      </c>
      <c r="BB49" s="777">
        <f t="shared" ca="1" si="16"/>
        <v>1048.1585891966638</v>
      </c>
      <c r="BC49" s="777">
        <f t="shared" ca="1" si="16"/>
        <v>1166.1900455037953</v>
      </c>
      <c r="BD49" s="777">
        <f t="shared" ca="1" si="16"/>
        <v>1253.0179897619585</v>
      </c>
      <c r="BE49" s="777">
        <f t="shared" ca="1" si="16"/>
        <v>1346.56589628858</v>
      </c>
      <c r="BF49" s="777">
        <f t="shared" ca="1" si="16"/>
        <v>1448.0617852930168</v>
      </c>
      <c r="BG49" s="798"/>
      <c r="BH49" s="153"/>
    </row>
    <row r="50" spans="2:62" s="38" customFormat="1" x14ac:dyDescent="0.2">
      <c r="B50" s="410"/>
      <c r="C50" s="412"/>
      <c r="D50" s="412"/>
      <c r="E50" s="412"/>
      <c r="F50" s="412"/>
      <c r="G50" s="2285"/>
      <c r="H50" s="2285"/>
      <c r="I50" s="2285"/>
      <c r="J50" s="2285"/>
      <c r="K50" s="2285"/>
      <c r="L50" s="2285"/>
      <c r="M50" s="2285"/>
      <c r="N50" s="2285"/>
      <c r="O50" s="2285"/>
      <c r="P50" s="2285"/>
      <c r="Q50" s="2285"/>
      <c r="R50" s="2285"/>
      <c r="S50" s="2285"/>
      <c r="T50" s="2285"/>
      <c r="U50" s="2285"/>
      <c r="V50" s="2285"/>
      <c r="W50" s="2285"/>
      <c r="X50" s="2285"/>
      <c r="Y50" s="2285"/>
      <c r="Z50" s="2285"/>
      <c r="AA50" s="2285"/>
      <c r="AB50" s="2285"/>
      <c r="AC50" s="2285"/>
      <c r="AD50" s="2285"/>
      <c r="AE50" s="2285"/>
      <c r="AF50" s="2285"/>
      <c r="AG50" s="2285"/>
      <c r="AH50" s="2285"/>
      <c r="AI50" s="2285"/>
      <c r="AJ50" s="2285"/>
      <c r="AK50" s="2285"/>
      <c r="AL50" s="2285"/>
      <c r="AM50" s="2285"/>
      <c r="AN50" s="2285"/>
      <c r="AO50" s="2285"/>
      <c r="AP50" s="2285"/>
      <c r="AQ50" s="2285"/>
      <c r="AR50" s="2285"/>
      <c r="AS50" s="2285"/>
      <c r="AT50" s="2285"/>
      <c r="AU50" s="2285"/>
      <c r="AV50" s="2285"/>
      <c r="AW50" s="412"/>
      <c r="AX50" s="786"/>
      <c r="AY50" s="786"/>
      <c r="AZ50" s="786"/>
      <c r="BA50" s="786"/>
      <c r="BB50" s="786"/>
      <c r="BC50" s="786"/>
      <c r="BD50" s="786"/>
      <c r="BE50" s="786"/>
      <c r="BF50" s="786"/>
      <c r="BG50" s="787"/>
      <c r="BH50" s="23"/>
    </row>
    <row r="51" spans="2:62" s="38" customFormat="1" x14ac:dyDescent="0.2">
      <c r="B51" s="410"/>
      <c r="C51" s="790" t="s">
        <v>565</v>
      </c>
      <c r="D51" s="412"/>
      <c r="E51" s="412"/>
      <c r="F51" s="412"/>
      <c r="G51" s="2285"/>
      <c r="H51" s="2285"/>
      <c r="I51" s="2285"/>
      <c r="J51" s="2285"/>
      <c r="K51" s="2285"/>
      <c r="L51" s="2285"/>
      <c r="M51" s="2285"/>
      <c r="N51" s="2285"/>
      <c r="O51" s="2285"/>
      <c r="P51" s="2285"/>
      <c r="Q51" s="2285"/>
      <c r="R51" s="2285"/>
      <c r="S51" s="2285"/>
      <c r="T51" s="2285"/>
      <c r="U51" s="2285"/>
      <c r="V51" s="2285"/>
      <c r="W51" s="2285"/>
      <c r="X51" s="2285"/>
      <c r="Y51" s="2285"/>
      <c r="Z51" s="2285"/>
      <c r="AA51" s="2285"/>
      <c r="AB51" s="2285"/>
      <c r="AC51" s="2285"/>
      <c r="AD51" s="2285"/>
      <c r="AE51" s="2285"/>
      <c r="AF51" s="2285"/>
      <c r="AG51" s="2285"/>
      <c r="AH51" s="2285"/>
      <c r="AI51" s="2285"/>
      <c r="AJ51" s="2285"/>
      <c r="AK51" s="2285"/>
      <c r="AL51" s="2285"/>
      <c r="AM51" s="2285"/>
      <c r="AN51" s="2285"/>
      <c r="AO51" s="2285"/>
      <c r="AP51" s="2285"/>
      <c r="AQ51" s="2285"/>
      <c r="AR51" s="2285"/>
      <c r="AS51" s="2285"/>
      <c r="AT51" s="2285"/>
      <c r="AU51" s="2285"/>
      <c r="AV51" s="2285"/>
      <c r="AW51" s="412"/>
      <c r="AX51" s="786"/>
      <c r="AY51" s="786"/>
      <c r="AZ51" s="786"/>
      <c r="BA51" s="786"/>
      <c r="BB51" s="786"/>
      <c r="BC51" s="786"/>
      <c r="BD51" s="786"/>
      <c r="BE51" s="786"/>
      <c r="BF51" s="786"/>
      <c r="BG51" s="787"/>
      <c r="BH51" s="23"/>
    </row>
    <row r="52" spans="2:62" s="38" customFormat="1" x14ac:dyDescent="0.2">
      <c r="B52" s="410"/>
      <c r="C52" s="412"/>
      <c r="D52" s="412"/>
      <c r="E52" s="412"/>
      <c r="F52" s="412"/>
      <c r="G52" s="2285"/>
      <c r="H52" s="2285"/>
      <c r="I52" s="2285"/>
      <c r="J52" s="2285"/>
      <c r="K52" s="2285"/>
      <c r="L52" s="2285"/>
      <c r="M52" s="2285"/>
      <c r="N52" s="2285"/>
      <c r="O52" s="2285"/>
      <c r="P52" s="2285"/>
      <c r="Q52" s="2285"/>
      <c r="R52" s="2285"/>
      <c r="S52" s="2285"/>
      <c r="T52" s="2285"/>
      <c r="U52" s="2285"/>
      <c r="V52" s="2285"/>
      <c r="W52" s="2285"/>
      <c r="X52" s="2285"/>
      <c r="Y52" s="2285"/>
      <c r="Z52" s="2285"/>
      <c r="AA52" s="2285"/>
      <c r="AB52" s="2285"/>
      <c r="AC52" s="2285"/>
      <c r="AD52" s="2285"/>
      <c r="AE52" s="2285"/>
      <c r="AF52" s="2285"/>
      <c r="AG52" s="2285"/>
      <c r="AH52" s="2285"/>
      <c r="AI52" s="2285"/>
      <c r="AJ52" s="2285"/>
      <c r="AK52" s="2285"/>
      <c r="AL52" s="2285"/>
      <c r="AM52" s="2285"/>
      <c r="AN52" s="2285"/>
      <c r="AO52" s="2285"/>
      <c r="AP52" s="2285"/>
      <c r="AQ52" s="2285"/>
      <c r="AR52" s="2285"/>
      <c r="AS52" s="2285"/>
      <c r="AT52" s="2285"/>
      <c r="AU52" s="2285"/>
      <c r="AV52" s="2285"/>
      <c r="AW52" s="412"/>
      <c r="AX52" s="786"/>
      <c r="AY52" s="786"/>
      <c r="AZ52" s="786"/>
      <c r="BA52" s="786"/>
      <c r="BB52" s="786"/>
      <c r="BC52" s="786"/>
      <c r="BD52" s="786"/>
      <c r="BE52" s="786"/>
      <c r="BF52" s="786"/>
      <c r="BG52" s="787"/>
      <c r="BH52" s="23"/>
    </row>
    <row r="53" spans="2:62" s="38" customFormat="1" x14ac:dyDescent="0.2">
      <c r="B53" s="410"/>
      <c r="C53" s="804" t="s">
        <v>51</v>
      </c>
      <c r="D53" s="412" t="str">
        <f>INDEX(Vectors[Description], MATCH($C53, Vectors[Code], 0))</f>
        <v>Coal and fossil waste</v>
      </c>
      <c r="E53" s="412"/>
      <c r="F53" s="784"/>
      <c r="G53" s="2287"/>
      <c r="H53" s="2287"/>
      <c r="I53" s="2287"/>
      <c r="J53" s="2287"/>
      <c r="K53" s="2287"/>
      <c r="L53" s="2287"/>
      <c r="M53" s="2287"/>
      <c r="N53" s="2287"/>
      <c r="O53" s="2287"/>
      <c r="P53" s="2287"/>
      <c r="Q53" s="2287"/>
      <c r="R53" s="2287"/>
      <c r="S53" s="2287"/>
      <c r="T53" s="2287"/>
      <c r="U53" s="2287"/>
      <c r="V53" s="2287"/>
      <c r="W53" s="2287"/>
      <c r="X53" s="2287"/>
      <c r="Y53" s="2287"/>
      <c r="Z53" s="2287"/>
      <c r="AA53" s="2287"/>
      <c r="AB53" s="2287"/>
      <c r="AC53" s="2287"/>
      <c r="AD53" s="2287"/>
      <c r="AE53" s="2287"/>
      <c r="AF53" s="2287"/>
      <c r="AG53" s="2287"/>
      <c r="AH53" s="2287"/>
      <c r="AI53" s="2287"/>
      <c r="AJ53" s="2287"/>
      <c r="AK53" s="2287"/>
      <c r="AL53" s="2287"/>
      <c r="AM53" s="2287"/>
      <c r="AN53" s="2287"/>
      <c r="AO53" s="2287"/>
      <c r="AP53" s="2287"/>
      <c r="AQ53" s="2287"/>
      <c r="AR53" s="2287"/>
      <c r="AS53" s="2287"/>
      <c r="AT53" s="2287"/>
      <c r="AU53" s="2287"/>
      <c r="AV53" s="2287"/>
      <c r="AW53" s="412"/>
      <c r="AX53" s="786">
        <f ca="1">INDEX(INDIRECT("'"&amp;AX$4&amp;"'!Year.NetBalance"), MATCH('Intermediate output'!$C53, INDIRECT("'"&amp;AX$4&amp;"'!Year.Vectors"), 0))</f>
        <v>0</v>
      </c>
      <c r="AY53" s="786">
        <f ca="1">INDEX(INDIRECT("'"&amp;AY$4&amp;"'!Year.NetBalance"), MATCH('Intermediate output'!$C53, INDIRECT("'"&amp;AY$4&amp;"'!Year.Vectors"), 0))</f>
        <v>0</v>
      </c>
      <c r="AZ53" s="786">
        <f ca="1">INDEX(INDIRECT("'"&amp;AZ$4&amp;"'!Year.NetBalance"), MATCH('Intermediate output'!$C53, INDIRECT("'"&amp;AZ$4&amp;"'!Year.Vectors"), 0))</f>
        <v>0</v>
      </c>
      <c r="BA53" s="786">
        <f ca="1">INDEX(INDIRECT("'"&amp;BA$4&amp;"'!Year.NetBalance"), MATCH('Intermediate output'!$C53, INDIRECT("'"&amp;BA$4&amp;"'!Year.Vectors"), 0))</f>
        <v>0</v>
      </c>
      <c r="BB53" s="786">
        <f ca="1">INDEX(INDIRECT("'"&amp;BB$4&amp;"'!Year.NetBalance"), MATCH('Intermediate output'!$C53, INDIRECT("'"&amp;BB$4&amp;"'!Year.Vectors"), 0))</f>
        <v>0</v>
      </c>
      <c r="BC53" s="786">
        <f ca="1">INDEX(INDIRECT("'"&amp;BC$4&amp;"'!Year.NetBalance"), MATCH('Intermediate output'!$C53, INDIRECT("'"&amp;BC$4&amp;"'!Year.Vectors"), 0))</f>
        <v>0</v>
      </c>
      <c r="BD53" s="786">
        <f ca="1">INDEX(INDIRECT("'"&amp;BD$4&amp;"'!Year.NetBalance"), MATCH('Intermediate output'!$C53, INDIRECT("'"&amp;BD$4&amp;"'!Year.Vectors"), 0))</f>
        <v>0</v>
      </c>
      <c r="BE53" s="786">
        <f ca="1">INDEX(INDIRECT("'"&amp;BE$4&amp;"'!Year.NetBalance"), MATCH('Intermediate output'!$C53, INDIRECT("'"&amp;BE$4&amp;"'!Year.Vectors"), 0))</f>
        <v>0</v>
      </c>
      <c r="BF53" s="786">
        <f ca="1">INDEX(INDIRECT("'"&amp;BF$4&amp;"'!Year.NetBalance"), MATCH('Intermediate output'!$C53, INDIRECT("'"&amp;BF$4&amp;"'!Year.Vectors"), 0))</f>
        <v>0</v>
      </c>
      <c r="BG53" s="787"/>
      <c r="BH53" s="23"/>
    </row>
    <row r="54" spans="2:62" s="38" customFormat="1" x14ac:dyDescent="0.2">
      <c r="B54" s="410"/>
      <c r="C54" s="804" t="s">
        <v>52</v>
      </c>
      <c r="D54" s="412" t="str">
        <f>INDEX(Vectors[Description], MATCH($C54, Vectors[Code], 0))</f>
        <v>Oil and petroleum products</v>
      </c>
      <c r="E54" s="412"/>
      <c r="F54" s="784"/>
      <c r="G54" s="2287"/>
      <c r="H54" s="2287"/>
      <c r="I54" s="2287"/>
      <c r="J54" s="2287"/>
      <c r="K54" s="2287"/>
      <c r="L54" s="2287"/>
      <c r="M54" s="2287"/>
      <c r="N54" s="2287"/>
      <c r="O54" s="2287"/>
      <c r="P54" s="2287"/>
      <c r="Q54" s="2287"/>
      <c r="R54" s="2287"/>
      <c r="S54" s="2287"/>
      <c r="T54" s="2287"/>
      <c r="U54" s="2287"/>
      <c r="V54" s="2287"/>
      <c r="W54" s="2287"/>
      <c r="X54" s="2287"/>
      <c r="Y54" s="2287"/>
      <c r="Z54" s="2287"/>
      <c r="AA54" s="2287"/>
      <c r="AB54" s="2287"/>
      <c r="AC54" s="2287"/>
      <c r="AD54" s="2287"/>
      <c r="AE54" s="2287"/>
      <c r="AF54" s="2287"/>
      <c r="AG54" s="2287"/>
      <c r="AH54" s="2287"/>
      <c r="AI54" s="2287"/>
      <c r="AJ54" s="2287"/>
      <c r="AK54" s="2287"/>
      <c r="AL54" s="2287"/>
      <c r="AM54" s="2287"/>
      <c r="AN54" s="2287"/>
      <c r="AO54" s="2287"/>
      <c r="AP54" s="2287"/>
      <c r="AQ54" s="2287"/>
      <c r="AR54" s="2287"/>
      <c r="AS54" s="2287"/>
      <c r="AT54" s="2287"/>
      <c r="AU54" s="2287"/>
      <c r="AV54" s="2287"/>
      <c r="AW54" s="412"/>
      <c r="AX54" s="786">
        <f ca="1">INDEX(INDIRECT("'"&amp;AX$4&amp;"'!Year.NetBalance"), MATCH('Intermediate output'!$C54, INDIRECT("'"&amp;AX$4&amp;"'!Year.Vectors"), 0))</f>
        <v>0</v>
      </c>
      <c r="AY54" s="786">
        <f ca="1">INDEX(INDIRECT("'"&amp;AY$4&amp;"'!Year.NetBalance"), MATCH('Intermediate output'!$C54, INDIRECT("'"&amp;AY$4&amp;"'!Year.Vectors"), 0))</f>
        <v>0</v>
      </c>
      <c r="AZ54" s="786">
        <f ca="1">INDEX(INDIRECT("'"&amp;AZ$4&amp;"'!Year.NetBalance"), MATCH('Intermediate output'!$C54, INDIRECT("'"&amp;AZ$4&amp;"'!Year.Vectors"), 0))</f>
        <v>0</v>
      </c>
      <c r="BA54" s="786">
        <f ca="1">INDEX(INDIRECT("'"&amp;BA$4&amp;"'!Year.NetBalance"), MATCH('Intermediate output'!$C54, INDIRECT("'"&amp;BA$4&amp;"'!Year.Vectors"), 0))</f>
        <v>0</v>
      </c>
      <c r="BB54" s="786">
        <f ca="1">INDEX(INDIRECT("'"&amp;BB$4&amp;"'!Year.NetBalance"), MATCH('Intermediate output'!$C54, INDIRECT("'"&amp;BB$4&amp;"'!Year.Vectors"), 0))</f>
        <v>0</v>
      </c>
      <c r="BC54" s="786">
        <f ca="1">INDEX(INDIRECT("'"&amp;BC$4&amp;"'!Year.NetBalance"), MATCH('Intermediate output'!$C54, INDIRECT("'"&amp;BC$4&amp;"'!Year.Vectors"), 0))</f>
        <v>0</v>
      </c>
      <c r="BD54" s="786">
        <f ca="1">INDEX(INDIRECT("'"&amp;BD$4&amp;"'!Year.NetBalance"), MATCH('Intermediate output'!$C54, INDIRECT("'"&amp;BD$4&amp;"'!Year.Vectors"), 0))</f>
        <v>0</v>
      </c>
      <c r="BE54" s="786">
        <f ca="1">INDEX(INDIRECT("'"&amp;BE$4&amp;"'!Year.NetBalance"), MATCH('Intermediate output'!$C54, INDIRECT("'"&amp;BE$4&amp;"'!Year.Vectors"), 0))</f>
        <v>0</v>
      </c>
      <c r="BF54" s="786">
        <f ca="1">INDEX(INDIRECT("'"&amp;BF$4&amp;"'!Year.NetBalance"), MATCH('Intermediate output'!$C54, INDIRECT("'"&amp;BF$4&amp;"'!Year.Vectors"), 0))</f>
        <v>0</v>
      </c>
      <c r="BG54" s="787"/>
      <c r="BH54" s="23"/>
    </row>
    <row r="55" spans="2:62" s="38" customFormat="1" x14ac:dyDescent="0.2">
      <c r="B55" s="410"/>
      <c r="C55" s="804" t="s">
        <v>53</v>
      </c>
      <c r="D55" s="412" t="str">
        <f>INDEX(Vectors[Description], MATCH($C55, Vectors[Code], 0))</f>
        <v>Natural gas</v>
      </c>
      <c r="E55" s="412"/>
      <c r="F55" s="784"/>
      <c r="G55" s="2287"/>
      <c r="H55" s="2287"/>
      <c r="I55" s="2287"/>
      <c r="J55" s="2287"/>
      <c r="K55" s="2287"/>
      <c r="L55" s="2287"/>
      <c r="M55" s="2287"/>
      <c r="N55" s="2287"/>
      <c r="O55" s="2287"/>
      <c r="P55" s="2287"/>
      <c r="Q55" s="2287"/>
      <c r="R55" s="2287"/>
      <c r="S55" s="2287"/>
      <c r="T55" s="2287"/>
      <c r="U55" s="2287"/>
      <c r="V55" s="2287"/>
      <c r="W55" s="2287"/>
      <c r="X55" s="2287"/>
      <c r="Y55" s="2287"/>
      <c r="Z55" s="2287"/>
      <c r="AA55" s="2287"/>
      <c r="AB55" s="2287"/>
      <c r="AC55" s="2287"/>
      <c r="AD55" s="2287"/>
      <c r="AE55" s="2287"/>
      <c r="AF55" s="2287"/>
      <c r="AG55" s="2287"/>
      <c r="AH55" s="2287"/>
      <c r="AI55" s="2287"/>
      <c r="AJ55" s="2287"/>
      <c r="AK55" s="2287"/>
      <c r="AL55" s="2287"/>
      <c r="AM55" s="2287"/>
      <c r="AN55" s="2287"/>
      <c r="AO55" s="2287"/>
      <c r="AP55" s="2287"/>
      <c r="AQ55" s="2287"/>
      <c r="AR55" s="2287"/>
      <c r="AS55" s="2287"/>
      <c r="AT55" s="2287"/>
      <c r="AU55" s="2287"/>
      <c r="AV55" s="2287"/>
      <c r="AW55" s="412"/>
      <c r="AX55" s="786">
        <f ca="1">INDEX(INDIRECT("'"&amp;AX$4&amp;"'!Year.NetBalance"), MATCH('Intermediate output'!$C55, INDIRECT("'"&amp;AX$4&amp;"'!Year.Vectors"), 0))</f>
        <v>0</v>
      </c>
      <c r="AY55" s="786">
        <f ca="1">INDEX(INDIRECT("'"&amp;AY$4&amp;"'!Year.NetBalance"), MATCH('Intermediate output'!$C55, INDIRECT("'"&amp;AY$4&amp;"'!Year.Vectors"), 0))</f>
        <v>0</v>
      </c>
      <c r="AZ55" s="786">
        <f ca="1">INDEX(INDIRECT("'"&amp;AZ$4&amp;"'!Year.NetBalance"), MATCH('Intermediate output'!$C55, INDIRECT("'"&amp;AZ$4&amp;"'!Year.Vectors"), 0))</f>
        <v>0</v>
      </c>
      <c r="BA55" s="786">
        <f ca="1">INDEX(INDIRECT("'"&amp;BA$4&amp;"'!Year.NetBalance"), MATCH('Intermediate output'!$C55, INDIRECT("'"&amp;BA$4&amp;"'!Year.Vectors"), 0))</f>
        <v>0</v>
      </c>
      <c r="BB55" s="786">
        <f ca="1">INDEX(INDIRECT("'"&amp;BB$4&amp;"'!Year.NetBalance"), MATCH('Intermediate output'!$C55, INDIRECT("'"&amp;BB$4&amp;"'!Year.Vectors"), 0))</f>
        <v>0</v>
      </c>
      <c r="BC55" s="786">
        <f ca="1">INDEX(INDIRECT("'"&amp;BC$4&amp;"'!Year.NetBalance"), MATCH('Intermediate output'!$C55, INDIRECT("'"&amp;BC$4&amp;"'!Year.Vectors"), 0))</f>
        <v>0</v>
      </c>
      <c r="BD55" s="786">
        <f ca="1">INDEX(INDIRECT("'"&amp;BD$4&amp;"'!Year.NetBalance"), MATCH('Intermediate output'!$C55, INDIRECT("'"&amp;BD$4&amp;"'!Year.Vectors"), 0))</f>
        <v>0</v>
      </c>
      <c r="BE55" s="786">
        <f ca="1">INDEX(INDIRECT("'"&amp;BE$4&amp;"'!Year.NetBalance"), MATCH('Intermediate output'!$C55, INDIRECT("'"&amp;BE$4&amp;"'!Year.Vectors"), 0))</f>
        <v>0</v>
      </c>
      <c r="BF55" s="786">
        <f ca="1">INDEX(INDIRECT("'"&amp;BF$4&amp;"'!Year.NetBalance"), MATCH('Intermediate output'!$C55, INDIRECT("'"&amp;BF$4&amp;"'!Year.Vectors"), 0))</f>
        <v>0</v>
      </c>
      <c r="BG55" s="787"/>
      <c r="BH55" s="23"/>
    </row>
    <row r="56" spans="2:62" s="38" customFormat="1" x14ac:dyDescent="0.2">
      <c r="B56" s="410"/>
      <c r="C56" s="804" t="s">
        <v>36</v>
      </c>
      <c r="D56" s="412" t="str">
        <f>INDEX(Vectors[Description], MATCH($C56, Vectors[Code], 0))</f>
        <v>Solid hydrocarbons</v>
      </c>
      <c r="E56" s="412"/>
      <c r="F56" s="784"/>
      <c r="G56" s="2287"/>
      <c r="H56" s="2287"/>
      <c r="I56" s="2287"/>
      <c r="J56" s="2287"/>
      <c r="K56" s="2287"/>
      <c r="L56" s="2287"/>
      <c r="M56" s="2287"/>
      <c r="N56" s="2287"/>
      <c r="O56" s="2287"/>
      <c r="P56" s="2287"/>
      <c r="Q56" s="2287"/>
      <c r="R56" s="2287"/>
      <c r="S56" s="2287"/>
      <c r="T56" s="2287"/>
      <c r="U56" s="2287"/>
      <c r="V56" s="2287"/>
      <c r="W56" s="2287"/>
      <c r="X56" s="2287"/>
      <c r="Y56" s="2287"/>
      <c r="Z56" s="2287"/>
      <c r="AA56" s="2287"/>
      <c r="AB56" s="2287"/>
      <c r="AC56" s="2287"/>
      <c r="AD56" s="2287"/>
      <c r="AE56" s="2287"/>
      <c r="AF56" s="2287"/>
      <c r="AG56" s="2287"/>
      <c r="AH56" s="2287"/>
      <c r="AI56" s="2287"/>
      <c r="AJ56" s="2287"/>
      <c r="AK56" s="2287"/>
      <c r="AL56" s="2287"/>
      <c r="AM56" s="2287"/>
      <c r="AN56" s="2287"/>
      <c r="AO56" s="2287"/>
      <c r="AP56" s="2287"/>
      <c r="AQ56" s="2287"/>
      <c r="AR56" s="2287"/>
      <c r="AS56" s="2287"/>
      <c r="AT56" s="2287"/>
      <c r="AU56" s="2287"/>
      <c r="AV56" s="2287"/>
      <c r="AW56" s="412"/>
      <c r="AX56" s="786">
        <f ca="1">INDEX(INDIRECT("'"&amp;AX$4&amp;"'!Year.NetBalance"), MATCH('Intermediate output'!$C56, INDIRECT("'"&amp;AX$4&amp;"'!Year.Vectors"), 0))</f>
        <v>0</v>
      </c>
      <c r="AY56" s="786">
        <f ca="1">INDEX(INDIRECT("'"&amp;AY$4&amp;"'!Year.NetBalance"), MATCH('Intermediate output'!$C56, INDIRECT("'"&amp;AY$4&amp;"'!Year.Vectors"), 0))</f>
        <v>0</v>
      </c>
      <c r="AZ56" s="786">
        <f ca="1">INDEX(INDIRECT("'"&amp;AZ$4&amp;"'!Year.NetBalance"), MATCH('Intermediate output'!$C56, INDIRECT("'"&amp;AZ$4&amp;"'!Year.Vectors"), 0))</f>
        <v>0</v>
      </c>
      <c r="BA56" s="786">
        <f ca="1">INDEX(INDIRECT("'"&amp;BA$4&amp;"'!Year.NetBalance"), MATCH('Intermediate output'!$C56, INDIRECT("'"&amp;BA$4&amp;"'!Year.Vectors"), 0))</f>
        <v>0</v>
      </c>
      <c r="BB56" s="786">
        <f ca="1">INDEX(INDIRECT("'"&amp;BB$4&amp;"'!Year.NetBalance"), MATCH('Intermediate output'!$C56, INDIRECT("'"&amp;BB$4&amp;"'!Year.Vectors"), 0))</f>
        <v>0</v>
      </c>
      <c r="BC56" s="786">
        <f ca="1">INDEX(INDIRECT("'"&amp;BC$4&amp;"'!Year.NetBalance"), MATCH('Intermediate output'!$C56, INDIRECT("'"&amp;BC$4&amp;"'!Year.Vectors"), 0))</f>
        <v>0</v>
      </c>
      <c r="BD56" s="786">
        <f ca="1">INDEX(INDIRECT("'"&amp;BD$4&amp;"'!Year.NetBalance"), MATCH('Intermediate output'!$C56, INDIRECT("'"&amp;BD$4&amp;"'!Year.Vectors"), 0))</f>
        <v>0</v>
      </c>
      <c r="BE56" s="786">
        <f ca="1">INDEX(INDIRECT("'"&amp;BE$4&amp;"'!Year.NetBalance"), MATCH('Intermediate output'!$C56, INDIRECT("'"&amp;BE$4&amp;"'!Year.Vectors"), 0))</f>
        <v>0</v>
      </c>
      <c r="BF56" s="786">
        <f ca="1">INDEX(INDIRECT("'"&amp;BF$4&amp;"'!Year.NetBalance"), MATCH('Intermediate output'!$C56, INDIRECT("'"&amp;BF$4&amp;"'!Year.Vectors"), 0))</f>
        <v>0</v>
      </c>
      <c r="BG56" s="787"/>
      <c r="BH56" s="23"/>
    </row>
    <row r="57" spans="2:62" s="38" customFormat="1" x14ac:dyDescent="0.2">
      <c r="B57" s="410"/>
      <c r="C57" s="804" t="s">
        <v>38</v>
      </c>
      <c r="D57" s="412" t="str">
        <f>INDEX(Vectors[Description], MATCH($C57, Vectors[Code], 0))</f>
        <v>Liquid hydrocarbons</v>
      </c>
      <c r="E57" s="412"/>
      <c r="F57" s="784"/>
      <c r="G57" s="2287"/>
      <c r="H57" s="2287"/>
      <c r="I57" s="2287"/>
      <c r="J57" s="2287"/>
      <c r="K57" s="2287"/>
      <c r="L57" s="2287"/>
      <c r="M57" s="2287"/>
      <c r="N57" s="2287"/>
      <c r="O57" s="2287"/>
      <c r="P57" s="2287"/>
      <c r="Q57" s="2287"/>
      <c r="R57" s="2287"/>
      <c r="S57" s="2287"/>
      <c r="T57" s="2287"/>
      <c r="U57" s="2287"/>
      <c r="V57" s="2287"/>
      <c r="W57" s="2287"/>
      <c r="X57" s="2287"/>
      <c r="Y57" s="2287"/>
      <c r="Z57" s="2287"/>
      <c r="AA57" s="2287"/>
      <c r="AB57" s="2287"/>
      <c r="AC57" s="2287"/>
      <c r="AD57" s="2287"/>
      <c r="AE57" s="2287"/>
      <c r="AF57" s="2287"/>
      <c r="AG57" s="2287"/>
      <c r="AH57" s="2287"/>
      <c r="AI57" s="2287"/>
      <c r="AJ57" s="2287"/>
      <c r="AK57" s="2287"/>
      <c r="AL57" s="2287"/>
      <c r="AM57" s="2287"/>
      <c r="AN57" s="2287"/>
      <c r="AO57" s="2287"/>
      <c r="AP57" s="2287"/>
      <c r="AQ57" s="2287"/>
      <c r="AR57" s="2287"/>
      <c r="AS57" s="2287"/>
      <c r="AT57" s="2287"/>
      <c r="AU57" s="2287"/>
      <c r="AV57" s="2287"/>
      <c r="AW57" s="412"/>
      <c r="AX57" s="786">
        <f ca="1">INDEX(INDIRECT("'"&amp;AX$4&amp;"'!Year.NetBalance"), MATCH('Intermediate output'!$C57, INDIRECT("'"&amp;AX$4&amp;"'!Year.Vectors"), 0))</f>
        <v>0</v>
      </c>
      <c r="AY57" s="786">
        <f ca="1">INDEX(INDIRECT("'"&amp;AY$4&amp;"'!Year.NetBalance"), MATCH('Intermediate output'!$C57, INDIRECT("'"&amp;AY$4&amp;"'!Year.Vectors"), 0))</f>
        <v>0</v>
      </c>
      <c r="AZ57" s="786">
        <f ca="1">INDEX(INDIRECT("'"&amp;AZ$4&amp;"'!Year.NetBalance"), MATCH('Intermediate output'!$C57, INDIRECT("'"&amp;AZ$4&amp;"'!Year.Vectors"), 0))</f>
        <v>0</v>
      </c>
      <c r="BA57" s="786">
        <f ca="1">INDEX(INDIRECT("'"&amp;BA$4&amp;"'!Year.NetBalance"), MATCH('Intermediate output'!$C57, INDIRECT("'"&amp;BA$4&amp;"'!Year.Vectors"), 0))</f>
        <v>0</v>
      </c>
      <c r="BB57" s="786">
        <f ca="1">INDEX(INDIRECT("'"&amp;BB$4&amp;"'!Year.NetBalance"), MATCH('Intermediate output'!$C57, INDIRECT("'"&amp;BB$4&amp;"'!Year.Vectors"), 0))</f>
        <v>0</v>
      </c>
      <c r="BC57" s="786">
        <f ca="1">INDEX(INDIRECT("'"&amp;BC$4&amp;"'!Year.NetBalance"), MATCH('Intermediate output'!$C57, INDIRECT("'"&amp;BC$4&amp;"'!Year.Vectors"), 0))</f>
        <v>0</v>
      </c>
      <c r="BD57" s="786">
        <f ca="1">INDEX(INDIRECT("'"&amp;BD$4&amp;"'!Year.NetBalance"), MATCH('Intermediate output'!$C57, INDIRECT("'"&amp;BD$4&amp;"'!Year.Vectors"), 0))</f>
        <v>0</v>
      </c>
      <c r="BE57" s="786">
        <f ca="1">INDEX(INDIRECT("'"&amp;BE$4&amp;"'!Year.NetBalance"), MATCH('Intermediate output'!$C57, INDIRECT("'"&amp;BE$4&amp;"'!Year.Vectors"), 0))</f>
        <v>0</v>
      </c>
      <c r="BF57" s="786">
        <f ca="1">INDEX(INDIRECT("'"&amp;BF$4&amp;"'!Year.NetBalance"), MATCH('Intermediate output'!$C57, INDIRECT("'"&amp;BF$4&amp;"'!Year.Vectors"), 0))</f>
        <v>0</v>
      </c>
      <c r="BG57" s="787"/>
      <c r="BH57" s="23"/>
    </row>
    <row r="58" spans="2:62" s="38" customFormat="1" x14ac:dyDescent="0.2">
      <c r="B58" s="410"/>
      <c r="C58" s="804" t="s">
        <v>39</v>
      </c>
      <c r="D58" s="412" t="str">
        <f>INDEX(Vectors[Description], MATCH($C58, Vectors[Code], 0))</f>
        <v>Gaseous hydrocarbons</v>
      </c>
      <c r="E58" s="412"/>
      <c r="F58" s="784"/>
      <c r="G58" s="2287"/>
      <c r="H58" s="2287"/>
      <c r="I58" s="2287"/>
      <c r="J58" s="2287"/>
      <c r="K58" s="2287"/>
      <c r="L58" s="2287"/>
      <c r="M58" s="2287"/>
      <c r="N58" s="2287"/>
      <c r="O58" s="2287"/>
      <c r="P58" s="2287"/>
      <c r="Q58" s="2287"/>
      <c r="R58" s="2287"/>
      <c r="S58" s="2287"/>
      <c r="T58" s="2287"/>
      <c r="U58" s="2287"/>
      <c r="V58" s="2287"/>
      <c r="W58" s="2287"/>
      <c r="X58" s="2287"/>
      <c r="Y58" s="2287"/>
      <c r="Z58" s="2287"/>
      <c r="AA58" s="2287"/>
      <c r="AB58" s="2287"/>
      <c r="AC58" s="2287"/>
      <c r="AD58" s="2287"/>
      <c r="AE58" s="2287"/>
      <c r="AF58" s="2287"/>
      <c r="AG58" s="2287"/>
      <c r="AH58" s="2287"/>
      <c r="AI58" s="2287"/>
      <c r="AJ58" s="2287"/>
      <c r="AK58" s="2287"/>
      <c r="AL58" s="2287"/>
      <c r="AM58" s="2287"/>
      <c r="AN58" s="2287"/>
      <c r="AO58" s="2287"/>
      <c r="AP58" s="2287"/>
      <c r="AQ58" s="2287"/>
      <c r="AR58" s="2287"/>
      <c r="AS58" s="2287"/>
      <c r="AT58" s="2287"/>
      <c r="AU58" s="2287"/>
      <c r="AV58" s="2287"/>
      <c r="AW58" s="412"/>
      <c r="AX58" s="786">
        <f ca="1">INDEX(INDIRECT("'"&amp;AX$4&amp;"'!Year.NetBalance"), MATCH('Intermediate output'!$C58, INDIRECT("'"&amp;AX$4&amp;"'!Year.Vectors"), 0))</f>
        <v>0</v>
      </c>
      <c r="AY58" s="786">
        <f ca="1">INDEX(INDIRECT("'"&amp;AY$4&amp;"'!Year.NetBalance"), MATCH('Intermediate output'!$C58, INDIRECT("'"&amp;AY$4&amp;"'!Year.Vectors"), 0))</f>
        <v>0</v>
      </c>
      <c r="AZ58" s="786">
        <f ca="1">INDEX(INDIRECT("'"&amp;AZ$4&amp;"'!Year.NetBalance"), MATCH('Intermediate output'!$C58, INDIRECT("'"&amp;AZ$4&amp;"'!Year.Vectors"), 0))</f>
        <v>0</v>
      </c>
      <c r="BA58" s="786">
        <f ca="1">INDEX(INDIRECT("'"&amp;BA$4&amp;"'!Year.NetBalance"), MATCH('Intermediate output'!$C58, INDIRECT("'"&amp;BA$4&amp;"'!Year.Vectors"), 0))</f>
        <v>0</v>
      </c>
      <c r="BB58" s="786">
        <f ca="1">INDEX(INDIRECT("'"&amp;BB$4&amp;"'!Year.NetBalance"), MATCH('Intermediate output'!$C58, INDIRECT("'"&amp;BB$4&amp;"'!Year.Vectors"), 0))</f>
        <v>0</v>
      </c>
      <c r="BC58" s="786">
        <f ca="1">INDEX(INDIRECT("'"&amp;BC$4&amp;"'!Year.NetBalance"), MATCH('Intermediate output'!$C58, INDIRECT("'"&amp;BC$4&amp;"'!Year.Vectors"), 0))</f>
        <v>0</v>
      </c>
      <c r="BD58" s="786">
        <f ca="1">INDEX(INDIRECT("'"&amp;BD$4&amp;"'!Year.NetBalance"), MATCH('Intermediate output'!$C58, INDIRECT("'"&amp;BD$4&amp;"'!Year.Vectors"), 0))</f>
        <v>0</v>
      </c>
      <c r="BE58" s="786">
        <f ca="1">INDEX(INDIRECT("'"&amp;BE$4&amp;"'!Year.NetBalance"), MATCH('Intermediate output'!$C58, INDIRECT("'"&amp;BE$4&amp;"'!Year.Vectors"), 0))</f>
        <v>0</v>
      </c>
      <c r="BF58" s="786">
        <f ca="1">INDEX(INDIRECT("'"&amp;BF$4&amp;"'!Year.NetBalance"), MATCH('Intermediate output'!$C58, INDIRECT("'"&amp;BF$4&amp;"'!Year.Vectors"), 0))</f>
        <v>0</v>
      </c>
      <c r="BG58" s="787"/>
      <c r="BH58" s="23"/>
    </row>
    <row r="59" spans="2:62" s="2479" customFormat="1" x14ac:dyDescent="0.2">
      <c r="B59" s="410"/>
      <c r="C59" s="804" t="s">
        <v>2184</v>
      </c>
      <c r="D59" s="412" t="str">
        <f>INDEX(Vectors[Description], MATCH($C59, Vectors[Code], 0))</f>
        <v>Traditional Fuel</v>
      </c>
      <c r="E59" s="412"/>
      <c r="F59" s="784"/>
      <c r="G59" s="2287"/>
      <c r="H59" s="2287"/>
      <c r="I59" s="2287"/>
      <c r="J59" s="2287"/>
      <c r="K59" s="2287"/>
      <c r="L59" s="2287"/>
      <c r="M59" s="2287"/>
      <c r="N59" s="2287"/>
      <c r="O59" s="2287"/>
      <c r="P59" s="2287"/>
      <c r="Q59" s="2287"/>
      <c r="R59" s="2287"/>
      <c r="S59" s="2287"/>
      <c r="T59" s="2287"/>
      <c r="U59" s="2287"/>
      <c r="V59" s="2287"/>
      <c r="W59" s="2287"/>
      <c r="X59" s="2287"/>
      <c r="Y59" s="2287"/>
      <c r="Z59" s="2287"/>
      <c r="AA59" s="2287"/>
      <c r="AB59" s="2287"/>
      <c r="AC59" s="2287"/>
      <c r="AD59" s="2287"/>
      <c r="AE59" s="2287"/>
      <c r="AF59" s="2287"/>
      <c r="AG59" s="2287"/>
      <c r="AH59" s="2287"/>
      <c r="AI59" s="2287"/>
      <c r="AJ59" s="2287"/>
      <c r="AK59" s="2287"/>
      <c r="AL59" s="2287"/>
      <c r="AM59" s="2287"/>
      <c r="AN59" s="2287"/>
      <c r="AO59" s="2287"/>
      <c r="AP59" s="2287"/>
      <c r="AQ59" s="2287"/>
      <c r="AR59" s="2287"/>
      <c r="AS59" s="2287"/>
      <c r="AT59" s="2287"/>
      <c r="AU59" s="2287"/>
      <c r="AV59" s="2287"/>
      <c r="AW59" s="412"/>
      <c r="AX59" s="786">
        <f ca="1">INDEX(INDIRECT("'"&amp;AX$4&amp;"'!Year.NetBalance"), MATCH('Intermediate output'!$C59, INDIRECT("'"&amp;AX$4&amp;"'!Year.Vectors"), 0))</f>
        <v>0</v>
      </c>
      <c r="AY59" s="786">
        <f ca="1">INDEX(INDIRECT("'"&amp;AY$4&amp;"'!Year.NetBalance"), MATCH('Intermediate output'!$C59, INDIRECT("'"&amp;AY$4&amp;"'!Year.Vectors"), 0))</f>
        <v>0</v>
      </c>
      <c r="AZ59" s="786">
        <f ca="1">INDEX(INDIRECT("'"&amp;AZ$4&amp;"'!Year.NetBalance"), MATCH('Intermediate output'!$C59, INDIRECT("'"&amp;AZ$4&amp;"'!Year.Vectors"), 0))</f>
        <v>0</v>
      </c>
      <c r="BA59" s="786">
        <f ca="1">INDEX(INDIRECT("'"&amp;BA$4&amp;"'!Year.NetBalance"), MATCH('Intermediate output'!$C59, INDIRECT("'"&amp;BA$4&amp;"'!Year.Vectors"), 0))</f>
        <v>0</v>
      </c>
      <c r="BB59" s="786">
        <f ca="1">INDEX(INDIRECT("'"&amp;BB$4&amp;"'!Year.NetBalance"), MATCH('Intermediate output'!$C59, INDIRECT("'"&amp;BB$4&amp;"'!Year.Vectors"), 0))</f>
        <v>0</v>
      </c>
      <c r="BC59" s="786">
        <f ca="1">INDEX(INDIRECT("'"&amp;BC$4&amp;"'!Year.NetBalance"), MATCH('Intermediate output'!$C59, INDIRECT("'"&amp;BC$4&amp;"'!Year.Vectors"), 0))</f>
        <v>0</v>
      </c>
      <c r="BD59" s="786">
        <f ca="1">INDEX(INDIRECT("'"&amp;BD$4&amp;"'!Year.NetBalance"), MATCH('Intermediate output'!$C59, INDIRECT("'"&amp;BD$4&amp;"'!Year.Vectors"), 0))</f>
        <v>0</v>
      </c>
      <c r="BE59" s="786">
        <f ca="1">INDEX(INDIRECT("'"&amp;BE$4&amp;"'!Year.NetBalance"), MATCH('Intermediate output'!$C59, INDIRECT("'"&amp;BE$4&amp;"'!Year.Vectors"), 0))</f>
        <v>0</v>
      </c>
      <c r="BF59" s="786">
        <f ca="1">INDEX(INDIRECT("'"&amp;BF$4&amp;"'!Year.NetBalance"), MATCH('Intermediate output'!$C59, INDIRECT("'"&amp;BF$4&amp;"'!Year.Vectors"), 0))</f>
        <v>0</v>
      </c>
      <c r="BG59" s="787"/>
      <c r="BH59" s="23"/>
    </row>
    <row r="60" spans="2:62" s="38" customFormat="1" x14ac:dyDescent="0.2">
      <c r="B60" s="410"/>
      <c r="C60" s="804" t="s">
        <v>92</v>
      </c>
      <c r="D60" s="412" t="str">
        <f>INDEX(Vectors[Description], MATCH($C60, Vectors[Code], 0))</f>
        <v>Blast furnace gas</v>
      </c>
      <c r="E60" s="412"/>
      <c r="F60" s="784"/>
      <c r="G60" s="2287"/>
      <c r="H60" s="2287"/>
      <c r="I60" s="2287"/>
      <c r="J60" s="2287"/>
      <c r="K60" s="2287"/>
      <c r="L60" s="2287"/>
      <c r="M60" s="2287"/>
      <c r="N60" s="2287"/>
      <c r="O60" s="2287"/>
      <c r="P60" s="2287"/>
      <c r="Q60" s="2287"/>
      <c r="R60" s="2287"/>
      <c r="S60" s="2287"/>
      <c r="T60" s="2287"/>
      <c r="U60" s="2287"/>
      <c r="V60" s="2287"/>
      <c r="W60" s="2287"/>
      <c r="X60" s="2287"/>
      <c r="Y60" s="2287"/>
      <c r="Z60" s="2287"/>
      <c r="AA60" s="2287"/>
      <c r="AB60" s="2287"/>
      <c r="AC60" s="2287"/>
      <c r="AD60" s="2287"/>
      <c r="AE60" s="2287"/>
      <c r="AF60" s="2287"/>
      <c r="AG60" s="2287"/>
      <c r="AH60" s="2287"/>
      <c r="AI60" s="2287"/>
      <c r="AJ60" s="2287"/>
      <c r="AK60" s="2287"/>
      <c r="AL60" s="2287"/>
      <c r="AM60" s="2287"/>
      <c r="AN60" s="2287"/>
      <c r="AO60" s="2287"/>
      <c r="AP60" s="2287"/>
      <c r="AQ60" s="2287"/>
      <c r="AR60" s="2287"/>
      <c r="AS60" s="2287"/>
      <c r="AT60" s="2287"/>
      <c r="AU60" s="2287"/>
      <c r="AV60" s="2287"/>
      <c r="AW60" s="412"/>
      <c r="AX60" s="786">
        <f ca="1">INDEX(INDIRECT("'"&amp;AX$4&amp;"'!Year.NetBalance"), MATCH('Intermediate output'!$C60, INDIRECT("'"&amp;AX$4&amp;"'!Year.Vectors"), 0))</f>
        <v>0</v>
      </c>
      <c r="AY60" s="786">
        <f ca="1">INDEX(INDIRECT("'"&amp;AY$4&amp;"'!Year.NetBalance"), MATCH('Intermediate output'!$C60, INDIRECT("'"&amp;AY$4&amp;"'!Year.Vectors"), 0))</f>
        <v>0</v>
      </c>
      <c r="AZ60" s="786">
        <f ca="1">INDEX(INDIRECT("'"&amp;AZ$4&amp;"'!Year.NetBalance"), MATCH('Intermediate output'!$C60, INDIRECT("'"&amp;AZ$4&amp;"'!Year.Vectors"), 0))</f>
        <v>0</v>
      </c>
      <c r="BA60" s="786">
        <f ca="1">INDEX(INDIRECT("'"&amp;BA$4&amp;"'!Year.NetBalance"), MATCH('Intermediate output'!$C60, INDIRECT("'"&amp;BA$4&amp;"'!Year.Vectors"), 0))</f>
        <v>0</v>
      </c>
      <c r="BB60" s="786">
        <f ca="1">INDEX(INDIRECT("'"&amp;BB$4&amp;"'!Year.NetBalance"), MATCH('Intermediate output'!$C60, INDIRECT("'"&amp;BB$4&amp;"'!Year.Vectors"), 0))</f>
        <v>0</v>
      </c>
      <c r="BC60" s="786">
        <f ca="1">INDEX(INDIRECT("'"&amp;BC$4&amp;"'!Year.NetBalance"), MATCH('Intermediate output'!$C60, INDIRECT("'"&amp;BC$4&amp;"'!Year.Vectors"), 0))</f>
        <v>0</v>
      </c>
      <c r="BD60" s="786">
        <f ca="1">INDEX(INDIRECT("'"&amp;BD$4&amp;"'!Year.NetBalance"), MATCH('Intermediate output'!$C60, INDIRECT("'"&amp;BD$4&amp;"'!Year.Vectors"), 0))</f>
        <v>0</v>
      </c>
      <c r="BE60" s="786">
        <f ca="1">INDEX(INDIRECT("'"&amp;BE$4&amp;"'!Year.NetBalance"), MATCH('Intermediate output'!$C60, INDIRECT("'"&amp;BE$4&amp;"'!Year.Vectors"), 0))</f>
        <v>0</v>
      </c>
      <c r="BF60" s="786">
        <f ca="1">INDEX(INDIRECT("'"&amp;BF$4&amp;"'!Year.NetBalance"), MATCH('Intermediate output'!$C60, INDIRECT("'"&amp;BF$4&amp;"'!Year.Vectors"), 0))</f>
        <v>0</v>
      </c>
      <c r="BG60" s="787"/>
      <c r="BH60" s="23"/>
    </row>
    <row r="61" spans="2:62" x14ac:dyDescent="0.2">
      <c r="B61" s="410"/>
      <c r="C61" s="804" t="s">
        <v>295</v>
      </c>
      <c r="D61" s="412" t="str">
        <f>INDEX(Vectors[Description], MATCH($C61, Vectors[Code], 0))</f>
        <v>Edible biomass</v>
      </c>
      <c r="E61" s="412"/>
      <c r="F61" s="784"/>
      <c r="G61" s="2287"/>
      <c r="H61" s="2287"/>
      <c r="I61" s="2287"/>
      <c r="J61" s="2287"/>
      <c r="K61" s="2287"/>
      <c r="L61" s="2287"/>
      <c r="M61" s="2287"/>
      <c r="N61" s="2287"/>
      <c r="O61" s="2287"/>
      <c r="P61" s="2287"/>
      <c r="Q61" s="2287"/>
      <c r="R61" s="2287"/>
      <c r="S61" s="2287"/>
      <c r="T61" s="2287"/>
      <c r="U61" s="2287"/>
      <c r="V61" s="2287"/>
      <c r="W61" s="2287"/>
      <c r="X61" s="2287"/>
      <c r="Y61" s="2287"/>
      <c r="Z61" s="2287"/>
      <c r="AA61" s="2287"/>
      <c r="AB61" s="2287"/>
      <c r="AC61" s="2287"/>
      <c r="AD61" s="2287"/>
      <c r="AE61" s="2287"/>
      <c r="AF61" s="2287"/>
      <c r="AG61" s="2287"/>
      <c r="AH61" s="2287"/>
      <c r="AI61" s="2287"/>
      <c r="AJ61" s="2287"/>
      <c r="AK61" s="2287"/>
      <c r="AL61" s="2287"/>
      <c r="AM61" s="2287"/>
      <c r="AN61" s="2287"/>
      <c r="AO61" s="2287"/>
      <c r="AP61" s="2287"/>
      <c r="AQ61" s="2287"/>
      <c r="AR61" s="2287"/>
      <c r="AS61" s="2287"/>
      <c r="AT61" s="2287"/>
      <c r="AU61" s="2287"/>
      <c r="AV61" s="2287"/>
      <c r="AW61" s="412"/>
      <c r="AX61" s="786">
        <f ca="1">INDEX(INDIRECT("'"&amp;AX$4&amp;"'!Year.NetBalance"), MATCH('Intermediate output'!$C61, INDIRECT("'"&amp;AX$4&amp;"'!Year.Vectors"), 0))</f>
        <v>0</v>
      </c>
      <c r="AY61" s="786">
        <f ca="1">INDEX(INDIRECT("'"&amp;AY$4&amp;"'!Year.NetBalance"), MATCH('Intermediate output'!$C61, INDIRECT("'"&amp;AY$4&amp;"'!Year.Vectors"), 0))</f>
        <v>0</v>
      </c>
      <c r="AZ61" s="786">
        <f ca="1">INDEX(INDIRECT("'"&amp;AZ$4&amp;"'!Year.NetBalance"), MATCH('Intermediate output'!$C61, INDIRECT("'"&amp;AZ$4&amp;"'!Year.Vectors"), 0))</f>
        <v>0</v>
      </c>
      <c r="BA61" s="786">
        <f ca="1">INDEX(INDIRECT("'"&amp;BA$4&amp;"'!Year.NetBalance"), MATCH('Intermediate output'!$C61, INDIRECT("'"&amp;BA$4&amp;"'!Year.Vectors"), 0))</f>
        <v>0</v>
      </c>
      <c r="BB61" s="786">
        <f ca="1">INDEX(INDIRECT("'"&amp;BB$4&amp;"'!Year.NetBalance"), MATCH('Intermediate output'!$C61, INDIRECT("'"&amp;BB$4&amp;"'!Year.Vectors"), 0))</f>
        <v>0</v>
      </c>
      <c r="BC61" s="786">
        <f ca="1">INDEX(INDIRECT("'"&amp;BC$4&amp;"'!Year.NetBalance"), MATCH('Intermediate output'!$C61, INDIRECT("'"&amp;BC$4&amp;"'!Year.Vectors"), 0))</f>
        <v>0</v>
      </c>
      <c r="BD61" s="786">
        <f ca="1">INDEX(INDIRECT("'"&amp;BD$4&amp;"'!Year.NetBalance"), MATCH('Intermediate output'!$C61, INDIRECT("'"&amp;BD$4&amp;"'!Year.Vectors"), 0))</f>
        <v>0</v>
      </c>
      <c r="BE61" s="786">
        <f ca="1">INDEX(INDIRECT("'"&amp;BE$4&amp;"'!Year.NetBalance"), MATCH('Intermediate output'!$C61, INDIRECT("'"&amp;BE$4&amp;"'!Year.Vectors"), 0))</f>
        <v>0</v>
      </c>
      <c r="BF61" s="786">
        <f ca="1">INDEX(INDIRECT("'"&amp;BF$4&amp;"'!Year.NetBalance"), MATCH('Intermediate output'!$C61, INDIRECT("'"&amp;BF$4&amp;"'!Year.Vectors"), 0))</f>
        <v>0</v>
      </c>
      <c r="BG61" s="787"/>
      <c r="BH61" s="23"/>
      <c r="BJ61"/>
    </row>
    <row r="62" spans="2:62" x14ac:dyDescent="0.2">
      <c r="B62" s="410"/>
      <c r="C62" s="804" t="s">
        <v>296</v>
      </c>
      <c r="D62" s="412" t="str">
        <f>INDEX(Vectors[Description], MATCH($C62, Vectors[Code], 0))</f>
        <v>Dry biomass and waste</v>
      </c>
      <c r="E62" s="412"/>
      <c r="F62" s="784"/>
      <c r="G62" s="2287"/>
      <c r="H62" s="2287"/>
      <c r="I62" s="2287"/>
      <c r="J62" s="2287"/>
      <c r="K62" s="2287"/>
      <c r="L62" s="2287"/>
      <c r="M62" s="2287"/>
      <c r="N62" s="2287"/>
      <c r="O62" s="2287"/>
      <c r="P62" s="2287"/>
      <c r="Q62" s="2287"/>
      <c r="R62" s="2287"/>
      <c r="S62" s="2287"/>
      <c r="T62" s="2287"/>
      <c r="U62" s="2287"/>
      <c r="V62" s="2287"/>
      <c r="W62" s="2287"/>
      <c r="X62" s="2287"/>
      <c r="Y62" s="2287"/>
      <c r="Z62" s="2287"/>
      <c r="AA62" s="2287"/>
      <c r="AB62" s="2287"/>
      <c r="AC62" s="2287"/>
      <c r="AD62" s="2287"/>
      <c r="AE62" s="2287"/>
      <c r="AF62" s="2287"/>
      <c r="AG62" s="2287"/>
      <c r="AH62" s="2287"/>
      <c r="AI62" s="2287"/>
      <c r="AJ62" s="2287"/>
      <c r="AK62" s="2287"/>
      <c r="AL62" s="2287"/>
      <c r="AM62" s="2287"/>
      <c r="AN62" s="2287"/>
      <c r="AO62" s="2287"/>
      <c r="AP62" s="2287"/>
      <c r="AQ62" s="2287"/>
      <c r="AR62" s="2287"/>
      <c r="AS62" s="2287"/>
      <c r="AT62" s="2287"/>
      <c r="AU62" s="2287"/>
      <c r="AV62" s="2287"/>
      <c r="AW62" s="412"/>
      <c r="AX62" s="786">
        <f ca="1">INDEX(INDIRECT("'"&amp;AX$4&amp;"'!Year.NetBalance"), MATCH('Intermediate output'!$C62, INDIRECT("'"&amp;AX$4&amp;"'!Year.Vectors"), 0))</f>
        <v>0</v>
      </c>
      <c r="AY62" s="786">
        <f ca="1">INDEX(INDIRECT("'"&amp;AY$4&amp;"'!Year.NetBalance"), MATCH('Intermediate output'!$C62, INDIRECT("'"&amp;AY$4&amp;"'!Year.Vectors"), 0))</f>
        <v>0</v>
      </c>
      <c r="AZ62" s="786">
        <f ca="1">INDEX(INDIRECT("'"&amp;AZ$4&amp;"'!Year.NetBalance"), MATCH('Intermediate output'!$C62, INDIRECT("'"&amp;AZ$4&amp;"'!Year.Vectors"), 0))</f>
        <v>0</v>
      </c>
      <c r="BA62" s="786">
        <f ca="1">INDEX(INDIRECT("'"&amp;BA$4&amp;"'!Year.NetBalance"), MATCH('Intermediate output'!$C62, INDIRECT("'"&amp;BA$4&amp;"'!Year.Vectors"), 0))</f>
        <v>0</v>
      </c>
      <c r="BB62" s="786">
        <f ca="1">INDEX(INDIRECT("'"&amp;BB$4&amp;"'!Year.NetBalance"), MATCH('Intermediate output'!$C62, INDIRECT("'"&amp;BB$4&amp;"'!Year.Vectors"), 0))</f>
        <v>0</v>
      </c>
      <c r="BC62" s="786">
        <f ca="1">INDEX(INDIRECT("'"&amp;BC$4&amp;"'!Year.NetBalance"), MATCH('Intermediate output'!$C62, INDIRECT("'"&amp;BC$4&amp;"'!Year.Vectors"), 0))</f>
        <v>0</v>
      </c>
      <c r="BD62" s="786">
        <f ca="1">INDEX(INDIRECT("'"&amp;BD$4&amp;"'!Year.NetBalance"), MATCH('Intermediate output'!$C62, INDIRECT("'"&amp;BD$4&amp;"'!Year.Vectors"), 0))</f>
        <v>0</v>
      </c>
      <c r="BE62" s="786">
        <f ca="1">INDEX(INDIRECT("'"&amp;BE$4&amp;"'!Year.NetBalance"), MATCH('Intermediate output'!$C62, INDIRECT("'"&amp;BE$4&amp;"'!Year.Vectors"), 0))</f>
        <v>0</v>
      </c>
      <c r="BF62" s="786">
        <f ca="1">INDEX(INDIRECT("'"&amp;BF$4&amp;"'!Year.NetBalance"), MATCH('Intermediate output'!$C62, INDIRECT("'"&amp;BF$4&amp;"'!Year.Vectors"), 0))</f>
        <v>0</v>
      </c>
      <c r="BG62" s="787"/>
      <c r="BH62" s="23"/>
      <c r="BJ62"/>
    </row>
    <row r="63" spans="2:62" x14ac:dyDescent="0.2">
      <c r="B63" s="410"/>
      <c r="C63" s="804" t="s">
        <v>383</v>
      </c>
      <c r="D63" s="412" t="str">
        <f>INDEX(Vectors[Description], MATCH($C63, Vectors[Code], 0))</f>
        <v>Wet biomass and waste</v>
      </c>
      <c r="E63" s="412"/>
      <c r="F63" s="784"/>
      <c r="G63" s="2287"/>
      <c r="H63" s="2287"/>
      <c r="I63" s="2287"/>
      <c r="J63" s="2287"/>
      <c r="K63" s="2287"/>
      <c r="L63" s="2287"/>
      <c r="M63" s="2287"/>
      <c r="N63" s="2287"/>
      <c r="O63" s="2287"/>
      <c r="P63" s="2287"/>
      <c r="Q63" s="2287"/>
      <c r="R63" s="2287"/>
      <c r="S63" s="2287"/>
      <c r="T63" s="2287"/>
      <c r="U63" s="2287"/>
      <c r="V63" s="2287"/>
      <c r="W63" s="2287"/>
      <c r="X63" s="2287"/>
      <c r="Y63" s="2287"/>
      <c r="Z63" s="2287"/>
      <c r="AA63" s="2287"/>
      <c r="AB63" s="2287"/>
      <c r="AC63" s="2287"/>
      <c r="AD63" s="2287"/>
      <c r="AE63" s="2287"/>
      <c r="AF63" s="2287"/>
      <c r="AG63" s="2287"/>
      <c r="AH63" s="2287"/>
      <c r="AI63" s="2287"/>
      <c r="AJ63" s="2287"/>
      <c r="AK63" s="2287"/>
      <c r="AL63" s="2287"/>
      <c r="AM63" s="2287"/>
      <c r="AN63" s="2287"/>
      <c r="AO63" s="2287"/>
      <c r="AP63" s="2287"/>
      <c r="AQ63" s="2287"/>
      <c r="AR63" s="2287"/>
      <c r="AS63" s="2287"/>
      <c r="AT63" s="2287"/>
      <c r="AU63" s="2287"/>
      <c r="AV63" s="2287"/>
      <c r="AW63" s="412"/>
      <c r="AX63" s="786">
        <f ca="1">INDEX(INDIRECT("'"&amp;AX$4&amp;"'!Year.NetBalance"), MATCH('Intermediate output'!$C63, INDIRECT("'"&amp;AX$4&amp;"'!Year.Vectors"), 0))</f>
        <v>0</v>
      </c>
      <c r="AY63" s="786">
        <f ca="1">INDEX(INDIRECT("'"&amp;AY$4&amp;"'!Year.NetBalance"), MATCH('Intermediate output'!$C63, INDIRECT("'"&amp;AY$4&amp;"'!Year.Vectors"), 0))</f>
        <v>0</v>
      </c>
      <c r="AZ63" s="786">
        <f ca="1">INDEX(INDIRECT("'"&amp;AZ$4&amp;"'!Year.NetBalance"), MATCH('Intermediate output'!$C63, INDIRECT("'"&amp;AZ$4&amp;"'!Year.Vectors"), 0))</f>
        <v>0</v>
      </c>
      <c r="BA63" s="786">
        <f ca="1">INDEX(INDIRECT("'"&amp;BA$4&amp;"'!Year.NetBalance"), MATCH('Intermediate output'!$C63, INDIRECT("'"&amp;BA$4&amp;"'!Year.Vectors"), 0))</f>
        <v>0</v>
      </c>
      <c r="BB63" s="786">
        <f ca="1">INDEX(INDIRECT("'"&amp;BB$4&amp;"'!Year.NetBalance"), MATCH('Intermediate output'!$C63, INDIRECT("'"&amp;BB$4&amp;"'!Year.Vectors"), 0))</f>
        <v>0</v>
      </c>
      <c r="BC63" s="786">
        <f ca="1">INDEX(INDIRECT("'"&amp;BC$4&amp;"'!Year.NetBalance"), MATCH('Intermediate output'!$C63, INDIRECT("'"&amp;BC$4&amp;"'!Year.Vectors"), 0))</f>
        <v>0</v>
      </c>
      <c r="BD63" s="786">
        <f ca="1">INDEX(INDIRECT("'"&amp;BD$4&amp;"'!Year.NetBalance"), MATCH('Intermediate output'!$C63, INDIRECT("'"&amp;BD$4&amp;"'!Year.Vectors"), 0))</f>
        <v>0</v>
      </c>
      <c r="BE63" s="786">
        <f ca="1">INDEX(INDIRECT("'"&amp;BE$4&amp;"'!Year.NetBalance"), MATCH('Intermediate output'!$C63, INDIRECT("'"&amp;BE$4&amp;"'!Year.Vectors"), 0))</f>
        <v>0</v>
      </c>
      <c r="BF63" s="786">
        <f ca="1">INDEX(INDIRECT("'"&amp;BF$4&amp;"'!Year.NetBalance"), MATCH('Intermediate output'!$C63, INDIRECT("'"&amp;BF$4&amp;"'!Year.Vectors"), 0))</f>
        <v>0</v>
      </c>
      <c r="BG63" s="787"/>
      <c r="BH63" s="23"/>
      <c r="BJ63"/>
    </row>
    <row r="64" spans="2:62" s="38" customFormat="1" x14ac:dyDescent="0.2">
      <c r="B64" s="410"/>
      <c r="C64" s="804" t="s">
        <v>871</v>
      </c>
      <c r="D64" s="412" t="str">
        <f>INDEX(Vectors[Description], MATCH($C64, Vectors[Code], 0))</f>
        <v>Energy crops (second generation)</v>
      </c>
      <c r="E64" s="412"/>
      <c r="F64" s="784"/>
      <c r="G64" s="2287"/>
      <c r="H64" s="2287"/>
      <c r="I64" s="2287"/>
      <c r="J64" s="2287"/>
      <c r="K64" s="2287"/>
      <c r="L64" s="2287"/>
      <c r="M64" s="2287"/>
      <c r="N64" s="2287"/>
      <c r="O64" s="2287"/>
      <c r="P64" s="2287"/>
      <c r="Q64" s="2287"/>
      <c r="R64" s="2287"/>
      <c r="S64" s="2287"/>
      <c r="T64" s="2287"/>
      <c r="U64" s="2287"/>
      <c r="V64" s="2287"/>
      <c r="W64" s="2287"/>
      <c r="X64" s="2287"/>
      <c r="Y64" s="2287"/>
      <c r="Z64" s="2287"/>
      <c r="AA64" s="2287"/>
      <c r="AB64" s="2287"/>
      <c r="AC64" s="2287"/>
      <c r="AD64" s="2287"/>
      <c r="AE64" s="2287"/>
      <c r="AF64" s="2287"/>
      <c r="AG64" s="2287"/>
      <c r="AH64" s="2287"/>
      <c r="AI64" s="2287"/>
      <c r="AJ64" s="2287"/>
      <c r="AK64" s="2287"/>
      <c r="AL64" s="2287"/>
      <c r="AM64" s="2287"/>
      <c r="AN64" s="2287"/>
      <c r="AO64" s="2287"/>
      <c r="AP64" s="2287"/>
      <c r="AQ64" s="2287"/>
      <c r="AR64" s="2287"/>
      <c r="AS64" s="2287"/>
      <c r="AT64" s="2287"/>
      <c r="AU64" s="2287"/>
      <c r="AV64" s="2287"/>
      <c r="AW64" s="412"/>
      <c r="AX64" s="786">
        <f ca="1">INDEX(INDIRECT("'"&amp;AX$4&amp;"'!Year.NetBalance"), MATCH('Intermediate output'!$C64, INDIRECT("'"&amp;AX$4&amp;"'!Year.Vectors"), 0))</f>
        <v>0</v>
      </c>
      <c r="AY64" s="786">
        <f ca="1">INDEX(INDIRECT("'"&amp;AY$4&amp;"'!Year.NetBalance"), MATCH('Intermediate output'!$C64, INDIRECT("'"&amp;AY$4&amp;"'!Year.Vectors"), 0))</f>
        <v>0</v>
      </c>
      <c r="AZ64" s="786">
        <f ca="1">INDEX(INDIRECT("'"&amp;AZ$4&amp;"'!Year.NetBalance"), MATCH('Intermediate output'!$C64, INDIRECT("'"&amp;AZ$4&amp;"'!Year.Vectors"), 0))</f>
        <v>0</v>
      </c>
      <c r="BA64" s="786">
        <f ca="1">INDEX(INDIRECT("'"&amp;BA$4&amp;"'!Year.NetBalance"), MATCH('Intermediate output'!$C64, INDIRECT("'"&amp;BA$4&amp;"'!Year.Vectors"), 0))</f>
        <v>0</v>
      </c>
      <c r="BB64" s="786">
        <f ca="1">INDEX(INDIRECT("'"&amp;BB$4&amp;"'!Year.NetBalance"), MATCH('Intermediate output'!$C64, INDIRECT("'"&amp;BB$4&amp;"'!Year.Vectors"), 0))</f>
        <v>0</v>
      </c>
      <c r="BC64" s="786">
        <f ca="1">INDEX(INDIRECT("'"&amp;BC$4&amp;"'!Year.NetBalance"), MATCH('Intermediate output'!$C64, INDIRECT("'"&amp;BC$4&amp;"'!Year.Vectors"), 0))</f>
        <v>0</v>
      </c>
      <c r="BD64" s="786">
        <f ca="1">INDEX(INDIRECT("'"&amp;BD$4&amp;"'!Year.NetBalance"), MATCH('Intermediate output'!$C64, INDIRECT("'"&amp;BD$4&amp;"'!Year.Vectors"), 0))</f>
        <v>0</v>
      </c>
      <c r="BE64" s="786">
        <f ca="1">INDEX(INDIRECT("'"&amp;BE$4&amp;"'!Year.NetBalance"), MATCH('Intermediate output'!$C64, INDIRECT("'"&amp;BE$4&amp;"'!Year.Vectors"), 0))</f>
        <v>0</v>
      </c>
      <c r="BF64" s="786">
        <f ca="1">INDEX(INDIRECT("'"&amp;BF$4&amp;"'!Year.NetBalance"), MATCH('Intermediate output'!$C64, INDIRECT("'"&amp;BF$4&amp;"'!Year.Vectors"), 0))</f>
        <v>0</v>
      </c>
      <c r="BG64" s="787"/>
      <c r="BH64" s="23"/>
    </row>
    <row r="65" spans="1:62" s="84" customFormat="1" ht="18" x14ac:dyDescent="0.2">
      <c r="B65" s="797"/>
      <c r="C65" s="97"/>
      <c r="D65" s="776" t="s">
        <v>566</v>
      </c>
      <c r="E65" s="412"/>
      <c r="F65" s="779"/>
      <c r="G65" s="2289"/>
      <c r="H65" s="2289"/>
      <c r="I65" s="2289"/>
      <c r="J65" s="2289"/>
      <c r="K65" s="2289"/>
      <c r="L65" s="2289"/>
      <c r="M65" s="2289"/>
      <c r="N65" s="2289"/>
      <c r="O65" s="2289"/>
      <c r="P65" s="2289"/>
      <c r="Q65" s="2289"/>
      <c r="R65" s="2289"/>
      <c r="S65" s="2289"/>
      <c r="T65" s="2289"/>
      <c r="U65" s="2289"/>
      <c r="V65" s="2289"/>
      <c r="W65" s="2289"/>
      <c r="X65" s="2289"/>
      <c r="Y65" s="2289"/>
      <c r="Z65" s="2289"/>
      <c r="AA65" s="2289"/>
      <c r="AB65" s="2289"/>
      <c r="AC65" s="2289"/>
      <c r="AD65" s="2289"/>
      <c r="AE65" s="2289"/>
      <c r="AF65" s="2289"/>
      <c r="AG65" s="2289"/>
      <c r="AH65" s="2289"/>
      <c r="AI65" s="2289"/>
      <c r="AJ65" s="2289"/>
      <c r="AK65" s="2289"/>
      <c r="AL65" s="2289"/>
      <c r="AM65" s="2289"/>
      <c r="AN65" s="2289"/>
      <c r="AO65" s="2289"/>
      <c r="AP65" s="2289"/>
      <c r="AQ65" s="2289"/>
      <c r="AR65" s="2289"/>
      <c r="AS65" s="2289"/>
      <c r="AT65" s="2289"/>
      <c r="AU65" s="2289"/>
      <c r="AV65" s="2289"/>
      <c r="AW65" s="412"/>
      <c r="AX65" s="777">
        <f t="shared" ref="AX65" ca="1" si="17">SUM(AX53:AX64)</f>
        <v>0</v>
      </c>
      <c r="AY65" s="777">
        <f t="shared" ref="AY65:BF65" ca="1" si="18">SUM(AY53:AY64)</f>
        <v>0</v>
      </c>
      <c r="AZ65" s="777">
        <f t="shared" ca="1" si="18"/>
        <v>0</v>
      </c>
      <c r="BA65" s="777">
        <f t="shared" ca="1" si="18"/>
        <v>0</v>
      </c>
      <c r="BB65" s="777">
        <f t="shared" ca="1" si="18"/>
        <v>0</v>
      </c>
      <c r="BC65" s="777">
        <f t="shared" ca="1" si="18"/>
        <v>0</v>
      </c>
      <c r="BD65" s="777">
        <f t="shared" ca="1" si="18"/>
        <v>0</v>
      </c>
      <c r="BE65" s="777">
        <f t="shared" ca="1" si="18"/>
        <v>0</v>
      </c>
      <c r="BF65" s="777">
        <f t="shared" ca="1" si="18"/>
        <v>0</v>
      </c>
      <c r="BG65" s="798"/>
      <c r="BH65" s="153"/>
    </row>
    <row r="66" spans="1:62" s="38" customFormat="1" x14ac:dyDescent="0.2">
      <c r="B66" s="410"/>
      <c r="C66" s="412"/>
      <c r="D66" s="412"/>
      <c r="E66" s="412"/>
      <c r="F66" s="412"/>
      <c r="G66" s="2285"/>
      <c r="H66" s="2285"/>
      <c r="I66" s="2285"/>
      <c r="J66" s="2285"/>
      <c r="K66" s="2285"/>
      <c r="L66" s="2285"/>
      <c r="M66" s="2285"/>
      <c r="N66" s="2285"/>
      <c r="O66" s="2285"/>
      <c r="P66" s="2285"/>
      <c r="Q66" s="2285"/>
      <c r="R66" s="2285"/>
      <c r="S66" s="2285"/>
      <c r="T66" s="2285"/>
      <c r="U66" s="2285"/>
      <c r="V66" s="2285"/>
      <c r="W66" s="2285"/>
      <c r="X66" s="2285"/>
      <c r="Y66" s="2285"/>
      <c r="Z66" s="2285"/>
      <c r="AA66" s="2285"/>
      <c r="AB66" s="2285"/>
      <c r="AC66" s="2285"/>
      <c r="AD66" s="2285"/>
      <c r="AE66" s="2285"/>
      <c r="AF66" s="2285"/>
      <c r="AG66" s="2285"/>
      <c r="AH66" s="2285"/>
      <c r="AI66" s="2285"/>
      <c r="AJ66" s="2285"/>
      <c r="AK66" s="2285"/>
      <c r="AL66" s="2285"/>
      <c r="AM66" s="2285"/>
      <c r="AN66" s="2285"/>
      <c r="AO66" s="2285"/>
      <c r="AP66" s="2285"/>
      <c r="AQ66" s="2285"/>
      <c r="AR66" s="2285"/>
      <c r="AS66" s="2285"/>
      <c r="AT66" s="2285"/>
      <c r="AU66" s="2285"/>
      <c r="AV66" s="2285"/>
      <c r="AW66" s="412"/>
      <c r="AX66" s="786"/>
      <c r="AY66" s="786"/>
      <c r="AZ66" s="786"/>
      <c r="BA66" s="786"/>
      <c r="BB66" s="786"/>
      <c r="BC66" s="786"/>
      <c r="BD66" s="786"/>
      <c r="BE66" s="786"/>
      <c r="BF66" s="786"/>
      <c r="BG66" s="787"/>
      <c r="BH66" s="23"/>
    </row>
    <row r="67" spans="1:62" s="147" customFormat="1" ht="18" x14ac:dyDescent="0.2">
      <c r="B67" s="788"/>
      <c r="C67" s="778"/>
      <c r="D67" s="776" t="s">
        <v>450</v>
      </c>
      <c r="E67" s="412"/>
      <c r="F67" s="779"/>
      <c r="G67" s="2289"/>
      <c r="H67" s="2289"/>
      <c r="I67" s="2289"/>
      <c r="J67" s="2289"/>
      <c r="K67" s="2289"/>
      <c r="L67" s="2289"/>
      <c r="M67" s="2289"/>
      <c r="N67" s="2289"/>
      <c r="O67" s="2289"/>
      <c r="P67" s="2289"/>
      <c r="Q67" s="2289"/>
      <c r="R67" s="2289"/>
      <c r="S67" s="2289"/>
      <c r="T67" s="2289"/>
      <c r="U67" s="2289"/>
      <c r="V67" s="2289"/>
      <c r="W67" s="2289"/>
      <c r="X67" s="2289"/>
      <c r="Y67" s="2289"/>
      <c r="Z67" s="2289"/>
      <c r="AA67" s="2289"/>
      <c r="AB67" s="2289"/>
      <c r="AC67" s="2289"/>
      <c r="AD67" s="2289"/>
      <c r="AE67" s="2289"/>
      <c r="AF67" s="2289"/>
      <c r="AG67" s="2289"/>
      <c r="AH67" s="2289"/>
      <c r="AI67" s="2289"/>
      <c r="AJ67" s="2289"/>
      <c r="AK67" s="2289"/>
      <c r="AL67" s="2289"/>
      <c r="AM67" s="2289"/>
      <c r="AN67" s="2289"/>
      <c r="AO67" s="2289"/>
      <c r="AP67" s="2289"/>
      <c r="AQ67" s="2289"/>
      <c r="AR67" s="2289"/>
      <c r="AS67" s="2289"/>
      <c r="AT67" s="2289"/>
      <c r="AU67" s="2289"/>
      <c r="AV67" s="2289"/>
      <c r="AW67" s="412"/>
      <c r="AX67" s="777">
        <f t="shared" ref="AX67:BF67" ca="1" si="19">AX17-AX49+AX65</f>
        <v>0</v>
      </c>
      <c r="AY67" s="777">
        <f t="shared" ca="1" si="19"/>
        <v>-2.2737367544323206E-13</v>
      </c>
      <c r="AZ67" s="777">
        <f t="shared" ca="1" si="19"/>
        <v>-3.4106051316484809E-13</v>
      </c>
      <c r="BA67" s="777">
        <f t="shared" ca="1" si="19"/>
        <v>-3.4106051316484809E-13</v>
      </c>
      <c r="BB67" s="777">
        <f t="shared" ca="1" si="19"/>
        <v>-2.2737367544323206E-13</v>
      </c>
      <c r="BC67" s="777">
        <f t="shared" ca="1" si="19"/>
        <v>2.2737367544323206E-13</v>
      </c>
      <c r="BD67" s="777">
        <f t="shared" ca="1" si="19"/>
        <v>-2.2737367544323206E-13</v>
      </c>
      <c r="BE67" s="777">
        <f t="shared" ca="1" si="19"/>
        <v>6.8212102632969618E-13</v>
      </c>
      <c r="BF67" s="777">
        <f t="shared" ca="1" si="19"/>
        <v>0</v>
      </c>
      <c r="BG67" s="789"/>
      <c r="BH67" s="152"/>
    </row>
    <row r="68" spans="1:62" s="147" customFormat="1" ht="18" x14ac:dyDescent="0.2">
      <c r="B68" s="788"/>
      <c r="C68" s="778"/>
      <c r="D68" s="778"/>
      <c r="E68" s="412"/>
      <c r="F68" s="779"/>
      <c r="G68" s="2289"/>
      <c r="H68" s="2289"/>
      <c r="I68" s="2289"/>
      <c r="J68" s="2289"/>
      <c r="K68" s="2289"/>
      <c r="L68" s="2289"/>
      <c r="M68" s="2289"/>
      <c r="N68" s="2289"/>
      <c r="O68" s="2289"/>
      <c r="P68" s="2289"/>
      <c r="Q68" s="2289"/>
      <c r="R68" s="2289"/>
      <c r="S68" s="2289"/>
      <c r="T68" s="2289"/>
      <c r="U68" s="2289"/>
      <c r="V68" s="2289"/>
      <c r="W68" s="2289"/>
      <c r="X68" s="2289"/>
      <c r="Y68" s="2289"/>
      <c r="Z68" s="2289"/>
      <c r="AA68" s="2289"/>
      <c r="AB68" s="2289"/>
      <c r="AC68" s="2289"/>
      <c r="AD68" s="2289"/>
      <c r="AE68" s="2289"/>
      <c r="AF68" s="2289"/>
      <c r="AG68" s="2289"/>
      <c r="AH68" s="2289"/>
      <c r="AI68" s="2289"/>
      <c r="AJ68" s="2289"/>
      <c r="AK68" s="2289"/>
      <c r="AL68" s="2289"/>
      <c r="AM68" s="2289"/>
      <c r="AN68" s="2289"/>
      <c r="AO68" s="2289"/>
      <c r="AP68" s="2289"/>
      <c r="AQ68" s="2289"/>
      <c r="AR68" s="2289"/>
      <c r="AS68" s="2289"/>
      <c r="AT68" s="2289"/>
      <c r="AU68" s="2289"/>
      <c r="AV68" s="2289"/>
      <c r="AW68" s="412"/>
      <c r="AX68" s="779"/>
      <c r="AY68" s="779"/>
      <c r="AZ68" s="779"/>
      <c r="BA68" s="779"/>
      <c r="BB68" s="779"/>
      <c r="BC68" s="779"/>
      <c r="BD68" s="779"/>
      <c r="BE68" s="779"/>
      <c r="BF68" s="779"/>
      <c r="BG68" s="789"/>
      <c r="BH68" s="152"/>
    </row>
    <row r="69" spans="1:62" s="147" customFormat="1" ht="18" x14ac:dyDescent="0.2">
      <c r="B69" s="799"/>
      <c r="C69" s="800"/>
      <c r="D69" s="800"/>
      <c r="E69" s="418"/>
      <c r="F69" s="801"/>
      <c r="G69" s="2293"/>
      <c r="H69" s="2293"/>
      <c r="I69" s="2293"/>
      <c r="J69" s="2293"/>
      <c r="K69" s="2293"/>
      <c r="L69" s="2293"/>
      <c r="M69" s="2293"/>
      <c r="N69" s="2293"/>
      <c r="O69" s="2293"/>
      <c r="P69" s="2293"/>
      <c r="Q69" s="2293"/>
      <c r="R69" s="2293"/>
      <c r="S69" s="2293"/>
      <c r="T69" s="2293"/>
      <c r="U69" s="2293"/>
      <c r="V69" s="2293"/>
      <c r="W69" s="2293"/>
      <c r="X69" s="2293"/>
      <c r="Y69" s="2293"/>
      <c r="Z69" s="2293"/>
      <c r="AA69" s="2293"/>
      <c r="AB69" s="2293"/>
      <c r="AC69" s="2293"/>
      <c r="AD69" s="2293"/>
      <c r="AE69" s="2293"/>
      <c r="AF69" s="2293"/>
      <c r="AG69" s="2293"/>
      <c r="AH69" s="2293"/>
      <c r="AI69" s="2293"/>
      <c r="AJ69" s="2293"/>
      <c r="AK69" s="2293"/>
      <c r="AL69" s="2293"/>
      <c r="AM69" s="2293"/>
      <c r="AN69" s="2293"/>
      <c r="AO69" s="2293"/>
      <c r="AP69" s="2293"/>
      <c r="AQ69" s="2293"/>
      <c r="AR69" s="2293"/>
      <c r="AS69" s="2293"/>
      <c r="AT69" s="2293"/>
      <c r="AU69" s="2293"/>
      <c r="AV69" s="2293"/>
      <c r="AW69" s="418"/>
      <c r="AX69" s="801"/>
      <c r="AY69" s="801"/>
      <c r="AZ69" s="801"/>
      <c r="BA69" s="801"/>
      <c r="BB69" s="801"/>
      <c r="BC69" s="801"/>
      <c r="BD69" s="801"/>
      <c r="BE69" s="801"/>
      <c r="BF69" s="801"/>
      <c r="BG69" s="802"/>
      <c r="BH69" s="152"/>
    </row>
    <row r="70" spans="1:62" s="147" customFormat="1" ht="18" x14ac:dyDescent="0.2">
      <c r="B70" s="554"/>
      <c r="D70" s="773"/>
      <c r="E70" s="38"/>
      <c r="F70" s="76"/>
      <c r="G70" s="2294"/>
      <c r="H70" s="2294"/>
      <c r="I70" s="2294"/>
      <c r="J70" s="2294"/>
      <c r="K70" s="2294"/>
      <c r="L70" s="2294"/>
      <c r="M70" s="2294"/>
      <c r="N70" s="2294"/>
      <c r="O70" s="2294"/>
      <c r="P70" s="2294"/>
      <c r="Q70" s="2294"/>
      <c r="R70" s="2294"/>
      <c r="S70" s="2294"/>
      <c r="T70" s="2294"/>
      <c r="U70" s="2294"/>
      <c r="V70" s="2294"/>
      <c r="W70" s="2294"/>
      <c r="X70" s="2294"/>
      <c r="Y70" s="2294"/>
      <c r="Z70" s="2294"/>
      <c r="AA70" s="2294"/>
      <c r="AB70" s="2294"/>
      <c r="AC70" s="2294"/>
      <c r="AD70" s="2294"/>
      <c r="AE70" s="2294"/>
      <c r="AF70" s="2294"/>
      <c r="AG70" s="2294"/>
      <c r="AH70" s="2294"/>
      <c r="AI70" s="2294"/>
      <c r="AJ70" s="2294"/>
      <c r="AK70" s="2294"/>
      <c r="AL70" s="2294"/>
      <c r="AM70" s="2294"/>
      <c r="AN70" s="2294"/>
      <c r="AO70" s="2294"/>
      <c r="AP70" s="2294"/>
      <c r="AQ70" s="2294"/>
      <c r="AR70" s="2294"/>
      <c r="AS70" s="2294"/>
      <c r="AT70" s="2294"/>
      <c r="AU70" s="2294"/>
      <c r="AV70" s="2294"/>
      <c r="AW70" s="38"/>
      <c r="AX70" s="76"/>
      <c r="AY70" s="76"/>
      <c r="AZ70" s="76"/>
      <c r="BA70" s="76"/>
      <c r="BB70" s="76"/>
      <c r="BC70" s="76"/>
      <c r="BD70" s="76"/>
      <c r="BE70" s="76"/>
      <c r="BF70" s="76"/>
      <c r="BG70" s="152"/>
      <c r="BH70" s="152"/>
    </row>
    <row r="71" spans="1:62" s="38" customFormat="1" ht="21" customHeight="1" x14ac:dyDescent="0.3">
      <c r="A71" s="409"/>
      <c r="B71" s="809" t="s">
        <v>837</v>
      </c>
      <c r="C71" s="810"/>
      <c r="D71" s="810"/>
      <c r="E71" s="810"/>
      <c r="F71" s="810"/>
      <c r="G71" s="2295"/>
      <c r="H71" s="2295"/>
      <c r="I71" s="2295"/>
      <c r="J71" s="2295"/>
      <c r="K71" s="2295"/>
      <c r="L71" s="2295"/>
      <c r="M71" s="2295"/>
      <c r="N71" s="2295"/>
      <c r="O71" s="2295"/>
      <c r="P71" s="2295"/>
      <c r="Q71" s="2295"/>
      <c r="R71" s="2295"/>
      <c r="S71" s="2295"/>
      <c r="T71" s="2295"/>
      <c r="U71" s="2295"/>
      <c r="V71" s="2295"/>
      <c r="W71" s="2295"/>
      <c r="X71" s="2295"/>
      <c r="Y71" s="2295"/>
      <c r="Z71" s="2295"/>
      <c r="AA71" s="2295"/>
      <c r="AB71" s="2295"/>
      <c r="AC71" s="2295"/>
      <c r="AD71" s="2295"/>
      <c r="AE71" s="2295"/>
      <c r="AF71" s="2295"/>
      <c r="AG71" s="2295"/>
      <c r="AH71" s="2295"/>
      <c r="AI71" s="2295"/>
      <c r="AJ71" s="2295"/>
      <c r="AK71" s="2295"/>
      <c r="AL71" s="2295"/>
      <c r="AM71" s="2295"/>
      <c r="AN71" s="2295"/>
      <c r="AO71" s="2295"/>
      <c r="AP71" s="2295"/>
      <c r="AQ71" s="2295"/>
      <c r="AR71" s="2295"/>
      <c r="AS71" s="2295"/>
      <c r="AT71" s="2295"/>
      <c r="AU71" s="2295"/>
      <c r="AV71" s="2295"/>
      <c r="AW71" s="810"/>
      <c r="AX71" s="811"/>
      <c r="AY71" s="811"/>
      <c r="AZ71" s="811"/>
      <c r="BA71" s="811"/>
      <c r="BB71" s="811"/>
      <c r="BC71" s="811"/>
      <c r="BD71" s="811"/>
      <c r="BE71" s="811"/>
      <c r="BF71" s="811"/>
      <c r="BG71" s="812"/>
      <c r="BH71" s="23"/>
    </row>
    <row r="72" spans="1:62" s="38" customFormat="1" x14ac:dyDescent="0.2">
      <c r="B72" s="813"/>
      <c r="C72" s="814"/>
      <c r="D72" s="814"/>
      <c r="E72" s="814"/>
      <c r="F72" s="814"/>
      <c r="G72" s="2296"/>
      <c r="H72" s="2296"/>
      <c r="I72" s="2296"/>
      <c r="J72" s="2296"/>
      <c r="K72" s="2296"/>
      <c r="L72" s="2296"/>
      <c r="M72" s="2296"/>
      <c r="N72" s="2296"/>
      <c r="O72" s="2296"/>
      <c r="P72" s="2296"/>
      <c r="Q72" s="2296"/>
      <c r="R72" s="2296"/>
      <c r="S72" s="2296"/>
      <c r="T72" s="2296"/>
      <c r="U72" s="2296"/>
      <c r="V72" s="2296"/>
      <c r="W72" s="2296"/>
      <c r="X72" s="2296"/>
      <c r="Y72" s="2296"/>
      <c r="Z72" s="2296"/>
      <c r="AA72" s="2296"/>
      <c r="AB72" s="2296"/>
      <c r="AC72" s="2296"/>
      <c r="AD72" s="2296"/>
      <c r="AE72" s="2296"/>
      <c r="AF72" s="2296"/>
      <c r="AG72" s="2296"/>
      <c r="AH72" s="2296"/>
      <c r="AI72" s="2296"/>
      <c r="AJ72" s="2296"/>
      <c r="AK72" s="2296"/>
      <c r="AL72" s="2296"/>
      <c r="AM72" s="2296"/>
      <c r="AN72" s="2296"/>
      <c r="AO72" s="2296"/>
      <c r="AP72" s="2296"/>
      <c r="AQ72" s="2296"/>
      <c r="AR72" s="2296"/>
      <c r="AS72" s="2296"/>
      <c r="AT72" s="2296"/>
      <c r="AU72" s="2296"/>
      <c r="AV72" s="2296"/>
      <c r="AW72" s="814"/>
      <c r="AX72" s="815"/>
      <c r="AY72" s="815"/>
      <c r="AZ72" s="815"/>
      <c r="BA72" s="815"/>
      <c r="BB72" s="815"/>
      <c r="BC72" s="815"/>
      <c r="BD72" s="815"/>
      <c r="BE72" s="815"/>
      <c r="BF72" s="815"/>
      <c r="BG72" s="816"/>
      <c r="BH72" s="23"/>
    </row>
    <row r="73" spans="1:62" x14ac:dyDescent="0.2">
      <c r="B73" s="817"/>
      <c r="C73" s="818" t="s">
        <v>34</v>
      </c>
      <c r="D73" s="818" t="str">
        <f>INDEX(Vectors[Description], MATCH($C73, Vectors[Code], 0))</f>
        <v>Electricity (delivered to end user)</v>
      </c>
      <c r="E73" s="818"/>
      <c r="F73" s="819"/>
      <c r="G73" s="2297"/>
      <c r="H73" s="2297"/>
      <c r="I73" s="2297"/>
      <c r="J73" s="2297"/>
      <c r="K73" s="2297"/>
      <c r="L73" s="2297"/>
      <c r="M73" s="2297"/>
      <c r="N73" s="2297"/>
      <c r="O73" s="2297"/>
      <c r="P73" s="2297"/>
      <c r="Q73" s="2297"/>
      <c r="R73" s="2297"/>
      <c r="S73" s="2297"/>
      <c r="T73" s="2297"/>
      <c r="U73" s="2297"/>
      <c r="V73" s="2297"/>
      <c r="W73" s="2297"/>
      <c r="X73" s="2297"/>
      <c r="Y73" s="2297"/>
      <c r="Z73" s="2297"/>
      <c r="AA73" s="2297"/>
      <c r="AB73" s="2297"/>
      <c r="AC73" s="2297"/>
      <c r="AD73" s="2297"/>
      <c r="AE73" s="2297"/>
      <c r="AF73" s="2297"/>
      <c r="AG73" s="2297"/>
      <c r="AH73" s="2297"/>
      <c r="AI73" s="2297"/>
      <c r="AJ73" s="2297"/>
      <c r="AK73" s="2297"/>
      <c r="AL73" s="2297"/>
      <c r="AM73" s="2297"/>
      <c r="AN73" s="2297"/>
      <c r="AO73" s="2297"/>
      <c r="AP73" s="2297"/>
      <c r="AQ73" s="2297"/>
      <c r="AR73" s="2297"/>
      <c r="AS73" s="2297"/>
      <c r="AT73" s="2297"/>
      <c r="AU73" s="2297"/>
      <c r="AV73" s="2297"/>
      <c r="AW73" s="818"/>
      <c r="AX73" s="820">
        <f ca="1">INDEX(INDIRECT("'"&amp;AX$4&amp;"'!Year.NetBalance"), MATCH('Intermediate output'!$C73, INDIRECT("'"&amp;AX$4&amp;"'!Year.Vectors"), 0))</f>
        <v>-117.07862642129547</v>
      </c>
      <c r="AY73" s="820">
        <f ca="1">INDEX(INDIRECT("'"&amp;AY$4&amp;"'!Year.NetBalance"), MATCH('Intermediate output'!$C73, INDIRECT("'"&amp;AY$4&amp;"'!Year.Vectors"), 0))</f>
        <v>-138.16092956568079</v>
      </c>
      <c r="AZ73" s="820">
        <f ca="1">INDEX(INDIRECT("'"&amp;AZ$4&amp;"'!Year.NetBalance"), MATCH('Intermediate output'!$C73, INDIRECT("'"&amp;AZ$4&amp;"'!Year.Vectors"), 0))</f>
        <v>-192.24084077257035</v>
      </c>
      <c r="BA73" s="820">
        <f ca="1">INDEX(INDIRECT("'"&amp;BA$4&amp;"'!Year.NetBalance"), MATCH('Intermediate output'!$C73, INDIRECT("'"&amp;BA$4&amp;"'!Year.Vectors"), 0))</f>
        <v>-289.18504122724516</v>
      </c>
      <c r="BB73" s="820">
        <f ca="1">INDEX(INDIRECT("'"&amp;BB$4&amp;"'!Year.NetBalance"), MATCH('Intermediate output'!$C73, INDIRECT("'"&amp;BB$4&amp;"'!Year.Vectors"), 0))</f>
        <v>-388.87602401750883</v>
      </c>
      <c r="BC73" s="820">
        <f ca="1">INDEX(INDIRECT("'"&amp;BC$4&amp;"'!Year.NetBalance"), MATCH('Intermediate output'!$C73, INDIRECT("'"&amp;BC$4&amp;"'!Year.Vectors"), 0))</f>
        <v>-530.14446047320098</v>
      </c>
      <c r="BD73" s="820">
        <f ca="1">INDEX(INDIRECT("'"&amp;BD$4&amp;"'!Year.NetBalance"), MATCH('Intermediate output'!$C73, INDIRECT("'"&amp;BD$4&amp;"'!Year.Vectors"), 0))</f>
        <v>-659.56399429121359</v>
      </c>
      <c r="BE73" s="820">
        <f ca="1">INDEX(INDIRECT("'"&amp;BE$4&amp;"'!Year.NetBalance"), MATCH('Intermediate output'!$C73, INDIRECT("'"&amp;BE$4&amp;"'!Year.Vectors"), 0))</f>
        <v>-797.53692959998352</v>
      </c>
      <c r="BF73" s="820">
        <f ca="1">INDEX(INDIRECT("'"&amp;BF$4&amp;"'!Year.NetBalance"), MATCH('Intermediate output'!$C73, INDIRECT("'"&amp;BF$4&amp;"'!Year.Vectors"), 0))</f>
        <v>-946.39709827169258</v>
      </c>
      <c r="BG73" s="821" t="s">
        <v>1755</v>
      </c>
      <c r="BH73" s="23"/>
      <c r="BJ73"/>
    </row>
    <row r="74" spans="1:62" x14ac:dyDescent="0.2">
      <c r="B74" s="817"/>
      <c r="C74" s="818" t="s">
        <v>35</v>
      </c>
      <c r="D74" s="818" t="str">
        <f>INDEX(Vectors[Description], MATCH($C74, Vectors[Code], 0))</f>
        <v>Electricity (supplied to grid)</v>
      </c>
      <c r="E74" s="818"/>
      <c r="F74" s="819"/>
      <c r="G74" s="2297"/>
      <c r="H74" s="2297"/>
      <c r="I74" s="2297"/>
      <c r="J74" s="2297"/>
      <c r="K74" s="2297"/>
      <c r="L74" s="2297"/>
      <c r="M74" s="2297"/>
      <c r="N74" s="2297"/>
      <c r="O74" s="2297"/>
      <c r="P74" s="2297"/>
      <c r="Q74" s="2297"/>
      <c r="R74" s="2297"/>
      <c r="S74" s="2297"/>
      <c r="T74" s="2297"/>
      <c r="U74" s="2297"/>
      <c r="V74" s="2297"/>
      <c r="W74" s="2297"/>
      <c r="X74" s="2297"/>
      <c r="Y74" s="2297"/>
      <c r="Z74" s="2297"/>
      <c r="AA74" s="2297"/>
      <c r="AB74" s="2297"/>
      <c r="AC74" s="2297"/>
      <c r="AD74" s="2297"/>
      <c r="AE74" s="2297"/>
      <c r="AF74" s="2297"/>
      <c r="AG74" s="2297"/>
      <c r="AH74" s="2297"/>
      <c r="AI74" s="2297"/>
      <c r="AJ74" s="2297"/>
      <c r="AK74" s="2297"/>
      <c r="AL74" s="2297"/>
      <c r="AM74" s="2297"/>
      <c r="AN74" s="2297"/>
      <c r="AO74" s="2297"/>
      <c r="AP74" s="2297"/>
      <c r="AQ74" s="2297"/>
      <c r="AR74" s="2297"/>
      <c r="AS74" s="2297"/>
      <c r="AT74" s="2297"/>
      <c r="AU74" s="2297"/>
      <c r="AV74" s="2297"/>
      <c r="AW74" s="818"/>
      <c r="AX74" s="820">
        <f ca="1">INDEX(INDIRECT("'"&amp;AX$4&amp;"'!Year.NetBalance"), MATCH('Intermediate output'!$C74, INDIRECT("'"&amp;AX$4&amp;"'!Year.Vectors"), 0))</f>
        <v>117.07862642129547</v>
      </c>
      <c r="AY74" s="820">
        <f ca="1">INDEX(INDIRECT("'"&amp;AY$4&amp;"'!Year.NetBalance"), MATCH('Intermediate output'!$C74, INDIRECT("'"&amp;AY$4&amp;"'!Year.Vectors"), 0))</f>
        <v>138.16092956568079</v>
      </c>
      <c r="AZ74" s="820">
        <f ca="1">INDEX(INDIRECT("'"&amp;AZ$4&amp;"'!Year.NetBalance"), MATCH('Intermediate output'!$C74, INDIRECT("'"&amp;AZ$4&amp;"'!Year.Vectors"), 0))</f>
        <v>192.24084077257035</v>
      </c>
      <c r="BA74" s="820">
        <f ca="1">INDEX(INDIRECT("'"&amp;BA$4&amp;"'!Year.NetBalance"), MATCH('Intermediate output'!$C74, INDIRECT("'"&amp;BA$4&amp;"'!Year.Vectors"), 0))</f>
        <v>289.18504122724516</v>
      </c>
      <c r="BB74" s="820">
        <f ca="1">INDEX(INDIRECT("'"&amp;BB$4&amp;"'!Year.NetBalance"), MATCH('Intermediate output'!$C74, INDIRECT("'"&amp;BB$4&amp;"'!Year.Vectors"), 0))</f>
        <v>388.87602401750883</v>
      </c>
      <c r="BC74" s="820">
        <f ca="1">INDEX(INDIRECT("'"&amp;BC$4&amp;"'!Year.NetBalance"), MATCH('Intermediate output'!$C74, INDIRECT("'"&amp;BC$4&amp;"'!Year.Vectors"), 0))</f>
        <v>530.14446047320098</v>
      </c>
      <c r="BD74" s="820">
        <f ca="1">INDEX(INDIRECT("'"&amp;BD$4&amp;"'!Year.NetBalance"), MATCH('Intermediate output'!$C74, INDIRECT("'"&amp;BD$4&amp;"'!Year.Vectors"), 0))</f>
        <v>659.56399429121348</v>
      </c>
      <c r="BE74" s="820">
        <f ca="1">INDEX(INDIRECT("'"&amp;BE$4&amp;"'!Year.NetBalance"), MATCH('Intermediate output'!$C74, INDIRECT("'"&amp;BE$4&amp;"'!Year.Vectors"), 0))</f>
        <v>797.53692959998341</v>
      </c>
      <c r="BF74" s="820">
        <f ca="1">INDEX(INDIRECT("'"&amp;BF$4&amp;"'!Year.NetBalance"), MATCH('Intermediate output'!$C74, INDIRECT("'"&amp;BF$4&amp;"'!Year.Vectors"), 0))</f>
        <v>946.39709827169258</v>
      </c>
      <c r="BG74" s="821"/>
      <c r="BH74" s="23"/>
      <c r="BJ74"/>
    </row>
    <row r="75" spans="1:62" s="84" customFormat="1" ht="18" x14ac:dyDescent="0.2">
      <c r="B75" s="822"/>
      <c r="C75" s="762"/>
      <c r="D75" s="823" t="s">
        <v>567</v>
      </c>
      <c r="E75" s="818"/>
      <c r="F75" s="2284"/>
      <c r="G75" s="2298"/>
      <c r="H75" s="2298"/>
      <c r="I75" s="2298"/>
      <c r="J75" s="2298"/>
      <c r="K75" s="2298"/>
      <c r="L75" s="2298"/>
      <c r="M75" s="2298"/>
      <c r="N75" s="2298"/>
      <c r="O75" s="2298"/>
      <c r="P75" s="2298"/>
      <c r="Q75" s="2298"/>
      <c r="R75" s="2298"/>
      <c r="S75" s="2298"/>
      <c r="T75" s="2298"/>
      <c r="U75" s="2298"/>
      <c r="V75" s="2298"/>
      <c r="W75" s="2298"/>
      <c r="X75" s="2298"/>
      <c r="Y75" s="2298"/>
      <c r="Z75" s="2298"/>
      <c r="AA75" s="2298"/>
      <c r="AB75" s="2298"/>
      <c r="AC75" s="2298"/>
      <c r="AD75" s="2298"/>
      <c r="AE75" s="2298"/>
      <c r="AF75" s="2298"/>
      <c r="AG75" s="2298"/>
      <c r="AH75" s="2298"/>
      <c r="AI75" s="2298"/>
      <c r="AJ75" s="2298"/>
      <c r="AK75" s="2298"/>
      <c r="AL75" s="2298"/>
      <c r="AM75" s="2298"/>
      <c r="AN75" s="2298"/>
      <c r="AO75" s="2298"/>
      <c r="AP75" s="2298"/>
      <c r="AQ75" s="2298"/>
      <c r="AR75" s="2298"/>
      <c r="AS75" s="2298"/>
      <c r="AT75" s="2298"/>
      <c r="AU75" s="2298"/>
      <c r="AV75" s="2298"/>
      <c r="AW75" s="818"/>
      <c r="AX75" s="824">
        <f t="shared" ref="AX75" ca="1" si="20">SUM(AX73:AX74)</f>
        <v>0</v>
      </c>
      <c r="AY75" s="824">
        <f t="shared" ref="AY75:BF75" ca="1" si="21">SUM(AY73:AY74)</f>
        <v>0</v>
      </c>
      <c r="AZ75" s="824">
        <f t="shared" ca="1" si="21"/>
        <v>0</v>
      </c>
      <c r="BA75" s="824">
        <f t="shared" ca="1" si="21"/>
        <v>0</v>
      </c>
      <c r="BB75" s="824">
        <f t="shared" ca="1" si="21"/>
        <v>0</v>
      </c>
      <c r="BC75" s="824">
        <f t="shared" ca="1" si="21"/>
        <v>0</v>
      </c>
      <c r="BD75" s="824">
        <f t="shared" ca="1" si="21"/>
        <v>0</v>
      </c>
      <c r="BE75" s="824">
        <f t="shared" ca="1" si="21"/>
        <v>0</v>
      </c>
      <c r="BF75" s="824">
        <f t="shared" ca="1" si="21"/>
        <v>0</v>
      </c>
      <c r="BG75" s="825"/>
      <c r="BH75" s="153"/>
    </row>
    <row r="76" spans="1:62" s="38" customFormat="1" ht="4.5" customHeight="1" x14ac:dyDescent="0.2">
      <c r="B76" s="817"/>
      <c r="C76" s="818"/>
      <c r="D76" s="818"/>
      <c r="E76" s="818"/>
      <c r="F76" s="818"/>
      <c r="G76" s="2299"/>
      <c r="H76" s="2299"/>
      <c r="I76" s="2299"/>
      <c r="J76" s="2299"/>
      <c r="K76" s="2299"/>
      <c r="L76" s="2299"/>
      <c r="M76" s="2299"/>
      <c r="N76" s="2299"/>
      <c r="O76" s="2299"/>
      <c r="P76" s="2299"/>
      <c r="Q76" s="2299"/>
      <c r="R76" s="2299"/>
      <c r="S76" s="2299"/>
      <c r="T76" s="2299"/>
      <c r="U76" s="2299"/>
      <c r="V76" s="2299"/>
      <c r="W76" s="2299"/>
      <c r="X76" s="2299"/>
      <c r="Y76" s="2299"/>
      <c r="Z76" s="2299"/>
      <c r="AA76" s="2299"/>
      <c r="AB76" s="2299"/>
      <c r="AC76" s="2299"/>
      <c r="AD76" s="2299"/>
      <c r="AE76" s="2299"/>
      <c r="AF76" s="2299"/>
      <c r="AG76" s="2299"/>
      <c r="AH76" s="2299"/>
      <c r="AI76" s="2299"/>
      <c r="AJ76" s="2299"/>
      <c r="AK76" s="2299"/>
      <c r="AL76" s="2299"/>
      <c r="AM76" s="2299"/>
      <c r="AN76" s="2299"/>
      <c r="AO76" s="2299"/>
      <c r="AP76" s="2299"/>
      <c r="AQ76" s="2299"/>
      <c r="AR76" s="2299"/>
      <c r="AS76" s="2299"/>
      <c r="AT76" s="2299"/>
      <c r="AU76" s="2299"/>
      <c r="AV76" s="2299"/>
      <c r="AW76" s="818"/>
      <c r="AX76" s="820"/>
      <c r="AY76" s="820"/>
      <c r="AZ76" s="820"/>
      <c r="BA76" s="820"/>
      <c r="BB76" s="820"/>
      <c r="BC76" s="820"/>
      <c r="BD76" s="820"/>
      <c r="BE76" s="820"/>
      <c r="BF76" s="820"/>
      <c r="BG76" s="821"/>
      <c r="BH76" s="23"/>
    </row>
    <row r="77" spans="1:62" s="39" customFormat="1" x14ac:dyDescent="0.2">
      <c r="B77" s="919"/>
      <c r="C77" s="900" t="s">
        <v>35</v>
      </c>
      <c r="D77" s="900" t="s">
        <v>45</v>
      </c>
      <c r="E77" s="900"/>
      <c r="F77" s="900"/>
      <c r="G77" s="2300"/>
      <c r="H77" s="2300"/>
      <c r="I77" s="2300"/>
      <c r="J77" s="2300"/>
      <c r="K77" s="2300"/>
      <c r="L77" s="2300"/>
      <c r="M77" s="2300"/>
      <c r="N77" s="2300"/>
      <c r="O77" s="2300"/>
      <c r="P77" s="2300"/>
      <c r="Q77" s="2300"/>
      <c r="R77" s="2300"/>
      <c r="S77" s="2300"/>
      <c r="T77" s="2300"/>
      <c r="U77" s="2300"/>
      <c r="V77" s="2300"/>
      <c r="W77" s="2300"/>
      <c r="X77" s="2300"/>
      <c r="Y77" s="2300"/>
      <c r="Z77" s="2300"/>
      <c r="AA77" s="2300"/>
      <c r="AB77" s="2300"/>
      <c r="AC77" s="2300"/>
      <c r="AD77" s="2300"/>
      <c r="AE77" s="2300"/>
      <c r="AF77" s="2300"/>
      <c r="AG77" s="2300"/>
      <c r="AH77" s="2300"/>
      <c r="AI77" s="2300"/>
      <c r="AJ77" s="2300"/>
      <c r="AK77" s="2300"/>
      <c r="AL77" s="2300"/>
      <c r="AM77" s="2300"/>
      <c r="AN77" s="2300"/>
      <c r="AO77" s="2300"/>
      <c r="AP77" s="2300"/>
      <c r="AQ77" s="2300"/>
      <c r="AR77" s="2300"/>
      <c r="AS77" s="2300"/>
      <c r="AT77" s="2300"/>
      <c r="AU77" s="2300"/>
      <c r="AV77" s="2300"/>
      <c r="AW77" s="900"/>
      <c r="AX77" s="920">
        <f ca="1">INDEX(INDIRECT("'"&amp;AX$4&amp;"'!Year.Matrix"), MATCH("VII.b", INDIRECT("'"&amp;AX$4&amp;"'!Year.Modules"), 0), MATCH('Intermediate output'!$C77, INDIRECT("'"&amp;AX$4&amp;"'!Year.Vectors"), 0))</f>
        <v>-23.979959628458118</v>
      </c>
      <c r="AY77" s="920">
        <f ca="1">INDEX(INDIRECT("'"&amp;AY$4&amp;"'!Year.Matrix"), MATCH("VII.b", INDIRECT("'"&amp;AY$4&amp;"'!Year.Modules"), 0), MATCH('Intermediate output'!$C77, INDIRECT("'"&amp;AY$4&amp;"'!Year.Vectors"), 0))</f>
        <v>-28.298021718271968</v>
      </c>
      <c r="AZ77" s="920">
        <f ca="1">INDEX(INDIRECT("'"&amp;AZ$4&amp;"'!Year.Matrix"), MATCH("VII.b", INDIRECT("'"&amp;AZ$4&amp;"'!Year.Modules"), 0), MATCH('Intermediate output'!$C77, INDIRECT("'"&amp;AZ$4&amp;"'!Year.Vectors"), 0))</f>
        <v>-33.924854253983</v>
      </c>
      <c r="BA77" s="920">
        <f ca="1">INDEX(INDIRECT("'"&amp;BA$4&amp;"'!Year.Matrix"), MATCH("VII.b", INDIRECT("'"&amp;BA$4&amp;"'!Year.Modules"), 0), MATCH('Intermediate output'!$C77, INDIRECT("'"&amp;BA$4&amp;"'!Year.Vectors"), 0))</f>
        <v>-51.032654334219728</v>
      </c>
      <c r="BB77" s="920">
        <f ca="1">INDEX(INDIRECT("'"&amp;BB$4&amp;"'!Year.Matrix"), MATCH("VII.b", INDIRECT("'"&amp;BB$4&amp;"'!Year.Modules"), 0), MATCH('Intermediate output'!$C77, INDIRECT("'"&amp;BB$4&amp;"'!Year.Vectors"), 0))</f>
        <v>-68.625180708972152</v>
      </c>
      <c r="BC77" s="920">
        <f ca="1">INDEX(INDIRECT("'"&amp;BC$4&amp;"'!Year.Matrix"), MATCH("VII.b", INDIRECT("'"&amp;BC$4&amp;"'!Year.Modules"), 0), MATCH('Intermediate output'!$C77, INDIRECT("'"&amp;BC$4&amp;"'!Year.Vectors"), 0))</f>
        <v>-72.292426428163822</v>
      </c>
      <c r="BD77" s="920">
        <f ca="1">INDEX(INDIRECT("'"&amp;BD$4&amp;"'!Year.Matrix"), MATCH("VII.b", INDIRECT("'"&amp;BD$4&amp;"'!Year.Modules"), 0), MATCH('Intermediate output'!$C77, INDIRECT("'"&amp;BD$4&amp;"'!Year.Vectors"), 0))</f>
        <v>-89.940544676074524</v>
      </c>
      <c r="BE77" s="920">
        <f ca="1">INDEX(INDIRECT("'"&amp;BE$4&amp;"'!Year.Matrix"), MATCH("VII.b", INDIRECT("'"&amp;BE$4&amp;"'!Year.Modules"), 0), MATCH('Intermediate output'!$C77, INDIRECT("'"&amp;BE$4&amp;"'!Year.Vectors"), 0))</f>
        <v>-88.615214399998194</v>
      </c>
      <c r="BF77" s="920">
        <f ca="1">INDEX(INDIRECT("'"&amp;BF$4&amp;"'!Year.Matrix"), MATCH("VII.b", INDIRECT("'"&amp;BF$4&amp;"'!Year.Modules"), 0), MATCH('Intermediate output'!$C77, INDIRECT("'"&amp;BF$4&amp;"'!Year.Vectors"), 0))</f>
        <v>-105.15523314129905</v>
      </c>
      <c r="BG77" s="921"/>
      <c r="BH77" s="366"/>
    </row>
    <row r="78" spans="1:62" s="202" customFormat="1" x14ac:dyDescent="0.2">
      <c r="B78" s="910"/>
      <c r="C78" s="899"/>
      <c r="D78" s="899" t="s">
        <v>866</v>
      </c>
      <c r="E78" s="900"/>
      <c r="F78" s="901"/>
      <c r="G78" s="2301"/>
      <c r="H78" s="2301"/>
      <c r="I78" s="2301"/>
      <c r="J78" s="2301"/>
      <c r="K78" s="2301"/>
      <c r="L78" s="2301"/>
      <c r="M78" s="2301"/>
      <c r="N78" s="2301"/>
      <c r="O78" s="2301"/>
      <c r="P78" s="2301"/>
      <c r="Q78" s="2301"/>
      <c r="R78" s="2301"/>
      <c r="S78" s="2301"/>
      <c r="T78" s="2301"/>
      <c r="U78" s="2301"/>
      <c r="V78" s="2301"/>
      <c r="W78" s="2301"/>
      <c r="X78" s="2301"/>
      <c r="Y78" s="2301"/>
      <c r="Z78" s="2301"/>
      <c r="AA78" s="2301"/>
      <c r="AB78" s="2301"/>
      <c r="AC78" s="2301"/>
      <c r="AD78" s="2301"/>
      <c r="AE78" s="2301"/>
      <c r="AF78" s="2301"/>
      <c r="AG78" s="2301"/>
      <c r="AH78" s="2301"/>
      <c r="AI78" s="2301"/>
      <c r="AJ78" s="2301"/>
      <c r="AK78" s="2301"/>
      <c r="AL78" s="2301"/>
      <c r="AM78" s="2301"/>
      <c r="AN78" s="2301"/>
      <c r="AO78" s="2301"/>
      <c r="AP78" s="2301"/>
      <c r="AQ78" s="2301"/>
      <c r="AR78" s="2301"/>
      <c r="AS78" s="2301"/>
      <c r="AT78" s="2301"/>
      <c r="AU78" s="2301"/>
      <c r="AV78" s="2301"/>
      <c r="AW78" s="900"/>
      <c r="AX78" s="901">
        <f t="shared" ref="AX78" ca="1" si="22">-AX73-AX77</f>
        <v>141.05858604975359</v>
      </c>
      <c r="AY78" s="901">
        <f t="shared" ref="AY78:BF78" ca="1" si="23">-AY73-AY77</f>
        <v>166.45895128395276</v>
      </c>
      <c r="AZ78" s="901">
        <f t="shared" ca="1" si="23"/>
        <v>226.16569502655335</v>
      </c>
      <c r="BA78" s="901">
        <f t="shared" ca="1" si="23"/>
        <v>340.21769556146489</v>
      </c>
      <c r="BB78" s="901">
        <f t="shared" ca="1" si="23"/>
        <v>457.50120472648098</v>
      </c>
      <c r="BC78" s="901">
        <f t="shared" ca="1" si="23"/>
        <v>602.4368869013648</v>
      </c>
      <c r="BD78" s="901">
        <f t="shared" ca="1" si="23"/>
        <v>749.50453896728811</v>
      </c>
      <c r="BE78" s="901">
        <f t="shared" ca="1" si="23"/>
        <v>886.15214399998172</v>
      </c>
      <c r="BF78" s="901">
        <f t="shared" ca="1" si="23"/>
        <v>1051.5523314129916</v>
      </c>
      <c r="BG78" s="902"/>
    </row>
    <row r="79" spans="1:62" s="202" customFormat="1" x14ac:dyDescent="0.2">
      <c r="B79" s="910"/>
      <c r="C79" s="899"/>
      <c r="D79" s="899" t="s">
        <v>867</v>
      </c>
      <c r="E79" s="900"/>
      <c r="F79" s="901"/>
      <c r="G79" s="2301"/>
      <c r="H79" s="2301"/>
      <c r="I79" s="2301"/>
      <c r="J79" s="2301"/>
      <c r="K79" s="2301"/>
      <c r="L79" s="2301"/>
      <c r="M79" s="2301"/>
      <c r="N79" s="2301"/>
      <c r="O79" s="2301"/>
      <c r="P79" s="2301"/>
      <c r="Q79" s="2301"/>
      <c r="R79" s="2301"/>
      <c r="S79" s="2301"/>
      <c r="T79" s="2301"/>
      <c r="U79" s="2301"/>
      <c r="V79" s="2301"/>
      <c r="W79" s="2301"/>
      <c r="X79" s="2301"/>
      <c r="Y79" s="2301"/>
      <c r="Z79" s="2301"/>
      <c r="AA79" s="2301"/>
      <c r="AB79" s="2301"/>
      <c r="AC79" s="2301"/>
      <c r="AD79" s="2301"/>
      <c r="AE79" s="2301"/>
      <c r="AF79" s="2301"/>
      <c r="AG79" s="2301"/>
      <c r="AH79" s="2301"/>
      <c r="AI79" s="2301"/>
      <c r="AJ79" s="2301"/>
      <c r="AK79" s="2301"/>
      <c r="AL79" s="2301"/>
      <c r="AM79" s="2301"/>
      <c r="AN79" s="2301"/>
      <c r="AO79" s="2301"/>
      <c r="AP79" s="2301"/>
      <c r="AQ79" s="2301"/>
      <c r="AR79" s="2301"/>
      <c r="AS79" s="2301"/>
      <c r="AT79" s="2301"/>
      <c r="AU79" s="2301"/>
      <c r="AV79" s="2301"/>
      <c r="AW79" s="900"/>
      <c r="AX79" s="901">
        <f t="shared" ref="AX79" ca="1" si="24">AX105</f>
        <v>141.05858604975359</v>
      </c>
      <c r="AY79" s="901">
        <f t="shared" ref="AY79:BF79" ca="1" si="25">AY105</f>
        <v>166.45895128395276</v>
      </c>
      <c r="AZ79" s="901">
        <f t="shared" ca="1" si="25"/>
        <v>226.16569502655335</v>
      </c>
      <c r="BA79" s="901">
        <f t="shared" ca="1" si="25"/>
        <v>345.90757045714281</v>
      </c>
      <c r="BB79" s="901">
        <f t="shared" ca="1" si="25"/>
        <v>538.70634908571412</v>
      </c>
      <c r="BC79" s="901">
        <f t="shared" ca="1" si="25"/>
        <v>803.84741931428562</v>
      </c>
      <c r="BD79" s="901">
        <f t="shared" ca="1" si="25"/>
        <v>1064.0497251428571</v>
      </c>
      <c r="BE79" s="901">
        <f t="shared" ca="1" si="25"/>
        <v>1361.8695667714285</v>
      </c>
      <c r="BF79" s="901">
        <f t="shared" ca="1" si="25"/>
        <v>1715.4814920000001</v>
      </c>
      <c r="BG79" s="902"/>
    </row>
    <row r="80" spans="1:62" x14ac:dyDescent="0.2">
      <c r="B80" s="911"/>
      <c r="C80" s="818"/>
      <c r="D80" s="818"/>
      <c r="E80" s="818"/>
      <c r="F80" s="818"/>
      <c r="G80" s="2299"/>
      <c r="H80" s="2299"/>
      <c r="I80" s="2299"/>
      <c r="J80" s="2299"/>
      <c r="K80" s="2299"/>
      <c r="L80" s="2299"/>
      <c r="M80" s="2299"/>
      <c r="N80" s="2299"/>
      <c r="O80" s="2299"/>
      <c r="P80" s="2299"/>
      <c r="Q80" s="2299"/>
      <c r="R80" s="2299"/>
      <c r="S80" s="2299"/>
      <c r="T80" s="2299"/>
      <c r="U80" s="2299"/>
      <c r="V80" s="2299"/>
      <c r="W80" s="2299"/>
      <c r="X80" s="2299"/>
      <c r="Y80" s="2299"/>
      <c r="Z80" s="2299"/>
      <c r="AA80" s="2299"/>
      <c r="AB80" s="2299"/>
      <c r="AC80" s="2299"/>
      <c r="AD80" s="2299"/>
      <c r="AE80" s="2299"/>
      <c r="AF80" s="2299"/>
      <c r="AG80" s="2299"/>
      <c r="AH80" s="2299"/>
      <c r="AI80" s="2299"/>
      <c r="AJ80" s="2299"/>
      <c r="AK80" s="2299"/>
      <c r="AL80" s="2299"/>
      <c r="AM80" s="2299"/>
      <c r="AN80" s="2299"/>
      <c r="AO80" s="2299"/>
      <c r="AP80" s="2299"/>
      <c r="AQ80" s="2299"/>
      <c r="AR80" s="2299"/>
      <c r="AS80" s="2299"/>
      <c r="AT80" s="2299"/>
      <c r="AU80" s="2299"/>
      <c r="AV80" s="2299"/>
      <c r="AW80" s="818"/>
      <c r="AX80" s="818"/>
      <c r="AY80" s="818"/>
      <c r="AZ80" s="818"/>
      <c r="BA80" s="818"/>
      <c r="BB80" s="818"/>
      <c r="BC80" s="818"/>
      <c r="BD80" s="818"/>
      <c r="BE80" s="818"/>
      <c r="BF80" s="818"/>
      <c r="BG80" s="826"/>
      <c r="BH80" s="38"/>
      <c r="BJ80"/>
    </row>
    <row r="81" spans="1:62" s="38" customFormat="1" x14ac:dyDescent="0.2">
      <c r="B81" s="831"/>
      <c r="C81" s="37"/>
      <c r="D81" s="37"/>
      <c r="E81" s="37"/>
      <c r="F81" s="37"/>
      <c r="G81" s="2302"/>
      <c r="H81" s="2302"/>
      <c r="I81" s="2302"/>
      <c r="J81" s="2302"/>
      <c r="K81" s="2302"/>
      <c r="L81" s="2302"/>
      <c r="M81" s="2302"/>
      <c r="N81" s="2302"/>
      <c r="O81" s="2302"/>
      <c r="P81" s="2302"/>
      <c r="Q81" s="2302"/>
      <c r="R81" s="2302"/>
      <c r="S81" s="2302"/>
      <c r="T81" s="2302"/>
      <c r="U81" s="2302"/>
      <c r="V81" s="2302"/>
      <c r="W81" s="2302"/>
      <c r="X81" s="2302"/>
      <c r="Y81" s="2302"/>
      <c r="Z81" s="2302"/>
      <c r="AA81" s="2302"/>
      <c r="AB81" s="2302"/>
      <c r="AC81" s="2302"/>
      <c r="AD81" s="2302"/>
      <c r="AE81" s="2302"/>
      <c r="AF81" s="2302"/>
      <c r="AG81" s="2302"/>
      <c r="AH81" s="2302"/>
      <c r="AI81" s="2302"/>
      <c r="AJ81" s="2302"/>
      <c r="AK81" s="2302"/>
      <c r="AL81" s="2302"/>
      <c r="AM81" s="2302"/>
      <c r="AN81" s="2302"/>
      <c r="AO81" s="2302"/>
      <c r="AP81" s="2302"/>
      <c r="AQ81" s="2302"/>
      <c r="AR81" s="2302"/>
      <c r="AS81" s="2302"/>
      <c r="AT81" s="2302"/>
      <c r="AU81" s="2302"/>
      <c r="AV81" s="2302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832"/>
    </row>
    <row r="82" spans="1:62" x14ac:dyDescent="0.2">
      <c r="B82" s="831"/>
      <c r="C82" s="37" t="s">
        <v>48</v>
      </c>
      <c r="D82" s="37" t="str">
        <f>INDEX(Vectors[Description], MATCH($C82, Vectors[Code], 0))</f>
        <v>Unallocated</v>
      </c>
      <c r="E82" s="37"/>
      <c r="F82" s="903"/>
      <c r="G82" s="2303"/>
      <c r="H82" s="2303"/>
      <c r="I82" s="2303"/>
      <c r="J82" s="2303"/>
      <c r="K82" s="2303"/>
      <c r="L82" s="2303"/>
      <c r="M82" s="2303"/>
      <c r="N82" s="2303"/>
      <c r="O82" s="2303"/>
      <c r="P82" s="2303"/>
      <c r="Q82" s="2303"/>
      <c r="R82" s="2303"/>
      <c r="S82" s="2303"/>
      <c r="T82" s="2303"/>
      <c r="U82" s="2303"/>
      <c r="V82" s="2303"/>
      <c r="W82" s="2303"/>
      <c r="X82" s="2303"/>
      <c r="Y82" s="2303"/>
      <c r="Z82" s="2303"/>
      <c r="AA82" s="2303"/>
      <c r="AB82" s="2303"/>
      <c r="AC82" s="2303"/>
      <c r="AD82" s="2303"/>
      <c r="AE82" s="2303"/>
      <c r="AF82" s="2303"/>
      <c r="AG82" s="2303"/>
      <c r="AH82" s="2303"/>
      <c r="AI82" s="2303"/>
      <c r="AJ82" s="2303"/>
      <c r="AK82" s="2303"/>
      <c r="AL82" s="2303"/>
      <c r="AM82" s="2303"/>
      <c r="AN82" s="2303"/>
      <c r="AO82" s="2303"/>
      <c r="AP82" s="2303"/>
      <c r="AQ82" s="2303"/>
      <c r="AR82" s="2303"/>
      <c r="AS82" s="2303"/>
      <c r="AT82" s="2303"/>
      <c r="AU82" s="2303"/>
      <c r="AV82" s="2303"/>
      <c r="AW82" s="37"/>
      <c r="AX82" s="903">
        <f ca="1">INDEX(INDIRECT("'"&amp;AX$4&amp;"'!Year.NetBalance"), MATCH('Intermediate output'!$C82, INDIRECT("'"&amp;AX$4&amp;"'!Year.Vectors"), 0))</f>
        <v>0</v>
      </c>
      <c r="AY82" s="903">
        <f ca="1">INDEX(INDIRECT("'"&amp;AY$4&amp;"'!Year.NetBalance"), MATCH('Intermediate output'!$C82, INDIRECT("'"&amp;AY$4&amp;"'!Year.Vectors"), 0))</f>
        <v>0</v>
      </c>
      <c r="AZ82" s="903">
        <f ca="1">INDEX(INDIRECT("'"&amp;AZ$4&amp;"'!Year.NetBalance"), MATCH('Intermediate output'!$C82, INDIRECT("'"&amp;AZ$4&amp;"'!Year.Vectors"), 0))</f>
        <v>0</v>
      </c>
      <c r="BA82" s="903">
        <f ca="1">INDEX(INDIRECT("'"&amp;BA$4&amp;"'!Year.NetBalance"), MATCH('Intermediate output'!$C82, INDIRECT("'"&amp;BA$4&amp;"'!Year.Vectors"), 0))</f>
        <v>0</v>
      </c>
      <c r="BB82" s="903">
        <f ca="1">INDEX(INDIRECT("'"&amp;BB$4&amp;"'!Year.NetBalance"), MATCH('Intermediate output'!$C82, INDIRECT("'"&amp;BB$4&amp;"'!Year.Vectors"), 0))</f>
        <v>0</v>
      </c>
      <c r="BC82" s="903">
        <f ca="1">INDEX(INDIRECT("'"&amp;BC$4&amp;"'!Year.NetBalance"), MATCH('Intermediate output'!$C82, INDIRECT("'"&amp;BC$4&amp;"'!Year.Vectors"), 0))</f>
        <v>0</v>
      </c>
      <c r="BD82" s="903">
        <f ca="1">INDEX(INDIRECT("'"&amp;BD$4&amp;"'!Year.NetBalance"), MATCH('Intermediate output'!$C82, INDIRECT("'"&amp;BD$4&amp;"'!Year.Vectors"), 0))</f>
        <v>0</v>
      </c>
      <c r="BE82" s="903">
        <f ca="1">INDEX(INDIRECT("'"&amp;BE$4&amp;"'!Year.NetBalance"), MATCH('Intermediate output'!$C82, INDIRECT("'"&amp;BE$4&amp;"'!Year.Vectors"), 0))</f>
        <v>0</v>
      </c>
      <c r="BF82" s="903">
        <f ca="1">INDEX(INDIRECT("'"&amp;BF$4&amp;"'!Year.NetBalance"), MATCH('Intermediate output'!$C82, INDIRECT("'"&amp;BF$4&amp;"'!Year.Vectors"), 0))</f>
        <v>0</v>
      </c>
      <c r="BG82" s="904"/>
      <c r="BH82" s="23"/>
      <c r="BJ82"/>
    </row>
    <row r="83" spans="1:62" ht="4.5" customHeight="1" x14ac:dyDescent="0.2">
      <c r="B83" s="831"/>
      <c r="C83" s="37"/>
      <c r="D83" s="37"/>
      <c r="E83" s="37"/>
      <c r="F83" s="905"/>
      <c r="G83" s="2304"/>
      <c r="H83" s="2304"/>
      <c r="I83" s="2304"/>
      <c r="J83" s="2304"/>
      <c r="K83" s="2304"/>
      <c r="L83" s="2304"/>
      <c r="M83" s="2304"/>
      <c r="N83" s="2304"/>
      <c r="O83" s="2304"/>
      <c r="P83" s="2304"/>
      <c r="Q83" s="2304"/>
      <c r="R83" s="2304"/>
      <c r="S83" s="2304"/>
      <c r="T83" s="2304"/>
      <c r="U83" s="2304"/>
      <c r="V83" s="2304"/>
      <c r="W83" s="2304"/>
      <c r="X83" s="2304"/>
      <c r="Y83" s="2304"/>
      <c r="Z83" s="2304"/>
      <c r="AA83" s="2304"/>
      <c r="AB83" s="2304"/>
      <c r="AC83" s="2304"/>
      <c r="AD83" s="2304"/>
      <c r="AE83" s="2304"/>
      <c r="AF83" s="2304"/>
      <c r="AG83" s="2304"/>
      <c r="AH83" s="2304"/>
      <c r="AI83" s="2304"/>
      <c r="AJ83" s="2304"/>
      <c r="AK83" s="2304"/>
      <c r="AL83" s="2304"/>
      <c r="AM83" s="2304"/>
      <c r="AN83" s="2304"/>
      <c r="AO83" s="2304"/>
      <c r="AP83" s="2304"/>
      <c r="AQ83" s="2304"/>
      <c r="AR83" s="2304"/>
      <c r="AS83" s="2304"/>
      <c r="AT83" s="2304"/>
      <c r="AU83" s="2304"/>
      <c r="AV83" s="2304"/>
      <c r="AW83" s="37"/>
      <c r="AX83" s="903"/>
      <c r="AY83" s="903"/>
      <c r="AZ83" s="903"/>
      <c r="BA83" s="903"/>
      <c r="BB83" s="903"/>
      <c r="BC83" s="903"/>
      <c r="BD83" s="903"/>
      <c r="BE83" s="903"/>
      <c r="BF83" s="903"/>
      <c r="BG83" s="832"/>
      <c r="BH83" s="38"/>
      <c r="BJ83"/>
    </row>
    <row r="84" spans="1:62" s="84" customFormat="1" ht="18" x14ac:dyDescent="0.2">
      <c r="B84" s="906"/>
      <c r="C84" s="34"/>
      <c r="D84" s="907" t="s">
        <v>454</v>
      </c>
      <c r="E84" s="37"/>
      <c r="F84" s="2140"/>
      <c r="G84" s="2305"/>
      <c r="H84" s="2305"/>
      <c r="I84" s="2305"/>
      <c r="J84" s="2305"/>
      <c r="K84" s="2305"/>
      <c r="L84" s="2305"/>
      <c r="M84" s="2305"/>
      <c r="N84" s="2305"/>
      <c r="O84" s="2305"/>
      <c r="P84" s="2305"/>
      <c r="Q84" s="2305"/>
      <c r="R84" s="2305"/>
      <c r="S84" s="2305"/>
      <c r="T84" s="2305"/>
      <c r="U84" s="2305"/>
      <c r="V84" s="2305"/>
      <c r="W84" s="2305"/>
      <c r="X84" s="2305"/>
      <c r="Y84" s="2305"/>
      <c r="Z84" s="2305"/>
      <c r="AA84" s="2305"/>
      <c r="AB84" s="2305"/>
      <c r="AC84" s="2305"/>
      <c r="AD84" s="2305"/>
      <c r="AE84" s="2305"/>
      <c r="AF84" s="2305"/>
      <c r="AG84" s="2305"/>
      <c r="AH84" s="2305"/>
      <c r="AI84" s="2305"/>
      <c r="AJ84" s="2305"/>
      <c r="AK84" s="2305"/>
      <c r="AL84" s="2305"/>
      <c r="AM84" s="2305"/>
      <c r="AN84" s="2305"/>
      <c r="AO84" s="2305"/>
      <c r="AP84" s="2305"/>
      <c r="AQ84" s="2305"/>
      <c r="AR84" s="2305"/>
      <c r="AS84" s="2305"/>
      <c r="AT84" s="2305"/>
      <c r="AU84" s="2305"/>
      <c r="AV84" s="2305"/>
      <c r="AW84" s="37"/>
      <c r="AX84" s="908">
        <f t="shared" ref="AX84" ca="1" si="26">AX67+AX75+AX82</f>
        <v>0</v>
      </c>
      <c r="AY84" s="908">
        <f t="shared" ref="AY84:BF84" ca="1" si="27">AY67+AY75+AY82</f>
        <v>-2.2737367544323206E-13</v>
      </c>
      <c r="AZ84" s="908">
        <f t="shared" ca="1" si="27"/>
        <v>-3.4106051316484809E-13</v>
      </c>
      <c r="BA84" s="908">
        <f t="shared" ca="1" si="27"/>
        <v>-3.4106051316484809E-13</v>
      </c>
      <c r="BB84" s="908">
        <f t="shared" ca="1" si="27"/>
        <v>-2.2737367544323206E-13</v>
      </c>
      <c r="BC84" s="908">
        <f t="shared" ca="1" si="27"/>
        <v>2.2737367544323206E-13</v>
      </c>
      <c r="BD84" s="908">
        <f t="shared" ca="1" si="27"/>
        <v>-2.2737367544323206E-13</v>
      </c>
      <c r="BE84" s="908">
        <f t="shared" ca="1" si="27"/>
        <v>6.8212102632969618E-13</v>
      </c>
      <c r="BF84" s="908">
        <f t="shared" ca="1" si="27"/>
        <v>0</v>
      </c>
      <c r="BG84" s="909"/>
    </row>
    <row r="85" spans="1:62" s="588" customFormat="1" x14ac:dyDescent="0.2">
      <c r="B85" s="831"/>
      <c r="C85" s="37"/>
      <c r="D85" s="37"/>
      <c r="E85" s="37"/>
      <c r="F85" s="37"/>
      <c r="G85" s="2302"/>
      <c r="H85" s="2302"/>
      <c r="I85" s="2302"/>
      <c r="J85" s="2302"/>
      <c r="K85" s="2302"/>
      <c r="L85" s="2302"/>
      <c r="M85" s="2302"/>
      <c r="N85" s="2302"/>
      <c r="O85" s="2302"/>
      <c r="P85" s="2302"/>
      <c r="Q85" s="2302"/>
      <c r="R85" s="2302"/>
      <c r="S85" s="2302"/>
      <c r="T85" s="2302"/>
      <c r="U85" s="2302"/>
      <c r="V85" s="2302"/>
      <c r="W85" s="2302"/>
      <c r="X85" s="2302"/>
      <c r="Y85" s="2302"/>
      <c r="Z85" s="2302"/>
      <c r="AA85" s="2302"/>
      <c r="AB85" s="2302"/>
      <c r="AC85" s="2302"/>
      <c r="AD85" s="2302"/>
      <c r="AE85" s="2302"/>
      <c r="AF85" s="2302"/>
      <c r="AG85" s="2302"/>
      <c r="AH85" s="2302"/>
      <c r="AI85" s="2302"/>
      <c r="AJ85" s="2302"/>
      <c r="AK85" s="2302"/>
      <c r="AL85" s="2302"/>
      <c r="AM85" s="2302"/>
      <c r="AN85" s="2302"/>
      <c r="AO85" s="2302"/>
      <c r="AP85" s="2302"/>
      <c r="AQ85" s="2302"/>
      <c r="AR85" s="2302"/>
      <c r="AS85" s="2302"/>
      <c r="AT85" s="2302"/>
      <c r="AU85" s="2302"/>
      <c r="AV85" s="2302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832"/>
    </row>
    <row r="86" spans="1:62" ht="22.5" x14ac:dyDescent="0.3">
      <c r="A86" s="409"/>
      <c r="B86" s="809" t="s">
        <v>568</v>
      </c>
      <c r="C86" s="810"/>
      <c r="D86" s="810"/>
      <c r="E86" s="810"/>
      <c r="F86" s="810"/>
      <c r="G86" s="2295"/>
      <c r="H86" s="2295"/>
      <c r="I86" s="2295"/>
      <c r="J86" s="2295"/>
      <c r="K86" s="2295"/>
      <c r="L86" s="2295"/>
      <c r="M86" s="2295"/>
      <c r="N86" s="2295"/>
      <c r="O86" s="2295"/>
      <c r="P86" s="2295"/>
      <c r="Q86" s="2295"/>
      <c r="R86" s="2295"/>
      <c r="S86" s="2295"/>
      <c r="T86" s="2295"/>
      <c r="U86" s="2295"/>
      <c r="V86" s="2295"/>
      <c r="W86" s="2295"/>
      <c r="X86" s="2295"/>
      <c r="Y86" s="2295"/>
      <c r="Z86" s="2295"/>
      <c r="AA86" s="2295"/>
      <c r="AB86" s="2295"/>
      <c r="AC86" s="2295"/>
      <c r="AD86" s="2295"/>
      <c r="AE86" s="2295"/>
      <c r="AF86" s="2295"/>
      <c r="AG86" s="2295"/>
      <c r="AH86" s="2295"/>
      <c r="AI86" s="2295"/>
      <c r="AJ86" s="2295"/>
      <c r="AK86" s="2295"/>
      <c r="AL86" s="2295"/>
      <c r="AM86" s="2295"/>
      <c r="AN86" s="2295"/>
      <c r="AO86" s="2295"/>
      <c r="AP86" s="2295"/>
      <c r="AQ86" s="2295"/>
      <c r="AR86" s="2295"/>
      <c r="AS86" s="2295"/>
      <c r="AT86" s="2295"/>
      <c r="AU86" s="2295"/>
      <c r="AV86" s="2295"/>
      <c r="AW86" s="810"/>
      <c r="AX86" s="811"/>
      <c r="AY86" s="811"/>
      <c r="AZ86" s="811"/>
      <c r="BA86" s="811"/>
      <c r="BB86" s="811"/>
      <c r="BC86" s="811"/>
      <c r="BD86" s="811"/>
      <c r="BE86" s="811"/>
      <c r="BF86" s="811"/>
      <c r="BG86" s="812"/>
      <c r="BH86" s="38"/>
      <c r="BJ86"/>
    </row>
    <row r="87" spans="1:62" s="588" customFormat="1" ht="15.75" x14ac:dyDescent="0.2">
      <c r="A87" s="834"/>
      <c r="B87" s="833"/>
      <c r="C87" s="818"/>
      <c r="D87" s="814"/>
      <c r="E87" s="814"/>
      <c r="F87" s="814"/>
      <c r="G87" s="2296"/>
      <c r="H87" s="2296"/>
      <c r="I87" s="2296"/>
      <c r="J87" s="2296"/>
      <c r="K87" s="2296"/>
      <c r="L87" s="2296"/>
      <c r="M87" s="2296"/>
      <c r="N87" s="2296"/>
      <c r="O87" s="2296"/>
      <c r="P87" s="2296"/>
      <c r="Q87" s="2296"/>
      <c r="R87" s="2296"/>
      <c r="S87" s="2296"/>
      <c r="T87" s="2296"/>
      <c r="U87" s="2296"/>
      <c r="V87" s="2296"/>
      <c r="W87" s="2296"/>
      <c r="X87" s="2296"/>
      <c r="Y87" s="2296"/>
      <c r="Z87" s="2296"/>
      <c r="AA87" s="2296"/>
      <c r="AB87" s="2296"/>
      <c r="AC87" s="2296"/>
      <c r="AD87" s="2296"/>
      <c r="AE87" s="2296"/>
      <c r="AF87" s="2296"/>
      <c r="AG87" s="2296"/>
      <c r="AH87" s="2296"/>
      <c r="AI87" s="2296"/>
      <c r="AJ87" s="2296"/>
      <c r="AK87" s="2296"/>
      <c r="AL87" s="2296"/>
      <c r="AM87" s="2296"/>
      <c r="AN87" s="2296"/>
      <c r="AO87" s="2296"/>
      <c r="AP87" s="2296"/>
      <c r="AQ87" s="2296"/>
      <c r="AR87" s="2296"/>
      <c r="AS87" s="2296"/>
      <c r="AT87" s="2296"/>
      <c r="AU87" s="2296"/>
      <c r="AV87" s="2296"/>
      <c r="AW87" s="814"/>
      <c r="AX87" s="820"/>
      <c r="AY87" s="820"/>
      <c r="AZ87" s="820"/>
      <c r="BA87" s="820"/>
      <c r="BB87" s="820"/>
      <c r="BC87" s="820"/>
      <c r="BD87" s="820"/>
      <c r="BE87" s="820"/>
      <c r="BF87" s="820"/>
      <c r="BG87" s="821"/>
    </row>
    <row r="88" spans="1:62" x14ac:dyDescent="0.2">
      <c r="B88" s="817"/>
      <c r="C88" s="818" t="s">
        <v>35</v>
      </c>
      <c r="D88" s="890" t="s">
        <v>73</v>
      </c>
      <c r="E88" s="818"/>
      <c r="F88" s="818"/>
      <c r="G88" s="2299"/>
      <c r="H88" s="2299"/>
      <c r="I88" s="2299"/>
      <c r="J88" s="2299"/>
      <c r="K88" s="2299"/>
      <c r="L88" s="2299"/>
      <c r="M88" s="2299"/>
      <c r="N88" s="2299"/>
      <c r="O88" s="2299"/>
      <c r="P88" s="2299"/>
      <c r="Q88" s="2299"/>
      <c r="R88" s="2299"/>
      <c r="S88" s="2299"/>
      <c r="T88" s="2299"/>
      <c r="U88" s="2299"/>
      <c r="V88" s="2299"/>
      <c r="W88" s="2299"/>
      <c r="X88" s="2299"/>
      <c r="Y88" s="2299"/>
      <c r="Z88" s="2299"/>
      <c r="AA88" s="2299"/>
      <c r="AB88" s="2299"/>
      <c r="AC88" s="2299"/>
      <c r="AD88" s="2299"/>
      <c r="AE88" s="2299"/>
      <c r="AF88" s="2299"/>
      <c r="AG88" s="2299"/>
      <c r="AH88" s="2299"/>
      <c r="AI88" s="2299"/>
      <c r="AJ88" s="2299"/>
      <c r="AK88" s="2299"/>
      <c r="AL88" s="2299"/>
      <c r="AM88" s="2299"/>
      <c r="AN88" s="2299"/>
      <c r="AO88" s="2299"/>
      <c r="AP88" s="2299"/>
      <c r="AQ88" s="2299"/>
      <c r="AR88" s="2299"/>
      <c r="AS88" s="2299"/>
      <c r="AT88" s="2299"/>
      <c r="AU88" s="2299"/>
      <c r="AV88" s="2299"/>
      <c r="AW88" s="818"/>
      <c r="AX88" s="891">
        <v>2010</v>
      </c>
      <c r="AY88" s="891">
        <v>2015</v>
      </c>
      <c r="AZ88" s="891">
        <v>2020</v>
      </c>
      <c r="BA88" s="891">
        <v>2025</v>
      </c>
      <c r="BB88" s="891">
        <v>2030</v>
      </c>
      <c r="BC88" s="891">
        <v>2035</v>
      </c>
      <c r="BD88" s="891">
        <v>2040</v>
      </c>
      <c r="BE88" s="891">
        <v>2045</v>
      </c>
      <c r="BF88" s="891">
        <v>2050</v>
      </c>
      <c r="BG88" s="826"/>
      <c r="BH88" s="38"/>
      <c r="BJ88"/>
    </row>
    <row r="89" spans="1:62" x14ac:dyDescent="0.2">
      <c r="B89" s="817"/>
      <c r="C89" s="1105" t="s">
        <v>288</v>
      </c>
      <c r="D89" s="1105" t="str">
        <f>INDEX(Modules[Module], MATCH($C89, Modules[Code], 0))</f>
        <v>Natural gas power stations</v>
      </c>
      <c r="E89" s="1105"/>
      <c r="F89" s="820"/>
      <c r="G89" s="2306"/>
      <c r="H89" s="2306"/>
      <c r="I89" s="2306"/>
      <c r="J89" s="2306"/>
      <c r="K89" s="2306"/>
      <c r="L89" s="2306"/>
      <c r="M89" s="2306"/>
      <c r="N89" s="2306"/>
      <c r="O89" s="2306"/>
      <c r="P89" s="2306"/>
      <c r="Q89" s="2306"/>
      <c r="R89" s="2306"/>
      <c r="S89" s="2306"/>
      <c r="T89" s="2306"/>
      <c r="U89" s="2306"/>
      <c r="V89" s="2306"/>
      <c r="W89" s="2306"/>
      <c r="X89" s="2306"/>
      <c r="Y89" s="2306"/>
      <c r="Z89" s="2306"/>
      <c r="AA89" s="2306"/>
      <c r="AB89" s="2306"/>
      <c r="AC89" s="2306"/>
      <c r="AD89" s="2306"/>
      <c r="AE89" s="2306"/>
      <c r="AF89" s="2306"/>
      <c r="AG89" s="2306"/>
      <c r="AH89" s="2306"/>
      <c r="AI89" s="2306"/>
      <c r="AJ89" s="2306"/>
      <c r="AK89" s="2306"/>
      <c r="AL89" s="2306"/>
      <c r="AM89" s="2306"/>
      <c r="AN89" s="2306"/>
      <c r="AO89" s="2306"/>
      <c r="AP89" s="2306"/>
      <c r="AQ89" s="2306"/>
      <c r="AR89" s="2306"/>
      <c r="AS89" s="2306"/>
      <c r="AT89" s="2306"/>
      <c r="AU89" s="2306"/>
      <c r="AV89" s="2306"/>
      <c r="AW89" s="1105"/>
      <c r="AX89" s="820">
        <f t="shared" ref="AX89:BF91" ca="1" si="28">INDEX(INDIRECT("'"&amp;AX$4&amp;"'!Year.Matrix"), MATCH($C89, INDIRECT("'"&amp;AX$4&amp;"'!Year.Modules"), 0), MATCH($C$88, INDIRECT("'"&amp;AX$4&amp;"'!Year.Vectors"), 0))</f>
        <v>18.408599999999996</v>
      </c>
      <c r="AY89" s="820">
        <f t="shared" ca="1" si="28"/>
        <v>49.089599999999997</v>
      </c>
      <c r="AZ89" s="820">
        <f t="shared" ca="1" si="28"/>
        <v>118.612746</v>
      </c>
      <c r="BA89" s="820">
        <f t="shared" ca="1" si="28"/>
        <v>164.69560799999999</v>
      </c>
      <c r="BB89" s="820">
        <f t="shared" ca="1" si="28"/>
        <v>211.02391799999998</v>
      </c>
      <c r="BC89" s="820">
        <f t="shared" ca="1" si="28"/>
        <v>281.83566599999995</v>
      </c>
      <c r="BD89" s="820">
        <f t="shared" ca="1" si="28"/>
        <v>352.64741399999997</v>
      </c>
      <c r="BE89" s="820">
        <f t="shared" ca="1" si="28"/>
        <v>423.52052399999991</v>
      </c>
      <c r="BF89" s="820">
        <f t="shared" ca="1" si="28"/>
        <v>494.33227199999999</v>
      </c>
      <c r="BG89" s="826"/>
      <c r="BH89" s="38"/>
      <c r="BJ89"/>
    </row>
    <row r="90" spans="1:62" s="81" customFormat="1" x14ac:dyDescent="0.2">
      <c r="B90" s="827"/>
      <c r="C90" s="1332" t="s">
        <v>341</v>
      </c>
      <c r="D90" s="1332" t="str">
        <f>INDEX(Modules[Module], MATCH($C90, Modules[Code], 0))</f>
        <v>Residential Cooling</v>
      </c>
      <c r="E90" s="1105"/>
      <c r="F90" s="1333"/>
      <c r="G90" s="2307"/>
      <c r="H90" s="2307"/>
      <c r="I90" s="2307"/>
      <c r="J90" s="2307"/>
      <c r="K90" s="2307"/>
      <c r="L90" s="2307"/>
      <c r="M90" s="2307"/>
      <c r="N90" s="2307"/>
      <c r="O90" s="2307"/>
      <c r="P90" s="2307"/>
      <c r="Q90" s="2307"/>
      <c r="R90" s="2307"/>
      <c r="S90" s="2307"/>
      <c r="T90" s="2307"/>
      <c r="U90" s="2307"/>
      <c r="V90" s="2307"/>
      <c r="W90" s="2307"/>
      <c r="X90" s="2307"/>
      <c r="Y90" s="2307"/>
      <c r="Z90" s="2307"/>
      <c r="AA90" s="2307"/>
      <c r="AB90" s="2307"/>
      <c r="AC90" s="2307"/>
      <c r="AD90" s="2307"/>
      <c r="AE90" s="2307"/>
      <c r="AF90" s="2307"/>
      <c r="AG90" s="2307"/>
      <c r="AH90" s="2307"/>
      <c r="AI90" s="2307"/>
      <c r="AJ90" s="2307"/>
      <c r="AK90" s="2307"/>
      <c r="AL90" s="2307"/>
      <c r="AM90" s="2307"/>
      <c r="AN90" s="2307"/>
      <c r="AO90" s="2307"/>
      <c r="AP90" s="2307"/>
      <c r="AQ90" s="2307"/>
      <c r="AR90" s="2307"/>
      <c r="AS90" s="2307"/>
      <c r="AT90" s="2307"/>
      <c r="AU90" s="2307"/>
      <c r="AV90" s="2307"/>
      <c r="AW90" s="1105"/>
      <c r="AX90" s="1333">
        <f t="shared" ca="1" si="28"/>
        <v>0</v>
      </c>
      <c r="AY90" s="1333">
        <f t="shared" ca="1" si="28"/>
        <v>0</v>
      </c>
      <c r="AZ90" s="1333">
        <f t="shared" ca="1" si="28"/>
        <v>0</v>
      </c>
      <c r="BA90" s="1333">
        <f t="shared" ca="1" si="28"/>
        <v>0</v>
      </c>
      <c r="BB90" s="1333">
        <f t="shared" ca="1" si="28"/>
        <v>0</v>
      </c>
      <c r="BC90" s="1333">
        <f t="shared" ca="1" si="28"/>
        <v>0</v>
      </c>
      <c r="BD90" s="1333">
        <f t="shared" ca="1" si="28"/>
        <v>0</v>
      </c>
      <c r="BE90" s="1333">
        <f t="shared" ca="1" si="28"/>
        <v>0</v>
      </c>
      <c r="BF90" s="1333">
        <f t="shared" ca="1" si="28"/>
        <v>0</v>
      </c>
      <c r="BG90" s="828"/>
    </row>
    <row r="91" spans="1:62" s="81" customFormat="1" x14ac:dyDescent="0.2">
      <c r="B91" s="827"/>
      <c r="C91" s="1332" t="s">
        <v>388</v>
      </c>
      <c r="D91" s="1332" t="str">
        <f>INDEX(Modules[Module], MATCH($C91, Modules[Code], 0))</f>
        <v>Service Sector Cooling</v>
      </c>
      <c r="E91" s="1105"/>
      <c r="F91" s="1333"/>
      <c r="G91" s="2307"/>
      <c r="H91" s="2307"/>
      <c r="I91" s="2307"/>
      <c r="J91" s="2307"/>
      <c r="K91" s="2307"/>
      <c r="L91" s="2307"/>
      <c r="M91" s="2307"/>
      <c r="N91" s="2307"/>
      <c r="O91" s="2307"/>
      <c r="P91" s="2307"/>
      <c r="Q91" s="2307"/>
      <c r="R91" s="2307"/>
      <c r="S91" s="2307"/>
      <c r="T91" s="2307"/>
      <c r="U91" s="2307"/>
      <c r="V91" s="2307"/>
      <c r="W91" s="2307"/>
      <c r="X91" s="2307"/>
      <c r="Y91" s="2307"/>
      <c r="Z91" s="2307"/>
      <c r="AA91" s="2307"/>
      <c r="AB91" s="2307"/>
      <c r="AC91" s="2307"/>
      <c r="AD91" s="2307"/>
      <c r="AE91" s="2307"/>
      <c r="AF91" s="2307"/>
      <c r="AG91" s="2307"/>
      <c r="AH91" s="2307"/>
      <c r="AI91" s="2307"/>
      <c r="AJ91" s="2307"/>
      <c r="AK91" s="2307"/>
      <c r="AL91" s="2307"/>
      <c r="AM91" s="2307"/>
      <c r="AN91" s="2307"/>
      <c r="AO91" s="2307"/>
      <c r="AP91" s="2307"/>
      <c r="AQ91" s="2307"/>
      <c r="AR91" s="2307"/>
      <c r="AS91" s="2307"/>
      <c r="AT91" s="2307"/>
      <c r="AU91" s="2307"/>
      <c r="AV91" s="2307"/>
      <c r="AW91" s="1105"/>
      <c r="AX91" s="1333">
        <f t="shared" ca="1" si="28"/>
        <v>0</v>
      </c>
      <c r="AY91" s="1333">
        <f t="shared" ca="1" si="28"/>
        <v>0</v>
      </c>
      <c r="AZ91" s="1333">
        <f t="shared" ca="1" si="28"/>
        <v>0</v>
      </c>
      <c r="BA91" s="1333">
        <f t="shared" ca="1" si="28"/>
        <v>0</v>
      </c>
      <c r="BB91" s="1333">
        <f t="shared" ca="1" si="28"/>
        <v>0</v>
      </c>
      <c r="BC91" s="1333">
        <f t="shared" ca="1" si="28"/>
        <v>0</v>
      </c>
      <c r="BD91" s="1333">
        <f t="shared" ca="1" si="28"/>
        <v>0</v>
      </c>
      <c r="BE91" s="1333">
        <f t="shared" ca="1" si="28"/>
        <v>0</v>
      </c>
      <c r="BF91" s="1333">
        <f t="shared" ca="1" si="28"/>
        <v>0</v>
      </c>
      <c r="BG91" s="828"/>
    </row>
    <row r="92" spans="1:62" s="81" customFormat="1" x14ac:dyDescent="0.2">
      <c r="B92" s="827"/>
      <c r="C92" s="1332"/>
      <c r="D92" s="1332" t="s">
        <v>2065</v>
      </c>
      <c r="E92" s="1105"/>
      <c r="F92" s="1333"/>
      <c r="G92" s="2307"/>
      <c r="H92" s="2307"/>
      <c r="I92" s="2307"/>
      <c r="J92" s="2307"/>
      <c r="K92" s="2307"/>
      <c r="L92" s="2307"/>
      <c r="M92" s="2307"/>
      <c r="N92" s="2307"/>
      <c r="O92" s="2307"/>
      <c r="P92" s="2307"/>
      <c r="Q92" s="2307"/>
      <c r="R92" s="2307"/>
      <c r="S92" s="2307"/>
      <c r="T92" s="2307"/>
      <c r="U92" s="2307"/>
      <c r="V92" s="2307"/>
      <c r="W92" s="2307"/>
      <c r="X92" s="2307"/>
      <c r="Y92" s="2307"/>
      <c r="Z92" s="2307"/>
      <c r="AA92" s="2307"/>
      <c r="AB92" s="2307"/>
      <c r="AC92" s="2307"/>
      <c r="AD92" s="2307"/>
      <c r="AE92" s="2307"/>
      <c r="AF92" s="2307"/>
      <c r="AG92" s="2307"/>
      <c r="AH92" s="2307"/>
      <c r="AI92" s="2307"/>
      <c r="AJ92" s="2307"/>
      <c r="AK92" s="2307"/>
      <c r="AL92" s="2307"/>
      <c r="AM92" s="2307"/>
      <c r="AN92" s="2307"/>
      <c r="AO92" s="2307"/>
      <c r="AP92" s="2307"/>
      <c r="AQ92" s="2307"/>
      <c r="AR92" s="2307"/>
      <c r="AS92" s="2307"/>
      <c r="AT92" s="2307"/>
      <c r="AU92" s="2307"/>
      <c r="AV92" s="2307"/>
      <c r="AW92" s="1333"/>
      <c r="AX92" s="1333">
        <f ca="1">AX89+AX90+AX91+AX94</f>
        <v>18.408599999999996</v>
      </c>
      <c r="AY92" s="1333">
        <f t="shared" ref="AY92:BF92" ca="1" si="29">AY89+AY90+AY91+AY94</f>
        <v>49.089599999999997</v>
      </c>
      <c r="AZ92" s="1333">
        <f t="shared" ca="1" si="29"/>
        <v>118.612746</v>
      </c>
      <c r="BA92" s="1333">
        <f t="shared" ca="1" si="29"/>
        <v>190.99360799999999</v>
      </c>
      <c r="BB92" s="1333">
        <f t="shared" ca="1" si="29"/>
        <v>290.57536799999997</v>
      </c>
      <c r="BC92" s="1333">
        <f t="shared" ca="1" si="29"/>
        <v>431.73426599999993</v>
      </c>
      <c r="BD92" s="1333">
        <f t="shared" ca="1" si="29"/>
        <v>573.550614</v>
      </c>
      <c r="BE92" s="1333">
        <f t="shared" ca="1" si="29"/>
        <v>714.77087399999982</v>
      </c>
      <c r="BF92" s="1333">
        <f t="shared" ca="1" si="29"/>
        <v>855.92977199999996</v>
      </c>
      <c r="BG92" s="828"/>
    </row>
    <row r="93" spans="1:62" x14ac:dyDescent="0.2">
      <c r="B93" s="817"/>
      <c r="C93" s="1105" t="s">
        <v>352</v>
      </c>
      <c r="D93" s="1105" t="str">
        <f>INDEX(Modules[Module], MATCH($C93, Modules[Code], 0))</f>
        <v>Biomass power station</v>
      </c>
      <c r="E93" s="1105"/>
      <c r="F93" s="820"/>
      <c r="G93" s="2306"/>
      <c r="H93" s="2306"/>
      <c r="I93" s="2306"/>
      <c r="J93" s="2306"/>
      <c r="K93" s="2306"/>
      <c r="L93" s="2306"/>
      <c r="M93" s="2306"/>
      <c r="N93" s="2306"/>
      <c r="O93" s="2306"/>
      <c r="P93" s="2306"/>
      <c r="Q93" s="2306"/>
      <c r="R93" s="2306"/>
      <c r="S93" s="2306"/>
      <c r="T93" s="2306"/>
      <c r="U93" s="2306"/>
      <c r="V93" s="2306"/>
      <c r="W93" s="2306"/>
      <c r="X93" s="2306"/>
      <c r="Y93" s="2306"/>
      <c r="Z93" s="2306"/>
      <c r="AA93" s="2306"/>
      <c r="AB93" s="2306"/>
      <c r="AC93" s="2306"/>
      <c r="AD93" s="2306"/>
      <c r="AE93" s="2306"/>
      <c r="AF93" s="2306"/>
      <c r="AG93" s="2306"/>
      <c r="AH93" s="2306"/>
      <c r="AI93" s="2306"/>
      <c r="AJ93" s="2306"/>
      <c r="AK93" s="2306"/>
      <c r="AL93" s="2306"/>
      <c r="AM93" s="2306"/>
      <c r="AN93" s="2306"/>
      <c r="AO93" s="2306"/>
      <c r="AP93" s="2306"/>
      <c r="AQ93" s="2306"/>
      <c r="AR93" s="2306"/>
      <c r="AS93" s="2306"/>
      <c r="AT93" s="2306"/>
      <c r="AU93" s="2306"/>
      <c r="AV93" s="2306"/>
      <c r="AW93" s="1105"/>
      <c r="AX93" s="820">
        <f t="shared" ref="AX93:BF102" ca="1" si="30">INDEX(INDIRECT("'"&amp;AX$4&amp;"'!Year.Matrix"), MATCH($C93, INDIRECT("'"&amp;AX$4&amp;"'!Year.Modules"), 0), MATCH($C$88, INDIRECT("'"&amp;AX$4&amp;"'!Year.Vectors"), 0))</f>
        <v>0</v>
      </c>
      <c r="AY93" s="820">
        <f t="shared" ca="1" si="30"/>
        <v>0</v>
      </c>
      <c r="AZ93" s="820">
        <f t="shared" ca="1" si="30"/>
        <v>7.8894000000000002</v>
      </c>
      <c r="BA93" s="820">
        <f t="shared" ca="1" si="30"/>
        <v>15.7788</v>
      </c>
      <c r="BB93" s="820">
        <f t="shared" ca="1" si="30"/>
        <v>19.723499999999998</v>
      </c>
      <c r="BC93" s="820">
        <f t="shared" ca="1" si="30"/>
        <v>31.557600000000001</v>
      </c>
      <c r="BD93" s="820">
        <f t="shared" ca="1" si="30"/>
        <v>47.336400000000005</v>
      </c>
      <c r="BE93" s="820">
        <f t="shared" ca="1" si="30"/>
        <v>63.115200000000002</v>
      </c>
      <c r="BF93" s="820">
        <f t="shared" ca="1" si="30"/>
        <v>78.893999999999991</v>
      </c>
      <c r="BG93" s="826"/>
      <c r="BH93" s="38"/>
      <c r="BJ93"/>
    </row>
    <row r="94" spans="1:62" x14ac:dyDescent="0.2">
      <c r="B94" s="817"/>
      <c r="C94" s="1105" t="s">
        <v>2146</v>
      </c>
      <c r="D94" s="1105" t="str">
        <f>INDEX(Modules[Module], MATCH($C94, Modules[Code], 0))</f>
        <v>Coal power stations</v>
      </c>
      <c r="E94" s="1105"/>
      <c r="F94" s="820"/>
      <c r="G94" s="2306"/>
      <c r="H94" s="2306"/>
      <c r="I94" s="2306"/>
      <c r="J94" s="2306"/>
      <c r="K94" s="2306"/>
      <c r="L94" s="2306"/>
      <c r="M94" s="2306"/>
      <c r="N94" s="2306"/>
      <c r="O94" s="2306"/>
      <c r="P94" s="2306"/>
      <c r="Q94" s="2306"/>
      <c r="R94" s="2306"/>
      <c r="S94" s="2306"/>
      <c r="T94" s="2306"/>
      <c r="U94" s="2306"/>
      <c r="V94" s="2306"/>
      <c r="W94" s="2306"/>
      <c r="X94" s="2306"/>
      <c r="Y94" s="2306"/>
      <c r="Z94" s="2306"/>
      <c r="AA94" s="2306"/>
      <c r="AB94" s="2306"/>
      <c r="AC94" s="2306"/>
      <c r="AD94" s="2306"/>
      <c r="AE94" s="2306"/>
      <c r="AF94" s="2306"/>
      <c r="AG94" s="2306"/>
      <c r="AH94" s="2306"/>
      <c r="AI94" s="2306"/>
      <c r="AJ94" s="2306"/>
      <c r="AK94" s="2306"/>
      <c r="AL94" s="2306"/>
      <c r="AM94" s="2306"/>
      <c r="AN94" s="2306"/>
      <c r="AO94" s="2306"/>
      <c r="AP94" s="2306"/>
      <c r="AQ94" s="2306"/>
      <c r="AR94" s="2306"/>
      <c r="AS94" s="2306"/>
      <c r="AT94" s="2306"/>
      <c r="AU94" s="2306"/>
      <c r="AV94" s="2306"/>
      <c r="AW94" s="1105"/>
      <c r="AX94" s="820">
        <f t="shared" ca="1" si="30"/>
        <v>0</v>
      </c>
      <c r="AY94" s="820">
        <f t="shared" ca="1" si="30"/>
        <v>0</v>
      </c>
      <c r="AZ94" s="820">
        <f t="shared" ca="1" si="30"/>
        <v>0</v>
      </c>
      <c r="BA94" s="820">
        <f t="shared" ca="1" si="30"/>
        <v>26.297999999999998</v>
      </c>
      <c r="BB94" s="820">
        <f t="shared" ca="1" si="30"/>
        <v>79.551449999999988</v>
      </c>
      <c r="BC94" s="820">
        <f t="shared" ca="1" si="30"/>
        <v>149.89860000000002</v>
      </c>
      <c r="BD94" s="820">
        <f t="shared" ca="1" si="30"/>
        <v>220.90320000000003</v>
      </c>
      <c r="BE94" s="820">
        <f t="shared" ca="1" si="30"/>
        <v>291.25034999999991</v>
      </c>
      <c r="BF94" s="820">
        <f t="shared" ca="1" si="30"/>
        <v>361.59749999999997</v>
      </c>
      <c r="BG94" s="826"/>
      <c r="BH94" s="38"/>
      <c r="BJ94"/>
    </row>
    <row r="95" spans="1:62" s="2479" customFormat="1" x14ac:dyDescent="0.2">
      <c r="B95" s="817"/>
      <c r="C95" s="1105" t="s">
        <v>2382</v>
      </c>
      <c r="D95" s="1105" t="str">
        <f>INDEX(Modules[Module], MATCH($C95, Modules[Code], 0))</f>
        <v xml:space="preserve">Self Generation </v>
      </c>
      <c r="E95" s="1105"/>
      <c r="F95" s="820"/>
      <c r="G95" s="2306"/>
      <c r="H95" s="2306"/>
      <c r="I95" s="2306"/>
      <c r="J95" s="2306"/>
      <c r="K95" s="2306"/>
      <c r="L95" s="2306"/>
      <c r="M95" s="2306"/>
      <c r="N95" s="2306"/>
      <c r="O95" s="2306"/>
      <c r="P95" s="2306"/>
      <c r="Q95" s="2306"/>
      <c r="R95" s="2306"/>
      <c r="S95" s="2306"/>
      <c r="T95" s="2306"/>
      <c r="U95" s="2306"/>
      <c r="V95" s="2306"/>
      <c r="W95" s="2306"/>
      <c r="X95" s="2306"/>
      <c r="Y95" s="2306"/>
      <c r="Z95" s="2306"/>
      <c r="AA95" s="2306"/>
      <c r="AB95" s="2306"/>
      <c r="AC95" s="2306"/>
      <c r="AD95" s="2306"/>
      <c r="AE95" s="2306"/>
      <c r="AF95" s="2306"/>
      <c r="AG95" s="2306"/>
      <c r="AH95" s="2306"/>
      <c r="AI95" s="2306"/>
      <c r="AJ95" s="2306"/>
      <c r="AK95" s="2306"/>
      <c r="AL95" s="2306"/>
      <c r="AM95" s="2306"/>
      <c r="AN95" s="2306"/>
      <c r="AO95" s="2306"/>
      <c r="AP95" s="2306"/>
      <c r="AQ95" s="2306"/>
      <c r="AR95" s="2306"/>
      <c r="AS95" s="2306"/>
      <c r="AT95" s="2306"/>
      <c r="AU95" s="2306"/>
      <c r="AV95" s="2306"/>
      <c r="AW95" s="1105"/>
      <c r="AX95" s="820">
        <f t="shared" ca="1" si="30"/>
        <v>112.87362114975359</v>
      </c>
      <c r="AY95" s="820">
        <f t="shared" ca="1" si="30"/>
        <v>106.70016928395276</v>
      </c>
      <c r="AZ95" s="820">
        <f t="shared" ca="1" si="30"/>
        <v>30.850365626553355</v>
      </c>
      <c r="BA95" s="820">
        <f t="shared" ca="1" si="30"/>
        <v>0</v>
      </c>
      <c r="BB95" s="820">
        <f t="shared" ca="1" si="30"/>
        <v>0</v>
      </c>
      <c r="BC95" s="820">
        <f t="shared" ca="1" si="30"/>
        <v>0</v>
      </c>
      <c r="BD95" s="820">
        <f t="shared" ca="1" si="30"/>
        <v>0</v>
      </c>
      <c r="BE95" s="820">
        <f t="shared" ca="1" si="30"/>
        <v>0</v>
      </c>
      <c r="BF95" s="820">
        <f t="shared" ca="1" si="30"/>
        <v>0</v>
      </c>
      <c r="BG95" s="826"/>
    </row>
    <row r="96" spans="1:62" s="81" customFormat="1" x14ac:dyDescent="0.2">
      <c r="B96" s="817"/>
      <c r="C96" s="1105" t="s">
        <v>297</v>
      </c>
      <c r="D96" s="1105" t="str">
        <f>INDEX(Modules[Module], MATCH($C96, Modules[Code], 0))</f>
        <v>Nuclear power</v>
      </c>
      <c r="E96" s="1105"/>
      <c r="F96" s="820"/>
      <c r="G96" s="2306"/>
      <c r="H96" s="2306"/>
      <c r="I96" s="2306"/>
      <c r="J96" s="2306"/>
      <c r="K96" s="2306"/>
      <c r="L96" s="2306"/>
      <c r="M96" s="2306"/>
      <c r="N96" s="2306"/>
      <c r="O96" s="2306"/>
      <c r="P96" s="2306"/>
      <c r="Q96" s="2306"/>
      <c r="R96" s="2306"/>
      <c r="S96" s="2306"/>
      <c r="T96" s="2306"/>
      <c r="U96" s="2306"/>
      <c r="V96" s="2306"/>
      <c r="W96" s="2306"/>
      <c r="X96" s="2306"/>
      <c r="Y96" s="2306"/>
      <c r="Z96" s="2306"/>
      <c r="AA96" s="2306"/>
      <c r="AB96" s="2306"/>
      <c r="AC96" s="2306"/>
      <c r="AD96" s="2306"/>
      <c r="AE96" s="2306"/>
      <c r="AF96" s="2306"/>
      <c r="AG96" s="2306"/>
      <c r="AH96" s="2306"/>
      <c r="AI96" s="2306"/>
      <c r="AJ96" s="2306"/>
      <c r="AK96" s="2306"/>
      <c r="AL96" s="2306"/>
      <c r="AM96" s="2306"/>
      <c r="AN96" s="2306"/>
      <c r="AO96" s="2306"/>
      <c r="AP96" s="2306"/>
      <c r="AQ96" s="2306"/>
      <c r="AR96" s="2306"/>
      <c r="AS96" s="2306"/>
      <c r="AT96" s="2306"/>
      <c r="AU96" s="2306"/>
      <c r="AV96" s="2306"/>
      <c r="AW96" s="1105"/>
      <c r="AX96" s="820">
        <f t="shared" ca="1" si="30"/>
        <v>0</v>
      </c>
      <c r="AY96" s="820">
        <f t="shared" ca="1" si="30"/>
        <v>0</v>
      </c>
      <c r="AZ96" s="820">
        <f t="shared" ca="1" si="30"/>
        <v>0</v>
      </c>
      <c r="BA96" s="820">
        <f t="shared" ca="1" si="30"/>
        <v>7.0128000000000013</v>
      </c>
      <c r="BB96" s="820">
        <f t="shared" ca="1" si="30"/>
        <v>13.32432</v>
      </c>
      <c r="BC96" s="820">
        <f t="shared" ca="1" si="30"/>
        <v>25.947360000000003</v>
      </c>
      <c r="BD96" s="820">
        <f t="shared" ca="1" si="30"/>
        <v>49.790880000000001</v>
      </c>
      <c r="BE96" s="820">
        <f t="shared" ca="1" si="30"/>
        <v>96.075360000000018</v>
      </c>
      <c r="BF96" s="820">
        <f t="shared" ca="1" si="30"/>
        <v>185.83920000000003</v>
      </c>
      <c r="BG96" s="826"/>
    </row>
    <row r="97" spans="2:62" s="81" customFormat="1" x14ac:dyDescent="0.2">
      <c r="B97" s="827"/>
      <c r="C97" s="1332" t="s">
        <v>864</v>
      </c>
      <c r="D97" s="1332" t="str">
        <f>INDEX(Modules[Module], MATCH($C97, Modules[Code], 0))</f>
        <v xml:space="preserve">Wind </v>
      </c>
      <c r="E97" s="1105"/>
      <c r="F97" s="1333"/>
      <c r="G97" s="2307"/>
      <c r="H97" s="2307"/>
      <c r="I97" s="2307"/>
      <c r="J97" s="2307"/>
      <c r="K97" s="2307"/>
      <c r="L97" s="2307"/>
      <c r="M97" s="2307"/>
      <c r="N97" s="2307"/>
      <c r="O97" s="2307"/>
      <c r="P97" s="2307"/>
      <c r="Q97" s="2307"/>
      <c r="R97" s="2307"/>
      <c r="S97" s="2307"/>
      <c r="T97" s="2307"/>
      <c r="U97" s="2307"/>
      <c r="V97" s="2307"/>
      <c r="W97" s="2307"/>
      <c r="X97" s="2307"/>
      <c r="Y97" s="2307"/>
      <c r="Z97" s="2307"/>
      <c r="AA97" s="2307"/>
      <c r="AB97" s="2307"/>
      <c r="AC97" s="2307"/>
      <c r="AD97" s="2307"/>
      <c r="AE97" s="2307"/>
      <c r="AF97" s="2307"/>
      <c r="AG97" s="2307"/>
      <c r="AH97" s="2307"/>
      <c r="AI97" s="2307"/>
      <c r="AJ97" s="2307"/>
      <c r="AK97" s="2307"/>
      <c r="AL97" s="2307"/>
      <c r="AM97" s="2307"/>
      <c r="AN97" s="2307"/>
      <c r="AO97" s="2307"/>
      <c r="AP97" s="2307"/>
      <c r="AQ97" s="2307"/>
      <c r="AR97" s="2307"/>
      <c r="AS97" s="2307"/>
      <c r="AT97" s="2307"/>
      <c r="AU97" s="2307"/>
      <c r="AV97" s="2307"/>
      <c r="AW97" s="1105"/>
      <c r="AX97" s="1333">
        <f t="shared" ca="1" si="30"/>
        <v>0</v>
      </c>
      <c r="AY97" s="1333">
        <f t="shared" ca="1" si="30"/>
        <v>0</v>
      </c>
      <c r="AZ97" s="1333">
        <f t="shared" ca="1" si="30"/>
        <v>3.6817200000000003</v>
      </c>
      <c r="BA97" s="1333">
        <f t="shared" ca="1" si="30"/>
        <v>7.3634400000000007</v>
      </c>
      <c r="BB97" s="1333">
        <f t="shared" ca="1" si="30"/>
        <v>11.045159999999999</v>
      </c>
      <c r="BC97" s="1333">
        <f t="shared" ca="1" si="30"/>
        <v>14.726880000000001</v>
      </c>
      <c r="BD97" s="1333">
        <f t="shared" ca="1" si="30"/>
        <v>14.726880000000001</v>
      </c>
      <c r="BE97" s="1333">
        <f t="shared" ca="1" si="30"/>
        <v>18.4086</v>
      </c>
      <c r="BF97" s="1333">
        <f t="shared" ca="1" si="30"/>
        <v>22.090319999999998</v>
      </c>
      <c r="BG97" s="828"/>
    </row>
    <row r="98" spans="2:62" s="81" customFormat="1" x14ac:dyDescent="0.2">
      <c r="B98" s="827"/>
      <c r="C98" s="1332" t="s">
        <v>2366</v>
      </c>
      <c r="D98" s="1332" t="str">
        <f>INDEX(Modules[Module], MATCH($C98, Modules[Code], 0))</f>
        <v>Large Hydroelectric power stations</v>
      </c>
      <c r="E98" s="1105"/>
      <c r="F98" s="1333"/>
      <c r="G98" s="2307"/>
      <c r="H98" s="2307"/>
      <c r="I98" s="2307"/>
      <c r="J98" s="2307"/>
      <c r="K98" s="2307"/>
      <c r="L98" s="2307"/>
      <c r="M98" s="2307"/>
      <c r="N98" s="2307"/>
      <c r="O98" s="2307"/>
      <c r="P98" s="2307"/>
      <c r="Q98" s="2307"/>
      <c r="R98" s="2307"/>
      <c r="S98" s="2307"/>
      <c r="T98" s="2307"/>
      <c r="U98" s="2307"/>
      <c r="V98" s="2307"/>
      <c r="W98" s="2307"/>
      <c r="X98" s="2307"/>
      <c r="Y98" s="2307"/>
      <c r="Z98" s="2307"/>
      <c r="AA98" s="2307"/>
      <c r="AB98" s="2307"/>
      <c r="AC98" s="2307"/>
      <c r="AD98" s="2307"/>
      <c r="AE98" s="2307"/>
      <c r="AF98" s="2307"/>
      <c r="AG98" s="2307"/>
      <c r="AH98" s="2307"/>
      <c r="AI98" s="2307"/>
      <c r="AJ98" s="2307"/>
      <c r="AK98" s="2307"/>
      <c r="AL98" s="2307"/>
      <c r="AM98" s="2307"/>
      <c r="AN98" s="2307"/>
      <c r="AO98" s="2307"/>
      <c r="AP98" s="2307"/>
      <c r="AQ98" s="2307"/>
      <c r="AR98" s="2307"/>
      <c r="AS98" s="2307"/>
      <c r="AT98" s="2307"/>
      <c r="AU98" s="2307"/>
      <c r="AV98" s="2307"/>
      <c r="AW98" s="1105"/>
      <c r="AX98" s="1333">
        <f t="shared" ca="1" si="30"/>
        <v>9.9932399999999983</v>
      </c>
      <c r="AY98" s="1333">
        <f t="shared" ca="1" si="30"/>
        <v>9.9932399999999983</v>
      </c>
      <c r="AZ98" s="1333">
        <f t="shared" ca="1" si="30"/>
        <v>17.041104000000001</v>
      </c>
      <c r="BA98" s="1333">
        <f t="shared" ca="1" si="30"/>
        <v>24.036372</v>
      </c>
      <c r="BB98" s="1333">
        <f t="shared" ca="1" si="30"/>
        <v>31.084236000000001</v>
      </c>
      <c r="BC98" s="1333">
        <f t="shared" ca="1" si="30"/>
        <v>38.079504000000007</v>
      </c>
      <c r="BD98" s="1333">
        <f t="shared" ca="1" si="30"/>
        <v>45.127367999999997</v>
      </c>
      <c r="BE98" s="1333">
        <f t="shared" ca="1" si="30"/>
        <v>52.122636</v>
      </c>
      <c r="BF98" s="1333">
        <f t="shared" ca="1" si="30"/>
        <v>59.170499999999997</v>
      </c>
      <c r="BG98" s="828"/>
    </row>
    <row r="99" spans="2:62" s="1411" customFormat="1" x14ac:dyDescent="0.2">
      <c r="B99" s="827"/>
      <c r="C99" s="1332" t="s">
        <v>2365</v>
      </c>
      <c r="D99" s="1332" t="str">
        <f>INDEX(Modules[Module], MATCH($C99, Modules[Code], 0))</f>
        <v>Small Hydroelectric power stations</v>
      </c>
      <c r="E99" s="1105"/>
      <c r="F99" s="1333"/>
      <c r="G99" s="2307"/>
      <c r="H99" s="2307"/>
      <c r="I99" s="2307"/>
      <c r="J99" s="2307"/>
      <c r="K99" s="2307"/>
      <c r="L99" s="2307"/>
      <c r="M99" s="2307"/>
      <c r="N99" s="2307"/>
      <c r="O99" s="2307"/>
      <c r="P99" s="2307"/>
      <c r="Q99" s="2307"/>
      <c r="R99" s="2307"/>
      <c r="S99" s="2307"/>
      <c r="T99" s="2307"/>
      <c r="U99" s="2307"/>
      <c r="V99" s="2307"/>
      <c r="W99" s="2307"/>
      <c r="X99" s="2307"/>
      <c r="Y99" s="2307"/>
      <c r="Z99" s="2307"/>
      <c r="AA99" s="2307"/>
      <c r="AB99" s="2307"/>
      <c r="AC99" s="2307"/>
      <c r="AD99" s="2307"/>
      <c r="AE99" s="2307"/>
      <c r="AF99" s="2307"/>
      <c r="AG99" s="2307"/>
      <c r="AH99" s="2307"/>
      <c r="AI99" s="2307"/>
      <c r="AJ99" s="2307"/>
      <c r="AK99" s="2307"/>
      <c r="AL99" s="2307"/>
      <c r="AM99" s="2307"/>
      <c r="AN99" s="2307"/>
      <c r="AO99" s="2307"/>
      <c r="AP99" s="2307"/>
      <c r="AQ99" s="2307"/>
      <c r="AR99" s="2307"/>
      <c r="AS99" s="2307"/>
      <c r="AT99" s="2307"/>
      <c r="AU99" s="2307"/>
      <c r="AV99" s="2307"/>
      <c r="AW99" s="1105"/>
      <c r="AX99" s="1333">
        <f t="shared" ca="1" si="30"/>
        <v>0.28051199999999998</v>
      </c>
      <c r="AY99" s="1333">
        <f t="shared" ca="1" si="30"/>
        <v>0.28051199999999998</v>
      </c>
      <c r="AZ99" s="1333">
        <f t="shared" ca="1" si="30"/>
        <v>0.28051199999999998</v>
      </c>
      <c r="BA99" s="1333">
        <f t="shared" ca="1" si="30"/>
        <v>4.5839918571428449</v>
      </c>
      <c r="BB99" s="1333">
        <f t="shared" ca="1" si="30"/>
        <v>6.7352934857142674</v>
      </c>
      <c r="BC99" s="1333">
        <f t="shared" ca="1" si="30"/>
        <v>8.8865951142857327</v>
      </c>
      <c r="BD99" s="1333">
        <f t="shared" ca="1" si="30"/>
        <v>11.037896742857155</v>
      </c>
      <c r="BE99" s="1333">
        <f t="shared" ca="1" si="30"/>
        <v>13.189198371428578</v>
      </c>
      <c r="BF99" s="1333">
        <f t="shared" ca="1" si="30"/>
        <v>15.3405</v>
      </c>
      <c r="BG99" s="828"/>
    </row>
    <row r="100" spans="2:62" s="1411" customFormat="1" x14ac:dyDescent="0.2">
      <c r="B100" s="827"/>
      <c r="C100" s="1332" t="s">
        <v>2364</v>
      </c>
      <c r="D100" s="1332" t="str">
        <f>INDEX(Modules[Module], MATCH($C100, Modules[Code], 0))</f>
        <v>Grid Connected Solar PV</v>
      </c>
      <c r="E100" s="1105"/>
      <c r="F100" s="1333"/>
      <c r="G100" s="2307"/>
      <c r="H100" s="2307"/>
      <c r="I100" s="2307"/>
      <c r="J100" s="2307"/>
      <c r="K100" s="2307"/>
      <c r="L100" s="2307"/>
      <c r="M100" s="2307"/>
      <c r="N100" s="2307"/>
      <c r="O100" s="2307"/>
      <c r="P100" s="2307"/>
      <c r="Q100" s="2307"/>
      <c r="R100" s="2307"/>
      <c r="S100" s="2307"/>
      <c r="T100" s="2307"/>
      <c r="U100" s="2307"/>
      <c r="V100" s="2307"/>
      <c r="W100" s="2307"/>
      <c r="X100" s="2307"/>
      <c r="Y100" s="2307"/>
      <c r="Z100" s="2307"/>
      <c r="AA100" s="2307"/>
      <c r="AB100" s="2307"/>
      <c r="AC100" s="2307"/>
      <c r="AD100" s="2307"/>
      <c r="AE100" s="2307"/>
      <c r="AF100" s="2307"/>
      <c r="AG100" s="2307"/>
      <c r="AH100" s="2307"/>
      <c r="AI100" s="2307"/>
      <c r="AJ100" s="2307"/>
      <c r="AK100" s="2307"/>
      <c r="AL100" s="2307"/>
      <c r="AM100" s="2307"/>
      <c r="AN100" s="2307"/>
      <c r="AO100" s="2307"/>
      <c r="AP100" s="2307"/>
      <c r="AQ100" s="2307"/>
      <c r="AR100" s="2307"/>
      <c r="AS100" s="2307"/>
      <c r="AT100" s="2307"/>
      <c r="AU100" s="2307"/>
      <c r="AV100" s="2307"/>
      <c r="AW100" s="1105"/>
      <c r="AX100" s="1333">
        <f t="shared" ca="1" si="30"/>
        <v>0</v>
      </c>
      <c r="AY100" s="1333">
        <f t="shared" ca="1" si="30"/>
        <v>0</v>
      </c>
      <c r="AZ100" s="1333">
        <f t="shared" ca="1" si="30"/>
        <v>10.8058482</v>
      </c>
      <c r="BA100" s="1333">
        <f t="shared" ca="1" si="30"/>
        <v>28.956727799999999</v>
      </c>
      <c r="BB100" s="1333">
        <f t="shared" ca="1" si="30"/>
        <v>56.293498799999988</v>
      </c>
      <c r="BC100" s="1333">
        <f t="shared" ca="1" si="30"/>
        <v>102.04807409999999</v>
      </c>
      <c r="BD100" s="1333">
        <f t="shared" ca="1" si="30"/>
        <v>129.39404940000003</v>
      </c>
      <c r="BE100" s="1333">
        <f t="shared" ca="1" si="30"/>
        <v>165.94432469999998</v>
      </c>
      <c r="BF100" s="1333">
        <f t="shared" ca="1" si="30"/>
        <v>202.49459999999999</v>
      </c>
      <c r="BG100" s="828"/>
    </row>
    <row r="101" spans="2:62" s="1411" customFormat="1" x14ac:dyDescent="0.2">
      <c r="B101" s="827"/>
      <c r="C101" s="1332" t="s">
        <v>2376</v>
      </c>
      <c r="D101" s="1332" t="str">
        <f>INDEX(Modules[Module], MATCH($C101, Modules[Code], 0))</f>
        <v>Concentrated Solar Power</v>
      </c>
      <c r="E101" s="1105"/>
      <c r="F101" s="1333"/>
      <c r="G101" s="2307"/>
      <c r="H101" s="2307"/>
      <c r="I101" s="2307"/>
      <c r="J101" s="2307"/>
      <c r="K101" s="2307"/>
      <c r="L101" s="2307"/>
      <c r="M101" s="2307"/>
      <c r="N101" s="2307"/>
      <c r="O101" s="2307"/>
      <c r="P101" s="2307"/>
      <c r="Q101" s="2307"/>
      <c r="R101" s="2307"/>
      <c r="S101" s="2307"/>
      <c r="T101" s="2307"/>
      <c r="U101" s="2307"/>
      <c r="V101" s="2307"/>
      <c r="W101" s="2307"/>
      <c r="X101" s="2307"/>
      <c r="Y101" s="2307"/>
      <c r="Z101" s="2307"/>
      <c r="AA101" s="2307"/>
      <c r="AB101" s="2307"/>
      <c r="AC101" s="2307"/>
      <c r="AD101" s="2307"/>
      <c r="AE101" s="2307"/>
      <c r="AF101" s="2307"/>
      <c r="AG101" s="2307"/>
      <c r="AH101" s="2307"/>
      <c r="AI101" s="2307"/>
      <c r="AJ101" s="2307"/>
      <c r="AK101" s="2307"/>
      <c r="AL101" s="2307"/>
      <c r="AM101" s="2307"/>
      <c r="AN101" s="2307"/>
      <c r="AO101" s="2307"/>
      <c r="AP101" s="2307"/>
      <c r="AQ101" s="2307"/>
      <c r="AR101" s="2307"/>
      <c r="AS101" s="2307"/>
      <c r="AT101" s="2307"/>
      <c r="AU101" s="2307"/>
      <c r="AV101" s="2307"/>
      <c r="AW101" s="1105"/>
      <c r="AX101" s="1333">
        <f t="shared" ca="1" si="30"/>
        <v>0</v>
      </c>
      <c r="AY101" s="1333">
        <f t="shared" ca="1" si="30"/>
        <v>0</v>
      </c>
      <c r="AZ101" s="1333">
        <f t="shared" ca="1" si="30"/>
        <v>17.518851000000002</v>
      </c>
      <c r="BA101" s="1333">
        <f t="shared" ca="1" si="30"/>
        <v>35.068382999999997</v>
      </c>
      <c r="BB101" s="1333">
        <f t="shared" ca="1" si="30"/>
        <v>52.587233999999995</v>
      </c>
      <c r="BC101" s="1333">
        <f t="shared" ca="1" si="30"/>
        <v>70.136765999999994</v>
      </c>
      <c r="BD101" s="1333">
        <f t="shared" ca="1" si="30"/>
        <v>87.655616999999992</v>
      </c>
      <c r="BE101" s="1333">
        <f t="shared" ca="1" si="30"/>
        <v>105.20514899999998</v>
      </c>
      <c r="BF101" s="1333">
        <f t="shared" ca="1" si="30"/>
        <v>122.724</v>
      </c>
      <c r="BG101" s="828"/>
    </row>
    <row r="102" spans="2:62" s="38" customFormat="1" x14ac:dyDescent="0.2">
      <c r="B102" s="827"/>
      <c r="C102" s="1332" t="s">
        <v>409</v>
      </c>
      <c r="D102" s="1332" t="str">
        <f>INDEX(Modules[Module], MATCH($C102, Modules[Code], 0))</f>
        <v>Stand-Alone Solar PV</v>
      </c>
      <c r="E102" s="1105"/>
      <c r="F102" s="1333"/>
      <c r="G102" s="2307"/>
      <c r="H102" s="2307"/>
      <c r="I102" s="2307"/>
      <c r="J102" s="2307"/>
      <c r="K102" s="2307"/>
      <c r="L102" s="2307"/>
      <c r="M102" s="2307"/>
      <c r="N102" s="2307"/>
      <c r="O102" s="2307"/>
      <c r="P102" s="2307"/>
      <c r="Q102" s="2307"/>
      <c r="R102" s="2307"/>
      <c r="S102" s="2307"/>
      <c r="T102" s="2307"/>
      <c r="U102" s="2307"/>
      <c r="V102" s="2307"/>
      <c r="W102" s="2307"/>
      <c r="X102" s="2307"/>
      <c r="Y102" s="2307"/>
      <c r="Z102" s="2307"/>
      <c r="AA102" s="2307"/>
      <c r="AB102" s="2307"/>
      <c r="AC102" s="2307"/>
      <c r="AD102" s="2307"/>
      <c r="AE102" s="2307"/>
      <c r="AF102" s="2307"/>
      <c r="AG102" s="2307"/>
      <c r="AH102" s="2307"/>
      <c r="AI102" s="2307"/>
      <c r="AJ102" s="2307"/>
      <c r="AK102" s="2307"/>
      <c r="AL102" s="2307"/>
      <c r="AM102" s="2307"/>
      <c r="AN102" s="2307"/>
      <c r="AO102" s="2307"/>
      <c r="AP102" s="2307"/>
      <c r="AQ102" s="2307"/>
      <c r="AR102" s="2307"/>
      <c r="AS102" s="2307"/>
      <c r="AT102" s="2307"/>
      <c r="AU102" s="2307"/>
      <c r="AV102" s="2307"/>
      <c r="AW102" s="1105"/>
      <c r="AX102" s="1333">
        <f t="shared" ca="1" si="30"/>
        <v>2.7612899999999996E-2</v>
      </c>
      <c r="AY102" s="1333">
        <f t="shared" ca="1" si="30"/>
        <v>0.92042999999999997</v>
      </c>
      <c r="AZ102" s="1333">
        <f t="shared" ca="1" si="30"/>
        <v>20.0101482</v>
      </c>
      <c r="BA102" s="1333">
        <f t="shared" ca="1" si="30"/>
        <v>32.638447800000002</v>
      </c>
      <c r="BB102" s="1333">
        <f t="shared" ca="1" si="30"/>
        <v>45.248338799999999</v>
      </c>
      <c r="BC102" s="1333">
        <f t="shared" ca="1" si="30"/>
        <v>56.026574099999991</v>
      </c>
      <c r="BD102" s="1333">
        <f t="shared" ca="1" si="30"/>
        <v>68.111819999999994</v>
      </c>
      <c r="BE102" s="1333">
        <f t="shared" ca="1" si="30"/>
        <v>83.105624700000007</v>
      </c>
      <c r="BF102" s="1333">
        <f t="shared" ca="1" si="30"/>
        <v>110.4516</v>
      </c>
      <c r="BG102" s="828"/>
    </row>
    <row r="103" spans="2:62" s="38" customFormat="1" x14ac:dyDescent="0.2">
      <c r="B103" s="817"/>
      <c r="C103" s="1105"/>
      <c r="D103" s="1105" t="s">
        <v>818</v>
      </c>
      <c r="E103" s="1105"/>
      <c r="F103" s="820"/>
      <c r="G103" s="2306"/>
      <c r="H103" s="2306"/>
      <c r="I103" s="2306"/>
      <c r="J103" s="2306"/>
      <c r="K103" s="2306"/>
      <c r="L103" s="2306"/>
      <c r="M103" s="2306"/>
      <c r="N103" s="2306"/>
      <c r="O103" s="2306"/>
      <c r="P103" s="2306"/>
      <c r="Q103" s="2306"/>
      <c r="R103" s="2306"/>
      <c r="S103" s="2306"/>
      <c r="T103" s="2306"/>
      <c r="U103" s="2306"/>
      <c r="V103" s="2306"/>
      <c r="W103" s="2306"/>
      <c r="X103" s="2306"/>
      <c r="Y103" s="2306"/>
      <c r="Z103" s="2306"/>
      <c r="AA103" s="2306"/>
      <c r="AB103" s="2306"/>
      <c r="AC103" s="2306"/>
      <c r="AD103" s="2306"/>
      <c r="AE103" s="2306"/>
      <c r="AF103" s="2306"/>
      <c r="AG103" s="2306"/>
      <c r="AH103" s="2306"/>
      <c r="AI103" s="2306"/>
      <c r="AJ103" s="2306"/>
      <c r="AK103" s="2306"/>
      <c r="AL103" s="2306"/>
      <c r="AM103" s="2306"/>
      <c r="AN103" s="2306"/>
      <c r="AO103" s="2306"/>
      <c r="AP103" s="2306"/>
      <c r="AQ103" s="2306"/>
      <c r="AR103" s="2306"/>
      <c r="AS103" s="2306"/>
      <c r="AT103" s="2306"/>
      <c r="AU103" s="2306"/>
      <c r="AV103" s="2306"/>
      <c r="AW103" s="1105"/>
      <c r="AX103" s="820">
        <f t="shared" ref="AX103" ca="1" si="31">SUM(AX97:AX102)</f>
        <v>10.301364899999998</v>
      </c>
      <c r="AY103" s="820">
        <f t="shared" ref="AY103:BF103" ca="1" si="32">SUM(AY97:AY102)</f>
        <v>11.194181999999998</v>
      </c>
      <c r="AZ103" s="820">
        <f t="shared" ca="1" si="32"/>
        <v>69.338183400000005</v>
      </c>
      <c r="BA103" s="820">
        <f t="shared" ca="1" si="32"/>
        <v>132.64736245714283</v>
      </c>
      <c r="BB103" s="820">
        <f t="shared" ca="1" si="32"/>
        <v>202.99376108571425</v>
      </c>
      <c r="BC103" s="820">
        <f t="shared" ca="1" si="32"/>
        <v>289.9043933142857</v>
      </c>
      <c r="BD103" s="820">
        <f t="shared" ca="1" si="32"/>
        <v>356.05363114285717</v>
      </c>
      <c r="BE103" s="820">
        <f t="shared" ca="1" si="32"/>
        <v>437.97553277142856</v>
      </c>
      <c r="BF103" s="820">
        <f t="shared" ca="1" si="32"/>
        <v>532.27152000000001</v>
      </c>
      <c r="BG103" s="826"/>
    </row>
    <row r="104" spans="2:62" x14ac:dyDescent="0.2">
      <c r="B104" s="817"/>
      <c r="C104" s="1105" t="s">
        <v>305</v>
      </c>
      <c r="D104" s="1105" t="str">
        <f>INDEX(Modules[Module], MATCH($C104, Modules[Code], 0))</f>
        <v>Electricity imports</v>
      </c>
      <c r="E104" s="1105"/>
      <c r="F104" s="820"/>
      <c r="G104" s="2306"/>
      <c r="H104" s="2306"/>
      <c r="I104" s="2306"/>
      <c r="J104" s="2306"/>
      <c r="K104" s="2306"/>
      <c r="L104" s="2306"/>
      <c r="M104" s="2306"/>
      <c r="N104" s="2306"/>
      <c r="O104" s="2306"/>
      <c r="P104" s="2306"/>
      <c r="Q104" s="2306"/>
      <c r="R104" s="2306"/>
      <c r="S104" s="2306"/>
      <c r="T104" s="2306"/>
      <c r="U104" s="2306"/>
      <c r="V104" s="2306"/>
      <c r="W104" s="2306"/>
      <c r="X104" s="2306"/>
      <c r="Y104" s="2306"/>
      <c r="Z104" s="2306"/>
      <c r="AA104" s="2306"/>
      <c r="AB104" s="2306"/>
      <c r="AC104" s="2306"/>
      <c r="AD104" s="2306"/>
      <c r="AE104" s="2306"/>
      <c r="AF104" s="2306"/>
      <c r="AG104" s="2306"/>
      <c r="AH104" s="2306"/>
      <c r="AI104" s="2306"/>
      <c r="AJ104" s="2306"/>
      <c r="AK104" s="2306"/>
      <c r="AL104" s="2306"/>
      <c r="AM104" s="2306"/>
      <c r="AN104" s="2306"/>
      <c r="AO104" s="2306"/>
      <c r="AP104" s="2306"/>
      <c r="AQ104" s="2306"/>
      <c r="AR104" s="2306"/>
      <c r="AS104" s="2306"/>
      <c r="AT104" s="2306"/>
      <c r="AU104" s="2306"/>
      <c r="AV104" s="2306"/>
      <c r="AW104" s="1105"/>
      <c r="AX104" s="820">
        <f t="shared" ref="AX104:BF104" ca="1" si="33">INDEX(INDIRECT("'"&amp;AX$4&amp;"'!Year.Matrix"), MATCH($C104, INDIRECT("'"&amp;AX$4&amp;"'!Year.Modules"), 0), MATCH($C$88, INDIRECT("'"&amp;AX$4&amp;"'!Year.Vectors"), 0))</f>
        <v>-0.52500000000000002</v>
      </c>
      <c r="AY104" s="820">
        <f t="shared" ca="1" si="33"/>
        <v>-0.52500000000000002</v>
      </c>
      <c r="AZ104" s="820">
        <f t="shared" ca="1" si="33"/>
        <v>-0.52500000000000002</v>
      </c>
      <c r="BA104" s="820">
        <f t="shared" ca="1" si="33"/>
        <v>-0.52500000000000002</v>
      </c>
      <c r="BB104" s="820">
        <f t="shared" ca="1" si="33"/>
        <v>12.089399999999999</v>
      </c>
      <c r="BC104" s="820">
        <f t="shared" ca="1" si="33"/>
        <v>24.703800000000001</v>
      </c>
      <c r="BD104" s="820">
        <f t="shared" ca="1" si="33"/>
        <v>37.318200000000004</v>
      </c>
      <c r="BE104" s="820">
        <f t="shared" ca="1" si="33"/>
        <v>49.932600000000001</v>
      </c>
      <c r="BF104" s="820">
        <f t="shared" ca="1" si="33"/>
        <v>62.547000000000004</v>
      </c>
      <c r="BG104" s="826"/>
      <c r="BH104" s="1025"/>
      <c r="BJ104"/>
    </row>
    <row r="105" spans="2:62" s="1577" customFormat="1" x14ac:dyDescent="0.2">
      <c r="B105" s="817"/>
      <c r="C105" s="1105"/>
      <c r="D105" s="829" t="s">
        <v>105</v>
      </c>
      <c r="E105" s="1105"/>
      <c r="F105" s="1299"/>
      <c r="G105" s="2308"/>
      <c r="H105" s="2308"/>
      <c r="I105" s="2308"/>
      <c r="J105" s="2308"/>
      <c r="K105" s="2308"/>
      <c r="L105" s="2308"/>
      <c r="M105" s="2308"/>
      <c r="N105" s="2308"/>
      <c r="O105" s="2308"/>
      <c r="P105" s="2308"/>
      <c r="Q105" s="2308"/>
      <c r="R105" s="2308"/>
      <c r="S105" s="2308"/>
      <c r="T105" s="2308"/>
      <c r="U105" s="2308"/>
      <c r="V105" s="2308"/>
      <c r="W105" s="2308"/>
      <c r="X105" s="2308"/>
      <c r="Y105" s="2308"/>
      <c r="Z105" s="2308"/>
      <c r="AA105" s="2308"/>
      <c r="AB105" s="2308"/>
      <c r="AC105" s="2308"/>
      <c r="AD105" s="2308"/>
      <c r="AE105" s="2308"/>
      <c r="AF105" s="2308"/>
      <c r="AG105" s="2308"/>
      <c r="AH105" s="2308"/>
      <c r="AI105" s="2308"/>
      <c r="AJ105" s="2308"/>
      <c r="AK105" s="2308"/>
      <c r="AL105" s="2308"/>
      <c r="AM105" s="2308"/>
      <c r="AN105" s="2308"/>
      <c r="AO105" s="2308"/>
      <c r="AP105" s="2308"/>
      <c r="AQ105" s="2308"/>
      <c r="AR105" s="2308"/>
      <c r="AS105" s="2308"/>
      <c r="AT105" s="2308"/>
      <c r="AU105" s="2308"/>
      <c r="AV105" s="2308"/>
      <c r="AW105" s="1105"/>
      <c r="AX105" s="830">
        <f ca="1">AX92+AX93+AX96+AX103+AX104+AX95</f>
        <v>141.05858604975359</v>
      </c>
      <c r="AY105" s="830">
        <f t="shared" ref="AY105:BF105" ca="1" si="34">AY92+AY93+AY96+AY103+AY104+AY95</f>
        <v>166.45895128395276</v>
      </c>
      <c r="AZ105" s="830">
        <f t="shared" ca="1" si="34"/>
        <v>226.16569502655335</v>
      </c>
      <c r="BA105" s="830">
        <f t="shared" ca="1" si="34"/>
        <v>345.90757045714281</v>
      </c>
      <c r="BB105" s="830">
        <f t="shared" ca="1" si="34"/>
        <v>538.70634908571412</v>
      </c>
      <c r="BC105" s="830">
        <f t="shared" ca="1" si="34"/>
        <v>803.84741931428562</v>
      </c>
      <c r="BD105" s="830">
        <f t="shared" ca="1" si="34"/>
        <v>1064.0497251428571</v>
      </c>
      <c r="BE105" s="830">
        <f t="shared" ca="1" si="34"/>
        <v>1361.8695667714285</v>
      </c>
      <c r="BF105" s="830">
        <f t="shared" ca="1" si="34"/>
        <v>1715.4814920000001</v>
      </c>
      <c r="BG105" s="826"/>
    </row>
    <row r="106" spans="2:62" s="1296" customFormat="1" x14ac:dyDescent="0.2">
      <c r="B106" s="817"/>
      <c r="C106" s="1105"/>
      <c r="D106" s="1298"/>
      <c r="E106" s="1105"/>
      <c r="F106" s="1299"/>
      <c r="G106" s="2308"/>
      <c r="H106" s="2308"/>
      <c r="I106" s="2308"/>
      <c r="J106" s="2308"/>
      <c r="K106" s="2308"/>
      <c r="L106" s="2308"/>
      <c r="M106" s="2308"/>
      <c r="N106" s="2308"/>
      <c r="O106" s="2308"/>
      <c r="P106" s="2308"/>
      <c r="Q106" s="2308"/>
      <c r="R106" s="2308"/>
      <c r="S106" s="2308"/>
      <c r="T106" s="2308"/>
      <c r="U106" s="2308"/>
      <c r="V106" s="2308"/>
      <c r="W106" s="2308"/>
      <c r="X106" s="2308"/>
      <c r="Y106" s="2308"/>
      <c r="Z106" s="2308"/>
      <c r="AA106" s="2308"/>
      <c r="AB106" s="2308"/>
      <c r="AC106" s="2308"/>
      <c r="AD106" s="2308"/>
      <c r="AE106" s="2308"/>
      <c r="AF106" s="2308"/>
      <c r="AG106" s="2308"/>
      <c r="AH106" s="2308"/>
      <c r="AI106" s="2308"/>
      <c r="AJ106" s="2308"/>
      <c r="AK106" s="2308"/>
      <c r="AL106" s="2308"/>
      <c r="AM106" s="2308"/>
      <c r="AN106" s="2308"/>
      <c r="AO106" s="2308"/>
      <c r="AP106" s="2308"/>
      <c r="AQ106" s="2308"/>
      <c r="AR106" s="2308"/>
      <c r="AS106" s="2308"/>
      <c r="AT106" s="2308"/>
      <c r="AU106" s="2308"/>
      <c r="AV106" s="2308"/>
      <c r="AW106" s="1105"/>
      <c r="AX106" s="1299"/>
      <c r="AY106" s="1299"/>
      <c r="AZ106" s="1299"/>
      <c r="BA106" s="1299"/>
      <c r="BB106" s="1299"/>
      <c r="BC106" s="1299"/>
      <c r="BD106" s="1299"/>
      <c r="BE106" s="1299"/>
      <c r="BF106" s="1299"/>
      <c r="BG106" s="826"/>
    </row>
    <row r="107" spans="2:62" s="1296" customFormat="1" x14ac:dyDescent="0.2">
      <c r="B107" s="817"/>
      <c r="C107" s="818"/>
      <c r="D107" s="900" t="s">
        <v>1754</v>
      </c>
      <c r="E107" s="818"/>
      <c r="F107" s="1578"/>
      <c r="G107" s="2306"/>
      <c r="H107" s="2306"/>
      <c r="I107" s="2306"/>
      <c r="J107" s="2306"/>
      <c r="K107" s="2306"/>
      <c r="L107" s="2306"/>
      <c r="M107" s="2306"/>
      <c r="N107" s="2306"/>
      <c r="O107" s="2306"/>
      <c r="P107" s="2306"/>
      <c r="Q107" s="2306"/>
      <c r="R107" s="2306"/>
      <c r="S107" s="2306"/>
      <c r="T107" s="2306"/>
      <c r="U107" s="2306"/>
      <c r="V107" s="2306"/>
      <c r="W107" s="2306"/>
      <c r="X107" s="2306"/>
      <c r="Y107" s="2306"/>
      <c r="Z107" s="2306"/>
      <c r="AA107" s="2306"/>
      <c r="AB107" s="2306"/>
      <c r="AC107" s="2306"/>
      <c r="AD107" s="2306"/>
      <c r="AE107" s="2306"/>
      <c r="AF107" s="2306"/>
      <c r="AG107" s="2306"/>
      <c r="AH107" s="2306"/>
      <c r="AI107" s="2306"/>
      <c r="AJ107" s="2306"/>
      <c r="AK107" s="2306"/>
      <c r="AL107" s="2306"/>
      <c r="AM107" s="2306"/>
      <c r="AN107" s="2306"/>
      <c r="AO107" s="2306"/>
      <c r="AP107" s="2306"/>
      <c r="AQ107" s="2306"/>
      <c r="AR107" s="2306"/>
      <c r="AS107" s="2306"/>
      <c r="AT107" s="2306"/>
      <c r="AU107" s="2306"/>
      <c r="AV107" s="2306"/>
      <c r="AW107" s="1578"/>
      <c r="AX107" s="1578">
        <f t="shared" ref="AX107:BF107" ca="1" si="35">AX26-AX104</f>
        <v>0</v>
      </c>
      <c r="AY107" s="1578">
        <f t="shared" ca="1" si="35"/>
        <v>0</v>
      </c>
      <c r="AZ107" s="1578">
        <f t="shared" ca="1" si="35"/>
        <v>2.8421709430404007E-14</v>
      </c>
      <c r="BA107" s="1578">
        <f t="shared" ca="1" si="35"/>
        <v>-5.6898748956779173</v>
      </c>
      <c r="BB107" s="1578">
        <f t="shared" ca="1" si="35"/>
        <v>-81.205144359233202</v>
      </c>
      <c r="BC107" s="1578">
        <f t="shared" ca="1" si="35"/>
        <v>-201.41053241292082</v>
      </c>
      <c r="BD107" s="1578">
        <f t="shared" ca="1" si="35"/>
        <v>-314.54518617556914</v>
      </c>
      <c r="BE107" s="1578">
        <f t="shared" ca="1" si="35"/>
        <v>-475.71742277144676</v>
      </c>
      <c r="BF107" s="1578">
        <f t="shared" ca="1" si="35"/>
        <v>-663.92916058700825</v>
      </c>
      <c r="BG107" s="826" t="s">
        <v>1755</v>
      </c>
    </row>
    <row r="108" spans="2:62" s="1296" customFormat="1" x14ac:dyDescent="0.2">
      <c r="B108" s="817"/>
      <c r="C108" s="818"/>
      <c r="D108" s="900" t="s">
        <v>2420</v>
      </c>
      <c r="E108" s="818"/>
      <c r="F108" s="1578"/>
      <c r="G108" s="2306"/>
      <c r="H108" s="2306"/>
      <c r="I108" s="2306"/>
      <c r="J108" s="2306"/>
      <c r="K108" s="2306"/>
      <c r="L108" s="2306"/>
      <c r="M108" s="2306"/>
      <c r="N108" s="2306"/>
      <c r="O108" s="2306"/>
      <c r="P108" s="2306"/>
      <c r="Q108" s="2306"/>
      <c r="R108" s="2306"/>
      <c r="S108" s="2306"/>
      <c r="T108" s="2306"/>
      <c r="U108" s="2306"/>
      <c r="V108" s="2306"/>
      <c r="W108" s="2306"/>
      <c r="X108" s="2306"/>
      <c r="Y108" s="2306"/>
      <c r="Z108" s="2306"/>
      <c r="AA108" s="2306"/>
      <c r="AB108" s="2306"/>
      <c r="AC108" s="2306"/>
      <c r="AD108" s="2306"/>
      <c r="AE108" s="2306"/>
      <c r="AF108" s="2306"/>
      <c r="AG108" s="2306"/>
      <c r="AH108" s="2306"/>
      <c r="AI108" s="2306"/>
      <c r="AJ108" s="2306"/>
      <c r="AK108" s="2306"/>
      <c r="AL108" s="2306"/>
      <c r="AM108" s="2306"/>
      <c r="AN108" s="2306"/>
      <c r="AO108" s="2306"/>
      <c r="AP108" s="2306"/>
      <c r="AQ108" s="2306"/>
      <c r="AR108" s="2306"/>
      <c r="AS108" s="2306"/>
      <c r="AT108" s="2306"/>
      <c r="AU108" s="2306"/>
      <c r="AV108" s="2306"/>
      <c r="AW108" s="1578"/>
      <c r="AX108" s="1578">
        <f t="shared" ref="AX108" ca="1" si="36">IF(AX107&lt;0,AX107+AX105,AX105)</f>
        <v>141.05858604975359</v>
      </c>
      <c r="AY108" s="1578">
        <f t="shared" ref="AY108:BF108" ca="1" si="37">IF(AY107&lt;0,AY107+AY105,AY105)</f>
        <v>166.45895128395276</v>
      </c>
      <c r="AZ108" s="1578">
        <f t="shared" ca="1" si="37"/>
        <v>226.16569502655335</v>
      </c>
      <c r="BA108" s="1578">
        <f t="shared" ca="1" si="37"/>
        <v>340.21769556146489</v>
      </c>
      <c r="BB108" s="1578">
        <f t="shared" ca="1" si="37"/>
        <v>457.50120472648092</v>
      </c>
      <c r="BC108" s="1578">
        <f t="shared" ca="1" si="37"/>
        <v>602.4368869013648</v>
      </c>
      <c r="BD108" s="1578">
        <f t="shared" ca="1" si="37"/>
        <v>749.504538967288</v>
      </c>
      <c r="BE108" s="1578">
        <f t="shared" ca="1" si="37"/>
        <v>886.15214399998172</v>
      </c>
      <c r="BF108" s="1578">
        <f t="shared" ca="1" si="37"/>
        <v>1051.5523314129919</v>
      </c>
      <c r="BG108" s="826"/>
    </row>
    <row r="109" spans="2:62" s="1296" customFormat="1" x14ac:dyDescent="0.2">
      <c r="B109" s="817"/>
      <c r="C109" s="1298"/>
      <c r="D109" s="818"/>
      <c r="E109" s="1299"/>
      <c r="F109" s="818"/>
      <c r="G109" s="2299"/>
      <c r="H109" s="2299"/>
      <c r="I109" s="2299"/>
      <c r="J109" s="2299"/>
      <c r="K109" s="2299"/>
      <c r="L109" s="2299"/>
      <c r="M109" s="2299"/>
      <c r="N109" s="2299"/>
      <c r="O109" s="2299"/>
      <c r="P109" s="2299"/>
      <c r="Q109" s="2299"/>
      <c r="R109" s="2299"/>
      <c r="S109" s="2299"/>
      <c r="T109" s="2299"/>
      <c r="U109" s="2299"/>
      <c r="V109" s="2299"/>
      <c r="W109" s="2299"/>
      <c r="X109" s="2299"/>
      <c r="Y109" s="2299"/>
      <c r="Z109" s="2299"/>
      <c r="AA109" s="2299"/>
      <c r="AB109" s="2299"/>
      <c r="AC109" s="2299"/>
      <c r="AD109" s="2299"/>
      <c r="AE109" s="2299"/>
      <c r="AF109" s="2299"/>
      <c r="AG109" s="2299"/>
      <c r="AH109" s="2299"/>
      <c r="AI109" s="2299"/>
      <c r="AJ109" s="2299"/>
      <c r="AK109" s="2299"/>
      <c r="AL109" s="2299"/>
      <c r="AM109" s="2299"/>
      <c r="AN109" s="2299"/>
      <c r="AO109" s="2299"/>
      <c r="AP109" s="2299"/>
      <c r="AQ109" s="2299"/>
      <c r="AR109" s="2299"/>
      <c r="AS109" s="2299"/>
      <c r="AT109" s="2299"/>
      <c r="AU109" s="2299"/>
      <c r="AV109" s="2299"/>
      <c r="AW109" s="1299"/>
      <c r="AX109" s="1299"/>
      <c r="AY109" s="1299"/>
      <c r="AZ109" s="1299"/>
      <c r="BA109" s="1299"/>
      <c r="BB109" s="1299"/>
      <c r="BC109" s="1299"/>
      <c r="BD109" s="1299"/>
      <c r="BE109" s="1299"/>
      <c r="BF109" s="1299"/>
      <c r="BG109" s="826"/>
    </row>
    <row r="110" spans="2:62" s="1296" customFormat="1" x14ac:dyDescent="0.2">
      <c r="B110" s="817"/>
      <c r="C110" s="890"/>
      <c r="D110" s="890" t="str">
        <f>Preferences.PowerUnits&amp;" installed capacity"</f>
        <v>GW installed capacity</v>
      </c>
      <c r="E110" s="890"/>
      <c r="F110" s="890"/>
      <c r="G110" s="2309"/>
      <c r="H110" s="2309"/>
      <c r="I110" s="2309"/>
      <c r="J110" s="2309"/>
      <c r="K110" s="2309"/>
      <c r="L110" s="2309"/>
      <c r="M110" s="2309"/>
      <c r="N110" s="2309"/>
      <c r="O110" s="2309"/>
      <c r="P110" s="2309"/>
      <c r="Q110" s="2309"/>
      <c r="R110" s="2309"/>
      <c r="S110" s="2309"/>
      <c r="T110" s="2309"/>
      <c r="U110" s="2309"/>
      <c r="V110" s="2309"/>
      <c r="W110" s="2309"/>
      <c r="X110" s="2309"/>
      <c r="Y110" s="2309"/>
      <c r="Z110" s="2309"/>
      <c r="AA110" s="2309"/>
      <c r="AB110" s="2309"/>
      <c r="AC110" s="2309"/>
      <c r="AD110" s="2309"/>
      <c r="AE110" s="2309"/>
      <c r="AF110" s="2309"/>
      <c r="AG110" s="2309"/>
      <c r="AH110" s="2309"/>
      <c r="AI110" s="2309"/>
      <c r="AJ110" s="2309"/>
      <c r="AK110" s="2309"/>
      <c r="AL110" s="2309"/>
      <c r="AM110" s="2309"/>
      <c r="AN110" s="2309"/>
      <c r="AO110" s="2309"/>
      <c r="AP110" s="2309"/>
      <c r="AQ110" s="2309"/>
      <c r="AR110" s="2309"/>
      <c r="AS110" s="2309"/>
      <c r="AT110" s="2309"/>
      <c r="AU110" s="2309"/>
      <c r="AV110" s="2309"/>
      <c r="AW110" s="890"/>
      <c r="AX110" s="891">
        <v>2010</v>
      </c>
      <c r="AY110" s="891">
        <v>2015</v>
      </c>
      <c r="AZ110" s="891">
        <v>2020</v>
      </c>
      <c r="BA110" s="891">
        <v>2025</v>
      </c>
      <c r="BB110" s="891">
        <v>2030</v>
      </c>
      <c r="BC110" s="891">
        <v>2035</v>
      </c>
      <c r="BD110" s="891">
        <v>2040</v>
      </c>
      <c r="BE110" s="891">
        <v>2045</v>
      </c>
      <c r="BF110" s="891">
        <v>2050</v>
      </c>
      <c r="BG110" s="826"/>
    </row>
    <row r="111" spans="2:62" s="1296" customFormat="1" x14ac:dyDescent="0.2">
      <c r="B111" s="817"/>
      <c r="C111" s="1105" t="s">
        <v>288</v>
      </c>
      <c r="D111" s="1105" t="str">
        <f>INDEX(Modules[Module], MATCH($C111, Modules[Code], 0))</f>
        <v>Natural gas power stations</v>
      </c>
      <c r="E111" s="1105"/>
      <c r="F111" s="1299"/>
      <c r="G111" s="2308"/>
      <c r="H111" s="2308"/>
      <c r="I111" s="2308"/>
      <c r="J111" s="2308"/>
      <c r="K111" s="2308"/>
      <c r="L111" s="2308"/>
      <c r="M111" s="2308"/>
      <c r="N111" s="2308"/>
      <c r="O111" s="2308"/>
      <c r="P111" s="2308"/>
      <c r="Q111" s="2308"/>
      <c r="R111" s="2308"/>
      <c r="S111" s="2308"/>
      <c r="T111" s="2308"/>
      <c r="U111" s="2308"/>
      <c r="V111" s="2308"/>
      <c r="W111" s="2308"/>
      <c r="X111" s="2308"/>
      <c r="Y111" s="2308"/>
      <c r="Z111" s="2308"/>
      <c r="AA111" s="2308"/>
      <c r="AB111" s="2308"/>
      <c r="AC111" s="2308"/>
      <c r="AD111" s="2308"/>
      <c r="AE111" s="2308"/>
      <c r="AF111" s="2308"/>
      <c r="AG111" s="2308"/>
      <c r="AH111" s="2308"/>
      <c r="AI111" s="2308"/>
      <c r="AJ111" s="2308"/>
      <c r="AK111" s="2308"/>
      <c r="AL111" s="2308"/>
      <c r="AM111" s="2308"/>
      <c r="AN111" s="2308"/>
      <c r="AO111" s="2308"/>
      <c r="AP111" s="2308"/>
      <c r="AQ111" s="2308"/>
      <c r="AR111" s="2308"/>
      <c r="AS111" s="2308"/>
      <c r="AT111" s="2308"/>
      <c r="AU111" s="2308"/>
      <c r="AV111" s="2308"/>
      <c r="AW111" s="1105"/>
      <c r="AX111" s="1331">
        <f t="shared" ref="AX111:BF121" ca="1" si="38">IFERROR(INDEX(INDIRECT($C111&amp;".info["&amp;AX$110&amp;"]"), MATCH("B.02", INDIRECT($C111&amp;".info[Vector]"), 0)), 0)</f>
        <v>3</v>
      </c>
      <c r="AY111" s="1331">
        <f t="shared" ca="1" si="38"/>
        <v>8</v>
      </c>
      <c r="AZ111" s="1331">
        <f t="shared" ca="1" si="38"/>
        <v>19.329999999999998</v>
      </c>
      <c r="BA111" s="1331">
        <f t="shared" ca="1" si="38"/>
        <v>26.84</v>
      </c>
      <c r="BB111" s="1331">
        <f t="shared" ca="1" si="38"/>
        <v>34.39</v>
      </c>
      <c r="BC111" s="1331">
        <f t="shared" ca="1" si="38"/>
        <v>45.93</v>
      </c>
      <c r="BD111" s="1331">
        <f t="shared" ca="1" si="38"/>
        <v>57.47</v>
      </c>
      <c r="BE111" s="1331">
        <f t="shared" ca="1" si="38"/>
        <v>69.02</v>
      </c>
      <c r="BF111" s="1331">
        <f t="shared" ca="1" si="38"/>
        <v>80.56</v>
      </c>
      <c r="BG111" s="826"/>
    </row>
    <row r="112" spans="2:62" s="538" customFormat="1" x14ac:dyDescent="0.2">
      <c r="B112" s="2585"/>
      <c r="C112" s="2586" t="s">
        <v>352</v>
      </c>
      <c r="D112" s="2586" t="str">
        <f>INDEX(Modules[Module], MATCH($C112, Modules[Code], 0))</f>
        <v>Biomass power station</v>
      </c>
      <c r="E112" s="2586"/>
      <c r="F112" s="2587"/>
      <c r="G112" s="2588"/>
      <c r="H112" s="2588"/>
      <c r="I112" s="2588"/>
      <c r="J112" s="2588"/>
      <c r="K112" s="2588"/>
      <c r="L112" s="2588"/>
      <c r="M112" s="2588"/>
      <c r="N112" s="2588"/>
      <c r="O112" s="2588"/>
      <c r="P112" s="2588"/>
      <c r="Q112" s="2588"/>
      <c r="R112" s="2588"/>
      <c r="S112" s="2588"/>
      <c r="T112" s="2588"/>
      <c r="U112" s="2588"/>
      <c r="V112" s="2588"/>
      <c r="W112" s="2588"/>
      <c r="X112" s="2588"/>
      <c r="Y112" s="2588"/>
      <c r="Z112" s="2588"/>
      <c r="AA112" s="2588"/>
      <c r="AB112" s="2588"/>
      <c r="AC112" s="2588"/>
      <c r="AD112" s="2588"/>
      <c r="AE112" s="2588"/>
      <c r="AF112" s="2588"/>
      <c r="AG112" s="2588"/>
      <c r="AH112" s="2588"/>
      <c r="AI112" s="2588"/>
      <c r="AJ112" s="2588"/>
      <c r="AK112" s="2588"/>
      <c r="AL112" s="2588"/>
      <c r="AM112" s="2588"/>
      <c r="AN112" s="2588"/>
      <c r="AO112" s="2588"/>
      <c r="AP112" s="2588"/>
      <c r="AQ112" s="2588"/>
      <c r="AR112" s="2588"/>
      <c r="AS112" s="2588"/>
      <c r="AT112" s="2588"/>
      <c r="AU112" s="2588"/>
      <c r="AV112" s="2588"/>
      <c r="AW112" s="2586"/>
      <c r="AX112" s="257">
        <f t="shared" ca="1" si="38"/>
        <v>0</v>
      </c>
      <c r="AY112" s="257">
        <f t="shared" ca="1" si="38"/>
        <v>0</v>
      </c>
      <c r="AZ112" s="257">
        <f t="shared" ca="1" si="38"/>
        <v>1</v>
      </c>
      <c r="BA112" s="257">
        <f t="shared" ca="1" si="38"/>
        <v>2</v>
      </c>
      <c r="BB112" s="257">
        <f t="shared" ca="1" si="38"/>
        <v>2.5</v>
      </c>
      <c r="BC112" s="257">
        <f t="shared" ca="1" si="38"/>
        <v>4</v>
      </c>
      <c r="BD112" s="257">
        <f t="shared" ca="1" si="38"/>
        <v>6</v>
      </c>
      <c r="BE112" s="257">
        <f t="shared" ca="1" si="38"/>
        <v>8</v>
      </c>
      <c r="BF112" s="257">
        <f t="shared" ca="1" si="38"/>
        <v>10</v>
      </c>
      <c r="BG112" s="2589"/>
    </row>
    <row r="113" spans="1:62" s="1296" customFormat="1" x14ac:dyDescent="0.2">
      <c r="B113" s="817"/>
      <c r="C113" s="1105" t="s">
        <v>2146</v>
      </c>
      <c r="D113" s="1105" t="str">
        <f>INDEX(Modules[Module], MATCH($C113, Modules[Code], 0))</f>
        <v>Coal power stations</v>
      </c>
      <c r="E113" s="1105"/>
      <c r="F113" s="1299"/>
      <c r="G113" s="2308"/>
      <c r="H113" s="2308"/>
      <c r="I113" s="2308"/>
      <c r="J113" s="2308"/>
      <c r="K113" s="2308"/>
      <c r="L113" s="2308"/>
      <c r="M113" s="2308"/>
      <c r="N113" s="2308"/>
      <c r="O113" s="2308"/>
      <c r="P113" s="2308"/>
      <c r="Q113" s="2308"/>
      <c r="R113" s="2308"/>
      <c r="S113" s="2308"/>
      <c r="T113" s="2308"/>
      <c r="U113" s="2308"/>
      <c r="V113" s="2308"/>
      <c r="W113" s="2308"/>
      <c r="X113" s="2308"/>
      <c r="Y113" s="2308"/>
      <c r="Z113" s="2308"/>
      <c r="AA113" s="2308"/>
      <c r="AB113" s="2308"/>
      <c r="AC113" s="2308"/>
      <c r="AD113" s="2308"/>
      <c r="AE113" s="2308"/>
      <c r="AF113" s="2308"/>
      <c r="AG113" s="2308"/>
      <c r="AH113" s="2308"/>
      <c r="AI113" s="2308"/>
      <c r="AJ113" s="2308"/>
      <c r="AK113" s="2308"/>
      <c r="AL113" s="2308"/>
      <c r="AM113" s="2308"/>
      <c r="AN113" s="2308"/>
      <c r="AO113" s="2308"/>
      <c r="AP113" s="2308"/>
      <c r="AQ113" s="2308"/>
      <c r="AR113" s="2308"/>
      <c r="AS113" s="2308"/>
      <c r="AT113" s="2308"/>
      <c r="AU113" s="2308"/>
      <c r="AV113" s="2308"/>
      <c r="AW113" s="1105"/>
      <c r="AX113" s="1331">
        <f t="shared" ca="1" si="38"/>
        <v>0</v>
      </c>
      <c r="AY113" s="1331">
        <f t="shared" ca="1" si="38"/>
        <v>0</v>
      </c>
      <c r="AZ113" s="1331">
        <f t="shared" ca="1" si="38"/>
        <v>0</v>
      </c>
      <c r="BA113" s="1331">
        <f t="shared" ca="1" si="38"/>
        <v>4</v>
      </c>
      <c r="BB113" s="1331">
        <f t="shared" ca="1" si="38"/>
        <v>12.1</v>
      </c>
      <c r="BC113" s="1331">
        <f t="shared" ca="1" si="38"/>
        <v>22.8</v>
      </c>
      <c r="BD113" s="1331">
        <f t="shared" ca="1" si="38"/>
        <v>33.6</v>
      </c>
      <c r="BE113" s="1331">
        <f t="shared" ca="1" si="38"/>
        <v>44.3</v>
      </c>
      <c r="BF113" s="1331">
        <f t="shared" ca="1" si="38"/>
        <v>55</v>
      </c>
      <c r="BG113" s="826"/>
    </row>
    <row r="114" spans="1:62" s="2479" customFormat="1" x14ac:dyDescent="0.2">
      <c r="B114" s="817"/>
      <c r="C114" s="1105" t="s">
        <v>2382</v>
      </c>
      <c r="D114" s="1105" t="str">
        <f>INDEX(Modules[Module], MATCH($C114, Modules[Code], 0))</f>
        <v xml:space="preserve">Self Generation </v>
      </c>
      <c r="E114" s="1105"/>
      <c r="F114" s="1299"/>
      <c r="G114" s="2308"/>
      <c r="H114" s="2308"/>
      <c r="I114" s="2308"/>
      <c r="J114" s="2308"/>
      <c r="K114" s="2308"/>
      <c r="L114" s="2308"/>
      <c r="M114" s="2308"/>
      <c r="N114" s="2308"/>
      <c r="O114" s="2308"/>
      <c r="P114" s="2308"/>
      <c r="Q114" s="2308"/>
      <c r="R114" s="2308"/>
      <c r="S114" s="2308"/>
      <c r="T114" s="2308"/>
      <c r="U114" s="2308"/>
      <c r="V114" s="2308"/>
      <c r="W114" s="2308"/>
      <c r="X114" s="2308"/>
      <c r="Y114" s="2308"/>
      <c r="Z114" s="2308"/>
      <c r="AA114" s="2308"/>
      <c r="AB114" s="2308"/>
      <c r="AC114" s="2308"/>
      <c r="AD114" s="2308"/>
      <c r="AE114" s="2308"/>
      <c r="AF114" s="2308"/>
      <c r="AG114" s="2308"/>
      <c r="AH114" s="2308"/>
      <c r="AI114" s="2308"/>
      <c r="AJ114" s="2308"/>
      <c r="AK114" s="2308"/>
      <c r="AL114" s="2308"/>
      <c r="AM114" s="2308"/>
      <c r="AN114" s="2308"/>
      <c r="AO114" s="2308"/>
      <c r="AP114" s="2308"/>
      <c r="AQ114" s="2308"/>
      <c r="AR114" s="2308"/>
      <c r="AS114" s="2308"/>
      <c r="AT114" s="2308"/>
      <c r="AU114" s="2308"/>
      <c r="AV114" s="2308"/>
      <c r="AW114" s="1105"/>
      <c r="AX114" s="1331">
        <f t="shared" ca="1" si="38"/>
        <v>26.897154125983818</v>
      </c>
      <c r="AY114" s="1331">
        <f t="shared" ca="1" si="38"/>
        <v>25.426054991993205</v>
      </c>
      <c r="AZ114" s="1331">
        <f t="shared" ca="1" si="38"/>
        <v>7.351469994919805</v>
      </c>
      <c r="BA114" s="1331">
        <f t="shared" ca="1" si="38"/>
        <v>0</v>
      </c>
      <c r="BB114" s="1331">
        <f t="shared" ca="1" si="38"/>
        <v>0</v>
      </c>
      <c r="BC114" s="1331">
        <f t="shared" ca="1" si="38"/>
        <v>0</v>
      </c>
      <c r="BD114" s="1331">
        <f t="shared" ca="1" si="38"/>
        <v>0</v>
      </c>
      <c r="BE114" s="1331">
        <f t="shared" ca="1" si="38"/>
        <v>0</v>
      </c>
      <c r="BF114" s="1331">
        <f t="shared" ca="1" si="38"/>
        <v>0</v>
      </c>
      <c r="BG114" s="826"/>
    </row>
    <row r="115" spans="1:62" s="1296" customFormat="1" x14ac:dyDescent="0.2">
      <c r="B115" s="817"/>
      <c r="C115" s="1105" t="s">
        <v>297</v>
      </c>
      <c r="D115" s="1105" t="str">
        <f>INDEX(Modules[Module], MATCH($C115, Modules[Code], 0))</f>
        <v>Nuclear power</v>
      </c>
      <c r="E115" s="1105"/>
      <c r="F115" s="1299"/>
      <c r="G115" s="2308"/>
      <c r="H115" s="2308"/>
      <c r="I115" s="2308"/>
      <c r="J115" s="2308"/>
      <c r="K115" s="2308"/>
      <c r="L115" s="2308"/>
      <c r="M115" s="2308"/>
      <c r="N115" s="2308"/>
      <c r="O115" s="2308"/>
      <c r="P115" s="2308"/>
      <c r="Q115" s="2308"/>
      <c r="R115" s="2308"/>
      <c r="S115" s="2308"/>
      <c r="T115" s="2308"/>
      <c r="U115" s="2308"/>
      <c r="V115" s="2308"/>
      <c r="W115" s="2308"/>
      <c r="X115" s="2308"/>
      <c r="Y115" s="2308"/>
      <c r="Z115" s="2308"/>
      <c r="AA115" s="2308"/>
      <c r="AB115" s="2308"/>
      <c r="AC115" s="2308"/>
      <c r="AD115" s="2308"/>
      <c r="AE115" s="2308"/>
      <c r="AF115" s="2308"/>
      <c r="AG115" s="2308"/>
      <c r="AH115" s="2308"/>
      <c r="AI115" s="2308"/>
      <c r="AJ115" s="2308"/>
      <c r="AK115" s="2308"/>
      <c r="AL115" s="2308"/>
      <c r="AM115" s="2308"/>
      <c r="AN115" s="2308"/>
      <c r="AO115" s="2308"/>
      <c r="AP115" s="2308"/>
      <c r="AQ115" s="2308"/>
      <c r="AR115" s="2308"/>
      <c r="AS115" s="2308"/>
      <c r="AT115" s="2308"/>
      <c r="AU115" s="2308"/>
      <c r="AV115" s="2308"/>
      <c r="AW115" s="1105"/>
      <c r="AX115" s="1331">
        <f t="shared" ca="1" si="38"/>
        <v>0</v>
      </c>
      <c r="AY115" s="1331">
        <f t="shared" ca="1" si="38"/>
        <v>0</v>
      </c>
      <c r="AZ115" s="1331">
        <f t="shared" ca="1" si="38"/>
        <v>0</v>
      </c>
      <c r="BA115" s="1331">
        <f t="shared" ca="1" si="38"/>
        <v>1</v>
      </c>
      <c r="BB115" s="1331">
        <f t="shared" ca="1" si="38"/>
        <v>1.9</v>
      </c>
      <c r="BC115" s="1331">
        <f t="shared" ca="1" si="38"/>
        <v>3.7</v>
      </c>
      <c r="BD115" s="1331">
        <f t="shared" ca="1" si="38"/>
        <v>7.1</v>
      </c>
      <c r="BE115" s="1331">
        <f t="shared" ca="1" si="38"/>
        <v>13.7</v>
      </c>
      <c r="BF115" s="1331">
        <f t="shared" ca="1" si="38"/>
        <v>26.5</v>
      </c>
      <c r="BG115" s="826"/>
    </row>
    <row r="116" spans="1:62" s="1296" customFormat="1" x14ac:dyDescent="0.2">
      <c r="B116" s="817"/>
      <c r="C116" s="1332" t="s">
        <v>864</v>
      </c>
      <c r="D116" s="1332" t="str">
        <f>INDEX(Modules[Module], MATCH($C116, Modules[Code], 0))</f>
        <v xml:space="preserve">Wind </v>
      </c>
      <c r="E116" s="1105"/>
      <c r="F116" s="1299"/>
      <c r="G116" s="2308"/>
      <c r="H116" s="2308"/>
      <c r="I116" s="2308"/>
      <c r="J116" s="2308"/>
      <c r="K116" s="2308"/>
      <c r="L116" s="2308"/>
      <c r="M116" s="2308"/>
      <c r="N116" s="2308"/>
      <c r="O116" s="2308"/>
      <c r="P116" s="2308"/>
      <c r="Q116" s="2308"/>
      <c r="R116" s="2308"/>
      <c r="S116" s="2308"/>
      <c r="T116" s="2308"/>
      <c r="U116" s="2308"/>
      <c r="V116" s="2308"/>
      <c r="W116" s="2308"/>
      <c r="X116" s="2308"/>
      <c r="Y116" s="2308"/>
      <c r="Z116" s="2308"/>
      <c r="AA116" s="2308"/>
      <c r="AB116" s="2308"/>
      <c r="AC116" s="2308"/>
      <c r="AD116" s="2308"/>
      <c r="AE116" s="2308"/>
      <c r="AF116" s="2308"/>
      <c r="AG116" s="2308"/>
      <c r="AH116" s="2308"/>
      <c r="AI116" s="2308"/>
      <c r="AJ116" s="2308"/>
      <c r="AK116" s="2308"/>
      <c r="AL116" s="2308"/>
      <c r="AM116" s="2308"/>
      <c r="AN116" s="2308"/>
      <c r="AO116" s="2308"/>
      <c r="AP116" s="2308"/>
      <c r="AQ116" s="2308"/>
      <c r="AR116" s="2308"/>
      <c r="AS116" s="2308"/>
      <c r="AT116" s="2308"/>
      <c r="AU116" s="2308"/>
      <c r="AV116" s="2308"/>
      <c r="AW116" s="1105"/>
      <c r="AX116" s="1331">
        <f t="shared" ca="1" si="38"/>
        <v>0</v>
      </c>
      <c r="AY116" s="1331">
        <f t="shared" ca="1" si="38"/>
        <v>0</v>
      </c>
      <c r="AZ116" s="1331">
        <f t="shared" ca="1" si="38"/>
        <v>2.1</v>
      </c>
      <c r="BA116" s="1331">
        <f t="shared" ca="1" si="38"/>
        <v>4.2</v>
      </c>
      <c r="BB116" s="1331">
        <f t="shared" ca="1" si="38"/>
        <v>6.3</v>
      </c>
      <c r="BC116" s="1331">
        <f t="shared" ca="1" si="38"/>
        <v>8.4</v>
      </c>
      <c r="BD116" s="1331">
        <f t="shared" ca="1" si="38"/>
        <v>8.4</v>
      </c>
      <c r="BE116" s="1331">
        <f t="shared" ca="1" si="38"/>
        <v>10.5</v>
      </c>
      <c r="BF116" s="1331">
        <f t="shared" ca="1" si="38"/>
        <v>12.6</v>
      </c>
      <c r="BG116" s="826"/>
    </row>
    <row r="117" spans="1:62" s="1517" customFormat="1" x14ac:dyDescent="0.2">
      <c r="B117" s="817"/>
      <c r="C117" s="1332" t="s">
        <v>2366</v>
      </c>
      <c r="D117" s="1332" t="str">
        <f>INDEX(Modules[Module], MATCH($C117, Modules[Code], 0))</f>
        <v>Large Hydroelectric power stations</v>
      </c>
      <c r="E117" s="1105"/>
      <c r="F117" s="1299"/>
      <c r="G117" s="2308"/>
      <c r="H117" s="2308"/>
      <c r="I117" s="2308"/>
      <c r="J117" s="2308"/>
      <c r="K117" s="2308"/>
      <c r="L117" s="2308"/>
      <c r="M117" s="2308"/>
      <c r="N117" s="2308"/>
      <c r="O117" s="2308"/>
      <c r="P117" s="2308"/>
      <c r="Q117" s="2308"/>
      <c r="R117" s="2308"/>
      <c r="S117" s="2308"/>
      <c r="T117" s="2308"/>
      <c r="U117" s="2308"/>
      <c r="V117" s="2308"/>
      <c r="W117" s="2308"/>
      <c r="X117" s="2308"/>
      <c r="Y117" s="2308"/>
      <c r="Z117" s="2308"/>
      <c r="AA117" s="2308"/>
      <c r="AB117" s="2308"/>
      <c r="AC117" s="2308"/>
      <c r="AD117" s="2308"/>
      <c r="AE117" s="2308"/>
      <c r="AF117" s="2308"/>
      <c r="AG117" s="2308"/>
      <c r="AH117" s="2308"/>
      <c r="AI117" s="2308"/>
      <c r="AJ117" s="2308"/>
      <c r="AK117" s="2308"/>
      <c r="AL117" s="2308"/>
      <c r="AM117" s="2308"/>
      <c r="AN117" s="2308"/>
      <c r="AO117" s="2308"/>
      <c r="AP117" s="2308"/>
      <c r="AQ117" s="2308"/>
      <c r="AR117" s="2308"/>
      <c r="AS117" s="2308"/>
      <c r="AT117" s="2308"/>
      <c r="AU117" s="2308"/>
      <c r="AV117" s="2308"/>
      <c r="AW117" s="1105"/>
      <c r="AX117" s="1331">
        <f t="shared" ca="1" si="38"/>
        <v>1.9</v>
      </c>
      <c r="AY117" s="1331">
        <f t="shared" ca="1" si="38"/>
        <v>1.9</v>
      </c>
      <c r="AZ117" s="1331">
        <f t="shared" ca="1" si="38"/>
        <v>3.24</v>
      </c>
      <c r="BA117" s="1331">
        <f t="shared" ca="1" si="38"/>
        <v>4.57</v>
      </c>
      <c r="BB117" s="1331">
        <f t="shared" ca="1" si="38"/>
        <v>5.91</v>
      </c>
      <c r="BC117" s="1331">
        <f t="shared" ca="1" si="38"/>
        <v>7.24</v>
      </c>
      <c r="BD117" s="1331">
        <f t="shared" ca="1" si="38"/>
        <v>8.58</v>
      </c>
      <c r="BE117" s="1331">
        <f t="shared" ca="1" si="38"/>
        <v>9.91</v>
      </c>
      <c r="BF117" s="1331">
        <f t="shared" ca="1" si="38"/>
        <v>11.25</v>
      </c>
      <c r="BG117" s="826"/>
    </row>
    <row r="118" spans="1:62" s="2479" customFormat="1" x14ac:dyDescent="0.2">
      <c r="B118" s="817"/>
      <c r="C118" s="1332" t="s">
        <v>2365</v>
      </c>
      <c r="D118" s="1332" t="str">
        <f>INDEX(Modules[Module], MATCH($C118, Modules[Code], 0))</f>
        <v>Small Hydroelectric power stations</v>
      </c>
      <c r="E118" s="1105"/>
      <c r="F118" s="1299"/>
      <c r="G118" s="2308"/>
      <c r="H118" s="2308"/>
      <c r="I118" s="2308"/>
      <c r="J118" s="2308"/>
      <c r="K118" s="2308"/>
      <c r="L118" s="2308"/>
      <c r="M118" s="2308"/>
      <c r="N118" s="2308"/>
      <c r="O118" s="2308"/>
      <c r="P118" s="2308"/>
      <c r="Q118" s="2308"/>
      <c r="R118" s="2308"/>
      <c r="S118" s="2308"/>
      <c r="T118" s="2308"/>
      <c r="U118" s="2308"/>
      <c r="V118" s="2308"/>
      <c r="W118" s="2308"/>
      <c r="X118" s="2308"/>
      <c r="Y118" s="2308"/>
      <c r="Z118" s="2308"/>
      <c r="AA118" s="2308"/>
      <c r="AB118" s="2308"/>
      <c r="AC118" s="2308"/>
      <c r="AD118" s="2308"/>
      <c r="AE118" s="2308"/>
      <c r="AF118" s="2308"/>
      <c r="AG118" s="2308"/>
      <c r="AH118" s="2308"/>
      <c r="AI118" s="2308"/>
      <c r="AJ118" s="2308"/>
      <c r="AK118" s="2308"/>
      <c r="AL118" s="2308"/>
      <c r="AM118" s="2308"/>
      <c r="AN118" s="2308"/>
      <c r="AO118" s="2308"/>
      <c r="AP118" s="2308"/>
      <c r="AQ118" s="2308"/>
      <c r="AR118" s="2308"/>
      <c r="AS118" s="2308"/>
      <c r="AT118" s="2308"/>
      <c r="AU118" s="2308"/>
      <c r="AV118" s="2308"/>
      <c r="AW118" s="1105"/>
      <c r="AX118" s="1331">
        <f t="shared" ca="1" si="38"/>
        <v>6.4000000000000001E-2</v>
      </c>
      <c r="AY118" s="1331">
        <f t="shared" ca="1" si="38"/>
        <v>6.4000000000000001E-2</v>
      </c>
      <c r="AZ118" s="1331">
        <f t="shared" ca="1" si="38"/>
        <v>6.4000000000000001E-2</v>
      </c>
      <c r="BA118" s="1331">
        <f t="shared" ca="1" si="38"/>
        <v>1.0458571428571399</v>
      </c>
      <c r="BB118" s="1331">
        <f t="shared" ca="1" si="38"/>
        <v>1.53668571428571</v>
      </c>
      <c r="BC118" s="1331">
        <f t="shared" ca="1" si="38"/>
        <v>2.02751428571429</v>
      </c>
      <c r="BD118" s="1331">
        <f t="shared" ca="1" si="38"/>
        <v>2.5183428571428599</v>
      </c>
      <c r="BE118" s="1331">
        <f t="shared" ca="1" si="38"/>
        <v>3.0091714285714302</v>
      </c>
      <c r="BF118" s="1331">
        <f t="shared" ca="1" si="38"/>
        <v>3.5</v>
      </c>
      <c r="BG118" s="826"/>
    </row>
    <row r="119" spans="1:62" s="2479" customFormat="1" x14ac:dyDescent="0.2">
      <c r="B119" s="817"/>
      <c r="C119" s="1332" t="s">
        <v>2364</v>
      </c>
      <c r="D119" s="1332" t="str">
        <f>INDEX(Modules[Module], MATCH($C119, Modules[Code], 0))</f>
        <v>Grid Connected Solar PV</v>
      </c>
      <c r="E119" s="1105"/>
      <c r="F119" s="1299"/>
      <c r="G119" s="2308"/>
      <c r="H119" s="2308"/>
      <c r="I119" s="2308"/>
      <c r="J119" s="2308"/>
      <c r="K119" s="2308"/>
      <c r="L119" s="2308"/>
      <c r="M119" s="2308"/>
      <c r="N119" s="2308"/>
      <c r="O119" s="2308"/>
      <c r="P119" s="2308"/>
      <c r="Q119" s="2308"/>
      <c r="R119" s="2308"/>
      <c r="S119" s="2308"/>
      <c r="T119" s="2308"/>
      <c r="U119" s="2308"/>
      <c r="V119" s="2308"/>
      <c r="W119" s="2308"/>
      <c r="X119" s="2308"/>
      <c r="Y119" s="2308"/>
      <c r="Z119" s="2308"/>
      <c r="AA119" s="2308"/>
      <c r="AB119" s="2308"/>
      <c r="AC119" s="2308"/>
      <c r="AD119" s="2308"/>
      <c r="AE119" s="2308"/>
      <c r="AF119" s="2308"/>
      <c r="AG119" s="2308"/>
      <c r="AH119" s="2308"/>
      <c r="AI119" s="2308"/>
      <c r="AJ119" s="2308"/>
      <c r="AK119" s="2308"/>
      <c r="AL119" s="2308"/>
      <c r="AM119" s="2308"/>
      <c r="AN119" s="2308"/>
      <c r="AO119" s="2308"/>
      <c r="AP119" s="2308"/>
      <c r="AQ119" s="2308"/>
      <c r="AR119" s="2308"/>
      <c r="AS119" s="2308"/>
      <c r="AT119" s="2308"/>
      <c r="AU119" s="2308"/>
      <c r="AV119" s="2308"/>
      <c r="AW119" s="1105"/>
      <c r="AX119" s="1331">
        <f t="shared" ca="1" si="38"/>
        <v>0</v>
      </c>
      <c r="AY119" s="1331">
        <f t="shared" ca="1" si="38"/>
        <v>0</v>
      </c>
      <c r="AZ119" s="1331">
        <f t="shared" ca="1" si="38"/>
        <v>5.87</v>
      </c>
      <c r="BA119" s="1331">
        <f t="shared" ca="1" si="38"/>
        <v>15.73</v>
      </c>
      <c r="BB119" s="1331">
        <f t="shared" ca="1" si="38"/>
        <v>30.58</v>
      </c>
      <c r="BC119" s="1331">
        <f t="shared" ca="1" si="38"/>
        <v>55.435000000000002</v>
      </c>
      <c r="BD119" s="1331">
        <f t="shared" ca="1" si="38"/>
        <v>70.290000000000006</v>
      </c>
      <c r="BE119" s="1331">
        <f t="shared" ca="1" si="38"/>
        <v>90.144999999999996</v>
      </c>
      <c r="BF119" s="1331">
        <f t="shared" ca="1" si="38"/>
        <v>110</v>
      </c>
      <c r="BG119" s="826"/>
    </row>
    <row r="120" spans="1:62" s="2479" customFormat="1" x14ac:dyDescent="0.2">
      <c r="B120" s="817"/>
      <c r="C120" s="1332" t="s">
        <v>2376</v>
      </c>
      <c r="D120" s="1332" t="str">
        <f>INDEX(Modules[Module], MATCH($C120, Modules[Code], 0))</f>
        <v>Concentrated Solar Power</v>
      </c>
      <c r="E120" s="1105"/>
      <c r="F120" s="1299"/>
      <c r="G120" s="2308"/>
      <c r="H120" s="2308"/>
      <c r="I120" s="2308"/>
      <c r="J120" s="2308"/>
      <c r="K120" s="2308"/>
      <c r="L120" s="2308"/>
      <c r="M120" s="2308"/>
      <c r="N120" s="2308"/>
      <c r="O120" s="2308"/>
      <c r="P120" s="2308"/>
      <c r="Q120" s="2308"/>
      <c r="R120" s="2308"/>
      <c r="S120" s="2308"/>
      <c r="T120" s="2308"/>
      <c r="U120" s="2308"/>
      <c r="V120" s="2308"/>
      <c r="W120" s="2308"/>
      <c r="X120" s="2308"/>
      <c r="Y120" s="2308"/>
      <c r="Z120" s="2308"/>
      <c r="AA120" s="2308"/>
      <c r="AB120" s="2308"/>
      <c r="AC120" s="2308"/>
      <c r="AD120" s="2308"/>
      <c r="AE120" s="2308"/>
      <c r="AF120" s="2308"/>
      <c r="AG120" s="2308"/>
      <c r="AH120" s="2308"/>
      <c r="AI120" s="2308"/>
      <c r="AJ120" s="2308"/>
      <c r="AK120" s="2308"/>
      <c r="AL120" s="2308"/>
      <c r="AM120" s="2308"/>
      <c r="AN120" s="2308"/>
      <c r="AO120" s="2308"/>
      <c r="AP120" s="2308"/>
      <c r="AQ120" s="2308"/>
      <c r="AR120" s="2308"/>
      <c r="AS120" s="2308"/>
      <c r="AT120" s="2308"/>
      <c r="AU120" s="2308"/>
      <c r="AV120" s="2308"/>
      <c r="AW120" s="1105"/>
      <c r="AX120" s="1331">
        <f t="shared" ca="1" si="38"/>
        <v>0</v>
      </c>
      <c r="AY120" s="1331">
        <f t="shared" ca="1" si="38"/>
        <v>0</v>
      </c>
      <c r="AZ120" s="1331">
        <f t="shared" ca="1" si="38"/>
        <v>5.71</v>
      </c>
      <c r="BA120" s="1331">
        <f t="shared" ca="1" si="38"/>
        <v>11.43</v>
      </c>
      <c r="BB120" s="1331">
        <f t="shared" ca="1" si="38"/>
        <v>17.14</v>
      </c>
      <c r="BC120" s="1331">
        <f t="shared" ca="1" si="38"/>
        <v>22.86</v>
      </c>
      <c r="BD120" s="1331">
        <f t="shared" ca="1" si="38"/>
        <v>28.57</v>
      </c>
      <c r="BE120" s="1331">
        <f t="shared" ca="1" si="38"/>
        <v>34.29</v>
      </c>
      <c r="BF120" s="1331">
        <f t="shared" ca="1" si="38"/>
        <v>40</v>
      </c>
      <c r="BG120" s="826"/>
    </row>
    <row r="121" spans="1:62" s="1296" customFormat="1" x14ac:dyDescent="0.2">
      <c r="B121" s="817"/>
      <c r="C121" s="1332" t="s">
        <v>409</v>
      </c>
      <c r="D121" s="1332" t="str">
        <f>INDEX(Modules[Module], MATCH($C121, Modules[Code], 0))</f>
        <v>Stand-Alone Solar PV</v>
      </c>
      <c r="E121" s="1105"/>
      <c r="F121" s="1332"/>
      <c r="G121" s="2310"/>
      <c r="H121" s="2310"/>
      <c r="I121" s="2310"/>
      <c r="J121" s="2310"/>
      <c r="K121" s="2310"/>
      <c r="L121" s="2310"/>
      <c r="M121" s="2310"/>
      <c r="N121" s="2310"/>
      <c r="O121" s="2310"/>
      <c r="P121" s="2310"/>
      <c r="Q121" s="2310"/>
      <c r="R121" s="2310"/>
      <c r="S121" s="2310"/>
      <c r="T121" s="2310"/>
      <c r="U121" s="2310"/>
      <c r="V121" s="2310"/>
      <c r="W121" s="2310"/>
      <c r="X121" s="2310"/>
      <c r="Y121" s="2310"/>
      <c r="Z121" s="2310"/>
      <c r="AA121" s="2310"/>
      <c r="AB121" s="2310"/>
      <c r="AC121" s="2310"/>
      <c r="AD121" s="2310"/>
      <c r="AE121" s="2310"/>
      <c r="AF121" s="2310"/>
      <c r="AG121" s="2310"/>
      <c r="AH121" s="2310"/>
      <c r="AI121" s="2310"/>
      <c r="AJ121" s="2310"/>
      <c r="AK121" s="2310"/>
      <c r="AL121" s="2310"/>
      <c r="AM121" s="2310"/>
      <c r="AN121" s="2310"/>
      <c r="AO121" s="2310"/>
      <c r="AP121" s="2310"/>
      <c r="AQ121" s="2310"/>
      <c r="AR121" s="2310"/>
      <c r="AS121" s="2310"/>
      <c r="AT121" s="2310"/>
      <c r="AU121" s="2310"/>
      <c r="AV121" s="2310"/>
      <c r="AW121" s="1105"/>
      <c r="AX121" s="1331">
        <f t="shared" ca="1" si="38"/>
        <v>1.4999999999999999E-2</v>
      </c>
      <c r="AY121" s="1331">
        <f t="shared" ca="1" si="38"/>
        <v>0.5</v>
      </c>
      <c r="AZ121" s="1331">
        <f t="shared" ca="1" si="38"/>
        <v>10.87</v>
      </c>
      <c r="BA121" s="1331">
        <f t="shared" ca="1" si="38"/>
        <v>17.73</v>
      </c>
      <c r="BB121" s="1331">
        <f t="shared" ca="1" si="38"/>
        <v>24.58</v>
      </c>
      <c r="BC121" s="1331">
        <f t="shared" ca="1" si="38"/>
        <v>30.434999999999999</v>
      </c>
      <c r="BD121" s="1331">
        <f t="shared" ca="1" si="38"/>
        <v>37</v>
      </c>
      <c r="BE121" s="1331">
        <f t="shared" ca="1" si="38"/>
        <v>45.145000000000003</v>
      </c>
      <c r="BF121" s="1331">
        <f t="shared" ca="1" si="38"/>
        <v>60</v>
      </c>
      <c r="BG121" s="826"/>
    </row>
    <row r="122" spans="1:62" s="38" customFormat="1" x14ac:dyDescent="0.2">
      <c r="B122" s="817"/>
      <c r="C122" s="1105"/>
      <c r="D122" s="829" t="s">
        <v>358</v>
      </c>
      <c r="E122" s="829"/>
      <c r="F122" s="829"/>
      <c r="G122" s="2311"/>
      <c r="H122" s="2311"/>
      <c r="I122" s="2311"/>
      <c r="J122" s="2311"/>
      <c r="K122" s="2311"/>
      <c r="L122" s="2311"/>
      <c r="M122" s="2311"/>
      <c r="N122" s="2311"/>
      <c r="O122" s="2311"/>
      <c r="P122" s="2311"/>
      <c r="Q122" s="2311"/>
      <c r="R122" s="2311"/>
      <c r="S122" s="2311"/>
      <c r="T122" s="2311"/>
      <c r="U122" s="2311"/>
      <c r="V122" s="2311"/>
      <c r="W122" s="2311"/>
      <c r="X122" s="2311"/>
      <c r="Y122" s="2311"/>
      <c r="Z122" s="2311"/>
      <c r="AA122" s="2311"/>
      <c r="AB122" s="2311"/>
      <c r="AC122" s="2311"/>
      <c r="AD122" s="2311"/>
      <c r="AE122" s="2311"/>
      <c r="AF122" s="2311"/>
      <c r="AG122" s="2311"/>
      <c r="AH122" s="2311"/>
      <c r="AI122" s="2311"/>
      <c r="AJ122" s="2311"/>
      <c r="AK122" s="2311"/>
      <c r="AL122" s="2311"/>
      <c r="AM122" s="2311"/>
      <c r="AN122" s="2311"/>
      <c r="AO122" s="2311"/>
      <c r="AP122" s="2311"/>
      <c r="AQ122" s="2343"/>
      <c r="AR122" s="2343"/>
      <c r="AS122" s="2343"/>
      <c r="AT122" s="2343"/>
      <c r="AU122" s="2343"/>
      <c r="AV122" s="2311"/>
      <c r="AW122" s="829"/>
      <c r="AX122" s="830">
        <f ca="1">SUM(AX111:AX121)</f>
        <v>31.876154125983817</v>
      </c>
      <c r="AY122" s="830">
        <f t="shared" ref="AY122:BF122" ca="1" si="39">SUM(AY111:AY121)</f>
        <v>35.890054991993203</v>
      </c>
      <c r="AZ122" s="830">
        <f t="shared" ca="1" si="39"/>
        <v>55.535469994919801</v>
      </c>
      <c r="BA122" s="830">
        <f t="shared" ca="1" si="39"/>
        <v>88.545857142857145</v>
      </c>
      <c r="BB122" s="830">
        <f t="shared" ca="1" si="39"/>
        <v>136.93668571428572</v>
      </c>
      <c r="BC122" s="830">
        <f t="shared" ca="1" si="39"/>
        <v>202.8275142857143</v>
      </c>
      <c r="BD122" s="830">
        <f t="shared" ca="1" si="39"/>
        <v>259.52834285714283</v>
      </c>
      <c r="BE122" s="830">
        <f t="shared" ca="1" si="39"/>
        <v>328.01917142857138</v>
      </c>
      <c r="BF122" s="830">
        <f t="shared" ca="1" si="39"/>
        <v>409.40999999999997</v>
      </c>
      <c r="BG122" s="826"/>
    </row>
    <row r="123" spans="1:62" ht="22.5" x14ac:dyDescent="0.3">
      <c r="A123" s="409"/>
      <c r="B123" s="817"/>
      <c r="C123" s="818"/>
      <c r="D123" s="1298"/>
      <c r="E123" s="818"/>
      <c r="F123" s="1299"/>
      <c r="G123" s="2308"/>
      <c r="H123" s="2308"/>
      <c r="I123" s="2308"/>
      <c r="J123" s="2308"/>
      <c r="K123" s="2308"/>
      <c r="L123" s="2308"/>
      <c r="M123" s="2308"/>
      <c r="N123" s="2308"/>
      <c r="O123" s="2308"/>
      <c r="P123" s="2308"/>
      <c r="Q123" s="2308"/>
      <c r="R123" s="2308"/>
      <c r="S123" s="2308"/>
      <c r="T123" s="2308"/>
      <c r="U123" s="2308"/>
      <c r="V123" s="2308"/>
      <c r="W123" s="2308"/>
      <c r="X123" s="2308"/>
      <c r="Y123" s="2308"/>
      <c r="Z123" s="2308"/>
      <c r="AA123" s="2308"/>
      <c r="AB123" s="2308"/>
      <c r="AC123" s="2308"/>
      <c r="AD123" s="2308"/>
      <c r="AE123" s="2308"/>
      <c r="AF123" s="2308"/>
      <c r="AG123" s="2308"/>
      <c r="AH123" s="2308"/>
      <c r="AI123" s="2308"/>
      <c r="AJ123" s="2308"/>
      <c r="AK123" s="2308"/>
      <c r="AL123" s="2308"/>
      <c r="AM123" s="2308"/>
      <c r="AN123" s="2308"/>
      <c r="AO123" s="2308"/>
      <c r="AP123" s="2308"/>
      <c r="AQ123" s="2308"/>
      <c r="AR123" s="2308"/>
      <c r="AS123" s="2308"/>
      <c r="AT123" s="2308"/>
      <c r="AU123" s="2308"/>
      <c r="AV123" s="2308"/>
      <c r="AW123" s="818"/>
      <c r="AX123" s="1299"/>
      <c r="AY123" s="1299"/>
      <c r="AZ123" s="1299"/>
      <c r="BA123" s="1299"/>
      <c r="BB123" s="1299"/>
      <c r="BC123" s="1299"/>
      <c r="BD123" s="1299"/>
      <c r="BE123" s="1299"/>
      <c r="BF123" s="1299"/>
      <c r="BG123" s="826"/>
      <c r="BH123" s="38"/>
      <c r="BJ123"/>
    </row>
    <row r="124" spans="1:62" s="38" customFormat="1" x14ac:dyDescent="0.2">
      <c r="G124" s="2281"/>
      <c r="H124" s="2312"/>
      <c r="I124" s="2312"/>
      <c r="J124" s="2312"/>
      <c r="K124" s="2312"/>
      <c r="L124" s="2312"/>
      <c r="M124" s="2312"/>
      <c r="N124" s="2312"/>
      <c r="O124" s="2312"/>
      <c r="P124" s="2312"/>
      <c r="Q124" s="2312"/>
      <c r="R124" s="2312"/>
      <c r="S124" s="2312"/>
      <c r="T124" s="2312"/>
      <c r="U124" s="2312"/>
      <c r="V124" s="2312"/>
      <c r="W124" s="2312"/>
      <c r="X124" s="2312"/>
      <c r="Y124" s="2312"/>
      <c r="Z124" s="2312"/>
      <c r="AA124" s="2312"/>
      <c r="AB124" s="2312"/>
      <c r="AC124" s="2312"/>
      <c r="AD124" s="2312"/>
      <c r="AE124" s="2312"/>
      <c r="AF124" s="2312"/>
      <c r="AG124" s="2312"/>
      <c r="AH124" s="2312"/>
      <c r="AI124" s="2312"/>
      <c r="AJ124" s="2312"/>
      <c r="AK124" s="2312"/>
      <c r="AL124" s="2312"/>
      <c r="AM124" s="2312"/>
      <c r="AN124" s="2312"/>
      <c r="AO124" s="2312"/>
      <c r="AP124" s="2312"/>
      <c r="AQ124" s="2312"/>
      <c r="AR124" s="2312"/>
      <c r="AS124" s="2312"/>
      <c r="AT124" s="2312"/>
      <c r="AU124" s="2312"/>
      <c r="AV124" s="2312"/>
      <c r="AW124" s="2312"/>
    </row>
    <row r="125" spans="1:62" s="38" customFormat="1" ht="15.75" x14ac:dyDescent="0.2">
      <c r="B125" s="835" t="s">
        <v>361</v>
      </c>
      <c r="C125" s="860"/>
      <c r="D125" s="860"/>
      <c r="E125" s="860"/>
      <c r="F125" s="860"/>
      <c r="G125" s="860"/>
      <c r="H125" s="2313"/>
      <c r="I125" s="2313"/>
      <c r="J125" s="2313"/>
      <c r="K125" s="2313"/>
      <c r="L125" s="2313"/>
      <c r="M125" s="2313"/>
      <c r="N125" s="2313"/>
      <c r="O125" s="2313"/>
      <c r="P125" s="2313"/>
      <c r="Q125" s="2313"/>
      <c r="R125" s="2313"/>
      <c r="S125" s="2313"/>
      <c r="T125" s="2313"/>
      <c r="U125" s="2313"/>
      <c r="V125" s="2313"/>
      <c r="W125" s="2313"/>
      <c r="X125" s="2313"/>
      <c r="Y125" s="2313"/>
      <c r="Z125" s="2313"/>
      <c r="AA125" s="2313"/>
      <c r="AB125" s="2313"/>
      <c r="AC125" s="2313"/>
      <c r="AD125" s="2313"/>
      <c r="AE125" s="2313"/>
      <c r="AF125" s="2313"/>
      <c r="AG125" s="2313"/>
      <c r="AH125" s="2313"/>
      <c r="AI125" s="2313"/>
      <c r="AJ125" s="2313"/>
      <c r="AK125" s="2313"/>
      <c r="AL125" s="2313"/>
      <c r="AM125" s="2313"/>
      <c r="AN125" s="2313"/>
      <c r="AO125" s="2313"/>
      <c r="AP125" s="2313"/>
      <c r="AQ125" s="2313"/>
      <c r="AR125" s="2313"/>
      <c r="AS125" s="2313"/>
      <c r="AT125" s="2313"/>
      <c r="AU125" s="2313"/>
      <c r="AV125" s="2313"/>
      <c r="AW125" s="2313"/>
      <c r="AX125" s="860"/>
      <c r="AY125" s="860"/>
      <c r="AZ125" s="860"/>
      <c r="BA125" s="860"/>
      <c r="BB125" s="860"/>
      <c r="BC125" s="860"/>
      <c r="BD125" s="860"/>
      <c r="BE125" s="860"/>
      <c r="BF125" s="860"/>
      <c r="BG125" s="861"/>
      <c r="BH125" s="862"/>
    </row>
    <row r="126" spans="1:62" ht="15.75" x14ac:dyDescent="0.25">
      <c r="B126" s="836"/>
      <c r="C126" s="837"/>
      <c r="D126" s="837"/>
      <c r="E126" s="837"/>
      <c r="F126" s="837"/>
      <c r="G126" s="837"/>
      <c r="H126" s="2314"/>
      <c r="I126" s="2314"/>
      <c r="J126" s="2314"/>
      <c r="K126" s="2314"/>
      <c r="L126" s="2314"/>
      <c r="M126" s="2314"/>
      <c r="N126" s="2314"/>
      <c r="O126" s="2314"/>
      <c r="P126" s="2314"/>
      <c r="Q126" s="2314"/>
      <c r="R126" s="2314"/>
      <c r="S126" s="2314"/>
      <c r="T126" s="2314"/>
      <c r="U126" s="2314"/>
      <c r="V126" s="2314"/>
      <c r="W126" s="2314"/>
      <c r="X126" s="2314"/>
      <c r="Y126" s="2314"/>
      <c r="Z126" s="2314"/>
      <c r="AA126" s="2314"/>
      <c r="AB126" s="2314"/>
      <c r="AC126" s="2314"/>
      <c r="AD126" s="2314"/>
      <c r="AE126" s="2314"/>
      <c r="AF126" s="2314"/>
      <c r="AG126" s="2314"/>
      <c r="AH126" s="2314"/>
      <c r="AI126" s="2314"/>
      <c r="AJ126" s="2314"/>
      <c r="AK126" s="2314"/>
      <c r="AL126" s="2314"/>
      <c r="AM126" s="2314"/>
      <c r="AN126" s="2314"/>
      <c r="AO126" s="2314"/>
      <c r="AP126" s="2314"/>
      <c r="AQ126" s="2314"/>
      <c r="AR126" s="2314"/>
      <c r="AS126" s="2314"/>
      <c r="AT126" s="2314"/>
      <c r="AU126" s="2314"/>
      <c r="AV126" s="2314"/>
      <c r="AW126" s="2314"/>
      <c r="AX126" s="837"/>
      <c r="AY126" s="837"/>
      <c r="AZ126" s="837"/>
      <c r="BA126" s="837"/>
      <c r="BB126" s="837"/>
      <c r="BC126" s="837"/>
      <c r="BD126" s="837"/>
      <c r="BE126" s="837"/>
      <c r="BF126" s="837"/>
      <c r="BG126" s="838"/>
      <c r="BH126" s="839"/>
      <c r="BI126" s="38"/>
      <c r="BJ126"/>
    </row>
    <row r="127" spans="1:62" s="81" customFormat="1" ht="15.75" x14ac:dyDescent="0.25">
      <c r="B127" s="836"/>
      <c r="C127" s="864" t="s">
        <v>2445</v>
      </c>
      <c r="D127" s="837"/>
      <c r="E127" s="837"/>
      <c r="F127" s="837"/>
      <c r="G127" s="837"/>
      <c r="H127" s="2314"/>
      <c r="I127" s="2314"/>
      <c r="J127" s="2314"/>
      <c r="K127" s="2314"/>
      <c r="L127" s="2314"/>
      <c r="M127" s="2314"/>
      <c r="N127" s="2314"/>
      <c r="O127" s="2314"/>
      <c r="P127" s="2314"/>
      <c r="Q127" s="2314"/>
      <c r="R127" s="2314"/>
      <c r="S127" s="2314"/>
      <c r="T127" s="2314"/>
      <c r="U127" s="2314"/>
      <c r="V127" s="2314"/>
      <c r="W127" s="2314"/>
      <c r="X127" s="2314"/>
      <c r="Y127" s="2314"/>
      <c r="Z127" s="2314"/>
      <c r="AA127" s="2314"/>
      <c r="AB127" s="2314"/>
      <c r="AC127" s="2314"/>
      <c r="AD127" s="2314"/>
      <c r="AE127" s="2314"/>
      <c r="AF127" s="2314"/>
      <c r="AG127" s="2314"/>
      <c r="AH127" s="2314"/>
      <c r="AI127" s="2314"/>
      <c r="AJ127" s="2314"/>
      <c r="AK127" s="2314"/>
      <c r="AL127" s="2314"/>
      <c r="AM127" s="2314"/>
      <c r="AN127" s="2314"/>
      <c r="AO127" s="2314"/>
      <c r="AP127" s="2314"/>
      <c r="AQ127" s="2314"/>
      <c r="AR127" s="2314"/>
      <c r="AS127" s="2314"/>
      <c r="AT127" s="2314"/>
      <c r="AU127" s="2314"/>
      <c r="AV127" s="2314"/>
      <c r="AW127" s="2314"/>
      <c r="AX127" s="837"/>
      <c r="AY127" s="837"/>
      <c r="AZ127" s="837"/>
      <c r="BA127" s="837"/>
      <c r="BB127" s="837"/>
      <c r="BC127" s="837"/>
      <c r="BD127" s="837"/>
      <c r="BE127" s="837"/>
      <c r="BF127" s="837"/>
      <c r="BG127" s="838"/>
      <c r="BH127" s="839"/>
    </row>
    <row r="128" spans="1:62" s="81" customFormat="1" x14ac:dyDescent="0.2">
      <c r="B128" s="840"/>
      <c r="C128" s="837"/>
      <c r="D128" s="841" t="s">
        <v>461</v>
      </c>
      <c r="E128" s="837"/>
      <c r="F128" s="837"/>
      <c r="G128" s="2314"/>
      <c r="H128" s="2314"/>
      <c r="I128" s="2314"/>
      <c r="J128" s="2314"/>
      <c r="K128" s="2314"/>
      <c r="L128" s="2314"/>
      <c r="M128" s="2314"/>
      <c r="N128" s="2314"/>
      <c r="O128" s="2314"/>
      <c r="P128" s="2314"/>
      <c r="Q128" s="2314"/>
      <c r="R128" s="2314"/>
      <c r="S128" s="2314"/>
      <c r="T128" s="2314"/>
      <c r="U128" s="2314"/>
      <c r="V128" s="2314"/>
      <c r="W128" s="2314"/>
      <c r="X128" s="2314"/>
      <c r="Y128" s="2314"/>
      <c r="Z128" s="2314"/>
      <c r="AA128" s="2314"/>
      <c r="AB128" s="2314"/>
      <c r="AC128" s="2314"/>
      <c r="AD128" s="2314"/>
      <c r="AE128" s="2314"/>
      <c r="AF128" s="2314"/>
      <c r="AG128" s="2314"/>
      <c r="AH128" s="2314"/>
      <c r="AI128" s="2314"/>
      <c r="AJ128" s="2314"/>
      <c r="AK128" s="2314"/>
      <c r="AL128" s="2314"/>
      <c r="AM128" s="2314"/>
      <c r="AN128" s="2314"/>
      <c r="AO128" s="2314"/>
      <c r="AP128" s="2314"/>
      <c r="AQ128" s="2314"/>
      <c r="AR128" s="2314"/>
      <c r="AS128" s="2314"/>
      <c r="AT128" s="2314"/>
      <c r="AU128" s="2314"/>
      <c r="AV128" s="2314"/>
      <c r="AW128" s="837"/>
      <c r="AX128" s="837">
        <v>2010</v>
      </c>
      <c r="AY128" s="837">
        <v>2015</v>
      </c>
      <c r="AZ128" s="837">
        <v>2020</v>
      </c>
      <c r="BA128" s="837">
        <v>2025</v>
      </c>
      <c r="BB128" s="837">
        <v>2030</v>
      </c>
      <c r="BC128" s="837">
        <v>2035</v>
      </c>
      <c r="BD128" s="837">
        <v>2040</v>
      </c>
      <c r="BE128" s="837">
        <v>2045</v>
      </c>
      <c r="BF128" s="838">
        <v>2050</v>
      </c>
      <c r="BG128" s="839"/>
    </row>
    <row r="129" spans="2:62" s="38" customFormat="1" x14ac:dyDescent="0.2">
      <c r="B129" s="842"/>
      <c r="C129" s="843" t="s">
        <v>483</v>
      </c>
      <c r="D129" s="844" t="str">
        <f>INDEX(IPCC[Sector_description], MATCH($C129, IPCC[Sector_code], 0))</f>
        <v>Fuel Combustion</v>
      </c>
      <c r="E129" s="837"/>
      <c r="F129" s="845"/>
      <c r="G129" s="2315"/>
      <c r="H129" s="2315"/>
      <c r="I129" s="2315"/>
      <c r="J129" s="2315"/>
      <c r="K129" s="2315"/>
      <c r="L129" s="2315"/>
      <c r="M129" s="2315"/>
      <c r="N129" s="2315"/>
      <c r="O129" s="2315"/>
      <c r="P129" s="2315"/>
      <c r="Q129" s="2315"/>
      <c r="R129" s="2315"/>
      <c r="S129" s="2315"/>
      <c r="T129" s="2315"/>
      <c r="U129" s="2315"/>
      <c r="V129" s="2315"/>
      <c r="W129" s="2315"/>
      <c r="X129" s="2315"/>
      <c r="Y129" s="2315"/>
      <c r="Z129" s="2315"/>
      <c r="AA129" s="2315"/>
      <c r="AB129" s="2315"/>
      <c r="AC129" s="2315"/>
      <c r="AD129" s="2315"/>
      <c r="AE129" s="2315"/>
      <c r="AF129" s="2315"/>
      <c r="AG129" s="2315"/>
      <c r="AH129" s="2315"/>
      <c r="AI129" s="2315"/>
      <c r="AJ129" s="2315"/>
      <c r="AK129" s="2315"/>
      <c r="AL129" s="2315"/>
      <c r="AM129" s="2315"/>
      <c r="AN129" s="2315"/>
      <c r="AO129" s="2315"/>
      <c r="AP129" s="2315"/>
      <c r="AQ129" s="2315"/>
      <c r="AR129" s="2315"/>
      <c r="AS129" s="2315"/>
      <c r="AT129" s="2315"/>
      <c r="AU129" s="2315"/>
      <c r="AV129" s="2315"/>
      <c r="AW129" s="846"/>
      <c r="AX129" s="845"/>
      <c r="AY129" s="845"/>
      <c r="AZ129" s="845"/>
      <c r="BA129" s="845"/>
      <c r="BB129" s="845"/>
      <c r="BC129" s="845"/>
      <c r="BD129" s="845"/>
      <c r="BE129" s="845"/>
      <c r="BF129" s="845"/>
      <c r="BG129" s="847"/>
    </row>
    <row r="130" spans="2:62" x14ac:dyDescent="0.2">
      <c r="B130" s="842"/>
      <c r="C130" s="843" t="s">
        <v>482</v>
      </c>
      <c r="D130" s="844" t="str">
        <f>INDEX(IPCC[Sector_description], MATCH($C130, IPCC[Sector_code], 0))</f>
        <v>Fugitive Emissions from Fuels</v>
      </c>
      <c r="E130" s="837"/>
      <c r="F130" s="845"/>
      <c r="G130" s="2315"/>
      <c r="H130" s="2315"/>
      <c r="I130" s="2315"/>
      <c r="J130" s="2315"/>
      <c r="K130" s="2315"/>
      <c r="L130" s="2315"/>
      <c r="M130" s="2315"/>
      <c r="N130" s="2315"/>
      <c r="O130" s="2315"/>
      <c r="P130" s="2315"/>
      <c r="Q130" s="2315"/>
      <c r="R130" s="2315"/>
      <c r="S130" s="2315"/>
      <c r="T130" s="2315"/>
      <c r="U130" s="2315"/>
      <c r="V130" s="2315"/>
      <c r="W130" s="2315"/>
      <c r="X130" s="2315"/>
      <c r="Y130" s="2315"/>
      <c r="Z130" s="2315"/>
      <c r="AA130" s="2315"/>
      <c r="AB130" s="2315"/>
      <c r="AC130" s="2315"/>
      <c r="AD130" s="2315"/>
      <c r="AE130" s="2315"/>
      <c r="AF130" s="2315"/>
      <c r="AG130" s="2315"/>
      <c r="AH130" s="2315"/>
      <c r="AI130" s="2315"/>
      <c r="AJ130" s="2315"/>
      <c r="AK130" s="2315"/>
      <c r="AL130" s="2315"/>
      <c r="AM130" s="2315"/>
      <c r="AN130" s="2315"/>
      <c r="AO130" s="2315"/>
      <c r="AP130" s="2315"/>
      <c r="AQ130" s="2315"/>
      <c r="AR130" s="2315"/>
      <c r="AS130" s="2315"/>
      <c r="AT130" s="2315"/>
      <c r="AU130" s="2315"/>
      <c r="AV130" s="2315"/>
      <c r="AW130" s="846"/>
      <c r="AX130" s="845"/>
      <c r="AY130" s="845"/>
      <c r="AZ130" s="845"/>
      <c r="BA130" s="845"/>
      <c r="BB130" s="845"/>
      <c r="BC130" s="845"/>
      <c r="BD130" s="845"/>
      <c r="BE130" s="845"/>
      <c r="BF130" s="845"/>
      <c r="BG130" s="847"/>
      <c r="BH130" s="38"/>
      <c r="BJ130"/>
    </row>
    <row r="131" spans="2:62" x14ac:dyDescent="0.2">
      <c r="B131" s="840"/>
      <c r="C131" s="838">
        <v>1</v>
      </c>
      <c r="D131" s="837" t="s">
        <v>462</v>
      </c>
      <c r="E131" s="837"/>
      <c r="F131" s="876"/>
      <c r="G131" s="2316"/>
      <c r="H131" s="2316"/>
      <c r="I131" s="2316"/>
      <c r="J131" s="2316"/>
      <c r="K131" s="2316"/>
      <c r="L131" s="2316"/>
      <c r="M131" s="2316"/>
      <c r="N131" s="2316"/>
      <c r="O131" s="2316"/>
      <c r="P131" s="2316"/>
      <c r="Q131" s="2316"/>
      <c r="R131" s="2316"/>
      <c r="S131" s="2316"/>
      <c r="T131" s="2316"/>
      <c r="U131" s="2316"/>
      <c r="V131" s="2316"/>
      <c r="W131" s="2316"/>
      <c r="X131" s="2316"/>
      <c r="Y131" s="2316"/>
      <c r="Z131" s="2316"/>
      <c r="AA131" s="2316"/>
      <c r="AB131" s="2316"/>
      <c r="AC131" s="2316"/>
      <c r="AD131" s="2316"/>
      <c r="AE131" s="2316"/>
      <c r="AF131" s="2316"/>
      <c r="AG131" s="2316"/>
      <c r="AH131" s="2316"/>
      <c r="AI131" s="2316"/>
      <c r="AJ131" s="2316"/>
      <c r="AK131" s="2316"/>
      <c r="AL131" s="2316"/>
      <c r="AM131" s="2316"/>
      <c r="AN131" s="2316"/>
      <c r="AO131" s="2316"/>
      <c r="AP131" s="2316"/>
      <c r="AQ131" s="2316"/>
      <c r="AR131" s="2316"/>
      <c r="AS131" s="2316"/>
      <c r="AT131" s="2316"/>
      <c r="AU131" s="2316"/>
      <c r="AV131" s="2316"/>
      <c r="AW131" s="877"/>
      <c r="AX131" s="876">
        <f t="shared" ref="AX131:BF131" ca="1" si="40">AX167*$AX$143/$E$188</f>
        <v>0.19069575086373286</v>
      </c>
      <c r="AY131" s="876">
        <f t="shared" ca="1" si="40"/>
        <v>0.21115367117195538</v>
      </c>
      <c r="AZ131" s="876">
        <f t="shared" ca="1" si="40"/>
        <v>0.26490772746173852</v>
      </c>
      <c r="BA131" s="876">
        <f t="shared" ca="1" si="40"/>
        <v>0.32530653150841482</v>
      </c>
      <c r="BB131" s="876">
        <f t="shared" ca="1" si="40"/>
        <v>0.41614628791806441</v>
      </c>
      <c r="BC131" s="876">
        <f t="shared" ca="1" si="40"/>
        <v>0.55394430375699955</v>
      </c>
      <c r="BD131" s="876">
        <f t="shared" ca="1" si="40"/>
        <v>0.68736292885599637</v>
      </c>
      <c r="BE131" s="876">
        <f t="shared" ca="1" si="40"/>
        <v>0.81477545423334941</v>
      </c>
      <c r="BF131" s="876">
        <f t="shared" ca="1" si="40"/>
        <v>0.93585410838252081</v>
      </c>
      <c r="BG131" s="839"/>
      <c r="BH131" s="38"/>
      <c r="BJ131"/>
    </row>
    <row r="132" spans="2:62" x14ac:dyDescent="0.2">
      <c r="B132" s="840"/>
      <c r="C132" s="838">
        <v>2</v>
      </c>
      <c r="D132" s="837" t="str">
        <f>INDEX(IPCC[Sector_description], MATCH($C132, IPCC[Sector_code], 0))</f>
        <v>Industrial Processes</v>
      </c>
      <c r="E132" s="837"/>
      <c r="F132" s="876"/>
      <c r="G132" s="2316"/>
      <c r="H132" s="2316"/>
      <c r="I132" s="2316"/>
      <c r="J132" s="2316"/>
      <c r="K132" s="2316"/>
      <c r="L132" s="2316"/>
      <c r="M132" s="2316"/>
      <c r="N132" s="2316"/>
      <c r="O132" s="2316"/>
      <c r="P132" s="2316"/>
      <c r="Q132" s="2316"/>
      <c r="R132" s="2316"/>
      <c r="S132" s="2316"/>
      <c r="T132" s="2316"/>
      <c r="U132" s="2316"/>
      <c r="V132" s="2316"/>
      <c r="W132" s="2316"/>
      <c r="X132" s="2316"/>
      <c r="Y132" s="2316"/>
      <c r="Z132" s="2316"/>
      <c r="AA132" s="2316"/>
      <c r="AB132" s="2316"/>
      <c r="AC132" s="2316"/>
      <c r="AD132" s="2316"/>
      <c r="AE132" s="2316"/>
      <c r="AF132" s="2316"/>
      <c r="AG132" s="2316"/>
      <c r="AH132" s="2316"/>
      <c r="AI132" s="2316"/>
      <c r="AJ132" s="2316"/>
      <c r="AK132" s="2316"/>
      <c r="AL132" s="2316"/>
      <c r="AM132" s="2316"/>
      <c r="AN132" s="2316"/>
      <c r="AO132" s="2316"/>
      <c r="AP132" s="2316"/>
      <c r="AQ132" s="2316"/>
      <c r="AR132" s="2316"/>
      <c r="AS132" s="2316"/>
      <c r="AT132" s="2316"/>
      <c r="AU132" s="2316"/>
      <c r="AV132" s="2316"/>
      <c r="AW132" s="877"/>
      <c r="AX132" s="876">
        <f t="shared" ref="AX132:BF132" ca="1" si="41">AX168*$AX$143/$E$188</f>
        <v>3.4882184192791141E-2</v>
      </c>
      <c r="AY132" s="876">
        <f t="shared" ca="1" si="41"/>
        <v>3.4840636537559269E-2</v>
      </c>
      <c r="AZ132" s="876">
        <f t="shared" ca="1" si="41"/>
        <v>3.4849873436417017E-2</v>
      </c>
      <c r="BA132" s="876">
        <f t="shared" ca="1" si="41"/>
        <v>3.4911341825801377E-2</v>
      </c>
      <c r="BB132" s="876">
        <f t="shared" ca="1" si="41"/>
        <v>3.4446077901012756E-2</v>
      </c>
      <c r="BC132" s="876">
        <f t="shared" ca="1" si="41"/>
        <v>3.4009732538688796E-2</v>
      </c>
      <c r="BD132" s="876">
        <f t="shared" ca="1" si="41"/>
        <v>3.3601660263176257E-2</v>
      </c>
      <c r="BE132" s="876">
        <f t="shared" ca="1" si="41"/>
        <v>3.3221250874010913E-2</v>
      </c>
      <c r="BF132" s="876">
        <f t="shared" ca="1" si="41"/>
        <v>3.4882184192791141E-2</v>
      </c>
      <c r="BG132" s="839"/>
      <c r="BH132" s="38"/>
      <c r="BJ132"/>
    </row>
    <row r="133" spans="2:62" x14ac:dyDescent="0.2">
      <c r="B133" s="840"/>
      <c r="C133" s="838">
        <v>3</v>
      </c>
      <c r="D133" s="837" t="str">
        <f>INDEX(IPCC[Sector_description], MATCH($C133, IPCC[Sector_code], 0))</f>
        <v>Solvent and Other Product Use</v>
      </c>
      <c r="E133" s="837"/>
      <c r="F133" s="876"/>
      <c r="G133" s="2316"/>
      <c r="H133" s="2316"/>
      <c r="I133" s="2316"/>
      <c r="J133" s="2316"/>
      <c r="K133" s="2316"/>
      <c r="L133" s="2316"/>
      <c r="M133" s="2316"/>
      <c r="N133" s="2316"/>
      <c r="O133" s="2316"/>
      <c r="P133" s="2316"/>
      <c r="Q133" s="2316"/>
      <c r="R133" s="2316"/>
      <c r="S133" s="2316"/>
      <c r="T133" s="2316"/>
      <c r="U133" s="2316"/>
      <c r="V133" s="2316"/>
      <c r="W133" s="2316"/>
      <c r="X133" s="2316"/>
      <c r="Y133" s="2316"/>
      <c r="Z133" s="2316"/>
      <c r="AA133" s="2316"/>
      <c r="AB133" s="2316"/>
      <c r="AC133" s="2316"/>
      <c r="AD133" s="2316"/>
      <c r="AE133" s="2316"/>
      <c r="AF133" s="2316"/>
      <c r="AG133" s="2316"/>
      <c r="AH133" s="2316"/>
      <c r="AI133" s="2316"/>
      <c r="AJ133" s="2316"/>
      <c r="AK133" s="2316"/>
      <c r="AL133" s="2316"/>
      <c r="AM133" s="2316"/>
      <c r="AN133" s="2316"/>
      <c r="AO133" s="2316"/>
      <c r="AP133" s="2316"/>
      <c r="AQ133" s="2316"/>
      <c r="AR133" s="2316"/>
      <c r="AS133" s="2316"/>
      <c r="AT133" s="2316"/>
      <c r="AU133" s="2316"/>
      <c r="AV133" s="2316"/>
      <c r="AW133" s="877"/>
      <c r="AX133" s="876">
        <f t="shared" ref="AX133:BF133" ca="1" si="42">AX169*$AX$143/$E$188</f>
        <v>0</v>
      </c>
      <c r="AY133" s="876">
        <f t="shared" ca="1" si="42"/>
        <v>0</v>
      </c>
      <c r="AZ133" s="876">
        <f t="shared" ca="1" si="42"/>
        <v>0</v>
      </c>
      <c r="BA133" s="876">
        <f t="shared" ca="1" si="42"/>
        <v>0</v>
      </c>
      <c r="BB133" s="876">
        <f t="shared" ca="1" si="42"/>
        <v>0</v>
      </c>
      <c r="BC133" s="876">
        <f t="shared" ca="1" si="42"/>
        <v>0</v>
      </c>
      <c r="BD133" s="876">
        <f t="shared" ca="1" si="42"/>
        <v>0</v>
      </c>
      <c r="BE133" s="876">
        <f t="shared" ca="1" si="42"/>
        <v>0</v>
      </c>
      <c r="BF133" s="876">
        <f t="shared" ca="1" si="42"/>
        <v>0</v>
      </c>
      <c r="BG133" s="839"/>
      <c r="BH133" s="38"/>
      <c r="BJ133"/>
    </row>
    <row r="134" spans="2:62" x14ac:dyDescent="0.2">
      <c r="B134" s="840"/>
      <c r="C134" s="838">
        <v>4</v>
      </c>
      <c r="D134" s="837" t="str">
        <f>INDEX(IPCC[Sector_description], MATCH($C134, IPCC[Sector_code], 0))</f>
        <v>Agriculture</v>
      </c>
      <c r="E134" s="837"/>
      <c r="F134" s="876"/>
      <c r="G134" s="2316"/>
      <c r="H134" s="2316"/>
      <c r="I134" s="2316"/>
      <c r="J134" s="2316"/>
      <c r="K134" s="2316"/>
      <c r="L134" s="2316"/>
      <c r="M134" s="2316"/>
      <c r="N134" s="2316"/>
      <c r="O134" s="2316"/>
      <c r="P134" s="2316"/>
      <c r="Q134" s="2316"/>
      <c r="R134" s="2316"/>
      <c r="S134" s="2316"/>
      <c r="T134" s="2316"/>
      <c r="U134" s="2316"/>
      <c r="V134" s="2316"/>
      <c r="W134" s="2316"/>
      <c r="X134" s="2316"/>
      <c r="Y134" s="2316"/>
      <c r="Z134" s="2316"/>
      <c r="AA134" s="2316"/>
      <c r="AB134" s="2316"/>
      <c r="AC134" s="2316"/>
      <c r="AD134" s="2316"/>
      <c r="AE134" s="2316"/>
      <c r="AF134" s="2316"/>
      <c r="AG134" s="2316"/>
      <c r="AH134" s="2316"/>
      <c r="AI134" s="2316"/>
      <c r="AJ134" s="2316"/>
      <c r="AK134" s="2316"/>
      <c r="AL134" s="2316"/>
      <c r="AM134" s="2316"/>
      <c r="AN134" s="2316"/>
      <c r="AO134" s="2316"/>
      <c r="AP134" s="2316"/>
      <c r="AQ134" s="2316"/>
      <c r="AR134" s="2316"/>
      <c r="AS134" s="2316"/>
      <c r="AT134" s="2316"/>
      <c r="AU134" s="2316"/>
      <c r="AV134" s="2316"/>
      <c r="AW134" s="877"/>
      <c r="AX134" s="876">
        <f t="shared" ref="AX134:BF134" ca="1" si="43">AX170*$AX$143/$E$188</f>
        <v>2.9115060857043091E-2</v>
      </c>
      <c r="AY134" s="876">
        <f t="shared" ca="1" si="43"/>
        <v>2.8196158518730106E-2</v>
      </c>
      <c r="AZ134" s="876">
        <f t="shared" ca="1" si="43"/>
        <v>2.7306257717164821E-2</v>
      </c>
      <c r="BA134" s="876">
        <f t="shared" ca="1" si="43"/>
        <v>2.7214468946924843E-2</v>
      </c>
      <c r="BB134" s="876">
        <f t="shared" ca="1" si="43"/>
        <v>2.7122988720551605E-2</v>
      </c>
      <c r="BC134" s="876">
        <f t="shared" ca="1" si="43"/>
        <v>2.7031816000888623E-2</v>
      </c>
      <c r="BD134" s="876">
        <f t="shared" ca="1" si="43"/>
        <v>2.6940949754265777E-2</v>
      </c>
      <c r="BE134" s="876">
        <f t="shared" ca="1" si="43"/>
        <v>2.6850388950487584E-2</v>
      </c>
      <c r="BF134" s="876">
        <f t="shared" ca="1" si="43"/>
        <v>2.6760132562821507E-2</v>
      </c>
      <c r="BG134" s="839"/>
      <c r="BH134" s="38"/>
      <c r="BJ134"/>
    </row>
    <row r="135" spans="2:62" x14ac:dyDescent="0.2">
      <c r="B135" s="840"/>
      <c r="C135" s="838">
        <v>5</v>
      </c>
      <c r="D135" s="837" t="str">
        <f>INDEX(IPCC[Sector_description], MATCH($C135, IPCC[Sector_code], 0))</f>
        <v>LULUCF</v>
      </c>
      <c r="E135" s="837"/>
      <c r="F135" s="876"/>
      <c r="G135" s="2316"/>
      <c r="H135" s="2316"/>
      <c r="I135" s="2316"/>
      <c r="J135" s="2316"/>
      <c r="K135" s="2316"/>
      <c r="L135" s="2316"/>
      <c r="M135" s="2316"/>
      <c r="N135" s="2316"/>
      <c r="O135" s="2316"/>
      <c r="P135" s="2316"/>
      <c r="Q135" s="2316"/>
      <c r="R135" s="2316"/>
      <c r="S135" s="2316"/>
      <c r="T135" s="2316"/>
      <c r="U135" s="2316"/>
      <c r="V135" s="2316"/>
      <c r="W135" s="2316"/>
      <c r="X135" s="2316"/>
      <c r="Y135" s="2316"/>
      <c r="Z135" s="2316"/>
      <c r="AA135" s="2316"/>
      <c r="AB135" s="2316"/>
      <c r="AC135" s="2316"/>
      <c r="AD135" s="2316"/>
      <c r="AE135" s="2316"/>
      <c r="AF135" s="2316"/>
      <c r="AG135" s="2316"/>
      <c r="AH135" s="2316"/>
      <c r="AI135" s="2316"/>
      <c r="AJ135" s="2316"/>
      <c r="AK135" s="2316"/>
      <c r="AL135" s="2316"/>
      <c r="AM135" s="2316"/>
      <c r="AN135" s="2316"/>
      <c r="AO135" s="2316"/>
      <c r="AP135" s="2316"/>
      <c r="AQ135" s="2316"/>
      <c r="AR135" s="2316"/>
      <c r="AS135" s="2316"/>
      <c r="AT135" s="2316"/>
      <c r="AU135" s="2316"/>
      <c r="AV135" s="2316"/>
      <c r="AW135" s="877"/>
      <c r="AX135" s="876">
        <f t="shared" ref="AX135:BF135" ca="1" si="44">AX171*$AX$143/$E$188</f>
        <v>2.3788091132191545E-3</v>
      </c>
      <c r="AY135" s="876">
        <f t="shared" ca="1" si="44"/>
        <v>6.2491063965834587E-3</v>
      </c>
      <c r="AZ135" s="876">
        <f t="shared" ca="1" si="44"/>
        <v>9.1423337107827529E-3</v>
      </c>
      <c r="BA135" s="876">
        <f t="shared" ca="1" si="44"/>
        <v>1.0904384349802685E-2</v>
      </c>
      <c r="BB135" s="876">
        <f t="shared" ca="1" si="44"/>
        <v>9.9199669669540816E-3</v>
      </c>
      <c r="BC135" s="876">
        <f t="shared" ca="1" si="44"/>
        <v>8.1085756904724967E-3</v>
      </c>
      <c r="BD135" s="876">
        <f t="shared" ca="1" si="44"/>
        <v>4.6264521423208327E-3</v>
      </c>
      <c r="BE135" s="876">
        <f t="shared" ca="1" si="44"/>
        <v>7.8314039369477729E-4</v>
      </c>
      <c r="BF135" s="876">
        <f t="shared" ca="1" si="44"/>
        <v>-2.1916211583965996E-3</v>
      </c>
      <c r="BG135" s="839"/>
      <c r="BH135" s="38"/>
      <c r="BJ135"/>
    </row>
    <row r="136" spans="2:62" x14ac:dyDescent="0.2">
      <c r="B136" s="840"/>
      <c r="C136" s="838">
        <v>6</v>
      </c>
      <c r="D136" s="837" t="str">
        <f>INDEX(IPCC[Sector_description], MATCH($C136, IPCC[Sector_code], 0))</f>
        <v>Waste</v>
      </c>
      <c r="E136" s="837"/>
      <c r="F136" s="876"/>
      <c r="G136" s="2316"/>
      <c r="H136" s="2316"/>
      <c r="I136" s="2316"/>
      <c r="J136" s="2316"/>
      <c r="K136" s="2316"/>
      <c r="L136" s="2316"/>
      <c r="M136" s="2316"/>
      <c r="N136" s="2316"/>
      <c r="O136" s="2316"/>
      <c r="P136" s="2316"/>
      <c r="Q136" s="2316"/>
      <c r="R136" s="2316"/>
      <c r="S136" s="2316"/>
      <c r="T136" s="2316"/>
      <c r="U136" s="2316"/>
      <c r="V136" s="2316"/>
      <c r="W136" s="2316"/>
      <c r="X136" s="2316"/>
      <c r="Y136" s="2316"/>
      <c r="Z136" s="2316"/>
      <c r="AA136" s="2316"/>
      <c r="AB136" s="2316"/>
      <c r="AC136" s="2316"/>
      <c r="AD136" s="2316"/>
      <c r="AE136" s="2316"/>
      <c r="AF136" s="2316"/>
      <c r="AG136" s="2316"/>
      <c r="AH136" s="2316"/>
      <c r="AI136" s="2316"/>
      <c r="AJ136" s="2316"/>
      <c r="AK136" s="2316"/>
      <c r="AL136" s="2316"/>
      <c r="AM136" s="2316"/>
      <c r="AN136" s="2316"/>
      <c r="AO136" s="2316"/>
      <c r="AP136" s="2316"/>
      <c r="AQ136" s="2316"/>
      <c r="AR136" s="2316"/>
      <c r="AS136" s="2316"/>
      <c r="AT136" s="2316"/>
      <c r="AU136" s="2316"/>
      <c r="AV136" s="2316"/>
      <c r="AW136" s="877"/>
      <c r="AX136" s="876">
        <f t="shared" ref="AX136:BF136" ca="1" si="45">AX172*$AX$143/$E$188</f>
        <v>1.6410002850588429E-2</v>
      </c>
      <c r="AY136" s="876">
        <f t="shared" ca="1" si="45"/>
        <v>1.3515776986134802E-2</v>
      </c>
      <c r="AZ136" s="876">
        <f t="shared" ca="1" si="45"/>
        <v>1.0621551121681175E-2</v>
      </c>
      <c r="BA136" s="876">
        <f t="shared" ca="1" si="45"/>
        <v>7.9910659537047787E-3</v>
      </c>
      <c r="BB136" s="876">
        <f t="shared" ca="1" si="45"/>
        <v>5.6352067514232815E-3</v>
      </c>
      <c r="BC136" s="876">
        <f t="shared" ca="1" si="45"/>
        <v>4.3659091787620454E-3</v>
      </c>
      <c r="BD136" s="876">
        <f t="shared" ca="1" si="45"/>
        <v>3.2359149611414888E-3</v>
      </c>
      <c r="BE136" s="876">
        <f t="shared" ca="1" si="45"/>
        <v>2.2452240985616082E-3</v>
      </c>
      <c r="BF136" s="876">
        <f t="shared" ca="1" si="45"/>
        <v>1.3938365910224021E-3</v>
      </c>
      <c r="BG136" s="839"/>
      <c r="BH136" s="38"/>
      <c r="BJ136"/>
    </row>
    <row r="137" spans="2:62" s="81" customFormat="1" x14ac:dyDescent="0.2">
      <c r="B137" s="840"/>
      <c r="C137" s="838">
        <v>7</v>
      </c>
      <c r="D137" s="837" t="str">
        <f>INDEX(IPCC[Sector_description], MATCH($C137, IPCC[Sector_code], 0))</f>
        <v>Other</v>
      </c>
      <c r="E137" s="837"/>
      <c r="F137" s="876"/>
      <c r="G137" s="2316"/>
      <c r="H137" s="2316"/>
      <c r="I137" s="2316"/>
      <c r="J137" s="2316"/>
      <c r="K137" s="2316"/>
      <c r="L137" s="2316"/>
      <c r="M137" s="2316"/>
      <c r="N137" s="2316"/>
      <c r="O137" s="2316"/>
      <c r="P137" s="2316"/>
      <c r="Q137" s="2316"/>
      <c r="R137" s="2316"/>
      <c r="S137" s="2316"/>
      <c r="T137" s="2316"/>
      <c r="U137" s="2316"/>
      <c r="V137" s="2316"/>
      <c r="W137" s="2316"/>
      <c r="X137" s="2316"/>
      <c r="Y137" s="2316"/>
      <c r="Z137" s="2316"/>
      <c r="AA137" s="2316"/>
      <c r="AB137" s="2316"/>
      <c r="AC137" s="2316"/>
      <c r="AD137" s="2316"/>
      <c r="AE137" s="2316"/>
      <c r="AF137" s="2316"/>
      <c r="AG137" s="2316"/>
      <c r="AH137" s="2316"/>
      <c r="AI137" s="2316"/>
      <c r="AJ137" s="2316"/>
      <c r="AK137" s="2316"/>
      <c r="AL137" s="2316"/>
      <c r="AM137" s="2316"/>
      <c r="AN137" s="2316"/>
      <c r="AO137" s="2316"/>
      <c r="AP137" s="2316"/>
      <c r="AQ137" s="2316"/>
      <c r="AR137" s="2316"/>
      <c r="AS137" s="2316"/>
      <c r="AT137" s="2316"/>
      <c r="AU137" s="2316"/>
      <c r="AV137" s="2316"/>
      <c r="AW137" s="877"/>
      <c r="AX137" s="876">
        <f t="shared" ref="AX137:BF137" ca="1" si="46">AX173*$AX$143/$E$188</f>
        <v>0</v>
      </c>
      <c r="AY137" s="876">
        <f t="shared" ca="1" si="46"/>
        <v>0</v>
      </c>
      <c r="AZ137" s="876">
        <f t="shared" ca="1" si="46"/>
        <v>0</v>
      </c>
      <c r="BA137" s="876">
        <f t="shared" ca="1" si="46"/>
        <v>0</v>
      </c>
      <c r="BB137" s="876">
        <f t="shared" ca="1" si="46"/>
        <v>0</v>
      </c>
      <c r="BC137" s="876">
        <f t="shared" ca="1" si="46"/>
        <v>0</v>
      </c>
      <c r="BD137" s="876">
        <f t="shared" ca="1" si="46"/>
        <v>0</v>
      </c>
      <c r="BE137" s="876">
        <f t="shared" ca="1" si="46"/>
        <v>0</v>
      </c>
      <c r="BF137" s="876">
        <f t="shared" ca="1" si="46"/>
        <v>0</v>
      </c>
      <c r="BG137" s="839"/>
    </row>
    <row r="138" spans="2:62" x14ac:dyDescent="0.2">
      <c r="B138" s="842"/>
      <c r="C138" s="838" t="s">
        <v>469</v>
      </c>
      <c r="D138" s="844" t="str">
        <f>INDEX(IPCC[Sector_description], MATCH($C138, IPCC[Sector_code], 0))</f>
        <v>Bioenergy credit</v>
      </c>
      <c r="E138" s="837"/>
      <c r="F138" s="845"/>
      <c r="G138" s="2315"/>
      <c r="H138" s="2315"/>
      <c r="I138" s="2315"/>
      <c r="J138" s="2315"/>
      <c r="K138" s="2315"/>
      <c r="L138" s="2315"/>
      <c r="M138" s="2315"/>
      <c r="N138" s="2315"/>
      <c r="O138" s="2315"/>
      <c r="P138" s="2315"/>
      <c r="Q138" s="2315"/>
      <c r="R138" s="2315"/>
      <c r="S138" s="2315"/>
      <c r="T138" s="2315"/>
      <c r="U138" s="2315"/>
      <c r="V138" s="2315"/>
      <c r="W138" s="2315"/>
      <c r="X138" s="2315"/>
      <c r="Y138" s="2315"/>
      <c r="Z138" s="2315"/>
      <c r="AA138" s="2315"/>
      <c r="AB138" s="2315"/>
      <c r="AC138" s="2315"/>
      <c r="AD138" s="2315"/>
      <c r="AE138" s="2315"/>
      <c r="AF138" s="2315"/>
      <c r="AG138" s="2315"/>
      <c r="AH138" s="2315"/>
      <c r="AI138" s="2315"/>
      <c r="AJ138" s="2315"/>
      <c r="AK138" s="2315"/>
      <c r="AL138" s="2315"/>
      <c r="AM138" s="2315"/>
      <c r="AN138" s="2315"/>
      <c r="AO138" s="2315"/>
      <c r="AP138" s="2315"/>
      <c r="AQ138" s="2315"/>
      <c r="AR138" s="2315"/>
      <c r="AS138" s="2315"/>
      <c r="AT138" s="2315"/>
      <c r="AU138" s="2315"/>
      <c r="AV138" s="2315"/>
      <c r="AW138" s="846"/>
      <c r="AX138" s="876">
        <f t="shared" ref="AX138:BF138" ca="1" si="47">AX174*$AX$143/$E$188</f>
        <v>-8.752620904126468E-2</v>
      </c>
      <c r="AY138" s="876">
        <f t="shared" ca="1" si="47"/>
        <v>-9.9787442306399729E-2</v>
      </c>
      <c r="AZ138" s="876">
        <f t="shared" ca="1" si="47"/>
        <v>-0.11497383342469135</v>
      </c>
      <c r="BA138" s="876">
        <f t="shared" ca="1" si="47"/>
        <v>-0.14434964605193185</v>
      </c>
      <c r="BB138" s="876">
        <f t="shared" ca="1" si="47"/>
        <v>-0.15635630767987899</v>
      </c>
      <c r="BC138" s="876">
        <f t="shared" ca="1" si="47"/>
        <v>-0.17094597391703839</v>
      </c>
      <c r="BD138" s="876">
        <f t="shared" ca="1" si="47"/>
        <v>-0.185122589594124</v>
      </c>
      <c r="BE138" s="876">
        <f t="shared" ca="1" si="47"/>
        <v>-0.20027640176798431</v>
      </c>
      <c r="BF138" s="876">
        <f t="shared" ca="1" si="47"/>
        <v>-0.21478632602817205</v>
      </c>
      <c r="BG138" s="847"/>
      <c r="BH138" s="769"/>
      <c r="BJ138"/>
    </row>
    <row r="139" spans="2:62" x14ac:dyDescent="0.2">
      <c r="B139" s="840"/>
      <c r="C139" s="838" t="s">
        <v>495</v>
      </c>
      <c r="D139" s="844" t="str">
        <f>INDEX(IPCC[Sector_description], MATCH($C139, IPCC[Sector_code], 0))</f>
        <v>Carbon capture</v>
      </c>
      <c r="E139" s="837"/>
      <c r="F139" s="845"/>
      <c r="G139" s="2315"/>
      <c r="H139" s="2315"/>
      <c r="I139" s="2315"/>
      <c r="J139" s="2315"/>
      <c r="K139" s="2315"/>
      <c r="L139" s="2315"/>
      <c r="M139" s="2315"/>
      <c r="N139" s="2315"/>
      <c r="O139" s="2315"/>
      <c r="P139" s="2315"/>
      <c r="Q139" s="2315"/>
      <c r="R139" s="2315"/>
      <c r="S139" s="2315"/>
      <c r="T139" s="2315"/>
      <c r="U139" s="2315"/>
      <c r="V139" s="2315"/>
      <c r="W139" s="2315"/>
      <c r="X139" s="2315"/>
      <c r="Y139" s="2315"/>
      <c r="Z139" s="2315"/>
      <c r="AA139" s="2315"/>
      <c r="AB139" s="2315"/>
      <c r="AC139" s="2315"/>
      <c r="AD139" s="2315"/>
      <c r="AE139" s="2315"/>
      <c r="AF139" s="2315"/>
      <c r="AG139" s="2315"/>
      <c r="AH139" s="2315"/>
      <c r="AI139" s="2315"/>
      <c r="AJ139" s="2315"/>
      <c r="AK139" s="2315"/>
      <c r="AL139" s="2315"/>
      <c r="AM139" s="2315"/>
      <c r="AN139" s="2315"/>
      <c r="AO139" s="2315"/>
      <c r="AP139" s="2315"/>
      <c r="AQ139" s="2315"/>
      <c r="AR139" s="2315"/>
      <c r="AS139" s="2315"/>
      <c r="AT139" s="2315"/>
      <c r="AU139" s="2315"/>
      <c r="AV139" s="2315"/>
      <c r="AW139" s="846"/>
      <c r="AX139" s="876">
        <f t="shared" ref="AX139:BF139" ca="1" si="48">AX175*$AX$143/$E$188</f>
        <v>0</v>
      </c>
      <c r="AY139" s="876">
        <f t="shared" ca="1" si="48"/>
        <v>0</v>
      </c>
      <c r="AZ139" s="876">
        <f t="shared" ca="1" si="48"/>
        <v>0</v>
      </c>
      <c r="BA139" s="876">
        <f t="shared" ca="1" si="48"/>
        <v>0</v>
      </c>
      <c r="BB139" s="876">
        <f t="shared" ca="1" si="48"/>
        <v>0</v>
      </c>
      <c r="BC139" s="876">
        <f t="shared" ca="1" si="48"/>
        <v>0</v>
      </c>
      <c r="BD139" s="876">
        <f t="shared" ca="1" si="48"/>
        <v>0</v>
      </c>
      <c r="BE139" s="876">
        <f t="shared" ca="1" si="48"/>
        <v>0</v>
      </c>
      <c r="BF139" s="876">
        <f t="shared" ca="1" si="48"/>
        <v>0</v>
      </c>
      <c r="BG139" s="839"/>
      <c r="BH139" s="38"/>
      <c r="BJ139"/>
    </row>
    <row r="140" spans="2:62" s="39" customFormat="1" x14ac:dyDescent="0.2">
      <c r="B140" s="840"/>
      <c r="C140" s="837"/>
      <c r="D140" s="841" t="s">
        <v>105</v>
      </c>
      <c r="E140" s="837"/>
      <c r="F140" s="878"/>
      <c r="G140" s="2317"/>
      <c r="H140" s="2317"/>
      <c r="I140" s="2317"/>
      <c r="J140" s="2317"/>
      <c r="K140" s="2317"/>
      <c r="L140" s="2317"/>
      <c r="M140" s="2317"/>
      <c r="N140" s="2317"/>
      <c r="O140" s="2317"/>
      <c r="P140" s="2317"/>
      <c r="Q140" s="2317"/>
      <c r="R140" s="2317"/>
      <c r="S140" s="2317"/>
      <c r="T140" s="2317"/>
      <c r="U140" s="2317"/>
      <c r="V140" s="2317"/>
      <c r="W140" s="2317"/>
      <c r="X140" s="2317"/>
      <c r="Y140" s="2317"/>
      <c r="Z140" s="2317"/>
      <c r="AA140" s="2317"/>
      <c r="AB140" s="2317"/>
      <c r="AC140" s="2317"/>
      <c r="AD140" s="2317"/>
      <c r="AE140" s="2317"/>
      <c r="AF140" s="2317"/>
      <c r="AG140" s="2317"/>
      <c r="AH140" s="2317"/>
      <c r="AI140" s="2317"/>
      <c r="AJ140" s="2317"/>
      <c r="AK140" s="2317"/>
      <c r="AL140" s="2317"/>
      <c r="AM140" s="2317"/>
      <c r="AN140" s="2317"/>
      <c r="AO140" s="2317"/>
      <c r="AP140" s="2317"/>
      <c r="AQ140" s="2317"/>
      <c r="AR140" s="2317"/>
      <c r="AS140" s="2317"/>
      <c r="AT140" s="2317"/>
      <c r="AU140" s="2317"/>
      <c r="AV140" s="2317"/>
      <c r="AW140" s="876"/>
      <c r="AX140" s="876">
        <f t="shared" ref="AX140:BF140" ca="1" si="49">AX176*$AX$143/$E$188</f>
        <v>0.18595559883611001</v>
      </c>
      <c r="AY140" s="876">
        <f t="shared" ca="1" si="49"/>
        <v>0.19416790730456329</v>
      </c>
      <c r="AZ140" s="876">
        <f t="shared" ca="1" si="49"/>
        <v>0.23185391002309294</v>
      </c>
      <c r="BA140" s="876">
        <f t="shared" ca="1" si="49"/>
        <v>0.26197814653271662</v>
      </c>
      <c r="BB140" s="876">
        <f t="shared" ca="1" si="49"/>
        <v>0.33691422057812714</v>
      </c>
      <c r="BC140" s="876">
        <f t="shared" ca="1" si="49"/>
        <v>0.45651436324877309</v>
      </c>
      <c r="BD140" s="876">
        <f t="shared" ca="1" si="49"/>
        <v>0.5706453163827766</v>
      </c>
      <c r="BE140" s="876">
        <f t="shared" ca="1" si="49"/>
        <v>0.67759905678212007</v>
      </c>
      <c r="BF140" s="876">
        <f t="shared" ca="1" si="49"/>
        <v>0.78191231454258725</v>
      </c>
      <c r="BG140" s="839"/>
    </row>
    <row r="141" spans="2:62" x14ac:dyDescent="0.2">
      <c r="B141" s="840"/>
      <c r="C141" s="837"/>
      <c r="D141" s="837"/>
      <c r="E141" s="837"/>
      <c r="F141" s="877"/>
      <c r="G141" s="877"/>
      <c r="H141" s="2318"/>
      <c r="I141" s="2318"/>
      <c r="J141" s="2318"/>
      <c r="K141" s="2318"/>
      <c r="L141" s="2318"/>
      <c r="M141" s="2318"/>
      <c r="N141" s="2318"/>
      <c r="O141" s="2318"/>
      <c r="P141" s="2318"/>
      <c r="Q141" s="2318"/>
      <c r="R141" s="2318"/>
      <c r="S141" s="2318"/>
      <c r="T141" s="2318"/>
      <c r="U141" s="2318"/>
      <c r="V141" s="2318"/>
      <c r="W141" s="2318"/>
      <c r="X141" s="2318"/>
      <c r="Y141" s="2318"/>
      <c r="Z141" s="2318"/>
      <c r="AA141" s="2318"/>
      <c r="AB141" s="2318"/>
      <c r="AC141" s="2318"/>
      <c r="AD141" s="2318"/>
      <c r="AE141" s="2318"/>
      <c r="AF141" s="2318"/>
      <c r="AG141" s="2318"/>
      <c r="AH141" s="2318"/>
      <c r="AI141" s="2318"/>
      <c r="AJ141" s="2318"/>
      <c r="AK141" s="2318"/>
      <c r="AL141" s="2318"/>
      <c r="AM141" s="2318"/>
      <c r="AN141" s="2318"/>
      <c r="AO141" s="2318"/>
      <c r="AP141" s="2318"/>
      <c r="AQ141" s="2318"/>
      <c r="AR141" s="2318"/>
      <c r="AS141" s="2318"/>
      <c r="AT141" s="2318"/>
      <c r="AU141" s="2318"/>
      <c r="AV141" s="2318"/>
      <c r="AW141" s="2318"/>
      <c r="AX141" s="877"/>
      <c r="AY141" s="877"/>
      <c r="AZ141" s="877"/>
      <c r="BA141" s="877"/>
      <c r="BB141" s="877"/>
      <c r="BC141" s="877"/>
      <c r="BD141" s="877"/>
      <c r="BE141" s="877"/>
      <c r="BF141" s="877"/>
      <c r="BG141" s="877"/>
      <c r="BH141" s="839"/>
      <c r="BI141" s="38"/>
      <c r="BJ141"/>
    </row>
    <row r="142" spans="2:62" s="84" customFormat="1" ht="13.5" customHeight="1" x14ac:dyDescent="0.2">
      <c r="B142" s="840"/>
      <c r="C142" s="837"/>
      <c r="D142" s="837"/>
      <c r="E142" s="837"/>
      <c r="F142" s="837"/>
      <c r="G142" s="837"/>
      <c r="H142" s="2314"/>
      <c r="I142" s="2314"/>
      <c r="J142" s="2314"/>
      <c r="K142" s="2314"/>
      <c r="L142" s="2314"/>
      <c r="M142" s="2314"/>
      <c r="N142" s="2314"/>
      <c r="O142" s="2314"/>
      <c r="P142" s="2314"/>
      <c r="Q142" s="2314"/>
      <c r="R142" s="2314"/>
      <c r="S142" s="2314"/>
      <c r="T142" s="2314"/>
      <c r="U142" s="2314"/>
      <c r="V142" s="2314"/>
      <c r="W142" s="2314"/>
      <c r="X142" s="2314"/>
      <c r="Y142" s="2314"/>
      <c r="Z142" s="2314"/>
      <c r="AA142" s="2314"/>
      <c r="AB142" s="2314"/>
      <c r="AC142" s="2314"/>
      <c r="AD142" s="2314"/>
      <c r="AE142" s="2314"/>
      <c r="AF142" s="2314"/>
      <c r="AG142" s="2314"/>
      <c r="AH142" s="2314"/>
      <c r="AI142" s="2314"/>
      <c r="AJ142" s="2314"/>
      <c r="AK142" s="2314"/>
      <c r="AL142" s="2314"/>
      <c r="AM142" s="2314"/>
      <c r="AN142" s="2314"/>
      <c r="AO142" s="2314"/>
      <c r="AP142" s="2314"/>
      <c r="AQ142" s="2314"/>
      <c r="AR142" s="2314"/>
      <c r="AS142" s="2314"/>
      <c r="AT142" s="2314"/>
      <c r="AU142" s="2314"/>
      <c r="AV142" s="2314"/>
      <c r="AW142" s="2314"/>
      <c r="AX142" s="837"/>
      <c r="AY142" s="837"/>
      <c r="AZ142" s="837"/>
      <c r="BA142" s="837"/>
      <c r="BB142" s="837"/>
      <c r="BC142" s="837"/>
      <c r="BD142" s="837"/>
      <c r="BE142" s="837"/>
      <c r="BF142" s="837"/>
      <c r="BG142" s="839"/>
    </row>
    <row r="143" spans="2:62" s="84" customFormat="1" ht="13.5" customHeight="1" x14ac:dyDescent="0.2">
      <c r="B143" s="873"/>
      <c r="C143" s="874"/>
      <c r="D143" s="969"/>
      <c r="E143" s="969" t="s">
        <v>853</v>
      </c>
      <c r="F143" s="968"/>
      <c r="G143" s="968"/>
      <c r="H143" s="2319"/>
      <c r="I143" s="2319"/>
      <c r="J143" s="2319"/>
      <c r="K143" s="2319"/>
      <c r="L143" s="2319"/>
      <c r="M143" s="2319"/>
      <c r="N143" s="2319"/>
      <c r="O143" s="2319"/>
      <c r="P143" s="2319"/>
      <c r="Q143" s="2319"/>
      <c r="R143" s="2319"/>
      <c r="S143" s="2319"/>
      <c r="T143" s="2319"/>
      <c r="U143" s="2319"/>
      <c r="V143" s="2319"/>
      <c r="W143" s="2319"/>
      <c r="X143" s="2319"/>
      <c r="Y143" s="2319"/>
      <c r="Z143" s="2319"/>
      <c r="AA143" s="2319"/>
      <c r="AB143" s="2319"/>
      <c r="AC143" s="2319"/>
      <c r="AD143" s="2319"/>
      <c r="AE143" s="2319"/>
      <c r="AF143" s="2319"/>
      <c r="AG143" s="2319"/>
      <c r="AH143" s="2319"/>
      <c r="AI143" s="2319"/>
      <c r="AJ143" s="2319"/>
      <c r="AK143" s="2319"/>
      <c r="AL143" s="2319"/>
      <c r="AM143" s="2319"/>
      <c r="AN143" s="2319"/>
      <c r="AO143" s="2319"/>
      <c r="AP143" s="2319"/>
      <c r="AQ143" s="2319"/>
      <c r="AR143" s="2319"/>
      <c r="AS143" s="2319"/>
      <c r="AT143" s="2319"/>
      <c r="AU143" s="2319"/>
      <c r="AV143" s="2319"/>
      <c r="AW143" s="2319"/>
      <c r="AX143" s="2610">
        <v>1</v>
      </c>
      <c r="AY143" s="874"/>
      <c r="AZ143" s="874"/>
      <c r="BA143" s="874"/>
      <c r="BB143" s="874"/>
      <c r="BC143" s="874"/>
      <c r="BD143" s="874"/>
      <c r="BE143" s="1293" t="s">
        <v>1314</v>
      </c>
      <c r="BF143" s="1292">
        <f ca="1">1-BF140</f>
        <v>0.21808768545741275</v>
      </c>
      <c r="BG143" s="875"/>
    </row>
    <row r="144" spans="2:62" s="84" customFormat="1" ht="13.5" customHeight="1" x14ac:dyDescent="0.2">
      <c r="B144" s="873"/>
      <c r="C144" s="874"/>
      <c r="D144" s="969"/>
      <c r="E144" s="969"/>
      <c r="F144" s="968"/>
      <c r="G144" s="968"/>
      <c r="H144" s="2319"/>
      <c r="I144" s="2319"/>
      <c r="J144" s="2319"/>
      <c r="K144" s="2319"/>
      <c r="L144" s="2319"/>
      <c r="M144" s="2319"/>
      <c r="N144" s="2319"/>
      <c r="O144" s="2319"/>
      <c r="P144" s="2319"/>
      <c r="Q144" s="2319"/>
      <c r="R144" s="2319"/>
      <c r="S144" s="2319"/>
      <c r="T144" s="2319"/>
      <c r="U144" s="2319"/>
      <c r="V144" s="2319"/>
      <c r="W144" s="2319"/>
      <c r="X144" s="2319"/>
      <c r="Y144" s="2319"/>
      <c r="Z144" s="2319"/>
      <c r="AA144" s="2319"/>
      <c r="AB144" s="2319"/>
      <c r="AC144" s="2319"/>
      <c r="AD144" s="2319"/>
      <c r="AE144" s="2319"/>
      <c r="AF144" s="2319"/>
      <c r="AG144" s="2319"/>
      <c r="AH144" s="2319"/>
      <c r="AI144" s="2319"/>
      <c r="AJ144" s="2319"/>
      <c r="AK144" s="2319"/>
      <c r="AL144" s="2319"/>
      <c r="AM144" s="2319"/>
      <c r="AN144" s="2319"/>
      <c r="AO144" s="2319"/>
      <c r="AP144" s="2319"/>
      <c r="AQ144" s="2319"/>
      <c r="AR144" s="2319"/>
      <c r="AS144" s="2319"/>
      <c r="AT144" s="2319"/>
      <c r="AU144" s="2319"/>
      <c r="AV144" s="2319"/>
      <c r="AW144" s="2319"/>
      <c r="AX144" s="874"/>
      <c r="AY144" s="874"/>
      <c r="AZ144" s="874"/>
      <c r="BA144" s="874"/>
      <c r="BB144" s="874"/>
      <c r="BC144" s="874"/>
      <c r="BD144" s="874"/>
      <c r="BE144" s="1293"/>
      <c r="BF144" s="1292"/>
      <c r="BG144" s="875"/>
    </row>
    <row r="145" spans="2:59" s="84" customFormat="1" ht="13.5" customHeight="1" x14ac:dyDescent="0.2">
      <c r="B145" s="873"/>
      <c r="C145" s="874" t="s">
        <v>1322</v>
      </c>
      <c r="D145" s="969"/>
      <c r="E145" s="969"/>
      <c r="F145" s="969" t="s">
        <v>117</v>
      </c>
      <c r="G145" s="969"/>
      <c r="H145" s="2320"/>
      <c r="I145" s="2320"/>
      <c r="J145" s="2320"/>
      <c r="K145" s="2320"/>
      <c r="L145" s="2320"/>
      <c r="M145" s="2320"/>
      <c r="N145" s="2320"/>
      <c r="O145" s="2320"/>
      <c r="P145" s="2320"/>
      <c r="Q145" s="2320"/>
      <c r="R145" s="2320"/>
      <c r="S145" s="2320"/>
      <c r="T145" s="2320"/>
      <c r="U145" s="2320"/>
      <c r="V145" s="2320"/>
      <c r="W145" s="2320"/>
      <c r="X145" s="2320"/>
      <c r="Y145" s="2320"/>
      <c r="Z145" s="2320"/>
      <c r="AA145" s="2320"/>
      <c r="AB145" s="2320"/>
      <c r="AC145" s="2320"/>
      <c r="AD145" s="2320"/>
      <c r="AE145" s="2320"/>
      <c r="AF145" s="2320"/>
      <c r="AG145" s="2320"/>
      <c r="AH145" s="2320"/>
      <c r="AI145" s="2320"/>
      <c r="AJ145" s="2320"/>
      <c r="AK145" s="2320"/>
      <c r="AL145" s="2320"/>
      <c r="AM145" s="2320"/>
      <c r="AN145" s="2320"/>
      <c r="AO145" s="2320"/>
      <c r="AP145" s="2320"/>
      <c r="AQ145" s="2320"/>
      <c r="AR145" s="2320"/>
      <c r="AS145" s="2320"/>
      <c r="AT145" s="2320"/>
      <c r="AU145" s="2320"/>
      <c r="AV145" s="2320"/>
      <c r="AW145" s="2320"/>
      <c r="AX145" s="837">
        <v>2010</v>
      </c>
      <c r="AY145" s="837">
        <v>2015</v>
      </c>
      <c r="AZ145" s="837">
        <v>2020</v>
      </c>
      <c r="BA145" s="837">
        <v>2025</v>
      </c>
      <c r="BB145" s="837">
        <v>2030</v>
      </c>
      <c r="BC145" s="837">
        <v>2035</v>
      </c>
      <c r="BD145" s="837">
        <v>2040</v>
      </c>
      <c r="BE145" s="837">
        <v>2045</v>
      </c>
      <c r="BF145" s="838">
        <v>2050</v>
      </c>
      <c r="BG145" s="875"/>
    </row>
    <row r="146" spans="2:59" s="84" customFormat="1" ht="13.5" customHeight="1" x14ac:dyDescent="0.2">
      <c r="B146" s="873"/>
      <c r="C146" s="969" t="s">
        <v>60</v>
      </c>
      <c r="D146" s="969"/>
      <c r="E146" s="969"/>
      <c r="F146" s="1323" t="s">
        <v>179</v>
      </c>
      <c r="G146" s="1323"/>
      <c r="H146" s="2321"/>
      <c r="I146" s="2321"/>
      <c r="J146" s="2321"/>
      <c r="K146" s="2321"/>
      <c r="L146" s="2321"/>
      <c r="M146" s="2321"/>
      <c r="N146" s="2321"/>
      <c r="O146" s="2321"/>
      <c r="P146" s="2321"/>
      <c r="Q146" s="2321"/>
      <c r="R146" s="2321"/>
      <c r="S146" s="2321"/>
      <c r="T146" s="2321"/>
      <c r="U146" s="2321"/>
      <c r="V146" s="2321"/>
      <c r="W146" s="2321"/>
      <c r="X146" s="2321"/>
      <c r="Y146" s="2321"/>
      <c r="Z146" s="2321"/>
      <c r="AA146" s="2321"/>
      <c r="AB146" s="2321"/>
      <c r="AC146" s="2321"/>
      <c r="AD146" s="2321"/>
      <c r="AE146" s="2321"/>
      <c r="AF146" s="2321"/>
      <c r="AG146" s="2321"/>
      <c r="AH146" s="2321"/>
      <c r="AI146" s="2321"/>
      <c r="AJ146" s="2321"/>
      <c r="AK146" s="2321"/>
      <c r="AL146" s="2321"/>
      <c r="AM146" s="2321"/>
      <c r="AN146" s="2321"/>
      <c r="AO146" s="2321"/>
      <c r="AP146" s="2321"/>
      <c r="AQ146" s="2321"/>
      <c r="AR146" s="2321"/>
      <c r="AS146" s="2321"/>
      <c r="AT146" s="2321"/>
      <c r="AU146" s="2321"/>
      <c r="AV146" s="2321"/>
      <c r="AW146" s="2321"/>
      <c r="AX146" s="1300">
        <f t="shared" ref="AX146:BF154" ca="1" si="50">SUMIFS(INDIRECT("'"&amp;AX$145&amp;"'!Year.EmissionsBySector"), INDIRECT("'"&amp;AX$145&amp;"'!Year.Modules"),$C146)</f>
        <v>10.773783422309908</v>
      </c>
      <c r="AY146" s="1300">
        <f t="shared" ca="1" si="50"/>
        <v>22.479646124907106</v>
      </c>
      <c r="AZ146" s="1300">
        <f t="shared" ca="1" si="50"/>
        <v>54.548560119226764</v>
      </c>
      <c r="BA146" s="1300">
        <f t="shared" ca="1" si="50"/>
        <v>101.29973062344642</v>
      </c>
      <c r="BB146" s="1300">
        <f t="shared" ca="1" si="50"/>
        <v>168.81947270417561</v>
      </c>
      <c r="BC146" s="1300">
        <f t="shared" ca="1" si="50"/>
        <v>267.93401612751722</v>
      </c>
      <c r="BD146" s="1300">
        <f t="shared" ca="1" si="50"/>
        <v>371.30258296786997</v>
      </c>
      <c r="BE146" s="1300">
        <f t="shared" ca="1" si="50"/>
        <v>474.12883394010095</v>
      </c>
      <c r="BF146" s="1300">
        <f t="shared" ca="1" si="50"/>
        <v>576.93127599111767</v>
      </c>
      <c r="BG146" s="875"/>
    </row>
    <row r="147" spans="2:59" s="84" customFormat="1" ht="13.5" customHeight="1" x14ac:dyDescent="0.2">
      <c r="B147" s="873"/>
      <c r="C147" s="969" t="s">
        <v>61</v>
      </c>
      <c r="D147" s="969"/>
      <c r="E147" s="969"/>
      <c r="F147" s="1323" t="s">
        <v>180</v>
      </c>
      <c r="G147" s="1323"/>
      <c r="H147" s="2321"/>
      <c r="I147" s="2321"/>
      <c r="J147" s="2321"/>
      <c r="K147" s="2321"/>
      <c r="L147" s="2321"/>
      <c r="M147" s="2321"/>
      <c r="N147" s="2321"/>
      <c r="O147" s="2321"/>
      <c r="P147" s="2321"/>
      <c r="Q147" s="2321"/>
      <c r="R147" s="2321"/>
      <c r="S147" s="2321"/>
      <c r="T147" s="2321"/>
      <c r="U147" s="2321"/>
      <c r="V147" s="2321"/>
      <c r="W147" s="2321"/>
      <c r="X147" s="2321"/>
      <c r="Y147" s="2321"/>
      <c r="Z147" s="2321"/>
      <c r="AA147" s="2321"/>
      <c r="AB147" s="2321"/>
      <c r="AC147" s="2321"/>
      <c r="AD147" s="2321"/>
      <c r="AE147" s="2321"/>
      <c r="AF147" s="2321"/>
      <c r="AG147" s="2321"/>
      <c r="AH147" s="2321"/>
      <c r="AI147" s="2321"/>
      <c r="AJ147" s="2321"/>
      <c r="AK147" s="2321"/>
      <c r="AL147" s="2321"/>
      <c r="AM147" s="2321"/>
      <c r="AN147" s="2321"/>
      <c r="AO147" s="2321"/>
      <c r="AP147" s="2321"/>
      <c r="AQ147" s="2321"/>
      <c r="AR147" s="2321"/>
      <c r="AS147" s="2321"/>
      <c r="AT147" s="2321"/>
      <c r="AU147" s="2321"/>
      <c r="AV147" s="2321"/>
      <c r="AW147" s="2321"/>
      <c r="AX147" s="1300">
        <f t="shared" ca="1" si="50"/>
        <v>0</v>
      </c>
      <c r="AY147" s="1300">
        <f t="shared" ca="1" si="50"/>
        <v>0</v>
      </c>
      <c r="AZ147" s="1300">
        <f t="shared" ca="1" si="50"/>
        <v>0</v>
      </c>
      <c r="BA147" s="1300">
        <f t="shared" ca="1" si="50"/>
        <v>0</v>
      </c>
      <c r="BB147" s="1300">
        <f t="shared" ca="1" si="50"/>
        <v>0</v>
      </c>
      <c r="BC147" s="1300">
        <f t="shared" ca="1" si="50"/>
        <v>0</v>
      </c>
      <c r="BD147" s="1300">
        <f t="shared" ca="1" si="50"/>
        <v>0</v>
      </c>
      <c r="BE147" s="1300">
        <f t="shared" ca="1" si="50"/>
        <v>0</v>
      </c>
      <c r="BF147" s="1300">
        <f t="shared" ca="1" si="50"/>
        <v>0</v>
      </c>
      <c r="BG147" s="875"/>
    </row>
    <row r="148" spans="2:59" s="84" customFormat="1" ht="13.5" customHeight="1" x14ac:dyDescent="0.2">
      <c r="B148" s="873"/>
      <c r="C148" s="969" t="s">
        <v>62</v>
      </c>
      <c r="D148" s="969"/>
      <c r="E148" s="969"/>
      <c r="F148" s="1323" t="s">
        <v>181</v>
      </c>
      <c r="G148" s="1323"/>
      <c r="H148" s="2321"/>
      <c r="I148" s="2321"/>
      <c r="J148" s="2321"/>
      <c r="K148" s="2321"/>
      <c r="L148" s="2321"/>
      <c r="M148" s="2321"/>
      <c r="N148" s="2321"/>
      <c r="O148" s="2321"/>
      <c r="P148" s="2321"/>
      <c r="Q148" s="2321"/>
      <c r="R148" s="2321"/>
      <c r="S148" s="2321"/>
      <c r="T148" s="2321"/>
      <c r="U148" s="2321"/>
      <c r="V148" s="2321"/>
      <c r="W148" s="2321"/>
      <c r="X148" s="2321"/>
      <c r="Y148" s="2321"/>
      <c r="Z148" s="2321"/>
      <c r="AA148" s="2321"/>
      <c r="AB148" s="2321"/>
      <c r="AC148" s="2321"/>
      <c r="AD148" s="2321"/>
      <c r="AE148" s="2321"/>
      <c r="AF148" s="2321"/>
      <c r="AG148" s="2321"/>
      <c r="AH148" s="2321"/>
      <c r="AI148" s="2321"/>
      <c r="AJ148" s="2321"/>
      <c r="AK148" s="2321"/>
      <c r="AL148" s="2321"/>
      <c r="AM148" s="2321"/>
      <c r="AN148" s="2321"/>
      <c r="AO148" s="2321"/>
      <c r="AP148" s="2321"/>
      <c r="AQ148" s="2321"/>
      <c r="AR148" s="2321"/>
      <c r="AS148" s="2321"/>
      <c r="AT148" s="2321"/>
      <c r="AU148" s="2321"/>
      <c r="AV148" s="2321"/>
      <c r="AW148" s="2321"/>
      <c r="AX148" s="1300">
        <f t="shared" ca="1" si="50"/>
        <v>0</v>
      </c>
      <c r="AY148" s="1300">
        <f t="shared" ca="1" si="50"/>
        <v>0</v>
      </c>
      <c r="AZ148" s="1300">
        <f t="shared" ca="1" si="50"/>
        <v>0</v>
      </c>
      <c r="BA148" s="1300">
        <f t="shared" ca="1" si="50"/>
        <v>0</v>
      </c>
      <c r="BB148" s="1300">
        <f t="shared" ca="1" si="50"/>
        <v>0</v>
      </c>
      <c r="BC148" s="1300">
        <f t="shared" ca="1" si="50"/>
        <v>0</v>
      </c>
      <c r="BD148" s="1300">
        <f t="shared" ca="1" si="50"/>
        <v>0</v>
      </c>
      <c r="BE148" s="1300">
        <f t="shared" ca="1" si="50"/>
        <v>0</v>
      </c>
      <c r="BF148" s="1300">
        <f t="shared" ca="1" si="50"/>
        <v>0</v>
      </c>
      <c r="BG148" s="875"/>
    </row>
    <row r="149" spans="2:59" s="84" customFormat="1" ht="13.5" customHeight="1" x14ac:dyDescent="0.2">
      <c r="B149" s="873"/>
      <c r="C149" s="969" t="s">
        <v>63</v>
      </c>
      <c r="D149" s="969"/>
      <c r="E149" s="969"/>
      <c r="F149" s="1323" t="s">
        <v>792</v>
      </c>
      <c r="G149" s="1323"/>
      <c r="H149" s="2321"/>
      <c r="I149" s="2321"/>
      <c r="J149" s="2321"/>
      <c r="K149" s="2321"/>
      <c r="L149" s="2321"/>
      <c r="M149" s="2321"/>
      <c r="N149" s="2321"/>
      <c r="O149" s="2321"/>
      <c r="P149" s="2321"/>
      <c r="Q149" s="2321"/>
      <c r="R149" s="2321"/>
      <c r="S149" s="2321"/>
      <c r="T149" s="2321"/>
      <c r="U149" s="2321"/>
      <c r="V149" s="2321"/>
      <c r="W149" s="2321"/>
      <c r="X149" s="2321"/>
      <c r="Y149" s="2321"/>
      <c r="Z149" s="2321"/>
      <c r="AA149" s="2321"/>
      <c r="AB149" s="2321"/>
      <c r="AC149" s="2321"/>
      <c r="AD149" s="2321"/>
      <c r="AE149" s="2321"/>
      <c r="AF149" s="2321"/>
      <c r="AG149" s="2321"/>
      <c r="AH149" s="2321"/>
      <c r="AI149" s="2321"/>
      <c r="AJ149" s="2321"/>
      <c r="AK149" s="2321"/>
      <c r="AL149" s="2321"/>
      <c r="AM149" s="2321"/>
      <c r="AN149" s="2321"/>
      <c r="AO149" s="2321"/>
      <c r="AP149" s="2321"/>
      <c r="AQ149" s="2321"/>
      <c r="AR149" s="2321"/>
      <c r="AS149" s="2321"/>
      <c r="AT149" s="2321"/>
      <c r="AU149" s="2321"/>
      <c r="AV149" s="2321"/>
      <c r="AW149" s="2321"/>
      <c r="AX149" s="1300">
        <f t="shared" ca="1" si="50"/>
        <v>0</v>
      </c>
      <c r="AY149" s="1300">
        <f t="shared" ca="1" si="50"/>
        <v>0</v>
      </c>
      <c r="AZ149" s="1300">
        <f t="shared" ca="1" si="50"/>
        <v>0</v>
      </c>
      <c r="BA149" s="1300">
        <f t="shared" ca="1" si="50"/>
        <v>0</v>
      </c>
      <c r="BB149" s="1300">
        <f t="shared" ca="1" si="50"/>
        <v>0</v>
      </c>
      <c r="BC149" s="1300">
        <f t="shared" ca="1" si="50"/>
        <v>0</v>
      </c>
      <c r="BD149" s="1300">
        <f t="shared" ca="1" si="50"/>
        <v>0</v>
      </c>
      <c r="BE149" s="1300">
        <f t="shared" ca="1" si="50"/>
        <v>0</v>
      </c>
      <c r="BF149" s="1300">
        <f t="shared" ca="1" si="50"/>
        <v>0</v>
      </c>
      <c r="BG149" s="875"/>
    </row>
    <row r="150" spans="2:59" s="84" customFormat="1" ht="13.5" customHeight="1" x14ac:dyDescent="0.2">
      <c r="B150" s="873"/>
      <c r="C150" s="969" t="s">
        <v>224</v>
      </c>
      <c r="D150" s="969"/>
      <c r="E150" s="969"/>
      <c r="F150" s="1323" t="s">
        <v>1189</v>
      </c>
      <c r="G150" s="1323"/>
      <c r="H150" s="2321"/>
      <c r="I150" s="2321"/>
      <c r="J150" s="2321"/>
      <c r="K150" s="2321"/>
      <c r="L150" s="2321"/>
      <c r="M150" s="2321"/>
      <c r="N150" s="2321"/>
      <c r="O150" s="2321"/>
      <c r="P150" s="2321"/>
      <c r="Q150" s="2321"/>
      <c r="R150" s="2321"/>
      <c r="S150" s="2321"/>
      <c r="T150" s="2321"/>
      <c r="U150" s="2321"/>
      <c r="V150" s="2321"/>
      <c r="W150" s="2321"/>
      <c r="X150" s="2321"/>
      <c r="Y150" s="2321"/>
      <c r="Z150" s="2321"/>
      <c r="AA150" s="2321"/>
      <c r="AB150" s="2321"/>
      <c r="AC150" s="2321"/>
      <c r="AD150" s="2321"/>
      <c r="AE150" s="2321"/>
      <c r="AF150" s="2321"/>
      <c r="AG150" s="2321"/>
      <c r="AH150" s="2321"/>
      <c r="AI150" s="2321"/>
      <c r="AJ150" s="2321"/>
      <c r="AK150" s="2321"/>
      <c r="AL150" s="2321"/>
      <c r="AM150" s="2321"/>
      <c r="AN150" s="2321"/>
      <c r="AO150" s="2321"/>
      <c r="AP150" s="2321"/>
      <c r="AQ150" s="2321"/>
      <c r="AR150" s="2321"/>
      <c r="AS150" s="2321"/>
      <c r="AT150" s="2321"/>
      <c r="AU150" s="2321"/>
      <c r="AV150" s="2321"/>
      <c r="AW150" s="2321"/>
      <c r="AX150" s="1300">
        <f t="shared" ca="1" si="50"/>
        <v>-69.984746261924187</v>
      </c>
      <c r="AY150" s="1300">
        <f t="shared" ca="1" si="50"/>
        <v>-79.788658807870121</v>
      </c>
      <c r="AZ150" s="1300">
        <f t="shared" ca="1" si="50"/>
        <v>-91.931487118266929</v>
      </c>
      <c r="BA150" s="1300">
        <f t="shared" ca="1" si="50"/>
        <v>-115.41998062751981</v>
      </c>
      <c r="BB150" s="1300">
        <f t="shared" ca="1" si="50"/>
        <v>-125.020341213096</v>
      </c>
      <c r="BC150" s="1300">
        <f t="shared" ca="1" si="50"/>
        <v>-136.68603656124461</v>
      </c>
      <c r="BD150" s="1300">
        <f t="shared" ca="1" si="50"/>
        <v>-148.02146239404746</v>
      </c>
      <c r="BE150" s="1300">
        <f t="shared" ca="1" si="50"/>
        <v>-160.13824103104378</v>
      </c>
      <c r="BF150" s="1300">
        <f t="shared" ca="1" si="50"/>
        <v>-171.74017579723738</v>
      </c>
      <c r="BG150" s="875"/>
    </row>
    <row r="151" spans="2:59" s="84" customFormat="1" ht="13.5" customHeight="1" x14ac:dyDescent="0.2">
      <c r="B151" s="873"/>
      <c r="C151" s="969" t="s">
        <v>225</v>
      </c>
      <c r="D151" s="969"/>
      <c r="E151" s="969"/>
      <c r="F151" s="1323" t="s">
        <v>401</v>
      </c>
      <c r="G151" s="1323"/>
      <c r="H151" s="2321"/>
      <c r="I151" s="2321"/>
      <c r="J151" s="2321"/>
      <c r="K151" s="2321"/>
      <c r="L151" s="2321"/>
      <c r="M151" s="2321"/>
      <c r="N151" s="2321"/>
      <c r="O151" s="2321"/>
      <c r="P151" s="2321"/>
      <c r="Q151" s="2321"/>
      <c r="R151" s="2321"/>
      <c r="S151" s="2321"/>
      <c r="T151" s="2321"/>
      <c r="U151" s="2321"/>
      <c r="V151" s="2321"/>
      <c r="W151" s="2321"/>
      <c r="X151" s="2321"/>
      <c r="Y151" s="2321"/>
      <c r="Z151" s="2321"/>
      <c r="AA151" s="2321"/>
      <c r="AB151" s="2321"/>
      <c r="AC151" s="2321"/>
      <c r="AD151" s="2321"/>
      <c r="AE151" s="2321"/>
      <c r="AF151" s="2321"/>
      <c r="AG151" s="2321"/>
      <c r="AH151" s="2321"/>
      <c r="AI151" s="2321"/>
      <c r="AJ151" s="2321"/>
      <c r="AK151" s="2321"/>
      <c r="AL151" s="2321"/>
      <c r="AM151" s="2321"/>
      <c r="AN151" s="2321"/>
      <c r="AO151" s="2321"/>
      <c r="AP151" s="2321"/>
      <c r="AQ151" s="2321"/>
      <c r="AR151" s="2321"/>
      <c r="AS151" s="2321"/>
      <c r="AT151" s="2321"/>
      <c r="AU151" s="2321"/>
      <c r="AV151" s="2321"/>
      <c r="AW151" s="2321"/>
      <c r="AX151" s="1300">
        <f t="shared" ca="1" si="50"/>
        <v>38.985057330980375</v>
      </c>
      <c r="AY151" s="1300">
        <f t="shared" ca="1" si="50"/>
        <v>39.062131097278218</v>
      </c>
      <c r="AZ151" s="1300">
        <f t="shared" ca="1" si="50"/>
        <v>38.385263702212768</v>
      </c>
      <c r="BA151" s="1300">
        <f t="shared" ca="1" si="50"/>
        <v>37.657628648480546</v>
      </c>
      <c r="BB151" s="1300">
        <f t="shared" ca="1" si="50"/>
        <v>34.959065122169889</v>
      </c>
      <c r="BC151" s="1300">
        <f t="shared" ca="1" si="50"/>
        <v>32.474279029741659</v>
      </c>
      <c r="BD151" s="1300">
        <f t="shared" ca="1" si="50"/>
        <v>28.771981747328063</v>
      </c>
      <c r="BE151" s="1300">
        <f t="shared" ca="1" si="50"/>
        <v>24.900153197655175</v>
      </c>
      <c r="BF151" s="1300">
        <f t="shared" ca="1" si="50"/>
        <v>21.843078406880405</v>
      </c>
      <c r="BG151" s="875"/>
    </row>
    <row r="152" spans="2:59" s="84" customFormat="1" ht="13.5" customHeight="1" x14ac:dyDescent="0.2">
      <c r="B152" s="873"/>
      <c r="C152" s="969" t="s">
        <v>226</v>
      </c>
      <c r="D152" s="969"/>
      <c r="E152" s="969"/>
      <c r="F152" s="1323" t="s">
        <v>411</v>
      </c>
      <c r="G152" s="1323"/>
      <c r="H152" s="2321"/>
      <c r="I152" s="2321"/>
      <c r="J152" s="2321"/>
      <c r="K152" s="2321"/>
      <c r="L152" s="2321"/>
      <c r="M152" s="2321"/>
      <c r="N152" s="2321"/>
      <c r="O152" s="2321"/>
      <c r="P152" s="2321"/>
      <c r="Q152" s="2321"/>
      <c r="R152" s="2321"/>
      <c r="S152" s="2321"/>
      <c r="T152" s="2321"/>
      <c r="U152" s="2321"/>
      <c r="V152" s="2321"/>
      <c r="W152" s="2321"/>
      <c r="X152" s="2321"/>
      <c r="Y152" s="2321"/>
      <c r="Z152" s="2321"/>
      <c r="AA152" s="2321"/>
      <c r="AB152" s="2321"/>
      <c r="AC152" s="2321"/>
      <c r="AD152" s="2321"/>
      <c r="AE152" s="2321"/>
      <c r="AF152" s="2321"/>
      <c r="AG152" s="2321"/>
      <c r="AH152" s="2321"/>
      <c r="AI152" s="2321"/>
      <c r="AJ152" s="2321"/>
      <c r="AK152" s="2321"/>
      <c r="AL152" s="2321"/>
      <c r="AM152" s="2321"/>
      <c r="AN152" s="2321"/>
      <c r="AO152" s="2321"/>
      <c r="AP152" s="2321"/>
      <c r="AQ152" s="2321"/>
      <c r="AR152" s="2321"/>
      <c r="AS152" s="2321"/>
      <c r="AT152" s="2321"/>
      <c r="AU152" s="2321"/>
      <c r="AV152" s="2321"/>
      <c r="AW152" s="2321"/>
      <c r="AX152" s="1300">
        <f t="shared" ca="1" si="50"/>
        <v>0</v>
      </c>
      <c r="AY152" s="1300">
        <f t="shared" ca="1" si="50"/>
        <v>0</v>
      </c>
      <c r="AZ152" s="1300">
        <f t="shared" ca="1" si="50"/>
        <v>0</v>
      </c>
      <c r="BA152" s="1300">
        <f t="shared" ca="1" si="50"/>
        <v>0</v>
      </c>
      <c r="BB152" s="1300">
        <f t="shared" ca="1" si="50"/>
        <v>0</v>
      </c>
      <c r="BC152" s="1300">
        <f t="shared" ca="1" si="50"/>
        <v>0</v>
      </c>
      <c r="BD152" s="1300">
        <f t="shared" ca="1" si="50"/>
        <v>0</v>
      </c>
      <c r="BE152" s="1300">
        <f t="shared" ca="1" si="50"/>
        <v>0</v>
      </c>
      <c r="BF152" s="1300">
        <f t="shared" ca="1" si="50"/>
        <v>0</v>
      </c>
      <c r="BG152" s="875"/>
    </row>
    <row r="153" spans="2:59" s="84" customFormat="1" ht="13.5" customHeight="1" x14ac:dyDescent="0.2">
      <c r="B153" s="873"/>
      <c r="C153" s="969" t="s">
        <v>229</v>
      </c>
      <c r="D153" s="969"/>
      <c r="E153" s="969"/>
      <c r="F153" s="1293" t="s">
        <v>798</v>
      </c>
      <c r="G153" s="1323"/>
      <c r="H153" s="2321"/>
      <c r="I153" s="2321"/>
      <c r="J153" s="2321"/>
      <c r="K153" s="2321"/>
      <c r="L153" s="2321"/>
      <c r="M153" s="2321"/>
      <c r="N153" s="2321"/>
      <c r="O153" s="2321"/>
      <c r="P153" s="2321"/>
      <c r="Q153" s="2321"/>
      <c r="R153" s="2321"/>
      <c r="S153" s="2321"/>
      <c r="T153" s="2321"/>
      <c r="U153" s="2321"/>
      <c r="V153" s="2321"/>
      <c r="W153" s="2321"/>
      <c r="X153" s="2321"/>
      <c r="Y153" s="2321"/>
      <c r="Z153" s="2321"/>
      <c r="AA153" s="2321"/>
      <c r="AB153" s="2321"/>
      <c r="AC153" s="2321"/>
      <c r="AD153" s="2321"/>
      <c r="AE153" s="2321"/>
      <c r="AF153" s="2321"/>
      <c r="AG153" s="2321"/>
      <c r="AH153" s="2321"/>
      <c r="AI153" s="2321"/>
      <c r="AJ153" s="2321"/>
      <c r="AK153" s="2321"/>
      <c r="AL153" s="2321"/>
      <c r="AM153" s="2321"/>
      <c r="AN153" s="2321"/>
      <c r="AO153" s="2321"/>
      <c r="AP153" s="2321"/>
      <c r="AQ153" s="2321"/>
      <c r="AR153" s="2321"/>
      <c r="AS153" s="2321"/>
      <c r="AT153" s="2321"/>
      <c r="AU153" s="2321"/>
      <c r="AV153" s="2321"/>
      <c r="AW153" s="2321"/>
      <c r="AX153" s="1300">
        <f t="shared" ca="1" si="50"/>
        <v>0</v>
      </c>
      <c r="AY153" s="1300">
        <f t="shared" ca="1" si="50"/>
        <v>0</v>
      </c>
      <c r="AZ153" s="1300">
        <f t="shared" ca="1" si="50"/>
        <v>0</v>
      </c>
      <c r="BA153" s="1300">
        <f t="shared" ca="1" si="50"/>
        <v>0</v>
      </c>
      <c r="BB153" s="1300">
        <f t="shared" ca="1" si="50"/>
        <v>0</v>
      </c>
      <c r="BC153" s="1300">
        <f t="shared" ca="1" si="50"/>
        <v>0</v>
      </c>
      <c r="BD153" s="1300">
        <f t="shared" ca="1" si="50"/>
        <v>0</v>
      </c>
      <c r="BE153" s="1300">
        <f t="shared" ca="1" si="50"/>
        <v>0</v>
      </c>
      <c r="BF153" s="1300">
        <f t="shared" ca="1" si="50"/>
        <v>0</v>
      </c>
      <c r="BG153" s="875"/>
    </row>
    <row r="154" spans="2:59" s="84" customFormat="1" ht="13.5" customHeight="1" x14ac:dyDescent="0.2">
      <c r="B154" s="873"/>
      <c r="C154" s="969" t="s">
        <v>230</v>
      </c>
      <c r="D154" s="969"/>
      <c r="E154" s="969"/>
      <c r="F154" s="1323" t="s">
        <v>57</v>
      </c>
      <c r="G154" s="1323"/>
      <c r="H154" s="2321"/>
      <c r="I154" s="2321"/>
      <c r="J154" s="2321"/>
      <c r="K154" s="2321"/>
      <c r="L154" s="2321"/>
      <c r="M154" s="2321"/>
      <c r="N154" s="2321"/>
      <c r="O154" s="2321"/>
      <c r="P154" s="2321"/>
      <c r="Q154" s="2321"/>
      <c r="R154" s="2321"/>
      <c r="S154" s="2321"/>
      <c r="T154" s="2321"/>
      <c r="U154" s="2321"/>
      <c r="V154" s="2321"/>
      <c r="W154" s="2321"/>
      <c r="X154" s="2321"/>
      <c r="Y154" s="2321"/>
      <c r="Z154" s="2321"/>
      <c r="AA154" s="2321"/>
      <c r="AB154" s="2321"/>
      <c r="AC154" s="2321"/>
      <c r="AD154" s="2321"/>
      <c r="AE154" s="2321"/>
      <c r="AF154" s="2321"/>
      <c r="AG154" s="2321"/>
      <c r="AH154" s="2321"/>
      <c r="AI154" s="2321"/>
      <c r="AJ154" s="2321"/>
      <c r="AK154" s="2321"/>
      <c r="AL154" s="2321"/>
      <c r="AM154" s="2321"/>
      <c r="AN154" s="2321"/>
      <c r="AO154" s="2321"/>
      <c r="AP154" s="2321"/>
      <c r="AQ154" s="2321"/>
      <c r="AR154" s="2321"/>
      <c r="AS154" s="2321"/>
      <c r="AT154" s="2321"/>
      <c r="AU154" s="2321"/>
      <c r="AV154" s="2321"/>
      <c r="AW154" s="2321"/>
      <c r="AX154" s="1300">
        <f t="shared" ca="1" si="50"/>
        <v>27.207746225959674</v>
      </c>
      <c r="AY154" s="1300">
        <f t="shared" ca="1" si="50"/>
        <v>34.296080302597481</v>
      </c>
      <c r="AZ154" s="1300">
        <f t="shared" ca="1" si="50"/>
        <v>44.249275642465832</v>
      </c>
      <c r="BA154" s="1300">
        <f t="shared" ca="1" si="50"/>
        <v>54.388252354621343</v>
      </c>
      <c r="BB154" s="1300">
        <f t="shared" ca="1" si="50"/>
        <v>61.683925315344823</v>
      </c>
      <c r="BC154" s="1300">
        <f t="shared" ca="1" si="50"/>
        <v>69.775203316296952</v>
      </c>
      <c r="BD154" s="1300">
        <f t="shared" ca="1" si="50"/>
        <v>70.747735889329789</v>
      </c>
      <c r="BE154" s="1300">
        <f t="shared" ca="1" si="50"/>
        <v>67.462723700160026</v>
      </c>
      <c r="BF154" s="1300">
        <f t="shared" ca="1" si="50"/>
        <v>58.636525614908081</v>
      </c>
      <c r="BG154" s="875"/>
    </row>
    <row r="155" spans="2:59" s="84" customFormat="1" ht="13.5" customHeight="1" x14ac:dyDescent="0.2">
      <c r="B155" s="873"/>
      <c r="C155" s="969" t="s">
        <v>231</v>
      </c>
      <c r="D155" s="969"/>
      <c r="E155" s="969"/>
      <c r="F155" s="1323" t="s">
        <v>33</v>
      </c>
      <c r="G155" s="1323"/>
      <c r="H155" s="2321"/>
      <c r="I155" s="2321"/>
      <c r="J155" s="2321"/>
      <c r="K155" s="2321"/>
      <c r="L155" s="2321"/>
      <c r="M155" s="2321"/>
      <c r="N155" s="2321"/>
      <c r="O155" s="2321"/>
      <c r="P155" s="2321"/>
      <c r="Q155" s="2321"/>
      <c r="R155" s="2321"/>
      <c r="S155" s="2321"/>
      <c r="T155" s="2321"/>
      <c r="U155" s="2321"/>
      <c r="V155" s="2321"/>
      <c r="W155" s="2321"/>
      <c r="X155" s="2321"/>
      <c r="Y155" s="2321"/>
      <c r="Z155" s="2321"/>
      <c r="AA155" s="2321"/>
      <c r="AB155" s="2321"/>
      <c r="AC155" s="2321"/>
      <c r="AD155" s="2321"/>
      <c r="AE155" s="2321"/>
      <c r="AF155" s="2321"/>
      <c r="AG155" s="2321"/>
      <c r="AH155" s="2321"/>
      <c r="AI155" s="2321"/>
      <c r="AJ155" s="2321"/>
      <c r="AK155" s="2321"/>
      <c r="AL155" s="2321"/>
      <c r="AM155" s="2321"/>
      <c r="AN155" s="2321"/>
      <c r="AO155" s="2321"/>
      <c r="AP155" s="2321"/>
      <c r="AQ155" s="2321"/>
      <c r="AR155" s="2321"/>
      <c r="AS155" s="2321"/>
      <c r="AT155" s="2321"/>
      <c r="AU155" s="2321"/>
      <c r="AV155" s="2321"/>
      <c r="AW155" s="2321"/>
      <c r="AX155" s="1300">
        <f t="shared" ref="AX155:BF159" ca="1" si="51">SUMIFS(INDIRECT("'"&amp;AX$145&amp;"'!Year.EmissionsBySector"), INDIRECT("'"&amp;AX$145&amp;"'!Year.Modules"),$C155)</f>
        <v>32.569976730223672</v>
      </c>
      <c r="AY155" s="1300">
        <f t="shared" ca="1" si="51"/>
        <v>34.421523344695551</v>
      </c>
      <c r="AZ155" s="1300">
        <f t="shared" ca="1" si="51"/>
        <v>36.874828750985216</v>
      </c>
      <c r="BA155" s="1300">
        <f t="shared" ca="1" si="51"/>
        <v>40.081315290304659</v>
      </c>
      <c r="BB155" s="1300">
        <f t="shared" ca="1" si="51"/>
        <v>43.213795506993208</v>
      </c>
      <c r="BC155" s="1300">
        <f t="shared" ca="1" si="51"/>
        <v>45.456655392710211</v>
      </c>
      <c r="BD155" s="1300">
        <f t="shared" ca="1" si="51"/>
        <v>48.160706840995289</v>
      </c>
      <c r="BE155" s="1300">
        <f t="shared" ca="1" si="51"/>
        <v>51.497256642102606</v>
      </c>
      <c r="BF155" s="1300">
        <f t="shared" ca="1" si="51"/>
        <v>57.097571036852841</v>
      </c>
      <c r="BG155" s="875"/>
    </row>
    <row r="156" spans="2:59" s="84" customFormat="1" ht="13.5" customHeight="1" x14ac:dyDescent="0.2">
      <c r="B156" s="873"/>
      <c r="C156" s="969" t="s">
        <v>232</v>
      </c>
      <c r="D156" s="969"/>
      <c r="E156" s="969"/>
      <c r="F156" s="1323" t="s">
        <v>125</v>
      </c>
      <c r="G156" s="1323"/>
      <c r="H156" s="2321"/>
      <c r="I156" s="2321"/>
      <c r="J156" s="2321"/>
      <c r="K156" s="2321"/>
      <c r="L156" s="2321"/>
      <c r="M156" s="2321"/>
      <c r="N156" s="2321"/>
      <c r="O156" s="2321"/>
      <c r="P156" s="2321"/>
      <c r="Q156" s="2321"/>
      <c r="R156" s="2321"/>
      <c r="S156" s="2321"/>
      <c r="T156" s="2321"/>
      <c r="U156" s="2321"/>
      <c r="V156" s="2321"/>
      <c r="W156" s="2321"/>
      <c r="X156" s="2321"/>
      <c r="Y156" s="2321"/>
      <c r="Z156" s="2321"/>
      <c r="AA156" s="2321"/>
      <c r="AB156" s="2321"/>
      <c r="AC156" s="2321"/>
      <c r="AD156" s="2321"/>
      <c r="AE156" s="2321"/>
      <c r="AF156" s="2321"/>
      <c r="AG156" s="2321"/>
      <c r="AH156" s="2321"/>
      <c r="AI156" s="2321"/>
      <c r="AJ156" s="2321"/>
      <c r="AK156" s="2321"/>
      <c r="AL156" s="2321"/>
      <c r="AM156" s="2321"/>
      <c r="AN156" s="2321"/>
      <c r="AO156" s="2321"/>
      <c r="AP156" s="2321"/>
      <c r="AQ156" s="2321"/>
      <c r="AR156" s="2321"/>
      <c r="AS156" s="2321"/>
      <c r="AT156" s="2321"/>
      <c r="AU156" s="2321"/>
      <c r="AV156" s="2321"/>
      <c r="AW156" s="2321"/>
      <c r="AX156" s="1300">
        <f t="shared" ca="1" si="51"/>
        <v>32.460632363860149</v>
      </c>
      <c r="AY156" s="1300">
        <f t="shared" ca="1" si="51"/>
        <v>35.168846390951117</v>
      </c>
      <c r="AZ156" s="1300">
        <f t="shared" ca="1" si="51"/>
        <v>34.926324433439774</v>
      </c>
      <c r="BA156" s="1300">
        <f t="shared" ca="1" si="51"/>
        <v>33.829716883556088</v>
      </c>
      <c r="BB156" s="1300">
        <f t="shared" ca="1" si="51"/>
        <v>32.073719564734837</v>
      </c>
      <c r="BC156" s="1300">
        <f t="shared" ca="1" si="51"/>
        <v>32.493324008381656</v>
      </c>
      <c r="BD156" s="1300">
        <f t="shared" ca="1" si="51"/>
        <v>31.937544378725711</v>
      </c>
      <c r="BE156" s="1300">
        <f t="shared" ca="1" si="51"/>
        <v>31.276785482249416</v>
      </c>
      <c r="BF156" s="1300">
        <f t="shared" ca="1" si="51"/>
        <v>30.403730229809337</v>
      </c>
      <c r="BG156" s="875"/>
    </row>
    <row r="157" spans="2:59" s="84" customFormat="1" ht="13.5" customHeight="1" x14ac:dyDescent="0.2">
      <c r="B157" s="873"/>
      <c r="C157" s="969" t="s">
        <v>233</v>
      </c>
      <c r="D157" s="969"/>
      <c r="E157" s="969"/>
      <c r="F157" s="1323" t="s">
        <v>1201</v>
      </c>
      <c r="G157" s="1323"/>
      <c r="H157" s="2321"/>
      <c r="I157" s="2321"/>
      <c r="J157" s="2321"/>
      <c r="K157" s="2321"/>
      <c r="L157" s="2321"/>
      <c r="M157" s="2321"/>
      <c r="N157" s="2321"/>
      <c r="O157" s="2321"/>
      <c r="P157" s="2321"/>
      <c r="Q157" s="2321"/>
      <c r="R157" s="2321"/>
      <c r="S157" s="2321"/>
      <c r="T157" s="2321"/>
      <c r="U157" s="2321"/>
      <c r="V157" s="2321"/>
      <c r="W157" s="2321"/>
      <c r="X157" s="2321"/>
      <c r="Y157" s="2321"/>
      <c r="Z157" s="2321"/>
      <c r="AA157" s="2321"/>
      <c r="AB157" s="2321"/>
      <c r="AC157" s="2321"/>
      <c r="AD157" s="2321"/>
      <c r="AE157" s="2321"/>
      <c r="AF157" s="2321"/>
      <c r="AG157" s="2321"/>
      <c r="AH157" s="2321"/>
      <c r="AI157" s="2321"/>
      <c r="AJ157" s="2321"/>
      <c r="AK157" s="2321"/>
      <c r="AL157" s="2321"/>
      <c r="AM157" s="2321"/>
      <c r="AN157" s="2321"/>
      <c r="AO157" s="2321"/>
      <c r="AP157" s="2321"/>
      <c r="AQ157" s="2321"/>
      <c r="AR157" s="2321"/>
      <c r="AS157" s="2321"/>
      <c r="AT157" s="2321"/>
      <c r="AU157" s="2321"/>
      <c r="AV157" s="2321"/>
      <c r="AW157" s="2321"/>
      <c r="AX157" s="1300">
        <f t="shared" ca="1" si="51"/>
        <v>0</v>
      </c>
      <c r="AY157" s="1300">
        <f t="shared" ca="1" si="51"/>
        <v>0</v>
      </c>
      <c r="AZ157" s="1300">
        <f t="shared" ca="1" si="51"/>
        <v>0</v>
      </c>
      <c r="BA157" s="1300">
        <f t="shared" ca="1" si="51"/>
        <v>0</v>
      </c>
      <c r="BB157" s="1300">
        <f t="shared" ca="1" si="51"/>
        <v>0</v>
      </c>
      <c r="BC157" s="1300">
        <f t="shared" ca="1" si="51"/>
        <v>0</v>
      </c>
      <c r="BD157" s="1300">
        <f t="shared" ca="1" si="51"/>
        <v>0</v>
      </c>
      <c r="BE157" s="1300">
        <f t="shared" ca="1" si="51"/>
        <v>0</v>
      </c>
      <c r="BF157" s="1300">
        <f t="shared" ca="1" si="51"/>
        <v>0</v>
      </c>
      <c r="BG157" s="875"/>
    </row>
    <row r="158" spans="2:59" s="84" customFormat="1" ht="13.5" customHeight="1" x14ac:dyDescent="0.2">
      <c r="B158" s="873"/>
      <c r="C158" s="969" t="s">
        <v>403</v>
      </c>
      <c r="D158" s="969"/>
      <c r="E158" s="969"/>
      <c r="F158" s="1323" t="s">
        <v>404</v>
      </c>
      <c r="G158" s="1323"/>
      <c r="H158" s="2321"/>
      <c r="I158" s="2321"/>
      <c r="J158" s="2321"/>
      <c r="K158" s="2321"/>
      <c r="L158" s="2321"/>
      <c r="M158" s="2321"/>
      <c r="N158" s="2321"/>
      <c r="O158" s="2321"/>
      <c r="P158" s="2321"/>
      <c r="Q158" s="2321"/>
      <c r="R158" s="2321"/>
      <c r="S158" s="2321"/>
      <c r="T158" s="2321"/>
      <c r="U158" s="2321"/>
      <c r="V158" s="2321"/>
      <c r="W158" s="2321"/>
      <c r="X158" s="2321"/>
      <c r="Y158" s="2321"/>
      <c r="Z158" s="2321"/>
      <c r="AA158" s="2321"/>
      <c r="AB158" s="2321"/>
      <c r="AC158" s="2321"/>
      <c r="AD158" s="2321"/>
      <c r="AE158" s="2321"/>
      <c r="AF158" s="2321"/>
      <c r="AG158" s="2321"/>
      <c r="AH158" s="2321"/>
      <c r="AI158" s="2321"/>
      <c r="AJ158" s="2321"/>
      <c r="AK158" s="2321"/>
      <c r="AL158" s="2321"/>
      <c r="AM158" s="2321"/>
      <c r="AN158" s="2321"/>
      <c r="AO158" s="2321"/>
      <c r="AP158" s="2321"/>
      <c r="AQ158" s="2321"/>
      <c r="AR158" s="2321"/>
      <c r="AS158" s="2321"/>
      <c r="AT158" s="2321"/>
      <c r="AU158" s="2321"/>
      <c r="AV158" s="2321"/>
      <c r="AW158" s="2321"/>
      <c r="AX158" s="1300">
        <f t="shared" ca="1" si="51"/>
        <v>72.304423887923576</v>
      </c>
      <c r="AY158" s="1300">
        <f t="shared" ca="1" si="51"/>
        <v>65.80125497410792</v>
      </c>
      <c r="AZ158" s="1300">
        <f t="shared" ca="1" si="51"/>
        <v>58.867763928715227</v>
      </c>
      <c r="BA158" s="1300">
        <f t="shared" ca="1" si="51"/>
        <v>52.031381564271037</v>
      </c>
      <c r="BB158" s="1300">
        <f t="shared" ca="1" si="51"/>
        <v>45.299697007317768</v>
      </c>
      <c r="BC158" s="1300">
        <f t="shared" ca="1" si="51"/>
        <v>38.671135000672614</v>
      </c>
      <c r="BD158" s="1300">
        <f t="shared" ca="1" si="51"/>
        <v>32.138802893629673</v>
      </c>
      <c r="BE158" s="1300">
        <f t="shared" ca="1" si="51"/>
        <v>25.699407153585611</v>
      </c>
      <c r="BF158" s="1300">
        <f t="shared" ca="1" si="51"/>
        <v>19.352913826596069</v>
      </c>
      <c r="BG158" s="875"/>
    </row>
    <row r="159" spans="2:59" s="84" customFormat="1" ht="13.5" customHeight="1" x14ac:dyDescent="0.2">
      <c r="B159" s="873"/>
      <c r="C159" s="969" t="s">
        <v>438</v>
      </c>
      <c r="D159" s="969"/>
      <c r="E159" s="969"/>
      <c r="F159" s="1323" t="s">
        <v>109</v>
      </c>
      <c r="G159" s="1323"/>
      <c r="H159" s="2321"/>
      <c r="I159" s="2321"/>
      <c r="J159" s="2321"/>
      <c r="K159" s="2321"/>
      <c r="L159" s="2321"/>
      <c r="M159" s="2321"/>
      <c r="N159" s="2321"/>
      <c r="O159" s="2321"/>
      <c r="P159" s="2321"/>
      <c r="Q159" s="2321"/>
      <c r="R159" s="2321"/>
      <c r="S159" s="2321"/>
      <c r="T159" s="2321"/>
      <c r="U159" s="2321"/>
      <c r="V159" s="2321"/>
      <c r="W159" s="2321"/>
      <c r="X159" s="2321"/>
      <c r="Y159" s="2321"/>
      <c r="Z159" s="2321"/>
      <c r="AA159" s="2321"/>
      <c r="AB159" s="2321"/>
      <c r="AC159" s="2321"/>
      <c r="AD159" s="2321"/>
      <c r="AE159" s="2321"/>
      <c r="AF159" s="2321"/>
      <c r="AG159" s="2321"/>
      <c r="AH159" s="2321"/>
      <c r="AI159" s="2321"/>
      <c r="AJ159" s="2321"/>
      <c r="AK159" s="2321"/>
      <c r="AL159" s="2321"/>
      <c r="AM159" s="2321"/>
      <c r="AN159" s="2321"/>
      <c r="AO159" s="2321"/>
      <c r="AP159" s="2321"/>
      <c r="AQ159" s="2321"/>
      <c r="AR159" s="2321"/>
      <c r="AS159" s="2321"/>
      <c r="AT159" s="2321"/>
      <c r="AU159" s="2321"/>
      <c r="AV159" s="2321"/>
      <c r="AW159" s="2321"/>
      <c r="AX159" s="1300">
        <f t="shared" ca="1" si="51"/>
        <v>4.3706513640884639</v>
      </c>
      <c r="AY159" s="1300">
        <f t="shared" ca="1" si="51"/>
        <v>3.8131499119034635</v>
      </c>
      <c r="AZ159" s="1300">
        <f t="shared" ca="1" si="51"/>
        <v>9.4666504561108287</v>
      </c>
      <c r="BA159" s="1300">
        <f t="shared" ca="1" si="51"/>
        <v>5.6060580726333811</v>
      </c>
      <c r="BB159" s="1300">
        <f t="shared" ca="1" si="51"/>
        <v>8.3626172429597077</v>
      </c>
      <c r="BC159" s="1300">
        <f t="shared" ca="1" si="51"/>
        <v>14.903994945999537</v>
      </c>
      <c r="BD159" s="1300">
        <f t="shared" ca="1" si="51"/>
        <v>21.242210631111469</v>
      </c>
      <c r="BE159" s="1300">
        <f t="shared" ca="1" si="51"/>
        <v>26.971915523217813</v>
      </c>
      <c r="BF159" s="1300">
        <f t="shared" ca="1" si="51"/>
        <v>32.681353552015572</v>
      </c>
      <c r="BG159" s="875"/>
    </row>
    <row r="160" spans="2:59" s="38" customFormat="1" x14ac:dyDescent="0.2">
      <c r="B160" s="873"/>
      <c r="C160" s="874"/>
      <c r="D160" s="969"/>
      <c r="E160" s="969"/>
      <c r="F160" s="969" t="s">
        <v>105</v>
      </c>
      <c r="G160" s="969"/>
      <c r="H160" s="2320"/>
      <c r="I160" s="2320"/>
      <c r="J160" s="2320"/>
      <c r="K160" s="2320"/>
      <c r="L160" s="2320"/>
      <c r="M160" s="2320"/>
      <c r="N160" s="2320"/>
      <c r="O160" s="2320"/>
      <c r="P160" s="2320"/>
      <c r="Q160" s="2320"/>
      <c r="R160" s="2320"/>
      <c r="S160" s="2320"/>
      <c r="T160" s="2320"/>
      <c r="U160" s="2320"/>
      <c r="V160" s="2320"/>
      <c r="W160" s="2320"/>
      <c r="X160" s="2320"/>
      <c r="Y160" s="2320"/>
      <c r="Z160" s="2320"/>
      <c r="AA160" s="2320"/>
      <c r="AB160" s="2320"/>
      <c r="AC160" s="2320"/>
      <c r="AD160" s="2320"/>
      <c r="AE160" s="2320"/>
      <c r="AF160" s="2320"/>
      <c r="AG160" s="2320"/>
      <c r="AH160" s="2320"/>
      <c r="AI160" s="2320"/>
      <c r="AJ160" s="2320"/>
      <c r="AK160" s="2320"/>
      <c r="AL160" s="2320"/>
      <c r="AM160" s="2320"/>
      <c r="AN160" s="2320"/>
      <c r="AO160" s="2320"/>
      <c r="AP160" s="2320"/>
      <c r="AQ160" s="2320"/>
      <c r="AR160" s="2320"/>
      <c r="AS160" s="2320"/>
      <c r="AT160" s="2320"/>
      <c r="AU160" s="2320"/>
      <c r="AV160" s="2320"/>
      <c r="AW160" s="2320"/>
      <c r="AX160" s="1301">
        <f t="shared" ref="AX160:BF160" ca="1" si="52">SUM(AX146:AX159)</f>
        <v>148.68752506342165</v>
      </c>
      <c r="AY160" s="1301">
        <f t="shared" ca="1" si="52"/>
        <v>155.25397333857074</v>
      </c>
      <c r="AZ160" s="1301">
        <f t="shared" ca="1" si="52"/>
        <v>185.38717991488949</v>
      </c>
      <c r="BA160" s="1301">
        <f t="shared" ca="1" si="52"/>
        <v>209.47410280979366</v>
      </c>
      <c r="BB160" s="1301">
        <f t="shared" ca="1" si="52"/>
        <v>269.39195125059979</v>
      </c>
      <c r="BC160" s="1301">
        <f t="shared" ca="1" si="52"/>
        <v>365.02257126007527</v>
      </c>
      <c r="BD160" s="1301">
        <f t="shared" ca="1" si="52"/>
        <v>456.28010295494255</v>
      </c>
      <c r="BE160" s="1301">
        <f t="shared" ca="1" si="52"/>
        <v>541.79883460802785</v>
      </c>
      <c r="BF160" s="1301">
        <f t="shared" ca="1" si="52"/>
        <v>625.20627286094248</v>
      </c>
      <c r="BG160" s="875"/>
    </row>
    <row r="161" spans="2:60" s="38" customFormat="1" x14ac:dyDescent="0.2">
      <c r="B161" s="840"/>
      <c r="C161" s="837"/>
      <c r="D161" s="837"/>
      <c r="E161" s="837"/>
      <c r="F161" s="855" t="s">
        <v>1779</v>
      </c>
      <c r="G161" s="855"/>
      <c r="H161" s="2322"/>
      <c r="I161" s="2322"/>
      <c r="J161" s="2322"/>
      <c r="K161" s="2322"/>
      <c r="L161" s="2322"/>
      <c r="M161" s="2322"/>
      <c r="N161" s="2322"/>
      <c r="O161" s="2322"/>
      <c r="P161" s="2322"/>
      <c r="Q161" s="2322"/>
      <c r="R161" s="2322"/>
      <c r="S161" s="2322"/>
      <c r="T161" s="2322"/>
      <c r="U161" s="2322"/>
      <c r="V161" s="2322"/>
      <c r="W161" s="2322"/>
      <c r="X161" s="2322"/>
      <c r="Y161" s="2322"/>
      <c r="Z161" s="2322"/>
      <c r="AA161" s="2322"/>
      <c r="AB161" s="2322"/>
      <c r="AC161" s="2322"/>
      <c r="AD161" s="2322"/>
      <c r="AE161" s="2322"/>
      <c r="AF161" s="2322"/>
      <c r="AG161" s="2322"/>
      <c r="AH161" s="2322"/>
      <c r="AI161" s="2322"/>
      <c r="AJ161" s="2322"/>
      <c r="AK161" s="2322"/>
      <c r="AL161" s="2322"/>
      <c r="AM161" s="2322"/>
      <c r="AN161" s="2322"/>
      <c r="AO161" s="2322"/>
      <c r="AP161" s="2322"/>
      <c r="AQ161" s="2322"/>
      <c r="AR161" s="2322"/>
      <c r="AS161" s="2322"/>
      <c r="AT161" s="2322"/>
      <c r="AU161" s="2322"/>
      <c r="AV161" s="2322"/>
      <c r="AW161" s="2322"/>
      <c r="AX161" s="1335"/>
      <c r="AY161" s="1335">
        <f t="shared" ref="AY161:BF161" ca="1" si="53">(AX160*(AY145-AX145-1))+AY160+((AY160-AX160)*10/(AY145-AX145))</f>
        <v>763.13697014255558</v>
      </c>
      <c r="AZ161" s="1335">
        <f t="shared" ca="1" si="53"/>
        <v>866.66948642180989</v>
      </c>
      <c r="BA161" s="1335">
        <f t="shared" ca="1" si="53"/>
        <v>999.19666825915988</v>
      </c>
      <c r="BB161" s="1335">
        <f t="shared" ca="1" si="53"/>
        <v>1227.1240593713867</v>
      </c>
      <c r="BC161" s="1335">
        <f t="shared" ca="1" si="53"/>
        <v>1633.8516162814253</v>
      </c>
      <c r="BD161" s="1335">
        <f t="shared" ca="1" si="53"/>
        <v>2098.8854513849783</v>
      </c>
      <c r="BE161" s="1335">
        <f t="shared" ca="1" si="53"/>
        <v>2537.9567097339686</v>
      </c>
      <c r="BF161" s="1335">
        <f t="shared" ca="1" si="53"/>
        <v>2959.2164877988835</v>
      </c>
      <c r="BG161" s="839" t="s">
        <v>1781</v>
      </c>
    </row>
    <row r="162" spans="2:60" s="38" customFormat="1" ht="15.75" x14ac:dyDescent="0.25">
      <c r="B162" s="840"/>
      <c r="C162" s="864" t="s">
        <v>851</v>
      </c>
      <c r="D162" s="837"/>
      <c r="E162" s="837"/>
      <c r="F162" s="855" t="s">
        <v>1780</v>
      </c>
      <c r="G162" s="855"/>
      <c r="H162" s="2322"/>
      <c r="I162" s="2322"/>
      <c r="J162" s="2322"/>
      <c r="K162" s="2322"/>
      <c r="L162" s="2322"/>
      <c r="M162" s="2322"/>
      <c r="N162" s="2322"/>
      <c r="O162" s="2322"/>
      <c r="P162" s="2322"/>
      <c r="Q162" s="2322"/>
      <c r="R162" s="2322"/>
      <c r="S162" s="2322"/>
      <c r="T162" s="2322"/>
      <c r="U162" s="2322"/>
      <c r="V162" s="2322"/>
      <c r="W162" s="2322"/>
      <c r="X162" s="2322"/>
      <c r="Y162" s="2322"/>
      <c r="Z162" s="2322"/>
      <c r="AA162" s="2322"/>
      <c r="AB162" s="2322"/>
      <c r="AC162" s="2322"/>
      <c r="AD162" s="2322"/>
      <c r="AE162" s="2322"/>
      <c r="AF162" s="2322"/>
      <c r="AG162" s="2322"/>
      <c r="AH162" s="2322"/>
      <c r="AI162" s="2322"/>
      <c r="AJ162" s="2322"/>
      <c r="AK162" s="2322"/>
      <c r="AL162" s="2322"/>
      <c r="AM162" s="2322"/>
      <c r="AN162" s="2322"/>
      <c r="AO162" s="2322"/>
      <c r="AP162" s="2322"/>
      <c r="AQ162" s="2322"/>
      <c r="AR162" s="2322"/>
      <c r="AS162" s="2322"/>
      <c r="AT162" s="2322"/>
      <c r="AU162" s="2322"/>
      <c r="AV162" s="2322"/>
      <c r="AW162" s="2322"/>
      <c r="AX162" s="1311"/>
      <c r="AY162" s="1311">
        <f ca="1">AY161</f>
        <v>763.13697014255558</v>
      </c>
      <c r="AZ162" s="1311">
        <f t="shared" ref="AZ162:BF162" ca="1" si="54">AZ161+AY162</f>
        <v>1629.8064565643654</v>
      </c>
      <c r="BA162" s="1311">
        <f t="shared" ca="1" si="54"/>
        <v>2629.0031248235255</v>
      </c>
      <c r="BB162" s="1311">
        <f t="shared" ca="1" si="54"/>
        <v>3856.1271841949119</v>
      </c>
      <c r="BC162" s="1311">
        <f t="shared" ca="1" si="54"/>
        <v>5489.9788004763377</v>
      </c>
      <c r="BD162" s="1311">
        <f t="shared" ca="1" si="54"/>
        <v>7588.864251861316</v>
      </c>
      <c r="BE162" s="1311">
        <f t="shared" ca="1" si="54"/>
        <v>10126.820961595284</v>
      </c>
      <c r="BF162" s="1311">
        <f t="shared" ca="1" si="54"/>
        <v>13086.037449394167</v>
      </c>
      <c r="BG162" s="839"/>
    </row>
    <row r="163" spans="2:60" s="81" customFormat="1" x14ac:dyDescent="0.2">
      <c r="B163" s="840"/>
      <c r="C163" s="837"/>
      <c r="D163" s="837"/>
      <c r="E163" s="837"/>
      <c r="F163" s="837"/>
      <c r="G163" s="837"/>
      <c r="H163" s="2314"/>
      <c r="I163" s="2314"/>
      <c r="J163" s="2314"/>
      <c r="K163" s="2314"/>
      <c r="L163" s="2314"/>
      <c r="M163" s="2314"/>
      <c r="N163" s="2314"/>
      <c r="O163" s="2314"/>
      <c r="P163" s="2314"/>
      <c r="Q163" s="2314"/>
      <c r="R163" s="2314"/>
      <c r="S163" s="2314"/>
      <c r="T163" s="2314"/>
      <c r="U163" s="2314"/>
      <c r="V163" s="2314"/>
      <c r="W163" s="2314"/>
      <c r="X163" s="2314"/>
      <c r="Y163" s="2314"/>
      <c r="Z163" s="2314"/>
      <c r="AA163" s="2314"/>
      <c r="AB163" s="2314"/>
      <c r="AC163" s="2314"/>
      <c r="AD163" s="2314"/>
      <c r="AE163" s="2314"/>
      <c r="AF163" s="2314"/>
      <c r="AG163" s="2314"/>
      <c r="AH163" s="2314"/>
      <c r="AI163" s="2314"/>
      <c r="AJ163" s="2314"/>
      <c r="AK163" s="2314"/>
      <c r="AL163" s="2314"/>
      <c r="AM163" s="2314"/>
      <c r="AN163" s="2314"/>
      <c r="AO163" s="2314"/>
      <c r="AP163" s="2314"/>
      <c r="AQ163" s="2314"/>
      <c r="AR163" s="2314"/>
      <c r="AS163" s="2314"/>
      <c r="AT163" s="2314"/>
      <c r="AU163" s="2314"/>
      <c r="AV163" s="2314"/>
      <c r="AW163" s="2314"/>
      <c r="AX163" s="837"/>
      <c r="AY163" s="837"/>
      <c r="AZ163" s="837"/>
      <c r="BA163" s="837"/>
      <c r="BB163" s="837"/>
      <c r="BC163" s="837"/>
      <c r="BD163" s="837"/>
      <c r="BE163" s="837"/>
      <c r="BF163" s="837"/>
      <c r="BG163" s="839"/>
    </row>
    <row r="164" spans="2:60" s="81" customFormat="1" x14ac:dyDescent="0.2">
      <c r="B164" s="840"/>
      <c r="C164" s="837"/>
      <c r="D164" s="841" t="s">
        <v>461</v>
      </c>
      <c r="E164" s="837"/>
      <c r="F164" s="837" t="s">
        <v>746</v>
      </c>
      <c r="G164" s="837"/>
      <c r="H164" s="2314"/>
      <c r="I164" s="2314"/>
      <c r="J164" s="2314"/>
      <c r="K164" s="2314"/>
      <c r="L164" s="2314"/>
      <c r="M164" s="2314"/>
      <c r="N164" s="2314"/>
      <c r="O164" s="2314"/>
      <c r="P164" s="2314"/>
      <c r="Q164" s="2314"/>
      <c r="R164" s="2314"/>
      <c r="S164" s="2314"/>
      <c r="T164" s="2314"/>
      <c r="U164" s="2314"/>
      <c r="V164" s="2314"/>
      <c r="W164" s="2314"/>
      <c r="X164" s="2314"/>
      <c r="Y164" s="2314"/>
      <c r="Z164" s="2314"/>
      <c r="AA164" s="2314"/>
      <c r="AB164" s="2314"/>
      <c r="AC164" s="2314"/>
      <c r="AD164" s="2314"/>
      <c r="AE164" s="2314"/>
      <c r="AF164" s="2314"/>
      <c r="AG164" s="2314"/>
      <c r="AH164" s="2314"/>
      <c r="AI164" s="2314"/>
      <c r="AJ164" s="2314"/>
      <c r="AK164" s="2314"/>
      <c r="AL164" s="2314"/>
      <c r="AM164" s="2314"/>
      <c r="AN164" s="2314"/>
      <c r="AO164" s="2314"/>
      <c r="AP164" s="2314"/>
      <c r="AQ164" s="2314"/>
      <c r="AR164" s="2314"/>
      <c r="AS164" s="2314"/>
      <c r="AT164" s="2314"/>
      <c r="AU164" s="2314"/>
      <c r="AV164" s="2314"/>
      <c r="AW164" s="2314"/>
      <c r="AX164" s="837"/>
      <c r="AY164" s="837"/>
      <c r="AZ164" s="837"/>
      <c r="BA164" s="837"/>
      <c r="BB164" s="837"/>
      <c r="BC164" s="837"/>
      <c r="BD164" s="837"/>
      <c r="BE164" s="837"/>
      <c r="BF164" s="838" t="s">
        <v>492</v>
      </c>
      <c r="BG164" s="839"/>
    </row>
    <row r="165" spans="2:60" s="38" customFormat="1" x14ac:dyDescent="0.2">
      <c r="B165" s="842"/>
      <c r="C165" s="843" t="s">
        <v>483</v>
      </c>
      <c r="D165" s="844" t="str">
        <f>INDEX(IPCC[Sector_description], MATCH($C165, IPCC[Sector_code], 0))</f>
        <v>Fuel Combustion</v>
      </c>
      <c r="E165" s="837"/>
      <c r="F165" s="845">
        <v>532.63873751129393</v>
      </c>
      <c r="G165" s="845"/>
      <c r="H165" s="2315"/>
      <c r="I165" s="2315"/>
      <c r="J165" s="2315"/>
      <c r="K165" s="2315"/>
      <c r="L165" s="2315"/>
      <c r="M165" s="2315"/>
      <c r="N165" s="2315"/>
      <c r="O165" s="2315"/>
      <c r="P165" s="2315"/>
      <c r="Q165" s="2315"/>
      <c r="R165" s="2315"/>
      <c r="S165" s="2315"/>
      <c r="T165" s="2315"/>
      <c r="U165" s="2315"/>
      <c r="V165" s="2315"/>
      <c r="W165" s="2315"/>
      <c r="X165" s="2315"/>
      <c r="Y165" s="2315"/>
      <c r="Z165" s="2315"/>
      <c r="AA165" s="2315"/>
      <c r="AB165" s="2315"/>
      <c r="AC165" s="2315"/>
      <c r="AD165" s="2315"/>
      <c r="AE165" s="2315"/>
      <c r="AF165" s="2315"/>
      <c r="AG165" s="2315"/>
      <c r="AH165" s="2315"/>
      <c r="AI165" s="2315"/>
      <c r="AJ165" s="2315"/>
      <c r="AK165" s="2315"/>
      <c r="AL165" s="2315"/>
      <c r="AM165" s="2315"/>
      <c r="AN165" s="2315"/>
      <c r="AO165" s="2315"/>
      <c r="AP165" s="2315"/>
      <c r="AQ165" s="2315"/>
      <c r="AR165" s="2315"/>
      <c r="AS165" s="2315"/>
      <c r="AT165" s="2315"/>
      <c r="AU165" s="2315"/>
      <c r="AV165" s="2315"/>
      <c r="AW165" s="2323"/>
      <c r="AX165" s="845">
        <f t="shared" ref="AX165:BF166" ca="1" si="55">SUMIFS(INDIRECT("'"&amp;AX$4&amp;"'!Year.Emissions"), INDIRECT("'"&amp;AX$4&amp;"'!Year.IPCC"), $C165)</f>
        <v>141.43863370431788</v>
      </c>
      <c r="AY165" s="845">
        <f t="shared" ca="1" si="55"/>
        <v>158.35400530191973</v>
      </c>
      <c r="AZ165" s="845">
        <f t="shared" ca="1" si="55"/>
        <v>195.72771522512591</v>
      </c>
      <c r="BA165" s="845">
        <f t="shared" ca="1" si="55"/>
        <v>247.91587173158214</v>
      </c>
      <c r="BB165" s="845">
        <f t="shared" ca="1" si="55"/>
        <v>317.81864119529683</v>
      </c>
      <c r="BC165" s="845">
        <f t="shared" ca="1" si="55"/>
        <v>421.48376693322689</v>
      </c>
      <c r="BD165" s="845">
        <f t="shared" ca="1" si="55"/>
        <v>521.85035442040407</v>
      </c>
      <c r="BE165" s="845">
        <f t="shared" ca="1" si="55"/>
        <v>618.02305842751969</v>
      </c>
      <c r="BF165" s="845">
        <f t="shared" ca="1" si="55"/>
        <v>709.15155346132894</v>
      </c>
      <c r="BG165" s="847"/>
    </row>
    <row r="166" spans="2:60" s="38" customFormat="1" x14ac:dyDescent="0.2">
      <c r="B166" s="842"/>
      <c r="C166" s="843" t="s">
        <v>482</v>
      </c>
      <c r="D166" s="844" t="str">
        <f>INDEX(IPCC[Sector_description], MATCH($C166, IPCC[Sector_code], 0))</f>
        <v>Fugitive Emissions from Fuels</v>
      </c>
      <c r="E166" s="837"/>
      <c r="F166" s="845">
        <v>13.3650064404099</v>
      </c>
      <c r="G166" s="845"/>
      <c r="H166" s="2315"/>
      <c r="I166" s="2315"/>
      <c r="J166" s="2315"/>
      <c r="K166" s="2315"/>
      <c r="L166" s="2315"/>
      <c r="M166" s="2315"/>
      <c r="N166" s="2315"/>
      <c r="O166" s="2315"/>
      <c r="P166" s="2315"/>
      <c r="Q166" s="2315"/>
      <c r="R166" s="2315"/>
      <c r="S166" s="2315"/>
      <c r="T166" s="2315"/>
      <c r="U166" s="2315"/>
      <c r="V166" s="2315"/>
      <c r="W166" s="2315"/>
      <c r="X166" s="2315"/>
      <c r="Y166" s="2315"/>
      <c r="Z166" s="2315"/>
      <c r="AA166" s="2315"/>
      <c r="AB166" s="2315"/>
      <c r="AC166" s="2315"/>
      <c r="AD166" s="2315"/>
      <c r="AE166" s="2315"/>
      <c r="AF166" s="2315"/>
      <c r="AG166" s="2315"/>
      <c r="AH166" s="2315"/>
      <c r="AI166" s="2315"/>
      <c r="AJ166" s="2315"/>
      <c r="AK166" s="2315"/>
      <c r="AL166" s="2315"/>
      <c r="AM166" s="2315"/>
      <c r="AN166" s="2315"/>
      <c r="AO166" s="2315"/>
      <c r="AP166" s="2315"/>
      <c r="AQ166" s="2315"/>
      <c r="AR166" s="2315"/>
      <c r="AS166" s="2315"/>
      <c r="AT166" s="2315"/>
      <c r="AU166" s="2315"/>
      <c r="AV166" s="2315"/>
      <c r="AW166" s="2323"/>
      <c r="AX166" s="845">
        <f t="shared" ca="1" si="55"/>
        <v>11.039051364088465</v>
      </c>
      <c r="AY166" s="845">
        <f t="shared" ca="1" si="55"/>
        <v>10.481549911903464</v>
      </c>
      <c r="AZ166" s="845">
        <f t="shared" ca="1" si="55"/>
        <v>16.0888399794094</v>
      </c>
      <c r="BA166" s="845">
        <f t="shared" ca="1" si="55"/>
        <v>12.194731873215559</v>
      </c>
      <c r="BB166" s="845">
        <f t="shared" ca="1" si="55"/>
        <v>14.926175320825493</v>
      </c>
      <c r="BC166" s="845">
        <f t="shared" ca="1" si="55"/>
        <v>21.442437301148928</v>
      </c>
      <c r="BD166" s="845">
        <f t="shared" ca="1" si="55"/>
        <v>27.755537263544461</v>
      </c>
      <c r="BE166" s="845">
        <f t="shared" ca="1" si="55"/>
        <v>33.460126432934416</v>
      </c>
      <c r="BF166" s="845">
        <f t="shared" ca="1" si="55"/>
        <v>39.144448739015779</v>
      </c>
      <c r="BG166" s="847"/>
    </row>
    <row r="167" spans="2:60" s="38" customFormat="1" x14ac:dyDescent="0.2">
      <c r="B167" s="840"/>
      <c r="C167" s="838">
        <v>1</v>
      </c>
      <c r="D167" s="837" t="s">
        <v>462</v>
      </c>
      <c r="E167" s="837"/>
      <c r="F167" s="848">
        <f>F165+F166</f>
        <v>546.00374395170388</v>
      </c>
      <c r="G167" s="848"/>
      <c r="H167" s="2323"/>
      <c r="I167" s="2323"/>
      <c r="J167" s="2323"/>
      <c r="K167" s="2323"/>
      <c r="L167" s="2323"/>
      <c r="M167" s="2323"/>
      <c r="N167" s="2323"/>
      <c r="O167" s="2323"/>
      <c r="P167" s="2323"/>
      <c r="Q167" s="2323"/>
      <c r="R167" s="2323"/>
      <c r="S167" s="2323"/>
      <c r="T167" s="2323"/>
      <c r="U167" s="2323"/>
      <c r="V167" s="2323"/>
      <c r="W167" s="2323"/>
      <c r="X167" s="2323"/>
      <c r="Y167" s="2323"/>
      <c r="Z167" s="2323"/>
      <c r="AA167" s="2323"/>
      <c r="AB167" s="2323"/>
      <c r="AC167" s="2323"/>
      <c r="AD167" s="2323"/>
      <c r="AE167" s="2323"/>
      <c r="AF167" s="2323"/>
      <c r="AG167" s="2323"/>
      <c r="AH167" s="2323"/>
      <c r="AI167" s="2323"/>
      <c r="AJ167" s="2323"/>
      <c r="AK167" s="2323"/>
      <c r="AL167" s="2323"/>
      <c r="AM167" s="2323"/>
      <c r="AN167" s="2323"/>
      <c r="AO167" s="2323"/>
      <c r="AP167" s="2323"/>
      <c r="AQ167" s="2323"/>
      <c r="AR167" s="2323"/>
      <c r="AS167" s="2323"/>
      <c r="AT167" s="2323"/>
      <c r="AU167" s="2323"/>
      <c r="AV167" s="2323"/>
      <c r="AW167" s="2323"/>
      <c r="AX167" s="848">
        <f t="shared" ref="AX167:BF167" ca="1" si="56">AX165+AX166</f>
        <v>152.47768506840634</v>
      </c>
      <c r="AY167" s="848">
        <f t="shared" ca="1" si="56"/>
        <v>168.8355552138232</v>
      </c>
      <c r="AZ167" s="848">
        <f t="shared" ca="1" si="56"/>
        <v>211.81655520453529</v>
      </c>
      <c r="BA167" s="848">
        <f t="shared" ca="1" si="56"/>
        <v>260.11060360479769</v>
      </c>
      <c r="BB167" s="848">
        <f t="shared" ca="1" si="56"/>
        <v>332.74481651612234</v>
      </c>
      <c r="BC167" s="848">
        <f t="shared" ca="1" si="56"/>
        <v>442.9262042343758</v>
      </c>
      <c r="BD167" s="848">
        <f t="shared" ca="1" si="56"/>
        <v>549.60589168394858</v>
      </c>
      <c r="BE167" s="848">
        <f t="shared" ca="1" si="56"/>
        <v>651.48318486045412</v>
      </c>
      <c r="BF167" s="848">
        <f t="shared" ca="1" si="56"/>
        <v>748.29600220034467</v>
      </c>
      <c r="BG167" s="839"/>
    </row>
    <row r="168" spans="2:60" s="38" customFormat="1" x14ac:dyDescent="0.2">
      <c r="B168" s="840"/>
      <c r="C168" s="838">
        <v>2</v>
      </c>
      <c r="D168" s="837" t="str">
        <f>INDEX(IPCC[Sector_description], MATCH($C168, IPCC[Sector_code], 0))</f>
        <v>Industrial Processes</v>
      </c>
      <c r="E168" s="837"/>
      <c r="F168" s="848">
        <v>27.891312059948401</v>
      </c>
      <c r="G168" s="848"/>
      <c r="H168" s="2323"/>
      <c r="I168" s="2323"/>
      <c r="J168" s="2323"/>
      <c r="K168" s="2323"/>
      <c r="L168" s="2323"/>
      <c r="M168" s="2323"/>
      <c r="N168" s="2323"/>
      <c r="O168" s="2323"/>
      <c r="P168" s="2323"/>
      <c r="Q168" s="2323"/>
      <c r="R168" s="2323"/>
      <c r="S168" s="2323"/>
      <c r="T168" s="2323"/>
      <c r="U168" s="2323"/>
      <c r="V168" s="2323"/>
      <c r="W168" s="2323"/>
      <c r="X168" s="2323"/>
      <c r="Y168" s="2323"/>
      <c r="Z168" s="2323"/>
      <c r="AA168" s="2323"/>
      <c r="AB168" s="2323"/>
      <c r="AC168" s="2323"/>
      <c r="AD168" s="2323"/>
      <c r="AE168" s="2323"/>
      <c r="AF168" s="2323"/>
      <c r="AG168" s="2323"/>
      <c r="AH168" s="2323"/>
      <c r="AI168" s="2323"/>
      <c r="AJ168" s="2323"/>
      <c r="AK168" s="2323"/>
      <c r="AL168" s="2323"/>
      <c r="AM168" s="2323"/>
      <c r="AN168" s="2323"/>
      <c r="AO168" s="2323"/>
      <c r="AP168" s="2323"/>
      <c r="AQ168" s="2323"/>
      <c r="AR168" s="2323"/>
      <c r="AS168" s="2323"/>
      <c r="AT168" s="2323"/>
      <c r="AU168" s="2323"/>
      <c r="AV168" s="2323"/>
      <c r="AW168" s="2323"/>
      <c r="AX168" s="845">
        <f t="shared" ref="AX168:BF175" ca="1" si="57">SUMIFS(INDIRECT("'"&amp;AX$4&amp;"'!Year.Emissions"), INDIRECT("'"&amp;AX$4&amp;"'!Year.IPCC"), $C168)</f>
        <v>27.891312059948405</v>
      </c>
      <c r="AY168" s="845">
        <f t="shared" ca="1" si="57"/>
        <v>27.858091129429077</v>
      </c>
      <c r="AZ168" s="845">
        <f t="shared" ca="1" si="57"/>
        <v>27.86547682600942</v>
      </c>
      <c r="BA168" s="845">
        <f t="shared" ca="1" si="57"/>
        <v>27.914626100053326</v>
      </c>
      <c r="BB168" s="845">
        <f t="shared" ca="1" si="57"/>
        <v>27.542607500392428</v>
      </c>
      <c r="BC168" s="845">
        <f t="shared" ca="1" si="57"/>
        <v>27.19371178333455</v>
      </c>
      <c r="BD168" s="845">
        <f t="shared" ca="1" si="57"/>
        <v>26.867422835474294</v>
      </c>
      <c r="BE168" s="845">
        <f t="shared" ca="1" si="57"/>
        <v>26.563252748959535</v>
      </c>
      <c r="BF168" s="845">
        <f t="shared" ca="1" si="57"/>
        <v>27.891312059948405</v>
      </c>
      <c r="BG168" s="839"/>
    </row>
    <row r="169" spans="2:60" s="38" customFormat="1" x14ac:dyDescent="0.2">
      <c r="B169" s="840"/>
      <c r="C169" s="838">
        <v>3</v>
      </c>
      <c r="D169" s="837" t="str">
        <f>INDEX(IPCC[Sector_description], MATCH($C169, IPCC[Sector_code], 0))</f>
        <v>Solvent and Other Product Use</v>
      </c>
      <c r="E169" s="837"/>
      <c r="F169" s="848">
        <v>0</v>
      </c>
      <c r="G169" s="848"/>
      <c r="H169" s="2323"/>
      <c r="I169" s="2323"/>
      <c r="J169" s="2323"/>
      <c r="K169" s="2323"/>
      <c r="L169" s="2323"/>
      <c r="M169" s="2323"/>
      <c r="N169" s="2323"/>
      <c r="O169" s="2323"/>
      <c r="P169" s="2323"/>
      <c r="Q169" s="2323"/>
      <c r="R169" s="2323"/>
      <c r="S169" s="2323"/>
      <c r="T169" s="2323"/>
      <c r="U169" s="2323"/>
      <c r="V169" s="2323"/>
      <c r="W169" s="2323"/>
      <c r="X169" s="2323"/>
      <c r="Y169" s="2323"/>
      <c r="Z169" s="2323"/>
      <c r="AA169" s="2323"/>
      <c r="AB169" s="2323"/>
      <c r="AC169" s="2323"/>
      <c r="AD169" s="2323"/>
      <c r="AE169" s="2323"/>
      <c r="AF169" s="2323"/>
      <c r="AG169" s="2323"/>
      <c r="AH169" s="2323"/>
      <c r="AI169" s="2323"/>
      <c r="AJ169" s="2323"/>
      <c r="AK169" s="2323"/>
      <c r="AL169" s="2323"/>
      <c r="AM169" s="2323"/>
      <c r="AN169" s="2323"/>
      <c r="AO169" s="2323"/>
      <c r="AP169" s="2323"/>
      <c r="AQ169" s="2323"/>
      <c r="AR169" s="2323"/>
      <c r="AS169" s="2323"/>
      <c r="AT169" s="2323"/>
      <c r="AU169" s="2323"/>
      <c r="AV169" s="2323"/>
      <c r="AW169" s="2323"/>
      <c r="AX169" s="845">
        <f t="shared" ca="1" si="57"/>
        <v>0</v>
      </c>
      <c r="AY169" s="845">
        <f t="shared" ca="1" si="57"/>
        <v>0</v>
      </c>
      <c r="AZ169" s="845">
        <f t="shared" ca="1" si="57"/>
        <v>0</v>
      </c>
      <c r="BA169" s="845">
        <f t="shared" ca="1" si="57"/>
        <v>0</v>
      </c>
      <c r="BB169" s="845">
        <f t="shared" ca="1" si="57"/>
        <v>0</v>
      </c>
      <c r="BC169" s="845">
        <f t="shared" ca="1" si="57"/>
        <v>0</v>
      </c>
      <c r="BD169" s="845">
        <f t="shared" ca="1" si="57"/>
        <v>0</v>
      </c>
      <c r="BE169" s="845">
        <f t="shared" ca="1" si="57"/>
        <v>0</v>
      </c>
      <c r="BF169" s="845">
        <f t="shared" ca="1" si="57"/>
        <v>0</v>
      </c>
      <c r="BG169" s="839"/>
    </row>
    <row r="170" spans="2:60" s="38" customFormat="1" x14ac:dyDescent="0.2">
      <c r="B170" s="840"/>
      <c r="C170" s="838">
        <v>4</v>
      </c>
      <c r="D170" s="837" t="str">
        <f>INDEX(IPCC[Sector_description], MATCH($C170, IPCC[Sector_code], 0))</f>
        <v>Agriculture</v>
      </c>
      <c r="E170" s="837"/>
      <c r="F170" s="848">
        <v>43.459166099179903</v>
      </c>
      <c r="G170" s="848"/>
      <c r="H170" s="2323"/>
      <c r="I170" s="2323"/>
      <c r="J170" s="2323"/>
      <c r="K170" s="2323"/>
      <c r="L170" s="2323"/>
      <c r="M170" s="2323"/>
      <c r="N170" s="2323"/>
      <c r="O170" s="2323"/>
      <c r="P170" s="2323"/>
      <c r="Q170" s="2323"/>
      <c r="R170" s="2323"/>
      <c r="S170" s="2323"/>
      <c r="T170" s="2323"/>
      <c r="U170" s="2323"/>
      <c r="V170" s="2323"/>
      <c r="W170" s="2323"/>
      <c r="X170" s="2323"/>
      <c r="Y170" s="2323"/>
      <c r="Z170" s="2323"/>
      <c r="AA170" s="2323"/>
      <c r="AB170" s="2323"/>
      <c r="AC170" s="2323"/>
      <c r="AD170" s="2323"/>
      <c r="AE170" s="2323"/>
      <c r="AF170" s="2323"/>
      <c r="AG170" s="2323"/>
      <c r="AH170" s="2323"/>
      <c r="AI170" s="2323"/>
      <c r="AJ170" s="2323"/>
      <c r="AK170" s="2323"/>
      <c r="AL170" s="2323"/>
      <c r="AM170" s="2323"/>
      <c r="AN170" s="2323"/>
      <c r="AO170" s="2323"/>
      <c r="AP170" s="2323"/>
      <c r="AQ170" s="2323"/>
      <c r="AR170" s="2323"/>
      <c r="AS170" s="2323"/>
      <c r="AT170" s="2323"/>
      <c r="AU170" s="2323"/>
      <c r="AV170" s="2323"/>
      <c r="AW170" s="2323"/>
      <c r="AX170" s="845">
        <f t="shared" ca="1" si="57"/>
        <v>23.28</v>
      </c>
      <c r="AY170" s="845">
        <f t="shared" ca="1" si="57"/>
        <v>22.545258398704277</v>
      </c>
      <c r="AZ170" s="845">
        <f t="shared" ca="1" si="57"/>
        <v>21.83370602510076</v>
      </c>
      <c r="BA170" s="845">
        <f t="shared" ca="1" si="57"/>
        <v>21.760312993855567</v>
      </c>
      <c r="BB170" s="845">
        <f t="shared" ca="1" si="57"/>
        <v>21.687166670019057</v>
      </c>
      <c r="BC170" s="845">
        <f t="shared" ca="1" si="57"/>
        <v>21.61426622429525</v>
      </c>
      <c r="BD170" s="845">
        <f t="shared" ca="1" si="57"/>
        <v>21.541610830175813</v>
      </c>
      <c r="BE170" s="845">
        <f t="shared" ca="1" si="57"/>
        <v>21.469199663930684</v>
      </c>
      <c r="BF170" s="845">
        <f t="shared" ca="1" si="57"/>
        <v>21.39703190459873</v>
      </c>
      <c r="BG170" s="839"/>
    </row>
    <row r="171" spans="2:60" s="38" customFormat="1" x14ac:dyDescent="0.2">
      <c r="B171" s="840"/>
      <c r="C171" s="838">
        <v>5</v>
      </c>
      <c r="D171" s="837" t="str">
        <f>INDEX(IPCC[Sector_description], MATCH($C171, IPCC[Sector_code], 0))</f>
        <v>LULUCF</v>
      </c>
      <c r="E171" s="837"/>
      <c r="F171" s="848">
        <v>-1.7798396847837301</v>
      </c>
      <c r="G171" s="848"/>
      <c r="H171" s="2323"/>
      <c r="I171" s="2323"/>
      <c r="J171" s="2323"/>
      <c r="K171" s="2323"/>
      <c r="L171" s="2323"/>
      <c r="M171" s="2323"/>
      <c r="N171" s="2323"/>
      <c r="O171" s="2323"/>
      <c r="P171" s="2323"/>
      <c r="Q171" s="2323"/>
      <c r="R171" s="2323"/>
      <c r="S171" s="2323"/>
      <c r="T171" s="2323"/>
      <c r="U171" s="2323"/>
      <c r="V171" s="2323"/>
      <c r="W171" s="2323"/>
      <c r="X171" s="2323"/>
      <c r="Y171" s="2323"/>
      <c r="Z171" s="2323"/>
      <c r="AA171" s="2323"/>
      <c r="AB171" s="2323"/>
      <c r="AC171" s="2323"/>
      <c r="AD171" s="2323"/>
      <c r="AE171" s="2323"/>
      <c r="AF171" s="2323"/>
      <c r="AG171" s="2323"/>
      <c r="AH171" s="2323"/>
      <c r="AI171" s="2323"/>
      <c r="AJ171" s="2323"/>
      <c r="AK171" s="2323"/>
      <c r="AL171" s="2323"/>
      <c r="AM171" s="2323"/>
      <c r="AN171" s="2323"/>
      <c r="AO171" s="2323"/>
      <c r="AP171" s="2323"/>
      <c r="AQ171" s="2323"/>
      <c r="AR171" s="2323"/>
      <c r="AS171" s="2323"/>
      <c r="AT171" s="2323"/>
      <c r="AU171" s="2323"/>
      <c r="AV171" s="2323"/>
      <c r="AW171" s="2323"/>
      <c r="AX171" s="845">
        <f t="shared" ca="1" si="57"/>
        <v>1.902062868</v>
      </c>
      <c r="AY171" s="845">
        <f t="shared" ca="1" si="57"/>
        <v>4.9966990495666685</v>
      </c>
      <c r="AZ171" s="845">
        <f t="shared" ca="1" si="57"/>
        <v>7.3100835966666686</v>
      </c>
      <c r="BA171" s="845">
        <f t="shared" ca="1" si="57"/>
        <v>8.7189949184666684</v>
      </c>
      <c r="BB171" s="845">
        <f t="shared" ca="1" si="57"/>
        <v>7.9318683936333301</v>
      </c>
      <c r="BC171" s="845">
        <f t="shared" ca="1" si="57"/>
        <v>6.4835049805000082</v>
      </c>
      <c r="BD171" s="845">
        <f t="shared" ca="1" si="57"/>
        <v>3.6992471491666095</v>
      </c>
      <c r="BE171" s="845">
        <f t="shared" ca="1" si="57"/>
        <v>0.62618822796669904</v>
      </c>
      <c r="BF171" s="845">
        <f t="shared" ca="1" si="57"/>
        <v>-1.7523899681333004</v>
      </c>
      <c r="BG171" s="839"/>
    </row>
    <row r="172" spans="2:60" s="38" customFormat="1" x14ac:dyDescent="0.2">
      <c r="B172" s="840"/>
      <c r="C172" s="838">
        <v>6</v>
      </c>
      <c r="D172" s="837" t="str">
        <f>INDEX(IPCC[Sector_description], MATCH($C172, IPCC[Sector_code], 0))</f>
        <v>Waste</v>
      </c>
      <c r="E172" s="837"/>
      <c r="F172" s="848">
        <v>22.860229581619201</v>
      </c>
      <c r="G172" s="848"/>
      <c r="H172" s="2323"/>
      <c r="I172" s="2323"/>
      <c r="J172" s="2323"/>
      <c r="K172" s="2323"/>
      <c r="L172" s="2323"/>
      <c r="M172" s="2323"/>
      <c r="N172" s="2323"/>
      <c r="O172" s="2323"/>
      <c r="P172" s="2323"/>
      <c r="Q172" s="2323"/>
      <c r="R172" s="2323"/>
      <c r="S172" s="2323"/>
      <c r="T172" s="2323"/>
      <c r="U172" s="2323"/>
      <c r="V172" s="2323"/>
      <c r="W172" s="2323"/>
      <c r="X172" s="2323"/>
      <c r="Y172" s="2323"/>
      <c r="Z172" s="2323"/>
      <c r="AA172" s="2323"/>
      <c r="AB172" s="2323"/>
      <c r="AC172" s="2323"/>
      <c r="AD172" s="2323"/>
      <c r="AE172" s="2323"/>
      <c r="AF172" s="2323"/>
      <c r="AG172" s="2323"/>
      <c r="AH172" s="2323"/>
      <c r="AI172" s="2323"/>
      <c r="AJ172" s="2323"/>
      <c r="AK172" s="2323"/>
      <c r="AL172" s="2323"/>
      <c r="AM172" s="2323"/>
      <c r="AN172" s="2323"/>
      <c r="AO172" s="2323"/>
      <c r="AP172" s="2323"/>
      <c r="AQ172" s="2323"/>
      <c r="AR172" s="2323"/>
      <c r="AS172" s="2323"/>
      <c r="AT172" s="2323"/>
      <c r="AU172" s="2323"/>
      <c r="AV172" s="2323"/>
      <c r="AW172" s="2323"/>
      <c r="AX172" s="845">
        <f t="shared" ca="1" si="57"/>
        <v>13.121211328991082</v>
      </c>
      <c r="AY172" s="845">
        <f t="shared" ca="1" si="57"/>
        <v>10.807028354917669</v>
      </c>
      <c r="AZ172" s="845">
        <f t="shared" ca="1" si="57"/>
        <v>8.4928453808442548</v>
      </c>
      <c r="BA172" s="845">
        <f t="shared" ca="1" si="57"/>
        <v>6.3895458201402011</v>
      </c>
      <c r="BB172" s="845">
        <f t="shared" ca="1" si="57"/>
        <v>4.5058333835286835</v>
      </c>
      <c r="BC172" s="845">
        <f t="shared" ca="1" si="57"/>
        <v>3.4909205988141889</v>
      </c>
      <c r="BD172" s="845">
        <f t="shared" ca="1" si="57"/>
        <v>2.5873928502248216</v>
      </c>
      <c r="BE172" s="845">
        <f t="shared" ca="1" si="57"/>
        <v>1.7952501377605785</v>
      </c>
      <c r="BF172" s="845">
        <f t="shared" ca="1" si="57"/>
        <v>1.1144924614214589</v>
      </c>
      <c r="BG172" s="839"/>
    </row>
    <row r="173" spans="2:60" s="81" customFormat="1" x14ac:dyDescent="0.2">
      <c r="B173" s="840"/>
      <c r="C173" s="838">
        <v>7</v>
      </c>
      <c r="D173" s="837" t="str">
        <f>INDEX(IPCC[Sector_description], MATCH($C173, IPCC[Sector_code], 0))</f>
        <v>Other</v>
      </c>
      <c r="E173" s="837"/>
      <c r="F173" s="846"/>
      <c r="G173" s="846"/>
      <c r="H173" s="2324"/>
      <c r="I173" s="2324"/>
      <c r="J173" s="2324"/>
      <c r="K173" s="2324"/>
      <c r="L173" s="2324"/>
      <c r="M173" s="2324"/>
      <c r="N173" s="2324"/>
      <c r="O173" s="2324"/>
      <c r="P173" s="2324"/>
      <c r="Q173" s="2324"/>
      <c r="R173" s="2324"/>
      <c r="S173" s="2324"/>
      <c r="T173" s="2324"/>
      <c r="U173" s="2324"/>
      <c r="V173" s="2324"/>
      <c r="W173" s="2324"/>
      <c r="X173" s="2324"/>
      <c r="Y173" s="2324"/>
      <c r="Z173" s="2324"/>
      <c r="AA173" s="2324"/>
      <c r="AB173" s="2324"/>
      <c r="AC173" s="2324"/>
      <c r="AD173" s="2324"/>
      <c r="AE173" s="2324"/>
      <c r="AF173" s="2324"/>
      <c r="AG173" s="2324"/>
      <c r="AH173" s="2324"/>
      <c r="AI173" s="2324"/>
      <c r="AJ173" s="2324"/>
      <c r="AK173" s="2324"/>
      <c r="AL173" s="2324"/>
      <c r="AM173" s="2324"/>
      <c r="AN173" s="2324"/>
      <c r="AO173" s="2324"/>
      <c r="AP173" s="2324"/>
      <c r="AQ173" s="2324"/>
      <c r="AR173" s="2324"/>
      <c r="AS173" s="2324"/>
      <c r="AT173" s="2324"/>
      <c r="AU173" s="2324"/>
      <c r="AV173" s="2324"/>
      <c r="AW173" s="2324"/>
      <c r="AX173" s="845">
        <f t="shared" ca="1" si="57"/>
        <v>0</v>
      </c>
      <c r="AY173" s="845">
        <f t="shared" ca="1" si="57"/>
        <v>0</v>
      </c>
      <c r="AZ173" s="845">
        <f t="shared" ca="1" si="57"/>
        <v>0</v>
      </c>
      <c r="BA173" s="845">
        <f t="shared" ca="1" si="57"/>
        <v>0</v>
      </c>
      <c r="BB173" s="845">
        <f t="shared" ca="1" si="57"/>
        <v>0</v>
      </c>
      <c r="BC173" s="845">
        <f t="shared" ca="1" si="57"/>
        <v>0</v>
      </c>
      <c r="BD173" s="845">
        <f t="shared" ca="1" si="57"/>
        <v>0</v>
      </c>
      <c r="BE173" s="845">
        <f t="shared" ca="1" si="57"/>
        <v>0</v>
      </c>
      <c r="BF173" s="845">
        <f t="shared" ca="1" si="57"/>
        <v>0</v>
      </c>
      <c r="BG173" s="839"/>
    </row>
    <row r="174" spans="2:60" s="38" customFormat="1" x14ac:dyDescent="0.2">
      <c r="B174" s="842"/>
      <c r="C174" s="838" t="s">
        <v>469</v>
      </c>
      <c r="D174" s="837" t="str">
        <f>INDEX(IPCC[Sector_description], MATCH($C174, IPCC[Sector_code], 0))</f>
        <v>Bioenergy credit</v>
      </c>
      <c r="E174" s="837"/>
      <c r="F174" s="848"/>
      <c r="G174" s="848"/>
      <c r="H174" s="2323"/>
      <c r="I174" s="2323"/>
      <c r="J174" s="2323"/>
      <c r="K174" s="2323"/>
      <c r="L174" s="2323"/>
      <c r="M174" s="2323"/>
      <c r="N174" s="2323"/>
      <c r="O174" s="2323"/>
      <c r="P174" s="2323"/>
      <c r="Q174" s="2323"/>
      <c r="R174" s="2323"/>
      <c r="S174" s="2323"/>
      <c r="T174" s="2323"/>
      <c r="U174" s="2323"/>
      <c r="V174" s="2323"/>
      <c r="W174" s="2323"/>
      <c r="X174" s="2323"/>
      <c r="Y174" s="2323"/>
      <c r="Z174" s="2323"/>
      <c r="AA174" s="2323"/>
      <c r="AB174" s="2323"/>
      <c r="AC174" s="2323"/>
      <c r="AD174" s="2323"/>
      <c r="AE174" s="2323"/>
      <c r="AF174" s="2323"/>
      <c r="AG174" s="2323"/>
      <c r="AH174" s="2323"/>
      <c r="AI174" s="2323"/>
      <c r="AJ174" s="2323"/>
      <c r="AK174" s="2323"/>
      <c r="AL174" s="2323"/>
      <c r="AM174" s="2323"/>
      <c r="AN174" s="2323"/>
      <c r="AO174" s="2323"/>
      <c r="AP174" s="2323"/>
      <c r="AQ174" s="2323"/>
      <c r="AR174" s="2323"/>
      <c r="AS174" s="2323"/>
      <c r="AT174" s="2323"/>
      <c r="AU174" s="2323"/>
      <c r="AV174" s="2323"/>
      <c r="AW174" s="2323"/>
      <c r="AX174" s="845">
        <f t="shared" ca="1" si="57"/>
        <v>-69.984746261924187</v>
      </c>
      <c r="AY174" s="845">
        <f t="shared" ca="1" si="57"/>
        <v>-79.788658807870121</v>
      </c>
      <c r="AZ174" s="845">
        <f t="shared" ca="1" si="57"/>
        <v>-91.931487118266929</v>
      </c>
      <c r="BA174" s="845">
        <f t="shared" ca="1" si="57"/>
        <v>-115.41998062751981</v>
      </c>
      <c r="BB174" s="845">
        <f t="shared" ca="1" si="57"/>
        <v>-125.020341213096</v>
      </c>
      <c r="BC174" s="845">
        <f t="shared" ca="1" si="57"/>
        <v>-136.68603656124461</v>
      </c>
      <c r="BD174" s="845">
        <f t="shared" ca="1" si="57"/>
        <v>-148.02146239404746</v>
      </c>
      <c r="BE174" s="845">
        <f t="shared" ca="1" si="57"/>
        <v>-160.13824103104378</v>
      </c>
      <c r="BF174" s="845">
        <f t="shared" ca="1" si="57"/>
        <v>-171.74017579723738</v>
      </c>
      <c r="BG174" s="847"/>
      <c r="BH174" s="769"/>
    </row>
    <row r="175" spans="2:60" s="38" customFormat="1" x14ac:dyDescent="0.2">
      <c r="B175" s="840"/>
      <c r="C175" s="838" t="s">
        <v>495</v>
      </c>
      <c r="D175" s="837" t="str">
        <f>INDEX(IPCC[Sector_description], MATCH($C175, IPCC[Sector_code], 0))</f>
        <v>Carbon capture</v>
      </c>
      <c r="E175" s="837"/>
      <c r="F175" s="848"/>
      <c r="G175" s="848"/>
      <c r="H175" s="2323"/>
      <c r="I175" s="2323"/>
      <c r="J175" s="2323"/>
      <c r="K175" s="2323"/>
      <c r="L175" s="2323"/>
      <c r="M175" s="2323"/>
      <c r="N175" s="2323"/>
      <c r="O175" s="2323"/>
      <c r="P175" s="2323"/>
      <c r="Q175" s="2323"/>
      <c r="R175" s="2323"/>
      <c r="S175" s="2323"/>
      <c r="T175" s="2323"/>
      <c r="U175" s="2323"/>
      <c r="V175" s="2323"/>
      <c r="W175" s="2323"/>
      <c r="X175" s="2323"/>
      <c r="Y175" s="2323"/>
      <c r="Z175" s="2323"/>
      <c r="AA175" s="2323"/>
      <c r="AB175" s="2323"/>
      <c r="AC175" s="2323"/>
      <c r="AD175" s="2323"/>
      <c r="AE175" s="2323"/>
      <c r="AF175" s="2323"/>
      <c r="AG175" s="2323"/>
      <c r="AH175" s="2323"/>
      <c r="AI175" s="2323"/>
      <c r="AJ175" s="2323"/>
      <c r="AK175" s="2323"/>
      <c r="AL175" s="2323"/>
      <c r="AM175" s="2323"/>
      <c r="AN175" s="2323"/>
      <c r="AO175" s="2323"/>
      <c r="AP175" s="2323"/>
      <c r="AQ175" s="2323"/>
      <c r="AR175" s="2323"/>
      <c r="AS175" s="2323"/>
      <c r="AT175" s="2323"/>
      <c r="AU175" s="2323"/>
      <c r="AV175" s="2323"/>
      <c r="AW175" s="2323"/>
      <c r="AX175" s="845">
        <f t="shared" ca="1" si="57"/>
        <v>0</v>
      </c>
      <c r="AY175" s="845">
        <f t="shared" ca="1" si="57"/>
        <v>0</v>
      </c>
      <c r="AZ175" s="845">
        <f t="shared" ca="1" si="57"/>
        <v>0</v>
      </c>
      <c r="BA175" s="845">
        <f t="shared" ca="1" si="57"/>
        <v>0</v>
      </c>
      <c r="BB175" s="845">
        <f t="shared" ca="1" si="57"/>
        <v>0</v>
      </c>
      <c r="BC175" s="845">
        <f t="shared" ca="1" si="57"/>
        <v>0</v>
      </c>
      <c r="BD175" s="845">
        <f t="shared" ca="1" si="57"/>
        <v>0</v>
      </c>
      <c r="BE175" s="845">
        <f t="shared" ca="1" si="57"/>
        <v>0</v>
      </c>
      <c r="BF175" s="845">
        <f t="shared" ca="1" si="57"/>
        <v>0</v>
      </c>
      <c r="BG175" s="839"/>
    </row>
    <row r="176" spans="2:60" s="39" customFormat="1" x14ac:dyDescent="0.2">
      <c r="B176" s="840"/>
      <c r="C176" s="837"/>
      <c r="D176" s="837" t="s">
        <v>105</v>
      </c>
      <c r="E176" s="837"/>
      <c r="F176" s="849">
        <f>SUM(F167:F173)</f>
        <v>638.43461200766774</v>
      </c>
      <c r="G176" s="849"/>
      <c r="H176" s="2325"/>
      <c r="I176" s="2325"/>
      <c r="J176" s="2325"/>
      <c r="K176" s="2325"/>
      <c r="L176" s="2325"/>
      <c r="M176" s="2325"/>
      <c r="N176" s="2325"/>
      <c r="O176" s="2325"/>
      <c r="P176" s="2325"/>
      <c r="Q176" s="2325"/>
      <c r="R176" s="2325"/>
      <c r="S176" s="2325"/>
      <c r="T176" s="2325"/>
      <c r="U176" s="2325"/>
      <c r="V176" s="2325"/>
      <c r="W176" s="2325"/>
      <c r="X176" s="2325"/>
      <c r="Y176" s="2325"/>
      <c r="Z176" s="2325"/>
      <c r="AA176" s="2325"/>
      <c r="AB176" s="2325"/>
      <c r="AC176" s="2325"/>
      <c r="AD176" s="2325"/>
      <c r="AE176" s="2325"/>
      <c r="AF176" s="2325"/>
      <c r="AG176" s="2325"/>
      <c r="AH176" s="2325"/>
      <c r="AI176" s="2325"/>
      <c r="AJ176" s="2325"/>
      <c r="AK176" s="2325"/>
      <c r="AL176" s="2325"/>
      <c r="AM176" s="2325"/>
      <c r="AN176" s="2325"/>
      <c r="AO176" s="2325"/>
      <c r="AP176" s="2325"/>
      <c r="AQ176" s="2325"/>
      <c r="AR176" s="2325"/>
      <c r="AS176" s="2325"/>
      <c r="AT176" s="2325"/>
      <c r="AU176" s="2325"/>
      <c r="AV176" s="2325"/>
      <c r="AW176" s="2325"/>
      <c r="AX176" s="849">
        <f t="shared" ref="AX176:BF176" ca="1" si="58">SUM(AX167:AX175)</f>
        <v>148.68752506342165</v>
      </c>
      <c r="AY176" s="849">
        <f t="shared" ca="1" si="58"/>
        <v>155.25397333857077</v>
      </c>
      <c r="AZ176" s="849">
        <f t="shared" ca="1" si="58"/>
        <v>185.38717991488949</v>
      </c>
      <c r="BA176" s="849">
        <f t="shared" ca="1" si="58"/>
        <v>209.47410280979364</v>
      </c>
      <c r="BB176" s="849">
        <f t="shared" ca="1" si="58"/>
        <v>269.39195125059985</v>
      </c>
      <c r="BC176" s="849">
        <f t="shared" ca="1" si="58"/>
        <v>365.02257126007521</v>
      </c>
      <c r="BD176" s="849">
        <f t="shared" ca="1" si="58"/>
        <v>456.28010295494255</v>
      </c>
      <c r="BE176" s="849">
        <f t="shared" ca="1" si="58"/>
        <v>541.79883460802785</v>
      </c>
      <c r="BF176" s="849">
        <f t="shared" ca="1" si="58"/>
        <v>625.20627286094259</v>
      </c>
      <c r="BG176" s="839" t="s">
        <v>1781</v>
      </c>
    </row>
    <row r="177" spans="1:62" s="39" customFormat="1" x14ac:dyDescent="0.2">
      <c r="B177" s="840"/>
      <c r="C177" s="837"/>
      <c r="D177" s="837"/>
      <c r="E177" s="837"/>
      <c r="F177" s="846"/>
      <c r="G177" s="846"/>
      <c r="H177" s="2324"/>
      <c r="I177" s="2324"/>
      <c r="J177" s="2324"/>
      <c r="K177" s="2324"/>
      <c r="L177" s="2324"/>
      <c r="M177" s="2324"/>
      <c r="N177" s="2324"/>
      <c r="O177" s="2324"/>
      <c r="P177" s="2324"/>
      <c r="Q177" s="2324"/>
      <c r="R177" s="2324"/>
      <c r="S177" s="2324"/>
      <c r="T177" s="2324"/>
      <c r="U177" s="2324"/>
      <c r="V177" s="2324"/>
      <c r="W177" s="2324"/>
      <c r="X177" s="2324"/>
      <c r="Y177" s="2324"/>
      <c r="Z177" s="2324"/>
      <c r="AA177" s="2324"/>
      <c r="AB177" s="2324"/>
      <c r="AC177" s="2324"/>
      <c r="AD177" s="2324"/>
      <c r="AE177" s="2324"/>
      <c r="AF177" s="2324"/>
      <c r="AG177" s="2324"/>
      <c r="AH177" s="2324"/>
      <c r="AI177" s="2324"/>
      <c r="AJ177" s="2324"/>
      <c r="AK177" s="2324"/>
      <c r="AL177" s="2324"/>
      <c r="AM177" s="2324"/>
      <c r="AN177" s="2324"/>
      <c r="AO177" s="2324"/>
      <c r="AP177" s="2324"/>
      <c r="AQ177" s="2324"/>
      <c r="AR177" s="2324"/>
      <c r="AS177" s="2324"/>
      <c r="AT177" s="2324"/>
      <c r="AU177" s="2324"/>
      <c r="AV177" s="2324"/>
      <c r="AW177" s="2324"/>
      <c r="AX177" s="846"/>
      <c r="AY177" s="846"/>
      <c r="AZ177" s="846"/>
      <c r="BA177" s="846"/>
      <c r="BB177" s="846"/>
      <c r="BC177" s="846"/>
      <c r="BD177" s="846"/>
      <c r="BE177" s="846"/>
      <c r="BF177" s="846"/>
      <c r="BG177" s="839"/>
    </row>
    <row r="178" spans="1:62" s="38" customFormat="1" x14ac:dyDescent="0.2">
      <c r="B178" s="854"/>
      <c r="C178" s="855"/>
      <c r="D178" s="855"/>
      <c r="E178" s="855"/>
      <c r="F178" s="863"/>
      <c r="G178" s="863"/>
      <c r="H178" s="2326"/>
      <c r="I178" s="2326"/>
      <c r="J178" s="2326"/>
      <c r="K178" s="2326"/>
      <c r="L178" s="2326"/>
      <c r="M178" s="2326"/>
      <c r="N178" s="2326"/>
      <c r="O178" s="2326"/>
      <c r="P178" s="2326"/>
      <c r="Q178" s="2326"/>
      <c r="R178" s="2326"/>
      <c r="S178" s="2326"/>
      <c r="T178" s="2326"/>
      <c r="U178" s="2326"/>
      <c r="V178" s="2326"/>
      <c r="W178" s="2326"/>
      <c r="X178" s="2326"/>
      <c r="Y178" s="2326"/>
      <c r="Z178" s="2326"/>
      <c r="AA178" s="2326"/>
      <c r="AB178" s="2326"/>
      <c r="AC178" s="2326"/>
      <c r="AD178" s="2326"/>
      <c r="AE178" s="2326"/>
      <c r="AF178" s="2326"/>
      <c r="AG178" s="2326"/>
      <c r="AH178" s="2326"/>
      <c r="AI178" s="2326"/>
      <c r="AJ178" s="2326"/>
      <c r="AK178" s="2326"/>
      <c r="AL178" s="2326"/>
      <c r="AM178" s="2326"/>
      <c r="AN178" s="2326"/>
      <c r="AO178" s="2326"/>
      <c r="AP178" s="2326"/>
      <c r="AQ178" s="2326"/>
      <c r="AR178" s="2326"/>
      <c r="AS178" s="2326"/>
      <c r="AT178" s="2326"/>
      <c r="AU178" s="2326"/>
      <c r="AV178" s="2326"/>
      <c r="AW178" s="2326"/>
      <c r="AX178" s="863"/>
      <c r="AY178" s="863"/>
      <c r="AZ178" s="863"/>
      <c r="BA178" s="863"/>
      <c r="BB178" s="863"/>
      <c r="BC178" s="863"/>
      <c r="BD178" s="863"/>
      <c r="BE178" s="863"/>
      <c r="BF178" s="863"/>
      <c r="BG178" s="856"/>
    </row>
    <row r="179" spans="1:62" s="1313" customFormat="1" x14ac:dyDescent="0.2">
      <c r="B179" s="854"/>
      <c r="C179" s="1314"/>
      <c r="D179" s="855"/>
      <c r="E179" s="855"/>
      <c r="F179" s="863"/>
      <c r="G179" s="863"/>
      <c r="H179" s="2326"/>
      <c r="I179" s="2326"/>
      <c r="J179" s="2326"/>
      <c r="K179" s="2326"/>
      <c r="L179" s="2326"/>
      <c r="M179" s="2326"/>
      <c r="N179" s="2326"/>
      <c r="O179" s="2326"/>
      <c r="P179" s="2326"/>
      <c r="Q179" s="2326"/>
      <c r="R179" s="2326"/>
      <c r="S179" s="2326"/>
      <c r="T179" s="2326"/>
      <c r="U179" s="2326"/>
      <c r="V179" s="2326"/>
      <c r="W179" s="2326"/>
      <c r="X179" s="2326"/>
      <c r="Y179" s="2326"/>
      <c r="Z179" s="2326"/>
      <c r="AA179" s="2326"/>
      <c r="AB179" s="2326"/>
      <c r="AC179" s="2326"/>
      <c r="AD179" s="2326"/>
      <c r="AE179" s="2326"/>
      <c r="AF179" s="2326"/>
      <c r="AG179" s="2326"/>
      <c r="AH179" s="2326"/>
      <c r="AI179" s="2326"/>
      <c r="AJ179" s="2326"/>
      <c r="AK179" s="2326"/>
      <c r="AL179" s="2326"/>
      <c r="AM179" s="2326"/>
      <c r="AN179" s="2326"/>
      <c r="AO179" s="2326"/>
      <c r="AP179" s="2326"/>
      <c r="AQ179" s="2326"/>
      <c r="AR179" s="2326"/>
      <c r="AS179" s="2326"/>
      <c r="AT179" s="2326"/>
      <c r="AU179" s="2326"/>
      <c r="AV179" s="2326"/>
      <c r="AW179" s="2326"/>
      <c r="AX179" s="863"/>
      <c r="AY179" s="863"/>
      <c r="AZ179" s="863"/>
      <c r="BA179" s="863"/>
      <c r="BB179" s="863"/>
      <c r="BC179" s="863"/>
      <c r="BD179" s="863"/>
      <c r="BE179" s="863"/>
      <c r="BF179" s="863"/>
      <c r="BG179" s="863"/>
      <c r="BH179" s="856"/>
    </row>
    <row r="180" spans="1:62" s="1313" customFormat="1" x14ac:dyDescent="0.2">
      <c r="B180" s="840"/>
      <c r="C180" s="837" t="s">
        <v>1371</v>
      </c>
      <c r="D180" s="837"/>
      <c r="E180" s="837"/>
      <c r="F180" s="837"/>
      <c r="G180" s="837"/>
      <c r="H180" s="2314"/>
      <c r="I180" s="2314"/>
      <c r="J180" s="2314"/>
      <c r="K180" s="2314"/>
      <c r="L180" s="2314"/>
      <c r="M180" s="2314"/>
      <c r="N180" s="2314"/>
      <c r="O180" s="2314"/>
      <c r="P180" s="2314"/>
      <c r="Q180" s="2314"/>
      <c r="R180" s="2314"/>
      <c r="S180" s="2314"/>
      <c r="T180" s="2314"/>
      <c r="U180" s="2314"/>
      <c r="V180" s="2314"/>
      <c r="W180" s="2314"/>
      <c r="X180" s="2314"/>
      <c r="Y180" s="2314"/>
      <c r="Z180" s="2314"/>
      <c r="AA180" s="2314"/>
      <c r="AB180" s="2314"/>
      <c r="AC180" s="2314"/>
      <c r="AD180" s="2314"/>
      <c r="AE180" s="2314"/>
      <c r="AF180" s="2314"/>
      <c r="AG180" s="2314"/>
      <c r="AH180" s="2314"/>
      <c r="AI180" s="2314"/>
      <c r="AJ180" s="2314"/>
      <c r="AK180" s="2314"/>
      <c r="AL180" s="2314"/>
      <c r="AM180" s="2314"/>
      <c r="AN180" s="2314"/>
      <c r="AO180" s="2314"/>
      <c r="AP180" s="2314"/>
      <c r="AQ180" s="2314"/>
      <c r="AR180" s="2314"/>
      <c r="AS180" s="2314"/>
      <c r="AT180" s="2314"/>
      <c r="AU180" s="2314"/>
      <c r="AV180" s="2314"/>
      <c r="AW180" s="2314"/>
      <c r="AX180" s="837"/>
      <c r="AY180" s="837"/>
      <c r="AZ180" s="837"/>
      <c r="BA180" s="837"/>
      <c r="BB180" s="837"/>
      <c r="BC180" s="837"/>
      <c r="BD180" s="837"/>
      <c r="BE180" s="837"/>
      <c r="BF180" s="837"/>
      <c r="BG180" s="837"/>
      <c r="BH180" s="837"/>
    </row>
    <row r="181" spans="1:62" s="38" customFormat="1" x14ac:dyDescent="0.2">
      <c r="B181" s="840"/>
      <c r="C181" s="837" t="s">
        <v>1372</v>
      </c>
      <c r="D181" s="837"/>
      <c r="E181" s="837"/>
      <c r="F181" s="837"/>
      <c r="G181" s="837"/>
      <c r="H181" s="2314"/>
      <c r="I181" s="2314"/>
      <c r="J181" s="2314"/>
      <c r="K181" s="2314"/>
      <c r="L181" s="2314"/>
      <c r="M181" s="2314"/>
      <c r="N181" s="2314"/>
      <c r="O181" s="2314"/>
      <c r="P181" s="2314"/>
      <c r="Q181" s="2314"/>
      <c r="R181" s="2314"/>
      <c r="S181" s="2314"/>
      <c r="T181" s="2314"/>
      <c r="U181" s="2314"/>
      <c r="V181" s="2314"/>
      <c r="W181" s="2314"/>
      <c r="X181" s="2314"/>
      <c r="Y181" s="2314"/>
      <c r="Z181" s="2314"/>
      <c r="AA181" s="2314"/>
      <c r="AB181" s="2314"/>
      <c r="AC181" s="2314"/>
      <c r="AD181" s="2314"/>
      <c r="AE181" s="2314"/>
      <c r="AF181" s="2314"/>
      <c r="AG181" s="2314"/>
      <c r="AH181" s="2314"/>
      <c r="AI181" s="2314"/>
      <c r="AJ181" s="2314"/>
      <c r="AK181" s="2314"/>
      <c r="AL181" s="2314"/>
      <c r="AM181" s="2314"/>
      <c r="AN181" s="2314"/>
      <c r="AO181" s="2314"/>
      <c r="AP181" s="2314"/>
      <c r="AQ181" s="2314"/>
      <c r="AR181" s="2314"/>
      <c r="AS181" s="2314"/>
      <c r="AT181" s="2314"/>
      <c r="AU181" s="2314"/>
      <c r="AV181" s="2314"/>
      <c r="AW181" s="2314"/>
      <c r="AX181" s="846"/>
      <c r="AY181" s="837"/>
      <c r="AZ181" s="837"/>
      <c r="BA181" s="837"/>
      <c r="BB181" s="837"/>
      <c r="BC181" s="846"/>
      <c r="BD181" s="837"/>
      <c r="BE181" s="837"/>
      <c r="BF181" s="837"/>
      <c r="BG181" s="837"/>
      <c r="BH181" s="1315"/>
    </row>
    <row r="182" spans="1:62" x14ac:dyDescent="0.2">
      <c r="B182" s="840"/>
      <c r="C182" s="837"/>
      <c r="D182" s="837"/>
      <c r="E182" s="837"/>
      <c r="F182" s="837"/>
      <c r="G182" s="837"/>
      <c r="H182" s="2314"/>
      <c r="I182" s="2314"/>
      <c r="J182" s="2314"/>
      <c r="K182" s="2314"/>
      <c r="L182" s="2314"/>
      <c r="M182" s="2314"/>
      <c r="N182" s="2314"/>
      <c r="O182" s="2314"/>
      <c r="P182" s="2314"/>
      <c r="Q182" s="2314"/>
      <c r="R182" s="2314"/>
      <c r="S182" s="2314"/>
      <c r="T182" s="2314"/>
      <c r="U182" s="2314"/>
      <c r="V182" s="2314"/>
      <c r="W182" s="2314"/>
      <c r="X182" s="2314"/>
      <c r="Y182" s="2314"/>
      <c r="Z182" s="2314"/>
      <c r="AA182" s="2314"/>
      <c r="AB182" s="2314"/>
      <c r="AC182" s="2314"/>
      <c r="AD182" s="2314"/>
      <c r="AE182" s="2314"/>
      <c r="AF182" s="2314"/>
      <c r="AG182" s="2314"/>
      <c r="AH182" s="2314"/>
      <c r="AI182" s="2314"/>
      <c r="AJ182" s="2314"/>
      <c r="AK182" s="2314"/>
      <c r="AL182" s="2314"/>
      <c r="AM182" s="2314"/>
      <c r="AN182" s="2314"/>
      <c r="AO182" s="2314"/>
      <c r="AP182" s="2314"/>
      <c r="AQ182" s="2314"/>
      <c r="AR182" s="2314"/>
      <c r="AS182" s="2314"/>
      <c r="AT182" s="2314"/>
      <c r="AU182" s="2314"/>
      <c r="AV182" s="2314"/>
      <c r="AW182" s="2314"/>
      <c r="AX182" s="837"/>
      <c r="AY182" s="837"/>
      <c r="AZ182" s="837"/>
      <c r="BA182" s="837"/>
      <c r="BB182" s="837"/>
      <c r="BC182" s="837"/>
      <c r="BD182" s="837"/>
      <c r="BE182" s="837"/>
      <c r="BF182" s="837"/>
      <c r="BG182" s="837"/>
      <c r="BH182" s="839"/>
      <c r="BI182" s="38"/>
      <c r="BJ182"/>
    </row>
    <row r="183" spans="1:62" x14ac:dyDescent="0.2">
      <c r="B183" s="840"/>
      <c r="C183" s="837"/>
      <c r="D183" s="837"/>
      <c r="E183" s="837"/>
      <c r="F183" s="837"/>
      <c r="G183" s="2314"/>
      <c r="H183" s="2314"/>
      <c r="I183" s="2314"/>
      <c r="J183" s="2314"/>
      <c r="K183" s="2314"/>
      <c r="L183" s="2314"/>
      <c r="M183" s="2314"/>
      <c r="N183" s="2314"/>
      <c r="O183" s="2314"/>
      <c r="P183" s="2314"/>
      <c r="Q183" s="2314"/>
      <c r="R183" s="2314"/>
      <c r="S183" s="2314"/>
      <c r="T183" s="2314"/>
      <c r="U183" s="2314"/>
      <c r="V183" s="2314"/>
      <c r="W183" s="2314"/>
      <c r="X183" s="2314"/>
      <c r="Y183" s="2314"/>
      <c r="Z183" s="2314"/>
      <c r="AA183" s="2314"/>
      <c r="AB183" s="2314"/>
      <c r="AC183" s="2314"/>
      <c r="AD183" s="2314"/>
      <c r="AE183" s="2314"/>
      <c r="AF183" s="2314"/>
      <c r="AG183" s="2314"/>
      <c r="AH183" s="2314"/>
      <c r="AI183" s="2314"/>
      <c r="AJ183" s="2314"/>
      <c r="AK183" s="2314"/>
      <c r="AL183" s="2314"/>
      <c r="AM183" s="2314"/>
      <c r="AN183" s="2314"/>
      <c r="AO183" s="2314"/>
      <c r="AP183" s="2314"/>
      <c r="AQ183" s="2314"/>
      <c r="AR183" s="2314"/>
      <c r="AS183" s="2314"/>
      <c r="AT183" s="2314"/>
      <c r="AU183" s="2314"/>
      <c r="AV183" s="2314"/>
      <c r="AW183" s="837"/>
      <c r="AX183" s="837"/>
      <c r="AY183" s="837"/>
      <c r="AZ183" s="837"/>
      <c r="BA183" s="837"/>
      <c r="BB183" s="837"/>
      <c r="BC183" s="837"/>
      <c r="BD183" s="837"/>
      <c r="BE183" s="837"/>
      <c r="BF183" s="837"/>
      <c r="BG183" s="839"/>
      <c r="BH183" s="38"/>
      <c r="BJ183"/>
    </row>
    <row r="184" spans="1:62" s="82" customFormat="1" ht="15.75" x14ac:dyDescent="0.25">
      <c r="B184" s="840"/>
      <c r="C184" s="864" t="s">
        <v>844</v>
      </c>
      <c r="D184" s="837"/>
      <c r="E184" s="837"/>
      <c r="F184" s="837"/>
      <c r="G184" s="2314"/>
      <c r="H184" s="2314"/>
      <c r="I184" s="2314"/>
      <c r="J184" s="2314"/>
      <c r="K184" s="2314"/>
      <c r="L184" s="2314"/>
      <c r="M184" s="2314"/>
      <c r="N184" s="2314"/>
      <c r="O184" s="2314"/>
      <c r="P184" s="2314"/>
      <c r="Q184" s="2314"/>
      <c r="R184" s="2314"/>
      <c r="S184" s="2314"/>
      <c r="T184" s="2314"/>
      <c r="U184" s="2314"/>
      <c r="V184" s="2314"/>
      <c r="W184" s="2314"/>
      <c r="X184" s="2314"/>
      <c r="Y184" s="2314"/>
      <c r="Z184" s="2314"/>
      <c r="AA184" s="2314"/>
      <c r="AB184" s="2314"/>
      <c r="AC184" s="2314"/>
      <c r="AD184" s="2314"/>
      <c r="AE184" s="2314"/>
      <c r="AF184" s="2314"/>
      <c r="AG184" s="2314"/>
      <c r="AH184" s="2314"/>
      <c r="AI184" s="2314"/>
      <c r="AJ184" s="2314"/>
      <c r="AK184" s="2314"/>
      <c r="AL184" s="2314"/>
      <c r="AM184" s="2314"/>
      <c r="AN184" s="2314"/>
      <c r="AO184" s="2314"/>
      <c r="AP184" s="2314"/>
      <c r="AQ184" s="2314"/>
      <c r="AR184" s="2314"/>
      <c r="AS184" s="2314"/>
      <c r="AT184" s="2314"/>
      <c r="AU184" s="2314"/>
      <c r="AV184" s="2314"/>
      <c r="AW184" s="837" t="s">
        <v>848</v>
      </c>
      <c r="AX184" s="837" t="s">
        <v>849</v>
      </c>
      <c r="AY184" s="837"/>
      <c r="AZ184" s="837" t="s">
        <v>848</v>
      </c>
      <c r="BA184" s="837" t="s">
        <v>850</v>
      </c>
      <c r="BB184" s="837"/>
      <c r="BC184" s="837" t="s">
        <v>2447</v>
      </c>
      <c r="BD184" s="837"/>
      <c r="BE184" s="837"/>
      <c r="BF184" s="837"/>
      <c r="BG184" s="839"/>
    </row>
    <row r="185" spans="1:62" ht="15.75" x14ac:dyDescent="0.25">
      <c r="B185" s="836"/>
      <c r="C185" s="864"/>
      <c r="D185" s="837"/>
      <c r="E185" s="869" t="s">
        <v>845</v>
      </c>
      <c r="F185" s="869"/>
      <c r="G185" s="2327"/>
      <c r="H185" s="2327"/>
      <c r="I185" s="2327"/>
      <c r="J185" s="2327"/>
      <c r="K185" s="2327"/>
      <c r="L185" s="2327"/>
      <c r="M185" s="2327"/>
      <c r="N185" s="2327"/>
      <c r="O185" s="2327"/>
      <c r="P185" s="2327"/>
      <c r="Q185" s="2327"/>
      <c r="R185" s="2327"/>
      <c r="S185" s="2327"/>
      <c r="T185" s="2327"/>
      <c r="U185" s="2327"/>
      <c r="V185" s="2327"/>
      <c r="W185" s="2327"/>
      <c r="X185" s="2327"/>
      <c r="Y185" s="2327"/>
      <c r="Z185" s="2327"/>
      <c r="AA185" s="2327"/>
      <c r="AB185" s="2327"/>
      <c r="AC185" s="2327"/>
      <c r="AD185" s="2327"/>
      <c r="AE185" s="2327"/>
      <c r="AF185" s="2327"/>
      <c r="AG185" s="2327"/>
      <c r="AH185" s="2327"/>
      <c r="AI185" s="2327"/>
      <c r="AJ185" s="2327"/>
      <c r="AK185" s="2327"/>
      <c r="AL185" s="2327"/>
      <c r="AM185" s="2327"/>
      <c r="AN185" s="2327"/>
      <c r="AO185" s="2327"/>
      <c r="AP185" s="2327"/>
      <c r="AQ185" s="2327"/>
      <c r="AR185" s="2327"/>
      <c r="AS185" s="2327"/>
      <c r="AT185" s="2327"/>
      <c r="AU185" s="2327"/>
      <c r="AV185" s="2327"/>
      <c r="AW185" s="870" t="s">
        <v>846</v>
      </c>
      <c r="AX185" s="871" t="s">
        <v>847</v>
      </c>
      <c r="AY185" s="837"/>
      <c r="AZ185" s="837" t="s">
        <v>2446</v>
      </c>
      <c r="BA185" s="837" t="s">
        <v>2446</v>
      </c>
      <c r="BB185" s="837"/>
      <c r="BC185" s="837"/>
      <c r="BD185" s="837">
        <v>2020</v>
      </c>
      <c r="BE185" s="837">
        <v>2030</v>
      </c>
      <c r="BF185" s="837">
        <v>2050</v>
      </c>
      <c r="BG185" s="839"/>
      <c r="BH185" s="38"/>
      <c r="BJ185"/>
    </row>
    <row r="186" spans="1:62" x14ac:dyDescent="0.2">
      <c r="B186" s="850"/>
      <c r="C186" s="841"/>
      <c r="D186" s="841" t="s">
        <v>745</v>
      </c>
      <c r="E186" s="851">
        <v>777.11766999999998</v>
      </c>
      <c r="F186" s="851"/>
      <c r="G186" s="2328"/>
      <c r="H186" s="2328"/>
      <c r="I186" s="2328"/>
      <c r="J186" s="2328"/>
      <c r="K186" s="2328"/>
      <c r="L186" s="2328"/>
      <c r="M186" s="2328"/>
      <c r="N186" s="2328"/>
      <c r="O186" s="2328"/>
      <c r="P186" s="2328"/>
      <c r="Q186" s="2328"/>
      <c r="R186" s="2328"/>
      <c r="S186" s="2328"/>
      <c r="T186" s="2328"/>
      <c r="U186" s="2328"/>
      <c r="V186" s="2328"/>
      <c r="W186" s="2328"/>
      <c r="X186" s="2328"/>
      <c r="Y186" s="2328"/>
      <c r="Z186" s="2328"/>
      <c r="AA186" s="2328"/>
      <c r="AB186" s="2328"/>
      <c r="AC186" s="2328"/>
      <c r="AD186" s="2328"/>
      <c r="AE186" s="2328"/>
      <c r="AF186" s="2328"/>
      <c r="AG186" s="2328"/>
      <c r="AH186" s="2328"/>
      <c r="AI186" s="2328"/>
      <c r="AJ186" s="2328"/>
      <c r="AK186" s="2328"/>
      <c r="AL186" s="2328"/>
      <c r="AM186" s="2328"/>
      <c r="AN186" s="2328"/>
      <c r="AO186" s="2328"/>
      <c r="AP186" s="2328"/>
      <c r="AQ186" s="2328"/>
      <c r="AR186" s="2328"/>
      <c r="AS186" s="2328"/>
      <c r="AT186" s="2328"/>
      <c r="AU186" s="2328"/>
      <c r="AV186" s="2328"/>
      <c r="AW186" s="851">
        <f>0.2*$E186</f>
        <v>155.42353400000002</v>
      </c>
      <c r="AX186" s="851">
        <f>0.66*$E186</f>
        <v>512.89766220000001</v>
      </c>
      <c r="AY186" s="841"/>
      <c r="AZ186" s="841"/>
      <c r="BA186" s="841"/>
      <c r="BB186" s="841"/>
      <c r="BC186" s="852"/>
      <c r="BD186" s="852"/>
      <c r="BE186" s="852"/>
      <c r="BF186" s="852"/>
      <c r="BG186" s="853"/>
      <c r="BH186" s="38"/>
      <c r="BJ186"/>
    </row>
    <row r="187" spans="1:62" s="39" customFormat="1" x14ac:dyDescent="0.2">
      <c r="B187" s="840"/>
      <c r="C187" s="837"/>
      <c r="D187" s="837" t="s">
        <v>633</v>
      </c>
      <c r="E187" s="848">
        <f>(31.401/2+6.768)</f>
        <v>22.468499999999999</v>
      </c>
      <c r="F187" s="848"/>
      <c r="G187" s="2323"/>
      <c r="H187" s="2323"/>
      <c r="I187" s="2323"/>
      <c r="J187" s="2323"/>
      <c r="K187" s="2323"/>
      <c r="L187" s="2323"/>
      <c r="M187" s="2323"/>
      <c r="N187" s="2323"/>
      <c r="O187" s="2323"/>
      <c r="P187" s="2323"/>
      <c r="Q187" s="2323"/>
      <c r="R187" s="2323"/>
      <c r="S187" s="2323"/>
      <c r="T187" s="2323"/>
      <c r="U187" s="2323"/>
      <c r="V187" s="2323"/>
      <c r="W187" s="2323"/>
      <c r="X187" s="2323"/>
      <c r="Y187" s="2323"/>
      <c r="Z187" s="2323"/>
      <c r="AA187" s="2323"/>
      <c r="AB187" s="2323"/>
      <c r="AC187" s="2323"/>
      <c r="AD187" s="2323"/>
      <c r="AE187" s="2323"/>
      <c r="AF187" s="2323"/>
      <c r="AG187" s="2323"/>
      <c r="AH187" s="2323"/>
      <c r="AI187" s="2323"/>
      <c r="AJ187" s="2323"/>
      <c r="AK187" s="2323"/>
      <c r="AL187" s="2323"/>
      <c r="AM187" s="2323"/>
      <c r="AN187" s="2323"/>
      <c r="AO187" s="2323"/>
      <c r="AP187" s="2323"/>
      <c r="AQ187" s="2323"/>
      <c r="AR187" s="2323"/>
      <c r="AS187" s="2323"/>
      <c r="AT187" s="2323"/>
      <c r="AU187" s="2323"/>
      <c r="AV187" s="2323"/>
      <c r="AW187" s="848"/>
      <c r="AX187" s="848"/>
      <c r="AY187" s="837"/>
      <c r="AZ187" s="848">
        <f ca="1">AZ188*AX139</f>
        <v>0</v>
      </c>
      <c r="BA187" s="848">
        <f ca="1">BA188*AY139</f>
        <v>0</v>
      </c>
      <c r="BB187" s="837"/>
      <c r="BC187" s="837"/>
      <c r="BD187" s="837"/>
      <c r="BE187" s="837"/>
      <c r="BF187" s="837"/>
      <c r="BG187" s="839"/>
    </row>
    <row r="188" spans="1:62" s="39" customFormat="1" x14ac:dyDescent="0.2">
      <c r="B188" s="840"/>
      <c r="C188" s="837"/>
      <c r="D188" s="841" t="s">
        <v>105</v>
      </c>
      <c r="E188" s="851">
        <f>E186+E187</f>
        <v>799.58616999999992</v>
      </c>
      <c r="F188" s="851"/>
      <c r="G188" s="2328"/>
      <c r="H188" s="2328"/>
      <c r="I188" s="2328"/>
      <c r="J188" s="2328"/>
      <c r="K188" s="2328"/>
      <c r="L188" s="2328"/>
      <c r="M188" s="2328"/>
      <c r="N188" s="2328"/>
      <c r="O188" s="2328"/>
      <c r="P188" s="2328"/>
      <c r="Q188" s="2328"/>
      <c r="R188" s="2328"/>
      <c r="S188" s="2328"/>
      <c r="T188" s="2328"/>
      <c r="U188" s="2328"/>
      <c r="V188" s="2328"/>
      <c r="W188" s="2328"/>
      <c r="X188" s="2328"/>
      <c r="Y188" s="2328"/>
      <c r="Z188" s="2328"/>
      <c r="AA188" s="2328"/>
      <c r="AB188" s="2328"/>
      <c r="AC188" s="2328"/>
      <c r="AD188" s="2328"/>
      <c r="AE188" s="2328"/>
      <c r="AF188" s="2328"/>
      <c r="AG188" s="2328"/>
      <c r="AH188" s="2328"/>
      <c r="AI188" s="2328"/>
      <c r="AJ188" s="2328"/>
      <c r="AK188" s="2328"/>
      <c r="AL188" s="2328"/>
      <c r="AM188" s="2328"/>
      <c r="AN188" s="2328"/>
      <c r="AO188" s="2328"/>
      <c r="AP188" s="2328"/>
      <c r="AQ188" s="2328"/>
      <c r="AR188" s="2328"/>
      <c r="AS188" s="2328"/>
      <c r="AT188" s="2328"/>
      <c r="AU188" s="2328"/>
      <c r="AV188" s="2328"/>
      <c r="AW188" s="851">
        <f>0.2*$E188</f>
        <v>159.91723400000001</v>
      </c>
      <c r="AX188" s="851">
        <f>0.66*$E188</f>
        <v>527.7268722</v>
      </c>
      <c r="AY188" s="837"/>
      <c r="AZ188" s="851">
        <f ca="1">AW188/$AX$140</f>
        <v>859.97536509207964</v>
      </c>
      <c r="BA188" s="851">
        <f ca="1">AX188/$AX$140</f>
        <v>2837.9187048038625</v>
      </c>
      <c r="BB188" s="837"/>
      <c r="BC188" s="852"/>
      <c r="BD188" s="2611">
        <f ca="1">AZ140/$AX140</f>
        <v>1.2468240347387169</v>
      </c>
      <c r="BE188" s="2611">
        <f ca="1">BB140/$AX140</f>
        <v>1.8117992826613567</v>
      </c>
      <c r="BF188" s="2611">
        <f ca="1">BF140/$AX140</f>
        <v>4.2048334088166781</v>
      </c>
      <c r="BG188" s="839"/>
    </row>
    <row r="189" spans="1:62" x14ac:dyDescent="0.2">
      <c r="B189" s="854"/>
      <c r="C189" s="855"/>
      <c r="D189" s="855" t="s">
        <v>834</v>
      </c>
      <c r="E189" s="855"/>
      <c r="F189" s="855"/>
      <c r="G189" s="2322"/>
      <c r="H189" s="2322"/>
      <c r="I189" s="2322"/>
      <c r="J189" s="2322"/>
      <c r="K189" s="2322"/>
      <c r="L189" s="2322"/>
      <c r="M189" s="2322"/>
      <c r="N189" s="2322"/>
      <c r="O189" s="2322"/>
      <c r="P189" s="2322"/>
      <c r="Q189" s="2322"/>
      <c r="R189" s="2322"/>
      <c r="S189" s="2322"/>
      <c r="T189" s="2322"/>
      <c r="U189" s="2322"/>
      <c r="V189" s="2322"/>
      <c r="W189" s="2322"/>
      <c r="X189" s="2322"/>
      <c r="Y189" s="2322"/>
      <c r="Z189" s="2322"/>
      <c r="AA189" s="2322"/>
      <c r="AB189" s="2322"/>
      <c r="AC189" s="2322"/>
      <c r="AD189" s="2322"/>
      <c r="AE189" s="2322"/>
      <c r="AF189" s="2322"/>
      <c r="AG189" s="2322"/>
      <c r="AH189" s="2322"/>
      <c r="AI189" s="2322"/>
      <c r="AJ189" s="2322"/>
      <c r="AK189" s="2322"/>
      <c r="AL189" s="2322"/>
      <c r="AM189" s="2322"/>
      <c r="AN189" s="2322"/>
      <c r="AO189" s="2322"/>
      <c r="AP189" s="2322"/>
      <c r="AQ189" s="2322"/>
      <c r="AR189" s="2322"/>
      <c r="AS189" s="2322"/>
      <c r="AT189" s="2322"/>
      <c r="AU189" s="2322"/>
      <c r="AV189" s="2322"/>
      <c r="AW189" s="872">
        <v>0.2</v>
      </c>
      <c r="AX189" s="872">
        <v>0.2</v>
      </c>
      <c r="AY189" s="872">
        <v>0.2</v>
      </c>
      <c r="AZ189" s="872">
        <v>0.2</v>
      </c>
      <c r="BA189" s="872">
        <v>0.2</v>
      </c>
      <c r="BB189" s="872">
        <v>0.2</v>
      </c>
      <c r="BC189" s="872">
        <v>0.2</v>
      </c>
      <c r="BD189" s="872">
        <v>0.2</v>
      </c>
      <c r="BE189" s="872">
        <v>0.2</v>
      </c>
      <c r="BF189" s="872">
        <v>0.2</v>
      </c>
      <c r="BG189" s="856"/>
      <c r="BH189" s="38"/>
      <c r="BJ189"/>
    </row>
    <row r="190" spans="1:62" s="588" customFormat="1" x14ac:dyDescent="0.2">
      <c r="B190" s="854"/>
      <c r="C190" s="855"/>
      <c r="D190" s="855" t="s">
        <v>900</v>
      </c>
      <c r="E190" s="855"/>
      <c r="F190" s="855"/>
      <c r="G190" s="2322"/>
      <c r="H190" s="2322"/>
      <c r="I190" s="2322"/>
      <c r="J190" s="2322"/>
      <c r="K190" s="2322"/>
      <c r="L190" s="2322"/>
      <c r="M190" s="2322"/>
      <c r="N190" s="2322"/>
      <c r="O190" s="2322"/>
      <c r="P190" s="2322"/>
      <c r="Q190" s="2322"/>
      <c r="R190" s="2322"/>
      <c r="S190" s="2322"/>
      <c r="T190" s="2322"/>
      <c r="U190" s="2322"/>
      <c r="V190" s="2322"/>
      <c r="W190" s="2322"/>
      <c r="X190" s="2322"/>
      <c r="Y190" s="2322"/>
      <c r="Z190" s="2322"/>
      <c r="AA190" s="2322"/>
      <c r="AB190" s="2322"/>
      <c r="AC190" s="2322"/>
      <c r="AD190" s="2322"/>
      <c r="AE190" s="2322"/>
      <c r="AF190" s="2322"/>
      <c r="AG190" s="2322"/>
      <c r="AH190" s="2322"/>
      <c r="AI190" s="2322"/>
      <c r="AJ190" s="2322"/>
      <c r="AK190" s="2322"/>
      <c r="AL190" s="2322"/>
      <c r="AM190" s="2322"/>
      <c r="AN190" s="2322"/>
      <c r="AO190" s="2322"/>
      <c r="AP190" s="2322"/>
      <c r="AQ190" s="2322"/>
      <c r="AR190" s="2322"/>
      <c r="AS190" s="2322"/>
      <c r="AT190" s="2322"/>
      <c r="AU190" s="2322"/>
      <c r="AV190" s="2322"/>
      <c r="AW190" s="872">
        <v>0</v>
      </c>
      <c r="AX190" s="872">
        <v>0</v>
      </c>
      <c r="AY190" s="872">
        <v>0</v>
      </c>
      <c r="AZ190" s="872">
        <v>0</v>
      </c>
      <c r="BA190" s="872">
        <v>0</v>
      </c>
      <c r="BB190" s="872">
        <v>0</v>
      </c>
      <c r="BC190" s="872">
        <v>0</v>
      </c>
      <c r="BD190" s="872">
        <v>0</v>
      </c>
      <c r="BE190" s="872">
        <v>0</v>
      </c>
      <c r="BF190" s="872">
        <v>0</v>
      </c>
      <c r="BG190" s="856"/>
    </row>
    <row r="191" spans="1:62" s="1296" customFormat="1" ht="22.5" x14ac:dyDescent="0.3">
      <c r="A191" s="409"/>
      <c r="B191" s="857"/>
      <c r="C191" s="858"/>
      <c r="D191" s="858"/>
      <c r="E191" s="858"/>
      <c r="F191" s="858"/>
      <c r="G191" s="858"/>
      <c r="H191" s="2329"/>
      <c r="I191" s="2329"/>
      <c r="J191" s="2329"/>
      <c r="K191" s="2329"/>
      <c r="L191" s="2329"/>
      <c r="M191" s="2329"/>
      <c r="N191" s="2329"/>
      <c r="O191" s="2329"/>
      <c r="P191" s="2329"/>
      <c r="Q191" s="2329"/>
      <c r="R191" s="2329"/>
      <c r="S191" s="2329"/>
      <c r="T191" s="2329"/>
      <c r="U191" s="2329"/>
      <c r="V191" s="2329"/>
      <c r="W191" s="2329"/>
      <c r="X191" s="2329"/>
      <c r="Y191" s="2329"/>
      <c r="Z191" s="2329"/>
      <c r="AA191" s="2329"/>
      <c r="AB191" s="2329"/>
      <c r="AC191" s="2329"/>
      <c r="AD191" s="2329"/>
      <c r="AE191" s="2329"/>
      <c r="AF191" s="2329"/>
      <c r="AG191" s="2329"/>
      <c r="AH191" s="2329"/>
      <c r="AI191" s="2329"/>
      <c r="AJ191" s="2329"/>
      <c r="AK191" s="2329"/>
      <c r="AL191" s="2329"/>
      <c r="AM191" s="2329"/>
      <c r="AN191" s="2329"/>
      <c r="AO191" s="2329"/>
      <c r="AP191" s="2329"/>
      <c r="AQ191" s="2329"/>
      <c r="AR191" s="2329"/>
      <c r="AS191" s="2329"/>
      <c r="AT191" s="2329"/>
      <c r="AU191" s="2329"/>
      <c r="AV191" s="2329"/>
      <c r="AW191" s="2329"/>
      <c r="AX191" s="858"/>
      <c r="AY191" s="858"/>
      <c r="AZ191" s="858"/>
      <c r="BA191" s="858"/>
      <c r="BB191" s="858"/>
      <c r="BC191" s="858"/>
      <c r="BD191" s="858"/>
      <c r="BE191" s="858"/>
      <c r="BF191" s="858"/>
      <c r="BG191" s="858"/>
      <c r="BH191" s="859"/>
    </row>
    <row r="192" spans="1:62" s="1296" customFormat="1" x14ac:dyDescent="0.2">
      <c r="B192" s="37"/>
      <c r="C192" s="37"/>
      <c r="D192" s="37"/>
      <c r="E192" s="37"/>
      <c r="F192" s="37"/>
      <c r="G192" s="37"/>
      <c r="H192" s="2302"/>
      <c r="I192" s="2302"/>
      <c r="J192" s="2302"/>
      <c r="K192" s="2302"/>
      <c r="L192" s="2302"/>
      <c r="M192" s="2302"/>
      <c r="N192" s="2302"/>
      <c r="O192" s="2302"/>
      <c r="P192" s="2302"/>
      <c r="Q192" s="2302"/>
      <c r="R192" s="2302"/>
      <c r="S192" s="2302"/>
      <c r="T192" s="2302"/>
      <c r="U192" s="2302"/>
      <c r="V192" s="2302"/>
      <c r="W192" s="2302"/>
      <c r="X192" s="2302"/>
      <c r="Y192" s="2302"/>
      <c r="Z192" s="2302"/>
      <c r="AA192" s="2302"/>
      <c r="AB192" s="2302"/>
      <c r="AC192" s="2302"/>
      <c r="AD192" s="2302"/>
      <c r="AE192" s="2302"/>
      <c r="AF192" s="2302"/>
      <c r="AG192" s="2302"/>
      <c r="AH192" s="2302"/>
      <c r="AI192" s="2302"/>
      <c r="AJ192" s="2302"/>
      <c r="AK192" s="2302"/>
      <c r="AL192" s="2302"/>
      <c r="AM192" s="2302"/>
      <c r="AN192" s="2302"/>
      <c r="AO192" s="2302"/>
      <c r="AP192" s="2302"/>
      <c r="AQ192" s="2302"/>
      <c r="AR192" s="2302"/>
      <c r="AS192" s="2302"/>
      <c r="AT192" s="2302"/>
      <c r="AU192" s="2302"/>
      <c r="AV192" s="2302"/>
      <c r="AW192" s="2302"/>
      <c r="AX192" s="37"/>
      <c r="AY192" s="37"/>
      <c r="AZ192" s="37"/>
      <c r="BA192" s="37"/>
      <c r="BB192" s="37"/>
      <c r="BC192" s="37"/>
      <c r="BD192" s="37"/>
      <c r="BE192" s="37"/>
      <c r="BF192" s="37"/>
      <c r="BG192" s="37"/>
      <c r="BH192" s="37"/>
    </row>
    <row r="193" spans="2:59" s="1296" customFormat="1" ht="15.75" x14ac:dyDescent="0.2">
      <c r="B193" s="835" t="s">
        <v>1374</v>
      </c>
      <c r="C193" s="860"/>
      <c r="D193" s="860"/>
      <c r="E193" s="860"/>
      <c r="F193" s="860"/>
      <c r="G193" s="860"/>
      <c r="H193" s="2313"/>
      <c r="I193" s="2313"/>
      <c r="J193" s="2313"/>
      <c r="K193" s="2313"/>
      <c r="L193" s="2313"/>
      <c r="M193" s="2313"/>
      <c r="N193" s="2313"/>
      <c r="O193" s="2313"/>
      <c r="P193" s="2313"/>
      <c r="Q193" s="2313"/>
      <c r="R193" s="2313"/>
      <c r="S193" s="2313"/>
      <c r="T193" s="2313"/>
      <c r="U193" s="2313"/>
      <c r="V193" s="2313"/>
      <c r="W193" s="2313"/>
      <c r="X193" s="2313"/>
      <c r="Y193" s="2313"/>
      <c r="Z193" s="2313"/>
      <c r="AA193" s="2313"/>
      <c r="AB193" s="2313"/>
      <c r="AC193" s="2313"/>
      <c r="AD193" s="2313"/>
      <c r="AE193" s="2313"/>
      <c r="AF193" s="2313"/>
      <c r="AG193" s="2313"/>
      <c r="AH193" s="2313"/>
      <c r="AI193" s="2313"/>
      <c r="AJ193" s="2313"/>
      <c r="AK193" s="2313"/>
      <c r="AL193" s="2313"/>
      <c r="AM193" s="2313"/>
      <c r="AN193" s="2313"/>
      <c r="AO193" s="2313"/>
      <c r="AP193" s="2313"/>
      <c r="AQ193" s="2313"/>
      <c r="AR193" s="2313"/>
      <c r="AS193" s="2313"/>
      <c r="AT193" s="2313"/>
      <c r="AU193" s="2313"/>
      <c r="AV193" s="2313"/>
      <c r="AW193" s="2313"/>
      <c r="AX193" s="860"/>
      <c r="AY193" s="860"/>
      <c r="AZ193" s="860"/>
      <c r="BA193" s="860"/>
      <c r="BB193" s="860"/>
      <c r="BC193" s="860"/>
      <c r="BD193" s="860"/>
      <c r="BE193" s="860"/>
      <c r="BF193" s="861"/>
      <c r="BG193" s="862"/>
    </row>
    <row r="194" spans="2:59" s="1296" customFormat="1" x14ac:dyDescent="0.2">
      <c r="B194" s="837"/>
      <c r="C194" s="837"/>
      <c r="D194" s="837"/>
      <c r="E194" s="837"/>
      <c r="F194" s="837"/>
      <c r="G194" s="837"/>
      <c r="H194" s="2314"/>
      <c r="I194" s="2314"/>
      <c r="J194" s="2314"/>
      <c r="K194" s="2314"/>
      <c r="L194" s="2314"/>
      <c r="M194" s="2314"/>
      <c r="N194" s="2314"/>
      <c r="O194" s="2314"/>
      <c r="P194" s="2314"/>
      <c r="Q194" s="2314"/>
      <c r="R194" s="2314"/>
      <c r="S194" s="2314"/>
      <c r="T194" s="2314"/>
      <c r="U194" s="2314"/>
      <c r="V194" s="2314"/>
      <c r="W194" s="2314"/>
      <c r="X194" s="2314"/>
      <c r="Y194" s="2314"/>
      <c r="Z194" s="2314"/>
      <c r="AA194" s="2314"/>
      <c r="AB194" s="2314"/>
      <c r="AC194" s="2314"/>
      <c r="AD194" s="2314"/>
      <c r="AE194" s="2314"/>
      <c r="AF194" s="2314"/>
      <c r="AG194" s="2314"/>
      <c r="AH194" s="2314"/>
      <c r="AI194" s="2314"/>
      <c r="AJ194" s="2314"/>
      <c r="AK194" s="2314"/>
      <c r="AL194" s="2314"/>
      <c r="AM194" s="2314"/>
      <c r="AN194" s="2314"/>
      <c r="AO194" s="2314"/>
      <c r="AP194" s="2314"/>
      <c r="AQ194" s="2314"/>
      <c r="AR194" s="2314"/>
      <c r="AS194" s="2314"/>
      <c r="AT194" s="2314"/>
      <c r="AU194" s="2314"/>
      <c r="AV194" s="2314"/>
      <c r="AW194" s="2314"/>
      <c r="AX194" s="837"/>
      <c r="AY194" s="837"/>
      <c r="AZ194" s="837"/>
      <c r="BA194" s="837"/>
      <c r="BB194" s="837"/>
      <c r="BC194" s="837"/>
      <c r="BD194" s="837"/>
      <c r="BE194" s="837"/>
      <c r="BF194" s="837"/>
      <c r="BG194" s="837"/>
    </row>
    <row r="195" spans="2:59" s="1296" customFormat="1" x14ac:dyDescent="0.2">
      <c r="B195" s="841" t="s">
        <v>123</v>
      </c>
      <c r="C195" s="837"/>
      <c r="D195" s="837"/>
      <c r="E195" s="837"/>
      <c r="F195" s="837"/>
      <c r="G195" s="837"/>
      <c r="H195" s="2314"/>
      <c r="I195" s="2314"/>
      <c r="J195" s="2314"/>
      <c r="K195" s="2314"/>
      <c r="L195" s="2314"/>
      <c r="M195" s="2314"/>
      <c r="N195" s="2314"/>
      <c r="O195" s="2314"/>
      <c r="P195" s="2314"/>
      <c r="Q195" s="2314"/>
      <c r="R195" s="2314"/>
      <c r="S195" s="2314"/>
      <c r="T195" s="2314"/>
      <c r="U195" s="2314"/>
      <c r="V195" s="2314"/>
      <c r="W195" s="2314"/>
      <c r="X195" s="2314"/>
      <c r="Y195" s="2314"/>
      <c r="Z195" s="2314"/>
      <c r="AA195" s="2314"/>
      <c r="AB195" s="2314"/>
      <c r="AC195" s="2314"/>
      <c r="AD195" s="2314"/>
      <c r="AE195" s="2314"/>
      <c r="AF195" s="2314"/>
      <c r="AG195" s="2314"/>
      <c r="AH195" s="2314"/>
      <c r="AI195" s="2314"/>
      <c r="AJ195" s="2314"/>
      <c r="AK195" s="2314"/>
      <c r="AL195" s="2314"/>
      <c r="AM195" s="2314"/>
      <c r="AN195" s="2314"/>
      <c r="AO195" s="2314"/>
      <c r="AP195" s="2314"/>
      <c r="AQ195" s="2314"/>
      <c r="AR195" s="2314"/>
      <c r="AS195" s="2314"/>
      <c r="AT195" s="2314"/>
      <c r="AU195" s="2314"/>
      <c r="AV195" s="2314"/>
      <c r="AW195" s="2314"/>
      <c r="AX195" s="837"/>
      <c r="AY195" s="837"/>
      <c r="AZ195" s="837"/>
      <c r="BA195" s="837"/>
      <c r="BB195" s="837"/>
      <c r="BC195" s="837"/>
      <c r="BD195" s="837"/>
      <c r="BE195" s="837"/>
      <c r="BF195" s="837"/>
      <c r="BG195" s="837"/>
    </row>
    <row r="196" spans="2:59" s="1296" customFormat="1" x14ac:dyDescent="0.2">
      <c r="B196" s="837"/>
      <c r="C196" s="837"/>
      <c r="D196" s="837"/>
      <c r="E196" s="837"/>
      <c r="F196" s="837"/>
      <c r="G196" s="837"/>
      <c r="H196" s="2314"/>
      <c r="I196" s="2314"/>
      <c r="J196" s="2314"/>
      <c r="K196" s="2314"/>
      <c r="L196" s="2314"/>
      <c r="M196" s="2314"/>
      <c r="N196" s="2314"/>
      <c r="O196" s="2314"/>
      <c r="P196" s="2314"/>
      <c r="Q196" s="2314"/>
      <c r="R196" s="2314"/>
      <c r="S196" s="2314"/>
      <c r="T196" s="2314"/>
      <c r="U196" s="2314"/>
      <c r="V196" s="2314"/>
      <c r="W196" s="2314"/>
      <c r="X196" s="2314"/>
      <c r="Y196" s="2314"/>
      <c r="Z196" s="2314"/>
      <c r="AA196" s="2314"/>
      <c r="AB196" s="2314"/>
      <c r="AC196" s="2314"/>
      <c r="AD196" s="2314"/>
      <c r="AE196" s="2314"/>
      <c r="AF196" s="2314"/>
      <c r="AG196" s="2314"/>
      <c r="AH196" s="2314"/>
      <c r="AI196" s="2314"/>
      <c r="AJ196" s="2314"/>
      <c r="AK196" s="2314"/>
      <c r="AL196" s="2314"/>
      <c r="AM196" s="2314"/>
      <c r="AN196" s="2314"/>
      <c r="AO196" s="2314"/>
      <c r="AP196" s="2314"/>
      <c r="AQ196" s="2314"/>
      <c r="AR196" s="2314"/>
      <c r="AS196" s="2314"/>
      <c r="AT196" s="2314"/>
      <c r="AU196" s="2314"/>
      <c r="AV196" s="2314"/>
      <c r="AW196" s="2314"/>
      <c r="AX196" s="837"/>
      <c r="AY196" s="837"/>
      <c r="AZ196" s="837"/>
      <c r="BA196" s="837"/>
      <c r="BB196" s="837"/>
      <c r="BC196" s="837"/>
      <c r="BD196" s="837"/>
      <c r="BE196" s="837"/>
      <c r="BF196" s="837"/>
      <c r="BG196" s="837"/>
    </row>
    <row r="197" spans="2:59" s="1296" customFormat="1" x14ac:dyDescent="0.2">
      <c r="B197" s="837"/>
      <c r="C197" s="855" t="s">
        <v>32</v>
      </c>
      <c r="D197" s="837"/>
      <c r="E197" s="837"/>
      <c r="F197" s="837"/>
      <c r="G197" s="837"/>
      <c r="H197" s="2314"/>
      <c r="I197" s="2314"/>
      <c r="J197" s="2314"/>
      <c r="K197" s="2314"/>
      <c r="L197" s="2314"/>
      <c r="M197" s="2314"/>
      <c r="N197" s="2314"/>
      <c r="O197" s="2314"/>
      <c r="P197" s="2314"/>
      <c r="Q197" s="2314"/>
      <c r="R197" s="2314"/>
      <c r="S197" s="2314"/>
      <c r="T197" s="2314"/>
      <c r="U197" s="2314"/>
      <c r="V197" s="2314"/>
      <c r="W197" s="2314"/>
      <c r="X197" s="2314"/>
      <c r="Y197" s="2314"/>
      <c r="Z197" s="2314"/>
      <c r="AA197" s="2314"/>
      <c r="AB197" s="2314"/>
      <c r="AC197" s="2314"/>
      <c r="AD197" s="2314"/>
      <c r="AE197" s="2314"/>
      <c r="AF197" s="2314"/>
      <c r="AG197" s="2314"/>
      <c r="AH197" s="2314"/>
      <c r="AI197" s="2314"/>
      <c r="AJ197" s="2314"/>
      <c r="AK197" s="2314"/>
      <c r="AL197" s="2314"/>
      <c r="AM197" s="2314"/>
      <c r="AN197" s="2314"/>
      <c r="AO197" s="2314"/>
      <c r="AP197" s="2314"/>
      <c r="AQ197" s="2314"/>
      <c r="AR197" s="2314"/>
      <c r="AS197" s="2314"/>
      <c r="AT197" s="2314"/>
      <c r="AU197" s="2314"/>
      <c r="AV197" s="2314"/>
      <c r="AW197" s="2314"/>
      <c r="AX197" s="2590">
        <v>2010</v>
      </c>
      <c r="AY197" s="2590">
        <v>2015</v>
      </c>
      <c r="AZ197" s="2590">
        <v>2020</v>
      </c>
      <c r="BA197" s="2590">
        <v>2025</v>
      </c>
      <c r="BB197" s="2590">
        <v>2030</v>
      </c>
      <c r="BC197" s="2590">
        <v>2035</v>
      </c>
      <c r="BD197" s="2590">
        <v>2040</v>
      </c>
      <c r="BE197" s="2590">
        <v>2045</v>
      </c>
      <c r="BF197" s="2590">
        <v>2050</v>
      </c>
      <c r="BG197" s="837"/>
    </row>
    <row r="198" spans="2:59" s="1296" customFormat="1" x14ac:dyDescent="0.2">
      <c r="B198" s="837"/>
      <c r="C198" s="1303" t="s">
        <v>400</v>
      </c>
      <c r="D198" s="1303" t="s">
        <v>36</v>
      </c>
      <c r="E198" s="837" t="s">
        <v>49</v>
      </c>
      <c r="F198" s="80"/>
      <c r="G198" s="80"/>
      <c r="H198" s="2330"/>
      <c r="I198" s="2330"/>
      <c r="J198" s="2330"/>
      <c r="K198" s="2330"/>
      <c r="L198" s="2330"/>
      <c r="M198" s="2330"/>
      <c r="N198" s="2330"/>
      <c r="O198" s="2330"/>
      <c r="P198" s="2330"/>
      <c r="Q198" s="2330"/>
      <c r="R198" s="2330"/>
      <c r="S198" s="2330"/>
      <c r="T198" s="2330"/>
      <c r="U198" s="2330"/>
      <c r="V198" s="2330"/>
      <c r="W198" s="2330"/>
      <c r="X198" s="2330"/>
      <c r="Y198" s="2330"/>
      <c r="Z198" s="2330"/>
      <c r="AA198" s="2330"/>
      <c r="AB198" s="2330"/>
      <c r="AC198" s="2330"/>
      <c r="AD198" s="2330"/>
      <c r="AE198" s="2330"/>
      <c r="AF198" s="2330"/>
      <c r="AG198" s="2330"/>
      <c r="AH198" s="2330"/>
      <c r="AI198" s="2330"/>
      <c r="AJ198" s="2330">
        <f>11.2811*Unit.TWh</f>
        <v>11.2811</v>
      </c>
      <c r="AK198" s="2330">
        <f>11.5128859*Unit.TWh</f>
        <v>11.512885900000001</v>
      </c>
      <c r="AL198" s="2330">
        <f>9.9829594*Unit.TWh</f>
        <v>9.9829594000000004</v>
      </c>
      <c r="AM198" s="2330">
        <f>10.7253023*Unit.TWh</f>
        <v>10.725302299999999</v>
      </c>
      <c r="AN198" s="2330">
        <f>11.7831671*Unit.TWh</f>
        <v>11.7831671</v>
      </c>
      <c r="AO198" s="2330">
        <f>11.9234249*Unit.TWh</f>
        <v>11.923424900000001</v>
      </c>
      <c r="AP198" s="2330">
        <f>8.2292717*Unit.TWh</f>
        <v>8.2292717</v>
      </c>
      <c r="AQ198" s="2330">
        <f>13.56519449*Unit.TWh</f>
        <v>13.56519449</v>
      </c>
      <c r="AR198" s="2330">
        <f>13.10799238*Unit.TWh</f>
        <v>13.107992380000001</v>
      </c>
      <c r="AS198" s="2330">
        <f>14.11044992*Unit.TWh</f>
        <v>14.110449920000001</v>
      </c>
      <c r="AT198" s="2330">
        <f>15.68101481*Unit.TWh</f>
        <v>15.681014810000001</v>
      </c>
      <c r="AU198" s="2330">
        <f>18.7866056*Unit.TWh</f>
        <v>18.786605600000001</v>
      </c>
      <c r="AV198" s="2330">
        <f>19.95985165*Unit.TWh</f>
        <v>19.959851650000001</v>
      </c>
      <c r="AW198" s="2330" t="s">
        <v>2021</v>
      </c>
      <c r="AX198" s="1304">
        <f t="shared" ref="AX198:BF201" ca="1" si="59">IFERROR(INDEX(INDIRECT($C198&amp;".Outputs["&amp;AX$4&amp;"]"),MATCH($D198,INDIRECT($C198&amp;".Outputs[Vector]"),0)),"na")</f>
        <v>0</v>
      </c>
      <c r="AY198" s="1304">
        <f t="shared" ca="1" si="59"/>
        <v>0</v>
      </c>
      <c r="AZ198" s="1304">
        <f t="shared" ca="1" si="59"/>
        <v>0</v>
      </c>
      <c r="BA198" s="1304">
        <f t="shared" ca="1" si="59"/>
        <v>0</v>
      </c>
      <c r="BB198" s="1304">
        <f t="shared" ca="1" si="59"/>
        <v>0</v>
      </c>
      <c r="BC198" s="1304">
        <f t="shared" ca="1" si="59"/>
        <v>0</v>
      </c>
      <c r="BD198" s="1304">
        <f t="shared" ca="1" si="59"/>
        <v>0</v>
      </c>
      <c r="BE198" s="1304">
        <f t="shared" ca="1" si="59"/>
        <v>0</v>
      </c>
      <c r="BF198" s="1304">
        <f t="shared" ca="1" si="59"/>
        <v>0</v>
      </c>
      <c r="BG198" s="837"/>
    </row>
    <row r="199" spans="2:59" s="1296" customFormat="1" x14ac:dyDescent="0.2">
      <c r="B199" s="837"/>
      <c r="C199" s="1303" t="s">
        <v>400</v>
      </c>
      <c r="D199" s="1303" t="s">
        <v>38</v>
      </c>
      <c r="E199" s="837" t="s">
        <v>50</v>
      </c>
      <c r="F199" s="80"/>
      <c r="G199" s="80"/>
      <c r="H199" s="2330"/>
      <c r="I199" s="2330"/>
      <c r="J199" s="2330"/>
      <c r="K199" s="2330"/>
      <c r="L199" s="2330"/>
      <c r="M199" s="2330"/>
      <c r="N199" s="2330"/>
      <c r="O199" s="2330"/>
      <c r="P199" s="2330"/>
      <c r="Q199" s="2330"/>
      <c r="R199" s="2330"/>
      <c r="S199" s="2330"/>
      <c r="T199" s="2330"/>
      <c r="U199" s="2330"/>
      <c r="V199" s="2330"/>
      <c r="W199" s="2330"/>
      <c r="X199" s="2330"/>
      <c r="Y199" s="2330"/>
      <c r="Z199" s="2330"/>
      <c r="AA199" s="2330"/>
      <c r="AB199" s="2330"/>
      <c r="AC199" s="2330"/>
      <c r="AD199" s="2330"/>
      <c r="AE199" s="2330"/>
      <c r="AF199" s="2330"/>
      <c r="AG199" s="2330"/>
      <c r="AH199" s="2330"/>
      <c r="AI199" s="2330"/>
      <c r="AJ199" s="2330">
        <f t="shared" ref="AJ199:AP199" si="60">0*Unit.TWh</f>
        <v>0</v>
      </c>
      <c r="AK199" s="2330">
        <f t="shared" si="60"/>
        <v>0</v>
      </c>
      <c r="AL199" s="2330">
        <f t="shared" si="60"/>
        <v>0</v>
      </c>
      <c r="AM199" s="2330">
        <f t="shared" si="60"/>
        <v>0</v>
      </c>
      <c r="AN199" s="2330">
        <f t="shared" si="60"/>
        <v>0</v>
      </c>
      <c r="AO199" s="2330">
        <f t="shared" si="60"/>
        <v>0</v>
      </c>
      <c r="AP199" s="2330">
        <f t="shared" si="60"/>
        <v>0</v>
      </c>
      <c r="AQ199" s="2330">
        <f>0.09313615*Unit.TWh</f>
        <v>9.3136150000000001E-2</v>
      </c>
      <c r="AR199" s="2330">
        <f>2.691796244*Unit.TWh</f>
        <v>2.6917962439999998</v>
      </c>
      <c r="AS199" s="2330">
        <f>4.599912358*Unit.TWh</f>
        <v>4.5999123580000001</v>
      </c>
      <c r="AT199" s="2330">
        <f>3.516727083*Unit.TWh</f>
        <v>3.5167270830000001</v>
      </c>
      <c r="AU199" s="2330">
        <f>2.629156279*Unit.TWh</f>
        <v>2.629156279</v>
      </c>
      <c r="AV199" s="2330">
        <f>3.539047787*Unit.TWh</f>
        <v>3.5390477869999999</v>
      </c>
      <c r="AW199" s="2330" t="s">
        <v>2022</v>
      </c>
      <c r="AX199" s="1304">
        <f t="shared" ca="1" si="59"/>
        <v>2.6727687466666672</v>
      </c>
      <c r="AY199" s="1304">
        <f t="shared" ca="1" si="59"/>
        <v>3.0722897998837917</v>
      </c>
      <c r="AZ199" s="1304">
        <f t="shared" ca="1" si="59"/>
        <v>3.5315305995858264</v>
      </c>
      <c r="BA199" s="1304">
        <f t="shared" ca="1" si="59"/>
        <v>4.1379873345085638</v>
      </c>
      <c r="BB199" s="1304">
        <f t="shared" ca="1" si="59"/>
        <v>4.7565268397103431</v>
      </c>
      <c r="BC199" s="1304">
        <f t="shared" ca="1" si="59"/>
        <v>5.4675246074845258</v>
      </c>
      <c r="BD199" s="1304">
        <f t="shared" ca="1" si="59"/>
        <v>6.284801146054134</v>
      </c>
      <c r="BE199" s="1304">
        <f t="shared" ca="1" si="59"/>
        <v>7.2242428303611712</v>
      </c>
      <c r="BF199" s="1304">
        <f t="shared" ca="1" si="59"/>
        <v>8.3041107044081546</v>
      </c>
      <c r="BG199" s="837"/>
    </row>
    <row r="200" spans="2:59" s="1296" customFormat="1" x14ac:dyDescent="0.2">
      <c r="B200" s="837"/>
      <c r="C200" s="1303" t="s">
        <v>400</v>
      </c>
      <c r="D200" s="1303" t="s">
        <v>39</v>
      </c>
      <c r="E200" s="837" t="s">
        <v>197</v>
      </c>
      <c r="F200" s="80"/>
      <c r="G200" s="80"/>
      <c r="H200" s="2330"/>
      <c r="I200" s="2330"/>
      <c r="J200" s="2330"/>
      <c r="K200" s="2330"/>
      <c r="L200" s="2330"/>
      <c r="M200" s="2330"/>
      <c r="N200" s="2330"/>
      <c r="O200" s="2330"/>
      <c r="P200" s="2330"/>
      <c r="Q200" s="2330"/>
      <c r="R200" s="2330"/>
      <c r="S200" s="2330"/>
      <c r="T200" s="2330"/>
      <c r="U200" s="2330"/>
      <c r="V200" s="2330"/>
      <c r="W200" s="2330"/>
      <c r="X200" s="2330"/>
      <c r="Y200" s="2330"/>
      <c r="Z200" s="2330"/>
      <c r="AA200" s="2330"/>
      <c r="AB200" s="2330"/>
      <c r="AC200" s="2330"/>
      <c r="AD200" s="2330"/>
      <c r="AE200" s="2330"/>
      <c r="AF200" s="2330"/>
      <c r="AG200" s="2330"/>
      <c r="AH200" s="2330"/>
      <c r="AI200" s="2330"/>
      <c r="AJ200" s="2330">
        <f>4.679912*Unit.TWh</f>
        <v>4.6799119999999998</v>
      </c>
      <c r="AK200" s="2330">
        <f>6.65236*Unit.TWh</f>
        <v>6.6523599999999998</v>
      </c>
      <c r="AL200" s="2330">
        <f>8.5030419*Unit.TWh</f>
        <v>8.5030418999999995</v>
      </c>
      <c r="AM200" s="2330">
        <f>9.7205866*Unit.TWh</f>
        <v>9.7205866000000007</v>
      </c>
      <c r="AN200" s="2330">
        <f>10.375123*Unit.TWh</f>
        <v>10.375123</v>
      </c>
      <c r="AO200" s="2330">
        <f>12.654603*Unit.TWh</f>
        <v>12.654603</v>
      </c>
      <c r="AP200" s="2330">
        <f>17.4844257*Unit.TWh</f>
        <v>17.484425699999999</v>
      </c>
      <c r="AQ200" s="2330">
        <f>18.91593462*Unit.TWh</f>
        <v>18.915934620000002</v>
      </c>
      <c r="AR200" s="2330">
        <f>19.24482717*Unit.TWh</f>
        <v>19.244827170000001</v>
      </c>
      <c r="AS200" s="2330">
        <f>20.29461125*Unit.TWh</f>
        <v>20.294611249999999</v>
      </c>
      <c r="AT200" s="2330">
        <f>20.91263605*Unit.TWh</f>
        <v>20.91263605</v>
      </c>
      <c r="AU200" s="2330">
        <f>21.92331406*Unit.TWh</f>
        <v>21.923314059999999</v>
      </c>
      <c r="AV200" s="2330">
        <f>22.89564828*Unit.TWh</f>
        <v>22.89564828</v>
      </c>
      <c r="AW200" s="2330" t="s">
        <v>2023</v>
      </c>
      <c r="AX200" s="1304">
        <f t="shared" ca="1" si="59"/>
        <v>376.72040258292134</v>
      </c>
      <c r="AY200" s="1304">
        <f t="shared" ca="1" si="59"/>
        <v>429.45970846684344</v>
      </c>
      <c r="AZ200" s="1304">
        <f t="shared" ca="1" si="59"/>
        <v>494.82937211070913</v>
      </c>
      <c r="BA200" s="1304">
        <f t="shared" ca="1" si="59"/>
        <v>621.66023801028632</v>
      </c>
      <c r="BB200" s="1304">
        <f t="shared" ca="1" si="59"/>
        <v>672.99570382156764</v>
      </c>
      <c r="BC200" s="1304">
        <f t="shared" ca="1" si="59"/>
        <v>735.43019244224729</v>
      </c>
      <c r="BD200" s="1304">
        <f t="shared" ca="1" si="59"/>
        <v>795.92533754094541</v>
      </c>
      <c r="BE200" s="1304">
        <f t="shared" ca="1" si="59"/>
        <v>860.50098001876916</v>
      </c>
      <c r="BF200" s="1304">
        <f t="shared" ca="1" si="59"/>
        <v>922.08776152790972</v>
      </c>
      <c r="BG200" s="837"/>
    </row>
    <row r="201" spans="2:59" s="2479" customFormat="1" x14ac:dyDescent="0.2">
      <c r="B201" s="837"/>
      <c r="C201" s="1303" t="s">
        <v>400</v>
      </c>
      <c r="D201" s="1303" t="s">
        <v>2184</v>
      </c>
      <c r="E201" s="837" t="s">
        <v>2185</v>
      </c>
      <c r="F201" s="80"/>
      <c r="G201" s="80"/>
      <c r="H201" s="2330"/>
      <c r="I201" s="2330"/>
      <c r="J201" s="2330"/>
      <c r="K201" s="2330"/>
      <c r="L201" s="2330"/>
      <c r="M201" s="2330"/>
      <c r="N201" s="2330"/>
      <c r="O201" s="2330"/>
      <c r="P201" s="2330"/>
      <c r="Q201" s="2330"/>
      <c r="R201" s="2330"/>
      <c r="S201" s="2330"/>
      <c r="T201" s="2330"/>
      <c r="U201" s="2330"/>
      <c r="V201" s="2330"/>
      <c r="W201" s="2330"/>
      <c r="X201" s="2330"/>
      <c r="Y201" s="2330"/>
      <c r="Z201" s="2330"/>
      <c r="AA201" s="2330"/>
      <c r="AB201" s="2330"/>
      <c r="AC201" s="2330"/>
      <c r="AD201" s="2330"/>
      <c r="AE201" s="2330"/>
      <c r="AF201" s="2330"/>
      <c r="AG201" s="2330"/>
      <c r="AH201" s="2330"/>
      <c r="AI201" s="2330"/>
      <c r="AJ201" s="2330"/>
      <c r="AK201" s="2330"/>
      <c r="AL201" s="2330"/>
      <c r="AM201" s="2330"/>
      <c r="AN201" s="2330"/>
      <c r="AO201" s="2330"/>
      <c r="AP201" s="2330"/>
      <c r="AQ201" s="2330"/>
      <c r="AR201" s="2330"/>
      <c r="AS201" s="2330"/>
      <c r="AT201" s="2330"/>
      <c r="AU201" s="2330"/>
      <c r="AV201" s="2330"/>
      <c r="AW201" s="2330"/>
      <c r="AX201" s="1304">
        <f t="shared" ca="1" si="59"/>
        <v>1083.4180256737777</v>
      </c>
      <c r="AY201" s="1304">
        <f t="shared" ca="1" si="59"/>
        <v>1190.0310893223291</v>
      </c>
      <c r="AZ201" s="1304">
        <f t="shared" ca="1" si="59"/>
        <v>1321.1323763414839</v>
      </c>
      <c r="BA201" s="1304">
        <f t="shared" ca="1" si="59"/>
        <v>1467.1714126550114</v>
      </c>
      <c r="BB201" s="1304">
        <f t="shared" ca="1" si="59"/>
        <v>1587.6620603660231</v>
      </c>
      <c r="BC201" s="1304">
        <f t="shared" ca="1" si="59"/>
        <v>1731.7930401887158</v>
      </c>
      <c r="BD201" s="1304">
        <f t="shared" ca="1" si="59"/>
        <v>1871.5823977109778</v>
      </c>
      <c r="BE201" s="1304">
        <f t="shared" ca="1" si="59"/>
        <v>2020.7120700163616</v>
      </c>
      <c r="BF201" s="1304">
        <f t="shared" ca="1" si="59"/>
        <v>2162.8190356640071</v>
      </c>
      <c r="BG201" s="837"/>
    </row>
    <row r="202" spans="2:59" s="1296" customFormat="1" x14ac:dyDescent="0.2">
      <c r="B202" s="837"/>
      <c r="C202" s="1302"/>
      <c r="D202" s="1302"/>
      <c r="E202" s="1302"/>
      <c r="F202" s="1302"/>
      <c r="G202" s="1302"/>
      <c r="H202" s="2314"/>
      <c r="I202" s="2314"/>
      <c r="J202" s="2314"/>
      <c r="K202" s="2314"/>
      <c r="L202" s="2314"/>
      <c r="M202" s="2314"/>
      <c r="N202" s="2314"/>
      <c r="O202" s="2314"/>
      <c r="P202" s="2314"/>
      <c r="Q202" s="2314"/>
      <c r="R202" s="2314"/>
      <c r="S202" s="2314"/>
      <c r="T202" s="2314"/>
      <c r="U202" s="2314"/>
      <c r="V202" s="2314"/>
      <c r="W202" s="2314"/>
      <c r="X202" s="2314"/>
      <c r="Y202" s="2314"/>
      <c r="Z202" s="2314"/>
      <c r="AA202" s="2314"/>
      <c r="AB202" s="2314"/>
      <c r="AC202" s="2314"/>
      <c r="AD202" s="2314"/>
      <c r="AE202" s="2314"/>
      <c r="AF202" s="2314"/>
      <c r="AG202" s="2314"/>
      <c r="AH202" s="2314"/>
      <c r="AI202" s="2314"/>
      <c r="AJ202" s="2314"/>
      <c r="AK202" s="2314"/>
      <c r="AL202" s="2314"/>
      <c r="AM202" s="2314"/>
      <c r="AN202" s="2314"/>
      <c r="AO202" s="2314"/>
      <c r="AP202" s="2314"/>
      <c r="AQ202" s="2314"/>
      <c r="AR202" s="2314"/>
      <c r="AS202" s="2314"/>
      <c r="AT202" s="2314"/>
      <c r="AU202" s="2314"/>
      <c r="AV202" s="2314"/>
      <c r="AW202" s="2314"/>
      <c r="AX202" s="1302"/>
      <c r="AY202" s="1302"/>
      <c r="AZ202" s="1302"/>
      <c r="BA202" s="1302"/>
      <c r="BB202" s="1302"/>
      <c r="BC202" s="1302"/>
      <c r="BD202" s="1302"/>
      <c r="BE202" s="1302"/>
      <c r="BF202" s="1302"/>
      <c r="BG202" s="837"/>
    </row>
    <row r="203" spans="2:59" s="1296" customFormat="1" x14ac:dyDescent="0.2">
      <c r="B203" s="837"/>
      <c r="C203" s="1346" t="s">
        <v>3</v>
      </c>
      <c r="D203" s="1302"/>
      <c r="E203" s="1302"/>
      <c r="F203" s="1302"/>
      <c r="G203" s="1302"/>
      <c r="H203" s="2314"/>
      <c r="I203" s="2314"/>
      <c r="J203" s="2314"/>
      <c r="K203" s="2314"/>
      <c r="L203" s="2314"/>
      <c r="M203" s="2314"/>
      <c r="N203" s="2314"/>
      <c r="O203" s="2314"/>
      <c r="P203" s="2314"/>
      <c r="Q203" s="2314"/>
      <c r="R203" s="2314"/>
      <c r="S203" s="2314"/>
      <c r="T203" s="2314"/>
      <c r="U203" s="2314"/>
      <c r="V203" s="2314"/>
      <c r="W203" s="2314"/>
      <c r="X203" s="2314"/>
      <c r="Y203" s="2314"/>
      <c r="Z203" s="2314"/>
      <c r="AA203" s="2314"/>
      <c r="AB203" s="2314"/>
      <c r="AC203" s="2314"/>
      <c r="AD203" s="2314"/>
      <c r="AE203" s="2314"/>
      <c r="AF203" s="2314"/>
      <c r="AG203" s="2314"/>
      <c r="AH203" s="2314"/>
      <c r="AI203" s="2314"/>
      <c r="AJ203" s="2314"/>
      <c r="AK203" s="2314"/>
      <c r="AL203" s="2314"/>
      <c r="AM203" s="2314"/>
      <c r="AN203" s="2314"/>
      <c r="AO203" s="2314"/>
      <c r="AP203" s="2314"/>
      <c r="AQ203" s="2314"/>
      <c r="AR203" s="2314"/>
      <c r="AS203" s="2314"/>
      <c r="AT203" s="2314"/>
      <c r="AU203" s="2314"/>
      <c r="AV203" s="2314"/>
      <c r="AW203" s="2314"/>
      <c r="AX203" s="1302"/>
      <c r="AY203" s="1302"/>
      <c r="AZ203" s="1302"/>
      <c r="BA203" s="1302"/>
      <c r="BB203" s="1302"/>
      <c r="BC203" s="1302"/>
      <c r="BD203" s="1302"/>
      <c r="BE203" s="1302"/>
      <c r="BF203" s="1302"/>
      <c r="BG203" s="837"/>
    </row>
    <row r="204" spans="2:59" s="1296" customFormat="1" x14ac:dyDescent="0.2">
      <c r="B204" s="837"/>
      <c r="C204" s="1303" t="s">
        <v>838</v>
      </c>
      <c r="D204" s="1303" t="s">
        <v>36</v>
      </c>
      <c r="E204" s="837" t="s">
        <v>49</v>
      </c>
      <c r="F204" s="80"/>
      <c r="G204" s="80"/>
      <c r="H204" s="2330"/>
      <c r="I204" s="2330"/>
      <c r="J204" s="2330"/>
      <c r="K204" s="2330"/>
      <c r="L204" s="2330"/>
      <c r="M204" s="2330"/>
      <c r="N204" s="2330"/>
      <c r="O204" s="2330"/>
      <c r="P204" s="2330"/>
      <c r="Q204" s="2330"/>
      <c r="R204" s="2330"/>
      <c r="S204" s="2330"/>
      <c r="T204" s="2330"/>
      <c r="U204" s="2330"/>
      <c r="V204" s="2330"/>
      <c r="W204" s="2330"/>
      <c r="X204" s="2330"/>
      <c r="Y204" s="2330"/>
      <c r="Z204" s="2330"/>
      <c r="AA204" s="2330"/>
      <c r="AB204" s="2330"/>
      <c r="AC204" s="2330"/>
      <c r="AD204" s="2330"/>
      <c r="AE204" s="2330"/>
      <c r="AF204" s="2330"/>
      <c r="AG204" s="2330"/>
      <c r="AH204" s="2330"/>
      <c r="AI204" s="2330"/>
      <c r="AJ204" s="2330">
        <f t="shared" ref="AJ204:AN206" si="61">0*Unit.TWh</f>
        <v>0</v>
      </c>
      <c r="AK204" s="2330">
        <f t="shared" si="61"/>
        <v>0</v>
      </c>
      <c r="AL204" s="2330">
        <f t="shared" si="61"/>
        <v>0</v>
      </c>
      <c r="AM204" s="2330">
        <f t="shared" si="61"/>
        <v>0</v>
      </c>
      <c r="AN204" s="2330">
        <f t="shared" si="61"/>
        <v>0</v>
      </c>
      <c r="AO204" s="2330">
        <f>1.2843009*Unit.TWh</f>
        <v>1.2843009000000001</v>
      </c>
      <c r="AP204" s="2330">
        <f>4.67526*Unit.TWh</f>
        <v>4.6752599999999997</v>
      </c>
      <c r="AQ204" s="2330">
        <f>4.89331583*Unit.TWh</f>
        <v>4.8933158299999997</v>
      </c>
      <c r="AR204" s="2330">
        <f>5.78000326*Unit.TWh</f>
        <v>5.78000326</v>
      </c>
      <c r="AS204" s="2330">
        <f>4.398455251*Unit.TWh</f>
        <v>4.3984552509999997</v>
      </c>
      <c r="AT204" s="2330">
        <f>5.033138643*Unit.TWh</f>
        <v>5.033138643</v>
      </c>
      <c r="AU204" s="2330">
        <f>4.917245238*Unit.TWh</f>
        <v>4.9172452379999996</v>
      </c>
      <c r="AV204" s="2330">
        <f>8.756573386*Unit.TWh</f>
        <v>8.7565733859999995</v>
      </c>
      <c r="AW204" s="2330" t="s">
        <v>2024</v>
      </c>
      <c r="AX204" s="1304">
        <f t="shared" ref="AX204:BF207" ca="1" si="62">IFERROR(INDEX(INDIRECT($C204&amp;".Outputs["&amp;AX$4&amp;"]"),MATCH($D204,INDIRECT($C204&amp;".Outputs[Vector]"),0)),"na")</f>
        <v>0</v>
      </c>
      <c r="AY204" s="1304">
        <f t="shared" ca="1" si="62"/>
        <v>0</v>
      </c>
      <c r="AZ204" s="1304">
        <f t="shared" ca="1" si="62"/>
        <v>0</v>
      </c>
      <c r="BA204" s="1304">
        <f t="shared" ca="1" si="62"/>
        <v>0</v>
      </c>
      <c r="BB204" s="1304">
        <f t="shared" ca="1" si="62"/>
        <v>0</v>
      </c>
      <c r="BC204" s="1304">
        <f t="shared" ca="1" si="62"/>
        <v>0</v>
      </c>
      <c r="BD204" s="1304">
        <f t="shared" ca="1" si="62"/>
        <v>0</v>
      </c>
      <c r="BE204" s="1304">
        <f t="shared" ca="1" si="62"/>
        <v>0</v>
      </c>
      <c r="BF204" s="1304">
        <f t="shared" ca="1" si="62"/>
        <v>0</v>
      </c>
      <c r="BG204" s="837"/>
    </row>
    <row r="205" spans="2:59" s="1296" customFormat="1" x14ac:dyDescent="0.2">
      <c r="B205" s="837"/>
      <c r="C205" s="1303" t="s">
        <v>838</v>
      </c>
      <c r="D205" s="1303" t="s">
        <v>38</v>
      </c>
      <c r="E205" s="837" t="s">
        <v>50</v>
      </c>
      <c r="F205" s="80"/>
      <c r="G205" s="80"/>
      <c r="H205" s="2330"/>
      <c r="I205" s="2330"/>
      <c r="J205" s="2330"/>
      <c r="K205" s="2330"/>
      <c r="L205" s="2330"/>
      <c r="M205" s="2330"/>
      <c r="N205" s="2330"/>
      <c r="O205" s="2330"/>
      <c r="P205" s="2330"/>
      <c r="Q205" s="2330"/>
      <c r="R205" s="2330"/>
      <c r="S205" s="2330"/>
      <c r="T205" s="2330"/>
      <c r="U205" s="2330"/>
      <c r="V205" s="2330"/>
      <c r="W205" s="2330"/>
      <c r="X205" s="2330"/>
      <c r="Y205" s="2330"/>
      <c r="Z205" s="2330"/>
      <c r="AA205" s="2330"/>
      <c r="AB205" s="2330"/>
      <c r="AC205" s="2330"/>
      <c r="AD205" s="2330"/>
      <c r="AE205" s="2330"/>
      <c r="AF205" s="2330"/>
      <c r="AG205" s="2330"/>
      <c r="AH205" s="2330"/>
      <c r="AI205" s="2330"/>
      <c r="AJ205" s="2330">
        <f t="shared" si="61"/>
        <v>0</v>
      </c>
      <c r="AK205" s="2330">
        <f t="shared" si="61"/>
        <v>0</v>
      </c>
      <c r="AL205" s="2330">
        <f t="shared" si="61"/>
        <v>0</v>
      </c>
      <c r="AM205" s="2330">
        <f t="shared" si="61"/>
        <v>0</v>
      </c>
      <c r="AN205" s="2330">
        <f t="shared" si="61"/>
        <v>0</v>
      </c>
      <c r="AO205" s="2330">
        <f>0*Unit.TWh</f>
        <v>0</v>
      </c>
      <c r="AP205" s="2330">
        <f>0*Unit.TWh</f>
        <v>0</v>
      </c>
      <c r="AQ205" s="2330">
        <f>0.768079488*Unit.TWh</f>
        <v>0.76807948800000003</v>
      </c>
      <c r="AR205" s="2330">
        <f>0.621433135*Unit.TWh</f>
        <v>0.62143313499999997</v>
      </c>
      <c r="AS205" s="2330">
        <f>0.883831113*Unit.TWh</f>
        <v>0.88383111299999995</v>
      </c>
      <c r="AT205" s="2330">
        <f>6.362225731*Unit.TWh</f>
        <v>6.3622257309999997</v>
      </c>
      <c r="AU205" s="2330">
        <f>9.448472566*Unit.TWh</f>
        <v>9.4484725659999995</v>
      </c>
      <c r="AV205" s="2330">
        <f>11.52719409*Unit.TWh</f>
        <v>11.52719409</v>
      </c>
      <c r="AW205" s="2330" t="s">
        <v>2025</v>
      </c>
      <c r="AX205" s="1304">
        <f t="shared" ca="1" si="62"/>
        <v>0</v>
      </c>
      <c r="AY205" s="1304">
        <f t="shared" ca="1" si="62"/>
        <v>0</v>
      </c>
      <c r="AZ205" s="1304">
        <f t="shared" ca="1" si="62"/>
        <v>0</v>
      </c>
      <c r="BA205" s="1304">
        <f t="shared" ca="1" si="62"/>
        <v>0</v>
      </c>
      <c r="BB205" s="1304">
        <f t="shared" ca="1" si="62"/>
        <v>0</v>
      </c>
      <c r="BC205" s="1304">
        <f t="shared" ca="1" si="62"/>
        <v>0</v>
      </c>
      <c r="BD205" s="1304">
        <f t="shared" ca="1" si="62"/>
        <v>0</v>
      </c>
      <c r="BE205" s="1304">
        <f t="shared" ca="1" si="62"/>
        <v>0</v>
      </c>
      <c r="BF205" s="1304">
        <f t="shared" ca="1" si="62"/>
        <v>0</v>
      </c>
      <c r="BG205" s="837"/>
    </row>
    <row r="206" spans="2:59" s="1296" customFormat="1" x14ac:dyDescent="0.2">
      <c r="B206" s="837"/>
      <c r="C206" s="1303" t="s">
        <v>838</v>
      </c>
      <c r="D206" s="1303" t="s">
        <v>39</v>
      </c>
      <c r="E206" s="837" t="s">
        <v>197</v>
      </c>
      <c r="F206" s="80"/>
      <c r="G206" s="80"/>
      <c r="H206" s="2330"/>
      <c r="I206" s="2330"/>
      <c r="J206" s="2330"/>
      <c r="K206" s="2330"/>
      <c r="L206" s="2330"/>
      <c r="M206" s="2330"/>
      <c r="N206" s="2330"/>
      <c r="O206" s="2330"/>
      <c r="P206" s="2330"/>
      <c r="Q206" s="2330"/>
      <c r="R206" s="2330"/>
      <c r="S206" s="2330"/>
      <c r="T206" s="2330"/>
      <c r="U206" s="2330"/>
      <c r="V206" s="2330"/>
      <c r="W206" s="2330"/>
      <c r="X206" s="2330"/>
      <c r="Y206" s="2330"/>
      <c r="Z206" s="2330"/>
      <c r="AA206" s="2330"/>
      <c r="AB206" s="2330"/>
      <c r="AC206" s="2330"/>
      <c r="AD206" s="2330"/>
      <c r="AE206" s="2330"/>
      <c r="AF206" s="2330"/>
      <c r="AG206" s="2330"/>
      <c r="AH206" s="2330"/>
      <c r="AI206" s="2330"/>
      <c r="AJ206" s="2330">
        <f t="shared" si="61"/>
        <v>0</v>
      </c>
      <c r="AK206" s="2330">
        <f t="shared" si="61"/>
        <v>0</v>
      </c>
      <c r="AL206" s="2330">
        <f t="shared" si="61"/>
        <v>0</v>
      </c>
      <c r="AM206" s="2330">
        <f t="shared" si="61"/>
        <v>0</v>
      </c>
      <c r="AN206" s="2330">
        <f t="shared" si="61"/>
        <v>0</v>
      </c>
      <c r="AO206" s="2330">
        <f>0*Unit.TWh</f>
        <v>0</v>
      </c>
      <c r="AP206" s="2330">
        <f>0*Unit.TWh</f>
        <v>0</v>
      </c>
      <c r="AQ206" s="2330">
        <f t="shared" ref="AQ206:AV206" si="63">0*Unit.TWh</f>
        <v>0</v>
      </c>
      <c r="AR206" s="2330">
        <f t="shared" si="63"/>
        <v>0</v>
      </c>
      <c r="AS206" s="2330">
        <f t="shared" si="63"/>
        <v>0</v>
      </c>
      <c r="AT206" s="2330">
        <f t="shared" si="63"/>
        <v>0</v>
      </c>
      <c r="AU206" s="2330">
        <f t="shared" si="63"/>
        <v>0</v>
      </c>
      <c r="AV206" s="2330">
        <f t="shared" si="63"/>
        <v>0</v>
      </c>
      <c r="AW206" s="2330" t="s">
        <v>2026</v>
      </c>
      <c r="AX206" s="1304">
        <f t="shared" ca="1" si="62"/>
        <v>0</v>
      </c>
      <c r="AY206" s="1304">
        <f t="shared" ca="1" si="62"/>
        <v>0</v>
      </c>
      <c r="AZ206" s="1304">
        <f t="shared" ca="1" si="62"/>
        <v>0</v>
      </c>
      <c r="BA206" s="1304">
        <f t="shared" ca="1" si="62"/>
        <v>0</v>
      </c>
      <c r="BB206" s="1304">
        <f t="shared" ca="1" si="62"/>
        <v>0</v>
      </c>
      <c r="BC206" s="1304">
        <f t="shared" ca="1" si="62"/>
        <v>0</v>
      </c>
      <c r="BD206" s="1304">
        <f t="shared" ca="1" si="62"/>
        <v>0</v>
      </c>
      <c r="BE206" s="1304">
        <f t="shared" ca="1" si="62"/>
        <v>0</v>
      </c>
      <c r="BF206" s="1304">
        <f t="shared" ca="1" si="62"/>
        <v>0</v>
      </c>
      <c r="BG206" s="837"/>
    </row>
    <row r="207" spans="2:59" s="2479" customFormat="1" x14ac:dyDescent="0.2">
      <c r="B207" s="837"/>
      <c r="C207" s="1303" t="s">
        <v>838</v>
      </c>
      <c r="D207" s="1303" t="s">
        <v>2184</v>
      </c>
      <c r="E207" s="837" t="s">
        <v>2185</v>
      </c>
      <c r="F207" s="80"/>
      <c r="G207" s="80"/>
      <c r="H207" s="2330"/>
      <c r="I207" s="2330"/>
      <c r="J207" s="2330"/>
      <c r="K207" s="2330"/>
      <c r="L207" s="2330"/>
      <c r="M207" s="2330"/>
      <c r="N207" s="2330"/>
      <c r="O207" s="2330"/>
      <c r="P207" s="2330"/>
      <c r="Q207" s="2330"/>
      <c r="R207" s="2330"/>
      <c r="S207" s="2330"/>
      <c r="T207" s="2330"/>
      <c r="U207" s="2330"/>
      <c r="V207" s="2330"/>
      <c r="W207" s="2330"/>
      <c r="X207" s="2330"/>
      <c r="Y207" s="2330"/>
      <c r="Z207" s="2330"/>
      <c r="AA207" s="2330"/>
      <c r="AB207" s="2330"/>
      <c r="AC207" s="2330"/>
      <c r="AD207" s="2330"/>
      <c r="AE207" s="2330"/>
      <c r="AF207" s="2330"/>
      <c r="AG207" s="2330"/>
      <c r="AH207" s="2330"/>
      <c r="AI207" s="2330"/>
      <c r="AJ207" s="2330"/>
      <c r="AK207" s="2330"/>
      <c r="AL207" s="2330"/>
      <c r="AM207" s="2330"/>
      <c r="AN207" s="2330"/>
      <c r="AO207" s="2330"/>
      <c r="AP207" s="2330"/>
      <c r="AQ207" s="2330"/>
      <c r="AR207" s="2330"/>
      <c r="AS207" s="2330"/>
      <c r="AT207" s="2330"/>
      <c r="AU207" s="2330"/>
      <c r="AV207" s="2330"/>
      <c r="AW207" s="2330"/>
      <c r="AX207" s="1304">
        <f t="shared" ca="1" si="62"/>
        <v>-875.52051462475561</v>
      </c>
      <c r="AY207" s="1304">
        <f t="shared" ca="1" si="62"/>
        <v>-1005.4684468053392</v>
      </c>
      <c r="AZ207" s="1304">
        <f t="shared" ca="1" si="62"/>
        <v>-1146.8696111280037</v>
      </c>
      <c r="BA207" s="1304">
        <f t="shared" ca="1" si="62"/>
        <v>-1306.159365743837</v>
      </c>
      <c r="BB207" s="1304">
        <f t="shared" ca="1" si="62"/>
        <v>-1447.82190569574</v>
      </c>
      <c r="BC207" s="1304">
        <f t="shared" ca="1" si="62"/>
        <v>-1611.9071038293187</v>
      </c>
      <c r="BD207" s="1304">
        <f t="shared" ca="1" si="62"/>
        <v>-1778.8059555233544</v>
      </c>
      <c r="BE207" s="1304">
        <f t="shared" ca="1" si="62"/>
        <v>-1953.1582510273715</v>
      </c>
      <c r="BF207" s="1304">
        <f t="shared" ca="1" si="62"/>
        <v>-2117.6175972906126</v>
      </c>
      <c r="BG207" s="837"/>
    </row>
    <row r="208" spans="2:59" s="1296" customFormat="1" x14ac:dyDescent="0.2">
      <c r="B208" s="837"/>
      <c r="C208" s="837"/>
      <c r="D208" s="837"/>
      <c r="E208" s="837"/>
      <c r="F208" s="837"/>
      <c r="G208" s="837"/>
      <c r="H208" s="2314"/>
      <c r="I208" s="2314"/>
      <c r="J208" s="2314"/>
      <c r="K208" s="2314"/>
      <c r="L208" s="2314"/>
      <c r="M208" s="2314"/>
      <c r="N208" s="2314"/>
      <c r="O208" s="2314"/>
      <c r="P208" s="2314"/>
      <c r="Q208" s="2314"/>
      <c r="R208" s="2314"/>
      <c r="S208" s="2314"/>
      <c r="T208" s="2314"/>
      <c r="U208" s="2314"/>
      <c r="V208" s="2314"/>
      <c r="W208" s="2314"/>
      <c r="X208" s="2314"/>
      <c r="Y208" s="2314"/>
      <c r="Z208" s="2314"/>
      <c r="AA208" s="2314"/>
      <c r="AB208" s="2314"/>
      <c r="AC208" s="2314"/>
      <c r="AD208" s="2314"/>
      <c r="AE208" s="2314"/>
      <c r="AF208" s="2314"/>
      <c r="AG208" s="2314"/>
      <c r="AH208" s="2314"/>
      <c r="AI208" s="2314"/>
      <c r="AJ208" s="2314"/>
      <c r="AK208" s="2314"/>
      <c r="AL208" s="2314"/>
      <c r="AM208" s="2314"/>
      <c r="AN208" s="2314"/>
      <c r="AO208" s="2314"/>
      <c r="AP208" s="2314"/>
      <c r="AQ208" s="2314"/>
      <c r="AR208" s="2314"/>
      <c r="AS208" s="2314"/>
      <c r="AT208" s="2314"/>
      <c r="AU208" s="2314"/>
      <c r="AV208" s="2314"/>
      <c r="AW208" s="2314"/>
      <c r="AX208" s="837"/>
      <c r="AY208" s="837"/>
      <c r="AZ208" s="837"/>
      <c r="BA208" s="837"/>
      <c r="BB208" s="837"/>
      <c r="BC208" s="837"/>
      <c r="BD208" s="837"/>
      <c r="BE208" s="837"/>
      <c r="BF208" s="837"/>
      <c r="BG208" s="837"/>
    </row>
    <row r="209" spans="2:61" s="1296" customFormat="1" x14ac:dyDescent="0.2">
      <c r="B209" s="837"/>
      <c r="C209" s="855" t="s">
        <v>105</v>
      </c>
      <c r="D209" s="837"/>
      <c r="E209" s="837"/>
      <c r="F209" s="837"/>
      <c r="G209" s="837"/>
      <c r="H209" s="2314"/>
      <c r="I209" s="2314"/>
      <c r="J209" s="2314"/>
      <c r="K209" s="2314"/>
      <c r="L209" s="2314"/>
      <c r="M209" s="2314"/>
      <c r="N209" s="2314"/>
      <c r="O209" s="2314"/>
      <c r="P209" s="2314"/>
      <c r="Q209" s="2314"/>
      <c r="R209" s="2314"/>
      <c r="S209" s="2314"/>
      <c r="T209" s="2314"/>
      <c r="U209" s="2314"/>
      <c r="V209" s="2314"/>
      <c r="W209" s="2314"/>
      <c r="X209" s="2314"/>
      <c r="Y209" s="2314"/>
      <c r="Z209" s="2314"/>
      <c r="AA209" s="2314"/>
      <c r="AB209" s="2314"/>
      <c r="AC209" s="2314"/>
      <c r="AD209" s="2314"/>
      <c r="AE209" s="2314"/>
      <c r="AF209" s="2314"/>
      <c r="AG209" s="2314"/>
      <c r="AH209" s="2314"/>
      <c r="AI209" s="2314"/>
      <c r="AJ209" s="2314"/>
      <c r="AK209" s="2314"/>
      <c r="AL209" s="2314"/>
      <c r="AM209" s="2314"/>
      <c r="AN209" s="2314"/>
      <c r="AO209" s="2314"/>
      <c r="AP209" s="2314"/>
      <c r="AQ209" s="2314"/>
      <c r="AR209" s="2314"/>
      <c r="AS209" s="2314"/>
      <c r="AT209" s="2314"/>
      <c r="AU209" s="2314"/>
      <c r="AV209" s="2314"/>
      <c r="AW209" s="2314"/>
      <c r="AX209" s="837"/>
      <c r="AY209" s="837"/>
      <c r="AZ209" s="837"/>
      <c r="BA209" s="837"/>
      <c r="BB209" s="837"/>
      <c r="BC209" s="837"/>
      <c r="BD209" s="837"/>
      <c r="BE209" s="837"/>
      <c r="BF209" s="837"/>
      <c r="BG209" s="837"/>
    </row>
    <row r="210" spans="2:61" s="1296" customFormat="1" x14ac:dyDescent="0.2">
      <c r="B210" s="837"/>
      <c r="C210" s="1303" t="s">
        <v>838</v>
      </c>
      <c r="D210" s="1303" t="s">
        <v>36</v>
      </c>
      <c r="E210" s="837" t="s">
        <v>49</v>
      </c>
      <c r="F210" s="80"/>
      <c r="G210" s="80"/>
      <c r="H210" s="2330"/>
      <c r="I210" s="2330"/>
      <c r="J210" s="2330"/>
      <c r="K210" s="2330"/>
      <c r="L210" s="2330"/>
      <c r="M210" s="2330"/>
      <c r="N210" s="2330"/>
      <c r="O210" s="2330"/>
      <c r="P210" s="2330"/>
      <c r="Q210" s="2330"/>
      <c r="R210" s="2330"/>
      <c r="S210" s="2330"/>
      <c r="T210" s="2330"/>
      <c r="U210" s="2330"/>
      <c r="V210" s="2330"/>
      <c r="W210" s="2330"/>
      <c r="X210" s="2330"/>
      <c r="Y210" s="2330"/>
      <c r="Z210" s="2330"/>
      <c r="AA210" s="2330"/>
      <c r="AB210" s="2330"/>
      <c r="AC210" s="2330"/>
      <c r="AD210" s="2330"/>
      <c r="AE210" s="2330"/>
      <c r="AF210" s="2330"/>
      <c r="AG210" s="2330"/>
      <c r="AH210" s="2330"/>
      <c r="AI210" s="2330"/>
      <c r="AJ210" s="2330">
        <f>11.2811*Unit.TWh</f>
        <v>11.2811</v>
      </c>
      <c r="AK210" s="2330">
        <f>11.5128859*Unit.TWh</f>
        <v>11.512885900000001</v>
      </c>
      <c r="AL210" s="2330">
        <f>9.9829594*Unit.TWh</f>
        <v>9.9829594000000004</v>
      </c>
      <c r="AM210" s="2330">
        <f>10.7253023*Unit.TWh</f>
        <v>10.725302299999999</v>
      </c>
      <c r="AN210" s="2330">
        <f>11.7831671*Unit.TWh</f>
        <v>11.7831671</v>
      </c>
      <c r="AO210" s="2330">
        <f>13.2077258*Unit.TWh</f>
        <v>13.2077258</v>
      </c>
      <c r="AP210" s="2330">
        <f>12.9045317*Unit.TWh</f>
        <v>12.9045317</v>
      </c>
      <c r="AQ210" s="2330">
        <f>18.45851032*Unit.TWh</f>
        <v>18.458510319999998</v>
      </c>
      <c r="AR210" s="2330">
        <f>18.88799564*Unit.TWh</f>
        <v>18.88799564</v>
      </c>
      <c r="AS210" s="2330">
        <f>18.50890517*Unit.TWh</f>
        <v>18.508905169999998</v>
      </c>
      <c r="AT210" s="2330">
        <f>20.71415345*Unit.TWh</f>
        <v>20.714153450000001</v>
      </c>
      <c r="AU210" s="2330">
        <f>23.70385084*Unit.TWh</f>
        <v>23.703850840000001</v>
      </c>
      <c r="AV210" s="2330">
        <f>28.71642504*Unit.TWh</f>
        <v>28.716425040000001</v>
      </c>
      <c r="AW210" s="2330" t="s">
        <v>2027</v>
      </c>
      <c r="AX210" s="846">
        <f ca="1">AX198+AX204</f>
        <v>0</v>
      </c>
      <c r="AY210" s="846">
        <f t="shared" ref="AY210:BF210" ca="1" si="64">AY198+AY204</f>
        <v>0</v>
      </c>
      <c r="AZ210" s="846">
        <f t="shared" ca="1" si="64"/>
        <v>0</v>
      </c>
      <c r="BA210" s="846">
        <f t="shared" ca="1" si="64"/>
        <v>0</v>
      </c>
      <c r="BB210" s="846">
        <f t="shared" ca="1" si="64"/>
        <v>0</v>
      </c>
      <c r="BC210" s="846">
        <f t="shared" ca="1" si="64"/>
        <v>0</v>
      </c>
      <c r="BD210" s="846">
        <f t="shared" ca="1" si="64"/>
        <v>0</v>
      </c>
      <c r="BE210" s="846">
        <f t="shared" ca="1" si="64"/>
        <v>0</v>
      </c>
      <c r="BF210" s="846">
        <f t="shared" ca="1" si="64"/>
        <v>0</v>
      </c>
      <c r="BG210" s="837"/>
    </row>
    <row r="211" spans="2:61" s="1296" customFormat="1" x14ac:dyDescent="0.2">
      <c r="B211" s="837"/>
      <c r="C211" s="1303" t="s">
        <v>838</v>
      </c>
      <c r="D211" s="1303" t="s">
        <v>38</v>
      </c>
      <c r="E211" s="837" t="s">
        <v>50</v>
      </c>
      <c r="F211" s="80"/>
      <c r="G211" s="80"/>
      <c r="H211" s="2330"/>
      <c r="I211" s="2330"/>
      <c r="J211" s="2330"/>
      <c r="K211" s="2330"/>
      <c r="L211" s="2330"/>
      <c r="M211" s="2330"/>
      <c r="N211" s="2330"/>
      <c r="O211" s="2330"/>
      <c r="P211" s="2330"/>
      <c r="Q211" s="2330"/>
      <c r="R211" s="2330"/>
      <c r="S211" s="2330"/>
      <c r="T211" s="2330"/>
      <c r="U211" s="2330"/>
      <c r="V211" s="2330"/>
      <c r="W211" s="2330"/>
      <c r="X211" s="2330"/>
      <c r="Y211" s="2330"/>
      <c r="Z211" s="2330"/>
      <c r="AA211" s="2330"/>
      <c r="AB211" s="2330"/>
      <c r="AC211" s="2330"/>
      <c r="AD211" s="2330"/>
      <c r="AE211" s="2330"/>
      <c r="AF211" s="2330"/>
      <c r="AG211" s="2330"/>
      <c r="AH211" s="2330"/>
      <c r="AI211" s="2330"/>
      <c r="AJ211" s="2330">
        <f t="shared" ref="AJ211:AP211" si="65">0*Unit.TWh</f>
        <v>0</v>
      </c>
      <c r="AK211" s="2330">
        <f t="shared" si="65"/>
        <v>0</v>
      </c>
      <c r="AL211" s="2330">
        <f t="shared" si="65"/>
        <v>0</v>
      </c>
      <c r="AM211" s="2330">
        <f t="shared" si="65"/>
        <v>0</v>
      </c>
      <c r="AN211" s="2330">
        <f t="shared" si="65"/>
        <v>0</v>
      </c>
      <c r="AO211" s="2330">
        <f t="shared" si="65"/>
        <v>0</v>
      </c>
      <c r="AP211" s="2330">
        <f t="shared" si="65"/>
        <v>0</v>
      </c>
      <c r="AQ211" s="2330">
        <f>0.861215638*Unit.TWh</f>
        <v>0.86121563800000001</v>
      </c>
      <c r="AR211" s="2330">
        <f>3.313229379*Unit.TWh</f>
        <v>3.313229379</v>
      </c>
      <c r="AS211" s="2330">
        <f>5.483743472*Unit.TWh</f>
        <v>5.4837434719999996</v>
      </c>
      <c r="AT211" s="2330">
        <f>9.878952814*Unit.TWh</f>
        <v>9.8789528139999998</v>
      </c>
      <c r="AU211" s="2330">
        <f>12.07762885*Unit.TWh</f>
        <v>12.07762885</v>
      </c>
      <c r="AV211" s="2330">
        <f>15.06624188*Unit.TWh</f>
        <v>15.06624188</v>
      </c>
      <c r="AW211" s="2330" t="s">
        <v>2027</v>
      </c>
      <c r="AX211" s="846">
        <f t="shared" ref="AX211:BF211" ca="1" si="66">AX199+AX205</f>
        <v>2.6727687466666672</v>
      </c>
      <c r="AY211" s="846">
        <f t="shared" ca="1" si="66"/>
        <v>3.0722897998837917</v>
      </c>
      <c r="AZ211" s="846">
        <f t="shared" ca="1" si="66"/>
        <v>3.5315305995858264</v>
      </c>
      <c r="BA211" s="846">
        <f t="shared" ca="1" si="66"/>
        <v>4.1379873345085638</v>
      </c>
      <c r="BB211" s="846">
        <f t="shared" ca="1" si="66"/>
        <v>4.7565268397103431</v>
      </c>
      <c r="BC211" s="846">
        <f t="shared" ca="1" si="66"/>
        <v>5.4675246074845258</v>
      </c>
      <c r="BD211" s="846">
        <f t="shared" ca="1" si="66"/>
        <v>6.284801146054134</v>
      </c>
      <c r="BE211" s="846">
        <f t="shared" ca="1" si="66"/>
        <v>7.2242428303611712</v>
      </c>
      <c r="BF211" s="846">
        <f t="shared" ca="1" si="66"/>
        <v>8.3041107044081546</v>
      </c>
      <c r="BG211" s="837"/>
    </row>
    <row r="212" spans="2:61" s="1296" customFormat="1" x14ac:dyDescent="0.2">
      <c r="B212" s="837"/>
      <c r="C212" s="1303" t="s">
        <v>838</v>
      </c>
      <c r="D212" s="1303" t="s">
        <v>39</v>
      </c>
      <c r="E212" s="837" t="s">
        <v>197</v>
      </c>
      <c r="F212" s="80"/>
      <c r="G212" s="80"/>
      <c r="H212" s="2330"/>
      <c r="I212" s="2330"/>
      <c r="J212" s="2330"/>
      <c r="K212" s="2330"/>
      <c r="L212" s="2330"/>
      <c r="M212" s="2330"/>
      <c r="N212" s="2330"/>
      <c r="O212" s="2330"/>
      <c r="P212" s="2330"/>
      <c r="Q212" s="2330"/>
      <c r="R212" s="2330"/>
      <c r="S212" s="2330"/>
      <c r="T212" s="2330"/>
      <c r="U212" s="2330"/>
      <c r="V212" s="2330"/>
      <c r="W212" s="2330"/>
      <c r="X212" s="2330"/>
      <c r="Y212" s="2330"/>
      <c r="Z212" s="2330"/>
      <c r="AA212" s="2330"/>
      <c r="AB212" s="2330"/>
      <c r="AC212" s="2330"/>
      <c r="AD212" s="2330"/>
      <c r="AE212" s="2330"/>
      <c r="AF212" s="2330"/>
      <c r="AG212" s="2330"/>
      <c r="AH212" s="2330"/>
      <c r="AI212" s="2330"/>
      <c r="AJ212" s="2330">
        <f>4.679912*Unit.TWh</f>
        <v>4.6799119999999998</v>
      </c>
      <c r="AK212" s="2330">
        <f>6.65236*Unit.TWh</f>
        <v>6.6523599999999998</v>
      </c>
      <c r="AL212" s="2330">
        <f>8.5030419*Unit.TWh</f>
        <v>8.5030418999999995</v>
      </c>
      <c r="AM212" s="2330">
        <f>9.7205866*Unit.TWh</f>
        <v>9.7205866000000007</v>
      </c>
      <c r="AN212" s="2330">
        <f>10.375123*Unit.TWh</f>
        <v>10.375123</v>
      </c>
      <c r="AO212" s="2330">
        <f>12.654603*Unit.TWh</f>
        <v>12.654603</v>
      </c>
      <c r="AP212" s="2330">
        <f>17.4844257*Unit.TWh</f>
        <v>17.484425699999999</v>
      </c>
      <c r="AQ212" s="2330">
        <f>18.91593462*Unit.TWh</f>
        <v>18.915934620000002</v>
      </c>
      <c r="AR212" s="2330">
        <f>19.24482717*Unit.TWh</f>
        <v>19.244827170000001</v>
      </c>
      <c r="AS212" s="2330">
        <f>20.29461125*Unit.TWh</f>
        <v>20.294611249999999</v>
      </c>
      <c r="AT212" s="2330">
        <f>20.91263605*Unit.TWh</f>
        <v>20.91263605</v>
      </c>
      <c r="AU212" s="2330">
        <f>21.92331406*Unit.TWh</f>
        <v>21.923314059999999</v>
      </c>
      <c r="AV212" s="2330">
        <f>22.89564828*Unit.TWh</f>
        <v>22.89564828</v>
      </c>
      <c r="AW212" s="2330" t="s">
        <v>2027</v>
      </c>
      <c r="AX212" s="846">
        <f t="shared" ref="AX212:BF213" ca="1" si="67">AX200+AX206</f>
        <v>376.72040258292134</v>
      </c>
      <c r="AY212" s="846">
        <f t="shared" ca="1" si="67"/>
        <v>429.45970846684344</v>
      </c>
      <c r="AZ212" s="846">
        <f t="shared" ca="1" si="67"/>
        <v>494.82937211070913</v>
      </c>
      <c r="BA212" s="846">
        <f t="shared" ca="1" si="67"/>
        <v>621.66023801028632</v>
      </c>
      <c r="BB212" s="846">
        <f t="shared" ca="1" si="67"/>
        <v>672.99570382156764</v>
      </c>
      <c r="BC212" s="846">
        <f t="shared" ca="1" si="67"/>
        <v>735.43019244224729</v>
      </c>
      <c r="BD212" s="846">
        <f t="shared" ca="1" si="67"/>
        <v>795.92533754094541</v>
      </c>
      <c r="BE212" s="846">
        <f t="shared" ca="1" si="67"/>
        <v>860.50098001876916</v>
      </c>
      <c r="BF212" s="846">
        <f t="shared" ca="1" si="67"/>
        <v>922.08776152790972</v>
      </c>
      <c r="BG212" s="837"/>
    </row>
    <row r="213" spans="2:61" s="2479" customFormat="1" x14ac:dyDescent="0.2">
      <c r="B213" s="837"/>
      <c r="C213" s="1303" t="s">
        <v>838</v>
      </c>
      <c r="D213" s="1303" t="s">
        <v>2184</v>
      </c>
      <c r="E213" s="837" t="s">
        <v>2185</v>
      </c>
      <c r="F213" s="80"/>
      <c r="G213" s="80"/>
      <c r="H213" s="2330"/>
      <c r="I213" s="2330"/>
      <c r="J213" s="2330"/>
      <c r="K213" s="2330"/>
      <c r="L213" s="2330"/>
      <c r="M213" s="2330"/>
      <c r="N213" s="2330"/>
      <c r="O213" s="2330"/>
      <c r="P213" s="2330"/>
      <c r="Q213" s="2330"/>
      <c r="R213" s="2330"/>
      <c r="S213" s="2330"/>
      <c r="T213" s="2330"/>
      <c r="U213" s="2330"/>
      <c r="V213" s="2330"/>
      <c r="W213" s="2330"/>
      <c r="X213" s="2330"/>
      <c r="Y213" s="2330"/>
      <c r="Z213" s="2330"/>
      <c r="AA213" s="2330"/>
      <c r="AB213" s="2330"/>
      <c r="AC213" s="2330"/>
      <c r="AD213" s="2330"/>
      <c r="AE213" s="2330"/>
      <c r="AF213" s="2330"/>
      <c r="AG213" s="2330"/>
      <c r="AH213" s="2330"/>
      <c r="AI213" s="2330"/>
      <c r="AJ213" s="2330"/>
      <c r="AK213" s="2330"/>
      <c r="AL213" s="2330"/>
      <c r="AM213" s="2330"/>
      <c r="AN213" s="2330"/>
      <c r="AO213" s="2330"/>
      <c r="AP213" s="2330"/>
      <c r="AQ213" s="2330"/>
      <c r="AR213" s="2330"/>
      <c r="AS213" s="2330"/>
      <c r="AT213" s="2330"/>
      <c r="AU213" s="2330"/>
      <c r="AV213" s="2330"/>
      <c r="AW213" s="2330"/>
      <c r="AX213" s="846">
        <f t="shared" ca="1" si="67"/>
        <v>207.89751104902211</v>
      </c>
      <c r="AY213" s="846">
        <f t="shared" ca="1" si="67"/>
        <v>184.56264251698985</v>
      </c>
      <c r="AZ213" s="846">
        <f t="shared" ca="1" si="67"/>
        <v>174.26276521348018</v>
      </c>
      <c r="BA213" s="846">
        <f t="shared" ca="1" si="67"/>
        <v>161.01204691117437</v>
      </c>
      <c r="BB213" s="846">
        <f t="shared" ca="1" si="67"/>
        <v>139.84015467028303</v>
      </c>
      <c r="BC213" s="846">
        <f t="shared" ca="1" si="67"/>
        <v>119.88593635939719</v>
      </c>
      <c r="BD213" s="846">
        <f t="shared" ca="1" si="67"/>
        <v>92.776442187623388</v>
      </c>
      <c r="BE213" s="846">
        <f t="shared" ca="1" si="67"/>
        <v>67.553818988990088</v>
      </c>
      <c r="BF213" s="846">
        <f t="shared" ca="1" si="67"/>
        <v>45.201438373394467</v>
      </c>
      <c r="BG213" s="837"/>
    </row>
    <row r="214" spans="2:61" s="2479" customFormat="1" x14ac:dyDescent="0.2">
      <c r="B214" s="837"/>
      <c r="C214" s="1303"/>
      <c r="D214" s="1303"/>
      <c r="E214" s="837"/>
      <c r="F214" s="80"/>
      <c r="G214" s="80"/>
      <c r="H214" s="2330"/>
      <c r="I214" s="2330"/>
      <c r="J214" s="2330"/>
      <c r="K214" s="2330"/>
      <c r="L214" s="2330"/>
      <c r="M214" s="2330"/>
      <c r="N214" s="2330"/>
      <c r="O214" s="2330"/>
      <c r="P214" s="2330"/>
      <c r="Q214" s="2330"/>
      <c r="R214" s="2330"/>
      <c r="S214" s="2330"/>
      <c r="T214" s="2330"/>
      <c r="U214" s="2330"/>
      <c r="V214" s="2330"/>
      <c r="W214" s="2330"/>
      <c r="X214" s="2330"/>
      <c r="Y214" s="2330"/>
      <c r="Z214" s="2330"/>
      <c r="AA214" s="2330"/>
      <c r="AB214" s="2330"/>
      <c r="AC214" s="2330"/>
      <c r="AD214" s="2330"/>
      <c r="AE214" s="2330"/>
      <c r="AF214" s="2330"/>
      <c r="AG214" s="2330"/>
      <c r="AH214" s="2330"/>
      <c r="AI214" s="2330"/>
      <c r="AJ214" s="2330"/>
      <c r="AK214" s="2330"/>
      <c r="AL214" s="2330"/>
      <c r="AM214" s="2330"/>
      <c r="AN214" s="2330"/>
      <c r="AO214" s="2330"/>
      <c r="AP214" s="2330"/>
      <c r="AQ214" s="2330"/>
      <c r="AR214" s="2330"/>
      <c r="AS214" s="2330"/>
      <c r="AT214" s="2330"/>
      <c r="AU214" s="2330"/>
      <c r="AV214" s="2330"/>
      <c r="AW214" s="2330"/>
      <c r="AX214" s="846"/>
      <c r="AY214" s="846"/>
      <c r="AZ214" s="846"/>
      <c r="BA214" s="846"/>
      <c r="BB214" s="846"/>
      <c r="BC214" s="846"/>
      <c r="BD214" s="846"/>
      <c r="BE214" s="846"/>
      <c r="BF214" s="846"/>
      <c r="BG214" s="837"/>
    </row>
    <row r="215" spans="2:61" s="1296" customFormat="1" x14ac:dyDescent="0.2">
      <c r="B215" s="837"/>
      <c r="C215" s="837"/>
      <c r="D215" s="837"/>
      <c r="E215" s="837"/>
      <c r="F215" s="837"/>
      <c r="G215" s="837"/>
      <c r="H215" s="2314"/>
      <c r="I215" s="2314"/>
      <c r="J215" s="2314"/>
      <c r="K215" s="2314"/>
      <c r="L215" s="2314"/>
      <c r="M215" s="2314"/>
      <c r="N215" s="2314"/>
      <c r="O215" s="2314"/>
      <c r="P215" s="2314"/>
      <c r="Q215" s="2314"/>
      <c r="R215" s="2314"/>
      <c r="S215" s="2314"/>
      <c r="T215" s="2314"/>
      <c r="U215" s="2314"/>
      <c r="V215" s="2314"/>
      <c r="W215" s="2314"/>
      <c r="X215" s="2314"/>
      <c r="Y215" s="2314"/>
      <c r="Z215" s="2314"/>
      <c r="AA215" s="2314"/>
      <c r="AB215" s="2314"/>
      <c r="AC215" s="2314"/>
      <c r="AD215" s="2314"/>
      <c r="AE215" s="2314"/>
      <c r="AF215" s="2314"/>
      <c r="AG215" s="2314"/>
      <c r="AH215" s="2314"/>
      <c r="AI215" s="2314"/>
      <c r="AJ215" s="2314"/>
      <c r="AK215" s="2314"/>
      <c r="AL215" s="2314"/>
      <c r="AM215" s="2314"/>
      <c r="AN215" s="2314"/>
      <c r="AO215" s="2314"/>
      <c r="AP215" s="2314"/>
      <c r="AQ215" s="2314"/>
      <c r="AR215" s="2314"/>
      <c r="AS215" s="2314"/>
      <c r="AT215" s="2314"/>
      <c r="AU215" s="2314"/>
      <c r="AV215" s="2314"/>
      <c r="AW215" s="2314"/>
      <c r="AX215" s="837"/>
      <c r="AY215" s="837"/>
      <c r="AZ215" s="837"/>
      <c r="BA215" s="837"/>
      <c r="BB215" s="837"/>
      <c r="BC215" s="837"/>
      <c r="BD215" s="837"/>
      <c r="BE215" s="837"/>
      <c r="BF215" s="837"/>
      <c r="BG215" s="837"/>
      <c r="BH215" s="837"/>
      <c r="BI215" s="1334"/>
    </row>
    <row r="216" spans="2:61" s="1296" customFormat="1" x14ac:dyDescent="0.2">
      <c r="B216" s="1345" t="s">
        <v>1375</v>
      </c>
      <c r="C216" s="1302"/>
      <c r="D216" s="1302"/>
      <c r="E216" s="1302"/>
      <c r="F216" s="1302"/>
      <c r="G216" s="1302"/>
      <c r="H216" s="2314"/>
      <c r="I216" s="2314"/>
      <c r="J216" s="2314"/>
      <c r="K216" s="2314"/>
      <c r="L216" s="2314"/>
      <c r="M216" s="2314"/>
      <c r="N216" s="2314"/>
      <c r="O216" s="2314"/>
      <c r="P216" s="2314"/>
      <c r="Q216" s="2314"/>
      <c r="R216" s="2314"/>
      <c r="S216" s="2314"/>
      <c r="T216" s="2314"/>
      <c r="U216" s="2314"/>
      <c r="V216" s="2314"/>
      <c r="W216" s="2314"/>
      <c r="X216" s="2314"/>
      <c r="Y216" s="2314"/>
      <c r="Z216" s="2314"/>
      <c r="AA216" s="2314"/>
      <c r="AB216" s="2314"/>
      <c r="AC216" s="2314"/>
      <c r="AD216" s="2314"/>
      <c r="AE216" s="2314"/>
      <c r="AF216" s="2314"/>
      <c r="AG216" s="2314"/>
      <c r="AH216" s="2314"/>
      <c r="AI216" s="2314"/>
      <c r="AJ216" s="2314"/>
      <c r="AK216" s="2314"/>
      <c r="AL216" s="2314"/>
      <c r="AM216" s="2314"/>
      <c r="AN216" s="2314"/>
      <c r="AO216" s="2314"/>
      <c r="AP216" s="2314"/>
      <c r="AQ216" s="2314"/>
      <c r="AR216" s="2314"/>
      <c r="AS216" s="2314"/>
      <c r="AT216" s="2314"/>
      <c r="AU216" s="2314"/>
      <c r="AV216" s="2314"/>
      <c r="AW216" s="2314"/>
      <c r="AX216" s="1302" t="s">
        <v>1376</v>
      </c>
      <c r="AY216" s="1302"/>
      <c r="AZ216" s="1302"/>
      <c r="BA216" s="1302"/>
      <c r="BB216" s="1302"/>
      <c r="BC216" s="1302"/>
      <c r="BD216" s="1302"/>
      <c r="BE216" s="1302"/>
      <c r="BF216" s="1302"/>
      <c r="BG216" s="1302"/>
      <c r="BH216" s="837"/>
    </row>
    <row r="217" spans="2:61" s="1296" customFormat="1" x14ac:dyDescent="0.2">
      <c r="B217" s="837"/>
      <c r="C217" s="837"/>
      <c r="D217" s="837"/>
      <c r="E217" s="837"/>
      <c r="F217" s="837"/>
      <c r="G217" s="837"/>
      <c r="H217" s="2314"/>
      <c r="I217" s="2314"/>
      <c r="J217" s="2314"/>
      <c r="K217" s="2314"/>
      <c r="L217" s="2314"/>
      <c r="M217" s="2314"/>
      <c r="N217" s="2314"/>
      <c r="O217" s="2314"/>
      <c r="P217" s="2314"/>
      <c r="Q217" s="2314"/>
      <c r="R217" s="2314"/>
      <c r="S217" s="2314"/>
      <c r="T217" s="2314"/>
      <c r="U217" s="2314"/>
      <c r="V217" s="2314"/>
      <c r="W217" s="2314"/>
      <c r="X217" s="2314"/>
      <c r="Y217" s="2314"/>
      <c r="Z217" s="2314"/>
      <c r="AA217" s="2314"/>
      <c r="AB217" s="2314"/>
      <c r="AC217" s="2314"/>
      <c r="AD217" s="2314"/>
      <c r="AE217" s="2314"/>
      <c r="AF217" s="2314"/>
      <c r="AG217" s="2314"/>
      <c r="AH217" s="2314"/>
      <c r="AI217" s="2314"/>
      <c r="AJ217" s="2314"/>
      <c r="AK217" s="2314"/>
      <c r="AL217" s="2314"/>
      <c r="AM217" s="2314"/>
      <c r="AN217" s="2314"/>
      <c r="AO217" s="2314"/>
      <c r="AP217" s="2314"/>
      <c r="AQ217" s="2314"/>
      <c r="AR217" s="2314"/>
      <c r="AS217" s="2314"/>
      <c r="AT217" s="2314"/>
      <c r="AU217" s="2314"/>
      <c r="AV217" s="2314"/>
      <c r="AW217" s="2314"/>
      <c r="AX217" s="837"/>
      <c r="AY217" s="837"/>
      <c r="AZ217" s="837"/>
      <c r="BA217" s="837"/>
      <c r="BB217" s="837"/>
      <c r="BC217" s="837"/>
      <c r="BD217" s="837"/>
      <c r="BE217" s="837"/>
      <c r="BF217" s="837"/>
      <c r="BG217" s="837"/>
      <c r="BH217" s="837"/>
    </row>
    <row r="218" spans="2:61" s="1296" customFormat="1" x14ac:dyDescent="0.2">
      <c r="B218" s="837"/>
      <c r="C218" s="1324" t="s">
        <v>1355</v>
      </c>
      <c r="D218" s="1302"/>
      <c r="E218" s="1302"/>
      <c r="F218" s="1302"/>
      <c r="G218" s="1302"/>
      <c r="H218" s="2314"/>
      <c r="I218" s="2314"/>
      <c r="J218" s="2314"/>
      <c r="K218" s="2314"/>
      <c r="L218" s="2314"/>
      <c r="M218" s="2314"/>
      <c r="N218" s="2314"/>
      <c r="O218" s="2314"/>
      <c r="P218" s="2314"/>
      <c r="Q218" s="2314"/>
      <c r="R218" s="2314"/>
      <c r="S218" s="2314"/>
      <c r="T218" s="2314"/>
      <c r="U218" s="2314"/>
      <c r="V218" s="2314"/>
      <c r="W218" s="2314"/>
      <c r="X218" s="2314"/>
      <c r="Y218" s="2314"/>
      <c r="Z218" s="2314"/>
      <c r="AA218" s="2314"/>
      <c r="AB218" s="2314"/>
      <c r="AC218" s="2314"/>
      <c r="AD218" s="2314"/>
      <c r="AE218" s="2314"/>
      <c r="AF218" s="2314"/>
      <c r="AG218" s="2314"/>
      <c r="AH218" s="2314"/>
      <c r="AI218" s="2314"/>
      <c r="AJ218" s="2314"/>
      <c r="AK218" s="2314"/>
      <c r="AL218" s="2314"/>
      <c r="AM218" s="2314"/>
      <c r="AN218" s="2314"/>
      <c r="AO218" s="2314"/>
      <c r="AP218" s="2314"/>
      <c r="AQ218" s="2314"/>
      <c r="AR218" s="2314"/>
      <c r="AS218" s="2314"/>
      <c r="AT218" s="2314"/>
      <c r="AU218" s="2314"/>
      <c r="AV218" s="2314"/>
      <c r="AW218" s="2314"/>
      <c r="AX218" s="1325">
        <f t="shared" ref="AX218:BF218" ca="1" si="68">-(INDEX(INDIRECT(AX$197&amp;"!Year.Matrix"),MATCH("Subtotal.Supply",INDIRECT(AX$197&amp;"!Year.Modules"),0),MATCH("V.03",INDIRECT(AX$197&amp;"!Year.Vectors"),0))+INDEX(INDIRECT(AX$197&amp;"!Year.Matrix"),MATCH("Subtotal.Consumption",INDIRECT(AX$197&amp;"!Year.Modules"),0),MATCH("V.03",INDIRECT(AX$197&amp;"!Year.Vectors"),0)))</f>
        <v>1.5203815348896348</v>
      </c>
      <c r="AY218" s="1325">
        <f t="shared" ca="1" si="68"/>
        <v>1.8097434927284919</v>
      </c>
      <c r="AZ218" s="1325">
        <f t="shared" ca="1" si="68"/>
        <v>25.824701842565585</v>
      </c>
      <c r="BA218" s="1325">
        <f t="shared" ca="1" si="68"/>
        <v>122.5769415325465</v>
      </c>
      <c r="BB218" s="1325">
        <f t="shared" ca="1" si="68"/>
        <v>281.95754953591495</v>
      </c>
      <c r="BC218" s="1325">
        <f t="shared" ca="1" si="68"/>
        <v>512.36760581012402</v>
      </c>
      <c r="BD218" s="1325">
        <f t="shared" ca="1" si="68"/>
        <v>756.52138704566835</v>
      </c>
      <c r="BE218" s="1325">
        <f t="shared" ca="1" si="68"/>
        <v>998.96810111333627</v>
      </c>
      <c r="BF218" s="1325">
        <f t="shared" ca="1" si="68"/>
        <v>1241.5439171180863</v>
      </c>
      <c r="BG218" s="837"/>
    </row>
    <row r="219" spans="2:61" s="1296" customFormat="1" x14ac:dyDescent="0.2">
      <c r="B219" s="837"/>
      <c r="C219" s="1329" t="s">
        <v>224</v>
      </c>
      <c r="D219" s="1324" t="s">
        <v>1325</v>
      </c>
      <c r="E219" s="1302"/>
      <c r="F219" s="1302"/>
      <c r="G219" s="1302"/>
      <c r="H219" s="2314"/>
      <c r="I219" s="2314"/>
      <c r="J219" s="2314"/>
      <c r="K219" s="2314"/>
      <c r="L219" s="2314"/>
      <c r="M219" s="2314"/>
      <c r="N219" s="2314"/>
      <c r="O219" s="2314"/>
      <c r="P219" s="2314"/>
      <c r="Q219" s="2314"/>
      <c r="R219" s="2314"/>
      <c r="S219" s="2314"/>
      <c r="T219" s="2314"/>
      <c r="U219" s="2314"/>
      <c r="V219" s="2314"/>
      <c r="W219" s="2314"/>
      <c r="X219" s="2314"/>
      <c r="Y219" s="2314"/>
      <c r="Z219" s="2314"/>
      <c r="AA219" s="2314"/>
      <c r="AB219" s="2314"/>
      <c r="AC219" s="2314"/>
      <c r="AD219" s="2314"/>
      <c r="AE219" s="2314"/>
      <c r="AF219" s="2314"/>
      <c r="AG219" s="2314"/>
      <c r="AH219" s="2314"/>
      <c r="AI219" s="2314"/>
      <c r="AJ219" s="2314"/>
      <c r="AK219" s="2314"/>
      <c r="AL219" s="2314"/>
      <c r="AM219" s="2314"/>
      <c r="AN219" s="2314"/>
      <c r="AO219" s="2314"/>
      <c r="AP219" s="2314"/>
      <c r="AQ219" s="2314"/>
      <c r="AR219" s="2314"/>
      <c r="AS219" s="2314"/>
      <c r="AT219" s="2314"/>
      <c r="AU219" s="2314"/>
      <c r="AV219" s="2314"/>
      <c r="AW219" s="2314"/>
      <c r="AX219" s="1326">
        <f t="shared" ref="AX219:BF219" ca="1" si="69">INDEX(INDIRECT(AX$197&amp;"!Year.Matrix"),MATCH($C219,INDIRECT(AX$197&amp;"!Year.Modules"),0),MATCH("V.03",INDIRECT(AX$197&amp;"!Year.Vectors"),0))/AX$218</f>
        <v>0</v>
      </c>
      <c r="AY219" s="1326">
        <f t="shared" ca="1" si="69"/>
        <v>0</v>
      </c>
      <c r="AZ219" s="1326">
        <f t="shared" ca="1" si="69"/>
        <v>0</v>
      </c>
      <c r="BA219" s="1326">
        <f t="shared" ca="1" si="69"/>
        <v>0</v>
      </c>
      <c r="BB219" s="1326">
        <f t="shared" ca="1" si="69"/>
        <v>0</v>
      </c>
      <c r="BC219" s="1326">
        <f t="shared" ca="1" si="69"/>
        <v>0</v>
      </c>
      <c r="BD219" s="1326">
        <f t="shared" ca="1" si="69"/>
        <v>0</v>
      </c>
      <c r="BE219" s="1326">
        <f t="shared" ca="1" si="69"/>
        <v>0</v>
      </c>
      <c r="BF219" s="1326">
        <f t="shared" ca="1" si="69"/>
        <v>0</v>
      </c>
      <c r="BG219" s="837"/>
    </row>
    <row r="220" spans="2:61" s="1296" customFormat="1" x14ac:dyDescent="0.2">
      <c r="B220" s="837"/>
      <c r="C220" s="1327" t="s">
        <v>2146</v>
      </c>
      <c r="D220" s="1307" t="str">
        <f>INDEX(Modules[Module], MATCH(C220, Modules[Code], 0))</f>
        <v>Coal power stations</v>
      </c>
      <c r="E220" s="1302"/>
      <c r="F220" s="1302"/>
      <c r="G220" s="1302"/>
      <c r="H220" s="2314"/>
      <c r="I220" s="2314"/>
      <c r="J220" s="2314"/>
      <c r="K220" s="2314"/>
      <c r="L220" s="2314"/>
      <c r="M220" s="2314"/>
      <c r="N220" s="2314"/>
      <c r="O220" s="2314"/>
      <c r="P220" s="2314"/>
      <c r="Q220" s="2314"/>
      <c r="R220" s="2314"/>
      <c r="S220" s="2314"/>
      <c r="T220" s="2314"/>
      <c r="U220" s="2314"/>
      <c r="V220" s="2314"/>
      <c r="W220" s="2314"/>
      <c r="X220" s="2314"/>
      <c r="Y220" s="2314"/>
      <c r="Z220" s="2314"/>
      <c r="AA220" s="2314"/>
      <c r="AB220" s="2314"/>
      <c r="AC220" s="2314"/>
      <c r="AD220" s="2314"/>
      <c r="AE220" s="2314"/>
      <c r="AF220" s="2314"/>
      <c r="AG220" s="2314"/>
      <c r="AH220" s="2314"/>
      <c r="AI220" s="2314"/>
      <c r="AJ220" s="2314"/>
      <c r="AK220" s="2330">
        <f t="shared" ref="AK220:AV222" si="70">0*Unit.TWh</f>
        <v>0</v>
      </c>
      <c r="AL220" s="2330">
        <f t="shared" si="70"/>
        <v>0</v>
      </c>
      <c r="AM220" s="2330">
        <f t="shared" si="70"/>
        <v>0</v>
      </c>
      <c r="AN220" s="2330">
        <f t="shared" si="70"/>
        <v>0</v>
      </c>
      <c r="AO220" s="2330">
        <f t="shared" si="70"/>
        <v>0</v>
      </c>
      <c r="AP220" s="2330">
        <f t="shared" si="70"/>
        <v>0</v>
      </c>
      <c r="AQ220" s="2330">
        <f t="shared" si="70"/>
        <v>0</v>
      </c>
      <c r="AR220" s="2330">
        <f t="shared" si="70"/>
        <v>0</v>
      </c>
      <c r="AS220" s="2330">
        <f t="shared" si="70"/>
        <v>0</v>
      </c>
      <c r="AT220" s="2330">
        <f t="shared" si="70"/>
        <v>0</v>
      </c>
      <c r="AU220" s="2330">
        <f t="shared" si="70"/>
        <v>0</v>
      </c>
      <c r="AV220" s="2330">
        <f t="shared" si="70"/>
        <v>0</v>
      </c>
      <c r="AW220" s="2314" t="s">
        <v>2028</v>
      </c>
      <c r="AX220" s="1328">
        <f t="shared" ref="AX220:BF224" ca="1" si="71">-INDEX(INDIRECT(AX$197&amp;"!Year.Matrix"),MATCH($C220,INDIRECT(AX$197&amp;"!Year.Modules"),0),MATCH("V.03",INDIRECT(AX$197&amp;"!Year.Vectors"),0))</f>
        <v>0</v>
      </c>
      <c r="AY220" s="1328">
        <f t="shared" ca="1" si="71"/>
        <v>0</v>
      </c>
      <c r="AZ220" s="1328">
        <f t="shared" ca="1" si="71"/>
        <v>0</v>
      </c>
      <c r="BA220" s="1328">
        <f t="shared" ca="1" si="71"/>
        <v>72.665526315789478</v>
      </c>
      <c r="BB220" s="1328">
        <f t="shared" ca="1" si="71"/>
        <v>219.81321710526311</v>
      </c>
      <c r="BC220" s="1328">
        <f t="shared" ca="1" si="71"/>
        <v>414.19350000000009</v>
      </c>
      <c r="BD220" s="1328">
        <f t="shared" ca="1" si="71"/>
        <v>610.39042105263172</v>
      </c>
      <c r="BE220" s="1328">
        <f t="shared" ca="1" si="71"/>
        <v>804.77070394736825</v>
      </c>
      <c r="BF220" s="1328">
        <f t="shared" ca="1" si="71"/>
        <v>999.15098684210523</v>
      </c>
      <c r="BG220" s="837"/>
    </row>
    <row r="221" spans="2:61" s="1296" customFormat="1" x14ac:dyDescent="0.2">
      <c r="B221" s="837"/>
      <c r="C221" s="1327" t="s">
        <v>352</v>
      </c>
      <c r="D221" s="1307" t="str">
        <f>INDEX(Modules[Module], MATCH(C221, Modules[Code], 0))</f>
        <v>Biomass power station</v>
      </c>
      <c r="E221" s="1302"/>
      <c r="F221" s="1302"/>
      <c r="G221" s="1302"/>
      <c r="H221" s="2314"/>
      <c r="I221" s="2314"/>
      <c r="J221" s="2314"/>
      <c r="K221" s="2314"/>
      <c r="L221" s="2314"/>
      <c r="M221" s="2314"/>
      <c r="N221" s="2314"/>
      <c r="O221" s="2314"/>
      <c r="P221" s="2314"/>
      <c r="Q221" s="2314"/>
      <c r="R221" s="2314"/>
      <c r="S221" s="2314"/>
      <c r="T221" s="2314"/>
      <c r="U221" s="2314"/>
      <c r="V221" s="2314"/>
      <c r="W221" s="2314"/>
      <c r="X221" s="2314"/>
      <c r="Y221" s="2314"/>
      <c r="Z221" s="2314"/>
      <c r="AA221" s="2314"/>
      <c r="AB221" s="2314"/>
      <c r="AC221" s="2314"/>
      <c r="AD221" s="2314"/>
      <c r="AE221" s="2314"/>
      <c r="AF221" s="2314"/>
      <c r="AG221" s="2314"/>
      <c r="AH221" s="2314"/>
      <c r="AI221" s="2314"/>
      <c r="AJ221" s="2314"/>
      <c r="AK221" s="2330">
        <f t="shared" si="70"/>
        <v>0</v>
      </c>
      <c r="AL221" s="2330">
        <f t="shared" si="70"/>
        <v>0</v>
      </c>
      <c r="AM221" s="2330">
        <f t="shared" si="70"/>
        <v>0</v>
      </c>
      <c r="AN221" s="2330">
        <f t="shared" si="70"/>
        <v>0</v>
      </c>
      <c r="AO221" s="2330">
        <f t="shared" si="70"/>
        <v>0</v>
      </c>
      <c r="AP221" s="2330">
        <f t="shared" si="70"/>
        <v>0</v>
      </c>
      <c r="AQ221" s="2330">
        <f t="shared" si="70"/>
        <v>0</v>
      </c>
      <c r="AR221" s="2330">
        <f t="shared" si="70"/>
        <v>0</v>
      </c>
      <c r="AS221" s="2330">
        <f t="shared" si="70"/>
        <v>0</v>
      </c>
      <c r="AT221" s="2330">
        <f t="shared" si="70"/>
        <v>0</v>
      </c>
      <c r="AU221" s="2330">
        <f t="shared" si="70"/>
        <v>0</v>
      </c>
      <c r="AV221" s="2330">
        <f t="shared" si="70"/>
        <v>0</v>
      </c>
      <c r="AW221" s="2314" t="s">
        <v>2028</v>
      </c>
      <c r="AX221" s="1328">
        <f t="shared" ca="1" si="71"/>
        <v>0</v>
      </c>
      <c r="AY221" s="1328">
        <f t="shared" ca="1" si="71"/>
        <v>0</v>
      </c>
      <c r="AZ221" s="1328">
        <f t="shared" ca="1" si="71"/>
        <v>23.668200000000002</v>
      </c>
      <c r="BA221" s="1328">
        <f t="shared" ca="1" si="71"/>
        <v>47.336400000000005</v>
      </c>
      <c r="BB221" s="1328">
        <f t="shared" ca="1" si="71"/>
        <v>59.170499999999997</v>
      </c>
      <c r="BC221" s="1328">
        <f t="shared" ca="1" si="71"/>
        <v>94.672800000000009</v>
      </c>
      <c r="BD221" s="1328">
        <f t="shared" ca="1" si="71"/>
        <v>142.00920000000002</v>
      </c>
      <c r="BE221" s="1328">
        <f t="shared" ca="1" si="71"/>
        <v>189.34560000000002</v>
      </c>
      <c r="BF221" s="1328">
        <f t="shared" ca="1" si="71"/>
        <v>236.68199999999999</v>
      </c>
      <c r="BG221" s="837"/>
    </row>
    <row r="222" spans="2:61" s="1296" customFormat="1" x14ac:dyDescent="0.2">
      <c r="B222" s="837"/>
      <c r="C222" s="1327" t="s">
        <v>288</v>
      </c>
      <c r="D222" s="1307" t="str">
        <f>INDEX(Modules[Module], MATCH(C222, Modules[Code], 0))</f>
        <v>Natural gas power stations</v>
      </c>
      <c r="E222" s="1302"/>
      <c r="F222" s="1302"/>
      <c r="G222" s="1302"/>
      <c r="H222" s="2314"/>
      <c r="I222" s="2314"/>
      <c r="J222" s="2314"/>
      <c r="K222" s="2314"/>
      <c r="L222" s="2314"/>
      <c r="M222" s="2314"/>
      <c r="N222" s="2314"/>
      <c r="O222" s="2314"/>
      <c r="P222" s="2314"/>
      <c r="Q222" s="2314"/>
      <c r="R222" s="2314"/>
      <c r="S222" s="2314"/>
      <c r="T222" s="2314"/>
      <c r="U222" s="2314"/>
      <c r="V222" s="2314"/>
      <c r="W222" s="2314"/>
      <c r="X222" s="2314"/>
      <c r="Y222" s="2314"/>
      <c r="Z222" s="2314"/>
      <c r="AA222" s="2314"/>
      <c r="AB222" s="2314"/>
      <c r="AC222" s="2314"/>
      <c r="AD222" s="2314"/>
      <c r="AE222" s="2314"/>
      <c r="AF222" s="2314"/>
      <c r="AG222" s="2314"/>
      <c r="AH222" s="2314"/>
      <c r="AI222" s="2314"/>
      <c r="AJ222" s="2314"/>
      <c r="AK222" s="2330">
        <f t="shared" si="70"/>
        <v>0</v>
      </c>
      <c r="AL222" s="2330">
        <f t="shared" si="70"/>
        <v>0</v>
      </c>
      <c r="AM222" s="2330">
        <f t="shared" si="70"/>
        <v>0</v>
      </c>
      <c r="AN222" s="2330">
        <f t="shared" si="70"/>
        <v>0</v>
      </c>
      <c r="AO222" s="2330">
        <f t="shared" si="70"/>
        <v>0</v>
      </c>
      <c r="AP222" s="2330">
        <f t="shared" si="70"/>
        <v>0</v>
      </c>
      <c r="AQ222" s="2330">
        <f t="shared" si="70"/>
        <v>0</v>
      </c>
      <c r="AR222" s="2330">
        <f t="shared" si="70"/>
        <v>0</v>
      </c>
      <c r="AS222" s="2330">
        <f t="shared" si="70"/>
        <v>0</v>
      </c>
      <c r="AT222" s="2330">
        <f t="shared" si="70"/>
        <v>0</v>
      </c>
      <c r="AU222" s="2330">
        <f t="shared" si="70"/>
        <v>0</v>
      </c>
      <c r="AV222" s="2330">
        <f t="shared" si="70"/>
        <v>0</v>
      </c>
      <c r="AW222" s="2314" t="s">
        <v>2029</v>
      </c>
      <c r="AX222" s="1328">
        <f t="shared" ca="1" si="71"/>
        <v>0</v>
      </c>
      <c r="AY222" s="1328">
        <f t="shared" ca="1" si="71"/>
        <v>0</v>
      </c>
      <c r="AZ222" s="1328">
        <f t="shared" ca="1" si="71"/>
        <v>0</v>
      </c>
      <c r="BA222" s="1328">
        <f t="shared" ca="1" si="71"/>
        <v>0</v>
      </c>
      <c r="BB222" s="1328">
        <f t="shared" ca="1" si="71"/>
        <v>0</v>
      </c>
      <c r="BC222" s="1328">
        <f t="shared" ca="1" si="71"/>
        <v>0</v>
      </c>
      <c r="BD222" s="1328">
        <f t="shared" ca="1" si="71"/>
        <v>0</v>
      </c>
      <c r="BE222" s="1328">
        <f t="shared" ca="1" si="71"/>
        <v>0</v>
      </c>
      <c r="BF222" s="1328">
        <f t="shared" ca="1" si="71"/>
        <v>0</v>
      </c>
      <c r="BG222" s="837"/>
    </row>
    <row r="223" spans="2:61" s="1296" customFormat="1" x14ac:dyDescent="0.2">
      <c r="B223" s="837"/>
      <c r="C223" s="1327" t="s">
        <v>231</v>
      </c>
      <c r="D223" s="1307" t="s">
        <v>33</v>
      </c>
      <c r="E223" s="1302"/>
      <c r="F223" s="1302"/>
      <c r="G223" s="1302"/>
      <c r="H223" s="2314"/>
      <c r="I223" s="2314"/>
      <c r="J223" s="2314"/>
      <c r="K223" s="2314"/>
      <c r="L223" s="2314"/>
      <c r="M223" s="2314"/>
      <c r="N223" s="2314"/>
      <c r="O223" s="2314"/>
      <c r="P223" s="2314"/>
      <c r="Q223" s="2314"/>
      <c r="R223" s="2314"/>
      <c r="S223" s="2314"/>
      <c r="T223" s="2314"/>
      <c r="U223" s="2314"/>
      <c r="V223" s="2314"/>
      <c r="W223" s="2314"/>
      <c r="X223" s="2314"/>
      <c r="Y223" s="2314"/>
      <c r="Z223" s="2314"/>
      <c r="AA223" s="2314"/>
      <c r="AB223" s="2314"/>
      <c r="AC223" s="2314"/>
      <c r="AD223" s="2314"/>
      <c r="AE223" s="2314"/>
      <c r="AF223" s="2314"/>
      <c r="AG223" s="2314"/>
      <c r="AH223" s="2314"/>
      <c r="AI223" s="2314"/>
      <c r="AJ223" s="2314"/>
      <c r="AK223" s="2314">
        <f>113.55532*Unit.TWh</f>
        <v>113.55531999999999</v>
      </c>
      <c r="AL223" s="2314">
        <f>117.004*Unit.TWh</f>
        <v>117.004</v>
      </c>
      <c r="AM223" s="2314">
        <f>114.168*Unit.TWh</f>
        <v>114.16800000000001</v>
      </c>
      <c r="AN223" s="2314">
        <f>112.6194092*Unit.TWh</f>
        <v>112.61940920000001</v>
      </c>
      <c r="AO223" s="2314">
        <f>112.1681073*Unit.TWh</f>
        <v>112.1681073</v>
      </c>
      <c r="AP223" s="2314">
        <f>113.9677442*Unit.TWh</f>
        <v>113.9677442</v>
      </c>
      <c r="AQ223" s="2314">
        <f>118.5182465*Unit.TWh</f>
        <v>118.5182465</v>
      </c>
      <c r="AR223" s="2314">
        <f>117.2874293*Unit.TWh</f>
        <v>117.2874293</v>
      </c>
      <c r="AS223" s="2314">
        <f>116.4151009*Unit.TWh</f>
        <v>116.4151009</v>
      </c>
      <c r="AT223" s="2314">
        <f>116.8549575*Unit.TWh</f>
        <v>116.8549575</v>
      </c>
      <c r="AU223" s="2314">
        <f>103.0706654*Unit.TWh</f>
        <v>103.0706654</v>
      </c>
      <c r="AV223" s="2314">
        <f>106.6044588*Unit.TWh</f>
        <v>106.6044588</v>
      </c>
      <c r="AW223" s="2314" t="s">
        <v>2030</v>
      </c>
      <c r="AX223" s="1328">
        <f t="shared" ca="1" si="71"/>
        <v>1.507731915164449</v>
      </c>
      <c r="AY223" s="1328">
        <f t="shared" ca="1" si="71"/>
        <v>1.7966139938633079</v>
      </c>
      <c r="AZ223" s="1328">
        <f t="shared" ca="1" si="71"/>
        <v>2.1424701278326816</v>
      </c>
      <c r="BA223" s="1328">
        <f t="shared" ca="1" si="71"/>
        <v>2.5566586608648891</v>
      </c>
      <c r="BB223" s="1328">
        <f t="shared" ca="1" si="71"/>
        <v>2.9488528016668729</v>
      </c>
      <c r="BC223" s="1328">
        <f t="shared" ca="1" si="71"/>
        <v>3.4696117782766001</v>
      </c>
      <c r="BD223" s="1328">
        <f t="shared" ca="1" si="71"/>
        <v>4.0832542270754386</v>
      </c>
      <c r="BE223" s="1328">
        <f t="shared" ca="1" si="71"/>
        <v>4.8063507560668581</v>
      </c>
      <c r="BF223" s="1328">
        <f t="shared" ca="1" si="71"/>
        <v>5.6584169494018459</v>
      </c>
      <c r="BG223" s="837"/>
    </row>
    <row r="224" spans="2:61" s="1296" customFormat="1" x14ac:dyDescent="0.2">
      <c r="B224" s="837"/>
      <c r="C224" s="1327" t="s">
        <v>229</v>
      </c>
      <c r="D224" s="1307" t="s">
        <v>21</v>
      </c>
      <c r="E224" s="1302"/>
      <c r="F224" s="1302"/>
      <c r="G224" s="1302"/>
      <c r="H224" s="2314"/>
      <c r="I224" s="2314"/>
      <c r="J224" s="2314"/>
      <c r="K224" s="2314"/>
      <c r="L224" s="2314"/>
      <c r="M224" s="2314"/>
      <c r="N224" s="2314"/>
      <c r="O224" s="2314"/>
      <c r="P224" s="2314"/>
      <c r="Q224" s="2314"/>
      <c r="R224" s="2314"/>
      <c r="S224" s="2314"/>
      <c r="T224" s="2314"/>
      <c r="U224" s="2314"/>
      <c r="V224" s="2314"/>
      <c r="W224" s="2314"/>
      <c r="X224" s="2314"/>
      <c r="Y224" s="2314"/>
      <c r="Z224" s="2314"/>
      <c r="AA224" s="2314"/>
      <c r="AB224" s="2314"/>
      <c r="AC224" s="2314"/>
      <c r="AD224" s="2314"/>
      <c r="AE224" s="2314"/>
      <c r="AF224" s="2314"/>
      <c r="AG224" s="2314"/>
      <c r="AH224" s="2314"/>
      <c r="AI224" s="2314"/>
      <c r="AJ224" s="2314"/>
      <c r="AK224" s="2314">
        <f>24.42074453*Unit.TWh</f>
        <v>24.42074453</v>
      </c>
      <c r="AL224" s="2314">
        <f>17.4515637*Unit.TWh</f>
        <v>17.451563700000001</v>
      </c>
      <c r="AM224" s="2314">
        <f>17.50532048*Unit.TWh</f>
        <v>17.505320480000002</v>
      </c>
      <c r="AN224" s="2314">
        <f>11.8550141*Unit.TWh</f>
        <v>11.8550141</v>
      </c>
      <c r="AO224" s="2314">
        <f>9.603553023*Unit.TWh</f>
        <v>9.6035530229999999</v>
      </c>
      <c r="AP224" s="2314">
        <f>8.68614397*Unit.TWh</f>
        <v>8.6861439699999998</v>
      </c>
      <c r="AQ224" s="2314">
        <f>5.883140333*Unit.TWh</f>
        <v>5.8831403330000001</v>
      </c>
      <c r="AR224" s="2314">
        <f>5.193713923*Unit.TWh</f>
        <v>5.1937139229999998</v>
      </c>
      <c r="AS224" s="2314">
        <f>5.849571352*Unit.TWh</f>
        <v>5.8495713519999999</v>
      </c>
      <c r="AT224" s="2314">
        <f>6.189137293*Unit.TWh</f>
        <v>6.1891372929999999</v>
      </c>
      <c r="AU224" s="2314">
        <f>6.601790658*Unit.TWh</f>
        <v>6.6017906579999996</v>
      </c>
      <c r="AV224" s="2314">
        <f>6.54085466*Unit.TWh</f>
        <v>6.5408546599999999</v>
      </c>
      <c r="AW224" s="2314" t="s">
        <v>2031</v>
      </c>
      <c r="AX224" s="1328">
        <f t="shared" ca="1" si="71"/>
        <v>0</v>
      </c>
      <c r="AY224" s="1328">
        <f t="shared" ca="1" si="71"/>
        <v>0</v>
      </c>
      <c r="AZ224" s="1328">
        <f t="shared" ca="1" si="71"/>
        <v>0</v>
      </c>
      <c r="BA224" s="1328">
        <f t="shared" ca="1" si="71"/>
        <v>0</v>
      </c>
      <c r="BB224" s="1328">
        <f t="shared" ca="1" si="71"/>
        <v>0</v>
      </c>
      <c r="BC224" s="1328">
        <f t="shared" ca="1" si="71"/>
        <v>0</v>
      </c>
      <c r="BD224" s="1328">
        <f t="shared" ca="1" si="71"/>
        <v>0</v>
      </c>
      <c r="BE224" s="1328">
        <f t="shared" ca="1" si="71"/>
        <v>0</v>
      </c>
      <c r="BF224" s="1328">
        <f t="shared" ca="1" si="71"/>
        <v>0</v>
      </c>
      <c r="BG224" s="837"/>
    </row>
    <row r="225" spans="2:60" s="1296" customFormat="1" x14ac:dyDescent="0.2">
      <c r="B225" s="837"/>
      <c r="C225" s="1306"/>
      <c r="D225" s="1302"/>
      <c r="E225" s="1302"/>
      <c r="F225" s="1302"/>
      <c r="G225" s="1302"/>
      <c r="H225" s="2314"/>
      <c r="I225" s="2314"/>
      <c r="J225" s="2314"/>
      <c r="K225" s="2314"/>
      <c r="L225" s="2314"/>
      <c r="M225" s="2314"/>
      <c r="N225" s="2314"/>
      <c r="O225" s="2314"/>
      <c r="P225" s="2314"/>
      <c r="Q225" s="2314"/>
      <c r="R225" s="2314"/>
      <c r="S225" s="2314"/>
      <c r="T225" s="2314"/>
      <c r="U225" s="2314"/>
      <c r="V225" s="2314"/>
      <c r="W225" s="2314"/>
      <c r="X225" s="2314"/>
      <c r="Y225" s="2314"/>
      <c r="Z225" s="2314"/>
      <c r="AA225" s="2314"/>
      <c r="AB225" s="2314"/>
      <c r="AC225" s="2314"/>
      <c r="AD225" s="2314"/>
      <c r="AE225" s="2314"/>
      <c r="AF225" s="2314"/>
      <c r="AG225" s="2314"/>
      <c r="AH225" s="2314"/>
      <c r="AI225" s="2314"/>
      <c r="AJ225" s="2314"/>
      <c r="AK225" s="2314"/>
      <c r="AL225" s="2314"/>
      <c r="AM225" s="2314"/>
      <c r="AN225" s="2314"/>
      <c r="AO225" s="2314"/>
      <c r="AP225" s="2314"/>
      <c r="AQ225" s="2314"/>
      <c r="AR225" s="2314"/>
      <c r="AS225" s="2314"/>
      <c r="AT225" s="2314"/>
      <c r="AU225" s="2314"/>
      <c r="AV225" s="2314"/>
      <c r="AW225" s="2314"/>
      <c r="AX225" s="1302"/>
      <c r="AY225" s="1302"/>
      <c r="AZ225" s="1302"/>
      <c r="BA225" s="1302"/>
      <c r="BB225" s="1302"/>
      <c r="BC225" s="1302"/>
      <c r="BD225" s="1302"/>
      <c r="BE225" s="1302"/>
      <c r="BF225" s="1302"/>
      <c r="BG225" s="837"/>
      <c r="BH225" s="2188"/>
    </row>
    <row r="226" spans="2:60" s="1296" customFormat="1" x14ac:dyDescent="0.2">
      <c r="B226" s="837"/>
      <c r="C226" s="1324" t="s">
        <v>1354</v>
      </c>
      <c r="D226" s="1302"/>
      <c r="E226" s="1302"/>
      <c r="F226" s="1302"/>
      <c r="G226" s="1302"/>
      <c r="H226" s="2314"/>
      <c r="I226" s="2314"/>
      <c r="J226" s="2314"/>
      <c r="K226" s="2314"/>
      <c r="L226" s="2314"/>
      <c r="M226" s="2314"/>
      <c r="N226" s="2314"/>
      <c r="O226" s="2314"/>
      <c r="P226" s="2314"/>
      <c r="Q226" s="2314"/>
      <c r="R226" s="2314"/>
      <c r="S226" s="2314"/>
      <c r="T226" s="2314"/>
      <c r="U226" s="2314"/>
      <c r="V226" s="2314"/>
      <c r="W226" s="2314"/>
      <c r="X226" s="2314"/>
      <c r="Y226" s="2314"/>
      <c r="Z226" s="2314"/>
      <c r="AA226" s="2314"/>
      <c r="AB226" s="2314"/>
      <c r="AC226" s="2314"/>
      <c r="AD226" s="2314"/>
      <c r="AE226" s="2314"/>
      <c r="AF226" s="2314"/>
      <c r="AG226" s="2314"/>
      <c r="AH226" s="2314"/>
      <c r="AI226" s="2314"/>
      <c r="AJ226" s="2314"/>
      <c r="AK226" s="2314"/>
      <c r="AL226" s="2314"/>
      <c r="AM226" s="2314"/>
      <c r="AN226" s="2314"/>
      <c r="AO226" s="2314"/>
      <c r="AP226" s="2314"/>
      <c r="AQ226" s="2314"/>
      <c r="AR226" s="2314"/>
      <c r="AS226" s="2314"/>
      <c r="AT226" s="2314"/>
      <c r="AU226" s="2314"/>
      <c r="AV226" s="2314"/>
      <c r="AW226" s="2314"/>
      <c r="AX226" s="1325">
        <f t="shared" ref="AX226:BF226" ca="1" si="72">-(INDEX(INDIRECT(AX$197&amp;"!Year.Matrix"),MATCH("Subtotal.Supply",INDIRECT(AX$197&amp;"!Year.Modules"),0),MATCH("V.04",INDIRECT(AX$197&amp;"!Year.Vectors"),0))+INDEX(INDIRECT(AX$197&amp;"!Year.Matrix"),MATCH("Subtotal.Consumption",INDIRECT(AX$197&amp;"!Year.Modules"),0),MATCH("V.04",INDIRECT(AX$197&amp;"!Year.Vectors"),0)))</f>
        <v>303.91749505847918</v>
      </c>
      <c r="AY226" s="1325">
        <f t="shared" ca="1" si="72"/>
        <v>312.27574152710514</v>
      </c>
      <c r="AZ226" s="1325">
        <f t="shared" ca="1" si="72"/>
        <v>224.89080078518401</v>
      </c>
      <c r="BA226" s="1325">
        <f t="shared" ca="1" si="72"/>
        <v>192.49549654130479</v>
      </c>
      <c r="BB226" s="1325">
        <f t="shared" ca="1" si="72"/>
        <v>195.55535526588415</v>
      </c>
      <c r="BC226" s="1325">
        <f t="shared" ca="1" si="72"/>
        <v>203.77870008523075</v>
      </c>
      <c r="BD226" s="1325">
        <f t="shared" ca="1" si="72"/>
        <v>204.0817691128814</v>
      </c>
      <c r="BE226" s="1325">
        <f t="shared" ca="1" si="72"/>
        <v>203.49573603510598</v>
      </c>
      <c r="BF226" s="1325">
        <f t="shared" ca="1" si="72"/>
        <v>200.0606200439783</v>
      </c>
      <c r="BG226" s="837"/>
      <c r="BH226" s="2188"/>
    </row>
    <row r="227" spans="2:60" s="1296" customFormat="1" x14ac:dyDescent="0.2">
      <c r="B227" s="837"/>
      <c r="C227" s="1329" t="s">
        <v>224</v>
      </c>
      <c r="D227" s="1324" t="s">
        <v>1324</v>
      </c>
      <c r="E227" s="1302"/>
      <c r="F227" s="1302"/>
      <c r="G227" s="1302"/>
      <c r="H227" s="2314"/>
      <c r="I227" s="2314"/>
      <c r="J227" s="2314"/>
      <c r="K227" s="2314"/>
      <c r="L227" s="2314"/>
      <c r="M227" s="2314"/>
      <c r="N227" s="2314"/>
      <c r="O227" s="2314"/>
      <c r="P227" s="2314"/>
      <c r="Q227" s="2314"/>
      <c r="R227" s="2314"/>
      <c r="S227" s="2314"/>
      <c r="T227" s="2314"/>
      <c r="U227" s="2314"/>
      <c r="V227" s="2314"/>
      <c r="W227" s="2314"/>
      <c r="X227" s="2314"/>
      <c r="Y227" s="2314"/>
      <c r="Z227" s="2314"/>
      <c r="AA227" s="2314"/>
      <c r="AB227" s="2314"/>
      <c r="AC227" s="2314"/>
      <c r="AD227" s="2314"/>
      <c r="AE227" s="2314"/>
      <c r="AF227" s="2314"/>
      <c r="AG227" s="2314"/>
      <c r="AH227" s="2314"/>
      <c r="AI227" s="2314"/>
      <c r="AJ227" s="2314"/>
      <c r="AK227" s="2314"/>
      <c r="AL227" s="2314"/>
      <c r="AM227" s="2314"/>
      <c r="AN227" s="2314"/>
      <c r="AO227" s="2314"/>
      <c r="AP227" s="2314"/>
      <c r="AQ227" s="2314"/>
      <c r="AR227" s="2314"/>
      <c r="AS227" s="2314"/>
      <c r="AT227" s="2314"/>
      <c r="AU227" s="2314"/>
      <c r="AV227" s="2314"/>
      <c r="AW227" s="2314"/>
      <c r="AX227" s="1326">
        <f t="shared" ref="AX227:BF227" ca="1" si="73">INDEX(INDIRECT(AX$197&amp;"!Year.Matrix"),MATCH($C227,INDIRECT(AX$197&amp;"!Year.Modules"),0),MATCH("V.04",INDIRECT(AX$197&amp;"!Year.Vectors"),0))/AX$226</f>
        <v>8.7943892343294635E-3</v>
      </c>
      <c r="AY227" s="1326">
        <f t="shared" ca="1" si="73"/>
        <v>9.838387653358982E-3</v>
      </c>
      <c r="AZ227" s="1326">
        <f t="shared" ca="1" si="73"/>
        <v>1.5703312840079881E-2</v>
      </c>
      <c r="BA227" s="1326">
        <f t="shared" ca="1" si="73"/>
        <v>2.1496541004119823E-2</v>
      </c>
      <c r="BB227" s="1326">
        <f t="shared" ca="1" si="73"/>
        <v>2.4323173524157377E-2</v>
      </c>
      <c r="BC227" s="1326">
        <f t="shared" ca="1" si="73"/>
        <v>2.6830697247542189E-2</v>
      </c>
      <c r="BD227" s="1326">
        <f t="shared" ca="1" si="73"/>
        <v>3.0795505024154776E-2</v>
      </c>
      <c r="BE227" s="1326">
        <f t="shared" ca="1" si="73"/>
        <v>3.5500708619835085E-2</v>
      </c>
      <c r="BF227" s="1326">
        <f t="shared" ca="1" si="73"/>
        <v>4.1507972446465001E-2</v>
      </c>
      <c r="BG227" s="837"/>
      <c r="BH227" s="2188"/>
    </row>
    <row r="228" spans="2:60" s="1296" customFormat="1" x14ac:dyDescent="0.2">
      <c r="B228" s="837"/>
      <c r="C228" s="1327" t="s">
        <v>232</v>
      </c>
      <c r="D228" s="1307" t="s">
        <v>125</v>
      </c>
      <c r="E228" s="1302"/>
      <c r="F228" s="1302"/>
      <c r="G228" s="1302"/>
      <c r="H228" s="2314"/>
      <c r="I228" s="2314"/>
      <c r="J228" s="2314"/>
      <c r="K228" s="2314"/>
      <c r="L228" s="2314"/>
      <c r="M228" s="2314"/>
      <c r="N228" s="2314"/>
      <c r="O228" s="2314"/>
      <c r="P228" s="2314"/>
      <c r="Q228" s="2314"/>
      <c r="R228" s="2314"/>
      <c r="S228" s="2314"/>
      <c r="T228" s="2314"/>
      <c r="U228" s="2314"/>
      <c r="V228" s="2314"/>
      <c r="W228" s="2314"/>
      <c r="X228" s="2314"/>
      <c r="Y228" s="2314"/>
      <c r="Z228" s="2314"/>
      <c r="AA228" s="2314"/>
      <c r="AB228" s="2314"/>
      <c r="AC228" s="2314"/>
      <c r="AD228" s="2314"/>
      <c r="AE228" s="2314"/>
      <c r="AF228" s="2314"/>
      <c r="AG228" s="2314"/>
      <c r="AH228" s="2314"/>
      <c r="AI228" s="2314"/>
      <c r="AJ228" s="2314"/>
      <c r="AK228" s="2314" t="e">
        <v>#N/A</v>
      </c>
      <c r="AL228" s="2314" t="e">
        <v>#N/A</v>
      </c>
      <c r="AM228" s="2314" t="e">
        <v>#N/A</v>
      </c>
      <c r="AN228" s="2314" t="e">
        <v>#N/A</v>
      </c>
      <c r="AO228" s="2314" t="e">
        <v>#N/A</v>
      </c>
      <c r="AP228" s="2314" t="e">
        <v>#N/A</v>
      </c>
      <c r="AQ228" s="2314" t="e">
        <v>#N/A</v>
      </c>
      <c r="AR228" s="2314" t="e">
        <v>#N/A</v>
      </c>
      <c r="AS228" s="2314" t="e">
        <v>#N/A</v>
      </c>
      <c r="AT228" s="2314" t="e">
        <v>#N/A</v>
      </c>
      <c r="AU228" s="2314" t="e">
        <v>#N/A</v>
      </c>
      <c r="AV228" s="2314" t="e">
        <v>#N/A</v>
      </c>
      <c r="AW228" s="2314" t="s">
        <v>2032</v>
      </c>
      <c r="AX228" s="1328">
        <f t="shared" ref="AX228:BF231" ca="1" si="74">-INDEX(INDIRECT(AX$197&amp;"!Year.Matrix"),MATCH($C228,INDIRECT(AX$197&amp;"!Year.Modules"),0),MATCH("V.04",INDIRECT(AX$197&amp;"!Year.Vectors"),0))</f>
        <v>127.39188599374225</v>
      </c>
      <c r="AY228" s="1328">
        <f t="shared" ca="1" si="74"/>
        <v>137.56402074713733</v>
      </c>
      <c r="AZ228" s="1328">
        <f t="shared" ca="1" si="74"/>
        <v>136.29258650859146</v>
      </c>
      <c r="BA228" s="1328">
        <f t="shared" ca="1" si="74"/>
        <v>131.80589641574593</v>
      </c>
      <c r="BB228" s="1328">
        <f t="shared" ca="1" si="74"/>
        <v>124.86803503307998</v>
      </c>
      <c r="BC228" s="1328">
        <f t="shared" ca="1" si="74"/>
        <v>126.3069407790226</v>
      </c>
      <c r="BD228" s="1328">
        <f t="shared" ca="1" si="74"/>
        <v>123.93535525077343</v>
      </c>
      <c r="BE228" s="1328">
        <f t="shared" ca="1" si="74"/>
        <v>121.16902827934578</v>
      </c>
      <c r="BF228" s="1328">
        <f t="shared" ca="1" si="74"/>
        <v>117.58690595636631</v>
      </c>
      <c r="BG228" s="837"/>
      <c r="BH228" s="2188"/>
    </row>
    <row r="229" spans="2:60" s="1296" customFormat="1" x14ac:dyDescent="0.2">
      <c r="B229" s="837"/>
      <c r="C229" s="1327" t="s">
        <v>231</v>
      </c>
      <c r="D229" s="1307" t="s">
        <v>33</v>
      </c>
      <c r="E229" s="1302"/>
      <c r="F229" s="1302"/>
      <c r="G229" s="1302"/>
      <c r="H229" s="2314"/>
      <c r="I229" s="2314"/>
      <c r="J229" s="2314"/>
      <c r="K229" s="2314"/>
      <c r="L229" s="2314"/>
      <c r="M229" s="2314"/>
      <c r="N229" s="2314"/>
      <c r="O229" s="2314"/>
      <c r="P229" s="2314"/>
      <c r="Q229" s="2314"/>
      <c r="R229" s="2314"/>
      <c r="S229" s="2314"/>
      <c r="T229" s="2314"/>
      <c r="U229" s="2314"/>
      <c r="V229" s="2314"/>
      <c r="W229" s="2314"/>
      <c r="X229" s="2314"/>
      <c r="Y229" s="2314"/>
      <c r="Z229" s="2314"/>
      <c r="AA229" s="2314"/>
      <c r="AB229" s="2314"/>
      <c r="AC229" s="2314"/>
      <c r="AD229" s="2314"/>
      <c r="AE229" s="2314"/>
      <c r="AF229" s="2314"/>
      <c r="AG229" s="2314"/>
      <c r="AH229" s="2314"/>
      <c r="AI229" s="2314"/>
      <c r="AJ229" s="2314"/>
      <c r="AK229" s="2314">
        <f>73.00151*Unit.TWh</f>
        <v>73.001509999999996</v>
      </c>
      <c r="AL229" s="2314">
        <f>76.15702378*Unit.TWh</f>
        <v>76.157023780000003</v>
      </c>
      <c r="AM229" s="2314">
        <f>72.21332952*Unit.TWh</f>
        <v>72.213329520000002</v>
      </c>
      <c r="AN229" s="2314">
        <f>58.04690626*Unit.TWh</f>
        <v>58.04690626</v>
      </c>
      <c r="AO229" s="2314">
        <f>56.93925004*Unit.TWh</f>
        <v>56.939250039999997</v>
      </c>
      <c r="AP229" s="2314">
        <f>53.5808897*Unit.TWh</f>
        <v>53.5808897</v>
      </c>
      <c r="AQ229" s="2314">
        <f>55.73394665*Unit.TWh</f>
        <v>55.73394665</v>
      </c>
      <c r="AR229" s="2314">
        <f>59.85796902*Unit.TWh</f>
        <v>59.857969019999999</v>
      </c>
      <c r="AS229" s="2314">
        <f>60.4447161*Unit.TWh</f>
        <v>60.444716100000001</v>
      </c>
      <c r="AT229" s="2314">
        <f>59.74594793*Unit.TWh</f>
        <v>59.74594793</v>
      </c>
      <c r="AU229" s="2314">
        <f>52.77511272*Unit.TWh</f>
        <v>52.775112720000003</v>
      </c>
      <c r="AV229" s="2314">
        <f>55.63460029*Unit.TWh</f>
        <v>55.634600290000002</v>
      </c>
      <c r="AW229" s="2314" t="s">
        <v>2033</v>
      </c>
      <c r="AX229" s="1328">
        <f t="shared" ca="1" si="74"/>
        <v>2.4375855710328915</v>
      </c>
      <c r="AY229" s="1328">
        <f t="shared" ca="1" si="74"/>
        <v>5.5980872615772128</v>
      </c>
      <c r="AZ229" s="1328">
        <f t="shared" ca="1" si="74"/>
        <v>9.8981655461306968</v>
      </c>
      <c r="BA229" s="1328">
        <f t="shared" ca="1" si="74"/>
        <v>15.669640091504293</v>
      </c>
      <c r="BB229" s="1328">
        <f t="shared" ca="1" si="74"/>
        <v>22.537660698453955</v>
      </c>
      <c r="BC229" s="1328">
        <f t="shared" ca="1" si="74"/>
        <v>25.322078943211679</v>
      </c>
      <c r="BD229" s="1328">
        <f t="shared" ca="1" si="74"/>
        <v>28.441977719628916</v>
      </c>
      <c r="BE229" s="1328">
        <f t="shared" ca="1" si="74"/>
        <v>33.318601003921103</v>
      </c>
      <c r="BF229" s="1328">
        <f t="shared" ca="1" si="74"/>
        <v>39.043076950872738</v>
      </c>
      <c r="BG229" s="837"/>
      <c r="BH229" s="2188"/>
    </row>
    <row r="230" spans="2:60" s="1296" customFormat="1" x14ac:dyDescent="0.2">
      <c r="B230" s="837"/>
      <c r="C230" s="1327" t="s">
        <v>405</v>
      </c>
      <c r="D230" s="1307" t="str">
        <f>INDEX(Modules[Module], MATCH(C230, Modules[Code], 0))</f>
        <v>Petroleum refineries</v>
      </c>
      <c r="E230" s="1302"/>
      <c r="F230" s="1302"/>
      <c r="G230" s="1302"/>
      <c r="H230" s="2314"/>
      <c r="I230" s="2314"/>
      <c r="J230" s="2314"/>
      <c r="K230" s="2314"/>
      <c r="L230" s="2314"/>
      <c r="M230" s="2314"/>
      <c r="N230" s="2314"/>
      <c r="O230" s="2314"/>
      <c r="P230" s="2314"/>
      <c r="Q230" s="2314"/>
      <c r="R230" s="2314"/>
      <c r="S230" s="2314"/>
      <c r="T230" s="2314"/>
      <c r="U230" s="2314"/>
      <c r="V230" s="2314"/>
      <c r="W230" s="2314"/>
      <c r="X230" s="2314"/>
      <c r="Y230" s="2314"/>
      <c r="Z230" s="2314"/>
      <c r="AA230" s="2314"/>
      <c r="AB230" s="2314"/>
      <c r="AC230" s="2314"/>
      <c r="AD230" s="2314"/>
      <c r="AE230" s="2314"/>
      <c r="AF230" s="2314"/>
      <c r="AG230" s="2314"/>
      <c r="AH230" s="2314"/>
      <c r="AI230" s="2314"/>
      <c r="AJ230" s="2314"/>
      <c r="AK230" s="2314">
        <f>68.37816011*Unit.TWh</f>
        <v>68.378160109999996</v>
      </c>
      <c r="AL230" s="2314">
        <f>64.8507886*Unit.TWh</f>
        <v>64.850788600000001</v>
      </c>
      <c r="AM230" s="2314">
        <f>63.04462365*Unit.TWh</f>
        <v>63.044623649999998</v>
      </c>
      <c r="AN230" s="2314">
        <f>70.29185596*Unit.TWh</f>
        <v>70.291855960000007</v>
      </c>
      <c r="AO230" s="2314">
        <f>67.50576921*Unit.TWh</f>
        <v>67.505769209999997</v>
      </c>
      <c r="AP230" s="2314">
        <f>67.55346877*Unit.TWh</f>
        <v>67.553468769999995</v>
      </c>
      <c r="AQ230" s="2314">
        <f>69.45787*Unit.TWh</f>
        <v>69.45787</v>
      </c>
      <c r="AR230" s="2314">
        <f>60.05119281*Unit.TWh</f>
        <v>60.051192810000003</v>
      </c>
      <c r="AS230" s="2314">
        <f>57.24685939*Unit.TWh</f>
        <v>57.246859389999997</v>
      </c>
      <c r="AT230" s="2314">
        <f>58.57160534*Unit.TWh</f>
        <v>58.571605339999998</v>
      </c>
      <c r="AU230" s="2314">
        <f>53.80431206*Unit.TWh</f>
        <v>53.804312060000001</v>
      </c>
      <c r="AV230" s="2314">
        <f>54.98917277*Unit.TWh</f>
        <v>54.989172770000003</v>
      </c>
      <c r="AW230" s="2314" t="s">
        <v>2034</v>
      </c>
      <c r="AX230" s="1328">
        <f t="shared" ca="1" si="74"/>
        <v>0.2101405410269232</v>
      </c>
      <c r="AY230" s="1328">
        <f t="shared" ca="1" si="74"/>
        <v>0.2101405410269232</v>
      </c>
      <c r="AZ230" s="1328">
        <f t="shared" ca="1" si="74"/>
        <v>0.19566789985915059</v>
      </c>
      <c r="BA230" s="1328">
        <f t="shared" ca="1" si="74"/>
        <v>0.16774319037685015</v>
      </c>
      <c r="BB230" s="1328">
        <f t="shared" ca="1" si="74"/>
        <v>0.14519930822036098</v>
      </c>
      <c r="BC230" s="1328">
        <f t="shared" ca="1" si="74"/>
        <v>0.13885171631456306</v>
      </c>
      <c r="BD230" s="1328">
        <f t="shared" ca="1" si="74"/>
        <v>0.13777733518806001</v>
      </c>
      <c r="BE230" s="1328">
        <f t="shared" ca="1" si="74"/>
        <v>0.13675676233481518</v>
      </c>
      <c r="BF230" s="1328">
        <f t="shared" ca="1" si="74"/>
        <v>0.13573618948157026</v>
      </c>
      <c r="BG230" s="837"/>
      <c r="BH230" s="2188"/>
    </row>
    <row r="231" spans="2:60" s="2479" customFormat="1" x14ac:dyDescent="0.2">
      <c r="B231" s="837"/>
      <c r="C231" s="1327" t="s">
        <v>2382</v>
      </c>
      <c r="D231" s="1307" t="str">
        <f>INDEX(Modules[Module], MATCH(C231, Modules[Code], 0))</f>
        <v xml:space="preserve">Self Generation </v>
      </c>
      <c r="E231" s="1302"/>
      <c r="F231" s="1302"/>
      <c r="G231" s="1302"/>
      <c r="H231" s="2314"/>
      <c r="I231" s="2314"/>
      <c r="J231" s="2314"/>
      <c r="K231" s="2314"/>
      <c r="L231" s="2314"/>
      <c r="M231" s="2314"/>
      <c r="N231" s="2314"/>
      <c r="O231" s="2314"/>
      <c r="P231" s="2314"/>
      <c r="Q231" s="2314"/>
      <c r="R231" s="2314"/>
      <c r="S231" s="2314"/>
      <c r="T231" s="2314"/>
      <c r="U231" s="2314"/>
      <c r="V231" s="2314"/>
      <c r="W231" s="2314"/>
      <c r="X231" s="2314"/>
      <c r="Y231" s="2314"/>
      <c r="Z231" s="2314"/>
      <c r="AA231" s="2314"/>
      <c r="AB231" s="2314"/>
      <c r="AC231" s="2314"/>
      <c r="AD231" s="2314"/>
      <c r="AE231" s="2314"/>
      <c r="AF231" s="2314"/>
      <c r="AG231" s="2314"/>
      <c r="AH231" s="2314"/>
      <c r="AI231" s="2314"/>
      <c r="AJ231" s="2314"/>
      <c r="AK231" s="2314"/>
      <c r="AL231" s="2314"/>
      <c r="AM231" s="2314"/>
      <c r="AN231" s="2314"/>
      <c r="AO231" s="2314"/>
      <c r="AP231" s="2314"/>
      <c r="AQ231" s="2314"/>
      <c r="AR231" s="2314"/>
      <c r="AS231" s="2314"/>
      <c r="AT231" s="2314"/>
      <c r="AU231" s="2314"/>
      <c r="AV231" s="2314"/>
      <c r="AW231" s="2314"/>
      <c r="AX231" s="1328">
        <f t="shared" ca="1" si="74"/>
        <v>142.5029467015639</v>
      </c>
      <c r="AY231" s="1328">
        <f t="shared" ca="1" si="74"/>
        <v>134.70896372099034</v>
      </c>
      <c r="AZ231" s="1328">
        <f t="shared" ca="1" si="74"/>
        <v>38.948586603523609</v>
      </c>
      <c r="BA231" s="1328">
        <f t="shared" ca="1" si="74"/>
        <v>0</v>
      </c>
      <c r="BB231" s="1328">
        <f t="shared" ca="1" si="74"/>
        <v>0</v>
      </c>
      <c r="BC231" s="1328">
        <f t="shared" ca="1" si="74"/>
        <v>0</v>
      </c>
      <c r="BD231" s="1328">
        <f t="shared" ca="1" si="74"/>
        <v>0</v>
      </c>
      <c r="BE231" s="1328">
        <f t="shared" ca="1" si="74"/>
        <v>0</v>
      </c>
      <c r="BF231" s="1328">
        <f t="shared" ca="1" si="74"/>
        <v>0</v>
      </c>
      <c r="BG231" s="837"/>
    </row>
    <row r="232" spans="2:60" s="1296" customFormat="1" x14ac:dyDescent="0.2">
      <c r="B232" s="837"/>
      <c r="C232" s="1307"/>
      <c r="D232" s="1302"/>
      <c r="E232" s="1302"/>
      <c r="F232" s="1302"/>
      <c r="G232" s="1302"/>
      <c r="H232" s="2314"/>
      <c r="I232" s="2314"/>
      <c r="J232" s="2314"/>
      <c r="K232" s="2314"/>
      <c r="L232" s="2314"/>
      <c r="M232" s="2314"/>
      <c r="N232" s="2314"/>
      <c r="O232" s="2314"/>
      <c r="P232" s="2314"/>
      <c r="Q232" s="2314"/>
      <c r="R232" s="2314"/>
      <c r="S232" s="2314"/>
      <c r="T232" s="2314"/>
      <c r="U232" s="2314"/>
      <c r="V232" s="2314"/>
      <c r="W232" s="2314"/>
      <c r="X232" s="2314"/>
      <c r="Y232" s="2314"/>
      <c r="Z232" s="2314"/>
      <c r="AA232" s="2314"/>
      <c r="AB232" s="2314"/>
      <c r="AC232" s="2314"/>
      <c r="AD232" s="2314"/>
      <c r="AE232" s="2314"/>
      <c r="AF232" s="2314"/>
      <c r="AG232" s="2314"/>
      <c r="AH232" s="2314"/>
      <c r="AI232" s="2314"/>
      <c r="AJ232" s="2314"/>
      <c r="AK232" s="2314"/>
      <c r="AL232" s="2314"/>
      <c r="AM232" s="2314"/>
      <c r="AN232" s="2314"/>
      <c r="AO232" s="2314"/>
      <c r="AP232" s="2314"/>
      <c r="AQ232" s="2314"/>
      <c r="AR232" s="2314"/>
      <c r="AS232" s="2314"/>
      <c r="AT232" s="2314"/>
      <c r="AU232" s="2314"/>
      <c r="AV232" s="2314"/>
      <c r="AW232" s="2314"/>
      <c r="AX232" s="1302"/>
      <c r="AY232" s="1302"/>
      <c r="AZ232" s="1302"/>
      <c r="BA232" s="1302"/>
      <c r="BB232" s="1302"/>
      <c r="BC232" s="1302"/>
      <c r="BD232" s="1302"/>
      <c r="BE232" s="1302"/>
      <c r="BF232" s="1302"/>
      <c r="BG232" s="837"/>
      <c r="BH232" s="2188"/>
    </row>
    <row r="233" spans="2:60" s="1296" customFormat="1" x14ac:dyDescent="0.2">
      <c r="B233" s="837"/>
      <c r="C233" s="1324" t="s">
        <v>1353</v>
      </c>
      <c r="D233" s="1302"/>
      <c r="E233" s="1302"/>
      <c r="F233" s="1302"/>
      <c r="G233" s="1302"/>
      <c r="H233" s="2314"/>
      <c r="I233" s="2314"/>
      <c r="J233" s="2314"/>
      <c r="K233" s="2314"/>
      <c r="L233" s="2314"/>
      <c r="M233" s="2314"/>
      <c r="N233" s="2314"/>
      <c r="O233" s="2314"/>
      <c r="P233" s="2314"/>
      <c r="Q233" s="2314"/>
      <c r="R233" s="2314"/>
      <c r="S233" s="2314"/>
      <c r="T233" s="2314"/>
      <c r="U233" s="2314"/>
      <c r="V233" s="2314"/>
      <c r="W233" s="2314"/>
      <c r="X233" s="2314"/>
      <c r="Y233" s="2314"/>
      <c r="Z233" s="2314"/>
      <c r="AA233" s="2314"/>
      <c r="AB233" s="2314"/>
      <c r="AC233" s="2314"/>
      <c r="AD233" s="2314"/>
      <c r="AE233" s="2314"/>
      <c r="AF233" s="2314"/>
      <c r="AG233" s="2314"/>
      <c r="AH233" s="2314"/>
      <c r="AI233" s="2314"/>
      <c r="AJ233" s="2314"/>
      <c r="AK233" s="2314"/>
      <c r="AL233" s="2314"/>
      <c r="AM233" s="2314"/>
      <c r="AN233" s="2314"/>
      <c r="AO233" s="2314"/>
      <c r="AP233" s="2314"/>
      <c r="AQ233" s="2314"/>
      <c r="AR233" s="2314"/>
      <c r="AS233" s="2314"/>
      <c r="AT233" s="2314"/>
      <c r="AU233" s="2314"/>
      <c r="AV233" s="2314"/>
      <c r="AW233" s="2314"/>
      <c r="AX233" s="1325">
        <f t="shared" ref="AX233:BF233" ca="1" si="75">-(INDEX(INDIRECT(AX$197&amp;"!Year.Matrix"),MATCH("Subtotal.Supply",INDIRECT(AX$197&amp;"!Year.Modules"),0),MATCH("V.05",INDIRECT(AX$197&amp;"!Year.Vectors"),0))+INDEX(INDIRECT(AX$197&amp;"!Year.Matrix"),MATCH("Subtotal.Consumption",INDIRECT(AX$197&amp;"!Year.Modules"),0),MATCH("V.05",INDIRECT(AX$197&amp;"!Year.Vectors"),0)))</f>
        <v>426.21576409221666</v>
      </c>
      <c r="AY233" s="1325">
        <f t="shared" ca="1" si="75"/>
        <v>472.64165496789121</v>
      </c>
      <c r="AZ233" s="1325">
        <f t="shared" ca="1" si="75"/>
        <v>602.03428222027173</v>
      </c>
      <c r="BA233" s="1325">
        <f t="shared" ca="1" si="75"/>
        <v>685.1459402163606</v>
      </c>
      <c r="BB233" s="1325">
        <f t="shared" ca="1" si="75"/>
        <v>767.69800998239816</v>
      </c>
      <c r="BC233" s="1325">
        <f t="shared" ca="1" si="75"/>
        <v>904.21021087293411</v>
      </c>
      <c r="BD233" s="1325">
        <f t="shared" ca="1" si="75"/>
        <v>1036.4823636817698</v>
      </c>
      <c r="BE233" s="1325">
        <f t="shared" ca="1" si="75"/>
        <v>1165.943944513436</v>
      </c>
      <c r="BF233" s="1325">
        <f t="shared" ca="1" si="75"/>
        <v>1292.18715265321</v>
      </c>
      <c r="BG233" s="837"/>
      <c r="BH233" s="2188"/>
    </row>
    <row r="234" spans="2:60" s="1296" customFormat="1" x14ac:dyDescent="0.2">
      <c r="B234" s="837"/>
      <c r="C234" s="1302" t="s">
        <v>224</v>
      </c>
      <c r="D234" s="1324" t="s">
        <v>1323</v>
      </c>
      <c r="E234" s="1302"/>
      <c r="F234" s="1302"/>
      <c r="G234" s="1302"/>
      <c r="H234" s="2314"/>
      <c r="I234" s="2314"/>
      <c r="J234" s="2314"/>
      <c r="K234" s="2314"/>
      <c r="L234" s="2314"/>
      <c r="M234" s="2314"/>
      <c r="N234" s="2314"/>
      <c r="O234" s="2314"/>
      <c r="P234" s="2314"/>
      <c r="Q234" s="2314"/>
      <c r="R234" s="2314"/>
      <c r="S234" s="2314"/>
      <c r="T234" s="2314"/>
      <c r="U234" s="2314"/>
      <c r="V234" s="2314"/>
      <c r="W234" s="2314"/>
      <c r="X234" s="2314"/>
      <c r="Y234" s="2314"/>
      <c r="Z234" s="2314"/>
      <c r="AA234" s="2314"/>
      <c r="AB234" s="2314"/>
      <c r="AC234" s="2314"/>
      <c r="AD234" s="2314"/>
      <c r="AE234" s="2314"/>
      <c r="AF234" s="2314"/>
      <c r="AG234" s="2314"/>
      <c r="AH234" s="2314"/>
      <c r="AI234" s="2314"/>
      <c r="AJ234" s="2314"/>
      <c r="AK234" s="2314"/>
      <c r="AL234" s="2314"/>
      <c r="AM234" s="2314"/>
      <c r="AN234" s="2314"/>
      <c r="AO234" s="2314"/>
      <c r="AP234" s="2314"/>
      <c r="AQ234" s="2314"/>
      <c r="AR234" s="2314"/>
      <c r="AS234" s="2314"/>
      <c r="AT234" s="2314"/>
      <c r="AU234" s="2314"/>
      <c r="AV234" s="2314"/>
      <c r="AW234" s="2314"/>
      <c r="AX234" s="1326">
        <f t="shared" ref="AX234:BF234" ca="1" si="76">INDEX(INDIRECT(AX$197&amp;"!Year.Matrix"),MATCH($C234,INDIRECT(AX$197&amp;"!Year.Modules"),0),MATCH("V.05",INDIRECT(AX$197&amp;"!Year.Vectors"),0))/AX$233</f>
        <v>0.88387252260668037</v>
      </c>
      <c r="AY234" s="1326">
        <f t="shared" ca="1" si="76"/>
        <v>0.90863702755107079</v>
      </c>
      <c r="AZ234" s="1326">
        <f t="shared" ca="1" si="76"/>
        <v>0.82192889462341523</v>
      </c>
      <c r="BA234" s="1326">
        <f t="shared" ca="1" si="76"/>
        <v>0.90733988413326028</v>
      </c>
      <c r="BB234" s="1326">
        <f t="shared" ca="1" si="76"/>
        <v>0.87664119884457969</v>
      </c>
      <c r="BC234" s="1326">
        <f t="shared" ca="1" si="76"/>
        <v>0.81333984464990194</v>
      </c>
      <c r="BD234" s="1326">
        <f t="shared" ca="1" si="76"/>
        <v>0.76791015981562571</v>
      </c>
      <c r="BE234" s="1326">
        <f t="shared" ca="1" si="76"/>
        <v>0.73802946022235028</v>
      </c>
      <c r="BF234" s="1326">
        <f t="shared" ca="1" si="76"/>
        <v>0.71358685128126675</v>
      </c>
      <c r="BG234" s="837"/>
      <c r="BH234" s="2188"/>
    </row>
    <row r="235" spans="2:60" s="1296" customFormat="1" x14ac:dyDescent="0.2">
      <c r="B235" s="837"/>
      <c r="C235" s="1327" t="s">
        <v>341</v>
      </c>
      <c r="D235" s="1307" t="str">
        <f>INDEX(Modules[Module], MATCH(C235, Modules[Code], 0))</f>
        <v>Residential Cooling</v>
      </c>
      <c r="E235" s="1302"/>
      <c r="F235" s="1302"/>
      <c r="G235" s="1302"/>
      <c r="H235" s="2314"/>
      <c r="I235" s="2314"/>
      <c r="J235" s="2314"/>
      <c r="K235" s="2314"/>
      <c r="L235" s="2314"/>
      <c r="M235" s="2314"/>
      <c r="N235" s="2314"/>
      <c r="O235" s="2314"/>
      <c r="P235" s="2314"/>
      <c r="Q235" s="2314"/>
      <c r="R235" s="2314"/>
      <c r="S235" s="2314"/>
      <c r="T235" s="2314"/>
      <c r="U235" s="2314"/>
      <c r="V235" s="2314"/>
      <c r="W235" s="2314"/>
      <c r="X235" s="2314"/>
      <c r="Y235" s="2314"/>
      <c r="Z235" s="2314"/>
      <c r="AA235" s="2314"/>
      <c r="AB235" s="2314"/>
      <c r="AC235" s="2314"/>
      <c r="AD235" s="2314"/>
      <c r="AE235" s="2314"/>
      <c r="AF235" s="2314"/>
      <c r="AG235" s="2314"/>
      <c r="AH235" s="2314"/>
      <c r="AI235" s="2314"/>
      <c r="AJ235" s="2314"/>
      <c r="AK235" s="2314"/>
      <c r="AL235" s="2314"/>
      <c r="AM235" s="2314"/>
      <c r="AN235" s="2314"/>
      <c r="AO235" s="2314"/>
      <c r="AP235" s="2314"/>
      <c r="AQ235" s="2314"/>
      <c r="AR235" s="2314">
        <f>254.0914794*Unit.TWh</f>
        <v>254.0914794</v>
      </c>
      <c r="AS235" s="2314">
        <f>241.4598289*Unit.TWh</f>
        <v>241.45982889999999</v>
      </c>
      <c r="AT235" s="2314">
        <f>254.5511238*Unit.TWh</f>
        <v>254.5511238</v>
      </c>
      <c r="AU235" s="2314">
        <f>251.6905486*Unit.TWh</f>
        <v>251.6905486</v>
      </c>
      <c r="AV235" s="2314"/>
      <c r="AW235" s="2314" t="s">
        <v>2035</v>
      </c>
      <c r="AX235" s="1328">
        <f t="shared" ref="AX235:BF240" ca="1" si="77">-INDEX(INDIRECT(AX$197&amp;"!Year.Matrix"),MATCH($C235,INDIRECT(AX$197&amp;"!Year.Modules"),0),MATCH("V.05",INDIRECT(AX$197&amp;"!Year.Vectors"),0))</f>
        <v>0</v>
      </c>
      <c r="AY235" s="1328">
        <f t="shared" ca="1" si="77"/>
        <v>0</v>
      </c>
      <c r="AZ235" s="1328">
        <f t="shared" ca="1" si="77"/>
        <v>0</v>
      </c>
      <c r="BA235" s="1328">
        <f t="shared" ca="1" si="77"/>
        <v>0</v>
      </c>
      <c r="BB235" s="1328">
        <f t="shared" ca="1" si="77"/>
        <v>0</v>
      </c>
      <c r="BC235" s="1328">
        <f t="shared" ca="1" si="77"/>
        <v>0</v>
      </c>
      <c r="BD235" s="1328">
        <f t="shared" ca="1" si="77"/>
        <v>0</v>
      </c>
      <c r="BE235" s="1328">
        <f t="shared" ca="1" si="77"/>
        <v>0</v>
      </c>
      <c r="BF235" s="1328">
        <f t="shared" ca="1" si="77"/>
        <v>0</v>
      </c>
      <c r="BG235" s="837"/>
      <c r="BH235" s="2188"/>
    </row>
    <row r="236" spans="2:60" s="1296" customFormat="1" x14ac:dyDescent="0.2">
      <c r="B236" s="837"/>
      <c r="C236" s="1327" t="s">
        <v>388</v>
      </c>
      <c r="D236" s="1307" t="str">
        <f>INDEX(Modules[Module], MATCH(C236, Modules[Code], 0))</f>
        <v>Service Sector Cooling</v>
      </c>
      <c r="E236" s="1302"/>
      <c r="F236" s="1302"/>
      <c r="G236" s="1302"/>
      <c r="H236" s="2314"/>
      <c r="I236" s="2314"/>
      <c r="J236" s="2314"/>
      <c r="K236" s="2314"/>
      <c r="L236" s="2314"/>
      <c r="M236" s="2314"/>
      <c r="N236" s="2314"/>
      <c r="O236" s="2314"/>
      <c r="P236" s="2314"/>
      <c r="Q236" s="2314"/>
      <c r="R236" s="2314"/>
      <c r="S236" s="2314"/>
      <c r="T236" s="2314"/>
      <c r="U236" s="2314"/>
      <c r="V236" s="2314"/>
      <c r="W236" s="2314"/>
      <c r="X236" s="2314"/>
      <c r="Y236" s="2314"/>
      <c r="Z236" s="2314"/>
      <c r="AA236" s="2314"/>
      <c r="AB236" s="2314"/>
      <c r="AC236" s="2314"/>
      <c r="AD236" s="2314"/>
      <c r="AE236" s="2314"/>
      <c r="AF236" s="2314"/>
      <c r="AG236" s="2314"/>
      <c r="AH236" s="2314"/>
      <c r="AI236" s="2314"/>
      <c r="AJ236" s="2314"/>
      <c r="AK236" s="2314"/>
      <c r="AL236" s="2314"/>
      <c r="AM236" s="2314"/>
      <c r="AN236" s="2314"/>
      <c r="AO236" s="2314"/>
      <c r="AP236" s="2314"/>
      <c r="AQ236" s="2314"/>
      <c r="AR236" s="2314">
        <f>75.26536024*Unit.TWh</f>
        <v>75.265360240000007</v>
      </c>
      <c r="AS236" s="2314">
        <f>72.43646261*Unit.TWh</f>
        <v>72.436462610000007</v>
      </c>
      <c r="AT236" s="2314">
        <f>70.4353316*Unit.TWh</f>
        <v>70.435331599999998</v>
      </c>
      <c r="AU236" s="2314">
        <f>61.68484301*Unit.TWh</f>
        <v>61.684843010000002</v>
      </c>
      <c r="AV236" s="2314"/>
      <c r="AW236" s="2314" t="s">
        <v>2036</v>
      </c>
      <c r="AX236" s="1328">
        <f t="shared" ca="1" si="77"/>
        <v>0</v>
      </c>
      <c r="AY236" s="1328">
        <f t="shared" ca="1" si="77"/>
        <v>0</v>
      </c>
      <c r="AZ236" s="1328">
        <f t="shared" ca="1" si="77"/>
        <v>0</v>
      </c>
      <c r="BA236" s="1328">
        <f t="shared" ca="1" si="77"/>
        <v>0</v>
      </c>
      <c r="BB236" s="1328">
        <f t="shared" ca="1" si="77"/>
        <v>0</v>
      </c>
      <c r="BC236" s="1328">
        <f t="shared" ca="1" si="77"/>
        <v>0</v>
      </c>
      <c r="BD236" s="1328">
        <f t="shared" ca="1" si="77"/>
        <v>0</v>
      </c>
      <c r="BE236" s="1328">
        <f t="shared" ca="1" si="77"/>
        <v>0</v>
      </c>
      <c r="BF236" s="1328">
        <f t="shared" ca="1" si="77"/>
        <v>0</v>
      </c>
      <c r="BG236" s="837"/>
      <c r="BH236" s="2188"/>
    </row>
    <row r="237" spans="2:60" s="1615" customFormat="1" x14ac:dyDescent="0.2">
      <c r="B237" s="837"/>
      <c r="C237" s="1327" t="s">
        <v>231</v>
      </c>
      <c r="D237" s="1307" t="s">
        <v>33</v>
      </c>
      <c r="E237" s="1302"/>
      <c r="F237" s="1302"/>
      <c r="G237" s="1302"/>
      <c r="H237" s="2314"/>
      <c r="I237" s="2314"/>
      <c r="J237" s="2314"/>
      <c r="K237" s="2314"/>
      <c r="L237" s="2314"/>
      <c r="M237" s="2314"/>
      <c r="N237" s="2314"/>
      <c r="O237" s="2314"/>
      <c r="P237" s="2314"/>
      <c r="Q237" s="2314"/>
      <c r="R237" s="2314"/>
      <c r="S237" s="2314"/>
      <c r="T237" s="2314"/>
      <c r="U237" s="2314"/>
      <c r="V237" s="2314"/>
      <c r="W237" s="2314"/>
      <c r="X237" s="2314"/>
      <c r="Y237" s="2314"/>
      <c r="Z237" s="2314"/>
      <c r="AA237" s="2314"/>
      <c r="AB237" s="2314"/>
      <c r="AC237" s="2314"/>
      <c r="AD237" s="2314"/>
      <c r="AE237" s="2314"/>
      <c r="AF237" s="2314"/>
      <c r="AG237" s="2314"/>
      <c r="AH237" s="2314"/>
      <c r="AI237" s="2314"/>
      <c r="AJ237" s="2314"/>
      <c r="AK237" s="2314">
        <f>68.19307333*Unit.TWh</f>
        <v>68.193073330000004</v>
      </c>
      <c r="AL237" s="2314">
        <f>84.8390885*Unit.TWh</f>
        <v>84.839088500000003</v>
      </c>
      <c r="AM237" s="2314">
        <f>76.97345584*Unit.TWh</f>
        <v>76.97345584</v>
      </c>
      <c r="AN237" s="2314">
        <f>62.61575762*Unit.TWh</f>
        <v>62.615757619999997</v>
      </c>
      <c r="AO237" s="2314">
        <f>69.01463435*Unit.TWh</f>
        <v>69.014634349999994</v>
      </c>
      <c r="AP237" s="2314">
        <f>68.26181377*Unit.TWh</f>
        <v>68.261813770000003</v>
      </c>
      <c r="AQ237" s="2314">
        <f>68.96100319*Unit.TWh</f>
        <v>68.96100319</v>
      </c>
      <c r="AR237" s="2314">
        <f>73.31393634*Unit.TWh</f>
        <v>73.313936339999998</v>
      </c>
      <c r="AS237" s="2314">
        <f>75.52793362*Unit.TWh</f>
        <v>75.527933619999999</v>
      </c>
      <c r="AT237" s="2314">
        <f>74.21415243*Unit.TWh</f>
        <v>74.214152429999999</v>
      </c>
      <c r="AU237" s="2314">
        <f>59.8750939*Unit.TWh</f>
        <v>59.875093900000003</v>
      </c>
      <c r="AV237" s="2314">
        <f>59.91086183*Unit.TWh</f>
        <v>59.910861830000002</v>
      </c>
      <c r="AW237" s="2314" t="s">
        <v>2037</v>
      </c>
      <c r="AX237" s="1328">
        <f t="shared" ca="1" si="77"/>
        <v>19.417508445869466</v>
      </c>
      <c r="AY237" s="1328">
        <f t="shared" ca="1" si="77"/>
        <v>24.77249686514882</v>
      </c>
      <c r="AZ237" s="1328">
        <f t="shared" ca="1" si="77"/>
        <v>31.496910128840543</v>
      </c>
      <c r="BA237" s="1328">
        <f t="shared" ca="1" si="77"/>
        <v>39.927255996420499</v>
      </c>
      <c r="BB237" s="1328">
        <f t="shared" ca="1" si="77"/>
        <v>48.761387398991502</v>
      </c>
      <c r="BC237" s="1328">
        <f t="shared" ca="1" si="77"/>
        <v>58.070344499576777</v>
      </c>
      <c r="BD237" s="1328">
        <f t="shared" ca="1" si="77"/>
        <v>69.133718120484147</v>
      </c>
      <c r="BE237" s="1328">
        <f t="shared" ca="1" si="77"/>
        <v>80.893327131769325</v>
      </c>
      <c r="BF237" s="1328">
        <f t="shared" ca="1" si="77"/>
        <v>94.684176953324226</v>
      </c>
      <c r="BG237" s="837"/>
      <c r="BH237" s="2188"/>
    </row>
    <row r="238" spans="2:60" s="1615" customFormat="1" x14ac:dyDescent="0.2">
      <c r="B238" s="837"/>
      <c r="C238" s="1327" t="s">
        <v>288</v>
      </c>
      <c r="D238" s="1307" t="str">
        <f>INDEX(Modules[Module], MATCH(C238, Modules[Code], 0))</f>
        <v>Natural gas power stations</v>
      </c>
      <c r="E238" s="1302"/>
      <c r="F238" s="1302"/>
      <c r="G238" s="1302"/>
      <c r="H238" s="2314"/>
      <c r="I238" s="2314"/>
      <c r="J238" s="2314"/>
      <c r="K238" s="2314"/>
      <c r="L238" s="2314"/>
      <c r="M238" s="2314"/>
      <c r="N238" s="2314"/>
      <c r="O238" s="2314"/>
      <c r="P238" s="2314"/>
      <c r="Q238" s="2314"/>
      <c r="R238" s="2314"/>
      <c r="S238" s="2314"/>
      <c r="T238" s="2314"/>
      <c r="U238" s="2314"/>
      <c r="V238" s="2314"/>
      <c r="W238" s="2314"/>
      <c r="X238" s="2314"/>
      <c r="Y238" s="2314"/>
      <c r="Z238" s="2314"/>
      <c r="AA238" s="2314"/>
      <c r="AB238" s="2314"/>
      <c r="AC238" s="2314"/>
      <c r="AD238" s="2314"/>
      <c r="AE238" s="2314"/>
      <c r="AF238" s="2314"/>
      <c r="AG238" s="2314"/>
      <c r="AH238" s="2314"/>
      <c r="AI238" s="2314"/>
      <c r="AJ238" s="2314"/>
      <c r="AK238" s="2330">
        <f t="shared" ref="AK238:AV240" si="78">0*Unit.TWh</f>
        <v>0</v>
      </c>
      <c r="AL238" s="2330">
        <f t="shared" si="78"/>
        <v>0</v>
      </c>
      <c r="AM238" s="2330">
        <f t="shared" si="78"/>
        <v>0</v>
      </c>
      <c r="AN238" s="2330">
        <f t="shared" si="78"/>
        <v>0</v>
      </c>
      <c r="AO238" s="2330">
        <f t="shared" si="78"/>
        <v>0</v>
      </c>
      <c r="AP238" s="2330">
        <f t="shared" si="78"/>
        <v>0</v>
      </c>
      <c r="AQ238" s="2330">
        <f t="shared" si="78"/>
        <v>0</v>
      </c>
      <c r="AR238" s="2330">
        <f t="shared" si="78"/>
        <v>0</v>
      </c>
      <c r="AS238" s="2330">
        <f t="shared" si="78"/>
        <v>0</v>
      </c>
      <c r="AT238" s="2330">
        <f t="shared" si="78"/>
        <v>0</v>
      </c>
      <c r="AU238" s="2330">
        <f t="shared" si="78"/>
        <v>0</v>
      </c>
      <c r="AV238" s="2330">
        <f t="shared" si="78"/>
        <v>0</v>
      </c>
      <c r="AW238" s="2314" t="s">
        <v>2029</v>
      </c>
      <c r="AX238" s="1328">
        <f t="shared" ca="1" si="77"/>
        <v>38.658059999999992</v>
      </c>
      <c r="AY238" s="1328">
        <f t="shared" ca="1" si="77"/>
        <v>103.08815999999999</v>
      </c>
      <c r="AZ238" s="1328">
        <f t="shared" ca="1" si="77"/>
        <v>249.0867666</v>
      </c>
      <c r="BA238" s="1328">
        <f t="shared" ca="1" si="77"/>
        <v>345.8607768</v>
      </c>
      <c r="BB238" s="1328">
        <f t="shared" ca="1" si="77"/>
        <v>443.15022779999998</v>
      </c>
      <c r="BC238" s="1328">
        <f t="shared" ca="1" si="77"/>
        <v>591.85489859999984</v>
      </c>
      <c r="BD238" s="1328">
        <f t="shared" ca="1" si="77"/>
        <v>740.55956939999999</v>
      </c>
      <c r="BE238" s="1328">
        <f t="shared" ca="1" si="77"/>
        <v>889.39310039999987</v>
      </c>
      <c r="BF238" s="1328">
        <f t="shared" ca="1" si="77"/>
        <v>1038.0977711999999</v>
      </c>
      <c r="BG238" s="837"/>
    </row>
    <row r="239" spans="2:60" s="1615" customFormat="1" x14ac:dyDescent="0.2">
      <c r="B239" s="837"/>
      <c r="C239" s="1327" t="s">
        <v>352</v>
      </c>
      <c r="D239" s="1307" t="str">
        <f>INDEX(Modules[Module], MATCH(C239, Modules[Code], 0))</f>
        <v>Biomass power station</v>
      </c>
      <c r="E239" s="1302"/>
      <c r="F239" s="1302"/>
      <c r="G239" s="1302"/>
      <c r="H239" s="2314"/>
      <c r="I239" s="2314"/>
      <c r="J239" s="2314"/>
      <c r="K239" s="2314"/>
      <c r="L239" s="2314"/>
      <c r="M239" s="2314"/>
      <c r="N239" s="2314"/>
      <c r="O239" s="2314"/>
      <c r="P239" s="2314"/>
      <c r="Q239" s="2314"/>
      <c r="R239" s="2314"/>
      <c r="S239" s="2314"/>
      <c r="T239" s="2314"/>
      <c r="U239" s="2314"/>
      <c r="V239" s="2314"/>
      <c r="W239" s="2314"/>
      <c r="X239" s="2314"/>
      <c r="Y239" s="2314"/>
      <c r="Z239" s="2314"/>
      <c r="AA239" s="2314"/>
      <c r="AB239" s="2314"/>
      <c r="AC239" s="2314"/>
      <c r="AD239" s="2314"/>
      <c r="AE239" s="2314"/>
      <c r="AF239" s="2314"/>
      <c r="AG239" s="2314"/>
      <c r="AH239" s="2314"/>
      <c r="AI239" s="2314"/>
      <c r="AJ239" s="2314"/>
      <c r="AK239" s="2330">
        <f t="shared" si="78"/>
        <v>0</v>
      </c>
      <c r="AL239" s="2330">
        <f t="shared" si="78"/>
        <v>0</v>
      </c>
      <c r="AM239" s="2330">
        <f t="shared" si="78"/>
        <v>0</v>
      </c>
      <c r="AN239" s="2330">
        <f t="shared" si="78"/>
        <v>0</v>
      </c>
      <c r="AO239" s="2330">
        <f t="shared" si="78"/>
        <v>0</v>
      </c>
      <c r="AP239" s="2330">
        <f t="shared" si="78"/>
        <v>0</v>
      </c>
      <c r="AQ239" s="2330">
        <f t="shared" si="78"/>
        <v>0</v>
      </c>
      <c r="AR239" s="2330">
        <f t="shared" si="78"/>
        <v>0</v>
      </c>
      <c r="AS239" s="2330">
        <f t="shared" si="78"/>
        <v>0</v>
      </c>
      <c r="AT239" s="2330">
        <f t="shared" si="78"/>
        <v>0</v>
      </c>
      <c r="AU239" s="2330">
        <f t="shared" si="78"/>
        <v>0</v>
      </c>
      <c r="AV239" s="2330">
        <f t="shared" si="78"/>
        <v>0</v>
      </c>
      <c r="AW239" s="2314" t="s">
        <v>2028</v>
      </c>
      <c r="AX239" s="1328">
        <f t="shared" ca="1" si="77"/>
        <v>0</v>
      </c>
      <c r="AY239" s="1328">
        <f t="shared" ca="1" si="77"/>
        <v>0</v>
      </c>
      <c r="AZ239" s="1328">
        <f t="shared" ca="1" si="77"/>
        <v>0</v>
      </c>
      <c r="BA239" s="1328">
        <f t="shared" ca="1" si="77"/>
        <v>0</v>
      </c>
      <c r="BB239" s="1328">
        <f t="shared" ca="1" si="77"/>
        <v>0</v>
      </c>
      <c r="BC239" s="1328">
        <f t="shared" ca="1" si="77"/>
        <v>0</v>
      </c>
      <c r="BD239" s="1328">
        <f t="shared" ca="1" si="77"/>
        <v>0</v>
      </c>
      <c r="BE239" s="1328">
        <f t="shared" ca="1" si="77"/>
        <v>0</v>
      </c>
      <c r="BF239" s="1328">
        <f t="shared" ca="1" si="77"/>
        <v>0</v>
      </c>
      <c r="BG239" s="837"/>
    </row>
    <row r="240" spans="2:60" s="1615" customFormat="1" x14ac:dyDescent="0.2">
      <c r="B240" s="837"/>
      <c r="C240" s="1327" t="s">
        <v>2146</v>
      </c>
      <c r="D240" s="1307" t="str">
        <f>INDEX(Modules[Module], MATCH(C240, Modules[Code], 0))</f>
        <v>Coal power stations</v>
      </c>
      <c r="E240" s="1302"/>
      <c r="F240" s="1302"/>
      <c r="G240" s="1302"/>
      <c r="H240" s="2314"/>
      <c r="I240" s="2314"/>
      <c r="J240" s="2314"/>
      <c r="K240" s="2314"/>
      <c r="L240" s="2314"/>
      <c r="M240" s="2314"/>
      <c r="N240" s="2314"/>
      <c r="O240" s="2314"/>
      <c r="P240" s="2314"/>
      <c r="Q240" s="2314"/>
      <c r="R240" s="2314"/>
      <c r="S240" s="2314"/>
      <c r="T240" s="2314"/>
      <c r="U240" s="2314"/>
      <c r="V240" s="2314"/>
      <c r="W240" s="2314"/>
      <c r="X240" s="2314"/>
      <c r="Y240" s="2314"/>
      <c r="Z240" s="2314"/>
      <c r="AA240" s="2314"/>
      <c r="AB240" s="2314"/>
      <c r="AC240" s="2314"/>
      <c r="AD240" s="2314"/>
      <c r="AE240" s="2314"/>
      <c r="AF240" s="2314"/>
      <c r="AG240" s="2314"/>
      <c r="AH240" s="2314"/>
      <c r="AI240" s="2314"/>
      <c r="AJ240" s="2314"/>
      <c r="AK240" s="2330">
        <f t="shared" si="78"/>
        <v>0</v>
      </c>
      <c r="AL240" s="2330">
        <f t="shared" si="78"/>
        <v>0</v>
      </c>
      <c r="AM240" s="2330">
        <f t="shared" si="78"/>
        <v>0</v>
      </c>
      <c r="AN240" s="2330">
        <f t="shared" si="78"/>
        <v>0</v>
      </c>
      <c r="AO240" s="2330">
        <f t="shared" si="78"/>
        <v>0</v>
      </c>
      <c r="AP240" s="2330">
        <f t="shared" si="78"/>
        <v>0</v>
      </c>
      <c r="AQ240" s="2330">
        <f t="shared" si="78"/>
        <v>0</v>
      </c>
      <c r="AR240" s="2330">
        <f t="shared" si="78"/>
        <v>0</v>
      </c>
      <c r="AS240" s="2330">
        <f t="shared" si="78"/>
        <v>0</v>
      </c>
      <c r="AT240" s="2330">
        <f t="shared" si="78"/>
        <v>0</v>
      </c>
      <c r="AU240" s="2330">
        <f t="shared" si="78"/>
        <v>0</v>
      </c>
      <c r="AV240" s="2330">
        <f t="shared" si="78"/>
        <v>0</v>
      </c>
      <c r="AW240" s="2314" t="s">
        <v>2028</v>
      </c>
      <c r="AX240" s="1328">
        <f t="shared" ca="1" si="77"/>
        <v>0</v>
      </c>
      <c r="AY240" s="1328">
        <f t="shared" ca="1" si="77"/>
        <v>0</v>
      </c>
      <c r="AZ240" s="1328">
        <f t="shared" ca="1" si="77"/>
        <v>0</v>
      </c>
      <c r="BA240" s="1328">
        <f t="shared" ca="1" si="77"/>
        <v>0</v>
      </c>
      <c r="BB240" s="1328">
        <f t="shared" ca="1" si="77"/>
        <v>0</v>
      </c>
      <c r="BC240" s="1328">
        <f t="shared" ca="1" si="77"/>
        <v>0</v>
      </c>
      <c r="BD240" s="1328">
        <f t="shared" ca="1" si="77"/>
        <v>0</v>
      </c>
      <c r="BE240" s="1328">
        <f t="shared" ca="1" si="77"/>
        <v>0</v>
      </c>
      <c r="BF240" s="1328">
        <f t="shared" ca="1" si="77"/>
        <v>0</v>
      </c>
      <c r="BG240" s="837"/>
    </row>
    <row r="241" spans="1:61" s="1615" customFormat="1" x14ac:dyDescent="0.2">
      <c r="B241" s="837"/>
      <c r="C241" s="1327"/>
      <c r="D241" s="1307"/>
      <c r="E241" s="1302"/>
      <c r="F241" s="1302"/>
      <c r="G241" s="1302"/>
      <c r="H241" s="1302"/>
      <c r="I241" s="1302"/>
      <c r="J241" s="1302"/>
      <c r="K241" s="1302"/>
      <c r="L241" s="1302"/>
      <c r="M241" s="1302"/>
      <c r="N241" s="1302"/>
      <c r="O241" s="1302"/>
      <c r="P241" s="1302"/>
      <c r="Q241" s="1302"/>
      <c r="R241" s="1302"/>
      <c r="S241" s="1302"/>
      <c r="T241" s="1302"/>
      <c r="U241" s="1302"/>
      <c r="V241" s="1302"/>
      <c r="W241" s="1302"/>
      <c r="X241" s="1302"/>
      <c r="Y241" s="1302"/>
      <c r="Z241" s="1302"/>
      <c r="AA241" s="1302"/>
      <c r="AB241" s="1302"/>
      <c r="AC241" s="1302"/>
      <c r="AD241" s="1302"/>
      <c r="AE241" s="1302"/>
      <c r="AF241" s="1302"/>
      <c r="AG241" s="1302"/>
      <c r="AH241" s="1302"/>
      <c r="AI241" s="1302"/>
      <c r="AJ241" s="1302"/>
      <c r="AK241" s="1302"/>
      <c r="AL241" s="1302"/>
      <c r="AM241" s="1302"/>
      <c r="AN241" s="1302"/>
      <c r="AO241" s="1302"/>
      <c r="AP241" s="1302"/>
      <c r="AQ241" s="1302"/>
      <c r="AR241" s="1302"/>
      <c r="AS241" s="1302"/>
      <c r="AT241" s="1302"/>
      <c r="AU241" s="1302"/>
      <c r="AV241" s="1302"/>
      <c r="AW241" s="1302"/>
      <c r="AX241" s="1302"/>
      <c r="AY241" s="1328"/>
      <c r="AZ241" s="1328"/>
      <c r="BA241" s="1328"/>
      <c r="BB241" s="1328"/>
      <c r="BC241" s="1328"/>
      <c r="BD241" s="1328"/>
      <c r="BE241" s="1328"/>
      <c r="BF241" s="1328"/>
      <c r="BG241" s="1328"/>
      <c r="BH241" s="1328"/>
      <c r="BI241" s="837"/>
    </row>
    <row r="242" spans="1:61" s="2479" customFormat="1" x14ac:dyDescent="0.2">
      <c r="B242" s="1327"/>
      <c r="C242" s="1327"/>
      <c r="D242" s="2632" t="s">
        <v>2506</v>
      </c>
      <c r="E242" s="1302"/>
      <c r="F242" s="1302"/>
      <c r="G242" s="1302"/>
      <c r="H242" s="1302"/>
      <c r="I242" s="1302"/>
      <c r="J242" s="1302"/>
      <c r="K242" s="1302"/>
      <c r="L242" s="1302"/>
      <c r="M242" s="1302"/>
      <c r="N242" s="1302"/>
      <c r="O242" s="1302"/>
      <c r="P242" s="1302"/>
      <c r="Q242" s="1302"/>
      <c r="R242" s="1302"/>
      <c r="S242" s="1302"/>
      <c r="T242" s="1302"/>
      <c r="U242" s="1302"/>
      <c r="V242" s="1302"/>
      <c r="W242" s="1302"/>
      <c r="X242" s="1302"/>
      <c r="Y242" s="1302"/>
      <c r="Z242" s="1302"/>
      <c r="AA242" s="1302"/>
      <c r="AB242" s="1302"/>
      <c r="AC242" s="1302"/>
      <c r="AD242" s="1302"/>
      <c r="AE242" s="1302"/>
      <c r="AF242" s="1302"/>
      <c r="AG242" s="1302"/>
      <c r="AH242" s="1302"/>
      <c r="AI242" s="1302"/>
      <c r="AJ242" s="1302"/>
      <c r="AK242" s="1302"/>
      <c r="AL242" s="1302"/>
      <c r="AM242" s="1302"/>
      <c r="AN242" s="1302"/>
      <c r="AO242" s="1302"/>
      <c r="AP242" s="1302"/>
      <c r="AQ242" s="1302"/>
      <c r="AR242" s="1302"/>
      <c r="AS242" s="1302"/>
      <c r="AT242" s="1302"/>
      <c r="AU242" s="1302"/>
      <c r="AV242" s="1302"/>
      <c r="AW242" s="1302"/>
      <c r="AX242" s="1325">
        <f ca="1">-(INDEX(INDIRECT(AX$197&amp;"!Year.Matrix"),MATCH("Subtotal.Supply",INDIRECT(AX$197&amp;"!Year.Modules"),0),MATCH("V.16",INDIRECT(AX$197&amp;"!Year.Vectors"),0))+INDEX(INDIRECT(AX$197&amp;"!Year.Matrix"),MATCH("Subtotal.Consumption",INDIRECT(AX$197&amp;"!Year.Modules"),0),MATCH("V.16",INDIRECT(AX$197&amp;"!Year.Vectors"),0)))</f>
        <v>207.89751104902211</v>
      </c>
      <c r="AY242" s="1325">
        <f t="shared" ref="AY242:BF242" ca="1" si="79">-(INDEX(INDIRECT(AY$197&amp;"!Year.Matrix"),MATCH("Subtotal.Supply",INDIRECT(AY$197&amp;"!Year.Modules"),0),MATCH("V.16",INDIRECT(AY$197&amp;"!Year.Vectors"),0))+INDEX(INDIRECT(AY$197&amp;"!Year.Matrix"),MATCH("Subtotal.Consumption",INDIRECT(AY$197&amp;"!Year.Modules"),0),MATCH("V.16",INDIRECT(AY$197&amp;"!Year.Vectors"),0)))</f>
        <v>184.5626425169898</v>
      </c>
      <c r="AZ242" s="1325">
        <f t="shared" ca="1" si="79"/>
        <v>174.26276521348021</v>
      </c>
      <c r="BA242" s="1325">
        <f t="shared" ca="1" si="79"/>
        <v>161.01204691117439</v>
      </c>
      <c r="BB242" s="1325">
        <f t="shared" ca="1" si="79"/>
        <v>139.84015467028291</v>
      </c>
      <c r="BC242" s="1325">
        <f t="shared" ca="1" si="79"/>
        <v>119.88593635939728</v>
      </c>
      <c r="BD242" s="1325">
        <f t="shared" ca="1" si="79"/>
        <v>92.776442187623488</v>
      </c>
      <c r="BE242" s="1325">
        <f t="shared" ca="1" si="79"/>
        <v>67.553818988990002</v>
      </c>
      <c r="BF242" s="1325">
        <f t="shared" ca="1" si="79"/>
        <v>45.201438373394261</v>
      </c>
      <c r="BG242" s="1328"/>
      <c r="BH242" s="1328"/>
      <c r="BI242" s="837"/>
    </row>
    <row r="243" spans="1:61" s="2479" customFormat="1" x14ac:dyDescent="0.2">
      <c r="B243" s="837"/>
      <c r="C243" s="2633" t="s">
        <v>224</v>
      </c>
      <c r="D243" s="1324" t="s">
        <v>2507</v>
      </c>
      <c r="E243" s="1302"/>
      <c r="F243" s="1302"/>
      <c r="G243" s="1302"/>
      <c r="H243" s="1302"/>
      <c r="I243" s="1302"/>
      <c r="J243" s="1302"/>
      <c r="K243" s="1302"/>
      <c r="L243" s="1302"/>
      <c r="M243" s="1302"/>
      <c r="N243" s="1302"/>
      <c r="O243" s="1302"/>
      <c r="P243" s="1302"/>
      <c r="Q243" s="1302"/>
      <c r="R243" s="1302"/>
      <c r="S243" s="1302"/>
      <c r="T243" s="1302"/>
      <c r="U243" s="1302"/>
      <c r="V243" s="1302"/>
      <c r="W243" s="1302"/>
      <c r="X243" s="1302"/>
      <c r="Y243" s="1302"/>
      <c r="Z243" s="1302"/>
      <c r="AA243" s="1302"/>
      <c r="AB243" s="1302"/>
      <c r="AC243" s="1302"/>
      <c r="AD243" s="1302"/>
      <c r="AE243" s="1302"/>
      <c r="AF243" s="1302"/>
      <c r="AG243" s="1302"/>
      <c r="AH243" s="1302"/>
      <c r="AI243" s="1302"/>
      <c r="AJ243" s="1302"/>
      <c r="AK243" s="1302"/>
      <c r="AL243" s="1302"/>
      <c r="AM243" s="1302"/>
      <c r="AN243" s="1302"/>
      <c r="AO243" s="1302"/>
      <c r="AP243" s="1302"/>
      <c r="AQ243" s="1302"/>
      <c r="AR243" s="1302"/>
      <c r="AS243" s="1302"/>
      <c r="AT243" s="1302"/>
      <c r="AU243" s="1302"/>
      <c r="AV243" s="1302"/>
      <c r="AW243" s="1302"/>
      <c r="AX243" s="1302">
        <f ca="1">INDEX(INDIRECT(AX$197&amp;"!Year.Matrix"),MATCH($C243,INDIRECT(AX$197&amp;"!Year.Modules"),0),MATCH("V.16",INDIRECT(AX$197&amp;"!Year.Vectors"),0))/AX$233</f>
        <v>0.48777527384942315</v>
      </c>
      <c r="AY243" s="1302">
        <f t="shared" ref="AY243:BF243" ca="1" si="80">INDEX(INDIRECT(AY$197&amp;"!Year.Matrix"),MATCH($C243,INDIRECT(AY$197&amp;"!Year.Modules"),0),MATCH("V.16",INDIRECT(AY$197&amp;"!Year.Vectors"),0))/AY$233</f>
        <v>0.39049169826034075</v>
      </c>
      <c r="AZ243" s="1302">
        <f t="shared" ca="1" si="80"/>
        <v>0.28945654817331662</v>
      </c>
      <c r="BA243" s="1302">
        <f t="shared" ca="1" si="80"/>
        <v>0.2350040151450489</v>
      </c>
      <c r="BB243" s="1302">
        <f t="shared" ca="1" si="80"/>
        <v>0.18215516108148996</v>
      </c>
      <c r="BC243" s="1302">
        <f t="shared" ca="1" si="80"/>
        <v>0.13258635538262506</v>
      </c>
      <c r="BD243" s="1302">
        <f t="shared" ca="1" si="80"/>
        <v>8.9510873931385529E-2</v>
      </c>
      <c r="BE243" s="1302">
        <f t="shared" ca="1" si="80"/>
        <v>5.7939165349137949E-2</v>
      </c>
      <c r="BF243" s="1302">
        <f t="shared" ca="1" si="80"/>
        <v>3.4980566306191542E-2</v>
      </c>
      <c r="BG243" s="1328"/>
      <c r="BH243" s="1328"/>
      <c r="BI243" s="837"/>
    </row>
    <row r="244" spans="1:61" s="2479" customFormat="1" x14ac:dyDescent="0.2">
      <c r="B244" s="837"/>
      <c r="C244" s="1327" t="s">
        <v>392</v>
      </c>
      <c r="D244" s="1307" t="str">
        <f>INDEX(Modules[Module], MATCH(C244, Modules[Code], 0))</f>
        <v>Residential Lighting, Appliances, and Cooking</v>
      </c>
      <c r="E244" s="1302"/>
      <c r="F244" s="1302"/>
      <c r="G244" s="1302"/>
      <c r="H244" s="1302"/>
      <c r="I244" s="1302"/>
      <c r="J244" s="1302"/>
      <c r="K244" s="1302"/>
      <c r="L244" s="1302"/>
      <c r="M244" s="1302"/>
      <c r="N244" s="1302"/>
      <c r="O244" s="1302"/>
      <c r="P244" s="1302"/>
      <c r="Q244" s="1302"/>
      <c r="R244" s="1302"/>
      <c r="S244" s="1302"/>
      <c r="T244" s="1302"/>
      <c r="U244" s="1302"/>
      <c r="V244" s="1302"/>
      <c r="W244" s="1302"/>
      <c r="X244" s="1302"/>
      <c r="Y244" s="1302"/>
      <c r="Z244" s="1302"/>
      <c r="AA244" s="1302"/>
      <c r="AB244" s="1302"/>
      <c r="AC244" s="1302"/>
      <c r="AD244" s="1302"/>
      <c r="AE244" s="1302"/>
      <c r="AF244" s="1302"/>
      <c r="AG244" s="1302"/>
      <c r="AH244" s="1302"/>
      <c r="AI244" s="1302"/>
      <c r="AJ244" s="1302"/>
      <c r="AK244" s="1302"/>
      <c r="AL244" s="1302"/>
      <c r="AM244" s="1302"/>
      <c r="AN244" s="1302"/>
      <c r="AO244" s="1302"/>
      <c r="AP244" s="1302"/>
      <c r="AQ244" s="1302"/>
      <c r="AR244" s="1302"/>
      <c r="AS244" s="1302"/>
      <c r="AT244" s="1302"/>
      <c r="AU244" s="1302"/>
      <c r="AV244" s="1302"/>
      <c r="AW244" s="1302"/>
      <c r="AX244" s="2634">
        <f ca="1">-INDEX(INDIRECT(AX$197&amp;"!Year.Matrix"),MATCH($C244,INDIRECT(AX$197&amp;"!Year.Modules"),0),MATCH("V.16",INDIRECT(AX$197&amp;"!Year.Vectors"),0))</f>
        <v>179.52500300009399</v>
      </c>
      <c r="AY244" s="2634">
        <f t="shared" ref="AY244:BF246" ca="1" si="81">-INDEX(INDIRECT(AY$197&amp;"!Year.Matrix"),MATCH($C244,INDIRECT(AY$197&amp;"!Year.Modules"),0),MATCH("V.16",INDIRECT(AY$197&amp;"!Year.Vectors"),0))</f>
        <v>156.32737567681426</v>
      </c>
      <c r="AZ244" s="2634">
        <f t="shared" ca="1" si="81"/>
        <v>145.64026388193511</v>
      </c>
      <c r="BA244" s="2634">
        <f t="shared" ca="1" si="81"/>
        <v>131.83800525732175</v>
      </c>
      <c r="BB244" s="2634">
        <f t="shared" ca="1" si="81"/>
        <v>110.50558761967174</v>
      </c>
      <c r="BC244" s="2634">
        <f t="shared" ca="1" si="81"/>
        <v>91.345955311540266</v>
      </c>
      <c r="BD244" s="2634">
        <f t="shared" ca="1" si="81"/>
        <v>65.657687840031599</v>
      </c>
      <c r="BE244" s="2634">
        <f t="shared" ca="1" si="81"/>
        <v>41.926963201700474</v>
      </c>
      <c r="BF244" s="2634">
        <f t="shared" ca="1" si="81"/>
        <v>21.702829389915763</v>
      </c>
      <c r="BG244" s="1328"/>
      <c r="BH244" s="1328"/>
      <c r="BI244" s="837"/>
    </row>
    <row r="245" spans="1:61" s="2479" customFormat="1" x14ac:dyDescent="0.2">
      <c r="B245" s="837"/>
      <c r="C245" s="1327" t="s">
        <v>393</v>
      </c>
      <c r="D245" s="1307" t="str">
        <f>INDEX(Modules[Module], MATCH(C245, Modules[Code], 0))</f>
        <v>Service Sector Lighting, Appliances, and Cooking</v>
      </c>
      <c r="E245" s="1302"/>
      <c r="F245" s="1302"/>
      <c r="G245" s="1302"/>
      <c r="H245" s="1302"/>
      <c r="I245" s="1302"/>
      <c r="J245" s="1302"/>
      <c r="K245" s="1302"/>
      <c r="L245" s="1302"/>
      <c r="M245" s="1302"/>
      <c r="N245" s="1302"/>
      <c r="O245" s="1302"/>
      <c r="P245" s="1302"/>
      <c r="Q245" s="1302"/>
      <c r="R245" s="1302"/>
      <c r="S245" s="1302"/>
      <c r="T245" s="1302"/>
      <c r="U245" s="1302"/>
      <c r="V245" s="1302"/>
      <c r="W245" s="1302"/>
      <c r="X245" s="1302"/>
      <c r="Y245" s="1302"/>
      <c r="Z245" s="1302"/>
      <c r="AA245" s="1302"/>
      <c r="AB245" s="1302"/>
      <c r="AC245" s="1302"/>
      <c r="AD245" s="1302"/>
      <c r="AE245" s="1302"/>
      <c r="AF245" s="1302"/>
      <c r="AG245" s="1302"/>
      <c r="AH245" s="1302"/>
      <c r="AI245" s="1302"/>
      <c r="AJ245" s="1302"/>
      <c r="AK245" s="1302"/>
      <c r="AL245" s="1302"/>
      <c r="AM245" s="1302"/>
      <c r="AN245" s="1302"/>
      <c r="AO245" s="1302"/>
      <c r="AP245" s="1302"/>
      <c r="AQ245" s="1302"/>
      <c r="AR245" s="1302"/>
      <c r="AS245" s="1302"/>
      <c r="AT245" s="1302"/>
      <c r="AU245" s="1302"/>
      <c r="AV245" s="1302"/>
      <c r="AW245" s="1302"/>
      <c r="AX245" s="2634">
        <f ca="1">-INDEX(INDIRECT(AX$197&amp;"!Year.Matrix"),MATCH($C245,INDIRECT(AX$197&amp;"!Year.Modules"),0),MATCH("V.16",INDIRECT(AX$197&amp;"!Year.Vectors"),0))</f>
        <v>16.427232673994066</v>
      </c>
      <c r="AY245" s="2634">
        <f t="shared" ca="1" si="81"/>
        <v>14.985964695312001</v>
      </c>
      <c r="AZ245" s="2634">
        <f t="shared" ca="1" si="81"/>
        <v>13.844996245823999</v>
      </c>
      <c r="BA245" s="2634">
        <f t="shared" ca="1" si="81"/>
        <v>12.604885897072</v>
      </c>
      <c r="BB245" s="2634">
        <f t="shared" ca="1" si="81"/>
        <v>11.039100356924054</v>
      </c>
      <c r="BC245" s="2634">
        <f t="shared" ca="1" si="81"/>
        <v>10.061680012821373</v>
      </c>
      <c r="BD245" s="2634">
        <f t="shared" ca="1" si="81"/>
        <v>8.7392877825648565</v>
      </c>
      <c r="BE245" s="2634">
        <f t="shared" ca="1" si="81"/>
        <v>7.0719236661544587</v>
      </c>
      <c r="BF245" s="2634">
        <f t="shared" ca="1" si="81"/>
        <v>5.059587663590186</v>
      </c>
      <c r="BG245" s="1328"/>
      <c r="BH245" s="1328"/>
      <c r="BI245" s="837"/>
    </row>
    <row r="246" spans="1:61" s="2479" customFormat="1" x14ac:dyDescent="0.2">
      <c r="B246" s="837"/>
      <c r="C246" s="1327" t="s">
        <v>360</v>
      </c>
      <c r="D246" s="1307" t="str">
        <f>INDEX(Modules[Module], MATCH(C246, Modules[Code], 0))</f>
        <v>Industrial processes</v>
      </c>
      <c r="E246" s="1302"/>
      <c r="F246" s="1302"/>
      <c r="G246" s="1302"/>
      <c r="H246" s="1302"/>
      <c r="I246" s="1302"/>
      <c r="J246" s="1302"/>
      <c r="K246" s="1302"/>
      <c r="L246" s="1302"/>
      <c r="M246" s="1302"/>
      <c r="N246" s="1302"/>
      <c r="O246" s="1302"/>
      <c r="P246" s="1302"/>
      <c r="Q246" s="1302"/>
      <c r="R246" s="1302"/>
      <c r="S246" s="1302"/>
      <c r="T246" s="1302"/>
      <c r="U246" s="1302"/>
      <c r="V246" s="1302"/>
      <c r="W246" s="1302"/>
      <c r="X246" s="1302"/>
      <c r="Y246" s="1302"/>
      <c r="Z246" s="1302"/>
      <c r="AA246" s="1302"/>
      <c r="AB246" s="1302"/>
      <c r="AC246" s="1302"/>
      <c r="AD246" s="1302"/>
      <c r="AE246" s="1302"/>
      <c r="AF246" s="1302"/>
      <c r="AG246" s="1302"/>
      <c r="AH246" s="1302"/>
      <c r="AI246" s="1302"/>
      <c r="AJ246" s="1302"/>
      <c r="AK246" s="1302"/>
      <c r="AL246" s="1302"/>
      <c r="AM246" s="1302"/>
      <c r="AN246" s="1302"/>
      <c r="AO246" s="1302"/>
      <c r="AP246" s="1302"/>
      <c r="AQ246" s="1302"/>
      <c r="AR246" s="1302"/>
      <c r="AS246" s="1302"/>
      <c r="AT246" s="1302"/>
      <c r="AU246" s="1302"/>
      <c r="AV246" s="1302"/>
      <c r="AW246" s="1302"/>
      <c r="AX246" s="2634">
        <f ca="1">-INDEX(INDIRECT(AX$197&amp;"!Year.Matrix"),MATCH($C246,INDIRECT(AX$197&amp;"!Year.Modules"),0),MATCH("V.16",INDIRECT(AX$197&amp;"!Year.Vectors"),0))</f>
        <v>5.6860093749340557</v>
      </c>
      <c r="AY246" s="2634">
        <f t="shared" ca="1" si="81"/>
        <v>6.7021086608646065</v>
      </c>
      <c r="AZ246" s="2634">
        <f t="shared" ca="1" si="81"/>
        <v>7.9045480816087821</v>
      </c>
      <c r="BA246" s="2634">
        <f t="shared" ca="1" si="81"/>
        <v>9.3276272305519541</v>
      </c>
      <c r="BB246" s="2634">
        <f t="shared" ca="1" si="81"/>
        <v>10.636933320298363</v>
      </c>
      <c r="BC246" s="2634">
        <f t="shared" ca="1" si="81"/>
        <v>10.347964952754772</v>
      </c>
      <c r="BD246" s="2634">
        <f t="shared" ca="1" si="81"/>
        <v>9.7153290230415603</v>
      </c>
      <c r="BE246" s="2634">
        <f t="shared" ca="1" si="81"/>
        <v>9.2868472235868111</v>
      </c>
      <c r="BF246" s="2634">
        <f t="shared" ca="1" si="81"/>
        <v>8.4876254241027702</v>
      </c>
      <c r="BG246" s="1328"/>
      <c r="BH246" s="1328"/>
      <c r="BI246" s="837"/>
    </row>
    <row r="247" spans="1:61" s="2479" customFormat="1" x14ac:dyDescent="0.2">
      <c r="B247" s="837"/>
      <c r="C247" s="1327"/>
      <c r="D247" s="1307"/>
      <c r="E247" s="1302"/>
      <c r="F247" s="1302"/>
      <c r="G247" s="1302"/>
      <c r="H247" s="1302"/>
      <c r="I247" s="1302"/>
      <c r="J247" s="1302"/>
      <c r="K247" s="1302"/>
      <c r="L247" s="1302"/>
      <c r="M247" s="1302"/>
      <c r="N247" s="1302"/>
      <c r="O247" s="1302"/>
      <c r="P247" s="1302"/>
      <c r="Q247" s="1302"/>
      <c r="R247" s="1302"/>
      <c r="S247" s="1302"/>
      <c r="T247" s="1302"/>
      <c r="U247" s="1302"/>
      <c r="V247" s="1302"/>
      <c r="W247" s="1302"/>
      <c r="X247" s="1302"/>
      <c r="Y247" s="1302"/>
      <c r="Z247" s="1302"/>
      <c r="AA247" s="1302"/>
      <c r="AB247" s="1302"/>
      <c r="AC247" s="1302"/>
      <c r="AD247" s="1302"/>
      <c r="AE247" s="1302"/>
      <c r="AF247" s="1302"/>
      <c r="AG247" s="1302"/>
      <c r="AH247" s="1302"/>
      <c r="AI247" s="1302"/>
      <c r="AJ247" s="1302"/>
      <c r="AK247" s="1302"/>
      <c r="AL247" s="1302"/>
      <c r="AM247" s="1302"/>
      <c r="AN247" s="1302"/>
      <c r="AO247" s="1302"/>
      <c r="AP247" s="1302"/>
      <c r="AQ247" s="1302"/>
      <c r="AR247" s="1302"/>
      <c r="AS247" s="1302"/>
      <c r="AT247" s="1302"/>
      <c r="AU247" s="1302"/>
      <c r="AV247" s="1302"/>
      <c r="AW247" s="1302"/>
      <c r="AX247" s="1302"/>
      <c r="AY247" s="1328"/>
      <c r="AZ247" s="1328"/>
      <c r="BA247" s="1328"/>
      <c r="BB247" s="1328"/>
      <c r="BC247" s="1328"/>
      <c r="BD247" s="1328"/>
      <c r="BE247" s="1328"/>
      <c r="BF247" s="1328"/>
      <c r="BG247" s="1328"/>
      <c r="BH247" s="1328"/>
      <c r="BI247" s="837"/>
    </row>
    <row r="248" spans="1:61" s="2479" customFormat="1" x14ac:dyDescent="0.2">
      <c r="B248" s="837"/>
      <c r="C248" s="1327"/>
      <c r="D248" s="1307"/>
      <c r="E248" s="1302"/>
      <c r="F248" s="1302"/>
      <c r="G248" s="1302"/>
      <c r="H248" s="1302"/>
      <c r="I248" s="1302"/>
      <c r="J248" s="1302"/>
      <c r="K248" s="1302"/>
      <c r="L248" s="1302"/>
      <c r="M248" s="1302"/>
      <c r="N248" s="1302"/>
      <c r="O248" s="1302"/>
      <c r="P248" s="1302"/>
      <c r="Q248" s="1302"/>
      <c r="R248" s="1302"/>
      <c r="S248" s="1302"/>
      <c r="T248" s="1302"/>
      <c r="U248" s="1302"/>
      <c r="V248" s="1302"/>
      <c r="W248" s="1302"/>
      <c r="X248" s="1302"/>
      <c r="Y248" s="1302"/>
      <c r="Z248" s="1302"/>
      <c r="AA248" s="1302"/>
      <c r="AB248" s="1302"/>
      <c r="AC248" s="1302"/>
      <c r="AD248" s="1302"/>
      <c r="AE248" s="1302"/>
      <c r="AF248" s="1302"/>
      <c r="AG248" s="1302"/>
      <c r="AH248" s="1302"/>
      <c r="AI248" s="1302"/>
      <c r="AJ248" s="1302"/>
      <c r="AK248" s="1302"/>
      <c r="AL248" s="1302"/>
      <c r="AM248" s="1302"/>
      <c r="AN248" s="1302"/>
      <c r="AO248" s="1302"/>
      <c r="AP248" s="1302"/>
      <c r="AQ248" s="1302"/>
      <c r="AR248" s="1302"/>
      <c r="AS248" s="1302"/>
      <c r="AT248" s="1302"/>
      <c r="AU248" s="1302"/>
      <c r="AV248" s="1302"/>
      <c r="AW248" s="1302"/>
      <c r="AX248" s="1302"/>
      <c r="AY248" s="1328"/>
      <c r="AZ248" s="1328"/>
      <c r="BA248" s="1328"/>
      <c r="BB248" s="1328"/>
      <c r="BC248" s="1328"/>
      <c r="BD248" s="1328"/>
      <c r="BE248" s="1328"/>
      <c r="BF248" s="1328"/>
      <c r="BG248" s="1328"/>
      <c r="BH248" s="1328"/>
      <c r="BI248" s="837"/>
    </row>
    <row r="249" spans="1:61" s="1201" customFormat="1" x14ac:dyDescent="0.2">
      <c r="B249" s="837"/>
      <c r="C249" s="1324"/>
      <c r="D249" s="1307" t="s">
        <v>1808</v>
      </c>
      <c r="E249" s="1302" t="s">
        <v>1805</v>
      </c>
      <c r="F249" s="1302" t="s">
        <v>1806</v>
      </c>
      <c r="G249" s="1302" t="s">
        <v>1978</v>
      </c>
      <c r="H249" s="1302" t="s">
        <v>1979</v>
      </c>
      <c r="I249" s="1302" t="s">
        <v>1980</v>
      </c>
      <c r="J249" s="1302" t="s">
        <v>1981</v>
      </c>
      <c r="K249" s="1302" t="s">
        <v>1982</v>
      </c>
      <c r="L249" s="1302" t="s">
        <v>1983</v>
      </c>
      <c r="M249" s="1302" t="s">
        <v>1984</v>
      </c>
      <c r="N249" s="1302" t="s">
        <v>1985</v>
      </c>
      <c r="O249" s="1302" t="s">
        <v>1986</v>
      </c>
      <c r="P249" s="1302" t="s">
        <v>1987</v>
      </c>
      <c r="Q249" s="1302" t="s">
        <v>1988</v>
      </c>
      <c r="R249" s="1302" t="s">
        <v>1989</v>
      </c>
      <c r="S249" s="1302" t="s">
        <v>1990</v>
      </c>
      <c r="T249" s="1302" t="s">
        <v>1991</v>
      </c>
      <c r="U249" s="1302" t="s">
        <v>1992</v>
      </c>
      <c r="V249" s="1302" t="s">
        <v>1993</v>
      </c>
      <c r="W249" s="1302" t="s">
        <v>1994</v>
      </c>
      <c r="X249" s="1302" t="s">
        <v>1995</v>
      </c>
      <c r="Y249" s="1302" t="s">
        <v>1996</v>
      </c>
      <c r="Z249" s="1302" t="s">
        <v>1997</v>
      </c>
      <c r="AA249" s="1302" t="s">
        <v>1998</v>
      </c>
      <c r="AB249" s="1302" t="s">
        <v>1999</v>
      </c>
      <c r="AC249" s="1302" t="s">
        <v>2000</v>
      </c>
      <c r="AD249" s="1302" t="s">
        <v>2001</v>
      </c>
      <c r="AE249" s="1302" t="s">
        <v>2002</v>
      </c>
      <c r="AF249" s="1302" t="s">
        <v>2003</v>
      </c>
      <c r="AG249" s="1302" t="s">
        <v>2004</v>
      </c>
      <c r="AH249" s="1302" t="s">
        <v>2005</v>
      </c>
      <c r="AI249" s="1302" t="s">
        <v>2006</v>
      </c>
      <c r="AJ249" s="1302" t="s">
        <v>2007</v>
      </c>
      <c r="AK249" s="1302" t="s">
        <v>2008</v>
      </c>
      <c r="AL249" s="1302" t="s">
        <v>2009</v>
      </c>
      <c r="AM249" s="1302" t="s">
        <v>2010</v>
      </c>
      <c r="AN249" s="1302" t="s">
        <v>2011</v>
      </c>
      <c r="AO249" s="1302" t="s">
        <v>2012</v>
      </c>
      <c r="AP249" s="1302" t="s">
        <v>2013</v>
      </c>
      <c r="AQ249" s="1302" t="s">
        <v>2014</v>
      </c>
      <c r="AR249" s="1302" t="s">
        <v>2015</v>
      </c>
      <c r="AS249" s="1302" t="s">
        <v>2016</v>
      </c>
      <c r="AT249" s="1302" t="s">
        <v>2017</v>
      </c>
      <c r="AU249" s="1302" t="s">
        <v>2020</v>
      </c>
      <c r="AV249" s="1302" t="s">
        <v>2018</v>
      </c>
      <c r="AW249" s="1302" t="s">
        <v>2019</v>
      </c>
      <c r="AX249" s="1746" t="s">
        <v>241</v>
      </c>
      <c r="AY249" s="1746" t="s">
        <v>268</v>
      </c>
      <c r="AZ249" s="1746" t="s">
        <v>269</v>
      </c>
      <c r="BA249" s="1746" t="s">
        <v>270</v>
      </c>
      <c r="BB249" s="1746" t="s">
        <v>271</v>
      </c>
      <c r="BC249" s="1746" t="s">
        <v>272</v>
      </c>
      <c r="BD249" s="1746" t="s">
        <v>273</v>
      </c>
      <c r="BE249" s="1746" t="s">
        <v>274</v>
      </c>
      <c r="BF249" s="1746" t="s">
        <v>275</v>
      </c>
      <c r="BG249" s="837"/>
    </row>
    <row r="250" spans="1:61" s="1297" customFormat="1" ht="22.5" x14ac:dyDescent="0.3">
      <c r="A250" s="409"/>
      <c r="B250" s="837"/>
      <c r="C250" s="1327"/>
      <c r="D250" s="1307" t="s">
        <v>669</v>
      </c>
      <c r="E250" s="1302"/>
      <c r="F250" s="1302"/>
      <c r="G250" s="1302"/>
      <c r="H250" s="1302"/>
      <c r="I250" s="1302"/>
      <c r="J250" s="1302"/>
      <c r="K250" s="1302"/>
      <c r="L250" s="1302"/>
      <c r="M250" s="1302"/>
      <c r="N250" s="1302"/>
      <c r="O250" s="1302"/>
      <c r="P250" s="1302"/>
      <c r="Q250" s="1302"/>
      <c r="R250" s="1302"/>
      <c r="S250" s="1302"/>
      <c r="T250" s="1302"/>
      <c r="U250" s="1302"/>
      <c r="V250" s="1302"/>
      <c r="W250" s="1302"/>
      <c r="X250" s="1302"/>
      <c r="Y250" s="1302"/>
      <c r="Z250" s="1302"/>
      <c r="AA250" s="1302"/>
      <c r="AB250" s="1302"/>
      <c r="AC250" s="1302"/>
      <c r="AD250" s="1302"/>
      <c r="AE250" s="1302"/>
      <c r="AF250" s="1302"/>
      <c r="AG250" s="1302"/>
      <c r="AH250" s="1302"/>
      <c r="AI250" s="1302"/>
      <c r="AJ250" s="1302"/>
      <c r="AK250" s="1302"/>
      <c r="AL250" s="1302"/>
      <c r="AM250" s="1302"/>
      <c r="AN250" s="1302"/>
      <c r="AO250" s="1302"/>
      <c r="AP250" s="1302"/>
      <c r="AQ250" s="1302"/>
      <c r="AR250" s="1302"/>
      <c r="AS250" s="1302"/>
      <c r="AT250" s="1302"/>
      <c r="AU250" s="1302"/>
      <c r="AV250" s="1302"/>
      <c r="AW250" s="1302"/>
      <c r="AX250" s="2206">
        <f t="shared" ref="AX250:BF250" ca="1" si="82">AX219</f>
        <v>0</v>
      </c>
      <c r="AY250" s="2206">
        <f t="shared" ca="1" si="82"/>
        <v>0</v>
      </c>
      <c r="AZ250" s="2206">
        <f t="shared" ca="1" si="82"/>
        <v>0</v>
      </c>
      <c r="BA250" s="2206">
        <f t="shared" ca="1" si="82"/>
        <v>0</v>
      </c>
      <c r="BB250" s="2206">
        <f t="shared" ca="1" si="82"/>
        <v>0</v>
      </c>
      <c r="BC250" s="2206">
        <f t="shared" ca="1" si="82"/>
        <v>0</v>
      </c>
      <c r="BD250" s="2206">
        <f t="shared" ca="1" si="82"/>
        <v>0</v>
      </c>
      <c r="BE250" s="2206">
        <f t="shared" ca="1" si="82"/>
        <v>0</v>
      </c>
      <c r="BF250" s="2206">
        <f t="shared" ca="1" si="82"/>
        <v>0</v>
      </c>
      <c r="BG250" s="837"/>
    </row>
    <row r="251" spans="1:61" s="1297" customFormat="1" ht="12" customHeight="1" x14ac:dyDescent="0.2">
      <c r="B251" s="837"/>
      <c r="C251" s="1327"/>
      <c r="D251" s="1307" t="s">
        <v>122</v>
      </c>
      <c r="E251" s="1302"/>
      <c r="F251" s="1302"/>
      <c r="G251" s="1302"/>
      <c r="H251" s="1302"/>
      <c r="I251" s="1302"/>
      <c r="J251" s="1302"/>
      <c r="K251" s="1302"/>
      <c r="L251" s="1302"/>
      <c r="M251" s="1302"/>
      <c r="N251" s="1302"/>
      <c r="O251" s="1302"/>
      <c r="P251" s="1302"/>
      <c r="Q251" s="1302"/>
      <c r="R251" s="1302"/>
      <c r="S251" s="1302"/>
      <c r="T251" s="1302"/>
      <c r="U251" s="1302"/>
      <c r="V251" s="1302"/>
      <c r="W251" s="1302"/>
      <c r="X251" s="1302"/>
      <c r="Y251" s="1302"/>
      <c r="Z251" s="1302"/>
      <c r="AA251" s="1302"/>
      <c r="AB251" s="1302"/>
      <c r="AC251" s="1302"/>
      <c r="AD251" s="1302"/>
      <c r="AE251" s="1302"/>
      <c r="AF251" s="1302"/>
      <c r="AG251" s="1302"/>
      <c r="AH251" s="1302"/>
      <c r="AI251" s="1302"/>
      <c r="AJ251" s="1302"/>
      <c r="AK251" s="1302"/>
      <c r="AL251" s="1302"/>
      <c r="AM251" s="1302"/>
      <c r="AN251" s="1302"/>
      <c r="AO251" s="1302"/>
      <c r="AP251" s="1302"/>
      <c r="AQ251" s="1302"/>
      <c r="AR251" s="1302"/>
      <c r="AS251" s="1302"/>
      <c r="AT251" s="1302"/>
      <c r="AU251" s="1302"/>
      <c r="AV251" s="1302"/>
      <c r="AW251" s="1302"/>
      <c r="AX251" s="2206">
        <f t="shared" ref="AX251:BF251" ca="1" si="83">AX227</f>
        <v>8.7943892343294635E-3</v>
      </c>
      <c r="AY251" s="2206">
        <f t="shared" ca="1" si="83"/>
        <v>9.838387653358982E-3</v>
      </c>
      <c r="AZ251" s="2206">
        <f t="shared" ca="1" si="83"/>
        <v>1.5703312840079881E-2</v>
      </c>
      <c r="BA251" s="2206">
        <f t="shared" ca="1" si="83"/>
        <v>2.1496541004119823E-2</v>
      </c>
      <c r="BB251" s="2206">
        <f t="shared" ca="1" si="83"/>
        <v>2.4323173524157377E-2</v>
      </c>
      <c r="BC251" s="2206">
        <f t="shared" ca="1" si="83"/>
        <v>2.6830697247542189E-2</v>
      </c>
      <c r="BD251" s="2206">
        <f t="shared" ca="1" si="83"/>
        <v>3.0795505024154776E-2</v>
      </c>
      <c r="BE251" s="2206">
        <f t="shared" ca="1" si="83"/>
        <v>3.5500708619835085E-2</v>
      </c>
      <c r="BF251" s="2206">
        <f t="shared" ca="1" si="83"/>
        <v>4.1507972446465001E-2</v>
      </c>
      <c r="BG251" s="837"/>
    </row>
    <row r="252" spans="1:61" s="2479" customFormat="1" ht="12" customHeight="1" x14ac:dyDescent="0.2">
      <c r="B252" s="837"/>
      <c r="C252" s="1327"/>
      <c r="D252" s="2630" t="s">
        <v>10</v>
      </c>
      <c r="E252" s="2631"/>
      <c r="F252" s="2631"/>
      <c r="G252" s="2631"/>
      <c r="H252" s="2631"/>
      <c r="I252" s="2631"/>
      <c r="J252" s="2631"/>
      <c r="K252" s="2631"/>
      <c r="L252" s="2631"/>
      <c r="M252" s="2631"/>
      <c r="N252" s="2631"/>
      <c r="O252" s="2631"/>
      <c r="P252" s="2631"/>
      <c r="Q252" s="2631"/>
      <c r="R252" s="2631"/>
      <c r="S252" s="2631"/>
      <c r="T252" s="2631"/>
      <c r="U252" s="2631"/>
      <c r="V252" s="2631"/>
      <c r="W252" s="2631"/>
      <c r="X252" s="2631"/>
      <c r="Y252" s="2631"/>
      <c r="Z252" s="2631"/>
      <c r="AA252" s="2631"/>
      <c r="AB252" s="2631"/>
      <c r="AC252" s="2631"/>
      <c r="AD252" s="2631"/>
      <c r="AE252" s="2631"/>
      <c r="AF252" s="2631"/>
      <c r="AG252" s="2631"/>
      <c r="AH252" s="2631"/>
      <c r="AI252" s="2631"/>
      <c r="AJ252" s="2631"/>
      <c r="AK252" s="2631"/>
      <c r="AL252" s="2631"/>
      <c r="AM252" s="2631"/>
      <c r="AN252" s="2631"/>
      <c r="AO252" s="2631"/>
      <c r="AP252" s="2631"/>
      <c r="AQ252" s="2631"/>
      <c r="AR252" s="2631"/>
      <c r="AS252" s="2631"/>
      <c r="AT252" s="2631"/>
      <c r="AU252" s="2631"/>
      <c r="AV252" s="2631"/>
      <c r="AW252" s="2631"/>
      <c r="AX252" s="2206">
        <f ca="1">AX234</f>
        <v>0.88387252260668037</v>
      </c>
      <c r="AY252" s="2206">
        <f t="shared" ref="AY252:BF252" ca="1" si="84">AY234</f>
        <v>0.90863702755107079</v>
      </c>
      <c r="AZ252" s="2206">
        <f t="shared" ca="1" si="84"/>
        <v>0.82192889462341523</v>
      </c>
      <c r="BA252" s="2206">
        <f t="shared" ca="1" si="84"/>
        <v>0.90733988413326028</v>
      </c>
      <c r="BB252" s="2206">
        <f t="shared" ca="1" si="84"/>
        <v>0.87664119884457969</v>
      </c>
      <c r="BC252" s="2206">
        <f t="shared" ca="1" si="84"/>
        <v>0.81333984464990194</v>
      </c>
      <c r="BD252" s="2206">
        <f t="shared" ca="1" si="84"/>
        <v>0.76791015981562571</v>
      </c>
      <c r="BE252" s="2206">
        <f t="shared" ca="1" si="84"/>
        <v>0.73802946022235028</v>
      </c>
      <c r="BF252" s="2206">
        <f t="shared" ca="1" si="84"/>
        <v>0.71358685128126675</v>
      </c>
      <c r="BG252" s="837"/>
    </row>
    <row r="253" spans="1:61" s="1318" customFormat="1" x14ac:dyDescent="0.2">
      <c r="B253" s="837"/>
      <c r="C253" s="1327"/>
      <c r="D253" s="1307" t="s">
        <v>2429</v>
      </c>
      <c r="E253" s="1302"/>
      <c r="F253" s="1302"/>
      <c r="G253" s="1302"/>
      <c r="H253" s="1302"/>
      <c r="I253" s="1302"/>
      <c r="J253" s="1302"/>
      <c r="K253" s="1302"/>
      <c r="L253" s="1302"/>
      <c r="M253" s="1302"/>
      <c r="N253" s="1302"/>
      <c r="O253" s="1302"/>
      <c r="P253" s="1302"/>
      <c r="Q253" s="1302"/>
      <c r="R253" s="1302"/>
      <c r="S253" s="1302"/>
      <c r="T253" s="1302"/>
      <c r="U253" s="1302"/>
      <c r="V253" s="1302"/>
      <c r="W253" s="1302"/>
      <c r="X253" s="1302"/>
      <c r="Y253" s="1302"/>
      <c r="Z253" s="1302"/>
      <c r="AA253" s="1302"/>
      <c r="AB253" s="1302"/>
      <c r="AC253" s="1302"/>
      <c r="AD253" s="1302"/>
      <c r="AE253" s="1302"/>
      <c r="AF253" s="1302"/>
      <c r="AG253" s="1302"/>
      <c r="AH253" s="1302"/>
      <c r="AI253" s="1302"/>
      <c r="AJ253" s="1302"/>
      <c r="AK253" s="1302"/>
      <c r="AL253" s="1302"/>
      <c r="AM253" s="1302"/>
      <c r="AN253" s="1302"/>
      <c r="AO253" s="1302"/>
      <c r="AP253" s="1302"/>
      <c r="AQ253" s="1302"/>
      <c r="AR253" s="1302"/>
      <c r="AS253" s="1302"/>
      <c r="AT253" s="1302"/>
      <c r="AU253" s="1302"/>
      <c r="AV253" s="1302"/>
      <c r="AW253" s="1302"/>
      <c r="AX253" s="2206">
        <f ca="1">AX243</f>
        <v>0.48777527384942315</v>
      </c>
      <c r="AY253" s="2206">
        <f t="shared" ref="AY253:BF253" ca="1" si="85">AY243</f>
        <v>0.39049169826034075</v>
      </c>
      <c r="AZ253" s="2206">
        <f t="shared" ca="1" si="85"/>
        <v>0.28945654817331662</v>
      </c>
      <c r="BA253" s="2206">
        <f t="shared" ca="1" si="85"/>
        <v>0.2350040151450489</v>
      </c>
      <c r="BB253" s="2206">
        <f t="shared" ca="1" si="85"/>
        <v>0.18215516108148996</v>
      </c>
      <c r="BC253" s="2206">
        <f t="shared" ca="1" si="85"/>
        <v>0.13258635538262506</v>
      </c>
      <c r="BD253" s="2206">
        <f t="shared" ca="1" si="85"/>
        <v>8.9510873931385529E-2</v>
      </c>
      <c r="BE253" s="2206">
        <f t="shared" ca="1" si="85"/>
        <v>5.7939165349137949E-2</v>
      </c>
      <c r="BF253" s="2206">
        <f t="shared" ca="1" si="85"/>
        <v>3.4980566306191542E-2</v>
      </c>
      <c r="BG253" s="837"/>
    </row>
    <row r="254" spans="1:61" s="1297" customFormat="1" x14ac:dyDescent="0.2">
      <c r="C254" s="1291"/>
      <c r="D254" s="1291"/>
      <c r="E254" s="1291"/>
      <c r="F254" s="1291"/>
      <c r="G254" s="1291"/>
      <c r="H254" s="1291"/>
      <c r="I254" s="1291"/>
      <c r="J254" s="1291"/>
      <c r="K254" s="1291"/>
      <c r="L254" s="1291"/>
      <c r="M254" s="1291"/>
      <c r="N254" s="1291"/>
      <c r="O254" s="1291"/>
      <c r="P254" s="1291"/>
      <c r="Q254" s="1291"/>
      <c r="R254" s="1291"/>
      <c r="S254" s="1291"/>
      <c r="T254" s="1291"/>
      <c r="U254" s="1291"/>
      <c r="V254" s="1291"/>
      <c r="W254" s="1291"/>
      <c r="X254" s="1291"/>
      <c r="Y254" s="1291"/>
      <c r="Z254" s="1291"/>
      <c r="AA254" s="1291"/>
      <c r="AB254" s="1291"/>
      <c r="AC254" s="1291"/>
      <c r="AD254" s="1291"/>
      <c r="AE254" s="1291"/>
      <c r="AF254" s="1291"/>
      <c r="AG254" s="1291"/>
      <c r="AH254" s="1291"/>
      <c r="AI254" s="1291"/>
      <c r="AJ254" s="1291"/>
      <c r="AK254" s="1291"/>
      <c r="AL254" s="1291"/>
      <c r="AM254" s="1291"/>
      <c r="AN254" s="1291"/>
      <c r="AO254" s="1291"/>
      <c r="AP254" s="1291"/>
      <c r="AQ254" s="1291"/>
      <c r="AR254" s="1291"/>
      <c r="AS254" s="1291"/>
      <c r="AT254" s="1291"/>
      <c r="AU254" s="1291"/>
      <c r="AV254" s="1291"/>
      <c r="AW254" s="1291"/>
      <c r="AX254" s="1291"/>
      <c r="AY254" s="1291"/>
      <c r="AZ254" s="1291"/>
      <c r="BA254" s="1291"/>
      <c r="BB254" s="1291"/>
      <c r="BC254" s="1291"/>
      <c r="BD254" s="1291"/>
      <c r="BE254" s="1291"/>
      <c r="BF254" s="1291"/>
      <c r="BG254" s="1291"/>
      <c r="BH254" s="1291"/>
      <c r="BI254" s="1291"/>
    </row>
    <row r="255" spans="1:61" s="1297" customFormat="1" ht="15.75" x14ac:dyDescent="0.2">
      <c r="B255" s="835" t="s">
        <v>1326</v>
      </c>
      <c r="C255" s="860"/>
      <c r="D255" s="860"/>
      <c r="E255" s="860"/>
      <c r="F255" s="860"/>
      <c r="G255" s="860"/>
      <c r="H255" s="860"/>
      <c r="I255" s="860"/>
      <c r="J255" s="860"/>
      <c r="K255" s="860"/>
      <c r="L255" s="860"/>
      <c r="M255" s="860"/>
      <c r="N255" s="860"/>
      <c r="O255" s="860"/>
      <c r="P255" s="860"/>
      <c r="Q255" s="860"/>
      <c r="R255" s="860"/>
      <c r="S255" s="860"/>
      <c r="T255" s="860"/>
      <c r="U255" s="860"/>
      <c r="V255" s="860"/>
      <c r="W255" s="860"/>
      <c r="X255" s="860"/>
      <c r="Y255" s="860"/>
      <c r="Z255" s="860"/>
      <c r="AA255" s="860"/>
      <c r="AB255" s="860"/>
      <c r="AC255" s="860"/>
      <c r="AD255" s="860"/>
      <c r="AE255" s="860"/>
      <c r="AF255" s="860"/>
      <c r="AG255" s="860"/>
      <c r="AH255" s="860"/>
      <c r="AI255" s="860"/>
      <c r="AJ255" s="860"/>
      <c r="AK255" s="860"/>
      <c r="AL255" s="860"/>
      <c r="AM255" s="860"/>
      <c r="AN255" s="860"/>
      <c r="AO255" s="860"/>
      <c r="AP255" s="860"/>
      <c r="AQ255" s="860"/>
      <c r="AR255" s="860"/>
      <c r="AS255" s="860"/>
      <c r="AT255" s="860"/>
      <c r="AU255" s="860"/>
      <c r="AV255" s="860"/>
      <c r="AW255" s="860"/>
      <c r="AX255" s="860"/>
      <c r="AY255" s="860"/>
      <c r="AZ255" s="860"/>
      <c r="BA255" s="860"/>
      <c r="BB255" s="860"/>
      <c r="BC255" s="860"/>
      <c r="BD255" s="860"/>
      <c r="BE255" s="860"/>
      <c r="BF255" s="861"/>
      <c r="BG255" s="862"/>
    </row>
    <row r="256" spans="1:61" s="1297" customFormat="1" x14ac:dyDescent="0.2">
      <c r="B256" s="837"/>
      <c r="C256" s="837"/>
      <c r="D256" s="837"/>
      <c r="E256" s="837"/>
      <c r="F256" s="837"/>
      <c r="G256" s="837"/>
      <c r="H256" s="837"/>
      <c r="I256" s="837"/>
      <c r="J256" s="837"/>
      <c r="K256" s="837"/>
      <c r="L256" s="837"/>
      <c r="M256" s="837"/>
      <c r="N256" s="837"/>
      <c r="O256" s="837"/>
      <c r="P256" s="837"/>
      <c r="Q256" s="837"/>
      <c r="R256" s="837"/>
      <c r="S256" s="837"/>
      <c r="T256" s="837"/>
      <c r="U256" s="837"/>
      <c r="V256" s="837"/>
      <c r="W256" s="837"/>
      <c r="X256" s="837"/>
      <c r="Y256" s="837"/>
      <c r="Z256" s="837"/>
      <c r="AA256" s="837"/>
      <c r="AB256" s="837"/>
      <c r="AC256" s="837"/>
      <c r="AD256" s="837"/>
      <c r="AE256" s="837"/>
      <c r="AF256" s="837"/>
      <c r="AG256" s="837"/>
      <c r="AH256" s="837"/>
      <c r="AI256" s="837"/>
      <c r="AJ256" s="837"/>
      <c r="AK256" s="837"/>
      <c r="AL256" s="837"/>
      <c r="AM256" s="837"/>
      <c r="AN256" s="837"/>
      <c r="AO256" s="837"/>
      <c r="AP256" s="837"/>
      <c r="AQ256" s="837"/>
      <c r="AR256" s="837"/>
      <c r="AS256" s="837"/>
      <c r="AT256" s="837"/>
      <c r="AU256" s="837"/>
      <c r="AV256" s="837"/>
      <c r="AW256" s="837"/>
      <c r="AX256" s="837"/>
      <c r="AY256" s="837"/>
      <c r="AZ256" s="837"/>
      <c r="BA256" s="837"/>
      <c r="BB256" s="837"/>
      <c r="BC256" s="837"/>
      <c r="BD256" s="837"/>
      <c r="BE256" s="837"/>
      <c r="BF256" s="837"/>
      <c r="BG256" s="837"/>
    </row>
    <row r="257" spans="1:59" s="1297" customFormat="1" x14ac:dyDescent="0.2">
      <c r="B257" s="837"/>
      <c r="C257" s="837"/>
      <c r="D257" s="837"/>
      <c r="E257" s="837"/>
      <c r="F257" s="837"/>
      <c r="G257" s="837"/>
      <c r="H257" s="837"/>
      <c r="I257" s="837"/>
      <c r="J257" s="837"/>
      <c r="K257" s="837"/>
      <c r="L257" s="837"/>
      <c r="M257" s="837"/>
      <c r="N257" s="837"/>
      <c r="O257" s="837"/>
      <c r="P257" s="837"/>
      <c r="Q257" s="837"/>
      <c r="R257" s="837"/>
      <c r="S257" s="837"/>
      <c r="T257" s="837"/>
      <c r="U257" s="837"/>
      <c r="V257" s="837"/>
      <c r="W257" s="837"/>
      <c r="X257" s="837"/>
      <c r="Y257" s="837"/>
      <c r="Z257" s="837"/>
      <c r="AA257" s="837"/>
      <c r="AB257" s="837"/>
      <c r="AC257" s="837"/>
      <c r="AD257" s="837"/>
      <c r="AE257" s="837"/>
      <c r="AF257" s="837"/>
      <c r="AG257" s="837"/>
      <c r="AH257" s="837"/>
      <c r="AI257" s="837"/>
      <c r="AJ257" s="837"/>
      <c r="AK257" s="837"/>
      <c r="AL257" s="837"/>
      <c r="AM257" s="837"/>
      <c r="AN257" s="837"/>
      <c r="AO257" s="837"/>
      <c r="AP257" s="837"/>
      <c r="AQ257" s="837"/>
      <c r="AR257" s="837"/>
      <c r="AS257" s="837"/>
      <c r="AT257" s="837"/>
      <c r="AU257" s="837"/>
      <c r="AV257" s="837"/>
      <c r="AW257" s="837"/>
      <c r="AX257" s="837"/>
      <c r="AY257" s="837"/>
      <c r="AZ257" s="837"/>
      <c r="BA257" s="837"/>
      <c r="BB257" s="837"/>
      <c r="BC257" s="837"/>
      <c r="BD257" s="837"/>
      <c r="BE257" s="837"/>
      <c r="BF257" s="837"/>
      <c r="BG257" s="837"/>
    </row>
    <row r="258" spans="1:59" s="1297" customFormat="1" x14ac:dyDescent="0.2">
      <c r="B258" s="837"/>
      <c r="C258" s="1322" t="s">
        <v>1339</v>
      </c>
      <c r="D258" s="837"/>
      <c r="E258" s="837"/>
      <c r="F258" s="837"/>
      <c r="G258" s="837"/>
      <c r="H258" s="837"/>
      <c r="I258" s="837"/>
      <c r="J258" s="837"/>
      <c r="K258" s="837"/>
      <c r="L258" s="837"/>
      <c r="M258" s="837"/>
      <c r="N258" s="837"/>
      <c r="O258" s="837"/>
      <c r="P258" s="837"/>
      <c r="Q258" s="837"/>
      <c r="R258" s="837"/>
      <c r="S258" s="837"/>
      <c r="T258" s="837"/>
      <c r="U258" s="837"/>
      <c r="V258" s="837"/>
      <c r="W258" s="837"/>
      <c r="X258" s="837"/>
      <c r="Y258" s="837"/>
      <c r="Z258" s="837"/>
      <c r="AA258" s="837"/>
      <c r="AB258" s="837"/>
      <c r="AC258" s="837"/>
      <c r="AD258" s="837"/>
      <c r="AE258" s="837"/>
      <c r="AF258" s="837"/>
      <c r="AG258" s="837"/>
      <c r="AH258" s="837"/>
      <c r="AI258" s="837"/>
      <c r="AJ258" s="837"/>
      <c r="AK258" s="837"/>
      <c r="AL258" s="837"/>
      <c r="AM258" s="837"/>
      <c r="AN258" s="837"/>
      <c r="AO258" s="837"/>
      <c r="AP258" s="837"/>
      <c r="AQ258" s="837"/>
      <c r="AR258" s="837"/>
      <c r="AS258" s="837"/>
      <c r="AT258" s="837"/>
      <c r="AU258" s="837"/>
      <c r="AV258" s="837"/>
      <c r="AW258" s="837"/>
      <c r="AX258" s="2591">
        <v>2010</v>
      </c>
      <c r="AY258" s="2591">
        <v>2015</v>
      </c>
      <c r="AZ258" s="2591">
        <v>2020</v>
      </c>
      <c r="BA258" s="2591">
        <v>2025</v>
      </c>
      <c r="BB258" s="2591">
        <v>2030</v>
      </c>
      <c r="BC258" s="2591">
        <v>2035</v>
      </c>
      <c r="BD258" s="2591">
        <v>2040</v>
      </c>
      <c r="BE258" s="2591">
        <v>2045</v>
      </c>
      <c r="BF258" s="2591">
        <v>2050</v>
      </c>
      <c r="BG258" s="837"/>
    </row>
    <row r="259" spans="1:59" s="1297" customFormat="1" x14ac:dyDescent="0.2">
      <c r="B259" s="837"/>
      <c r="C259" s="1319" t="s">
        <v>1327</v>
      </c>
      <c r="D259" s="841"/>
      <c r="E259" s="837"/>
      <c r="F259" s="837"/>
      <c r="G259" s="837"/>
      <c r="H259" s="837"/>
      <c r="I259" s="837"/>
      <c r="J259" s="837"/>
      <c r="K259" s="837"/>
      <c r="L259" s="837"/>
      <c r="M259" s="837"/>
      <c r="N259" s="837"/>
      <c r="O259" s="837"/>
      <c r="P259" s="837"/>
      <c r="Q259" s="837"/>
      <c r="R259" s="837"/>
      <c r="S259" s="837"/>
      <c r="T259" s="837"/>
      <c r="U259" s="837"/>
      <c r="V259" s="837"/>
      <c r="W259" s="837"/>
      <c r="X259" s="837"/>
      <c r="Y259" s="837"/>
      <c r="Z259" s="837"/>
      <c r="AA259" s="837"/>
      <c r="AB259" s="837"/>
      <c r="AC259" s="837"/>
      <c r="AD259" s="837"/>
      <c r="AE259" s="837"/>
      <c r="AF259" s="837"/>
      <c r="AG259" s="837"/>
      <c r="AH259" s="837"/>
      <c r="AI259" s="837"/>
      <c r="AJ259" s="837"/>
      <c r="AK259" s="837"/>
      <c r="AL259" s="837"/>
      <c r="AM259" s="837"/>
      <c r="AN259" s="837"/>
      <c r="AO259" s="837"/>
      <c r="AP259" s="837"/>
      <c r="AQ259" s="837"/>
      <c r="AR259" s="837"/>
      <c r="AS259" s="837"/>
      <c r="AT259" s="837"/>
      <c r="AU259" s="837"/>
      <c r="AV259" s="837"/>
      <c r="AW259" s="837"/>
      <c r="AX259" s="1311">
        <f t="shared" ref="AX259:BF259" ca="1" si="86">AX146</f>
        <v>10.773783422309908</v>
      </c>
      <c r="AY259" s="1311">
        <f t="shared" ca="1" si="86"/>
        <v>22.479646124907106</v>
      </c>
      <c r="AZ259" s="1311">
        <f t="shared" ca="1" si="86"/>
        <v>54.548560119226764</v>
      </c>
      <c r="BA259" s="1311">
        <f t="shared" ca="1" si="86"/>
        <v>101.29973062344642</v>
      </c>
      <c r="BB259" s="1311">
        <f t="shared" ca="1" si="86"/>
        <v>168.81947270417561</v>
      </c>
      <c r="BC259" s="1311">
        <f t="shared" ca="1" si="86"/>
        <v>267.93401612751722</v>
      </c>
      <c r="BD259" s="1311">
        <f t="shared" ca="1" si="86"/>
        <v>371.30258296786997</v>
      </c>
      <c r="BE259" s="1311">
        <f t="shared" ca="1" si="86"/>
        <v>474.12883394010095</v>
      </c>
      <c r="BF259" s="1311">
        <f t="shared" ca="1" si="86"/>
        <v>576.93127599111767</v>
      </c>
      <c r="BG259" s="837"/>
    </row>
    <row r="260" spans="1:59" s="1297" customFormat="1" x14ac:dyDescent="0.2">
      <c r="B260" s="837"/>
      <c r="C260" s="1319" t="s">
        <v>1328</v>
      </c>
      <c r="D260" s="841"/>
      <c r="E260" s="837"/>
      <c r="F260" s="837"/>
      <c r="G260" s="837"/>
      <c r="H260" s="837"/>
      <c r="I260" s="837"/>
      <c r="J260" s="837"/>
      <c r="K260" s="837"/>
      <c r="L260" s="837"/>
      <c r="M260" s="837"/>
      <c r="N260" s="837"/>
      <c r="O260" s="837"/>
      <c r="P260" s="837"/>
      <c r="Q260" s="837"/>
      <c r="R260" s="837"/>
      <c r="S260" s="837"/>
      <c r="T260" s="837"/>
      <c r="U260" s="837"/>
      <c r="V260" s="837"/>
      <c r="W260" s="837"/>
      <c r="X260" s="837"/>
      <c r="Y260" s="837"/>
      <c r="Z260" s="837"/>
      <c r="AA260" s="837"/>
      <c r="AB260" s="837"/>
      <c r="AC260" s="837"/>
      <c r="AD260" s="837"/>
      <c r="AE260" s="837"/>
      <c r="AF260" s="837"/>
      <c r="AG260" s="837"/>
      <c r="AH260" s="837"/>
      <c r="AI260" s="837"/>
      <c r="AJ260" s="837"/>
      <c r="AK260" s="837"/>
      <c r="AL260" s="837"/>
      <c r="AM260" s="837"/>
      <c r="AN260" s="837"/>
      <c r="AO260" s="837"/>
      <c r="AP260" s="837"/>
      <c r="AQ260" s="837"/>
      <c r="AR260" s="837"/>
      <c r="AS260" s="837"/>
      <c r="AT260" s="837"/>
      <c r="AU260" s="837"/>
      <c r="AV260" s="837"/>
      <c r="AW260" s="837"/>
      <c r="AX260" s="1311">
        <f ca="1">-AX234*AX238*INDEX(EF[CO2e], MATCH("V.05", EF[Vector], 0))</f>
        <v>-6.3132153762800671</v>
      </c>
      <c r="AY260" s="1311">
        <f ca="1">-AY234*AY238*INDEX(EF[CO2e], MATCH("V.05", EF[Vector], 0))</f>
        <v>-17.306933921120116</v>
      </c>
      <c r="AZ260" s="1311">
        <f ca="1">-AZ234*AZ238*INDEX(EF[CO2e], MATCH("V.05", EF[Vector], 0))</f>
        <v>-37.827341491941134</v>
      </c>
      <c r="BA260" s="1311">
        <f ca="1">-BA234*BA238*INDEX(EF[CO2e], MATCH("V.05", EF[Vector], 0))</f>
        <v>-57.981871762041443</v>
      </c>
      <c r="BB260" s="1311">
        <f ca="1">-BB234*BB238*INDEX(EF[CO2e], MATCH("V.05", EF[Vector], 0))</f>
        <v>-71.778399572459747</v>
      </c>
      <c r="BC260" s="1311">
        <f ca="1">-BC234*BC238*INDEX(EF[CO2e], MATCH("V.05", EF[Vector], 0))</f>
        <v>-88.942270486110715</v>
      </c>
      <c r="BD260" s="1311">
        <f ca="1">-BD234*BD238*INDEX(EF[CO2e], MATCH("V.05", EF[Vector], 0))</f>
        <v>-105.07304750730167</v>
      </c>
      <c r="BE260" s="1311">
        <f ca="1">-BE234*BE238*INDEX(EF[CO2e], MATCH("V.05", EF[Vector], 0))</f>
        <v>-121.27977174941158</v>
      </c>
      <c r="BF260" s="1311">
        <f ca="1">-BF234*BF238*INDEX(EF[CO2e], MATCH("V.05", EF[Vector], 0))</f>
        <v>-136.86929002880399</v>
      </c>
      <c r="BG260" s="837"/>
    </row>
    <row r="261" spans="1:59" s="1318" customFormat="1" x14ac:dyDescent="0.2">
      <c r="B261" s="837"/>
      <c r="C261" s="1319" t="s">
        <v>1329</v>
      </c>
      <c r="D261" s="841"/>
      <c r="E261" s="837"/>
      <c r="F261" s="837"/>
      <c r="G261" s="837"/>
      <c r="H261" s="837"/>
      <c r="I261" s="837"/>
      <c r="J261" s="837"/>
      <c r="K261" s="837"/>
      <c r="L261" s="837"/>
      <c r="M261" s="837"/>
      <c r="N261" s="837"/>
      <c r="O261" s="837"/>
      <c r="P261" s="837"/>
      <c r="Q261" s="837"/>
      <c r="R261" s="837"/>
      <c r="S261" s="837"/>
      <c r="T261" s="837"/>
      <c r="U261" s="837"/>
      <c r="V261" s="837"/>
      <c r="W261" s="837"/>
      <c r="X261" s="837"/>
      <c r="Y261" s="837"/>
      <c r="Z261" s="837"/>
      <c r="AA261" s="837"/>
      <c r="AB261" s="837"/>
      <c r="AC261" s="837"/>
      <c r="AD261" s="837"/>
      <c r="AE261" s="837"/>
      <c r="AF261" s="837"/>
      <c r="AG261" s="837"/>
      <c r="AH261" s="837"/>
      <c r="AI261" s="837"/>
      <c r="AJ261" s="837"/>
      <c r="AK261" s="837"/>
      <c r="AL261" s="837"/>
      <c r="AM261" s="837"/>
      <c r="AN261" s="837"/>
      <c r="AO261" s="837"/>
      <c r="AP261" s="837"/>
      <c r="AQ261" s="837"/>
      <c r="AR261" s="837"/>
      <c r="AS261" s="837"/>
      <c r="AT261" s="837"/>
      <c r="AU261" s="837"/>
      <c r="AV261" s="837"/>
      <c r="AW261" s="837"/>
      <c r="AX261" s="1311">
        <f ca="1">-AX219*AX222*INDEX(EF[CO2e], MATCH("V.03", EF[Vector], 0))</f>
        <v>0</v>
      </c>
      <c r="AY261" s="1311">
        <f ca="1">-AY219*AY222*INDEX(EF[CO2e], MATCH("V.03", EF[Vector], 0))</f>
        <v>0</v>
      </c>
      <c r="AZ261" s="1311">
        <f ca="1">-AZ219*AZ222*INDEX(EF[CO2e], MATCH("V.03", EF[Vector], 0))</f>
        <v>0</v>
      </c>
      <c r="BA261" s="1311">
        <f ca="1">-BA219*BA222*INDEX(EF[CO2e], MATCH("V.03", EF[Vector], 0))</f>
        <v>0</v>
      </c>
      <c r="BB261" s="1311">
        <f ca="1">-BB219*BB222*INDEX(EF[CO2e], MATCH("V.03", EF[Vector], 0))</f>
        <v>0</v>
      </c>
      <c r="BC261" s="1311">
        <f ca="1">-BC219*BC222*INDEX(EF[CO2e], MATCH("V.03", EF[Vector], 0))</f>
        <v>0</v>
      </c>
      <c r="BD261" s="1311">
        <f ca="1">-BD219*BD222*INDEX(EF[CO2e], MATCH("V.03", EF[Vector], 0))</f>
        <v>0</v>
      </c>
      <c r="BE261" s="1311">
        <f ca="1">-BE219*BE222*INDEX(EF[CO2e], MATCH("V.03", EF[Vector], 0))</f>
        <v>0</v>
      </c>
      <c r="BF261" s="1311">
        <f ca="1">-BF219*BF222*INDEX(EF[CO2e], MATCH("V.03", EF[Vector], 0))</f>
        <v>0</v>
      </c>
      <c r="BG261" s="837"/>
    </row>
    <row r="262" spans="1:59" s="1318" customFormat="1" x14ac:dyDescent="0.2">
      <c r="B262" s="837"/>
      <c r="C262" s="1319" t="s">
        <v>1330</v>
      </c>
      <c r="D262" s="841"/>
      <c r="E262" s="837"/>
      <c r="F262" s="837"/>
      <c r="G262" s="837"/>
      <c r="H262" s="837"/>
      <c r="I262" s="837"/>
      <c r="J262" s="837"/>
      <c r="K262" s="837"/>
      <c r="L262" s="837"/>
      <c r="M262" s="837"/>
      <c r="N262" s="837"/>
      <c r="O262" s="837"/>
      <c r="P262" s="837"/>
      <c r="Q262" s="837"/>
      <c r="R262" s="837"/>
      <c r="S262" s="837"/>
      <c r="T262" s="837"/>
      <c r="U262" s="837"/>
      <c r="V262" s="837"/>
      <c r="W262" s="837"/>
      <c r="X262" s="837"/>
      <c r="Y262" s="837"/>
      <c r="Z262" s="837"/>
      <c r="AA262" s="837"/>
      <c r="AB262" s="837"/>
      <c r="AC262" s="837"/>
      <c r="AD262" s="837"/>
      <c r="AE262" s="837"/>
      <c r="AF262" s="837"/>
      <c r="AG262" s="837"/>
      <c r="AH262" s="837"/>
      <c r="AI262" s="837"/>
      <c r="AJ262" s="837"/>
      <c r="AK262" s="837"/>
      <c r="AL262" s="837"/>
      <c r="AM262" s="837"/>
      <c r="AN262" s="837"/>
      <c r="AO262" s="837"/>
      <c r="AP262" s="837"/>
      <c r="AQ262" s="837"/>
      <c r="AR262" s="837"/>
      <c r="AS262" s="837"/>
      <c r="AT262" s="837"/>
      <c r="AU262" s="837"/>
      <c r="AV262" s="837"/>
      <c r="AW262" s="837"/>
      <c r="AX262" s="1311">
        <f ca="1">-AX219*AX221*INDEX(EF[CO2e], MATCH("V.03", EF[Vector], 0))</f>
        <v>0</v>
      </c>
      <c r="AY262" s="1311">
        <f ca="1">-AY219*AY221*INDEX(EF[CO2e], MATCH("V.03", EF[Vector], 0))</f>
        <v>0</v>
      </c>
      <c r="AZ262" s="1311">
        <f ca="1">-AZ219*AZ221*INDEX(EF[CO2e], MATCH("V.03", EF[Vector], 0))</f>
        <v>0</v>
      </c>
      <c r="BA262" s="1311">
        <f ca="1">-BA219*BA221*INDEX(EF[CO2e], MATCH("V.03", EF[Vector], 0))</f>
        <v>0</v>
      </c>
      <c r="BB262" s="1311">
        <f ca="1">-BB219*BB221*INDEX(EF[CO2e], MATCH("V.03", EF[Vector], 0))</f>
        <v>0</v>
      </c>
      <c r="BC262" s="1311">
        <f ca="1">-BC219*BC221*INDEX(EF[CO2e], MATCH("V.03", EF[Vector], 0))</f>
        <v>0</v>
      </c>
      <c r="BD262" s="1311">
        <f ca="1">-BD219*BD221*INDEX(EF[CO2e], MATCH("V.03", EF[Vector], 0))</f>
        <v>0</v>
      </c>
      <c r="BE262" s="1311">
        <f ca="1">-BE219*BE221*INDEX(EF[CO2e], MATCH("V.03", EF[Vector], 0))</f>
        <v>0</v>
      </c>
      <c r="BF262" s="1311">
        <f ca="1">-BF219*BF221*INDEX(EF[CO2e], MATCH("V.03", EF[Vector], 0))</f>
        <v>0</v>
      </c>
      <c r="BG262" s="837"/>
    </row>
    <row r="263" spans="1:59" s="1318" customFormat="1" x14ac:dyDescent="0.2">
      <c r="B263" s="837"/>
      <c r="C263" s="1319" t="s">
        <v>1331</v>
      </c>
      <c r="D263" s="841"/>
      <c r="E263" s="837"/>
      <c r="F263" s="837"/>
      <c r="G263" s="837"/>
      <c r="H263" s="837"/>
      <c r="I263" s="837"/>
      <c r="J263" s="837"/>
      <c r="K263" s="837"/>
      <c r="L263" s="837"/>
      <c r="M263" s="837"/>
      <c r="N263" s="837"/>
      <c r="O263" s="837"/>
      <c r="P263" s="837"/>
      <c r="Q263" s="837"/>
      <c r="R263" s="837"/>
      <c r="S263" s="837"/>
      <c r="T263" s="837"/>
      <c r="U263" s="837"/>
      <c r="V263" s="837"/>
      <c r="W263" s="837"/>
      <c r="X263" s="837"/>
      <c r="Y263" s="837"/>
      <c r="Z263" s="837"/>
      <c r="AA263" s="837"/>
      <c r="AB263" s="837"/>
      <c r="AC263" s="837"/>
      <c r="AD263" s="837"/>
      <c r="AE263" s="837"/>
      <c r="AF263" s="837"/>
      <c r="AG263" s="837"/>
      <c r="AH263" s="837"/>
      <c r="AI263" s="837"/>
      <c r="AJ263" s="837"/>
      <c r="AK263" s="837"/>
      <c r="AL263" s="837"/>
      <c r="AM263" s="837"/>
      <c r="AN263" s="837"/>
      <c r="AO263" s="837"/>
      <c r="AP263" s="837"/>
      <c r="AQ263" s="837"/>
      <c r="AR263" s="837"/>
      <c r="AS263" s="837"/>
      <c r="AT263" s="837"/>
      <c r="AU263" s="837"/>
      <c r="AV263" s="837"/>
      <c r="AW263" s="837"/>
      <c r="AX263" s="1311">
        <f t="shared" ref="AX263:BF263" ca="1" si="87">SUM(AX259:AX262)</f>
        <v>4.4605680460298407</v>
      </c>
      <c r="AY263" s="1311">
        <f t="shared" ca="1" si="87"/>
        <v>5.1727122037869897</v>
      </c>
      <c r="AZ263" s="1311">
        <f t="shared" ca="1" si="87"/>
        <v>16.72121862728563</v>
      </c>
      <c r="BA263" s="1311">
        <f t="shared" ca="1" si="87"/>
        <v>43.317858861404979</v>
      </c>
      <c r="BB263" s="1311">
        <f t="shared" ca="1" si="87"/>
        <v>97.041073131715862</v>
      </c>
      <c r="BC263" s="1311">
        <f t="shared" ca="1" si="87"/>
        <v>178.99174564140651</v>
      </c>
      <c r="BD263" s="1311">
        <f t="shared" ca="1" si="87"/>
        <v>266.22953546056829</v>
      </c>
      <c r="BE263" s="1311">
        <f t="shared" ca="1" si="87"/>
        <v>352.84906219068938</v>
      </c>
      <c r="BF263" s="1311">
        <f t="shared" ca="1" si="87"/>
        <v>440.06198596231366</v>
      </c>
      <c r="BG263" s="837"/>
    </row>
    <row r="264" spans="1:59" s="1318" customFormat="1" x14ac:dyDescent="0.2">
      <c r="B264" s="837"/>
      <c r="C264" s="1319"/>
      <c r="D264" s="841"/>
      <c r="E264" s="837"/>
      <c r="F264" s="837"/>
      <c r="G264" s="837"/>
      <c r="H264" s="837"/>
      <c r="I264" s="837"/>
      <c r="J264" s="837"/>
      <c r="K264" s="837"/>
      <c r="L264" s="837"/>
      <c r="M264" s="837"/>
      <c r="N264" s="837"/>
      <c r="O264" s="837"/>
      <c r="P264" s="837"/>
      <c r="Q264" s="837"/>
      <c r="R264" s="837"/>
      <c r="S264" s="837"/>
      <c r="T264" s="837"/>
      <c r="U264" s="837"/>
      <c r="V264" s="837"/>
      <c r="W264" s="837"/>
      <c r="X264" s="837"/>
      <c r="Y264" s="837"/>
      <c r="Z264" s="837"/>
      <c r="AA264" s="837"/>
      <c r="AB264" s="837"/>
      <c r="AC264" s="837"/>
      <c r="AD264" s="837"/>
      <c r="AE264" s="837"/>
      <c r="AF264" s="837"/>
      <c r="AG264" s="837"/>
      <c r="AH264" s="837"/>
      <c r="AI264" s="837"/>
      <c r="AJ264" s="837"/>
      <c r="AK264" s="837"/>
      <c r="AL264" s="837"/>
      <c r="AM264" s="837"/>
      <c r="AN264" s="837"/>
      <c r="AO264" s="837"/>
      <c r="AP264" s="837"/>
      <c r="AQ264" s="837"/>
      <c r="AR264" s="837"/>
      <c r="AS264" s="837"/>
      <c r="AT264" s="837"/>
      <c r="AU264" s="837"/>
      <c r="AV264" s="837"/>
      <c r="AW264" s="837"/>
      <c r="AX264" s="1311"/>
      <c r="AY264" s="1311"/>
      <c r="AZ264" s="1311"/>
      <c r="BA264" s="1311"/>
      <c r="BB264" s="1311"/>
      <c r="BC264" s="1311"/>
      <c r="BD264" s="1311"/>
      <c r="BE264" s="1311"/>
      <c r="BF264" s="1311"/>
      <c r="BG264" s="837"/>
    </row>
    <row r="265" spans="1:59" s="1318" customFormat="1" x14ac:dyDescent="0.2">
      <c r="B265" s="837"/>
      <c r="C265" s="1309" t="s">
        <v>1340</v>
      </c>
      <c r="D265" s="841"/>
      <c r="E265" s="837"/>
      <c r="F265" s="837"/>
      <c r="G265" s="837"/>
      <c r="H265" s="837"/>
      <c r="I265" s="837"/>
      <c r="J265" s="837"/>
      <c r="K265" s="837"/>
      <c r="L265" s="837"/>
      <c r="M265" s="837"/>
      <c r="N265" s="837"/>
      <c r="O265" s="837"/>
      <c r="P265" s="837"/>
      <c r="Q265" s="837"/>
      <c r="R265" s="837"/>
      <c r="S265" s="837"/>
      <c r="T265" s="837"/>
      <c r="U265" s="837"/>
      <c r="V265" s="837"/>
      <c r="W265" s="837"/>
      <c r="X265" s="837"/>
      <c r="Y265" s="837"/>
      <c r="Z265" s="837"/>
      <c r="AA265" s="837"/>
      <c r="AB265" s="837"/>
      <c r="AC265" s="837"/>
      <c r="AD265" s="837"/>
      <c r="AE265" s="837"/>
      <c r="AF265" s="837"/>
      <c r="AG265" s="837"/>
      <c r="AH265" s="837"/>
      <c r="AI265" s="837"/>
      <c r="AJ265" s="837"/>
      <c r="AK265" s="837"/>
      <c r="AL265" s="837"/>
      <c r="AM265" s="837"/>
      <c r="AN265" s="837"/>
      <c r="AO265" s="837"/>
      <c r="AP265" s="837"/>
      <c r="AQ265" s="837"/>
      <c r="AR265" s="837"/>
      <c r="AS265" s="837"/>
      <c r="AT265" s="837"/>
      <c r="AU265" s="837"/>
      <c r="AV265" s="837"/>
      <c r="AW265" s="837"/>
      <c r="AX265" s="2591">
        <v>2010</v>
      </c>
      <c r="AY265" s="2591">
        <v>2015</v>
      </c>
      <c r="AZ265" s="2591">
        <v>2020</v>
      </c>
      <c r="BA265" s="2591">
        <v>2025</v>
      </c>
      <c r="BB265" s="2591">
        <v>2030</v>
      </c>
      <c r="BC265" s="2591">
        <v>2035</v>
      </c>
      <c r="BD265" s="2591">
        <v>2040</v>
      </c>
      <c r="BE265" s="2591">
        <v>2045</v>
      </c>
      <c r="BF265" s="2591">
        <v>2050</v>
      </c>
      <c r="BG265" s="837"/>
    </row>
    <row r="266" spans="1:59" s="1297" customFormat="1" x14ac:dyDescent="0.2">
      <c r="B266" s="837"/>
      <c r="C266" s="838">
        <v>1</v>
      </c>
      <c r="D266" s="837" t="s">
        <v>462</v>
      </c>
      <c r="E266" s="837"/>
      <c r="F266" s="837"/>
      <c r="G266" s="837"/>
      <c r="H266" s="837"/>
      <c r="I266" s="837"/>
      <c r="J266" s="837"/>
      <c r="K266" s="837"/>
      <c r="L266" s="837"/>
      <c r="M266" s="837"/>
      <c r="N266" s="837"/>
      <c r="O266" s="837"/>
      <c r="P266" s="837"/>
      <c r="Q266" s="837"/>
      <c r="R266" s="837"/>
      <c r="S266" s="837"/>
      <c r="T266" s="837"/>
      <c r="U266" s="837"/>
      <c r="V266" s="837"/>
      <c r="W266" s="837"/>
      <c r="X266" s="837"/>
      <c r="Y266" s="837"/>
      <c r="Z266" s="837"/>
      <c r="AA266" s="837"/>
      <c r="AB266" s="837"/>
      <c r="AC266" s="837"/>
      <c r="AD266" s="837"/>
      <c r="AE266" s="837"/>
      <c r="AF266" s="837"/>
      <c r="AG266" s="837"/>
      <c r="AH266" s="837"/>
      <c r="AI266" s="837"/>
      <c r="AJ266" s="837"/>
      <c r="AK266" s="837"/>
      <c r="AL266" s="837"/>
      <c r="AM266" s="837"/>
      <c r="AN266" s="837"/>
      <c r="AO266" s="837"/>
      <c r="AP266" s="837"/>
      <c r="AQ266" s="837"/>
      <c r="AR266" s="837"/>
      <c r="AS266" s="837"/>
      <c r="AT266" s="837"/>
      <c r="AU266" s="837"/>
      <c r="AV266" s="837"/>
      <c r="AW266" s="837"/>
      <c r="AX266" s="1311">
        <f ca="1">AX259</f>
        <v>10.773783422309908</v>
      </c>
      <c r="AY266" s="1311">
        <f t="shared" ref="AY266:BF266" ca="1" si="88">AY259</f>
        <v>22.479646124907106</v>
      </c>
      <c r="AZ266" s="1311">
        <f t="shared" ca="1" si="88"/>
        <v>54.548560119226764</v>
      </c>
      <c r="BA266" s="1311">
        <f t="shared" ca="1" si="88"/>
        <v>101.29973062344642</v>
      </c>
      <c r="BB266" s="1311">
        <f t="shared" ca="1" si="88"/>
        <v>168.81947270417561</v>
      </c>
      <c r="BC266" s="1311">
        <f t="shared" ca="1" si="88"/>
        <v>267.93401612751722</v>
      </c>
      <c r="BD266" s="1311">
        <f t="shared" ca="1" si="88"/>
        <v>371.30258296786997</v>
      </c>
      <c r="BE266" s="1311">
        <f t="shared" ca="1" si="88"/>
        <v>474.12883394010095</v>
      </c>
      <c r="BF266" s="1311">
        <f t="shared" ca="1" si="88"/>
        <v>576.93127599111767</v>
      </c>
      <c r="BG266" s="837"/>
    </row>
    <row r="267" spans="1:59" s="1297" customFormat="1" x14ac:dyDescent="0.2">
      <c r="B267" s="837"/>
      <c r="C267" s="838" t="s">
        <v>469</v>
      </c>
      <c r="D267" s="1321" t="s">
        <v>902</v>
      </c>
      <c r="E267" s="837"/>
      <c r="F267" s="837"/>
      <c r="G267" s="837"/>
      <c r="H267" s="837"/>
      <c r="I267" s="837"/>
      <c r="J267" s="837"/>
      <c r="K267" s="837"/>
      <c r="L267" s="837"/>
      <c r="M267" s="837"/>
      <c r="N267" s="837"/>
      <c r="O267" s="837"/>
      <c r="P267" s="837"/>
      <c r="Q267" s="837"/>
      <c r="R267" s="837"/>
      <c r="S267" s="837"/>
      <c r="T267" s="837"/>
      <c r="U267" s="837"/>
      <c r="V267" s="837"/>
      <c r="W267" s="837"/>
      <c r="X267" s="837"/>
      <c r="Y267" s="837"/>
      <c r="Z267" s="837"/>
      <c r="AA267" s="837"/>
      <c r="AB267" s="837"/>
      <c r="AC267" s="837"/>
      <c r="AD267" s="837"/>
      <c r="AE267" s="837"/>
      <c r="AF267" s="837"/>
      <c r="AG267" s="837"/>
      <c r="AH267" s="837"/>
      <c r="AI267" s="837"/>
      <c r="AJ267" s="837"/>
      <c r="AK267" s="837"/>
      <c r="AL267" s="837"/>
      <c r="AM267" s="837"/>
      <c r="AN267" s="837"/>
      <c r="AO267" s="837"/>
      <c r="AP267" s="837"/>
      <c r="AQ267" s="837"/>
      <c r="AR267" s="837"/>
      <c r="AS267" s="837"/>
      <c r="AT267" s="837"/>
      <c r="AU267" s="837"/>
      <c r="AV267" s="837"/>
      <c r="AW267" s="837"/>
      <c r="AX267" s="1311">
        <f t="shared" ref="AX267:BF267" ca="1" si="89">SUM(AX260:AX262)</f>
        <v>-6.3132153762800671</v>
      </c>
      <c r="AY267" s="1311">
        <f t="shared" ca="1" si="89"/>
        <v>-17.306933921120116</v>
      </c>
      <c r="AZ267" s="1311">
        <f t="shared" ca="1" si="89"/>
        <v>-37.827341491941134</v>
      </c>
      <c r="BA267" s="1311">
        <f t="shared" ca="1" si="89"/>
        <v>-57.981871762041443</v>
      </c>
      <c r="BB267" s="1311">
        <f t="shared" ca="1" si="89"/>
        <v>-71.778399572459747</v>
      </c>
      <c r="BC267" s="1311">
        <f t="shared" ca="1" si="89"/>
        <v>-88.942270486110715</v>
      </c>
      <c r="BD267" s="1311">
        <f t="shared" ca="1" si="89"/>
        <v>-105.07304750730167</v>
      </c>
      <c r="BE267" s="1311">
        <f t="shared" ca="1" si="89"/>
        <v>-121.27977174941158</v>
      </c>
      <c r="BF267" s="1311">
        <f t="shared" ca="1" si="89"/>
        <v>-136.86929002880399</v>
      </c>
      <c r="BG267" s="837"/>
    </row>
    <row r="268" spans="1:59" s="1312" customFormat="1" x14ac:dyDescent="0.2">
      <c r="B268" s="837"/>
      <c r="C268" s="838"/>
      <c r="D268" s="1321" t="s">
        <v>105</v>
      </c>
      <c r="E268" s="837"/>
      <c r="F268" s="837"/>
      <c r="G268" s="837"/>
      <c r="H268" s="837"/>
      <c r="I268" s="837"/>
      <c r="J268" s="837"/>
      <c r="K268" s="837"/>
      <c r="L268" s="837"/>
      <c r="M268" s="837"/>
      <c r="N268" s="837"/>
      <c r="O268" s="837"/>
      <c r="P268" s="837"/>
      <c r="Q268" s="837"/>
      <c r="R268" s="837"/>
      <c r="S268" s="837"/>
      <c r="T268" s="837"/>
      <c r="U268" s="837"/>
      <c r="V268" s="837"/>
      <c r="W268" s="837"/>
      <c r="X268" s="837"/>
      <c r="Y268" s="837"/>
      <c r="Z268" s="837"/>
      <c r="AA268" s="837"/>
      <c r="AB268" s="837"/>
      <c r="AC268" s="837"/>
      <c r="AD268" s="837"/>
      <c r="AE268" s="837"/>
      <c r="AF268" s="837"/>
      <c r="AG268" s="837"/>
      <c r="AH268" s="837"/>
      <c r="AI268" s="837"/>
      <c r="AJ268" s="837"/>
      <c r="AK268" s="837"/>
      <c r="AL268" s="837"/>
      <c r="AM268" s="837"/>
      <c r="AN268" s="837"/>
      <c r="AO268" s="837"/>
      <c r="AP268" s="837"/>
      <c r="AQ268" s="837"/>
      <c r="AR268" s="837"/>
      <c r="AS268" s="837"/>
      <c r="AT268" s="837"/>
      <c r="AU268" s="837"/>
      <c r="AV268" s="837"/>
      <c r="AW268" s="837"/>
      <c r="AX268" s="1311">
        <f t="shared" ref="AX268:BF268" ca="1" si="90">AX263</f>
        <v>4.4605680460298407</v>
      </c>
      <c r="AY268" s="1311">
        <f t="shared" ca="1" si="90"/>
        <v>5.1727122037869897</v>
      </c>
      <c r="AZ268" s="1311">
        <f t="shared" ca="1" si="90"/>
        <v>16.72121862728563</v>
      </c>
      <c r="BA268" s="1311">
        <f t="shared" ca="1" si="90"/>
        <v>43.317858861404979</v>
      </c>
      <c r="BB268" s="1311">
        <f t="shared" ca="1" si="90"/>
        <v>97.041073131715862</v>
      </c>
      <c r="BC268" s="1311">
        <f t="shared" ca="1" si="90"/>
        <v>178.99174564140651</v>
      </c>
      <c r="BD268" s="1311">
        <f t="shared" ca="1" si="90"/>
        <v>266.22953546056829</v>
      </c>
      <c r="BE268" s="1311">
        <f t="shared" ca="1" si="90"/>
        <v>352.84906219068938</v>
      </c>
      <c r="BF268" s="1311">
        <f t="shared" ca="1" si="90"/>
        <v>440.06198596231366</v>
      </c>
      <c r="BG268" s="837"/>
    </row>
    <row r="269" spans="1:59" s="1312" customFormat="1" x14ac:dyDescent="0.2">
      <c r="B269" s="837"/>
      <c r="C269" s="1310"/>
      <c r="D269" s="837"/>
      <c r="E269" s="837"/>
      <c r="F269" s="837"/>
      <c r="G269" s="837"/>
      <c r="H269" s="837"/>
      <c r="I269" s="837"/>
      <c r="J269" s="837"/>
      <c r="K269" s="837"/>
      <c r="L269" s="837"/>
      <c r="M269" s="837"/>
      <c r="N269" s="837"/>
      <c r="O269" s="837"/>
      <c r="P269" s="837"/>
      <c r="Q269" s="837"/>
      <c r="R269" s="837"/>
      <c r="S269" s="837"/>
      <c r="T269" s="837"/>
      <c r="U269" s="837"/>
      <c r="V269" s="837"/>
      <c r="W269" s="837"/>
      <c r="X269" s="837"/>
      <c r="Y269" s="837"/>
      <c r="Z269" s="837"/>
      <c r="AA269" s="837"/>
      <c r="AB269" s="837"/>
      <c r="AC269" s="837"/>
      <c r="AD269" s="837"/>
      <c r="AE269" s="837"/>
      <c r="AF269" s="837"/>
      <c r="AG269" s="837"/>
      <c r="AH269" s="837"/>
      <c r="AI269" s="837"/>
      <c r="AJ269" s="837"/>
      <c r="AK269" s="837"/>
      <c r="AL269" s="837"/>
      <c r="AM269" s="837"/>
      <c r="AN269" s="837"/>
      <c r="AO269" s="837"/>
      <c r="AP269" s="837"/>
      <c r="AQ269" s="837"/>
      <c r="AR269" s="837"/>
      <c r="AS269" s="837"/>
      <c r="AT269" s="837"/>
      <c r="AU269" s="837"/>
      <c r="AV269" s="837"/>
      <c r="AW269" s="837"/>
      <c r="AX269" s="837"/>
      <c r="AY269" s="837"/>
      <c r="AZ269" s="837"/>
      <c r="BA269" s="837"/>
      <c r="BB269" s="837"/>
      <c r="BC269" s="837"/>
      <c r="BD269" s="837"/>
      <c r="BE269" s="837"/>
      <c r="BF269" s="837"/>
      <c r="BG269" s="837"/>
    </row>
    <row r="270" spans="1:59" s="1297" customFormat="1" x14ac:dyDescent="0.2">
      <c r="B270" s="837"/>
      <c r="C270" s="1308" t="s">
        <v>1341</v>
      </c>
      <c r="D270" s="968"/>
      <c r="E270" s="1305" t="s">
        <v>1373</v>
      </c>
      <c r="F270" s="874"/>
      <c r="G270" s="874"/>
      <c r="H270" s="874"/>
      <c r="I270" s="874"/>
      <c r="J270" s="874"/>
      <c r="K270" s="874"/>
      <c r="L270" s="874"/>
      <c r="M270" s="874"/>
      <c r="N270" s="874"/>
      <c r="O270" s="874"/>
      <c r="P270" s="874"/>
      <c r="Q270" s="874"/>
      <c r="R270" s="874"/>
      <c r="S270" s="874"/>
      <c r="T270" s="874"/>
      <c r="U270" s="874"/>
      <c r="V270" s="874"/>
      <c r="W270" s="874"/>
      <c r="X270" s="874"/>
      <c r="Y270" s="874"/>
      <c r="Z270" s="874"/>
      <c r="AA270" s="874"/>
      <c r="AB270" s="874"/>
      <c r="AC270" s="874"/>
      <c r="AD270" s="874"/>
      <c r="AE270" s="874"/>
      <c r="AF270" s="874"/>
      <c r="AG270" s="874"/>
      <c r="AH270" s="874"/>
      <c r="AI270" s="874"/>
      <c r="AJ270" s="874"/>
      <c r="AK270" s="874"/>
      <c r="AL270" s="874"/>
      <c r="AM270" s="874"/>
      <c r="AN270" s="874"/>
      <c r="AO270" s="874"/>
      <c r="AP270" s="874"/>
      <c r="AQ270" s="874"/>
      <c r="AR270" s="874"/>
      <c r="AS270" s="874"/>
      <c r="AT270" s="874"/>
      <c r="AU270" s="874"/>
      <c r="AV270" s="874"/>
      <c r="AW270" s="874"/>
      <c r="AX270" s="2160">
        <f t="shared" ref="AX270:BF270" ca="1" si="91">AX263/AX105</f>
        <v>3.1622095265129962E-2</v>
      </c>
      <c r="AY270" s="2160">
        <f t="shared" ca="1" si="91"/>
        <v>3.1075001758019954E-2</v>
      </c>
      <c r="AZ270" s="2160">
        <f t="shared" ca="1" si="91"/>
        <v>7.3933487681774407E-2</v>
      </c>
      <c r="BA270" s="2160">
        <f t="shared" ca="1" si="91"/>
        <v>0.12522957738148713</v>
      </c>
      <c r="BB270" s="2160">
        <f t="shared" ca="1" si="91"/>
        <v>0.18013723672723145</v>
      </c>
      <c r="BC270" s="2160">
        <f t="shared" ca="1" si="91"/>
        <v>0.22266880671719233</v>
      </c>
      <c r="BD270" s="2160">
        <f t="shared" ca="1" si="91"/>
        <v>0.2502040357416801</v>
      </c>
      <c r="BE270" s="2160">
        <f t="shared" ca="1" si="91"/>
        <v>0.25909167133177474</v>
      </c>
      <c r="BF270" s="2160">
        <f t="shared" ca="1" si="91"/>
        <v>0.25652389023985672</v>
      </c>
      <c r="BG270" s="837"/>
    </row>
    <row r="271" spans="1:59" s="38" customFormat="1" x14ac:dyDescent="0.2">
      <c r="B271" s="837"/>
      <c r="C271" s="1308"/>
      <c r="D271" s="968"/>
      <c r="E271" s="1305" t="s">
        <v>1377</v>
      </c>
      <c r="F271" s="874"/>
      <c r="G271" s="874"/>
      <c r="H271" s="874"/>
      <c r="I271" s="874"/>
      <c r="J271" s="874"/>
      <c r="K271" s="874"/>
      <c r="L271" s="874"/>
      <c r="M271" s="874"/>
      <c r="N271" s="874"/>
      <c r="O271" s="874"/>
      <c r="P271" s="874"/>
      <c r="Q271" s="874"/>
      <c r="R271" s="874"/>
      <c r="S271" s="874"/>
      <c r="T271" s="874"/>
      <c r="U271" s="874"/>
      <c r="V271" s="874"/>
      <c r="W271" s="874"/>
      <c r="X271" s="874"/>
      <c r="Y271" s="874"/>
      <c r="Z271" s="874"/>
      <c r="AA271" s="874"/>
      <c r="AB271" s="874"/>
      <c r="AC271" s="874"/>
      <c r="AD271" s="874"/>
      <c r="AE271" s="874"/>
      <c r="AF271" s="874"/>
      <c r="AG271" s="874"/>
      <c r="AH271" s="874"/>
      <c r="AI271" s="874"/>
      <c r="AJ271" s="874"/>
      <c r="AK271" s="874"/>
      <c r="AL271" s="874"/>
      <c r="AM271" s="874"/>
      <c r="AN271" s="874"/>
      <c r="AO271" s="874"/>
      <c r="AP271" s="874"/>
      <c r="AQ271" s="874"/>
      <c r="AR271" s="874"/>
      <c r="AS271" s="874"/>
      <c r="AT271" s="874"/>
      <c r="AU271" s="874"/>
      <c r="AV271" s="874"/>
      <c r="AW271" s="874"/>
      <c r="AX271" s="2160">
        <f ca="1">AX270*1000</f>
        <v>31.622095265129964</v>
      </c>
      <c r="AY271" s="2160">
        <f t="shared" ref="AY271:BF271" ca="1" si="92">AY270*1000</f>
        <v>31.075001758019955</v>
      </c>
      <c r="AZ271" s="2160">
        <f t="shared" ca="1" si="92"/>
        <v>73.933487681774409</v>
      </c>
      <c r="BA271" s="2160">
        <f t="shared" ca="1" si="92"/>
        <v>125.22957738148713</v>
      </c>
      <c r="BB271" s="2160">
        <f t="shared" ca="1" si="92"/>
        <v>180.13723672723145</v>
      </c>
      <c r="BC271" s="2160">
        <f t="shared" ca="1" si="92"/>
        <v>222.66880671719233</v>
      </c>
      <c r="BD271" s="2160">
        <f t="shared" ca="1" si="92"/>
        <v>250.20403574168009</v>
      </c>
      <c r="BE271" s="2160">
        <f t="shared" ca="1" si="92"/>
        <v>259.09167133177476</v>
      </c>
      <c r="BF271" s="2160">
        <f t="shared" ca="1" si="92"/>
        <v>256.52389023985671</v>
      </c>
      <c r="BG271" s="837"/>
    </row>
    <row r="272" spans="1:59" s="38" customFormat="1" ht="22.5" x14ac:dyDescent="0.3">
      <c r="A272" s="409"/>
      <c r="B272" s="837"/>
      <c r="C272" s="1308"/>
      <c r="D272" s="968"/>
      <c r="E272" s="1305"/>
      <c r="F272" s="874"/>
      <c r="G272" s="874"/>
      <c r="H272" s="874"/>
      <c r="I272" s="874"/>
      <c r="J272" s="874"/>
      <c r="K272" s="874"/>
      <c r="L272" s="874"/>
      <c r="M272" s="874"/>
      <c r="N272" s="874"/>
      <c r="O272" s="874"/>
      <c r="P272" s="874"/>
      <c r="Q272" s="874"/>
      <c r="R272" s="874"/>
      <c r="S272" s="874"/>
      <c r="T272" s="874"/>
      <c r="U272" s="874"/>
      <c r="V272" s="874"/>
      <c r="W272" s="874"/>
      <c r="X272" s="874"/>
      <c r="Y272" s="874"/>
      <c r="Z272" s="874"/>
      <c r="AA272" s="874"/>
      <c r="AB272" s="874"/>
      <c r="AC272" s="874"/>
      <c r="AD272" s="874"/>
      <c r="AE272" s="874"/>
      <c r="AF272" s="874"/>
      <c r="AG272" s="874"/>
      <c r="AH272" s="874"/>
      <c r="AI272" s="874"/>
      <c r="AJ272" s="874"/>
      <c r="AK272" s="874"/>
      <c r="AL272" s="874"/>
      <c r="AM272" s="874"/>
      <c r="AN272" s="874"/>
      <c r="AO272" s="874"/>
      <c r="AP272" s="874"/>
      <c r="AQ272" s="874"/>
      <c r="AR272" s="874"/>
      <c r="AS272" s="874"/>
      <c r="AT272" s="874"/>
      <c r="AU272" s="874"/>
      <c r="AV272" s="874"/>
      <c r="AW272" s="874"/>
      <c r="AX272" s="970"/>
      <c r="AY272" s="970"/>
      <c r="AZ272" s="970"/>
      <c r="BA272" s="970"/>
      <c r="BB272" s="970"/>
      <c r="BC272" s="970"/>
      <c r="BD272" s="970"/>
      <c r="BE272" s="970"/>
      <c r="BF272" s="970"/>
      <c r="BG272" s="837"/>
    </row>
    <row r="273" spans="2:60" s="38" customFormat="1" x14ac:dyDescent="0.2">
      <c r="B273" s="837"/>
      <c r="C273" s="1305" t="s">
        <v>1342</v>
      </c>
      <c r="D273" s="968"/>
      <c r="E273" s="1305"/>
      <c r="F273" s="874"/>
      <c r="G273" s="874"/>
      <c r="H273" s="874"/>
      <c r="I273" s="874"/>
      <c r="J273" s="874"/>
      <c r="K273" s="874"/>
      <c r="L273" s="874"/>
      <c r="M273" s="874"/>
      <c r="N273" s="874"/>
      <c r="O273" s="874"/>
      <c r="P273" s="874"/>
      <c r="Q273" s="874"/>
      <c r="R273" s="874"/>
      <c r="S273" s="874"/>
      <c r="T273" s="874"/>
      <c r="U273" s="874"/>
      <c r="V273" s="874"/>
      <c r="W273" s="874"/>
      <c r="X273" s="874"/>
      <c r="Y273" s="874"/>
      <c r="Z273" s="874"/>
      <c r="AA273" s="874"/>
      <c r="AB273" s="874"/>
      <c r="AC273" s="874"/>
      <c r="AD273" s="874"/>
      <c r="AE273" s="874"/>
      <c r="AF273" s="874"/>
      <c r="AG273" s="874"/>
      <c r="AH273" s="874"/>
      <c r="AI273" s="874"/>
      <c r="AJ273" s="874"/>
      <c r="AK273" s="874"/>
      <c r="AL273" s="874"/>
      <c r="AM273" s="874"/>
      <c r="AN273" s="874"/>
      <c r="AO273" s="874"/>
      <c r="AP273" s="874"/>
      <c r="AQ273" s="874"/>
      <c r="AR273" s="874"/>
      <c r="AS273" s="874"/>
      <c r="AT273" s="874"/>
      <c r="AU273" s="874"/>
      <c r="AV273" s="874"/>
      <c r="AW273" s="874"/>
      <c r="AX273" s="970"/>
      <c r="AY273" s="970"/>
      <c r="AZ273" s="970"/>
      <c r="BA273" s="970"/>
      <c r="BB273" s="970"/>
      <c r="BC273" s="970"/>
      <c r="BD273" s="970"/>
      <c r="BE273" s="970"/>
      <c r="BF273" s="970"/>
      <c r="BG273" s="970"/>
      <c r="BH273" s="837"/>
    </row>
    <row r="274" spans="2:60" s="38" customFormat="1" x14ac:dyDescent="0.2">
      <c r="B274" s="837"/>
      <c r="C274" s="837"/>
      <c r="D274" s="837"/>
      <c r="E274" s="837"/>
      <c r="F274" s="837"/>
      <c r="G274" s="837"/>
      <c r="H274" s="837"/>
      <c r="I274" s="837"/>
      <c r="J274" s="837"/>
      <c r="K274" s="837"/>
      <c r="L274" s="837"/>
      <c r="M274" s="837"/>
      <c r="N274" s="837"/>
      <c r="O274" s="837"/>
      <c r="P274" s="837"/>
      <c r="Q274" s="837"/>
      <c r="R274" s="837"/>
      <c r="S274" s="837"/>
      <c r="T274" s="837"/>
      <c r="U274" s="837"/>
      <c r="V274" s="837"/>
      <c r="W274" s="837"/>
      <c r="X274" s="837"/>
      <c r="Y274" s="837"/>
      <c r="Z274" s="837"/>
      <c r="AA274" s="837"/>
      <c r="AB274" s="837"/>
      <c r="AC274" s="837"/>
      <c r="AD274" s="837"/>
      <c r="AE274" s="837"/>
      <c r="AF274" s="837"/>
      <c r="AG274" s="837"/>
      <c r="AH274" s="837"/>
      <c r="AI274" s="837"/>
      <c r="AJ274" s="837"/>
      <c r="AK274" s="837"/>
      <c r="AL274" s="837"/>
      <c r="AM274" s="837"/>
      <c r="AN274" s="837"/>
      <c r="AO274" s="837"/>
      <c r="AP274" s="837"/>
      <c r="AQ274" s="837"/>
      <c r="AR274" s="837"/>
      <c r="AS274" s="837"/>
      <c r="AT274" s="837"/>
      <c r="AU274" s="837"/>
      <c r="AV274" s="837"/>
      <c r="AW274" s="837"/>
      <c r="AX274" s="837"/>
      <c r="AY274" s="837"/>
      <c r="AZ274" s="837"/>
      <c r="BA274" s="837"/>
      <c r="BB274" s="837"/>
      <c r="BC274" s="837"/>
      <c r="BD274" s="837"/>
      <c r="BE274" s="837"/>
      <c r="BF274" s="837"/>
      <c r="BG274" s="837"/>
      <c r="BH274" s="837"/>
    </row>
    <row r="275" spans="2:60" s="38" customFormat="1" x14ac:dyDescent="0.2">
      <c r="B275" s="2479"/>
      <c r="G275" s="2281"/>
      <c r="H275" s="2281"/>
      <c r="I275" s="2281"/>
      <c r="J275" s="2281"/>
      <c r="K275" s="2281"/>
      <c r="L275" s="2281"/>
      <c r="M275" s="2281"/>
      <c r="N275" s="2281"/>
      <c r="O275" s="2281"/>
      <c r="P275" s="2281"/>
      <c r="Q275" s="2281"/>
      <c r="R275" s="2281"/>
      <c r="S275" s="2281"/>
      <c r="T275" s="2281"/>
      <c r="U275" s="2281"/>
      <c r="V275" s="2281"/>
      <c r="W275" s="2281"/>
      <c r="X275" s="2281"/>
      <c r="Y275" s="2281"/>
      <c r="Z275" s="2281"/>
      <c r="AA275" s="2281"/>
      <c r="AB275" s="2281"/>
      <c r="AC275" s="2281"/>
      <c r="AD275" s="2281"/>
      <c r="AE275" s="2281"/>
      <c r="AF275" s="2281"/>
      <c r="AG275" s="2281"/>
      <c r="AH275" s="2281"/>
      <c r="AI275" s="2281"/>
      <c r="AJ275" s="2281"/>
      <c r="AK275" s="2281"/>
      <c r="AL275" s="2281"/>
      <c r="AM275" s="2281"/>
      <c r="AN275" s="2281"/>
      <c r="AO275" s="2281"/>
      <c r="AP275" s="2281"/>
      <c r="AQ275" s="2281"/>
      <c r="AR275" s="2281"/>
      <c r="AS275" s="2281"/>
      <c r="AT275" s="2281"/>
      <c r="AU275" s="2281"/>
      <c r="AV275" s="2281"/>
      <c r="AW275" s="2281"/>
    </row>
    <row r="276" spans="2:60" s="38" customFormat="1" ht="15.75" x14ac:dyDescent="0.2">
      <c r="B276" s="1122" t="s">
        <v>685</v>
      </c>
      <c r="C276" s="1123"/>
      <c r="D276" s="1123"/>
      <c r="E276" s="1123"/>
      <c r="F276" s="1123"/>
      <c r="G276" s="1123"/>
      <c r="H276" s="1123"/>
      <c r="I276" s="1123"/>
      <c r="J276" s="1123"/>
      <c r="K276" s="1123"/>
      <c r="L276" s="1123"/>
      <c r="M276" s="1123"/>
      <c r="N276" s="1123"/>
      <c r="O276" s="1123"/>
      <c r="P276" s="1123"/>
      <c r="Q276" s="1123"/>
      <c r="R276" s="1123"/>
      <c r="S276" s="1123"/>
      <c r="T276" s="1123"/>
      <c r="U276" s="1123"/>
      <c r="V276" s="1123"/>
      <c r="W276" s="1123"/>
      <c r="X276" s="1123"/>
      <c r="Y276" s="1123"/>
      <c r="Z276" s="1123"/>
      <c r="AA276" s="1123"/>
      <c r="AB276" s="1123"/>
      <c r="AC276" s="1123"/>
      <c r="AD276" s="1123"/>
      <c r="AE276" s="1123"/>
      <c r="AF276" s="1123"/>
      <c r="AG276" s="1123"/>
      <c r="AH276" s="1123"/>
      <c r="AI276" s="1123"/>
      <c r="AJ276" s="1123"/>
      <c r="AK276" s="1123"/>
      <c r="AL276" s="1123"/>
      <c r="AM276" s="1123"/>
      <c r="AN276" s="1123"/>
      <c r="AO276" s="1123"/>
      <c r="AP276" s="1123"/>
      <c r="AQ276" s="1123"/>
      <c r="AR276" s="1123"/>
      <c r="AS276" s="1123"/>
      <c r="AT276" s="1123"/>
      <c r="AU276" s="1123"/>
      <c r="AV276" s="1123"/>
      <c r="AW276" s="1123"/>
      <c r="AX276" s="1124"/>
      <c r="AY276" s="1124"/>
      <c r="AZ276" s="1124"/>
      <c r="BA276" s="1124"/>
      <c r="BB276" s="1124"/>
      <c r="BC276" s="1124"/>
      <c r="BD276" s="1124"/>
      <c r="BE276" s="1124"/>
      <c r="BF276" s="1124"/>
      <c r="BG276" s="1125"/>
    </row>
    <row r="277" spans="2:60" s="38" customFormat="1" x14ac:dyDescent="0.2">
      <c r="B277" s="1129"/>
      <c r="C277" s="1127"/>
      <c r="D277" s="1127"/>
      <c r="E277" s="1127"/>
      <c r="F277" s="1127"/>
      <c r="G277" s="1127"/>
      <c r="H277" s="1127"/>
      <c r="I277" s="1127"/>
      <c r="J277" s="1127"/>
      <c r="K277" s="1127"/>
      <c r="L277" s="1127"/>
      <c r="M277" s="1127"/>
      <c r="N277" s="1127"/>
      <c r="O277" s="1127"/>
      <c r="P277" s="1127"/>
      <c r="Q277" s="1127"/>
      <c r="R277" s="1127"/>
      <c r="S277" s="1127"/>
      <c r="T277" s="1127"/>
      <c r="U277" s="1127"/>
      <c r="V277" s="1127"/>
      <c r="W277" s="1127"/>
      <c r="X277" s="1127"/>
      <c r="Y277" s="1127"/>
      <c r="Z277" s="1127"/>
      <c r="AA277" s="1127"/>
      <c r="AB277" s="1127"/>
      <c r="AC277" s="1127"/>
      <c r="AD277" s="1127"/>
      <c r="AE277" s="1127"/>
      <c r="AF277" s="1127"/>
      <c r="AG277" s="1127"/>
      <c r="AH277" s="1127"/>
      <c r="AI277" s="1127"/>
      <c r="AJ277" s="1127"/>
      <c r="AK277" s="1127"/>
      <c r="AL277" s="1127"/>
      <c r="AM277" s="1127"/>
      <c r="AN277" s="1127"/>
      <c r="AO277" s="1127"/>
      <c r="AP277" s="1127"/>
      <c r="AQ277" s="1127"/>
      <c r="AR277" s="1127"/>
      <c r="AS277" s="1127"/>
      <c r="AT277" s="1127"/>
      <c r="AU277" s="1127"/>
      <c r="AV277" s="1127"/>
      <c r="AW277" s="1127"/>
      <c r="AX277" s="1128"/>
      <c r="AY277" s="1128"/>
      <c r="AZ277" s="1128"/>
      <c r="BA277" s="1128"/>
      <c r="BB277" s="1128"/>
      <c r="BC277" s="1128"/>
      <c r="BD277" s="1128"/>
      <c r="BE277" s="1128"/>
      <c r="BF277" s="1128"/>
      <c r="BG277" s="1132"/>
    </row>
    <row r="278" spans="2:60" s="38" customFormat="1" x14ac:dyDescent="0.2">
      <c r="B278" s="1129"/>
      <c r="C278" s="1126" t="str">
        <f t="shared" ref="C278:E282" si="93">C22</f>
        <v>N.01</v>
      </c>
      <c r="D278" s="1126" t="str">
        <f t="shared" si="93"/>
        <v>Nuclear fission</v>
      </c>
      <c r="E278" s="1126">
        <f t="shared" si="93"/>
        <v>0</v>
      </c>
      <c r="F278" s="1133"/>
      <c r="G278" s="1133"/>
      <c r="H278" s="1133"/>
      <c r="I278" s="1133"/>
      <c r="J278" s="1133"/>
      <c r="K278" s="1133"/>
      <c r="L278" s="1133"/>
      <c r="M278" s="1133"/>
      <c r="N278" s="1133"/>
      <c r="O278" s="1133"/>
      <c r="P278" s="1133"/>
      <c r="Q278" s="1133"/>
      <c r="R278" s="1133"/>
      <c r="S278" s="1133"/>
      <c r="T278" s="1133"/>
      <c r="U278" s="1133"/>
      <c r="V278" s="1133"/>
      <c r="W278" s="1133"/>
      <c r="X278" s="1133"/>
      <c r="Y278" s="1133"/>
      <c r="Z278" s="1133"/>
      <c r="AA278" s="1133"/>
      <c r="AB278" s="1133"/>
      <c r="AC278" s="1133"/>
      <c r="AD278" s="1133"/>
      <c r="AE278" s="1133"/>
      <c r="AF278" s="1133"/>
      <c r="AG278" s="1133"/>
      <c r="AH278" s="1133"/>
      <c r="AI278" s="1133"/>
      <c r="AJ278" s="1133"/>
      <c r="AK278" s="1133"/>
      <c r="AL278" s="1133"/>
      <c r="AM278" s="1133"/>
      <c r="AN278" s="1133"/>
      <c r="AO278" s="1133"/>
      <c r="AP278" s="1133"/>
      <c r="AQ278" s="1133"/>
      <c r="AR278" s="1133"/>
      <c r="AS278" s="1133"/>
      <c r="AT278" s="1133"/>
      <c r="AU278" s="1133"/>
      <c r="AV278" s="1133"/>
      <c r="AW278" s="1133">
        <f t="shared" ref="AW278:BF278" si="94">AW22</f>
        <v>0</v>
      </c>
      <c r="AX278" s="1133">
        <f t="shared" ca="1" si="94"/>
        <v>0</v>
      </c>
      <c r="AY278" s="1133">
        <f t="shared" ca="1" si="94"/>
        <v>0</v>
      </c>
      <c r="AZ278" s="1133">
        <f t="shared" ca="1" si="94"/>
        <v>0</v>
      </c>
      <c r="BA278" s="1133">
        <f t="shared" ca="1" si="94"/>
        <v>21.428000000000004</v>
      </c>
      <c r="BB278" s="1133">
        <f t="shared" ca="1" si="94"/>
        <v>40.713200000000001</v>
      </c>
      <c r="BC278" s="1133">
        <f t="shared" ca="1" si="94"/>
        <v>79.283600000000021</v>
      </c>
      <c r="BD278" s="1133">
        <f t="shared" ca="1" si="94"/>
        <v>152.13880000000003</v>
      </c>
      <c r="BE278" s="1133">
        <f t="shared" ca="1" si="94"/>
        <v>293.56360000000006</v>
      </c>
      <c r="BF278" s="1133">
        <f t="shared" ca="1" si="94"/>
        <v>567.8420000000001</v>
      </c>
      <c r="BG278" s="1130"/>
    </row>
    <row r="279" spans="2:60" s="38" customFormat="1" x14ac:dyDescent="0.2">
      <c r="B279" s="1129"/>
      <c r="C279" s="1126" t="str">
        <f t="shared" si="93"/>
        <v>R.01</v>
      </c>
      <c r="D279" s="1126" t="str">
        <f t="shared" si="93"/>
        <v>Solar</v>
      </c>
      <c r="E279" s="1126">
        <f t="shared" si="93"/>
        <v>0</v>
      </c>
      <c r="F279" s="1133"/>
      <c r="G279" s="1133"/>
      <c r="H279" s="1133"/>
      <c r="I279" s="1133"/>
      <c r="J279" s="1133"/>
      <c r="K279" s="1133"/>
      <c r="L279" s="1133"/>
      <c r="M279" s="1133"/>
      <c r="N279" s="1133"/>
      <c r="O279" s="1133"/>
      <c r="P279" s="1133"/>
      <c r="Q279" s="1133"/>
      <c r="R279" s="1133"/>
      <c r="S279" s="1133"/>
      <c r="T279" s="1133"/>
      <c r="U279" s="1133"/>
      <c r="V279" s="1133"/>
      <c r="W279" s="1133"/>
      <c r="X279" s="1133"/>
      <c r="Y279" s="1133"/>
      <c r="Z279" s="1133"/>
      <c r="AA279" s="1133"/>
      <c r="AB279" s="1133"/>
      <c r="AC279" s="1133"/>
      <c r="AD279" s="1133"/>
      <c r="AE279" s="1133"/>
      <c r="AF279" s="1133"/>
      <c r="AG279" s="1133"/>
      <c r="AH279" s="1133"/>
      <c r="AI279" s="1133"/>
      <c r="AJ279" s="1133"/>
      <c r="AK279" s="1133"/>
      <c r="AL279" s="1133"/>
      <c r="AM279" s="1133"/>
      <c r="AN279" s="1133"/>
      <c r="AO279" s="1133"/>
      <c r="AP279" s="1133"/>
      <c r="AQ279" s="1133"/>
      <c r="AR279" s="1133"/>
      <c r="AS279" s="1133"/>
      <c r="AT279" s="1133"/>
      <c r="AU279" s="1133"/>
      <c r="AV279" s="1133"/>
      <c r="AW279" s="1133">
        <f t="shared" ref="AW279:BF279" si="95">AW23</f>
        <v>0</v>
      </c>
      <c r="AX279" s="1133">
        <f t="shared" ca="1" si="95"/>
        <v>2.7612899999999996E-2</v>
      </c>
      <c r="AY279" s="1133">
        <f t="shared" ca="1" si="95"/>
        <v>0.92042999999999997</v>
      </c>
      <c r="AZ279" s="1133">
        <f t="shared" ca="1" si="95"/>
        <v>48.334847400000001</v>
      </c>
      <c r="BA279" s="1133">
        <f t="shared" ca="1" si="95"/>
        <v>96.663558599999988</v>
      </c>
      <c r="BB279" s="1133">
        <f t="shared" ca="1" si="95"/>
        <v>154.12907159999997</v>
      </c>
      <c r="BC279" s="1133">
        <f t="shared" ca="1" si="95"/>
        <v>228.21141419999998</v>
      </c>
      <c r="BD279" s="1133">
        <f t="shared" ca="1" si="95"/>
        <v>285.16148640000006</v>
      </c>
      <c r="BE279" s="1133">
        <f t="shared" ca="1" si="95"/>
        <v>354.25509839999995</v>
      </c>
      <c r="BF279" s="1133">
        <f t="shared" ca="1" si="95"/>
        <v>435.67019999999997</v>
      </c>
      <c r="BG279" s="1130"/>
    </row>
    <row r="280" spans="2:60" s="38" customFormat="1" x14ac:dyDescent="0.2">
      <c r="B280" s="1129"/>
      <c r="C280" s="1126" t="str">
        <f t="shared" si="93"/>
        <v>R.02</v>
      </c>
      <c r="D280" s="1126" t="str">
        <f t="shared" si="93"/>
        <v>Wind</v>
      </c>
      <c r="E280" s="1126">
        <f t="shared" si="93"/>
        <v>0</v>
      </c>
      <c r="F280" s="1133"/>
      <c r="G280" s="1133"/>
      <c r="H280" s="1133"/>
      <c r="I280" s="1133"/>
      <c r="J280" s="1133"/>
      <c r="K280" s="1133"/>
      <c r="L280" s="1133"/>
      <c r="M280" s="1133"/>
      <c r="N280" s="1133"/>
      <c r="O280" s="1133"/>
      <c r="P280" s="1133"/>
      <c r="Q280" s="1133"/>
      <c r="R280" s="1133"/>
      <c r="S280" s="1133"/>
      <c r="T280" s="1133"/>
      <c r="U280" s="1133"/>
      <c r="V280" s="1133"/>
      <c r="W280" s="1133"/>
      <c r="X280" s="1133"/>
      <c r="Y280" s="1133"/>
      <c r="Z280" s="1133"/>
      <c r="AA280" s="1133"/>
      <c r="AB280" s="1133"/>
      <c r="AC280" s="1133"/>
      <c r="AD280" s="1133"/>
      <c r="AE280" s="1133"/>
      <c r="AF280" s="1133"/>
      <c r="AG280" s="1133"/>
      <c r="AH280" s="1133"/>
      <c r="AI280" s="1133"/>
      <c r="AJ280" s="1133"/>
      <c r="AK280" s="1133"/>
      <c r="AL280" s="1133"/>
      <c r="AM280" s="1133"/>
      <c r="AN280" s="1133"/>
      <c r="AO280" s="1133"/>
      <c r="AP280" s="1133"/>
      <c r="AQ280" s="1133"/>
      <c r="AR280" s="1133"/>
      <c r="AS280" s="1133"/>
      <c r="AT280" s="1133"/>
      <c r="AU280" s="1133"/>
      <c r="AV280" s="1133"/>
      <c r="AW280" s="1133">
        <f t="shared" ref="AW280:BF280" si="96">AW24</f>
        <v>0</v>
      </c>
      <c r="AX280" s="1133">
        <f t="shared" ca="1" si="96"/>
        <v>0</v>
      </c>
      <c r="AY280" s="1133">
        <f t="shared" ca="1" si="96"/>
        <v>0</v>
      </c>
      <c r="AZ280" s="1133">
        <f t="shared" ca="1" si="96"/>
        <v>3.6817200000000003</v>
      </c>
      <c r="BA280" s="1133">
        <f t="shared" ca="1" si="96"/>
        <v>7.3634400000000007</v>
      </c>
      <c r="BB280" s="1133">
        <f t="shared" ca="1" si="96"/>
        <v>11.045159999999999</v>
      </c>
      <c r="BC280" s="1133">
        <f t="shared" ca="1" si="96"/>
        <v>14.726880000000001</v>
      </c>
      <c r="BD280" s="1133">
        <f t="shared" ca="1" si="96"/>
        <v>14.726880000000001</v>
      </c>
      <c r="BE280" s="1133">
        <f t="shared" ca="1" si="96"/>
        <v>18.4086</v>
      </c>
      <c r="BF280" s="1133">
        <f t="shared" ca="1" si="96"/>
        <v>22.090319999999998</v>
      </c>
      <c r="BG280" s="1130"/>
    </row>
    <row r="281" spans="2:60" s="38" customFormat="1" x14ac:dyDescent="0.2">
      <c r="B281" s="1129"/>
      <c r="C281" s="1126" t="str">
        <f t="shared" si="93"/>
        <v>R.06</v>
      </c>
      <c r="D281" s="1126" t="str">
        <f t="shared" si="93"/>
        <v>Hydro</v>
      </c>
      <c r="E281" s="1126">
        <f t="shared" si="93"/>
        <v>0</v>
      </c>
      <c r="F281" s="1133"/>
      <c r="G281" s="1133"/>
      <c r="H281" s="1133"/>
      <c r="I281" s="1133"/>
      <c r="J281" s="1133"/>
      <c r="K281" s="1133"/>
      <c r="L281" s="1133"/>
      <c r="M281" s="1133"/>
      <c r="N281" s="1133"/>
      <c r="O281" s="1133"/>
      <c r="P281" s="1133"/>
      <c r="Q281" s="1133"/>
      <c r="R281" s="1133"/>
      <c r="S281" s="1133"/>
      <c r="T281" s="1133"/>
      <c r="U281" s="1133"/>
      <c r="V281" s="1133"/>
      <c r="W281" s="1133"/>
      <c r="X281" s="1133"/>
      <c r="Y281" s="1133"/>
      <c r="Z281" s="1133"/>
      <c r="AA281" s="1133"/>
      <c r="AB281" s="1133"/>
      <c r="AC281" s="1133"/>
      <c r="AD281" s="1133"/>
      <c r="AE281" s="1133"/>
      <c r="AF281" s="1133"/>
      <c r="AG281" s="1133"/>
      <c r="AH281" s="1133"/>
      <c r="AI281" s="1133"/>
      <c r="AJ281" s="1133"/>
      <c r="AK281" s="1133"/>
      <c r="AL281" s="1133"/>
      <c r="AM281" s="1133"/>
      <c r="AN281" s="1133"/>
      <c r="AO281" s="1133"/>
      <c r="AP281" s="1133"/>
      <c r="AQ281" s="1133"/>
      <c r="AR281" s="1133"/>
      <c r="AS281" s="1133"/>
      <c r="AT281" s="1133"/>
      <c r="AU281" s="1133"/>
      <c r="AV281" s="1133"/>
      <c r="AW281" s="1133">
        <f t="shared" ref="AW281:BF281" si="97">AW25</f>
        <v>0</v>
      </c>
      <c r="AX281" s="1133">
        <f t="shared" ca="1" si="97"/>
        <v>10.273751999999998</v>
      </c>
      <c r="AY281" s="1133">
        <f t="shared" ca="1" si="97"/>
        <v>10.273751999999998</v>
      </c>
      <c r="AZ281" s="1133">
        <f t="shared" ca="1" si="97"/>
        <v>17.321616000000002</v>
      </c>
      <c r="BA281" s="1133">
        <f t="shared" ca="1" si="97"/>
        <v>28.620363857142845</v>
      </c>
      <c r="BB281" s="1133">
        <f t="shared" ca="1" si="97"/>
        <v>37.81952948571427</v>
      </c>
      <c r="BC281" s="1133">
        <f t="shared" ca="1" si="97"/>
        <v>46.96609911428574</v>
      </c>
      <c r="BD281" s="1133">
        <f t="shared" ca="1" si="97"/>
        <v>56.165264742857154</v>
      </c>
      <c r="BE281" s="1133">
        <f t="shared" ca="1" si="97"/>
        <v>65.311834371428574</v>
      </c>
      <c r="BF281" s="1133">
        <f t="shared" ca="1" si="97"/>
        <v>74.510999999999996</v>
      </c>
      <c r="BG281" s="1130"/>
    </row>
    <row r="282" spans="2:60" s="38" customFormat="1" x14ac:dyDescent="0.2">
      <c r="B282" s="1129"/>
      <c r="C282" s="1126" t="str">
        <f t="shared" si="93"/>
        <v>Y.02</v>
      </c>
      <c r="D282" s="1126" t="str">
        <f t="shared" si="93"/>
        <v>Electricity oversupply (imports)</v>
      </c>
      <c r="E282" s="1126">
        <f t="shared" si="93"/>
        <v>0</v>
      </c>
      <c r="F282" s="1133"/>
      <c r="G282" s="1133"/>
      <c r="H282" s="1133"/>
      <c r="I282" s="1133"/>
      <c r="J282" s="1133"/>
      <c r="K282" s="1133"/>
      <c r="L282" s="1133"/>
      <c r="M282" s="1133"/>
      <c r="N282" s="1133"/>
      <c r="O282" s="1133"/>
      <c r="P282" s="1133"/>
      <c r="Q282" s="1133"/>
      <c r="R282" s="1133"/>
      <c r="S282" s="1133"/>
      <c r="T282" s="1133"/>
      <c r="U282" s="1133"/>
      <c r="V282" s="1133"/>
      <c r="W282" s="1133"/>
      <c r="X282" s="1133"/>
      <c r="Y282" s="1133"/>
      <c r="Z282" s="1133"/>
      <c r="AA282" s="1133"/>
      <c r="AB282" s="1133"/>
      <c r="AC282" s="1133"/>
      <c r="AD282" s="1133"/>
      <c r="AE282" s="1133"/>
      <c r="AF282" s="1133"/>
      <c r="AG282" s="1133"/>
      <c r="AH282" s="1133"/>
      <c r="AI282" s="1133"/>
      <c r="AJ282" s="1133"/>
      <c r="AK282" s="1133"/>
      <c r="AL282" s="1133"/>
      <c r="AM282" s="1133"/>
      <c r="AN282" s="1133"/>
      <c r="AO282" s="1133"/>
      <c r="AP282" s="1133"/>
      <c r="AQ282" s="1133"/>
      <c r="AR282" s="1133"/>
      <c r="AS282" s="1133"/>
      <c r="AT282" s="1133"/>
      <c r="AU282" s="1133"/>
      <c r="AV282" s="1133"/>
      <c r="AW282" s="1133">
        <f t="shared" ref="AW282:BF282" si="98">MAX(AW26, 0)</f>
        <v>0</v>
      </c>
      <c r="AX282" s="1133">
        <f t="shared" ca="1" si="98"/>
        <v>0</v>
      </c>
      <c r="AY282" s="1133">
        <f t="shared" ca="1" si="98"/>
        <v>0</v>
      </c>
      <c r="AZ282" s="1133">
        <f t="shared" ca="1" si="98"/>
        <v>0</v>
      </c>
      <c r="BA282" s="1133">
        <f t="shared" ca="1" si="98"/>
        <v>0</v>
      </c>
      <c r="BB282" s="1133">
        <f t="shared" ca="1" si="98"/>
        <v>0</v>
      </c>
      <c r="BC282" s="1133">
        <f t="shared" ca="1" si="98"/>
        <v>0</v>
      </c>
      <c r="BD282" s="1133">
        <f t="shared" ca="1" si="98"/>
        <v>0</v>
      </c>
      <c r="BE282" s="1133">
        <f t="shared" ca="1" si="98"/>
        <v>0</v>
      </c>
      <c r="BF282" s="1133">
        <f t="shared" ca="1" si="98"/>
        <v>0</v>
      </c>
      <c r="BG282" s="1130"/>
    </row>
    <row r="283" spans="2:60" s="38" customFormat="1" x14ac:dyDescent="0.2">
      <c r="B283" s="1129"/>
      <c r="C283" s="1126"/>
      <c r="D283" s="1126" t="s">
        <v>1189</v>
      </c>
      <c r="E283" s="1126">
        <f>E31</f>
        <v>0</v>
      </c>
      <c r="F283" s="1133"/>
      <c r="G283" s="1133"/>
      <c r="H283" s="1133"/>
      <c r="I283" s="1133"/>
      <c r="J283" s="1133"/>
      <c r="K283" s="1133"/>
      <c r="L283" s="1133"/>
      <c r="M283" s="1133"/>
      <c r="N283" s="1133"/>
      <c r="O283" s="1133"/>
      <c r="P283" s="1133"/>
      <c r="Q283" s="1133"/>
      <c r="R283" s="1133"/>
      <c r="S283" s="1133"/>
      <c r="T283" s="1133"/>
      <c r="U283" s="1133"/>
      <c r="V283" s="1133"/>
      <c r="W283" s="1133"/>
      <c r="X283" s="1133"/>
      <c r="Y283" s="1133"/>
      <c r="Z283" s="1133"/>
      <c r="AA283" s="1133"/>
      <c r="AB283" s="1133"/>
      <c r="AC283" s="1133"/>
      <c r="AD283" s="1133"/>
      <c r="AE283" s="1133"/>
      <c r="AF283" s="1133"/>
      <c r="AG283" s="1133"/>
      <c r="AH283" s="1133"/>
      <c r="AI283" s="1133"/>
      <c r="AJ283" s="1133"/>
      <c r="AK283" s="1133"/>
      <c r="AL283" s="1133"/>
      <c r="AM283" s="1133"/>
      <c r="AN283" s="1133"/>
      <c r="AO283" s="1133"/>
      <c r="AP283" s="1133"/>
      <c r="AQ283" s="1133"/>
      <c r="AR283" s="1133"/>
      <c r="AS283" s="1133"/>
      <c r="AT283" s="1133"/>
      <c r="AU283" s="1133"/>
      <c r="AV283" s="1133"/>
      <c r="AW283" s="1133">
        <f t="shared" ref="AW283:BF283" si="99">AW31</f>
        <v>0</v>
      </c>
      <c r="AX283" s="1133">
        <f t="shared" ca="1" si="99"/>
        <v>855.30283783977507</v>
      </c>
      <c r="AY283" s="1133">
        <f t="shared" ca="1" si="99"/>
        <v>918.96998324472042</v>
      </c>
      <c r="AZ283" s="1133">
        <f t="shared" ca="1" si="99"/>
        <v>1016.3568873081676</v>
      </c>
      <c r="BA283" s="1133">
        <f t="shared" ca="1" si="99"/>
        <v>1098.4828604298527</v>
      </c>
      <c r="BB283" s="1133">
        <f t="shared" ca="1" si="99"/>
        <v>1155.5340274210844</v>
      </c>
      <c r="BC283" s="1133">
        <f t="shared" ca="1" si="99"/>
        <v>1230.3693635327027</v>
      </c>
      <c r="BD283" s="1133">
        <f t="shared" ca="1" si="99"/>
        <v>1295.3889917636257</v>
      </c>
      <c r="BE283" s="1133">
        <f t="shared" ca="1" si="99"/>
        <v>1368.7842482057417</v>
      </c>
      <c r="BF283" s="1133">
        <f t="shared" ca="1" si="99"/>
        <v>1440.8666928559978</v>
      </c>
      <c r="BG283" s="1130"/>
    </row>
    <row r="284" spans="2:60" s="38" customFormat="1" x14ac:dyDescent="0.2">
      <c r="B284" s="1129"/>
      <c r="C284" s="1126"/>
      <c r="D284" s="1126" t="str">
        <f>D34</f>
        <v>Coal</v>
      </c>
      <c r="E284" s="1126">
        <f>E34</f>
        <v>0</v>
      </c>
      <c r="F284" s="1133"/>
      <c r="G284" s="1133"/>
      <c r="H284" s="1133"/>
      <c r="I284" s="1133"/>
      <c r="J284" s="1133"/>
      <c r="K284" s="1133"/>
      <c r="L284" s="1133"/>
      <c r="M284" s="1133"/>
      <c r="N284" s="1133"/>
      <c r="O284" s="1133"/>
      <c r="P284" s="1133"/>
      <c r="Q284" s="1133"/>
      <c r="R284" s="1133"/>
      <c r="S284" s="1133"/>
      <c r="T284" s="1133"/>
      <c r="U284" s="1133"/>
      <c r="V284" s="1133"/>
      <c r="W284" s="1133"/>
      <c r="X284" s="1133"/>
      <c r="Y284" s="1133"/>
      <c r="Z284" s="1133"/>
      <c r="AA284" s="1133"/>
      <c r="AB284" s="1133"/>
      <c r="AC284" s="1133"/>
      <c r="AD284" s="1133"/>
      <c r="AE284" s="1133"/>
      <c r="AF284" s="1133"/>
      <c r="AG284" s="1133"/>
      <c r="AH284" s="1133"/>
      <c r="AI284" s="1133"/>
      <c r="AJ284" s="1133"/>
      <c r="AK284" s="1133"/>
      <c r="AL284" s="1133"/>
      <c r="AM284" s="1133"/>
      <c r="AN284" s="1133"/>
      <c r="AO284" s="1133"/>
      <c r="AP284" s="1133"/>
      <c r="AQ284" s="1133"/>
      <c r="AR284" s="1133"/>
      <c r="AS284" s="1133"/>
      <c r="AT284" s="1133"/>
      <c r="AU284" s="1133"/>
      <c r="AV284" s="1133"/>
      <c r="AW284" s="1133">
        <f t="shared" ref="AW284:BF284" si="100">MAX(AW34,0)</f>
        <v>0</v>
      </c>
      <c r="AX284" s="1133">
        <f t="shared" ca="1" si="100"/>
        <v>0</v>
      </c>
      <c r="AY284" s="1133">
        <f t="shared" ca="1" si="100"/>
        <v>0</v>
      </c>
      <c r="AZ284" s="1133">
        <f t="shared" ca="1" si="100"/>
        <v>19.975118009232251</v>
      </c>
      <c r="BA284" s="1133">
        <f t="shared" ca="1" si="100"/>
        <v>116.99048157421316</v>
      </c>
      <c r="BB284" s="1133">
        <f t="shared" ca="1" si="100"/>
        <v>276.6342134525816</v>
      </c>
      <c r="BC284" s="1133">
        <f t="shared" ca="1" si="100"/>
        <v>507.32081828929068</v>
      </c>
      <c r="BD284" s="1133">
        <f t="shared" ca="1" si="100"/>
        <v>751.75114808733497</v>
      </c>
      <c r="BE284" s="1133">
        <f t="shared" ca="1" si="100"/>
        <v>994.47441071750291</v>
      </c>
      <c r="BF284" s="1133">
        <f t="shared" ca="1" si="100"/>
        <v>1237.326775284753</v>
      </c>
      <c r="BG284" s="1130"/>
    </row>
    <row r="285" spans="2:60" s="38" customFormat="1" x14ac:dyDescent="0.2">
      <c r="B285" s="1129"/>
      <c r="C285" s="1126"/>
      <c r="D285" s="1126" t="s">
        <v>118</v>
      </c>
      <c r="E285" s="1126">
        <f>E38</f>
        <v>0</v>
      </c>
      <c r="F285" s="1133"/>
      <c r="G285" s="1133"/>
      <c r="H285" s="1133"/>
      <c r="I285" s="1133"/>
      <c r="J285" s="1133"/>
      <c r="K285" s="1133"/>
      <c r="L285" s="1133"/>
      <c r="M285" s="1133"/>
      <c r="N285" s="1133"/>
      <c r="O285" s="1133"/>
      <c r="P285" s="1133"/>
      <c r="Q285" s="1133"/>
      <c r="R285" s="1133"/>
      <c r="S285" s="1133"/>
      <c r="T285" s="1133"/>
      <c r="U285" s="1133"/>
      <c r="V285" s="1133"/>
      <c r="W285" s="1133"/>
      <c r="X285" s="1133"/>
      <c r="Y285" s="1133"/>
      <c r="Z285" s="1133"/>
      <c r="AA285" s="1133"/>
      <c r="AB285" s="1133"/>
      <c r="AC285" s="1133"/>
      <c r="AD285" s="1133"/>
      <c r="AE285" s="1133"/>
      <c r="AF285" s="1133"/>
      <c r="AG285" s="1133"/>
      <c r="AH285" s="1133"/>
      <c r="AI285" s="1133"/>
      <c r="AJ285" s="1133"/>
      <c r="AK285" s="1133"/>
      <c r="AL285" s="1133"/>
      <c r="AM285" s="1133"/>
      <c r="AN285" s="1133"/>
      <c r="AO285" s="1133"/>
      <c r="AP285" s="1133"/>
      <c r="AQ285" s="1133"/>
      <c r="AR285" s="1133"/>
      <c r="AS285" s="1133"/>
      <c r="AT285" s="1133"/>
      <c r="AU285" s="1133"/>
      <c r="AV285" s="1133"/>
      <c r="AW285" s="1133">
        <f t="shared" ref="AW285:BF285" si="101">AW38</f>
        <v>0</v>
      </c>
      <c r="AX285" s="1133">
        <f t="shared" ca="1" si="101"/>
        <v>301.24472631181243</v>
      </c>
      <c r="AY285" s="1133">
        <f t="shared" ca="1" si="101"/>
        <v>309.20345172722136</v>
      </c>
      <c r="AZ285" s="1133">
        <f t="shared" ca="1" si="101"/>
        <v>221.35927018559823</v>
      </c>
      <c r="BA285" s="1133">
        <f t="shared" ca="1" si="101"/>
        <v>188.35750920679629</v>
      </c>
      <c r="BB285" s="1133">
        <f t="shared" ca="1" si="101"/>
        <v>190.79882842617371</v>
      </c>
      <c r="BC285" s="1133">
        <f t="shared" ca="1" si="101"/>
        <v>198.31117547774625</v>
      </c>
      <c r="BD285" s="1133">
        <f t="shared" ca="1" si="101"/>
        <v>197.7969679668272</v>
      </c>
      <c r="BE285" s="1133">
        <f t="shared" ca="1" si="101"/>
        <v>196.27149320474473</v>
      </c>
      <c r="BF285" s="1133">
        <f t="shared" ca="1" si="101"/>
        <v>191.75650933957013</v>
      </c>
      <c r="BG285" s="1130"/>
    </row>
    <row r="286" spans="2:60" s="38" customFormat="1" x14ac:dyDescent="0.2">
      <c r="B286" s="1129"/>
      <c r="C286" s="1126"/>
      <c r="D286" s="1126" t="str">
        <f>D41</f>
        <v>Natural gas</v>
      </c>
      <c r="E286" s="1126">
        <f>E41</f>
        <v>0</v>
      </c>
      <c r="F286" s="1133"/>
      <c r="G286" s="1133"/>
      <c r="H286" s="1133"/>
      <c r="I286" s="1133"/>
      <c r="J286" s="1133"/>
      <c r="K286" s="1133"/>
      <c r="L286" s="1133"/>
      <c r="M286" s="1133"/>
      <c r="N286" s="1133"/>
      <c r="O286" s="1133"/>
      <c r="P286" s="1133"/>
      <c r="Q286" s="1133"/>
      <c r="R286" s="1133"/>
      <c r="S286" s="1133"/>
      <c r="T286" s="1133"/>
      <c r="U286" s="1133"/>
      <c r="V286" s="1133"/>
      <c r="W286" s="1133"/>
      <c r="X286" s="1133"/>
      <c r="Y286" s="1133"/>
      <c r="Z286" s="1133"/>
      <c r="AA286" s="1133"/>
      <c r="AB286" s="1133"/>
      <c r="AC286" s="1133"/>
      <c r="AD286" s="1133"/>
      <c r="AE286" s="1133"/>
      <c r="AF286" s="1133"/>
      <c r="AG286" s="1133"/>
      <c r="AH286" s="1133"/>
      <c r="AI286" s="1133"/>
      <c r="AJ286" s="1133"/>
      <c r="AK286" s="1133"/>
      <c r="AL286" s="1133"/>
      <c r="AM286" s="1133"/>
      <c r="AN286" s="1133"/>
      <c r="AO286" s="1133"/>
      <c r="AP286" s="1133"/>
      <c r="AQ286" s="1133"/>
      <c r="AR286" s="1133"/>
      <c r="AS286" s="1133"/>
      <c r="AT286" s="1133"/>
      <c r="AU286" s="1133"/>
      <c r="AV286" s="1133"/>
      <c r="AW286" s="1133">
        <f t="shared" ref="AW286:BF286" si="102">AW41</f>
        <v>0</v>
      </c>
      <c r="AX286" s="1133">
        <f t="shared" ca="1" si="102"/>
        <v>50.089305847406877</v>
      </c>
      <c r="AY286" s="1133">
        <f t="shared" ca="1" si="102"/>
        <v>43.700129859060326</v>
      </c>
      <c r="AZ286" s="1133">
        <f t="shared" ca="1" si="102"/>
        <v>108.49136903087731</v>
      </c>
      <c r="BA286" s="1133">
        <f t="shared" ca="1" si="102"/>
        <v>64.247530632547182</v>
      </c>
      <c r="BB286" s="1133">
        <f t="shared" ca="1" si="102"/>
        <v>95.838733834760433</v>
      </c>
      <c r="BC286" s="1133">
        <f t="shared" ca="1" si="102"/>
        <v>170.80537865185499</v>
      </c>
      <c r="BD286" s="1133">
        <f t="shared" ca="1" si="102"/>
        <v>243.4437104545143</v>
      </c>
      <c r="BE286" s="1133">
        <f t="shared" ca="1" si="102"/>
        <v>309.10828006860288</v>
      </c>
      <c r="BF286" s="1133">
        <f t="shared" ca="1" si="102"/>
        <v>374.54058381880384</v>
      </c>
      <c r="BG286" s="1130"/>
    </row>
    <row r="287" spans="2:60" s="38" customFormat="1" x14ac:dyDescent="0.2">
      <c r="B287" s="1129"/>
      <c r="C287" s="1126"/>
      <c r="D287" s="1134" t="s">
        <v>2421</v>
      </c>
      <c r="E287" s="1126">
        <f>E42</f>
        <v>0</v>
      </c>
      <c r="F287" s="1135"/>
      <c r="G287" s="1135"/>
      <c r="H287" s="1135"/>
      <c r="I287" s="1135"/>
      <c r="J287" s="1135"/>
      <c r="K287" s="1135"/>
      <c r="L287" s="1135"/>
      <c r="M287" s="1135"/>
      <c r="N287" s="1135"/>
      <c r="O287" s="1135"/>
      <c r="P287" s="1135"/>
      <c r="Q287" s="1135"/>
      <c r="R287" s="1135"/>
      <c r="S287" s="1135"/>
      <c r="T287" s="1135"/>
      <c r="U287" s="1135"/>
      <c r="V287" s="1135"/>
      <c r="W287" s="1135"/>
      <c r="X287" s="1135"/>
      <c r="Y287" s="1135"/>
      <c r="Z287" s="1135"/>
      <c r="AA287" s="1135"/>
      <c r="AB287" s="1135"/>
      <c r="AC287" s="1135"/>
      <c r="AD287" s="1135"/>
      <c r="AE287" s="1135"/>
      <c r="AF287" s="1135"/>
      <c r="AG287" s="1135"/>
      <c r="AH287" s="1135"/>
      <c r="AI287" s="1135"/>
      <c r="AJ287" s="1135"/>
      <c r="AK287" s="1135"/>
      <c r="AL287" s="1135"/>
      <c r="AM287" s="1135"/>
      <c r="AN287" s="1135"/>
      <c r="AO287" s="1135"/>
      <c r="AP287" s="1135"/>
      <c r="AQ287" s="1135"/>
      <c r="AR287" s="1135"/>
      <c r="AS287" s="1135"/>
      <c r="AT287" s="1135"/>
      <c r="AU287" s="1135"/>
      <c r="AV287" s="1135"/>
      <c r="AW287" s="1135">
        <f t="shared" ref="AW287:BF287" si="103">AW42</f>
        <v>0</v>
      </c>
      <c r="AX287" s="1135">
        <f t="shared" ca="1" si="103"/>
        <v>1214.0100277672175</v>
      </c>
      <c r="AY287" s="1135">
        <f t="shared" ca="1" si="103"/>
        <v>1279.4659040737306</v>
      </c>
      <c r="AZ287" s="1135">
        <f t="shared" ca="1" si="103"/>
        <v>1434.9958279338757</v>
      </c>
      <c r="BA287" s="1135">
        <f t="shared" ca="1" si="103"/>
        <v>1615.9388694048744</v>
      </c>
      <c r="BB287" s="1135">
        <f t="shared" ca="1" si="103"/>
        <v>1893.3970198610812</v>
      </c>
      <c r="BC287" s="1135">
        <f t="shared" ca="1" si="103"/>
        <v>2299.2879968529596</v>
      </c>
      <c r="BD287" s="1135">
        <f t="shared" ca="1" si="103"/>
        <v>2719.3462632395904</v>
      </c>
      <c r="BE287" s="1135">
        <f t="shared" ca="1" si="103"/>
        <v>3174.3927421965736</v>
      </c>
      <c r="BF287" s="1135">
        <f t="shared" ca="1" si="103"/>
        <v>3743.221920712117</v>
      </c>
      <c r="BG287" s="1130"/>
    </row>
    <row r="288" spans="2:60" s="38" customFormat="1" x14ac:dyDescent="0.2">
      <c r="B288" s="1129"/>
      <c r="C288" s="1126"/>
      <c r="D288" s="1126" t="s">
        <v>1193</v>
      </c>
      <c r="E288" s="1126"/>
      <c r="F288" s="1136"/>
      <c r="G288" s="1136"/>
      <c r="H288" s="1136"/>
      <c r="I288" s="1136"/>
      <c r="J288" s="1136"/>
      <c r="K288" s="1136"/>
      <c r="L288" s="1136"/>
      <c r="M288" s="1136"/>
      <c r="N288" s="1136"/>
      <c r="O288" s="1136"/>
      <c r="P288" s="1136"/>
      <c r="Q288" s="1136"/>
      <c r="R288" s="1136"/>
      <c r="S288" s="1136"/>
      <c r="T288" s="1136"/>
      <c r="U288" s="1136"/>
      <c r="V288" s="1136"/>
      <c r="W288" s="1136"/>
      <c r="X288" s="1136"/>
      <c r="Y288" s="1136"/>
      <c r="Z288" s="1136"/>
      <c r="AA288" s="1136"/>
      <c r="AB288" s="1136"/>
      <c r="AC288" s="1136"/>
      <c r="AD288" s="1136"/>
      <c r="AE288" s="1136"/>
      <c r="AF288" s="1136"/>
      <c r="AG288" s="1136"/>
      <c r="AH288" s="1136"/>
      <c r="AI288" s="1136"/>
      <c r="AJ288" s="1136"/>
      <c r="AK288" s="1136"/>
      <c r="AL288" s="1136"/>
      <c r="AM288" s="1136"/>
      <c r="AN288" s="1136"/>
      <c r="AO288" s="1136"/>
      <c r="AP288" s="1136"/>
      <c r="AQ288" s="1136"/>
      <c r="AR288" s="1136"/>
      <c r="AS288" s="1136"/>
      <c r="AT288" s="1136"/>
      <c r="AU288" s="1136"/>
      <c r="AV288" s="1136"/>
      <c r="AW288" s="1136">
        <f>MAX(0,AW26)+MAX(0,AW30)+MAX(0,AW32)+MAX(0,AW36)+MAX(0,AW39)</f>
        <v>0</v>
      </c>
      <c r="AX288" s="1136">
        <f t="shared" ref="AX288:BF288" ca="1" si="104">MAX(0,AX26)+MAX(0,AX30)+MAX(0,AX32)+MAX(0,AX36)+MAX(0,AX39)+AX22</f>
        <v>0</v>
      </c>
      <c r="AY288" s="1136">
        <f t="shared" ca="1" si="104"/>
        <v>0</v>
      </c>
      <c r="AZ288" s="1136">
        <f t="shared" ca="1" si="104"/>
        <v>12.802967336492252</v>
      </c>
      <c r="BA288" s="1136">
        <f t="shared" ca="1" si="104"/>
        <v>120.91848157421316</v>
      </c>
      <c r="BB288" s="1136">
        <f t="shared" ca="1" si="104"/>
        <v>283.34741345258158</v>
      </c>
      <c r="BC288" s="1136">
        <f t="shared" ca="1" si="104"/>
        <v>536.10441828929072</v>
      </c>
      <c r="BD288" s="1136">
        <f t="shared" ca="1" si="104"/>
        <v>836.88994808733503</v>
      </c>
      <c r="BE288" s="1136">
        <f t="shared" ca="1" si="104"/>
        <v>1204.5380107175029</v>
      </c>
      <c r="BF288" s="1136">
        <f t="shared" ca="1" si="104"/>
        <v>1705.1687752847531</v>
      </c>
      <c r="BG288" s="1130"/>
    </row>
    <row r="289" spans="1:62" x14ac:dyDescent="0.2">
      <c r="A289"/>
      <c r="B289" s="1129"/>
      <c r="C289" s="1126"/>
      <c r="D289" s="1126"/>
      <c r="E289" s="1126"/>
      <c r="F289" s="1136"/>
      <c r="G289" s="1136"/>
      <c r="H289" s="1136"/>
      <c r="I289" s="1136"/>
      <c r="J289" s="1136"/>
      <c r="K289" s="1136"/>
      <c r="L289" s="1136"/>
      <c r="M289" s="1136"/>
      <c r="N289" s="1136"/>
      <c r="O289" s="1136"/>
      <c r="P289" s="1136"/>
      <c r="Q289" s="1136"/>
      <c r="R289" s="1136"/>
      <c r="S289" s="1136"/>
      <c r="T289" s="1136"/>
      <c r="U289" s="1136"/>
      <c r="V289" s="1136"/>
      <c r="W289" s="1136"/>
      <c r="X289" s="1136"/>
      <c r="Y289" s="1136"/>
      <c r="Z289" s="1136"/>
      <c r="AA289" s="1136"/>
      <c r="AB289" s="1136"/>
      <c r="AC289" s="1136"/>
      <c r="AD289" s="1136"/>
      <c r="AE289" s="1136"/>
      <c r="AF289" s="1136"/>
      <c r="AG289" s="1136"/>
      <c r="AH289" s="1136"/>
      <c r="AI289" s="1136"/>
      <c r="AJ289" s="1136"/>
      <c r="AK289" s="1136"/>
      <c r="AL289" s="1136"/>
      <c r="AM289" s="1136"/>
      <c r="AN289" s="1136"/>
      <c r="AO289" s="1136"/>
      <c r="AP289" s="1136"/>
      <c r="AQ289" s="1136"/>
      <c r="AR289" s="1136"/>
      <c r="AS289" s="1136"/>
      <c r="AT289" s="1136"/>
      <c r="AU289" s="1136"/>
      <c r="AV289" s="1136"/>
      <c r="AW289" s="1136"/>
      <c r="AX289" s="1136"/>
      <c r="AY289" s="1136"/>
      <c r="AZ289" s="1136"/>
      <c r="BA289" s="1136"/>
      <c r="BB289" s="1136"/>
      <c r="BC289" s="1136"/>
      <c r="BD289" s="1136"/>
      <c r="BE289" s="1136" t="s">
        <v>1315</v>
      </c>
      <c r="BF289" s="1294">
        <f ca="1">BF288/BF287</f>
        <v>0.45553504745461598</v>
      </c>
      <c r="BG289" s="1130"/>
      <c r="BJ289"/>
    </row>
    <row r="290" spans="1:62" x14ac:dyDescent="0.2">
      <c r="B290" s="1129"/>
      <c r="C290" s="1126"/>
      <c r="D290" s="1126" t="s">
        <v>108</v>
      </c>
      <c r="E290" s="1126"/>
      <c r="F290" s="1136"/>
      <c r="G290" s="1136"/>
      <c r="H290" s="1136"/>
      <c r="I290" s="1136"/>
      <c r="J290" s="1136"/>
      <c r="K290" s="1136"/>
      <c r="L290" s="1136"/>
      <c r="M290" s="1136"/>
      <c r="N290" s="1136"/>
      <c r="O290" s="1136"/>
      <c r="P290" s="1136"/>
      <c r="Q290" s="1136"/>
      <c r="R290" s="1136"/>
      <c r="S290" s="1136"/>
      <c r="T290" s="1136"/>
      <c r="U290" s="1136"/>
      <c r="V290" s="1136"/>
      <c r="W290" s="1136"/>
      <c r="X290" s="1136"/>
      <c r="Y290" s="1136"/>
      <c r="Z290" s="1136"/>
      <c r="AA290" s="1136"/>
      <c r="AB290" s="1136"/>
      <c r="AC290" s="1136"/>
      <c r="AD290" s="1136"/>
      <c r="AE290" s="1136"/>
      <c r="AF290" s="1136"/>
      <c r="AG290" s="1136"/>
      <c r="AH290" s="1136"/>
      <c r="AI290" s="1136"/>
      <c r="AJ290" s="1136"/>
      <c r="AK290" s="1136"/>
      <c r="AL290" s="1136"/>
      <c r="AM290" s="1136"/>
      <c r="AN290" s="1136"/>
      <c r="AO290" s="1136"/>
      <c r="AP290" s="1136"/>
      <c r="AQ290" s="1136"/>
      <c r="AR290" s="1136"/>
      <c r="AS290" s="1136"/>
      <c r="AT290" s="1136"/>
      <c r="AU290" s="1136"/>
      <c r="AV290" s="1136"/>
      <c r="AW290" s="1136">
        <f t="shared" ref="AW290:BF290" si="105">AW17+AW47+AW48</f>
        <v>0</v>
      </c>
      <c r="AX290" s="1136">
        <f t="shared" ca="1" si="105"/>
        <v>1214.0100277672175</v>
      </c>
      <c r="AY290" s="1136">
        <f t="shared" ca="1" si="105"/>
        <v>1279.4659040737304</v>
      </c>
      <c r="AZ290" s="1136">
        <f t="shared" ca="1" si="105"/>
        <v>1434.9958279338753</v>
      </c>
      <c r="BA290" s="1136">
        <f t="shared" ca="1" si="105"/>
        <v>1615.9388694048741</v>
      </c>
      <c r="BB290" s="1136">
        <f t="shared" ca="1" si="105"/>
        <v>1893.3970198610809</v>
      </c>
      <c r="BC290" s="1136">
        <f t="shared" ca="1" si="105"/>
        <v>2299.2879968529596</v>
      </c>
      <c r="BD290" s="1136">
        <f t="shared" ca="1" si="105"/>
        <v>2719.3462632395899</v>
      </c>
      <c r="BE290" s="1136">
        <f t="shared" ca="1" si="105"/>
        <v>3174.3927421965745</v>
      </c>
      <c r="BF290" s="1136">
        <f t="shared" ca="1" si="105"/>
        <v>3743.221920712117</v>
      </c>
      <c r="BG290" s="1130"/>
      <c r="BH290" s="38"/>
      <c r="BJ290"/>
    </row>
    <row r="291" spans="1:62" x14ac:dyDescent="0.2">
      <c r="B291" s="1129"/>
      <c r="C291" s="1126"/>
      <c r="D291" s="1126"/>
      <c r="E291" s="1126"/>
      <c r="F291" s="1136"/>
      <c r="G291" s="1136"/>
      <c r="H291" s="1136"/>
      <c r="I291" s="1136"/>
      <c r="J291" s="1136"/>
      <c r="K291" s="1136"/>
      <c r="L291" s="1136"/>
      <c r="M291" s="1136"/>
      <c r="N291" s="1136"/>
      <c r="O291" s="1136"/>
      <c r="P291" s="1136"/>
      <c r="Q291" s="1136"/>
      <c r="R291" s="1136"/>
      <c r="S291" s="1136"/>
      <c r="T291" s="1136"/>
      <c r="U291" s="1136"/>
      <c r="V291" s="1136"/>
      <c r="W291" s="1136"/>
      <c r="X291" s="1136"/>
      <c r="Y291" s="1136"/>
      <c r="Z291" s="1136"/>
      <c r="AA291" s="1136"/>
      <c r="AB291" s="1136"/>
      <c r="AC291" s="1136"/>
      <c r="AD291" s="1136"/>
      <c r="AE291" s="1136"/>
      <c r="AF291" s="1136"/>
      <c r="AG291" s="1136"/>
      <c r="AH291" s="1136"/>
      <c r="AI291" s="1136"/>
      <c r="AJ291" s="1136"/>
      <c r="AK291" s="1136"/>
      <c r="AL291" s="1136"/>
      <c r="AM291" s="1136"/>
      <c r="AN291" s="1136"/>
      <c r="AO291" s="1136"/>
      <c r="AP291" s="1136"/>
      <c r="AQ291" s="1136"/>
      <c r="AR291" s="1136"/>
      <c r="AS291" s="1136"/>
      <c r="AT291" s="1136"/>
      <c r="AU291" s="1136"/>
      <c r="AV291" s="1136"/>
      <c r="AW291" s="1136"/>
      <c r="AX291" s="1136"/>
      <c r="AY291" s="1136"/>
      <c r="AZ291" s="1136"/>
      <c r="BA291" s="1136"/>
      <c r="BB291" s="1136"/>
      <c r="BC291" s="1136"/>
      <c r="BD291" s="1136"/>
      <c r="BE291" s="1136"/>
      <c r="BF291" s="1136"/>
      <c r="BG291" s="1130"/>
      <c r="BH291" s="38"/>
      <c r="BJ291"/>
    </row>
    <row r="292" spans="1:62" x14ac:dyDescent="0.2">
      <c r="B292" s="2479"/>
      <c r="C292" s="38"/>
      <c r="D292" s="38"/>
      <c r="E292" s="38"/>
      <c r="F292" s="1025"/>
      <c r="G292" s="1025"/>
      <c r="H292" s="1025"/>
      <c r="I292" s="1025"/>
      <c r="J292" s="1025"/>
      <c r="K292" s="1025"/>
      <c r="L292" s="1025"/>
      <c r="M292" s="1025"/>
      <c r="N292" s="1025"/>
      <c r="O292" s="1025"/>
      <c r="P292" s="1025"/>
      <c r="Q292" s="1025"/>
      <c r="R292" s="1025"/>
      <c r="S292" s="1025"/>
      <c r="T292" s="1025"/>
      <c r="U292" s="1025"/>
      <c r="V292" s="1025"/>
      <c r="W292" s="1025"/>
      <c r="X292" s="1025"/>
      <c r="Y292" s="1025"/>
      <c r="Z292" s="1025"/>
      <c r="AA292" s="1025"/>
      <c r="AB292" s="1025"/>
      <c r="AC292" s="1025"/>
      <c r="AD292" s="1025"/>
      <c r="AE292" s="1025"/>
      <c r="AF292" s="1025"/>
      <c r="AG292" s="1025"/>
      <c r="AH292" s="1025"/>
      <c r="AI292" s="1025"/>
      <c r="AJ292" s="1025"/>
      <c r="AK292" s="1025"/>
      <c r="AL292" s="1025"/>
      <c r="AM292" s="1025"/>
      <c r="AN292" s="1025"/>
      <c r="AO292" s="1025"/>
      <c r="AP292" s="1025"/>
      <c r="AQ292" s="1025"/>
      <c r="AR292" s="1025"/>
      <c r="AS292" s="1025"/>
      <c r="AT292" s="1025"/>
      <c r="AU292" s="1025"/>
      <c r="AV292" s="1025"/>
      <c r="AW292" s="1025"/>
      <c r="AX292" s="1025"/>
      <c r="AY292" s="1025"/>
      <c r="AZ292" s="1025"/>
      <c r="BA292" s="1025"/>
      <c r="BB292" s="1025"/>
      <c r="BC292" s="1025"/>
      <c r="BD292" s="1025"/>
      <c r="BE292" s="1025"/>
      <c r="BF292" s="1025"/>
      <c r="BG292" s="1025"/>
      <c r="BH292" s="38"/>
      <c r="BI292" s="38"/>
      <c r="BJ292"/>
    </row>
    <row r="293" spans="1:62" ht="15.75" x14ac:dyDescent="0.2">
      <c r="B293" s="1122" t="s">
        <v>1302</v>
      </c>
      <c r="C293" s="1123"/>
      <c r="D293" s="1123"/>
      <c r="E293" s="1123"/>
      <c r="F293" s="1123"/>
      <c r="G293" s="1123"/>
      <c r="H293" s="1123"/>
      <c r="I293" s="1123"/>
      <c r="J293" s="1123"/>
      <c r="K293" s="1123"/>
      <c r="L293" s="1123"/>
      <c r="M293" s="1123"/>
      <c r="N293" s="1123"/>
      <c r="O293" s="1123"/>
      <c r="P293" s="1123"/>
      <c r="Q293" s="1123"/>
      <c r="R293" s="1123"/>
      <c r="S293" s="1123"/>
      <c r="T293" s="1123"/>
      <c r="U293" s="1123"/>
      <c r="V293" s="1123"/>
      <c r="W293" s="1123"/>
      <c r="X293" s="1123"/>
      <c r="Y293" s="1123"/>
      <c r="Z293" s="1123"/>
      <c r="AA293" s="1123"/>
      <c r="AB293" s="1123"/>
      <c r="AC293" s="1123"/>
      <c r="AD293" s="1123"/>
      <c r="AE293" s="1123"/>
      <c r="AF293" s="1123"/>
      <c r="AG293" s="1123"/>
      <c r="AH293" s="1123"/>
      <c r="AI293" s="1123"/>
      <c r="AJ293" s="1123"/>
      <c r="AK293" s="1123"/>
      <c r="AL293" s="1123"/>
      <c r="AM293" s="1123"/>
      <c r="AN293" s="1123"/>
      <c r="AO293" s="1123"/>
      <c r="AP293" s="1123"/>
      <c r="AQ293" s="1123"/>
      <c r="AR293" s="1123"/>
      <c r="AS293" s="1123"/>
      <c r="AT293" s="1123"/>
      <c r="AU293" s="1123"/>
      <c r="AV293" s="1123"/>
      <c r="AW293" s="1123"/>
      <c r="AX293" s="1124"/>
      <c r="AY293" s="1124"/>
      <c r="AZ293" s="1124"/>
      <c r="BA293" s="1124"/>
      <c r="BB293" s="1124"/>
      <c r="BC293" s="1124"/>
      <c r="BD293" s="1124"/>
      <c r="BE293" s="1124"/>
      <c r="BF293" s="1124"/>
      <c r="BG293" s="1125"/>
      <c r="BH293" s="1318"/>
      <c r="BJ293"/>
    </row>
    <row r="294" spans="1:62" s="1275" customFormat="1" x14ac:dyDescent="0.2">
      <c r="B294" s="1129"/>
      <c r="C294" s="1127"/>
      <c r="D294" s="1127"/>
      <c r="E294" s="1127"/>
      <c r="F294" s="1127"/>
      <c r="G294" s="1127"/>
      <c r="H294" s="1127"/>
      <c r="I294" s="1127"/>
      <c r="J294" s="1127"/>
      <c r="K294" s="1127"/>
      <c r="L294" s="1127"/>
      <c r="M294" s="1127"/>
      <c r="N294" s="1127"/>
      <c r="O294" s="1127"/>
      <c r="P294" s="1127"/>
      <c r="Q294" s="1127"/>
      <c r="R294" s="1127"/>
      <c r="S294" s="1127"/>
      <c r="T294" s="1127"/>
      <c r="U294" s="1127"/>
      <c r="V294" s="1127"/>
      <c r="W294" s="1127"/>
      <c r="X294" s="1127"/>
      <c r="Y294" s="1127"/>
      <c r="Z294" s="1127"/>
      <c r="AA294" s="1127"/>
      <c r="AB294" s="1127"/>
      <c r="AC294" s="1127"/>
      <c r="AD294" s="1127"/>
      <c r="AE294" s="1127"/>
      <c r="AF294" s="1127"/>
      <c r="AG294" s="1127"/>
      <c r="AH294" s="1127"/>
      <c r="AI294" s="1127"/>
      <c r="AJ294" s="1127"/>
      <c r="AK294" s="1127"/>
      <c r="AL294" s="1127"/>
      <c r="AM294" s="1127"/>
      <c r="AN294" s="1127"/>
      <c r="AO294" s="1127"/>
      <c r="AP294" s="1127"/>
      <c r="AQ294" s="1127"/>
      <c r="AR294" s="1127"/>
      <c r="AS294" s="1127"/>
      <c r="AT294" s="1127"/>
      <c r="AU294" s="1127"/>
      <c r="AV294" s="1127"/>
      <c r="AW294" s="1127"/>
      <c r="AX294" s="1128"/>
      <c r="AY294" s="1128"/>
      <c r="AZ294" s="1128"/>
      <c r="BA294" s="1128"/>
      <c r="BB294" s="1128"/>
      <c r="BC294" s="1128"/>
      <c r="BD294" s="1128"/>
      <c r="BE294" s="1128"/>
      <c r="BF294" s="1128"/>
      <c r="BG294" s="1132"/>
      <c r="BH294" s="1318"/>
    </row>
    <row r="295" spans="1:62" s="1275" customFormat="1" x14ac:dyDescent="0.2">
      <c r="B295" s="1129"/>
      <c r="C295" s="1282" t="s">
        <v>34</v>
      </c>
      <c r="D295" s="1284"/>
      <c r="E295" s="1134"/>
      <c r="F295" s="1285"/>
      <c r="G295" s="1285"/>
      <c r="H295" s="1285"/>
      <c r="I295" s="1285"/>
      <c r="J295" s="1285"/>
      <c r="K295" s="1285"/>
      <c r="L295" s="1285"/>
      <c r="M295" s="1285"/>
      <c r="N295" s="1285"/>
      <c r="O295" s="1285"/>
      <c r="P295" s="1285"/>
      <c r="Q295" s="1285"/>
      <c r="R295" s="1285"/>
      <c r="S295" s="1285"/>
      <c r="T295" s="1285"/>
      <c r="U295" s="1285"/>
      <c r="V295" s="1285"/>
      <c r="W295" s="1285"/>
      <c r="X295" s="1285"/>
      <c r="Y295" s="1285"/>
      <c r="Z295" s="1285"/>
      <c r="AA295" s="1285"/>
      <c r="AB295" s="1285"/>
      <c r="AC295" s="1285"/>
      <c r="AD295" s="1285"/>
      <c r="AE295" s="1285"/>
      <c r="AF295" s="1285"/>
      <c r="AG295" s="1285"/>
      <c r="AH295" s="1285"/>
      <c r="AI295" s="1285"/>
      <c r="AJ295" s="1285"/>
      <c r="AK295" s="1285"/>
      <c r="AL295" s="1285"/>
      <c r="AM295" s="1285"/>
      <c r="AN295" s="1285"/>
      <c r="AO295" s="1285"/>
      <c r="AP295" s="1285"/>
      <c r="AQ295" s="1285"/>
      <c r="AR295" s="1285"/>
      <c r="AS295" s="1285"/>
      <c r="AT295" s="1285"/>
      <c r="AU295" s="1285"/>
      <c r="AV295" s="1285"/>
      <c r="AW295" s="1285"/>
      <c r="AX295" s="1285">
        <v>2010</v>
      </c>
      <c r="AY295" s="1285">
        <v>2015</v>
      </c>
      <c r="AZ295" s="1285">
        <v>2020</v>
      </c>
      <c r="BA295" s="1285">
        <v>2025</v>
      </c>
      <c r="BB295" s="1285">
        <v>2030</v>
      </c>
      <c r="BC295" s="1285">
        <v>2035</v>
      </c>
      <c r="BD295" s="1285">
        <v>2040</v>
      </c>
      <c r="BE295" s="1285">
        <v>2045</v>
      </c>
      <c r="BF295" s="1286">
        <v>2050</v>
      </c>
      <c r="BG295" s="1130" t="str">
        <f>Preferences.EnergyUnits</f>
        <v>TWh</v>
      </c>
    </row>
    <row r="296" spans="1:62" x14ac:dyDescent="0.2">
      <c r="B296" s="1129"/>
      <c r="C296" s="1134"/>
      <c r="D296" s="1126"/>
      <c r="E296" s="1126"/>
      <c r="F296" s="1133"/>
      <c r="G296" s="1133"/>
      <c r="H296" s="1133"/>
      <c r="I296" s="1133"/>
      <c r="J296" s="1133"/>
      <c r="K296" s="1133"/>
      <c r="L296" s="1133"/>
      <c r="M296" s="1133"/>
      <c r="N296" s="1133"/>
      <c r="O296" s="1133"/>
      <c r="P296" s="1133"/>
      <c r="Q296" s="1133"/>
      <c r="R296" s="1133"/>
      <c r="S296" s="1133"/>
      <c r="T296" s="1133"/>
      <c r="U296" s="1133"/>
      <c r="V296" s="1133"/>
      <c r="W296" s="1133"/>
      <c r="X296" s="1133"/>
      <c r="Y296" s="1133"/>
      <c r="Z296" s="1133"/>
      <c r="AA296" s="1133"/>
      <c r="AB296" s="1133"/>
      <c r="AC296" s="1133"/>
      <c r="AD296" s="1133"/>
      <c r="AE296" s="1133"/>
      <c r="AF296" s="1133"/>
      <c r="AG296" s="1133"/>
      <c r="AH296" s="1133"/>
      <c r="AI296" s="1133"/>
      <c r="AJ296" s="1133"/>
      <c r="AK296" s="1133"/>
      <c r="AL296" s="1133"/>
      <c r="AM296" s="1133"/>
      <c r="AN296" s="1133"/>
      <c r="AO296" s="1133"/>
      <c r="AP296" s="1133"/>
      <c r="AQ296" s="1133"/>
      <c r="AR296" s="1133"/>
      <c r="AS296" s="1133"/>
      <c r="AT296" s="1133"/>
      <c r="AU296" s="1133"/>
      <c r="AV296" s="1133"/>
      <c r="AW296" s="1133"/>
      <c r="AX296" s="1133"/>
      <c r="AY296" s="1133"/>
      <c r="AZ296" s="1133"/>
      <c r="BA296" s="1133"/>
      <c r="BB296" s="1133"/>
      <c r="BC296" s="1133"/>
      <c r="BD296" s="1133"/>
      <c r="BE296" s="1133"/>
      <c r="BF296" s="1133"/>
      <c r="BG296" s="1130"/>
      <c r="BH296" s="1318"/>
      <c r="BJ296"/>
    </row>
    <row r="297" spans="1:62" x14ac:dyDescent="0.2">
      <c r="B297" s="1129"/>
      <c r="C297" s="1278" t="s">
        <v>380</v>
      </c>
      <c r="D297" s="1278" t="str">
        <f>INDEX(Modules[Module], MATCH($C297, Modules[Code], 0))</f>
        <v>Agriculture and land use</v>
      </c>
      <c r="E297" s="1277"/>
      <c r="F297" s="1279"/>
      <c r="G297" s="1279"/>
      <c r="H297" s="1279"/>
      <c r="I297" s="1279"/>
      <c r="J297" s="1279"/>
      <c r="K297" s="1279"/>
      <c r="L297" s="1279"/>
      <c r="M297" s="1279"/>
      <c r="N297" s="1279"/>
      <c r="O297" s="1279"/>
      <c r="P297" s="1279"/>
      <c r="Q297" s="1279"/>
      <c r="R297" s="1279"/>
      <c r="S297" s="1279"/>
      <c r="T297" s="1279"/>
      <c r="U297" s="1279"/>
      <c r="V297" s="1279"/>
      <c r="W297" s="1279"/>
      <c r="X297" s="1279"/>
      <c r="Y297" s="1279"/>
      <c r="Z297" s="1279"/>
      <c r="AA297" s="1279"/>
      <c r="AB297" s="1279"/>
      <c r="AC297" s="1279"/>
      <c r="AD297" s="1279"/>
      <c r="AE297" s="1279"/>
      <c r="AF297" s="1279"/>
      <c r="AG297" s="1279"/>
      <c r="AH297" s="1279"/>
      <c r="AI297" s="1279"/>
      <c r="AJ297" s="1279"/>
      <c r="AK297" s="1279"/>
      <c r="AL297" s="1279"/>
      <c r="AM297" s="1279"/>
      <c r="AN297" s="1279"/>
      <c r="AO297" s="1279"/>
      <c r="AP297" s="1279"/>
      <c r="AQ297" s="1279"/>
      <c r="AR297" s="1279"/>
      <c r="AS297" s="1279"/>
      <c r="AT297" s="1279"/>
      <c r="AU297" s="1279"/>
      <c r="AV297" s="1279"/>
      <c r="AW297" s="1279"/>
      <c r="AX297" s="1280">
        <f t="shared" ref="AX297:BF306" ca="1" si="106">-INDEX(INDIRECT($C297&amp;".Outputs["&amp;AX$295&amp;"]"),MATCH($C$295,INDIRECT($C297&amp;".Outputs[Vector]"),0))</f>
        <v>1.24142109</v>
      </c>
      <c r="AY297" s="1280">
        <f t="shared" ca="1" si="106"/>
        <v>1.2985267076597906</v>
      </c>
      <c r="AZ297" s="1280">
        <f t="shared" ca="1" si="106"/>
        <v>1.3631364724822697</v>
      </c>
      <c r="BA297" s="1280">
        <f t="shared" ca="1" si="106"/>
        <v>1.4362364910353544</v>
      </c>
      <c r="BB297" s="1280">
        <f t="shared" ca="1" si="106"/>
        <v>1.5189424523887711</v>
      </c>
      <c r="BC297" s="1280">
        <f t="shared" ca="1" si="106"/>
        <v>1.6125166563190418</v>
      </c>
      <c r="BD297" s="1280">
        <f t="shared" ca="1" si="106"/>
        <v>1.718387279160452</v>
      </c>
      <c r="BE297" s="1280">
        <f t="shared" ca="1" si="106"/>
        <v>1.8381701713470693</v>
      </c>
      <c r="BF297" s="1280">
        <f t="shared" ca="1" si="106"/>
        <v>1.9736935193308003</v>
      </c>
      <c r="BG297" s="1130"/>
      <c r="BH297" s="1318"/>
      <c r="BJ297"/>
    </row>
    <row r="298" spans="1:62" x14ac:dyDescent="0.2">
      <c r="B298" s="1129"/>
      <c r="C298" s="1278" t="s">
        <v>341</v>
      </c>
      <c r="D298" s="1278" t="str">
        <f>INDEX(Modules[Module], MATCH($C298, Modules[Code], 0))</f>
        <v>Residential Cooling</v>
      </c>
      <c r="E298" s="1277"/>
      <c r="F298" s="1279"/>
      <c r="G298" s="1279"/>
      <c r="H298" s="1279"/>
      <c r="I298" s="1279"/>
      <c r="J298" s="1279"/>
      <c r="K298" s="1279"/>
      <c r="L298" s="1279"/>
      <c r="M298" s="1279"/>
      <c r="N298" s="1279"/>
      <c r="O298" s="1279"/>
      <c r="P298" s="1279"/>
      <c r="Q298" s="1279"/>
      <c r="R298" s="1279"/>
      <c r="S298" s="1279"/>
      <c r="T298" s="1279"/>
      <c r="U298" s="1279"/>
      <c r="V298" s="1279"/>
      <c r="W298" s="1279"/>
      <c r="X298" s="1279"/>
      <c r="Y298" s="1279"/>
      <c r="Z298" s="1279"/>
      <c r="AA298" s="1279"/>
      <c r="AB298" s="1279"/>
      <c r="AC298" s="1279"/>
      <c r="AD298" s="1279"/>
      <c r="AE298" s="1279"/>
      <c r="AF298" s="1279"/>
      <c r="AG298" s="1279"/>
      <c r="AH298" s="1279"/>
      <c r="AI298" s="1279"/>
      <c r="AJ298" s="1279"/>
      <c r="AK298" s="1279"/>
      <c r="AL298" s="1279"/>
      <c r="AM298" s="1279"/>
      <c r="AN298" s="1279"/>
      <c r="AO298" s="1279"/>
      <c r="AP298" s="1279"/>
      <c r="AQ298" s="1279"/>
      <c r="AR298" s="1279"/>
      <c r="AS298" s="1279"/>
      <c r="AT298" s="1279"/>
      <c r="AU298" s="1279"/>
      <c r="AV298" s="1279"/>
      <c r="AW298" s="1279"/>
      <c r="AX298" s="1280">
        <f t="shared" ca="1" si="106"/>
        <v>38.553347194436292</v>
      </c>
      <c r="AY298" s="1280">
        <f t="shared" ca="1" si="106"/>
        <v>42.35519366304365</v>
      </c>
      <c r="AZ298" s="1280">
        <f t="shared" ca="1" si="106"/>
        <v>50.714523094931813</v>
      </c>
      <c r="BA298" s="1280">
        <f t="shared" ca="1" si="106"/>
        <v>60.501058104296142</v>
      </c>
      <c r="BB298" s="1280">
        <f t="shared" ca="1" si="106"/>
        <v>69.168548601745115</v>
      </c>
      <c r="BC298" s="1280">
        <f t="shared" ca="1" si="106"/>
        <v>81.857281951971515</v>
      </c>
      <c r="BD298" s="1280">
        <f t="shared" ca="1" si="106"/>
        <v>90.481230811821106</v>
      </c>
      <c r="BE298" s="1280">
        <f t="shared" ca="1" si="106"/>
        <v>99.556795631218193</v>
      </c>
      <c r="BF298" s="1280">
        <f t="shared" ca="1" si="106"/>
        <v>109.03701827242892</v>
      </c>
      <c r="BG298" s="1130"/>
      <c r="BH298" s="1318"/>
      <c r="BJ298"/>
    </row>
    <row r="299" spans="1:62" x14ac:dyDescent="0.2">
      <c r="B299" s="1129"/>
      <c r="C299" s="1278" t="s">
        <v>388</v>
      </c>
      <c r="D299" s="1278" t="str">
        <f>INDEX(Modules[Module], MATCH($C299, Modules[Code], 0))</f>
        <v>Service Sector Cooling</v>
      </c>
      <c r="E299" s="1277"/>
      <c r="F299" s="1279"/>
      <c r="G299" s="1279"/>
      <c r="H299" s="1279"/>
      <c r="I299" s="1279"/>
      <c r="J299" s="1279"/>
      <c r="K299" s="1279"/>
      <c r="L299" s="1279"/>
      <c r="M299" s="1279"/>
      <c r="N299" s="1279"/>
      <c r="O299" s="1279"/>
      <c r="P299" s="1279"/>
      <c r="Q299" s="1279"/>
      <c r="R299" s="1279"/>
      <c r="S299" s="1279"/>
      <c r="T299" s="1279"/>
      <c r="U299" s="1279"/>
      <c r="V299" s="1279"/>
      <c r="W299" s="1279"/>
      <c r="X299" s="1279"/>
      <c r="Y299" s="1279"/>
      <c r="Z299" s="1279"/>
      <c r="AA299" s="1279"/>
      <c r="AB299" s="1279"/>
      <c r="AC299" s="1279"/>
      <c r="AD299" s="1279"/>
      <c r="AE299" s="1279"/>
      <c r="AF299" s="1279"/>
      <c r="AG299" s="1279"/>
      <c r="AH299" s="1279"/>
      <c r="AI299" s="1279"/>
      <c r="AJ299" s="1279"/>
      <c r="AK299" s="1279"/>
      <c r="AL299" s="1279"/>
      <c r="AM299" s="1279"/>
      <c r="AN299" s="1279"/>
      <c r="AO299" s="1279"/>
      <c r="AP299" s="1279"/>
      <c r="AQ299" s="1279"/>
      <c r="AR299" s="1279"/>
      <c r="AS299" s="1279"/>
      <c r="AT299" s="1279"/>
      <c r="AU299" s="1279"/>
      <c r="AV299" s="1279"/>
      <c r="AW299" s="1279"/>
      <c r="AX299" s="1280">
        <f t="shared" ca="1" si="106"/>
        <v>7.6376658252466445</v>
      </c>
      <c r="AY299" s="1280">
        <f t="shared" ca="1" si="106"/>
        <v>11.164654317475202</v>
      </c>
      <c r="AZ299" s="1280">
        <f t="shared" ca="1" si="106"/>
        <v>14.39449468289782</v>
      </c>
      <c r="BA299" s="1280">
        <f t="shared" ca="1" si="106"/>
        <v>17.327186921514574</v>
      </c>
      <c r="BB299" s="1280">
        <f t="shared" ca="1" si="106"/>
        <v>19.962731033325539</v>
      </c>
      <c r="BC299" s="1280">
        <f t="shared" ca="1" si="106"/>
        <v>22.301127018330565</v>
      </c>
      <c r="BD299" s="1280">
        <f t="shared" ca="1" si="106"/>
        <v>24.342374876529728</v>
      </c>
      <c r="BE299" s="1280">
        <f t="shared" ca="1" si="106"/>
        <v>26.086474607923098</v>
      </c>
      <c r="BF299" s="1280">
        <f t="shared" ca="1" si="106"/>
        <v>27.533426212510538</v>
      </c>
      <c r="BG299" s="1130"/>
      <c r="BH299" s="1318"/>
      <c r="BJ299"/>
    </row>
    <row r="300" spans="1:62" x14ac:dyDescent="0.2">
      <c r="B300" s="1129"/>
      <c r="C300" s="1278" t="s">
        <v>392</v>
      </c>
      <c r="D300" s="1278" t="str">
        <f>INDEX(Modules[Module], MATCH($C300, Modules[Code], 0))</f>
        <v>Residential Lighting, Appliances, and Cooking</v>
      </c>
      <c r="E300" s="1277"/>
      <c r="F300" s="1279"/>
      <c r="G300" s="1279"/>
      <c r="H300" s="1279"/>
      <c r="I300" s="1279"/>
      <c r="J300" s="1279"/>
      <c r="K300" s="1279"/>
      <c r="L300" s="1279"/>
      <c r="M300" s="1279"/>
      <c r="N300" s="1279"/>
      <c r="O300" s="1279"/>
      <c r="P300" s="1279"/>
      <c r="Q300" s="1279"/>
      <c r="R300" s="1279"/>
      <c r="S300" s="1279"/>
      <c r="T300" s="1279"/>
      <c r="U300" s="1279"/>
      <c r="V300" s="1279"/>
      <c r="W300" s="1279"/>
      <c r="X300" s="1279"/>
      <c r="Y300" s="1279"/>
      <c r="Z300" s="1279"/>
      <c r="AA300" s="1279"/>
      <c r="AB300" s="1279"/>
      <c r="AC300" s="1279"/>
      <c r="AD300" s="1279"/>
      <c r="AE300" s="1279"/>
      <c r="AF300" s="1279"/>
      <c r="AG300" s="1279"/>
      <c r="AH300" s="1279"/>
      <c r="AI300" s="1279"/>
      <c r="AJ300" s="1279"/>
      <c r="AK300" s="1279"/>
      <c r="AL300" s="1279"/>
      <c r="AM300" s="1279"/>
      <c r="AN300" s="1279"/>
      <c r="AO300" s="1279"/>
      <c r="AP300" s="1279"/>
      <c r="AQ300" s="1279"/>
      <c r="AR300" s="1279"/>
      <c r="AS300" s="1279"/>
      <c r="AT300" s="1279"/>
      <c r="AU300" s="1279"/>
      <c r="AV300" s="1279"/>
      <c r="AW300" s="1279"/>
      <c r="AX300" s="1280">
        <f t="shared" ca="1" si="106"/>
        <v>27.89612118265498</v>
      </c>
      <c r="AY300" s="1280">
        <f t="shared" ca="1" si="106"/>
        <v>37.002325143060304</v>
      </c>
      <c r="AZ300" s="1280">
        <f t="shared" ca="1" si="106"/>
        <v>74.005069857124582</v>
      </c>
      <c r="BA300" s="1280">
        <f t="shared" ca="1" si="106"/>
        <v>153.36073970703768</v>
      </c>
      <c r="BB300" s="1280">
        <f t="shared" ca="1" si="106"/>
        <v>233.8444437272363</v>
      </c>
      <c r="BC300" s="1280">
        <f t="shared" ca="1" si="106"/>
        <v>343.01906779164136</v>
      </c>
      <c r="BD300" s="1280">
        <f t="shared" ca="1" si="106"/>
        <v>446.79387785974899</v>
      </c>
      <c r="BE300" s="1280">
        <f t="shared" ca="1" si="106"/>
        <v>557.84210500563609</v>
      </c>
      <c r="BF300" s="1280">
        <f t="shared" ca="1" si="106"/>
        <v>676.14898610126431</v>
      </c>
      <c r="BG300" s="1130"/>
      <c r="BH300" s="1318"/>
      <c r="BJ300"/>
    </row>
    <row r="301" spans="1:62" x14ac:dyDescent="0.2">
      <c r="B301" s="1129"/>
      <c r="C301" s="1278" t="s">
        <v>393</v>
      </c>
      <c r="D301" s="1278" t="str">
        <f>INDEX(Modules[Module], MATCH($C301, Modules[Code], 0))</f>
        <v>Service Sector Lighting, Appliances, and Cooking</v>
      </c>
      <c r="E301" s="1277"/>
      <c r="F301" s="1279"/>
      <c r="G301" s="1279"/>
      <c r="H301" s="1279"/>
      <c r="I301" s="1279"/>
      <c r="J301" s="1279"/>
      <c r="K301" s="1279"/>
      <c r="L301" s="1279"/>
      <c r="M301" s="1279"/>
      <c r="N301" s="1279"/>
      <c r="O301" s="1279"/>
      <c r="P301" s="1279"/>
      <c r="Q301" s="1279"/>
      <c r="R301" s="1279"/>
      <c r="S301" s="1279"/>
      <c r="T301" s="1279"/>
      <c r="U301" s="1279"/>
      <c r="V301" s="1279"/>
      <c r="W301" s="1279"/>
      <c r="X301" s="1279"/>
      <c r="Y301" s="1279"/>
      <c r="Z301" s="1279"/>
      <c r="AA301" s="1279"/>
      <c r="AB301" s="1279"/>
      <c r="AC301" s="1279"/>
      <c r="AD301" s="1279"/>
      <c r="AE301" s="1279"/>
      <c r="AF301" s="1279"/>
      <c r="AG301" s="1279"/>
      <c r="AH301" s="1279"/>
      <c r="AI301" s="1279"/>
      <c r="AJ301" s="1279"/>
      <c r="AK301" s="1279"/>
      <c r="AL301" s="1279"/>
      <c r="AM301" s="1279"/>
      <c r="AN301" s="1279"/>
      <c r="AO301" s="1279"/>
      <c r="AP301" s="1279"/>
      <c r="AQ301" s="1279"/>
      <c r="AR301" s="1279"/>
      <c r="AS301" s="1279"/>
      <c r="AT301" s="1279"/>
      <c r="AU301" s="1279"/>
      <c r="AV301" s="1279"/>
      <c r="AW301" s="1279"/>
      <c r="AX301" s="1280">
        <f t="shared" ca="1" si="106"/>
        <v>10.747311068475991</v>
      </c>
      <c r="AY301" s="1280">
        <f t="shared" ca="1" si="106"/>
        <v>11.877969802396249</v>
      </c>
      <c r="AZ301" s="1280">
        <f t="shared" ca="1" si="106"/>
        <v>13.181003517972247</v>
      </c>
      <c r="BA301" s="1280">
        <f t="shared" ca="1" si="106"/>
        <v>14.460746058737476</v>
      </c>
      <c r="BB301" s="1280">
        <f t="shared" ca="1" si="106"/>
        <v>20.020368786122059</v>
      </c>
      <c r="BC301" s="1280">
        <f t="shared" ca="1" si="106"/>
        <v>26.205200519458359</v>
      </c>
      <c r="BD301" s="1280">
        <f t="shared" ca="1" si="106"/>
        <v>28.921353483281138</v>
      </c>
      <c r="BE301" s="1280">
        <f t="shared" ca="1" si="106"/>
        <v>31.615978208554619</v>
      </c>
      <c r="BF301" s="1280">
        <f t="shared" ca="1" si="106"/>
        <v>36.020206104359104</v>
      </c>
      <c r="BG301" s="1130"/>
      <c r="BH301" s="1318"/>
      <c r="BJ301"/>
    </row>
    <row r="302" spans="1:62" x14ac:dyDescent="0.2">
      <c r="B302" s="1129"/>
      <c r="C302" s="1278" t="s">
        <v>360</v>
      </c>
      <c r="D302" s="1278" t="str">
        <f>INDEX(Modules[Module], MATCH($C302, Modules[Code], 0))</f>
        <v>Industrial processes</v>
      </c>
      <c r="E302" s="1277"/>
      <c r="F302" s="1279"/>
      <c r="G302" s="1279"/>
      <c r="H302" s="1279"/>
      <c r="I302" s="1279"/>
      <c r="J302" s="1279"/>
      <c r="K302" s="1279"/>
      <c r="L302" s="1279"/>
      <c r="M302" s="1279"/>
      <c r="N302" s="1279"/>
      <c r="O302" s="1279"/>
      <c r="P302" s="1279"/>
      <c r="Q302" s="1279"/>
      <c r="R302" s="1279"/>
      <c r="S302" s="1279"/>
      <c r="T302" s="1279"/>
      <c r="U302" s="1279"/>
      <c r="V302" s="1279"/>
      <c r="W302" s="1279"/>
      <c r="X302" s="1279"/>
      <c r="Y302" s="1279"/>
      <c r="Z302" s="1279"/>
      <c r="AA302" s="1279"/>
      <c r="AB302" s="1279"/>
      <c r="AC302" s="1279"/>
      <c r="AD302" s="1279"/>
      <c r="AE302" s="1279"/>
      <c r="AF302" s="1279"/>
      <c r="AG302" s="1279"/>
      <c r="AH302" s="1279"/>
      <c r="AI302" s="1279"/>
      <c r="AJ302" s="1279"/>
      <c r="AK302" s="1279"/>
      <c r="AL302" s="1279"/>
      <c r="AM302" s="1279"/>
      <c r="AN302" s="1279"/>
      <c r="AO302" s="1279"/>
      <c r="AP302" s="1279"/>
      <c r="AQ302" s="1279"/>
      <c r="AR302" s="1279"/>
      <c r="AS302" s="1279"/>
      <c r="AT302" s="1279"/>
      <c r="AU302" s="1279"/>
      <c r="AV302" s="1279"/>
      <c r="AW302" s="1279"/>
      <c r="AX302" s="1280">
        <f t="shared" ca="1" si="106"/>
        <v>24.449164692999169</v>
      </c>
      <c r="AY302" s="1280">
        <f t="shared" ca="1" si="106"/>
        <v>24.982561473647642</v>
      </c>
      <c r="AZ302" s="1280">
        <f t="shared" ca="1" si="106"/>
        <v>24.8255212104248</v>
      </c>
      <c r="BA302" s="1280">
        <f t="shared" ca="1" si="106"/>
        <v>23.67914021157986</v>
      </c>
      <c r="BB302" s="1280">
        <f t="shared" ca="1" si="106"/>
        <v>20.431337268691905</v>
      </c>
      <c r="BC302" s="1280">
        <f t="shared" ca="1" si="106"/>
        <v>24.530763976236312</v>
      </c>
      <c r="BD302" s="1280">
        <f t="shared" ca="1" si="106"/>
        <v>29.427590808922986</v>
      </c>
      <c r="BE302" s="1280">
        <f t="shared" ca="1" si="106"/>
        <v>34.622018158108723</v>
      </c>
      <c r="BF302" s="1280">
        <f t="shared" ca="1" si="106"/>
        <v>40.740602035693293</v>
      </c>
      <c r="BG302" s="1130"/>
      <c r="BH302" s="1318"/>
      <c r="BJ302"/>
    </row>
    <row r="303" spans="1:62" x14ac:dyDescent="0.2">
      <c r="B303" s="1129"/>
      <c r="C303" s="1278" t="s">
        <v>362</v>
      </c>
      <c r="D303" s="1278" t="str">
        <f>INDEX(Modules[Module], MATCH($C303, Modules[Code], 0))</f>
        <v>Domestic passenger transport</v>
      </c>
      <c r="E303" s="1277"/>
      <c r="F303" s="1279"/>
      <c r="G303" s="1279"/>
      <c r="H303" s="1279"/>
      <c r="I303" s="1279"/>
      <c r="J303" s="1279"/>
      <c r="K303" s="1279"/>
      <c r="L303" s="1279"/>
      <c r="M303" s="1279"/>
      <c r="N303" s="1279"/>
      <c r="O303" s="1279"/>
      <c r="P303" s="1279"/>
      <c r="Q303" s="1279"/>
      <c r="R303" s="1279"/>
      <c r="S303" s="1279"/>
      <c r="T303" s="1279"/>
      <c r="U303" s="1279"/>
      <c r="V303" s="1279"/>
      <c r="W303" s="1279"/>
      <c r="X303" s="1279"/>
      <c r="Y303" s="1279"/>
      <c r="Z303" s="1279"/>
      <c r="AA303" s="1279"/>
      <c r="AB303" s="1279"/>
      <c r="AC303" s="1279"/>
      <c r="AD303" s="1279"/>
      <c r="AE303" s="1279"/>
      <c r="AF303" s="1279"/>
      <c r="AG303" s="1279"/>
      <c r="AH303" s="1279"/>
      <c r="AI303" s="1279"/>
      <c r="AJ303" s="1279"/>
      <c r="AK303" s="1279"/>
      <c r="AL303" s="1279"/>
      <c r="AM303" s="1279"/>
      <c r="AN303" s="1279"/>
      <c r="AO303" s="1279"/>
      <c r="AP303" s="1279"/>
      <c r="AQ303" s="1279"/>
      <c r="AR303" s="1279"/>
      <c r="AS303" s="1279"/>
      <c r="AT303" s="1279"/>
      <c r="AU303" s="1279"/>
      <c r="AV303" s="1279"/>
      <c r="AW303" s="1279"/>
      <c r="AX303" s="1280">
        <f t="shared" ca="1" si="106"/>
        <v>0</v>
      </c>
      <c r="AY303" s="1280">
        <f t="shared" ca="1" si="106"/>
        <v>0.7600709018011822</v>
      </c>
      <c r="AZ303" s="1280">
        <f t="shared" ca="1" si="106"/>
        <v>3.1879620186467812</v>
      </c>
      <c r="BA303" s="1280">
        <f t="shared" ca="1" si="106"/>
        <v>6.223589139673841</v>
      </c>
      <c r="BB303" s="1280">
        <f t="shared" ca="1" si="106"/>
        <v>9.93908149700321</v>
      </c>
      <c r="BC303" s="1280">
        <f t="shared" ca="1" si="106"/>
        <v>14.477286821083673</v>
      </c>
      <c r="BD303" s="1280">
        <f t="shared" ca="1" si="106"/>
        <v>19.471332056571008</v>
      </c>
      <c r="BE303" s="1280">
        <f t="shared" ca="1" si="106"/>
        <v>25.299725791429807</v>
      </c>
      <c r="BF303" s="1280">
        <f t="shared" ca="1" si="106"/>
        <v>31.999689089751769</v>
      </c>
      <c r="BG303" s="1130"/>
      <c r="BH303" s="1318"/>
      <c r="BJ303"/>
    </row>
    <row r="304" spans="1:62" x14ac:dyDescent="0.2">
      <c r="B304" s="1129"/>
      <c r="C304" s="1278" t="s">
        <v>375</v>
      </c>
      <c r="D304" s="1278" t="str">
        <f>INDEX(Modules[Module], MATCH($C304, Modules[Code], 0))</f>
        <v>Domestic freight</v>
      </c>
      <c r="E304" s="1277"/>
      <c r="F304" s="1279"/>
      <c r="G304" s="1279"/>
      <c r="H304" s="1279"/>
      <c r="I304" s="1279"/>
      <c r="J304" s="1279"/>
      <c r="K304" s="1279"/>
      <c r="L304" s="1279"/>
      <c r="M304" s="1279"/>
      <c r="N304" s="1279"/>
      <c r="O304" s="1279"/>
      <c r="P304" s="1279"/>
      <c r="Q304" s="1279"/>
      <c r="R304" s="1279"/>
      <c r="S304" s="1279"/>
      <c r="T304" s="1279"/>
      <c r="U304" s="1279"/>
      <c r="V304" s="1279"/>
      <c r="W304" s="1279"/>
      <c r="X304" s="1279"/>
      <c r="Y304" s="1279"/>
      <c r="Z304" s="1279"/>
      <c r="AA304" s="1279"/>
      <c r="AB304" s="1279"/>
      <c r="AC304" s="1279"/>
      <c r="AD304" s="1279"/>
      <c r="AE304" s="1279"/>
      <c r="AF304" s="1279"/>
      <c r="AG304" s="1279"/>
      <c r="AH304" s="1279"/>
      <c r="AI304" s="1279"/>
      <c r="AJ304" s="1279"/>
      <c r="AK304" s="1279"/>
      <c r="AL304" s="1279"/>
      <c r="AM304" s="1279"/>
      <c r="AN304" s="1279"/>
      <c r="AO304" s="1279"/>
      <c r="AP304" s="1279"/>
      <c r="AQ304" s="1279"/>
      <c r="AR304" s="1279"/>
      <c r="AS304" s="1279"/>
      <c r="AT304" s="1279"/>
      <c r="AU304" s="1279"/>
      <c r="AV304" s="1279"/>
      <c r="AW304" s="1279"/>
      <c r="AX304" s="1280">
        <f t="shared" ca="1" si="106"/>
        <v>1.0449356110119832</v>
      </c>
      <c r="AY304" s="1280">
        <f t="shared" ca="1" si="106"/>
        <v>3.2109678001263453</v>
      </c>
      <c r="AZ304" s="1280">
        <f t="shared" ca="1" si="106"/>
        <v>5.3768830392493072</v>
      </c>
      <c r="BA304" s="1280">
        <f t="shared" ca="1" si="106"/>
        <v>7.5426813283808611</v>
      </c>
      <c r="BB304" s="1280">
        <f t="shared" ca="1" si="106"/>
        <v>9.7083626675210226</v>
      </c>
      <c r="BC304" s="1280">
        <f t="shared" ca="1" si="106"/>
        <v>11.874219431648278</v>
      </c>
      <c r="BD304" s="1280">
        <f t="shared" ca="1" si="106"/>
        <v>14.040076195775544</v>
      </c>
      <c r="BE304" s="1280">
        <f t="shared" ca="1" si="106"/>
        <v>16.205932959902796</v>
      </c>
      <c r="BF304" s="1280">
        <f t="shared" ca="1" si="106"/>
        <v>18.371789724030052</v>
      </c>
      <c r="BG304" s="1130"/>
      <c r="BH304" s="38"/>
      <c r="BJ304"/>
    </row>
    <row r="305" spans="2:62" s="1275" customFormat="1" x14ac:dyDescent="0.2">
      <c r="B305" s="1129"/>
      <c r="C305" s="1278" t="s">
        <v>405</v>
      </c>
      <c r="D305" s="1278" t="str">
        <f>INDEX(Modules[Module], MATCH($C305, Modules[Code], 0))</f>
        <v>Petroleum refineries</v>
      </c>
      <c r="E305" s="1277"/>
      <c r="F305" s="1279"/>
      <c r="G305" s="1279"/>
      <c r="H305" s="1279"/>
      <c r="I305" s="1279"/>
      <c r="J305" s="1279"/>
      <c r="K305" s="1279"/>
      <c r="L305" s="1279"/>
      <c r="M305" s="1279"/>
      <c r="N305" s="1279"/>
      <c r="O305" s="1279"/>
      <c r="P305" s="1279"/>
      <c r="Q305" s="1279"/>
      <c r="R305" s="1279"/>
      <c r="S305" s="1279"/>
      <c r="T305" s="1279"/>
      <c r="U305" s="1279"/>
      <c r="V305" s="1279"/>
      <c r="W305" s="1279"/>
      <c r="X305" s="1279"/>
      <c r="Y305" s="1279"/>
      <c r="Z305" s="1279"/>
      <c r="AA305" s="1279"/>
      <c r="AB305" s="1279"/>
      <c r="AC305" s="1279"/>
      <c r="AD305" s="1279"/>
      <c r="AE305" s="1279"/>
      <c r="AF305" s="1279"/>
      <c r="AG305" s="1279"/>
      <c r="AH305" s="1279"/>
      <c r="AI305" s="1279"/>
      <c r="AJ305" s="1279"/>
      <c r="AK305" s="1279"/>
      <c r="AL305" s="1279"/>
      <c r="AM305" s="1279"/>
      <c r="AN305" s="1279"/>
      <c r="AO305" s="1279"/>
      <c r="AP305" s="1279"/>
      <c r="AQ305" s="1279"/>
      <c r="AR305" s="1279"/>
      <c r="AS305" s="1279"/>
      <c r="AT305" s="1279"/>
      <c r="AU305" s="1279"/>
      <c r="AV305" s="1279"/>
      <c r="AW305" s="1279"/>
      <c r="AX305" s="1280">
        <f ca="1">-INDEX(INDIRECT($C305&amp;".Outputs["&amp;AX$295&amp;"]"),MATCH($C$295,INDIRECT($C305&amp;".Outputs[Vector]"),0))</f>
        <v>4.6221216487887027</v>
      </c>
      <c r="AY305" s="1280">
        <f t="shared" ca="1" si="106"/>
        <v>4.6221216487887027</v>
      </c>
      <c r="AZ305" s="1280">
        <f t="shared" ca="1" si="106"/>
        <v>4.3037903656873526</v>
      </c>
      <c r="BA305" s="1280">
        <f t="shared" ca="1" si="106"/>
        <v>3.6895756901015524</v>
      </c>
      <c r="BB305" s="1280">
        <f t="shared" ca="1" si="106"/>
        <v>3.193714371509536</v>
      </c>
      <c r="BC305" s="1280">
        <f t="shared" ca="1" si="106"/>
        <v>3.0540966574687904</v>
      </c>
      <c r="BD305" s="1280">
        <f t="shared" ca="1" si="106"/>
        <v>3.0304652332819488</v>
      </c>
      <c r="BE305" s="1280">
        <f t="shared" ca="1" si="106"/>
        <v>3.0080173426650463</v>
      </c>
      <c r="BF305" s="1280">
        <f t="shared" ca="1" si="106"/>
        <v>2.9855694520481428</v>
      </c>
      <c r="BG305" s="1130"/>
    </row>
    <row r="306" spans="2:62" s="1275" customFormat="1" x14ac:dyDescent="0.2">
      <c r="B306" s="1129"/>
      <c r="C306" s="1278" t="s">
        <v>415</v>
      </c>
      <c r="D306" s="1278" t="str">
        <f>INDEX(Modules[Module], MATCH($C306, Modules[Code], 0))</f>
        <v>Indigenous fossil-fuel production</v>
      </c>
      <c r="E306" s="1277"/>
      <c r="F306" s="1279"/>
      <c r="G306" s="1279"/>
      <c r="H306" s="1279"/>
      <c r="I306" s="1279"/>
      <c r="J306" s="1279"/>
      <c r="K306" s="1279"/>
      <c r="L306" s="1279"/>
      <c r="M306" s="1279"/>
      <c r="N306" s="1279"/>
      <c r="O306" s="1279"/>
      <c r="P306" s="1279"/>
      <c r="Q306" s="1279"/>
      <c r="R306" s="1279"/>
      <c r="S306" s="1279"/>
      <c r="T306" s="1279"/>
      <c r="U306" s="1279"/>
      <c r="V306" s="1279"/>
      <c r="W306" s="1279"/>
      <c r="X306" s="1279"/>
      <c r="Y306" s="1279"/>
      <c r="Z306" s="1279"/>
      <c r="AA306" s="1279"/>
      <c r="AB306" s="1279"/>
      <c r="AC306" s="1279"/>
      <c r="AD306" s="1279"/>
      <c r="AE306" s="1279"/>
      <c r="AF306" s="1279"/>
      <c r="AG306" s="1279"/>
      <c r="AH306" s="1279"/>
      <c r="AI306" s="1279"/>
      <c r="AJ306" s="1279"/>
      <c r="AK306" s="1279"/>
      <c r="AL306" s="1279"/>
      <c r="AM306" s="1279"/>
      <c r="AN306" s="1279"/>
      <c r="AO306" s="1279"/>
      <c r="AP306" s="1279"/>
      <c r="AQ306" s="1279"/>
      <c r="AR306" s="1279"/>
      <c r="AS306" s="1279"/>
      <c r="AT306" s="1279"/>
      <c r="AU306" s="1279"/>
      <c r="AV306" s="1279"/>
      <c r="AW306" s="1279"/>
      <c r="AX306" s="1280">
        <f ca="1">-INDEX(INDIRECT($C306&amp;".Outputs["&amp;AX$295&amp;"]"),MATCH($C$295,INDIRECT($C306&amp;".Outputs[Vector]"),0))</f>
        <v>0.88653810768169206</v>
      </c>
      <c r="AY306" s="1280">
        <f t="shared" ca="1" si="106"/>
        <v>0.88653810768169206</v>
      </c>
      <c r="AZ306" s="1280">
        <f t="shared" ca="1" si="106"/>
        <v>0.88845651315338614</v>
      </c>
      <c r="BA306" s="1280">
        <f t="shared" ca="1" si="106"/>
        <v>0.96408757488782859</v>
      </c>
      <c r="BB306" s="1280">
        <f t="shared" ca="1" si="106"/>
        <v>1.0884936119654052</v>
      </c>
      <c r="BC306" s="1280">
        <f t="shared" ca="1" si="106"/>
        <v>1.2128996490429818</v>
      </c>
      <c r="BD306" s="1280">
        <f t="shared" ca="1" si="106"/>
        <v>1.3373056861205583</v>
      </c>
      <c r="BE306" s="1280">
        <f t="shared" ca="1" si="106"/>
        <v>1.4617117231981349</v>
      </c>
      <c r="BF306" s="1280">
        <f t="shared" ca="1" si="106"/>
        <v>1.5861177602757115</v>
      </c>
      <c r="BG306" s="1130"/>
    </row>
    <row r="307" spans="2:62" s="1275" customFormat="1" x14ac:dyDescent="0.2">
      <c r="B307" s="1129"/>
      <c r="C307" s="1278"/>
      <c r="D307" s="1278" t="s">
        <v>105</v>
      </c>
      <c r="E307" s="1277"/>
      <c r="F307" s="1279"/>
      <c r="G307" s="1279"/>
      <c r="H307" s="1279"/>
      <c r="I307" s="1279"/>
      <c r="J307" s="1279"/>
      <c r="K307" s="1279"/>
      <c r="L307" s="1279"/>
      <c r="M307" s="1279"/>
      <c r="N307" s="1279"/>
      <c r="O307" s="1279"/>
      <c r="P307" s="1279"/>
      <c r="Q307" s="1279"/>
      <c r="R307" s="1279"/>
      <c r="S307" s="1279"/>
      <c r="T307" s="1279"/>
      <c r="U307" s="1279"/>
      <c r="V307" s="1279"/>
      <c r="W307" s="1279"/>
      <c r="X307" s="1279"/>
      <c r="Y307" s="1279"/>
      <c r="Z307" s="1279"/>
      <c r="AA307" s="1279"/>
      <c r="AB307" s="1279"/>
      <c r="AC307" s="1279"/>
      <c r="AD307" s="1279"/>
      <c r="AE307" s="1279"/>
      <c r="AF307" s="1279"/>
      <c r="AG307" s="1279"/>
      <c r="AH307" s="1279"/>
      <c r="AI307" s="1279"/>
      <c r="AJ307" s="1279"/>
      <c r="AK307" s="1279"/>
      <c r="AL307" s="1279"/>
      <c r="AM307" s="1279"/>
      <c r="AN307" s="1279"/>
      <c r="AO307" s="1279"/>
      <c r="AP307" s="1279"/>
      <c r="AQ307" s="1279"/>
      <c r="AR307" s="1279"/>
      <c r="AS307" s="1279"/>
      <c r="AT307" s="1279"/>
      <c r="AU307" s="1279"/>
      <c r="AV307" s="1279"/>
      <c r="AW307" s="1279"/>
      <c r="AX307" s="1280">
        <f t="shared" ref="AX307:BF307" ca="1" si="107">SUM(AX297:AX306)</f>
        <v>117.07862642129545</v>
      </c>
      <c r="AY307" s="1280">
        <f t="shared" ca="1" si="107"/>
        <v>138.16092956568079</v>
      </c>
      <c r="AZ307" s="1280">
        <f t="shared" ca="1" si="107"/>
        <v>192.24084077257035</v>
      </c>
      <c r="BA307" s="1280">
        <f t="shared" ca="1" si="107"/>
        <v>289.18504122724516</v>
      </c>
      <c r="BB307" s="1280">
        <f t="shared" ca="1" si="107"/>
        <v>388.87602401750888</v>
      </c>
      <c r="BC307" s="1280">
        <f t="shared" ca="1" si="107"/>
        <v>530.14446047320087</v>
      </c>
      <c r="BD307" s="1280">
        <f t="shared" ca="1" si="107"/>
        <v>659.56399429121336</v>
      </c>
      <c r="BE307" s="1280">
        <f t="shared" ca="1" si="107"/>
        <v>797.53692959998375</v>
      </c>
      <c r="BF307" s="1280">
        <f t="shared" ca="1" si="107"/>
        <v>946.39709827169258</v>
      </c>
      <c r="BG307" s="1130"/>
    </row>
    <row r="308" spans="2:62" s="1275" customFormat="1" x14ac:dyDescent="0.2">
      <c r="B308" s="1129"/>
      <c r="C308" s="1278"/>
      <c r="D308" s="1278"/>
      <c r="E308" s="1277"/>
      <c r="F308" s="1279"/>
      <c r="G308" s="1279"/>
      <c r="H308" s="1279"/>
      <c r="I308" s="1279"/>
      <c r="J308" s="1279"/>
      <c r="K308" s="1279"/>
      <c r="L308" s="1279"/>
      <c r="M308" s="1279"/>
      <c r="N308" s="1279"/>
      <c r="O308" s="1279"/>
      <c r="P308" s="1279"/>
      <c r="Q308" s="1279"/>
      <c r="R308" s="1279"/>
      <c r="S308" s="1279"/>
      <c r="T308" s="1279"/>
      <c r="U308" s="1279"/>
      <c r="V308" s="1279"/>
      <c r="W308" s="1279"/>
      <c r="X308" s="1279"/>
      <c r="Y308" s="1279"/>
      <c r="Z308" s="1279"/>
      <c r="AA308" s="1279"/>
      <c r="AB308" s="1279"/>
      <c r="AC308" s="1279"/>
      <c r="AD308" s="1279"/>
      <c r="AE308" s="1279"/>
      <c r="AF308" s="1279"/>
      <c r="AG308" s="1279"/>
      <c r="AH308" s="1279"/>
      <c r="AI308" s="1279"/>
      <c r="AJ308" s="1279"/>
      <c r="AK308" s="1279"/>
      <c r="AL308" s="1279"/>
      <c r="AM308" s="1279"/>
      <c r="AN308" s="1279"/>
      <c r="AO308" s="1279"/>
      <c r="AP308" s="1279"/>
      <c r="AQ308" s="1279"/>
      <c r="AR308" s="1279"/>
      <c r="AS308" s="1279"/>
      <c r="AT308" s="1279"/>
      <c r="AU308" s="1279"/>
      <c r="AV308" s="1279"/>
      <c r="AW308" s="1279"/>
      <c r="AX308" s="1280"/>
      <c r="AY308" s="1280"/>
      <c r="AZ308" s="1280"/>
      <c r="BA308" s="1280"/>
      <c r="BB308" s="1280"/>
      <c r="BC308" s="1280"/>
      <c r="BD308" s="1280"/>
      <c r="BE308" s="1280"/>
      <c r="BF308" s="1280"/>
      <c r="BG308" s="1130"/>
    </row>
    <row r="309" spans="2:62" s="1275" customFormat="1" x14ac:dyDescent="0.2">
      <c r="B309" s="1129"/>
      <c r="C309" s="1278"/>
      <c r="D309" s="1283" t="s">
        <v>125</v>
      </c>
      <c r="E309" s="1277"/>
      <c r="F309" s="1279"/>
      <c r="G309" s="1279"/>
      <c r="H309" s="1279"/>
      <c r="I309" s="1279"/>
      <c r="J309" s="1279"/>
      <c r="K309" s="1279"/>
      <c r="L309" s="1279"/>
      <c r="M309" s="1279"/>
      <c r="N309" s="1279"/>
      <c r="O309" s="1279"/>
      <c r="P309" s="1279"/>
      <c r="Q309" s="1279"/>
      <c r="R309" s="1279"/>
      <c r="S309" s="1279"/>
      <c r="T309" s="1279"/>
      <c r="U309" s="1279"/>
      <c r="V309" s="1279"/>
      <c r="W309" s="1279"/>
      <c r="X309" s="1279"/>
      <c r="Y309" s="1279"/>
      <c r="Z309" s="1279"/>
      <c r="AA309" s="1279"/>
      <c r="AB309" s="1279"/>
      <c r="AC309" s="1279"/>
      <c r="AD309" s="1279"/>
      <c r="AE309" s="1279"/>
      <c r="AF309" s="1279"/>
      <c r="AG309" s="1279"/>
      <c r="AH309" s="1279"/>
      <c r="AI309" s="1279"/>
      <c r="AJ309" s="1279"/>
      <c r="AK309" s="1279"/>
      <c r="AL309" s="1279"/>
      <c r="AM309" s="1279"/>
      <c r="AN309" s="1279"/>
      <c r="AO309" s="1279"/>
      <c r="AP309" s="1279"/>
      <c r="AQ309" s="1279"/>
      <c r="AR309" s="1279"/>
      <c r="AS309" s="1279"/>
      <c r="AT309" s="1279"/>
      <c r="AU309" s="1279"/>
      <c r="AV309" s="1279"/>
      <c r="AW309" s="1279"/>
      <c r="AX309" s="1280">
        <f ca="1">SUM(AX303:AX304)</f>
        <v>1.0449356110119832</v>
      </c>
      <c r="AY309" s="1280">
        <f t="shared" ref="AY309:BF309" ca="1" si="108">SUM(AY303:AY304)</f>
        <v>3.9710387019275277</v>
      </c>
      <c r="AZ309" s="1280">
        <f t="shared" ca="1" si="108"/>
        <v>8.564845057896088</v>
      </c>
      <c r="BA309" s="1280">
        <f t="shared" ca="1" si="108"/>
        <v>13.766270468054703</v>
      </c>
      <c r="BB309" s="1280">
        <f t="shared" ca="1" si="108"/>
        <v>19.647444164524231</v>
      </c>
      <c r="BC309" s="1280">
        <f t="shared" ca="1" si="108"/>
        <v>26.351506252731951</v>
      </c>
      <c r="BD309" s="1280">
        <f t="shared" ca="1" si="108"/>
        <v>33.511408252346556</v>
      </c>
      <c r="BE309" s="1280">
        <f t="shared" ca="1" si="108"/>
        <v>41.505658751332604</v>
      </c>
      <c r="BF309" s="1280">
        <f t="shared" ca="1" si="108"/>
        <v>50.37147881378182</v>
      </c>
      <c r="BG309" s="1130"/>
    </row>
    <row r="310" spans="2:62" s="1287" customFormat="1" x14ac:dyDescent="0.2">
      <c r="B310" s="1129"/>
      <c r="C310" s="1278"/>
      <c r="D310" s="1283" t="s">
        <v>33</v>
      </c>
      <c r="E310" s="1277"/>
      <c r="F310" s="1279"/>
      <c r="G310" s="1279"/>
      <c r="H310" s="1279"/>
      <c r="I310" s="1279"/>
      <c r="J310" s="1279"/>
      <c r="K310" s="1279"/>
      <c r="L310" s="1279"/>
      <c r="M310" s="1279"/>
      <c r="N310" s="1279"/>
      <c r="O310" s="1279"/>
      <c r="P310" s="1279"/>
      <c r="Q310" s="1279"/>
      <c r="R310" s="1279"/>
      <c r="S310" s="1279"/>
      <c r="T310" s="1279"/>
      <c r="U310" s="1279"/>
      <c r="V310" s="1279"/>
      <c r="W310" s="1279"/>
      <c r="X310" s="1279"/>
      <c r="Y310" s="1279"/>
      <c r="Z310" s="1279"/>
      <c r="AA310" s="1279"/>
      <c r="AB310" s="1279"/>
      <c r="AC310" s="1279"/>
      <c r="AD310" s="1279"/>
      <c r="AE310" s="1279"/>
      <c r="AF310" s="1279"/>
      <c r="AG310" s="1279"/>
      <c r="AH310" s="1279"/>
      <c r="AI310" s="1279"/>
      <c r="AJ310" s="1279"/>
      <c r="AK310" s="1279"/>
      <c r="AL310" s="1279"/>
      <c r="AM310" s="1279"/>
      <c r="AN310" s="1279"/>
      <c r="AO310" s="1279"/>
      <c r="AP310" s="1279"/>
      <c r="AQ310" s="1279"/>
      <c r="AR310" s="1279"/>
      <c r="AS310" s="1279"/>
      <c r="AT310" s="1279"/>
      <c r="AU310" s="1279"/>
      <c r="AV310" s="1279"/>
      <c r="AW310" s="1279"/>
      <c r="AX310" s="1280">
        <f ca="1">SUM(AX305:AX306,AX302,AX297)</f>
        <v>31.199245539469562</v>
      </c>
      <c r="AY310" s="1280">
        <f t="shared" ref="AY310:BF310" ca="1" si="109">SUM(AY305:AY306,AY302,AY297)</f>
        <v>31.789747937777825</v>
      </c>
      <c r="AZ310" s="1280">
        <f t="shared" ca="1" si="109"/>
        <v>31.380904561747808</v>
      </c>
      <c r="BA310" s="1280">
        <f t="shared" ca="1" si="109"/>
        <v>29.769039967604595</v>
      </c>
      <c r="BB310" s="1280">
        <f t="shared" ca="1" si="109"/>
        <v>26.232487704555616</v>
      </c>
      <c r="BC310" s="1280">
        <f t="shared" ca="1" si="109"/>
        <v>30.410276939067124</v>
      </c>
      <c r="BD310" s="1280">
        <f t="shared" ca="1" si="109"/>
        <v>35.513749007485949</v>
      </c>
      <c r="BE310" s="1280">
        <f t="shared" ca="1" si="109"/>
        <v>40.929917395318974</v>
      </c>
      <c r="BF310" s="1280">
        <f t="shared" ca="1" si="109"/>
        <v>47.285982767347946</v>
      </c>
      <c r="BG310" s="1130"/>
    </row>
    <row r="311" spans="2:62" x14ac:dyDescent="0.2">
      <c r="B311" s="1129"/>
      <c r="C311" s="1278"/>
      <c r="D311" s="1283" t="s">
        <v>799</v>
      </c>
      <c r="E311" s="1277"/>
      <c r="F311" s="1279"/>
      <c r="G311" s="1279"/>
      <c r="H311" s="1279"/>
      <c r="I311" s="1279"/>
      <c r="J311" s="1279"/>
      <c r="K311" s="1279"/>
      <c r="L311" s="1279"/>
      <c r="M311" s="1279"/>
      <c r="N311" s="1279"/>
      <c r="O311" s="1279"/>
      <c r="P311" s="1279"/>
      <c r="Q311" s="1279"/>
      <c r="R311" s="1279"/>
      <c r="S311" s="1279"/>
      <c r="T311" s="1279"/>
      <c r="U311" s="1279"/>
      <c r="V311" s="1279"/>
      <c r="W311" s="1279"/>
      <c r="X311" s="1279"/>
      <c r="Y311" s="1279"/>
      <c r="Z311" s="1279"/>
      <c r="AA311" s="1279"/>
      <c r="AB311" s="1279"/>
      <c r="AC311" s="1279"/>
      <c r="AD311" s="1279"/>
      <c r="AE311" s="1279"/>
      <c r="AF311" s="1279"/>
      <c r="AG311" s="1279"/>
      <c r="AH311" s="1279"/>
      <c r="AI311" s="1279"/>
      <c r="AJ311" s="1279"/>
      <c r="AK311" s="1279"/>
      <c r="AL311" s="1279"/>
      <c r="AM311" s="1279"/>
      <c r="AN311" s="1279"/>
      <c r="AO311" s="1279"/>
      <c r="AP311" s="1279"/>
      <c r="AQ311" s="1279"/>
      <c r="AR311" s="1279"/>
      <c r="AS311" s="1279"/>
      <c r="AT311" s="1279"/>
      <c r="AU311" s="1279"/>
      <c r="AV311" s="1279"/>
      <c r="AW311" s="1279"/>
      <c r="AX311" s="1280">
        <f ca="1">SUM(AX298:AX299)</f>
        <v>46.191013019682934</v>
      </c>
      <c r="AY311" s="1280">
        <f t="shared" ref="AY311:BF311" ca="1" si="110">SUM(AY298:AY299)</f>
        <v>53.519847980518854</v>
      </c>
      <c r="AZ311" s="1280">
        <f t="shared" ca="1" si="110"/>
        <v>65.109017777829635</v>
      </c>
      <c r="BA311" s="1280">
        <f t="shared" ca="1" si="110"/>
        <v>77.828245025810716</v>
      </c>
      <c r="BB311" s="1280">
        <f t="shared" ca="1" si="110"/>
        <v>89.131279635070655</v>
      </c>
      <c r="BC311" s="1280">
        <f t="shared" ca="1" si="110"/>
        <v>104.15840897030208</v>
      </c>
      <c r="BD311" s="1280">
        <f t="shared" ca="1" si="110"/>
        <v>114.82360568835084</v>
      </c>
      <c r="BE311" s="1280">
        <f t="shared" ca="1" si="110"/>
        <v>125.64327023914129</v>
      </c>
      <c r="BF311" s="1280">
        <f t="shared" ca="1" si="110"/>
        <v>136.57044448493946</v>
      </c>
      <c r="BG311" s="1130"/>
      <c r="BH311" s="38"/>
      <c r="BJ311"/>
    </row>
    <row r="312" spans="2:62" x14ac:dyDescent="0.2">
      <c r="B312" s="1129"/>
      <c r="C312" s="1278"/>
      <c r="D312" s="1283" t="s">
        <v>22</v>
      </c>
      <c r="E312" s="1277"/>
      <c r="F312" s="1279"/>
      <c r="G312" s="1279"/>
      <c r="H312" s="1279"/>
      <c r="I312" s="1279"/>
      <c r="J312" s="1279"/>
      <c r="K312" s="1279"/>
      <c r="L312" s="1279"/>
      <c r="M312" s="1279"/>
      <c r="N312" s="1279"/>
      <c r="O312" s="1279"/>
      <c r="P312" s="1279"/>
      <c r="Q312" s="1279"/>
      <c r="R312" s="1279"/>
      <c r="S312" s="1279"/>
      <c r="T312" s="1279"/>
      <c r="U312" s="1279"/>
      <c r="V312" s="1279"/>
      <c r="W312" s="1279"/>
      <c r="X312" s="1279"/>
      <c r="Y312" s="1279"/>
      <c r="Z312" s="1279"/>
      <c r="AA312" s="1279"/>
      <c r="AB312" s="1279"/>
      <c r="AC312" s="1279"/>
      <c r="AD312" s="1279"/>
      <c r="AE312" s="1279"/>
      <c r="AF312" s="1279"/>
      <c r="AG312" s="1279"/>
      <c r="AH312" s="1279"/>
      <c r="AI312" s="1279"/>
      <c r="AJ312" s="1279"/>
      <c r="AK312" s="1279"/>
      <c r="AL312" s="1279"/>
      <c r="AM312" s="1279"/>
      <c r="AN312" s="1279"/>
      <c r="AO312" s="1279"/>
      <c r="AP312" s="1279"/>
      <c r="AQ312" s="1279"/>
      <c r="AR312" s="1279"/>
      <c r="AS312" s="1279"/>
      <c r="AT312" s="1279"/>
      <c r="AU312" s="1279"/>
      <c r="AV312" s="1279"/>
      <c r="AW312" s="1279"/>
      <c r="AX312" s="1280">
        <f ca="1">SUM(AX300:AX301)</f>
        <v>38.643432251130974</v>
      </c>
      <c r="AY312" s="1280">
        <f t="shared" ref="AY312:BF312" ca="1" si="111">SUM(AY300:AY301)</f>
        <v>48.880294945456555</v>
      </c>
      <c r="AZ312" s="1280">
        <f t="shared" ca="1" si="111"/>
        <v>87.186073375096825</v>
      </c>
      <c r="BA312" s="1280">
        <f t="shared" ca="1" si="111"/>
        <v>167.82148576577515</v>
      </c>
      <c r="BB312" s="1280">
        <f t="shared" ca="1" si="111"/>
        <v>253.86481251335834</v>
      </c>
      <c r="BC312" s="1280">
        <f t="shared" ca="1" si="111"/>
        <v>369.22426831109971</v>
      </c>
      <c r="BD312" s="1280">
        <f t="shared" ca="1" si="111"/>
        <v>475.71523134303015</v>
      </c>
      <c r="BE312" s="1280">
        <f t="shared" ca="1" si="111"/>
        <v>589.45808321419065</v>
      </c>
      <c r="BF312" s="1280">
        <f t="shared" ca="1" si="111"/>
        <v>712.1691922056234</v>
      </c>
      <c r="BG312" s="1130"/>
      <c r="BH312" s="38"/>
      <c r="BJ312"/>
    </row>
    <row r="313" spans="2:62" x14ac:dyDescent="0.2">
      <c r="C313" s="1278"/>
      <c r="D313" s="1283" t="s">
        <v>105</v>
      </c>
      <c r="E313" s="1277"/>
      <c r="F313" s="1279"/>
      <c r="G313" s="1279"/>
      <c r="H313" s="1279"/>
      <c r="I313" s="1279"/>
      <c r="J313" s="1279"/>
      <c r="K313" s="1279"/>
      <c r="L313" s="1279"/>
      <c r="M313" s="1279"/>
      <c r="N313" s="1279"/>
      <c r="O313" s="1279"/>
      <c r="P313" s="1279"/>
      <c r="Q313" s="1279"/>
      <c r="R313" s="1279"/>
      <c r="S313" s="1279"/>
      <c r="T313" s="1279"/>
      <c r="U313" s="1279"/>
      <c r="V313" s="1279"/>
      <c r="W313" s="1279"/>
      <c r="X313" s="1279"/>
      <c r="Y313" s="1279"/>
      <c r="Z313" s="1279"/>
      <c r="AA313" s="1279"/>
      <c r="AB313" s="1279"/>
      <c r="AC313" s="1279"/>
      <c r="AD313" s="1279"/>
      <c r="AE313" s="1279"/>
      <c r="AF313" s="1279"/>
      <c r="AG313" s="1279"/>
      <c r="AH313" s="1279"/>
      <c r="AI313" s="1279"/>
      <c r="AJ313" s="1279"/>
      <c r="AK313" s="1279"/>
      <c r="AL313" s="1279"/>
      <c r="AM313" s="1279"/>
      <c r="AN313" s="1279"/>
      <c r="AO313" s="1279"/>
      <c r="AP313" s="1279"/>
      <c r="AQ313" s="1279"/>
      <c r="AR313" s="1279"/>
      <c r="AS313" s="1279"/>
      <c r="AT313" s="1279"/>
      <c r="AU313" s="1279"/>
      <c r="AV313" s="1279"/>
      <c r="AW313" s="1279"/>
      <c r="AX313" s="1280">
        <f ca="1">SUM(AX309:AX312)</f>
        <v>117.07862642129545</v>
      </c>
      <c r="AY313" s="1280">
        <f t="shared" ref="AY313:BF313" ca="1" si="112">SUM(AY309:AY312)</f>
        <v>138.16092956568076</v>
      </c>
      <c r="AZ313" s="1280">
        <f t="shared" ca="1" si="112"/>
        <v>192.24084077257038</v>
      </c>
      <c r="BA313" s="1280">
        <f t="shared" ca="1" si="112"/>
        <v>289.18504122724516</v>
      </c>
      <c r="BB313" s="1280">
        <f t="shared" ca="1" si="112"/>
        <v>388.87602401750883</v>
      </c>
      <c r="BC313" s="1280">
        <f t="shared" ca="1" si="112"/>
        <v>530.14446047320087</v>
      </c>
      <c r="BD313" s="1280">
        <f t="shared" ca="1" si="112"/>
        <v>659.56399429121348</v>
      </c>
      <c r="BE313" s="1280">
        <f t="shared" ca="1" si="112"/>
        <v>797.53692959998352</v>
      </c>
      <c r="BF313" s="1280">
        <f t="shared" ca="1" si="112"/>
        <v>946.39709827169258</v>
      </c>
      <c r="BG313" s="1130"/>
      <c r="BH313" s="38"/>
      <c r="BJ313"/>
    </row>
    <row r="314" spans="2:62" x14ac:dyDescent="0.2">
      <c r="C314" s="1278"/>
      <c r="D314" s="1283"/>
      <c r="E314" s="1277"/>
      <c r="F314" s="1279"/>
      <c r="G314" s="1279"/>
      <c r="H314" s="1279"/>
      <c r="I314" s="1279"/>
      <c r="J314" s="1279"/>
      <c r="K314" s="1279"/>
      <c r="L314" s="1279"/>
      <c r="M314" s="1279"/>
      <c r="N314" s="1279"/>
      <c r="O314" s="1279"/>
      <c r="P314" s="1279"/>
      <c r="Q314" s="1279"/>
      <c r="R314" s="1279"/>
      <c r="S314" s="1279"/>
      <c r="T314" s="1279"/>
      <c r="U314" s="1279"/>
      <c r="V314" s="1279"/>
      <c r="W314" s="1279"/>
      <c r="X314" s="1279"/>
      <c r="Y314" s="1279"/>
      <c r="Z314" s="1279"/>
      <c r="AA314" s="1279"/>
      <c r="AB314" s="1279"/>
      <c r="AC314" s="1279"/>
      <c r="AD314" s="1279"/>
      <c r="AE314" s="1279"/>
      <c r="AF314" s="1279"/>
      <c r="AG314" s="1279"/>
      <c r="AH314" s="1279"/>
      <c r="AI314" s="1279"/>
      <c r="AJ314" s="1279"/>
      <c r="AK314" s="1279"/>
      <c r="AL314" s="1279"/>
      <c r="AM314" s="1279"/>
      <c r="AN314" s="1279"/>
      <c r="AO314" s="1279"/>
      <c r="AP314" s="1279"/>
      <c r="AQ314" s="1279"/>
      <c r="AR314" s="1279"/>
      <c r="AS314" s="1279"/>
      <c r="AT314" s="1279"/>
      <c r="AU314" s="1279"/>
      <c r="AV314" s="1279"/>
      <c r="AW314" s="1279"/>
      <c r="AX314" s="1280"/>
      <c r="AY314" s="1280"/>
      <c r="AZ314" s="1280"/>
      <c r="BA314" s="1280"/>
      <c r="BB314" s="1280"/>
      <c r="BC314" s="1280"/>
      <c r="BD314" s="1280"/>
      <c r="BE314" s="1280"/>
      <c r="BF314" s="1280"/>
      <c r="BG314" s="1130"/>
      <c r="BH314" s="38"/>
      <c r="BJ314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ignoredErrors>
    <ignoredError sqref="AX167:BF167 AY103:BF103" formula="1"/>
    <ignoredError sqref="AY141:BG141" evalError="1"/>
  </ignoredErrors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 enableFormatConditionsCalculation="0">
    <tabColor theme="9"/>
    <outlinePr summaryBelow="0"/>
    <pageSetUpPr autoPageBreaks="0"/>
  </sheetPr>
  <dimension ref="A1:Q604"/>
  <sheetViews>
    <sheetView windowProtection="1" zoomScaleNormal="100" workbookViewId="0"/>
  </sheetViews>
  <sheetFormatPr defaultColWidth="8.7109375" defaultRowHeight="12.75" x14ac:dyDescent="0.2"/>
  <cols>
    <col min="1" max="1" width="7.7109375" style="1451" customWidth="1"/>
    <col min="2" max="2" width="5.7109375" style="1451" customWidth="1"/>
    <col min="3" max="3" width="20.42578125" style="1451" customWidth="1"/>
    <col min="4" max="4" width="30.7109375" style="1451" customWidth="1"/>
    <col min="5" max="5" width="20.7109375" style="1451" customWidth="1"/>
    <col min="6" max="15" width="17.7109375" style="1451" customWidth="1"/>
    <col min="16" max="16384" width="8.7109375" style="1451"/>
  </cols>
  <sheetData>
    <row r="1" spans="1:15" ht="21" x14ac:dyDescent="0.35">
      <c r="A1" s="120" t="s">
        <v>225</v>
      </c>
      <c r="B1" s="120" t="str">
        <f>INDEX(Workstreams[Workstream], MATCH($A1, Workstreams[Code], 0))</f>
        <v>Agriculture &amp; waste</v>
      </c>
      <c r="C1" s="120"/>
    </row>
    <row r="2" spans="1:15" s="84" customFormat="1" ht="19.5" customHeight="1" x14ac:dyDescent="0.2">
      <c r="A2" s="6" t="s">
        <v>380</v>
      </c>
      <c r="B2" s="6" t="str">
        <f>INDEX(Modules[Module], MATCH($A2, Modules[Code], 0))</f>
        <v>Agriculture and land use</v>
      </c>
      <c r="C2" s="6"/>
      <c r="E2" s="1380"/>
    </row>
    <row r="4" spans="1:15" ht="22.5" collapsed="1" x14ac:dyDescent="0.3">
      <c r="A4" s="1422"/>
      <c r="B4" s="468" t="s">
        <v>596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</row>
    <row r="5" spans="1:15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</row>
    <row r="6" spans="1:15" ht="5.25" customHeight="1" x14ac:dyDescent="0.2">
      <c r="B6" s="410"/>
      <c r="C6" s="411"/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2"/>
      <c r="O6" s="412"/>
    </row>
    <row r="7" spans="1:15" ht="15.75" x14ac:dyDescent="0.25">
      <c r="B7" s="415"/>
      <c r="C7" s="412"/>
      <c r="D7" s="216" t="s">
        <v>342</v>
      </c>
      <c r="E7" s="216" t="s">
        <v>595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</row>
    <row r="8" spans="1:15" ht="15.75" x14ac:dyDescent="0.25">
      <c r="B8" s="415"/>
      <c r="C8" s="412"/>
      <c r="D8" s="1202" t="s">
        <v>1222</v>
      </c>
      <c r="E8" s="1202">
        <f>VI.a.2.Scenario</f>
        <v>4</v>
      </c>
      <c r="F8" s="412"/>
      <c r="G8" s="412"/>
      <c r="H8" s="412"/>
      <c r="I8" s="412"/>
      <c r="J8" s="412"/>
      <c r="K8" s="412"/>
      <c r="L8" s="412"/>
      <c r="M8" s="412"/>
      <c r="N8" s="412"/>
      <c r="O8" s="412"/>
    </row>
    <row r="9" spans="1:15" ht="15.75" x14ac:dyDescent="0.25">
      <c r="B9" s="415"/>
      <c r="C9" s="412"/>
      <c r="D9" s="1173" t="s">
        <v>1221</v>
      </c>
      <c r="E9" s="1173">
        <f>VI.a.Scenario</f>
        <v>4</v>
      </c>
      <c r="F9" s="412"/>
      <c r="G9" s="412"/>
      <c r="H9" s="412"/>
      <c r="I9" s="412"/>
      <c r="J9" s="412"/>
      <c r="K9" s="412"/>
      <c r="L9" s="412"/>
      <c r="M9" s="412"/>
      <c r="N9" s="412"/>
      <c r="O9" s="412"/>
    </row>
    <row r="10" spans="1:15" ht="15.75" x14ac:dyDescent="0.25">
      <c r="B10" s="415"/>
      <c r="C10" s="412"/>
      <c r="D10" s="97"/>
      <c r="E10" s="97"/>
      <c r="F10" s="412"/>
      <c r="G10" s="412"/>
      <c r="H10" s="412"/>
      <c r="I10" s="412"/>
      <c r="J10" s="412"/>
      <c r="K10" s="412"/>
      <c r="L10" s="412"/>
      <c r="M10" s="412"/>
      <c r="N10" s="412"/>
      <c r="O10" s="412"/>
    </row>
    <row r="11" spans="1:15" ht="15.75" x14ac:dyDescent="0.25">
      <c r="B11" s="415"/>
      <c r="C11" s="424" t="s">
        <v>213</v>
      </c>
      <c r="D11" s="97" t="s">
        <v>1186</v>
      </c>
      <c r="E11" s="97"/>
      <c r="F11" s="412"/>
      <c r="G11" s="412"/>
      <c r="H11" s="412"/>
      <c r="I11" s="412"/>
      <c r="J11" s="412"/>
      <c r="K11" s="412"/>
      <c r="L11" s="412"/>
      <c r="M11" s="412"/>
      <c r="N11" s="412"/>
    </row>
    <row r="12" spans="1:15" ht="15.75" x14ac:dyDescent="0.25">
      <c r="B12" s="415"/>
      <c r="C12" s="424"/>
      <c r="D12" s="97" t="s">
        <v>1187</v>
      </c>
      <c r="E12" s="97"/>
      <c r="F12" s="412"/>
      <c r="G12" s="412"/>
      <c r="H12" s="412"/>
      <c r="I12" s="412"/>
      <c r="J12" s="412"/>
      <c r="K12" s="412"/>
      <c r="L12" s="412"/>
      <c r="M12" s="412"/>
      <c r="N12" s="412"/>
      <c r="O12" s="412"/>
    </row>
    <row r="13" spans="1:15" x14ac:dyDescent="0.2">
      <c r="B13" s="430"/>
      <c r="C13" s="418"/>
      <c r="D13" s="418"/>
      <c r="E13" s="418"/>
      <c r="F13" s="418"/>
      <c r="G13" s="418"/>
      <c r="H13" s="418"/>
      <c r="I13" s="418"/>
      <c r="J13" s="418"/>
      <c r="K13" s="418"/>
      <c r="L13" s="418"/>
      <c r="M13" s="418"/>
      <c r="N13" s="418"/>
      <c r="O13" s="418"/>
    </row>
    <row r="15" spans="1:15" s="84" customFormat="1" ht="22.5" collapsed="1" x14ac:dyDescent="0.2">
      <c r="A15" s="408"/>
      <c r="B15" s="1423" t="s">
        <v>597</v>
      </c>
      <c r="C15" s="405"/>
      <c r="D15" s="405"/>
      <c r="E15" s="405"/>
      <c r="F15" s="2606"/>
      <c r="G15" s="405"/>
      <c r="H15" s="405"/>
      <c r="I15" s="405"/>
      <c r="J15" s="405"/>
      <c r="K15" s="405"/>
      <c r="L15" s="405"/>
      <c r="M15" s="405"/>
      <c r="N15" s="405"/>
      <c r="O15" s="406"/>
    </row>
    <row r="16" spans="1:15" x14ac:dyDescent="0.2">
      <c r="B16" s="1419"/>
      <c r="C16" s="1416"/>
      <c r="D16" s="1416"/>
      <c r="E16" s="1416"/>
      <c r="F16" s="1416"/>
      <c r="G16" s="1416"/>
      <c r="H16" s="1416"/>
      <c r="I16" s="1416"/>
      <c r="J16" s="1416"/>
      <c r="K16" s="1416"/>
      <c r="L16" s="1416"/>
      <c r="M16" s="1416"/>
      <c r="N16" s="1416"/>
      <c r="O16" s="1420"/>
    </row>
    <row r="17" spans="2:17" x14ac:dyDescent="0.2">
      <c r="B17" s="1419"/>
      <c r="C17" s="1417" t="s">
        <v>690</v>
      </c>
      <c r="D17" s="1416"/>
      <c r="E17" s="490" t="s">
        <v>2440</v>
      </c>
      <c r="F17" s="954">
        <v>923768</v>
      </c>
      <c r="G17" s="1416" t="s">
        <v>2441</v>
      </c>
      <c r="H17" s="1416"/>
      <c r="I17" s="1416"/>
      <c r="J17" s="1416"/>
      <c r="K17" s="1416"/>
      <c r="L17" s="1416"/>
      <c r="M17" s="1416"/>
      <c r="N17" s="176" t="str">
        <f>Preferences.AreaUnits</f>
        <v>km^2</v>
      </c>
      <c r="O17" s="1420"/>
    </row>
    <row r="18" spans="2:17" ht="5.25" customHeight="1" x14ac:dyDescent="0.2">
      <c r="B18" s="1419"/>
      <c r="C18" s="1416"/>
      <c r="D18" s="1416"/>
      <c r="E18" s="1416"/>
      <c r="F18" s="1416"/>
      <c r="G18" s="1416"/>
      <c r="H18" s="1416"/>
      <c r="I18" s="1416"/>
      <c r="J18" s="1416"/>
      <c r="K18" s="1416"/>
      <c r="L18" s="1416"/>
      <c r="M18" s="1416"/>
      <c r="N18" s="1416"/>
      <c r="O18" s="1420"/>
      <c r="P18" s="412"/>
    </row>
    <row r="19" spans="2:17" x14ac:dyDescent="0.2">
      <c r="B19" s="1419"/>
      <c r="C19" s="98" t="s">
        <v>595</v>
      </c>
      <c r="D19" s="98" t="s">
        <v>65</v>
      </c>
      <c r="E19" s="98" t="s">
        <v>657</v>
      </c>
      <c r="F19" s="225">
        <v>2010</v>
      </c>
      <c r="G19" s="224">
        <v>2015</v>
      </c>
      <c r="H19" s="224">
        <v>2020</v>
      </c>
      <c r="I19" s="224">
        <v>2025</v>
      </c>
      <c r="J19" s="224">
        <v>2030</v>
      </c>
      <c r="K19" s="224">
        <v>2035</v>
      </c>
      <c r="L19" s="224">
        <v>2040</v>
      </c>
      <c r="M19" s="224">
        <v>2045</v>
      </c>
      <c r="N19" s="224">
        <v>2050</v>
      </c>
      <c r="O19" s="1420"/>
    </row>
    <row r="20" spans="2:17" ht="15.75" x14ac:dyDescent="0.25">
      <c r="B20" s="397"/>
      <c r="C20" s="560">
        <v>1</v>
      </c>
      <c r="D20" s="146" t="s">
        <v>991</v>
      </c>
      <c r="E20" s="623" t="s">
        <v>652</v>
      </c>
      <c r="F20" s="1271">
        <f t="shared" ref="F20:N20" si="0">(Unit.km2)*$F$17*0.03</f>
        <v>27713.039999999997</v>
      </c>
      <c r="G20" s="1271">
        <f t="shared" si="0"/>
        <v>27713.039999999997</v>
      </c>
      <c r="H20" s="1271">
        <f t="shared" si="0"/>
        <v>27713.039999999997</v>
      </c>
      <c r="I20" s="1271">
        <f t="shared" si="0"/>
        <v>27713.039999999997</v>
      </c>
      <c r="J20" s="1271">
        <f t="shared" si="0"/>
        <v>27713.039999999997</v>
      </c>
      <c r="K20" s="1271">
        <f t="shared" si="0"/>
        <v>27713.039999999997</v>
      </c>
      <c r="L20" s="1271">
        <f t="shared" si="0"/>
        <v>27713.039999999997</v>
      </c>
      <c r="M20" s="1271">
        <f t="shared" si="0"/>
        <v>27713.039999999997</v>
      </c>
      <c r="N20" s="1271">
        <f t="shared" si="0"/>
        <v>27713.039999999997</v>
      </c>
      <c r="O20" s="1420"/>
    </row>
    <row r="21" spans="2:17" ht="15.75" x14ac:dyDescent="0.25">
      <c r="B21" s="397"/>
      <c r="C21" s="1414">
        <v>1</v>
      </c>
      <c r="D21" s="1415" t="s">
        <v>992</v>
      </c>
      <c r="E21" s="488" t="s">
        <v>653</v>
      </c>
      <c r="F21" s="634">
        <f t="shared" ref="F21:N21" si="1">(Unit.km2)*$F$17*0.01</f>
        <v>9237.68</v>
      </c>
      <c r="G21" s="634">
        <f t="shared" si="1"/>
        <v>9237.68</v>
      </c>
      <c r="H21" s="634">
        <f t="shared" si="1"/>
        <v>9237.68</v>
      </c>
      <c r="I21" s="634">
        <f t="shared" si="1"/>
        <v>9237.68</v>
      </c>
      <c r="J21" s="634">
        <f t="shared" si="1"/>
        <v>9237.68</v>
      </c>
      <c r="K21" s="634">
        <f t="shared" si="1"/>
        <v>9237.68</v>
      </c>
      <c r="L21" s="634">
        <f t="shared" si="1"/>
        <v>9237.68</v>
      </c>
      <c r="M21" s="634">
        <f t="shared" si="1"/>
        <v>9237.68</v>
      </c>
      <c r="N21" s="634">
        <f t="shared" si="1"/>
        <v>9237.68</v>
      </c>
      <c r="O21" s="1420"/>
    </row>
    <row r="22" spans="2:17" ht="15.75" x14ac:dyDescent="0.25">
      <c r="B22" s="397"/>
      <c r="C22" s="1414">
        <v>1</v>
      </c>
      <c r="D22" s="1415" t="s">
        <v>995</v>
      </c>
      <c r="E22" s="488" t="s">
        <v>1019</v>
      </c>
      <c r="F22" s="634">
        <f t="shared" ref="F22:N23" si="2">(Unit.km2)*$F$17*0.17</f>
        <v>157040.56</v>
      </c>
      <c r="G22" s="634">
        <f t="shared" si="2"/>
        <v>157040.56</v>
      </c>
      <c r="H22" s="634">
        <f t="shared" si="2"/>
        <v>157040.56</v>
      </c>
      <c r="I22" s="634">
        <f t="shared" si="2"/>
        <v>157040.56</v>
      </c>
      <c r="J22" s="634">
        <f t="shared" si="2"/>
        <v>157040.56</v>
      </c>
      <c r="K22" s="634">
        <f t="shared" si="2"/>
        <v>157040.56</v>
      </c>
      <c r="L22" s="634">
        <f t="shared" si="2"/>
        <v>157040.56</v>
      </c>
      <c r="M22" s="634">
        <f t="shared" si="2"/>
        <v>157040.56</v>
      </c>
      <c r="N22" s="634">
        <f t="shared" si="2"/>
        <v>157040.56</v>
      </c>
      <c r="O22" s="1420"/>
    </row>
    <row r="23" spans="2:17" ht="15.75" x14ac:dyDescent="0.25">
      <c r="B23" s="397"/>
      <c r="C23" s="1414">
        <v>1</v>
      </c>
      <c r="D23" s="1415" t="s">
        <v>993</v>
      </c>
      <c r="E23" s="488" t="s">
        <v>1020</v>
      </c>
      <c r="F23" s="634">
        <f t="shared" si="2"/>
        <v>157040.56</v>
      </c>
      <c r="G23" s="634">
        <f t="shared" si="2"/>
        <v>157040.56</v>
      </c>
      <c r="H23" s="634">
        <f t="shared" si="2"/>
        <v>157040.56</v>
      </c>
      <c r="I23" s="634">
        <f t="shared" si="2"/>
        <v>157040.56</v>
      </c>
      <c r="J23" s="634">
        <f t="shared" si="2"/>
        <v>157040.56</v>
      </c>
      <c r="K23" s="634">
        <f t="shared" si="2"/>
        <v>157040.56</v>
      </c>
      <c r="L23" s="634">
        <f t="shared" si="2"/>
        <v>157040.56</v>
      </c>
      <c r="M23" s="634">
        <f t="shared" si="2"/>
        <v>157040.56</v>
      </c>
      <c r="N23" s="634">
        <f t="shared" si="2"/>
        <v>157040.56</v>
      </c>
      <c r="O23" s="1420"/>
    </row>
    <row r="24" spans="2:17" ht="15.75" x14ac:dyDescent="0.25">
      <c r="B24" s="397"/>
      <c r="C24" s="1414">
        <v>1</v>
      </c>
      <c r="D24" s="1415" t="s">
        <v>994</v>
      </c>
      <c r="E24" s="488" t="s">
        <v>655</v>
      </c>
      <c r="F24" s="634">
        <f t="shared" ref="F24:N24" si="3">(Unit.km2)*$F$17*0.1</f>
        <v>92376.8</v>
      </c>
      <c r="G24" s="634">
        <f t="shared" si="3"/>
        <v>92376.8</v>
      </c>
      <c r="H24" s="634">
        <f t="shared" si="3"/>
        <v>92376.8</v>
      </c>
      <c r="I24" s="634">
        <f t="shared" si="3"/>
        <v>92376.8</v>
      </c>
      <c r="J24" s="634">
        <f t="shared" si="3"/>
        <v>92376.8</v>
      </c>
      <c r="K24" s="634">
        <f t="shared" si="3"/>
        <v>92376.8</v>
      </c>
      <c r="L24" s="634">
        <f t="shared" si="3"/>
        <v>92376.8</v>
      </c>
      <c r="M24" s="634">
        <f t="shared" si="3"/>
        <v>92376.8</v>
      </c>
      <c r="N24" s="634">
        <f t="shared" si="3"/>
        <v>92376.8</v>
      </c>
      <c r="O24" s="1420"/>
    </row>
    <row r="25" spans="2:17" ht="15.75" x14ac:dyDescent="0.25">
      <c r="B25" s="397"/>
      <c r="C25" s="1414">
        <v>1</v>
      </c>
      <c r="D25" s="1415" t="s">
        <v>691</v>
      </c>
      <c r="E25" s="488" t="s">
        <v>700</v>
      </c>
      <c r="F25" s="634">
        <f t="shared" ref="F25:N25" si="4">(Unit.km2)*$F$17*0.05</f>
        <v>46188.4</v>
      </c>
      <c r="G25" s="634">
        <f t="shared" si="4"/>
        <v>46188.4</v>
      </c>
      <c r="H25" s="634">
        <f t="shared" si="4"/>
        <v>46188.4</v>
      </c>
      <c r="I25" s="634">
        <f t="shared" si="4"/>
        <v>46188.4</v>
      </c>
      <c r="J25" s="634">
        <f t="shared" si="4"/>
        <v>46188.4</v>
      </c>
      <c r="K25" s="634">
        <f t="shared" si="4"/>
        <v>46188.4</v>
      </c>
      <c r="L25" s="634">
        <f t="shared" si="4"/>
        <v>46188.4</v>
      </c>
      <c r="M25" s="634">
        <f t="shared" si="4"/>
        <v>46188.4</v>
      </c>
      <c r="N25" s="634">
        <f t="shared" si="4"/>
        <v>46188.4</v>
      </c>
      <c r="O25" s="1420"/>
    </row>
    <row r="26" spans="2:17" ht="15.75" x14ac:dyDescent="0.25">
      <c r="B26" s="397"/>
      <c r="C26" s="1414">
        <v>1</v>
      </c>
      <c r="D26" s="1415" t="s">
        <v>692</v>
      </c>
      <c r="E26" s="488" t="s">
        <v>476</v>
      </c>
      <c r="F26" s="634">
        <f t="shared" ref="F26:N26" si="5">(Unit.km2)*$F$17*0.31</f>
        <v>286368.08</v>
      </c>
      <c r="G26" s="634">
        <f t="shared" si="5"/>
        <v>286368.08</v>
      </c>
      <c r="H26" s="634">
        <f t="shared" si="5"/>
        <v>286368.08</v>
      </c>
      <c r="I26" s="634">
        <f t="shared" si="5"/>
        <v>286368.08</v>
      </c>
      <c r="J26" s="634">
        <f t="shared" si="5"/>
        <v>286368.08</v>
      </c>
      <c r="K26" s="634">
        <f t="shared" si="5"/>
        <v>286368.08</v>
      </c>
      <c r="L26" s="634">
        <f t="shared" si="5"/>
        <v>286368.08</v>
      </c>
      <c r="M26" s="634">
        <f t="shared" si="5"/>
        <v>286368.08</v>
      </c>
      <c r="N26" s="634">
        <f t="shared" si="5"/>
        <v>286368.08</v>
      </c>
      <c r="O26" s="1420"/>
    </row>
    <row r="27" spans="2:17" ht="15.75" x14ac:dyDescent="0.25">
      <c r="B27" s="397"/>
      <c r="C27" s="1414">
        <v>1</v>
      </c>
      <c r="D27" s="1415" t="s">
        <v>102</v>
      </c>
      <c r="E27" s="488" t="s">
        <v>701</v>
      </c>
      <c r="F27" s="686">
        <f t="shared" ref="F27:N27" si="6">(Unit.km2)*$F$17*0.16</f>
        <v>147802.88</v>
      </c>
      <c r="G27" s="686">
        <f t="shared" si="6"/>
        <v>147802.88</v>
      </c>
      <c r="H27" s="686">
        <f t="shared" si="6"/>
        <v>147802.88</v>
      </c>
      <c r="I27" s="686">
        <f t="shared" si="6"/>
        <v>147802.88</v>
      </c>
      <c r="J27" s="686">
        <f t="shared" si="6"/>
        <v>147802.88</v>
      </c>
      <c r="K27" s="686">
        <f t="shared" si="6"/>
        <v>147802.88</v>
      </c>
      <c r="L27" s="686">
        <f t="shared" si="6"/>
        <v>147802.88</v>
      </c>
      <c r="M27" s="686">
        <f t="shared" si="6"/>
        <v>147802.88</v>
      </c>
      <c r="N27" s="686">
        <f t="shared" si="6"/>
        <v>147802.88</v>
      </c>
      <c r="O27" s="1259"/>
    </row>
    <row r="28" spans="2:17" ht="15.75" x14ac:dyDescent="0.25">
      <c r="B28" s="397"/>
      <c r="C28" s="1101">
        <v>2</v>
      </c>
      <c r="D28" s="1101" t="s">
        <v>1021</v>
      </c>
      <c r="E28" s="1101" t="s">
        <v>652</v>
      </c>
      <c r="F28" s="1271">
        <f t="shared" ref="F28:N28" si="7">(Unit.km2)*$F$17*0.03</f>
        <v>27713.039999999997</v>
      </c>
      <c r="G28" s="1272">
        <f t="shared" si="7"/>
        <v>27713.039999999997</v>
      </c>
      <c r="H28" s="1272">
        <f t="shared" si="7"/>
        <v>27713.039999999997</v>
      </c>
      <c r="I28" s="1272">
        <f t="shared" si="7"/>
        <v>27713.039999999997</v>
      </c>
      <c r="J28" s="1272">
        <f t="shared" si="7"/>
        <v>27713.039999999997</v>
      </c>
      <c r="K28" s="1272">
        <f t="shared" si="7"/>
        <v>27713.039999999997</v>
      </c>
      <c r="L28" s="1272">
        <f t="shared" si="7"/>
        <v>27713.039999999997</v>
      </c>
      <c r="M28" s="1272">
        <f t="shared" si="7"/>
        <v>27713.039999999997</v>
      </c>
      <c r="N28" s="1271">
        <f t="shared" si="7"/>
        <v>27713.039999999997</v>
      </c>
      <c r="O28" s="1420"/>
      <c r="P28" s="84"/>
      <c r="Q28" s="84"/>
    </row>
    <row r="29" spans="2:17" ht="15.75" x14ac:dyDescent="0.25">
      <c r="B29" s="397"/>
      <c r="C29" s="1414">
        <v>2</v>
      </c>
      <c r="D29" s="1414" t="s">
        <v>1022</v>
      </c>
      <c r="E29" s="1414" t="s">
        <v>653</v>
      </c>
      <c r="F29" s="634">
        <f t="shared" ref="F29:N29" si="8">(Unit.km2)*$F$17*0.01</f>
        <v>9237.68</v>
      </c>
      <c r="G29" s="206">
        <f t="shared" si="8"/>
        <v>9237.68</v>
      </c>
      <c r="H29" s="206">
        <f t="shared" si="8"/>
        <v>9237.68</v>
      </c>
      <c r="I29" s="206">
        <f t="shared" si="8"/>
        <v>9237.68</v>
      </c>
      <c r="J29" s="206">
        <f t="shared" si="8"/>
        <v>9237.68</v>
      </c>
      <c r="K29" s="206">
        <f t="shared" si="8"/>
        <v>9237.68</v>
      </c>
      <c r="L29" s="206">
        <f t="shared" si="8"/>
        <v>9237.68</v>
      </c>
      <c r="M29" s="206">
        <f t="shared" si="8"/>
        <v>9237.68</v>
      </c>
      <c r="N29" s="634">
        <f t="shared" si="8"/>
        <v>9237.68</v>
      </c>
      <c r="O29" s="1420"/>
      <c r="P29" s="84"/>
      <c r="Q29" s="84"/>
    </row>
    <row r="30" spans="2:17" ht="15.75" x14ac:dyDescent="0.25">
      <c r="B30" s="397"/>
      <c r="C30" s="1414">
        <v>2</v>
      </c>
      <c r="D30" s="1414" t="s">
        <v>1023</v>
      </c>
      <c r="E30" s="1414" t="s">
        <v>1019</v>
      </c>
      <c r="F30" s="634">
        <f t="shared" ref="F30:N31" si="9">(Unit.km2)*$F$17*0.17</f>
        <v>157040.56</v>
      </c>
      <c r="G30" s="206">
        <f t="shared" si="9"/>
        <v>157040.56</v>
      </c>
      <c r="H30" s="206">
        <f t="shared" si="9"/>
        <v>157040.56</v>
      </c>
      <c r="I30" s="206">
        <f t="shared" si="9"/>
        <v>157040.56</v>
      </c>
      <c r="J30" s="206">
        <f t="shared" si="9"/>
        <v>157040.56</v>
      </c>
      <c r="K30" s="206">
        <f t="shared" si="9"/>
        <v>157040.56</v>
      </c>
      <c r="L30" s="206">
        <f t="shared" si="9"/>
        <v>157040.56</v>
      </c>
      <c r="M30" s="206">
        <f t="shared" si="9"/>
        <v>157040.56</v>
      </c>
      <c r="N30" s="634">
        <f t="shared" si="9"/>
        <v>157040.56</v>
      </c>
      <c r="O30" s="1420"/>
      <c r="P30" s="84"/>
      <c r="Q30" s="84"/>
    </row>
    <row r="31" spans="2:17" ht="15.75" x14ac:dyDescent="0.25">
      <c r="B31" s="397"/>
      <c r="C31" s="1414">
        <v>2</v>
      </c>
      <c r="D31" s="1414" t="s">
        <v>993</v>
      </c>
      <c r="E31" s="1414" t="s">
        <v>1020</v>
      </c>
      <c r="F31" s="634">
        <f t="shared" si="9"/>
        <v>157040.56</v>
      </c>
      <c r="G31" s="634">
        <f t="shared" si="9"/>
        <v>157040.56</v>
      </c>
      <c r="H31" s="634">
        <f t="shared" si="9"/>
        <v>157040.56</v>
      </c>
      <c r="I31" s="634">
        <f t="shared" si="9"/>
        <v>157040.56</v>
      </c>
      <c r="J31" s="634">
        <f t="shared" si="9"/>
        <v>157040.56</v>
      </c>
      <c r="K31" s="634">
        <f t="shared" si="9"/>
        <v>157040.56</v>
      </c>
      <c r="L31" s="634">
        <f t="shared" si="9"/>
        <v>157040.56</v>
      </c>
      <c r="M31" s="634">
        <f t="shared" si="9"/>
        <v>157040.56</v>
      </c>
      <c r="N31" s="634">
        <f t="shared" si="9"/>
        <v>157040.56</v>
      </c>
      <c r="O31" s="1420"/>
      <c r="P31" s="84"/>
      <c r="Q31" s="84"/>
    </row>
    <row r="32" spans="2:17" ht="15.75" x14ac:dyDescent="0.25">
      <c r="B32" s="397"/>
      <c r="C32" s="1414">
        <v>2</v>
      </c>
      <c r="D32" s="1414" t="s">
        <v>1024</v>
      </c>
      <c r="E32" s="1414" t="s">
        <v>655</v>
      </c>
      <c r="F32" s="634">
        <f t="shared" ref="F32:N32" si="10">(Unit.km2)*$F$17*0.1</f>
        <v>92376.8</v>
      </c>
      <c r="G32" s="206">
        <f t="shared" si="10"/>
        <v>92376.8</v>
      </c>
      <c r="H32" s="206">
        <f t="shared" si="10"/>
        <v>92376.8</v>
      </c>
      <c r="I32" s="206">
        <f t="shared" si="10"/>
        <v>92376.8</v>
      </c>
      <c r="J32" s="206">
        <f t="shared" si="10"/>
        <v>92376.8</v>
      </c>
      <c r="K32" s="206">
        <f t="shared" si="10"/>
        <v>92376.8</v>
      </c>
      <c r="L32" s="206">
        <f t="shared" si="10"/>
        <v>92376.8</v>
      </c>
      <c r="M32" s="206">
        <f t="shared" si="10"/>
        <v>92376.8</v>
      </c>
      <c r="N32" s="634">
        <f t="shared" si="10"/>
        <v>92376.8</v>
      </c>
      <c r="O32" s="1420"/>
      <c r="P32" s="84"/>
      <c r="Q32" s="84"/>
    </row>
    <row r="33" spans="2:17" ht="15.75" x14ac:dyDescent="0.25">
      <c r="B33" s="397"/>
      <c r="C33" s="1414">
        <v>2</v>
      </c>
      <c r="D33" s="1414" t="s">
        <v>691</v>
      </c>
      <c r="E33" s="1414" t="s">
        <v>700</v>
      </c>
      <c r="F33" s="634">
        <f t="shared" ref="F33:N33" si="11">(Unit.km2)*$F$17*0.05</f>
        <v>46188.4</v>
      </c>
      <c r="G33" s="206">
        <f t="shared" si="11"/>
        <v>46188.4</v>
      </c>
      <c r="H33" s="206">
        <f t="shared" si="11"/>
        <v>46188.4</v>
      </c>
      <c r="I33" s="206">
        <f t="shared" si="11"/>
        <v>46188.4</v>
      </c>
      <c r="J33" s="206">
        <f t="shared" si="11"/>
        <v>46188.4</v>
      </c>
      <c r="K33" s="206">
        <f t="shared" si="11"/>
        <v>46188.4</v>
      </c>
      <c r="L33" s="206">
        <f t="shared" si="11"/>
        <v>46188.4</v>
      </c>
      <c r="M33" s="206">
        <f t="shared" si="11"/>
        <v>46188.4</v>
      </c>
      <c r="N33" s="634">
        <f t="shared" si="11"/>
        <v>46188.4</v>
      </c>
      <c r="O33" s="1420"/>
      <c r="P33" s="84"/>
      <c r="Q33" s="84"/>
    </row>
    <row r="34" spans="2:17" ht="15.75" x14ac:dyDescent="0.25">
      <c r="B34" s="397"/>
      <c r="C34" s="1414">
        <v>2</v>
      </c>
      <c r="D34" s="1414" t="s">
        <v>692</v>
      </c>
      <c r="E34" s="1414" t="s">
        <v>476</v>
      </c>
      <c r="F34" s="634">
        <f t="shared" ref="F34:N34" si="12">(Unit.km2)*$F$17*0.31</f>
        <v>286368.08</v>
      </c>
      <c r="G34" s="634">
        <f t="shared" si="12"/>
        <v>286368.08</v>
      </c>
      <c r="H34" s="634">
        <f t="shared" si="12"/>
        <v>286368.08</v>
      </c>
      <c r="I34" s="634">
        <f t="shared" si="12"/>
        <v>286368.08</v>
      </c>
      <c r="J34" s="634">
        <f t="shared" si="12"/>
        <v>286368.08</v>
      </c>
      <c r="K34" s="634">
        <f t="shared" si="12"/>
        <v>286368.08</v>
      </c>
      <c r="L34" s="634">
        <f t="shared" si="12"/>
        <v>286368.08</v>
      </c>
      <c r="M34" s="634">
        <f t="shared" si="12"/>
        <v>286368.08</v>
      </c>
      <c r="N34" s="634">
        <f t="shared" si="12"/>
        <v>286368.08</v>
      </c>
      <c r="O34" s="1420"/>
      <c r="P34" s="84"/>
      <c r="Q34" s="84"/>
    </row>
    <row r="35" spans="2:17" ht="15.75" x14ac:dyDescent="0.25">
      <c r="B35" s="397"/>
      <c r="C35" s="199">
        <v>2</v>
      </c>
      <c r="D35" s="199" t="s">
        <v>102</v>
      </c>
      <c r="E35" s="199" t="s">
        <v>701</v>
      </c>
      <c r="F35" s="686">
        <f t="shared" ref="F35:N35" si="13">(Unit.km2)*$F$17*0.16</f>
        <v>147802.88</v>
      </c>
      <c r="G35" s="686">
        <f t="shared" si="13"/>
        <v>147802.88</v>
      </c>
      <c r="H35" s="686">
        <f t="shared" si="13"/>
        <v>147802.88</v>
      </c>
      <c r="I35" s="686">
        <f t="shared" si="13"/>
        <v>147802.88</v>
      </c>
      <c r="J35" s="686">
        <f t="shared" si="13"/>
        <v>147802.88</v>
      </c>
      <c r="K35" s="686">
        <f t="shared" si="13"/>
        <v>147802.88</v>
      </c>
      <c r="L35" s="686">
        <f t="shared" si="13"/>
        <v>147802.88</v>
      </c>
      <c r="M35" s="686">
        <f t="shared" si="13"/>
        <v>147802.88</v>
      </c>
      <c r="N35" s="686">
        <f t="shared" si="13"/>
        <v>147802.88</v>
      </c>
      <c r="O35" s="1259"/>
      <c r="P35" s="84"/>
      <c r="Q35" s="84"/>
    </row>
    <row r="36" spans="2:17" ht="15.75" x14ac:dyDescent="0.25">
      <c r="B36" s="397"/>
      <c r="C36" s="1414">
        <v>3</v>
      </c>
      <c r="D36" s="1414" t="s">
        <v>1021</v>
      </c>
      <c r="E36" s="1414" t="s">
        <v>652</v>
      </c>
      <c r="F36" s="1271">
        <f t="shared" ref="F36:N36" si="14">(Unit.km2)*$F$17*0.03</f>
        <v>27713.039999999997</v>
      </c>
      <c r="G36" s="206">
        <f t="shared" si="14"/>
        <v>27713.039999999997</v>
      </c>
      <c r="H36" s="206">
        <f t="shared" si="14"/>
        <v>27713.039999999997</v>
      </c>
      <c r="I36" s="206">
        <f t="shared" si="14"/>
        <v>27713.039999999997</v>
      </c>
      <c r="J36" s="206">
        <f t="shared" si="14"/>
        <v>27713.039999999997</v>
      </c>
      <c r="K36" s="206">
        <f t="shared" si="14"/>
        <v>27713.039999999997</v>
      </c>
      <c r="L36" s="206">
        <f t="shared" si="14"/>
        <v>27713.039999999997</v>
      </c>
      <c r="M36" s="206">
        <f t="shared" si="14"/>
        <v>27713.039999999997</v>
      </c>
      <c r="N36" s="1271">
        <f t="shared" si="14"/>
        <v>27713.039999999997</v>
      </c>
      <c r="O36" s="1420"/>
      <c r="P36" s="84"/>
      <c r="Q36" s="84"/>
    </row>
    <row r="37" spans="2:17" ht="15.75" x14ac:dyDescent="0.25">
      <c r="B37" s="397"/>
      <c r="C37" s="1414">
        <v>3</v>
      </c>
      <c r="D37" s="1414" t="s">
        <v>1022</v>
      </c>
      <c r="E37" s="1414" t="s">
        <v>653</v>
      </c>
      <c r="F37" s="634">
        <f t="shared" ref="F37:N37" si="15">(Unit.km2)*$F$17*0.01</f>
        <v>9237.68</v>
      </c>
      <c r="G37" s="206">
        <f t="shared" si="15"/>
        <v>9237.68</v>
      </c>
      <c r="H37" s="206">
        <f t="shared" si="15"/>
        <v>9237.68</v>
      </c>
      <c r="I37" s="206">
        <f t="shared" si="15"/>
        <v>9237.68</v>
      </c>
      <c r="J37" s="206">
        <f t="shared" si="15"/>
        <v>9237.68</v>
      </c>
      <c r="K37" s="206">
        <f t="shared" si="15"/>
        <v>9237.68</v>
      </c>
      <c r="L37" s="206">
        <f t="shared" si="15"/>
        <v>9237.68</v>
      </c>
      <c r="M37" s="206">
        <f t="shared" si="15"/>
        <v>9237.68</v>
      </c>
      <c r="N37" s="634">
        <f t="shared" si="15"/>
        <v>9237.68</v>
      </c>
      <c r="O37" s="1420"/>
      <c r="P37" s="84"/>
      <c r="Q37" s="84"/>
    </row>
    <row r="38" spans="2:17" ht="15.75" x14ac:dyDescent="0.25">
      <c r="B38" s="397"/>
      <c r="C38" s="1414">
        <v>3</v>
      </c>
      <c r="D38" s="1414" t="s">
        <v>1023</v>
      </c>
      <c r="E38" s="1414" t="s">
        <v>1019</v>
      </c>
      <c r="F38" s="634">
        <f t="shared" ref="F38:N39" si="16">(Unit.km2)*$F$17*0.17</f>
        <v>157040.56</v>
      </c>
      <c r="G38" s="206">
        <f t="shared" si="16"/>
        <v>157040.56</v>
      </c>
      <c r="H38" s="206">
        <f t="shared" si="16"/>
        <v>157040.56</v>
      </c>
      <c r="I38" s="206">
        <f t="shared" si="16"/>
        <v>157040.56</v>
      </c>
      <c r="J38" s="206">
        <f t="shared" si="16"/>
        <v>157040.56</v>
      </c>
      <c r="K38" s="206">
        <f t="shared" si="16"/>
        <v>157040.56</v>
      </c>
      <c r="L38" s="206">
        <f t="shared" si="16"/>
        <v>157040.56</v>
      </c>
      <c r="M38" s="206">
        <f t="shared" si="16"/>
        <v>157040.56</v>
      </c>
      <c r="N38" s="634">
        <f t="shared" si="16"/>
        <v>157040.56</v>
      </c>
      <c r="O38" s="1420"/>
      <c r="P38" s="84"/>
      <c r="Q38" s="84"/>
    </row>
    <row r="39" spans="2:17" ht="15.75" x14ac:dyDescent="0.25">
      <c r="B39" s="397"/>
      <c r="C39" s="1414">
        <v>3</v>
      </c>
      <c r="D39" s="1414" t="s">
        <v>993</v>
      </c>
      <c r="E39" s="1414" t="s">
        <v>1020</v>
      </c>
      <c r="F39" s="634">
        <f t="shared" si="16"/>
        <v>157040.56</v>
      </c>
      <c r="G39" s="634">
        <f t="shared" si="16"/>
        <v>157040.56</v>
      </c>
      <c r="H39" s="634">
        <f t="shared" si="16"/>
        <v>157040.56</v>
      </c>
      <c r="I39" s="634">
        <f t="shared" si="16"/>
        <v>157040.56</v>
      </c>
      <c r="J39" s="634">
        <f t="shared" si="16"/>
        <v>157040.56</v>
      </c>
      <c r="K39" s="634">
        <f t="shared" si="16"/>
        <v>157040.56</v>
      </c>
      <c r="L39" s="634">
        <f t="shared" si="16"/>
        <v>157040.56</v>
      </c>
      <c r="M39" s="634">
        <f t="shared" si="16"/>
        <v>157040.56</v>
      </c>
      <c r="N39" s="634">
        <f t="shared" si="16"/>
        <v>157040.56</v>
      </c>
      <c r="O39" s="1420"/>
      <c r="P39" s="84"/>
      <c r="Q39" s="84"/>
    </row>
    <row r="40" spans="2:17" ht="15.75" x14ac:dyDescent="0.25">
      <c r="B40" s="397"/>
      <c r="C40" s="1414">
        <v>3</v>
      </c>
      <c r="D40" s="1414" t="s">
        <v>1024</v>
      </c>
      <c r="E40" s="1414" t="s">
        <v>655</v>
      </c>
      <c r="F40" s="634">
        <f t="shared" ref="F40:N40" si="17">(Unit.km2)*$F$17*0.1</f>
        <v>92376.8</v>
      </c>
      <c r="G40" s="206">
        <f t="shared" si="17"/>
        <v>92376.8</v>
      </c>
      <c r="H40" s="206">
        <f t="shared" si="17"/>
        <v>92376.8</v>
      </c>
      <c r="I40" s="206">
        <f t="shared" si="17"/>
        <v>92376.8</v>
      </c>
      <c r="J40" s="206">
        <f t="shared" si="17"/>
        <v>92376.8</v>
      </c>
      <c r="K40" s="206">
        <f t="shared" si="17"/>
        <v>92376.8</v>
      </c>
      <c r="L40" s="206">
        <f t="shared" si="17"/>
        <v>92376.8</v>
      </c>
      <c r="M40" s="206">
        <f t="shared" si="17"/>
        <v>92376.8</v>
      </c>
      <c r="N40" s="634">
        <f t="shared" si="17"/>
        <v>92376.8</v>
      </c>
      <c r="O40" s="1420"/>
      <c r="P40" s="84"/>
      <c r="Q40" s="84"/>
    </row>
    <row r="41" spans="2:17" ht="15.75" x14ac:dyDescent="0.25">
      <c r="B41" s="397"/>
      <c r="C41" s="1414">
        <v>3</v>
      </c>
      <c r="D41" s="1414" t="s">
        <v>691</v>
      </c>
      <c r="E41" s="1414" t="s">
        <v>700</v>
      </c>
      <c r="F41" s="634">
        <f t="shared" ref="F41:N41" si="18">(Unit.km2)*$F$17*0.05</f>
        <v>46188.4</v>
      </c>
      <c r="G41" s="206">
        <f t="shared" si="18"/>
        <v>46188.4</v>
      </c>
      <c r="H41" s="206">
        <f t="shared" si="18"/>
        <v>46188.4</v>
      </c>
      <c r="I41" s="206">
        <f t="shared" si="18"/>
        <v>46188.4</v>
      </c>
      <c r="J41" s="206">
        <f t="shared" si="18"/>
        <v>46188.4</v>
      </c>
      <c r="K41" s="206">
        <f t="shared" si="18"/>
        <v>46188.4</v>
      </c>
      <c r="L41" s="206">
        <f t="shared" si="18"/>
        <v>46188.4</v>
      </c>
      <c r="M41" s="206">
        <f t="shared" si="18"/>
        <v>46188.4</v>
      </c>
      <c r="N41" s="634">
        <f t="shared" si="18"/>
        <v>46188.4</v>
      </c>
      <c r="O41" s="1420"/>
      <c r="P41" s="84"/>
      <c r="Q41" s="84"/>
    </row>
    <row r="42" spans="2:17" ht="15.75" x14ac:dyDescent="0.25">
      <c r="B42" s="397"/>
      <c r="C42" s="1414">
        <v>3</v>
      </c>
      <c r="D42" s="1414" t="s">
        <v>692</v>
      </c>
      <c r="E42" s="1414" t="s">
        <v>476</v>
      </c>
      <c r="F42" s="634">
        <f t="shared" ref="F42:N42" si="19">(Unit.km2)*$F$17*0.31</f>
        <v>286368.08</v>
      </c>
      <c r="G42" s="634">
        <f t="shared" si="19"/>
        <v>286368.08</v>
      </c>
      <c r="H42" s="634">
        <f t="shared" si="19"/>
        <v>286368.08</v>
      </c>
      <c r="I42" s="634">
        <f t="shared" si="19"/>
        <v>286368.08</v>
      </c>
      <c r="J42" s="634">
        <f t="shared" si="19"/>
        <v>286368.08</v>
      </c>
      <c r="K42" s="634">
        <f t="shared" si="19"/>
        <v>286368.08</v>
      </c>
      <c r="L42" s="634">
        <f t="shared" si="19"/>
        <v>286368.08</v>
      </c>
      <c r="M42" s="634">
        <f t="shared" si="19"/>
        <v>286368.08</v>
      </c>
      <c r="N42" s="634">
        <f t="shared" si="19"/>
        <v>286368.08</v>
      </c>
      <c r="O42" s="1420"/>
      <c r="P42" s="84"/>
      <c r="Q42" s="84"/>
    </row>
    <row r="43" spans="2:17" ht="15.75" x14ac:dyDescent="0.25">
      <c r="B43" s="397"/>
      <c r="C43" s="199">
        <v>3</v>
      </c>
      <c r="D43" s="199" t="s">
        <v>102</v>
      </c>
      <c r="E43" s="199" t="s">
        <v>701</v>
      </c>
      <c r="F43" s="686">
        <f t="shared" ref="F43:N43" si="20">(Unit.km2)*$F$17*0.16</f>
        <v>147802.88</v>
      </c>
      <c r="G43" s="686">
        <f t="shared" si="20"/>
        <v>147802.88</v>
      </c>
      <c r="H43" s="686">
        <f t="shared" si="20"/>
        <v>147802.88</v>
      </c>
      <c r="I43" s="686">
        <f t="shared" si="20"/>
        <v>147802.88</v>
      </c>
      <c r="J43" s="686">
        <f t="shared" si="20"/>
        <v>147802.88</v>
      </c>
      <c r="K43" s="686">
        <f t="shared" si="20"/>
        <v>147802.88</v>
      </c>
      <c r="L43" s="686">
        <f t="shared" si="20"/>
        <v>147802.88</v>
      </c>
      <c r="M43" s="686">
        <f t="shared" si="20"/>
        <v>147802.88</v>
      </c>
      <c r="N43" s="686">
        <f t="shared" si="20"/>
        <v>147802.88</v>
      </c>
      <c r="O43" s="1259"/>
      <c r="P43" s="84"/>
      <c r="Q43" s="84"/>
    </row>
    <row r="44" spans="2:17" ht="15.75" x14ac:dyDescent="0.25">
      <c r="B44" s="397"/>
      <c r="C44" s="1414">
        <v>4</v>
      </c>
      <c r="D44" s="1415" t="s">
        <v>991</v>
      </c>
      <c r="E44" s="488" t="s">
        <v>652</v>
      </c>
      <c r="F44" s="1271">
        <f t="shared" ref="F44:N44" si="21">(Unit.km2)*$F$17*0.03</f>
        <v>27713.039999999997</v>
      </c>
      <c r="G44" s="206">
        <f t="shared" si="21"/>
        <v>27713.039999999997</v>
      </c>
      <c r="H44" s="206">
        <f t="shared" si="21"/>
        <v>27713.039999999997</v>
      </c>
      <c r="I44" s="206">
        <f t="shared" si="21"/>
        <v>27713.039999999997</v>
      </c>
      <c r="J44" s="206">
        <f t="shared" si="21"/>
        <v>27713.039999999997</v>
      </c>
      <c r="K44" s="206">
        <f t="shared" si="21"/>
        <v>27713.039999999997</v>
      </c>
      <c r="L44" s="206">
        <f t="shared" si="21"/>
        <v>27713.039999999997</v>
      </c>
      <c r="M44" s="206">
        <f t="shared" si="21"/>
        <v>27713.039999999997</v>
      </c>
      <c r="N44" s="1271">
        <f t="shared" si="21"/>
        <v>27713.039999999997</v>
      </c>
      <c r="O44" s="1420"/>
      <c r="P44" s="84"/>
      <c r="Q44" s="84"/>
    </row>
    <row r="45" spans="2:17" ht="15.75" x14ac:dyDescent="0.25">
      <c r="B45" s="397"/>
      <c r="C45" s="1414">
        <v>4</v>
      </c>
      <c r="D45" s="1415" t="s">
        <v>992</v>
      </c>
      <c r="E45" s="488" t="s">
        <v>653</v>
      </c>
      <c r="F45" s="634">
        <f t="shared" ref="F45:N45" si="22">(Unit.km2)*$F$17*0.01</f>
        <v>9237.68</v>
      </c>
      <c r="G45" s="206">
        <f t="shared" si="22"/>
        <v>9237.68</v>
      </c>
      <c r="H45" s="206">
        <f t="shared" si="22"/>
        <v>9237.68</v>
      </c>
      <c r="I45" s="206">
        <f t="shared" si="22"/>
        <v>9237.68</v>
      </c>
      <c r="J45" s="206">
        <f t="shared" si="22"/>
        <v>9237.68</v>
      </c>
      <c r="K45" s="206">
        <f t="shared" si="22"/>
        <v>9237.68</v>
      </c>
      <c r="L45" s="206">
        <f t="shared" si="22"/>
        <v>9237.68</v>
      </c>
      <c r="M45" s="206">
        <f t="shared" si="22"/>
        <v>9237.68</v>
      </c>
      <c r="N45" s="634">
        <f t="shared" si="22"/>
        <v>9237.68</v>
      </c>
      <c r="O45" s="1420"/>
      <c r="P45" s="84"/>
      <c r="Q45" s="84"/>
    </row>
    <row r="46" spans="2:17" ht="15.75" x14ac:dyDescent="0.25">
      <c r="B46" s="397"/>
      <c r="C46" s="1414">
        <v>4</v>
      </c>
      <c r="D46" s="1415" t="s">
        <v>995</v>
      </c>
      <c r="E46" s="488" t="s">
        <v>1019</v>
      </c>
      <c r="F46" s="634">
        <f t="shared" ref="F46:N47" si="23">(Unit.km2)*$F$17*0.17</f>
        <v>157040.56</v>
      </c>
      <c r="G46" s="206">
        <f t="shared" si="23"/>
        <v>157040.56</v>
      </c>
      <c r="H46" s="206">
        <f t="shared" si="23"/>
        <v>157040.56</v>
      </c>
      <c r="I46" s="206">
        <f t="shared" si="23"/>
        <v>157040.56</v>
      </c>
      <c r="J46" s="206">
        <f t="shared" si="23"/>
        <v>157040.56</v>
      </c>
      <c r="K46" s="206">
        <f t="shared" si="23"/>
        <v>157040.56</v>
      </c>
      <c r="L46" s="206">
        <f t="shared" si="23"/>
        <v>157040.56</v>
      </c>
      <c r="M46" s="206">
        <f t="shared" si="23"/>
        <v>157040.56</v>
      </c>
      <c r="N46" s="634">
        <f t="shared" si="23"/>
        <v>157040.56</v>
      </c>
      <c r="O46" s="1420"/>
      <c r="P46" s="84"/>
      <c r="Q46" s="84"/>
    </row>
    <row r="47" spans="2:17" ht="15.75" x14ac:dyDescent="0.25">
      <c r="B47" s="397"/>
      <c r="C47" s="1414">
        <v>4</v>
      </c>
      <c r="D47" s="1415" t="s">
        <v>993</v>
      </c>
      <c r="E47" s="488" t="s">
        <v>1020</v>
      </c>
      <c r="F47" s="634">
        <f t="shared" si="23"/>
        <v>157040.56</v>
      </c>
      <c r="G47" s="634">
        <f t="shared" si="23"/>
        <v>157040.56</v>
      </c>
      <c r="H47" s="634">
        <f t="shared" si="23"/>
        <v>157040.56</v>
      </c>
      <c r="I47" s="634">
        <f t="shared" si="23"/>
        <v>157040.56</v>
      </c>
      <c r="J47" s="634">
        <f t="shared" si="23"/>
        <v>157040.56</v>
      </c>
      <c r="K47" s="634">
        <f t="shared" si="23"/>
        <v>157040.56</v>
      </c>
      <c r="L47" s="634">
        <f t="shared" si="23"/>
        <v>157040.56</v>
      </c>
      <c r="M47" s="634">
        <f t="shared" si="23"/>
        <v>157040.56</v>
      </c>
      <c r="N47" s="634">
        <f t="shared" si="23"/>
        <v>157040.56</v>
      </c>
      <c r="O47" s="1420"/>
      <c r="P47" s="84"/>
      <c r="Q47" s="84"/>
    </row>
    <row r="48" spans="2:17" ht="15.75" x14ac:dyDescent="0.25">
      <c r="B48" s="397"/>
      <c r="C48" s="1414">
        <v>4</v>
      </c>
      <c r="D48" s="1415" t="s">
        <v>994</v>
      </c>
      <c r="E48" s="488" t="s">
        <v>655</v>
      </c>
      <c r="F48" s="634">
        <f t="shared" ref="F48:N48" si="24">(Unit.km2)*$F$17*0.1</f>
        <v>92376.8</v>
      </c>
      <c r="G48" s="206">
        <f t="shared" si="24"/>
        <v>92376.8</v>
      </c>
      <c r="H48" s="206">
        <f t="shared" si="24"/>
        <v>92376.8</v>
      </c>
      <c r="I48" s="206">
        <f t="shared" si="24"/>
        <v>92376.8</v>
      </c>
      <c r="J48" s="206">
        <f t="shared" si="24"/>
        <v>92376.8</v>
      </c>
      <c r="K48" s="206">
        <f t="shared" si="24"/>
        <v>92376.8</v>
      </c>
      <c r="L48" s="206">
        <f t="shared" si="24"/>
        <v>92376.8</v>
      </c>
      <c r="M48" s="206">
        <f t="shared" si="24"/>
        <v>92376.8</v>
      </c>
      <c r="N48" s="634">
        <f t="shared" si="24"/>
        <v>92376.8</v>
      </c>
      <c r="O48" s="1420"/>
      <c r="P48" s="84"/>
      <c r="Q48" s="84"/>
    </row>
    <row r="49" spans="2:17" ht="15.75" x14ac:dyDescent="0.25">
      <c r="B49" s="397"/>
      <c r="C49" s="1414">
        <v>4</v>
      </c>
      <c r="D49" s="1415" t="s">
        <v>691</v>
      </c>
      <c r="E49" s="488" t="s">
        <v>700</v>
      </c>
      <c r="F49" s="634">
        <f t="shared" ref="F49:N49" si="25">(Unit.km2)*$F$17*0.05</f>
        <v>46188.4</v>
      </c>
      <c r="G49" s="207">
        <f t="shared" si="25"/>
        <v>46188.4</v>
      </c>
      <c r="H49" s="207">
        <f t="shared" si="25"/>
        <v>46188.4</v>
      </c>
      <c r="I49" s="207">
        <f t="shared" si="25"/>
        <v>46188.4</v>
      </c>
      <c r="J49" s="207">
        <f t="shared" si="25"/>
        <v>46188.4</v>
      </c>
      <c r="K49" s="207">
        <f t="shared" si="25"/>
        <v>46188.4</v>
      </c>
      <c r="L49" s="207">
        <f t="shared" si="25"/>
        <v>46188.4</v>
      </c>
      <c r="M49" s="207">
        <f t="shared" si="25"/>
        <v>46188.4</v>
      </c>
      <c r="N49" s="634">
        <f t="shared" si="25"/>
        <v>46188.4</v>
      </c>
      <c r="O49" s="1420"/>
      <c r="P49" s="84"/>
      <c r="Q49" s="84"/>
    </row>
    <row r="50" spans="2:17" ht="15.75" x14ac:dyDescent="0.25">
      <c r="B50" s="397"/>
      <c r="C50" s="1414">
        <v>4</v>
      </c>
      <c r="D50" s="1415" t="s">
        <v>692</v>
      </c>
      <c r="E50" s="488" t="s">
        <v>476</v>
      </c>
      <c r="F50" s="634">
        <f t="shared" ref="F50:N50" si="26">(Unit.km2)*$F$17*0.31</f>
        <v>286368.08</v>
      </c>
      <c r="G50" s="634">
        <f t="shared" si="26"/>
        <v>286368.08</v>
      </c>
      <c r="H50" s="634">
        <f t="shared" si="26"/>
        <v>286368.08</v>
      </c>
      <c r="I50" s="634">
        <f t="shared" si="26"/>
        <v>286368.08</v>
      </c>
      <c r="J50" s="634">
        <f t="shared" si="26"/>
        <v>286368.08</v>
      </c>
      <c r="K50" s="634">
        <f t="shared" si="26"/>
        <v>286368.08</v>
      </c>
      <c r="L50" s="634">
        <f t="shared" si="26"/>
        <v>286368.08</v>
      </c>
      <c r="M50" s="634">
        <f t="shared" si="26"/>
        <v>286368.08</v>
      </c>
      <c r="N50" s="634">
        <f t="shared" si="26"/>
        <v>286368.08</v>
      </c>
      <c r="O50" s="1420"/>
      <c r="P50" s="84"/>
      <c r="Q50" s="84"/>
    </row>
    <row r="51" spans="2:17" ht="15.75" x14ac:dyDescent="0.25">
      <c r="B51" s="397"/>
      <c r="C51" s="199">
        <v>4</v>
      </c>
      <c r="D51" s="200" t="s">
        <v>102</v>
      </c>
      <c r="E51" s="531" t="s">
        <v>701</v>
      </c>
      <c r="F51" s="686">
        <f t="shared" ref="F51:N51" si="27">(Unit.km2)*$F$17*0.16</f>
        <v>147802.88</v>
      </c>
      <c r="G51" s="686">
        <f t="shared" si="27"/>
        <v>147802.88</v>
      </c>
      <c r="H51" s="686">
        <f t="shared" si="27"/>
        <v>147802.88</v>
      </c>
      <c r="I51" s="686">
        <f t="shared" si="27"/>
        <v>147802.88</v>
      </c>
      <c r="J51" s="686">
        <f t="shared" si="27"/>
        <v>147802.88</v>
      </c>
      <c r="K51" s="686">
        <f t="shared" si="27"/>
        <v>147802.88</v>
      </c>
      <c r="L51" s="686">
        <f t="shared" si="27"/>
        <v>147802.88</v>
      </c>
      <c r="M51" s="686">
        <f t="shared" si="27"/>
        <v>147802.88</v>
      </c>
      <c r="N51" s="686">
        <f t="shared" si="27"/>
        <v>147802.88</v>
      </c>
      <c r="O51" s="1259"/>
      <c r="P51" s="84"/>
      <c r="Q51" s="84"/>
    </row>
    <row r="52" spans="2:17" ht="15.75" x14ac:dyDescent="0.25">
      <c r="B52" s="397"/>
      <c r="C52" s="1414"/>
      <c r="D52" s="1415"/>
      <c r="E52" s="1415"/>
      <c r="F52" s="160"/>
      <c r="G52" s="161"/>
      <c r="H52" s="161"/>
      <c r="I52" s="161"/>
      <c r="J52" s="161"/>
      <c r="K52" s="161"/>
      <c r="L52" s="161"/>
      <c r="M52" s="161"/>
      <c r="N52" s="161"/>
      <c r="O52" s="161"/>
    </row>
    <row r="53" spans="2:17" ht="15.75" x14ac:dyDescent="0.25">
      <c r="B53" s="397"/>
      <c r="C53" s="1417" t="s">
        <v>1001</v>
      </c>
      <c r="D53" s="1416"/>
      <c r="E53" s="490"/>
      <c r="F53" s="1416"/>
      <c r="G53" s="1417" t="s">
        <v>595</v>
      </c>
      <c r="H53" s="1416"/>
      <c r="I53" s="1416"/>
      <c r="J53" s="176" t="s">
        <v>496</v>
      </c>
      <c r="K53" s="1416"/>
      <c r="L53" s="1416"/>
      <c r="M53" s="1416"/>
      <c r="N53" s="1416"/>
      <c r="O53" s="176"/>
    </row>
    <row r="54" spans="2:17" ht="5.25" customHeight="1" x14ac:dyDescent="0.25">
      <c r="B54" s="397"/>
      <c r="C54" s="1416"/>
      <c r="D54" s="1416"/>
      <c r="E54" s="1416"/>
      <c r="F54" s="1416"/>
      <c r="G54" s="1416"/>
      <c r="H54" s="1416"/>
      <c r="I54" s="1416"/>
      <c r="J54" s="1416"/>
      <c r="K54" s="1416"/>
      <c r="L54" s="1416"/>
      <c r="M54" s="1416"/>
      <c r="N54" s="1416"/>
      <c r="O54" s="1416"/>
    </row>
    <row r="55" spans="2:17" ht="15.75" x14ac:dyDescent="0.25">
      <c r="B55" s="397"/>
      <c r="C55" s="98" t="s">
        <v>657</v>
      </c>
      <c r="D55" s="98" t="s">
        <v>65</v>
      </c>
      <c r="E55" s="98"/>
      <c r="F55" s="571"/>
      <c r="G55" s="218">
        <v>1</v>
      </c>
      <c r="H55" s="217">
        <v>2</v>
      </c>
      <c r="I55" s="217">
        <v>3</v>
      </c>
      <c r="J55" s="217">
        <v>4</v>
      </c>
      <c r="K55" s="523"/>
      <c r="L55" s="523"/>
      <c r="M55" s="523"/>
      <c r="N55" s="523"/>
      <c r="O55" s="523"/>
    </row>
    <row r="56" spans="2:17" ht="15.75" x14ac:dyDescent="0.25">
      <c r="B56" s="397"/>
      <c r="C56" s="1414">
        <v>1</v>
      </c>
      <c r="D56" s="1415" t="s">
        <v>698</v>
      </c>
      <c r="E56" s="488"/>
      <c r="F56" s="160"/>
      <c r="G56" s="213">
        <v>0.01</v>
      </c>
      <c r="H56" s="213">
        <v>1.4999999999999999E-2</v>
      </c>
      <c r="I56" s="213">
        <v>0.02</v>
      </c>
      <c r="J56" s="213">
        <v>2.5000000000000001E-2</v>
      </c>
      <c r="K56" s="160"/>
      <c r="L56" s="160"/>
      <c r="M56" s="160"/>
      <c r="N56" s="160"/>
      <c r="O56" s="160"/>
    </row>
    <row r="57" spans="2:17" ht="15.75" x14ac:dyDescent="0.25">
      <c r="B57" s="397"/>
      <c r="C57" s="1414">
        <v>2</v>
      </c>
      <c r="D57" s="1415" t="s">
        <v>699</v>
      </c>
      <c r="E57" s="1415"/>
      <c r="F57" s="160"/>
      <c r="G57" s="213">
        <v>0.02</v>
      </c>
      <c r="H57" s="213">
        <v>0.03</v>
      </c>
      <c r="I57" s="213">
        <v>0.04</v>
      </c>
      <c r="J57" s="346">
        <v>0.05</v>
      </c>
      <c r="K57" s="351"/>
      <c r="L57" s="351"/>
      <c r="M57" s="351"/>
      <c r="N57" s="351"/>
      <c r="O57" s="351"/>
    </row>
    <row r="58" spans="2:17" ht="15.75" x14ac:dyDescent="0.25">
      <c r="B58" s="397"/>
      <c r="C58" s="1412">
        <v>3</v>
      </c>
      <c r="D58" s="102" t="s">
        <v>704</v>
      </c>
      <c r="E58" s="102"/>
      <c r="F58" s="113"/>
      <c r="G58" s="214">
        <v>5.0000000000000001E-3</v>
      </c>
      <c r="H58" s="214">
        <v>0.01</v>
      </c>
      <c r="I58" s="214">
        <v>1.4999999999999999E-2</v>
      </c>
      <c r="J58" s="700">
        <v>0.02</v>
      </c>
      <c r="K58" s="351"/>
      <c r="L58" s="351"/>
      <c r="M58" s="351"/>
      <c r="N58" s="351"/>
      <c r="O58" s="351"/>
    </row>
    <row r="59" spans="2:17" ht="15.75" x14ac:dyDescent="0.25">
      <c r="B59" s="397"/>
      <c r="C59" s="1414"/>
      <c r="D59" s="1415"/>
      <c r="E59" s="1415"/>
      <c r="F59" s="160"/>
      <c r="G59" s="161"/>
      <c r="H59" s="161"/>
      <c r="I59" s="161"/>
      <c r="J59" s="161"/>
      <c r="K59" s="161"/>
      <c r="L59" s="161"/>
      <c r="M59" s="161"/>
      <c r="N59" s="161"/>
      <c r="O59" s="161"/>
    </row>
    <row r="60" spans="2:17" ht="15.75" x14ac:dyDescent="0.25">
      <c r="B60" s="397"/>
      <c r="C60" s="1417" t="s">
        <v>1002</v>
      </c>
      <c r="D60" s="1416"/>
      <c r="E60" s="490"/>
      <c r="F60" s="1416"/>
      <c r="G60" s="1417" t="s">
        <v>595</v>
      </c>
      <c r="H60" s="1416"/>
      <c r="I60" s="1416"/>
      <c r="J60" s="161" t="s">
        <v>496</v>
      </c>
      <c r="K60" s="1416"/>
      <c r="L60" s="1416"/>
      <c r="M60" s="1416"/>
      <c r="N60" s="1416"/>
      <c r="O60" s="176"/>
    </row>
    <row r="61" spans="2:17" ht="5.25" customHeight="1" x14ac:dyDescent="0.25">
      <c r="B61" s="397"/>
      <c r="C61" s="1416"/>
      <c r="D61" s="1416"/>
      <c r="E61" s="1416"/>
      <c r="F61" s="1416"/>
      <c r="G61" s="1416"/>
      <c r="H61" s="1416"/>
      <c r="I61" s="1416"/>
      <c r="J61" s="1416"/>
      <c r="K61" s="1416"/>
      <c r="L61" s="1416"/>
      <c r="M61" s="1416"/>
      <c r="N61" s="1416"/>
      <c r="O61" s="1416"/>
    </row>
    <row r="62" spans="2:17" ht="15.75" x14ac:dyDescent="0.25">
      <c r="B62" s="397"/>
      <c r="C62" s="98" t="s">
        <v>657</v>
      </c>
      <c r="D62" s="98" t="s">
        <v>65</v>
      </c>
      <c r="E62" s="98"/>
      <c r="F62" s="571"/>
      <c r="G62" s="218">
        <v>1</v>
      </c>
      <c r="H62" s="217">
        <v>2</v>
      </c>
      <c r="I62" s="217">
        <v>3</v>
      </c>
      <c r="J62" s="217">
        <v>4</v>
      </c>
      <c r="K62" s="523"/>
      <c r="L62" s="523"/>
      <c r="M62" s="523"/>
      <c r="N62" s="523"/>
      <c r="O62" s="523"/>
    </row>
    <row r="63" spans="2:17" ht="15.75" x14ac:dyDescent="0.25">
      <c r="B63" s="397"/>
      <c r="C63" s="1414" t="s">
        <v>696</v>
      </c>
      <c r="D63" s="1415" t="s">
        <v>24</v>
      </c>
      <c r="E63" s="488"/>
      <c r="F63" s="576"/>
      <c r="G63" s="609">
        <v>1.04755074152681E-2</v>
      </c>
      <c r="H63" s="213">
        <v>1.18885999502489E-2</v>
      </c>
      <c r="I63" s="213">
        <v>1.3253411164896299E-2</v>
      </c>
      <c r="J63" s="213">
        <v>1.3525341116489601E-2</v>
      </c>
      <c r="K63" s="160"/>
      <c r="L63" s="160"/>
      <c r="M63" s="523"/>
      <c r="N63" s="160"/>
      <c r="O63" s="160"/>
    </row>
    <row r="64" spans="2:17" ht="15.75" x14ac:dyDescent="0.25">
      <c r="B64" s="397"/>
      <c r="C64" s="1414" t="s">
        <v>696</v>
      </c>
      <c r="D64" s="1415" t="s">
        <v>997</v>
      </c>
      <c r="E64" s="488"/>
      <c r="F64" s="576"/>
      <c r="G64" s="609">
        <v>1.475507415268118E-2</v>
      </c>
      <c r="H64" s="213">
        <v>1.8885999502488999E-2</v>
      </c>
      <c r="I64" s="213">
        <v>2.32534111648963E-2</v>
      </c>
      <c r="J64" s="213">
        <v>2.8253411164896301E-2</v>
      </c>
      <c r="K64" s="160"/>
      <c r="L64" s="160"/>
      <c r="M64" s="523"/>
      <c r="N64" s="160"/>
      <c r="O64" s="160"/>
    </row>
    <row r="65" spans="2:15" ht="15.75" x14ac:dyDescent="0.25">
      <c r="B65" s="397"/>
      <c r="C65" s="1414" t="s">
        <v>696</v>
      </c>
      <c r="D65" s="1415" t="s">
        <v>1014</v>
      </c>
      <c r="E65" s="1415"/>
      <c r="F65" s="576"/>
      <c r="G65" s="609">
        <v>2.5000000000000001E-3</v>
      </c>
      <c r="H65" s="213">
        <v>2.5000000000000001E-3</v>
      </c>
      <c r="I65" s="346">
        <v>0.01</v>
      </c>
      <c r="J65" s="346">
        <v>1.4999999999999999E-2</v>
      </c>
      <c r="K65" s="351"/>
      <c r="L65" s="351"/>
      <c r="M65" s="523"/>
      <c r="N65" s="351"/>
      <c r="O65" s="351"/>
    </row>
    <row r="66" spans="2:15" ht="15.75" x14ac:dyDescent="0.25">
      <c r="B66" s="397"/>
      <c r="C66" s="1416" t="s">
        <v>41</v>
      </c>
      <c r="D66" s="1416" t="s">
        <v>706</v>
      </c>
      <c r="E66" s="1415"/>
      <c r="F66" s="576"/>
      <c r="G66" s="609">
        <v>1E-3</v>
      </c>
      <c r="H66" s="213">
        <v>2E-3</v>
      </c>
      <c r="I66" s="346">
        <v>3.0000000000000001E-3</v>
      </c>
      <c r="J66" s="346">
        <v>4.0000000000000001E-3</v>
      </c>
      <c r="K66" s="351"/>
      <c r="L66" s="351"/>
      <c r="M66" s="523"/>
      <c r="N66" s="351"/>
      <c r="O66" s="351"/>
    </row>
    <row r="67" spans="2:15" ht="15.75" x14ac:dyDescent="0.25">
      <c r="B67" s="397"/>
      <c r="C67" s="1416" t="s">
        <v>41</v>
      </c>
      <c r="D67" s="1416" t="s">
        <v>707</v>
      </c>
      <c r="E67" s="1415"/>
      <c r="F67" s="576"/>
      <c r="G67" s="609">
        <v>0</v>
      </c>
      <c r="H67" s="213">
        <v>0</v>
      </c>
      <c r="I67" s="348">
        <v>0</v>
      </c>
      <c r="J67" s="348">
        <v>0</v>
      </c>
      <c r="K67" s="351"/>
      <c r="L67" s="351"/>
      <c r="M67" s="523"/>
      <c r="N67" s="351"/>
      <c r="O67" s="351"/>
    </row>
    <row r="68" spans="2:15" ht="15.75" x14ac:dyDescent="0.25">
      <c r="B68" s="397"/>
      <c r="C68" s="1416" t="s">
        <v>41</v>
      </c>
      <c r="D68" s="1416" t="s">
        <v>708</v>
      </c>
      <c r="E68" s="1415"/>
      <c r="F68" s="576"/>
      <c r="G68" s="609">
        <v>5.0000000000000001E-3</v>
      </c>
      <c r="H68" s="213">
        <v>2E-3</v>
      </c>
      <c r="I68" s="346">
        <v>2E-3</v>
      </c>
      <c r="J68" s="346">
        <v>2E-3</v>
      </c>
      <c r="K68" s="161"/>
      <c r="L68" s="161"/>
      <c r="M68" s="523"/>
      <c r="N68" s="161"/>
      <c r="O68" s="161"/>
    </row>
    <row r="69" spans="2:15" ht="15.75" x14ac:dyDescent="0.25">
      <c r="B69" s="397"/>
      <c r="C69" s="1416" t="s">
        <v>710</v>
      </c>
      <c r="D69" s="1416" t="s">
        <v>711</v>
      </c>
      <c r="E69" s="490"/>
      <c r="F69" s="696"/>
      <c r="G69" s="609">
        <v>2E-3</v>
      </c>
      <c r="H69" s="213">
        <v>3.0000000000000001E-3</v>
      </c>
      <c r="I69" s="697">
        <v>4.0000000000000001E-3</v>
      </c>
      <c r="J69" s="697">
        <v>5.0000000000000001E-3</v>
      </c>
      <c r="K69" s="1416"/>
      <c r="L69" s="1416"/>
      <c r="M69" s="523"/>
      <c r="N69" s="1416"/>
      <c r="O69" s="176"/>
    </row>
    <row r="70" spans="2:15" ht="15.75" x14ac:dyDescent="0.25">
      <c r="B70" s="397"/>
      <c r="C70" s="1416" t="s">
        <v>710</v>
      </c>
      <c r="D70" s="1416" t="s">
        <v>713</v>
      </c>
      <c r="E70" s="1416"/>
      <c r="F70" s="696"/>
      <c r="G70" s="609">
        <v>1E-3</v>
      </c>
      <c r="H70" s="213">
        <v>2E-3</v>
      </c>
      <c r="I70" s="697">
        <v>3.0000000000000001E-3</v>
      </c>
      <c r="J70" s="697">
        <v>4.0000000000000001E-3</v>
      </c>
      <c r="K70" s="1416"/>
      <c r="L70" s="1416"/>
      <c r="M70" s="523"/>
      <c r="N70" s="1416"/>
      <c r="O70" s="1416"/>
    </row>
    <row r="71" spans="2:15" ht="15.75" x14ac:dyDescent="0.25">
      <c r="B71" s="397"/>
      <c r="C71" s="1416" t="s">
        <v>710</v>
      </c>
      <c r="D71" s="1416" t="s">
        <v>715</v>
      </c>
      <c r="E71" s="1413"/>
      <c r="F71" s="694"/>
      <c r="G71" s="2700">
        <v>1E-3</v>
      </c>
      <c r="H71" s="533">
        <v>1.1999999999999999E-3</v>
      </c>
      <c r="I71" s="2701">
        <v>1.2999999999999999E-3</v>
      </c>
      <c r="J71" s="2701">
        <v>1.4E-3</v>
      </c>
      <c r="K71" s="523"/>
      <c r="L71" s="523"/>
      <c r="M71" s="523"/>
      <c r="N71" s="523"/>
      <c r="O71" s="523"/>
    </row>
    <row r="72" spans="2:15" ht="15.75" x14ac:dyDescent="0.25">
      <c r="B72" s="397"/>
      <c r="C72" s="524" t="s">
        <v>710</v>
      </c>
      <c r="D72" s="695" t="s">
        <v>717</v>
      </c>
      <c r="E72" s="130"/>
      <c r="F72" s="577"/>
      <c r="G72" s="2702">
        <v>1.1000000000000001E-3</v>
      </c>
      <c r="H72" s="2703">
        <v>1.2999999999999999E-3</v>
      </c>
      <c r="I72" s="2704">
        <v>1.5E-3</v>
      </c>
      <c r="J72" s="2704">
        <v>1.8E-3</v>
      </c>
      <c r="K72" s="160"/>
      <c r="L72" s="160"/>
      <c r="M72" s="523"/>
      <c r="N72" s="160"/>
      <c r="O72" s="160"/>
    </row>
    <row r="73" spans="2:15" ht="15.75" x14ac:dyDescent="0.25">
      <c r="B73" s="397"/>
      <c r="C73" s="1414"/>
      <c r="D73" s="1415"/>
      <c r="E73" s="1415"/>
      <c r="F73" s="160"/>
      <c r="G73" s="351"/>
      <c r="H73" s="351"/>
      <c r="I73" s="351"/>
      <c r="J73" s="351"/>
      <c r="K73" s="351"/>
      <c r="L73" s="351"/>
      <c r="M73" s="351"/>
      <c r="N73" s="351"/>
      <c r="O73" s="351"/>
    </row>
    <row r="74" spans="2:15" s="84" customFormat="1" ht="15.75" x14ac:dyDescent="0.2">
      <c r="B74" s="399"/>
      <c r="C74" s="178" t="s">
        <v>1003</v>
      </c>
      <c r="D74" s="1415"/>
      <c r="E74" s="698"/>
      <c r="F74" s="1415"/>
      <c r="G74" s="1418" t="s">
        <v>595</v>
      </c>
      <c r="H74" s="1415"/>
      <c r="I74" s="1415"/>
      <c r="J74" s="1039" t="s">
        <v>2442</v>
      </c>
      <c r="K74" s="1418" t="s">
        <v>595</v>
      </c>
      <c r="L74" s="1415"/>
      <c r="M74" s="1415"/>
      <c r="N74" s="161" t="s">
        <v>1000</v>
      </c>
      <c r="O74" s="698"/>
    </row>
    <row r="75" spans="2:15" s="84" customFormat="1" ht="5.25" customHeight="1" x14ac:dyDescent="0.2">
      <c r="B75" s="399"/>
      <c r="C75" s="1415"/>
      <c r="D75" s="1415"/>
      <c r="E75" s="1415"/>
      <c r="F75" s="1415"/>
      <c r="G75" s="1415"/>
      <c r="H75" s="1415"/>
      <c r="I75" s="1415"/>
      <c r="J75" s="1415"/>
      <c r="K75" s="1415"/>
      <c r="L75" s="1415"/>
      <c r="M75" s="1415"/>
      <c r="N75" s="1415"/>
      <c r="O75" s="1415"/>
    </row>
    <row r="76" spans="2:15" s="84" customFormat="1" ht="15.75" x14ac:dyDescent="0.2">
      <c r="B76" s="399"/>
      <c r="C76" s="98" t="s">
        <v>657</v>
      </c>
      <c r="D76" s="98" t="s">
        <v>65</v>
      </c>
      <c r="E76" s="98"/>
      <c r="F76" s="103"/>
      <c r="G76" s="218">
        <v>1</v>
      </c>
      <c r="H76" s="217">
        <v>2</v>
      </c>
      <c r="I76" s="217">
        <v>3</v>
      </c>
      <c r="J76" s="217">
        <v>4</v>
      </c>
      <c r="K76" s="218">
        <v>1</v>
      </c>
      <c r="L76" s="217">
        <v>2</v>
      </c>
      <c r="M76" s="217">
        <v>3</v>
      </c>
      <c r="N76" s="217">
        <v>4</v>
      </c>
      <c r="O76" s="523"/>
    </row>
    <row r="77" spans="2:15" s="84" customFormat="1" ht="15.75" x14ac:dyDescent="0.2">
      <c r="B77" s="399"/>
      <c r="C77" s="1414" t="s">
        <v>1005</v>
      </c>
      <c r="D77" s="1415" t="s">
        <v>721</v>
      </c>
      <c r="E77" s="488"/>
      <c r="F77" s="206"/>
      <c r="G77" s="1235">
        <v>-2.4472451512579374E-3</v>
      </c>
      <c r="H77" s="1236">
        <v>-2.4472451512579374E-3</v>
      </c>
      <c r="I77" s="1205">
        <v>-3.772376630140406E-3</v>
      </c>
      <c r="J77" s="1205">
        <v>-1.1921561279377713E-3</v>
      </c>
      <c r="K77" s="1234">
        <v>-7.4310483882145117E-4</v>
      </c>
      <c r="L77" s="1205">
        <v>-7.4310483882145117E-4</v>
      </c>
      <c r="M77" s="1205">
        <v>-3.772376630140406E-3</v>
      </c>
      <c r="N77" s="1205">
        <v>-1.1921561279377713E-3</v>
      </c>
      <c r="O77" s="226"/>
    </row>
    <row r="78" spans="2:15" s="84" customFormat="1" ht="15.75" x14ac:dyDescent="0.2">
      <c r="B78" s="399"/>
      <c r="C78" s="199" t="s">
        <v>1006</v>
      </c>
      <c r="D78" s="200" t="s">
        <v>722</v>
      </c>
      <c r="E78" s="200"/>
      <c r="F78" s="686"/>
      <c r="G78" s="699">
        <v>-2.4472451512579374E-3</v>
      </c>
      <c r="H78" s="700">
        <v>-2.4472451512579374E-3</v>
      </c>
      <c r="I78" s="214">
        <v>-3.772376630140406E-3</v>
      </c>
      <c r="J78" s="700">
        <v>-2.4472451512579374E-3</v>
      </c>
      <c r="K78" s="1233">
        <v>-7.4310483882134015E-4</v>
      </c>
      <c r="L78" s="214">
        <v>-2.4472451512579374E-3</v>
      </c>
      <c r="M78" s="700">
        <v>-3.772376630140406E-3</v>
      </c>
      <c r="N78" s="700">
        <v>-2.4472451512579374E-3</v>
      </c>
      <c r="O78" s="227"/>
    </row>
    <row r="79" spans="2:15" ht="15.75" x14ac:dyDescent="0.25">
      <c r="B79" s="397"/>
      <c r="C79" s="1414"/>
      <c r="D79" s="1415"/>
      <c r="E79" s="1415"/>
      <c r="F79" s="226"/>
      <c r="G79" s="227"/>
      <c r="H79" s="227"/>
      <c r="I79" s="227"/>
      <c r="J79" s="227"/>
      <c r="K79" s="227"/>
      <c r="L79" s="227"/>
      <c r="M79" s="227"/>
      <c r="N79" s="227"/>
      <c r="O79" s="227"/>
    </row>
    <row r="80" spans="2:15" ht="15.75" x14ac:dyDescent="0.25">
      <c r="B80" s="397"/>
      <c r="C80" s="178" t="s">
        <v>1007</v>
      </c>
      <c r="D80" s="1415"/>
      <c r="E80" s="698"/>
      <c r="F80" s="1415"/>
      <c r="G80" s="1418" t="s">
        <v>595</v>
      </c>
      <c r="H80" s="1415"/>
      <c r="I80" s="1415"/>
      <c r="J80" s="1039" t="s">
        <v>999</v>
      </c>
      <c r="K80" s="1418" t="s">
        <v>595</v>
      </c>
      <c r="L80" s="1415"/>
      <c r="M80" s="1415"/>
      <c r="N80" s="161" t="s">
        <v>1000</v>
      </c>
      <c r="O80" s="227"/>
    </row>
    <row r="81" spans="2:15" ht="5.25" customHeight="1" x14ac:dyDescent="0.25">
      <c r="B81" s="397"/>
      <c r="C81" s="1415"/>
      <c r="D81" s="1415"/>
      <c r="E81" s="1415"/>
      <c r="F81" s="1415"/>
      <c r="G81" s="1415"/>
      <c r="H81" s="1415"/>
      <c r="I81" s="1415"/>
      <c r="J81" s="1415"/>
      <c r="K81" s="1415"/>
      <c r="L81" s="1415"/>
      <c r="M81" s="1415"/>
      <c r="N81" s="1415"/>
      <c r="O81" s="227"/>
    </row>
    <row r="82" spans="2:15" ht="15.75" x14ac:dyDescent="0.25">
      <c r="B82" s="397"/>
      <c r="C82" s="98" t="s">
        <v>657</v>
      </c>
      <c r="D82" s="98" t="s">
        <v>65</v>
      </c>
      <c r="E82" s="98"/>
      <c r="F82" s="103"/>
      <c r="G82" s="218">
        <v>1</v>
      </c>
      <c r="H82" s="217">
        <v>2</v>
      </c>
      <c r="I82" s="217">
        <v>3</v>
      </c>
      <c r="J82" s="217">
        <v>4</v>
      </c>
      <c r="K82" s="218">
        <v>1</v>
      </c>
      <c r="L82" s="217">
        <v>2</v>
      </c>
      <c r="M82" s="217">
        <v>3</v>
      </c>
      <c r="N82" s="217">
        <v>4</v>
      </c>
      <c r="O82" s="227"/>
    </row>
    <row r="83" spans="2:15" ht="15.75" x14ac:dyDescent="0.25">
      <c r="B83" s="397"/>
      <c r="C83" s="121" t="s">
        <v>1004</v>
      </c>
      <c r="D83" s="122" t="s">
        <v>723</v>
      </c>
      <c r="E83" s="230"/>
      <c r="F83" s="1040"/>
      <c r="G83" s="1041">
        <v>-6.3934443203000901E-3</v>
      </c>
      <c r="H83" s="137">
        <v>-6.3934443203000901E-3</v>
      </c>
      <c r="I83" s="137">
        <v>-6.3934443203000901E-3</v>
      </c>
      <c r="J83" s="137">
        <v>-6.3934443203000901E-3</v>
      </c>
      <c r="K83" s="1041">
        <v>0</v>
      </c>
      <c r="L83" s="137">
        <v>-6.7319687848443888E-4</v>
      </c>
      <c r="M83" s="137">
        <v>-2.416099615924483E-3</v>
      </c>
      <c r="N83" s="137">
        <v>-6.7319687848443888E-4</v>
      </c>
      <c r="O83" s="227"/>
    </row>
    <row r="84" spans="2:15" ht="15.75" x14ac:dyDescent="0.25">
      <c r="B84" s="397"/>
      <c r="C84" s="1414"/>
      <c r="D84" s="1415"/>
      <c r="E84" s="1415"/>
      <c r="F84" s="226"/>
      <c r="G84" s="227"/>
      <c r="H84" s="227"/>
      <c r="I84" s="227"/>
      <c r="J84" s="227"/>
      <c r="K84" s="227"/>
      <c r="L84" s="227"/>
      <c r="M84" s="227"/>
      <c r="N84" s="227"/>
      <c r="O84" s="227"/>
    </row>
    <row r="85" spans="2:15" ht="15.75" x14ac:dyDescent="0.25">
      <c r="B85" s="397"/>
      <c r="C85" s="1417" t="s">
        <v>1121</v>
      </c>
      <c r="D85" s="1416"/>
      <c r="E85" s="490"/>
      <c r="F85" s="1416"/>
      <c r="G85" s="1416"/>
      <c r="H85" s="1416"/>
      <c r="I85" s="1416"/>
      <c r="J85" s="1416"/>
      <c r="K85" s="1416"/>
      <c r="L85" s="1416"/>
      <c r="M85" s="1416"/>
      <c r="N85" s="176" t="s">
        <v>493</v>
      </c>
      <c r="O85" s="227"/>
    </row>
    <row r="86" spans="2:15" ht="5.25" customHeight="1" x14ac:dyDescent="0.25">
      <c r="B86" s="397"/>
      <c r="C86" s="1416"/>
      <c r="D86" s="1416"/>
      <c r="E86" s="1416"/>
      <c r="F86" s="1416"/>
      <c r="G86" s="1416"/>
      <c r="H86" s="1416"/>
      <c r="I86" s="1416"/>
      <c r="J86" s="1416"/>
      <c r="K86" s="1416"/>
      <c r="L86" s="1416"/>
      <c r="M86" s="1416"/>
      <c r="N86" s="1416"/>
      <c r="O86" s="1420"/>
    </row>
    <row r="87" spans="2:15" ht="15.75" x14ac:dyDescent="0.25">
      <c r="B87" s="397"/>
      <c r="C87" s="98" t="s">
        <v>595</v>
      </c>
      <c r="D87" s="98" t="s">
        <v>65</v>
      </c>
      <c r="E87" s="98" t="s">
        <v>172</v>
      </c>
      <c r="F87" s="218">
        <v>2010</v>
      </c>
      <c r="G87" s="217">
        <v>2015</v>
      </c>
      <c r="H87" s="217">
        <v>2020</v>
      </c>
      <c r="I87" s="217">
        <v>2025</v>
      </c>
      <c r="J87" s="217">
        <v>2030</v>
      </c>
      <c r="K87" s="217">
        <v>2035</v>
      </c>
      <c r="L87" s="217">
        <v>2040</v>
      </c>
      <c r="M87" s="217">
        <v>2045</v>
      </c>
      <c r="N87" s="217">
        <v>2050</v>
      </c>
      <c r="O87" s="1420"/>
    </row>
    <row r="88" spans="2:15" ht="15.75" x14ac:dyDescent="0.25">
      <c r="B88" s="397"/>
      <c r="C88" s="1414">
        <v>1</v>
      </c>
      <c r="D88" s="1415" t="s">
        <v>987</v>
      </c>
      <c r="E88" s="492"/>
      <c r="F88" s="160">
        <v>-10.63661229</v>
      </c>
      <c r="G88" s="160">
        <v>-7.2915988299999999</v>
      </c>
      <c r="H88" s="160">
        <v>-4.0474132699999998</v>
      </c>
      <c r="I88" s="160">
        <v>-1.0517402199999999</v>
      </c>
      <c r="J88" s="160">
        <v>0.61630457999999999</v>
      </c>
      <c r="K88" s="160">
        <v>0.88085168999999996</v>
      </c>
      <c r="L88" s="160">
        <v>-0.14352334999999999</v>
      </c>
      <c r="M88" s="160">
        <v>-1.42479723</v>
      </c>
      <c r="N88" s="160">
        <v>-1.93614847</v>
      </c>
      <c r="O88" s="1420"/>
    </row>
    <row r="89" spans="2:15" ht="15.75" x14ac:dyDescent="0.25">
      <c r="B89" s="397"/>
      <c r="C89" s="1414">
        <v>2</v>
      </c>
      <c r="D89" s="1415" t="s">
        <v>693</v>
      </c>
      <c r="E89" s="1415"/>
      <c r="F89" s="160">
        <v>-10.582451516666699</v>
      </c>
      <c r="G89" s="160">
        <v>-7.2689570166666702</v>
      </c>
      <c r="H89" s="160">
        <v>-4.2283102499999998</v>
      </c>
      <c r="I89" s="160">
        <v>-1.60029287666667</v>
      </c>
      <c r="J89" s="160">
        <v>-0.61735176333333297</v>
      </c>
      <c r="K89" s="160">
        <v>-0.929239486666669</v>
      </c>
      <c r="L89" s="160">
        <v>-2.50554051666668</v>
      </c>
      <c r="M89" s="160">
        <v>-4.3207360266666601</v>
      </c>
      <c r="N89" s="160">
        <v>-5.3787944533333398</v>
      </c>
      <c r="O89" s="1420"/>
    </row>
    <row r="90" spans="2:15" ht="15.75" x14ac:dyDescent="0.25">
      <c r="B90" s="397"/>
      <c r="C90" s="1414">
        <v>3</v>
      </c>
      <c r="D90" s="1415" t="s">
        <v>694</v>
      </c>
      <c r="E90" s="1415"/>
      <c r="F90" s="160">
        <v>-10.5326948133333</v>
      </c>
      <c r="G90" s="160">
        <v>-7.5910687149999996</v>
      </c>
      <c r="H90" s="160">
        <v>-4.7967910199999997</v>
      </c>
      <c r="I90" s="160">
        <v>-2.69593621666667</v>
      </c>
      <c r="J90" s="160">
        <v>-2.5354317183333399</v>
      </c>
      <c r="K90" s="160">
        <v>-3.0805327149999902</v>
      </c>
      <c r="L90" s="160">
        <v>-5.2834375800000002</v>
      </c>
      <c r="M90" s="160">
        <v>-7.4420078616666601</v>
      </c>
      <c r="N90" s="160">
        <v>-8.8947345183333706</v>
      </c>
      <c r="O90" s="1420"/>
    </row>
    <row r="91" spans="2:15" ht="15.75" x14ac:dyDescent="0.25">
      <c r="B91" s="397"/>
      <c r="C91" s="1412">
        <v>4</v>
      </c>
      <c r="D91" s="102" t="s">
        <v>695</v>
      </c>
      <c r="E91" s="102"/>
      <c r="F91" s="170">
        <v>-10.456307131999999</v>
      </c>
      <c r="G91" s="170">
        <v>-7.3616709504333304</v>
      </c>
      <c r="H91" s="170">
        <v>-5.0482864033333303</v>
      </c>
      <c r="I91" s="170">
        <v>-3.6393750815333301</v>
      </c>
      <c r="J91" s="170">
        <v>-4.4265016063666698</v>
      </c>
      <c r="K91" s="170">
        <v>-5.8748650194999898</v>
      </c>
      <c r="L91" s="170">
        <v>-8.6591228508333895</v>
      </c>
      <c r="M91" s="170">
        <v>-11.7321817720333</v>
      </c>
      <c r="N91" s="170">
        <v>-14.1107599681333</v>
      </c>
      <c r="O91" s="1420"/>
    </row>
    <row r="92" spans="2:15" ht="15.75" x14ac:dyDescent="0.25">
      <c r="B92" s="397"/>
      <c r="C92" s="1414"/>
      <c r="D92" s="1415"/>
      <c r="E92" s="1415"/>
      <c r="F92" s="227"/>
      <c r="G92" s="227"/>
      <c r="H92" s="227"/>
      <c r="I92" s="227"/>
      <c r="J92" s="227"/>
      <c r="K92" s="227"/>
      <c r="L92" s="227"/>
      <c r="M92" s="227"/>
      <c r="N92" s="227"/>
      <c r="O92" s="1420"/>
    </row>
    <row r="93" spans="2:15" ht="15.75" x14ac:dyDescent="0.25">
      <c r="B93" s="397"/>
      <c r="C93" s="1417" t="s">
        <v>733</v>
      </c>
      <c r="D93" s="1416"/>
      <c r="E93" s="490"/>
      <c r="F93" s="1416"/>
      <c r="G93" s="1416"/>
      <c r="H93" s="1416"/>
      <c r="I93" s="1416"/>
      <c r="J93" s="1416"/>
      <c r="K93" s="1416"/>
      <c r="L93" s="1416"/>
      <c r="M93" s="1416"/>
      <c r="N93" s="176" t="s">
        <v>734</v>
      </c>
      <c r="O93" s="1420"/>
    </row>
    <row r="94" spans="2:15" ht="5.25" customHeight="1" x14ac:dyDescent="0.25">
      <c r="B94" s="397"/>
      <c r="C94" s="1416"/>
      <c r="D94" s="1416"/>
      <c r="E94" s="1416"/>
      <c r="F94" s="1416"/>
      <c r="G94" s="1416"/>
      <c r="H94" s="1416"/>
      <c r="I94" s="1416"/>
      <c r="J94" s="1416"/>
      <c r="K94" s="1416"/>
      <c r="L94" s="1416"/>
      <c r="M94" s="1416"/>
      <c r="N94" s="1416"/>
      <c r="O94" s="1420"/>
    </row>
    <row r="95" spans="2:15" ht="15.75" x14ac:dyDescent="0.25">
      <c r="B95" s="397"/>
      <c r="C95" s="98" t="s">
        <v>595</v>
      </c>
      <c r="D95" s="98" t="s">
        <v>65</v>
      </c>
      <c r="E95" s="98" t="s">
        <v>172</v>
      </c>
      <c r="F95" s="218">
        <v>2010</v>
      </c>
      <c r="G95" s="217">
        <v>2015</v>
      </c>
      <c r="H95" s="217">
        <v>2020</v>
      </c>
      <c r="I95" s="217">
        <v>2025</v>
      </c>
      <c r="J95" s="217">
        <v>2030</v>
      </c>
      <c r="K95" s="217">
        <v>2035</v>
      </c>
      <c r="L95" s="217">
        <v>2040</v>
      </c>
      <c r="M95" s="217">
        <v>2045</v>
      </c>
      <c r="N95" s="217">
        <v>2050</v>
      </c>
      <c r="O95" s="1420"/>
    </row>
    <row r="96" spans="2:15" ht="15.75" x14ac:dyDescent="0.25">
      <c r="B96" s="397"/>
      <c r="C96" s="1414">
        <v>1</v>
      </c>
      <c r="D96" s="1415" t="s">
        <v>987</v>
      </c>
      <c r="E96" s="492"/>
      <c r="F96" s="491">
        <v>0.05</v>
      </c>
      <c r="G96" s="491">
        <v>0.06</v>
      </c>
      <c r="H96" s="491">
        <v>7.0000000000000007E-2</v>
      </c>
      <c r="I96" s="491">
        <v>0.08</v>
      </c>
      <c r="J96" s="491">
        <v>0.09</v>
      </c>
      <c r="K96" s="491">
        <v>0.1</v>
      </c>
      <c r="L96" s="491">
        <v>0.11</v>
      </c>
      <c r="M96" s="491">
        <v>0.12</v>
      </c>
      <c r="N96" s="491">
        <v>0.13</v>
      </c>
      <c r="O96" s="1420"/>
    </row>
    <row r="97" spans="2:15" ht="15.75" x14ac:dyDescent="0.25">
      <c r="B97" s="397"/>
      <c r="C97" s="1414">
        <v>2</v>
      </c>
      <c r="D97" s="1415" t="s">
        <v>693</v>
      </c>
      <c r="E97" s="1415"/>
      <c r="F97" s="491">
        <v>0.05</v>
      </c>
      <c r="G97" s="491">
        <v>7.0000000000000007E-2</v>
      </c>
      <c r="H97" s="491">
        <v>0.09</v>
      </c>
      <c r="I97" s="491">
        <v>0.12</v>
      </c>
      <c r="J97" s="491">
        <v>0.15</v>
      </c>
      <c r="K97" s="491">
        <v>0.18</v>
      </c>
      <c r="L97" s="491">
        <v>0.2</v>
      </c>
      <c r="M97" s="491">
        <v>0.22</v>
      </c>
      <c r="N97" s="491">
        <v>0.24449000798619908</v>
      </c>
      <c r="O97" s="1420"/>
    </row>
    <row r="98" spans="2:15" ht="15.75" x14ac:dyDescent="0.25">
      <c r="B98" s="397"/>
      <c r="C98" s="1414">
        <v>3</v>
      </c>
      <c r="D98" s="1415" t="s">
        <v>694</v>
      </c>
      <c r="E98" s="1415"/>
      <c r="F98" s="491">
        <v>0.05</v>
      </c>
      <c r="G98" s="491">
        <v>0.1</v>
      </c>
      <c r="H98" s="491">
        <v>0.25</v>
      </c>
      <c r="I98" s="491">
        <v>0.5</v>
      </c>
      <c r="J98" s="491">
        <v>0.5</v>
      </c>
      <c r="K98" s="491">
        <v>0.5</v>
      </c>
      <c r="L98" s="491">
        <v>0.5</v>
      </c>
      <c r="M98" s="491">
        <v>0.5</v>
      </c>
      <c r="N98" s="491">
        <v>0.5</v>
      </c>
      <c r="O98" s="1420"/>
    </row>
    <row r="99" spans="2:15" ht="15.75" x14ac:dyDescent="0.25">
      <c r="B99" s="397"/>
      <c r="C99" s="1412">
        <v>4</v>
      </c>
      <c r="D99" s="102" t="s">
        <v>695</v>
      </c>
      <c r="E99" s="102"/>
      <c r="F99" s="187">
        <v>0.05</v>
      </c>
      <c r="G99" s="187">
        <v>0.1</v>
      </c>
      <c r="H99" s="187">
        <v>0.25</v>
      </c>
      <c r="I99" s="187">
        <v>0.5</v>
      </c>
      <c r="J99" s="187">
        <v>0.5</v>
      </c>
      <c r="K99" s="187">
        <v>0.5</v>
      </c>
      <c r="L99" s="187">
        <v>0.5</v>
      </c>
      <c r="M99" s="187">
        <v>0.5</v>
      </c>
      <c r="N99" s="187">
        <v>0.5</v>
      </c>
      <c r="O99" s="1420"/>
    </row>
    <row r="100" spans="2:15" x14ac:dyDescent="0.2">
      <c r="B100" s="401"/>
      <c r="C100" s="1416"/>
      <c r="D100" s="493"/>
      <c r="E100" s="1416"/>
      <c r="F100" s="1416"/>
      <c r="G100" s="1416"/>
      <c r="H100" s="1416"/>
      <c r="I100" s="1416"/>
      <c r="J100" s="1416"/>
      <c r="K100" s="1416"/>
      <c r="L100" s="1416"/>
      <c r="M100" s="1416"/>
      <c r="N100" s="1416"/>
      <c r="O100" s="1420"/>
    </row>
    <row r="101" spans="2:15" x14ac:dyDescent="0.2">
      <c r="B101" s="401"/>
      <c r="C101" s="1417" t="s">
        <v>735</v>
      </c>
      <c r="D101" s="1416"/>
      <c r="E101" s="176"/>
      <c r="F101" s="1416"/>
      <c r="G101" s="1416"/>
      <c r="H101" s="1416"/>
      <c r="I101" s="1416"/>
      <c r="J101" s="1416"/>
      <c r="K101" s="1416"/>
      <c r="L101" s="1416"/>
      <c r="M101" s="1416"/>
      <c r="N101" s="176" t="s">
        <v>1177</v>
      </c>
      <c r="O101" s="1420"/>
    </row>
    <row r="102" spans="2:15" ht="6.75" customHeight="1" x14ac:dyDescent="0.2">
      <c r="B102" s="401"/>
      <c r="C102" s="1416"/>
      <c r="D102" s="1416"/>
      <c r="E102" s="1416"/>
      <c r="F102" s="1416"/>
      <c r="G102" s="1416"/>
      <c r="H102" s="1416"/>
      <c r="I102" s="1416"/>
      <c r="J102" s="1416"/>
      <c r="K102" s="1416"/>
      <c r="L102" s="1416"/>
      <c r="M102" s="1416"/>
      <c r="N102" s="1416"/>
      <c r="O102" s="1420"/>
    </row>
    <row r="103" spans="2:15" ht="15.75" x14ac:dyDescent="0.25">
      <c r="B103" s="397"/>
      <c r="C103" s="98" t="s">
        <v>595</v>
      </c>
      <c r="D103" s="98" t="s">
        <v>65</v>
      </c>
      <c r="E103" s="98" t="s">
        <v>172</v>
      </c>
      <c r="F103" s="218">
        <v>2010</v>
      </c>
      <c r="G103" s="217">
        <v>2015</v>
      </c>
      <c r="H103" s="217">
        <v>2020</v>
      </c>
      <c r="I103" s="217">
        <v>2025</v>
      </c>
      <c r="J103" s="217">
        <v>2030</v>
      </c>
      <c r="K103" s="217">
        <v>2035</v>
      </c>
      <c r="L103" s="217">
        <v>2040</v>
      </c>
      <c r="M103" s="217">
        <v>2045</v>
      </c>
      <c r="N103" s="217">
        <v>2050</v>
      </c>
      <c r="O103" s="1420"/>
    </row>
    <row r="104" spans="2:15" ht="15.75" x14ac:dyDescent="0.25">
      <c r="B104" s="397"/>
      <c r="C104" s="1414">
        <v>1</v>
      </c>
      <c r="D104" s="1415" t="s">
        <v>987</v>
      </c>
      <c r="E104" s="492"/>
      <c r="F104" s="491">
        <v>0.1</v>
      </c>
      <c r="G104" s="491">
        <v>0.2</v>
      </c>
      <c r="H104" s="491">
        <v>0.5</v>
      </c>
      <c r="I104" s="491">
        <v>0.5</v>
      </c>
      <c r="J104" s="491">
        <v>0.5</v>
      </c>
      <c r="K104" s="491">
        <v>0.5</v>
      </c>
      <c r="L104" s="491">
        <v>0.5</v>
      </c>
      <c r="M104" s="491">
        <v>0.5</v>
      </c>
      <c r="N104" s="491">
        <v>0.5</v>
      </c>
      <c r="O104" s="1420"/>
    </row>
    <row r="105" spans="2:15" ht="15.75" x14ac:dyDescent="0.25">
      <c r="B105" s="397"/>
      <c r="C105" s="1414">
        <v>2</v>
      </c>
      <c r="D105" s="1415" t="s">
        <v>693</v>
      </c>
      <c r="E105" s="1415"/>
      <c r="F105" s="491">
        <v>0.1</v>
      </c>
      <c r="G105" s="491">
        <v>0.2</v>
      </c>
      <c r="H105" s="491">
        <v>0.5</v>
      </c>
      <c r="I105" s="491">
        <v>0.5</v>
      </c>
      <c r="J105" s="491">
        <v>0.5</v>
      </c>
      <c r="K105" s="491">
        <v>0.5</v>
      </c>
      <c r="L105" s="491">
        <v>0.5</v>
      </c>
      <c r="M105" s="491">
        <v>0.5</v>
      </c>
      <c r="N105" s="491">
        <v>0.5</v>
      </c>
      <c r="O105" s="1420"/>
    </row>
    <row r="106" spans="2:15" ht="15.75" x14ac:dyDescent="0.25">
      <c r="B106" s="397"/>
      <c r="C106" s="1414">
        <v>3</v>
      </c>
      <c r="D106" s="1415" t="s">
        <v>694</v>
      </c>
      <c r="E106" s="1415"/>
      <c r="F106" s="491">
        <v>0.1</v>
      </c>
      <c r="G106" s="491">
        <v>0.5</v>
      </c>
      <c r="H106" s="491">
        <v>0.9</v>
      </c>
      <c r="I106" s="491">
        <v>0.9</v>
      </c>
      <c r="J106" s="491">
        <v>0.9</v>
      </c>
      <c r="K106" s="491">
        <v>0.9</v>
      </c>
      <c r="L106" s="491">
        <v>0.9</v>
      </c>
      <c r="M106" s="491">
        <v>0.9</v>
      </c>
      <c r="N106" s="491">
        <v>0.9</v>
      </c>
      <c r="O106" s="1420"/>
    </row>
    <row r="107" spans="2:15" ht="15.75" x14ac:dyDescent="0.25">
      <c r="B107" s="397"/>
      <c r="C107" s="1412">
        <v>4</v>
      </c>
      <c r="D107" s="102" t="s">
        <v>695</v>
      </c>
      <c r="E107" s="102"/>
      <c r="F107" s="187">
        <v>0.1</v>
      </c>
      <c r="G107" s="187">
        <v>0.5</v>
      </c>
      <c r="H107" s="187">
        <v>0.9</v>
      </c>
      <c r="I107" s="187">
        <v>0.9</v>
      </c>
      <c r="J107" s="187">
        <v>0.9</v>
      </c>
      <c r="K107" s="187">
        <v>0.9</v>
      </c>
      <c r="L107" s="187">
        <v>0.9</v>
      </c>
      <c r="M107" s="187">
        <v>0.9</v>
      </c>
      <c r="N107" s="187">
        <v>0.9</v>
      </c>
      <c r="O107" s="1420"/>
    </row>
    <row r="108" spans="2:15" ht="15.75" x14ac:dyDescent="0.25">
      <c r="B108" s="397"/>
      <c r="C108" s="1414"/>
      <c r="D108" s="1415"/>
      <c r="E108" s="1415"/>
      <c r="F108" s="227"/>
      <c r="G108" s="227"/>
      <c r="H108" s="227"/>
      <c r="I108" s="227"/>
      <c r="J108" s="227"/>
      <c r="K108" s="227"/>
      <c r="L108" s="227"/>
      <c r="M108" s="227"/>
      <c r="N108" s="227"/>
      <c r="O108" s="1420"/>
    </row>
    <row r="109" spans="2:15" x14ac:dyDescent="0.2">
      <c r="B109" s="401"/>
      <c r="C109" s="1417" t="s">
        <v>1008</v>
      </c>
      <c r="D109" s="493"/>
      <c r="E109" s="1416"/>
      <c r="F109" s="1416"/>
      <c r="G109" s="1416"/>
      <c r="H109" s="1416"/>
      <c r="I109" s="1416"/>
      <c r="J109" s="1416"/>
      <c r="K109" s="1416"/>
      <c r="L109" s="1416"/>
      <c r="M109" s="1416"/>
      <c r="N109" s="176" t="s">
        <v>734</v>
      </c>
      <c r="O109" s="1420"/>
    </row>
    <row r="110" spans="2:15" ht="5.25" customHeight="1" x14ac:dyDescent="0.2">
      <c r="B110" s="401"/>
      <c r="C110" s="1416"/>
      <c r="D110" s="493"/>
      <c r="E110" s="1416"/>
      <c r="F110" s="1416"/>
      <c r="G110" s="1416"/>
      <c r="H110" s="1416"/>
      <c r="I110" s="1416"/>
      <c r="J110" s="1416"/>
      <c r="K110" s="1416"/>
      <c r="L110" s="1416"/>
      <c r="M110" s="1416"/>
      <c r="N110" s="1416"/>
      <c r="O110" s="1420"/>
    </row>
    <row r="111" spans="2:15" ht="15.75" x14ac:dyDescent="0.25">
      <c r="B111" s="397"/>
      <c r="C111" s="98" t="s">
        <v>595</v>
      </c>
      <c r="D111" s="98" t="s">
        <v>65</v>
      </c>
      <c r="E111" s="98" t="s">
        <v>172</v>
      </c>
      <c r="F111" s="218">
        <v>2010</v>
      </c>
      <c r="G111" s="217">
        <v>2015</v>
      </c>
      <c r="H111" s="217">
        <v>2020</v>
      </c>
      <c r="I111" s="217">
        <v>2025</v>
      </c>
      <c r="J111" s="217">
        <v>2030</v>
      </c>
      <c r="K111" s="217">
        <v>2035</v>
      </c>
      <c r="L111" s="217">
        <v>2040</v>
      </c>
      <c r="M111" s="217">
        <v>2045</v>
      </c>
      <c r="N111" s="217">
        <v>2050</v>
      </c>
      <c r="O111" s="1420"/>
    </row>
    <row r="112" spans="2:15" ht="15.75" x14ac:dyDescent="0.25">
      <c r="B112" s="397"/>
      <c r="C112" s="1414">
        <v>1</v>
      </c>
      <c r="D112" s="1415" t="s">
        <v>987</v>
      </c>
      <c r="E112" s="492"/>
      <c r="F112" s="491">
        <v>0.2</v>
      </c>
      <c r="G112" s="491">
        <v>0.2</v>
      </c>
      <c r="H112" s="491">
        <v>0.2</v>
      </c>
      <c r="I112" s="491">
        <v>0.2</v>
      </c>
      <c r="J112" s="491">
        <v>0.2</v>
      </c>
      <c r="K112" s="491">
        <v>0.2</v>
      </c>
      <c r="L112" s="491">
        <v>0.2</v>
      </c>
      <c r="M112" s="491">
        <v>0.2</v>
      </c>
      <c r="N112" s="491">
        <v>0.2</v>
      </c>
      <c r="O112" s="1420"/>
    </row>
    <row r="113" spans="1:15" ht="15.75" x14ac:dyDescent="0.25">
      <c r="B113" s="397"/>
      <c r="C113" s="1414">
        <v>2</v>
      </c>
      <c r="D113" s="1415" t="s">
        <v>693</v>
      </c>
      <c r="E113" s="1415"/>
      <c r="F113" s="491">
        <v>0.05</v>
      </c>
      <c r="G113" s="491">
        <v>0.06</v>
      </c>
      <c r="H113" s="491">
        <v>7.0000000000000007E-2</v>
      </c>
      <c r="I113" s="491">
        <v>0.08</v>
      </c>
      <c r="J113" s="491">
        <v>9.2145712677534339E-2</v>
      </c>
      <c r="K113" s="491">
        <v>0.1176038741537596</v>
      </c>
      <c r="L113" s="491">
        <v>0.15009565626101368</v>
      </c>
      <c r="M113" s="491">
        <v>0.19156431869726948</v>
      </c>
      <c r="N113" s="491">
        <v>0.24449000798619908</v>
      </c>
      <c r="O113" s="1420"/>
    </row>
    <row r="114" spans="1:15" ht="15.75" x14ac:dyDescent="0.25">
      <c r="B114" s="397"/>
      <c r="C114" s="1414">
        <v>3</v>
      </c>
      <c r="D114" s="1415" t="s">
        <v>694</v>
      </c>
      <c r="E114" s="1415"/>
      <c r="F114" s="491">
        <v>0.05</v>
      </c>
      <c r="G114" s="491">
        <v>0.1</v>
      </c>
      <c r="H114" s="491">
        <v>0.2</v>
      </c>
      <c r="I114" s="491">
        <v>0.25</v>
      </c>
      <c r="J114" s="491">
        <v>0.3</v>
      </c>
      <c r="K114" s="491">
        <v>0.4</v>
      </c>
      <c r="L114" s="491">
        <v>0.5</v>
      </c>
      <c r="M114" s="491">
        <v>0.6</v>
      </c>
      <c r="N114" s="491">
        <v>0.7</v>
      </c>
      <c r="O114" s="1420"/>
    </row>
    <row r="115" spans="1:15" ht="15.75" x14ac:dyDescent="0.25">
      <c r="B115" s="397"/>
      <c r="C115" s="1412">
        <v>4</v>
      </c>
      <c r="D115" s="102" t="s">
        <v>695</v>
      </c>
      <c r="E115" s="102"/>
      <c r="F115" s="187">
        <v>0.05</v>
      </c>
      <c r="G115" s="187">
        <v>0.15</v>
      </c>
      <c r="H115" s="187">
        <v>0.25</v>
      </c>
      <c r="I115" s="187">
        <v>0.3</v>
      </c>
      <c r="J115" s="187">
        <v>0.4</v>
      </c>
      <c r="K115" s="187">
        <v>0.6</v>
      </c>
      <c r="L115" s="187">
        <v>0.7</v>
      </c>
      <c r="M115" s="187">
        <v>0.8</v>
      </c>
      <c r="N115" s="187">
        <v>0.8</v>
      </c>
      <c r="O115" s="1420"/>
    </row>
    <row r="116" spans="1:15" x14ac:dyDescent="0.2">
      <c r="B116" s="401"/>
      <c r="C116" s="1416"/>
      <c r="D116" s="493"/>
      <c r="E116" s="1416"/>
      <c r="F116" s="1416"/>
      <c r="G116" s="1416"/>
      <c r="H116" s="1416"/>
      <c r="I116" s="1416"/>
      <c r="J116" s="1416"/>
      <c r="K116" s="1416"/>
      <c r="L116" s="1416"/>
      <c r="M116" s="1416"/>
      <c r="N116" s="1416"/>
      <c r="O116" s="1420"/>
    </row>
    <row r="117" spans="1:15" x14ac:dyDescent="0.2">
      <c r="B117" s="401"/>
      <c r="C117" s="1417" t="s">
        <v>1037</v>
      </c>
      <c r="D117" s="493"/>
      <c r="E117" s="1416"/>
      <c r="F117" s="1416"/>
      <c r="G117" s="1416"/>
      <c r="H117" s="1416"/>
      <c r="I117" s="1416"/>
      <c r="J117" s="1416"/>
      <c r="K117" s="1416"/>
      <c r="L117" s="1416"/>
      <c r="M117" s="1416"/>
      <c r="N117" s="176" t="s">
        <v>1038</v>
      </c>
      <c r="O117" s="1420"/>
    </row>
    <row r="118" spans="1:15" ht="5.25" customHeight="1" x14ac:dyDescent="0.2">
      <c r="B118" s="401"/>
      <c r="C118" s="1416"/>
      <c r="D118" s="493"/>
      <c r="E118" s="1416"/>
      <c r="F118" s="1416"/>
      <c r="G118" s="1416"/>
      <c r="H118" s="1416"/>
      <c r="I118" s="1416"/>
      <c r="J118" s="1416"/>
      <c r="K118" s="1416"/>
      <c r="L118" s="1416"/>
      <c r="M118" s="1416"/>
      <c r="N118" s="1416"/>
      <c r="O118" s="1420"/>
    </row>
    <row r="119" spans="1:15" ht="15.75" x14ac:dyDescent="0.25">
      <c r="B119" s="397"/>
      <c r="C119" s="98" t="s">
        <v>595</v>
      </c>
      <c r="D119" s="98" t="s">
        <v>65</v>
      </c>
      <c r="E119" s="98" t="s">
        <v>172</v>
      </c>
      <c r="F119" s="218">
        <v>2010</v>
      </c>
      <c r="G119" s="217">
        <v>2015</v>
      </c>
      <c r="H119" s="217">
        <v>2020</v>
      </c>
      <c r="I119" s="217">
        <v>2025</v>
      </c>
      <c r="J119" s="217">
        <v>2030</v>
      </c>
      <c r="K119" s="217">
        <v>2035</v>
      </c>
      <c r="L119" s="217">
        <v>2040</v>
      </c>
      <c r="M119" s="217">
        <v>2045</v>
      </c>
      <c r="N119" s="217">
        <v>2050</v>
      </c>
      <c r="O119" s="1420"/>
    </row>
    <row r="120" spans="1:15" ht="15.75" x14ac:dyDescent="0.25">
      <c r="B120" s="397"/>
      <c r="C120" s="1414">
        <v>1</v>
      </c>
      <c r="D120" s="1415" t="s">
        <v>987</v>
      </c>
      <c r="E120" s="492"/>
      <c r="F120" s="506">
        <v>9.85</v>
      </c>
      <c r="G120" s="506">
        <v>10.35</v>
      </c>
      <c r="H120" s="506">
        <v>10.88</v>
      </c>
      <c r="I120" s="506">
        <v>11.43</v>
      </c>
      <c r="J120" s="506">
        <v>12.01</v>
      </c>
      <c r="K120" s="506">
        <v>12.62</v>
      </c>
      <c r="L120" s="506">
        <v>13.26</v>
      </c>
      <c r="M120" s="506">
        <v>13.94</v>
      </c>
      <c r="N120" s="506">
        <v>14.64</v>
      </c>
      <c r="O120" s="1420"/>
    </row>
    <row r="121" spans="1:15" ht="15.75" x14ac:dyDescent="0.25">
      <c r="B121" s="397"/>
      <c r="C121" s="1414">
        <v>2</v>
      </c>
      <c r="D121" s="1415" t="s">
        <v>693</v>
      </c>
      <c r="E121" s="1415"/>
      <c r="F121" s="506">
        <v>0</v>
      </c>
      <c r="G121" s="506">
        <v>0</v>
      </c>
      <c r="H121" s="506">
        <v>0</v>
      </c>
      <c r="I121" s="506">
        <v>0</v>
      </c>
      <c r="J121" s="506">
        <v>0</v>
      </c>
      <c r="K121" s="506">
        <v>1.2436379999999993E-2</v>
      </c>
      <c r="L121" s="506">
        <v>0.18159432499999983</v>
      </c>
      <c r="M121" s="506">
        <v>0.31537986333333334</v>
      </c>
      <c r="N121" s="506">
        <v>0.3712013616666674</v>
      </c>
      <c r="O121" s="1420"/>
    </row>
    <row r="122" spans="1:15" ht="15.75" x14ac:dyDescent="0.25">
      <c r="B122" s="397"/>
      <c r="C122" s="1414">
        <v>3</v>
      </c>
      <c r="D122" s="1415" t="s">
        <v>694</v>
      </c>
      <c r="E122" s="1415"/>
      <c r="F122" s="506">
        <v>0</v>
      </c>
      <c r="G122" s="506">
        <v>0</v>
      </c>
      <c r="H122" s="506">
        <v>0.3696000000000001</v>
      </c>
      <c r="I122" s="506">
        <v>0.36960000000000015</v>
      </c>
      <c r="J122" s="506">
        <v>0.73919999999999897</v>
      </c>
      <c r="K122" s="506">
        <v>1.2580365599999965</v>
      </c>
      <c r="L122" s="506">
        <v>2.0686226439999986</v>
      </c>
      <c r="M122" s="506">
        <v>3.0189737600000002</v>
      </c>
      <c r="N122" s="506">
        <v>3.5673428559999878</v>
      </c>
      <c r="O122" s="1420"/>
    </row>
    <row r="123" spans="1:15" ht="15.75" x14ac:dyDescent="0.25">
      <c r="B123" s="397"/>
      <c r="C123" s="1412">
        <v>4</v>
      </c>
      <c r="D123" s="102" t="s">
        <v>695</v>
      </c>
      <c r="E123" s="102"/>
      <c r="F123" s="726">
        <v>0</v>
      </c>
      <c r="G123" s="726">
        <v>0</v>
      </c>
      <c r="H123" s="726">
        <v>0.3696000000000001</v>
      </c>
      <c r="I123" s="726">
        <v>0.36960000000000015</v>
      </c>
      <c r="J123" s="726">
        <v>0.73919999999999897</v>
      </c>
      <c r="K123" s="726">
        <v>1.3067871695999984</v>
      </c>
      <c r="L123" s="726">
        <v>2.567825419866665</v>
      </c>
      <c r="M123" s="726">
        <v>3.8578103314666636</v>
      </c>
      <c r="N123" s="726">
        <v>4.5288289243999769</v>
      </c>
      <c r="O123" s="1420"/>
    </row>
    <row r="124" spans="1:15" x14ac:dyDescent="0.2">
      <c r="B124" s="401"/>
      <c r="C124" s="1416"/>
      <c r="D124" s="493"/>
      <c r="E124" s="1416"/>
      <c r="F124" s="1416"/>
      <c r="G124" s="1416"/>
      <c r="H124" s="1416"/>
      <c r="I124" s="1416"/>
      <c r="J124" s="1416"/>
      <c r="K124" s="1416"/>
      <c r="L124" s="1416"/>
      <c r="M124" s="1416"/>
      <c r="N124" s="1416"/>
      <c r="O124" s="1420"/>
    </row>
    <row r="126" spans="1:15" s="84" customFormat="1" ht="22.5" collapsed="1" x14ac:dyDescent="0.2">
      <c r="A126" s="408"/>
      <c r="B126" s="1423" t="s">
        <v>315</v>
      </c>
      <c r="C126" s="405"/>
      <c r="D126" s="405"/>
      <c r="E126" s="405"/>
      <c r="F126" s="405"/>
      <c r="G126" s="405"/>
      <c r="H126" s="405"/>
      <c r="I126" s="405"/>
      <c r="J126" s="405"/>
      <c r="K126" s="405"/>
      <c r="L126" s="405"/>
      <c r="M126" s="405"/>
      <c r="N126" s="405"/>
      <c r="O126" s="405"/>
    </row>
    <row r="127" spans="1:15" x14ac:dyDescent="0.2">
      <c r="B127" s="1419"/>
      <c r="C127" s="1416"/>
      <c r="D127" s="1416"/>
      <c r="E127" s="1416"/>
      <c r="F127" s="1416"/>
      <c r="G127" s="1416"/>
      <c r="H127" s="1416"/>
      <c r="I127" s="1416"/>
      <c r="J127" s="1416"/>
      <c r="K127" s="1416"/>
      <c r="L127" s="1416"/>
      <c r="M127" s="1416"/>
      <c r="N127" s="1416"/>
      <c r="O127" s="1416"/>
    </row>
    <row r="128" spans="1:15" x14ac:dyDescent="0.2">
      <c r="B128" s="1419"/>
      <c r="C128" s="1417" t="s">
        <v>702</v>
      </c>
      <c r="D128" s="1416"/>
      <c r="E128" s="490"/>
      <c r="F128" s="176" t="s">
        <v>703</v>
      </c>
      <c r="G128" s="1416"/>
      <c r="H128" s="1416"/>
      <c r="I128" s="1416"/>
      <c r="J128" s="1416"/>
      <c r="K128" s="1416"/>
      <c r="L128" s="1416"/>
      <c r="M128" s="1416"/>
      <c r="N128" s="1416"/>
      <c r="O128" s="1416"/>
    </row>
    <row r="129" spans="2:15" ht="6" customHeight="1" x14ac:dyDescent="0.2">
      <c r="B129" s="1419"/>
      <c r="C129" s="1416"/>
      <c r="D129" s="1416"/>
      <c r="E129" s="1416"/>
      <c r="F129" s="1416"/>
      <c r="G129" s="1416"/>
      <c r="H129" s="1416"/>
      <c r="I129" s="1416"/>
      <c r="J129" s="1416"/>
      <c r="K129" s="1416"/>
      <c r="L129" s="1416"/>
      <c r="M129" s="1416"/>
      <c r="N129" s="1416"/>
      <c r="O129" s="1416"/>
    </row>
    <row r="130" spans="2:15" ht="15.75" x14ac:dyDescent="0.25">
      <c r="B130" s="397"/>
      <c r="C130" s="98" t="s">
        <v>657</v>
      </c>
      <c r="D130" s="98" t="s">
        <v>65</v>
      </c>
      <c r="E130" s="98"/>
      <c r="F130" s="103">
        <v>2010</v>
      </c>
      <c r="G130" s="1416"/>
      <c r="H130" s="1416"/>
      <c r="I130" s="1416"/>
      <c r="J130" s="1416"/>
      <c r="K130" s="1416"/>
      <c r="L130" s="1416"/>
      <c r="M130" s="1416"/>
      <c r="N130" s="1416"/>
      <c r="O130" s="1416"/>
    </row>
    <row r="131" spans="2:15" ht="15.75" x14ac:dyDescent="0.25">
      <c r="B131" s="397"/>
      <c r="C131" s="1414">
        <v>1</v>
      </c>
      <c r="D131" s="1415" t="s">
        <v>698</v>
      </c>
      <c r="E131" s="488"/>
      <c r="F131" s="206">
        <v>1954</v>
      </c>
      <c r="G131" s="1416"/>
      <c r="H131" s="1416"/>
      <c r="I131" s="1416"/>
      <c r="J131" s="1416"/>
      <c r="K131" s="1416"/>
      <c r="L131" s="1416"/>
      <c r="M131" s="1416"/>
      <c r="N131" s="1416"/>
      <c r="O131" s="1416"/>
    </row>
    <row r="132" spans="2:15" ht="15.75" x14ac:dyDescent="0.25">
      <c r="B132" s="397"/>
      <c r="C132" s="1414">
        <v>2</v>
      </c>
      <c r="D132" s="1415" t="s">
        <v>699</v>
      </c>
      <c r="E132" s="1415"/>
      <c r="F132" s="206">
        <v>167667</v>
      </c>
      <c r="G132" s="1416"/>
      <c r="H132" s="1416"/>
      <c r="I132" s="1416"/>
      <c r="J132" s="1416"/>
      <c r="K132" s="1416"/>
      <c r="L132" s="1416"/>
      <c r="M132" s="1416"/>
      <c r="N132" s="1416"/>
      <c r="O132" s="1416"/>
    </row>
    <row r="133" spans="2:15" ht="15.75" x14ac:dyDescent="0.25">
      <c r="B133" s="397"/>
      <c r="C133" s="1412">
        <v>3</v>
      </c>
      <c r="D133" s="102" t="s">
        <v>704</v>
      </c>
      <c r="E133" s="102"/>
      <c r="F133" s="683">
        <v>49594</v>
      </c>
      <c r="G133" s="1416"/>
      <c r="H133" s="1416"/>
      <c r="I133" s="1416"/>
      <c r="J133" s="1416"/>
      <c r="K133" s="1416"/>
      <c r="L133" s="1416"/>
      <c r="M133" s="1416"/>
      <c r="N133" s="1416"/>
      <c r="O133" s="1416"/>
    </row>
    <row r="134" spans="2:15" x14ac:dyDescent="0.2">
      <c r="B134" s="1419"/>
      <c r="C134" s="1416"/>
      <c r="D134" s="1416"/>
      <c r="E134" s="1416"/>
      <c r="F134" s="1416"/>
      <c r="G134" s="1416"/>
      <c r="H134" s="1416"/>
      <c r="I134" s="1416"/>
      <c r="J134" s="1416"/>
      <c r="K134" s="1416"/>
      <c r="L134" s="1416"/>
      <c r="M134" s="1416"/>
      <c r="N134" s="1416"/>
      <c r="O134" s="1416"/>
    </row>
    <row r="135" spans="2:15" x14ac:dyDescent="0.2">
      <c r="B135" s="1419"/>
      <c r="C135" s="1417" t="s">
        <v>705</v>
      </c>
      <c r="D135" s="1416"/>
      <c r="E135" s="1416"/>
      <c r="F135" s="1416"/>
      <c r="G135" s="1416"/>
      <c r="H135" s="1416"/>
      <c r="I135" s="1416"/>
      <c r="J135" s="1416"/>
      <c r="K135" s="1416"/>
      <c r="L135" s="1416"/>
      <c r="M135" s="1416"/>
      <c r="N135" s="1416"/>
      <c r="O135" s="1416"/>
    </row>
    <row r="136" spans="2:15" ht="5.25" customHeight="1" x14ac:dyDescent="0.2">
      <c r="B136" s="1419"/>
      <c r="C136" s="1416"/>
      <c r="D136" s="1416"/>
      <c r="E136" s="1416"/>
      <c r="F136" s="1416"/>
      <c r="G136" s="1416"/>
      <c r="H136" s="1416"/>
      <c r="I136" s="1416"/>
      <c r="J136" s="1416"/>
      <c r="K136" s="1416"/>
      <c r="L136" s="1416"/>
      <c r="M136" s="1416"/>
      <c r="N136" s="1416"/>
      <c r="O136" s="1416"/>
    </row>
    <row r="137" spans="2:15" ht="15.75" x14ac:dyDescent="0.25">
      <c r="B137" s="397"/>
      <c r="C137" s="98" t="s">
        <v>657</v>
      </c>
      <c r="D137" s="98" t="s">
        <v>65</v>
      </c>
      <c r="E137" s="98" t="s">
        <v>574</v>
      </c>
      <c r="F137" s="103">
        <v>2010</v>
      </c>
      <c r="G137" s="1416"/>
      <c r="H137" s="1416"/>
      <c r="I137" s="1416"/>
      <c r="J137" s="1416"/>
      <c r="K137" s="1416"/>
      <c r="L137" s="1416"/>
      <c r="M137" s="1416"/>
      <c r="N137" s="1416"/>
      <c r="O137" s="1416"/>
    </row>
    <row r="138" spans="2:15" ht="15.75" x14ac:dyDescent="0.25">
      <c r="B138" s="397"/>
      <c r="C138" s="1414" t="s">
        <v>696</v>
      </c>
      <c r="D138" s="1415" t="s">
        <v>24</v>
      </c>
      <c r="E138" s="488" t="s">
        <v>996</v>
      </c>
      <c r="F138" s="208">
        <v>9.6999999999999993</v>
      </c>
      <c r="G138" s="1416"/>
      <c r="H138" s="1416"/>
      <c r="I138" s="1416"/>
      <c r="J138" s="1416"/>
      <c r="K138" s="1416"/>
      <c r="L138" s="1416"/>
      <c r="M138" s="1416"/>
      <c r="N138" s="1416"/>
      <c r="O138" s="1416"/>
    </row>
    <row r="139" spans="2:15" ht="15.75" x14ac:dyDescent="0.25">
      <c r="B139" s="397"/>
      <c r="C139" s="1414" t="s">
        <v>696</v>
      </c>
      <c r="D139" s="1415" t="s">
        <v>997</v>
      </c>
      <c r="E139" s="488" t="s">
        <v>996</v>
      </c>
      <c r="F139" s="208">
        <v>3</v>
      </c>
      <c r="G139" s="1416"/>
      <c r="H139" s="1416"/>
      <c r="I139" s="1416"/>
      <c r="J139" s="1416"/>
      <c r="K139" s="1416"/>
      <c r="L139" s="1416"/>
      <c r="M139" s="1416"/>
      <c r="N139" s="1416"/>
      <c r="O139" s="1416"/>
    </row>
    <row r="140" spans="2:15" ht="15.75" x14ac:dyDescent="0.25">
      <c r="B140" s="397"/>
      <c r="C140" s="1414" t="s">
        <v>696</v>
      </c>
      <c r="D140" s="1415" t="s">
        <v>1014</v>
      </c>
      <c r="E140" s="1415" t="s">
        <v>996</v>
      </c>
      <c r="F140" s="206">
        <v>10.3</v>
      </c>
      <c r="G140" s="1416"/>
      <c r="H140" s="1416"/>
      <c r="I140" s="1416"/>
      <c r="J140" s="1416"/>
      <c r="K140" s="1416"/>
      <c r="L140" s="1416"/>
      <c r="M140" s="1416"/>
      <c r="N140" s="1416"/>
      <c r="O140" s="1416"/>
    </row>
    <row r="141" spans="2:15" ht="15.75" x14ac:dyDescent="0.25">
      <c r="B141" s="397"/>
      <c r="C141" s="1416" t="s">
        <v>41</v>
      </c>
      <c r="D141" s="1416" t="s">
        <v>706</v>
      </c>
      <c r="E141" s="1415" t="s">
        <v>996</v>
      </c>
      <c r="F141" s="692">
        <v>3.3</v>
      </c>
      <c r="G141" s="1416"/>
      <c r="H141" s="1416"/>
      <c r="I141" s="1416"/>
      <c r="J141" s="1416"/>
      <c r="K141" s="1416"/>
      <c r="L141" s="1416"/>
      <c r="M141" s="1416"/>
      <c r="N141" s="1416"/>
      <c r="O141" s="1416"/>
    </row>
    <row r="142" spans="2:15" ht="15.75" x14ac:dyDescent="0.25">
      <c r="B142" s="397"/>
      <c r="C142" s="1416" t="s">
        <v>41</v>
      </c>
      <c r="D142" s="1416" t="s">
        <v>707</v>
      </c>
      <c r="E142" s="1415" t="s">
        <v>996</v>
      </c>
      <c r="F142" s="692">
        <v>1.7</v>
      </c>
      <c r="G142" s="1416"/>
      <c r="H142" s="1416"/>
      <c r="I142" s="1416"/>
      <c r="J142" s="1416"/>
      <c r="K142" s="1416"/>
      <c r="L142" s="1416"/>
      <c r="M142" s="1416"/>
      <c r="N142" s="1416"/>
      <c r="O142" s="1416"/>
    </row>
    <row r="143" spans="2:15" ht="15.75" x14ac:dyDescent="0.25">
      <c r="B143" s="397"/>
      <c r="C143" s="1416" t="s">
        <v>41</v>
      </c>
      <c r="D143" s="1416" t="s">
        <v>998</v>
      </c>
      <c r="E143" s="1416" t="s">
        <v>709</v>
      </c>
      <c r="F143" s="692">
        <v>0.36499999999999999</v>
      </c>
      <c r="G143" s="1416"/>
      <c r="H143" s="1416"/>
      <c r="I143" s="1416"/>
      <c r="J143" s="1416"/>
      <c r="K143" s="1416"/>
      <c r="L143" s="1416"/>
      <c r="M143" s="1416"/>
      <c r="N143" s="1416"/>
      <c r="O143" s="1416"/>
    </row>
    <row r="144" spans="2:15" ht="15.75" x14ac:dyDescent="0.25">
      <c r="B144" s="397"/>
      <c r="C144" s="1416" t="s">
        <v>710</v>
      </c>
      <c r="D144" s="1416" t="s">
        <v>711</v>
      </c>
      <c r="E144" s="1416" t="s">
        <v>712</v>
      </c>
      <c r="F144" s="691">
        <v>70</v>
      </c>
      <c r="G144" s="1416"/>
      <c r="H144" s="1416"/>
      <c r="I144" s="1416"/>
      <c r="J144" s="1416"/>
      <c r="K144" s="1416"/>
      <c r="L144" s="1416"/>
      <c r="M144" s="1416"/>
      <c r="N144" s="1416"/>
      <c r="O144" s="1416"/>
    </row>
    <row r="145" spans="2:15" ht="15.75" x14ac:dyDescent="0.25">
      <c r="B145" s="397"/>
      <c r="C145" s="1416" t="s">
        <v>710</v>
      </c>
      <c r="D145" s="1416" t="s">
        <v>713</v>
      </c>
      <c r="E145" s="1416" t="s">
        <v>714</v>
      </c>
      <c r="F145" s="692">
        <v>1.7</v>
      </c>
      <c r="G145" s="1416"/>
      <c r="H145" s="1416"/>
      <c r="I145" s="1416"/>
      <c r="J145" s="1416"/>
      <c r="K145" s="1416"/>
      <c r="L145" s="1416"/>
      <c r="M145" s="1416"/>
      <c r="N145" s="1416"/>
      <c r="O145" s="1416"/>
    </row>
    <row r="146" spans="2:15" ht="15.75" x14ac:dyDescent="0.25">
      <c r="B146" s="397"/>
      <c r="C146" s="1416" t="s">
        <v>710</v>
      </c>
      <c r="D146" s="1416" t="s">
        <v>715</v>
      </c>
      <c r="E146" s="1416" t="s">
        <v>716</v>
      </c>
      <c r="F146" s="691">
        <v>6913</v>
      </c>
      <c r="G146" s="1416"/>
      <c r="H146" s="1416"/>
      <c r="I146" s="1416"/>
      <c r="J146" s="1416"/>
      <c r="K146" s="1416"/>
      <c r="L146" s="1416"/>
      <c r="M146" s="1416"/>
      <c r="N146" s="1416"/>
      <c r="O146" s="1416"/>
    </row>
    <row r="147" spans="2:15" ht="15.75" x14ac:dyDescent="0.25">
      <c r="B147" s="397"/>
      <c r="C147" s="524" t="s">
        <v>710</v>
      </c>
      <c r="D147" s="524" t="s">
        <v>717</v>
      </c>
      <c r="E147" s="524" t="s">
        <v>718</v>
      </c>
      <c r="F147" s="693">
        <v>298</v>
      </c>
      <c r="G147" s="1416"/>
      <c r="H147" s="1416"/>
      <c r="I147" s="1416"/>
      <c r="J147" s="1416"/>
      <c r="K147" s="1416"/>
      <c r="L147" s="1416"/>
      <c r="M147" s="1416"/>
      <c r="N147" s="1416"/>
      <c r="O147" s="1416"/>
    </row>
    <row r="148" spans="2:15" x14ac:dyDescent="0.2">
      <c r="B148" s="1419"/>
      <c r="C148" s="1416"/>
      <c r="D148" s="1416"/>
      <c r="E148" s="1416"/>
      <c r="F148" s="1416"/>
      <c r="G148" s="1416"/>
      <c r="H148" s="1416"/>
      <c r="I148" s="1416"/>
      <c r="J148" s="1416"/>
      <c r="K148" s="1416"/>
      <c r="L148" s="1416"/>
      <c r="M148" s="1416"/>
      <c r="N148" s="1416"/>
      <c r="O148" s="1416"/>
    </row>
    <row r="149" spans="2:15" x14ac:dyDescent="0.2">
      <c r="B149" s="1419"/>
      <c r="C149" s="1417" t="s">
        <v>1009</v>
      </c>
      <c r="D149" s="1416"/>
      <c r="E149" s="490"/>
      <c r="F149" s="176"/>
      <c r="G149" s="1416"/>
      <c r="H149" s="1416"/>
      <c r="I149" s="1416"/>
      <c r="J149" s="1416"/>
      <c r="K149" s="1416"/>
      <c r="L149" s="1416"/>
      <c r="M149" s="1416"/>
      <c r="N149" s="1416"/>
      <c r="O149" s="1416"/>
    </row>
    <row r="150" spans="2:15" ht="5.25" customHeight="1" x14ac:dyDescent="0.2">
      <c r="B150" s="1419"/>
      <c r="C150" s="1416"/>
      <c r="D150" s="1416"/>
      <c r="E150" s="1416"/>
      <c r="F150" s="1416"/>
      <c r="G150" s="1416"/>
      <c r="H150" s="1416"/>
      <c r="I150" s="1416"/>
      <c r="J150" s="1416"/>
      <c r="K150" s="1416"/>
      <c r="L150" s="1416"/>
      <c r="M150" s="1416"/>
      <c r="N150" s="1416"/>
      <c r="O150" s="1416"/>
    </row>
    <row r="151" spans="2:15" ht="15.75" x14ac:dyDescent="0.25">
      <c r="B151" s="397"/>
      <c r="C151" s="98" t="s">
        <v>657</v>
      </c>
      <c r="D151" s="98" t="s">
        <v>65</v>
      </c>
      <c r="E151" s="98" t="s">
        <v>574</v>
      </c>
      <c r="F151" s="103">
        <v>2010</v>
      </c>
      <c r="G151" s="1416"/>
      <c r="H151" s="1416"/>
      <c r="I151" s="1416"/>
      <c r="J151" s="1416"/>
      <c r="K151" s="1416"/>
      <c r="L151" s="1416"/>
      <c r="M151" s="1416"/>
      <c r="N151" s="1416"/>
      <c r="O151" s="1416"/>
    </row>
    <row r="152" spans="2:15" ht="15.75" x14ac:dyDescent="0.25">
      <c r="B152" s="397"/>
      <c r="C152" s="1414" t="s">
        <v>474</v>
      </c>
      <c r="D152" s="1415" t="s">
        <v>721</v>
      </c>
      <c r="E152" s="488" t="s">
        <v>1011</v>
      </c>
      <c r="F152" s="208">
        <f>15561/(F$131+F$133)*1000</f>
        <v>301.87398153177617</v>
      </c>
      <c r="G152" s="208"/>
      <c r="H152" s="1416"/>
      <c r="I152" s="1416"/>
      <c r="J152" s="1416"/>
      <c r="K152" s="1416"/>
      <c r="L152" s="1416"/>
      <c r="M152" s="1416"/>
      <c r="N152" s="1416"/>
      <c r="O152" s="1416"/>
    </row>
    <row r="153" spans="2:15" ht="15.75" x14ac:dyDescent="0.25">
      <c r="B153" s="397"/>
      <c r="C153" s="199" t="s">
        <v>474</v>
      </c>
      <c r="D153" s="200" t="s">
        <v>722</v>
      </c>
      <c r="E153" s="200" t="s">
        <v>1012</v>
      </c>
      <c r="F153" s="684">
        <f>1000*(4556.87)/((F$131+F$133)*F$143*F$185)</f>
        <v>484.38641043166575</v>
      </c>
      <c r="G153" s="1416"/>
      <c r="H153" s="1416"/>
      <c r="I153" s="1416"/>
      <c r="J153" s="1416"/>
      <c r="K153" s="1416"/>
      <c r="L153" s="1416"/>
      <c r="M153" s="1416"/>
      <c r="N153" s="1416"/>
      <c r="O153" s="1416"/>
    </row>
    <row r="154" spans="2:15" x14ac:dyDescent="0.2">
      <c r="B154" s="1419"/>
      <c r="C154" s="1416"/>
      <c r="D154" s="1416"/>
      <c r="E154" s="1416"/>
      <c r="F154" s="1416"/>
      <c r="G154" s="1416"/>
      <c r="H154" s="1416"/>
      <c r="I154" s="1416"/>
      <c r="J154" s="1416"/>
      <c r="K154" s="1416"/>
      <c r="L154" s="1416"/>
      <c r="M154" s="1416"/>
      <c r="N154" s="1416"/>
      <c r="O154" s="1416"/>
    </row>
    <row r="155" spans="2:15" x14ac:dyDescent="0.2">
      <c r="B155" s="1419"/>
      <c r="C155" s="1417" t="s">
        <v>1010</v>
      </c>
      <c r="D155" s="1416"/>
      <c r="E155" s="490"/>
      <c r="F155" s="176"/>
      <c r="G155" s="1416"/>
      <c r="H155" s="1416"/>
      <c r="I155" s="1416"/>
      <c r="J155" s="1416"/>
      <c r="K155" s="1416"/>
      <c r="L155" s="1416"/>
      <c r="M155" s="1416"/>
      <c r="N155" s="1416"/>
      <c r="O155" s="1416"/>
    </row>
    <row r="156" spans="2:15" ht="3" customHeight="1" x14ac:dyDescent="0.2">
      <c r="B156" s="1419"/>
      <c r="C156" s="1416"/>
      <c r="D156" s="1416"/>
      <c r="E156" s="1416"/>
      <c r="F156" s="1416"/>
      <c r="G156" s="1416"/>
      <c r="H156" s="1416"/>
      <c r="I156" s="1416"/>
      <c r="J156" s="1416"/>
      <c r="K156" s="1416"/>
      <c r="L156" s="1416"/>
      <c r="M156" s="1416"/>
      <c r="N156" s="1416"/>
      <c r="O156" s="1416"/>
    </row>
    <row r="157" spans="2:15" ht="15.75" x14ac:dyDescent="0.25">
      <c r="B157" s="397"/>
      <c r="C157" s="98" t="s">
        <v>657</v>
      </c>
      <c r="D157" s="98" t="s">
        <v>65</v>
      </c>
      <c r="E157" s="98" t="s">
        <v>574</v>
      </c>
      <c r="F157" s="103">
        <v>2010</v>
      </c>
      <c r="G157" s="1416"/>
      <c r="H157" s="1416"/>
      <c r="I157" s="1416"/>
      <c r="J157" s="1416"/>
      <c r="K157" s="1416"/>
      <c r="L157" s="1416"/>
      <c r="M157" s="1416"/>
      <c r="N157" s="1416"/>
      <c r="O157" s="1416"/>
    </row>
    <row r="158" spans="2:15" ht="15.75" x14ac:dyDescent="0.25">
      <c r="B158" s="397"/>
      <c r="C158" s="121" t="s">
        <v>475</v>
      </c>
      <c r="D158" s="122" t="s">
        <v>1157</v>
      </c>
      <c r="E158" s="230" t="s">
        <v>493</v>
      </c>
      <c r="F158" s="1040">
        <v>23.28</v>
      </c>
      <c r="G158" s="1416"/>
      <c r="H158" s="1416"/>
      <c r="I158" s="1416"/>
      <c r="J158" s="1416"/>
      <c r="K158" s="1416"/>
      <c r="L158" s="1416"/>
      <c r="M158" s="1416"/>
      <c r="N158" s="1416"/>
      <c r="O158" s="1416"/>
    </row>
    <row r="159" spans="2:15" x14ac:dyDescent="0.2">
      <c r="B159" s="1419"/>
      <c r="C159" s="1416"/>
      <c r="D159" s="1416"/>
      <c r="E159" s="1416"/>
      <c r="F159" s="1416"/>
      <c r="G159" s="1416"/>
      <c r="H159" s="1416"/>
      <c r="I159" s="1416"/>
      <c r="J159" s="1416"/>
      <c r="K159" s="1416"/>
      <c r="L159" s="1416"/>
      <c r="M159" s="1416"/>
      <c r="N159" s="1416"/>
      <c r="O159" s="1416"/>
    </row>
    <row r="160" spans="2:15" x14ac:dyDescent="0.2">
      <c r="B160" s="1419"/>
      <c r="C160" s="1417" t="s">
        <v>1130</v>
      </c>
      <c r="D160" s="1416"/>
      <c r="E160" s="1416"/>
      <c r="F160" s="176" t="str">
        <f>"Mt CO2e / " &amp; Preferences.AreaUnits</f>
        <v>Mt CO2e / km^2</v>
      </c>
      <c r="G160" s="1416"/>
      <c r="H160" s="1416"/>
      <c r="I160" s="1416"/>
      <c r="J160" s="1416"/>
      <c r="K160" s="1416"/>
      <c r="L160" s="1416"/>
      <c r="M160" s="1416"/>
      <c r="N160" s="1416"/>
      <c r="O160" s="1416"/>
    </row>
    <row r="161" spans="2:15" ht="5.25" customHeight="1" x14ac:dyDescent="0.2">
      <c r="B161" s="1419"/>
      <c r="C161" s="1416"/>
      <c r="D161" s="1416"/>
      <c r="E161" s="1416"/>
      <c r="F161" s="1416"/>
      <c r="G161" s="1416"/>
      <c r="H161" s="1416"/>
      <c r="I161" s="1416"/>
      <c r="J161" s="1416"/>
      <c r="K161" s="1416"/>
      <c r="L161" s="1416"/>
      <c r="M161" s="1416"/>
      <c r="N161" s="1416"/>
      <c r="O161" s="1416"/>
    </row>
    <row r="162" spans="2:15" ht="15.75" x14ac:dyDescent="0.25">
      <c r="B162" s="397"/>
      <c r="C162" s="98" t="s">
        <v>490</v>
      </c>
      <c r="D162" s="98" t="s">
        <v>65</v>
      </c>
      <c r="E162" s="98" t="s">
        <v>172</v>
      </c>
      <c r="F162" s="103">
        <v>2010</v>
      </c>
      <c r="G162" s="1416"/>
      <c r="H162" s="1416"/>
      <c r="I162" s="1416"/>
      <c r="J162" s="1416"/>
      <c r="K162" s="1416"/>
      <c r="L162" s="1416"/>
      <c r="M162" s="1416"/>
      <c r="N162" s="1416"/>
      <c r="O162" s="1416"/>
    </row>
    <row r="163" spans="2:15" ht="15.75" x14ac:dyDescent="0.25">
      <c r="B163" s="397"/>
      <c r="C163" s="1414" t="s">
        <v>1125</v>
      </c>
      <c r="D163" s="1415" t="s">
        <v>1126</v>
      </c>
      <c r="E163" s="488"/>
      <c r="F163" s="160">
        <f>15.28835/(F$20+F$21)</f>
        <v>4.1374971854404998E-4</v>
      </c>
      <c r="G163" s="1416"/>
      <c r="H163" s="1416"/>
      <c r="I163" s="1416"/>
      <c r="J163" s="1416"/>
      <c r="K163" s="1416"/>
      <c r="L163" s="1416"/>
      <c r="M163" s="1416"/>
      <c r="N163" s="1416"/>
      <c r="O163" s="1416"/>
    </row>
    <row r="164" spans="2:15" ht="15.75" x14ac:dyDescent="0.25">
      <c r="B164" s="397"/>
      <c r="C164" s="199" t="s">
        <v>1127</v>
      </c>
      <c r="D164" s="200" t="s">
        <v>1128</v>
      </c>
      <c r="E164" s="531"/>
      <c r="F164" s="201">
        <f>-7.96705/F$24</f>
        <v>-8.6245139472248446E-5</v>
      </c>
      <c r="G164" s="1416"/>
      <c r="H164" s="1416"/>
      <c r="I164" s="1416"/>
      <c r="J164" s="1416"/>
      <c r="K164" s="1416"/>
      <c r="L164" s="1416"/>
      <c r="M164" s="1416"/>
      <c r="N164" s="1416"/>
      <c r="O164" s="1416"/>
    </row>
    <row r="165" spans="2:15" ht="15.75" x14ac:dyDescent="0.25">
      <c r="B165" s="397"/>
      <c r="C165" s="1414"/>
      <c r="D165" s="1415"/>
      <c r="E165" s="488"/>
      <c r="F165" s="160"/>
      <c r="G165" s="1416"/>
      <c r="H165" s="1416"/>
      <c r="I165" s="1416"/>
      <c r="J165" s="1416"/>
      <c r="K165" s="1416"/>
      <c r="L165" s="1416"/>
      <c r="M165" s="1416"/>
      <c r="N165" s="1416"/>
      <c r="O165" s="1416"/>
    </row>
    <row r="166" spans="2:15" ht="15.75" x14ac:dyDescent="0.25">
      <c r="B166" s="397"/>
      <c r="C166" s="1417" t="s">
        <v>1131</v>
      </c>
      <c r="D166" s="1416"/>
      <c r="E166" s="1416"/>
      <c r="F166" s="176" t="str">
        <f>"Mt CO2e / " &amp; Preferences.AreaUnits</f>
        <v>Mt CO2e / km^2</v>
      </c>
      <c r="G166" s="1416"/>
      <c r="H166" s="1416"/>
      <c r="I166" s="1416"/>
      <c r="J166" s="1416"/>
      <c r="K166" s="1416"/>
      <c r="L166" s="1416"/>
      <c r="M166" s="1416"/>
      <c r="N166" s="1416"/>
      <c r="O166" s="1416"/>
    </row>
    <row r="167" spans="2:15" ht="5.25" customHeight="1" x14ac:dyDescent="0.25">
      <c r="B167" s="397"/>
      <c r="C167" s="1416"/>
      <c r="D167" s="1416"/>
      <c r="E167" s="1416"/>
      <c r="F167" s="1416"/>
      <c r="G167" s="1416"/>
      <c r="H167" s="1416"/>
      <c r="I167" s="1416"/>
      <c r="J167" s="1416"/>
      <c r="K167" s="1416"/>
      <c r="L167" s="1416"/>
      <c r="M167" s="1416"/>
      <c r="N167" s="1416"/>
      <c r="O167" s="1416"/>
    </row>
    <row r="168" spans="2:15" ht="15.75" x14ac:dyDescent="0.25">
      <c r="B168" s="397"/>
      <c r="C168" s="98" t="s">
        <v>490</v>
      </c>
      <c r="D168" s="98" t="s">
        <v>65</v>
      </c>
      <c r="E168" s="98" t="s">
        <v>172</v>
      </c>
      <c r="F168" s="103">
        <v>2010</v>
      </c>
      <c r="G168" s="1416"/>
      <c r="H168" s="1416"/>
      <c r="I168" s="1416"/>
      <c r="J168" s="1416"/>
      <c r="K168" s="1416"/>
      <c r="L168" s="1416"/>
      <c r="M168" s="1416"/>
      <c r="N168" s="1416"/>
      <c r="O168" s="1416"/>
    </row>
    <row r="169" spans="2:15" ht="15.75" x14ac:dyDescent="0.25">
      <c r="B169" s="397"/>
      <c r="C169" s="1077" t="s">
        <v>1129</v>
      </c>
      <c r="D169" s="1077" t="s">
        <v>691</v>
      </c>
      <c r="E169" s="1077"/>
      <c r="F169" s="1078">
        <f>6.32981</f>
        <v>6.3298100000000002</v>
      </c>
      <c r="G169" s="1416"/>
      <c r="H169" s="1416"/>
      <c r="I169" s="1416"/>
      <c r="J169" s="1416"/>
      <c r="K169" s="1416"/>
      <c r="L169" s="1416"/>
      <c r="M169" s="1416"/>
      <c r="N169" s="1416"/>
      <c r="O169" s="1416"/>
    </row>
    <row r="170" spans="2:15" ht="15.75" x14ac:dyDescent="0.25">
      <c r="B170" s="397"/>
      <c r="C170" s="524" t="s">
        <v>1133</v>
      </c>
      <c r="D170" s="524" t="s">
        <v>102</v>
      </c>
      <c r="E170" s="524"/>
      <c r="F170" s="955">
        <v>-1.29274</v>
      </c>
      <c r="G170" s="1416"/>
      <c r="H170" s="1416"/>
      <c r="I170" s="1416"/>
      <c r="J170" s="1416"/>
      <c r="K170" s="1416"/>
      <c r="L170" s="1416"/>
      <c r="M170" s="1416"/>
      <c r="N170" s="1416"/>
      <c r="O170" s="1416"/>
    </row>
    <row r="171" spans="2:15" x14ac:dyDescent="0.2">
      <c r="B171" s="1419"/>
      <c r="C171" s="1416"/>
      <c r="D171" s="1416"/>
      <c r="E171" s="1416"/>
      <c r="F171" s="1416"/>
      <c r="G171" s="1416"/>
      <c r="H171" s="1416"/>
      <c r="I171" s="1416"/>
      <c r="J171" s="1416"/>
      <c r="K171" s="1416"/>
      <c r="L171" s="1416"/>
      <c r="M171" s="1416"/>
      <c r="N171" s="1416"/>
      <c r="O171" s="1416"/>
    </row>
    <row r="172" spans="2:15" x14ac:dyDescent="0.2">
      <c r="B172" s="1419"/>
      <c r="C172" s="1417" t="s">
        <v>1013</v>
      </c>
      <c r="D172" s="1416"/>
      <c r="E172" s="1416"/>
      <c r="F172" s="176" t="str">
        <f>Preferences.EnergyUnits &amp; " / million odt"</f>
        <v>TWh / million odt</v>
      </c>
      <c r="G172" s="1416"/>
      <c r="H172" s="1416"/>
      <c r="I172" s="1416"/>
      <c r="J172" s="1416"/>
      <c r="K172" s="1416"/>
      <c r="L172" s="1416"/>
      <c r="M172" s="1416"/>
      <c r="N172" s="1416"/>
      <c r="O172" s="1416"/>
    </row>
    <row r="173" spans="2:15" ht="5.25" customHeight="1" x14ac:dyDescent="0.2">
      <c r="B173" s="1419"/>
      <c r="C173" s="1416"/>
      <c r="D173" s="1416"/>
      <c r="E173" s="1416"/>
      <c r="F173" s="1416"/>
      <c r="G173" s="1416"/>
      <c r="H173" s="1416"/>
      <c r="I173" s="1416"/>
      <c r="J173" s="1416"/>
      <c r="K173" s="1416"/>
      <c r="L173" s="1416"/>
      <c r="M173" s="1416"/>
      <c r="N173" s="1416"/>
      <c r="O173" s="1416"/>
    </row>
    <row r="174" spans="2:15" ht="15.75" x14ac:dyDescent="0.25">
      <c r="B174" s="397"/>
      <c r="C174" s="98" t="s">
        <v>657</v>
      </c>
      <c r="D174" s="98" t="s">
        <v>65</v>
      </c>
      <c r="E174" s="98" t="s">
        <v>172</v>
      </c>
      <c r="F174" s="103">
        <v>2010</v>
      </c>
      <c r="G174" s="1416"/>
      <c r="H174" s="1416"/>
      <c r="I174" s="1416"/>
      <c r="J174" s="1416"/>
      <c r="K174" s="1416"/>
      <c r="L174" s="1416"/>
      <c r="M174" s="1416"/>
      <c r="N174" s="1416"/>
      <c r="O174" s="1416"/>
    </row>
    <row r="175" spans="2:15" ht="15.75" x14ac:dyDescent="0.25">
      <c r="B175" s="397"/>
      <c r="C175" s="1414">
        <v>1</v>
      </c>
      <c r="D175" s="1415" t="s">
        <v>727</v>
      </c>
      <c r="E175" s="488"/>
      <c r="F175" s="160">
        <f>5.3*Unit.GJ * 1000000</f>
        <v>1.4722222222222221</v>
      </c>
      <c r="G175" s="1416"/>
      <c r="H175" s="1416"/>
      <c r="I175" s="1416"/>
      <c r="J175" s="1416"/>
      <c r="K175" s="1416"/>
      <c r="L175" s="1416"/>
      <c r="M175" s="1416"/>
      <c r="N175" s="1416"/>
      <c r="O175" s="1416"/>
    </row>
    <row r="176" spans="2:15" ht="15.75" x14ac:dyDescent="0.25">
      <c r="B176" s="397"/>
      <c r="C176" s="1414">
        <v>2</v>
      </c>
      <c r="D176" s="1415" t="s">
        <v>997</v>
      </c>
      <c r="E176" s="488"/>
      <c r="F176" s="160">
        <f>14*Unit.GJ *1000000</f>
        <v>3.8888888888888888</v>
      </c>
      <c r="G176" s="1416"/>
      <c r="H176" s="1416"/>
      <c r="I176" s="1416"/>
      <c r="J176" s="1416"/>
      <c r="K176" s="1416"/>
      <c r="L176" s="1416"/>
      <c r="M176" s="1416"/>
      <c r="N176" s="1416"/>
      <c r="O176" s="1416"/>
    </row>
    <row r="177" spans="2:15" ht="15.75" x14ac:dyDescent="0.25">
      <c r="B177" s="397"/>
      <c r="C177" s="1414">
        <v>3</v>
      </c>
      <c r="D177" s="1415" t="s">
        <v>1014</v>
      </c>
      <c r="E177" s="1415"/>
      <c r="F177" s="160">
        <f>18.5*Unit.GJ *1000000</f>
        <v>5.1388888888888884</v>
      </c>
      <c r="G177" s="1416"/>
      <c r="H177" s="1416"/>
      <c r="I177" s="1416"/>
      <c r="J177" s="1416"/>
      <c r="K177" s="1416"/>
      <c r="L177" s="1416"/>
      <c r="M177" s="1416"/>
      <c r="N177" s="1416"/>
      <c r="O177" s="1416"/>
    </row>
    <row r="178" spans="2:15" ht="15.75" x14ac:dyDescent="0.25">
      <c r="B178" s="397"/>
      <c r="C178" s="1414">
        <v>4</v>
      </c>
      <c r="D178" s="1415" t="s">
        <v>726</v>
      </c>
      <c r="E178" s="1415"/>
      <c r="F178" s="160">
        <f>15*Unit.GJ *1000000</f>
        <v>4.1666666666666661</v>
      </c>
      <c r="G178" s="1416"/>
      <c r="H178" s="1416"/>
      <c r="I178" s="1416"/>
      <c r="J178" s="1416"/>
      <c r="K178" s="1416"/>
      <c r="L178" s="1416"/>
      <c r="M178" s="1416"/>
      <c r="N178" s="1416"/>
      <c r="O178" s="1416"/>
    </row>
    <row r="179" spans="2:15" ht="15.75" x14ac:dyDescent="0.25">
      <c r="B179" s="397"/>
      <c r="C179" s="1414">
        <v>5</v>
      </c>
      <c r="D179" s="1415" t="s">
        <v>119</v>
      </c>
      <c r="E179" s="1415"/>
      <c r="F179" s="160">
        <f>18.6*Unit.GJ *1000000</f>
        <v>5.166666666666667</v>
      </c>
      <c r="G179" s="1416"/>
      <c r="H179" s="1416"/>
      <c r="I179" s="1416"/>
      <c r="J179" s="1416"/>
      <c r="K179" s="1416"/>
      <c r="L179" s="1416"/>
      <c r="M179" s="1416"/>
      <c r="N179" s="1416"/>
      <c r="O179" s="1416"/>
    </row>
    <row r="180" spans="2:15" ht="15.75" x14ac:dyDescent="0.25">
      <c r="B180" s="397"/>
      <c r="C180" s="1412">
        <v>6</v>
      </c>
      <c r="D180" s="102" t="s">
        <v>725</v>
      </c>
      <c r="E180" s="102"/>
      <c r="F180" s="113">
        <f>18.6*Unit.GJ *1000000</f>
        <v>5.166666666666667</v>
      </c>
      <c r="G180" s="1416"/>
      <c r="H180" s="1416"/>
      <c r="I180" s="1416"/>
      <c r="J180" s="1416"/>
      <c r="K180" s="1416"/>
      <c r="L180" s="1416"/>
      <c r="M180" s="1416"/>
      <c r="N180" s="1416"/>
      <c r="O180" s="1416"/>
    </row>
    <row r="181" spans="2:15" x14ac:dyDescent="0.2">
      <c r="B181" s="1419"/>
      <c r="C181" s="1416"/>
      <c r="D181" s="1416"/>
      <c r="E181" s="1416"/>
      <c r="F181" s="1416"/>
      <c r="G181" s="1416"/>
      <c r="H181" s="1416"/>
      <c r="I181" s="1416"/>
      <c r="J181" s="1416"/>
      <c r="K181" s="1416"/>
      <c r="L181" s="1416"/>
      <c r="M181" s="1416"/>
      <c r="N181" s="1416"/>
      <c r="O181" s="1416"/>
    </row>
    <row r="182" spans="2:15" x14ac:dyDescent="0.2">
      <c r="B182" s="1419"/>
      <c r="C182" s="1417" t="s">
        <v>736</v>
      </c>
      <c r="D182" s="1416"/>
      <c r="E182" s="1416"/>
      <c r="F182" s="1416"/>
      <c r="G182" s="1416"/>
      <c r="H182" s="1416"/>
      <c r="I182" s="1416"/>
      <c r="J182" s="1416"/>
      <c r="K182" s="1416"/>
      <c r="L182" s="1416"/>
      <c r="M182" s="1416"/>
      <c r="N182" s="1416"/>
      <c r="O182" s="1416"/>
    </row>
    <row r="183" spans="2:15" ht="5.25" customHeight="1" x14ac:dyDescent="0.2">
      <c r="B183" s="1419"/>
      <c r="C183" s="1417"/>
      <c r="D183" s="1416"/>
      <c r="E183" s="1416"/>
      <c r="F183" s="1416"/>
      <c r="G183" s="1416"/>
      <c r="H183" s="1416"/>
      <c r="I183" s="1416"/>
      <c r="J183" s="1416"/>
      <c r="K183" s="1416"/>
      <c r="L183" s="1416"/>
      <c r="M183" s="1416"/>
      <c r="N183" s="1416"/>
      <c r="O183" s="1416"/>
    </row>
    <row r="184" spans="2:15" ht="15.75" x14ac:dyDescent="0.25">
      <c r="B184" s="397"/>
      <c r="C184" s="98" t="s">
        <v>657</v>
      </c>
      <c r="D184" s="98" t="s">
        <v>65</v>
      </c>
      <c r="E184" s="98" t="s">
        <v>172</v>
      </c>
      <c r="F184" s="103">
        <v>2010</v>
      </c>
      <c r="G184" s="1416"/>
      <c r="H184" s="1416"/>
      <c r="I184" s="1416"/>
      <c r="J184" s="1416"/>
      <c r="K184" s="1416"/>
      <c r="L184" s="1416"/>
      <c r="M184" s="1416"/>
      <c r="N184" s="1416"/>
      <c r="O184" s="1416"/>
    </row>
    <row r="185" spans="2:15" ht="15.75" x14ac:dyDescent="0.25">
      <c r="B185" s="397"/>
      <c r="C185" s="121" t="s">
        <v>725</v>
      </c>
      <c r="D185" s="122" t="s">
        <v>737</v>
      </c>
      <c r="E185" s="230"/>
      <c r="F185" s="128">
        <v>0.5</v>
      </c>
      <c r="G185" s="1416"/>
      <c r="H185" s="1416"/>
      <c r="I185" s="1416"/>
      <c r="J185" s="1416"/>
      <c r="K185" s="1416"/>
      <c r="L185" s="1416"/>
      <c r="M185" s="1416"/>
      <c r="N185" s="1416"/>
      <c r="O185" s="1416"/>
    </row>
    <row r="186" spans="2:15" x14ac:dyDescent="0.2">
      <c r="B186" s="1419"/>
      <c r="C186" s="1417"/>
      <c r="D186" s="1416"/>
      <c r="E186" s="1416"/>
      <c r="F186" s="1416"/>
      <c r="G186" s="1416"/>
      <c r="H186" s="1416"/>
      <c r="I186" s="1416"/>
      <c r="J186" s="1416"/>
      <c r="K186" s="1416"/>
      <c r="L186" s="1416"/>
      <c r="M186" s="1416"/>
      <c r="N186" s="1416"/>
      <c r="O186" s="1416"/>
    </row>
    <row r="187" spans="2:15" x14ac:dyDescent="0.2">
      <c r="B187" s="1419"/>
      <c r="C187" s="1417" t="s">
        <v>1025</v>
      </c>
      <c r="D187" s="1416"/>
      <c r="E187" s="1416"/>
      <c r="F187" s="176" t="str">
        <f>Preferences.AreaUnits</f>
        <v>km^2</v>
      </c>
      <c r="G187" s="1416"/>
      <c r="H187" s="1416"/>
      <c r="I187" s="1416"/>
      <c r="J187" s="1416"/>
      <c r="K187" s="1416"/>
      <c r="L187" s="1416"/>
      <c r="M187" s="1416"/>
      <c r="N187" s="1416"/>
      <c r="O187" s="1416"/>
    </row>
    <row r="188" spans="2:15" ht="5.25" customHeight="1" x14ac:dyDescent="0.2">
      <c r="B188" s="1419"/>
      <c r="C188" s="1417"/>
      <c r="D188" s="1416"/>
      <c r="E188" s="1416"/>
      <c r="F188" s="1416"/>
      <c r="G188" s="1416"/>
      <c r="H188" s="1416"/>
      <c r="I188" s="1416"/>
      <c r="J188" s="1416"/>
      <c r="K188" s="1416"/>
      <c r="L188" s="1416"/>
      <c r="M188" s="1416"/>
      <c r="N188" s="1416"/>
      <c r="O188" s="1416"/>
    </row>
    <row r="189" spans="2:15" ht="15.75" x14ac:dyDescent="0.25">
      <c r="B189" s="397"/>
      <c r="C189" s="98" t="s">
        <v>657</v>
      </c>
      <c r="D189" s="98" t="s">
        <v>65</v>
      </c>
      <c r="E189" s="98" t="s">
        <v>172</v>
      </c>
      <c r="F189" s="103">
        <v>2010</v>
      </c>
      <c r="G189" s="1416"/>
      <c r="H189" s="1416"/>
      <c r="I189" s="1416"/>
      <c r="J189" s="1416"/>
      <c r="K189" s="1416"/>
      <c r="L189" s="1416"/>
      <c r="M189" s="1416"/>
      <c r="N189" s="1416"/>
      <c r="O189" s="1416"/>
    </row>
    <row r="190" spans="2:15" ht="15.75" x14ac:dyDescent="0.25">
      <c r="B190" s="397"/>
      <c r="C190" s="121" t="s">
        <v>692</v>
      </c>
      <c r="D190" s="122" t="s">
        <v>1026</v>
      </c>
      <c r="E190" s="230"/>
      <c r="F190" s="1052">
        <f>1128*Unit.ha</f>
        <v>11.28</v>
      </c>
      <c r="G190" s="1416"/>
      <c r="H190" s="1416"/>
      <c r="I190" s="1416"/>
      <c r="J190" s="1416"/>
      <c r="K190" s="1416"/>
      <c r="L190" s="1416"/>
      <c r="M190" s="1416"/>
      <c r="N190" s="1416"/>
      <c r="O190" s="1416"/>
    </row>
    <row r="191" spans="2:15" x14ac:dyDescent="0.2">
      <c r="B191" s="1419"/>
      <c r="C191" s="1417"/>
      <c r="D191" s="1416"/>
      <c r="E191" s="1416"/>
      <c r="F191" s="1416"/>
      <c r="G191" s="1416"/>
      <c r="H191" s="1416"/>
      <c r="I191" s="1416"/>
      <c r="J191" s="1416"/>
      <c r="K191" s="1416"/>
      <c r="L191" s="1416"/>
      <c r="M191" s="1416"/>
      <c r="N191" s="1416"/>
      <c r="O191" s="1416"/>
    </row>
    <row r="192" spans="2:15" x14ac:dyDescent="0.2">
      <c r="B192" s="1419"/>
      <c r="C192" s="1417" t="s">
        <v>1044</v>
      </c>
      <c r="D192" s="1416"/>
      <c r="E192" s="490"/>
      <c r="F192" s="176" t="s">
        <v>347</v>
      </c>
      <c r="G192" s="1416"/>
      <c r="H192" s="1416"/>
      <c r="I192" s="1416"/>
      <c r="J192" s="1416"/>
      <c r="K192" s="1416"/>
      <c r="L192" s="1416"/>
      <c r="M192" s="1416"/>
      <c r="N192" s="1416"/>
      <c r="O192" s="1416"/>
    </row>
    <row r="193" spans="2:15" ht="5.25" customHeight="1" x14ac:dyDescent="0.2">
      <c r="B193" s="1419"/>
      <c r="C193" s="1416"/>
      <c r="D193" s="1416"/>
      <c r="E193" s="1416"/>
      <c r="F193" s="1416"/>
      <c r="G193" s="1416"/>
      <c r="H193" s="1416"/>
      <c r="I193" s="1416"/>
      <c r="J193" s="1416"/>
      <c r="K193" s="1416"/>
      <c r="L193" s="1416"/>
      <c r="M193" s="1416"/>
      <c r="N193" s="1416"/>
      <c r="O193" s="1416"/>
    </row>
    <row r="194" spans="2:15" ht="15.75" x14ac:dyDescent="0.25">
      <c r="B194" s="397"/>
      <c r="C194" s="98" t="s">
        <v>264</v>
      </c>
      <c r="D194" s="98" t="s">
        <v>65</v>
      </c>
      <c r="E194" s="98" t="s">
        <v>172</v>
      </c>
      <c r="F194" s="103">
        <v>2010</v>
      </c>
      <c r="G194" s="1416"/>
      <c r="H194" s="1416"/>
      <c r="I194" s="1416"/>
      <c r="J194" s="1416"/>
      <c r="K194" s="1416"/>
      <c r="L194" s="1416"/>
      <c r="M194" s="1416"/>
      <c r="N194" s="1416"/>
      <c r="O194" s="1416"/>
    </row>
    <row r="195" spans="2:15" ht="15.75" x14ac:dyDescent="0.25">
      <c r="B195" s="397"/>
      <c r="C195" s="121" t="s">
        <v>38</v>
      </c>
      <c r="D195" s="122" t="str">
        <f>INDEX(Vectors[Description], MATCH($C195, Vectors[Code], 0))</f>
        <v>Liquid hydrocarbons</v>
      </c>
      <c r="E195" s="230"/>
      <c r="F195" s="128">
        <v>0.31</v>
      </c>
      <c r="G195" s="1416" t="s">
        <v>1760</v>
      </c>
      <c r="H195" s="1416"/>
      <c r="I195" s="1416"/>
      <c r="J195" s="1416"/>
      <c r="K195" s="1416"/>
      <c r="L195" s="1416"/>
      <c r="M195" s="1416"/>
      <c r="N195" s="1416"/>
      <c r="O195" s="1416"/>
    </row>
    <row r="196" spans="2:15" x14ac:dyDescent="0.2">
      <c r="B196" s="1419"/>
      <c r="C196" s="1417"/>
      <c r="D196" s="1416"/>
      <c r="E196" s="1416"/>
      <c r="F196" s="1416"/>
      <c r="G196" s="1416"/>
      <c r="H196" s="1416"/>
      <c r="I196" s="1416"/>
      <c r="J196" s="1416"/>
      <c r="K196" s="1416"/>
      <c r="L196" s="1416"/>
      <c r="M196" s="1416"/>
      <c r="N196" s="1416"/>
      <c r="O196" s="1416"/>
    </row>
    <row r="197" spans="2:15" x14ac:dyDescent="0.2">
      <c r="B197" s="1419"/>
      <c r="C197" s="1417" t="s">
        <v>1050</v>
      </c>
      <c r="D197" s="1416"/>
      <c r="E197" s="490"/>
      <c r="F197" s="176" t="str">
        <f>Preferences.EnergyUnits</f>
        <v>TWh</v>
      </c>
      <c r="G197" s="1416"/>
      <c r="H197" s="1416"/>
      <c r="I197" s="1416"/>
      <c r="J197" s="1416"/>
      <c r="K197" s="1416"/>
      <c r="L197" s="1416"/>
      <c r="M197" s="1416"/>
      <c r="N197" s="1416"/>
      <c r="O197" s="1416"/>
    </row>
    <row r="198" spans="2:15" ht="5.25" customHeight="1" x14ac:dyDescent="0.2">
      <c r="B198" s="1419"/>
      <c r="C198" s="1416"/>
      <c r="D198" s="1416"/>
      <c r="E198" s="1416"/>
      <c r="F198" s="1416"/>
      <c r="G198" s="1416"/>
      <c r="H198" s="1416"/>
      <c r="I198" s="1416"/>
      <c r="J198" s="1416"/>
      <c r="K198" s="1416"/>
      <c r="L198" s="1416"/>
      <c r="M198" s="1416"/>
      <c r="N198" s="1416"/>
      <c r="O198" s="1416"/>
    </row>
    <row r="199" spans="2:15" ht="15.75" x14ac:dyDescent="0.25">
      <c r="B199" s="397"/>
      <c r="C199" s="98" t="s">
        <v>264</v>
      </c>
      <c r="D199" s="98" t="s">
        <v>65</v>
      </c>
      <c r="E199" s="98" t="s">
        <v>172</v>
      </c>
      <c r="F199" s="103">
        <v>2010</v>
      </c>
      <c r="G199" s="1416"/>
      <c r="H199" s="1416"/>
      <c r="I199" s="1416"/>
      <c r="J199" s="1416"/>
      <c r="K199" s="1416"/>
      <c r="L199" s="1416"/>
      <c r="M199" s="1416"/>
      <c r="N199" s="1416"/>
      <c r="O199" s="1416"/>
    </row>
    <row r="200" spans="2:15" ht="15.75" x14ac:dyDescent="0.25">
      <c r="B200" s="397"/>
      <c r="C200" s="560" t="s">
        <v>1047</v>
      </c>
      <c r="D200" s="560" t="s">
        <v>1047</v>
      </c>
      <c r="E200" s="623"/>
      <c r="F200" s="1075">
        <f>314*Unit.ktoe</f>
        <v>3.6518199999999998</v>
      </c>
      <c r="G200" s="1416"/>
      <c r="H200" s="1416"/>
      <c r="I200" s="1416"/>
      <c r="J200" s="1416"/>
      <c r="K200" s="1416"/>
      <c r="L200" s="1416"/>
      <c r="M200" s="1416"/>
      <c r="N200" s="1416"/>
      <c r="O200" s="1416"/>
    </row>
    <row r="201" spans="2:15" ht="15.75" x14ac:dyDescent="0.25">
      <c r="B201" s="397"/>
      <c r="C201" s="1414" t="s">
        <v>1048</v>
      </c>
      <c r="D201" s="1414" t="s">
        <v>1048</v>
      </c>
      <c r="E201" s="488"/>
      <c r="F201" s="506">
        <f>251*Unit.ktoe</f>
        <v>2.91913</v>
      </c>
      <c r="G201" s="1416"/>
      <c r="H201" s="1416"/>
      <c r="I201" s="1416"/>
      <c r="J201" s="1416"/>
      <c r="K201" s="1416"/>
      <c r="L201" s="1416"/>
      <c r="M201" s="1416"/>
      <c r="N201" s="1416"/>
      <c r="O201" s="1416"/>
    </row>
    <row r="202" spans="2:15" ht="15.75" x14ac:dyDescent="0.25">
      <c r="B202" s="397"/>
      <c r="C202" s="199" t="s">
        <v>1049</v>
      </c>
      <c r="D202" s="199" t="s">
        <v>1049</v>
      </c>
      <c r="E202" s="531"/>
      <c r="F202" s="750">
        <f>332*Unit.ktoe</f>
        <v>3.8611599999999999</v>
      </c>
      <c r="G202" s="1416"/>
      <c r="H202" s="1416"/>
      <c r="I202" s="1416"/>
      <c r="J202" s="1416"/>
      <c r="K202" s="1416"/>
      <c r="L202" s="1416"/>
      <c r="M202" s="1416"/>
      <c r="N202" s="1416"/>
      <c r="O202" s="1416"/>
    </row>
    <row r="203" spans="2:15" x14ac:dyDescent="0.2">
      <c r="B203" s="1419"/>
      <c r="C203" s="1417"/>
      <c r="D203" s="1416"/>
      <c r="E203" s="1416"/>
      <c r="F203" s="954"/>
      <c r="G203" s="1416"/>
      <c r="H203" s="1416"/>
      <c r="I203" s="1416"/>
      <c r="J203" s="1416"/>
      <c r="K203" s="1416"/>
      <c r="L203" s="1416"/>
      <c r="M203" s="1416"/>
      <c r="N203" s="1416"/>
      <c r="O203" s="1416"/>
    </row>
    <row r="204" spans="2:15" x14ac:dyDescent="0.2">
      <c r="B204" s="1419"/>
      <c r="C204" s="1417" t="s">
        <v>1051</v>
      </c>
      <c r="D204" s="1416"/>
      <c r="E204" s="490"/>
      <c r="F204" s="176" t="s">
        <v>347</v>
      </c>
      <c r="G204" s="1416"/>
      <c r="H204" s="1416"/>
      <c r="I204" s="1416"/>
      <c r="J204" s="1416"/>
      <c r="K204" s="1416"/>
      <c r="L204" s="1416"/>
      <c r="M204" s="1416"/>
      <c r="N204" s="1416"/>
      <c r="O204" s="1416"/>
    </row>
    <row r="205" spans="2:15" ht="5.25" customHeight="1" x14ac:dyDescent="0.2">
      <c r="B205" s="1419"/>
      <c r="C205" s="1416"/>
      <c r="D205" s="1416"/>
      <c r="E205" s="1416"/>
      <c r="F205" s="1416"/>
      <c r="G205" s="1416"/>
      <c r="H205" s="1416"/>
      <c r="I205" s="1416"/>
      <c r="J205" s="1416"/>
      <c r="K205" s="1416"/>
      <c r="L205" s="1416"/>
      <c r="M205" s="1416"/>
      <c r="N205" s="1416"/>
      <c r="O205" s="1416"/>
    </row>
    <row r="206" spans="2:15" ht="15.75" x14ac:dyDescent="0.25">
      <c r="B206" s="397"/>
      <c r="C206" s="98" t="s">
        <v>264</v>
      </c>
      <c r="D206" s="98" t="s">
        <v>65</v>
      </c>
      <c r="E206" s="98" t="s">
        <v>172</v>
      </c>
      <c r="F206" s="103">
        <v>2010</v>
      </c>
      <c r="G206" s="1416"/>
      <c r="H206" s="1416"/>
      <c r="I206" s="1416"/>
      <c r="J206" s="1416"/>
      <c r="K206" s="1416"/>
      <c r="L206" s="1416"/>
      <c r="M206" s="1416"/>
      <c r="N206" s="1416"/>
      <c r="O206" s="1416"/>
    </row>
    <row r="207" spans="2:15" ht="15.75" x14ac:dyDescent="0.25">
      <c r="B207" s="397"/>
      <c r="C207" s="560" t="s">
        <v>34</v>
      </c>
      <c r="D207" s="560" t="str">
        <f>INDEX(Vectors[Description], MATCH($C207, Vectors[Code], 0))</f>
        <v>Electricity (delivered to end user)</v>
      </c>
      <c r="E207" s="623"/>
      <c r="F207" s="1042">
        <v>0.11899999999999999</v>
      </c>
      <c r="G207" s="1416"/>
      <c r="H207" s="1416"/>
      <c r="I207" s="1416"/>
      <c r="J207" s="1416"/>
      <c r="K207" s="1416"/>
      <c r="L207" s="1416"/>
      <c r="M207" s="1416"/>
      <c r="N207" s="1416"/>
      <c r="O207" s="1416"/>
    </row>
    <row r="208" spans="2:15" ht="15.75" x14ac:dyDescent="0.25">
      <c r="B208" s="397"/>
      <c r="C208" s="1414" t="s">
        <v>36</v>
      </c>
      <c r="D208" s="1414" t="str">
        <f>INDEX(Vectors[Description], MATCH($C208, Vectors[Code], 0))</f>
        <v>Solid hydrocarbons</v>
      </c>
      <c r="E208" s="488"/>
      <c r="F208" s="720">
        <v>1E-3</v>
      </c>
      <c r="G208" s="1416"/>
      <c r="H208" s="1416"/>
      <c r="I208" s="1416"/>
      <c r="J208" s="1416"/>
      <c r="K208" s="1416"/>
      <c r="L208" s="1416"/>
      <c r="M208" s="1416"/>
      <c r="N208" s="1416"/>
      <c r="O208" s="1416"/>
    </row>
    <row r="209" spans="2:15" ht="15.75" x14ac:dyDescent="0.25">
      <c r="B209" s="397"/>
      <c r="C209" s="1414" t="s">
        <v>38</v>
      </c>
      <c r="D209" s="1414" t="str">
        <f>INDEX(Vectors[Description], MATCH($C209, Vectors[Code], 0))</f>
        <v>Liquid hydrocarbons</v>
      </c>
      <c r="E209" s="488"/>
      <c r="F209" s="174">
        <v>0.19</v>
      </c>
      <c r="G209" s="1416"/>
      <c r="H209" s="1416"/>
      <c r="I209" s="1416"/>
      <c r="J209" s="1416"/>
      <c r="K209" s="1416"/>
      <c r="L209" s="1416"/>
      <c r="M209" s="1416"/>
      <c r="N209" s="1416"/>
      <c r="O209" s="1416"/>
    </row>
    <row r="210" spans="2:15" s="2479" customFormat="1" ht="15.75" x14ac:dyDescent="0.25">
      <c r="B210" s="397"/>
      <c r="C210" s="1414" t="s">
        <v>39</v>
      </c>
      <c r="D210" s="1414" t="str">
        <f>INDEX(Vectors[Description], MATCH($C210, Vectors[Code], 0))</f>
        <v>Gaseous hydrocarbons</v>
      </c>
      <c r="E210" s="488"/>
      <c r="F210" s="174">
        <v>0.09</v>
      </c>
      <c r="G210" s="1416"/>
      <c r="H210" s="1416"/>
      <c r="I210" s="1416"/>
      <c r="J210" s="1416"/>
      <c r="K210" s="1416"/>
      <c r="L210" s="1416"/>
      <c r="M210" s="1416"/>
      <c r="N210" s="1416"/>
      <c r="O210" s="1416"/>
    </row>
    <row r="211" spans="2:15" ht="15.75" x14ac:dyDescent="0.25">
      <c r="B211" s="397"/>
      <c r="C211" s="199" t="s">
        <v>2184</v>
      </c>
      <c r="D211" s="199" t="str">
        <f>INDEX(Vectors[Description], MATCH($C211, Vectors[Code], 0))</f>
        <v>Traditional Fuel</v>
      </c>
      <c r="E211" s="531"/>
      <c r="F211" s="210">
        <v>0.6</v>
      </c>
      <c r="G211" s="1416"/>
      <c r="H211" s="1416"/>
      <c r="I211" s="1416"/>
      <c r="J211" s="1416"/>
      <c r="K211" s="1416"/>
      <c r="L211" s="1416"/>
      <c r="M211" s="1416"/>
      <c r="N211" s="1416"/>
      <c r="O211" s="1416"/>
    </row>
    <row r="212" spans="2:15" x14ac:dyDescent="0.2">
      <c r="B212" s="1419"/>
      <c r="C212" s="1414"/>
      <c r="D212" s="1414"/>
      <c r="E212" s="488"/>
      <c r="F212" s="2609">
        <f>SUM(F$207:F$211)</f>
        <v>1</v>
      </c>
      <c r="G212" s="1416"/>
      <c r="H212" s="1416"/>
      <c r="I212" s="1416"/>
      <c r="J212" s="1416"/>
      <c r="K212" s="1416"/>
      <c r="L212" s="1416"/>
      <c r="M212" s="1416"/>
      <c r="N212" s="1416"/>
      <c r="O212" s="1416"/>
    </row>
    <row r="213" spans="2:15" s="1616" customFormat="1" ht="15.75" x14ac:dyDescent="0.25">
      <c r="B213" s="397"/>
      <c r="C213" s="178" t="s">
        <v>1796</v>
      </c>
      <c r="D213" s="1415"/>
      <c r="E213" s="1415"/>
      <c r="F213" s="206"/>
      <c r="G213" s="760"/>
      <c r="H213" s="760"/>
      <c r="I213" s="1416"/>
      <c r="J213" s="208"/>
      <c r="K213" s="208"/>
      <c r="L213" s="208"/>
      <c r="M213" s="208"/>
      <c r="N213" s="1737" t="str">
        <f>"Kte/"&amp;Preferences.EnergyUnits</f>
        <v>Kte/TWh</v>
      </c>
      <c r="O213" s="1416"/>
    </row>
    <row r="214" spans="2:15" s="1745" customFormat="1" ht="3.75" customHeight="1" x14ac:dyDescent="0.25">
      <c r="B214" s="397"/>
      <c r="C214" s="178"/>
      <c r="D214" s="1415"/>
      <c r="E214" s="1415"/>
      <c r="F214" s="206"/>
      <c r="G214" s="760"/>
      <c r="H214" s="760"/>
      <c r="I214" s="1416"/>
      <c r="J214" s="208"/>
      <c r="K214" s="208"/>
      <c r="L214" s="208"/>
      <c r="M214" s="208"/>
      <c r="N214" s="208"/>
      <c r="O214" s="208"/>
    </row>
    <row r="215" spans="2:15" s="1616" customFormat="1" ht="15.75" x14ac:dyDescent="0.25">
      <c r="B215" s="397"/>
      <c r="C215" s="98" t="s">
        <v>69</v>
      </c>
      <c r="D215" s="98" t="s">
        <v>289</v>
      </c>
      <c r="E215" s="98" t="s">
        <v>64</v>
      </c>
      <c r="F215" s="218" t="s">
        <v>241</v>
      </c>
      <c r="G215" s="217" t="s">
        <v>268</v>
      </c>
      <c r="H215" s="217" t="s">
        <v>269</v>
      </c>
      <c r="I215" s="217" t="s">
        <v>270</v>
      </c>
      <c r="J215" s="217" t="s">
        <v>271</v>
      </c>
      <c r="K215" s="217" t="s">
        <v>272</v>
      </c>
      <c r="L215" s="217" t="s">
        <v>273</v>
      </c>
      <c r="M215" s="217" t="s">
        <v>274</v>
      </c>
      <c r="N215" s="217" t="s">
        <v>275</v>
      </c>
      <c r="O215" s="208"/>
    </row>
    <row r="216" spans="2:15" s="1616" customFormat="1" ht="15.75" x14ac:dyDescent="0.25">
      <c r="B216" s="397"/>
      <c r="C216" s="1414" t="s">
        <v>380</v>
      </c>
      <c r="D216" s="1415" t="s">
        <v>1190</v>
      </c>
      <c r="E216" s="213" t="s">
        <v>49</v>
      </c>
      <c r="F216" s="1005">
        <f t="shared" ref="F216:N216" si="28">0.398571428571429*(1/Unit.TWh)</f>
        <v>0.39857142857142902</v>
      </c>
      <c r="G216" s="954">
        <f t="shared" si="28"/>
        <v>0.39857142857142902</v>
      </c>
      <c r="H216" s="954">
        <f t="shared" si="28"/>
        <v>0.39857142857142902</v>
      </c>
      <c r="I216" s="954">
        <f t="shared" si="28"/>
        <v>0.39857142857142902</v>
      </c>
      <c r="J216" s="954">
        <f t="shared" si="28"/>
        <v>0.39857142857142902</v>
      </c>
      <c r="K216" s="954">
        <f t="shared" si="28"/>
        <v>0.39857142857142902</v>
      </c>
      <c r="L216" s="954">
        <f t="shared" si="28"/>
        <v>0.39857142857142902</v>
      </c>
      <c r="M216" s="954">
        <f t="shared" si="28"/>
        <v>0.39857142857142902</v>
      </c>
      <c r="N216" s="954">
        <f t="shared" si="28"/>
        <v>0.39857142857142902</v>
      </c>
      <c r="O216" s="208"/>
    </row>
    <row r="217" spans="2:15" s="1616" customFormat="1" ht="15.75" x14ac:dyDescent="0.25">
      <c r="B217" s="397"/>
      <c r="C217" s="1414" t="s">
        <v>380</v>
      </c>
      <c r="D217" s="1415" t="s">
        <v>1190</v>
      </c>
      <c r="E217" s="213" t="s">
        <v>50</v>
      </c>
      <c r="F217" s="167">
        <f>0.0854919049852465*(1/Unit.TWh)</f>
        <v>8.5491904985246503E-2</v>
      </c>
      <c r="G217" s="954">
        <f t="shared" ref="G217:N217" si="29">0.0854919049852467*(1/Unit.TWh)</f>
        <v>8.5491904985246697E-2</v>
      </c>
      <c r="H217" s="954">
        <f t="shared" si="29"/>
        <v>8.5491904985246697E-2</v>
      </c>
      <c r="I217" s="954">
        <f t="shared" si="29"/>
        <v>8.5491904985246697E-2</v>
      </c>
      <c r="J217" s="954">
        <f t="shared" si="29"/>
        <v>8.5491904985246697E-2</v>
      </c>
      <c r="K217" s="954">
        <f t="shared" si="29"/>
        <v>8.5491904985246697E-2</v>
      </c>
      <c r="L217" s="954">
        <f t="shared" si="29"/>
        <v>8.5491904985246697E-2</v>
      </c>
      <c r="M217" s="954">
        <f t="shared" si="29"/>
        <v>8.5491904985246697E-2</v>
      </c>
      <c r="N217" s="954">
        <f t="shared" si="29"/>
        <v>8.5491904985246697E-2</v>
      </c>
      <c r="O217" s="208"/>
    </row>
    <row r="218" spans="2:15" s="1616" customFormat="1" ht="15.75" x14ac:dyDescent="0.25">
      <c r="B218" s="397"/>
      <c r="C218" s="1412" t="s">
        <v>380</v>
      </c>
      <c r="D218" s="102" t="s">
        <v>1190</v>
      </c>
      <c r="E218" s="110" t="s">
        <v>197</v>
      </c>
      <c r="F218" s="212">
        <f t="shared" ref="F218:N218" si="30">0.00274990867559079*(1/Unit.TWh)</f>
        <v>2.74990867559079E-3</v>
      </c>
      <c r="G218" s="955">
        <f t="shared" si="30"/>
        <v>2.74990867559079E-3</v>
      </c>
      <c r="H218" s="955">
        <f t="shared" si="30"/>
        <v>2.74990867559079E-3</v>
      </c>
      <c r="I218" s="955">
        <f t="shared" si="30"/>
        <v>2.74990867559079E-3</v>
      </c>
      <c r="J218" s="955">
        <f t="shared" si="30"/>
        <v>2.74990867559079E-3</v>
      </c>
      <c r="K218" s="955">
        <f t="shared" si="30"/>
        <v>2.74990867559079E-3</v>
      </c>
      <c r="L218" s="955">
        <f t="shared" si="30"/>
        <v>2.74990867559079E-3</v>
      </c>
      <c r="M218" s="955">
        <f t="shared" si="30"/>
        <v>2.74990867559079E-3</v>
      </c>
      <c r="N218" s="955">
        <f t="shared" si="30"/>
        <v>2.74990867559079E-3</v>
      </c>
      <c r="O218" s="208"/>
    </row>
    <row r="219" spans="2:15" s="1745" customFormat="1" ht="15.75" x14ac:dyDescent="0.25">
      <c r="B219" s="397"/>
      <c r="C219" s="1414"/>
      <c r="D219" s="1415"/>
      <c r="E219" s="1415"/>
      <c r="F219" s="176"/>
      <c r="G219" s="176"/>
      <c r="H219" s="176"/>
      <c r="I219" s="680"/>
      <c r="J219" s="680"/>
      <c r="K219" s="680"/>
      <c r="L219" s="680"/>
      <c r="M219" s="680"/>
      <c r="N219" s="680"/>
      <c r="O219" s="208"/>
    </row>
    <row r="220" spans="2:15" s="1616" customFormat="1" ht="15.75" x14ac:dyDescent="0.25">
      <c r="B220" s="397"/>
      <c r="C220" s="178" t="s">
        <v>1797</v>
      </c>
      <c r="D220" s="1415"/>
      <c r="E220" s="1415"/>
      <c r="F220" s="760"/>
      <c r="G220" s="760"/>
      <c r="H220" s="1416"/>
      <c r="I220" s="208"/>
      <c r="J220" s="208"/>
      <c r="K220" s="208"/>
      <c r="L220" s="208"/>
      <c r="M220" s="208"/>
      <c r="N220" s="1737" t="str">
        <f>"Kte/"&amp;Preferences.EnergyUnits</f>
        <v>Kte/TWh</v>
      </c>
      <c r="O220" s="1420"/>
    </row>
    <row r="221" spans="2:15" s="1745" customFormat="1" ht="3.75" customHeight="1" x14ac:dyDescent="0.25">
      <c r="B221" s="397"/>
      <c r="C221" s="178"/>
      <c r="D221" s="1415"/>
      <c r="E221" s="1415"/>
      <c r="F221" s="760"/>
      <c r="G221" s="760"/>
      <c r="H221" s="1416"/>
      <c r="I221" s="208"/>
      <c r="J221" s="208"/>
      <c r="K221" s="208"/>
      <c r="L221" s="208"/>
      <c r="M221" s="208"/>
      <c r="N221" s="208"/>
      <c r="O221" s="1420"/>
    </row>
    <row r="222" spans="2:15" s="1616" customFormat="1" ht="15.75" x14ac:dyDescent="0.25">
      <c r="B222" s="397"/>
      <c r="C222" s="98" t="s">
        <v>69</v>
      </c>
      <c r="D222" s="98" t="s">
        <v>289</v>
      </c>
      <c r="E222" s="98" t="s">
        <v>64</v>
      </c>
      <c r="F222" s="218" t="s">
        <v>241</v>
      </c>
      <c r="G222" s="217" t="s">
        <v>268</v>
      </c>
      <c r="H222" s="217" t="s">
        <v>269</v>
      </c>
      <c r="I222" s="217" t="s">
        <v>270</v>
      </c>
      <c r="J222" s="217" t="s">
        <v>271</v>
      </c>
      <c r="K222" s="217" t="s">
        <v>272</v>
      </c>
      <c r="L222" s="217" t="s">
        <v>273</v>
      </c>
      <c r="M222" s="217" t="s">
        <v>274</v>
      </c>
      <c r="N222" s="217" t="s">
        <v>275</v>
      </c>
      <c r="O222" s="1420"/>
    </row>
    <row r="223" spans="2:15" s="1616" customFormat="1" ht="15.75" x14ac:dyDescent="0.25">
      <c r="B223" s="397"/>
      <c r="C223" s="1414" t="s">
        <v>380</v>
      </c>
      <c r="D223" s="1415" t="s">
        <v>1190</v>
      </c>
      <c r="E223" s="213" t="s">
        <v>49</v>
      </c>
      <c r="F223" s="1005">
        <f t="shared" ref="F223:N223" si="31">0.610714285714286*(1/Unit.TWh)</f>
        <v>0.61071428571428599</v>
      </c>
      <c r="G223" s="954">
        <f t="shared" si="31"/>
        <v>0.61071428571428599</v>
      </c>
      <c r="H223" s="954">
        <f t="shared" si="31"/>
        <v>0.61071428571428599</v>
      </c>
      <c r="I223" s="954">
        <f t="shared" si="31"/>
        <v>0.61071428571428599</v>
      </c>
      <c r="J223" s="954">
        <f t="shared" si="31"/>
        <v>0.61071428571428599</v>
      </c>
      <c r="K223" s="954">
        <f t="shared" si="31"/>
        <v>0.61071428571428599</v>
      </c>
      <c r="L223" s="954">
        <f t="shared" si="31"/>
        <v>0.61071428571428599</v>
      </c>
      <c r="M223" s="954">
        <f t="shared" si="31"/>
        <v>0.61071428571428599</v>
      </c>
      <c r="N223" s="954">
        <f t="shared" si="31"/>
        <v>0.61071428571428599</v>
      </c>
      <c r="O223" s="1420"/>
    </row>
    <row r="224" spans="2:15" s="1616" customFormat="1" ht="15.75" x14ac:dyDescent="0.25">
      <c r="B224" s="397"/>
      <c r="C224" s="1414" t="s">
        <v>380</v>
      </c>
      <c r="D224" s="1415" t="s">
        <v>1190</v>
      </c>
      <c r="E224" s="213" t="s">
        <v>50</v>
      </c>
      <c r="F224" s="167">
        <f>0.638977745118622*(1/Unit.TWh)</f>
        <v>0.63897774511862204</v>
      </c>
      <c r="G224" s="954">
        <f t="shared" ref="G224:N224" si="32">0.638977745118623*(1/Unit.TWh)</f>
        <v>0.63897774511862304</v>
      </c>
      <c r="H224" s="954">
        <f t="shared" si="32"/>
        <v>0.63897774511862304</v>
      </c>
      <c r="I224" s="954">
        <f t="shared" si="32"/>
        <v>0.63897774511862304</v>
      </c>
      <c r="J224" s="954">
        <f t="shared" si="32"/>
        <v>0.63897774511862304</v>
      </c>
      <c r="K224" s="954">
        <f t="shared" si="32"/>
        <v>0.63897774511862304</v>
      </c>
      <c r="L224" s="954">
        <f t="shared" si="32"/>
        <v>0.63897774511862304</v>
      </c>
      <c r="M224" s="954">
        <f t="shared" si="32"/>
        <v>0.63897774511862304</v>
      </c>
      <c r="N224" s="954">
        <f t="shared" si="32"/>
        <v>0.63897774511862304</v>
      </c>
      <c r="O224" s="1416"/>
    </row>
    <row r="225" spans="2:15" s="1616" customFormat="1" ht="15.75" x14ac:dyDescent="0.25">
      <c r="B225" s="397"/>
      <c r="C225" s="1412" t="s">
        <v>380</v>
      </c>
      <c r="D225" s="102" t="s">
        <v>1190</v>
      </c>
      <c r="E225" s="110" t="s">
        <v>197</v>
      </c>
      <c r="F225" s="212">
        <f t="shared" ref="F225:N225" si="33">0.141239370116007*(1/Unit.TWh)</f>
        <v>0.14123937011600701</v>
      </c>
      <c r="G225" s="955">
        <f t="shared" si="33"/>
        <v>0.14123937011600701</v>
      </c>
      <c r="H225" s="955">
        <f t="shared" si="33"/>
        <v>0.14123937011600701</v>
      </c>
      <c r="I225" s="955">
        <f t="shared" si="33"/>
        <v>0.14123937011600701</v>
      </c>
      <c r="J225" s="955">
        <f t="shared" si="33"/>
        <v>0.14123937011600701</v>
      </c>
      <c r="K225" s="955">
        <f t="shared" si="33"/>
        <v>0.14123937011600701</v>
      </c>
      <c r="L225" s="955">
        <f t="shared" si="33"/>
        <v>0.14123937011600701</v>
      </c>
      <c r="M225" s="955">
        <f t="shared" si="33"/>
        <v>0.14123937011600701</v>
      </c>
      <c r="N225" s="955">
        <f t="shared" si="33"/>
        <v>0.14123937011600701</v>
      </c>
      <c r="O225" s="208"/>
    </row>
    <row r="226" spans="2:15" s="1616" customFormat="1" ht="15.75" x14ac:dyDescent="0.25">
      <c r="B226" s="397"/>
      <c r="C226" s="1414"/>
      <c r="D226" s="1415"/>
      <c r="E226" s="1415"/>
      <c r="F226" s="176"/>
      <c r="G226" s="176"/>
      <c r="H226" s="176"/>
      <c r="I226" s="680"/>
      <c r="J226" s="680"/>
      <c r="K226" s="680"/>
      <c r="L226" s="680"/>
      <c r="M226" s="680"/>
      <c r="N226" s="680"/>
      <c r="O226" s="208"/>
    </row>
    <row r="227" spans="2:15" s="1616" customFormat="1" ht="15.75" x14ac:dyDescent="0.25">
      <c r="B227" s="397"/>
      <c r="C227" s="178" t="s">
        <v>1798</v>
      </c>
      <c r="D227" s="1415"/>
      <c r="E227" s="1415"/>
      <c r="F227" s="760"/>
      <c r="G227" s="760"/>
      <c r="H227" s="1416"/>
      <c r="I227" s="208"/>
      <c r="J227" s="208"/>
      <c r="K227" s="208"/>
      <c r="L227" s="208"/>
      <c r="M227" s="208"/>
      <c r="N227" s="1737" t="str">
        <f>"Kte/"&amp;Preferences.EnergyUnits</f>
        <v>Kte/TWh</v>
      </c>
      <c r="O227" s="208"/>
    </row>
    <row r="228" spans="2:15" s="1745" customFormat="1" ht="3.75" customHeight="1" x14ac:dyDescent="0.25">
      <c r="B228" s="397"/>
      <c r="C228" s="178"/>
      <c r="D228" s="1415"/>
      <c r="E228" s="1415"/>
      <c r="F228" s="760"/>
      <c r="G228" s="760"/>
      <c r="H228" s="1416"/>
      <c r="I228" s="208"/>
      <c r="J228" s="208"/>
      <c r="K228" s="208"/>
      <c r="L228" s="208"/>
      <c r="M228" s="208"/>
      <c r="N228" s="208"/>
      <c r="O228" s="208"/>
    </row>
    <row r="229" spans="2:15" s="1616" customFormat="1" ht="15.75" x14ac:dyDescent="0.25">
      <c r="B229" s="397"/>
      <c r="C229" s="98" t="s">
        <v>69</v>
      </c>
      <c r="D229" s="98" t="s">
        <v>289</v>
      </c>
      <c r="E229" s="98" t="s">
        <v>64</v>
      </c>
      <c r="F229" s="218" t="s">
        <v>241</v>
      </c>
      <c r="G229" s="217" t="s">
        <v>268</v>
      </c>
      <c r="H229" s="217" t="s">
        <v>269</v>
      </c>
      <c r="I229" s="217" t="s">
        <v>270</v>
      </c>
      <c r="J229" s="217" t="s">
        <v>271</v>
      </c>
      <c r="K229" s="217" t="s">
        <v>272</v>
      </c>
      <c r="L229" s="217" t="s">
        <v>273</v>
      </c>
      <c r="M229" s="217" t="s">
        <v>274</v>
      </c>
      <c r="N229" s="217" t="s">
        <v>275</v>
      </c>
      <c r="O229" s="208"/>
    </row>
    <row r="230" spans="2:15" s="1616" customFormat="1" ht="15.75" x14ac:dyDescent="0.25">
      <c r="B230" s="397"/>
      <c r="C230" s="1414" t="s">
        <v>380</v>
      </c>
      <c r="D230" s="1415" t="s">
        <v>1190</v>
      </c>
      <c r="E230" s="213" t="s">
        <v>49</v>
      </c>
      <c r="F230" s="1005">
        <f t="shared" ref="F230:N230" si="34">2.18592578884837*(1/Unit.TWh)</f>
        <v>2.1859257888483699</v>
      </c>
      <c r="G230" s="954">
        <f t="shared" si="34"/>
        <v>2.1859257888483699</v>
      </c>
      <c r="H230" s="954">
        <f t="shared" si="34"/>
        <v>2.1859257888483699</v>
      </c>
      <c r="I230" s="954">
        <f t="shared" si="34"/>
        <v>2.1859257888483699</v>
      </c>
      <c r="J230" s="954">
        <f t="shared" si="34"/>
        <v>2.1859257888483699</v>
      </c>
      <c r="K230" s="954">
        <f t="shared" si="34"/>
        <v>2.1859257888483699</v>
      </c>
      <c r="L230" s="954">
        <f t="shared" si="34"/>
        <v>2.1859257888483699</v>
      </c>
      <c r="M230" s="954">
        <f t="shared" si="34"/>
        <v>2.1859257888483699</v>
      </c>
      <c r="N230" s="954">
        <f t="shared" si="34"/>
        <v>2.1859257888483699</v>
      </c>
      <c r="O230" s="1420"/>
    </row>
    <row r="231" spans="2:15" s="1616" customFormat="1" ht="15.75" x14ac:dyDescent="0.25">
      <c r="B231" s="397"/>
      <c r="C231" s="1414" t="s">
        <v>380</v>
      </c>
      <c r="D231" s="1415" t="s">
        <v>1190</v>
      </c>
      <c r="E231" s="213" t="s">
        <v>50</v>
      </c>
      <c r="F231" s="167">
        <f>1.23374964461587*(1/Unit.TWh)</f>
        <v>1.23374964461587</v>
      </c>
      <c r="G231" s="954">
        <f t="shared" ref="G231:N231" si="35">1.41390376930762*(1/Unit.TWh)</f>
        <v>1.41390376930762</v>
      </c>
      <c r="H231" s="954">
        <f t="shared" si="35"/>
        <v>1.41390376930762</v>
      </c>
      <c r="I231" s="954">
        <f t="shared" si="35"/>
        <v>1.41390376930762</v>
      </c>
      <c r="J231" s="954">
        <f t="shared" si="35"/>
        <v>1.41390376930762</v>
      </c>
      <c r="K231" s="954">
        <f t="shared" si="35"/>
        <v>1.41390376930762</v>
      </c>
      <c r="L231" s="954">
        <f t="shared" si="35"/>
        <v>1.41390376930762</v>
      </c>
      <c r="M231" s="954">
        <f t="shared" si="35"/>
        <v>1.41390376930762</v>
      </c>
      <c r="N231" s="954">
        <f t="shared" si="35"/>
        <v>1.41390376930762</v>
      </c>
      <c r="O231" s="1420"/>
    </row>
    <row r="232" spans="2:15" s="1616" customFormat="1" ht="15.75" x14ac:dyDescent="0.25">
      <c r="B232" s="397"/>
      <c r="C232" s="1412" t="s">
        <v>380</v>
      </c>
      <c r="D232" s="102" t="s">
        <v>1190</v>
      </c>
      <c r="E232" s="110" t="s">
        <v>197</v>
      </c>
      <c r="F232" s="212">
        <f t="shared" ref="F232:N232" si="36">0*(1/Unit.TWh)</f>
        <v>0</v>
      </c>
      <c r="G232" s="955">
        <f t="shared" si="36"/>
        <v>0</v>
      </c>
      <c r="H232" s="955">
        <f t="shared" si="36"/>
        <v>0</v>
      </c>
      <c r="I232" s="955">
        <f t="shared" si="36"/>
        <v>0</v>
      </c>
      <c r="J232" s="955">
        <f t="shared" si="36"/>
        <v>0</v>
      </c>
      <c r="K232" s="955">
        <f t="shared" si="36"/>
        <v>0</v>
      </c>
      <c r="L232" s="955">
        <f t="shared" si="36"/>
        <v>0</v>
      </c>
      <c r="M232" s="955">
        <f t="shared" si="36"/>
        <v>0</v>
      </c>
      <c r="N232" s="955">
        <f t="shared" si="36"/>
        <v>0</v>
      </c>
      <c r="O232" s="1420"/>
    </row>
    <row r="233" spans="2:15" s="1616" customFormat="1" ht="15.75" x14ac:dyDescent="0.25">
      <c r="B233" s="397"/>
      <c r="C233" s="1414"/>
      <c r="D233" s="1415"/>
      <c r="E233" s="1415"/>
      <c r="F233" s="176"/>
      <c r="G233" s="176"/>
      <c r="H233" s="176"/>
      <c r="I233" s="680"/>
      <c r="J233" s="680"/>
      <c r="K233" s="680"/>
      <c r="L233" s="680"/>
      <c r="M233" s="680"/>
      <c r="N233" s="680"/>
      <c r="O233" s="1420"/>
    </row>
    <row r="234" spans="2:15" s="1616" customFormat="1" ht="15.75" x14ac:dyDescent="0.25">
      <c r="B234" s="397"/>
      <c r="C234" s="178" t="s">
        <v>1800</v>
      </c>
      <c r="D234" s="1415"/>
      <c r="E234" s="1415"/>
      <c r="F234" s="760"/>
      <c r="G234" s="760"/>
      <c r="H234" s="1416"/>
      <c r="I234" s="208"/>
      <c r="J234" s="208"/>
      <c r="K234" s="208"/>
      <c r="L234" s="208"/>
      <c r="M234" s="208"/>
      <c r="N234" s="1737" t="str">
        <f>"Kte/"&amp;Preferences.EnergyUnits</f>
        <v>Kte/TWh</v>
      </c>
      <c r="O234" s="208"/>
    </row>
    <row r="235" spans="2:15" s="1745" customFormat="1" ht="3.75" customHeight="1" x14ac:dyDescent="0.25">
      <c r="B235" s="397"/>
      <c r="C235" s="178"/>
      <c r="D235" s="1415"/>
      <c r="E235" s="1415"/>
      <c r="F235" s="760"/>
      <c r="G235" s="760"/>
      <c r="H235" s="1416"/>
      <c r="I235" s="208"/>
      <c r="J235" s="208"/>
      <c r="K235" s="208"/>
      <c r="L235" s="208"/>
      <c r="M235" s="208"/>
      <c r="N235" s="208"/>
      <c r="O235" s="208"/>
    </row>
    <row r="236" spans="2:15" s="1616" customFormat="1" ht="15.75" x14ac:dyDescent="0.25">
      <c r="B236" s="397"/>
      <c r="C236" s="98" t="s">
        <v>69</v>
      </c>
      <c r="D236" s="98" t="s">
        <v>289</v>
      </c>
      <c r="E236" s="98" t="s">
        <v>64</v>
      </c>
      <c r="F236" s="218" t="s">
        <v>241</v>
      </c>
      <c r="G236" s="217" t="s">
        <v>268</v>
      </c>
      <c r="H236" s="217" t="s">
        <v>269</v>
      </c>
      <c r="I236" s="217" t="s">
        <v>270</v>
      </c>
      <c r="J236" s="217" t="s">
        <v>271</v>
      </c>
      <c r="K236" s="217" t="s">
        <v>272</v>
      </c>
      <c r="L236" s="217" t="s">
        <v>273</v>
      </c>
      <c r="M236" s="217" t="s">
        <v>274</v>
      </c>
      <c r="N236" s="217" t="s">
        <v>275</v>
      </c>
      <c r="O236" s="208"/>
    </row>
    <row r="237" spans="2:15" s="1616" customFormat="1" ht="15.75" x14ac:dyDescent="0.25">
      <c r="B237" s="397"/>
      <c r="C237" s="1414" t="s">
        <v>380</v>
      </c>
      <c r="D237" s="1415" t="s">
        <v>1190</v>
      </c>
      <c r="E237" s="213" t="s">
        <v>49</v>
      </c>
      <c r="F237" s="1005">
        <f t="shared" ref="F237:N237" si="37">0.00642857142857143*(1/Unit.TWh)</f>
        <v>6.4285714285714302E-3</v>
      </c>
      <c r="G237" s="954">
        <f t="shared" si="37"/>
        <v>6.4285714285714302E-3</v>
      </c>
      <c r="H237" s="954">
        <f t="shared" si="37"/>
        <v>6.4285714285714302E-3</v>
      </c>
      <c r="I237" s="954">
        <f t="shared" si="37"/>
        <v>6.4285714285714302E-3</v>
      </c>
      <c r="J237" s="954">
        <f t="shared" si="37"/>
        <v>6.4285714285714302E-3</v>
      </c>
      <c r="K237" s="954">
        <f t="shared" si="37"/>
        <v>6.4285714285714302E-3</v>
      </c>
      <c r="L237" s="954">
        <f t="shared" si="37"/>
        <v>6.4285714285714302E-3</v>
      </c>
      <c r="M237" s="954">
        <f t="shared" si="37"/>
        <v>6.4285714285714302E-3</v>
      </c>
      <c r="N237" s="954">
        <f t="shared" si="37"/>
        <v>6.4285714285714302E-3</v>
      </c>
      <c r="O237" s="208"/>
    </row>
    <row r="238" spans="2:15" s="1616" customFormat="1" ht="15.75" x14ac:dyDescent="0.25">
      <c r="B238" s="397"/>
      <c r="C238" s="1414" t="s">
        <v>380</v>
      </c>
      <c r="D238" s="1415" t="s">
        <v>1190</v>
      </c>
      <c r="E238" s="213" t="s">
        <v>50</v>
      </c>
      <c r="F238" s="167">
        <f t="shared" ref="F238:N238" si="38">0.0114430115473441*(1/Unit.TWh)</f>
        <v>1.14430115473441E-2</v>
      </c>
      <c r="G238" s="954">
        <f t="shared" si="38"/>
        <v>1.14430115473441E-2</v>
      </c>
      <c r="H238" s="954">
        <f t="shared" si="38"/>
        <v>1.14430115473441E-2</v>
      </c>
      <c r="I238" s="954">
        <f t="shared" si="38"/>
        <v>1.14430115473441E-2</v>
      </c>
      <c r="J238" s="954">
        <f t="shared" si="38"/>
        <v>1.14430115473441E-2</v>
      </c>
      <c r="K238" s="954">
        <f t="shared" si="38"/>
        <v>1.14430115473441E-2</v>
      </c>
      <c r="L238" s="954">
        <f t="shared" si="38"/>
        <v>1.14430115473441E-2</v>
      </c>
      <c r="M238" s="954">
        <f t="shared" si="38"/>
        <v>1.14430115473441E-2</v>
      </c>
      <c r="N238" s="954">
        <f t="shared" si="38"/>
        <v>1.14430115473441E-2</v>
      </c>
      <c r="O238" s="208"/>
    </row>
    <row r="239" spans="2:15" s="1616" customFormat="1" ht="15.75" x14ac:dyDescent="0.25">
      <c r="B239" s="397"/>
      <c r="C239" s="1412" t="s">
        <v>380</v>
      </c>
      <c r="D239" s="102" t="s">
        <v>1190</v>
      </c>
      <c r="E239" s="110" t="s">
        <v>197</v>
      </c>
      <c r="F239" s="212">
        <f>0.00802071964139671*(1/Unit.TWh)</f>
        <v>8.0207196413967109E-3</v>
      </c>
      <c r="G239" s="955">
        <f t="shared" ref="G239:N239" si="39">0.00802071964139672*(1/Unit.TWh)</f>
        <v>8.0207196413967195E-3</v>
      </c>
      <c r="H239" s="955">
        <f t="shared" si="39"/>
        <v>8.0207196413967195E-3</v>
      </c>
      <c r="I239" s="955">
        <f t="shared" si="39"/>
        <v>8.0207196413967195E-3</v>
      </c>
      <c r="J239" s="955">
        <f t="shared" si="39"/>
        <v>8.0207196413967195E-3</v>
      </c>
      <c r="K239" s="955">
        <f t="shared" si="39"/>
        <v>8.0207196413967195E-3</v>
      </c>
      <c r="L239" s="955">
        <f t="shared" si="39"/>
        <v>8.0207196413967195E-3</v>
      </c>
      <c r="M239" s="955">
        <f t="shared" si="39"/>
        <v>8.0207196413967195E-3</v>
      </c>
      <c r="N239" s="955">
        <f t="shared" si="39"/>
        <v>8.0207196413967195E-3</v>
      </c>
      <c r="O239" s="208"/>
    </row>
    <row r="240" spans="2:15" s="1411" customFormat="1" x14ac:dyDescent="0.2">
      <c r="B240" s="494"/>
      <c r="C240" s="1417"/>
      <c r="D240" s="1416"/>
      <c r="E240" s="1416"/>
      <c r="F240" s="496"/>
      <c r="G240" s="496"/>
      <c r="H240" s="496"/>
      <c r="I240" s="496"/>
      <c r="J240" s="496"/>
      <c r="K240" s="496"/>
      <c r="L240" s="496"/>
      <c r="M240" s="496"/>
      <c r="N240" s="496"/>
      <c r="O240" s="497"/>
    </row>
    <row r="241" spans="2:15" x14ac:dyDescent="0.2">
      <c r="B241" s="1347"/>
      <c r="C241" s="37"/>
      <c r="D241" s="1399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</row>
    <row r="242" spans="2:15" ht="15.75" x14ac:dyDescent="0.2">
      <c r="B242" s="1423" t="s">
        <v>1417</v>
      </c>
      <c r="C242" s="405"/>
      <c r="D242" s="405"/>
      <c r="E242" s="405"/>
      <c r="F242" s="405"/>
      <c r="G242" s="405"/>
      <c r="H242" s="405"/>
      <c r="I242" s="405"/>
      <c r="J242" s="405"/>
      <c r="K242" s="405"/>
      <c r="L242" s="405"/>
      <c r="M242" s="405"/>
      <c r="N242" s="405"/>
      <c r="O242" s="405"/>
    </row>
    <row r="243" spans="2:15" ht="4.5" customHeight="1" x14ac:dyDescent="0.2">
      <c r="B243" s="465"/>
      <c r="C243" s="465"/>
      <c r="D243" s="465"/>
      <c r="E243" s="465"/>
      <c r="F243" s="465"/>
      <c r="G243" s="465"/>
      <c r="H243" s="465"/>
      <c r="I243" s="465"/>
      <c r="J243" s="465"/>
      <c r="K243" s="465"/>
      <c r="L243" s="1416"/>
      <c r="M243" s="1416"/>
      <c r="N243" s="1416"/>
      <c r="O243" s="1416"/>
    </row>
    <row r="244" spans="2:15" ht="15.75" customHeight="1" x14ac:dyDescent="0.2">
      <c r="B244" s="1143"/>
      <c r="C244" s="1417" t="str">
        <f>"High estimate cost of different bio-energy resources"</f>
        <v>High estimate cost of different bio-energy resources</v>
      </c>
      <c r="D244" s="177"/>
      <c r="E244" s="1416"/>
      <c r="F244" s="1886"/>
      <c r="G244" s="1887"/>
      <c r="H244" s="1887"/>
      <c r="I244" s="1887"/>
      <c r="J244" s="1417"/>
      <c r="K244" s="1416"/>
      <c r="L244" s="1416"/>
      <c r="M244" s="1416"/>
      <c r="N244" s="1377"/>
      <c r="O244" s="1886" t="str">
        <f>Preferences.moneyunits&amp;"/"&amp;Preferences.EnergyUnits</f>
        <v>N/TWh</v>
      </c>
    </row>
    <row r="245" spans="2:15" ht="15.75" customHeight="1" x14ac:dyDescent="0.2">
      <c r="B245" s="1416"/>
      <c r="C245" s="180" t="s">
        <v>264</v>
      </c>
      <c r="D245" s="1914" t="s">
        <v>65</v>
      </c>
      <c r="E245" s="1252"/>
      <c r="F245" s="1544" t="s">
        <v>1321</v>
      </c>
      <c r="G245" s="1845">
        <v>2010</v>
      </c>
      <c r="H245" s="1845">
        <v>2015</v>
      </c>
      <c r="I245" s="1845">
        <v>2020</v>
      </c>
      <c r="J245" s="1845">
        <v>2025</v>
      </c>
      <c r="K245" s="1845">
        <v>2030</v>
      </c>
      <c r="L245" s="1845">
        <v>2035</v>
      </c>
      <c r="M245" s="1845">
        <v>2040</v>
      </c>
      <c r="N245" s="1845">
        <v>2045</v>
      </c>
      <c r="O245" s="1845">
        <v>2050</v>
      </c>
    </row>
    <row r="246" spans="2:15" x14ac:dyDescent="0.2">
      <c r="B246" s="477"/>
      <c r="C246" s="1881"/>
      <c r="D246" s="1101" t="s">
        <v>1166</v>
      </c>
      <c r="E246" s="1904"/>
      <c r="F246" s="1847">
        <f>(O246-G246)/(O$245-G$245)</f>
        <v>0</v>
      </c>
      <c r="G246" s="1272">
        <f>250*85*NAIRA2010_/Unit.MWh</f>
        <v>21250000000</v>
      </c>
      <c r="H246" s="1852">
        <f t="shared" ref="H246:N250" si="40">($F246*(H$245-G$245))+G246</f>
        <v>21250000000</v>
      </c>
      <c r="I246" s="1852">
        <f t="shared" si="40"/>
        <v>21250000000</v>
      </c>
      <c r="J246" s="1852">
        <f t="shared" si="40"/>
        <v>21250000000</v>
      </c>
      <c r="K246" s="1852">
        <f t="shared" si="40"/>
        <v>21250000000</v>
      </c>
      <c r="L246" s="1852">
        <f t="shared" si="40"/>
        <v>21250000000</v>
      </c>
      <c r="M246" s="1852">
        <f t="shared" si="40"/>
        <v>21250000000</v>
      </c>
      <c r="N246" s="1852">
        <f t="shared" si="40"/>
        <v>21250000000</v>
      </c>
      <c r="O246" s="1272">
        <f>250*85*NAIRA2010_/Unit.MWh</f>
        <v>21250000000</v>
      </c>
    </row>
    <row r="247" spans="2:15" x14ac:dyDescent="0.2">
      <c r="B247" s="477"/>
      <c r="C247" s="237"/>
      <c r="D247" s="1414" t="s">
        <v>1160</v>
      </c>
      <c r="E247" s="1416"/>
      <c r="F247" s="188">
        <f>(O247-G247)/(O$245-G$245)</f>
        <v>0</v>
      </c>
      <c r="G247" s="206">
        <f>250*36*NAIRA2010_/Unit.MWh</f>
        <v>9000000000</v>
      </c>
      <c r="H247" s="1849">
        <f t="shared" si="40"/>
        <v>9000000000</v>
      </c>
      <c r="I247" s="1849">
        <f t="shared" si="40"/>
        <v>9000000000</v>
      </c>
      <c r="J247" s="1849">
        <f t="shared" si="40"/>
        <v>9000000000</v>
      </c>
      <c r="K247" s="1849">
        <f t="shared" si="40"/>
        <v>9000000000</v>
      </c>
      <c r="L247" s="1849">
        <f t="shared" si="40"/>
        <v>9000000000</v>
      </c>
      <c r="M247" s="1849">
        <f t="shared" si="40"/>
        <v>9000000000</v>
      </c>
      <c r="N247" s="1849">
        <f t="shared" si="40"/>
        <v>9000000000</v>
      </c>
      <c r="O247" s="206">
        <f>250*36*NAIRA2010_/Unit.MWh</f>
        <v>9000000000</v>
      </c>
    </row>
    <row r="248" spans="2:15" ht="15.75" x14ac:dyDescent="0.25">
      <c r="B248" s="475"/>
      <c r="C248" s="237"/>
      <c r="D248" s="1414" t="s">
        <v>740</v>
      </c>
      <c r="E248" s="1416"/>
      <c r="F248" s="188">
        <f>(O248-G248)/(O$245-G$245)</f>
        <v>0</v>
      </c>
      <c r="G248" s="206">
        <f>250*22*NAIRA2010_/Unit.MWh</f>
        <v>5500000000</v>
      </c>
      <c r="H248" s="1849">
        <f t="shared" si="40"/>
        <v>5500000000</v>
      </c>
      <c r="I248" s="1849">
        <f t="shared" si="40"/>
        <v>5500000000</v>
      </c>
      <c r="J248" s="1849">
        <f t="shared" si="40"/>
        <v>5500000000</v>
      </c>
      <c r="K248" s="1849">
        <f t="shared" si="40"/>
        <v>5500000000</v>
      </c>
      <c r="L248" s="1849">
        <f t="shared" si="40"/>
        <v>5500000000</v>
      </c>
      <c r="M248" s="1849">
        <f t="shared" si="40"/>
        <v>5500000000</v>
      </c>
      <c r="N248" s="1849">
        <f t="shared" si="40"/>
        <v>5500000000</v>
      </c>
      <c r="O248" s="206">
        <f>250*22*NAIRA2010_/Unit.MWh</f>
        <v>5500000000</v>
      </c>
    </row>
    <row r="249" spans="2:15" ht="15.75" x14ac:dyDescent="0.25">
      <c r="B249" s="475"/>
      <c r="C249" s="237"/>
      <c r="D249" s="1414" t="s">
        <v>741</v>
      </c>
      <c r="E249" s="1416"/>
      <c r="F249" s="188">
        <f>(O249-G249)/(O$245-G$245)</f>
        <v>0</v>
      </c>
      <c r="G249" s="206">
        <f>250*25*NAIRA2010_/Unit.MWh</f>
        <v>6250000000</v>
      </c>
      <c r="H249" s="1849">
        <f t="shared" si="40"/>
        <v>6250000000</v>
      </c>
      <c r="I249" s="1849">
        <f t="shared" si="40"/>
        <v>6250000000</v>
      </c>
      <c r="J249" s="1849">
        <f t="shared" si="40"/>
        <v>6250000000</v>
      </c>
      <c r="K249" s="1849">
        <f t="shared" si="40"/>
        <v>6250000000</v>
      </c>
      <c r="L249" s="1849">
        <f t="shared" si="40"/>
        <v>6250000000</v>
      </c>
      <c r="M249" s="1849">
        <f t="shared" si="40"/>
        <v>6250000000</v>
      </c>
      <c r="N249" s="1849">
        <f t="shared" si="40"/>
        <v>6250000000</v>
      </c>
      <c r="O249" s="206">
        <f>250*25*NAIRA2010_/Unit.MWh</f>
        <v>6250000000</v>
      </c>
    </row>
    <row r="250" spans="2:15" ht="15.75" x14ac:dyDescent="0.25">
      <c r="B250" s="475"/>
      <c r="C250" s="1096"/>
      <c r="D250" s="199" t="s">
        <v>742</v>
      </c>
      <c r="E250" s="524"/>
      <c r="F250" s="191">
        <f>(O250-G250)/(O$245-G$245)</f>
        <v>0</v>
      </c>
      <c r="G250" s="686">
        <f>250*22*NAIRA2010_/Unit.MWh</f>
        <v>5500000000</v>
      </c>
      <c r="H250" s="1850">
        <f t="shared" si="40"/>
        <v>5500000000</v>
      </c>
      <c r="I250" s="1850">
        <f t="shared" si="40"/>
        <v>5500000000</v>
      </c>
      <c r="J250" s="1850">
        <f t="shared" si="40"/>
        <v>5500000000</v>
      </c>
      <c r="K250" s="1850">
        <f t="shared" si="40"/>
        <v>5500000000</v>
      </c>
      <c r="L250" s="1850">
        <f t="shared" si="40"/>
        <v>5500000000</v>
      </c>
      <c r="M250" s="1850">
        <f t="shared" si="40"/>
        <v>5500000000</v>
      </c>
      <c r="N250" s="1850">
        <f t="shared" si="40"/>
        <v>5500000000</v>
      </c>
      <c r="O250" s="686">
        <f>250*22*NAIRA2010_/Unit.MWh</f>
        <v>5500000000</v>
      </c>
    </row>
    <row r="251" spans="2:15" ht="15.75" x14ac:dyDescent="0.25">
      <c r="B251" s="475"/>
      <c r="C251" s="237"/>
      <c r="D251" s="1415"/>
      <c r="E251" s="1415"/>
      <c r="F251" s="188"/>
      <c r="G251" s="954"/>
      <c r="H251" s="1849"/>
      <c r="I251" s="1849"/>
      <c r="J251" s="1849"/>
      <c r="K251" s="1849"/>
      <c r="L251" s="1849"/>
      <c r="M251" s="1849"/>
      <c r="N251" s="1849"/>
      <c r="O251" s="954"/>
    </row>
    <row r="252" spans="2:15" ht="15.75" x14ac:dyDescent="0.25">
      <c r="B252" s="475"/>
      <c r="C252" s="1417" t="str">
        <f>"High estimate cost of land use improvement"</f>
        <v>High estimate cost of land use improvement</v>
      </c>
      <c r="D252" s="1415"/>
      <c r="E252" s="1415"/>
      <c r="F252" s="1377"/>
      <c r="G252" s="1377"/>
      <c r="H252" s="1377"/>
      <c r="I252" s="1377"/>
      <c r="J252" s="1377"/>
      <c r="K252" s="1377"/>
      <c r="L252" s="1377"/>
      <c r="M252" s="1377"/>
      <c r="N252" s="1377"/>
      <c r="O252" s="1886" t="str">
        <f>Preferences.moneyunits&amp;"/MtCO2e"</f>
        <v>N/MtCO2e</v>
      </c>
    </row>
    <row r="253" spans="2:15" ht="15.75" x14ac:dyDescent="0.25">
      <c r="B253" s="475"/>
      <c r="C253" s="1905" t="s">
        <v>264</v>
      </c>
      <c r="D253" s="1905" t="s">
        <v>65</v>
      </c>
      <c r="E253" s="1905" t="s">
        <v>1489</v>
      </c>
      <c r="F253" s="1567" t="s">
        <v>1321</v>
      </c>
      <c r="G253" s="1845">
        <v>2010</v>
      </c>
      <c r="H253" s="1845">
        <v>2015</v>
      </c>
      <c r="I253" s="1845">
        <v>2020</v>
      </c>
      <c r="J253" s="1845">
        <v>2025</v>
      </c>
      <c r="K253" s="1845">
        <v>2030</v>
      </c>
      <c r="L253" s="1845">
        <v>2035</v>
      </c>
      <c r="M253" s="1845">
        <v>2040</v>
      </c>
      <c r="N253" s="1845">
        <v>2045</v>
      </c>
      <c r="O253" s="1845">
        <v>2050</v>
      </c>
    </row>
    <row r="254" spans="2:15" ht="15.75" customHeight="1" x14ac:dyDescent="0.25">
      <c r="B254" s="475"/>
      <c r="C254" s="1881"/>
      <c r="D254" s="1101" t="s">
        <v>1490</v>
      </c>
      <c r="E254" s="1906">
        <v>1.9</v>
      </c>
      <c r="F254" s="1847">
        <f>(O254-G254)/(O$253-G$253)</f>
        <v>0</v>
      </c>
      <c r="G254" s="1272">
        <f>(250*7*NAIRA2010_)</f>
        <v>1750</v>
      </c>
      <c r="H254" s="1852">
        <f>($F254*(H$253-G$253))+G254</f>
        <v>1750</v>
      </c>
      <c r="I254" s="1852">
        <f t="shared" ref="I254:N254" si="41">($F254*(I$253-H$253))+H254</f>
        <v>1750</v>
      </c>
      <c r="J254" s="1852">
        <f t="shared" si="41"/>
        <v>1750</v>
      </c>
      <c r="K254" s="1852">
        <f t="shared" si="41"/>
        <v>1750</v>
      </c>
      <c r="L254" s="1852">
        <f t="shared" si="41"/>
        <v>1750</v>
      </c>
      <c r="M254" s="1852">
        <f t="shared" si="41"/>
        <v>1750</v>
      </c>
      <c r="N254" s="1852">
        <f t="shared" si="41"/>
        <v>1750</v>
      </c>
      <c r="O254" s="1272">
        <f>(250*7*NAIRA2010_)</f>
        <v>1750</v>
      </c>
    </row>
    <row r="255" spans="2:15" ht="15.75" x14ac:dyDescent="0.25">
      <c r="B255" s="475"/>
      <c r="C255" s="237"/>
      <c r="D255" s="177" t="s">
        <v>1491</v>
      </c>
      <c r="E255" s="954">
        <v>1.5</v>
      </c>
      <c r="F255" s="188">
        <f>(O255-G255)/(O$253-G$253)</f>
        <v>0</v>
      </c>
      <c r="G255" s="206">
        <f>(250*52*NAIRA2010_)</f>
        <v>13000</v>
      </c>
      <c r="H255" s="1849">
        <f>($F255*(H$253-G$253))+G255</f>
        <v>13000</v>
      </c>
      <c r="I255" s="1849">
        <f t="shared" ref="I255:N255" si="42">($F255*(I$253-H$253))+H255</f>
        <v>13000</v>
      </c>
      <c r="J255" s="1849">
        <f t="shared" si="42"/>
        <v>13000</v>
      </c>
      <c r="K255" s="1849">
        <f t="shared" si="42"/>
        <v>13000</v>
      </c>
      <c r="L255" s="1849">
        <f t="shared" si="42"/>
        <v>13000</v>
      </c>
      <c r="M255" s="1849">
        <f t="shared" si="42"/>
        <v>13000</v>
      </c>
      <c r="N255" s="1849">
        <f t="shared" si="42"/>
        <v>13000</v>
      </c>
      <c r="O255" s="206">
        <f>(250*52*NAIRA2010_)</f>
        <v>13000</v>
      </c>
    </row>
    <row r="256" spans="2:15" ht="15.75" x14ac:dyDescent="0.25">
      <c r="B256" s="475"/>
      <c r="C256" s="237"/>
      <c r="D256" s="1414" t="s">
        <v>1492</v>
      </c>
      <c r="E256" s="1415"/>
      <c r="F256" s="188">
        <f>(O256-G256)/(O$253-G$253)</f>
        <v>0</v>
      </c>
      <c r="G256" s="206">
        <f>(250*161*NAIRA2010_)</f>
        <v>40250</v>
      </c>
      <c r="H256" s="1849">
        <f>($F256*(H$253-G$253))+G256</f>
        <v>40250</v>
      </c>
      <c r="I256" s="1849">
        <f t="shared" ref="I256:N256" si="43">($F256*(I$253-H$253))+H256</f>
        <v>40250</v>
      </c>
      <c r="J256" s="1849">
        <f t="shared" si="43"/>
        <v>40250</v>
      </c>
      <c r="K256" s="1849">
        <f t="shared" si="43"/>
        <v>40250</v>
      </c>
      <c r="L256" s="1849">
        <f t="shared" si="43"/>
        <v>40250</v>
      </c>
      <c r="M256" s="1849">
        <f t="shared" si="43"/>
        <v>40250</v>
      </c>
      <c r="N256" s="1849">
        <f t="shared" si="43"/>
        <v>40250</v>
      </c>
      <c r="O256" s="206">
        <f>(250*161*NAIRA2010_)</f>
        <v>40250</v>
      </c>
    </row>
    <row r="257" spans="2:15" ht="15.75" x14ac:dyDescent="0.25">
      <c r="B257" s="475"/>
      <c r="C257" s="1096"/>
      <c r="D257" s="199" t="s">
        <v>1493</v>
      </c>
      <c r="E257" s="200"/>
      <c r="F257" s="191">
        <f>(O257-G257)/(O$253-G$253)</f>
        <v>0</v>
      </c>
      <c r="G257" s="686">
        <f>(250*140*NAIRA2010_)</f>
        <v>35000</v>
      </c>
      <c r="H257" s="1850">
        <f>($F257*(H$253-G$253))+G257</f>
        <v>35000</v>
      </c>
      <c r="I257" s="1850">
        <f t="shared" ref="I257:N257" si="44">($F257*(I$253-H$253))+H257</f>
        <v>35000</v>
      </c>
      <c r="J257" s="1850">
        <f t="shared" si="44"/>
        <v>35000</v>
      </c>
      <c r="K257" s="1850">
        <f t="shared" si="44"/>
        <v>35000</v>
      </c>
      <c r="L257" s="1850">
        <f t="shared" si="44"/>
        <v>35000</v>
      </c>
      <c r="M257" s="1850">
        <f t="shared" si="44"/>
        <v>35000</v>
      </c>
      <c r="N257" s="1850">
        <f t="shared" si="44"/>
        <v>35000</v>
      </c>
      <c r="O257" s="686">
        <f>(250*140*NAIRA2010_)</f>
        <v>35000</v>
      </c>
    </row>
    <row r="258" spans="2:15" ht="15.75" x14ac:dyDescent="0.25">
      <c r="B258" s="475"/>
      <c r="C258" s="237"/>
      <c r="D258" s="1415"/>
      <c r="E258" s="1415"/>
      <c r="F258" s="188"/>
      <c r="G258" s="954"/>
      <c r="H258" s="1849"/>
      <c r="I258" s="1849"/>
      <c r="J258" s="1849"/>
      <c r="K258" s="1849"/>
      <c r="L258" s="1849"/>
      <c r="M258" s="1849"/>
      <c r="N258" s="1849"/>
      <c r="O258" s="954"/>
    </row>
    <row r="259" spans="2:15" ht="15.75" x14ac:dyDescent="0.25">
      <c r="B259" s="475"/>
      <c r="C259" s="1417" t="str">
        <f>"Point estimate cost of different bio-energy resources"</f>
        <v>Point estimate cost of different bio-energy resources</v>
      </c>
      <c r="D259" s="177"/>
      <c r="E259" s="1416"/>
      <c r="F259" s="1886"/>
      <c r="G259" s="1886"/>
      <c r="H259" s="1886"/>
      <c r="I259" s="1886"/>
      <c r="J259" s="1417"/>
      <c r="K259" s="1416"/>
      <c r="L259" s="1416"/>
      <c r="M259" s="1416"/>
      <c r="N259" s="1377"/>
      <c r="O259" s="1886" t="str">
        <f>Preferences.moneyunits&amp;"/"&amp;Preferences.EnergyUnits</f>
        <v>N/TWh</v>
      </c>
    </row>
    <row r="260" spans="2:15" ht="15.75" customHeight="1" x14ac:dyDescent="0.25">
      <c r="B260" s="475"/>
      <c r="C260" s="180" t="s">
        <v>264</v>
      </c>
      <c r="D260" s="1914" t="s">
        <v>65</v>
      </c>
      <c r="E260" s="1252"/>
      <c r="F260" s="1567" t="s">
        <v>1321</v>
      </c>
      <c r="G260" s="1845">
        <v>2010</v>
      </c>
      <c r="H260" s="1845">
        <v>2015</v>
      </c>
      <c r="I260" s="1845">
        <v>2020</v>
      </c>
      <c r="J260" s="1845">
        <v>2025</v>
      </c>
      <c r="K260" s="1845">
        <v>2030</v>
      </c>
      <c r="L260" s="1845">
        <v>2035</v>
      </c>
      <c r="M260" s="1845">
        <v>2040</v>
      </c>
      <c r="N260" s="1845">
        <v>2045</v>
      </c>
      <c r="O260" s="1845">
        <v>2050</v>
      </c>
    </row>
    <row r="261" spans="2:15" ht="15.75" x14ac:dyDescent="0.25">
      <c r="B261" s="475"/>
      <c r="C261" s="1881"/>
      <c r="D261" s="1101" t="s">
        <v>1166</v>
      </c>
      <c r="E261" s="1904"/>
      <c r="F261" s="1847">
        <f>(O261-G261)/(O$245-G$245)</f>
        <v>0</v>
      </c>
      <c r="G261" s="1272">
        <f>250*18.1718*NAIRA2010_/Unit.GJ</f>
        <v>16354620000</v>
      </c>
      <c r="H261" s="1852">
        <f t="shared" ref="H261:N265" si="45">($F261*(H$245-G$245))+G261</f>
        <v>16354620000</v>
      </c>
      <c r="I261" s="1852">
        <f t="shared" si="45"/>
        <v>16354620000</v>
      </c>
      <c r="J261" s="1852">
        <f t="shared" si="45"/>
        <v>16354620000</v>
      </c>
      <c r="K261" s="1852">
        <f t="shared" si="45"/>
        <v>16354620000</v>
      </c>
      <c r="L261" s="1852">
        <f t="shared" si="45"/>
        <v>16354620000</v>
      </c>
      <c r="M261" s="1852">
        <f t="shared" si="45"/>
        <v>16354620000</v>
      </c>
      <c r="N261" s="1852">
        <f t="shared" si="45"/>
        <v>16354620000</v>
      </c>
      <c r="O261" s="1272">
        <f>250*18.1718*NAIRA2010_/Unit.GJ</f>
        <v>16354620000</v>
      </c>
    </row>
    <row r="262" spans="2:15" ht="15.75" x14ac:dyDescent="0.25">
      <c r="B262" s="475"/>
      <c r="C262" s="237"/>
      <c r="D262" s="1414" t="s">
        <v>1160</v>
      </c>
      <c r="E262" s="1416"/>
      <c r="F262" s="188">
        <f>(O262-G262)/(O$245-G$245)</f>
        <v>0</v>
      </c>
      <c r="G262" s="206">
        <f>250*4.7751*NAIRA2010_/Unit.GJ</f>
        <v>4297590000.000001</v>
      </c>
      <c r="H262" s="1849">
        <f t="shared" si="45"/>
        <v>4297590000.000001</v>
      </c>
      <c r="I262" s="1849">
        <f t="shared" si="45"/>
        <v>4297590000.000001</v>
      </c>
      <c r="J262" s="1849">
        <f t="shared" si="45"/>
        <v>4297590000.000001</v>
      </c>
      <c r="K262" s="1849">
        <f t="shared" si="45"/>
        <v>4297590000.000001</v>
      </c>
      <c r="L262" s="1849">
        <f t="shared" si="45"/>
        <v>4297590000.000001</v>
      </c>
      <c r="M262" s="1849">
        <f t="shared" si="45"/>
        <v>4297590000.000001</v>
      </c>
      <c r="N262" s="1849">
        <f t="shared" si="45"/>
        <v>4297590000.000001</v>
      </c>
      <c r="O262" s="206">
        <f>250*4.7751*NAIRA2010_/Unit.GJ</f>
        <v>4297590000.000001</v>
      </c>
    </row>
    <row r="263" spans="2:15" ht="15.75" x14ac:dyDescent="0.25">
      <c r="B263" s="475"/>
      <c r="C263" s="237"/>
      <c r="D263" s="1414" t="s">
        <v>740</v>
      </c>
      <c r="E263" s="1416"/>
      <c r="F263" s="188">
        <f>(O263-G263)/(O$245-G$245)</f>
        <v>0</v>
      </c>
      <c r="G263" s="206">
        <f>250*4.7751*NAIRA2010_/Unit.GJ</f>
        <v>4297590000.000001</v>
      </c>
      <c r="H263" s="1055">
        <f t="shared" si="45"/>
        <v>4297590000.000001</v>
      </c>
      <c r="I263" s="1055">
        <f t="shared" si="45"/>
        <v>4297590000.000001</v>
      </c>
      <c r="J263" s="1055">
        <f t="shared" si="45"/>
        <v>4297590000.000001</v>
      </c>
      <c r="K263" s="1055">
        <f t="shared" si="45"/>
        <v>4297590000.000001</v>
      </c>
      <c r="L263" s="1055">
        <f t="shared" si="45"/>
        <v>4297590000.000001</v>
      </c>
      <c r="M263" s="1055">
        <f t="shared" si="45"/>
        <v>4297590000.000001</v>
      </c>
      <c r="N263" s="1055">
        <f t="shared" si="45"/>
        <v>4297590000.000001</v>
      </c>
      <c r="O263" s="206">
        <f>250*4.7751*NAIRA2010_/Unit.GJ</f>
        <v>4297590000.000001</v>
      </c>
    </row>
    <row r="264" spans="2:15" ht="15.75" x14ac:dyDescent="0.25">
      <c r="B264" s="475"/>
      <c r="C264" s="237"/>
      <c r="D264" s="1414" t="s">
        <v>741</v>
      </c>
      <c r="E264" s="1416"/>
      <c r="F264" s="188">
        <f>(O264-G264)/(O$245-G$245)</f>
        <v>0</v>
      </c>
      <c r="G264" s="206">
        <f>250*4.7751*NAIRA2010_/Unit.GJ</f>
        <v>4297590000.000001</v>
      </c>
      <c r="H264" s="1849">
        <f t="shared" si="45"/>
        <v>4297590000.000001</v>
      </c>
      <c r="I264" s="1849">
        <f t="shared" si="45"/>
        <v>4297590000.000001</v>
      </c>
      <c r="J264" s="1849">
        <f t="shared" si="45"/>
        <v>4297590000.000001</v>
      </c>
      <c r="K264" s="1849">
        <f t="shared" si="45"/>
        <v>4297590000.000001</v>
      </c>
      <c r="L264" s="1849">
        <f t="shared" si="45"/>
        <v>4297590000.000001</v>
      </c>
      <c r="M264" s="1849">
        <f t="shared" si="45"/>
        <v>4297590000.000001</v>
      </c>
      <c r="N264" s="1849">
        <f t="shared" si="45"/>
        <v>4297590000.000001</v>
      </c>
      <c r="O264" s="206">
        <f>250*4.7751*NAIRA2010_/Unit.GJ</f>
        <v>4297590000.000001</v>
      </c>
    </row>
    <row r="265" spans="2:15" ht="15.75" customHeight="1" x14ac:dyDescent="0.2">
      <c r="B265" s="1419"/>
      <c r="C265" s="1096"/>
      <c r="D265" s="199" t="s">
        <v>742</v>
      </c>
      <c r="E265" s="524"/>
      <c r="F265" s="191">
        <f>(O265-G265)/(O$245-G$245)</f>
        <v>0</v>
      </c>
      <c r="G265" s="686">
        <f>250*4.7751*NAIRA2010_/Unit.GJ</f>
        <v>4297590000.000001</v>
      </c>
      <c r="H265" s="1850">
        <f t="shared" si="45"/>
        <v>4297590000.000001</v>
      </c>
      <c r="I265" s="1850">
        <f t="shared" si="45"/>
        <v>4297590000.000001</v>
      </c>
      <c r="J265" s="1850">
        <f t="shared" si="45"/>
        <v>4297590000.000001</v>
      </c>
      <c r="K265" s="1850">
        <f t="shared" si="45"/>
        <v>4297590000.000001</v>
      </c>
      <c r="L265" s="1850">
        <f t="shared" si="45"/>
        <v>4297590000.000001</v>
      </c>
      <c r="M265" s="1850">
        <f t="shared" si="45"/>
        <v>4297590000.000001</v>
      </c>
      <c r="N265" s="1850">
        <f t="shared" si="45"/>
        <v>4297590000.000001</v>
      </c>
      <c r="O265" s="686">
        <f>250*4.7751*NAIRA2010_/Unit.GJ</f>
        <v>4297590000.000001</v>
      </c>
    </row>
    <row r="266" spans="2:15" x14ac:dyDescent="0.2">
      <c r="B266" s="1419"/>
      <c r="C266" s="237"/>
      <c r="D266" s="1415"/>
      <c r="E266" s="1415"/>
      <c r="F266" s="188"/>
      <c r="G266" s="954"/>
      <c r="H266" s="1849"/>
      <c r="I266" s="1849"/>
      <c r="J266" s="1849"/>
      <c r="K266" s="1849"/>
      <c r="L266" s="1849"/>
      <c r="M266" s="1849"/>
      <c r="N266" s="1849"/>
      <c r="O266" s="954"/>
    </row>
    <row r="267" spans="2:15" x14ac:dyDescent="0.2">
      <c r="B267" s="1419"/>
      <c r="C267" s="1417" t="str">
        <f>"Point estimate cost of land use improvement"</f>
        <v>Point estimate cost of land use improvement</v>
      </c>
      <c r="D267" s="1415"/>
      <c r="E267" s="1415"/>
      <c r="F267" s="1377"/>
      <c r="G267" s="1377"/>
      <c r="H267" s="1377"/>
      <c r="I267" s="1377"/>
      <c r="J267" s="1377"/>
      <c r="K267" s="1377"/>
      <c r="L267" s="1377"/>
      <c r="M267" s="1377"/>
      <c r="N267" s="1377"/>
      <c r="O267" s="1886" t="str">
        <f>Preferences.moneyunits&amp;"/MtCO2e"</f>
        <v>N/MtCO2e</v>
      </c>
    </row>
    <row r="268" spans="2:15" x14ac:dyDescent="0.2">
      <c r="B268" s="1419"/>
      <c r="C268" s="1905" t="s">
        <v>264</v>
      </c>
      <c r="D268" s="1905" t="s">
        <v>65</v>
      </c>
      <c r="E268" s="1905" t="s">
        <v>1489</v>
      </c>
      <c r="F268" s="1567" t="s">
        <v>1321</v>
      </c>
      <c r="G268" s="1845">
        <v>2010</v>
      </c>
      <c r="H268" s="1845">
        <v>2015</v>
      </c>
      <c r="I268" s="1845">
        <v>2020</v>
      </c>
      <c r="J268" s="1845">
        <v>2025</v>
      </c>
      <c r="K268" s="1845">
        <v>2030</v>
      </c>
      <c r="L268" s="1845">
        <v>2035</v>
      </c>
      <c r="M268" s="1845">
        <v>2040</v>
      </c>
      <c r="N268" s="1845">
        <v>2045</v>
      </c>
      <c r="O268" s="1845">
        <v>2050</v>
      </c>
    </row>
    <row r="269" spans="2:15" x14ac:dyDescent="0.2">
      <c r="B269" s="1419"/>
      <c r="C269" s="1881"/>
      <c r="D269" s="1101" t="s">
        <v>1490</v>
      </c>
      <c r="E269" s="1906">
        <v>1.9</v>
      </c>
      <c r="F269" s="1847">
        <f>(O269-G269)/(O$253-G$253)</f>
        <v>0</v>
      </c>
      <c r="G269" s="2103">
        <f t="shared" ref="G269:G272" si="46">(G284+((G254-G284)*0.35))</f>
        <v>612.5</v>
      </c>
      <c r="H269" s="1852">
        <f>($F269*(H$253-G$253))+G269</f>
        <v>612.5</v>
      </c>
      <c r="I269" s="1852">
        <f t="shared" ref="I269:N269" si="47">($F269*(I$253-H$253))+H269</f>
        <v>612.5</v>
      </c>
      <c r="J269" s="1852">
        <f t="shared" si="47"/>
        <v>612.5</v>
      </c>
      <c r="K269" s="1852">
        <f t="shared" si="47"/>
        <v>612.5</v>
      </c>
      <c r="L269" s="1852">
        <f t="shared" si="47"/>
        <v>612.5</v>
      </c>
      <c r="M269" s="1852">
        <f t="shared" si="47"/>
        <v>612.5</v>
      </c>
      <c r="N269" s="1852">
        <f t="shared" si="47"/>
        <v>612.5</v>
      </c>
      <c r="O269" s="2103">
        <f>(O284+((O254-O284)*0.35))</f>
        <v>612.5</v>
      </c>
    </row>
    <row r="270" spans="2:15" x14ac:dyDescent="0.2">
      <c r="B270" s="1419"/>
      <c r="C270" s="237"/>
      <c r="D270" s="177" t="s">
        <v>1491</v>
      </c>
      <c r="E270" s="954">
        <v>1.5</v>
      </c>
      <c r="F270" s="188">
        <f>(O270-G270)/(O$253-G$253)</f>
        <v>0</v>
      </c>
      <c r="G270" s="2104">
        <f t="shared" si="46"/>
        <v>4550</v>
      </c>
      <c r="H270" s="1849">
        <f t="shared" ref="H270:N270" si="48">($F270*(H$253-G$253))+G270</f>
        <v>4550</v>
      </c>
      <c r="I270" s="1849">
        <f t="shared" si="48"/>
        <v>4550</v>
      </c>
      <c r="J270" s="1849">
        <f t="shared" si="48"/>
        <v>4550</v>
      </c>
      <c r="K270" s="1849">
        <f t="shared" si="48"/>
        <v>4550</v>
      </c>
      <c r="L270" s="1849">
        <f t="shared" si="48"/>
        <v>4550</v>
      </c>
      <c r="M270" s="1849">
        <f t="shared" si="48"/>
        <v>4550</v>
      </c>
      <c r="N270" s="1849">
        <f t="shared" si="48"/>
        <v>4550</v>
      </c>
      <c r="O270" s="2104">
        <f>(O285+((O255-O285)*0.35))</f>
        <v>4550</v>
      </c>
    </row>
    <row r="271" spans="2:15" x14ac:dyDescent="0.2">
      <c r="B271" s="477"/>
      <c r="C271" s="237"/>
      <c r="D271" s="1414" t="s">
        <v>1492</v>
      </c>
      <c r="E271" s="1415"/>
      <c r="F271" s="188">
        <f>(O271-G271)/(O$253-G$253)</f>
        <v>0</v>
      </c>
      <c r="G271" s="2104">
        <f t="shared" si="46"/>
        <v>14087.5</v>
      </c>
      <c r="H271" s="1849">
        <f t="shared" ref="H271:N271" si="49">($F271*(H$253-G$253))+G271</f>
        <v>14087.5</v>
      </c>
      <c r="I271" s="1849">
        <f t="shared" si="49"/>
        <v>14087.5</v>
      </c>
      <c r="J271" s="1849">
        <f t="shared" si="49"/>
        <v>14087.5</v>
      </c>
      <c r="K271" s="1849">
        <f t="shared" si="49"/>
        <v>14087.5</v>
      </c>
      <c r="L271" s="1849">
        <f t="shared" si="49"/>
        <v>14087.5</v>
      </c>
      <c r="M271" s="1849">
        <f t="shared" si="49"/>
        <v>14087.5</v>
      </c>
      <c r="N271" s="1849">
        <f t="shared" si="49"/>
        <v>14087.5</v>
      </c>
      <c r="O271" s="2104">
        <f>(O286+((O256-O286)*0.35))</f>
        <v>14087.5</v>
      </c>
    </row>
    <row r="272" spans="2:15" x14ac:dyDescent="0.2">
      <c r="B272" s="477"/>
      <c r="C272" s="1096"/>
      <c r="D272" s="199" t="s">
        <v>1493</v>
      </c>
      <c r="E272" s="200"/>
      <c r="F272" s="191">
        <f>(O272-G272)/(O$253-G$253)</f>
        <v>0</v>
      </c>
      <c r="G272" s="2105">
        <f t="shared" si="46"/>
        <v>23625</v>
      </c>
      <c r="H272" s="1850">
        <f t="shared" ref="H272:N272" si="50">($F272*(H$253-G$253))+G272</f>
        <v>23625</v>
      </c>
      <c r="I272" s="1850">
        <f t="shared" si="50"/>
        <v>23625</v>
      </c>
      <c r="J272" s="1850">
        <f t="shared" si="50"/>
        <v>23625</v>
      </c>
      <c r="K272" s="1850">
        <f t="shared" si="50"/>
        <v>23625</v>
      </c>
      <c r="L272" s="1850">
        <f t="shared" si="50"/>
        <v>23625</v>
      </c>
      <c r="M272" s="1850">
        <f t="shared" si="50"/>
        <v>23625</v>
      </c>
      <c r="N272" s="1850">
        <f t="shared" si="50"/>
        <v>23625</v>
      </c>
      <c r="O272" s="2105">
        <f>(O287+((O257-O287)*0.35))</f>
        <v>23625</v>
      </c>
    </row>
    <row r="273" spans="2:15" ht="15.75" collapsed="1" x14ac:dyDescent="0.25">
      <c r="B273" s="475"/>
      <c r="C273" s="237"/>
      <c r="D273" s="1415"/>
      <c r="E273" s="1415"/>
      <c r="F273" s="188"/>
      <c r="G273" s="954"/>
      <c r="H273" s="1849"/>
      <c r="I273" s="1849"/>
      <c r="J273" s="1849"/>
      <c r="K273" s="1849"/>
      <c r="L273" s="1849"/>
      <c r="M273" s="1849"/>
      <c r="N273" s="1849"/>
      <c r="O273" s="954"/>
    </row>
    <row r="274" spans="2:15" ht="15.75" x14ac:dyDescent="0.25">
      <c r="B274" s="475"/>
      <c r="C274" s="1417" t="str">
        <f>"Low estimate cost of different bio-energy resources"</f>
        <v>Low estimate cost of different bio-energy resources</v>
      </c>
      <c r="D274" s="177"/>
      <c r="E274" s="1416"/>
      <c r="F274" s="1886"/>
      <c r="G274" s="1886"/>
      <c r="H274" s="1886"/>
      <c r="I274" s="1886"/>
      <c r="J274" s="1417"/>
      <c r="K274" s="1416"/>
      <c r="L274" s="1416"/>
      <c r="M274" s="1416"/>
      <c r="N274" s="1377"/>
      <c r="O274" s="1886" t="str">
        <f>Preferences.moneyunits&amp;"/"&amp;Preferences.EnergyUnits</f>
        <v>N/TWh</v>
      </c>
    </row>
    <row r="275" spans="2:15" ht="15.75" x14ac:dyDescent="0.25">
      <c r="B275" s="475"/>
      <c r="C275" s="180" t="s">
        <v>264</v>
      </c>
      <c r="D275" s="1914" t="s">
        <v>65</v>
      </c>
      <c r="E275" s="1252"/>
      <c r="F275" s="1544" t="s">
        <v>1321</v>
      </c>
      <c r="G275" s="1546">
        <v>2010</v>
      </c>
      <c r="H275" s="1845">
        <v>2015</v>
      </c>
      <c r="I275" s="1845">
        <v>2020</v>
      </c>
      <c r="J275" s="1845">
        <v>2025</v>
      </c>
      <c r="K275" s="1845">
        <v>2030</v>
      </c>
      <c r="L275" s="1845">
        <v>2035</v>
      </c>
      <c r="M275" s="1845">
        <v>2040</v>
      </c>
      <c r="N275" s="1845">
        <v>2045</v>
      </c>
      <c r="O275" s="1845">
        <v>2050</v>
      </c>
    </row>
    <row r="276" spans="2:15" ht="15.75" x14ac:dyDescent="0.25">
      <c r="B276" s="475"/>
      <c r="C276" s="1881"/>
      <c r="D276" s="1101" t="s">
        <v>1166</v>
      </c>
      <c r="E276" s="1904"/>
      <c r="F276" s="1847">
        <f>(O276-G276)/(O$245-G$245)</f>
        <v>0</v>
      </c>
      <c r="G276" s="1272">
        <f>250*20*NAIRA2010_/Unit.MWh</f>
        <v>5000000000</v>
      </c>
      <c r="H276" s="1852">
        <f t="shared" ref="H276:N280" si="51">($F276*(H$245-G$245))+G276</f>
        <v>5000000000</v>
      </c>
      <c r="I276" s="1852">
        <f t="shared" si="51"/>
        <v>5000000000</v>
      </c>
      <c r="J276" s="1852">
        <f t="shared" si="51"/>
        <v>5000000000</v>
      </c>
      <c r="K276" s="1852">
        <f t="shared" si="51"/>
        <v>5000000000</v>
      </c>
      <c r="L276" s="1852">
        <f t="shared" si="51"/>
        <v>5000000000</v>
      </c>
      <c r="M276" s="1852">
        <f t="shared" si="51"/>
        <v>5000000000</v>
      </c>
      <c r="N276" s="1852">
        <f t="shared" si="51"/>
        <v>5000000000</v>
      </c>
      <c r="O276" s="1272">
        <f>250*20*NAIRA2010_/Unit.MWh</f>
        <v>5000000000</v>
      </c>
    </row>
    <row r="277" spans="2:15" ht="15.75" x14ac:dyDescent="0.25">
      <c r="B277" s="475"/>
      <c r="C277" s="237"/>
      <c r="D277" s="1414" t="s">
        <v>1160</v>
      </c>
      <c r="E277" s="1416"/>
      <c r="F277" s="188">
        <f>(O277-G277)/(O$245-G$245)</f>
        <v>0</v>
      </c>
      <c r="G277" s="206">
        <f>250*7*NAIRA2010_/Unit.MWh</f>
        <v>1750000000</v>
      </c>
      <c r="H277" s="1849">
        <f t="shared" si="51"/>
        <v>1750000000</v>
      </c>
      <c r="I277" s="1849">
        <f t="shared" si="51"/>
        <v>1750000000</v>
      </c>
      <c r="J277" s="1849">
        <f t="shared" si="51"/>
        <v>1750000000</v>
      </c>
      <c r="K277" s="1849">
        <f t="shared" si="51"/>
        <v>1750000000</v>
      </c>
      <c r="L277" s="1849">
        <f t="shared" si="51"/>
        <v>1750000000</v>
      </c>
      <c r="M277" s="1849">
        <f t="shared" si="51"/>
        <v>1750000000</v>
      </c>
      <c r="N277" s="1849">
        <f t="shared" si="51"/>
        <v>1750000000</v>
      </c>
      <c r="O277" s="206">
        <f>250*7*NAIRA2010_/Unit.MWh</f>
        <v>1750000000</v>
      </c>
    </row>
    <row r="278" spans="2:15" ht="15.75" customHeight="1" x14ac:dyDescent="0.25">
      <c r="B278" s="475"/>
      <c r="C278" s="237"/>
      <c r="D278" s="1414" t="s">
        <v>740</v>
      </c>
      <c r="E278" s="1416"/>
      <c r="F278" s="188">
        <f>(O278-G278)/(O$245-G$245)</f>
        <v>0</v>
      </c>
      <c r="G278" s="206">
        <f>250*4*NAIRA2010_/Unit.MWh</f>
        <v>1000000000</v>
      </c>
      <c r="H278" s="1849">
        <f t="shared" si="51"/>
        <v>1000000000</v>
      </c>
      <c r="I278" s="1849">
        <f t="shared" si="51"/>
        <v>1000000000</v>
      </c>
      <c r="J278" s="1849">
        <f t="shared" si="51"/>
        <v>1000000000</v>
      </c>
      <c r="K278" s="1849">
        <f t="shared" si="51"/>
        <v>1000000000</v>
      </c>
      <c r="L278" s="1849">
        <f t="shared" si="51"/>
        <v>1000000000</v>
      </c>
      <c r="M278" s="1849">
        <f t="shared" si="51"/>
        <v>1000000000</v>
      </c>
      <c r="N278" s="1849">
        <f t="shared" si="51"/>
        <v>1000000000</v>
      </c>
      <c r="O278" s="206">
        <f>250*4*NAIRA2010_/Unit.MWh</f>
        <v>1000000000</v>
      </c>
    </row>
    <row r="279" spans="2:15" ht="15.75" x14ac:dyDescent="0.25">
      <c r="B279" s="475"/>
      <c r="C279" s="237"/>
      <c r="D279" s="1414" t="s">
        <v>741</v>
      </c>
      <c r="E279" s="1416"/>
      <c r="F279" s="188">
        <f>(O279-G279)/(O$245-G$245)</f>
        <v>0</v>
      </c>
      <c r="G279" s="206">
        <f>250*10*NAIRA2010_/Unit.MWh</f>
        <v>2500000000</v>
      </c>
      <c r="H279" s="1849">
        <f t="shared" si="51"/>
        <v>2500000000</v>
      </c>
      <c r="I279" s="1849">
        <f t="shared" si="51"/>
        <v>2500000000</v>
      </c>
      <c r="J279" s="1849">
        <f t="shared" si="51"/>
        <v>2500000000</v>
      </c>
      <c r="K279" s="1849">
        <f t="shared" si="51"/>
        <v>2500000000</v>
      </c>
      <c r="L279" s="1849">
        <f t="shared" si="51"/>
        <v>2500000000</v>
      </c>
      <c r="M279" s="1849">
        <f t="shared" si="51"/>
        <v>2500000000</v>
      </c>
      <c r="N279" s="1849">
        <f t="shared" si="51"/>
        <v>2500000000</v>
      </c>
      <c r="O279" s="206">
        <f>250*10*NAIRA2010_/Unit.MWh</f>
        <v>2500000000</v>
      </c>
    </row>
    <row r="280" spans="2:15" ht="15.75" x14ac:dyDescent="0.25">
      <c r="B280" s="475"/>
      <c r="C280" s="1096"/>
      <c r="D280" s="199" t="s">
        <v>742</v>
      </c>
      <c r="E280" s="524"/>
      <c r="F280" s="191">
        <f>(O280-G280)/(O$245-G$245)</f>
        <v>0</v>
      </c>
      <c r="G280" s="686">
        <f>0*MGBP*Price2010/Unit.TWh</f>
        <v>0</v>
      </c>
      <c r="H280" s="1850">
        <f t="shared" si="51"/>
        <v>0</v>
      </c>
      <c r="I280" s="1850">
        <f t="shared" si="51"/>
        <v>0</v>
      </c>
      <c r="J280" s="1850">
        <f t="shared" si="51"/>
        <v>0</v>
      </c>
      <c r="K280" s="1850">
        <f t="shared" si="51"/>
        <v>0</v>
      </c>
      <c r="L280" s="1850">
        <f t="shared" si="51"/>
        <v>0</v>
      </c>
      <c r="M280" s="1850">
        <f t="shared" si="51"/>
        <v>0</v>
      </c>
      <c r="N280" s="1850">
        <f t="shared" si="51"/>
        <v>0</v>
      </c>
      <c r="O280" s="686">
        <f>0*MGBP*Price2010/Unit.TWh</f>
        <v>0</v>
      </c>
    </row>
    <row r="281" spans="2:15" x14ac:dyDescent="0.2">
      <c r="B281" s="1377"/>
      <c r="C281" s="1377"/>
      <c r="D281" s="1377"/>
      <c r="E281" s="1377"/>
      <c r="F281" s="1377"/>
      <c r="G281" s="1377"/>
      <c r="H281" s="1377"/>
      <c r="I281" s="1377"/>
      <c r="J281" s="1377"/>
      <c r="K281" s="1377"/>
      <c r="L281" s="1377"/>
      <c r="M281" s="1377"/>
      <c r="N281" s="1377"/>
      <c r="O281" s="1377"/>
    </row>
    <row r="282" spans="2:15" ht="15.75" customHeight="1" x14ac:dyDescent="0.2">
      <c r="B282" s="1419"/>
      <c r="C282" s="1417" t="str">
        <f>"Low estimate cost of land use improvement"</f>
        <v>Low estimate cost of land use improvement</v>
      </c>
      <c r="D282" s="1415"/>
      <c r="E282" s="1415"/>
      <c r="F282" s="1377"/>
      <c r="G282" s="1377"/>
      <c r="H282" s="1377"/>
      <c r="I282" s="1377"/>
      <c r="J282" s="1377"/>
      <c r="K282" s="1377"/>
      <c r="L282" s="1377"/>
      <c r="M282" s="1377"/>
      <c r="N282" s="1377"/>
      <c r="O282" s="1886" t="str">
        <f>Preferences.moneyunits&amp;"/MtCO2e"</f>
        <v>N/MtCO2e</v>
      </c>
    </row>
    <row r="283" spans="2:15" x14ac:dyDescent="0.2">
      <c r="B283" s="1419"/>
      <c r="C283" s="1905" t="s">
        <v>264</v>
      </c>
      <c r="D283" s="1905" t="s">
        <v>65</v>
      </c>
      <c r="E283" s="1905" t="s">
        <v>1489</v>
      </c>
      <c r="F283" s="1567" t="s">
        <v>1321</v>
      </c>
      <c r="G283" s="1845">
        <v>2010</v>
      </c>
      <c r="H283" s="1845">
        <v>2015</v>
      </c>
      <c r="I283" s="1845">
        <v>2020</v>
      </c>
      <c r="J283" s="1845">
        <v>2025</v>
      </c>
      <c r="K283" s="1845">
        <v>2030</v>
      </c>
      <c r="L283" s="1845">
        <v>2035</v>
      </c>
      <c r="M283" s="1845">
        <v>2040</v>
      </c>
      <c r="N283" s="1845">
        <v>2045</v>
      </c>
      <c r="O283" s="1845">
        <v>2050</v>
      </c>
    </row>
    <row r="284" spans="2:15" ht="15.75" customHeight="1" x14ac:dyDescent="0.2">
      <c r="B284" s="1419"/>
      <c r="C284" s="1881"/>
      <c r="D284" s="1101" t="s">
        <v>1490</v>
      </c>
      <c r="E284" s="1906">
        <v>1.9</v>
      </c>
      <c r="F284" s="1847">
        <f>(O284-G284)/(O$253-G$253)</f>
        <v>0</v>
      </c>
      <c r="G284" s="1272">
        <f t="shared" ref="G284:G286" si="52">(0*GBP)</f>
        <v>0</v>
      </c>
      <c r="H284" s="1852">
        <f>($F284*(H$253-G$253))+G284</f>
        <v>0</v>
      </c>
      <c r="I284" s="1852">
        <f t="shared" ref="I284:N284" si="53">($F284*(I$253-H$253))+H284</f>
        <v>0</v>
      </c>
      <c r="J284" s="1852">
        <f t="shared" si="53"/>
        <v>0</v>
      </c>
      <c r="K284" s="1852">
        <f t="shared" si="53"/>
        <v>0</v>
      </c>
      <c r="L284" s="1852">
        <f t="shared" si="53"/>
        <v>0</v>
      </c>
      <c r="M284" s="1852">
        <f t="shared" si="53"/>
        <v>0</v>
      </c>
      <c r="N284" s="1852">
        <f t="shared" si="53"/>
        <v>0</v>
      </c>
      <c r="O284" s="1272">
        <f>(0*GBP)</f>
        <v>0</v>
      </c>
    </row>
    <row r="285" spans="2:15" ht="15.75" customHeight="1" x14ac:dyDescent="0.2">
      <c r="B285" s="1419"/>
      <c r="C285" s="237"/>
      <c r="D285" s="177" t="s">
        <v>1491</v>
      </c>
      <c r="E285" s="954">
        <v>1.5</v>
      </c>
      <c r="F285" s="188">
        <f>(O285-G285)/(O$253-G$253)</f>
        <v>0</v>
      </c>
      <c r="G285" s="206">
        <f t="shared" si="52"/>
        <v>0</v>
      </c>
      <c r="H285" s="1849">
        <f t="shared" ref="H285:N285" si="54">($F285*(H$253-G$253))+G285</f>
        <v>0</v>
      </c>
      <c r="I285" s="1849">
        <f t="shared" si="54"/>
        <v>0</v>
      </c>
      <c r="J285" s="1849">
        <f t="shared" si="54"/>
        <v>0</v>
      </c>
      <c r="K285" s="1849">
        <f t="shared" si="54"/>
        <v>0</v>
      </c>
      <c r="L285" s="1849">
        <f t="shared" si="54"/>
        <v>0</v>
      </c>
      <c r="M285" s="1849">
        <f t="shared" si="54"/>
        <v>0</v>
      </c>
      <c r="N285" s="1849">
        <f t="shared" si="54"/>
        <v>0</v>
      </c>
      <c r="O285" s="206">
        <f>(0*GBP)</f>
        <v>0</v>
      </c>
    </row>
    <row r="286" spans="2:15" ht="15.75" customHeight="1" x14ac:dyDescent="0.2">
      <c r="B286" s="477"/>
      <c r="C286" s="237"/>
      <c r="D286" s="1414" t="s">
        <v>1492</v>
      </c>
      <c r="E286" s="1415"/>
      <c r="F286" s="188">
        <f>(O286-G286)/(O$253-G$253)</f>
        <v>0</v>
      </c>
      <c r="G286" s="206">
        <f t="shared" si="52"/>
        <v>0</v>
      </c>
      <c r="H286" s="1849">
        <f t="shared" ref="H286:N286" si="55">($F286*(H$253-G$253))+G286</f>
        <v>0</v>
      </c>
      <c r="I286" s="1849">
        <f t="shared" si="55"/>
        <v>0</v>
      </c>
      <c r="J286" s="1849">
        <f t="shared" si="55"/>
        <v>0</v>
      </c>
      <c r="K286" s="1849">
        <f t="shared" si="55"/>
        <v>0</v>
      </c>
      <c r="L286" s="1849">
        <f t="shared" si="55"/>
        <v>0</v>
      </c>
      <c r="M286" s="1849">
        <f t="shared" si="55"/>
        <v>0</v>
      </c>
      <c r="N286" s="1849">
        <f t="shared" si="55"/>
        <v>0</v>
      </c>
      <c r="O286" s="206">
        <f>(0*GBP)</f>
        <v>0</v>
      </c>
    </row>
    <row r="287" spans="2:15" ht="15.75" customHeight="1" x14ac:dyDescent="0.2">
      <c r="B287" s="477"/>
      <c r="C287" s="1096"/>
      <c r="D287" s="199" t="s">
        <v>1493</v>
      </c>
      <c r="E287" s="200"/>
      <c r="F287" s="191">
        <f>(O287-G287)/(O$253-G$253)</f>
        <v>0</v>
      </c>
      <c r="G287" s="686">
        <f>(250*70*NAIRA2010_)</f>
        <v>17500</v>
      </c>
      <c r="H287" s="1850">
        <f t="shared" ref="H287:N287" si="56">($F287*(H$253-G$253))+G287</f>
        <v>17500</v>
      </c>
      <c r="I287" s="1850">
        <f t="shared" si="56"/>
        <v>17500</v>
      </c>
      <c r="J287" s="1850">
        <f t="shared" si="56"/>
        <v>17500</v>
      </c>
      <c r="K287" s="1850">
        <f t="shared" si="56"/>
        <v>17500</v>
      </c>
      <c r="L287" s="1850">
        <f t="shared" si="56"/>
        <v>17500</v>
      </c>
      <c r="M287" s="1850">
        <f t="shared" si="56"/>
        <v>17500</v>
      </c>
      <c r="N287" s="1850">
        <f t="shared" si="56"/>
        <v>17500</v>
      </c>
      <c r="O287" s="686">
        <f>(250*70*NAIRA2010_)</f>
        <v>17500</v>
      </c>
    </row>
    <row r="288" spans="2:15" ht="15.75" x14ac:dyDescent="0.25">
      <c r="B288" s="475"/>
      <c r="C288" s="237"/>
      <c r="D288" s="1415"/>
      <c r="E288" s="1415"/>
      <c r="F288" s="188"/>
      <c r="G288" s="954"/>
      <c r="H288" s="1849"/>
      <c r="I288" s="1849"/>
      <c r="J288" s="1849"/>
      <c r="K288" s="1849"/>
      <c r="L288" s="1849"/>
      <c r="M288" s="1849"/>
      <c r="N288" s="1849"/>
      <c r="O288" s="954"/>
    </row>
    <row r="289" spans="2:15" x14ac:dyDescent="0.2">
      <c r="B289" s="1377"/>
      <c r="C289" s="1160" t="s">
        <v>266</v>
      </c>
      <c r="D289" s="1456" t="s">
        <v>2042</v>
      </c>
      <c r="E289" s="1163"/>
      <c r="F289" s="2213"/>
      <c r="G289" s="1377"/>
      <c r="H289" s="1377"/>
      <c r="I289" s="1377"/>
      <c r="J289" s="1377"/>
      <c r="K289" s="1377"/>
      <c r="L289" s="1377"/>
      <c r="M289" s="1377"/>
      <c r="N289" s="1377"/>
      <c r="O289" s="1377"/>
    </row>
    <row r="290" spans="2:15" x14ac:dyDescent="0.2">
      <c r="B290" s="1377"/>
      <c r="C290" s="1377"/>
      <c r="D290" s="1377"/>
      <c r="E290" s="1377"/>
      <c r="F290" s="1377"/>
      <c r="G290" s="1377"/>
      <c r="H290" s="1377"/>
      <c r="I290" s="1377"/>
      <c r="J290" s="1377"/>
      <c r="K290" s="1377"/>
      <c r="L290" s="1377"/>
      <c r="M290" s="1377"/>
      <c r="N290" s="1377"/>
      <c r="O290" s="1377"/>
    </row>
    <row r="291" spans="2:15" s="2205" customFormat="1" x14ac:dyDescent="0.2"/>
    <row r="292" spans="2:15" ht="15.75" x14ac:dyDescent="0.2">
      <c r="B292" s="1423" t="s">
        <v>332</v>
      </c>
      <c r="C292" s="1424"/>
      <c r="D292" s="1424"/>
      <c r="E292" s="1424"/>
      <c r="F292" s="1424"/>
      <c r="G292" s="1424"/>
      <c r="H292" s="1424"/>
      <c r="I292" s="1424"/>
      <c r="J292" s="1424"/>
      <c r="K292" s="1424"/>
      <c r="L292" s="1424"/>
      <c r="M292" s="1424"/>
      <c r="N292" s="1424"/>
      <c r="O292" s="1424"/>
    </row>
    <row r="293" spans="2:15" ht="4.5" customHeight="1" x14ac:dyDescent="0.2">
      <c r="B293" s="1419"/>
      <c r="C293" s="1416"/>
      <c r="D293" s="1416"/>
      <c r="E293" s="1416"/>
      <c r="F293" s="1416"/>
      <c r="G293" s="1416"/>
      <c r="H293" s="1416"/>
      <c r="I293" s="1416"/>
      <c r="J293" s="1416"/>
      <c r="K293" s="1416"/>
      <c r="L293" s="1416"/>
      <c r="M293" s="1416"/>
      <c r="N293" s="1416"/>
      <c r="O293" s="1416"/>
    </row>
    <row r="294" spans="2:15" ht="15.75" customHeight="1" x14ac:dyDescent="0.2">
      <c r="B294" s="1419"/>
      <c r="C294" s="1416" t="s">
        <v>1027</v>
      </c>
      <c r="D294" s="1416"/>
      <c r="E294" s="1416"/>
      <c r="F294" s="1416"/>
      <c r="G294" s="1416"/>
      <c r="H294" s="1416"/>
      <c r="I294" s="1416"/>
      <c r="J294" s="1416"/>
      <c r="K294" s="1416"/>
      <c r="L294" s="1416"/>
      <c r="M294" s="1416"/>
      <c r="N294" s="1416"/>
      <c r="O294" s="1416"/>
    </row>
    <row r="295" spans="2:15" ht="5.25" customHeight="1" x14ac:dyDescent="0.2">
      <c r="B295" s="1419"/>
      <c r="C295" s="1416"/>
      <c r="D295" s="1416"/>
      <c r="E295" s="1416"/>
      <c r="F295" s="1416"/>
      <c r="G295" s="1416"/>
      <c r="H295" s="1416"/>
      <c r="I295" s="1416"/>
      <c r="J295" s="1416"/>
      <c r="K295" s="1416"/>
      <c r="L295" s="1416"/>
      <c r="M295" s="1416"/>
      <c r="N295" s="1416"/>
      <c r="O295" s="1416"/>
    </row>
    <row r="296" spans="2:15" x14ac:dyDescent="0.2">
      <c r="B296" s="1419"/>
      <c r="C296" s="1417" t="s">
        <v>690</v>
      </c>
      <c r="D296" s="1416"/>
      <c r="E296" s="490"/>
      <c r="F296" s="1416"/>
      <c r="G296" s="1416"/>
      <c r="H296" s="1416"/>
      <c r="I296" s="1416"/>
      <c r="J296" s="1416"/>
      <c r="K296" s="1416"/>
      <c r="L296" s="1416"/>
      <c r="M296" s="1416"/>
      <c r="N296" s="176" t="str">
        <f>Preferences.AreaUnits</f>
        <v>km^2</v>
      </c>
      <c r="O296" s="1416"/>
    </row>
    <row r="297" spans="2:15" x14ac:dyDescent="0.2">
      <c r="B297" s="1419"/>
      <c r="C297" s="1416"/>
      <c r="D297" s="1416"/>
      <c r="E297" s="1416"/>
      <c r="F297" s="1416"/>
      <c r="G297" s="1416"/>
      <c r="H297" s="1416"/>
      <c r="I297" s="1416"/>
      <c r="J297" s="1416"/>
      <c r="K297" s="1416"/>
      <c r="L297" s="1416"/>
      <c r="M297" s="1416"/>
      <c r="N297" s="1416"/>
      <c r="O297" s="1416"/>
    </row>
    <row r="298" spans="2:15" ht="15.75" x14ac:dyDescent="0.25">
      <c r="B298" s="397"/>
      <c r="C298" s="98" t="s">
        <v>657</v>
      </c>
      <c r="D298" s="98" t="s">
        <v>65</v>
      </c>
      <c r="E298" s="98" t="s">
        <v>172</v>
      </c>
      <c r="F298" s="218">
        <v>2010</v>
      </c>
      <c r="G298" s="217">
        <v>2015</v>
      </c>
      <c r="H298" s="217">
        <v>2020</v>
      </c>
      <c r="I298" s="217">
        <v>2025</v>
      </c>
      <c r="J298" s="217">
        <v>2030</v>
      </c>
      <c r="K298" s="217">
        <v>2035</v>
      </c>
      <c r="L298" s="217">
        <v>2040</v>
      </c>
      <c r="M298" s="217">
        <v>2045</v>
      </c>
      <c r="N298" s="217">
        <v>2050</v>
      </c>
      <c r="O298" s="1416"/>
    </row>
    <row r="299" spans="2:15" ht="15.75" x14ac:dyDescent="0.25">
      <c r="B299" s="397"/>
      <c r="C299" s="560" t="s">
        <v>652</v>
      </c>
      <c r="D299" s="146" t="s">
        <v>1021</v>
      </c>
      <c r="E299" s="623"/>
      <c r="F299" s="687">
        <f t="shared" ref="F299:N306" si="57">SUMIFS(F$20:F$51, $C$20:$C$51, $E$9, $E$20:$E$51, $C299)</f>
        <v>27713.039999999997</v>
      </c>
      <c r="G299" s="685">
        <f t="shared" si="57"/>
        <v>27713.039999999997</v>
      </c>
      <c r="H299" s="685">
        <f t="shared" si="57"/>
        <v>27713.039999999997</v>
      </c>
      <c r="I299" s="685">
        <f t="shared" si="57"/>
        <v>27713.039999999997</v>
      </c>
      <c r="J299" s="685">
        <f t="shared" si="57"/>
        <v>27713.039999999997</v>
      </c>
      <c r="K299" s="685">
        <f t="shared" si="57"/>
        <v>27713.039999999997</v>
      </c>
      <c r="L299" s="685">
        <f t="shared" si="57"/>
        <v>27713.039999999997</v>
      </c>
      <c r="M299" s="685">
        <f t="shared" si="57"/>
        <v>27713.039999999997</v>
      </c>
      <c r="N299" s="685">
        <f t="shared" si="57"/>
        <v>27713.039999999997</v>
      </c>
      <c r="O299" s="1416"/>
    </row>
    <row r="300" spans="2:15" ht="15.75" customHeight="1" x14ac:dyDescent="0.25">
      <c r="B300" s="397"/>
      <c r="C300" s="1414" t="s">
        <v>653</v>
      </c>
      <c r="D300" s="1415" t="s">
        <v>1022</v>
      </c>
      <c r="E300" s="488"/>
      <c r="F300" s="197">
        <f t="shared" si="57"/>
        <v>9237.68</v>
      </c>
      <c r="G300" s="206">
        <f t="shared" si="57"/>
        <v>9237.68</v>
      </c>
      <c r="H300" s="206">
        <f t="shared" si="57"/>
        <v>9237.68</v>
      </c>
      <c r="I300" s="206">
        <f t="shared" si="57"/>
        <v>9237.68</v>
      </c>
      <c r="J300" s="206">
        <f t="shared" si="57"/>
        <v>9237.68</v>
      </c>
      <c r="K300" s="206">
        <f t="shared" si="57"/>
        <v>9237.68</v>
      </c>
      <c r="L300" s="206">
        <f t="shared" si="57"/>
        <v>9237.68</v>
      </c>
      <c r="M300" s="206">
        <f t="shared" si="57"/>
        <v>9237.68</v>
      </c>
      <c r="N300" s="206">
        <f t="shared" si="57"/>
        <v>9237.68</v>
      </c>
      <c r="O300" s="1416"/>
    </row>
    <row r="301" spans="2:15" ht="15.75" x14ac:dyDescent="0.25">
      <c r="B301" s="397"/>
      <c r="C301" s="1414" t="s">
        <v>1019</v>
      </c>
      <c r="D301" s="1415" t="s">
        <v>1023</v>
      </c>
      <c r="E301" s="488"/>
      <c r="F301" s="197">
        <f t="shared" si="57"/>
        <v>157040.56</v>
      </c>
      <c r="G301" s="206">
        <f t="shared" si="57"/>
        <v>157040.56</v>
      </c>
      <c r="H301" s="206">
        <f t="shared" si="57"/>
        <v>157040.56</v>
      </c>
      <c r="I301" s="206">
        <f t="shared" si="57"/>
        <v>157040.56</v>
      </c>
      <c r="J301" s="206">
        <f t="shared" si="57"/>
        <v>157040.56</v>
      </c>
      <c r="K301" s="206">
        <f t="shared" si="57"/>
        <v>157040.56</v>
      </c>
      <c r="L301" s="206">
        <f t="shared" si="57"/>
        <v>157040.56</v>
      </c>
      <c r="M301" s="206">
        <f t="shared" si="57"/>
        <v>157040.56</v>
      </c>
      <c r="N301" s="206">
        <f t="shared" si="57"/>
        <v>157040.56</v>
      </c>
      <c r="O301" s="1416"/>
    </row>
    <row r="302" spans="2:15" ht="15.75" x14ac:dyDescent="0.25">
      <c r="B302" s="397"/>
      <c r="C302" s="1414" t="s">
        <v>1020</v>
      </c>
      <c r="D302" s="1415" t="s">
        <v>993</v>
      </c>
      <c r="E302" s="488"/>
      <c r="F302" s="197">
        <f t="shared" si="57"/>
        <v>157040.56</v>
      </c>
      <c r="G302" s="206">
        <f t="shared" si="57"/>
        <v>157040.56</v>
      </c>
      <c r="H302" s="206">
        <f t="shared" si="57"/>
        <v>157040.56</v>
      </c>
      <c r="I302" s="206">
        <f t="shared" si="57"/>
        <v>157040.56</v>
      </c>
      <c r="J302" s="206">
        <f t="shared" si="57"/>
        <v>157040.56</v>
      </c>
      <c r="K302" s="206">
        <f t="shared" si="57"/>
        <v>157040.56</v>
      </c>
      <c r="L302" s="206">
        <f t="shared" si="57"/>
        <v>157040.56</v>
      </c>
      <c r="M302" s="206">
        <f t="shared" si="57"/>
        <v>157040.56</v>
      </c>
      <c r="N302" s="206">
        <f t="shared" si="57"/>
        <v>157040.56</v>
      </c>
      <c r="O302" s="1416"/>
    </row>
    <row r="303" spans="2:15" ht="15.75" x14ac:dyDescent="0.25">
      <c r="B303" s="397"/>
      <c r="C303" s="1414" t="s">
        <v>655</v>
      </c>
      <c r="D303" s="1415" t="s">
        <v>1024</v>
      </c>
      <c r="E303" s="488"/>
      <c r="F303" s="197">
        <f t="shared" si="57"/>
        <v>92376.8</v>
      </c>
      <c r="G303" s="206">
        <f t="shared" si="57"/>
        <v>92376.8</v>
      </c>
      <c r="H303" s="206">
        <f t="shared" si="57"/>
        <v>92376.8</v>
      </c>
      <c r="I303" s="206">
        <f t="shared" si="57"/>
        <v>92376.8</v>
      </c>
      <c r="J303" s="206">
        <f t="shared" si="57"/>
        <v>92376.8</v>
      </c>
      <c r="K303" s="206">
        <f t="shared" si="57"/>
        <v>92376.8</v>
      </c>
      <c r="L303" s="206">
        <f t="shared" si="57"/>
        <v>92376.8</v>
      </c>
      <c r="M303" s="206">
        <f t="shared" si="57"/>
        <v>92376.8</v>
      </c>
      <c r="N303" s="206">
        <f t="shared" si="57"/>
        <v>92376.8</v>
      </c>
      <c r="O303" s="1416"/>
    </row>
    <row r="304" spans="2:15" ht="15.75" x14ac:dyDescent="0.25">
      <c r="B304" s="397"/>
      <c r="C304" s="1414" t="s">
        <v>700</v>
      </c>
      <c r="D304" s="1415" t="s">
        <v>691</v>
      </c>
      <c r="E304" s="488"/>
      <c r="F304" s="197">
        <f t="shared" si="57"/>
        <v>46188.4</v>
      </c>
      <c r="G304" s="206">
        <f t="shared" si="57"/>
        <v>46188.4</v>
      </c>
      <c r="H304" s="206">
        <f t="shared" si="57"/>
        <v>46188.4</v>
      </c>
      <c r="I304" s="206">
        <f t="shared" si="57"/>
        <v>46188.4</v>
      </c>
      <c r="J304" s="206">
        <f t="shared" si="57"/>
        <v>46188.4</v>
      </c>
      <c r="K304" s="206">
        <f t="shared" si="57"/>
        <v>46188.4</v>
      </c>
      <c r="L304" s="206">
        <f t="shared" si="57"/>
        <v>46188.4</v>
      </c>
      <c r="M304" s="206">
        <f t="shared" si="57"/>
        <v>46188.4</v>
      </c>
      <c r="N304" s="206">
        <f t="shared" si="57"/>
        <v>46188.4</v>
      </c>
      <c r="O304" s="1416"/>
    </row>
    <row r="305" spans="1:15" ht="15.75" x14ac:dyDescent="0.25">
      <c r="B305" s="397"/>
      <c r="C305" s="1414" t="s">
        <v>476</v>
      </c>
      <c r="D305" s="1415" t="s">
        <v>692</v>
      </c>
      <c r="E305" s="488"/>
      <c r="F305" s="197">
        <f t="shared" si="57"/>
        <v>286368.08</v>
      </c>
      <c r="G305" s="206">
        <f t="shared" si="57"/>
        <v>286368.08</v>
      </c>
      <c r="H305" s="206">
        <f t="shared" si="57"/>
        <v>286368.08</v>
      </c>
      <c r="I305" s="206">
        <f t="shared" si="57"/>
        <v>286368.08</v>
      </c>
      <c r="J305" s="206">
        <f t="shared" si="57"/>
        <v>286368.08</v>
      </c>
      <c r="K305" s="206">
        <f t="shared" si="57"/>
        <v>286368.08</v>
      </c>
      <c r="L305" s="206">
        <f t="shared" si="57"/>
        <v>286368.08</v>
      </c>
      <c r="M305" s="206">
        <f t="shared" si="57"/>
        <v>286368.08</v>
      </c>
      <c r="N305" s="206">
        <f t="shared" si="57"/>
        <v>286368.08</v>
      </c>
      <c r="O305" s="1416"/>
    </row>
    <row r="306" spans="1:15" ht="15.75" x14ac:dyDescent="0.25">
      <c r="B306" s="397"/>
      <c r="C306" s="199" t="s">
        <v>701</v>
      </c>
      <c r="D306" s="200" t="s">
        <v>102</v>
      </c>
      <c r="E306" s="531"/>
      <c r="F306" s="689">
        <f t="shared" si="57"/>
        <v>147802.88</v>
      </c>
      <c r="G306" s="686">
        <f t="shared" si="57"/>
        <v>147802.88</v>
      </c>
      <c r="H306" s="686">
        <f t="shared" si="57"/>
        <v>147802.88</v>
      </c>
      <c r="I306" s="686">
        <f t="shared" si="57"/>
        <v>147802.88</v>
      </c>
      <c r="J306" s="686">
        <f t="shared" si="57"/>
        <v>147802.88</v>
      </c>
      <c r="K306" s="686">
        <f t="shared" si="57"/>
        <v>147802.88</v>
      </c>
      <c r="L306" s="686">
        <f t="shared" si="57"/>
        <v>147802.88</v>
      </c>
      <c r="M306" s="686">
        <f t="shared" si="57"/>
        <v>147802.88</v>
      </c>
      <c r="N306" s="686">
        <f t="shared" si="57"/>
        <v>147802.88</v>
      </c>
      <c r="O306" s="1416"/>
    </row>
    <row r="307" spans="1:15" ht="15.75" x14ac:dyDescent="0.25">
      <c r="B307" s="397"/>
      <c r="C307" s="1414"/>
      <c r="D307" s="1415"/>
      <c r="E307" s="488"/>
      <c r="F307" s="206">
        <f t="shared" ref="F307:N307" si="58">SUM(F299:F306)</f>
        <v>923768</v>
      </c>
      <c r="G307" s="206">
        <f t="shared" si="58"/>
        <v>923768</v>
      </c>
      <c r="H307" s="206">
        <f t="shared" si="58"/>
        <v>923768</v>
      </c>
      <c r="I307" s="206">
        <f t="shared" si="58"/>
        <v>923768</v>
      </c>
      <c r="J307" s="206">
        <f t="shared" si="58"/>
        <v>923768</v>
      </c>
      <c r="K307" s="206">
        <f t="shared" si="58"/>
        <v>923768</v>
      </c>
      <c r="L307" s="206">
        <f t="shared" si="58"/>
        <v>923768</v>
      </c>
      <c r="M307" s="206">
        <f t="shared" si="58"/>
        <v>923768</v>
      </c>
      <c r="N307" s="206">
        <f t="shared" si="58"/>
        <v>923768</v>
      </c>
      <c r="O307" s="1416"/>
    </row>
    <row r="308" spans="1:15" x14ac:dyDescent="0.2">
      <c r="B308" s="1419"/>
      <c r="C308" s="1416"/>
      <c r="D308" s="1416"/>
      <c r="E308" s="1416"/>
      <c r="F308" s="1416"/>
      <c r="G308" s="1416"/>
      <c r="H308" s="1416"/>
      <c r="I308" s="1416"/>
      <c r="J308" s="1416"/>
      <c r="K308" s="1416"/>
      <c r="L308" s="1416"/>
      <c r="M308" s="1416"/>
      <c r="N308" s="1416"/>
      <c r="O308" s="1416"/>
    </row>
    <row r="309" spans="1:15" x14ac:dyDescent="0.2">
      <c r="B309" s="1419"/>
      <c r="C309" s="1417" t="s">
        <v>697</v>
      </c>
      <c r="D309" s="1416"/>
      <c r="E309" s="490"/>
      <c r="F309" s="1416"/>
      <c r="G309" s="1416"/>
      <c r="H309" s="1416"/>
      <c r="I309" s="1416"/>
      <c r="J309" s="1416"/>
      <c r="K309" s="1416"/>
      <c r="L309" s="1416"/>
      <c r="M309" s="1416"/>
      <c r="N309" s="176" t="s">
        <v>703</v>
      </c>
      <c r="O309" s="1416"/>
    </row>
    <row r="310" spans="1:15" ht="5.25" customHeight="1" x14ac:dyDescent="0.2">
      <c r="B310" s="1419"/>
      <c r="C310" s="1416"/>
      <c r="D310" s="1416"/>
      <c r="E310" s="1416"/>
      <c r="F310" s="1416"/>
      <c r="G310" s="1416"/>
      <c r="H310" s="1416"/>
      <c r="I310" s="1416"/>
      <c r="J310" s="1416"/>
      <c r="K310" s="1416"/>
      <c r="L310" s="1416"/>
      <c r="M310" s="1416"/>
      <c r="N310" s="1416"/>
      <c r="O310" s="1416"/>
    </row>
    <row r="311" spans="1:15" s="84" customFormat="1" ht="22.5" x14ac:dyDescent="0.3">
      <c r="A311" s="1422"/>
      <c r="B311" s="397"/>
      <c r="C311" s="98" t="s">
        <v>657</v>
      </c>
      <c r="D311" s="98" t="s">
        <v>65</v>
      </c>
      <c r="E311" s="98" t="s">
        <v>584</v>
      </c>
      <c r="F311" s="218">
        <v>2010</v>
      </c>
      <c r="G311" s="217">
        <v>2015</v>
      </c>
      <c r="H311" s="217">
        <v>2020</v>
      </c>
      <c r="I311" s="217">
        <v>2025</v>
      </c>
      <c r="J311" s="217">
        <v>2030</v>
      </c>
      <c r="K311" s="217">
        <v>2035</v>
      </c>
      <c r="L311" s="217">
        <v>2040</v>
      </c>
      <c r="M311" s="217">
        <v>2045</v>
      </c>
      <c r="N311" s="217">
        <v>2050</v>
      </c>
      <c r="O311" s="1416"/>
    </row>
    <row r="312" spans="1:15" s="84" customFormat="1" ht="15.75" x14ac:dyDescent="0.25">
      <c r="A312" s="1451"/>
      <c r="B312" s="397"/>
      <c r="C312" s="1414">
        <v>1</v>
      </c>
      <c r="D312" s="1415" t="s">
        <v>698</v>
      </c>
      <c r="E312" s="213">
        <f>INDEX($G56:$J56, MATCH($E$8, $G$55:$J$55, 0))</f>
        <v>2.5000000000000001E-2</v>
      </c>
      <c r="F312" s="685">
        <f t="array" ref="F312:F314">F$131:F$133</f>
        <v>1954</v>
      </c>
      <c r="G312" s="687">
        <f t="shared" ref="G312:N314" si="59">$F312*(1+$E312)^(G$311-$F$311)</f>
        <v>2210.7716479882806</v>
      </c>
      <c r="H312" s="688">
        <f t="shared" si="59"/>
        <v>2501.2851993596819</v>
      </c>
      <c r="I312" s="688">
        <f t="shared" si="59"/>
        <v>2829.9746173373078</v>
      </c>
      <c r="J312" s="688">
        <f t="shared" si="59"/>
        <v>3201.8565243274329</v>
      </c>
      <c r="K312" s="688">
        <f t="shared" si="59"/>
        <v>3622.6067681214877</v>
      </c>
      <c r="L312" s="688">
        <f t="shared" si="59"/>
        <v>4098.6470495258136</v>
      </c>
      <c r="M312" s="688">
        <f t="shared" si="59"/>
        <v>4637.2429335734332</v>
      </c>
      <c r="N312" s="688">
        <f t="shared" si="59"/>
        <v>5246.6147402139959</v>
      </c>
      <c r="O312" s="1416"/>
    </row>
    <row r="313" spans="1:15" s="84" customFormat="1" ht="15.75" x14ac:dyDescent="0.25">
      <c r="A313" s="1451"/>
      <c r="B313" s="397"/>
      <c r="C313" s="1414">
        <v>2</v>
      </c>
      <c r="D313" s="1415" t="s">
        <v>699</v>
      </c>
      <c r="E313" s="213">
        <f>INDEX($G57:$J57, MATCH($E$8, $G$55:$J$55, 0))</f>
        <v>0.05</v>
      </c>
      <c r="F313" s="206">
        <v>167667</v>
      </c>
      <c r="G313" s="197">
        <f t="shared" si="59"/>
        <v>213990.30073968752</v>
      </c>
      <c r="H313" s="688">
        <f t="shared" si="59"/>
        <v>273111.87538789329</v>
      </c>
      <c r="I313" s="688">
        <f t="shared" si="59"/>
        <v>348567.65105736582</v>
      </c>
      <c r="J313" s="688">
        <f t="shared" si="59"/>
        <v>444870.46632844961</v>
      </c>
      <c r="K313" s="688">
        <f t="shared" si="59"/>
        <v>567779.97387577733</v>
      </c>
      <c r="L313" s="688">
        <f t="shared" si="59"/>
        <v>724647.11221438611</v>
      </c>
      <c r="M313" s="688">
        <f t="shared" si="59"/>
        <v>924853.74863808998</v>
      </c>
      <c r="N313" s="688">
        <f t="shared" si="59"/>
        <v>1180373.7873958035</v>
      </c>
      <c r="O313" s="1416"/>
    </row>
    <row r="314" spans="1:15" s="84" customFormat="1" ht="15.75" x14ac:dyDescent="0.25">
      <c r="A314" s="1451"/>
      <c r="B314" s="397"/>
      <c r="C314" s="1412">
        <v>3</v>
      </c>
      <c r="D314" s="102" t="s">
        <v>704</v>
      </c>
      <c r="E314" s="110">
        <f>INDEX($G58:$J58, MATCH($E$8, $G$55:$J$55, 0))</f>
        <v>0.02</v>
      </c>
      <c r="F314" s="686">
        <v>49594</v>
      </c>
      <c r="G314" s="689">
        <f t="shared" si="59"/>
        <v>54755.783353900799</v>
      </c>
      <c r="H314" s="690">
        <f t="shared" si="59"/>
        <v>60454.809265219985</v>
      </c>
      <c r="I314" s="690">
        <f t="shared" si="59"/>
        <v>66746.994370846864</v>
      </c>
      <c r="J314" s="690">
        <f t="shared" si="59"/>
        <v>73694.075156150502</v>
      </c>
      <c r="K314" s="690">
        <f t="shared" si="59"/>
        <v>81364.213689483804</v>
      </c>
      <c r="L314" s="690">
        <f t="shared" si="59"/>
        <v>89832.666402021714</v>
      </c>
      <c r="M314" s="690">
        <f t="shared" si="59"/>
        <v>99182.522474741781</v>
      </c>
      <c r="N314" s="690">
        <f t="shared" si="59"/>
        <v>109505.51907731497</v>
      </c>
      <c r="O314" s="1416"/>
    </row>
    <row r="315" spans="1:15" s="84" customFormat="1" x14ac:dyDescent="0.2">
      <c r="A315" s="1451"/>
      <c r="B315" s="1419"/>
      <c r="C315" s="1416"/>
      <c r="D315" s="1416"/>
      <c r="E315" s="1416"/>
      <c r="F315" s="1416"/>
      <c r="G315" s="1416"/>
      <c r="H315" s="1416"/>
      <c r="I315" s="1416"/>
      <c r="J315" s="1416"/>
      <c r="K315" s="1416"/>
      <c r="L315" s="1416"/>
      <c r="M315" s="1416"/>
      <c r="N315" s="1416"/>
      <c r="O315" s="1416"/>
    </row>
    <row r="316" spans="1:15" s="84" customFormat="1" x14ac:dyDescent="0.2">
      <c r="A316" s="1451"/>
      <c r="B316" s="1419"/>
      <c r="C316" s="1416"/>
      <c r="D316" s="1416"/>
      <c r="E316" s="1416"/>
      <c r="F316" s="1416"/>
      <c r="G316" s="1416"/>
      <c r="H316" s="1416"/>
      <c r="I316" s="1416"/>
      <c r="J316" s="1416"/>
      <c r="K316" s="1416"/>
      <c r="L316" s="1416"/>
      <c r="M316" s="1416"/>
      <c r="N316" s="1416"/>
      <c r="O316" s="1416"/>
    </row>
    <row r="317" spans="1:15" s="84" customFormat="1" x14ac:dyDescent="0.2">
      <c r="A317" s="1451"/>
      <c r="B317" s="1419"/>
      <c r="C317" s="1416" t="s">
        <v>1028</v>
      </c>
      <c r="D317" s="1416"/>
      <c r="E317" s="1416"/>
      <c r="F317" s="1416"/>
      <c r="G317" s="1416"/>
      <c r="H317" s="1416"/>
      <c r="I317" s="1416"/>
      <c r="J317" s="1416"/>
      <c r="K317" s="1416"/>
      <c r="L317" s="1416"/>
      <c r="M317" s="1416"/>
      <c r="N317" s="1416"/>
      <c r="O317" s="1416"/>
    </row>
    <row r="318" spans="1:15" s="84" customFormat="1" x14ac:dyDescent="0.2">
      <c r="A318" s="1451"/>
      <c r="B318" s="1419"/>
      <c r="C318" s="1416"/>
      <c r="D318" s="1416"/>
      <c r="E318" s="1416"/>
      <c r="F318" s="1416"/>
      <c r="G318" s="1416"/>
      <c r="H318" s="1416"/>
      <c r="I318" s="1416"/>
      <c r="J318" s="1416"/>
      <c r="K318" s="1416"/>
      <c r="L318" s="1416"/>
      <c r="M318" s="1416"/>
      <c r="N318" s="1416"/>
      <c r="O318" s="1416"/>
    </row>
    <row r="319" spans="1:15" s="84" customFormat="1" ht="15.75" customHeight="1" x14ac:dyDescent="0.2">
      <c r="A319" s="1451"/>
      <c r="B319" s="1419"/>
      <c r="C319" s="1417" t="s">
        <v>719</v>
      </c>
      <c r="D319" s="1416"/>
      <c r="E319" s="1416"/>
      <c r="F319" s="1416"/>
      <c r="G319" s="1416"/>
      <c r="H319" s="1416"/>
      <c r="I319" s="1416"/>
      <c r="J319" s="1416"/>
      <c r="K319" s="1416"/>
      <c r="L319" s="1416"/>
      <c r="M319" s="1416"/>
      <c r="N319" s="176" t="s">
        <v>720</v>
      </c>
      <c r="O319" s="1416"/>
    </row>
    <row r="320" spans="1:15" s="84" customFormat="1" ht="4.5" customHeight="1" x14ac:dyDescent="0.2">
      <c r="A320" s="1451"/>
      <c r="B320" s="1419"/>
      <c r="C320" s="1416"/>
      <c r="D320" s="1416"/>
      <c r="E320" s="1416"/>
      <c r="F320" s="1416"/>
      <c r="G320" s="1416"/>
      <c r="H320" s="1416"/>
      <c r="I320" s="1416"/>
      <c r="J320" s="1416"/>
      <c r="K320" s="1416"/>
      <c r="L320" s="1416"/>
      <c r="M320" s="1416"/>
      <c r="N320" s="1416"/>
      <c r="O320" s="1416"/>
    </row>
    <row r="321" spans="1:15" s="84" customFormat="1" ht="15.75" x14ac:dyDescent="0.2">
      <c r="A321" s="1451"/>
      <c r="B321" s="399"/>
      <c r="C321" s="98" t="s">
        <v>657</v>
      </c>
      <c r="D321" s="98" t="s">
        <v>65</v>
      </c>
      <c r="E321" s="98" t="s">
        <v>584</v>
      </c>
      <c r="F321" s="218">
        <v>2010</v>
      </c>
      <c r="G321" s="217">
        <v>2015</v>
      </c>
      <c r="H321" s="217">
        <v>2020</v>
      </c>
      <c r="I321" s="217">
        <v>2025</v>
      </c>
      <c r="J321" s="217">
        <v>2030</v>
      </c>
      <c r="K321" s="217">
        <v>2035</v>
      </c>
      <c r="L321" s="217">
        <v>2040</v>
      </c>
      <c r="M321" s="217">
        <v>2045</v>
      </c>
      <c r="N321" s="217">
        <v>2050</v>
      </c>
      <c r="O321" s="1415"/>
    </row>
    <row r="322" spans="1:15" ht="15.75" x14ac:dyDescent="0.2">
      <c r="B322" s="399"/>
      <c r="C322" s="1414" t="s">
        <v>696</v>
      </c>
      <c r="D322" s="1415" t="s">
        <v>24</v>
      </c>
      <c r="E322" s="213">
        <f>INDEX($G63:$J63, MATCH($E$9, $G$62:$J$62, 0))</f>
        <v>1.3525341116489601E-2</v>
      </c>
      <c r="F322" s="208">
        <f t="array" ref="F322:F331">F138:F147</f>
        <v>9.6999999999999993</v>
      </c>
      <c r="G322" s="209">
        <f t="shared" ref="G322:N331" si="60">$F322*(1+$E322)^(G$321-$F$321)</f>
        <v>10.373965355134418</v>
      </c>
      <c r="H322" s="678">
        <f t="shared" si="60"/>
        <v>11.094758473147337</v>
      </c>
      <c r="I322" s="678">
        <f t="shared" si="60"/>
        <v>11.865632992166447</v>
      </c>
      <c r="J322" s="678">
        <f t="shared" si="60"/>
        <v>12.690068616234504</v>
      </c>
      <c r="K322" s="678">
        <f t="shared" si="60"/>
        <v>13.571786822587145</v>
      </c>
      <c r="L322" s="678">
        <f t="shared" si="60"/>
        <v>14.514767660287514</v>
      </c>
      <c r="M322" s="678">
        <f t="shared" si="60"/>
        <v>15.523267716046201</v>
      </c>
      <c r="N322" s="678">
        <f t="shared" si="60"/>
        <v>16.601839328323699</v>
      </c>
      <c r="O322" s="1415"/>
    </row>
    <row r="323" spans="1:15" ht="15.75" x14ac:dyDescent="0.2">
      <c r="B323" s="399"/>
      <c r="C323" s="1414" t="s">
        <v>696</v>
      </c>
      <c r="D323" s="1415" t="s">
        <v>997</v>
      </c>
      <c r="E323" s="213">
        <f>INDEX($G64:$J64, MATCH($E$9, $G$62:$J$62, 0))</f>
        <v>2.8253411164896301E-2</v>
      </c>
      <c r="F323" s="208">
        <v>3</v>
      </c>
      <c r="G323" s="679">
        <f t="shared" si="60"/>
        <v>3.4484350399360806</v>
      </c>
      <c r="H323" s="208">
        <f t="shared" si="60"/>
        <v>3.9639014082196526</v>
      </c>
      <c r="I323" s="208">
        <f t="shared" si="60"/>
        <v>4.5564188369855421</v>
      </c>
      <c r="J323" s="208">
        <f t="shared" si="60"/>
        <v>5.2375047913619142</v>
      </c>
      <c r="K323" s="208">
        <f t="shared" si="60"/>
        <v>6.0203983481218462</v>
      </c>
      <c r="L323" s="208">
        <f t="shared" si="60"/>
        <v>6.9203175393455574</v>
      </c>
      <c r="M323" s="208">
        <f t="shared" si="60"/>
        <v>7.9547551633878193</v>
      </c>
      <c r="N323" s="208">
        <f t="shared" si="60"/>
        <v>9.1438188131796707</v>
      </c>
      <c r="O323" s="1415"/>
    </row>
    <row r="324" spans="1:15" ht="15.75" x14ac:dyDescent="0.2">
      <c r="B324" s="399"/>
      <c r="C324" s="1414" t="s">
        <v>696</v>
      </c>
      <c r="D324" s="1415" t="s">
        <v>1014</v>
      </c>
      <c r="E324" s="213">
        <f>INDEX($G65:$J65, MATCH($E$9, $G$62:$J$62, 0))</f>
        <v>1.4999999999999999E-2</v>
      </c>
      <c r="F324" s="206">
        <v>10.3</v>
      </c>
      <c r="G324" s="197">
        <f t="shared" si="60"/>
        <v>11.096025240009055</v>
      </c>
      <c r="H324" s="206">
        <f t="shared" si="60"/>
        <v>11.953570497759031</v>
      </c>
      <c r="I324" s="206">
        <f t="shared" si="60"/>
        <v>12.877390286539979</v>
      </c>
      <c r="J324" s="206">
        <f t="shared" si="60"/>
        <v>13.872606567465539</v>
      </c>
      <c r="K324" s="206">
        <f t="shared" si="60"/>
        <v>14.944737147311944</v>
      </c>
      <c r="L324" s="206">
        <f t="shared" si="60"/>
        <v>16.099726271055751</v>
      </c>
      <c r="M324" s="206">
        <f t="shared" si="60"/>
        <v>17.343977578725386</v>
      </c>
      <c r="N324" s="206">
        <f t="shared" si="60"/>
        <v>18.684389609290097</v>
      </c>
      <c r="O324" s="1415"/>
    </row>
    <row r="325" spans="1:15" ht="15.75" x14ac:dyDescent="0.2">
      <c r="B325" s="399"/>
      <c r="C325" s="1415" t="s">
        <v>41</v>
      </c>
      <c r="D325" s="1415" t="s">
        <v>706</v>
      </c>
      <c r="E325" s="213">
        <f>INDEX($G66:$J66, MATCH($E$9, $G$62:$J$62, 0))</f>
        <v>4.0000000000000001E-3</v>
      </c>
      <c r="F325" s="208">
        <v>3.3</v>
      </c>
      <c r="G325" s="679">
        <f t="shared" si="60"/>
        <v>3.3665301162273789</v>
      </c>
      <c r="H325" s="208">
        <f t="shared" si="60"/>
        <v>3.4344015222624038</v>
      </c>
      <c r="I325" s="208">
        <f t="shared" si="60"/>
        <v>3.5036412593677393</v>
      </c>
      <c r="J325" s="208">
        <f t="shared" si="60"/>
        <v>3.5742769139752482</v>
      </c>
      <c r="K325" s="208">
        <f t="shared" si="60"/>
        <v>3.6463366286769485</v>
      </c>
      <c r="L325" s="208">
        <f t="shared" si="60"/>
        <v>3.7198491134375633</v>
      </c>
      <c r="M325" s="208">
        <f t="shared" si="60"/>
        <v>3.7948436570331139</v>
      </c>
      <c r="N325" s="208">
        <f t="shared" si="60"/>
        <v>3.8713501387201283</v>
      </c>
      <c r="O325" s="1415"/>
    </row>
    <row r="326" spans="1:15" ht="15.75" x14ac:dyDescent="0.2">
      <c r="B326" s="399"/>
      <c r="C326" s="1415" t="s">
        <v>41</v>
      </c>
      <c r="D326" s="1415" t="s">
        <v>707</v>
      </c>
      <c r="E326" s="213">
        <f>INDEX($G67:$J67, MATCH($E$9, $G$62:$J$62, 0))</f>
        <v>0</v>
      </c>
      <c r="F326" s="208">
        <v>1.7</v>
      </c>
      <c r="G326" s="679">
        <f t="shared" si="60"/>
        <v>1.7</v>
      </c>
      <c r="H326" s="208">
        <f t="shared" si="60"/>
        <v>1.7</v>
      </c>
      <c r="I326" s="208">
        <f t="shared" si="60"/>
        <v>1.7</v>
      </c>
      <c r="J326" s="208">
        <f t="shared" si="60"/>
        <v>1.7</v>
      </c>
      <c r="K326" s="208">
        <f t="shared" si="60"/>
        <v>1.7</v>
      </c>
      <c r="L326" s="208">
        <f t="shared" si="60"/>
        <v>1.7</v>
      </c>
      <c r="M326" s="208">
        <f t="shared" si="60"/>
        <v>1.7</v>
      </c>
      <c r="N326" s="208">
        <f t="shared" si="60"/>
        <v>1.7</v>
      </c>
      <c r="O326" s="1415"/>
    </row>
    <row r="327" spans="1:15" ht="15" customHeight="1" x14ac:dyDescent="0.2">
      <c r="B327" s="399"/>
      <c r="C327" s="1415" t="s">
        <v>41</v>
      </c>
      <c r="D327" s="1415" t="s">
        <v>998</v>
      </c>
      <c r="E327" s="213">
        <f>INDEX($G68:$J68, MATCH($E$8, $G$62:$J$62, 0))</f>
        <v>2E-3</v>
      </c>
      <c r="F327" s="208">
        <v>0.36499999999999999</v>
      </c>
      <c r="G327" s="679">
        <f t="shared" si="60"/>
        <v>0.36866462922921167</v>
      </c>
      <c r="H327" s="208">
        <f t="shared" si="60"/>
        <v>0.37236605162934816</v>
      </c>
      <c r="I327" s="208">
        <f t="shared" si="60"/>
        <v>0.37610463660679216</v>
      </c>
      <c r="J327" s="208">
        <f t="shared" si="60"/>
        <v>0.37988075727679566</v>
      </c>
      <c r="K327" s="208">
        <f t="shared" si="60"/>
        <v>0.38369479050071786</v>
      </c>
      <c r="L327" s="208">
        <f t="shared" si="60"/>
        <v>0.38754711692363597</v>
      </c>
      <c r="M327" s="208">
        <f t="shared" si="60"/>
        <v>0.39143812101233483</v>
      </c>
      <c r="N327" s="208">
        <f t="shared" si="60"/>
        <v>0.39536819109367594</v>
      </c>
      <c r="O327" s="1415"/>
    </row>
    <row r="328" spans="1:15" ht="15.75" x14ac:dyDescent="0.2">
      <c r="B328" s="399"/>
      <c r="C328" s="1415" t="s">
        <v>710</v>
      </c>
      <c r="D328" s="1415" t="s">
        <v>711</v>
      </c>
      <c r="E328" s="213">
        <f>INDEX($G69:$J69, MATCH($E$8, $G$62:$J$62, 0))</f>
        <v>5.0000000000000001E-3</v>
      </c>
      <c r="F328" s="206">
        <v>70</v>
      </c>
      <c r="G328" s="197">
        <f t="shared" si="60"/>
        <v>71.767587718968684</v>
      </c>
      <c r="H328" s="206">
        <f t="shared" si="60"/>
        <v>73.579809242855248</v>
      </c>
      <c r="I328" s="206">
        <f t="shared" si="60"/>
        <v>75.437791631165666</v>
      </c>
      <c r="J328" s="206">
        <f t="shared" si="60"/>
        <v>77.342690403070918</v>
      </c>
      <c r="K328" s="206">
        <f t="shared" si="60"/>
        <v>79.295690256049014</v>
      </c>
      <c r="L328" s="206">
        <f t="shared" si="60"/>
        <v>81.298005802673842</v>
      </c>
      <c r="M328" s="206">
        <f t="shared" si="60"/>
        <v>83.350882326008872</v>
      </c>
      <c r="N328" s="206">
        <f t="shared" si="60"/>
        <v>85.455596554075413</v>
      </c>
      <c r="O328" s="1415"/>
    </row>
    <row r="329" spans="1:15" ht="15.75" x14ac:dyDescent="0.2">
      <c r="B329" s="399"/>
      <c r="C329" s="1415" t="s">
        <v>710</v>
      </c>
      <c r="D329" s="1415" t="s">
        <v>713</v>
      </c>
      <c r="E329" s="213">
        <f>INDEX($G70:$J70, MATCH($E$8, $G$62:$J$62, 0))</f>
        <v>4.0000000000000001E-3</v>
      </c>
      <c r="F329" s="208">
        <v>1.7</v>
      </c>
      <c r="G329" s="679">
        <f t="shared" si="60"/>
        <v>1.7342730901777408</v>
      </c>
      <c r="H329" s="208">
        <f t="shared" si="60"/>
        <v>1.7692371478321474</v>
      </c>
      <c r="I329" s="208">
        <f t="shared" si="60"/>
        <v>1.8049061033106535</v>
      </c>
      <c r="J329" s="208">
        <f t="shared" si="60"/>
        <v>1.8412941678054309</v>
      </c>
      <c r="K329" s="208">
        <f t="shared" si="60"/>
        <v>1.8784158390153978</v>
      </c>
      <c r="L329" s="208">
        <f t="shared" si="60"/>
        <v>1.9162859069223812</v>
      </c>
      <c r="M329" s="208">
        <f t="shared" si="60"/>
        <v>1.9549194596837254</v>
      </c>
      <c r="N329" s="208">
        <f t="shared" si="60"/>
        <v>1.9943318896437026</v>
      </c>
      <c r="O329" s="1415"/>
    </row>
    <row r="330" spans="1:15" ht="15.75" x14ac:dyDescent="0.2">
      <c r="B330" s="399"/>
      <c r="C330" s="1415" t="s">
        <v>710</v>
      </c>
      <c r="D330" s="1415" t="s">
        <v>715</v>
      </c>
      <c r="E330" s="213">
        <f>INDEX($G71:$J71, MATCH($E$8, $G$62:$J$62, 0))</f>
        <v>1.4E-3</v>
      </c>
      <c r="F330" s="206">
        <v>6913</v>
      </c>
      <c r="G330" s="197">
        <f t="shared" si="60"/>
        <v>6961.5266846255454</v>
      </c>
      <c r="H330" s="206">
        <f t="shared" si="60"/>
        <v>7010.3940084989936</v>
      </c>
      <c r="I330" s="206">
        <f t="shared" si="60"/>
        <v>7059.6043627809622</v>
      </c>
      <c r="J330" s="206">
        <f t="shared" si="60"/>
        <v>7109.1601554171248</v>
      </c>
      <c r="K330" s="206">
        <f t="shared" si="60"/>
        <v>7159.0638112560418</v>
      </c>
      <c r="L330" s="206">
        <f t="shared" si="60"/>
        <v>7209.3177721677976</v>
      </c>
      <c r="M330" s="206">
        <f t="shared" si="60"/>
        <v>7259.9244971635062</v>
      </c>
      <c r="N330" s="206">
        <f t="shared" si="60"/>
        <v>7310.8864625156157</v>
      </c>
      <c r="O330" s="1415"/>
    </row>
    <row r="331" spans="1:15" ht="15.75" x14ac:dyDescent="0.2">
      <c r="B331" s="399"/>
      <c r="C331" s="200" t="s">
        <v>710</v>
      </c>
      <c r="D331" s="200" t="s">
        <v>717</v>
      </c>
      <c r="E331" s="214">
        <f>INDEX($G72:$J72, MATCH($E$8, $G$62:$J$62, 0))</f>
        <v>1.8E-3</v>
      </c>
      <c r="F331" s="686">
        <v>298</v>
      </c>
      <c r="G331" s="689">
        <f t="shared" si="60"/>
        <v>300.69167259500716</v>
      </c>
      <c r="H331" s="686">
        <f t="shared" si="60"/>
        <v>303.4076576106811</v>
      </c>
      <c r="I331" s="686">
        <f t="shared" si="60"/>
        <v>306.14817464794953</v>
      </c>
      <c r="J331" s="686">
        <f t="shared" si="60"/>
        <v>308.91344529127622</v>
      </c>
      <c r="K331" s="686">
        <f t="shared" si="60"/>
        <v>311.70369312657743</v>
      </c>
      <c r="L331" s="686">
        <f t="shared" si="60"/>
        <v>314.51914375929999</v>
      </c>
      <c r="M331" s="686">
        <f t="shared" si="60"/>
        <v>317.36002483266242</v>
      </c>
      <c r="N331" s="686">
        <f t="shared" si="60"/>
        <v>320.22656604606135</v>
      </c>
      <c r="O331" s="1415"/>
    </row>
    <row r="332" spans="1:15" x14ac:dyDescent="0.2">
      <c r="B332" s="1419"/>
      <c r="C332" s="1416"/>
      <c r="D332" s="1416"/>
      <c r="E332" s="1416"/>
      <c r="F332" s="1416"/>
      <c r="G332" s="1416"/>
      <c r="H332" s="1416"/>
      <c r="I332" s="1416"/>
      <c r="J332" s="1416"/>
      <c r="K332" s="1416"/>
      <c r="L332" s="1416"/>
      <c r="M332" s="1416"/>
      <c r="N332" s="1416"/>
      <c r="O332" s="1416"/>
    </row>
    <row r="333" spans="1:15" ht="5.25" customHeight="1" x14ac:dyDescent="0.2">
      <c r="B333" s="1419"/>
      <c r="C333" s="1416"/>
      <c r="D333" s="1416"/>
      <c r="E333" s="1416"/>
      <c r="F333" s="1416"/>
      <c r="G333" s="1416"/>
      <c r="H333" s="1416"/>
      <c r="I333" s="1416"/>
      <c r="J333" s="1416"/>
      <c r="K333" s="1416"/>
      <c r="L333" s="1416"/>
      <c r="M333" s="1416"/>
      <c r="N333" s="1416"/>
      <c r="O333" s="1416"/>
    </row>
    <row r="334" spans="1:15" x14ac:dyDescent="0.2">
      <c r="B334" s="1419"/>
      <c r="C334" s="1416" t="s">
        <v>514</v>
      </c>
      <c r="D334" s="1416"/>
      <c r="E334" s="1416"/>
      <c r="F334" s="1416"/>
      <c r="G334" s="1416"/>
      <c r="H334" s="1416"/>
      <c r="I334" s="1416"/>
      <c r="J334" s="1416"/>
      <c r="K334" s="1416"/>
      <c r="L334" s="1416"/>
      <c r="M334" s="1416"/>
      <c r="N334" s="1416"/>
      <c r="O334" s="1416"/>
    </row>
    <row r="335" spans="1:15" x14ac:dyDescent="0.2">
      <c r="B335" s="1419"/>
      <c r="C335" s="1416"/>
      <c r="D335" s="1416"/>
      <c r="E335" s="1416"/>
      <c r="F335" s="1416"/>
      <c r="G335" s="1416"/>
      <c r="H335" s="1416"/>
      <c r="I335" s="1416"/>
      <c r="J335" s="1416"/>
      <c r="K335" s="1416"/>
      <c r="L335" s="1416"/>
      <c r="M335" s="1416"/>
      <c r="N335" s="1416"/>
      <c r="O335" s="1416"/>
    </row>
    <row r="336" spans="1:15" ht="16.5" customHeight="1" x14ac:dyDescent="0.25">
      <c r="B336" s="1419"/>
      <c r="C336" s="1417" t="s">
        <v>1018</v>
      </c>
      <c r="D336" s="1416"/>
      <c r="E336" s="1416"/>
      <c r="F336" s="1416"/>
      <c r="G336" s="1416"/>
      <c r="H336" s="1416"/>
      <c r="I336" s="1416"/>
      <c r="J336" s="1416"/>
      <c r="K336" s="1416"/>
      <c r="L336" s="1416"/>
      <c r="M336" s="1416"/>
      <c r="N336" s="176" t="s">
        <v>1017</v>
      </c>
      <c r="O336" s="1416"/>
    </row>
    <row r="337" spans="1:15" ht="4.5" customHeight="1" x14ac:dyDescent="0.2">
      <c r="B337" s="1419"/>
      <c r="C337" s="1416"/>
      <c r="D337" s="1416"/>
      <c r="E337" s="1416"/>
      <c r="F337" s="1416"/>
      <c r="G337" s="1416"/>
      <c r="H337" s="1416"/>
      <c r="I337" s="1416"/>
      <c r="J337" s="1416"/>
      <c r="K337" s="1416"/>
      <c r="L337" s="1416"/>
      <c r="M337" s="1416"/>
      <c r="N337" s="1416"/>
      <c r="O337" s="1416"/>
    </row>
    <row r="338" spans="1:15" ht="15.75" x14ac:dyDescent="0.25">
      <c r="B338" s="397"/>
      <c r="C338" s="98" t="s">
        <v>657</v>
      </c>
      <c r="D338" s="98" t="s">
        <v>65</v>
      </c>
      <c r="E338" s="98"/>
      <c r="F338" s="218">
        <v>2010</v>
      </c>
      <c r="G338" s="573">
        <v>2015</v>
      </c>
      <c r="H338" s="217">
        <v>2020</v>
      </c>
      <c r="I338" s="217">
        <v>2025</v>
      </c>
      <c r="J338" s="217">
        <v>2030</v>
      </c>
      <c r="K338" s="217">
        <v>2035</v>
      </c>
      <c r="L338" s="217">
        <v>2040</v>
      </c>
      <c r="M338" s="217">
        <v>2045</v>
      </c>
      <c r="N338" s="217">
        <v>2050</v>
      </c>
      <c r="O338" s="1416"/>
    </row>
    <row r="339" spans="1:15" ht="12.75" customHeight="1" x14ac:dyDescent="0.25">
      <c r="B339" s="397"/>
      <c r="C339" s="1414" t="s">
        <v>474</v>
      </c>
      <c r="D339" s="1415" t="s">
        <v>721</v>
      </c>
      <c r="E339" s="213"/>
      <c r="F339" s="1043">
        <f>INDEX($G77:$J77, MATCH($E$9, $G$76:$J$76, 0))</f>
        <v>-1.1921561279377713E-3</v>
      </c>
      <c r="G339" s="1044">
        <f>INDEX($G77:$J77, MATCH($E$9, $G$76:$J$76, 0))</f>
        <v>-1.1921561279377713E-3</v>
      </c>
      <c r="H339" s="962">
        <f t="shared" ref="H339:M340" si="61">INDEX($K77:$N77, MATCH($E$9, $K$76:$N$76, 0))</f>
        <v>-1.1921561279377713E-3</v>
      </c>
      <c r="I339" s="962">
        <f t="shared" si="61"/>
        <v>-1.1921561279377713E-3</v>
      </c>
      <c r="J339" s="962">
        <f t="shared" si="61"/>
        <v>-1.1921561279377713E-3</v>
      </c>
      <c r="K339" s="962">
        <f t="shared" si="61"/>
        <v>-1.1921561279377713E-3</v>
      </c>
      <c r="L339" s="962">
        <f t="shared" si="61"/>
        <v>-1.1921561279377713E-3</v>
      </c>
      <c r="M339" s="962">
        <f t="shared" si="61"/>
        <v>-1.1921561279377713E-3</v>
      </c>
      <c r="N339" s="962"/>
      <c r="O339" s="1416"/>
    </row>
    <row r="340" spans="1:15" ht="15.75" x14ac:dyDescent="0.25">
      <c r="A340" s="84"/>
      <c r="B340" s="397"/>
      <c r="C340" s="199" t="s">
        <v>474</v>
      </c>
      <c r="D340" s="200" t="s">
        <v>722</v>
      </c>
      <c r="E340" s="214"/>
      <c r="F340" s="1045">
        <f>INDEX($G78:$J78, MATCH($E$9, $G$76:$J$76, 0))</f>
        <v>-2.4472451512579374E-3</v>
      </c>
      <c r="G340" s="1046">
        <f>INDEX($G78:$J78, MATCH($E$9, $G$76:$J$76, 0))</f>
        <v>-2.4472451512579374E-3</v>
      </c>
      <c r="H340" s="1047">
        <f t="shared" si="61"/>
        <v>-2.4472451512579374E-3</v>
      </c>
      <c r="I340" s="1047">
        <f t="shared" si="61"/>
        <v>-2.4472451512579374E-3</v>
      </c>
      <c r="J340" s="1047">
        <f t="shared" si="61"/>
        <v>-2.4472451512579374E-3</v>
      </c>
      <c r="K340" s="1047">
        <f t="shared" si="61"/>
        <v>-2.4472451512579374E-3</v>
      </c>
      <c r="L340" s="1047">
        <f t="shared" si="61"/>
        <v>-2.4472451512579374E-3</v>
      </c>
      <c r="M340" s="1047">
        <f t="shared" si="61"/>
        <v>-2.4472451512579374E-3</v>
      </c>
      <c r="N340" s="1047"/>
      <c r="O340" s="1416"/>
    </row>
    <row r="341" spans="1:15" x14ac:dyDescent="0.2">
      <c r="A341" s="84"/>
      <c r="B341" s="1419"/>
      <c r="C341" s="1416"/>
      <c r="D341" s="1416"/>
      <c r="E341" s="1416"/>
      <c r="F341" s="1416"/>
      <c r="G341" s="1416"/>
      <c r="H341" s="1416"/>
      <c r="I341" s="1416"/>
      <c r="J341" s="1416"/>
      <c r="K341" s="1416"/>
      <c r="L341" s="1416"/>
      <c r="M341" s="1416"/>
      <c r="N341" s="1416"/>
      <c r="O341" s="1416"/>
    </row>
    <row r="342" spans="1:15" ht="14.25" x14ac:dyDescent="0.25">
      <c r="A342" s="84"/>
      <c r="B342" s="1419"/>
      <c r="C342" s="1417" t="s">
        <v>1016</v>
      </c>
      <c r="D342" s="1416"/>
      <c r="E342" s="1416"/>
      <c r="F342" s="1416"/>
      <c r="G342" s="1416"/>
      <c r="H342" s="1416"/>
      <c r="I342" s="1416"/>
      <c r="J342" s="1416"/>
      <c r="K342" s="1416"/>
      <c r="L342" s="1416"/>
      <c r="M342" s="1416"/>
      <c r="N342" s="176" t="s">
        <v>1017</v>
      </c>
      <c r="O342" s="1416"/>
    </row>
    <row r="343" spans="1:15" ht="4.5" customHeight="1" x14ac:dyDescent="0.2">
      <c r="A343" s="84"/>
      <c r="B343" s="1419"/>
      <c r="C343" s="1416"/>
      <c r="D343" s="1416"/>
      <c r="E343" s="1416"/>
      <c r="F343" s="1416"/>
      <c r="G343" s="1416"/>
      <c r="H343" s="1416"/>
      <c r="I343" s="1416"/>
      <c r="J343" s="1416"/>
      <c r="K343" s="1416"/>
      <c r="L343" s="1416"/>
      <c r="M343" s="1416"/>
      <c r="N343" s="1416"/>
      <c r="O343" s="1416"/>
    </row>
    <row r="344" spans="1:15" ht="16.5" customHeight="1" x14ac:dyDescent="0.25">
      <c r="A344" s="84"/>
      <c r="B344" s="397"/>
      <c r="C344" s="98" t="s">
        <v>657</v>
      </c>
      <c r="D344" s="98" t="s">
        <v>65</v>
      </c>
      <c r="E344" s="98"/>
      <c r="F344" s="218">
        <v>2010</v>
      </c>
      <c r="G344" s="217">
        <v>2015</v>
      </c>
      <c r="H344" s="217">
        <v>2020</v>
      </c>
      <c r="I344" s="217">
        <v>2025</v>
      </c>
      <c r="J344" s="217">
        <v>2030</v>
      </c>
      <c r="K344" s="217">
        <v>2035</v>
      </c>
      <c r="L344" s="217">
        <v>2040</v>
      </c>
      <c r="M344" s="217">
        <v>2045</v>
      </c>
      <c r="N344" s="217">
        <v>2050</v>
      </c>
      <c r="O344" s="1416"/>
    </row>
    <row r="345" spans="1:15" ht="15.75" x14ac:dyDescent="0.25">
      <c r="A345" s="84"/>
      <c r="B345" s="397"/>
      <c r="C345" s="1414" t="s">
        <v>474</v>
      </c>
      <c r="D345" s="1415" t="s">
        <v>721</v>
      </c>
      <c r="E345" s="213"/>
      <c r="F345" s="685">
        <f t="array" ref="F345:F346">G152:G153</f>
        <v>0</v>
      </c>
      <c r="G345" s="688">
        <f t="shared" ref="G345:N345" si="62">F345*(1+F339)^(G$344-F$344)</f>
        <v>0</v>
      </c>
      <c r="H345" s="688">
        <f t="shared" si="62"/>
        <v>0</v>
      </c>
      <c r="I345" s="688">
        <f t="shared" si="62"/>
        <v>0</v>
      </c>
      <c r="J345" s="688">
        <f t="shared" si="62"/>
        <v>0</v>
      </c>
      <c r="K345" s="688">
        <f t="shared" si="62"/>
        <v>0</v>
      </c>
      <c r="L345" s="688">
        <f t="shared" si="62"/>
        <v>0</v>
      </c>
      <c r="M345" s="688">
        <f t="shared" si="62"/>
        <v>0</v>
      </c>
      <c r="N345" s="688">
        <f t="shared" si="62"/>
        <v>0</v>
      </c>
      <c r="O345" s="1416"/>
    </row>
    <row r="346" spans="1:15" ht="15.75" x14ac:dyDescent="0.25">
      <c r="A346" s="84"/>
      <c r="B346" s="397"/>
      <c r="C346" s="199" t="s">
        <v>474</v>
      </c>
      <c r="D346" s="200" t="s">
        <v>722</v>
      </c>
      <c r="E346" s="214"/>
      <c r="F346" s="686">
        <v>0</v>
      </c>
      <c r="G346" s="690">
        <f t="shared" ref="G346:N346" si="63">F346*(1+F340)^(G$344-F$344)</f>
        <v>0</v>
      </c>
      <c r="H346" s="690">
        <f t="shared" si="63"/>
        <v>0</v>
      </c>
      <c r="I346" s="690">
        <f t="shared" si="63"/>
        <v>0</v>
      </c>
      <c r="J346" s="690">
        <f t="shared" si="63"/>
        <v>0</v>
      </c>
      <c r="K346" s="690">
        <f t="shared" si="63"/>
        <v>0</v>
      </c>
      <c r="L346" s="690">
        <f t="shared" si="63"/>
        <v>0</v>
      </c>
      <c r="M346" s="690">
        <f t="shared" si="63"/>
        <v>0</v>
      </c>
      <c r="N346" s="690">
        <f t="shared" si="63"/>
        <v>0</v>
      </c>
      <c r="O346" s="1416"/>
    </row>
    <row r="347" spans="1:15" x14ac:dyDescent="0.2">
      <c r="A347" s="84"/>
      <c r="B347" s="1419"/>
      <c r="C347" s="1416"/>
      <c r="D347" s="1416"/>
      <c r="E347" s="1416"/>
      <c r="F347" s="1416"/>
      <c r="G347" s="1416"/>
      <c r="H347" s="1416"/>
      <c r="I347" s="1416"/>
      <c r="J347" s="1416"/>
      <c r="K347" s="1416"/>
      <c r="L347" s="1416"/>
      <c r="M347" s="1416"/>
      <c r="N347" s="1416"/>
      <c r="O347" s="1416"/>
    </row>
    <row r="348" spans="1:15" ht="16.5" customHeight="1" x14ac:dyDescent="0.25">
      <c r="A348" s="84"/>
      <c r="B348" s="1419"/>
      <c r="C348" s="1417" t="s">
        <v>1007</v>
      </c>
      <c r="D348" s="1416"/>
      <c r="E348" s="1416"/>
      <c r="F348" s="1416"/>
      <c r="G348" s="1416"/>
      <c r="H348" s="1416"/>
      <c r="I348" s="1416"/>
      <c r="J348" s="1416"/>
      <c r="K348" s="1416"/>
      <c r="L348" s="1416"/>
      <c r="M348" s="1416"/>
      <c r="N348" s="176" t="s">
        <v>493</v>
      </c>
      <c r="O348" s="1416"/>
    </row>
    <row r="349" spans="1:15" ht="16.5" customHeight="1" x14ac:dyDescent="0.2">
      <c r="A349" s="84"/>
      <c r="B349" s="1419"/>
      <c r="C349" s="1416"/>
      <c r="D349" s="1416"/>
      <c r="E349" s="1416"/>
      <c r="F349" s="1416"/>
      <c r="G349" s="1416"/>
      <c r="H349" s="1416"/>
      <c r="I349" s="1416"/>
      <c r="J349" s="1416"/>
      <c r="K349" s="1416"/>
      <c r="L349" s="1416"/>
      <c r="M349" s="1416"/>
      <c r="N349" s="1416"/>
      <c r="O349" s="1416"/>
    </row>
    <row r="350" spans="1:15" ht="15.75" x14ac:dyDescent="0.25">
      <c r="A350" s="84"/>
      <c r="B350" s="397"/>
      <c r="C350" s="98" t="s">
        <v>657</v>
      </c>
      <c r="D350" s="98" t="s">
        <v>65</v>
      </c>
      <c r="E350" s="98"/>
      <c r="F350" s="218">
        <v>2010</v>
      </c>
      <c r="G350" s="573">
        <v>2015</v>
      </c>
      <c r="H350" s="217">
        <v>2020</v>
      </c>
      <c r="I350" s="217">
        <v>2025</v>
      </c>
      <c r="J350" s="217">
        <v>2030</v>
      </c>
      <c r="K350" s="217">
        <v>2035</v>
      </c>
      <c r="L350" s="217">
        <v>2040</v>
      </c>
      <c r="M350" s="217">
        <v>2045</v>
      </c>
      <c r="N350" s="217">
        <v>2050</v>
      </c>
      <c r="O350" s="1416"/>
    </row>
    <row r="351" spans="1:15" ht="15.75" x14ac:dyDescent="0.25">
      <c r="B351" s="397"/>
      <c r="C351" s="121" t="s">
        <v>475</v>
      </c>
      <c r="D351" s="122" t="s">
        <v>723</v>
      </c>
      <c r="E351" s="137"/>
      <c r="F351" s="1049">
        <f>INDEX($G83:$J83, MATCH($E$9, $G$82:$J$82, 0))</f>
        <v>-6.3934443203000901E-3</v>
      </c>
      <c r="G351" s="1050">
        <f>INDEX($G83:$J83, MATCH($E$9, $G$82:$J$82, 0))</f>
        <v>-6.3934443203000901E-3</v>
      </c>
      <c r="H351" s="1048">
        <f t="shared" ref="H351:M351" si="64">INDEX($K83:$N83, MATCH($E$9, $K$82:$N$82, 0))</f>
        <v>-6.7319687848443888E-4</v>
      </c>
      <c r="I351" s="1048">
        <f t="shared" si="64"/>
        <v>-6.7319687848443888E-4</v>
      </c>
      <c r="J351" s="1048">
        <f t="shared" si="64"/>
        <v>-6.7319687848443888E-4</v>
      </c>
      <c r="K351" s="1048">
        <f t="shared" si="64"/>
        <v>-6.7319687848443888E-4</v>
      </c>
      <c r="L351" s="1048">
        <f t="shared" si="64"/>
        <v>-6.7319687848443888E-4</v>
      </c>
      <c r="M351" s="1048">
        <f t="shared" si="64"/>
        <v>-6.7319687848443888E-4</v>
      </c>
      <c r="N351" s="1048"/>
      <c r="O351" s="1416"/>
    </row>
    <row r="352" spans="1:15" ht="15.75" customHeight="1" x14ac:dyDescent="0.2">
      <c r="B352" s="1419"/>
      <c r="C352" s="1416"/>
      <c r="D352" s="1416"/>
      <c r="E352" s="1416"/>
      <c r="F352" s="1416"/>
      <c r="G352" s="1416"/>
      <c r="H352" s="1416"/>
      <c r="I352" s="1416"/>
      <c r="J352" s="1416"/>
      <c r="K352" s="1416"/>
      <c r="L352" s="1416"/>
      <c r="M352" s="1416"/>
      <c r="N352" s="1416"/>
      <c r="O352" s="1416"/>
    </row>
    <row r="353" spans="1:15" ht="14.25" x14ac:dyDescent="0.25">
      <c r="B353" s="1419"/>
      <c r="C353" s="1417" t="s">
        <v>1015</v>
      </c>
      <c r="D353" s="1416"/>
      <c r="E353" s="1416"/>
      <c r="F353" s="1416"/>
      <c r="G353" s="1416"/>
      <c r="H353" s="1416"/>
      <c r="I353" s="1416"/>
      <c r="J353" s="1416"/>
      <c r="K353" s="1416"/>
      <c r="L353" s="1416"/>
      <c r="M353" s="1416"/>
      <c r="N353" s="176" t="s">
        <v>493</v>
      </c>
      <c r="O353" s="1416"/>
    </row>
    <row r="354" spans="1:15" ht="4.5" customHeight="1" x14ac:dyDescent="0.2">
      <c r="B354" s="1419"/>
      <c r="C354" s="1416"/>
      <c r="D354" s="1416"/>
      <c r="E354" s="1416"/>
      <c r="F354" s="1416"/>
      <c r="G354" s="1416"/>
      <c r="H354" s="1416"/>
      <c r="I354" s="1416"/>
      <c r="J354" s="1416"/>
      <c r="K354" s="1416"/>
      <c r="L354" s="1416"/>
      <c r="M354" s="1416"/>
      <c r="N354" s="1416"/>
      <c r="O354" s="1416"/>
    </row>
    <row r="355" spans="1:15" ht="15.75" x14ac:dyDescent="0.25">
      <c r="B355" s="397"/>
      <c r="C355" s="98" t="s">
        <v>657</v>
      </c>
      <c r="D355" s="98" t="s">
        <v>65</v>
      </c>
      <c r="E355" s="98"/>
      <c r="F355" s="218">
        <v>2010</v>
      </c>
      <c r="G355" s="217">
        <v>2015</v>
      </c>
      <c r="H355" s="217">
        <v>2020</v>
      </c>
      <c r="I355" s="217">
        <v>2025</v>
      </c>
      <c r="J355" s="217">
        <v>2030</v>
      </c>
      <c r="K355" s="217">
        <v>2035</v>
      </c>
      <c r="L355" s="217">
        <v>2040</v>
      </c>
      <c r="M355" s="217">
        <v>2045</v>
      </c>
      <c r="N355" s="217">
        <v>2050</v>
      </c>
      <c r="O355" s="1416"/>
    </row>
    <row r="356" spans="1:15" ht="15.75" x14ac:dyDescent="0.25">
      <c r="B356" s="397"/>
      <c r="C356" s="121" t="s">
        <v>475</v>
      </c>
      <c r="D356" s="122" t="s">
        <v>723</v>
      </c>
      <c r="E356" s="137"/>
      <c r="F356" s="1036">
        <f>F$158</f>
        <v>23.28</v>
      </c>
      <c r="G356" s="1051">
        <f t="shared" ref="G356:N356" si="65">F356*(1+F351)^(G$355-F$355)</f>
        <v>22.545258398704277</v>
      </c>
      <c r="H356" s="1051">
        <f t="shared" si="65"/>
        <v>21.83370602510076</v>
      </c>
      <c r="I356" s="1051">
        <f t="shared" si="65"/>
        <v>21.760312993855567</v>
      </c>
      <c r="J356" s="1051">
        <f t="shared" si="65"/>
        <v>21.687166670019057</v>
      </c>
      <c r="K356" s="1051">
        <f t="shared" si="65"/>
        <v>21.61426622429525</v>
      </c>
      <c r="L356" s="1051">
        <f t="shared" si="65"/>
        <v>21.541610830175813</v>
      </c>
      <c r="M356" s="1051">
        <f t="shared" si="65"/>
        <v>21.469199663930684</v>
      </c>
      <c r="N356" s="1051">
        <f t="shared" si="65"/>
        <v>21.39703190459873</v>
      </c>
      <c r="O356" s="1416"/>
    </row>
    <row r="357" spans="1:15" x14ac:dyDescent="0.2">
      <c r="B357" s="1419"/>
      <c r="C357" s="1416"/>
      <c r="D357" s="1416"/>
      <c r="E357" s="1416"/>
      <c r="F357" s="1416"/>
      <c r="G357" s="1416"/>
      <c r="H357" s="1416"/>
      <c r="I357" s="1416"/>
      <c r="J357" s="1416"/>
      <c r="K357" s="1416"/>
      <c r="L357" s="1416"/>
      <c r="M357" s="1416"/>
      <c r="N357" s="1416"/>
      <c r="O357" s="1416"/>
    </row>
    <row r="358" spans="1:15" x14ac:dyDescent="0.2">
      <c r="B358" s="1419"/>
      <c r="C358" s="1416"/>
      <c r="D358" s="1416"/>
      <c r="E358" s="1416"/>
      <c r="F358" s="954"/>
      <c r="G358" s="954"/>
      <c r="H358" s="954"/>
      <c r="I358" s="954"/>
      <c r="J358" s="954"/>
      <c r="K358" s="954"/>
      <c r="L358" s="954"/>
      <c r="M358" s="954"/>
      <c r="N358" s="954"/>
      <c r="O358" s="1416"/>
    </row>
    <row r="359" spans="1:15" collapsed="1" x14ac:dyDescent="0.2">
      <c r="B359" s="1419"/>
      <c r="C359" s="1416" t="s">
        <v>1029</v>
      </c>
      <c r="D359" s="1416"/>
      <c r="E359" s="1416"/>
      <c r="F359" s="1416"/>
      <c r="G359" s="1416"/>
      <c r="H359" s="1416"/>
      <c r="I359" s="1416"/>
      <c r="J359" s="1416"/>
      <c r="K359" s="1416"/>
      <c r="L359" s="1416"/>
      <c r="M359" s="1416"/>
      <c r="N359" s="1416"/>
      <c r="O359" s="1416"/>
    </row>
    <row r="360" spans="1:15" s="20" customFormat="1" x14ac:dyDescent="0.2">
      <c r="A360" s="1451"/>
      <c r="B360" s="1419"/>
      <c r="C360" s="1416"/>
      <c r="D360" s="1416"/>
      <c r="E360" s="1416"/>
      <c r="F360" s="1416"/>
      <c r="G360" s="1416"/>
      <c r="H360" s="1416"/>
      <c r="I360" s="1416"/>
      <c r="J360" s="1416"/>
      <c r="K360" s="1416"/>
      <c r="L360" s="1416"/>
      <c r="M360" s="1416"/>
      <c r="N360" s="1416"/>
      <c r="O360" s="1416"/>
    </row>
    <row r="361" spans="1:15" s="20" customFormat="1" x14ac:dyDescent="0.2">
      <c r="A361" s="1451"/>
      <c r="B361" s="1419"/>
      <c r="C361" s="1417" t="s">
        <v>1030</v>
      </c>
      <c r="D361" s="1416"/>
      <c r="E361" s="1416"/>
      <c r="F361" s="1416"/>
      <c r="G361" s="1416"/>
      <c r="H361" s="1416"/>
      <c r="I361" s="1416"/>
      <c r="J361" s="1416"/>
      <c r="K361" s="1416"/>
      <c r="L361" s="1416"/>
      <c r="M361" s="1416"/>
      <c r="N361" s="176" t="str">
        <f>Preferences.AreaUnits</f>
        <v>km^2</v>
      </c>
      <c r="O361" s="1416"/>
    </row>
    <row r="362" spans="1:15" s="20" customFormat="1" ht="4.5" customHeight="1" x14ac:dyDescent="0.2">
      <c r="A362" s="1451"/>
      <c r="B362" s="1419"/>
      <c r="C362" s="1416"/>
      <c r="D362" s="1416"/>
      <c r="E362" s="1416"/>
      <c r="F362" s="1416"/>
      <c r="G362" s="1416"/>
      <c r="H362" s="1416"/>
      <c r="I362" s="1416"/>
      <c r="J362" s="1416"/>
      <c r="K362" s="1416"/>
      <c r="L362" s="1416"/>
      <c r="M362" s="1416"/>
      <c r="N362" s="1416"/>
      <c r="O362" s="1416"/>
    </row>
    <row r="363" spans="1:15" s="20" customFormat="1" ht="15.75" x14ac:dyDescent="0.25">
      <c r="A363" s="1451"/>
      <c r="B363" s="397"/>
      <c r="C363" s="98" t="s">
        <v>657</v>
      </c>
      <c r="D363" s="98" t="s">
        <v>65</v>
      </c>
      <c r="E363" s="98"/>
      <c r="F363" s="218">
        <v>2010</v>
      </c>
      <c r="G363" s="217">
        <v>2015</v>
      </c>
      <c r="H363" s="217">
        <v>2020</v>
      </c>
      <c r="I363" s="217">
        <v>2025</v>
      </c>
      <c r="J363" s="217">
        <v>2030</v>
      </c>
      <c r="K363" s="217">
        <v>2035</v>
      </c>
      <c r="L363" s="217">
        <v>2040</v>
      </c>
      <c r="M363" s="217">
        <v>2045</v>
      </c>
      <c r="N363" s="217">
        <v>2050</v>
      </c>
      <c r="O363" s="1416"/>
    </row>
    <row r="364" spans="1:15" s="20" customFormat="1" ht="15.75" x14ac:dyDescent="0.25">
      <c r="A364" s="1451"/>
      <c r="B364" s="397"/>
      <c r="C364" s="1414" t="s">
        <v>1031</v>
      </c>
      <c r="D364" s="1415" t="s">
        <v>1033</v>
      </c>
      <c r="E364" s="213"/>
      <c r="F364" s="1006">
        <f>F$305</f>
        <v>286368.08</v>
      </c>
      <c r="G364" s="954">
        <f t="shared" ref="G364:N364" si="66">F364-$F$190*(G$363-F$363)</f>
        <v>286311.67999999999</v>
      </c>
      <c r="H364" s="954">
        <f t="shared" si="66"/>
        <v>286255.27999999997</v>
      </c>
      <c r="I364" s="954">
        <f t="shared" si="66"/>
        <v>286198.87999999995</v>
      </c>
      <c r="J364" s="954">
        <f t="shared" si="66"/>
        <v>286142.47999999992</v>
      </c>
      <c r="K364" s="954">
        <f t="shared" si="66"/>
        <v>286086.0799999999</v>
      </c>
      <c r="L364" s="954">
        <f t="shared" si="66"/>
        <v>286029.67999999988</v>
      </c>
      <c r="M364" s="954">
        <f t="shared" si="66"/>
        <v>285973.27999999985</v>
      </c>
      <c r="N364" s="954">
        <f t="shared" si="66"/>
        <v>285916.87999999983</v>
      </c>
      <c r="O364" s="1416"/>
    </row>
    <row r="365" spans="1:15" s="20" customFormat="1" ht="15.75" x14ac:dyDescent="0.25">
      <c r="A365" s="1451"/>
      <c r="B365" s="397"/>
      <c r="C365" s="199" t="s">
        <v>1032</v>
      </c>
      <c r="D365" s="200" t="s">
        <v>1034</v>
      </c>
      <c r="E365" s="214"/>
      <c r="F365" s="201">
        <v>0</v>
      </c>
      <c r="G365" s="955">
        <f t="shared" ref="G365:N365" si="67">G$305-G364</f>
        <v>56.400000000023283</v>
      </c>
      <c r="H365" s="955">
        <f t="shared" si="67"/>
        <v>112.80000000004657</v>
      </c>
      <c r="I365" s="955">
        <f t="shared" si="67"/>
        <v>169.20000000006985</v>
      </c>
      <c r="J365" s="955">
        <f t="shared" si="67"/>
        <v>225.60000000009313</v>
      </c>
      <c r="K365" s="955">
        <f t="shared" si="67"/>
        <v>282.00000000011642</v>
      </c>
      <c r="L365" s="955">
        <f t="shared" si="67"/>
        <v>338.4000000001397</v>
      </c>
      <c r="M365" s="955">
        <f t="shared" si="67"/>
        <v>394.80000000016298</v>
      </c>
      <c r="N365" s="955">
        <f t="shared" si="67"/>
        <v>451.20000000018626</v>
      </c>
      <c r="O365" s="1416"/>
    </row>
    <row r="366" spans="1:15" x14ac:dyDescent="0.2">
      <c r="B366" s="1419"/>
      <c r="C366" s="1416"/>
      <c r="D366" s="1416"/>
      <c r="E366" s="1416"/>
      <c r="F366" s="1416"/>
      <c r="G366" s="1416"/>
      <c r="H366" s="1416"/>
      <c r="I366" s="1416"/>
      <c r="J366" s="1416"/>
      <c r="K366" s="1416"/>
      <c r="L366" s="1416"/>
      <c r="M366" s="1416"/>
      <c r="N366" s="1416"/>
      <c r="O366" s="1416"/>
    </row>
    <row r="368" spans="1:15" ht="15.75" x14ac:dyDescent="0.25">
      <c r="B368" s="134" t="s">
        <v>279</v>
      </c>
    </row>
    <row r="369" spans="1:15" s="39" customFormat="1" x14ac:dyDescent="0.2">
      <c r="A369" s="1451"/>
      <c r="B369" s="1427">
        <v>1</v>
      </c>
      <c r="C369" s="1451" t="s">
        <v>1040</v>
      </c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</row>
    <row r="370" spans="1:15" x14ac:dyDescent="0.2">
      <c r="B370" s="1427">
        <v>2</v>
      </c>
      <c r="C370" s="1451" t="s">
        <v>1041</v>
      </c>
      <c r="D370" s="20"/>
      <c r="E370" s="20"/>
      <c r="F370" s="20"/>
      <c r="G370" s="20"/>
      <c r="H370" s="20"/>
      <c r="I370" s="20"/>
      <c r="J370" s="20"/>
      <c r="K370" s="20"/>
      <c r="L370" s="20"/>
      <c r="M370" s="20"/>
      <c r="N370" s="20"/>
      <c r="O370" s="20"/>
    </row>
    <row r="371" spans="1:15" x14ac:dyDescent="0.2">
      <c r="B371" s="1427">
        <v>3</v>
      </c>
      <c r="C371" s="1451" t="s">
        <v>724</v>
      </c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</row>
    <row r="372" spans="1:15" x14ac:dyDescent="0.2">
      <c r="B372" s="1427">
        <v>4</v>
      </c>
      <c r="C372" s="1451" t="s">
        <v>1052</v>
      </c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/>
      <c r="O372" s="20"/>
    </row>
    <row r="373" spans="1:15" x14ac:dyDescent="0.2">
      <c r="B373" s="1427">
        <v>5</v>
      </c>
      <c r="C373" s="1451" t="s">
        <v>513</v>
      </c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/>
      <c r="O373" s="20"/>
    </row>
    <row r="374" spans="1:15" x14ac:dyDescent="0.2">
      <c r="B374" s="1427">
        <v>6</v>
      </c>
      <c r="C374" s="1451" t="s">
        <v>1046</v>
      </c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</row>
    <row r="377" spans="1:15" x14ac:dyDescent="0.2">
      <c r="B377" s="1427">
        <v>1</v>
      </c>
      <c r="C377" s="1427" t="s">
        <v>1042</v>
      </c>
      <c r="F377" s="171">
        <v>2010</v>
      </c>
      <c r="G377" s="171">
        <v>2015</v>
      </c>
      <c r="H377" s="171">
        <v>2020</v>
      </c>
      <c r="I377" s="171">
        <v>2025</v>
      </c>
      <c r="J377" s="171">
        <v>2030</v>
      </c>
      <c r="K377" s="171">
        <v>2035</v>
      </c>
      <c r="L377" s="171">
        <v>2040</v>
      </c>
      <c r="M377" s="171">
        <v>2045</v>
      </c>
      <c r="N377" s="171">
        <v>2050</v>
      </c>
    </row>
    <row r="379" spans="1:15" s="39" customFormat="1" x14ac:dyDescent="0.2">
      <c r="A379" s="1451"/>
      <c r="B379" s="1451"/>
      <c r="C379" s="1451" t="s">
        <v>997</v>
      </c>
      <c r="D379" s="1451"/>
      <c r="E379" s="1451" t="s">
        <v>728</v>
      </c>
      <c r="F379" s="219">
        <f t="shared" ref="F379:N379" si="68">F$323*F$300/Unit.Mha</f>
        <v>2.7713040000000002</v>
      </c>
      <c r="G379" s="219">
        <f t="shared" si="68"/>
        <v>3.1855539399716735</v>
      </c>
      <c r="H379" s="219">
        <f t="shared" si="68"/>
        <v>3.6617252760682524</v>
      </c>
      <c r="I379" s="219">
        <f t="shared" si="68"/>
        <v>4.2090739162044608</v>
      </c>
      <c r="J379" s="219">
        <f t="shared" si="68"/>
        <v>4.8382393261068133</v>
      </c>
      <c r="K379" s="219">
        <f t="shared" si="68"/>
        <v>5.5614513412478219</v>
      </c>
      <c r="L379" s="219">
        <f t="shared" si="68"/>
        <v>6.3927678926861669</v>
      </c>
      <c r="M379" s="219">
        <f t="shared" si="68"/>
        <v>7.3483482677724385</v>
      </c>
      <c r="N379" s="219">
        <f t="shared" si="68"/>
        <v>8.4467672174133579</v>
      </c>
      <c r="O379" s="1451"/>
    </row>
    <row r="380" spans="1:15" x14ac:dyDescent="0.2">
      <c r="B380" s="582" t="s">
        <v>345</v>
      </c>
      <c r="C380" s="39" t="s">
        <v>374</v>
      </c>
      <c r="D380" s="39"/>
      <c r="E380" s="39" t="str">
        <f>Preferences.EnergyUnits &amp; " / M odt"</f>
        <v>TWh / M odt</v>
      </c>
      <c r="F380" s="702">
        <f>$F$176</f>
        <v>3.8888888888888888</v>
      </c>
      <c r="G380" s="702"/>
      <c r="H380" s="702"/>
      <c r="I380" s="702"/>
      <c r="J380" s="702"/>
      <c r="K380" s="702"/>
      <c r="L380" s="702"/>
      <c r="M380" s="702"/>
      <c r="N380" s="702"/>
      <c r="O380" s="39"/>
    </row>
    <row r="381" spans="1:15" x14ac:dyDescent="0.2">
      <c r="B381" s="701" t="s">
        <v>346</v>
      </c>
      <c r="C381" s="1427" t="s">
        <v>738</v>
      </c>
      <c r="E381" s="1427" t="str">
        <f>Preferences.EnergyUnits</f>
        <v>TWh</v>
      </c>
      <c r="F381" s="234">
        <f t="shared" ref="F381:N381" si="69">F379*$F380</f>
        <v>10.777293333333335</v>
      </c>
      <c r="G381" s="234">
        <f t="shared" si="69"/>
        <v>12.388265322112064</v>
      </c>
      <c r="H381" s="234">
        <f t="shared" si="69"/>
        <v>14.240042740265427</v>
      </c>
      <c r="I381" s="234">
        <f t="shared" si="69"/>
        <v>16.368620785239571</v>
      </c>
      <c r="J381" s="234">
        <f t="shared" si="69"/>
        <v>18.815375157082052</v>
      </c>
      <c r="K381" s="234">
        <f t="shared" si="69"/>
        <v>21.627866327074862</v>
      </c>
      <c r="L381" s="234">
        <f t="shared" si="69"/>
        <v>24.860764027112872</v>
      </c>
      <c r="M381" s="234">
        <f t="shared" si="69"/>
        <v>28.576909930226151</v>
      </c>
      <c r="N381" s="234">
        <f t="shared" si="69"/>
        <v>32.848539178829725</v>
      </c>
    </row>
    <row r="382" spans="1:15" s="39" customFormat="1" x14ac:dyDescent="0.2">
      <c r="A382" s="1451"/>
      <c r="B382" s="1451"/>
      <c r="C382" s="1451"/>
      <c r="D382" s="1451"/>
      <c r="E382" s="1451"/>
      <c r="F382" s="219"/>
      <c r="G382" s="219"/>
      <c r="H382" s="219"/>
      <c r="I382" s="219"/>
      <c r="J382" s="219"/>
      <c r="K382" s="219"/>
      <c r="L382" s="219"/>
      <c r="M382" s="219"/>
      <c r="N382" s="219"/>
      <c r="O382" s="1451"/>
    </row>
    <row r="383" spans="1:15" s="39" customFormat="1" x14ac:dyDescent="0.2">
      <c r="A383" s="1451"/>
      <c r="B383" s="1451"/>
      <c r="C383" s="1066" t="s">
        <v>1089</v>
      </c>
      <c r="D383" s="1067"/>
      <c r="E383" s="1067"/>
      <c r="F383" s="1067"/>
      <c r="G383" s="1067"/>
      <c r="H383" s="1067"/>
      <c r="I383" s="1067"/>
      <c r="J383" s="1067"/>
      <c r="K383" s="1067"/>
      <c r="L383" s="1067"/>
      <c r="M383" s="1067"/>
      <c r="N383" s="1067"/>
      <c r="O383" s="1451"/>
    </row>
    <row r="384" spans="1:15" x14ac:dyDescent="0.2">
      <c r="C384" s="1073" t="s">
        <v>1161</v>
      </c>
      <c r="D384" s="1071" t="str">
        <f>INDEX(Vectors[Description], MATCH(C384, Vectors[Code], 0))</f>
        <v>Energy crops (first generation)</v>
      </c>
      <c r="E384" s="580" t="str">
        <f>Preferences.EnergyUnits</f>
        <v>TWh</v>
      </c>
      <c r="F384" s="1074">
        <f t="shared" ref="F384:N384" si="70">F381</f>
        <v>10.777293333333335</v>
      </c>
      <c r="G384" s="1074">
        <f t="shared" si="70"/>
        <v>12.388265322112064</v>
      </c>
      <c r="H384" s="1074">
        <f t="shared" si="70"/>
        <v>14.240042740265427</v>
      </c>
      <c r="I384" s="1074">
        <f t="shared" si="70"/>
        <v>16.368620785239571</v>
      </c>
      <c r="J384" s="1074">
        <f t="shared" si="70"/>
        <v>18.815375157082052</v>
      </c>
      <c r="K384" s="1074">
        <f t="shared" si="70"/>
        <v>21.627866327074862</v>
      </c>
      <c r="L384" s="1074">
        <f t="shared" si="70"/>
        <v>24.860764027112872</v>
      </c>
      <c r="M384" s="1074">
        <f t="shared" si="70"/>
        <v>28.576909930226151</v>
      </c>
      <c r="N384" s="1074">
        <f t="shared" si="70"/>
        <v>32.848539178829725</v>
      </c>
    </row>
    <row r="385" spans="1:15" x14ac:dyDescent="0.2">
      <c r="F385" s="219"/>
      <c r="G385" s="219"/>
      <c r="H385" s="219"/>
      <c r="I385" s="219"/>
      <c r="J385" s="219"/>
      <c r="K385" s="219"/>
      <c r="L385" s="219"/>
      <c r="M385" s="219"/>
      <c r="N385" s="219"/>
    </row>
    <row r="386" spans="1:15" x14ac:dyDescent="0.2">
      <c r="F386" s="219"/>
      <c r="G386" s="219"/>
      <c r="H386" s="219"/>
      <c r="I386" s="219"/>
      <c r="J386" s="219"/>
      <c r="K386" s="219"/>
      <c r="L386" s="219"/>
      <c r="M386" s="219"/>
      <c r="N386" s="219"/>
    </row>
    <row r="387" spans="1:15" ht="18" x14ac:dyDescent="0.25">
      <c r="A387" s="99"/>
      <c r="B387" s="1427">
        <v>2</v>
      </c>
      <c r="C387" s="1427" t="s">
        <v>1043</v>
      </c>
      <c r="F387" s="171">
        <v>2010</v>
      </c>
      <c r="G387" s="171">
        <v>2015</v>
      </c>
      <c r="H387" s="171">
        <v>2020</v>
      </c>
      <c r="I387" s="171">
        <v>2025</v>
      </c>
      <c r="J387" s="171">
        <v>2030</v>
      </c>
      <c r="K387" s="171">
        <v>2035</v>
      </c>
      <c r="L387" s="171">
        <v>2040</v>
      </c>
      <c r="M387" s="171">
        <v>2045</v>
      </c>
      <c r="N387" s="171">
        <v>2050</v>
      </c>
    </row>
    <row r="388" spans="1:15" x14ac:dyDescent="0.2">
      <c r="A388" s="20"/>
      <c r="F388" s="219"/>
      <c r="G388" s="219"/>
      <c r="H388" s="219"/>
      <c r="I388" s="219"/>
      <c r="J388" s="219"/>
      <c r="K388" s="219"/>
      <c r="L388" s="219"/>
      <c r="M388" s="219"/>
      <c r="N388" s="219"/>
    </row>
    <row r="389" spans="1:15" x14ac:dyDescent="0.2">
      <c r="A389" s="20"/>
      <c r="C389" s="1451" t="s">
        <v>1014</v>
      </c>
      <c r="E389" s="1451" t="s">
        <v>729</v>
      </c>
      <c r="F389" s="219">
        <f t="shared" ref="F389:N389" si="71">F$324*(F$301+F$302)/Unit.Mha</f>
        <v>323.50355360000003</v>
      </c>
      <c r="G389" s="219">
        <f t="shared" si="71"/>
        <v>348.50520349303127</v>
      </c>
      <c r="H389" s="219">
        <f t="shared" si="71"/>
        <v>375.43908099351137</v>
      </c>
      <c r="I389" s="219">
        <f t="shared" si="71"/>
        <v>404.45451638735977</v>
      </c>
      <c r="J389" s="219">
        <f t="shared" si="71"/>
        <v>435.71238080289316</v>
      </c>
      <c r="K389" s="219">
        <f t="shared" si="71"/>
        <v>469.38597813333405</v>
      </c>
      <c r="L389" s="219">
        <f t="shared" si="71"/>
        <v>505.66200589066136</v>
      </c>
      <c r="M389" s="219">
        <f t="shared" si="71"/>
        <v>544.74159031809575</v>
      </c>
      <c r="N389" s="219">
        <f t="shared" si="71"/>
        <v>586.8414015002196</v>
      </c>
    </row>
    <row r="390" spans="1:15" x14ac:dyDescent="0.2">
      <c r="A390" s="20"/>
      <c r="B390" s="582" t="s">
        <v>345</v>
      </c>
      <c r="C390" s="39" t="s">
        <v>374</v>
      </c>
      <c r="D390" s="39"/>
      <c r="E390" s="39" t="str">
        <f>Preferences.EnergyUnits &amp; " / M odt"</f>
        <v>TWh / M odt</v>
      </c>
      <c r="F390" s="702">
        <f>$F$177</f>
        <v>5.1388888888888884</v>
      </c>
      <c r="G390" s="702"/>
      <c r="H390" s="702"/>
      <c r="I390" s="702"/>
      <c r="J390" s="702"/>
      <c r="K390" s="702"/>
      <c r="L390" s="702"/>
      <c r="M390" s="702"/>
      <c r="N390" s="702"/>
      <c r="O390" s="39"/>
    </row>
    <row r="391" spans="1:15" x14ac:dyDescent="0.2">
      <c r="A391" s="20"/>
      <c r="B391" s="701" t="s">
        <v>346</v>
      </c>
      <c r="C391" s="1427" t="s">
        <v>739</v>
      </c>
      <c r="E391" s="1427" t="str">
        <f>Preferences.EnergyUnits</f>
        <v>TWh</v>
      </c>
      <c r="F391" s="234">
        <f t="shared" ref="F391:N391" si="72">F389*$F390</f>
        <v>1662.4488171111111</v>
      </c>
      <c r="G391" s="234">
        <f t="shared" si="72"/>
        <v>1790.9295179502994</v>
      </c>
      <c r="H391" s="234">
        <f t="shared" si="72"/>
        <v>1929.3397217722111</v>
      </c>
      <c r="I391" s="234">
        <f t="shared" si="72"/>
        <v>2078.4468203239321</v>
      </c>
      <c r="J391" s="234">
        <f t="shared" si="72"/>
        <v>2239.0775124593119</v>
      </c>
      <c r="K391" s="234">
        <f t="shared" si="72"/>
        <v>2412.1223876296331</v>
      </c>
      <c r="L391" s="234">
        <f t="shared" si="72"/>
        <v>2598.5408636047873</v>
      </c>
      <c r="M391" s="234">
        <f t="shared" si="72"/>
        <v>2799.3665058013253</v>
      </c>
      <c r="N391" s="234">
        <f t="shared" si="72"/>
        <v>3015.7127577094616</v>
      </c>
    </row>
    <row r="392" spans="1:15" s="39" customFormat="1" x14ac:dyDescent="0.2">
      <c r="A392" s="20"/>
      <c r="B392" s="1426"/>
      <c r="C392" s="1451"/>
      <c r="D392" s="1451"/>
      <c r="E392" s="1451"/>
      <c r="F392" s="219"/>
      <c r="G392" s="219"/>
      <c r="H392" s="219"/>
      <c r="I392" s="219"/>
      <c r="J392" s="219"/>
      <c r="K392" s="219"/>
      <c r="L392" s="219"/>
      <c r="M392" s="219"/>
      <c r="N392" s="219"/>
      <c r="O392" s="1451"/>
    </row>
    <row r="393" spans="1:15" x14ac:dyDescent="0.2">
      <c r="A393" s="20"/>
      <c r="B393" s="582"/>
      <c r="C393" s="39" t="s">
        <v>1045</v>
      </c>
      <c r="D393" s="39"/>
      <c r="E393" s="39" t="str">
        <f>Preferences.EnergyUnits</f>
        <v>TWh</v>
      </c>
      <c r="F393" s="702">
        <f t="shared" ref="F393:N393" si="73">F381+F391</f>
        <v>1673.2261104444444</v>
      </c>
      <c r="G393" s="702">
        <f t="shared" si="73"/>
        <v>1803.3177832724116</v>
      </c>
      <c r="H393" s="702">
        <f t="shared" si="73"/>
        <v>1943.5797645124765</v>
      </c>
      <c r="I393" s="702">
        <f t="shared" si="73"/>
        <v>2094.8154411091718</v>
      </c>
      <c r="J393" s="702">
        <f t="shared" si="73"/>
        <v>2257.8928876163941</v>
      </c>
      <c r="K393" s="702">
        <f t="shared" si="73"/>
        <v>2433.7502539567081</v>
      </c>
      <c r="L393" s="702">
        <f t="shared" si="73"/>
        <v>2623.4016276319003</v>
      </c>
      <c r="M393" s="702">
        <f t="shared" si="73"/>
        <v>2827.9434157315513</v>
      </c>
      <c r="N393" s="702">
        <f t="shared" si="73"/>
        <v>3048.5612968882915</v>
      </c>
      <c r="O393" s="39"/>
    </row>
    <row r="394" spans="1:15" x14ac:dyDescent="0.2">
      <c r="B394" s="582"/>
      <c r="C394" s="39" t="s">
        <v>730</v>
      </c>
      <c r="D394" s="39"/>
      <c r="E394" s="582" t="s">
        <v>347</v>
      </c>
      <c r="F394" s="704">
        <f t="shared" ref="F394:N394" si="74">F393/(F300+F301+F302)/Unit.GWyear*1000000000/10000000000/Global.NigeriaIncidentSolarEnergy</f>
        <v>6.7472074655837534E-8</v>
      </c>
      <c r="G394" s="704">
        <f t="shared" si="74"/>
        <v>7.2717961632117085E-8</v>
      </c>
      <c r="H394" s="704">
        <f t="shared" si="74"/>
        <v>7.8373961625502083E-8</v>
      </c>
      <c r="I394" s="704">
        <f t="shared" si="74"/>
        <v>8.4472470845662317E-8</v>
      </c>
      <c r="J394" s="704">
        <f t="shared" si="74"/>
        <v>9.1048494000414544E-8</v>
      </c>
      <c r="K394" s="704">
        <f t="shared" si="74"/>
        <v>9.8139861554642391E-8</v>
      </c>
      <c r="L394" s="704">
        <f t="shared" si="74"/>
        <v>1.0578746612124564E-7</v>
      </c>
      <c r="M394" s="704">
        <f t="shared" si="74"/>
        <v>1.1403551981270541E-7</v>
      </c>
      <c r="N394" s="704">
        <f t="shared" si="74"/>
        <v>1.2293183457548804E-7</v>
      </c>
      <c r="O394" s="39"/>
    </row>
    <row r="395" spans="1:15" x14ac:dyDescent="0.2">
      <c r="B395" s="1426"/>
      <c r="E395" s="1426"/>
      <c r="F395" s="219"/>
      <c r="G395" s="219"/>
      <c r="H395" s="219"/>
      <c r="I395" s="219"/>
      <c r="J395" s="219"/>
      <c r="K395" s="219"/>
      <c r="L395" s="219"/>
      <c r="M395" s="219"/>
      <c r="N395" s="219"/>
    </row>
    <row r="396" spans="1:15" x14ac:dyDescent="0.2">
      <c r="B396" s="1426"/>
      <c r="C396" s="1066" t="s">
        <v>1089</v>
      </c>
      <c r="D396" s="1067"/>
      <c r="E396" s="1067"/>
      <c r="F396" s="1067"/>
      <c r="G396" s="1067"/>
      <c r="H396" s="1067"/>
      <c r="I396" s="1067"/>
      <c r="J396" s="1067"/>
      <c r="K396" s="1067"/>
      <c r="L396" s="1067"/>
      <c r="M396" s="1067"/>
      <c r="N396" s="1067"/>
    </row>
    <row r="397" spans="1:15" s="39" customFormat="1" x14ac:dyDescent="0.2">
      <c r="A397" s="1451"/>
      <c r="B397" s="1426"/>
      <c r="C397" s="1073" t="s">
        <v>871</v>
      </c>
      <c r="D397" s="1071" t="str">
        <f>INDEX(Vectors[Description], MATCH(C397, Vectors[Code], 0))</f>
        <v>Energy crops (second generation)</v>
      </c>
      <c r="E397" s="580" t="str">
        <f>Preferences.EnergyUnits</f>
        <v>TWh</v>
      </c>
      <c r="F397" s="1074">
        <f t="shared" ref="F397:N397" si="75">F391</f>
        <v>1662.4488171111111</v>
      </c>
      <c r="G397" s="1074">
        <f t="shared" si="75"/>
        <v>1790.9295179502994</v>
      </c>
      <c r="H397" s="1074">
        <f t="shared" si="75"/>
        <v>1929.3397217722111</v>
      </c>
      <c r="I397" s="1074">
        <f t="shared" si="75"/>
        <v>2078.4468203239321</v>
      </c>
      <c r="J397" s="1074">
        <f t="shared" si="75"/>
        <v>2239.0775124593119</v>
      </c>
      <c r="K397" s="1074">
        <f t="shared" si="75"/>
        <v>2412.1223876296331</v>
      </c>
      <c r="L397" s="1074">
        <f t="shared" si="75"/>
        <v>2598.5408636047873</v>
      </c>
      <c r="M397" s="1074">
        <f t="shared" si="75"/>
        <v>2799.3665058013253</v>
      </c>
      <c r="N397" s="1074">
        <f t="shared" si="75"/>
        <v>3015.7127577094616</v>
      </c>
      <c r="O397" s="1451"/>
    </row>
    <row r="398" spans="1:15" x14ac:dyDescent="0.2">
      <c r="B398" s="1426"/>
      <c r="E398" s="1426"/>
      <c r="F398" s="219"/>
      <c r="G398" s="219"/>
      <c r="H398" s="219"/>
      <c r="I398" s="219"/>
      <c r="J398" s="219"/>
      <c r="K398" s="219"/>
      <c r="L398" s="219"/>
      <c r="M398" s="219"/>
      <c r="N398" s="219"/>
    </row>
    <row r="399" spans="1:15" x14ac:dyDescent="0.2">
      <c r="A399" s="39"/>
      <c r="B399" s="1426"/>
      <c r="E399" s="1426"/>
      <c r="F399" s="219"/>
      <c r="G399" s="219"/>
      <c r="H399" s="219"/>
      <c r="I399" s="219"/>
      <c r="J399" s="219"/>
      <c r="K399" s="219"/>
      <c r="L399" s="219"/>
      <c r="M399" s="219"/>
      <c r="N399" s="219"/>
    </row>
    <row r="400" spans="1:15" x14ac:dyDescent="0.2">
      <c r="B400" s="172">
        <v>3</v>
      </c>
      <c r="C400" s="1427" t="s">
        <v>1035</v>
      </c>
      <c r="E400" s="1426"/>
      <c r="F400" s="171">
        <v>2010</v>
      </c>
      <c r="G400" s="171">
        <v>2015</v>
      </c>
      <c r="H400" s="171">
        <v>2020</v>
      </c>
      <c r="I400" s="171">
        <v>2025</v>
      </c>
      <c r="J400" s="171">
        <v>2030</v>
      </c>
      <c r="K400" s="171">
        <v>2035</v>
      </c>
      <c r="L400" s="171">
        <v>2040</v>
      </c>
      <c r="M400" s="171">
        <v>2045</v>
      </c>
      <c r="N400" s="171">
        <v>2050</v>
      </c>
    </row>
    <row r="401" spans="1:15" x14ac:dyDescent="0.2">
      <c r="B401" s="1426"/>
      <c r="E401" s="1426"/>
      <c r="F401" s="219"/>
      <c r="G401" s="219"/>
      <c r="H401" s="219"/>
      <c r="I401" s="219"/>
      <c r="J401" s="219"/>
      <c r="K401" s="219"/>
      <c r="L401" s="219"/>
      <c r="M401" s="219"/>
      <c r="N401" s="219"/>
    </row>
    <row r="402" spans="1:15" x14ac:dyDescent="0.2">
      <c r="B402" s="1426"/>
      <c r="C402" s="20" t="s">
        <v>797</v>
      </c>
      <c r="D402" s="20"/>
      <c r="E402" s="20" t="s">
        <v>728</v>
      </c>
      <c r="F402" s="219">
        <f t="shared" ref="F402:N402" si="76">(F$299+F$300+$F301)*F$325/Unit.Mha</f>
        <v>64.017122399999991</v>
      </c>
      <c r="G402" s="219">
        <f t="shared" si="76"/>
        <v>65.307748640549804</v>
      </c>
      <c r="H402" s="219">
        <f t="shared" si="76"/>
        <v>66.624394733763225</v>
      </c>
      <c r="I402" s="219">
        <f t="shared" si="76"/>
        <v>67.967585256555964</v>
      </c>
      <c r="J402" s="219">
        <f t="shared" si="76"/>
        <v>69.337855361650824</v>
      </c>
      <c r="K402" s="219">
        <f t="shared" si="76"/>
        <v>70.735750990792596</v>
      </c>
      <c r="L402" s="219">
        <f t="shared" si="76"/>
        <v>72.161829092261812</v>
      </c>
      <c r="M402" s="219">
        <f t="shared" si="76"/>
        <v>73.616657842773478</v>
      </c>
      <c r="N402" s="219">
        <f t="shared" si="76"/>
        <v>75.100816873849524</v>
      </c>
    </row>
    <row r="403" spans="1:15" x14ac:dyDescent="0.2">
      <c r="B403" s="582" t="s">
        <v>345</v>
      </c>
      <c r="C403" s="39" t="s">
        <v>732</v>
      </c>
      <c r="D403" s="39"/>
      <c r="E403" s="39"/>
      <c r="F403" s="703">
        <f t="shared" ref="F403" si="77">INDEX(F$96:F$99, MATCH($E$9, $C$96:$C$99, 0))</f>
        <v>0.05</v>
      </c>
      <c r="G403" s="703">
        <f t="shared" ref="G403:N403" si="78">INDEX(G$96:G$99, MATCH($E$9, $C$96:$C$99, 0))</f>
        <v>0.1</v>
      </c>
      <c r="H403" s="703">
        <f t="shared" si="78"/>
        <v>0.25</v>
      </c>
      <c r="I403" s="703">
        <f t="shared" si="78"/>
        <v>0.5</v>
      </c>
      <c r="J403" s="703">
        <f t="shared" si="78"/>
        <v>0.5</v>
      </c>
      <c r="K403" s="703">
        <f t="shared" si="78"/>
        <v>0.5</v>
      </c>
      <c r="L403" s="703">
        <f t="shared" si="78"/>
        <v>0.5</v>
      </c>
      <c r="M403" s="703">
        <f t="shared" si="78"/>
        <v>0.5</v>
      </c>
      <c r="N403" s="703">
        <f t="shared" si="78"/>
        <v>0.5</v>
      </c>
      <c r="O403" s="39"/>
    </row>
    <row r="404" spans="1:15" x14ac:dyDescent="0.2">
      <c r="B404" s="582" t="s">
        <v>345</v>
      </c>
      <c r="C404" s="39" t="s">
        <v>374</v>
      </c>
      <c r="D404" s="39"/>
      <c r="E404" s="39" t="str">
        <f>Preferences.EnergyUnits &amp; " / M odt"</f>
        <v>TWh / M odt</v>
      </c>
      <c r="F404" s="702">
        <f>$F$178</f>
        <v>4.1666666666666661</v>
      </c>
      <c r="G404" s="219"/>
      <c r="H404" s="219"/>
      <c r="I404" s="219"/>
      <c r="J404" s="219"/>
      <c r="K404" s="219"/>
      <c r="L404" s="219"/>
      <c r="M404" s="219"/>
      <c r="N404" s="219"/>
    </row>
    <row r="405" spans="1:15" x14ac:dyDescent="0.2">
      <c r="B405" s="701" t="s">
        <v>346</v>
      </c>
      <c r="C405" s="1427" t="s">
        <v>740</v>
      </c>
      <c r="E405" s="1427" t="str">
        <f>Preferences.EnergyUnits</f>
        <v>TWh</v>
      </c>
      <c r="F405" s="234">
        <f t="shared" ref="F405" si="79">F402*F403*$F404</f>
        <v>13.336900499999997</v>
      </c>
      <c r="G405" s="234">
        <f t="shared" ref="G405:N405" si="80">G402*G403*$F404</f>
        <v>27.211561933562415</v>
      </c>
      <c r="H405" s="234">
        <f t="shared" si="80"/>
        <v>69.400411181003349</v>
      </c>
      <c r="I405" s="234">
        <f t="shared" si="80"/>
        <v>141.59913595115825</v>
      </c>
      <c r="J405" s="234">
        <f t="shared" si="80"/>
        <v>144.45386533677254</v>
      </c>
      <c r="K405" s="234">
        <f t="shared" si="80"/>
        <v>147.36614789748455</v>
      </c>
      <c r="L405" s="234">
        <f t="shared" si="80"/>
        <v>150.33714394221209</v>
      </c>
      <c r="M405" s="234">
        <f t="shared" si="80"/>
        <v>153.36803717244473</v>
      </c>
      <c r="N405" s="234">
        <f t="shared" si="80"/>
        <v>156.46003515385314</v>
      </c>
    </row>
    <row r="406" spans="1:15" s="39" customFormat="1" x14ac:dyDescent="0.2">
      <c r="A406" s="1451"/>
      <c r="B406" s="1426"/>
      <c r="C406" s="1451"/>
      <c r="D406" s="1451"/>
      <c r="E406" s="1426"/>
      <c r="F406" s="219"/>
      <c r="G406" s="219"/>
      <c r="H406" s="219"/>
      <c r="I406" s="219"/>
      <c r="J406" s="219"/>
      <c r="K406" s="219"/>
      <c r="L406" s="219"/>
      <c r="M406" s="219"/>
      <c r="N406" s="219"/>
      <c r="O406" s="1451"/>
    </row>
    <row r="407" spans="1:15" s="39" customFormat="1" x14ac:dyDescent="0.2">
      <c r="A407" s="1451"/>
      <c r="B407" s="1426"/>
      <c r="C407" s="20" t="s">
        <v>1036</v>
      </c>
      <c r="D407" s="20"/>
      <c r="E407" s="20" t="s">
        <v>728</v>
      </c>
      <c r="F407" s="219">
        <f t="shared" ref="F407:N407" si="81">F$364*F$326/Unit.Mha</f>
        <v>48.682573600000005</v>
      </c>
      <c r="G407" s="219">
        <f t="shared" si="81"/>
        <v>48.672985599999997</v>
      </c>
      <c r="H407" s="219">
        <f t="shared" si="81"/>
        <v>48.663397599999989</v>
      </c>
      <c r="I407" s="219">
        <f t="shared" si="81"/>
        <v>48.653809599999988</v>
      </c>
      <c r="J407" s="219">
        <f t="shared" si="81"/>
        <v>48.644221599999987</v>
      </c>
      <c r="K407" s="219">
        <f t="shared" si="81"/>
        <v>48.634633599999987</v>
      </c>
      <c r="L407" s="219">
        <f t="shared" si="81"/>
        <v>48.625045599999979</v>
      </c>
      <c r="M407" s="219">
        <f t="shared" si="81"/>
        <v>48.615457599999971</v>
      </c>
      <c r="N407" s="219">
        <f t="shared" si="81"/>
        <v>48.60586959999997</v>
      </c>
      <c r="O407" s="1451"/>
    </row>
    <row r="408" spans="1:15" x14ac:dyDescent="0.2">
      <c r="B408" s="582" t="s">
        <v>345</v>
      </c>
      <c r="C408" s="39" t="s">
        <v>732</v>
      </c>
      <c r="D408" s="39"/>
      <c r="E408" s="39"/>
      <c r="F408" s="703">
        <f t="shared" ref="F408" si="82">INDEX(F$112:F$115, MATCH($E$9, $C$112:$C$115, 0))</f>
        <v>0.05</v>
      </c>
      <c r="G408" s="703">
        <f t="shared" ref="G408:N408" si="83">INDEX(G$112:G$115, MATCH($E$9, $C$112:$C$115, 0))</f>
        <v>0.15</v>
      </c>
      <c r="H408" s="703">
        <f t="shared" si="83"/>
        <v>0.25</v>
      </c>
      <c r="I408" s="703">
        <f t="shared" si="83"/>
        <v>0.3</v>
      </c>
      <c r="J408" s="703">
        <f t="shared" si="83"/>
        <v>0.4</v>
      </c>
      <c r="K408" s="703">
        <f t="shared" si="83"/>
        <v>0.6</v>
      </c>
      <c r="L408" s="703">
        <f t="shared" si="83"/>
        <v>0.7</v>
      </c>
      <c r="M408" s="703">
        <f t="shared" si="83"/>
        <v>0.8</v>
      </c>
      <c r="N408" s="703">
        <f t="shared" si="83"/>
        <v>0.8</v>
      </c>
      <c r="O408" s="39"/>
    </row>
    <row r="409" spans="1:15" x14ac:dyDescent="0.2">
      <c r="A409" s="39"/>
      <c r="B409" s="582" t="s">
        <v>345</v>
      </c>
      <c r="C409" s="39" t="s">
        <v>374</v>
      </c>
      <c r="D409" s="39"/>
      <c r="E409" s="39" t="str">
        <f>Preferences.EnergyUnits &amp; " / M odt"</f>
        <v>TWh / M odt</v>
      </c>
      <c r="F409" s="702">
        <f>$F$179</f>
        <v>5.166666666666667</v>
      </c>
      <c r="G409" s="219"/>
      <c r="H409" s="219"/>
      <c r="I409" s="219"/>
      <c r="J409" s="219"/>
      <c r="K409" s="219"/>
      <c r="L409" s="219"/>
      <c r="M409" s="219"/>
      <c r="N409" s="219"/>
    </row>
    <row r="410" spans="1:15" x14ac:dyDescent="0.2">
      <c r="B410" s="701" t="s">
        <v>346</v>
      </c>
      <c r="C410" s="1427" t="s">
        <v>741</v>
      </c>
      <c r="E410" s="1427" t="str">
        <f>Preferences.EnergyUnits</f>
        <v>TWh</v>
      </c>
      <c r="F410" s="234">
        <f t="shared" ref="F410" si="84">F407*F408*$F409</f>
        <v>12.576331513333336</v>
      </c>
      <c r="G410" s="234">
        <f t="shared" ref="G410:N410" si="85">G407*G408*$F409</f>
        <v>37.721563839999995</v>
      </c>
      <c r="H410" s="234">
        <f t="shared" si="85"/>
        <v>62.856888566666655</v>
      </c>
      <c r="I410" s="234">
        <f t="shared" si="85"/>
        <v>75.413404879999973</v>
      </c>
      <c r="J410" s="234">
        <f t="shared" si="85"/>
        <v>100.53139130666666</v>
      </c>
      <c r="K410" s="234">
        <f t="shared" si="85"/>
        <v>150.76736415999997</v>
      </c>
      <c r="L410" s="234">
        <f t="shared" si="85"/>
        <v>175.8605815866666</v>
      </c>
      <c r="M410" s="234">
        <f t="shared" si="85"/>
        <v>200.94389141333323</v>
      </c>
      <c r="N410" s="234">
        <f t="shared" si="85"/>
        <v>200.90426101333324</v>
      </c>
    </row>
    <row r="411" spans="1:15" x14ac:dyDescent="0.2">
      <c r="B411" s="1426"/>
      <c r="E411" s="1426"/>
      <c r="F411" s="219"/>
      <c r="G411" s="219"/>
      <c r="H411" s="219"/>
      <c r="I411" s="219"/>
      <c r="J411" s="219"/>
      <c r="K411" s="219"/>
      <c r="L411" s="219"/>
      <c r="M411" s="219"/>
      <c r="N411" s="219"/>
    </row>
    <row r="412" spans="1:15" x14ac:dyDescent="0.2">
      <c r="A412" s="39"/>
      <c r="B412" s="1426"/>
      <c r="C412" s="1451" t="s">
        <v>1039</v>
      </c>
      <c r="D412" s="20"/>
      <c r="E412" s="20" t="s">
        <v>728</v>
      </c>
      <c r="F412" s="219">
        <f t="shared" ref="F412" si="86">INDEX(F$120:F$123, MATCH($E$9, $C$120:$C$123, 0))</f>
        <v>0</v>
      </c>
      <c r="G412" s="219">
        <f t="shared" ref="G412:N412" si="87">INDEX(G$120:G$123, MATCH($E$9, $C$120:$C$123, 0))</f>
        <v>0</v>
      </c>
      <c r="H412" s="219">
        <f t="shared" si="87"/>
        <v>0.3696000000000001</v>
      </c>
      <c r="I412" s="219">
        <f t="shared" si="87"/>
        <v>0.36960000000000015</v>
      </c>
      <c r="J412" s="219">
        <f t="shared" si="87"/>
        <v>0.73919999999999897</v>
      </c>
      <c r="K412" s="219">
        <f t="shared" si="87"/>
        <v>1.3067871695999984</v>
      </c>
      <c r="L412" s="219">
        <f t="shared" si="87"/>
        <v>2.567825419866665</v>
      </c>
      <c r="M412" s="219">
        <f t="shared" si="87"/>
        <v>3.8578103314666636</v>
      </c>
      <c r="N412" s="219">
        <f t="shared" si="87"/>
        <v>4.5288289243999769</v>
      </c>
    </row>
    <row r="413" spans="1:15" x14ac:dyDescent="0.2">
      <c r="A413" s="39"/>
      <c r="B413" s="582" t="s">
        <v>345</v>
      </c>
      <c r="C413" s="39" t="s">
        <v>374</v>
      </c>
      <c r="D413" s="39"/>
      <c r="E413" s="39" t="str">
        <f>Preferences.EnergyUnits &amp; " / M odt"</f>
        <v>TWh / M odt</v>
      </c>
      <c r="F413" s="702">
        <f>$F$179</f>
        <v>5.166666666666667</v>
      </c>
      <c r="G413" s="219"/>
      <c r="H413" s="219"/>
      <c r="I413" s="219"/>
      <c r="J413" s="219"/>
      <c r="K413" s="219"/>
      <c r="L413" s="219"/>
      <c r="M413" s="219"/>
      <c r="N413" s="219"/>
    </row>
    <row r="414" spans="1:15" x14ac:dyDescent="0.2">
      <c r="B414" s="701" t="s">
        <v>346</v>
      </c>
      <c r="C414" s="1427" t="s">
        <v>741</v>
      </c>
      <c r="E414" s="1427" t="str">
        <f>Preferences.EnergyUnits</f>
        <v>TWh</v>
      </c>
      <c r="F414" s="234">
        <f t="shared" ref="F414" si="88">F412*$F413</f>
        <v>0</v>
      </c>
      <c r="G414" s="234">
        <f t="shared" ref="G414:N414" si="89">G412*$F413</f>
        <v>0</v>
      </c>
      <c r="H414" s="234">
        <f t="shared" si="89"/>
        <v>1.9096000000000006</v>
      </c>
      <c r="I414" s="234">
        <f t="shared" si="89"/>
        <v>1.9096000000000009</v>
      </c>
      <c r="J414" s="234">
        <f t="shared" si="89"/>
        <v>3.819199999999995</v>
      </c>
      <c r="K414" s="234">
        <f t="shared" si="89"/>
        <v>6.7517337095999919</v>
      </c>
      <c r="L414" s="234">
        <f t="shared" si="89"/>
        <v>13.267098002644437</v>
      </c>
      <c r="M414" s="234">
        <f t="shared" si="89"/>
        <v>19.932020045911095</v>
      </c>
      <c r="N414" s="234">
        <f t="shared" si="89"/>
        <v>23.398949442733215</v>
      </c>
    </row>
    <row r="415" spans="1:15" x14ac:dyDescent="0.2">
      <c r="B415" s="701"/>
      <c r="C415" s="1427"/>
      <c r="E415" s="1427"/>
      <c r="F415" s="234"/>
      <c r="G415" s="234"/>
      <c r="H415" s="234"/>
      <c r="I415" s="234"/>
      <c r="J415" s="234"/>
      <c r="K415" s="234"/>
      <c r="L415" s="234"/>
      <c r="M415" s="234"/>
      <c r="N415" s="234"/>
    </row>
    <row r="416" spans="1:15" x14ac:dyDescent="0.2">
      <c r="B416" s="1426"/>
      <c r="C416" s="1451" t="s">
        <v>731</v>
      </c>
      <c r="E416" s="1451" t="s">
        <v>728</v>
      </c>
      <c r="F416" s="219">
        <f>(F$312+F$314)*F$327/1000</f>
        <v>18.815020000000001</v>
      </c>
      <c r="G416" s="219">
        <f t="shared" ref="G416:N416" si="90">(G$312+G$314)*G$327/1000</f>
        <v>21.00155387823693</v>
      </c>
      <c r="H416" s="219">
        <f t="shared" si="90"/>
        <v>23.442712321779794</v>
      </c>
      <c r="I416" s="219">
        <f t="shared" si="90"/>
        <v>26.168220637503058</v>
      </c>
      <c r="J416" s="219">
        <f t="shared" si="90"/>
        <v>29.211284758284702</v>
      </c>
      <c r="K416" s="219">
        <f t="shared" si="90"/>
        <v>32.609000270802987</v>
      </c>
      <c r="L416" s="219">
        <f t="shared" si="90"/>
        <v>36.402809716997588</v>
      </c>
      <c r="M416" s="219">
        <f t="shared" si="90"/>
        <v>40.639013895372308</v>
      </c>
      <c r="N416" s="219">
        <f t="shared" si="90"/>
        <v>45.369343571575861</v>
      </c>
    </row>
    <row r="417" spans="1:15" x14ac:dyDescent="0.2">
      <c r="B417" s="582" t="s">
        <v>345</v>
      </c>
      <c r="C417" s="39" t="s">
        <v>737</v>
      </c>
      <c r="D417" s="39"/>
      <c r="E417" s="39"/>
      <c r="F417" s="703">
        <f>$F$185</f>
        <v>0.5</v>
      </c>
      <c r="G417" s="702"/>
      <c r="H417" s="702"/>
      <c r="I417" s="702"/>
      <c r="J417" s="702"/>
      <c r="K417" s="702"/>
      <c r="L417" s="702"/>
      <c r="M417" s="702"/>
      <c r="N417" s="702"/>
      <c r="O417" s="39"/>
    </row>
    <row r="418" spans="1:15" x14ac:dyDescent="0.2">
      <c r="B418" s="582" t="s">
        <v>345</v>
      </c>
      <c r="C418" s="39" t="s">
        <v>732</v>
      </c>
      <c r="D418" s="39"/>
      <c r="E418" s="39"/>
      <c r="F418" s="703">
        <f t="shared" ref="F418" si="91">INDEX(F$104:F$107, MATCH($E$9, $C$104:$C$107, 0))</f>
        <v>0.1</v>
      </c>
      <c r="G418" s="703">
        <f t="shared" ref="G418:N418" si="92">INDEX(G$104:G$107, MATCH($E$9, $C$104:$C$107, 0))</f>
        <v>0.5</v>
      </c>
      <c r="H418" s="703">
        <f t="shared" si="92"/>
        <v>0.9</v>
      </c>
      <c r="I418" s="703">
        <f t="shared" si="92"/>
        <v>0.9</v>
      </c>
      <c r="J418" s="703">
        <f t="shared" si="92"/>
        <v>0.9</v>
      </c>
      <c r="K418" s="703">
        <f t="shared" si="92"/>
        <v>0.9</v>
      </c>
      <c r="L418" s="703">
        <f t="shared" si="92"/>
        <v>0.9</v>
      </c>
      <c r="M418" s="703">
        <f t="shared" si="92"/>
        <v>0.9</v>
      </c>
      <c r="N418" s="703">
        <f t="shared" si="92"/>
        <v>0.9</v>
      </c>
      <c r="O418" s="39"/>
    </row>
    <row r="419" spans="1:15" x14ac:dyDescent="0.2">
      <c r="B419" s="582" t="s">
        <v>345</v>
      </c>
      <c r="C419" s="39" t="s">
        <v>374</v>
      </c>
      <c r="D419" s="39"/>
      <c r="E419" s="39" t="str">
        <f>Preferences.EnergyUnits &amp; " / M odt"</f>
        <v>TWh / M odt</v>
      </c>
      <c r="F419" s="702">
        <f>$F$180</f>
        <v>5.166666666666667</v>
      </c>
      <c r="G419" s="219"/>
      <c r="H419" s="219"/>
      <c r="I419" s="219"/>
      <c r="J419" s="219"/>
      <c r="K419" s="219"/>
      <c r="L419" s="219"/>
      <c r="M419" s="219"/>
      <c r="N419" s="219"/>
    </row>
    <row r="420" spans="1:15" x14ac:dyDescent="0.2">
      <c r="B420" s="701" t="s">
        <v>346</v>
      </c>
      <c r="C420" s="1427" t="s">
        <v>742</v>
      </c>
      <c r="E420" s="1427" t="str">
        <f>Preferences.EnergyUnits</f>
        <v>TWh</v>
      </c>
      <c r="F420" s="234">
        <f t="shared" ref="F420" si="93">F416*$F417*F418*$F419</f>
        <v>4.8605468333333341</v>
      </c>
      <c r="G420" s="234">
        <f t="shared" ref="G420:N420" si="94">G416*$F417*G418*$F419</f>
        <v>27.127007092722703</v>
      </c>
      <c r="H420" s="234">
        <f t="shared" si="94"/>
        <v>54.504306148138028</v>
      </c>
      <c r="I420" s="234">
        <f t="shared" si="94"/>
        <v>60.841112982194616</v>
      </c>
      <c r="J420" s="234">
        <f t="shared" si="94"/>
        <v>67.916237063011934</v>
      </c>
      <c r="K420" s="234">
        <f t="shared" si="94"/>
        <v>75.815925629616956</v>
      </c>
      <c r="L420" s="234">
        <f t="shared" si="94"/>
        <v>84.636532592019392</v>
      </c>
      <c r="M420" s="234">
        <f t="shared" si="94"/>
        <v>94.485707306740622</v>
      </c>
      <c r="N420" s="234">
        <f t="shared" si="94"/>
        <v>105.48372380391389</v>
      </c>
    </row>
    <row r="421" spans="1:15" x14ac:dyDescent="0.2">
      <c r="E421" s="1426"/>
      <c r="F421" s="219"/>
      <c r="G421" s="219"/>
      <c r="H421" s="219"/>
      <c r="I421" s="219"/>
      <c r="J421" s="219"/>
      <c r="K421" s="219"/>
      <c r="L421" s="219"/>
      <c r="M421" s="219"/>
      <c r="N421" s="219"/>
    </row>
    <row r="422" spans="1:15" x14ac:dyDescent="0.2">
      <c r="A422" s="39"/>
      <c r="C422" s="1066" t="s">
        <v>1089</v>
      </c>
      <c r="D422" s="1067"/>
      <c r="E422" s="1067"/>
      <c r="F422" s="1067"/>
      <c r="G422" s="1067"/>
      <c r="H422" s="1067"/>
      <c r="I422" s="1067"/>
      <c r="J422" s="1067"/>
      <c r="K422" s="1067"/>
      <c r="L422" s="1067"/>
      <c r="M422" s="1067"/>
      <c r="N422" s="1067"/>
    </row>
    <row r="423" spans="1:15" x14ac:dyDescent="0.2">
      <c r="C423" s="142" t="s">
        <v>296</v>
      </c>
      <c r="D423" s="591" t="str">
        <f>INDEX(Vectors[Description], MATCH(C423, Vectors[Code], 0))</f>
        <v>Dry biomass and waste</v>
      </c>
      <c r="E423" s="36"/>
      <c r="F423" s="1095">
        <f t="shared" ref="F423:N423" si="95">F$405+F$410+F$414</f>
        <v>25.913232013333335</v>
      </c>
      <c r="G423" s="1095">
        <f t="shared" si="95"/>
        <v>64.933125773562409</v>
      </c>
      <c r="H423" s="1095">
        <f t="shared" si="95"/>
        <v>134.16689974767002</v>
      </c>
      <c r="I423" s="1095">
        <f t="shared" si="95"/>
        <v>218.92214083115823</v>
      </c>
      <c r="J423" s="1095">
        <f t="shared" si="95"/>
        <v>248.80445664343918</v>
      </c>
      <c r="K423" s="1095">
        <f t="shared" si="95"/>
        <v>304.88524576708448</v>
      </c>
      <c r="L423" s="1095">
        <f t="shared" si="95"/>
        <v>339.46482353152311</v>
      </c>
      <c r="M423" s="1095">
        <f t="shared" si="95"/>
        <v>374.24394863168908</v>
      </c>
      <c r="N423" s="1095">
        <f t="shared" si="95"/>
        <v>380.76324560991958</v>
      </c>
    </row>
    <row r="424" spans="1:15" x14ac:dyDescent="0.2">
      <c r="C424" s="1073" t="s">
        <v>383</v>
      </c>
      <c r="D424" s="1071" t="str">
        <f>INDEX(Vectors[Description], MATCH(C424, Vectors[Code], 0))</f>
        <v>Wet biomass and waste</v>
      </c>
      <c r="E424" s="580" t="str">
        <f>Preferences.EnergyUnits</f>
        <v>TWh</v>
      </c>
      <c r="F424" s="1074">
        <f t="shared" ref="F424:N424" si="96">F$420</f>
        <v>4.8605468333333341</v>
      </c>
      <c r="G424" s="1074">
        <f t="shared" si="96"/>
        <v>27.127007092722703</v>
      </c>
      <c r="H424" s="1074">
        <f t="shared" si="96"/>
        <v>54.504306148138028</v>
      </c>
      <c r="I424" s="1074">
        <f t="shared" si="96"/>
        <v>60.841112982194616</v>
      </c>
      <c r="J424" s="1074">
        <f t="shared" si="96"/>
        <v>67.916237063011934</v>
      </c>
      <c r="K424" s="1074">
        <f t="shared" si="96"/>
        <v>75.815925629616956</v>
      </c>
      <c r="L424" s="1074">
        <f t="shared" si="96"/>
        <v>84.636532592019392</v>
      </c>
      <c r="M424" s="1074">
        <f t="shared" si="96"/>
        <v>94.485707306740622</v>
      </c>
      <c r="N424" s="1074">
        <f t="shared" si="96"/>
        <v>105.48372380391389</v>
      </c>
    </row>
    <row r="425" spans="1:15" x14ac:dyDescent="0.2">
      <c r="E425" s="1426"/>
      <c r="F425" s="219"/>
      <c r="G425" s="219"/>
      <c r="H425" s="219"/>
      <c r="I425" s="219"/>
      <c r="J425" s="219"/>
      <c r="K425" s="219"/>
      <c r="L425" s="219"/>
      <c r="M425" s="219"/>
      <c r="N425" s="219"/>
    </row>
    <row r="426" spans="1:15" x14ac:dyDescent="0.2">
      <c r="E426" s="1426"/>
      <c r="F426" s="219"/>
      <c r="G426" s="219"/>
      <c r="H426" s="219"/>
      <c r="I426" s="219"/>
      <c r="J426" s="219"/>
      <c r="K426" s="219"/>
      <c r="L426" s="219"/>
      <c r="M426" s="219"/>
      <c r="N426" s="219"/>
    </row>
    <row r="427" spans="1:15" x14ac:dyDescent="0.2">
      <c r="A427" s="39"/>
      <c r="B427" s="1427">
        <v>4</v>
      </c>
      <c r="C427" s="1427" t="s">
        <v>1178</v>
      </c>
      <c r="E427" s="1426"/>
      <c r="F427" s="171">
        <v>2010</v>
      </c>
      <c r="G427" s="171">
        <v>2015</v>
      </c>
      <c r="H427" s="171">
        <v>2020</v>
      </c>
      <c r="I427" s="171">
        <v>2025</v>
      </c>
      <c r="J427" s="171">
        <v>2030</v>
      </c>
      <c r="K427" s="171">
        <v>2035</v>
      </c>
      <c r="L427" s="171">
        <v>2040</v>
      </c>
      <c r="M427" s="171">
        <v>2045</v>
      </c>
      <c r="N427" s="171">
        <v>2050</v>
      </c>
    </row>
    <row r="428" spans="1:15" x14ac:dyDescent="0.2">
      <c r="E428" s="1426"/>
      <c r="F428" s="219"/>
      <c r="G428" s="219"/>
      <c r="H428" s="219"/>
      <c r="I428" s="219"/>
      <c r="J428" s="219"/>
      <c r="K428" s="219"/>
      <c r="L428" s="219"/>
      <c r="M428" s="219"/>
      <c r="N428" s="219"/>
    </row>
    <row r="429" spans="1:15" x14ac:dyDescent="0.2">
      <c r="C429" s="1451" t="s">
        <v>1053</v>
      </c>
      <c r="E429" s="20" t="str">
        <f>Preferences.EnergyUnits</f>
        <v>TWh</v>
      </c>
      <c r="F429" s="219">
        <f t="array" ref="F429:F431">F200:F202</f>
        <v>3.6518199999999998</v>
      </c>
      <c r="G429" s="219">
        <f>IFERROR($F429*(G$312/$F$312), 0)</f>
        <v>4.1316991399982408</v>
      </c>
      <c r="H429" s="219">
        <f t="shared" ref="H429:N429" si="97">IFERROR($F429*(H$312/$F$312), 0)</f>
        <v>4.6746383401871405</v>
      </c>
      <c r="I429" s="219">
        <f t="shared" si="97"/>
        <v>5.28892421038113</v>
      </c>
      <c r="J429" s="219">
        <f t="shared" si="97"/>
        <v>5.9839322889812721</v>
      </c>
      <c r="K429" s="219">
        <f t="shared" si="97"/>
        <v>6.7702701371348057</v>
      </c>
      <c r="L429" s="219">
        <f t="shared" si="97"/>
        <v>7.6599392366424546</v>
      </c>
      <c r="M429" s="219">
        <f t="shared" si="97"/>
        <v>8.6665181625804166</v>
      </c>
      <c r="N429" s="219">
        <f t="shared" si="97"/>
        <v>9.8053698263092492</v>
      </c>
    </row>
    <row r="430" spans="1:15" x14ac:dyDescent="0.2">
      <c r="C430" s="1451" t="s">
        <v>1054</v>
      </c>
      <c r="E430" s="20" t="str">
        <f>Preferences.EnergyUnits</f>
        <v>TWh</v>
      </c>
      <c r="F430" s="219">
        <v>2.91913</v>
      </c>
      <c r="G430" s="219">
        <f t="shared" ref="G430:N430" si="98">$F430</f>
        <v>2.91913</v>
      </c>
      <c r="H430" s="219">
        <f t="shared" si="98"/>
        <v>2.91913</v>
      </c>
      <c r="I430" s="219">
        <f t="shared" si="98"/>
        <v>2.91913</v>
      </c>
      <c r="J430" s="219">
        <f t="shared" si="98"/>
        <v>2.91913</v>
      </c>
      <c r="K430" s="219">
        <f t="shared" si="98"/>
        <v>2.91913</v>
      </c>
      <c r="L430" s="219">
        <f t="shared" si="98"/>
        <v>2.91913</v>
      </c>
      <c r="M430" s="219">
        <f t="shared" si="98"/>
        <v>2.91913</v>
      </c>
      <c r="N430" s="219">
        <f t="shared" si="98"/>
        <v>2.91913</v>
      </c>
    </row>
    <row r="431" spans="1:15" x14ac:dyDescent="0.2">
      <c r="C431" s="1451" t="s">
        <v>1055</v>
      </c>
      <c r="E431" s="20" t="str">
        <f>Preferences.EnergyUnits</f>
        <v>TWh</v>
      </c>
      <c r="F431" s="219">
        <v>3.8611599999999999</v>
      </c>
      <c r="G431" s="219">
        <f t="shared" ref="G431:N431" si="99">$F431*(SUM(G$299:G$302)/SUM($F$299:$F$302))</f>
        <v>3.8611599999999999</v>
      </c>
      <c r="H431" s="219">
        <f t="shared" si="99"/>
        <v>3.8611599999999999</v>
      </c>
      <c r="I431" s="219">
        <f t="shared" si="99"/>
        <v>3.8611599999999999</v>
      </c>
      <c r="J431" s="219">
        <f t="shared" si="99"/>
        <v>3.8611599999999999</v>
      </c>
      <c r="K431" s="219">
        <f t="shared" si="99"/>
        <v>3.8611599999999999</v>
      </c>
      <c r="L431" s="219">
        <f t="shared" si="99"/>
        <v>3.8611599999999999</v>
      </c>
      <c r="M431" s="219">
        <f t="shared" si="99"/>
        <v>3.8611599999999999</v>
      </c>
      <c r="N431" s="219">
        <f t="shared" si="99"/>
        <v>3.8611599999999999</v>
      </c>
    </row>
    <row r="432" spans="1:15" x14ac:dyDescent="0.2">
      <c r="C432" s="1427"/>
      <c r="E432" s="1426"/>
      <c r="G432" s="219"/>
      <c r="H432" s="219"/>
      <c r="I432" s="219"/>
      <c r="J432" s="219"/>
      <c r="K432" s="219"/>
      <c r="L432" s="219"/>
      <c r="M432" s="219"/>
      <c r="N432" s="219"/>
    </row>
    <row r="433" spans="1:14" x14ac:dyDescent="0.2">
      <c r="C433" s="1427" t="s">
        <v>1056</v>
      </c>
      <c r="E433" s="1426"/>
      <c r="F433" s="234">
        <f t="shared" ref="F433" si="100">SUM(F$429:F$431)</f>
        <v>10.43211</v>
      </c>
      <c r="G433" s="234">
        <f>IFERROR(SUM(G$429:G$431), 0)</f>
        <v>10.911989139998241</v>
      </c>
      <c r="H433" s="234">
        <f t="shared" ref="H433:N433" si="101">IFERROR(SUM(H$429:H$431), 0)</f>
        <v>11.454928340187141</v>
      </c>
      <c r="I433" s="234">
        <f t="shared" si="101"/>
        <v>12.06921421038113</v>
      </c>
      <c r="J433" s="234">
        <f t="shared" si="101"/>
        <v>12.764222288981271</v>
      </c>
      <c r="K433" s="234">
        <f t="shared" si="101"/>
        <v>13.550560137134806</v>
      </c>
      <c r="L433" s="234">
        <f t="shared" si="101"/>
        <v>14.440229236642454</v>
      </c>
      <c r="M433" s="234">
        <f t="shared" si="101"/>
        <v>15.446808162580416</v>
      </c>
      <c r="N433" s="234">
        <f t="shared" si="101"/>
        <v>16.585659826309247</v>
      </c>
    </row>
    <row r="434" spans="1:14" x14ac:dyDescent="0.2">
      <c r="B434" s="1451" t="s">
        <v>34</v>
      </c>
      <c r="C434" s="1451" t="str">
        <f>INDEX(Vectors[Description], MATCH($B434, Vectors[Code], 0))</f>
        <v>Electricity (delivered to end user)</v>
      </c>
      <c r="E434" s="1426"/>
      <c r="F434" s="219">
        <f t="array" ref="F434:F438">F$433*$F$207:$F$211</f>
        <v>1.24142109</v>
      </c>
      <c r="G434" s="219">
        <f t="array" ref="G434:G438">G$433*$F$207:$F$211</f>
        <v>1.2985267076597906</v>
      </c>
      <c r="H434" s="219">
        <f t="array" ref="H434:H438">H$433*$F$207:$F$211</f>
        <v>1.3631364724822697</v>
      </c>
      <c r="I434" s="219">
        <f t="array" ref="I434:I438">I$433*$F$207:$F$211</f>
        <v>1.4362364910353544</v>
      </c>
      <c r="J434" s="219">
        <f t="array" ref="J434:J438">J$433*$F$207:$F$211</f>
        <v>1.5189424523887711</v>
      </c>
      <c r="K434" s="219">
        <f t="array" ref="K434:K438">K$433*$F$207:$F$211</f>
        <v>1.6125166563190418</v>
      </c>
      <c r="L434" s="219">
        <f t="array" ref="L434:L438">L$433*$F$207:$F$211</f>
        <v>1.718387279160452</v>
      </c>
      <c r="M434" s="219">
        <f t="array" ref="M434:M438">M$433*$F$207:$F$211</f>
        <v>1.8381701713470693</v>
      </c>
      <c r="N434" s="219">
        <f t="array" ref="N434:N438">N$433*$F$207:$F$211</f>
        <v>1.9736935193308003</v>
      </c>
    </row>
    <row r="435" spans="1:14" x14ac:dyDescent="0.2">
      <c r="B435" s="1451" t="s">
        <v>36</v>
      </c>
      <c r="C435" s="1451" t="str">
        <f>INDEX(Vectors[Description], MATCH($B435, Vectors[Code], 0))</f>
        <v>Solid hydrocarbons</v>
      </c>
      <c r="E435" s="1426"/>
      <c r="F435" s="219">
        <v>1.043211E-2</v>
      </c>
      <c r="G435" s="219">
        <v>1.0911989139998241E-2</v>
      </c>
      <c r="H435" s="219">
        <v>1.1454928340187142E-2</v>
      </c>
      <c r="I435" s="219">
        <v>1.2069214210381131E-2</v>
      </c>
      <c r="J435" s="219">
        <v>1.2764222288981272E-2</v>
      </c>
      <c r="K435" s="219">
        <v>1.3550560137134807E-2</v>
      </c>
      <c r="L435" s="219">
        <v>1.4440229236642455E-2</v>
      </c>
      <c r="M435" s="219">
        <v>1.5446808162580416E-2</v>
      </c>
      <c r="N435" s="219">
        <v>1.6585659826309246E-2</v>
      </c>
    </row>
    <row r="436" spans="1:14" x14ac:dyDescent="0.2">
      <c r="A436" s="39"/>
      <c r="B436" s="1451" t="s">
        <v>38</v>
      </c>
      <c r="C436" s="1451" t="str">
        <f>INDEX(Vectors[Description], MATCH($B436, Vectors[Code], 0))</f>
        <v>Liquid hydrocarbons</v>
      </c>
      <c r="E436" s="1426"/>
      <c r="F436" s="219">
        <v>1.9821009000000001</v>
      </c>
      <c r="G436" s="219">
        <v>2.0732779365996659</v>
      </c>
      <c r="H436" s="219">
        <v>2.176436384635557</v>
      </c>
      <c r="I436" s="219">
        <v>2.2931506999724149</v>
      </c>
      <c r="J436" s="219">
        <v>2.4252022349064415</v>
      </c>
      <c r="K436" s="219">
        <v>2.5746064260556132</v>
      </c>
      <c r="L436" s="219">
        <v>2.7436435549620661</v>
      </c>
      <c r="M436" s="219">
        <v>2.9348935508902789</v>
      </c>
      <c r="N436" s="219">
        <v>3.1512753669987568</v>
      </c>
    </row>
    <row r="437" spans="1:14" x14ac:dyDescent="0.2">
      <c r="A437" s="39"/>
      <c r="B437" s="1451" t="s">
        <v>39</v>
      </c>
      <c r="C437" s="1451" t="str">
        <f>INDEX(Vectors[Description], MATCH($B437, Vectors[Code], 0))</f>
        <v>Gaseous hydrocarbons</v>
      </c>
      <c r="E437" s="1426"/>
      <c r="F437" s="219">
        <v>0.93888989999999994</v>
      </c>
      <c r="G437" s="219">
        <v>0.98207902259984159</v>
      </c>
      <c r="H437" s="219">
        <v>1.0309435506168427</v>
      </c>
      <c r="I437" s="219">
        <v>1.0862292789343015</v>
      </c>
      <c r="J437" s="219">
        <v>1.1487800060083144</v>
      </c>
      <c r="K437" s="219">
        <v>1.2195504123421326</v>
      </c>
      <c r="L437" s="219">
        <v>1.2996206312978207</v>
      </c>
      <c r="M437" s="219">
        <v>1.3902127346322373</v>
      </c>
      <c r="N437" s="219">
        <v>1.4927093843678321</v>
      </c>
    </row>
    <row r="438" spans="1:14" s="2479" customFormat="1" x14ac:dyDescent="0.2">
      <c r="A438" s="39"/>
      <c r="B438" s="2479" t="s">
        <v>2184</v>
      </c>
      <c r="C438" s="2479" t="str">
        <f>INDEX(Vectors[Description], MATCH($B438, Vectors[Code], 0))</f>
        <v>Traditional Fuel</v>
      </c>
      <c r="E438" s="1426"/>
      <c r="F438" s="219">
        <v>6.2592659999999993</v>
      </c>
      <c r="G438" s="219">
        <v>6.5471934839989441</v>
      </c>
      <c r="H438" s="219">
        <v>6.8729570041122843</v>
      </c>
      <c r="I438" s="219">
        <v>7.2415285262286773</v>
      </c>
      <c r="J438" s="219">
        <v>7.6585333733887619</v>
      </c>
      <c r="K438" s="219">
        <v>8.1303360822808823</v>
      </c>
      <c r="L438" s="219">
        <v>8.6641375419854718</v>
      </c>
      <c r="M438" s="219">
        <v>9.268084897548249</v>
      </c>
      <c r="N438" s="219">
        <v>9.9513958957855468</v>
      </c>
    </row>
    <row r="439" spans="1:14" x14ac:dyDescent="0.2">
      <c r="E439" s="1426"/>
      <c r="F439" s="219"/>
      <c r="G439" s="219"/>
      <c r="H439" s="219"/>
      <c r="I439" s="219"/>
      <c r="J439" s="219"/>
      <c r="K439" s="219"/>
      <c r="L439" s="219"/>
      <c r="M439" s="219"/>
      <c r="N439" s="219"/>
    </row>
    <row r="440" spans="1:14" x14ac:dyDescent="0.2">
      <c r="B440" s="1427">
        <v>5</v>
      </c>
      <c r="C440" s="1427" t="s">
        <v>514</v>
      </c>
      <c r="E440" s="1426"/>
      <c r="F440" s="171">
        <v>2010</v>
      </c>
      <c r="G440" s="171">
        <v>2015</v>
      </c>
      <c r="H440" s="171">
        <v>2020</v>
      </c>
      <c r="I440" s="171">
        <v>2025</v>
      </c>
      <c r="J440" s="171">
        <v>2030</v>
      </c>
      <c r="K440" s="171">
        <v>2035</v>
      </c>
      <c r="L440" s="171">
        <v>2040</v>
      </c>
      <c r="M440" s="171">
        <v>2045</v>
      </c>
      <c r="N440" s="171">
        <v>2050</v>
      </c>
    </row>
    <row r="441" spans="1:14" x14ac:dyDescent="0.2">
      <c r="B441" s="1427"/>
      <c r="C441" s="1427"/>
      <c r="E441" s="1426"/>
      <c r="F441" s="171"/>
      <c r="G441" s="171"/>
      <c r="H441" s="171"/>
      <c r="I441" s="171"/>
      <c r="J441" s="171"/>
      <c r="K441" s="171"/>
      <c r="L441" s="171"/>
      <c r="M441" s="171"/>
      <c r="N441" s="171"/>
    </row>
    <row r="442" spans="1:14" x14ac:dyDescent="0.2">
      <c r="C442" s="1427" t="s">
        <v>494</v>
      </c>
      <c r="E442" s="1426"/>
      <c r="F442" s="219"/>
      <c r="G442" s="219"/>
      <c r="H442" s="219"/>
      <c r="I442" s="219"/>
      <c r="J442" s="219"/>
      <c r="K442" s="219"/>
      <c r="L442" s="219"/>
      <c r="M442" s="219"/>
      <c r="N442" s="219"/>
    </row>
    <row r="443" spans="1:14" x14ac:dyDescent="0.2">
      <c r="B443" s="1451" t="s">
        <v>473</v>
      </c>
      <c r="C443" s="1451" t="s">
        <v>494</v>
      </c>
      <c r="E443" s="1426" t="s">
        <v>492</v>
      </c>
      <c r="F443" s="1428">
        <f t="array" ref="F443">SUM(F$434:F$437*SUMIFS(EF[CO2],EF[Vector], $B$434:$B$437))</f>
        <v>0.67149405648000005</v>
      </c>
      <c r="G443" s="1428">
        <f t="array" ref="G443">SUM(G$434:G$437*SUMIFS(EF[CO2],EF[Vector], $B$434:$B$437))</f>
        <v>0.70238291696340671</v>
      </c>
      <c r="H443" s="1428">
        <f t="array" ref="H443">SUM(H$434:H$437*SUMIFS(EF[CO2],EF[Vector], $B$434:$B$437))</f>
        <v>0.73733082740116584</v>
      </c>
      <c r="I443" s="1428">
        <f t="array" ref="I443">SUM(I$434:I$437*SUMIFS(EF[CO2],EF[Vector], $B$434:$B$437))</f>
        <v>0.77687118029381264</v>
      </c>
      <c r="J443" s="1428">
        <f t="array" ref="J443">SUM(J$434:J$437*SUMIFS(EF[CO2],EF[Vector], $B$434:$B$437))</f>
        <v>0.82160746029714637</v>
      </c>
      <c r="K443" s="1428">
        <f t="array" ref="K443">SUM(K$434:K$437*SUMIFS(EF[CO2],EF[Vector], $B$434:$B$437))</f>
        <v>0.87222245490709316</v>
      </c>
      <c r="L443" s="1428">
        <f t="array" ref="L443">SUM(L$434:L$437*SUMIFS(EF[CO2],EF[Vector], $B$434:$B$437))</f>
        <v>0.92948867550420133</v>
      </c>
      <c r="M443" s="1428">
        <f t="array" ref="M443">SUM(M$434:M$437*SUMIFS(EF[CO2],EF[Vector], $B$434:$B$437))</f>
        <v>0.994280147808976</v>
      </c>
      <c r="N443" s="1428">
        <f t="array" ref="N443">SUM(N$434:N$437*SUMIFS(EF[CO2],EF[Vector], $B$434:$B$437))</f>
        <v>1.0675857516998735</v>
      </c>
    </row>
    <row r="444" spans="1:14" x14ac:dyDescent="0.2">
      <c r="B444" s="1451" t="s">
        <v>474</v>
      </c>
      <c r="C444" s="1451" t="s">
        <v>494</v>
      </c>
      <c r="F444" s="1428">
        <f t="array" ref="F444">SUM(F$434:F$437*SUMIFS(EF[CH4],EF[Vector], $B$434:$B$437))</f>
        <v>9.726522609162327E-4</v>
      </c>
      <c r="G444" s="1428">
        <f t="array" ref="G444">SUM(G$434:G$437*SUMIFS(EF[CH4],EF[Vector], $B$434:$B$437))</f>
        <v>1.0173944588499034E-3</v>
      </c>
      <c r="H444" s="1428">
        <f t="array" ref="H444">SUM(H$434:H$437*SUMIFS(EF[CH4],EF[Vector], $B$434:$B$437))</f>
        <v>1.0680161490548366E-3</v>
      </c>
      <c r="I444" s="1428">
        <f t="array" ref="I444">SUM(I$434:I$437*SUMIFS(EF[CH4],EF[Vector], $B$434:$B$437))</f>
        <v>1.1252899451031028E-3</v>
      </c>
      <c r="J444" s="1428">
        <f t="array" ref="J444">SUM(J$434:J$437*SUMIFS(EF[CH4],EF[Vector], $B$434:$B$437))</f>
        <v>1.1900899883355337E-3</v>
      </c>
      <c r="K444" s="1428">
        <f t="array" ref="K444">SUM(K$434:K$437*SUMIFS(EF[CH4],EF[Vector], $B$434:$B$437))</f>
        <v>1.2634052894443736E-3</v>
      </c>
      <c r="L444" s="1428">
        <f t="array" ref="L444">SUM(L$434:L$437*SUMIFS(EF[CH4],EF[Vector], $B$434:$B$437))</f>
        <v>1.346354823249464E-3</v>
      </c>
      <c r="M444" s="1428">
        <f t="array" ref="M444">SUM(M$434:M$437*SUMIFS(EF[CH4],EF[Vector], $B$434:$B$437))</f>
        <v>1.4402046070519921E-3</v>
      </c>
      <c r="N444" s="1428">
        <f t="array" ref="N444">SUM(N$434:N$437*SUMIFS(EF[CH4],EF[Vector], $B$434:$B$437))</f>
        <v>1.5463870232241819E-3</v>
      </c>
    </row>
    <row r="445" spans="1:14" x14ac:dyDescent="0.2">
      <c r="B445" s="1451" t="s">
        <v>475</v>
      </c>
      <c r="C445" s="1451" t="s">
        <v>494</v>
      </c>
      <c r="F445" s="1428">
        <f t="array" ref="F445">SUM(F$434:F$437*SUMIFS(EF[N2O],EF[Vector], $B$434:$B$437))</f>
        <v>9.3164252483727804E-3</v>
      </c>
      <c r="G445" s="1428">
        <f t="array" ref="G445">SUM(G$434:G$437*SUMIFS(EF[N2O],EF[Vector], $B$434:$B$437))</f>
        <v>9.7449826673462192E-3</v>
      </c>
      <c r="H445" s="1428">
        <f t="array" ref="H445">SUM(H$434:H$437*SUMIFS(EF[N2O],EF[Vector], $B$434:$B$437))</f>
        <v>1.0229856050867982E-2</v>
      </c>
      <c r="I445" s="1428">
        <f t="array" ref="I445">SUM(I$434:I$437*SUMIFS(EF[N2O],EF[Vector], $B$434:$B$437))</f>
        <v>1.0778445779196568E-2</v>
      </c>
      <c r="J445" s="1428">
        <f t="array" ref="J445">SUM(J$434:J$437*SUMIFS(EF[N2O],EF[Vector], $B$434:$B$437))</f>
        <v>1.1399124703334963E-2</v>
      </c>
      <c r="K445" s="1428">
        <f t="array" ref="K445">SUM(K$434:K$437*SUMIFS(EF[N2O],EF[Vector], $B$434:$B$437))</f>
        <v>1.2101365935673264E-2</v>
      </c>
      <c r="L445" s="1428">
        <f t="array" ref="L445">SUM(L$434:L$437*SUMIFS(EF[N2O],EF[Vector], $B$434:$B$437))</f>
        <v>1.2895887433371249E-2</v>
      </c>
      <c r="M445" s="1428">
        <f t="array" ref="M445">SUM(M$434:M$437*SUMIFS(EF[N2O],EF[Vector], $B$434:$B$437))</f>
        <v>1.3794815581184909E-2</v>
      </c>
      <c r="N445" s="1428">
        <f t="array" ref="N445">SUM(N$434:N$437*SUMIFS(EF[N2O],EF[Vector], $B$434:$B$437))</f>
        <v>1.4811870270419842E-2</v>
      </c>
    </row>
    <row r="446" spans="1:14" x14ac:dyDescent="0.2">
      <c r="E446" s="1426"/>
      <c r="F446" s="219"/>
      <c r="G446" s="219"/>
      <c r="H446" s="219"/>
      <c r="I446" s="219"/>
      <c r="J446" s="219"/>
      <c r="K446" s="219"/>
      <c r="L446" s="219"/>
      <c r="M446" s="219"/>
      <c r="N446" s="219"/>
    </row>
    <row r="447" spans="1:14" x14ac:dyDescent="0.2">
      <c r="C447" s="1427" t="s">
        <v>1122</v>
      </c>
      <c r="E447" s="1426"/>
      <c r="F447" s="219"/>
      <c r="G447" s="219"/>
      <c r="H447" s="219"/>
      <c r="I447" s="219"/>
      <c r="J447" s="219"/>
      <c r="K447" s="219"/>
      <c r="L447" s="219"/>
      <c r="M447" s="219"/>
      <c r="N447" s="219"/>
    </row>
    <row r="448" spans="1:14" ht="14.25" x14ac:dyDescent="0.25">
      <c r="B448" s="1451" t="s">
        <v>474</v>
      </c>
      <c r="C448" s="20" t="s">
        <v>721</v>
      </c>
      <c r="E448" s="1426" t="s">
        <v>493</v>
      </c>
      <c r="F448" s="219">
        <f t="shared" ref="F448:N448" si="102">(F$312+F$314)*F$345/1000000</f>
        <v>0</v>
      </c>
      <c r="G448" s="219">
        <f t="shared" si="102"/>
        <v>0</v>
      </c>
      <c r="H448" s="219">
        <f t="shared" si="102"/>
        <v>0</v>
      </c>
      <c r="I448" s="219">
        <f t="shared" si="102"/>
        <v>0</v>
      </c>
      <c r="J448" s="219">
        <f t="shared" si="102"/>
        <v>0</v>
      </c>
      <c r="K448" s="219">
        <f t="shared" si="102"/>
        <v>0</v>
      </c>
      <c r="L448" s="219">
        <f t="shared" si="102"/>
        <v>0</v>
      </c>
      <c r="M448" s="219">
        <f t="shared" si="102"/>
        <v>0</v>
      </c>
      <c r="N448" s="219">
        <f t="shared" si="102"/>
        <v>0</v>
      </c>
    </row>
    <row r="449" spans="1:15" x14ac:dyDescent="0.2">
      <c r="B449" s="1451" t="s">
        <v>474</v>
      </c>
      <c r="C449" s="1451" t="s">
        <v>722</v>
      </c>
      <c r="E449" s="1426"/>
      <c r="F449" s="219">
        <f t="shared" ref="F449:N449" si="103">F$416*$F$417*(1-F$418)*F$346/1000</f>
        <v>0</v>
      </c>
      <c r="G449" s="219">
        <f t="shared" si="103"/>
        <v>0</v>
      </c>
      <c r="H449" s="219">
        <f t="shared" si="103"/>
        <v>0</v>
      </c>
      <c r="I449" s="219">
        <f t="shared" si="103"/>
        <v>0</v>
      </c>
      <c r="J449" s="219">
        <f t="shared" si="103"/>
        <v>0</v>
      </c>
      <c r="K449" s="219">
        <f t="shared" si="103"/>
        <v>0</v>
      </c>
      <c r="L449" s="219">
        <f t="shared" si="103"/>
        <v>0</v>
      </c>
      <c r="M449" s="219">
        <f t="shared" si="103"/>
        <v>0</v>
      </c>
      <c r="N449" s="219">
        <f t="shared" si="103"/>
        <v>0</v>
      </c>
    </row>
    <row r="450" spans="1:15" s="1785" customFormat="1" x14ac:dyDescent="0.2">
      <c r="A450" s="1451"/>
      <c r="B450" s="1451" t="s">
        <v>475</v>
      </c>
      <c r="C450" s="20" t="s">
        <v>743</v>
      </c>
      <c r="D450" s="1451"/>
      <c r="E450" s="1426"/>
      <c r="F450" s="219">
        <f t="shared" ref="F450:N450" si="104">F$356</f>
        <v>23.28</v>
      </c>
      <c r="G450" s="219">
        <f t="shared" si="104"/>
        <v>22.545258398704277</v>
      </c>
      <c r="H450" s="219">
        <f t="shared" si="104"/>
        <v>21.83370602510076</v>
      </c>
      <c r="I450" s="219">
        <f t="shared" si="104"/>
        <v>21.760312993855567</v>
      </c>
      <c r="J450" s="219">
        <f t="shared" si="104"/>
        <v>21.687166670019057</v>
      </c>
      <c r="K450" s="219">
        <f t="shared" si="104"/>
        <v>21.61426622429525</v>
      </c>
      <c r="L450" s="219">
        <f t="shared" si="104"/>
        <v>21.541610830175813</v>
      </c>
      <c r="M450" s="219">
        <f t="shared" si="104"/>
        <v>21.469199663930684</v>
      </c>
      <c r="N450" s="219">
        <f t="shared" si="104"/>
        <v>21.39703190459873</v>
      </c>
      <c r="O450" s="1451"/>
    </row>
    <row r="451" spans="1:15" s="1785" customFormat="1" x14ac:dyDescent="0.2">
      <c r="A451" s="1451"/>
      <c r="B451" s="1451"/>
      <c r="C451" s="1427" t="s">
        <v>744</v>
      </c>
      <c r="D451" s="1451"/>
      <c r="E451" s="1426"/>
      <c r="F451" s="234">
        <f t="shared" ref="F451:N451" si="105">F448+F449+F450</f>
        <v>23.28</v>
      </c>
      <c r="G451" s="234">
        <f t="shared" si="105"/>
        <v>22.545258398704277</v>
      </c>
      <c r="H451" s="234">
        <f t="shared" si="105"/>
        <v>21.83370602510076</v>
      </c>
      <c r="I451" s="234">
        <f t="shared" si="105"/>
        <v>21.760312993855567</v>
      </c>
      <c r="J451" s="234">
        <f t="shared" si="105"/>
        <v>21.687166670019057</v>
      </c>
      <c r="K451" s="234">
        <f t="shared" si="105"/>
        <v>21.61426622429525</v>
      </c>
      <c r="L451" s="234">
        <f t="shared" si="105"/>
        <v>21.541610830175813</v>
      </c>
      <c r="M451" s="234">
        <f t="shared" si="105"/>
        <v>21.469199663930684</v>
      </c>
      <c r="N451" s="234">
        <f t="shared" si="105"/>
        <v>21.39703190459873</v>
      </c>
      <c r="O451" s="1451"/>
    </row>
    <row r="452" spans="1:15" s="1785" customFormat="1" x14ac:dyDescent="0.2">
      <c r="A452" s="1451"/>
      <c r="B452" s="1451"/>
      <c r="C452" s="1427"/>
      <c r="D452" s="1451"/>
      <c r="E452" s="1426"/>
      <c r="F452" s="234"/>
      <c r="G452" s="234"/>
      <c r="H452" s="234"/>
      <c r="I452" s="234"/>
      <c r="J452" s="234"/>
      <c r="K452" s="234"/>
      <c r="L452" s="234"/>
      <c r="M452" s="234"/>
      <c r="N452" s="234"/>
      <c r="O452" s="1451"/>
    </row>
    <row r="453" spans="1:15" s="1785" customFormat="1" x14ac:dyDescent="0.2">
      <c r="A453" s="1451"/>
      <c r="B453" s="1451"/>
      <c r="C453" s="1427" t="s">
        <v>651</v>
      </c>
      <c r="D453" s="1451"/>
      <c r="E453" s="1426"/>
      <c r="F453" s="234"/>
      <c r="G453" s="234"/>
      <c r="H453" s="234"/>
      <c r="I453" s="234"/>
      <c r="J453" s="234"/>
      <c r="K453" s="234"/>
      <c r="L453" s="234"/>
      <c r="M453" s="234"/>
      <c r="N453" s="234"/>
      <c r="O453" s="1451"/>
    </row>
    <row r="454" spans="1:15" s="1785" customFormat="1" ht="14.25" x14ac:dyDescent="0.25">
      <c r="A454" s="1451"/>
      <c r="B454" s="1451" t="s">
        <v>1124</v>
      </c>
      <c r="C454" s="20" t="s">
        <v>1123</v>
      </c>
      <c r="D454" s="1451"/>
      <c r="E454" s="1426" t="s">
        <v>493</v>
      </c>
      <c r="F454" s="219">
        <f t="shared" ref="F454:N454" si="106">INDEX(F$88:F$91, MATCH($E$9, $C$88:$C$91, 0))</f>
        <v>-10.456307131999999</v>
      </c>
      <c r="G454" s="219">
        <f t="shared" si="106"/>
        <v>-7.3616709504333304</v>
      </c>
      <c r="H454" s="219">
        <f t="shared" si="106"/>
        <v>-5.0482864033333303</v>
      </c>
      <c r="I454" s="219">
        <f t="shared" si="106"/>
        <v>-3.6393750815333301</v>
      </c>
      <c r="J454" s="219">
        <f t="shared" si="106"/>
        <v>-4.4265016063666698</v>
      </c>
      <c r="K454" s="219">
        <f t="shared" si="106"/>
        <v>-5.8748650194999898</v>
      </c>
      <c r="L454" s="219">
        <f t="shared" si="106"/>
        <v>-8.6591228508333895</v>
      </c>
      <c r="M454" s="219">
        <f t="shared" si="106"/>
        <v>-11.7321817720333</v>
      </c>
      <c r="N454" s="219">
        <f t="shared" si="106"/>
        <v>-14.1107599681333</v>
      </c>
      <c r="O454" s="1451"/>
    </row>
    <row r="455" spans="1:15" s="1785" customFormat="1" x14ac:dyDescent="0.2">
      <c r="A455" s="1451"/>
      <c r="B455" s="1451" t="s">
        <v>1125</v>
      </c>
      <c r="C455" s="20" t="s">
        <v>1126</v>
      </c>
      <c r="D455" s="1451"/>
      <c r="E455" s="1426"/>
      <c r="F455" s="219">
        <f t="shared" ref="F455:N455" si="107">(F$299+F$300)*$F$163</f>
        <v>15.288349999999999</v>
      </c>
      <c r="G455" s="219">
        <f t="shared" si="107"/>
        <v>15.288349999999999</v>
      </c>
      <c r="H455" s="219">
        <f t="shared" si="107"/>
        <v>15.288349999999999</v>
      </c>
      <c r="I455" s="219">
        <f t="shared" si="107"/>
        <v>15.288349999999999</v>
      </c>
      <c r="J455" s="219">
        <f t="shared" si="107"/>
        <v>15.288349999999999</v>
      </c>
      <c r="K455" s="219">
        <f t="shared" si="107"/>
        <v>15.288349999999999</v>
      </c>
      <c r="L455" s="219">
        <f t="shared" si="107"/>
        <v>15.288349999999999</v>
      </c>
      <c r="M455" s="219">
        <f t="shared" si="107"/>
        <v>15.288349999999999</v>
      </c>
      <c r="N455" s="219">
        <f t="shared" si="107"/>
        <v>15.288349999999999</v>
      </c>
      <c r="O455" s="1451"/>
    </row>
    <row r="456" spans="1:15" x14ac:dyDescent="0.2">
      <c r="B456" s="1451" t="s">
        <v>1127</v>
      </c>
      <c r="C456" s="20" t="s">
        <v>1128</v>
      </c>
      <c r="E456" s="1426"/>
      <c r="F456" s="219">
        <f t="shared" ref="F456:N456" si="108">F$303*$F$164</f>
        <v>-7.9670500000000004</v>
      </c>
      <c r="G456" s="219">
        <f t="shared" si="108"/>
        <v>-7.9670500000000004</v>
      </c>
      <c r="H456" s="219">
        <f t="shared" si="108"/>
        <v>-7.9670500000000004</v>
      </c>
      <c r="I456" s="219">
        <f t="shared" si="108"/>
        <v>-7.9670500000000004</v>
      </c>
      <c r="J456" s="219">
        <f t="shared" si="108"/>
        <v>-7.9670500000000004</v>
      </c>
      <c r="K456" s="219">
        <f t="shared" si="108"/>
        <v>-7.9670500000000004</v>
      </c>
      <c r="L456" s="219">
        <f t="shared" si="108"/>
        <v>-7.9670500000000004</v>
      </c>
      <c r="M456" s="219">
        <f t="shared" si="108"/>
        <v>-7.9670500000000004</v>
      </c>
      <c r="N456" s="219">
        <f t="shared" si="108"/>
        <v>-7.9670500000000004</v>
      </c>
    </row>
    <row r="457" spans="1:15" x14ac:dyDescent="0.2">
      <c r="B457" s="1451" t="s">
        <v>1129</v>
      </c>
      <c r="C457" s="20" t="s">
        <v>691</v>
      </c>
      <c r="E457" s="1426"/>
      <c r="F457" s="219">
        <f t="shared" ref="F457:N457" si="109">$F$169</f>
        <v>6.3298100000000002</v>
      </c>
      <c r="G457" s="219">
        <f t="shared" si="109"/>
        <v>6.3298100000000002</v>
      </c>
      <c r="H457" s="219">
        <f t="shared" si="109"/>
        <v>6.3298100000000002</v>
      </c>
      <c r="I457" s="219">
        <f t="shared" si="109"/>
        <v>6.3298100000000002</v>
      </c>
      <c r="J457" s="219">
        <f t="shared" si="109"/>
        <v>6.3298100000000002</v>
      </c>
      <c r="K457" s="219">
        <f t="shared" si="109"/>
        <v>6.3298100000000002</v>
      </c>
      <c r="L457" s="219">
        <f t="shared" si="109"/>
        <v>6.3298100000000002</v>
      </c>
      <c r="M457" s="219">
        <f t="shared" si="109"/>
        <v>6.3298100000000002</v>
      </c>
      <c r="N457" s="219">
        <f t="shared" si="109"/>
        <v>6.3298100000000002</v>
      </c>
    </row>
    <row r="458" spans="1:15" x14ac:dyDescent="0.2">
      <c r="B458" s="1451" t="s">
        <v>1133</v>
      </c>
      <c r="C458" s="20" t="s">
        <v>102</v>
      </c>
      <c r="E458" s="1426"/>
      <c r="F458" s="219">
        <f t="shared" ref="F458:N458" si="110">$F$170</f>
        <v>-1.29274</v>
      </c>
      <c r="G458" s="219">
        <f t="shared" si="110"/>
        <v>-1.29274</v>
      </c>
      <c r="H458" s="219">
        <f t="shared" si="110"/>
        <v>-1.29274</v>
      </c>
      <c r="I458" s="219">
        <f t="shared" si="110"/>
        <v>-1.29274</v>
      </c>
      <c r="J458" s="219">
        <f t="shared" si="110"/>
        <v>-1.29274</v>
      </c>
      <c r="K458" s="219">
        <f t="shared" si="110"/>
        <v>-1.29274</v>
      </c>
      <c r="L458" s="219">
        <f t="shared" si="110"/>
        <v>-1.29274</v>
      </c>
      <c r="M458" s="219">
        <f t="shared" si="110"/>
        <v>-1.29274</v>
      </c>
      <c r="N458" s="219">
        <f t="shared" si="110"/>
        <v>-1.29274</v>
      </c>
    </row>
    <row r="459" spans="1:15" x14ac:dyDescent="0.2">
      <c r="C459" s="1427" t="s">
        <v>1132</v>
      </c>
      <c r="E459" s="1426"/>
      <c r="F459" s="234">
        <f t="shared" ref="F459:N459" si="111">SUM(F$454:F$458)</f>
        <v>1.902062868</v>
      </c>
      <c r="G459" s="234">
        <f t="shared" si="111"/>
        <v>4.9966990495666685</v>
      </c>
      <c r="H459" s="234">
        <f t="shared" si="111"/>
        <v>7.3100835966666686</v>
      </c>
      <c r="I459" s="234">
        <f t="shared" si="111"/>
        <v>8.7189949184666684</v>
      </c>
      <c r="J459" s="234">
        <f t="shared" si="111"/>
        <v>7.9318683936333301</v>
      </c>
      <c r="K459" s="234">
        <f t="shared" si="111"/>
        <v>6.4835049805000082</v>
      </c>
      <c r="L459" s="234">
        <f t="shared" si="111"/>
        <v>3.6992471491666095</v>
      </c>
      <c r="M459" s="234">
        <f t="shared" si="111"/>
        <v>0.62618822796669904</v>
      </c>
      <c r="N459" s="234">
        <f t="shared" si="111"/>
        <v>-1.7523899681333004</v>
      </c>
    </row>
    <row r="460" spans="1:15" x14ac:dyDescent="0.2">
      <c r="C460" s="1427"/>
      <c r="E460" s="1426"/>
      <c r="F460" s="234"/>
      <c r="G460" s="234"/>
      <c r="H460" s="234"/>
      <c r="I460" s="234"/>
      <c r="J460" s="234"/>
      <c r="K460" s="234"/>
      <c r="L460" s="234"/>
      <c r="M460" s="234"/>
      <c r="N460" s="234"/>
    </row>
    <row r="461" spans="1:15" ht="15.75" x14ac:dyDescent="0.25">
      <c r="B461" s="1787"/>
      <c r="C461" s="1788" t="s">
        <v>1858</v>
      </c>
      <c r="D461" s="1788"/>
      <c r="E461" s="1788"/>
      <c r="F461" s="1791" t="s">
        <v>241</v>
      </c>
      <c r="G461" s="1791" t="s">
        <v>268</v>
      </c>
      <c r="H461" s="1791" t="s">
        <v>269</v>
      </c>
      <c r="I461" s="1791" t="s">
        <v>270</v>
      </c>
      <c r="J461" s="1791" t="s">
        <v>271</v>
      </c>
      <c r="K461" s="1791" t="s">
        <v>272</v>
      </c>
      <c r="L461" s="1791" t="s">
        <v>273</v>
      </c>
      <c r="M461" s="1791" t="s">
        <v>274</v>
      </c>
      <c r="N461" s="1791" t="s">
        <v>275</v>
      </c>
      <c r="O461" s="37"/>
    </row>
    <row r="462" spans="1:15" s="2218" customFormat="1" ht="15.75" x14ac:dyDescent="0.25">
      <c r="B462" s="1787"/>
      <c r="C462" s="1788"/>
      <c r="D462" s="1788"/>
      <c r="E462" s="1788"/>
      <c r="F462" s="1791"/>
      <c r="G462" s="1791"/>
      <c r="H462" s="1791"/>
      <c r="I462" s="1791"/>
      <c r="J462" s="1791"/>
      <c r="K462" s="1791"/>
      <c r="L462" s="1791"/>
      <c r="M462" s="1791"/>
      <c r="N462" s="1791"/>
      <c r="O462" s="37"/>
    </row>
    <row r="463" spans="1:15" s="2218" customFormat="1" ht="15.75" x14ac:dyDescent="0.25">
      <c r="B463" s="1787"/>
      <c r="C463" s="1969" t="s">
        <v>1906</v>
      </c>
      <c r="D463" s="1788"/>
      <c r="E463" s="1788"/>
      <c r="F463" s="1791"/>
      <c r="G463" s="1791"/>
      <c r="H463" s="1791"/>
      <c r="I463" s="1791"/>
      <c r="J463" s="1791"/>
      <c r="K463" s="1791"/>
      <c r="L463" s="1791"/>
      <c r="M463" s="1791"/>
      <c r="N463" s="1791"/>
      <c r="O463" s="37"/>
    </row>
    <row r="464" spans="1:15" s="2218" customFormat="1" x14ac:dyDescent="0.2">
      <c r="B464" s="2218" t="s">
        <v>36</v>
      </c>
      <c r="C464" s="2218" t="str">
        <f>INDEX(Vectors[Description], MATCH($B464, Vectors[Code], 0))</f>
        <v>Solid hydrocarbons</v>
      </c>
      <c r="D464" s="1788"/>
      <c r="E464" s="1788"/>
      <c r="F464" s="2222">
        <f t="shared" ref="F464:N464" si="112">F435</f>
        <v>1.043211E-2</v>
      </c>
      <c r="G464" s="2222">
        <f t="shared" si="112"/>
        <v>1.0911989139998241E-2</v>
      </c>
      <c r="H464" s="2222">
        <f t="shared" si="112"/>
        <v>1.1454928340187142E-2</v>
      </c>
      <c r="I464" s="2222">
        <f t="shared" si="112"/>
        <v>1.2069214210381131E-2</v>
      </c>
      <c r="J464" s="2222">
        <f t="shared" si="112"/>
        <v>1.2764222288981272E-2</v>
      </c>
      <c r="K464" s="2222">
        <f t="shared" si="112"/>
        <v>1.3550560137134807E-2</v>
      </c>
      <c r="L464" s="2222">
        <f t="shared" si="112"/>
        <v>1.4440229236642455E-2</v>
      </c>
      <c r="M464" s="2222">
        <f t="shared" si="112"/>
        <v>1.5446808162580416E-2</v>
      </c>
      <c r="N464" s="2222">
        <f t="shared" si="112"/>
        <v>1.6585659826309246E-2</v>
      </c>
      <c r="O464" s="37"/>
    </row>
    <row r="465" spans="2:15" s="2218" customFormat="1" x14ac:dyDescent="0.2">
      <c r="B465" s="2218" t="s">
        <v>38</v>
      </c>
      <c r="C465" s="2218" t="str">
        <f>INDEX(Vectors[Description], MATCH($B465, Vectors[Code], 0))</f>
        <v>Liquid hydrocarbons</v>
      </c>
      <c r="D465" s="1788"/>
      <c r="E465" s="1788"/>
      <c r="F465" s="2222">
        <f t="shared" ref="F465:N465" si="113">F436</f>
        <v>1.9821009000000001</v>
      </c>
      <c r="G465" s="2222">
        <f t="shared" si="113"/>
        <v>2.0732779365996659</v>
      </c>
      <c r="H465" s="2222">
        <f t="shared" si="113"/>
        <v>2.176436384635557</v>
      </c>
      <c r="I465" s="2222">
        <f t="shared" si="113"/>
        <v>2.2931506999724149</v>
      </c>
      <c r="J465" s="2222">
        <f t="shared" si="113"/>
        <v>2.4252022349064415</v>
      </c>
      <c r="K465" s="2222">
        <f t="shared" si="113"/>
        <v>2.5746064260556132</v>
      </c>
      <c r="L465" s="2222">
        <f t="shared" si="113"/>
        <v>2.7436435549620661</v>
      </c>
      <c r="M465" s="2222">
        <f t="shared" si="113"/>
        <v>2.9348935508902789</v>
      </c>
      <c r="N465" s="2222">
        <f t="shared" si="113"/>
        <v>3.1512753669987568</v>
      </c>
      <c r="O465" s="37"/>
    </row>
    <row r="466" spans="2:15" s="2218" customFormat="1" x14ac:dyDescent="0.2">
      <c r="B466" s="2218" t="s">
        <v>39</v>
      </c>
      <c r="C466" s="2218" t="str">
        <f>INDEX(Vectors[Description], MATCH($B466, Vectors[Code], 0))</f>
        <v>Gaseous hydrocarbons</v>
      </c>
      <c r="D466" s="1788"/>
      <c r="E466" s="1788"/>
      <c r="F466" s="2222">
        <f t="shared" ref="F466:N466" si="114">F437</f>
        <v>0.93888989999999994</v>
      </c>
      <c r="G466" s="2222">
        <f t="shared" si="114"/>
        <v>0.98207902259984159</v>
      </c>
      <c r="H466" s="2222">
        <f t="shared" si="114"/>
        <v>1.0309435506168427</v>
      </c>
      <c r="I466" s="2222">
        <f t="shared" si="114"/>
        <v>1.0862292789343015</v>
      </c>
      <c r="J466" s="2222">
        <f t="shared" si="114"/>
        <v>1.1487800060083144</v>
      </c>
      <c r="K466" s="2222">
        <f t="shared" si="114"/>
        <v>1.2195504123421326</v>
      </c>
      <c r="L466" s="2222">
        <f t="shared" si="114"/>
        <v>1.2996206312978207</v>
      </c>
      <c r="M466" s="2222">
        <f t="shared" si="114"/>
        <v>1.3902127346322373</v>
      </c>
      <c r="N466" s="2222">
        <f t="shared" si="114"/>
        <v>1.4927093843678321</v>
      </c>
      <c r="O466" s="37"/>
    </row>
    <row r="467" spans="2:15" s="2479" customFormat="1" x14ac:dyDescent="0.2">
      <c r="B467" s="2479" t="s">
        <v>2184</v>
      </c>
      <c r="C467" s="2479" t="str">
        <f>INDEX(Vectors[Description], MATCH($B467, Vectors[Code], 0))</f>
        <v>Traditional Fuel</v>
      </c>
      <c r="D467" s="1788"/>
      <c r="E467" s="1788"/>
      <c r="F467" s="2222">
        <f t="shared" ref="F467:N467" si="115">F439</f>
        <v>0</v>
      </c>
      <c r="G467" s="2222">
        <f t="shared" si="115"/>
        <v>0</v>
      </c>
      <c r="H467" s="2222">
        <f t="shared" si="115"/>
        <v>0</v>
      </c>
      <c r="I467" s="2222">
        <f t="shared" si="115"/>
        <v>0</v>
      </c>
      <c r="J467" s="2222">
        <f t="shared" si="115"/>
        <v>0</v>
      </c>
      <c r="K467" s="2222">
        <f t="shared" si="115"/>
        <v>0</v>
      </c>
      <c r="L467" s="2222">
        <f t="shared" si="115"/>
        <v>0</v>
      </c>
      <c r="M467" s="2222">
        <f t="shared" si="115"/>
        <v>0</v>
      </c>
      <c r="N467" s="2222">
        <f t="shared" si="115"/>
        <v>0</v>
      </c>
      <c r="O467" s="37"/>
    </row>
    <row r="468" spans="2:15" s="2218" customFormat="1" x14ac:dyDescent="0.2">
      <c r="D468" s="1788"/>
      <c r="E468" s="1788"/>
      <c r="F468" s="1791"/>
      <c r="G468" s="1791"/>
      <c r="H468" s="1791"/>
      <c r="I468" s="1791"/>
      <c r="J468" s="1791"/>
      <c r="K468" s="1791"/>
      <c r="L468" s="1791"/>
      <c r="M468" s="1791"/>
      <c r="N468" s="1791"/>
      <c r="O468" s="37"/>
    </row>
    <row r="469" spans="2:15" s="2218" customFormat="1" x14ac:dyDescent="0.2">
      <c r="C469" s="39" t="s">
        <v>1967</v>
      </c>
      <c r="D469" s="1788"/>
      <c r="E469" s="1788"/>
      <c r="F469" s="1791"/>
      <c r="G469" s="1791"/>
      <c r="H469" s="1791"/>
      <c r="I469" s="1791"/>
      <c r="J469" s="1791"/>
      <c r="K469" s="1791"/>
      <c r="L469" s="1791"/>
      <c r="M469" s="1791"/>
      <c r="N469" s="1791"/>
      <c r="O469" s="37"/>
    </row>
    <row r="470" spans="2:15" s="2218" customFormat="1" x14ac:dyDescent="0.2">
      <c r="C470" s="2218" t="s">
        <v>104</v>
      </c>
      <c r="D470" s="1788"/>
      <c r="E470" s="1788"/>
      <c r="F470" s="2223">
        <f ca="1">F464*(1-'Intermediate output'!AX$250)</f>
        <v>1.043211E-2</v>
      </c>
      <c r="G470" s="2223">
        <f ca="1">G464*(1-'Intermediate output'!AY$250)</f>
        <v>1.0911989139998241E-2</v>
      </c>
      <c r="H470" s="2223">
        <f ca="1">H464*(1-'Intermediate output'!AZ$250)</f>
        <v>1.1454928340187142E-2</v>
      </c>
      <c r="I470" s="2223">
        <f ca="1">I464*(1-'Intermediate output'!BA$250)</f>
        <v>1.2069214210381131E-2</v>
      </c>
      <c r="J470" s="2223">
        <f ca="1">J464*(1-'Intermediate output'!BB$250)</f>
        <v>1.2764222288981272E-2</v>
      </c>
      <c r="K470" s="2223">
        <f ca="1">K464*(1-'Intermediate output'!BC$250)</f>
        <v>1.3550560137134807E-2</v>
      </c>
      <c r="L470" s="2223">
        <f ca="1">L464*(1-'Intermediate output'!BD$250)</f>
        <v>1.4440229236642455E-2</v>
      </c>
      <c r="M470" s="2223">
        <f ca="1">M464*(1-'Intermediate output'!BE$250)</f>
        <v>1.5446808162580416E-2</v>
      </c>
      <c r="N470" s="2223">
        <f ca="1">N464*(1-'Intermediate output'!BF$250)</f>
        <v>1.6585659826309246E-2</v>
      </c>
      <c r="O470" s="37"/>
    </row>
    <row r="471" spans="2:15" s="2218" customFormat="1" x14ac:dyDescent="0.2">
      <c r="C471" s="2218" t="s">
        <v>118</v>
      </c>
      <c r="D471" s="1788"/>
      <c r="E471" s="1788"/>
      <c r="F471" s="2223">
        <f ca="1">F465*(1-'Intermediate output'!AX251)</f>
        <v>1.9646695331836852</v>
      </c>
      <c r="G471" s="2223">
        <f ca="1">G465*(1-'Intermediate output'!AY251)</f>
        <v>2.0528802245462421</v>
      </c>
      <c r="H471" s="2223">
        <f ca="1">H465*(1-'Intermediate output'!AZ251)</f>
        <v>2.1422591232110926</v>
      </c>
      <c r="I471" s="2223">
        <f ca="1">I465*(1-'Intermediate output'!BA251)</f>
        <v>2.2438558919218319</v>
      </c>
      <c r="J471" s="2223">
        <f ca="1">J465*(1-'Intermediate output'!BB251)</f>
        <v>2.3662136201156381</v>
      </c>
      <c r="K471" s="2223">
        <f ca="1">K465*(1-'Intermediate output'!BC251)</f>
        <v>2.5055279405065383</v>
      </c>
      <c r="L471" s="2223">
        <f ca="1">L465*(1-'Intermediate output'!BD251)</f>
        <v>2.6591516660807422</v>
      </c>
      <c r="M471" s="2223">
        <f ca="1">M465*(1-'Intermediate output'!BE251)</f>
        <v>2.8307027501098898</v>
      </c>
      <c r="N471" s="2223">
        <f ca="1">N465*(1-'Intermediate output'!BF251)</f>
        <v>3.0204723158941484</v>
      </c>
      <c r="O471" s="37"/>
    </row>
    <row r="472" spans="2:15" s="2218" customFormat="1" x14ac:dyDescent="0.2">
      <c r="C472" s="2218" t="s">
        <v>130</v>
      </c>
      <c r="D472" s="1788"/>
      <c r="E472" s="1788"/>
      <c r="F472" s="2223">
        <f ca="1">F466*(1-'Intermediate output'!AX253)</f>
        <v>0.48092262191304241</v>
      </c>
      <c r="G472" s="2223">
        <f ca="1">G466*(1-'Intermediate output'!AY253)</f>
        <v>0.59858531723897379</v>
      </c>
      <c r="H472" s="2223">
        <f ca="1">H466*(1-'Intermediate output'!AZ253)</f>
        <v>0.73253018909374845</v>
      </c>
      <c r="I472" s="2223">
        <f ca="1">I466*(1-'Intermediate output'!BA253)</f>
        <v>0.83096103701662938</v>
      </c>
      <c r="J472" s="2223">
        <f ca="1">J466*(1-'Intermediate output'!BB253)</f>
        <v>0.93952379896667482</v>
      </c>
      <c r="K472" s="2223">
        <f ca="1">K466*(1-'Intermediate output'!BC253)</f>
        <v>1.0578546679643117</v>
      </c>
      <c r="L472" s="2223">
        <f ca="1">L466*(1-'Intermediate output'!BD253)</f>
        <v>1.1832904528110937</v>
      </c>
      <c r="M472" s="2223">
        <f ca="1">M466*(1-'Intermediate output'!BE253)</f>
        <v>1.3096649691299029</v>
      </c>
      <c r="N472" s="2223">
        <f ca="1">N466*(1-'Intermediate output'!BF253)</f>
        <v>1.4404935647720789</v>
      </c>
      <c r="O472" s="37"/>
    </row>
    <row r="473" spans="2:15" s="2218" customFormat="1" x14ac:dyDescent="0.2">
      <c r="C473" s="2218" t="s">
        <v>1214</v>
      </c>
      <c r="D473" s="1788"/>
      <c r="E473" s="1788"/>
      <c r="F473" s="2223">
        <f ca="1">F464*('Intermediate output'!AX$250)</f>
        <v>0</v>
      </c>
      <c r="G473" s="2223">
        <f ca="1">G464*('Intermediate output'!AY$250)</f>
        <v>0</v>
      </c>
      <c r="H473" s="2223">
        <f ca="1">H464*('Intermediate output'!AZ$250)</f>
        <v>0</v>
      </c>
      <c r="I473" s="2223">
        <f ca="1">I464*('Intermediate output'!BA$250)</f>
        <v>0</v>
      </c>
      <c r="J473" s="2223">
        <f ca="1">J464*('Intermediate output'!BB$250)</f>
        <v>0</v>
      </c>
      <c r="K473" s="2223">
        <f ca="1">K464*('Intermediate output'!BC$250)</f>
        <v>0</v>
      </c>
      <c r="L473" s="2223">
        <f ca="1">L464*('Intermediate output'!BD$250)</f>
        <v>0</v>
      </c>
      <c r="M473" s="2223">
        <f ca="1">M464*('Intermediate output'!BE$250)</f>
        <v>0</v>
      </c>
      <c r="N473" s="2223">
        <f ca="1">N464*('Intermediate output'!BF$250)</f>
        <v>0</v>
      </c>
      <c r="O473" s="37"/>
    </row>
    <row r="474" spans="2:15" s="2218" customFormat="1" x14ac:dyDescent="0.2">
      <c r="C474" s="2218" t="s">
        <v>1975</v>
      </c>
      <c r="D474" s="1788"/>
      <c r="E474" s="1788"/>
      <c r="F474" s="2223">
        <f ca="1">F465*'Intermediate output'!AX251</f>
        <v>1.7431366816314742E-2</v>
      </c>
      <c r="G474" s="2223">
        <f ca="1">G465*'Intermediate output'!AY251</f>
        <v>2.039771205342374E-2</v>
      </c>
      <c r="H474" s="2223">
        <f ca="1">H465*'Intermediate output'!AZ251</f>
        <v>3.4177261424464575E-2</v>
      </c>
      <c r="I474" s="2223">
        <f ca="1">I465*'Intermediate output'!BA251</f>
        <v>4.9294808050583096E-2</v>
      </c>
      <c r="J474" s="2223">
        <f ca="1">J465*'Intermediate output'!BB251</f>
        <v>5.898861479080366E-2</v>
      </c>
      <c r="K474" s="2223">
        <f ca="1">K465*'Intermediate output'!BC251</f>
        <v>6.9078485549074767E-2</v>
      </c>
      <c r="L474" s="2223">
        <f ca="1">L465*'Intermediate output'!BD251</f>
        <v>8.4491888881324181E-2</v>
      </c>
      <c r="M474" s="2223">
        <f ca="1">M465*'Intermediate output'!BE251</f>
        <v>0.10419080078038892</v>
      </c>
      <c r="N474" s="2223">
        <f ca="1">N465*'Intermediate output'!BF251</f>
        <v>0.13080305110460827</v>
      </c>
      <c r="O474" s="37"/>
    </row>
    <row r="475" spans="2:15" s="2218" customFormat="1" x14ac:dyDescent="0.2">
      <c r="C475" s="2218" t="s">
        <v>1966</v>
      </c>
      <c r="D475" s="1788"/>
      <c r="E475" s="1788"/>
      <c r="F475" s="2223">
        <f ca="1">F466*'Intermediate output'!AX253</f>
        <v>0.45796727808695747</v>
      </c>
      <c r="G475" s="2223">
        <f ca="1">G466*'Intermediate output'!AY253</f>
        <v>0.38349370536086769</v>
      </c>
      <c r="H475" s="2223">
        <f ca="1">H466*'Intermediate output'!AZ253</f>
        <v>0.29841336152309422</v>
      </c>
      <c r="I475" s="2223">
        <f ca="1">I466*'Intermediate output'!BA253</f>
        <v>0.25526824191767217</v>
      </c>
      <c r="J475" s="2223">
        <f ca="1">J466*'Intermediate output'!BB253</f>
        <v>0.20925620704163952</v>
      </c>
      <c r="K475" s="2223">
        <f ca="1">K466*'Intermediate output'!BC253</f>
        <v>0.16169574437782092</v>
      </c>
      <c r="L475" s="2223">
        <f ca="1">L466*'Intermediate output'!BD253</f>
        <v>0.1163301784867269</v>
      </c>
      <c r="M475" s="2223">
        <f ca="1">M466*'Intermediate output'!BE253</f>
        <v>8.0547765502334431E-2</v>
      </c>
      <c r="N475" s="2223">
        <f ca="1">N466*'Intermediate output'!BF253</f>
        <v>5.2215819595753304E-2</v>
      </c>
      <c r="O475" s="37"/>
    </row>
    <row r="476" spans="2:15" s="2218" customFormat="1" ht="15.75" x14ac:dyDescent="0.25">
      <c r="B476" s="1787"/>
      <c r="C476" s="1788"/>
      <c r="D476" s="1788"/>
      <c r="E476" s="1788"/>
      <c r="F476" s="1791"/>
      <c r="G476" s="1791"/>
      <c r="H476" s="1791"/>
      <c r="I476" s="1791"/>
      <c r="J476" s="1791"/>
      <c r="K476" s="1791"/>
      <c r="L476" s="1791"/>
      <c r="M476" s="1791"/>
      <c r="N476" s="1791"/>
      <c r="O476" s="37"/>
    </row>
    <row r="477" spans="2:15" x14ac:dyDescent="0.2">
      <c r="B477" s="1347" t="s">
        <v>1787</v>
      </c>
      <c r="C477" s="1789" t="str">
        <f>INDEX(AirQualityVectors[Description],MATCH(B477,AirQualityVectors[Code],0))</f>
        <v>PM10</v>
      </c>
      <c r="D477" s="1785"/>
      <c r="E477" s="1470" t="s">
        <v>1848</v>
      </c>
      <c r="F477" s="1790">
        <f ca="1">SUMPRODUCT(F470:F472,F216:F218)+SUMPRODUCT(F473:F475,F216:F218,$F$36:$F$38)</f>
        <v>211.71169698281392</v>
      </c>
      <c r="G477" s="1790">
        <f ca="1">SUMPRODUCT(G470:G472,G216:G218)+SUMPRODUCT(G473:G475,G216:G218,Constants!$F$35:$F$37)</f>
        <v>0.20025666883914517</v>
      </c>
      <c r="H477" s="1790">
        <f ca="1">SUMPRODUCT(H470:H472,H216:H218)+SUMPRODUCT(H473:H475,H216:H218,Constants!$F$35:$F$37)</f>
        <v>0.2116521234257184</v>
      </c>
      <c r="I477" s="1790">
        <f ca="1">SUMPRODUCT(I470:I472,I216:I218)+SUMPRODUCT(I473:I475,I216:I218,Constants!$F$35:$F$37)</f>
        <v>0.22571651072368282</v>
      </c>
      <c r="J477" s="1790">
        <f ca="1">SUMPRODUCT(J470:J472,J216:J218)+SUMPRODUCT(J473:J475,J216:J218,Constants!$F$35:$F$37)</f>
        <v>0.23936454706012245</v>
      </c>
      <c r="K477" s="1790">
        <f ca="1">SUMPRODUCT(K470:K472,K216:K218)+SUMPRODUCT(K473:K475,K216:K218,Constants!$F$35:$F$37)</f>
        <v>0.25464136529307346</v>
      </c>
      <c r="L477" s="1790">
        <f ca="1">SUMPRODUCT(L470:L472,L216:L218)+SUMPRODUCT(L473:L475,L216:L218,Constants!$F$35:$F$37)</f>
        <v>0.27339483978005852</v>
      </c>
      <c r="M477" s="1790">
        <f ca="1">SUMPRODUCT(M470:M472,M216:M218)+SUMPRODUCT(M473:M475,M216:M218,Constants!$F$35:$F$37)</f>
        <v>0.29571099890625163</v>
      </c>
      <c r="N477" s="1790">
        <f ca="1">SUMPRODUCT(N470:N472,N216:N218)+SUMPRODUCT(N473:N475,N216:N218,Constants!$F$35:$F$37)</f>
        <v>0.32262404805491263</v>
      </c>
      <c r="O477" s="37"/>
    </row>
    <row r="478" spans="2:15" s="2022" customFormat="1" x14ac:dyDescent="0.2">
      <c r="B478" s="1347" t="s">
        <v>1787</v>
      </c>
      <c r="C478" s="1789" t="s">
        <v>1791</v>
      </c>
      <c r="D478" s="2022" t="s">
        <v>1907</v>
      </c>
      <c r="E478" s="1470"/>
      <c r="F478" s="1790">
        <f ca="1">SUMPRODUCT(F470:F472,F217:F219)+SUMPRODUCT(F473:F475,F217:F219,$F$36:$F$38)</f>
        <v>0.44909963588467311</v>
      </c>
      <c r="G478" s="1790">
        <f t="shared" ref="G478:N478" ca="1" si="116">IFERROR($F478*SUM(G$312:G$314)/SUM($F$312:$F$314), 0)</f>
        <v>0.55510172777409372</v>
      </c>
      <c r="H478" s="1790">
        <f t="shared" ca="1" si="116"/>
        <v>0.68849304515314602</v>
      </c>
      <c r="I478" s="1790">
        <f t="shared" ca="1" si="116"/>
        <v>0.85664118153224666</v>
      </c>
      <c r="J478" s="1790">
        <f t="shared" ca="1" si="116"/>
        <v>1.0689282182454065</v>
      </c>
      <c r="K478" s="1790">
        <f t="shared" ca="1" si="116"/>
        <v>1.3373050642188145</v>
      </c>
      <c r="L478" s="1790">
        <f t="shared" ca="1" si="116"/>
        <v>1.6769987131793889</v>
      </c>
      <c r="M478" s="1790">
        <f t="shared" ca="1" si="116"/>
        <v>2.1074146413450161</v>
      </c>
      <c r="N478" s="1790">
        <f t="shared" ca="1" si="116"/>
        <v>2.6532882313788266</v>
      </c>
      <c r="O478" s="37"/>
    </row>
    <row r="479" spans="2:15" x14ac:dyDescent="0.2">
      <c r="B479" s="1347" t="s">
        <v>1788</v>
      </c>
      <c r="C479" s="1789" t="str">
        <f>INDEX(AirQualityVectors[Description],MATCH(B479,AirQualityVectors[Code],0))</f>
        <v>NOX</v>
      </c>
      <c r="D479" s="1785"/>
      <c r="E479" s="1347"/>
      <c r="F479" s="1790">
        <f ca="1">SUMPRODUCT(F470:F472,F223:F225)+SUMPRODUCT(F473:F475,F223:F225,$G$36:$G$38)</f>
        <v>10262.077411804983</v>
      </c>
      <c r="G479" s="1790">
        <f ca="1">SUMPRODUCT(G470:G472,G223:G225)+SUMPRODUCT(G473:G475,G223:G225,Constants!$G$35:$G$37)</f>
        <v>1.4370370987474772</v>
      </c>
      <c r="H479" s="1790">
        <f ca="1">SUMPRODUCT(H470:H472,H223:H225)+SUMPRODUCT(H473:H475,H223:H225,Constants!$G$35:$G$37)</f>
        <v>1.5085320282344585</v>
      </c>
      <c r="I479" s="1790">
        <f ca="1">SUMPRODUCT(I470:I472,I223:I225)+SUMPRODUCT(I473:I475,I223:I225,Constants!$G$35:$G$37)</f>
        <v>1.5864572061507065</v>
      </c>
      <c r="J479" s="1790">
        <f ca="1">SUMPRODUCT(J470:J472,J223:J225)+SUMPRODUCT(J473:J475,J223:J225,Constants!$G$35:$G$37)</f>
        <v>1.678097395243777</v>
      </c>
      <c r="K479" s="1790">
        <f ca="1">SUMPRODUCT(K470:K472,K223:K225)+SUMPRODUCT(K473:K475,K223:K225,Constants!$G$35:$G$37)</f>
        <v>1.781940722216518</v>
      </c>
      <c r="L479" s="1790">
        <f ca="1">SUMPRODUCT(L470:L472,L223:L225)+SUMPRODUCT(L473:L475,L223:L225,Constants!$G$35:$G$37)</f>
        <v>1.8969559220465657</v>
      </c>
      <c r="M479" s="1790">
        <f ca="1">SUMPRODUCT(M470:M472,M223:M225)+SUMPRODUCT(M473:M475,M223:M225,Constants!$G$35:$G$37)</f>
        <v>2.0250380863181867</v>
      </c>
      <c r="N479" s="1790">
        <f ca="1">SUMPRODUCT(N470:N472,N223:N225)+SUMPRODUCT(N473:N475,N223:N225,Constants!$G$35:$G$37)</f>
        <v>2.1670932794303268</v>
      </c>
      <c r="O479" s="37"/>
    </row>
    <row r="480" spans="2:15" x14ac:dyDescent="0.2">
      <c r="B480" s="1347" t="s">
        <v>1789</v>
      </c>
      <c r="C480" s="1789" t="str">
        <f>INDEX(AirQualityVectors[Description],MATCH(B480,AirQualityVectors[Code],0))</f>
        <v>SO2</v>
      </c>
      <c r="D480" s="1785"/>
      <c r="E480" s="1347"/>
      <c r="F480" s="1790">
        <f ca="1">SUMPRODUCT(F470:F472,F224:F226)+SUMPRODUCT(F473:F475,F224:F226,$G$36:$G$38)</f>
        <v>23.027279033684213</v>
      </c>
      <c r="G480" s="1790">
        <f ca="1">SUMPRODUCT(G470:G472,G230:G232)+SUMPRODUCT(G473:G475,G230:G232,Constants!$H$35:$H$37)</f>
        <v>2.9268046900357647</v>
      </c>
      <c r="H480" s="1790">
        <f ca="1">SUMPRODUCT(H470:H472,H230:H232)+SUMPRODUCT(H473:H475,H230:H232,Constants!$H$35:$H$37)</f>
        <v>3.054619224284282</v>
      </c>
      <c r="I480" s="1790">
        <f ca="1">SUMPRODUCT(I470:I472,I230:I232)+SUMPRODUCT(I473:I475,I230:I232,Constants!$H$35:$H$37)</f>
        <v>3.1998893262097363</v>
      </c>
      <c r="J480" s="1790">
        <f ca="1">SUMPRODUCT(J470:J472,J230:J232)+SUMPRODUCT(J473:J475,J230:J232,Constants!$H$35:$H$37)</f>
        <v>3.3745896877549786</v>
      </c>
      <c r="K480" s="1790">
        <f ca="1">SUMPRODUCT(K470:K472,K230:K232)+SUMPRODUCT(K473:K475,K230:K232,Constants!$H$35:$H$37)</f>
        <v>3.5734719954572776</v>
      </c>
      <c r="L480" s="1790">
        <f ca="1">SUMPRODUCT(L470:L472,L230:L232)+SUMPRODUCT(L473:L475,L230:L232,Constants!$H$35:$H$37)</f>
        <v>3.7929106404208168</v>
      </c>
      <c r="M480" s="1790">
        <f ca="1">SUMPRODUCT(M470:M472,M230:M232)+SUMPRODUCT(M473:M475,M230:M232,Constants!$H$35:$H$37)</f>
        <v>4.0380315668955173</v>
      </c>
      <c r="N480" s="1790">
        <f ca="1">SUMPRODUCT(N470:N472,N230:N232)+SUMPRODUCT(N473:N475,N230:N232,Constants!$H$35:$H$37)</f>
        <v>4.3093285209383936</v>
      </c>
      <c r="O480" s="37"/>
    </row>
    <row r="481" spans="1:15" x14ac:dyDescent="0.2">
      <c r="B481" s="1347" t="s">
        <v>1790</v>
      </c>
      <c r="C481" s="1789" t="str">
        <f>INDEX(AirQualityVectors[Description],MATCH(B481,AirQualityVectors[Code],0))</f>
        <v>NMVOC</v>
      </c>
      <c r="D481" s="1785"/>
      <c r="E481" s="1347"/>
      <c r="F481" s="1790">
        <f ca="1">SUMPRODUCT(F470:F472,F225:F227)+SUMPRODUCT(F473:F475,F225:F227,$G$36:$G$38)</f>
        <v>1.4734246453808979E-3</v>
      </c>
      <c r="G481" s="1790">
        <f ca="1">SUMPRODUCT(G470:G472,G237:G239)+SUMPRODUCT(G473:G475,G237:G239,Constants!$I$35:$I$37)</f>
        <v>3.5374252962206615E-2</v>
      </c>
      <c r="H481" s="1790">
        <f ca="1">SUMPRODUCT(H470:H472,H237:H239)+SUMPRODUCT(H473:H475,H237:H239,Constants!$I$35:$I$37)</f>
        <v>3.7718638896130363E-2</v>
      </c>
      <c r="I481" s="1790">
        <f ca="1">SUMPRODUCT(I470:I472,I237:I239)+SUMPRODUCT(I473:I475,I237:I239,Constants!$I$35:$I$37)</f>
        <v>4.059746234829683E-2</v>
      </c>
      <c r="J481" s="1790">
        <f ca="1">SUMPRODUCT(J470:J472,J237:J239)+SUMPRODUCT(J473:J475,J237:J239,Constants!$I$35:$I$37)</f>
        <v>4.3225038913980364E-2</v>
      </c>
      <c r="K481" s="1790">
        <f ca="1">SUMPRODUCT(K470:K472,K237:K239)+SUMPRODUCT(K473:K475,K237:K239,Constants!$I$35:$I$37)</f>
        <v>4.6144302977280824E-2</v>
      </c>
      <c r="L481" s="1790">
        <f ca="1">SUMPRODUCT(L470:L472,L237:L239)+SUMPRODUCT(L473:L475,L237:L239,Constants!$I$35:$I$37)</f>
        <v>4.9836935230148767E-2</v>
      </c>
      <c r="M481" s="1790">
        <f ca="1">SUMPRODUCT(M470:M472,M237:M239)+SUMPRODUCT(M473:M475,M237:M239,Constants!$I$35:$I$37)</f>
        <v>5.4289383118090812E-2</v>
      </c>
      <c r="N481" s="1790">
        <f ca="1">SUMPRODUCT(N470:N472,N237:N239)+SUMPRODUCT(N473:N475,N237:N239,Constants!$I$35:$I$37)</f>
        <v>5.9763752376079941E-2</v>
      </c>
      <c r="O481" s="37"/>
    </row>
    <row r="482" spans="1:15" ht="15.75" x14ac:dyDescent="0.25">
      <c r="B482" s="1787"/>
      <c r="C482" s="37"/>
      <c r="D482" s="1399"/>
      <c r="E482" s="37"/>
      <c r="F482" s="1032"/>
      <c r="G482" s="1032"/>
      <c r="H482" s="1032"/>
      <c r="I482" s="1032"/>
      <c r="J482" s="1032"/>
      <c r="K482" s="1032"/>
      <c r="L482" s="1032"/>
      <c r="M482" s="1032"/>
      <c r="N482" s="1032"/>
      <c r="O482" s="37"/>
    </row>
    <row r="483" spans="1:15" x14ac:dyDescent="0.2">
      <c r="B483" s="1427">
        <v>4</v>
      </c>
      <c r="C483" s="1427" t="s">
        <v>1473</v>
      </c>
      <c r="E483" s="1426"/>
      <c r="F483" s="234"/>
      <c r="G483" s="234"/>
      <c r="H483" s="234"/>
      <c r="I483" s="234"/>
      <c r="J483" s="234"/>
      <c r="K483" s="234"/>
      <c r="L483" s="234"/>
      <c r="M483" s="234"/>
      <c r="N483" s="234"/>
    </row>
    <row r="484" spans="1:15" s="2132" customFormat="1" x14ac:dyDescent="0.2">
      <c r="C484" s="1000"/>
      <c r="E484" s="142"/>
      <c r="F484" s="997"/>
      <c r="G484" s="997"/>
      <c r="H484" s="997"/>
      <c r="I484" s="997"/>
      <c r="J484" s="997"/>
      <c r="K484" s="997"/>
      <c r="L484" s="997"/>
      <c r="M484" s="997"/>
      <c r="N484" s="997"/>
    </row>
    <row r="485" spans="1:15" x14ac:dyDescent="0.2">
      <c r="A485" s="2132"/>
      <c r="B485" s="2132"/>
      <c r="C485" s="1000" t="s">
        <v>1189</v>
      </c>
      <c r="D485" s="2132"/>
      <c r="E485" s="142"/>
      <c r="F485" s="997"/>
      <c r="G485" s="997"/>
      <c r="H485" s="997"/>
      <c r="I485" s="997"/>
      <c r="J485" s="997"/>
      <c r="K485" s="997"/>
      <c r="L485" s="997"/>
      <c r="M485" s="997"/>
      <c r="N485" s="997"/>
      <c r="O485" s="2132"/>
    </row>
    <row r="486" spans="1:15" x14ac:dyDescent="0.2">
      <c r="A486" s="1884"/>
      <c r="B486" s="1884"/>
      <c r="C486" s="1000" t="s">
        <v>1873</v>
      </c>
      <c r="D486" s="1884"/>
      <c r="E486" s="142"/>
      <c r="F486" s="1908">
        <v>2010</v>
      </c>
      <c r="G486" s="1908">
        <v>2015</v>
      </c>
      <c r="H486" s="1908">
        <v>2020</v>
      </c>
      <c r="I486" s="1908">
        <v>2025</v>
      </c>
      <c r="J486" s="1908">
        <v>2030</v>
      </c>
      <c r="K486" s="1908">
        <v>2035</v>
      </c>
      <c r="L486" s="1908">
        <v>2040</v>
      </c>
      <c r="M486" s="1908">
        <v>2045</v>
      </c>
      <c r="N486" s="1908">
        <v>2050</v>
      </c>
      <c r="O486" s="1884"/>
    </row>
    <row r="487" spans="1:15" x14ac:dyDescent="0.2">
      <c r="A487" s="1884"/>
      <c r="B487" s="1884"/>
      <c r="C487" s="591" t="s">
        <v>1166</v>
      </c>
      <c r="D487" s="1884"/>
      <c r="E487" s="142" t="str">
        <f>Preferences.moneyunits&amp;"/yr"</f>
        <v>N/yr</v>
      </c>
      <c r="F487" s="1907">
        <f t="shared" ref="F487:N487" si="117">G$276*F$384</f>
        <v>53886466666.666672</v>
      </c>
      <c r="G487" s="1907">
        <f t="shared" si="117"/>
        <v>61941326610.560318</v>
      </c>
      <c r="H487" s="1907">
        <f t="shared" si="117"/>
        <v>71200213701.327133</v>
      </c>
      <c r="I487" s="1907">
        <f t="shared" si="117"/>
        <v>81843103926.197861</v>
      </c>
      <c r="J487" s="1907">
        <f t="shared" si="117"/>
        <v>94076875785.410263</v>
      </c>
      <c r="K487" s="1907">
        <f t="shared" si="117"/>
        <v>108139331635.37431</v>
      </c>
      <c r="L487" s="1907">
        <f t="shared" si="117"/>
        <v>124303820135.56436</v>
      </c>
      <c r="M487" s="1907">
        <f t="shared" si="117"/>
        <v>142884549651.13077</v>
      </c>
      <c r="N487" s="1907">
        <f t="shared" si="117"/>
        <v>164242695894.14862</v>
      </c>
      <c r="O487" s="1884"/>
    </row>
    <row r="488" spans="1:15" x14ac:dyDescent="0.2">
      <c r="A488" s="1884"/>
      <c r="B488" s="1884"/>
      <c r="C488" s="591" t="s">
        <v>1160</v>
      </c>
      <c r="D488" s="1884"/>
      <c r="E488" s="142"/>
      <c r="F488" s="1907">
        <f t="shared" ref="F488:N488" si="118">G$277*F$397</f>
        <v>2909285429944.4443</v>
      </c>
      <c r="G488" s="1907">
        <f t="shared" si="118"/>
        <v>3134126656413.0239</v>
      </c>
      <c r="H488" s="1907">
        <f t="shared" si="118"/>
        <v>3376344513101.3696</v>
      </c>
      <c r="I488" s="1907">
        <f t="shared" si="118"/>
        <v>3637281935566.8813</v>
      </c>
      <c r="J488" s="1907">
        <f t="shared" si="118"/>
        <v>3918385646803.7959</v>
      </c>
      <c r="K488" s="1907">
        <f t="shared" si="118"/>
        <v>4221214178351.8579</v>
      </c>
      <c r="L488" s="1907">
        <f t="shared" si="118"/>
        <v>4547446511308.3779</v>
      </c>
      <c r="M488" s="1907">
        <f t="shared" si="118"/>
        <v>4898891385152.3193</v>
      </c>
      <c r="N488" s="1907">
        <f t="shared" si="118"/>
        <v>5277497325991.5576</v>
      </c>
      <c r="O488" s="1884"/>
    </row>
    <row r="489" spans="1:15" x14ac:dyDescent="0.2">
      <c r="A489" s="1884"/>
      <c r="B489" s="1884"/>
      <c r="C489" s="591" t="s">
        <v>740</v>
      </c>
      <c r="D489" s="1884"/>
      <c r="E489" s="142"/>
      <c r="F489" s="1907">
        <f t="shared" ref="F489:N489" si="119">G$278*F$405</f>
        <v>13336900499.999996</v>
      </c>
      <c r="G489" s="1907">
        <f t="shared" si="119"/>
        <v>27211561933.562416</v>
      </c>
      <c r="H489" s="1907">
        <f t="shared" si="119"/>
        <v>69400411181.003342</v>
      </c>
      <c r="I489" s="1907">
        <f t="shared" si="119"/>
        <v>141599135951.15823</v>
      </c>
      <c r="J489" s="1907">
        <f t="shared" si="119"/>
        <v>144453865336.77255</v>
      </c>
      <c r="K489" s="1907">
        <f t="shared" si="119"/>
        <v>147366147897.48456</v>
      </c>
      <c r="L489" s="1907">
        <f t="shared" si="119"/>
        <v>150337143942.2121</v>
      </c>
      <c r="M489" s="1907">
        <f t="shared" si="119"/>
        <v>153368037172.44473</v>
      </c>
      <c r="N489" s="1907">
        <f t="shared" si="119"/>
        <v>156460035153.85315</v>
      </c>
      <c r="O489" s="1884"/>
    </row>
    <row r="490" spans="1:15" x14ac:dyDescent="0.2">
      <c r="A490" s="1884"/>
      <c r="B490" s="1884"/>
      <c r="C490" s="591" t="s">
        <v>741</v>
      </c>
      <c r="D490" s="1884"/>
      <c r="E490" s="142"/>
      <c r="F490" s="1907">
        <f t="shared" ref="F490:N490" si="120">G$279*(F$410+F$414)</f>
        <v>31440828783.33334</v>
      </c>
      <c r="G490" s="1907">
        <f t="shared" si="120"/>
        <v>94303909599.999985</v>
      </c>
      <c r="H490" s="1907">
        <f t="shared" si="120"/>
        <v>161916221416.66663</v>
      </c>
      <c r="I490" s="1907">
        <f t="shared" si="120"/>
        <v>193307512199.99994</v>
      </c>
      <c r="J490" s="1907">
        <f t="shared" si="120"/>
        <v>260876478266.66666</v>
      </c>
      <c r="K490" s="1907">
        <f t="shared" si="120"/>
        <v>393797744673.99988</v>
      </c>
      <c r="L490" s="1907">
        <f t="shared" si="120"/>
        <v>472819198973.27759</v>
      </c>
      <c r="M490" s="1907">
        <f t="shared" si="120"/>
        <v>552189778648.11084</v>
      </c>
      <c r="N490" s="1907">
        <f t="shared" si="120"/>
        <v>560758026140.16614</v>
      </c>
      <c r="O490" s="1884"/>
    </row>
    <row r="491" spans="1:15" x14ac:dyDescent="0.2">
      <c r="A491" s="1884"/>
      <c r="B491" s="1884"/>
      <c r="C491" s="591" t="s">
        <v>742</v>
      </c>
      <c r="D491" s="1884"/>
      <c r="E491" s="142"/>
      <c r="F491" s="1907">
        <f t="shared" ref="F491:N491" si="121">G$280*F$420</f>
        <v>0</v>
      </c>
      <c r="G491" s="1907">
        <f t="shared" si="121"/>
        <v>0</v>
      </c>
      <c r="H491" s="1907">
        <f t="shared" si="121"/>
        <v>0</v>
      </c>
      <c r="I491" s="1907">
        <f t="shared" si="121"/>
        <v>0</v>
      </c>
      <c r="J491" s="1907">
        <f t="shared" si="121"/>
        <v>0</v>
      </c>
      <c r="K491" s="1907">
        <f t="shared" si="121"/>
        <v>0</v>
      </c>
      <c r="L491" s="1907">
        <f t="shared" si="121"/>
        <v>0</v>
      </c>
      <c r="M491" s="1907">
        <f t="shared" si="121"/>
        <v>0</v>
      </c>
      <c r="N491" s="1907">
        <f t="shared" si="121"/>
        <v>0</v>
      </c>
      <c r="O491" s="1884"/>
    </row>
    <row r="492" spans="1:15" x14ac:dyDescent="0.2">
      <c r="A492" s="1884"/>
      <c r="B492" s="1884"/>
      <c r="C492" s="591" t="s">
        <v>1494</v>
      </c>
      <c r="D492" s="1884"/>
      <c r="E492" s="142"/>
      <c r="F492" s="1907">
        <f t="shared" ref="F492:N492" si="122">SUM(F487:F491)</f>
        <v>3007949625894.4443</v>
      </c>
      <c r="G492" s="1907">
        <f t="shared" si="122"/>
        <v>3317583454557.147</v>
      </c>
      <c r="H492" s="1907">
        <f t="shared" si="122"/>
        <v>3678861359400.3667</v>
      </c>
      <c r="I492" s="1907">
        <f>SUM(I487:I491)</f>
        <v>4054031687644.2373</v>
      </c>
      <c r="J492" s="1907">
        <f t="shared" si="122"/>
        <v>4417792866192.6455</v>
      </c>
      <c r="K492" s="1907">
        <f t="shared" si="122"/>
        <v>4870517402558.7168</v>
      </c>
      <c r="L492" s="1907">
        <f t="shared" si="122"/>
        <v>5294906674359.4316</v>
      </c>
      <c r="M492" s="1907">
        <f t="shared" si="122"/>
        <v>5747333750624.0059</v>
      </c>
      <c r="N492" s="1907">
        <f t="shared" si="122"/>
        <v>6158958083179.7256</v>
      </c>
      <c r="O492" s="1884"/>
    </row>
    <row r="493" spans="1:15" x14ac:dyDescent="0.2">
      <c r="A493" s="1884"/>
      <c r="B493" s="1884"/>
      <c r="C493" s="1884"/>
      <c r="D493" s="1884"/>
      <c r="E493" s="1884"/>
      <c r="F493" s="1884"/>
      <c r="G493" s="1884"/>
      <c r="H493" s="1884"/>
      <c r="I493" s="1884"/>
      <c r="J493" s="1884"/>
      <c r="K493" s="1884"/>
      <c r="L493" s="1884"/>
      <c r="M493" s="1884"/>
      <c r="N493" s="1884"/>
      <c r="O493" s="1884"/>
    </row>
    <row r="494" spans="1:15" x14ac:dyDescent="0.2">
      <c r="A494" s="1884"/>
      <c r="B494" s="1884"/>
      <c r="C494" s="1884" t="s">
        <v>1495</v>
      </c>
      <c r="D494" s="1884"/>
      <c r="E494" s="142"/>
      <c r="F494" s="1908"/>
      <c r="G494" s="1908"/>
      <c r="H494" s="1908"/>
      <c r="I494" s="1908"/>
      <c r="J494" s="1908"/>
      <c r="K494" s="1908"/>
      <c r="L494" s="1908"/>
      <c r="M494" s="1908"/>
      <c r="N494" s="1908"/>
      <c r="O494" s="1884"/>
    </row>
    <row r="495" spans="1:15" x14ac:dyDescent="0.2">
      <c r="A495" s="1884"/>
      <c r="B495" s="1884"/>
      <c r="C495" s="591" t="s">
        <v>743</v>
      </c>
      <c r="D495" s="1884"/>
      <c r="E495" s="142" t="s">
        <v>1496</v>
      </c>
      <c r="F495" s="1909">
        <f t="shared" ref="F495:N495" si="123">$F450-F450</f>
        <v>0</v>
      </c>
      <c r="G495" s="1909">
        <f t="shared" si="123"/>
        <v>0.73474160129572397</v>
      </c>
      <c r="H495" s="1909">
        <f t="shared" si="123"/>
        <v>1.4462939748992412</v>
      </c>
      <c r="I495" s="1909">
        <f t="shared" si="123"/>
        <v>1.5196870061444336</v>
      </c>
      <c r="J495" s="1909">
        <f t="shared" si="123"/>
        <v>1.5928333299809445</v>
      </c>
      <c r="K495" s="1909">
        <f t="shared" si="123"/>
        <v>1.6657337757047515</v>
      </c>
      <c r="L495" s="1909">
        <f t="shared" si="123"/>
        <v>1.7383891698241882</v>
      </c>
      <c r="M495" s="1909">
        <f t="shared" si="123"/>
        <v>1.8108003360693168</v>
      </c>
      <c r="N495" s="1909">
        <f t="shared" si="123"/>
        <v>1.8829680954012709</v>
      </c>
      <c r="O495" s="1884"/>
    </row>
    <row r="496" spans="1:15" x14ac:dyDescent="0.2">
      <c r="A496" s="1884"/>
      <c r="B496" s="1884"/>
      <c r="C496" s="591"/>
      <c r="D496" s="591"/>
      <c r="E496" s="142" t="str">
        <f>Preferences.moneyunits&amp;"/yr"</f>
        <v>N/yr</v>
      </c>
      <c r="F496" s="1907">
        <f t="shared" ref="F496" si="124">IF(F$495&lt;$E$284,F$495*G$285,($E$284*G284)+((F$495-$E$284)*G$285))</f>
        <v>0</v>
      </c>
      <c r="G496" s="1907">
        <f t="shared" ref="G496" si="125">IF(G$495&lt;$E$284,G$495*H$285,($E$284*H284)+((G$495-$E$284)*H$285))</f>
        <v>0</v>
      </c>
      <c r="H496" s="1907">
        <f t="shared" ref="H496" si="126">IF(H$495&lt;$E$284,H$495*I$285,($E$284*I284)+((H$495-$E$284)*I$285))</f>
        <v>0</v>
      </c>
      <c r="I496" s="1907">
        <f t="shared" ref="I496" si="127">IF(I$495&lt;$E$284,I$495*J$285,($E$284*J284)+((I$495-$E$284)*J$285))</f>
        <v>0</v>
      </c>
      <c r="J496" s="1907">
        <f t="shared" ref="J496" si="128">IF(J$495&lt;$E$284,J$495*K$285,($E$284*K284)+((J$495-$E$284)*K$285))</f>
        <v>0</v>
      </c>
      <c r="K496" s="1907">
        <f t="shared" ref="K496" si="129">IF(K$495&lt;$E$284,K$495*L$285,($E$284*L284)+((K$495-$E$284)*L$285))</f>
        <v>0</v>
      </c>
      <c r="L496" s="1907">
        <f t="shared" ref="L496" si="130">IF(L$495&lt;$E$284,L$495*M$285,($E$284*M284)+((L$495-$E$284)*M$285))</f>
        <v>0</v>
      </c>
      <c r="M496" s="1907">
        <f t="shared" ref="M496" si="131">IF(M$495&lt;$E$284,M$495*N$285,($E$284*N284)+((M$495-$E$284)*N$285))</f>
        <v>0</v>
      </c>
      <c r="N496" s="1907">
        <f t="shared" ref="N496" si="132">IF(N$495&lt;$E$284,N$495*O$285,($E$284*O284)+((N$495-$E$284)*O$285))</f>
        <v>0</v>
      </c>
      <c r="O496" s="1884"/>
    </row>
    <row r="497" spans="1:15" x14ac:dyDescent="0.2">
      <c r="A497" s="1884"/>
      <c r="B497" s="1884"/>
      <c r="C497" s="1884" t="s">
        <v>1497</v>
      </c>
      <c r="D497" s="1884"/>
      <c r="E497" s="142" t="s">
        <v>1498</v>
      </c>
      <c r="F497" s="1910">
        <f t="shared" ref="F497:N497" si="133">($F$345-F345)/1000</f>
        <v>0</v>
      </c>
      <c r="G497" s="1910">
        <f t="shared" si="133"/>
        <v>0</v>
      </c>
      <c r="H497" s="1910">
        <f t="shared" si="133"/>
        <v>0</v>
      </c>
      <c r="I497" s="1910">
        <f t="shared" si="133"/>
        <v>0</v>
      </c>
      <c r="J497" s="1910">
        <f t="shared" si="133"/>
        <v>0</v>
      </c>
      <c r="K497" s="1910">
        <f t="shared" si="133"/>
        <v>0</v>
      </c>
      <c r="L497" s="1910">
        <f t="shared" si="133"/>
        <v>0</v>
      </c>
      <c r="M497" s="1910">
        <f t="shared" si="133"/>
        <v>0</v>
      </c>
      <c r="N497" s="1910">
        <f t="shared" si="133"/>
        <v>0</v>
      </c>
      <c r="O497" s="1884"/>
    </row>
    <row r="498" spans="1:15" x14ac:dyDescent="0.2">
      <c r="A498" s="1884"/>
      <c r="B498" s="1884"/>
      <c r="C498" s="591"/>
      <c r="D498" s="591"/>
      <c r="E498" s="142" t="str">
        <f>Preferences.moneyunits&amp;"/yr"</f>
        <v>N/yr</v>
      </c>
      <c r="F498" s="1907">
        <f t="shared" ref="F498" si="134">F$497*G$256*(F$312+F$314)/1000</f>
        <v>0</v>
      </c>
      <c r="G498" s="1907">
        <f t="shared" ref="G498" si="135">G$497*H$256*(G$312+G$314)/1000</f>
        <v>0</v>
      </c>
      <c r="H498" s="1907">
        <f t="shared" ref="H498" si="136">H$497*I$256*(H$312+H$314)/1000</f>
        <v>0</v>
      </c>
      <c r="I498" s="1907">
        <f t="shared" ref="I498" si="137">I$497*J$256*(I$312+I$314)/1000</f>
        <v>0</v>
      </c>
      <c r="J498" s="1907">
        <f t="shared" ref="J498" si="138">J$497*K$256*(J$312+J$314)/1000</f>
        <v>0</v>
      </c>
      <c r="K498" s="1907">
        <f t="shared" ref="K498" si="139">K$497*L$256*(K$312+K$314)/1000</f>
        <v>0</v>
      </c>
      <c r="L498" s="1907">
        <f t="shared" ref="L498" si="140">L$497*M$256*(L$312+L$314)/1000</f>
        <v>0</v>
      </c>
      <c r="M498" s="1907">
        <f t="shared" ref="M498" si="141">M$497*N$256*(M$312+M$314)/1000</f>
        <v>0</v>
      </c>
      <c r="N498" s="1907">
        <f t="shared" ref="N498" si="142">N$497*O$256*(N$312+N$314)/1000</f>
        <v>0</v>
      </c>
      <c r="O498" s="1884"/>
    </row>
    <row r="499" spans="1:15" x14ac:dyDescent="0.2">
      <c r="A499" s="1884"/>
      <c r="B499" s="1884"/>
      <c r="C499" s="1884" t="s">
        <v>1500</v>
      </c>
      <c r="D499" s="1884"/>
      <c r="E499" s="142" t="s">
        <v>1501</v>
      </c>
      <c r="F499" s="1910">
        <f t="shared" ref="F499:N499" si="143">($F$346-F346)/1000</f>
        <v>0</v>
      </c>
      <c r="G499" s="1910">
        <f t="shared" si="143"/>
        <v>0</v>
      </c>
      <c r="H499" s="1910">
        <f t="shared" si="143"/>
        <v>0</v>
      </c>
      <c r="I499" s="1910">
        <f t="shared" si="143"/>
        <v>0</v>
      </c>
      <c r="J499" s="1910">
        <f t="shared" si="143"/>
        <v>0</v>
      </c>
      <c r="K499" s="1910">
        <f t="shared" si="143"/>
        <v>0</v>
      </c>
      <c r="L499" s="1910">
        <f t="shared" si="143"/>
        <v>0</v>
      </c>
      <c r="M499" s="1910">
        <f t="shared" si="143"/>
        <v>0</v>
      </c>
      <c r="N499" s="1910">
        <f t="shared" si="143"/>
        <v>0</v>
      </c>
      <c r="O499" s="1884" t="s">
        <v>1502</v>
      </c>
    </row>
    <row r="500" spans="1:15" x14ac:dyDescent="0.2">
      <c r="A500" s="2132"/>
      <c r="B500" s="2132"/>
      <c r="C500" s="591"/>
      <c r="D500" s="591"/>
      <c r="E500" s="142" t="str">
        <f>Preferences.moneyunits&amp;"/yr"</f>
        <v>N/yr</v>
      </c>
      <c r="F500" s="1907">
        <f t="shared" ref="F500" si="144">F$499*G$257*F416*($F$417*(1-F$418))</f>
        <v>0</v>
      </c>
      <c r="G500" s="1907">
        <f t="shared" ref="G500" si="145">G$499*H$257*G416*($F$417*(1-G$418))</f>
        <v>0</v>
      </c>
      <c r="H500" s="1907">
        <f t="shared" ref="H500" si="146">H$499*I$257*H416*($F$417*(1-H$418))</f>
        <v>0</v>
      </c>
      <c r="I500" s="1907">
        <f t="shared" ref="I500" si="147">I$499*J$257*I416*($F$417*(1-I$418))</f>
        <v>0</v>
      </c>
      <c r="J500" s="1907">
        <f t="shared" ref="J500" si="148">J$499*K$257*J416*($F$417*(1-J$418))</f>
        <v>0</v>
      </c>
      <c r="K500" s="1907">
        <f t="shared" ref="K500" si="149">K$499*L$257*K416*($F$417*(1-K$418))</f>
        <v>0</v>
      </c>
      <c r="L500" s="1907">
        <f t="shared" ref="L500" si="150">L$499*M$257*L416*($F$417*(1-L$418))</f>
        <v>0</v>
      </c>
      <c r="M500" s="1907">
        <f t="shared" ref="M500" si="151">M$499*N$257*M416*($F$417*(1-M$418))</f>
        <v>0</v>
      </c>
      <c r="N500" s="1907">
        <f t="shared" ref="N500" si="152">N$499*O$257*N416*($F$417*(1-N$418))</f>
        <v>0</v>
      </c>
      <c r="O500" s="2132"/>
    </row>
    <row r="501" spans="1:15" s="2132" customFormat="1" x14ac:dyDescent="0.2">
      <c r="C501" s="591"/>
      <c r="D501" s="591"/>
      <c r="E501" s="142"/>
      <c r="F501" s="1907"/>
      <c r="G501" s="1907"/>
      <c r="H501" s="1907"/>
      <c r="I501" s="1907"/>
      <c r="J501" s="1907"/>
      <c r="K501" s="1907"/>
      <c r="L501" s="1907"/>
      <c r="M501" s="1907"/>
      <c r="N501" s="1907"/>
    </row>
    <row r="502" spans="1:15" x14ac:dyDescent="0.2">
      <c r="A502" s="2132"/>
      <c r="B502" s="2132"/>
      <c r="C502" s="1000" t="s">
        <v>1872</v>
      </c>
      <c r="D502" s="2132"/>
      <c r="E502" s="2132"/>
      <c r="F502" s="1908">
        <v>2010</v>
      </c>
      <c r="G502" s="1908">
        <v>2015</v>
      </c>
      <c r="H502" s="1908">
        <v>2020</v>
      </c>
      <c r="I502" s="1908">
        <v>2025</v>
      </c>
      <c r="J502" s="1908">
        <v>2030</v>
      </c>
      <c r="K502" s="1908">
        <v>2035</v>
      </c>
      <c r="L502" s="1908">
        <v>2040</v>
      </c>
      <c r="M502" s="1908">
        <v>2045</v>
      </c>
      <c r="N502" s="1908">
        <v>2050</v>
      </c>
      <c r="O502" s="2132"/>
    </row>
    <row r="503" spans="1:15" x14ac:dyDescent="0.2">
      <c r="A503" s="1884"/>
      <c r="B503" s="1884"/>
      <c r="C503" s="591" t="s">
        <v>1166</v>
      </c>
      <c r="D503" s="1902"/>
      <c r="E503" s="142" t="str">
        <f>Preferences.moneyunits&amp;"/yr"</f>
        <v>N/yr</v>
      </c>
      <c r="F503" s="1907">
        <f t="shared" ref="F503:N503" si="153">G$261*F$384</f>
        <v>176258537095.20001</v>
      </c>
      <c r="G503" s="1907">
        <f t="shared" si="153"/>
        <v>202605371802.3204</v>
      </c>
      <c r="H503" s="1907">
        <f t="shared" si="153"/>
        <v>232890487800.79974</v>
      </c>
      <c r="I503" s="1907">
        <f t="shared" si="153"/>
        <v>267702572866.69479</v>
      </c>
      <c r="J503" s="1907">
        <f t="shared" si="153"/>
        <v>307718310851.51727</v>
      </c>
      <c r="K503" s="1907">
        <f t="shared" si="153"/>
        <v>353715535190.1051</v>
      </c>
      <c r="L503" s="1907">
        <f t="shared" si="153"/>
        <v>406588348573.10071</v>
      </c>
      <c r="M503" s="1907">
        <f t="shared" si="153"/>
        <v>467364502683.0752</v>
      </c>
      <c r="N503" s="1907">
        <f t="shared" si="153"/>
        <v>537225375824.87219</v>
      </c>
      <c r="O503" s="1884"/>
    </row>
    <row r="504" spans="1:15" x14ac:dyDescent="0.2">
      <c r="A504" s="1884"/>
      <c r="B504" s="1884"/>
      <c r="C504" s="591" t="s">
        <v>1160</v>
      </c>
      <c r="D504" s="1902"/>
      <c r="E504" s="142"/>
      <c r="F504" s="1907">
        <f t="shared" ref="F504:N504" si="154">G$262*F$397</f>
        <v>7144523411928.542</v>
      </c>
      <c r="G504" s="1907">
        <f t="shared" si="154"/>
        <v>7696680787048.0293</v>
      </c>
      <c r="H504" s="1907">
        <f t="shared" si="154"/>
        <v>8291511094891.0381</v>
      </c>
      <c r="I504" s="1907">
        <f t="shared" si="154"/>
        <v>8932312270555.9297</v>
      </c>
      <c r="J504" s="1907">
        <f t="shared" si="154"/>
        <v>9622637126770.0156</v>
      </c>
      <c r="K504" s="1907">
        <f t="shared" si="154"/>
        <v>10366313051853.236</v>
      </c>
      <c r="L504" s="1907">
        <f t="shared" si="154"/>
        <v>11167463230019.301</v>
      </c>
      <c r="M504" s="1907">
        <f t="shared" si="154"/>
        <v>12030529501666.721</v>
      </c>
      <c r="N504" s="1907">
        <f t="shared" si="154"/>
        <v>12960296990404.607</v>
      </c>
      <c r="O504" s="1884"/>
    </row>
    <row r="505" spans="1:15" x14ac:dyDescent="0.2">
      <c r="A505" s="1884"/>
      <c r="B505" s="1884"/>
      <c r="C505" s="591" t="s">
        <v>740</v>
      </c>
      <c r="D505" s="1902"/>
      <c r="E505" s="142"/>
      <c r="F505" s="1907">
        <f t="shared" ref="F505:N505" si="155">G$263*F$405</f>
        <v>57316530219.794998</v>
      </c>
      <c r="G505" s="1907">
        <f t="shared" si="155"/>
        <v>116944136450.05852</v>
      </c>
      <c r="H505" s="1907">
        <f t="shared" si="155"/>
        <v>298254513087.36823</v>
      </c>
      <c r="I505" s="1907">
        <f t="shared" si="155"/>
        <v>608535030672.33826</v>
      </c>
      <c r="J505" s="1907">
        <f t="shared" si="155"/>
        <v>620803487132.6604</v>
      </c>
      <c r="K505" s="1907">
        <f t="shared" si="155"/>
        <v>633319283542.75073</v>
      </c>
      <c r="L505" s="1907">
        <f t="shared" si="155"/>
        <v>646087406434.61145</v>
      </c>
      <c r="M505" s="1907">
        <f t="shared" si="155"/>
        <v>659112942871.92688</v>
      </c>
      <c r="N505" s="1907">
        <f t="shared" si="155"/>
        <v>672401082476.8479</v>
      </c>
      <c r="O505" s="1884"/>
    </row>
    <row r="506" spans="1:15" x14ac:dyDescent="0.2">
      <c r="A506" s="1884"/>
      <c r="B506" s="1884"/>
      <c r="C506" s="591" t="s">
        <v>741</v>
      </c>
      <c r="D506" s="1902"/>
      <c r="E506" s="142"/>
      <c r="F506" s="1907">
        <f t="shared" ref="F506:N506" si="156">G$264*(F$410+F$414)</f>
        <v>54047916548.386223</v>
      </c>
      <c r="G506" s="1907">
        <f t="shared" si="156"/>
        <v>162111815543.1456</v>
      </c>
      <c r="H506" s="1907">
        <f t="shared" si="156"/>
        <v>278339813599.22101</v>
      </c>
      <c r="I506" s="1907">
        <f t="shared" si="156"/>
        <v>332302572542.23914</v>
      </c>
      <c r="J506" s="1907">
        <f t="shared" si="156"/>
        <v>448456057693.61768</v>
      </c>
      <c r="K506" s="1907">
        <f t="shared" si="156"/>
        <v>676952499813.41418</v>
      </c>
      <c r="L506" s="1907">
        <f t="shared" si="156"/>
        <v>812793224526.22742</v>
      </c>
      <c r="M506" s="1907">
        <f t="shared" si="156"/>
        <v>949234108328.13403</v>
      </c>
      <c r="N506" s="1907">
        <f t="shared" si="156"/>
        <v>963963234223.88684</v>
      </c>
      <c r="O506" s="1884"/>
    </row>
    <row r="507" spans="1:15" x14ac:dyDescent="0.2">
      <c r="A507" s="1884"/>
      <c r="B507" s="1884"/>
      <c r="C507" s="591" t="s">
        <v>742</v>
      </c>
      <c r="D507" s="1902"/>
      <c r="E507" s="142"/>
      <c r="F507" s="1907">
        <f t="shared" ref="F507:N507" si="157">G$265*F$420</f>
        <v>20888637465.465008</v>
      </c>
      <c r="G507" s="1907">
        <f t="shared" si="157"/>
        <v>116580754411.61418</v>
      </c>
      <c r="H507" s="1907">
        <f t="shared" si="157"/>
        <v>234237161059.17654</v>
      </c>
      <c r="I507" s="1907">
        <f t="shared" si="157"/>
        <v>261470158741.14981</v>
      </c>
      <c r="J507" s="1907">
        <f t="shared" si="157"/>
        <v>291876141239.62952</v>
      </c>
      <c r="K507" s="1907">
        <f t="shared" si="157"/>
        <v>325825763826.58563</v>
      </c>
      <c r="L507" s="1907">
        <f t="shared" si="157"/>
        <v>363733116102.13672</v>
      </c>
      <c r="M507" s="1907">
        <f t="shared" si="157"/>
        <v>406060830864.37555</v>
      </c>
      <c r="N507" s="1907">
        <f t="shared" si="157"/>
        <v>453325796582.4624</v>
      </c>
      <c r="O507" s="1884"/>
    </row>
    <row r="508" spans="1:15" x14ac:dyDescent="0.2">
      <c r="A508" s="1884"/>
      <c r="B508" s="1884"/>
      <c r="C508" s="591" t="s">
        <v>1494</v>
      </c>
      <c r="D508" s="1902"/>
      <c r="E508" s="142"/>
      <c r="F508" s="1907">
        <f t="shared" ref="F508:N508" si="158">SUM(F503:F507)</f>
        <v>7453035033257.3877</v>
      </c>
      <c r="G508" s="1907">
        <f t="shared" si="158"/>
        <v>8294922865255.168</v>
      </c>
      <c r="H508" s="1907">
        <f t="shared" si="158"/>
        <v>9335233070437.6035</v>
      </c>
      <c r="I508" s="1907">
        <f t="shared" si="158"/>
        <v>10402322605378.352</v>
      </c>
      <c r="J508" s="1907">
        <f t="shared" si="158"/>
        <v>11291491123687.439</v>
      </c>
      <c r="K508" s="1907">
        <f t="shared" si="158"/>
        <v>12356126134226.092</v>
      </c>
      <c r="L508" s="1907">
        <f t="shared" si="158"/>
        <v>13396665325655.377</v>
      </c>
      <c r="M508" s="1907">
        <f t="shared" si="158"/>
        <v>14512301886414.234</v>
      </c>
      <c r="N508" s="1907">
        <f t="shared" si="158"/>
        <v>15587212479512.678</v>
      </c>
      <c r="O508" s="1884"/>
    </row>
    <row r="509" spans="1:15" x14ac:dyDescent="0.2">
      <c r="A509" s="1884"/>
      <c r="B509" s="1884"/>
      <c r="C509" s="1000"/>
      <c r="D509" s="1884"/>
      <c r="E509" s="142"/>
      <c r="F509" s="997"/>
      <c r="G509" s="997"/>
      <c r="H509" s="997"/>
      <c r="I509" s="997"/>
      <c r="J509" s="997"/>
      <c r="K509" s="997"/>
      <c r="L509" s="997"/>
      <c r="M509" s="997"/>
      <c r="N509" s="997"/>
      <c r="O509" s="1884"/>
    </row>
    <row r="510" spans="1:15" x14ac:dyDescent="0.2">
      <c r="A510" s="1884"/>
      <c r="B510" s="1884"/>
      <c r="C510" s="1884" t="s">
        <v>1495</v>
      </c>
      <c r="D510" s="1884"/>
      <c r="E510" s="142"/>
      <c r="F510" s="1884"/>
      <c r="G510" s="1884"/>
      <c r="H510" s="1884"/>
      <c r="I510" s="1884"/>
      <c r="J510" s="1884"/>
      <c r="K510" s="1884"/>
      <c r="L510" s="1884"/>
      <c r="M510" s="1884"/>
      <c r="N510" s="1884"/>
      <c r="O510" s="1884"/>
    </row>
    <row r="511" spans="1:15" x14ac:dyDescent="0.2">
      <c r="A511" s="1884"/>
      <c r="B511" s="1884"/>
      <c r="C511" s="591" t="s">
        <v>743</v>
      </c>
      <c r="D511" s="1884"/>
      <c r="E511" s="142" t="s">
        <v>1496</v>
      </c>
      <c r="F511" s="1909">
        <f t="shared" ref="F511:N511" si="159">$F482-F482</f>
        <v>0</v>
      </c>
      <c r="G511" s="1909">
        <f t="shared" si="159"/>
        <v>0</v>
      </c>
      <c r="H511" s="1909">
        <f t="shared" si="159"/>
        <v>0</v>
      </c>
      <c r="I511" s="1909">
        <f t="shared" si="159"/>
        <v>0</v>
      </c>
      <c r="J511" s="1909">
        <f t="shared" si="159"/>
        <v>0</v>
      </c>
      <c r="K511" s="1909">
        <f t="shared" si="159"/>
        <v>0</v>
      </c>
      <c r="L511" s="1909">
        <f t="shared" si="159"/>
        <v>0</v>
      </c>
      <c r="M511" s="1909">
        <f t="shared" si="159"/>
        <v>0</v>
      </c>
      <c r="N511" s="1909">
        <f t="shared" si="159"/>
        <v>0</v>
      </c>
      <c r="O511" s="1884"/>
    </row>
    <row r="512" spans="1:15" x14ac:dyDescent="0.2">
      <c r="A512" s="1884"/>
      <c r="B512" s="1884"/>
      <c r="C512" s="591"/>
      <c r="D512" s="591"/>
      <c r="E512" s="142" t="str">
        <f>Preferences.moneyunits&amp;"/yr"</f>
        <v>N/yr</v>
      </c>
      <c r="F512" s="1907">
        <f t="shared" ref="F512" si="160">IF(F$511&lt;$E$269,F$511*G$269,($E$269*G270)+((F$511-$E$269)*G$270))</f>
        <v>0</v>
      </c>
      <c r="G512" s="1907">
        <f t="shared" ref="G512" si="161">IF(G$511&lt;$E$269,G$511*H$269,($E$269*H270)+((G$511-$E$269)*H$270))</f>
        <v>0</v>
      </c>
      <c r="H512" s="1907">
        <f t="shared" ref="H512" si="162">IF(H$511&lt;$E$269,H$511*I$269,($E$269*I270)+((H$511-$E$269)*I$270))</f>
        <v>0</v>
      </c>
      <c r="I512" s="1907">
        <f t="shared" ref="I512" si="163">IF(I$511&lt;$E$269,I$511*J$269,($E$269*J270)+((I$511-$E$269)*J$270))</f>
        <v>0</v>
      </c>
      <c r="J512" s="1907">
        <f t="shared" ref="J512" si="164">IF(J$511&lt;$E$269,J$511*K$269,($E$269*K270)+((J$511-$E$269)*K$270))</f>
        <v>0</v>
      </c>
      <c r="K512" s="1907">
        <f t="shared" ref="K512" si="165">IF(K$511&lt;$E$269,K$511*L$269,($E$269*L270)+((K$511-$E$269)*L$270))</f>
        <v>0</v>
      </c>
      <c r="L512" s="1907">
        <f t="shared" ref="L512" si="166">IF(L$511&lt;$E$269,L$511*M$269,($E$269*M270)+((L$511-$E$269)*M$270))</f>
        <v>0</v>
      </c>
      <c r="M512" s="1907">
        <f t="shared" ref="M512" si="167">IF(M$511&lt;$E$269,M$511*N$269,($E$269*N270)+((M$511-$E$269)*N$270))</f>
        <v>0</v>
      </c>
      <c r="N512" s="1907">
        <f t="shared" ref="N512" si="168">IF(N$511&lt;$E$269,N$511*O$269,($E$269*O270)+((N$511-$E$269)*O$270))</f>
        <v>0</v>
      </c>
      <c r="O512" s="1884"/>
    </row>
    <row r="513" spans="1:15" s="1885" customFormat="1" x14ac:dyDescent="0.2">
      <c r="A513" s="1884"/>
      <c r="B513" s="1884"/>
      <c r="C513" s="1884" t="s">
        <v>1497</v>
      </c>
      <c r="D513" s="1884"/>
      <c r="E513" s="142" t="s">
        <v>1498</v>
      </c>
      <c r="F513" s="1910">
        <f t="shared" ref="F513:N513" si="169">($F$345-F345)/1000</f>
        <v>0</v>
      </c>
      <c r="G513" s="1910">
        <f t="shared" si="169"/>
        <v>0</v>
      </c>
      <c r="H513" s="1910">
        <f t="shared" si="169"/>
        <v>0</v>
      </c>
      <c r="I513" s="1910">
        <f t="shared" si="169"/>
        <v>0</v>
      </c>
      <c r="J513" s="1910">
        <f t="shared" si="169"/>
        <v>0</v>
      </c>
      <c r="K513" s="1910">
        <f t="shared" si="169"/>
        <v>0</v>
      </c>
      <c r="L513" s="1910">
        <f t="shared" si="169"/>
        <v>0</v>
      </c>
      <c r="M513" s="1910">
        <f t="shared" si="169"/>
        <v>0</v>
      </c>
      <c r="N513" s="1910">
        <f t="shared" si="169"/>
        <v>0</v>
      </c>
      <c r="O513" s="1884"/>
    </row>
    <row r="514" spans="1:15" s="1885" customFormat="1" x14ac:dyDescent="0.2">
      <c r="A514" s="1884"/>
      <c r="B514" s="1884"/>
      <c r="C514" s="591"/>
      <c r="D514" s="591"/>
      <c r="E514" s="142" t="str">
        <f>Preferences.moneyunits&amp;"/yr"</f>
        <v>N/yr</v>
      </c>
      <c r="F514" s="1907">
        <f t="shared" ref="F514" si="170">F$513*G$271*(F$312+F$314)/1000</f>
        <v>0</v>
      </c>
      <c r="G514" s="1907">
        <f t="shared" ref="G514" si="171">G$513*H$271*(G$312+G$314)/1000</f>
        <v>0</v>
      </c>
      <c r="H514" s="1907">
        <f t="shared" ref="H514" si="172">H$513*I$271*(H$312+H$314)/1000</f>
        <v>0</v>
      </c>
      <c r="I514" s="1907">
        <f t="shared" ref="I514" si="173">I$513*J$271*(I$312+I$314)/1000</f>
        <v>0</v>
      </c>
      <c r="J514" s="1907">
        <f t="shared" ref="J514" si="174">J$513*K$271*(J$312+J$314)/1000</f>
        <v>0</v>
      </c>
      <c r="K514" s="1907">
        <f t="shared" ref="K514" si="175">K$513*L$271*(K$312+K$314)/1000</f>
        <v>0</v>
      </c>
      <c r="L514" s="1907">
        <f t="shared" ref="L514" si="176">L$513*M$271*(L$312+L$314)/1000</f>
        <v>0</v>
      </c>
      <c r="M514" s="1907">
        <f t="shared" ref="M514" si="177">M$513*N$271*(M$312+M$314)/1000</f>
        <v>0</v>
      </c>
      <c r="N514" s="1907">
        <f t="shared" ref="N514" si="178">N$513*O$271*(N$312+N$314)/1000</f>
        <v>0</v>
      </c>
      <c r="O514" s="1884"/>
    </row>
    <row r="515" spans="1:15" s="1885" customFormat="1" x14ac:dyDescent="0.2">
      <c r="A515" s="1884"/>
      <c r="B515" s="1884"/>
      <c r="C515" s="1884" t="s">
        <v>1500</v>
      </c>
      <c r="D515" s="1884"/>
      <c r="E515" s="142" t="s">
        <v>1501</v>
      </c>
      <c r="F515" s="1910">
        <f t="shared" ref="F515:N515" si="179">($F$346-F328)/1000</f>
        <v>-7.0000000000000007E-2</v>
      </c>
      <c r="G515" s="1910">
        <f t="shared" si="179"/>
        <v>-7.1767587718968684E-2</v>
      </c>
      <c r="H515" s="1910">
        <f t="shared" si="179"/>
        <v>-7.3579809242855246E-2</v>
      </c>
      <c r="I515" s="1910">
        <f t="shared" si="179"/>
        <v>-7.5437791631165665E-2</v>
      </c>
      <c r="J515" s="1910">
        <f t="shared" si="179"/>
        <v>-7.7342690403070916E-2</v>
      </c>
      <c r="K515" s="1910">
        <f t="shared" si="179"/>
        <v>-7.9295690256049017E-2</v>
      </c>
      <c r="L515" s="1910">
        <f t="shared" si="179"/>
        <v>-8.1298005802673837E-2</v>
      </c>
      <c r="M515" s="1910">
        <f t="shared" si="179"/>
        <v>-8.3350882326008874E-2</v>
      </c>
      <c r="N515" s="1910">
        <f t="shared" si="179"/>
        <v>-8.5455596554075419E-2</v>
      </c>
      <c r="O515" s="1884" t="s">
        <v>1502</v>
      </c>
    </row>
    <row r="516" spans="1:15" s="1885" customFormat="1" x14ac:dyDescent="0.2">
      <c r="A516" s="2132"/>
      <c r="B516" s="2132"/>
      <c r="C516" s="591"/>
      <c r="D516" s="591"/>
      <c r="E516" s="142" t="str">
        <f>Preferences.moneyunits&amp;"/yr"</f>
        <v>N/yr</v>
      </c>
      <c r="F516" s="1907">
        <f>F$531*G$272*F434*($F$417*(1-F$418))</f>
        <v>0</v>
      </c>
      <c r="G516" s="1907">
        <f t="shared" ref="G516" si="180">G$531*H$272*G432*($F$417*(1-G$418))</f>
        <v>0</v>
      </c>
      <c r="H516" s="1907">
        <f t="shared" ref="H516" si="181">H$531*I$272*H432*($F$417*(1-H$418))</f>
        <v>0</v>
      </c>
      <c r="I516" s="1907">
        <f t="shared" ref="I516" si="182">I$531*J$272*I432*($F$417*(1-I$418))</f>
        <v>0</v>
      </c>
      <c r="J516" s="1907">
        <f t="shared" ref="J516" si="183">J$531*K$272*J432*($F$417*(1-J$418))</f>
        <v>0</v>
      </c>
      <c r="K516" s="1907">
        <f t="shared" ref="K516" si="184">K$531*L$272*K432*($F$417*(1-K$418))</f>
        <v>0</v>
      </c>
      <c r="L516" s="1907">
        <f t="shared" ref="L516" si="185">L$531*M$272*L432*($F$417*(1-L$418))</f>
        <v>0</v>
      </c>
      <c r="M516" s="1907">
        <f t="shared" ref="M516" si="186">M$531*N$272*M432*($F$417*(1-M$418))</f>
        <v>0</v>
      </c>
      <c r="N516" s="1907">
        <f t="shared" ref="N516" si="187">N$531*O$272*N432*($F$417*(1-N$418))</f>
        <v>0</v>
      </c>
      <c r="O516" s="2132"/>
    </row>
    <row r="517" spans="1:15" s="2132" customFormat="1" x14ac:dyDescent="0.2">
      <c r="F517" s="997"/>
    </row>
    <row r="518" spans="1:15" s="1885" customFormat="1" x14ac:dyDescent="0.2">
      <c r="A518" s="2132"/>
      <c r="B518" s="2132"/>
      <c r="C518" s="1000" t="s">
        <v>1871</v>
      </c>
      <c r="D518" s="2132"/>
      <c r="E518" s="142"/>
      <c r="F518" s="1908">
        <v>2010</v>
      </c>
      <c r="G518" s="1908">
        <v>2015</v>
      </c>
      <c r="H518" s="1908">
        <v>2020</v>
      </c>
      <c r="I518" s="1908">
        <v>2025</v>
      </c>
      <c r="J518" s="1908">
        <v>2030</v>
      </c>
      <c r="K518" s="1908">
        <v>2035</v>
      </c>
      <c r="L518" s="1908">
        <v>2040</v>
      </c>
      <c r="M518" s="1908">
        <v>2045</v>
      </c>
      <c r="N518" s="1908">
        <v>2050</v>
      </c>
      <c r="O518" s="2132"/>
    </row>
    <row r="519" spans="1:15" x14ac:dyDescent="0.2">
      <c r="A519" s="1884"/>
      <c r="B519" s="1884"/>
      <c r="C519" s="591" t="s">
        <v>1166</v>
      </c>
      <c r="D519" s="1884"/>
      <c r="E519" s="142" t="str">
        <f>Preferences.moneyunits&amp;"/yr"</f>
        <v>N/yr</v>
      </c>
      <c r="F519" s="1907">
        <f t="shared" ref="F519" si="188">G$246*F$384</f>
        <v>229017483333.33334</v>
      </c>
      <c r="G519" s="1907">
        <f t="shared" ref="G519" si="189">H$246*G$384</f>
        <v>263250638094.88135</v>
      </c>
      <c r="H519" s="1907">
        <f t="shared" ref="H519" si="190">I$246*H$384</f>
        <v>302600908230.64032</v>
      </c>
      <c r="I519" s="1907">
        <f t="shared" ref="I519" si="191">J$246*I$384</f>
        <v>347833191686.34088</v>
      </c>
      <c r="J519" s="1907">
        <f t="shared" ref="J519" si="192">K$246*J$384</f>
        <v>399826722087.99359</v>
      </c>
      <c r="K519" s="1907">
        <f t="shared" ref="K519" si="193">L$246*K$384</f>
        <v>459592159450.34082</v>
      </c>
      <c r="L519" s="1907">
        <f t="shared" ref="L519" si="194">M$246*L$384</f>
        <v>528291235576.1485</v>
      </c>
      <c r="M519" s="1907">
        <f t="shared" ref="M519" si="195">N$246*M$384</f>
        <v>607259336017.30566</v>
      </c>
      <c r="N519" s="1907">
        <f t="shared" ref="N519" si="196">O$246*N$384</f>
        <v>698031457550.13171</v>
      </c>
      <c r="O519" s="1884"/>
    </row>
    <row r="520" spans="1:15" x14ac:dyDescent="0.2">
      <c r="A520" s="1884"/>
      <c r="B520" s="1884"/>
      <c r="C520" s="591" t="s">
        <v>1160</v>
      </c>
      <c r="D520" s="1884"/>
      <c r="E520" s="142"/>
      <c r="F520" s="1907">
        <f t="shared" ref="F520" si="197">G$247*F$397</f>
        <v>14962039354000</v>
      </c>
      <c r="G520" s="1907">
        <f t="shared" ref="G520" si="198">H$247*G$397</f>
        <v>16118365661552.695</v>
      </c>
      <c r="H520" s="1907">
        <f t="shared" ref="H520" si="199">I$247*H$397</f>
        <v>17364057495949.9</v>
      </c>
      <c r="I520" s="1907">
        <f t="shared" ref="I520" si="200">J$247*I$397</f>
        <v>18706021382915.391</v>
      </c>
      <c r="J520" s="1907">
        <f t="shared" ref="J520" si="201">K$247*J$397</f>
        <v>20151697612133.809</v>
      </c>
      <c r="K520" s="1907">
        <f t="shared" ref="K520" si="202">L$247*K$397</f>
        <v>21709101488666.699</v>
      </c>
      <c r="L520" s="1907">
        <f t="shared" ref="L520" si="203">M$247*L$397</f>
        <v>23386867772443.086</v>
      </c>
      <c r="M520" s="1907">
        <f t="shared" ref="M520" si="204">N$247*M$397</f>
        <v>25194298552211.926</v>
      </c>
      <c r="N520" s="1907">
        <f t="shared" ref="N520" si="205">O$247*N$397</f>
        <v>27141414819385.152</v>
      </c>
      <c r="O520" s="1884"/>
    </row>
    <row r="521" spans="1:15" x14ac:dyDescent="0.2">
      <c r="A521" s="37"/>
      <c r="B521" s="1884"/>
      <c r="C521" s="591" t="s">
        <v>740</v>
      </c>
      <c r="D521" s="1884"/>
      <c r="E521" s="142"/>
      <c r="F521" s="1907">
        <f t="shared" ref="F521" si="206">G$248*F$405</f>
        <v>73352952749.999985</v>
      </c>
      <c r="G521" s="1907">
        <f t="shared" ref="G521" si="207">H$248*G$405</f>
        <v>149663590634.59329</v>
      </c>
      <c r="H521" s="1907">
        <f t="shared" ref="H521" si="208">I$248*H$405</f>
        <v>381702261495.51843</v>
      </c>
      <c r="I521" s="1907">
        <f t="shared" ref="I521" si="209">J$248*I$405</f>
        <v>778795247731.37036</v>
      </c>
      <c r="J521" s="1907">
        <f t="shared" ref="J521" si="210">K$248*J$405</f>
        <v>794496259352.2489</v>
      </c>
      <c r="K521" s="1907">
        <f t="shared" ref="K521" si="211">L$248*K$405</f>
        <v>810513813436.16504</v>
      </c>
      <c r="L521" s="1907">
        <f t="shared" ref="L521" si="212">M$248*L$405</f>
        <v>826854291682.1665</v>
      </c>
      <c r="M521" s="1907">
        <f t="shared" ref="M521" si="213">N$248*M$405</f>
        <v>843524204448.44604</v>
      </c>
      <c r="N521" s="1907">
        <f t="shared" ref="N521" si="214">O$248*N$405</f>
        <v>860530193346.19226</v>
      </c>
      <c r="O521" s="1884"/>
    </row>
    <row r="522" spans="1:15" x14ac:dyDescent="0.2">
      <c r="A522" s="37"/>
      <c r="B522" s="1884"/>
      <c r="C522" s="591" t="s">
        <v>741</v>
      </c>
      <c r="D522" s="1884"/>
      <c r="E522" s="142"/>
      <c r="F522" s="1907">
        <f t="shared" ref="F522:N522" si="215">$G$249*(F$410+F$414)</f>
        <v>78602071958.333359</v>
      </c>
      <c r="G522" s="1907">
        <f t="shared" si="215"/>
        <v>235759773999.99997</v>
      </c>
      <c r="H522" s="1907">
        <f t="shared" si="215"/>
        <v>404790553541.66656</v>
      </c>
      <c r="I522" s="1907">
        <f t="shared" si="215"/>
        <v>483268780499.99982</v>
      </c>
      <c r="J522" s="1907">
        <f t="shared" si="215"/>
        <v>652191195666.66663</v>
      </c>
      <c r="K522" s="1907">
        <f t="shared" si="215"/>
        <v>984494361684.99976</v>
      </c>
      <c r="L522" s="1907">
        <f t="shared" si="215"/>
        <v>1182047997433.1941</v>
      </c>
      <c r="M522" s="1907">
        <f t="shared" si="215"/>
        <v>1380474446620.2771</v>
      </c>
      <c r="N522" s="1907">
        <f t="shared" si="215"/>
        <v>1401895065350.4155</v>
      </c>
      <c r="O522" s="1884"/>
    </row>
    <row r="523" spans="1:15" x14ac:dyDescent="0.2">
      <c r="A523" s="37"/>
      <c r="B523" s="1884"/>
      <c r="C523" s="591" t="s">
        <v>742</v>
      </c>
      <c r="D523" s="1884"/>
      <c r="E523" s="142"/>
      <c r="F523" s="1907">
        <f t="shared" ref="F523" si="216">G$250*F$420</f>
        <v>26733007583.33334</v>
      </c>
      <c r="G523" s="1907">
        <f t="shared" ref="G523" si="217">H$250*G$420</f>
        <v>149198539009.97485</v>
      </c>
      <c r="H523" s="1907">
        <f t="shared" ref="H523" si="218">I$250*H$420</f>
        <v>299773683814.75916</v>
      </c>
      <c r="I523" s="1907">
        <f t="shared" ref="I523" si="219">J$250*I$420</f>
        <v>334626121402.07037</v>
      </c>
      <c r="J523" s="1907">
        <f t="shared" ref="J523" si="220">K$250*J$420</f>
        <v>373539303846.56561</v>
      </c>
      <c r="K523" s="1907">
        <f t="shared" ref="K523" si="221">L$250*K$420</f>
        <v>416987590962.89325</v>
      </c>
      <c r="L523" s="1907">
        <f t="shared" ref="L523" si="222">M$250*L$420</f>
        <v>465500929256.10663</v>
      </c>
      <c r="M523" s="1907">
        <f t="shared" ref="M523" si="223">N$250*M$420</f>
        <v>519671390187.07343</v>
      </c>
      <c r="N523" s="1907">
        <f t="shared" ref="N523" si="224">O$250*N$420</f>
        <v>580160480921.52637</v>
      </c>
      <c r="O523" s="1884"/>
    </row>
    <row r="524" spans="1:15" x14ac:dyDescent="0.2">
      <c r="A524" s="37"/>
      <c r="B524" s="1884"/>
      <c r="C524" s="591" t="s">
        <v>1494</v>
      </c>
      <c r="D524" s="1884"/>
      <c r="E524" s="142"/>
      <c r="F524" s="1907">
        <f t="shared" ref="F524:N524" si="225">SUM(F519:F523)</f>
        <v>15369744869625.002</v>
      </c>
      <c r="G524" s="1907">
        <f t="shared" si="225"/>
        <v>16916238203292.145</v>
      </c>
      <c r="H524" s="1907">
        <f t="shared" si="225"/>
        <v>18752924903032.484</v>
      </c>
      <c r="I524" s="1907">
        <f t="shared" si="225"/>
        <v>20650544724235.172</v>
      </c>
      <c r="J524" s="1907">
        <f t="shared" si="225"/>
        <v>22371751093087.285</v>
      </c>
      <c r="K524" s="1907">
        <f t="shared" si="225"/>
        <v>24380689414201.098</v>
      </c>
      <c r="L524" s="1907">
        <f t="shared" si="225"/>
        <v>26389562226390.703</v>
      </c>
      <c r="M524" s="1907">
        <f t="shared" si="225"/>
        <v>28545227929485.027</v>
      </c>
      <c r="N524" s="1907">
        <f t="shared" si="225"/>
        <v>30682032016553.418</v>
      </c>
      <c r="O524" s="1884"/>
    </row>
    <row r="525" spans="1:15" x14ac:dyDescent="0.2">
      <c r="A525" s="37"/>
      <c r="B525" s="1884"/>
      <c r="C525" s="1000"/>
      <c r="D525" s="1884"/>
      <c r="E525" s="142"/>
      <c r="F525" s="997"/>
      <c r="G525" s="997"/>
      <c r="H525" s="997"/>
      <c r="I525" s="997"/>
      <c r="J525" s="997"/>
      <c r="K525" s="997"/>
      <c r="L525" s="997"/>
      <c r="M525" s="997"/>
      <c r="N525" s="997"/>
      <c r="O525" s="1884"/>
    </row>
    <row r="526" spans="1:15" x14ac:dyDescent="0.2">
      <c r="A526" s="37"/>
      <c r="B526" s="1884"/>
      <c r="C526" s="1884" t="s">
        <v>1495</v>
      </c>
      <c r="D526" s="1884"/>
      <c r="E526" s="142"/>
      <c r="F526" s="1908">
        <v>2010</v>
      </c>
      <c r="G526" s="1908">
        <v>2015</v>
      </c>
      <c r="H526" s="1908">
        <v>2020</v>
      </c>
      <c r="I526" s="1908">
        <v>2025</v>
      </c>
      <c r="J526" s="1908">
        <v>2030</v>
      </c>
      <c r="K526" s="1908">
        <v>2035</v>
      </c>
      <c r="L526" s="1908">
        <v>2040</v>
      </c>
      <c r="M526" s="1908">
        <v>2045</v>
      </c>
      <c r="N526" s="1908">
        <v>2050</v>
      </c>
      <c r="O526" s="1884"/>
    </row>
    <row r="527" spans="1:15" x14ac:dyDescent="0.2">
      <c r="A527" s="1884"/>
      <c r="B527" s="1884"/>
      <c r="C527" s="37" t="s">
        <v>743</v>
      </c>
      <c r="D527" s="1884"/>
      <c r="E527" s="142" t="s">
        <v>1496</v>
      </c>
      <c r="F527" s="1909">
        <f t="shared" ref="F527:N527" si="226">$F498-F498</f>
        <v>0</v>
      </c>
      <c r="G527" s="1909">
        <f t="shared" si="226"/>
        <v>0</v>
      </c>
      <c r="H527" s="1909">
        <f t="shared" si="226"/>
        <v>0</v>
      </c>
      <c r="I527" s="1909">
        <f t="shared" si="226"/>
        <v>0</v>
      </c>
      <c r="J527" s="1909">
        <f t="shared" si="226"/>
        <v>0</v>
      </c>
      <c r="K527" s="1909">
        <f t="shared" si="226"/>
        <v>0</v>
      </c>
      <c r="L527" s="1909">
        <f t="shared" si="226"/>
        <v>0</v>
      </c>
      <c r="M527" s="1909">
        <f t="shared" si="226"/>
        <v>0</v>
      </c>
      <c r="N527" s="1909">
        <f t="shared" si="226"/>
        <v>0</v>
      </c>
      <c r="O527" s="1884"/>
    </row>
    <row r="528" spans="1:15" s="84" customFormat="1" x14ac:dyDescent="0.2">
      <c r="A528" s="1884"/>
      <c r="B528" s="1884"/>
      <c r="C528" s="591"/>
      <c r="D528" s="591"/>
      <c r="E528" s="142" t="str">
        <f>Preferences.moneyunits&amp;"/yr"</f>
        <v>N/yr</v>
      </c>
      <c r="F528" s="1907">
        <f t="shared" ref="F528" si="227">IF(F$527&lt;$E$254,F$527*G$254,($E$254*G254)+((F$527-$E$254)*G$255))</f>
        <v>0</v>
      </c>
      <c r="G528" s="1907">
        <f t="shared" ref="G528" si="228">IF(G$527&lt;$E$254,G$527*H$254,($E$254*H254)+((G$527-$E$254)*H$255))</f>
        <v>0</v>
      </c>
      <c r="H528" s="1907">
        <f t="shared" ref="H528" si="229">IF(H$527&lt;$E$254,H$527*I$254,($E$254*I254)+((H$527-$E$254)*I$255))</f>
        <v>0</v>
      </c>
      <c r="I528" s="1907">
        <f t="shared" ref="I528" si="230">IF(I$527&lt;$E$254,I$527*J$254,($E$254*J254)+((I$527-$E$254)*J$255))</f>
        <v>0</v>
      </c>
      <c r="J528" s="1907">
        <f t="shared" ref="J528" si="231">IF(J$527&lt;$E$254,J$527*K$254,($E$254*K254)+((J$527-$E$254)*K$255))</f>
        <v>0</v>
      </c>
      <c r="K528" s="1907">
        <f t="shared" ref="K528" si="232">IF(K$527&lt;$E$254,K$527*L$254,($E$254*L254)+((K$527-$E$254)*L$255))</f>
        <v>0</v>
      </c>
      <c r="L528" s="1907">
        <f t="shared" ref="L528" si="233">IF(L$527&lt;$E$254,L$527*M$254,($E$254*M254)+((L$527-$E$254)*M$255))</f>
        <v>0</v>
      </c>
      <c r="M528" s="1907">
        <f t="shared" ref="M528" si="234">IF(M$527&lt;$E$254,M$527*N$254,($E$254*N254)+((M$527-$E$254)*N$255))</f>
        <v>0</v>
      </c>
      <c r="N528" s="1907">
        <f t="shared" ref="N528" si="235">IF(N$527&lt;$E$254,N$527*O$254,($E$254*O254)+((N$527-$E$254)*O$255))</f>
        <v>0</v>
      </c>
      <c r="O528" s="1884"/>
    </row>
    <row r="529" spans="1:15" collapsed="1" x14ac:dyDescent="0.2">
      <c r="A529" s="1884"/>
      <c r="B529" s="1884"/>
      <c r="C529" s="1884" t="s">
        <v>1497</v>
      </c>
      <c r="D529" s="1884"/>
      <c r="E529" s="142" t="s">
        <v>1498</v>
      </c>
      <c r="F529" s="1910">
        <f t="shared" ref="F529:N529" si="236">($F$345-F345)/1000</f>
        <v>0</v>
      </c>
      <c r="G529" s="1910">
        <f t="shared" si="236"/>
        <v>0</v>
      </c>
      <c r="H529" s="1910">
        <f t="shared" si="236"/>
        <v>0</v>
      </c>
      <c r="I529" s="1910">
        <f t="shared" si="236"/>
        <v>0</v>
      </c>
      <c r="J529" s="1910">
        <f t="shared" si="236"/>
        <v>0</v>
      </c>
      <c r="K529" s="1910">
        <f t="shared" si="236"/>
        <v>0</v>
      </c>
      <c r="L529" s="1910">
        <f t="shared" si="236"/>
        <v>0</v>
      </c>
      <c r="M529" s="1910">
        <f t="shared" si="236"/>
        <v>0</v>
      </c>
      <c r="N529" s="1910">
        <f t="shared" si="236"/>
        <v>0</v>
      </c>
      <c r="O529" s="1884" t="s">
        <v>1499</v>
      </c>
    </row>
    <row r="530" spans="1:15" x14ac:dyDescent="0.2">
      <c r="A530" s="1884"/>
      <c r="B530" s="1884"/>
      <c r="C530" s="591"/>
      <c r="D530" s="591"/>
      <c r="E530" s="142" t="str">
        <f>Preferences.moneyunits&amp;"/yr"</f>
        <v>N/yr</v>
      </c>
      <c r="F530" s="1907">
        <f t="shared" ref="F530" si="237">F$529*G$286*(F$312+F$314)/1000</f>
        <v>0</v>
      </c>
      <c r="G530" s="1907">
        <f t="shared" ref="G530" si="238">G$529*H$286*(G$312+G$314)/1000</f>
        <v>0</v>
      </c>
      <c r="H530" s="1907">
        <f t="shared" ref="H530" si="239">H$529*I$286*(H$312+H$314)/1000</f>
        <v>0</v>
      </c>
      <c r="I530" s="1907">
        <f t="shared" ref="I530" si="240">I$529*J$286*(I$312+I$314)/1000</f>
        <v>0</v>
      </c>
      <c r="J530" s="1907">
        <f t="shared" ref="J530" si="241">J$529*K$286*(J$312+J$314)/1000</f>
        <v>0</v>
      </c>
      <c r="K530" s="1907">
        <f t="shared" ref="K530" si="242">K$529*L$286*(K$312+K$314)/1000</f>
        <v>0</v>
      </c>
      <c r="L530" s="1907">
        <f t="shared" ref="L530" si="243">L$529*M$286*(L$312+L$314)/1000</f>
        <v>0</v>
      </c>
      <c r="M530" s="1907">
        <f t="shared" ref="M530" si="244">M$529*N$286*(M$312+M$314)/1000</f>
        <v>0</v>
      </c>
      <c r="N530" s="1907">
        <f t="shared" ref="N530" si="245">N$529*O$286*(N$312+N$314)/1000</f>
        <v>0</v>
      </c>
      <c r="O530" s="1884"/>
    </row>
    <row r="531" spans="1:15" x14ac:dyDescent="0.2">
      <c r="A531" s="1884"/>
      <c r="B531" s="1884"/>
      <c r="C531" s="1884" t="s">
        <v>1500</v>
      </c>
      <c r="D531" s="1884"/>
      <c r="E531" s="142" t="s">
        <v>1501</v>
      </c>
      <c r="F531" s="1910">
        <f t="shared" ref="F531:N531" si="246">($F$346-F346)/1000</f>
        <v>0</v>
      </c>
      <c r="G531" s="1910">
        <f t="shared" si="246"/>
        <v>0</v>
      </c>
      <c r="H531" s="1910">
        <f t="shared" si="246"/>
        <v>0</v>
      </c>
      <c r="I531" s="1910">
        <f t="shared" si="246"/>
        <v>0</v>
      </c>
      <c r="J531" s="1910">
        <f t="shared" si="246"/>
        <v>0</v>
      </c>
      <c r="K531" s="1910">
        <f t="shared" si="246"/>
        <v>0</v>
      </c>
      <c r="L531" s="1910">
        <f t="shared" si="246"/>
        <v>0</v>
      </c>
      <c r="M531" s="1910">
        <f t="shared" si="246"/>
        <v>0</v>
      </c>
      <c r="N531" s="1910">
        <f t="shared" si="246"/>
        <v>0</v>
      </c>
      <c r="O531" s="1884" t="s">
        <v>1502</v>
      </c>
    </row>
    <row r="532" spans="1:15" ht="13.5" customHeight="1" x14ac:dyDescent="0.2">
      <c r="A532" s="2132"/>
      <c r="B532" s="2132"/>
      <c r="C532" s="591"/>
      <c r="D532" s="591"/>
      <c r="E532" s="142" t="str">
        <f>Preferences.moneyunits&amp;"/yr"</f>
        <v>N/yr</v>
      </c>
      <c r="F532" s="1907">
        <f t="shared" ref="F532" si="247">F$531*G$287*F416*($F$417*(1-F$418))</f>
        <v>0</v>
      </c>
      <c r="G532" s="1907">
        <f t="shared" ref="G532" si="248">G$531*H$287*G416*($F$417*(1-G$418))</f>
        <v>0</v>
      </c>
      <c r="H532" s="1907">
        <f t="shared" ref="H532" si="249">H$531*I$287*H416*($F$417*(1-H$418))</f>
        <v>0</v>
      </c>
      <c r="I532" s="1907">
        <f t="shared" ref="I532" si="250">I$531*J$287*I416*($F$417*(1-I$418))</f>
        <v>0</v>
      </c>
      <c r="J532" s="1907">
        <f t="shared" ref="J532" si="251">J$531*K$287*J416*($F$417*(1-J$418))</f>
        <v>0</v>
      </c>
      <c r="K532" s="1907">
        <f t="shared" ref="K532" si="252">K$531*L$287*K416*($F$417*(1-K$418))</f>
        <v>0</v>
      </c>
      <c r="L532" s="1907">
        <f t="shared" ref="L532" si="253">L$531*M$287*L416*($F$417*(1-L$418))</f>
        <v>0</v>
      </c>
      <c r="M532" s="1907">
        <f t="shared" ref="M532" si="254">M$531*N$287*M416*($F$417*(1-M$418))</f>
        <v>0</v>
      </c>
      <c r="N532" s="1907">
        <f t="shared" ref="N532" si="255">N$531*O$287*N416*($F$417*(1-N$418))</f>
        <v>0</v>
      </c>
      <c r="O532" s="2132"/>
    </row>
    <row r="533" spans="1:15" s="2132" customFormat="1" x14ac:dyDescent="0.2">
      <c r="C533" s="1000"/>
      <c r="E533" s="142"/>
      <c r="F533" s="997"/>
      <c r="G533" s="997"/>
      <c r="H533" s="997"/>
      <c r="I533" s="997"/>
      <c r="J533" s="997"/>
      <c r="K533" s="997"/>
      <c r="L533" s="997"/>
      <c r="M533" s="997"/>
      <c r="N533" s="997"/>
      <c r="O533" s="2221"/>
    </row>
    <row r="534" spans="1:15" ht="15.75" x14ac:dyDescent="0.2">
      <c r="B534" s="2219" t="s">
        <v>236</v>
      </c>
      <c r="C534" s="2220"/>
      <c r="D534" s="2220"/>
      <c r="E534" s="2220"/>
      <c r="F534" s="2220"/>
      <c r="G534" s="2220"/>
      <c r="H534" s="2220"/>
      <c r="I534" s="2220"/>
      <c r="J534" s="2220"/>
      <c r="K534" s="2220"/>
      <c r="L534" s="2220"/>
      <c r="M534" s="2220"/>
      <c r="N534" s="2220"/>
      <c r="O534" s="2220"/>
    </row>
    <row r="535" spans="1:15" x14ac:dyDescent="0.2">
      <c r="B535" s="410"/>
      <c r="C535" s="412"/>
      <c r="D535" s="412"/>
      <c r="E535" s="412"/>
      <c r="F535" s="412"/>
      <c r="G535" s="412"/>
      <c r="H535" s="412"/>
      <c r="I535" s="412"/>
      <c r="J535" s="412"/>
      <c r="K535" s="412"/>
      <c r="L535" s="412"/>
      <c r="M535" s="412"/>
      <c r="N535" s="412"/>
      <c r="O535" s="414"/>
    </row>
    <row r="536" spans="1:15" x14ac:dyDescent="0.2">
      <c r="B536" s="410"/>
      <c r="C536" s="424" t="s">
        <v>277</v>
      </c>
      <c r="D536" s="412"/>
      <c r="E536" s="413"/>
      <c r="F536" s="413"/>
      <c r="G536" s="413"/>
      <c r="H536" s="412"/>
      <c r="I536" s="412"/>
      <c r="J536" s="412"/>
      <c r="K536" s="412"/>
      <c r="L536" s="412"/>
      <c r="M536" s="412"/>
      <c r="N536" s="413" t="str">
        <f>Preferences.EnergyUnits</f>
        <v>TWh</v>
      </c>
      <c r="O536" s="414"/>
    </row>
    <row r="537" spans="1:15" ht="4.5" customHeight="1" x14ac:dyDescent="0.2">
      <c r="B537" s="410"/>
      <c r="C537" s="412"/>
      <c r="D537" s="412"/>
      <c r="E537" s="412"/>
      <c r="F537" s="412"/>
      <c r="G537" s="412"/>
      <c r="H537" s="412"/>
      <c r="I537" s="412"/>
      <c r="J537" s="412"/>
      <c r="K537" s="412"/>
      <c r="L537" s="412"/>
      <c r="M537" s="412"/>
      <c r="N537" s="412"/>
      <c r="O537" s="412"/>
    </row>
    <row r="538" spans="1:15" ht="15.75" x14ac:dyDescent="0.25">
      <c r="B538" s="415"/>
      <c r="C538" s="426" t="s">
        <v>64</v>
      </c>
      <c r="D538" s="426" t="s">
        <v>150</v>
      </c>
      <c r="E538" s="426" t="s">
        <v>172</v>
      </c>
      <c r="F538" s="426" t="s">
        <v>241</v>
      </c>
      <c r="G538" s="426" t="s">
        <v>268</v>
      </c>
      <c r="H538" s="426" t="s">
        <v>269</v>
      </c>
      <c r="I538" s="426" t="s">
        <v>270</v>
      </c>
      <c r="J538" s="426" t="s">
        <v>271</v>
      </c>
      <c r="K538" s="426" t="s">
        <v>272</v>
      </c>
      <c r="L538" s="426" t="s">
        <v>273</v>
      </c>
      <c r="M538" s="426" t="s">
        <v>274</v>
      </c>
      <c r="N538" s="426" t="s">
        <v>275</v>
      </c>
      <c r="O538" s="414"/>
    </row>
    <row r="539" spans="1:15" ht="15.75" x14ac:dyDescent="0.25">
      <c r="B539" s="415"/>
      <c r="C539" s="426" t="s">
        <v>34</v>
      </c>
      <c r="D539" s="426" t="str">
        <f>INDEX(Vectors[Description], MATCH(VI.a.Outputs[Vector], Vectors[Code], 0))</f>
        <v>Electricity (delivered to end user)</v>
      </c>
      <c r="E539" s="426"/>
      <c r="F539" s="912">
        <f t="shared" ref="F539:N539" si="256">-F$434</f>
        <v>-1.24142109</v>
      </c>
      <c r="G539" s="912">
        <f t="shared" si="256"/>
        <v>-1.2985267076597906</v>
      </c>
      <c r="H539" s="912">
        <f t="shared" si="256"/>
        <v>-1.3631364724822697</v>
      </c>
      <c r="I539" s="912">
        <f t="shared" si="256"/>
        <v>-1.4362364910353544</v>
      </c>
      <c r="J539" s="912">
        <f t="shared" si="256"/>
        <v>-1.5189424523887711</v>
      </c>
      <c r="K539" s="912">
        <f t="shared" si="256"/>
        <v>-1.6125166563190418</v>
      </c>
      <c r="L539" s="912">
        <f t="shared" si="256"/>
        <v>-1.718387279160452</v>
      </c>
      <c r="M539" s="912">
        <f t="shared" si="256"/>
        <v>-1.8381701713470693</v>
      </c>
      <c r="N539" s="912">
        <f t="shared" si="256"/>
        <v>-1.9736935193308003</v>
      </c>
      <c r="O539" s="414"/>
    </row>
    <row r="540" spans="1:15" ht="15.75" x14ac:dyDescent="0.25">
      <c r="B540" s="415"/>
      <c r="C540" s="426" t="s">
        <v>36</v>
      </c>
      <c r="D540" s="426" t="str">
        <f>INDEX(Vectors[Description], MATCH(VI.a.Outputs[Vector], Vectors[Code], 0))</f>
        <v>Solid hydrocarbons</v>
      </c>
      <c r="E540" s="426"/>
      <c r="F540" s="912">
        <f t="shared" ref="F540:N540" si="257">-F$435</f>
        <v>-1.043211E-2</v>
      </c>
      <c r="G540" s="912">
        <f t="shared" si="257"/>
        <v>-1.0911989139998241E-2</v>
      </c>
      <c r="H540" s="912">
        <f t="shared" si="257"/>
        <v>-1.1454928340187142E-2</v>
      </c>
      <c r="I540" s="912">
        <f t="shared" si="257"/>
        <v>-1.2069214210381131E-2</v>
      </c>
      <c r="J540" s="912">
        <f t="shared" si="257"/>
        <v>-1.2764222288981272E-2</v>
      </c>
      <c r="K540" s="912">
        <f t="shared" si="257"/>
        <v>-1.3550560137134807E-2</v>
      </c>
      <c r="L540" s="912">
        <f t="shared" si="257"/>
        <v>-1.4440229236642455E-2</v>
      </c>
      <c r="M540" s="912">
        <f t="shared" si="257"/>
        <v>-1.5446808162580416E-2</v>
      </c>
      <c r="N540" s="912">
        <f t="shared" si="257"/>
        <v>-1.6585659826309246E-2</v>
      </c>
      <c r="O540" s="414"/>
    </row>
    <row r="541" spans="1:15" ht="15.75" x14ac:dyDescent="0.25">
      <c r="B541" s="415"/>
      <c r="C541" s="426" t="s">
        <v>38</v>
      </c>
      <c r="D541" s="426" t="str">
        <f>INDEX(Vectors[Description], MATCH(VI.a.Outputs[Vector], Vectors[Code], 0))</f>
        <v>Liquid hydrocarbons</v>
      </c>
      <c r="E541" s="426"/>
      <c r="F541" s="912">
        <f>-F$436</f>
        <v>-1.9821009000000001</v>
      </c>
      <c r="G541" s="912">
        <f t="shared" ref="G541:N541" si="258">-G$436</f>
        <v>-2.0732779365996659</v>
      </c>
      <c r="H541" s="912">
        <f t="shared" si="258"/>
        <v>-2.176436384635557</v>
      </c>
      <c r="I541" s="912">
        <f t="shared" si="258"/>
        <v>-2.2931506999724149</v>
      </c>
      <c r="J541" s="912">
        <f t="shared" si="258"/>
        <v>-2.4252022349064415</v>
      </c>
      <c r="K541" s="912">
        <f t="shared" si="258"/>
        <v>-2.5746064260556132</v>
      </c>
      <c r="L541" s="912">
        <f t="shared" si="258"/>
        <v>-2.7436435549620661</v>
      </c>
      <c r="M541" s="912">
        <f t="shared" si="258"/>
        <v>-2.9348935508902789</v>
      </c>
      <c r="N541" s="912">
        <f t="shared" si="258"/>
        <v>-3.1512753669987568</v>
      </c>
      <c r="O541" s="414"/>
    </row>
    <row r="542" spans="1:15" ht="15.75" x14ac:dyDescent="0.25">
      <c r="B542" s="415"/>
      <c r="C542" s="426" t="s">
        <v>39</v>
      </c>
      <c r="D542" s="426" t="str">
        <f>INDEX(Vectors[Description], MATCH(VI.a.Outputs[Vector], Vectors[Code], 0))</f>
        <v>Gaseous hydrocarbons</v>
      </c>
      <c r="E542" s="426"/>
      <c r="F542" s="912">
        <f>-F$437</f>
        <v>-0.93888989999999994</v>
      </c>
      <c r="G542" s="912">
        <f t="shared" ref="G542:N542" si="259">-G$437</f>
        <v>-0.98207902259984159</v>
      </c>
      <c r="H542" s="912">
        <f t="shared" si="259"/>
        <v>-1.0309435506168427</v>
      </c>
      <c r="I542" s="912">
        <f t="shared" si="259"/>
        <v>-1.0862292789343015</v>
      </c>
      <c r="J542" s="912">
        <f t="shared" si="259"/>
        <v>-1.1487800060083144</v>
      </c>
      <c r="K542" s="912">
        <f t="shared" si="259"/>
        <v>-1.2195504123421326</v>
      </c>
      <c r="L542" s="912">
        <f t="shared" si="259"/>
        <v>-1.2996206312978207</v>
      </c>
      <c r="M542" s="912">
        <f t="shared" si="259"/>
        <v>-1.3902127346322373</v>
      </c>
      <c r="N542" s="912">
        <f t="shared" si="259"/>
        <v>-1.4927093843678321</v>
      </c>
      <c r="O542" s="414"/>
    </row>
    <row r="543" spans="1:15" s="2479" customFormat="1" ht="15.75" x14ac:dyDescent="0.25">
      <c r="B543" s="415"/>
      <c r="C543" s="426" t="s">
        <v>2184</v>
      </c>
      <c r="D543" s="426" t="str">
        <f>INDEX(Vectors[Description], MATCH(VI.a.Outputs[Vector], Vectors[Code], 0))</f>
        <v>Traditional Fuel</v>
      </c>
      <c r="E543" s="426"/>
      <c r="F543" s="912">
        <f>-F$438</f>
        <v>-6.2592659999999993</v>
      </c>
      <c r="G543" s="912">
        <f t="shared" ref="G543:N543" si="260">-G$438</f>
        <v>-6.5471934839989441</v>
      </c>
      <c r="H543" s="912">
        <f t="shared" si="260"/>
        <v>-6.8729570041122843</v>
      </c>
      <c r="I543" s="912">
        <f t="shared" si="260"/>
        <v>-7.2415285262286773</v>
      </c>
      <c r="J543" s="912">
        <f t="shared" si="260"/>
        <v>-7.6585333733887619</v>
      </c>
      <c r="K543" s="912">
        <f t="shared" si="260"/>
        <v>-8.1303360822808823</v>
      </c>
      <c r="L543" s="912">
        <f t="shared" si="260"/>
        <v>-8.6641375419854718</v>
      </c>
      <c r="M543" s="912">
        <f t="shared" si="260"/>
        <v>-9.268084897548249</v>
      </c>
      <c r="N543" s="912">
        <f t="shared" si="260"/>
        <v>-9.9513958957855468</v>
      </c>
      <c r="O543" s="414"/>
    </row>
    <row r="544" spans="1:15" ht="15.75" x14ac:dyDescent="0.25">
      <c r="B544" s="415"/>
      <c r="C544" s="426" t="s">
        <v>9</v>
      </c>
      <c r="D544" s="426" t="str">
        <f>INDEX(Vectors[Description], MATCH(VI.a.Outputs[Vector], Vectors[Code], 0))</f>
        <v>Industry</v>
      </c>
      <c r="E544" s="426"/>
      <c r="F544" s="912">
        <f t="shared" ref="F544:N544" si="261">F$433</f>
        <v>10.43211</v>
      </c>
      <c r="G544" s="912">
        <f t="shared" si="261"/>
        <v>10.911989139998241</v>
      </c>
      <c r="H544" s="912">
        <f t="shared" si="261"/>
        <v>11.454928340187141</v>
      </c>
      <c r="I544" s="912">
        <f t="shared" si="261"/>
        <v>12.06921421038113</v>
      </c>
      <c r="J544" s="912">
        <f t="shared" si="261"/>
        <v>12.764222288981271</v>
      </c>
      <c r="K544" s="912">
        <f t="shared" si="261"/>
        <v>13.550560137134806</v>
      </c>
      <c r="L544" s="912">
        <f t="shared" si="261"/>
        <v>14.440229236642454</v>
      </c>
      <c r="M544" s="912">
        <f t="shared" si="261"/>
        <v>15.446808162580416</v>
      </c>
      <c r="N544" s="912">
        <f t="shared" si="261"/>
        <v>16.585659826309247</v>
      </c>
      <c r="O544" s="414"/>
    </row>
    <row r="545" spans="2:15" ht="15.75" x14ac:dyDescent="0.25">
      <c r="B545" s="415"/>
      <c r="C545" s="426" t="s">
        <v>1161</v>
      </c>
      <c r="D545" s="426" t="str">
        <f>INDEX(Vectors[Description], MATCH(VI.a.Outputs[Vector], Vectors[Code], 0))</f>
        <v>Energy crops (first generation)</v>
      </c>
      <c r="E545" s="426"/>
      <c r="F545" s="912">
        <f t="shared" ref="F545:N545" si="262">F$384</f>
        <v>10.777293333333335</v>
      </c>
      <c r="G545" s="912">
        <f t="shared" si="262"/>
        <v>12.388265322112064</v>
      </c>
      <c r="H545" s="912">
        <f t="shared" si="262"/>
        <v>14.240042740265427</v>
      </c>
      <c r="I545" s="912">
        <f t="shared" si="262"/>
        <v>16.368620785239571</v>
      </c>
      <c r="J545" s="912">
        <f t="shared" si="262"/>
        <v>18.815375157082052</v>
      </c>
      <c r="K545" s="912">
        <f t="shared" si="262"/>
        <v>21.627866327074862</v>
      </c>
      <c r="L545" s="912">
        <f t="shared" si="262"/>
        <v>24.860764027112872</v>
      </c>
      <c r="M545" s="912">
        <f t="shared" si="262"/>
        <v>28.576909930226151</v>
      </c>
      <c r="N545" s="912">
        <f t="shared" si="262"/>
        <v>32.848539178829725</v>
      </c>
      <c r="O545" s="414"/>
    </row>
    <row r="546" spans="2:15" ht="15.75" x14ac:dyDescent="0.25">
      <c r="B546" s="415"/>
      <c r="C546" s="426" t="s">
        <v>871</v>
      </c>
      <c r="D546" s="426" t="str">
        <f>INDEX(Vectors[Description], MATCH(VI.a.Outputs[Vector], Vectors[Code], 0))</f>
        <v>Energy crops (second generation)</v>
      </c>
      <c r="E546" s="426"/>
      <c r="F546" s="912">
        <f t="shared" ref="F546:N546" si="263">F$397</f>
        <v>1662.4488171111111</v>
      </c>
      <c r="G546" s="912">
        <f t="shared" si="263"/>
        <v>1790.9295179502994</v>
      </c>
      <c r="H546" s="912">
        <f t="shared" si="263"/>
        <v>1929.3397217722111</v>
      </c>
      <c r="I546" s="912">
        <f t="shared" si="263"/>
        <v>2078.4468203239321</v>
      </c>
      <c r="J546" s="912">
        <f t="shared" si="263"/>
        <v>2239.0775124593119</v>
      </c>
      <c r="K546" s="912">
        <f t="shared" si="263"/>
        <v>2412.1223876296331</v>
      </c>
      <c r="L546" s="912">
        <f t="shared" si="263"/>
        <v>2598.5408636047873</v>
      </c>
      <c r="M546" s="912">
        <f t="shared" si="263"/>
        <v>2799.3665058013253</v>
      </c>
      <c r="N546" s="912">
        <f t="shared" si="263"/>
        <v>3015.7127577094616</v>
      </c>
      <c r="O546" s="414"/>
    </row>
    <row r="547" spans="2:15" ht="15.75" x14ac:dyDescent="0.25">
      <c r="B547" s="415"/>
      <c r="C547" s="97" t="s">
        <v>296</v>
      </c>
      <c r="D547" s="97" t="str">
        <f>INDEX(Vectors[Description], MATCH(VI.a.Outputs[Vector], Vectors[Code], 0))</f>
        <v>Dry biomass and waste</v>
      </c>
      <c r="E547" s="97"/>
      <c r="F547" s="241">
        <f t="shared" ref="F547:N547" si="264">F$423</f>
        <v>25.913232013333335</v>
      </c>
      <c r="G547" s="241">
        <f t="shared" si="264"/>
        <v>64.933125773562409</v>
      </c>
      <c r="H547" s="241">
        <f t="shared" si="264"/>
        <v>134.16689974767002</v>
      </c>
      <c r="I547" s="241">
        <f t="shared" si="264"/>
        <v>218.92214083115823</v>
      </c>
      <c r="J547" s="241">
        <f t="shared" si="264"/>
        <v>248.80445664343918</v>
      </c>
      <c r="K547" s="241">
        <f t="shared" si="264"/>
        <v>304.88524576708448</v>
      </c>
      <c r="L547" s="241">
        <f t="shared" si="264"/>
        <v>339.46482353152311</v>
      </c>
      <c r="M547" s="241">
        <f t="shared" si="264"/>
        <v>374.24394863168908</v>
      </c>
      <c r="N547" s="241">
        <f t="shared" si="264"/>
        <v>380.76324560991958</v>
      </c>
      <c r="O547" s="414"/>
    </row>
    <row r="548" spans="2:15" ht="15.75" x14ac:dyDescent="0.25">
      <c r="B548" s="415"/>
      <c r="C548" s="97" t="s">
        <v>383</v>
      </c>
      <c r="D548" s="97" t="str">
        <f>INDEX(Vectors[Description], MATCH(VI.a.Outputs[Vector], Vectors[Code], 0))</f>
        <v>Wet biomass and waste</v>
      </c>
      <c r="E548" s="97"/>
      <c r="F548" s="241">
        <f t="shared" ref="F548:N548" si="265">F$424</f>
        <v>4.8605468333333341</v>
      </c>
      <c r="G548" s="241">
        <f t="shared" si="265"/>
        <v>27.127007092722703</v>
      </c>
      <c r="H548" s="241">
        <f t="shared" si="265"/>
        <v>54.504306148138028</v>
      </c>
      <c r="I548" s="241">
        <f t="shared" si="265"/>
        <v>60.841112982194616</v>
      </c>
      <c r="J548" s="241">
        <f t="shared" si="265"/>
        <v>67.916237063011934</v>
      </c>
      <c r="K548" s="241">
        <f t="shared" si="265"/>
        <v>75.815925629616956</v>
      </c>
      <c r="L548" s="241">
        <f t="shared" si="265"/>
        <v>84.636532592019392</v>
      </c>
      <c r="M548" s="241">
        <f t="shared" si="265"/>
        <v>94.485707306740622</v>
      </c>
      <c r="N548" s="241">
        <f t="shared" si="265"/>
        <v>105.48372380391389</v>
      </c>
      <c r="O548" s="414"/>
    </row>
    <row r="549" spans="2:15" ht="15.75" x14ac:dyDescent="0.25">
      <c r="B549" s="415"/>
      <c r="C549" s="97" t="s">
        <v>451</v>
      </c>
      <c r="D549" s="97" t="str">
        <f>INDEX(Vectors[Description], MATCH(VI.a.Outputs[Vector], Vectors[Code], 0))</f>
        <v>Agriculture</v>
      </c>
      <c r="E549" s="97"/>
      <c r="F549" s="241">
        <f t="shared" ref="F549:N549" si="266">-(F$397+F$384)</f>
        <v>-1673.2261104444444</v>
      </c>
      <c r="G549" s="241">
        <f t="shared" si="266"/>
        <v>-1803.3177832724116</v>
      </c>
      <c r="H549" s="241">
        <f t="shared" si="266"/>
        <v>-1943.5797645124765</v>
      </c>
      <c r="I549" s="241">
        <f t="shared" si="266"/>
        <v>-2094.8154411091718</v>
      </c>
      <c r="J549" s="241">
        <f t="shared" si="266"/>
        <v>-2257.8928876163941</v>
      </c>
      <c r="K549" s="241">
        <f t="shared" si="266"/>
        <v>-2433.7502539567081</v>
      </c>
      <c r="L549" s="241">
        <f t="shared" si="266"/>
        <v>-2623.4016276319003</v>
      </c>
      <c r="M549" s="241">
        <f t="shared" si="266"/>
        <v>-2827.9434157315513</v>
      </c>
      <c r="N549" s="241">
        <f t="shared" si="266"/>
        <v>-3048.5612968882915</v>
      </c>
      <c r="O549" s="414"/>
    </row>
    <row r="550" spans="2:15" ht="15.75" x14ac:dyDescent="0.25">
      <c r="B550" s="415"/>
      <c r="C550" s="97" t="s">
        <v>42</v>
      </c>
      <c r="D550" s="97" t="str">
        <f>INDEX(Vectors[Description], MATCH(VI.a.Outputs[Vector], Vectors[Code], 0))</f>
        <v>Waste</v>
      </c>
      <c r="E550" s="97"/>
      <c r="F550" s="241">
        <f t="shared" ref="F550:N550" si="267">-(F$423+F$424)</f>
        <v>-30.773778846666669</v>
      </c>
      <c r="G550" s="241">
        <f t="shared" si="267"/>
        <v>-92.060132866285116</v>
      </c>
      <c r="H550" s="241">
        <f t="shared" si="267"/>
        <v>-188.67120589580804</v>
      </c>
      <c r="I550" s="241">
        <f t="shared" si="267"/>
        <v>-279.76325381335283</v>
      </c>
      <c r="J550" s="241">
        <f t="shared" si="267"/>
        <v>-316.72069370645113</v>
      </c>
      <c r="K550" s="241">
        <f t="shared" si="267"/>
        <v>-380.70117139670145</v>
      </c>
      <c r="L550" s="241">
        <f t="shared" si="267"/>
        <v>-424.10135612354247</v>
      </c>
      <c r="M550" s="241">
        <f t="shared" si="267"/>
        <v>-468.72965593842969</v>
      </c>
      <c r="N550" s="241">
        <f t="shared" si="267"/>
        <v>-486.24696941383348</v>
      </c>
      <c r="O550" s="414"/>
    </row>
    <row r="551" spans="2:15" ht="15.75" x14ac:dyDescent="0.25">
      <c r="B551" s="415"/>
      <c r="C551" s="97" t="s">
        <v>105</v>
      </c>
      <c r="D551" s="97"/>
      <c r="E551" s="97"/>
      <c r="F551" s="529">
        <f>SUBTOTAL(109,VI.a.Outputs[2010])</f>
        <v>-9.5923269327613525E-14</v>
      </c>
      <c r="G551" s="529">
        <f>SUBTOTAL(109,VI.a.Outputs[2015])</f>
        <v>0</v>
      </c>
      <c r="H551" s="529">
        <f>SUBTOTAL(109,VI.a.Outputs[2020])</f>
        <v>0</v>
      </c>
      <c r="I551" s="529">
        <f>SUBTOTAL(109,VI.a.Outputs[2025])</f>
        <v>0</v>
      </c>
      <c r="J551" s="529">
        <f>SUBTOTAL(109,VI.a.Outputs[2030])</f>
        <v>0</v>
      </c>
      <c r="K551" s="529">
        <f>SUBTOTAL(109,VI.a.Outputs[2035])</f>
        <v>0</v>
      </c>
      <c r="L551" s="529">
        <f>SUBTOTAL(109,VI.a.Outputs[2040])</f>
        <v>0</v>
      </c>
      <c r="M551" s="529">
        <f>SUBTOTAL(109,VI.a.Outputs[2045])</f>
        <v>0</v>
      </c>
      <c r="N551" s="529">
        <f>SUBTOTAL(109,VI.a.Outputs[2050])</f>
        <v>0</v>
      </c>
      <c r="O551" s="414"/>
    </row>
    <row r="552" spans="2:15" ht="6.75" customHeight="1" x14ac:dyDescent="0.25">
      <c r="B552" s="416"/>
      <c r="C552" s="417"/>
      <c r="D552" s="417"/>
      <c r="E552" s="417"/>
      <c r="F552" s="417"/>
      <c r="G552" s="417"/>
      <c r="H552" s="417"/>
      <c r="I552" s="417"/>
      <c r="J552" s="417"/>
      <c r="K552" s="417"/>
      <c r="L552" s="417"/>
      <c r="M552" s="417"/>
      <c r="N552" s="417"/>
      <c r="O552" s="417"/>
    </row>
    <row r="554" spans="2:15" ht="15.75" x14ac:dyDescent="0.2">
      <c r="B554" s="484" t="s">
        <v>361</v>
      </c>
      <c r="C554" s="436"/>
      <c r="D554" s="437"/>
      <c r="E554" s="437"/>
      <c r="F554" s="437"/>
      <c r="G554" s="437"/>
      <c r="H554" s="437"/>
      <c r="I554" s="437"/>
      <c r="J554" s="437"/>
      <c r="K554" s="437"/>
      <c r="L554" s="437"/>
      <c r="M554" s="437"/>
      <c r="N554" s="437"/>
      <c r="O554" s="437"/>
    </row>
    <row r="555" spans="2:15" ht="5.25" customHeight="1" x14ac:dyDescent="0.2">
      <c r="B555" s="444"/>
      <c r="C555" s="445"/>
      <c r="D555" s="445"/>
      <c r="E555" s="445"/>
      <c r="F555" s="445"/>
      <c r="G555" s="445"/>
      <c r="H555" s="445"/>
      <c r="I555" s="445"/>
      <c r="J555" s="445"/>
      <c r="K555" s="445"/>
      <c r="L555" s="445"/>
      <c r="M555" s="445"/>
      <c r="N555" s="445"/>
      <c r="O555" s="445"/>
    </row>
    <row r="556" spans="2:15" ht="14.25" x14ac:dyDescent="0.25">
      <c r="B556" s="447"/>
      <c r="C556" s="439" t="s">
        <v>1857</v>
      </c>
      <c r="D556" s="440"/>
      <c r="E556" s="441"/>
      <c r="F556" s="440"/>
      <c r="G556" s="441"/>
      <c r="H556" s="440"/>
      <c r="I556" s="440"/>
      <c r="J556" s="440"/>
      <c r="K556" s="440"/>
      <c r="L556" s="440"/>
      <c r="M556" s="440"/>
      <c r="N556" s="1750" t="s">
        <v>676</v>
      </c>
      <c r="O556" s="448"/>
    </row>
    <row r="557" spans="2:15" ht="5.25" customHeight="1" x14ac:dyDescent="0.2">
      <c r="B557" s="447"/>
      <c r="C557" s="440"/>
      <c r="D557" s="440"/>
      <c r="E557" s="440"/>
      <c r="F557" s="440"/>
      <c r="G557" s="440"/>
      <c r="H557" s="440"/>
      <c r="I557" s="440"/>
      <c r="J557" s="440"/>
      <c r="K557" s="440"/>
      <c r="L557" s="440"/>
      <c r="M557" s="440"/>
      <c r="N557" s="440"/>
      <c r="O557" s="440"/>
    </row>
    <row r="558" spans="2:15" ht="15.75" x14ac:dyDescent="0.25">
      <c r="B558" s="449"/>
      <c r="C558" s="503" t="s">
        <v>490</v>
      </c>
      <c r="D558" s="503" t="s">
        <v>461</v>
      </c>
      <c r="E558" s="503" t="s">
        <v>172</v>
      </c>
      <c r="F558" s="503" t="s">
        <v>241</v>
      </c>
      <c r="G558" s="503" t="s">
        <v>268</v>
      </c>
      <c r="H558" s="503" t="s">
        <v>269</v>
      </c>
      <c r="I558" s="503" t="s">
        <v>270</v>
      </c>
      <c r="J558" s="503" t="s">
        <v>271</v>
      </c>
      <c r="K558" s="503" t="s">
        <v>272</v>
      </c>
      <c r="L558" s="503" t="s">
        <v>273</v>
      </c>
      <c r="M558" s="503" t="s">
        <v>274</v>
      </c>
      <c r="N558" s="503" t="s">
        <v>275</v>
      </c>
      <c r="O558" s="448"/>
    </row>
    <row r="559" spans="2:15" ht="15.75" x14ac:dyDescent="0.25">
      <c r="B559" s="449"/>
      <c r="C559" s="442" t="s">
        <v>473</v>
      </c>
      <c r="D559" s="520" t="s">
        <v>483</v>
      </c>
      <c r="E559" s="443" t="str">
        <f>INDEX(IPCC[Sector_description], MATCH(VI.a.Emissions[IPCC Sector], IPCC[Sector_code], 0))</f>
        <v>Fuel Combustion</v>
      </c>
      <c r="F559" s="530">
        <f t="shared" ref="F559:N559" si="268">F$443</f>
        <v>0.67149405648000005</v>
      </c>
      <c r="G559" s="530">
        <f t="shared" si="268"/>
        <v>0.70238291696340671</v>
      </c>
      <c r="H559" s="530">
        <f t="shared" si="268"/>
        <v>0.73733082740116584</v>
      </c>
      <c r="I559" s="530">
        <f t="shared" si="268"/>
        <v>0.77687118029381264</v>
      </c>
      <c r="J559" s="530">
        <f t="shared" si="268"/>
        <v>0.82160746029714637</v>
      </c>
      <c r="K559" s="530">
        <f t="shared" si="268"/>
        <v>0.87222245490709316</v>
      </c>
      <c r="L559" s="530">
        <f t="shared" si="268"/>
        <v>0.92948867550420133</v>
      </c>
      <c r="M559" s="530">
        <f t="shared" si="268"/>
        <v>0.994280147808976</v>
      </c>
      <c r="N559" s="530">
        <f t="shared" si="268"/>
        <v>1.0675857516998735</v>
      </c>
      <c r="O559" s="448"/>
    </row>
    <row r="560" spans="2:15" ht="15.75" x14ac:dyDescent="0.25">
      <c r="B560" s="449"/>
      <c r="C560" s="442" t="s">
        <v>474</v>
      </c>
      <c r="D560" s="520" t="s">
        <v>483</v>
      </c>
      <c r="E560" s="443" t="str">
        <f>INDEX(IPCC[Sector_description], MATCH(VI.a.Emissions[IPCC Sector], IPCC[Sector_code], 0))</f>
        <v>Fuel Combustion</v>
      </c>
      <c r="F560" s="530">
        <f t="shared" ref="F560:N560" si="269">F$444</f>
        <v>9.726522609162327E-4</v>
      </c>
      <c r="G560" s="530">
        <f t="shared" si="269"/>
        <v>1.0173944588499034E-3</v>
      </c>
      <c r="H560" s="530">
        <f t="shared" si="269"/>
        <v>1.0680161490548366E-3</v>
      </c>
      <c r="I560" s="530">
        <f t="shared" si="269"/>
        <v>1.1252899451031028E-3</v>
      </c>
      <c r="J560" s="530">
        <f t="shared" si="269"/>
        <v>1.1900899883355337E-3</v>
      </c>
      <c r="K560" s="530">
        <f t="shared" si="269"/>
        <v>1.2634052894443736E-3</v>
      </c>
      <c r="L560" s="530">
        <f t="shared" si="269"/>
        <v>1.346354823249464E-3</v>
      </c>
      <c r="M560" s="530">
        <f t="shared" si="269"/>
        <v>1.4402046070519921E-3</v>
      </c>
      <c r="N560" s="530">
        <f t="shared" si="269"/>
        <v>1.5463870232241819E-3</v>
      </c>
      <c r="O560" s="448"/>
    </row>
    <row r="561" spans="1:15" s="1745" customFormat="1" ht="15.75" x14ac:dyDescent="0.25">
      <c r="A561" s="1451"/>
      <c r="B561" s="449"/>
      <c r="C561" s="442" t="s">
        <v>475</v>
      </c>
      <c r="D561" s="520" t="s">
        <v>483</v>
      </c>
      <c r="E561" s="443" t="str">
        <f>INDEX(IPCC[Sector_description], MATCH(VI.a.Emissions[IPCC Sector], IPCC[Sector_code], 0))</f>
        <v>Fuel Combustion</v>
      </c>
      <c r="F561" s="530">
        <f t="shared" ref="F561:N561" si="270">F$445</f>
        <v>9.3164252483727804E-3</v>
      </c>
      <c r="G561" s="530">
        <f t="shared" si="270"/>
        <v>9.7449826673462192E-3</v>
      </c>
      <c r="H561" s="530">
        <f t="shared" si="270"/>
        <v>1.0229856050867982E-2</v>
      </c>
      <c r="I561" s="530">
        <f t="shared" si="270"/>
        <v>1.0778445779196568E-2</v>
      </c>
      <c r="J561" s="530">
        <f t="shared" si="270"/>
        <v>1.1399124703334963E-2</v>
      </c>
      <c r="K561" s="530">
        <f t="shared" si="270"/>
        <v>1.2101365935673264E-2</v>
      </c>
      <c r="L561" s="530">
        <f t="shared" si="270"/>
        <v>1.2895887433371249E-2</v>
      </c>
      <c r="M561" s="530">
        <f t="shared" si="270"/>
        <v>1.3794815581184909E-2</v>
      </c>
      <c r="N561" s="530">
        <f t="shared" si="270"/>
        <v>1.4811870270419842E-2</v>
      </c>
      <c r="O561" s="448"/>
    </row>
    <row r="562" spans="1:15" s="1745" customFormat="1" ht="15.75" x14ac:dyDescent="0.25">
      <c r="A562" s="84"/>
      <c r="B562" s="449"/>
      <c r="C562" s="443" t="s">
        <v>474</v>
      </c>
      <c r="D562" s="501">
        <v>4</v>
      </c>
      <c r="E562" s="443" t="str">
        <f>INDEX(IPCC[Sector_description], MATCH(VI.a.Emissions[IPCC Sector], IPCC[Sector_code], 0))</f>
        <v>Agriculture</v>
      </c>
      <c r="F562" s="502">
        <f t="shared" ref="F562:N562" si="271">F$448+F$449</f>
        <v>0</v>
      </c>
      <c r="G562" s="502">
        <f t="shared" si="271"/>
        <v>0</v>
      </c>
      <c r="H562" s="502">
        <f t="shared" si="271"/>
        <v>0</v>
      </c>
      <c r="I562" s="502">
        <f t="shared" si="271"/>
        <v>0</v>
      </c>
      <c r="J562" s="502">
        <f t="shared" si="271"/>
        <v>0</v>
      </c>
      <c r="K562" s="502">
        <f t="shared" si="271"/>
        <v>0</v>
      </c>
      <c r="L562" s="502">
        <f t="shared" si="271"/>
        <v>0</v>
      </c>
      <c r="M562" s="502">
        <f t="shared" si="271"/>
        <v>0</v>
      </c>
      <c r="N562" s="502">
        <f t="shared" si="271"/>
        <v>0</v>
      </c>
      <c r="O562" s="448"/>
    </row>
    <row r="563" spans="1:15" s="1745" customFormat="1" ht="12" customHeight="1" x14ac:dyDescent="0.3">
      <c r="A563" s="1422"/>
      <c r="B563" s="449"/>
      <c r="C563" s="443" t="s">
        <v>475</v>
      </c>
      <c r="D563" s="501">
        <v>4</v>
      </c>
      <c r="E563" s="443" t="str">
        <f>INDEX(IPCC[Sector_description], MATCH(VI.a.Emissions[IPCC Sector], IPCC[Sector_code], 0))</f>
        <v>Agriculture</v>
      </c>
      <c r="F563" s="502">
        <f t="shared" ref="F563:N563" si="272">F$450</f>
        <v>23.28</v>
      </c>
      <c r="G563" s="502">
        <f t="shared" si="272"/>
        <v>22.545258398704277</v>
      </c>
      <c r="H563" s="502">
        <f t="shared" si="272"/>
        <v>21.83370602510076</v>
      </c>
      <c r="I563" s="502">
        <f t="shared" si="272"/>
        <v>21.760312993855567</v>
      </c>
      <c r="J563" s="502">
        <f t="shared" si="272"/>
        <v>21.687166670019057</v>
      </c>
      <c r="K563" s="502">
        <f t="shared" si="272"/>
        <v>21.61426622429525</v>
      </c>
      <c r="L563" s="502">
        <f t="shared" si="272"/>
        <v>21.541610830175813</v>
      </c>
      <c r="M563" s="502">
        <f t="shared" si="272"/>
        <v>21.469199663930684</v>
      </c>
      <c r="N563" s="502">
        <f t="shared" si="272"/>
        <v>21.39703190459873</v>
      </c>
      <c r="O563" s="448"/>
    </row>
    <row r="564" spans="1:15" s="1745" customFormat="1" ht="15.75" x14ac:dyDescent="0.25">
      <c r="A564" s="1451"/>
      <c r="B564" s="449"/>
      <c r="C564" s="443" t="s">
        <v>473</v>
      </c>
      <c r="D564" s="501">
        <v>5</v>
      </c>
      <c r="E564" s="443" t="str">
        <f>INDEX(IPCC[Sector_description], MATCH(VI.a.Emissions[IPCC Sector], IPCC[Sector_code], 0))</f>
        <v>LULUCF</v>
      </c>
      <c r="F564" s="502">
        <f t="shared" ref="F564:N564" si="273">F459</f>
        <v>1.902062868</v>
      </c>
      <c r="G564" s="502">
        <f t="shared" si="273"/>
        <v>4.9966990495666685</v>
      </c>
      <c r="H564" s="502">
        <f t="shared" si="273"/>
        <v>7.3100835966666686</v>
      </c>
      <c r="I564" s="502">
        <f t="shared" si="273"/>
        <v>8.7189949184666684</v>
      </c>
      <c r="J564" s="502">
        <f t="shared" si="273"/>
        <v>7.9318683936333301</v>
      </c>
      <c r="K564" s="502">
        <f t="shared" si="273"/>
        <v>6.4835049805000082</v>
      </c>
      <c r="L564" s="502">
        <f t="shared" si="273"/>
        <v>3.6992471491666095</v>
      </c>
      <c r="M564" s="502">
        <f t="shared" si="273"/>
        <v>0.62618822796669904</v>
      </c>
      <c r="N564" s="502">
        <f t="shared" si="273"/>
        <v>-1.7523899681333004</v>
      </c>
      <c r="O564" s="448"/>
    </row>
    <row r="565" spans="1:15" s="1745" customFormat="1" ht="15.75" x14ac:dyDescent="0.25">
      <c r="A565" s="1451"/>
      <c r="B565" s="449"/>
      <c r="C565" s="443" t="s">
        <v>105</v>
      </c>
      <c r="D565" s="513"/>
      <c r="E565" s="443"/>
      <c r="F565" s="512">
        <f>SUBTOTAL(109,VI.a.Emissions[2010])</f>
        <v>25.863846001989291</v>
      </c>
      <c r="G565" s="512">
        <f>SUBTOTAL(109,VI.a.Emissions[2015])</f>
        <v>28.255102742360549</v>
      </c>
      <c r="H565" s="512">
        <f>SUBTOTAL(109,VI.a.Emissions[2020])</f>
        <v>29.892418321368517</v>
      </c>
      <c r="I565" s="512">
        <f>SUBTOTAL(109,VI.a.Emissions[2025])</f>
        <v>31.268082828340347</v>
      </c>
      <c r="J565" s="512">
        <f>SUBTOTAL(109,VI.a.Emissions[2030])</f>
        <v>30.453231738641204</v>
      </c>
      <c r="K565" s="512">
        <f>SUBTOTAL(109,VI.a.Emissions[2035])</f>
        <v>28.983358430927467</v>
      </c>
      <c r="L565" s="512">
        <f>SUBTOTAL(109,VI.a.Emissions[2040])</f>
        <v>26.184588897103243</v>
      </c>
      <c r="M565" s="512">
        <f>SUBTOTAL(109,VI.a.Emissions[2045])</f>
        <v>23.104903059894596</v>
      </c>
      <c r="N565" s="512">
        <f>SUBTOTAL(109,VI.a.Emissions[2050])</f>
        <v>20.728585945458946</v>
      </c>
      <c r="O565" s="448"/>
    </row>
    <row r="566" spans="1:15" s="1745" customFormat="1" ht="15.75" x14ac:dyDescent="0.25">
      <c r="A566" s="1451"/>
      <c r="B566" s="449"/>
      <c r="C566" s="443"/>
      <c r="D566" s="513"/>
      <c r="E566" s="443"/>
      <c r="F566" s="512"/>
      <c r="G566" s="512"/>
      <c r="H566" s="512"/>
      <c r="I566" s="512"/>
      <c r="J566" s="512"/>
      <c r="K566" s="512"/>
      <c r="L566" s="512"/>
      <c r="M566" s="512"/>
      <c r="N566" s="512"/>
      <c r="O566" s="512"/>
    </row>
    <row r="567" spans="1:15" s="1745" customFormat="1" ht="15.75" x14ac:dyDescent="0.25">
      <c r="A567" s="3"/>
      <c r="B567" s="449"/>
      <c r="C567" s="1764" t="s">
        <v>1849</v>
      </c>
      <c r="D567" s="513"/>
      <c r="E567" s="443"/>
      <c r="F567" s="512"/>
      <c r="G567" s="512"/>
      <c r="H567" s="512"/>
      <c r="I567" s="512"/>
      <c r="J567" s="512"/>
      <c r="K567" s="512"/>
      <c r="L567" s="512"/>
      <c r="M567" s="512"/>
      <c r="N567" s="1765" t="s">
        <v>1848</v>
      </c>
      <c r="O567" s="512"/>
    </row>
    <row r="568" spans="1:15" s="1745" customFormat="1" ht="15.75" x14ac:dyDescent="0.25">
      <c r="A568" s="3"/>
      <c r="B568" s="449"/>
      <c r="C568" s="443"/>
      <c r="D568" s="513"/>
      <c r="E568" s="443"/>
      <c r="F568" s="512"/>
      <c r="G568" s="512"/>
      <c r="H568" s="512"/>
      <c r="I568" s="512"/>
      <c r="J568" s="512"/>
      <c r="K568" s="512"/>
      <c r="L568" s="512"/>
      <c r="M568" s="512"/>
      <c r="N568" s="512"/>
      <c r="O568" s="512"/>
    </row>
    <row r="569" spans="1:15" s="1745" customFormat="1" ht="15.75" x14ac:dyDescent="0.25">
      <c r="A569" s="3"/>
      <c r="B569" s="449"/>
      <c r="C569" s="1781" t="s">
        <v>64</v>
      </c>
      <c r="D569" s="1781" t="s">
        <v>150</v>
      </c>
      <c r="E569" s="1781" t="s">
        <v>172</v>
      </c>
      <c r="F569" s="1781" t="s">
        <v>241</v>
      </c>
      <c r="G569" s="1781" t="s">
        <v>268</v>
      </c>
      <c r="H569" s="1781" t="s">
        <v>269</v>
      </c>
      <c r="I569" s="1781" t="s">
        <v>270</v>
      </c>
      <c r="J569" s="1781" t="s">
        <v>271</v>
      </c>
      <c r="K569" s="1781" t="s">
        <v>272</v>
      </c>
      <c r="L569" s="1781" t="s">
        <v>273</v>
      </c>
      <c r="M569" s="1781" t="s">
        <v>274</v>
      </c>
      <c r="N569" s="1781" t="s">
        <v>275</v>
      </c>
      <c r="O569" s="448"/>
    </row>
    <row r="570" spans="1:15" ht="15.75" x14ac:dyDescent="0.25">
      <c r="A570" s="3"/>
      <c r="B570" s="449"/>
      <c r="C570" s="1778" t="s">
        <v>1787</v>
      </c>
      <c r="D570" s="1779" t="str">
        <f>INDEX(AirQualityVectors[Description],MATCH(C570,AirQualityVectors[Code],0))</f>
        <v>PM10</v>
      </c>
      <c r="E570" s="1778"/>
      <c r="F570" s="1780">
        <f ca="1">F477+F478</f>
        <v>212.16079661869858</v>
      </c>
      <c r="G570" s="1780">
        <f t="shared" ref="G570:N570" ca="1" si="274">G477+G478</f>
        <v>0.75535839661323889</v>
      </c>
      <c r="H570" s="1780">
        <f t="shared" ca="1" si="274"/>
        <v>0.9001451685788644</v>
      </c>
      <c r="I570" s="1780">
        <f t="shared" ca="1" si="274"/>
        <v>1.0823576922559295</v>
      </c>
      <c r="J570" s="1780">
        <f t="shared" ca="1" si="274"/>
        <v>1.308292765305529</v>
      </c>
      <c r="K570" s="1780">
        <f t="shared" ca="1" si="274"/>
        <v>1.5919464295118879</v>
      </c>
      <c r="L570" s="1780">
        <f t="shared" ca="1" si="274"/>
        <v>1.9503935529594474</v>
      </c>
      <c r="M570" s="1780">
        <f t="shared" ca="1" si="274"/>
        <v>2.4031256402512677</v>
      </c>
      <c r="N570" s="1780">
        <f t="shared" ca="1" si="274"/>
        <v>2.9759122794337394</v>
      </c>
      <c r="O570" s="448"/>
    </row>
    <row r="571" spans="1:15" ht="21.75" customHeight="1" collapsed="1" x14ac:dyDescent="0.25">
      <c r="A571" s="3"/>
      <c r="B571" s="449"/>
      <c r="C571" s="1757" t="s">
        <v>1788</v>
      </c>
      <c r="D571" s="1756" t="str">
        <f>INDEX(AirQualityVectors[Description],MATCH(C571,AirQualityVectors[Code],0))</f>
        <v>NOX</v>
      </c>
      <c r="E571" s="1757"/>
      <c r="F571" s="1776">
        <f t="shared" ref="F571:N571" ca="1" si="275">F479</f>
        <v>10262.077411804983</v>
      </c>
      <c r="G571" s="1776">
        <f t="shared" ca="1" si="275"/>
        <v>1.4370370987474772</v>
      </c>
      <c r="H571" s="1776">
        <f t="shared" ca="1" si="275"/>
        <v>1.5085320282344585</v>
      </c>
      <c r="I571" s="1776">
        <f t="shared" ca="1" si="275"/>
        <v>1.5864572061507065</v>
      </c>
      <c r="J571" s="1776">
        <f t="shared" ca="1" si="275"/>
        <v>1.678097395243777</v>
      </c>
      <c r="K571" s="1776">
        <f t="shared" ca="1" si="275"/>
        <v>1.781940722216518</v>
      </c>
      <c r="L571" s="1776">
        <f t="shared" ca="1" si="275"/>
        <v>1.8969559220465657</v>
      </c>
      <c r="M571" s="1776">
        <f t="shared" ca="1" si="275"/>
        <v>2.0250380863181867</v>
      </c>
      <c r="N571" s="1776">
        <f t="shared" ca="1" si="275"/>
        <v>2.1670932794303268</v>
      </c>
      <c r="O571" s="448"/>
    </row>
    <row r="572" spans="1:15" ht="15.75" x14ac:dyDescent="0.25">
      <c r="A572" s="3"/>
      <c r="B572" s="449"/>
      <c r="C572" s="1757" t="s">
        <v>1789</v>
      </c>
      <c r="D572" s="1756" t="str">
        <f>INDEX(AirQualityVectors[Description],MATCH(C572,AirQualityVectors[Code],0))</f>
        <v>SO2</v>
      </c>
      <c r="E572" s="1757"/>
      <c r="F572" s="1776">
        <f t="shared" ref="F572:N572" ca="1" si="276">F480</f>
        <v>23.027279033684213</v>
      </c>
      <c r="G572" s="1776">
        <f t="shared" ca="1" si="276"/>
        <v>2.9268046900357647</v>
      </c>
      <c r="H572" s="1776">
        <f t="shared" ca="1" si="276"/>
        <v>3.054619224284282</v>
      </c>
      <c r="I572" s="1776">
        <f t="shared" ca="1" si="276"/>
        <v>3.1998893262097363</v>
      </c>
      <c r="J572" s="1776">
        <f t="shared" ca="1" si="276"/>
        <v>3.3745896877549786</v>
      </c>
      <c r="K572" s="1776">
        <f t="shared" ca="1" si="276"/>
        <v>3.5734719954572776</v>
      </c>
      <c r="L572" s="1776">
        <f t="shared" ca="1" si="276"/>
        <v>3.7929106404208168</v>
      </c>
      <c r="M572" s="1776">
        <f t="shared" ca="1" si="276"/>
        <v>4.0380315668955173</v>
      </c>
      <c r="N572" s="1776">
        <f t="shared" ca="1" si="276"/>
        <v>4.3093285209383936</v>
      </c>
      <c r="O572" s="448"/>
    </row>
    <row r="573" spans="1:15" ht="15.75" x14ac:dyDescent="0.25">
      <c r="A573" s="3"/>
      <c r="B573" s="449"/>
      <c r="C573" s="1761" t="s">
        <v>1790</v>
      </c>
      <c r="D573" s="1760" t="str">
        <f>INDEX(AirQualityVectors[Description],MATCH(C573,AirQualityVectors[Code],0))</f>
        <v>NMVOC</v>
      </c>
      <c r="E573" s="1761"/>
      <c r="F573" s="1777">
        <f t="shared" ref="F573:N573" ca="1" si="277">F481</f>
        <v>1.4734246453808979E-3</v>
      </c>
      <c r="G573" s="1777">
        <f t="shared" ca="1" si="277"/>
        <v>3.5374252962206615E-2</v>
      </c>
      <c r="H573" s="1777">
        <f t="shared" ca="1" si="277"/>
        <v>3.7718638896130363E-2</v>
      </c>
      <c r="I573" s="1777">
        <f t="shared" ca="1" si="277"/>
        <v>4.059746234829683E-2</v>
      </c>
      <c r="J573" s="1777">
        <f t="shared" ca="1" si="277"/>
        <v>4.3225038913980364E-2</v>
      </c>
      <c r="K573" s="1777">
        <f t="shared" ca="1" si="277"/>
        <v>4.6144302977280824E-2</v>
      </c>
      <c r="L573" s="1777">
        <f t="shared" ca="1" si="277"/>
        <v>4.9836935230148767E-2</v>
      </c>
      <c r="M573" s="1777">
        <f t="shared" ca="1" si="277"/>
        <v>5.4289383118090812E-2</v>
      </c>
      <c r="N573" s="1777">
        <f t="shared" ca="1" si="277"/>
        <v>5.9763752376079941E-2</v>
      </c>
      <c r="O573" s="448"/>
    </row>
    <row r="574" spans="1:15" ht="16.5" customHeight="1" x14ac:dyDescent="0.25">
      <c r="A574" s="3"/>
      <c r="B574" s="449"/>
      <c r="C574" s="443"/>
      <c r="D574" s="513"/>
      <c r="E574" s="443"/>
      <c r="F574" s="512"/>
      <c r="G574" s="512"/>
      <c r="H574" s="512"/>
      <c r="I574" s="512"/>
      <c r="J574" s="512"/>
      <c r="K574" s="512"/>
      <c r="L574" s="512"/>
      <c r="M574" s="512"/>
      <c r="N574" s="512"/>
      <c r="O574" s="512"/>
    </row>
    <row r="575" spans="1:15" ht="15.75" x14ac:dyDescent="0.25">
      <c r="A575" s="3"/>
    </row>
    <row r="576" spans="1:15" ht="15.75" x14ac:dyDescent="0.25">
      <c r="A576" s="3"/>
      <c r="B576" s="1430" t="s">
        <v>1225</v>
      </c>
      <c r="C576" s="1218"/>
      <c r="D576" s="1431"/>
      <c r="E576" s="1431"/>
      <c r="F576" s="1431"/>
      <c r="G576" s="1431"/>
      <c r="H576" s="1431"/>
      <c r="I576" s="1431"/>
      <c r="J576" s="1431"/>
      <c r="K576" s="1431"/>
      <c r="L576" s="1431"/>
      <c r="M576" s="1431"/>
      <c r="N576" s="1431"/>
      <c r="O576" s="1431"/>
    </row>
    <row r="577" spans="1:15" ht="5.25" customHeight="1" x14ac:dyDescent="0.25">
      <c r="A577" s="3"/>
      <c r="B577" s="1219"/>
      <c r="C577" s="1220"/>
      <c r="D577" s="1220"/>
      <c r="E577" s="1220"/>
      <c r="F577" s="1220"/>
      <c r="G577" s="1220"/>
      <c r="H577" s="1220"/>
      <c r="I577" s="1220"/>
      <c r="J577" s="1220"/>
      <c r="K577" s="1220"/>
      <c r="L577" s="1220"/>
      <c r="M577" s="1220"/>
      <c r="N577" s="1220"/>
      <c r="O577" s="1220"/>
    </row>
    <row r="578" spans="1:15" ht="15.75" x14ac:dyDescent="0.25">
      <c r="A578" s="3"/>
      <c r="B578" s="1433"/>
      <c r="C578" s="1222" t="s">
        <v>1343</v>
      </c>
      <c r="D578" s="1434"/>
      <c r="E578" s="1223"/>
      <c r="F578" s="1434"/>
      <c r="G578" s="1223"/>
      <c r="H578" s="1434"/>
      <c r="I578" s="1434"/>
      <c r="J578" s="1434"/>
      <c r="K578" s="1434"/>
      <c r="L578" s="1434"/>
      <c r="M578" s="1434"/>
      <c r="N578" s="1434"/>
      <c r="O578" s="1223"/>
    </row>
    <row r="579" spans="1:15" ht="6" customHeight="1" x14ac:dyDescent="0.25">
      <c r="A579" s="3"/>
      <c r="B579" s="1433"/>
      <c r="C579" s="1434"/>
      <c r="D579" s="1434"/>
      <c r="E579" s="1434"/>
      <c r="F579" s="1434"/>
      <c r="G579" s="1434"/>
      <c r="H579" s="1434"/>
      <c r="I579" s="1434"/>
      <c r="J579" s="1434"/>
      <c r="K579" s="1434"/>
      <c r="L579" s="1434"/>
      <c r="M579" s="1434"/>
      <c r="N579" s="1434"/>
      <c r="O579" s="1434"/>
    </row>
    <row r="580" spans="1:15" ht="15.75" x14ac:dyDescent="0.25">
      <c r="A580" s="3"/>
      <c r="B580" s="1436"/>
      <c r="C580" s="1437" t="s">
        <v>64</v>
      </c>
      <c r="D580" s="1437" t="s">
        <v>1226</v>
      </c>
      <c r="E580" s="1437" t="s">
        <v>172</v>
      </c>
      <c r="F580" s="1437" t="s">
        <v>241</v>
      </c>
      <c r="G580" s="1437" t="s">
        <v>268</v>
      </c>
      <c r="H580" s="1437" t="s">
        <v>269</v>
      </c>
      <c r="I580" s="1437" t="s">
        <v>270</v>
      </c>
      <c r="J580" s="1437" t="s">
        <v>271</v>
      </c>
      <c r="K580" s="1437" t="s">
        <v>272</v>
      </c>
      <c r="L580" s="1437" t="s">
        <v>273</v>
      </c>
      <c r="M580" s="1437" t="s">
        <v>274</v>
      </c>
      <c r="N580" s="1437" t="s">
        <v>275</v>
      </c>
      <c r="O580" s="1435"/>
    </row>
    <row r="581" spans="1:15" ht="15.75" x14ac:dyDescent="0.25">
      <c r="B581" s="1436"/>
      <c r="C581" s="1438" t="s">
        <v>1227</v>
      </c>
      <c r="D581" s="1438" t="s">
        <v>1344</v>
      </c>
      <c r="E581" s="1439" t="str">
        <f>Preferences.AreaUnits</f>
        <v>km^2</v>
      </c>
      <c r="F581" s="1226">
        <f t="shared" ref="F581:N581" si="278">F300+F301+F302</f>
        <v>323318.8</v>
      </c>
      <c r="G581" s="1226">
        <f t="shared" si="278"/>
        <v>323318.8</v>
      </c>
      <c r="H581" s="1226">
        <f t="shared" si="278"/>
        <v>323318.8</v>
      </c>
      <c r="I581" s="1226">
        <f t="shared" si="278"/>
        <v>323318.8</v>
      </c>
      <c r="J581" s="1226">
        <f t="shared" si="278"/>
        <v>323318.8</v>
      </c>
      <c r="K581" s="1226">
        <f t="shared" si="278"/>
        <v>323318.8</v>
      </c>
      <c r="L581" s="1226">
        <f t="shared" si="278"/>
        <v>323318.8</v>
      </c>
      <c r="M581" s="1226">
        <f t="shared" si="278"/>
        <v>323318.8</v>
      </c>
      <c r="N581" s="1226">
        <f t="shared" si="278"/>
        <v>323318.8</v>
      </c>
      <c r="O581" s="1435"/>
    </row>
    <row r="582" spans="1:15" ht="5.25" customHeight="1" x14ac:dyDescent="0.3">
      <c r="A582" s="1422"/>
      <c r="B582" s="1436"/>
      <c r="C582" s="1434"/>
      <c r="D582" s="1434"/>
      <c r="E582" s="1434"/>
      <c r="F582" s="1434"/>
      <c r="G582" s="1434"/>
      <c r="H582" s="1434"/>
      <c r="I582" s="1434"/>
      <c r="J582" s="1434"/>
      <c r="K582" s="1434"/>
      <c r="L582" s="1434"/>
      <c r="M582" s="1434"/>
      <c r="N582" s="1434"/>
      <c r="O582" s="1434"/>
    </row>
    <row r="583" spans="1:15" x14ac:dyDescent="0.2">
      <c r="B583" s="1433"/>
      <c r="C583" s="1222" t="s">
        <v>1345</v>
      </c>
      <c r="D583" s="1434"/>
      <c r="E583" s="1223"/>
      <c r="F583" s="1434"/>
      <c r="G583" s="1223"/>
      <c r="H583" s="1434"/>
      <c r="I583" s="1434"/>
      <c r="J583" s="1434"/>
      <c r="K583" s="1434"/>
      <c r="L583" s="1434"/>
      <c r="M583" s="1434"/>
      <c r="N583" s="1434"/>
      <c r="O583" s="1223"/>
    </row>
    <row r="584" spans="1:15" ht="5.25" customHeight="1" x14ac:dyDescent="0.2">
      <c r="B584" s="1433"/>
      <c r="C584" s="1434"/>
      <c r="D584" s="1434"/>
      <c r="E584" s="1434"/>
      <c r="F584" s="1434"/>
      <c r="G584" s="1434"/>
      <c r="H584" s="1434"/>
      <c r="I584" s="1434"/>
      <c r="J584" s="1434"/>
      <c r="K584" s="1434"/>
      <c r="L584" s="1434"/>
      <c r="M584" s="1434"/>
      <c r="N584" s="1434"/>
      <c r="O584" s="1434"/>
    </row>
    <row r="585" spans="1:15" ht="15.75" x14ac:dyDescent="0.25">
      <c r="B585" s="1436"/>
      <c r="C585" s="1437" t="s">
        <v>64</v>
      </c>
      <c r="D585" s="1437" t="s">
        <v>1226</v>
      </c>
      <c r="E585" s="1437" t="s">
        <v>172</v>
      </c>
      <c r="F585" s="1437" t="s">
        <v>241</v>
      </c>
      <c r="G585" s="1437" t="s">
        <v>268</v>
      </c>
      <c r="H585" s="1437" t="s">
        <v>269</v>
      </c>
      <c r="I585" s="1437" t="s">
        <v>270</v>
      </c>
      <c r="J585" s="1437" t="s">
        <v>271</v>
      </c>
      <c r="K585" s="1437" t="s">
        <v>272</v>
      </c>
      <c r="L585" s="1437" t="s">
        <v>273</v>
      </c>
      <c r="M585" s="1437" t="s">
        <v>274</v>
      </c>
      <c r="N585" s="1437" t="s">
        <v>275</v>
      </c>
      <c r="O585" s="1435"/>
    </row>
    <row r="586" spans="1:15" ht="15.75" x14ac:dyDescent="0.25">
      <c r="B586" s="1436"/>
      <c r="C586" s="1438" t="s">
        <v>1227</v>
      </c>
      <c r="D586" s="1438" t="s">
        <v>1346</v>
      </c>
      <c r="E586" s="1439" t="str">
        <f>Preferences.AreaUnits</f>
        <v>km^2</v>
      </c>
      <c r="F586" s="1226">
        <f t="shared" ref="F586:N586" si="279">F305</f>
        <v>286368.08</v>
      </c>
      <c r="G586" s="1226">
        <f t="shared" si="279"/>
        <v>286368.08</v>
      </c>
      <c r="H586" s="1226">
        <f t="shared" si="279"/>
        <v>286368.08</v>
      </c>
      <c r="I586" s="1226">
        <f t="shared" si="279"/>
        <v>286368.08</v>
      </c>
      <c r="J586" s="1226">
        <f t="shared" si="279"/>
        <v>286368.08</v>
      </c>
      <c r="K586" s="1226">
        <f t="shared" si="279"/>
        <v>286368.08</v>
      </c>
      <c r="L586" s="1226">
        <f t="shared" si="279"/>
        <v>286368.08</v>
      </c>
      <c r="M586" s="1226">
        <f t="shared" si="279"/>
        <v>286368.08</v>
      </c>
      <c r="N586" s="1226">
        <f t="shared" si="279"/>
        <v>286368.08</v>
      </c>
      <c r="O586" s="1435"/>
    </row>
    <row r="587" spans="1:15" ht="12.75" customHeight="1" x14ac:dyDescent="0.25">
      <c r="B587" s="1227"/>
      <c r="C587" s="1440"/>
      <c r="D587" s="1440"/>
      <c r="E587" s="1440"/>
      <c r="F587" s="1440"/>
      <c r="G587" s="1440"/>
      <c r="H587" s="1440"/>
      <c r="I587" s="1440"/>
      <c r="J587" s="1440"/>
      <c r="K587" s="1440"/>
      <c r="L587" s="1440"/>
      <c r="M587" s="1440"/>
      <c r="N587" s="1440"/>
      <c r="O587" s="1440"/>
    </row>
    <row r="589" spans="1:15" ht="15.75" x14ac:dyDescent="0.2">
      <c r="B589" s="1430" t="s">
        <v>1424</v>
      </c>
      <c r="C589" s="1431"/>
      <c r="D589" s="1431"/>
      <c r="E589" s="1431"/>
      <c r="F589" s="1431"/>
      <c r="G589" s="1431"/>
      <c r="H589" s="1431"/>
      <c r="I589" s="1431"/>
      <c r="J589" s="1431"/>
      <c r="K589" s="1431"/>
      <c r="L589" s="1431"/>
      <c r="M589" s="1431"/>
      <c r="N589" s="1431"/>
      <c r="O589" s="1431"/>
    </row>
    <row r="590" spans="1:15" ht="5.25" customHeight="1" x14ac:dyDescent="0.2">
      <c r="B590" s="1433"/>
      <c r="C590" s="1434"/>
      <c r="D590" s="1434"/>
      <c r="E590" s="1434"/>
      <c r="F590" s="1434"/>
      <c r="G590" s="1434"/>
      <c r="H590" s="1434"/>
      <c r="I590" s="1434"/>
      <c r="J590" s="1434"/>
      <c r="K590" s="1434"/>
      <c r="L590" s="1434"/>
      <c r="M590" s="1434"/>
      <c r="N590" s="1434"/>
      <c r="O590" s="1434"/>
    </row>
    <row r="591" spans="1:15" x14ac:dyDescent="0.2">
      <c r="B591" s="1433"/>
      <c r="C591" s="1441" t="s">
        <v>1876</v>
      </c>
      <c r="D591" s="1442"/>
      <c r="E591" s="1442"/>
      <c r="F591" s="1442"/>
      <c r="G591" s="1442"/>
      <c r="H591" s="1442"/>
      <c r="I591" s="1442"/>
      <c r="J591" s="1442"/>
      <c r="K591" s="1442"/>
      <c r="L591" s="1442"/>
      <c r="M591" s="1442"/>
      <c r="N591" s="1479" t="str">
        <f>Preferences.moneyunits</f>
        <v>N</v>
      </c>
      <c r="O591" s="1434"/>
    </row>
    <row r="592" spans="1:15" s="1745" customFormat="1" ht="6" customHeight="1" x14ac:dyDescent="0.2">
      <c r="A592" s="1451"/>
      <c r="B592" s="1433"/>
      <c r="C592" s="1434"/>
      <c r="D592" s="1434"/>
      <c r="E592" s="1434"/>
      <c r="F592" s="1434"/>
      <c r="G592" s="1434"/>
      <c r="H592" s="1434"/>
      <c r="I592" s="1434"/>
      <c r="J592" s="1434"/>
      <c r="K592" s="1434"/>
      <c r="L592" s="1434"/>
      <c r="M592" s="1434"/>
      <c r="N592" s="1434"/>
      <c r="O592" s="1434"/>
    </row>
    <row r="593" spans="1:15" s="1745" customFormat="1" ht="16.5" customHeight="1" x14ac:dyDescent="0.25">
      <c r="A593" s="1451"/>
      <c r="B593" s="1436"/>
      <c r="C593" s="1437" t="s">
        <v>64</v>
      </c>
      <c r="D593" s="1437" t="s">
        <v>150</v>
      </c>
      <c r="E593" s="1437" t="s">
        <v>172</v>
      </c>
      <c r="F593" s="1437" t="s">
        <v>241</v>
      </c>
      <c r="G593" s="1437" t="s">
        <v>268</v>
      </c>
      <c r="H593" s="1437" t="s">
        <v>269</v>
      </c>
      <c r="I593" s="1437" t="s">
        <v>270</v>
      </c>
      <c r="J593" s="1437" t="s">
        <v>271</v>
      </c>
      <c r="K593" s="1437" t="s">
        <v>272</v>
      </c>
      <c r="L593" s="1437" t="s">
        <v>273</v>
      </c>
      <c r="M593" s="1437" t="s">
        <v>274</v>
      </c>
      <c r="N593" s="1437" t="s">
        <v>275</v>
      </c>
      <c r="O593" s="1443"/>
    </row>
    <row r="594" spans="1:15" s="1592" customFormat="1" ht="15.75" x14ac:dyDescent="0.25">
      <c r="A594" s="1745"/>
      <c r="B594" s="1436"/>
      <c r="C594" s="1458" t="s">
        <v>1384</v>
      </c>
      <c r="D594" s="1439" t="str">
        <f>INDEX(CostVectors[Description], MATCH(C594, CostVectors[Code], 0))</f>
        <v>Low estimate of operating costs</v>
      </c>
      <c r="E594" s="1439"/>
      <c r="F594" s="1394">
        <f t="shared" ref="F594:N594" si="280">F528+F498+F500</f>
        <v>0</v>
      </c>
      <c r="G594" s="1394">
        <f t="shared" si="280"/>
        <v>0</v>
      </c>
      <c r="H594" s="1394">
        <f t="shared" si="280"/>
        <v>0</v>
      </c>
      <c r="I594" s="1394">
        <f t="shared" si="280"/>
        <v>0</v>
      </c>
      <c r="J594" s="1394">
        <f t="shared" si="280"/>
        <v>0</v>
      </c>
      <c r="K594" s="1394">
        <f t="shared" si="280"/>
        <v>0</v>
      </c>
      <c r="L594" s="1394">
        <f t="shared" si="280"/>
        <v>0</v>
      </c>
      <c r="M594" s="1394">
        <f t="shared" si="280"/>
        <v>0</v>
      </c>
      <c r="N594" s="1394">
        <f t="shared" si="280"/>
        <v>0</v>
      </c>
      <c r="O594" s="1443"/>
    </row>
    <row r="595" spans="1:15" s="1903" customFormat="1" ht="15.75" x14ac:dyDescent="0.25">
      <c r="B595" s="1436"/>
      <c r="C595" s="1458" t="s">
        <v>1868</v>
      </c>
      <c r="D595" s="1439" t="str">
        <f>INDEX(CostVectors[Description], MATCH(C595, CostVectors[Code], 0))</f>
        <v>Point estimate of operating costs</v>
      </c>
      <c r="E595" s="1915"/>
      <c r="F595" s="1916">
        <f t="shared" ref="F595:N595" si="281">F512+F514+F516</f>
        <v>0</v>
      </c>
      <c r="G595" s="1916">
        <f t="shared" si="281"/>
        <v>0</v>
      </c>
      <c r="H595" s="1916">
        <f t="shared" si="281"/>
        <v>0</v>
      </c>
      <c r="I595" s="1916">
        <f t="shared" si="281"/>
        <v>0</v>
      </c>
      <c r="J595" s="1916">
        <f t="shared" si="281"/>
        <v>0</v>
      </c>
      <c r="K595" s="1916">
        <f t="shared" si="281"/>
        <v>0</v>
      </c>
      <c r="L595" s="1916">
        <f t="shared" si="281"/>
        <v>0</v>
      </c>
      <c r="M595" s="1916">
        <f t="shared" si="281"/>
        <v>0</v>
      </c>
      <c r="N595" s="1916">
        <f t="shared" si="281"/>
        <v>0</v>
      </c>
      <c r="O595" s="1443"/>
    </row>
    <row r="596" spans="1:15" s="1592" customFormat="1" ht="15.75" x14ac:dyDescent="0.25">
      <c r="A596" s="1745"/>
      <c r="B596" s="1436"/>
      <c r="C596" s="1438" t="s">
        <v>1393</v>
      </c>
      <c r="D596" s="1459" t="str">
        <f>INDEX(CostVectors[Description], MATCH(C596, CostVectors[Code], 0))</f>
        <v>High estimate of operating costs</v>
      </c>
      <c r="E596" s="1460"/>
      <c r="F596" s="1461">
        <f t="shared" ref="F596:N596" si="282">F496+F530+F532</f>
        <v>0</v>
      </c>
      <c r="G596" s="1461">
        <f t="shared" si="282"/>
        <v>0</v>
      </c>
      <c r="H596" s="1461">
        <f t="shared" si="282"/>
        <v>0</v>
      </c>
      <c r="I596" s="1461">
        <f t="shared" si="282"/>
        <v>0</v>
      </c>
      <c r="J596" s="1461">
        <f t="shared" si="282"/>
        <v>0</v>
      </c>
      <c r="K596" s="1461">
        <f t="shared" si="282"/>
        <v>0</v>
      </c>
      <c r="L596" s="1461">
        <f t="shared" si="282"/>
        <v>0</v>
      </c>
      <c r="M596" s="1461">
        <f t="shared" si="282"/>
        <v>0</v>
      </c>
      <c r="N596" s="1461">
        <f t="shared" si="282"/>
        <v>0</v>
      </c>
      <c r="O596" s="1443"/>
    </row>
    <row r="597" spans="1:15" s="1592" customFormat="1" ht="15.75" x14ac:dyDescent="0.25">
      <c r="A597" s="1745"/>
      <c r="B597" s="1436"/>
      <c r="C597" s="1434"/>
      <c r="D597" s="1434"/>
      <c r="E597" s="1434"/>
      <c r="F597" s="1434"/>
      <c r="G597" s="1434"/>
      <c r="H597" s="1434"/>
      <c r="I597" s="1434"/>
      <c r="J597" s="1434"/>
      <c r="K597" s="1434"/>
      <c r="L597" s="1434"/>
      <c r="M597" s="1434"/>
      <c r="N597" s="1434"/>
      <c r="O597" s="1434"/>
    </row>
    <row r="598" spans="1:15" ht="15.75" x14ac:dyDescent="0.25">
      <c r="A598" s="1745"/>
      <c r="B598" s="1436"/>
      <c r="C598" s="1222" t="s">
        <v>1877</v>
      </c>
      <c r="D598" s="1434"/>
      <c r="E598" s="1434"/>
      <c r="F598" s="1434"/>
      <c r="G598" s="1434"/>
      <c r="H598" s="1434"/>
      <c r="I598" s="1434"/>
      <c r="J598" s="1434"/>
      <c r="K598" s="1434"/>
      <c r="L598" s="1434"/>
      <c r="M598" s="1434"/>
      <c r="N598" s="1479" t="str">
        <f>Preferences.moneyunits</f>
        <v>N</v>
      </c>
      <c r="O598" s="1434"/>
    </row>
    <row r="599" spans="1:15" ht="3.75" customHeight="1" x14ac:dyDescent="0.25">
      <c r="A599" s="1745"/>
      <c r="B599" s="1436"/>
      <c r="C599" s="1434"/>
      <c r="D599" s="1434"/>
      <c r="E599" s="1434"/>
      <c r="F599" s="1434"/>
      <c r="G599" s="1434"/>
      <c r="H599" s="1434"/>
      <c r="I599" s="1434"/>
      <c r="J599" s="1434"/>
      <c r="K599" s="1434"/>
      <c r="L599" s="1434"/>
      <c r="M599" s="1434"/>
      <c r="N599" s="1434"/>
      <c r="O599" s="1434"/>
    </row>
    <row r="600" spans="1:15" ht="15.75" x14ac:dyDescent="0.25">
      <c r="A600" s="1745"/>
      <c r="B600" s="1436"/>
      <c r="C600" s="1437" t="s">
        <v>64</v>
      </c>
      <c r="D600" s="1437" t="s">
        <v>150</v>
      </c>
      <c r="E600" s="1437" t="s">
        <v>172</v>
      </c>
      <c r="F600" s="1437" t="s">
        <v>241</v>
      </c>
      <c r="G600" s="1437" t="s">
        <v>268</v>
      </c>
      <c r="H600" s="1437" t="s">
        <v>269</v>
      </c>
      <c r="I600" s="1437" t="s">
        <v>270</v>
      </c>
      <c r="J600" s="1437" t="s">
        <v>271</v>
      </c>
      <c r="K600" s="1437" t="s">
        <v>272</v>
      </c>
      <c r="L600" s="1437" t="s">
        <v>273</v>
      </c>
      <c r="M600" s="1437" t="s">
        <v>274</v>
      </c>
      <c r="N600" s="1437" t="s">
        <v>275</v>
      </c>
      <c r="O600" s="1443"/>
    </row>
    <row r="601" spans="1:15" ht="15.75" x14ac:dyDescent="0.25">
      <c r="A601" s="1745"/>
      <c r="B601" s="1436"/>
      <c r="C601" s="1438" t="s">
        <v>1386</v>
      </c>
      <c r="D601" s="1439" t="str">
        <f>INDEX(CostVectors[Description], MATCH(C601, CostVectors[Code], 0))</f>
        <v>Low estimate of fuel costs</v>
      </c>
      <c r="E601" s="1393"/>
      <c r="F601" s="1394">
        <f t="shared" ref="F601:N601" si="283">F492</f>
        <v>3007949625894.4443</v>
      </c>
      <c r="G601" s="1394">
        <f t="shared" si="283"/>
        <v>3317583454557.147</v>
      </c>
      <c r="H601" s="1394">
        <f t="shared" si="283"/>
        <v>3678861359400.3667</v>
      </c>
      <c r="I601" s="1394">
        <f t="shared" si="283"/>
        <v>4054031687644.2373</v>
      </c>
      <c r="J601" s="1394">
        <f t="shared" si="283"/>
        <v>4417792866192.6455</v>
      </c>
      <c r="K601" s="1394">
        <f t="shared" si="283"/>
        <v>4870517402558.7168</v>
      </c>
      <c r="L601" s="1394">
        <f t="shared" si="283"/>
        <v>5294906674359.4316</v>
      </c>
      <c r="M601" s="1394">
        <f t="shared" si="283"/>
        <v>5747333750624.0059</v>
      </c>
      <c r="N601" s="1394">
        <f t="shared" si="283"/>
        <v>6158958083179.7256</v>
      </c>
      <c r="O601" s="1443"/>
    </row>
    <row r="602" spans="1:15" s="1903" customFormat="1" ht="15.75" x14ac:dyDescent="0.25">
      <c r="B602" s="1436"/>
      <c r="C602" s="1438" t="s">
        <v>1869</v>
      </c>
      <c r="D602" s="1915" t="str">
        <f>INDEX(CostVectors[Description], MATCH(C602, CostVectors[Code], 0))</f>
        <v>Point estimate of fuel costs</v>
      </c>
      <c r="E602" s="1917"/>
      <c r="F602" s="1394">
        <f t="shared" ref="F602:N602" si="284">F508</f>
        <v>7453035033257.3877</v>
      </c>
      <c r="G602" s="1394">
        <f t="shared" si="284"/>
        <v>8294922865255.168</v>
      </c>
      <c r="H602" s="1394">
        <f t="shared" si="284"/>
        <v>9335233070437.6035</v>
      </c>
      <c r="I602" s="1394">
        <f t="shared" si="284"/>
        <v>10402322605378.352</v>
      </c>
      <c r="J602" s="1394">
        <f t="shared" si="284"/>
        <v>11291491123687.439</v>
      </c>
      <c r="K602" s="1394">
        <f t="shared" si="284"/>
        <v>12356126134226.092</v>
      </c>
      <c r="L602" s="1394">
        <f t="shared" si="284"/>
        <v>13396665325655.377</v>
      </c>
      <c r="M602" s="1394">
        <f t="shared" si="284"/>
        <v>14512301886414.234</v>
      </c>
      <c r="N602" s="1394">
        <f t="shared" si="284"/>
        <v>15587212479512.678</v>
      </c>
      <c r="O602" s="1443"/>
    </row>
    <row r="603" spans="1:15" ht="14.25" x14ac:dyDescent="0.2">
      <c r="A603" s="1745"/>
      <c r="B603" s="1444"/>
      <c r="C603" s="1438" t="s">
        <v>1395</v>
      </c>
      <c r="D603" s="1439" t="str">
        <f>INDEX(CostVectors[Description], MATCH(C603, CostVectors[Code], 0))</f>
        <v>High estimate of fuel costs</v>
      </c>
      <c r="E603" s="1393"/>
      <c r="F603" s="1394">
        <f t="shared" ref="F603:N603" si="285">F524</f>
        <v>15369744869625.002</v>
      </c>
      <c r="G603" s="1394">
        <f t="shared" si="285"/>
        <v>16916238203292.145</v>
      </c>
      <c r="H603" s="1394">
        <f t="shared" si="285"/>
        <v>18752924903032.484</v>
      </c>
      <c r="I603" s="1394">
        <f t="shared" si="285"/>
        <v>20650544724235.172</v>
      </c>
      <c r="J603" s="1394">
        <f t="shared" si="285"/>
        <v>22371751093087.285</v>
      </c>
      <c r="K603" s="1394">
        <f t="shared" si="285"/>
        <v>24380689414201.098</v>
      </c>
      <c r="L603" s="1394">
        <f t="shared" si="285"/>
        <v>26389562226390.703</v>
      </c>
      <c r="M603" s="1394">
        <f t="shared" si="285"/>
        <v>28545227929485.027</v>
      </c>
      <c r="N603" s="1394">
        <f t="shared" si="285"/>
        <v>30682032016553.418</v>
      </c>
      <c r="O603" s="1445"/>
    </row>
    <row r="604" spans="1:15" ht="14.25" x14ac:dyDescent="0.2">
      <c r="A604" s="1745"/>
      <c r="B604" s="1444"/>
      <c r="C604" s="1775"/>
      <c r="D604" s="1775"/>
      <c r="E604" s="1775"/>
      <c r="F604" s="1775"/>
      <c r="G604" s="1775"/>
      <c r="H604" s="1775"/>
      <c r="I604" s="1775"/>
      <c r="J604" s="1775"/>
      <c r="K604" s="1775"/>
      <c r="L604" s="1775"/>
      <c r="M604" s="1775"/>
      <c r="N604" s="1775"/>
      <c r="O604" s="1775"/>
    </row>
  </sheetData>
  <hyperlinks>
    <hyperlink ref="D289" r:id="rId1" display="http://decc-wiki.greenonblack.com/pages/358"/>
  </hyperlinks>
  <pageMargins left="0.7" right="0.7" top="0.75" bottom="0.75" header="0.3" footer="0.3"/>
  <pageSetup paperSize="9" orientation="portrait" r:id="rId2"/>
  <tableParts count="7">
    <tablePart r:id="rId3"/>
    <tablePart r:id="rId4"/>
    <tablePart r:id="rId5"/>
    <tablePart r:id="rId6"/>
    <tablePart r:id="rId7"/>
    <tablePart r:id="rId8"/>
    <tablePart r:id="rId9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 enableFormatConditionsCalculation="0">
    <tabColor theme="9"/>
    <outlinePr summaryBelow="0"/>
    <pageSetUpPr autoPageBreaks="0"/>
  </sheetPr>
  <dimension ref="A1:Q586"/>
  <sheetViews>
    <sheetView windowProtection="1" zoomScaleNormal="100" workbookViewId="0"/>
  </sheetViews>
  <sheetFormatPr defaultColWidth="8.7109375" defaultRowHeight="12.75" x14ac:dyDescent="0.2"/>
  <cols>
    <col min="1" max="1" width="7.7109375" style="1451" customWidth="1"/>
    <col min="2" max="2" width="5.7109375" style="1451" customWidth="1"/>
    <col min="3" max="3" width="20.42578125" style="1451" customWidth="1"/>
    <col min="4" max="4" width="30.7109375" style="1451" customWidth="1"/>
    <col min="5" max="5" width="20.7109375" style="1451" customWidth="1"/>
    <col min="6" max="15" width="17.7109375" style="1451" customWidth="1"/>
    <col min="16" max="16" width="9.7109375" style="1451" customWidth="1"/>
    <col min="17" max="17" width="10.7109375" style="1451" customWidth="1"/>
    <col min="18" max="16384" width="8.7109375" style="1451"/>
  </cols>
  <sheetData>
    <row r="1" spans="1:16" ht="21" x14ac:dyDescent="0.35">
      <c r="A1" s="119" t="s">
        <v>225</v>
      </c>
      <c r="B1" s="119" t="str">
        <f>INDEX(Workstreams[Workstream], MATCH($A1, Workstreams[Code], 0))</f>
        <v>Agriculture &amp; waste</v>
      </c>
      <c r="C1" s="119"/>
    </row>
    <row r="2" spans="1:16" s="84" customFormat="1" ht="19.5" customHeight="1" x14ac:dyDescent="0.2">
      <c r="A2" s="6" t="s">
        <v>402</v>
      </c>
      <c r="B2" s="6" t="str">
        <f>INDEX(Modules[Module], MATCH($A2, Modules[Code], 0))</f>
        <v>Volume of Waste &amp; Recycling</v>
      </c>
      <c r="C2" s="6"/>
      <c r="E2" s="1380"/>
    </row>
    <row r="4" spans="1:16" ht="22.5" collapsed="1" x14ac:dyDescent="0.3">
      <c r="A4" s="1422"/>
      <c r="B4" s="468" t="s">
        <v>600</v>
      </c>
      <c r="C4" s="420"/>
      <c r="D4" s="421"/>
      <c r="E4" s="422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1"/>
      <c r="D5" s="412"/>
      <c r="E5" s="413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ht="15.75" x14ac:dyDescent="0.25">
      <c r="B6" s="415"/>
      <c r="C6" s="412"/>
      <c r="D6" s="216" t="s">
        <v>342</v>
      </c>
      <c r="E6" s="1064" t="s">
        <v>595</v>
      </c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6" ht="15.75" x14ac:dyDescent="0.25">
      <c r="B7" s="415"/>
      <c r="C7" s="412"/>
      <c r="D7" s="238" t="s">
        <v>671</v>
      </c>
      <c r="E7" s="238">
        <f>MIN(VI.b.Scenario,4)</f>
        <v>4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ht="15.75" x14ac:dyDescent="0.25">
      <c r="B8" s="416"/>
      <c r="C8" s="417"/>
      <c r="D8" s="417"/>
      <c r="E8" s="417"/>
      <c r="F8" s="418"/>
      <c r="G8" s="418"/>
      <c r="H8" s="418"/>
      <c r="I8" s="418"/>
      <c r="J8" s="418"/>
      <c r="K8" s="418"/>
      <c r="L8" s="418"/>
      <c r="M8" s="418"/>
      <c r="N8" s="418"/>
      <c r="O8" s="418"/>
      <c r="P8" s="419"/>
    </row>
    <row r="10" spans="1:16" ht="22.5" collapsed="1" x14ac:dyDescent="0.3">
      <c r="A10" s="1422"/>
      <c r="B10" s="1423" t="s">
        <v>597</v>
      </c>
      <c r="C10" s="405"/>
      <c r="D10" s="405"/>
      <c r="E10" s="405"/>
      <c r="F10" s="405"/>
      <c r="G10" s="405"/>
      <c r="H10" s="405"/>
      <c r="I10" s="405"/>
      <c r="J10" s="405"/>
      <c r="K10" s="405"/>
      <c r="L10" s="405"/>
      <c r="M10" s="405"/>
      <c r="N10" s="405"/>
      <c r="O10" s="406"/>
    </row>
    <row r="11" spans="1:16" x14ac:dyDescent="0.2">
      <c r="B11" s="473"/>
      <c r="C11" s="458"/>
      <c r="D11" s="458"/>
      <c r="E11" s="458"/>
      <c r="F11" s="458"/>
      <c r="G11" s="458"/>
      <c r="H11" s="458"/>
      <c r="I11" s="458"/>
      <c r="J11" s="458"/>
      <c r="K11" s="458"/>
      <c r="L11" s="458"/>
      <c r="M11" s="458"/>
      <c r="N11" s="458"/>
      <c r="O11" s="459"/>
    </row>
    <row r="12" spans="1:16" x14ac:dyDescent="0.2">
      <c r="B12" s="474"/>
      <c r="C12" s="1417" t="s">
        <v>1737</v>
      </c>
      <c r="D12" s="1416"/>
      <c r="E12" s="176"/>
      <c r="F12" s="1416"/>
      <c r="G12" s="1416"/>
      <c r="H12" s="1416"/>
      <c r="I12" s="1416"/>
      <c r="J12" s="1416"/>
      <c r="K12" s="1416"/>
      <c r="L12" s="1416"/>
      <c r="M12" s="1416"/>
      <c r="N12" s="176" t="s">
        <v>542</v>
      </c>
      <c r="O12" s="1420"/>
    </row>
    <row r="13" spans="1:16" ht="5.25" customHeight="1" x14ac:dyDescent="0.2">
      <c r="B13" s="474"/>
      <c r="C13" s="1416"/>
      <c r="D13" s="1416"/>
      <c r="E13" s="1416"/>
      <c r="F13" s="1416"/>
      <c r="G13" s="1416"/>
      <c r="H13" s="1416"/>
      <c r="I13" s="1416"/>
      <c r="J13" s="1416"/>
      <c r="K13" s="1416"/>
      <c r="L13" s="1416"/>
      <c r="M13" s="1416"/>
      <c r="N13" s="1416"/>
      <c r="O13" s="1420"/>
    </row>
    <row r="14" spans="1:16" ht="15.75" x14ac:dyDescent="0.25">
      <c r="B14" s="475"/>
      <c r="C14" s="98" t="s">
        <v>595</v>
      </c>
      <c r="D14" s="98" t="s">
        <v>65</v>
      </c>
      <c r="E14" s="98"/>
      <c r="F14" s="218">
        <v>2010</v>
      </c>
      <c r="G14" s="217">
        <v>2015</v>
      </c>
      <c r="H14" s="217">
        <v>2020</v>
      </c>
      <c r="I14" s="217">
        <v>2025</v>
      </c>
      <c r="J14" s="217">
        <v>2030</v>
      </c>
      <c r="K14" s="217">
        <v>2035</v>
      </c>
      <c r="L14" s="217">
        <v>2040</v>
      </c>
      <c r="M14" s="217">
        <v>2045</v>
      </c>
      <c r="N14" s="217">
        <v>2050</v>
      </c>
      <c r="O14" s="1420"/>
    </row>
    <row r="15" spans="1:16" ht="15.75" x14ac:dyDescent="0.2">
      <c r="B15" s="476"/>
      <c r="C15" s="1414">
        <v>1</v>
      </c>
      <c r="D15" s="1415" t="s">
        <v>1747</v>
      </c>
      <c r="E15" s="146"/>
      <c r="F15" s="1055">
        <v>18.161999999999999</v>
      </c>
      <c r="G15" s="1055">
        <v>20.7895</v>
      </c>
      <c r="H15" s="1055">
        <v>23.417000000000002</v>
      </c>
      <c r="I15" s="1055">
        <v>25.013500000000001</v>
      </c>
      <c r="J15" s="1055">
        <v>27.61</v>
      </c>
      <c r="K15" s="1055">
        <v>31.739000000000001</v>
      </c>
      <c r="L15" s="1055">
        <v>34.867999999999995</v>
      </c>
      <c r="M15" s="1055">
        <v>37.997</v>
      </c>
      <c r="N15" s="1055">
        <v>41.125999999999998</v>
      </c>
      <c r="O15" s="400"/>
    </row>
    <row r="16" spans="1:16" s="1582" customFormat="1" ht="15.75" x14ac:dyDescent="0.2">
      <c r="B16" s="476"/>
      <c r="C16" s="1414">
        <v>2</v>
      </c>
      <c r="D16" s="1415" t="s">
        <v>1747</v>
      </c>
      <c r="E16" s="1415"/>
      <c r="F16" s="1055">
        <v>18.161999999999999</v>
      </c>
      <c r="G16" s="1055">
        <v>20.148</v>
      </c>
      <c r="H16" s="1055">
        <v>22.134</v>
      </c>
      <c r="I16" s="1055">
        <v>24.666499999999999</v>
      </c>
      <c r="J16" s="1055">
        <v>26.199000000000002</v>
      </c>
      <c r="K16" s="1055">
        <v>27.985749999999999</v>
      </c>
      <c r="L16" s="1055">
        <v>29.772500000000001</v>
      </c>
      <c r="M16" s="1055">
        <v>31.559249999999999</v>
      </c>
      <c r="N16" s="1055">
        <v>34.345999999999997</v>
      </c>
      <c r="O16" s="400"/>
    </row>
    <row r="17" spans="2:15" ht="15.75" x14ac:dyDescent="0.2">
      <c r="B17" s="476"/>
      <c r="C17" s="1414">
        <v>3</v>
      </c>
      <c r="D17" s="1415" t="s">
        <v>1747</v>
      </c>
      <c r="E17" s="1415"/>
      <c r="F17" s="1055">
        <v>18.161999999999999</v>
      </c>
      <c r="G17" s="1055">
        <v>19.556000000000001</v>
      </c>
      <c r="H17" s="1055">
        <v>20.95</v>
      </c>
      <c r="I17" s="1055">
        <v>22.017499999999998</v>
      </c>
      <c r="J17" s="1055">
        <v>23.085000000000001</v>
      </c>
      <c r="K17" s="1055">
        <v>24.35125</v>
      </c>
      <c r="L17" s="1055">
        <v>25.6175</v>
      </c>
      <c r="M17" s="1055">
        <v>26.883749999999999</v>
      </c>
      <c r="N17" s="1055">
        <v>28.15</v>
      </c>
      <c r="O17" s="400"/>
    </row>
    <row r="18" spans="2:15" ht="15.75" x14ac:dyDescent="0.25">
      <c r="B18" s="475"/>
      <c r="C18" s="1412">
        <v>4</v>
      </c>
      <c r="D18" s="102" t="s">
        <v>1747</v>
      </c>
      <c r="E18" s="102"/>
      <c r="F18" s="1056">
        <v>18.161999999999999</v>
      </c>
      <c r="G18" s="1056">
        <v>18.161999999999999</v>
      </c>
      <c r="H18" s="1056">
        <v>18.161999999999999</v>
      </c>
      <c r="I18" s="1056">
        <v>18.161999999999999</v>
      </c>
      <c r="J18" s="1056">
        <v>18.161999999999999</v>
      </c>
      <c r="K18" s="1056">
        <v>18.161999999999999</v>
      </c>
      <c r="L18" s="1056">
        <v>18.161999999999999</v>
      </c>
      <c r="M18" s="1056">
        <v>18.161999999999999</v>
      </c>
      <c r="N18" s="1056">
        <v>18.161999999999999</v>
      </c>
      <c r="O18" s="1420"/>
    </row>
    <row r="19" spans="2:15" s="1582" customFormat="1" ht="15.75" x14ac:dyDescent="0.25">
      <c r="B19" s="397"/>
      <c r="C19" s="1386" t="s">
        <v>582</v>
      </c>
      <c r="D19" s="1387"/>
      <c r="E19" s="1387"/>
      <c r="F19" s="1507">
        <f t="shared" ref="F19:N19" si="0">(INDEX(F$15:F$18,ROUNDDOWN($E$7,0))*(1-MOD($E$7,1)))+(INDEX(F$15:F$18,ROUNDUP($E$7,0))*MOD($E$7,1))</f>
        <v>18.161999999999999</v>
      </c>
      <c r="G19" s="1506">
        <f t="shared" si="0"/>
        <v>18.161999999999999</v>
      </c>
      <c r="H19" s="1506">
        <f t="shared" si="0"/>
        <v>18.161999999999999</v>
      </c>
      <c r="I19" s="1506">
        <f t="shared" si="0"/>
        <v>18.161999999999999</v>
      </c>
      <c r="J19" s="1506">
        <f t="shared" si="0"/>
        <v>18.161999999999999</v>
      </c>
      <c r="K19" s="1506">
        <f t="shared" si="0"/>
        <v>18.161999999999999</v>
      </c>
      <c r="L19" s="1506">
        <f t="shared" si="0"/>
        <v>18.161999999999999</v>
      </c>
      <c r="M19" s="1506">
        <f t="shared" si="0"/>
        <v>18.161999999999999</v>
      </c>
      <c r="N19" s="1506">
        <f t="shared" si="0"/>
        <v>18.161999999999999</v>
      </c>
      <c r="O19" s="1420"/>
    </row>
    <row r="20" spans="2:15" x14ac:dyDescent="0.2">
      <c r="B20" s="477"/>
      <c r="C20" s="1416"/>
      <c r="D20" s="177"/>
      <c r="E20" s="1416"/>
      <c r="F20" s="1416"/>
      <c r="G20" s="1416"/>
      <c r="H20" s="1416"/>
      <c r="I20" s="1416"/>
      <c r="J20" s="1416"/>
      <c r="K20" s="1416"/>
      <c r="L20" s="1416"/>
      <c r="M20" s="1416"/>
      <c r="N20" s="1416"/>
      <c r="O20" s="1420"/>
    </row>
    <row r="21" spans="2:15" x14ac:dyDescent="0.2">
      <c r="B21" s="477"/>
      <c r="C21" s="1417" t="s">
        <v>2443</v>
      </c>
      <c r="D21" s="1416"/>
      <c r="E21" s="176"/>
      <c r="F21" s="1416"/>
      <c r="G21" s="1416"/>
      <c r="H21" s="1416"/>
      <c r="I21" s="1416"/>
      <c r="J21" s="1416"/>
      <c r="K21" s="1416"/>
      <c r="L21" s="1416"/>
      <c r="M21" s="1416"/>
      <c r="N21" s="176" t="s">
        <v>542</v>
      </c>
      <c r="O21" s="1420"/>
    </row>
    <row r="22" spans="2:15" ht="5.25" customHeight="1" x14ac:dyDescent="0.2">
      <c r="B22" s="477"/>
      <c r="C22" s="1416"/>
      <c r="D22" s="1416"/>
      <c r="E22" s="1416"/>
      <c r="F22" s="1416"/>
      <c r="G22" s="1416"/>
      <c r="H22" s="1416"/>
      <c r="I22" s="1416"/>
      <c r="J22" s="1416"/>
      <c r="K22" s="1416"/>
      <c r="L22" s="1416"/>
      <c r="M22" s="1416"/>
      <c r="N22" s="1416"/>
      <c r="O22" s="1420"/>
    </row>
    <row r="23" spans="2:15" ht="15.75" x14ac:dyDescent="0.25">
      <c r="B23" s="475"/>
      <c r="C23" s="98" t="s">
        <v>595</v>
      </c>
      <c r="D23" s="98" t="s">
        <v>65</v>
      </c>
      <c r="E23" s="98"/>
      <c r="F23" s="218">
        <v>2010</v>
      </c>
      <c r="G23" s="217">
        <v>2015</v>
      </c>
      <c r="H23" s="217">
        <v>2020</v>
      </c>
      <c r="I23" s="217">
        <v>2025</v>
      </c>
      <c r="J23" s="217">
        <v>2030</v>
      </c>
      <c r="K23" s="217">
        <v>2035</v>
      </c>
      <c r="L23" s="217">
        <v>2040</v>
      </c>
      <c r="M23" s="217">
        <v>2045</v>
      </c>
      <c r="N23" s="217">
        <v>2050</v>
      </c>
      <c r="O23" s="1420"/>
    </row>
    <row r="24" spans="2:15" ht="15.75" x14ac:dyDescent="0.25">
      <c r="B24" s="475"/>
      <c r="C24" s="1414">
        <v>1</v>
      </c>
      <c r="D24" s="1415" t="s">
        <v>662</v>
      </c>
      <c r="E24" s="146"/>
      <c r="F24" s="1055">
        <v>21.128</v>
      </c>
      <c r="G24" s="1055">
        <v>23.635999999999999</v>
      </c>
      <c r="H24" s="1055">
        <v>29.143999999999998</v>
      </c>
      <c r="I24" s="1055">
        <v>33.719499999999996</v>
      </c>
      <c r="J24" s="1055">
        <v>39.295000000000002</v>
      </c>
      <c r="K24" s="1055">
        <v>43.551250000000003</v>
      </c>
      <c r="L24" s="1055">
        <v>48.807499999999997</v>
      </c>
      <c r="M24" s="1055">
        <v>55.063749999999999</v>
      </c>
      <c r="N24" s="1055">
        <v>60.32</v>
      </c>
      <c r="O24" s="1420"/>
    </row>
    <row r="25" spans="2:15" ht="15.75" x14ac:dyDescent="0.25">
      <c r="B25" s="475"/>
      <c r="C25" s="1414">
        <v>2</v>
      </c>
      <c r="D25" s="1415" t="s">
        <v>662</v>
      </c>
      <c r="E25" s="1415"/>
      <c r="F25" s="1055">
        <v>21.128</v>
      </c>
      <c r="G25" s="1055">
        <v>23.332999999999998</v>
      </c>
      <c r="H25" s="1055">
        <v>26.538</v>
      </c>
      <c r="I25" s="1055">
        <v>30.048500000000001</v>
      </c>
      <c r="J25" s="1055">
        <v>33.558999999999997</v>
      </c>
      <c r="K25" s="1055">
        <v>37.978999999999999</v>
      </c>
      <c r="L25" s="1055">
        <v>41.399000000000001</v>
      </c>
      <c r="M25" s="1055">
        <v>43.819000000000003</v>
      </c>
      <c r="N25" s="1055">
        <v>47.238999999999997</v>
      </c>
      <c r="O25" s="1420"/>
    </row>
    <row r="26" spans="2:15" s="1582" customFormat="1" ht="15.75" x14ac:dyDescent="0.25">
      <c r="B26" s="475"/>
      <c r="C26" s="1414">
        <v>3</v>
      </c>
      <c r="D26" s="1415" t="s">
        <v>662</v>
      </c>
      <c r="E26" s="1415"/>
      <c r="F26" s="1055">
        <v>21.128</v>
      </c>
      <c r="G26" s="1055">
        <v>21.514500000000002</v>
      </c>
      <c r="H26" s="1055">
        <v>22.901</v>
      </c>
      <c r="I26" s="1055">
        <v>23.763999999999999</v>
      </c>
      <c r="J26" s="1055">
        <v>24.626999999999999</v>
      </c>
      <c r="K26" s="1055">
        <v>25.767749999999999</v>
      </c>
      <c r="L26" s="1055">
        <v>26.9085</v>
      </c>
      <c r="M26" s="1055">
        <v>28.049250000000001</v>
      </c>
      <c r="N26" s="1055">
        <v>29.19</v>
      </c>
      <c r="O26" s="1420"/>
    </row>
    <row r="27" spans="2:15" ht="15.75" x14ac:dyDescent="0.25">
      <c r="B27" s="475"/>
      <c r="C27" s="1412">
        <v>4</v>
      </c>
      <c r="D27" s="102" t="s">
        <v>662</v>
      </c>
      <c r="E27" s="102"/>
      <c r="F27" s="1056">
        <v>21.128</v>
      </c>
      <c r="G27" s="1056">
        <v>21.128</v>
      </c>
      <c r="H27" s="1056">
        <v>21.128</v>
      </c>
      <c r="I27" s="1056">
        <v>21.128</v>
      </c>
      <c r="J27" s="1056">
        <v>21.128</v>
      </c>
      <c r="K27" s="1056">
        <v>21.128</v>
      </c>
      <c r="L27" s="1056">
        <v>21.128</v>
      </c>
      <c r="M27" s="1056">
        <v>21.128</v>
      </c>
      <c r="N27" s="1056">
        <v>21.128</v>
      </c>
      <c r="O27" s="1420"/>
    </row>
    <row r="28" spans="2:15" s="1582" customFormat="1" ht="15.75" x14ac:dyDescent="0.25">
      <c r="B28" s="397"/>
      <c r="C28" s="1386" t="s">
        <v>582</v>
      </c>
      <c r="D28" s="1387"/>
      <c r="E28" s="1387"/>
      <c r="F28" s="1507">
        <f t="shared" ref="F28:N28" si="1">(INDEX(F$24:F$27,ROUNDDOWN($E$7,0))*(1-MOD($E$7,1)))+(INDEX(F$24:F$27,ROUNDUP($E$7,0))*MOD($E$7,1))</f>
        <v>21.128</v>
      </c>
      <c r="G28" s="1506">
        <f t="shared" si="1"/>
        <v>21.128</v>
      </c>
      <c r="H28" s="1506">
        <f t="shared" si="1"/>
        <v>21.128</v>
      </c>
      <c r="I28" s="1506">
        <f t="shared" si="1"/>
        <v>21.128</v>
      </c>
      <c r="J28" s="1506">
        <f t="shared" si="1"/>
        <v>21.128</v>
      </c>
      <c r="K28" s="1506">
        <f t="shared" si="1"/>
        <v>21.128</v>
      </c>
      <c r="L28" s="1506">
        <f t="shared" si="1"/>
        <v>21.128</v>
      </c>
      <c r="M28" s="1506">
        <f t="shared" si="1"/>
        <v>21.128</v>
      </c>
      <c r="N28" s="1506">
        <f t="shared" si="1"/>
        <v>21.128</v>
      </c>
      <c r="O28" s="1420"/>
    </row>
    <row r="29" spans="2:15" x14ac:dyDescent="0.2">
      <c r="B29" s="477"/>
      <c r="C29" s="1416"/>
      <c r="D29" s="177"/>
      <c r="E29" s="1416"/>
      <c r="F29" s="1416"/>
      <c r="G29" s="1416"/>
      <c r="H29" s="1416"/>
      <c r="I29" s="1416"/>
      <c r="J29" s="1416"/>
      <c r="K29" s="1416"/>
      <c r="L29" s="1416"/>
      <c r="M29" s="1416"/>
      <c r="N29" s="1416"/>
      <c r="O29" s="1420"/>
    </row>
    <row r="30" spans="2:15" x14ac:dyDescent="0.2">
      <c r="B30" s="477"/>
      <c r="C30" s="1417" t="s">
        <v>2444</v>
      </c>
      <c r="D30" s="1416"/>
      <c r="E30" s="176"/>
      <c r="F30" s="1416"/>
      <c r="G30" s="1416"/>
      <c r="H30" s="1416"/>
      <c r="I30" s="1416"/>
      <c r="J30" s="1416"/>
      <c r="K30" s="1416"/>
      <c r="L30" s="1416"/>
      <c r="M30" s="1416"/>
      <c r="N30" s="176" t="s">
        <v>542</v>
      </c>
      <c r="O30" s="1420"/>
    </row>
    <row r="31" spans="2:15" ht="5.25" customHeight="1" x14ac:dyDescent="0.2">
      <c r="B31" s="477"/>
      <c r="C31" s="1416"/>
      <c r="D31" s="1416"/>
      <c r="E31" s="1416"/>
      <c r="F31" s="1416"/>
      <c r="G31" s="1416"/>
      <c r="H31" s="1416"/>
      <c r="I31" s="1416"/>
      <c r="J31" s="1416"/>
      <c r="K31" s="1416"/>
      <c r="L31" s="1416"/>
      <c r="M31" s="1416"/>
      <c r="N31" s="1416"/>
      <c r="O31" s="1420"/>
    </row>
    <row r="32" spans="2:15" ht="15.75" x14ac:dyDescent="0.25">
      <c r="B32" s="475"/>
      <c r="C32" s="98" t="s">
        <v>595</v>
      </c>
      <c r="D32" s="98" t="s">
        <v>65</v>
      </c>
      <c r="E32" s="98"/>
      <c r="F32" s="218">
        <v>2010</v>
      </c>
      <c r="G32" s="217">
        <v>2015</v>
      </c>
      <c r="H32" s="217">
        <v>2020</v>
      </c>
      <c r="I32" s="217">
        <v>2025</v>
      </c>
      <c r="J32" s="217">
        <v>2030</v>
      </c>
      <c r="K32" s="217">
        <v>2035</v>
      </c>
      <c r="L32" s="217">
        <v>2040</v>
      </c>
      <c r="M32" s="217">
        <v>2045</v>
      </c>
      <c r="N32" s="217">
        <v>2050</v>
      </c>
      <c r="O32" s="1420"/>
    </row>
    <row r="33" spans="2:15" ht="15.75" x14ac:dyDescent="0.25">
      <c r="B33" s="475"/>
      <c r="C33" s="1414">
        <v>1</v>
      </c>
      <c r="D33" s="1415" t="s">
        <v>1062</v>
      </c>
      <c r="E33" s="146"/>
      <c r="F33" s="1057">
        <v>0.57099999999999995</v>
      </c>
      <c r="G33" s="1057">
        <v>0.58099999999999996</v>
      </c>
      <c r="H33" s="1057">
        <v>0.59099999999999997</v>
      </c>
      <c r="I33" s="1057">
        <v>0.63749999999999996</v>
      </c>
      <c r="J33" s="1057">
        <v>0.68400000000000005</v>
      </c>
      <c r="K33" s="1057">
        <v>0.71199999999999997</v>
      </c>
      <c r="L33" s="1057">
        <v>0.74</v>
      </c>
      <c r="M33" s="1057">
        <v>0.76800000000000002</v>
      </c>
      <c r="N33" s="1057">
        <v>0.79600000000000004</v>
      </c>
      <c r="O33" s="1420"/>
    </row>
    <row r="34" spans="2:15" ht="15.75" x14ac:dyDescent="0.25">
      <c r="B34" s="475"/>
      <c r="C34" s="1414">
        <v>2</v>
      </c>
      <c r="D34" s="1415" t="s">
        <v>1062</v>
      </c>
      <c r="E34" s="1415"/>
      <c r="F34" s="1057">
        <v>0.57099999999999995</v>
      </c>
      <c r="G34" s="1057">
        <v>0.60549999999999993</v>
      </c>
      <c r="H34" s="1057">
        <v>0.64</v>
      </c>
      <c r="I34" s="1057">
        <v>0.64500000000000002</v>
      </c>
      <c r="J34" s="1057">
        <v>0.65</v>
      </c>
      <c r="K34" s="1057">
        <v>0.65100000000000002</v>
      </c>
      <c r="L34" s="1057">
        <v>0.65200000000000002</v>
      </c>
      <c r="M34" s="1057">
        <v>0.65300000000000002</v>
      </c>
      <c r="N34" s="1057">
        <v>0.65400000000000003</v>
      </c>
      <c r="O34" s="1420"/>
    </row>
    <row r="35" spans="2:15" s="1582" customFormat="1" ht="15.75" x14ac:dyDescent="0.25">
      <c r="B35" s="475"/>
      <c r="C35" s="1414">
        <v>3</v>
      </c>
      <c r="D35" s="1415" t="s">
        <v>1062</v>
      </c>
      <c r="E35" s="1415"/>
      <c r="F35" s="1057">
        <v>0.57099999999999995</v>
      </c>
      <c r="G35" s="1057">
        <v>0.61199999999999999</v>
      </c>
      <c r="H35" s="1057">
        <v>0.65300000000000002</v>
      </c>
      <c r="I35" s="1057">
        <v>0.66450000000000009</v>
      </c>
      <c r="J35" s="1057">
        <v>0.67600000000000005</v>
      </c>
      <c r="K35" s="1057">
        <v>0.68425000000000002</v>
      </c>
      <c r="L35" s="1057">
        <v>0.6925</v>
      </c>
      <c r="M35" s="1057">
        <v>0.70074999999999998</v>
      </c>
      <c r="N35" s="1057">
        <v>0.70899999999999996</v>
      </c>
      <c r="O35" s="1420"/>
    </row>
    <row r="36" spans="2:15" ht="15.75" x14ac:dyDescent="0.25">
      <c r="B36" s="475"/>
      <c r="C36" s="1412">
        <v>4</v>
      </c>
      <c r="D36" s="102" t="s">
        <v>1062</v>
      </c>
      <c r="E36" s="102"/>
      <c r="F36" s="1058">
        <v>0.57099999999999995</v>
      </c>
      <c r="G36" s="1058">
        <v>0.61799999999999999</v>
      </c>
      <c r="H36" s="1058">
        <v>0.66500000000000004</v>
      </c>
      <c r="I36" s="1058">
        <v>0.67500000000000004</v>
      </c>
      <c r="J36" s="1058">
        <v>0.68500000000000005</v>
      </c>
      <c r="K36" s="1058">
        <v>0.68925000000000003</v>
      </c>
      <c r="L36" s="1058">
        <v>0.69350000000000001</v>
      </c>
      <c r="M36" s="1058">
        <v>0.69774999999999998</v>
      </c>
      <c r="N36" s="1058">
        <v>0.70199999999999996</v>
      </c>
      <c r="O36" s="1420"/>
    </row>
    <row r="37" spans="2:15" s="1582" customFormat="1" ht="15.75" x14ac:dyDescent="0.25">
      <c r="B37" s="397"/>
      <c r="C37" s="1386" t="s">
        <v>582</v>
      </c>
      <c r="D37" s="1387"/>
      <c r="E37" s="1387"/>
      <c r="F37" s="1487">
        <f t="shared" ref="F37:N37" si="2">(INDEX(F$33:F$36,ROUNDDOWN($E$7,0))*(1-MOD($E$7,1)))+(INDEX(F$33:F$36,ROUNDUP($E$7,0))*MOD($E$7,1))</f>
        <v>0.57099999999999995</v>
      </c>
      <c r="G37" s="1486">
        <f t="shared" si="2"/>
        <v>0.61799999999999999</v>
      </c>
      <c r="H37" s="1486">
        <f t="shared" si="2"/>
        <v>0.66500000000000004</v>
      </c>
      <c r="I37" s="1486">
        <f t="shared" si="2"/>
        <v>0.67500000000000004</v>
      </c>
      <c r="J37" s="1486">
        <f t="shared" si="2"/>
        <v>0.68500000000000005</v>
      </c>
      <c r="K37" s="1486">
        <f t="shared" si="2"/>
        <v>0.68925000000000003</v>
      </c>
      <c r="L37" s="1486">
        <f t="shared" si="2"/>
        <v>0.69350000000000001</v>
      </c>
      <c r="M37" s="1486">
        <f t="shared" si="2"/>
        <v>0.69774999999999998</v>
      </c>
      <c r="N37" s="1486">
        <f t="shared" si="2"/>
        <v>0.70199999999999996</v>
      </c>
      <c r="O37" s="1420"/>
    </row>
    <row r="38" spans="2:15" x14ac:dyDescent="0.2">
      <c r="B38" s="477"/>
      <c r="C38" s="1416"/>
      <c r="D38" s="177"/>
      <c r="E38" s="1416"/>
      <c r="F38" s="1416"/>
      <c r="G38" s="1416"/>
      <c r="H38" s="1416"/>
      <c r="I38" s="1416"/>
      <c r="J38" s="1416"/>
      <c r="K38" s="1416"/>
      <c r="L38" s="1416"/>
      <c r="M38" s="1416"/>
      <c r="N38" s="1416"/>
      <c r="O38" s="1420"/>
    </row>
    <row r="39" spans="2:15" x14ac:dyDescent="0.2">
      <c r="B39" s="477"/>
      <c r="C39" s="1417" t="s">
        <v>1067</v>
      </c>
      <c r="D39" s="1416"/>
      <c r="E39" s="176"/>
      <c r="F39" s="1416"/>
      <c r="G39" s="1416"/>
      <c r="H39" s="1416"/>
      <c r="I39" s="1416"/>
      <c r="J39" s="1416"/>
      <c r="K39" s="1416"/>
      <c r="L39" s="1416"/>
      <c r="M39" s="1416"/>
      <c r="N39" s="176" t="s">
        <v>542</v>
      </c>
      <c r="O39" s="1420"/>
    </row>
    <row r="40" spans="2:15" ht="5.25" customHeight="1" x14ac:dyDescent="0.2">
      <c r="B40" s="477"/>
      <c r="C40" s="1416"/>
      <c r="D40" s="1416"/>
      <c r="E40" s="1416"/>
      <c r="F40" s="1416"/>
      <c r="G40" s="1416"/>
      <c r="H40" s="1416"/>
      <c r="I40" s="1416"/>
      <c r="J40" s="1416"/>
      <c r="K40" s="1416"/>
      <c r="L40" s="1416"/>
      <c r="M40" s="1416"/>
      <c r="N40" s="1416"/>
      <c r="O40" s="1420"/>
    </row>
    <row r="41" spans="2:15" ht="18" x14ac:dyDescent="0.25">
      <c r="B41" s="1054"/>
      <c r="C41" s="98" t="s">
        <v>595</v>
      </c>
      <c r="D41" s="98" t="s">
        <v>65</v>
      </c>
      <c r="E41" s="98"/>
      <c r="F41" s="218">
        <v>2010</v>
      </c>
      <c r="G41" s="217">
        <v>2015</v>
      </c>
      <c r="H41" s="217">
        <v>2020</v>
      </c>
      <c r="I41" s="217">
        <v>2025</v>
      </c>
      <c r="J41" s="217">
        <v>2030</v>
      </c>
      <c r="K41" s="217">
        <v>2035</v>
      </c>
      <c r="L41" s="217">
        <v>2040</v>
      </c>
      <c r="M41" s="217">
        <v>2045</v>
      </c>
      <c r="N41" s="217">
        <v>2050</v>
      </c>
      <c r="O41" s="1420"/>
    </row>
    <row r="42" spans="2:15" ht="18" x14ac:dyDescent="0.25">
      <c r="B42" s="1054"/>
      <c r="C42" s="1414">
        <v>1</v>
      </c>
      <c r="D42" s="1415" t="s">
        <v>661</v>
      </c>
      <c r="E42" s="146"/>
      <c r="F42" s="1057">
        <v>1.395660347191511</v>
      </c>
      <c r="G42" s="1057">
        <v>1.4432516709890608</v>
      </c>
      <c r="H42" s="1057">
        <v>1.4921002742497826</v>
      </c>
      <c r="I42" s="1057">
        <v>1.539777124363374</v>
      </c>
      <c r="J42" s="1057">
        <v>1.5830256268442755</v>
      </c>
      <c r="K42" s="1057">
        <v>1.621214461553147</v>
      </c>
      <c r="L42" s="1057">
        <v>1.6565425273466619</v>
      </c>
      <c r="M42" s="1057">
        <v>1.6902597017251573</v>
      </c>
      <c r="N42" s="1057">
        <v>1.7224027253405279</v>
      </c>
      <c r="O42" s="1420"/>
    </row>
    <row r="43" spans="2:15" ht="18" x14ac:dyDescent="0.25">
      <c r="B43" s="1054"/>
      <c r="C43" s="1414">
        <v>2</v>
      </c>
      <c r="D43" s="1415" t="s">
        <v>661</v>
      </c>
      <c r="E43" s="1415"/>
      <c r="F43" s="1057">
        <v>1.395660347191511</v>
      </c>
      <c r="G43" s="1057">
        <v>1.4432516709890608</v>
      </c>
      <c r="H43" s="1057">
        <v>1.4921002742497826</v>
      </c>
      <c r="I43" s="1057">
        <v>1.539777124363374</v>
      </c>
      <c r="J43" s="1057">
        <v>1.5830256268442755</v>
      </c>
      <c r="K43" s="1057">
        <v>1.621214461553147</v>
      </c>
      <c r="L43" s="1057">
        <v>1.6565425273466619</v>
      </c>
      <c r="M43" s="1057">
        <v>1.6902597017251573</v>
      </c>
      <c r="N43" s="1057">
        <v>1.7224027253405279</v>
      </c>
      <c r="O43" s="1420"/>
    </row>
    <row r="44" spans="2:15" s="1582" customFormat="1" ht="18" x14ac:dyDescent="0.25">
      <c r="B44" s="1054"/>
      <c r="C44" s="1414">
        <v>3</v>
      </c>
      <c r="D44" s="1415" t="s">
        <v>661</v>
      </c>
      <c r="E44" s="1415"/>
      <c r="F44" s="1057">
        <v>1.395660347191511</v>
      </c>
      <c r="G44" s="1057">
        <v>1.4432516709890608</v>
      </c>
      <c r="H44" s="1057">
        <v>1.4921002742497826</v>
      </c>
      <c r="I44" s="1057">
        <v>1.539777124363374</v>
      </c>
      <c r="J44" s="1057">
        <v>1.5830256268442755</v>
      </c>
      <c r="K44" s="1057">
        <v>1.621214461553147</v>
      </c>
      <c r="L44" s="1057">
        <v>1.6565425273466619</v>
      </c>
      <c r="M44" s="1057">
        <v>1.6902597017251573</v>
      </c>
      <c r="N44" s="1057">
        <v>1.7224027253405279</v>
      </c>
      <c r="O44" s="1420"/>
    </row>
    <row r="45" spans="2:15" ht="18" x14ac:dyDescent="0.25">
      <c r="B45" s="1054"/>
      <c r="C45" s="1412">
        <v>4</v>
      </c>
      <c r="D45" s="102" t="s">
        <v>661</v>
      </c>
      <c r="E45" s="102"/>
      <c r="F45" s="1058">
        <v>1.395660347191511</v>
      </c>
      <c r="G45" s="1058">
        <v>1.4432516709890608</v>
      </c>
      <c r="H45" s="1058">
        <v>1.4921002742497826</v>
      </c>
      <c r="I45" s="1058">
        <v>1.539777124363374</v>
      </c>
      <c r="J45" s="1058">
        <v>1.5830256268442755</v>
      </c>
      <c r="K45" s="1058">
        <v>1.621214461553147</v>
      </c>
      <c r="L45" s="1058">
        <v>1.6565425273466619</v>
      </c>
      <c r="M45" s="1058">
        <v>1.6902597017251573</v>
      </c>
      <c r="N45" s="1058">
        <v>1.7224027253405279</v>
      </c>
      <c r="O45" s="1420"/>
    </row>
    <row r="46" spans="2:15" s="1582" customFormat="1" ht="15.75" x14ac:dyDescent="0.25">
      <c r="B46" s="397"/>
      <c r="C46" s="1386" t="s">
        <v>582</v>
      </c>
      <c r="D46" s="1387"/>
      <c r="E46" s="1387"/>
      <c r="F46" s="1487">
        <f t="shared" ref="F46:N46" si="3">(INDEX(F$42:F$45,ROUNDDOWN($E$7,0))*(1-MOD($E$7,1)))+(INDEX(F$42:F$45,ROUNDUP($E$7,0))*MOD($E$7,1))</f>
        <v>1.395660347191511</v>
      </c>
      <c r="G46" s="1486">
        <f t="shared" si="3"/>
        <v>1.4432516709890608</v>
      </c>
      <c r="H46" s="1486">
        <f t="shared" si="3"/>
        <v>1.4921002742497826</v>
      </c>
      <c r="I46" s="1486">
        <f t="shared" si="3"/>
        <v>1.539777124363374</v>
      </c>
      <c r="J46" s="1486">
        <f t="shared" si="3"/>
        <v>1.5830256268442755</v>
      </c>
      <c r="K46" s="1486">
        <f t="shared" si="3"/>
        <v>1.621214461553147</v>
      </c>
      <c r="L46" s="1486">
        <f t="shared" si="3"/>
        <v>1.6565425273466619</v>
      </c>
      <c r="M46" s="1486">
        <f t="shared" si="3"/>
        <v>1.6902597017251573</v>
      </c>
      <c r="N46" s="1486">
        <f t="shared" si="3"/>
        <v>1.7224027253405279</v>
      </c>
      <c r="O46" s="1420"/>
    </row>
    <row r="47" spans="2:15" x14ac:dyDescent="0.2">
      <c r="B47" s="477"/>
      <c r="C47" s="1416"/>
      <c r="D47" s="177"/>
      <c r="E47" s="1416"/>
      <c r="F47" s="1416"/>
      <c r="G47" s="1416"/>
      <c r="H47" s="1416"/>
      <c r="I47" s="1416"/>
      <c r="J47" s="1416"/>
      <c r="K47" s="1416"/>
      <c r="L47" s="1416"/>
      <c r="M47" s="1416"/>
      <c r="N47" s="1416"/>
      <c r="O47" s="1420"/>
    </row>
    <row r="48" spans="2:15" ht="14.25" x14ac:dyDescent="0.25">
      <c r="B48" s="477"/>
      <c r="C48" s="1417" t="s">
        <v>1066</v>
      </c>
      <c r="D48" s="1416"/>
      <c r="E48" s="176"/>
      <c r="F48" s="1416"/>
      <c r="G48" s="1416"/>
      <c r="H48" s="1416"/>
      <c r="I48" s="1416"/>
      <c r="J48" s="1416"/>
      <c r="K48" s="1416"/>
      <c r="L48" s="1416"/>
      <c r="M48" s="1416"/>
      <c r="N48" s="176" t="s">
        <v>1065</v>
      </c>
      <c r="O48" s="1420"/>
    </row>
    <row r="49" spans="2:15" ht="5.25" customHeight="1" x14ac:dyDescent="0.2">
      <c r="B49" s="477"/>
      <c r="C49" s="1416"/>
      <c r="D49" s="1416"/>
      <c r="E49" s="1416"/>
      <c r="F49" s="1416"/>
      <c r="G49" s="1416"/>
      <c r="H49" s="1416"/>
      <c r="I49" s="1416"/>
      <c r="J49" s="1416"/>
      <c r="K49" s="1416"/>
      <c r="L49" s="1416"/>
      <c r="M49" s="1416"/>
      <c r="N49" s="1416"/>
      <c r="O49" s="1420"/>
    </row>
    <row r="50" spans="2:15" ht="15.75" x14ac:dyDescent="0.25">
      <c r="B50" s="475"/>
      <c r="C50" s="98" t="s">
        <v>595</v>
      </c>
      <c r="D50" s="98" t="s">
        <v>65</v>
      </c>
      <c r="E50" s="98"/>
      <c r="F50" s="218">
        <v>2010</v>
      </c>
      <c r="G50" s="217">
        <v>2015</v>
      </c>
      <c r="H50" s="217">
        <v>2020</v>
      </c>
      <c r="I50" s="217">
        <v>2025</v>
      </c>
      <c r="J50" s="217">
        <v>2030</v>
      </c>
      <c r="K50" s="217">
        <v>2035</v>
      </c>
      <c r="L50" s="217">
        <v>2040</v>
      </c>
      <c r="M50" s="217">
        <v>2045</v>
      </c>
      <c r="N50" s="217">
        <v>2050</v>
      </c>
      <c r="O50" s="1420"/>
    </row>
    <row r="51" spans="2:15" ht="15.75" x14ac:dyDescent="0.25">
      <c r="B51" s="475"/>
      <c r="C51" s="1414">
        <v>1</v>
      </c>
      <c r="D51" s="1415" t="s">
        <v>121</v>
      </c>
      <c r="E51" s="146"/>
      <c r="F51" s="1057">
        <v>2.4992783483792538</v>
      </c>
      <c r="G51" s="1057">
        <v>2.1411239708898742</v>
      </c>
      <c r="H51" s="1057">
        <v>1.7829695934004948</v>
      </c>
      <c r="I51" s="1057">
        <v>1.625038816890463</v>
      </c>
      <c r="J51" s="1057">
        <v>1.4671080403804313</v>
      </c>
      <c r="K51" s="1057">
        <v>1.3816348872897195</v>
      </c>
      <c r="L51" s="1057">
        <v>1.2961617341990075</v>
      </c>
      <c r="M51" s="1057">
        <v>1.2106885811082955</v>
      </c>
      <c r="N51" s="1057">
        <v>1.1252154280175835</v>
      </c>
      <c r="O51" s="1420"/>
    </row>
    <row r="52" spans="2:15" ht="15.75" x14ac:dyDescent="0.25">
      <c r="B52" s="475"/>
      <c r="C52" s="1414">
        <v>2</v>
      </c>
      <c r="D52" s="1415" t="s">
        <v>121</v>
      </c>
      <c r="E52" s="1415"/>
      <c r="F52" s="1057">
        <v>2.4992783483792538</v>
      </c>
      <c r="G52" s="1057">
        <v>2.0859431861701374</v>
      </c>
      <c r="H52" s="1057">
        <v>1.6726080239610215</v>
      </c>
      <c r="I52" s="1057">
        <v>1.3657551720821721</v>
      </c>
      <c r="J52" s="1057">
        <v>1.0589023202033228</v>
      </c>
      <c r="K52" s="1057">
        <v>0.89221741502259411</v>
      </c>
      <c r="L52" s="1057">
        <v>0.72553250984186546</v>
      </c>
      <c r="M52" s="1057">
        <v>0.55884760466113681</v>
      </c>
      <c r="N52" s="1057">
        <v>0.39216269948040822</v>
      </c>
      <c r="O52" s="1420"/>
    </row>
    <row r="53" spans="2:15" s="1582" customFormat="1" ht="15.75" x14ac:dyDescent="0.25">
      <c r="B53" s="475"/>
      <c r="C53" s="1414">
        <v>3</v>
      </c>
      <c r="D53" s="1415" t="s">
        <v>121</v>
      </c>
      <c r="E53" s="1415"/>
      <c r="F53" s="1057">
        <v>2.4992783483792538</v>
      </c>
      <c r="G53" s="1057">
        <v>2.3294996525449574</v>
      </c>
      <c r="H53" s="1057">
        <v>2.159720956710661</v>
      </c>
      <c r="I53" s="1057">
        <v>1.8087729989351204</v>
      </c>
      <c r="J53" s="1057">
        <v>1.4578250411595799</v>
      </c>
      <c r="K53" s="1057">
        <v>1.2737555559884286</v>
      </c>
      <c r="L53" s="1057">
        <v>1.0896860708172773</v>
      </c>
      <c r="M53" s="1057">
        <v>0.90561658564612602</v>
      </c>
      <c r="N53" s="1057">
        <v>0.72154710047497461</v>
      </c>
      <c r="O53" s="1420"/>
    </row>
    <row r="54" spans="2:15" ht="15.75" x14ac:dyDescent="0.25">
      <c r="B54" s="475"/>
      <c r="C54" s="1412">
        <v>4</v>
      </c>
      <c r="D54" s="102" t="s">
        <v>121</v>
      </c>
      <c r="E54" s="102"/>
      <c r="F54" s="1058">
        <v>2.4992783483792538</v>
      </c>
      <c r="G54" s="1058">
        <v>2.0584815914128893</v>
      </c>
      <c r="H54" s="1058">
        <v>1.6176848344465247</v>
      </c>
      <c r="I54" s="1058">
        <v>1.303988942885755</v>
      </c>
      <c r="J54" s="1058">
        <v>0.99029305132498524</v>
      </c>
      <c r="K54" s="1058">
        <v>0.83117157114623563</v>
      </c>
      <c r="L54" s="1058">
        <v>0.67205009096748602</v>
      </c>
      <c r="M54" s="1058">
        <v>0.51292861078873653</v>
      </c>
      <c r="N54" s="1058">
        <v>0.35380713060998692</v>
      </c>
      <c r="O54" s="1420"/>
    </row>
    <row r="55" spans="2:15" s="1582" customFormat="1" ht="15.75" x14ac:dyDescent="0.25">
      <c r="B55" s="397"/>
      <c r="C55" s="1386" t="s">
        <v>582</v>
      </c>
      <c r="D55" s="1387"/>
      <c r="E55" s="1387"/>
      <c r="F55" s="1487">
        <f t="shared" ref="F55:N55" si="4">(INDEX(F$51:F$54,ROUNDDOWN($E$7,0))*(1-MOD($E$7,1)))+(INDEX(F$51:F$54,ROUNDUP($E$7,0))*MOD($E$7,1))</f>
        <v>2.4992783483792538</v>
      </c>
      <c r="G55" s="1486">
        <f t="shared" si="4"/>
        <v>2.0584815914128893</v>
      </c>
      <c r="H55" s="1486">
        <f t="shared" si="4"/>
        <v>1.6176848344465247</v>
      </c>
      <c r="I55" s="1486">
        <f t="shared" si="4"/>
        <v>1.303988942885755</v>
      </c>
      <c r="J55" s="1486">
        <f t="shared" si="4"/>
        <v>0.99029305132498524</v>
      </c>
      <c r="K55" s="1486">
        <f t="shared" si="4"/>
        <v>0.83117157114623563</v>
      </c>
      <c r="L55" s="1486">
        <f t="shared" si="4"/>
        <v>0.67205009096748602</v>
      </c>
      <c r="M55" s="1486">
        <f t="shared" si="4"/>
        <v>0.51292861078873653</v>
      </c>
      <c r="N55" s="1486">
        <f t="shared" si="4"/>
        <v>0.35380713060998692</v>
      </c>
      <c r="O55" s="1420"/>
    </row>
    <row r="56" spans="2:15" x14ac:dyDescent="0.2">
      <c r="B56" s="477"/>
      <c r="C56" s="1416"/>
      <c r="D56" s="177"/>
      <c r="E56" s="1416"/>
      <c r="F56" s="1416"/>
      <c r="G56" s="1416"/>
      <c r="H56" s="1416"/>
      <c r="I56" s="1416"/>
      <c r="J56" s="1416"/>
      <c r="K56" s="1416"/>
      <c r="L56" s="1416"/>
      <c r="M56" s="1416"/>
      <c r="N56" s="1416"/>
      <c r="O56" s="1420"/>
    </row>
    <row r="57" spans="2:15" x14ac:dyDescent="0.2">
      <c r="B57" s="477"/>
      <c r="C57" s="1416"/>
      <c r="D57" s="177"/>
      <c r="E57" s="1416"/>
      <c r="F57" s="1416"/>
      <c r="G57" s="1416"/>
      <c r="H57" s="1416"/>
      <c r="I57" s="1416"/>
      <c r="J57" s="1416"/>
      <c r="K57" s="1416"/>
      <c r="L57" s="1416"/>
      <c r="M57" s="1416"/>
      <c r="N57" s="1416"/>
      <c r="O57" s="1420"/>
    </row>
    <row r="58" spans="2:15" x14ac:dyDescent="0.2">
      <c r="B58" s="1060"/>
      <c r="C58" s="458"/>
      <c r="D58" s="1061"/>
      <c r="E58" s="458"/>
      <c r="F58" s="458"/>
      <c r="G58" s="458"/>
      <c r="H58" s="458"/>
      <c r="I58" s="458"/>
      <c r="J58" s="458"/>
      <c r="K58" s="458"/>
      <c r="L58" s="458"/>
      <c r="M58" s="458"/>
      <c r="N58" s="458"/>
      <c r="O58" s="459"/>
    </row>
    <row r="59" spans="2:15" x14ac:dyDescent="0.2">
      <c r="B59" s="477"/>
      <c r="C59" s="1417" t="s">
        <v>1738</v>
      </c>
      <c r="D59" s="177"/>
      <c r="E59" s="1416"/>
      <c r="F59" s="1416"/>
      <c r="G59" s="1416"/>
      <c r="H59" s="1416"/>
      <c r="I59" s="1416"/>
      <c r="J59" s="1416"/>
      <c r="K59" s="1416"/>
      <c r="L59" s="1416"/>
      <c r="M59" s="1416"/>
      <c r="N59" s="1416"/>
      <c r="O59" s="1420"/>
    </row>
    <row r="60" spans="2:15" x14ac:dyDescent="0.2">
      <c r="B60" s="477"/>
      <c r="C60" s="1416"/>
      <c r="D60" s="177"/>
      <c r="E60" s="1416"/>
      <c r="F60" s="1416"/>
      <c r="G60" s="1416"/>
      <c r="H60" s="1416"/>
      <c r="I60" s="1416"/>
      <c r="J60" s="1416"/>
      <c r="K60" s="1416"/>
      <c r="L60" s="1416"/>
      <c r="M60" s="1416"/>
      <c r="N60" s="1416"/>
      <c r="O60" s="1420"/>
    </row>
    <row r="61" spans="2:15" x14ac:dyDescent="0.2">
      <c r="B61" s="477"/>
      <c r="C61" s="1417" t="s">
        <v>934</v>
      </c>
      <c r="D61" s="177"/>
      <c r="E61" s="1416"/>
      <c r="F61" s="1416"/>
      <c r="G61" s="1416"/>
      <c r="H61" s="1416"/>
      <c r="I61" s="1416"/>
      <c r="J61" s="1416"/>
      <c r="K61" s="1416"/>
      <c r="L61" s="1416"/>
      <c r="M61" s="1416"/>
      <c r="N61" s="176" t="s">
        <v>1060</v>
      </c>
      <c r="O61" s="1420"/>
    </row>
    <row r="62" spans="2:15" ht="5.25" customHeight="1" x14ac:dyDescent="0.2">
      <c r="B62" s="477"/>
      <c r="C62" s="1416"/>
      <c r="D62" s="1416"/>
      <c r="E62" s="1416"/>
      <c r="F62" s="1416"/>
      <c r="G62" s="1416"/>
      <c r="H62" s="1416"/>
      <c r="I62" s="1416"/>
      <c r="J62" s="1416"/>
      <c r="K62" s="1416"/>
      <c r="L62" s="1416"/>
      <c r="M62" s="1416"/>
      <c r="N62" s="1416"/>
      <c r="O62" s="1420"/>
    </row>
    <row r="63" spans="2:15" ht="15.75" x14ac:dyDescent="0.25">
      <c r="B63" s="475"/>
      <c r="C63" s="98" t="s">
        <v>1058</v>
      </c>
      <c r="D63" s="98" t="s">
        <v>65</v>
      </c>
      <c r="E63" s="98"/>
      <c r="F63" s="218">
        <v>2010</v>
      </c>
      <c r="G63" s="217">
        <v>2015</v>
      </c>
      <c r="H63" s="217">
        <v>2020</v>
      </c>
      <c r="I63" s="217">
        <v>2025</v>
      </c>
      <c r="J63" s="217">
        <v>2030</v>
      </c>
      <c r="K63" s="217">
        <v>2035</v>
      </c>
      <c r="L63" s="217">
        <v>2040</v>
      </c>
      <c r="M63" s="217">
        <v>2045</v>
      </c>
      <c r="N63" s="217">
        <v>2050</v>
      </c>
      <c r="O63" s="1420"/>
    </row>
    <row r="64" spans="2:15" ht="15.75" x14ac:dyDescent="0.25">
      <c r="B64" s="475"/>
      <c r="C64" s="1414" t="s">
        <v>652</v>
      </c>
      <c r="D64" s="1415" t="s">
        <v>1748</v>
      </c>
      <c r="E64" s="146"/>
      <c r="F64" s="666">
        <v>0.50170000000000003</v>
      </c>
      <c r="G64" s="666">
        <v>0.50128949999999994</v>
      </c>
      <c r="H64" s="666">
        <v>0.50087899999999996</v>
      </c>
      <c r="I64" s="666">
        <v>0.51178950000000001</v>
      </c>
      <c r="J64" s="666">
        <v>0.52270000000000005</v>
      </c>
      <c r="K64" s="666">
        <v>0.54332500000000006</v>
      </c>
      <c r="L64" s="666">
        <v>0.56394999999999995</v>
      </c>
      <c r="M64" s="666">
        <v>0.58457499999999996</v>
      </c>
      <c r="N64" s="666">
        <v>0.60519999999999996</v>
      </c>
      <c r="O64" s="1420"/>
    </row>
    <row r="65" spans="2:15" ht="15.75" x14ac:dyDescent="0.25">
      <c r="B65" s="475"/>
      <c r="C65" s="1414" t="s">
        <v>653</v>
      </c>
      <c r="D65" s="1415" t="s">
        <v>1059</v>
      </c>
      <c r="E65" s="1415"/>
      <c r="F65" s="666">
        <v>0.38869999999999999</v>
      </c>
      <c r="G65" s="666">
        <v>0.38151999999999997</v>
      </c>
      <c r="H65" s="666">
        <v>0.37434000000000001</v>
      </c>
      <c r="I65" s="666">
        <v>0.35421999999999998</v>
      </c>
      <c r="J65" s="666">
        <v>0.33410000000000001</v>
      </c>
      <c r="K65" s="666">
        <v>0.30979250000000003</v>
      </c>
      <c r="L65" s="666">
        <v>0.28548499999999999</v>
      </c>
      <c r="M65" s="666">
        <v>0.26117750000000001</v>
      </c>
      <c r="N65" s="666">
        <v>0.23687</v>
      </c>
      <c r="O65" s="1420"/>
    </row>
    <row r="66" spans="2:15" ht="15.75" x14ac:dyDescent="0.25">
      <c r="B66" s="475"/>
      <c r="C66" s="1412" t="s">
        <v>654</v>
      </c>
      <c r="D66" s="102" t="s">
        <v>1749</v>
      </c>
      <c r="E66" s="102"/>
      <c r="F66" s="668">
        <v>0.1096</v>
      </c>
      <c r="G66" s="668">
        <v>0.11719</v>
      </c>
      <c r="H66" s="668">
        <v>0.12478</v>
      </c>
      <c r="I66" s="668">
        <v>0.13399</v>
      </c>
      <c r="J66" s="668">
        <v>0.14319999999999999</v>
      </c>
      <c r="K66" s="668">
        <v>0.14688000000000001</v>
      </c>
      <c r="L66" s="668">
        <v>0.15056</v>
      </c>
      <c r="M66" s="668">
        <v>0.15423999999999999</v>
      </c>
      <c r="N66" s="668">
        <v>0.15792</v>
      </c>
      <c r="O66" s="1420"/>
    </row>
    <row r="67" spans="2:15" x14ac:dyDescent="0.2">
      <c r="B67" s="477"/>
      <c r="C67" s="1416"/>
      <c r="D67" s="177"/>
      <c r="E67" s="1416"/>
      <c r="F67" s="562">
        <f t="shared" ref="F67:N67" si="5">SUM(F$64:F$66)</f>
        <v>1</v>
      </c>
      <c r="G67" s="562">
        <f t="shared" si="5"/>
        <v>0.99999949999999993</v>
      </c>
      <c r="H67" s="562">
        <f t="shared" si="5"/>
        <v>0.99999899999999997</v>
      </c>
      <c r="I67" s="562">
        <f t="shared" si="5"/>
        <v>0.99999949999999993</v>
      </c>
      <c r="J67" s="562">
        <f t="shared" si="5"/>
        <v>1</v>
      </c>
      <c r="K67" s="562">
        <f t="shared" si="5"/>
        <v>0.99999750000000009</v>
      </c>
      <c r="L67" s="562">
        <f t="shared" si="5"/>
        <v>0.99999499999999997</v>
      </c>
      <c r="M67" s="562">
        <f t="shared" si="5"/>
        <v>0.99999249999999984</v>
      </c>
      <c r="N67" s="562">
        <f t="shared" si="5"/>
        <v>0.99998999999999993</v>
      </c>
      <c r="O67" s="1420"/>
    </row>
    <row r="68" spans="2:15" x14ac:dyDescent="0.2">
      <c r="B68" s="477"/>
      <c r="C68" s="1416"/>
      <c r="D68" s="177"/>
      <c r="E68" s="1416"/>
      <c r="F68" s="1416"/>
      <c r="G68" s="1416"/>
      <c r="H68" s="1416"/>
      <c r="I68" s="1416"/>
      <c r="J68" s="1416"/>
      <c r="K68" s="1416"/>
      <c r="L68" s="1416"/>
      <c r="M68" s="1416"/>
      <c r="N68" s="1416"/>
      <c r="O68" s="1420"/>
    </row>
    <row r="69" spans="2:15" x14ac:dyDescent="0.2">
      <c r="B69" s="477"/>
      <c r="C69" s="1417" t="s">
        <v>935</v>
      </c>
      <c r="D69" s="177"/>
      <c r="E69" s="1416"/>
      <c r="F69" s="1416"/>
      <c r="G69" s="1416"/>
      <c r="H69" s="1416"/>
      <c r="I69" s="1416"/>
      <c r="J69" s="1416"/>
      <c r="K69" s="1416"/>
      <c r="L69" s="1416"/>
      <c r="M69" s="1416"/>
      <c r="N69" s="176" t="s">
        <v>1060</v>
      </c>
      <c r="O69" s="1420"/>
    </row>
    <row r="70" spans="2:15" ht="5.25" customHeight="1" x14ac:dyDescent="0.2">
      <c r="B70" s="477"/>
      <c r="C70" s="1416"/>
      <c r="D70" s="1416"/>
      <c r="E70" s="1416"/>
      <c r="F70" s="1416"/>
      <c r="G70" s="1416"/>
      <c r="H70" s="1416"/>
      <c r="I70" s="1416"/>
      <c r="J70" s="1416"/>
      <c r="K70" s="1416"/>
      <c r="L70" s="1416"/>
      <c r="M70" s="1416"/>
      <c r="N70" s="1416"/>
      <c r="O70" s="1420"/>
    </row>
    <row r="71" spans="2:15" ht="15.75" x14ac:dyDescent="0.25">
      <c r="B71" s="475"/>
      <c r="C71" s="98" t="s">
        <v>1058</v>
      </c>
      <c r="D71" s="98" t="s">
        <v>65</v>
      </c>
      <c r="E71" s="98"/>
      <c r="F71" s="218">
        <v>2010</v>
      </c>
      <c r="G71" s="217">
        <v>2015</v>
      </c>
      <c r="H71" s="217">
        <v>2020</v>
      </c>
      <c r="I71" s="217">
        <v>2025</v>
      </c>
      <c r="J71" s="217">
        <v>2030</v>
      </c>
      <c r="K71" s="217">
        <v>2035</v>
      </c>
      <c r="L71" s="217">
        <v>2040</v>
      </c>
      <c r="M71" s="217">
        <v>2045</v>
      </c>
      <c r="N71" s="217">
        <v>2050</v>
      </c>
      <c r="O71" s="1420"/>
    </row>
    <row r="72" spans="2:15" ht="15.75" x14ac:dyDescent="0.25">
      <c r="B72" s="475"/>
      <c r="C72" s="1414" t="s">
        <v>652</v>
      </c>
      <c r="D72" s="1415" t="s">
        <v>1748</v>
      </c>
      <c r="E72" s="146"/>
      <c r="F72" s="666">
        <v>0.50170000000000003</v>
      </c>
      <c r="G72" s="666">
        <v>0.5343</v>
      </c>
      <c r="H72" s="666">
        <v>0.56689999999999996</v>
      </c>
      <c r="I72" s="666">
        <v>0.59314999999999996</v>
      </c>
      <c r="J72" s="666">
        <v>0.61939999999999995</v>
      </c>
      <c r="K72" s="666">
        <v>0.63490000000000002</v>
      </c>
      <c r="L72" s="666">
        <v>0.65039999999999998</v>
      </c>
      <c r="M72" s="666">
        <v>0.66589999999999994</v>
      </c>
      <c r="N72" s="666">
        <v>0.68140000000000001</v>
      </c>
      <c r="O72" s="1420"/>
    </row>
    <row r="73" spans="2:15" ht="15.75" x14ac:dyDescent="0.25">
      <c r="B73" s="475"/>
      <c r="C73" s="1414" t="s">
        <v>653</v>
      </c>
      <c r="D73" s="1415" t="s">
        <v>1059</v>
      </c>
      <c r="E73" s="1415"/>
      <c r="F73" s="666">
        <v>0.38869999999999999</v>
      </c>
      <c r="G73" s="666">
        <v>0.33509999999999995</v>
      </c>
      <c r="H73" s="666">
        <v>0.28149999999999997</v>
      </c>
      <c r="I73" s="666">
        <v>0.24540000000000001</v>
      </c>
      <c r="J73" s="666">
        <v>0.20930000000000001</v>
      </c>
      <c r="K73" s="666">
        <v>0.18485000000000001</v>
      </c>
      <c r="L73" s="666">
        <v>0.16040000000000001</v>
      </c>
      <c r="M73" s="666">
        <v>0.13595000000000002</v>
      </c>
      <c r="N73" s="666">
        <v>0.1115</v>
      </c>
      <c r="O73" s="1420"/>
    </row>
    <row r="74" spans="2:15" ht="15.75" x14ac:dyDescent="0.25">
      <c r="B74" s="475"/>
      <c r="C74" s="1412" t="s">
        <v>654</v>
      </c>
      <c r="D74" s="102" t="s">
        <v>1749</v>
      </c>
      <c r="E74" s="102"/>
      <c r="F74" s="668">
        <v>0.1096</v>
      </c>
      <c r="G74" s="668">
        <v>0.13059999999999999</v>
      </c>
      <c r="H74" s="668">
        <v>0.15160000000000001</v>
      </c>
      <c r="I74" s="668">
        <v>0.16145000000000001</v>
      </c>
      <c r="J74" s="668">
        <v>0.17130000000000001</v>
      </c>
      <c r="K74" s="668">
        <v>0.18025000000000002</v>
      </c>
      <c r="L74" s="668">
        <v>0.18920000000000001</v>
      </c>
      <c r="M74" s="668">
        <v>0.19814999999999999</v>
      </c>
      <c r="N74" s="668">
        <v>0.20710000000000001</v>
      </c>
      <c r="O74" s="1420"/>
    </row>
    <row r="75" spans="2:15" x14ac:dyDescent="0.2">
      <c r="B75" s="477"/>
      <c r="C75" s="1416"/>
      <c r="D75" s="177"/>
      <c r="E75" s="1416"/>
      <c r="F75" s="562">
        <f t="shared" ref="F75:N75" si="6">SUM(F$64:F$66)</f>
        <v>1</v>
      </c>
      <c r="G75" s="562">
        <f t="shared" si="6"/>
        <v>0.99999949999999993</v>
      </c>
      <c r="H75" s="562">
        <f t="shared" si="6"/>
        <v>0.99999899999999997</v>
      </c>
      <c r="I75" s="562">
        <f t="shared" si="6"/>
        <v>0.99999949999999993</v>
      </c>
      <c r="J75" s="562">
        <f t="shared" si="6"/>
        <v>1</v>
      </c>
      <c r="K75" s="562">
        <f t="shared" si="6"/>
        <v>0.99999750000000009</v>
      </c>
      <c r="L75" s="562">
        <f t="shared" si="6"/>
        <v>0.99999499999999997</v>
      </c>
      <c r="M75" s="562">
        <f t="shared" si="6"/>
        <v>0.99999249999999984</v>
      </c>
      <c r="N75" s="562">
        <f t="shared" si="6"/>
        <v>0.99998999999999993</v>
      </c>
      <c r="O75" s="1420"/>
    </row>
    <row r="76" spans="2:15" x14ac:dyDescent="0.2">
      <c r="B76" s="477"/>
      <c r="C76" s="1416"/>
      <c r="D76" s="177"/>
      <c r="E76" s="1416"/>
      <c r="F76" s="1416"/>
      <c r="G76" s="1416"/>
      <c r="H76" s="1416"/>
      <c r="I76" s="1416"/>
      <c r="J76" s="1416"/>
      <c r="K76" s="1416"/>
      <c r="L76" s="1416"/>
      <c r="M76" s="1416"/>
      <c r="N76" s="1416"/>
      <c r="O76" s="1420"/>
    </row>
    <row r="77" spans="2:15" x14ac:dyDescent="0.2">
      <c r="B77" s="477"/>
      <c r="C77" s="1417" t="s">
        <v>936</v>
      </c>
      <c r="D77" s="177"/>
      <c r="E77" s="1416"/>
      <c r="F77" s="1416"/>
      <c r="G77" s="1416"/>
      <c r="H77" s="1416"/>
      <c r="I77" s="1416"/>
      <c r="J77" s="1416"/>
      <c r="K77" s="1416"/>
      <c r="L77" s="1416"/>
      <c r="M77" s="1416"/>
      <c r="N77" s="176" t="s">
        <v>1060</v>
      </c>
      <c r="O77" s="1420"/>
    </row>
    <row r="78" spans="2:15" ht="5.25" customHeight="1" x14ac:dyDescent="0.2">
      <c r="B78" s="477"/>
      <c r="C78" s="1416"/>
      <c r="D78" s="1416"/>
      <c r="E78" s="1416"/>
      <c r="F78" s="1416"/>
      <c r="G78" s="1416"/>
      <c r="H78" s="1416"/>
      <c r="I78" s="1416"/>
      <c r="J78" s="1416"/>
      <c r="K78" s="1416"/>
      <c r="L78" s="1416"/>
      <c r="M78" s="1416"/>
      <c r="N78" s="1416"/>
      <c r="O78" s="1420"/>
    </row>
    <row r="79" spans="2:15" ht="15.75" x14ac:dyDescent="0.25">
      <c r="B79" s="475"/>
      <c r="C79" s="98" t="s">
        <v>1058</v>
      </c>
      <c r="D79" s="98" t="s">
        <v>65</v>
      </c>
      <c r="E79" s="98"/>
      <c r="F79" s="218">
        <v>2010</v>
      </c>
      <c r="G79" s="217">
        <v>2015</v>
      </c>
      <c r="H79" s="217">
        <v>2020</v>
      </c>
      <c r="I79" s="217">
        <v>2025</v>
      </c>
      <c r="J79" s="217">
        <v>2030</v>
      </c>
      <c r="K79" s="217">
        <v>2035</v>
      </c>
      <c r="L79" s="217">
        <v>2040</v>
      </c>
      <c r="M79" s="217">
        <v>2045</v>
      </c>
      <c r="N79" s="217">
        <v>2050</v>
      </c>
      <c r="O79" s="1420"/>
    </row>
    <row r="80" spans="2:15" ht="15.75" x14ac:dyDescent="0.25">
      <c r="B80" s="475"/>
      <c r="C80" s="1414" t="s">
        <v>652</v>
      </c>
      <c r="D80" s="1415" t="s">
        <v>1748</v>
      </c>
      <c r="E80" s="146"/>
      <c r="F80" s="666">
        <v>0.50170000000000003</v>
      </c>
      <c r="G80" s="666">
        <v>0.55435000000000001</v>
      </c>
      <c r="H80" s="666">
        <v>0.60699999999999998</v>
      </c>
      <c r="I80" s="666">
        <v>0.66910000000000003</v>
      </c>
      <c r="J80" s="666">
        <v>0.73119999999999996</v>
      </c>
      <c r="K80" s="666">
        <v>0.75085000000000002</v>
      </c>
      <c r="L80" s="666">
        <v>0.77049999999999996</v>
      </c>
      <c r="M80" s="666">
        <v>0.79014999999999991</v>
      </c>
      <c r="N80" s="666">
        <v>0.80979999999999996</v>
      </c>
      <c r="O80" s="1420"/>
    </row>
    <row r="81" spans="2:15" ht="15.75" x14ac:dyDescent="0.25">
      <c r="B81" s="475"/>
      <c r="C81" s="1414" t="s">
        <v>653</v>
      </c>
      <c r="D81" s="1415" t="s">
        <v>1059</v>
      </c>
      <c r="E81" s="1415"/>
      <c r="F81" s="666">
        <v>0.38869999999999999</v>
      </c>
      <c r="G81" s="666">
        <v>0.29259999999999997</v>
      </c>
      <c r="H81" s="666">
        <v>0.19650000000000001</v>
      </c>
      <c r="I81" s="666">
        <v>0.13184999999999999</v>
      </c>
      <c r="J81" s="666">
        <v>6.7199999999999996E-2</v>
      </c>
      <c r="K81" s="666">
        <v>5.5149999999999998E-2</v>
      </c>
      <c r="L81" s="666">
        <v>4.3099999999999999E-2</v>
      </c>
      <c r="M81" s="666">
        <v>3.1050000000000001E-2</v>
      </c>
      <c r="N81" s="666">
        <v>1.9E-2</v>
      </c>
      <c r="O81" s="1420"/>
    </row>
    <row r="82" spans="2:15" ht="15.75" x14ac:dyDescent="0.25">
      <c r="B82" s="475"/>
      <c r="C82" s="1412" t="s">
        <v>654</v>
      </c>
      <c r="D82" s="102" t="s">
        <v>1749</v>
      </c>
      <c r="E82" s="102"/>
      <c r="F82" s="668">
        <v>0.1096</v>
      </c>
      <c r="G82" s="668">
        <v>0.15305000000000002</v>
      </c>
      <c r="H82" s="668">
        <v>0.19650000000000001</v>
      </c>
      <c r="I82" s="668">
        <v>0.19905</v>
      </c>
      <c r="J82" s="668">
        <v>0.2016</v>
      </c>
      <c r="K82" s="668">
        <v>0.19400000000000001</v>
      </c>
      <c r="L82" s="668">
        <v>0.18640000000000001</v>
      </c>
      <c r="M82" s="668">
        <v>0.17880000000000001</v>
      </c>
      <c r="N82" s="668">
        <v>0.17119999999999999</v>
      </c>
      <c r="O82" s="1420"/>
    </row>
    <row r="83" spans="2:15" x14ac:dyDescent="0.2">
      <c r="B83" s="477"/>
      <c r="C83" s="1416"/>
      <c r="D83" s="177"/>
      <c r="E83" s="1416"/>
      <c r="F83" s="562">
        <f t="shared" ref="F83:N83" si="7">SUM(F$64:F$66)</f>
        <v>1</v>
      </c>
      <c r="G83" s="562">
        <f t="shared" si="7"/>
        <v>0.99999949999999993</v>
      </c>
      <c r="H83" s="562">
        <f t="shared" si="7"/>
        <v>0.99999899999999997</v>
      </c>
      <c r="I83" s="562">
        <f t="shared" si="7"/>
        <v>0.99999949999999993</v>
      </c>
      <c r="J83" s="562">
        <f t="shared" si="7"/>
        <v>1</v>
      </c>
      <c r="K83" s="562">
        <f t="shared" si="7"/>
        <v>0.99999750000000009</v>
      </c>
      <c r="L83" s="562">
        <f t="shared" si="7"/>
        <v>0.99999499999999997</v>
      </c>
      <c r="M83" s="562">
        <f t="shared" si="7"/>
        <v>0.99999249999999984</v>
      </c>
      <c r="N83" s="562">
        <f t="shared" si="7"/>
        <v>0.99998999999999993</v>
      </c>
      <c r="O83" s="1420"/>
    </row>
    <row r="84" spans="2:15" s="1582" customFormat="1" x14ac:dyDescent="0.2">
      <c r="B84" s="477"/>
      <c r="C84" s="1416"/>
      <c r="D84" s="177"/>
      <c r="E84" s="1416"/>
      <c r="F84" s="1416"/>
      <c r="G84" s="1416"/>
      <c r="H84" s="1416"/>
      <c r="I84" s="1416"/>
      <c r="J84" s="1416"/>
      <c r="K84" s="1416"/>
      <c r="L84" s="1416"/>
      <c r="M84" s="1416"/>
      <c r="N84" s="1416"/>
      <c r="O84" s="1420"/>
    </row>
    <row r="85" spans="2:15" s="1582" customFormat="1" x14ac:dyDescent="0.2">
      <c r="B85" s="477"/>
      <c r="C85" s="1417" t="s">
        <v>937</v>
      </c>
      <c r="D85" s="177"/>
      <c r="E85" s="1416"/>
      <c r="F85" s="1416"/>
      <c r="G85" s="1416"/>
      <c r="H85" s="1416"/>
      <c r="I85" s="1416"/>
      <c r="J85" s="1416"/>
      <c r="K85" s="1416"/>
      <c r="L85" s="1416"/>
      <c r="M85" s="1416"/>
      <c r="N85" s="176" t="s">
        <v>1060</v>
      </c>
      <c r="O85" s="1420"/>
    </row>
    <row r="86" spans="2:15" s="1582" customFormat="1" ht="5.25" customHeight="1" x14ac:dyDescent="0.2">
      <c r="B86" s="477"/>
      <c r="C86" s="1416"/>
      <c r="D86" s="1416"/>
      <c r="E86" s="1416"/>
      <c r="F86" s="1416"/>
      <c r="G86" s="1416"/>
      <c r="H86" s="1416"/>
      <c r="I86" s="1416"/>
      <c r="J86" s="1416"/>
      <c r="K86" s="1416"/>
      <c r="L86" s="1416"/>
      <c r="M86" s="1416"/>
      <c r="N86" s="1416"/>
      <c r="O86" s="1420"/>
    </row>
    <row r="87" spans="2:15" s="1582" customFormat="1" ht="15.75" x14ac:dyDescent="0.25">
      <c r="B87" s="475"/>
      <c r="C87" s="98" t="s">
        <v>1058</v>
      </c>
      <c r="D87" s="98" t="s">
        <v>65</v>
      </c>
      <c r="E87" s="98"/>
      <c r="F87" s="218">
        <v>2010</v>
      </c>
      <c r="G87" s="217">
        <v>2015</v>
      </c>
      <c r="H87" s="217">
        <v>2020</v>
      </c>
      <c r="I87" s="217">
        <v>2025</v>
      </c>
      <c r="J87" s="217">
        <v>2030</v>
      </c>
      <c r="K87" s="217">
        <v>2035</v>
      </c>
      <c r="L87" s="217">
        <v>2040</v>
      </c>
      <c r="M87" s="217">
        <v>2045</v>
      </c>
      <c r="N87" s="217">
        <v>2050</v>
      </c>
      <c r="O87" s="1420"/>
    </row>
    <row r="88" spans="2:15" s="1582" customFormat="1" ht="15.75" x14ac:dyDescent="0.25">
      <c r="B88" s="475"/>
      <c r="C88" s="1414" t="s">
        <v>652</v>
      </c>
      <c r="D88" s="1415" t="s">
        <v>1748</v>
      </c>
      <c r="E88" s="146"/>
      <c r="F88" s="666">
        <v>0.50170000000000003</v>
      </c>
      <c r="G88" s="666">
        <v>0.56930000000000003</v>
      </c>
      <c r="H88" s="666">
        <v>0.63690000000000002</v>
      </c>
      <c r="I88" s="666">
        <v>0.69455</v>
      </c>
      <c r="J88" s="666">
        <v>0.75219999999999998</v>
      </c>
      <c r="K88" s="666">
        <v>0.77734999999999999</v>
      </c>
      <c r="L88" s="666">
        <v>0.80249999999999999</v>
      </c>
      <c r="M88" s="666">
        <v>0.82765</v>
      </c>
      <c r="N88" s="666">
        <v>0.8528</v>
      </c>
      <c r="O88" s="1420"/>
    </row>
    <row r="89" spans="2:15" s="1582" customFormat="1" ht="15.75" x14ac:dyDescent="0.25">
      <c r="B89" s="475"/>
      <c r="C89" s="1414" t="s">
        <v>653</v>
      </c>
      <c r="D89" s="1415" t="s">
        <v>1059</v>
      </c>
      <c r="E89" s="1415"/>
      <c r="F89" s="666">
        <v>0.38869999999999999</v>
      </c>
      <c r="G89" s="666">
        <v>0.29420000000000002</v>
      </c>
      <c r="H89" s="666">
        <v>0.19969999999999999</v>
      </c>
      <c r="I89" s="666">
        <v>0.14939999999999998</v>
      </c>
      <c r="J89" s="666">
        <v>9.9099999999999994E-2</v>
      </c>
      <c r="K89" s="666">
        <v>8.1674999999999998E-2</v>
      </c>
      <c r="L89" s="666">
        <v>6.4250000000000002E-2</v>
      </c>
      <c r="M89" s="666">
        <v>4.6824999999999999E-2</v>
      </c>
      <c r="N89" s="666">
        <v>2.9399999999999999E-2</v>
      </c>
      <c r="O89" s="1420"/>
    </row>
    <row r="90" spans="2:15" s="1582" customFormat="1" ht="15.75" x14ac:dyDescent="0.25">
      <c r="B90" s="475"/>
      <c r="C90" s="1412" t="s">
        <v>654</v>
      </c>
      <c r="D90" s="102" t="s">
        <v>1749</v>
      </c>
      <c r="E90" s="102"/>
      <c r="F90" s="668">
        <v>0.1096</v>
      </c>
      <c r="G90" s="668">
        <v>0.13650000000000001</v>
      </c>
      <c r="H90" s="668">
        <v>0.16339999999999999</v>
      </c>
      <c r="I90" s="668">
        <v>0.15604999999999999</v>
      </c>
      <c r="J90" s="668">
        <v>0.1487</v>
      </c>
      <c r="K90" s="668">
        <v>0.14097500000000002</v>
      </c>
      <c r="L90" s="668">
        <v>0.13325000000000001</v>
      </c>
      <c r="M90" s="668">
        <v>0.125525</v>
      </c>
      <c r="N90" s="668">
        <v>0.1178</v>
      </c>
      <c r="O90" s="1420"/>
    </row>
    <row r="91" spans="2:15" s="1582" customFormat="1" x14ac:dyDescent="0.2">
      <c r="B91" s="477"/>
      <c r="C91" s="1416"/>
      <c r="D91" s="177"/>
      <c r="E91" s="1416"/>
      <c r="F91" s="562">
        <f t="shared" ref="F91:N91" si="8">SUM(F$64:F$66)</f>
        <v>1</v>
      </c>
      <c r="G91" s="562">
        <f t="shared" si="8"/>
        <v>0.99999949999999993</v>
      </c>
      <c r="H91" s="562">
        <f t="shared" si="8"/>
        <v>0.99999899999999997</v>
      </c>
      <c r="I91" s="562">
        <f t="shared" si="8"/>
        <v>0.99999949999999993</v>
      </c>
      <c r="J91" s="562">
        <f t="shared" si="8"/>
        <v>1</v>
      </c>
      <c r="K91" s="562">
        <f t="shared" si="8"/>
        <v>0.99999750000000009</v>
      </c>
      <c r="L91" s="562">
        <f t="shared" si="8"/>
        <v>0.99999499999999997</v>
      </c>
      <c r="M91" s="562">
        <f t="shared" si="8"/>
        <v>0.99999249999999984</v>
      </c>
      <c r="N91" s="562">
        <f t="shared" si="8"/>
        <v>0.99998999999999993</v>
      </c>
      <c r="O91" s="1420"/>
    </row>
    <row r="92" spans="2:15" x14ac:dyDescent="0.2">
      <c r="B92" s="477"/>
      <c r="C92" s="1416"/>
      <c r="D92" s="177"/>
      <c r="E92" s="1416"/>
      <c r="F92" s="1416"/>
      <c r="G92" s="1416"/>
      <c r="H92" s="1416"/>
      <c r="I92" s="1416"/>
      <c r="J92" s="1416"/>
      <c r="K92" s="1416"/>
      <c r="L92" s="1416"/>
      <c r="M92" s="1416"/>
      <c r="N92" s="1416"/>
      <c r="O92" s="1420"/>
    </row>
    <row r="93" spans="2:15" x14ac:dyDescent="0.2">
      <c r="B93" s="1060"/>
      <c r="C93" s="458"/>
      <c r="D93" s="1061"/>
      <c r="E93" s="458"/>
      <c r="F93" s="458"/>
      <c r="G93" s="458"/>
      <c r="H93" s="458"/>
      <c r="I93" s="458"/>
      <c r="J93" s="458"/>
      <c r="K93" s="458"/>
      <c r="L93" s="458"/>
      <c r="M93" s="458"/>
      <c r="N93" s="458"/>
      <c r="O93" s="459"/>
    </row>
    <row r="94" spans="2:15" x14ac:dyDescent="0.2">
      <c r="B94" s="477"/>
      <c r="C94" s="1417" t="s">
        <v>1085</v>
      </c>
      <c r="D94" s="177"/>
      <c r="E94" s="1416"/>
      <c r="F94" s="1416"/>
      <c r="G94" s="1416"/>
      <c r="H94" s="1416"/>
      <c r="I94" s="1416"/>
      <c r="J94" s="1416"/>
      <c r="K94" s="1416"/>
      <c r="L94" s="1416"/>
      <c r="M94" s="1416"/>
      <c r="N94" s="176" t="s">
        <v>1084</v>
      </c>
      <c r="O94" s="1420"/>
    </row>
    <row r="95" spans="2:15" ht="5.25" customHeight="1" x14ac:dyDescent="0.2">
      <c r="B95" s="477"/>
      <c r="C95" s="1416"/>
      <c r="D95" s="1416"/>
      <c r="E95" s="1416"/>
      <c r="F95" s="1416"/>
      <c r="G95" s="1416"/>
      <c r="H95" s="1416"/>
      <c r="I95" s="1416"/>
      <c r="J95" s="1416"/>
      <c r="K95" s="1416"/>
      <c r="L95" s="1416"/>
      <c r="M95" s="1416"/>
      <c r="N95" s="1416"/>
      <c r="O95" s="1420"/>
    </row>
    <row r="96" spans="2:15" ht="15.75" x14ac:dyDescent="0.25">
      <c r="B96" s="475"/>
      <c r="C96" s="98" t="s">
        <v>595</v>
      </c>
      <c r="D96" s="98" t="s">
        <v>65</v>
      </c>
      <c r="E96" s="98"/>
      <c r="F96" s="218">
        <v>2010</v>
      </c>
      <c r="G96" s="217">
        <v>2015</v>
      </c>
      <c r="H96" s="217">
        <v>2020</v>
      </c>
      <c r="I96" s="217">
        <v>2025</v>
      </c>
      <c r="J96" s="217">
        <v>2030</v>
      </c>
      <c r="K96" s="217">
        <v>2035</v>
      </c>
      <c r="L96" s="217">
        <v>2040</v>
      </c>
      <c r="M96" s="217">
        <v>2045</v>
      </c>
      <c r="N96" s="217">
        <v>2050</v>
      </c>
      <c r="O96" s="1420"/>
    </row>
    <row r="97" spans="2:15" ht="15.75" x14ac:dyDescent="0.25">
      <c r="B97" s="475"/>
      <c r="C97" s="1414">
        <v>1</v>
      </c>
      <c r="D97" s="1415" t="s">
        <v>1750</v>
      </c>
      <c r="E97" s="146"/>
      <c r="F97" s="666">
        <v>0</v>
      </c>
      <c r="G97" s="666">
        <v>0</v>
      </c>
      <c r="H97" s="666">
        <v>0</v>
      </c>
      <c r="I97" s="666">
        <v>5.3011799999999998E-2</v>
      </c>
      <c r="J97" s="666">
        <v>0.1060236</v>
      </c>
      <c r="K97" s="666">
        <v>0.13534570000000001</v>
      </c>
      <c r="L97" s="666">
        <v>0.1646678</v>
      </c>
      <c r="M97" s="666">
        <v>0.19398989999999999</v>
      </c>
      <c r="N97" s="666">
        <v>0.22331200000000001</v>
      </c>
      <c r="O97" s="1420"/>
    </row>
    <row r="98" spans="2:15" ht="15.75" x14ac:dyDescent="0.25">
      <c r="B98" s="475"/>
      <c r="C98" s="1414">
        <v>2</v>
      </c>
      <c r="D98" s="1415" t="s">
        <v>1750</v>
      </c>
      <c r="E98" s="1415"/>
      <c r="F98" s="666">
        <v>0</v>
      </c>
      <c r="G98" s="666">
        <v>5.8400000000000001E-2</v>
      </c>
      <c r="H98" s="666">
        <v>0.1168</v>
      </c>
      <c r="I98" s="666">
        <v>0.16950000000000001</v>
      </c>
      <c r="J98" s="666">
        <v>0.22220000000000001</v>
      </c>
      <c r="K98" s="666">
        <v>0.25334999999999996</v>
      </c>
      <c r="L98" s="666">
        <v>0.28449999999999998</v>
      </c>
      <c r="M98" s="666">
        <v>0.31564999999999999</v>
      </c>
      <c r="N98" s="666">
        <v>0.3468</v>
      </c>
      <c r="O98" s="1420"/>
    </row>
    <row r="99" spans="2:15" s="1582" customFormat="1" ht="15.75" x14ac:dyDescent="0.25">
      <c r="B99" s="475"/>
      <c r="C99" s="1414">
        <v>3</v>
      </c>
      <c r="D99" s="1415" t="s">
        <v>1750</v>
      </c>
      <c r="E99" s="1415"/>
      <c r="F99" s="666">
        <v>0</v>
      </c>
      <c r="G99" s="666">
        <v>0.11335000000000001</v>
      </c>
      <c r="H99" s="666">
        <v>0.22670000000000001</v>
      </c>
      <c r="I99" s="666">
        <v>0.29810000000000003</v>
      </c>
      <c r="J99" s="666">
        <v>0.3695</v>
      </c>
      <c r="K99" s="666">
        <v>0.377475</v>
      </c>
      <c r="L99" s="666">
        <v>0.38544999999999996</v>
      </c>
      <c r="M99" s="666">
        <v>0.39342499999999997</v>
      </c>
      <c r="N99" s="666">
        <v>0.40139999999999998</v>
      </c>
      <c r="O99" s="1420"/>
    </row>
    <row r="100" spans="2:15" ht="15.75" x14ac:dyDescent="0.25">
      <c r="B100" s="475"/>
      <c r="C100" s="1412">
        <v>4</v>
      </c>
      <c r="D100" s="102" t="s">
        <v>1750</v>
      </c>
      <c r="E100" s="102"/>
      <c r="F100" s="668">
        <v>0</v>
      </c>
      <c r="G100" s="668">
        <v>9.3450000000000005E-2</v>
      </c>
      <c r="H100" s="668">
        <v>0.18690000000000001</v>
      </c>
      <c r="I100" s="668">
        <v>0.23594999999999999</v>
      </c>
      <c r="J100" s="668">
        <v>0.28499999999999998</v>
      </c>
      <c r="K100" s="668">
        <v>0.29115000000000002</v>
      </c>
      <c r="L100" s="668">
        <v>0.29730000000000001</v>
      </c>
      <c r="M100" s="668">
        <v>0.30345</v>
      </c>
      <c r="N100" s="668">
        <v>0.30959999999999999</v>
      </c>
      <c r="O100" s="1420"/>
    </row>
    <row r="101" spans="2:15" s="1582" customFormat="1" ht="15.75" x14ac:dyDescent="0.25">
      <c r="B101" s="397"/>
      <c r="C101" s="1386" t="s">
        <v>582</v>
      </c>
      <c r="D101" s="1387"/>
      <c r="E101" s="1387"/>
      <c r="F101" s="1410">
        <f t="shared" ref="F101:N101" si="9">(INDEX(F$97:F$100,ROUNDDOWN($E$7,0))*(1-MOD($E$7,1)))+(INDEX(F$97:F$100,ROUNDUP($E$7,0))*MOD($E$7,1))</f>
        <v>0</v>
      </c>
      <c r="G101" s="1409">
        <f t="shared" si="9"/>
        <v>9.3450000000000005E-2</v>
      </c>
      <c r="H101" s="1409">
        <f t="shared" si="9"/>
        <v>0.18690000000000001</v>
      </c>
      <c r="I101" s="1409">
        <f t="shared" si="9"/>
        <v>0.23594999999999999</v>
      </c>
      <c r="J101" s="1409">
        <f t="shared" si="9"/>
        <v>0.28499999999999998</v>
      </c>
      <c r="K101" s="1409">
        <f t="shared" si="9"/>
        <v>0.29115000000000002</v>
      </c>
      <c r="L101" s="1409">
        <f t="shared" si="9"/>
        <v>0.29730000000000001</v>
      </c>
      <c r="M101" s="1409">
        <f t="shared" si="9"/>
        <v>0.30345</v>
      </c>
      <c r="N101" s="1409">
        <f t="shared" si="9"/>
        <v>0.30959999999999999</v>
      </c>
      <c r="O101" s="1420"/>
    </row>
    <row r="102" spans="2:15" x14ac:dyDescent="0.2">
      <c r="B102" s="477"/>
      <c r="C102" s="1414"/>
      <c r="D102" s="1415"/>
      <c r="E102" s="1415"/>
      <c r="F102" s="666"/>
      <c r="G102" s="666"/>
      <c r="H102" s="666"/>
      <c r="I102" s="666"/>
      <c r="J102" s="666"/>
      <c r="K102" s="666"/>
      <c r="L102" s="666"/>
      <c r="M102" s="666"/>
      <c r="N102" s="666"/>
      <c r="O102" s="1420"/>
    </row>
    <row r="103" spans="2:15" x14ac:dyDescent="0.2">
      <c r="B103" s="477"/>
      <c r="C103" s="1417" t="s">
        <v>1080</v>
      </c>
      <c r="D103" s="177"/>
      <c r="E103" s="1416"/>
      <c r="F103" s="1416"/>
      <c r="G103" s="1416"/>
      <c r="H103" s="1416"/>
      <c r="I103" s="1416"/>
      <c r="J103" s="1416"/>
      <c r="K103" s="1416"/>
      <c r="L103" s="1416"/>
      <c r="M103" s="1416"/>
      <c r="N103" s="176" t="s">
        <v>1111</v>
      </c>
      <c r="O103" s="1420"/>
    </row>
    <row r="104" spans="2:15" ht="5.25" customHeight="1" x14ac:dyDescent="0.2">
      <c r="B104" s="477"/>
      <c r="C104" s="1416"/>
      <c r="D104" s="1416"/>
      <c r="E104" s="1416"/>
      <c r="F104" s="1416"/>
      <c r="G104" s="1416"/>
      <c r="H104" s="1416"/>
      <c r="I104" s="1416"/>
      <c r="J104" s="1416"/>
      <c r="K104" s="1416"/>
      <c r="L104" s="1416"/>
      <c r="M104" s="1416"/>
      <c r="N104" s="1416"/>
      <c r="O104" s="1420"/>
    </row>
    <row r="105" spans="2:15" ht="15.75" x14ac:dyDescent="0.25">
      <c r="B105" s="475"/>
      <c r="C105" s="98" t="s">
        <v>595</v>
      </c>
      <c r="D105" s="98" t="s">
        <v>65</v>
      </c>
      <c r="E105" s="98"/>
      <c r="F105" s="218">
        <v>2010</v>
      </c>
      <c r="G105" s="217">
        <v>2015</v>
      </c>
      <c r="H105" s="217">
        <v>2020</v>
      </c>
      <c r="I105" s="217">
        <v>2025</v>
      </c>
      <c r="J105" s="217">
        <v>2030</v>
      </c>
      <c r="K105" s="217">
        <v>2035</v>
      </c>
      <c r="L105" s="217">
        <v>2040</v>
      </c>
      <c r="M105" s="217">
        <v>2045</v>
      </c>
      <c r="N105" s="217">
        <v>2050</v>
      </c>
      <c r="O105" s="1420"/>
    </row>
    <row r="106" spans="2:15" ht="15.75" x14ac:dyDescent="0.25">
      <c r="B106" s="475"/>
      <c r="C106" s="1414">
        <v>1</v>
      </c>
      <c r="D106" s="1415" t="s">
        <v>1081</v>
      </c>
      <c r="E106" s="146"/>
      <c r="F106" s="666">
        <v>7.0000000000000007E-2</v>
      </c>
      <c r="G106" s="666">
        <v>7.5000000000000011E-2</v>
      </c>
      <c r="H106" s="666">
        <v>0.08</v>
      </c>
      <c r="I106" s="666">
        <v>8.4999999999999992E-2</v>
      </c>
      <c r="J106" s="666">
        <v>0.09</v>
      </c>
      <c r="K106" s="666">
        <v>0.11750000000000001</v>
      </c>
      <c r="L106" s="666">
        <v>0.14500000000000002</v>
      </c>
      <c r="M106" s="666">
        <v>0.17250000000000001</v>
      </c>
      <c r="N106" s="666">
        <v>0.2</v>
      </c>
      <c r="O106" s="1420"/>
    </row>
    <row r="107" spans="2:15" s="1582" customFormat="1" ht="15.75" x14ac:dyDescent="0.25">
      <c r="B107" s="475"/>
      <c r="C107" s="1414">
        <v>2</v>
      </c>
      <c r="D107" s="1415" t="s">
        <v>1081</v>
      </c>
      <c r="E107" s="1415"/>
      <c r="F107" s="666">
        <v>7.0000000000000007E-2</v>
      </c>
      <c r="G107" s="666">
        <v>8.5000000000000006E-2</v>
      </c>
      <c r="H107" s="666">
        <v>0.1</v>
      </c>
      <c r="I107" s="666">
        <v>0.16500000000000001</v>
      </c>
      <c r="J107" s="666">
        <v>0.23</v>
      </c>
      <c r="K107" s="666">
        <v>0.23749999999999999</v>
      </c>
      <c r="L107" s="666">
        <v>0.245</v>
      </c>
      <c r="M107" s="666">
        <v>0.2525</v>
      </c>
      <c r="N107" s="666">
        <v>0.26</v>
      </c>
      <c r="O107" s="1420"/>
    </row>
    <row r="108" spans="2:15" ht="15.75" x14ac:dyDescent="0.25">
      <c r="B108" s="475"/>
      <c r="C108" s="1414">
        <v>3</v>
      </c>
      <c r="D108" s="1415" t="s">
        <v>1081</v>
      </c>
      <c r="E108" s="1415"/>
      <c r="F108" s="666">
        <v>7.0000000000000007E-2</v>
      </c>
      <c r="G108" s="666">
        <v>0.10500000000000001</v>
      </c>
      <c r="H108" s="666">
        <v>0.14000000000000001</v>
      </c>
      <c r="I108" s="666">
        <v>0.16500000000000001</v>
      </c>
      <c r="J108" s="666">
        <v>0.19</v>
      </c>
      <c r="K108" s="666">
        <v>0.1875</v>
      </c>
      <c r="L108" s="666">
        <v>0.185</v>
      </c>
      <c r="M108" s="666">
        <v>0.1825</v>
      </c>
      <c r="N108" s="666">
        <v>0.18</v>
      </c>
      <c r="O108" s="1420"/>
    </row>
    <row r="109" spans="2:15" ht="15.75" x14ac:dyDescent="0.25">
      <c r="B109" s="475"/>
      <c r="C109" s="1412">
        <v>4</v>
      </c>
      <c r="D109" s="102" t="s">
        <v>1081</v>
      </c>
      <c r="E109" s="102"/>
      <c r="F109" s="668">
        <v>7.0000000000000007E-2</v>
      </c>
      <c r="G109" s="668">
        <v>0.09</v>
      </c>
      <c r="H109" s="668">
        <v>0.11</v>
      </c>
      <c r="I109" s="668">
        <v>0.11499999999999999</v>
      </c>
      <c r="J109" s="668">
        <v>0.12</v>
      </c>
      <c r="K109" s="668">
        <v>0.12</v>
      </c>
      <c r="L109" s="668">
        <v>0.12</v>
      </c>
      <c r="M109" s="668">
        <v>0.12</v>
      </c>
      <c r="N109" s="668">
        <v>0.12</v>
      </c>
      <c r="O109" s="1420"/>
    </row>
    <row r="110" spans="2:15" s="1582" customFormat="1" ht="15.75" x14ac:dyDescent="0.25">
      <c r="B110" s="397"/>
      <c r="C110" s="1386" t="s">
        <v>582</v>
      </c>
      <c r="D110" s="1387"/>
      <c r="E110" s="1387"/>
      <c r="F110" s="1410">
        <f t="shared" ref="F110:N110" si="10">(INDEX(F$106:F$109,ROUNDDOWN($E$7,0))*(1-MOD($E$7,1)))+(INDEX(F$106:F$109,ROUNDUP($E$7,0))*MOD($E$7,1))</f>
        <v>7.0000000000000007E-2</v>
      </c>
      <c r="G110" s="1409">
        <f t="shared" si="10"/>
        <v>0.09</v>
      </c>
      <c r="H110" s="1409">
        <f t="shared" si="10"/>
        <v>0.11</v>
      </c>
      <c r="I110" s="1409">
        <f t="shared" si="10"/>
        <v>0.11499999999999999</v>
      </c>
      <c r="J110" s="1409">
        <f t="shared" si="10"/>
        <v>0.12</v>
      </c>
      <c r="K110" s="1409">
        <f t="shared" si="10"/>
        <v>0.12</v>
      </c>
      <c r="L110" s="1409">
        <f t="shared" si="10"/>
        <v>0.12</v>
      </c>
      <c r="M110" s="1409">
        <f t="shared" si="10"/>
        <v>0.12</v>
      </c>
      <c r="N110" s="1409">
        <f t="shared" si="10"/>
        <v>0.12</v>
      </c>
      <c r="O110" s="1420"/>
    </row>
    <row r="111" spans="2:15" ht="15.75" x14ac:dyDescent="0.25">
      <c r="B111" s="475"/>
      <c r="C111" s="1416"/>
      <c r="D111" s="177"/>
      <c r="E111" s="1416"/>
      <c r="F111" s="562"/>
      <c r="G111" s="562"/>
      <c r="H111" s="562"/>
      <c r="I111" s="562"/>
      <c r="J111" s="562"/>
      <c r="K111" s="562"/>
      <c r="L111" s="562"/>
      <c r="M111" s="562"/>
      <c r="N111" s="562"/>
      <c r="O111" s="1420"/>
    </row>
    <row r="112" spans="2:15" ht="15.75" x14ac:dyDescent="0.25">
      <c r="B112" s="475"/>
      <c r="C112" s="1417" t="s">
        <v>1109</v>
      </c>
      <c r="D112" s="177"/>
      <c r="E112" s="1416"/>
      <c r="F112" s="1416"/>
      <c r="G112" s="1416"/>
      <c r="H112" s="1416"/>
      <c r="I112" s="1416"/>
      <c r="J112" s="1416"/>
      <c r="K112" s="1416"/>
      <c r="L112" s="1416"/>
      <c r="M112" s="1416"/>
      <c r="N112" s="176" t="s">
        <v>1110</v>
      </c>
      <c r="O112" s="1420"/>
    </row>
    <row r="113" spans="2:15" ht="5.25" customHeight="1" x14ac:dyDescent="0.25">
      <c r="B113" s="475"/>
      <c r="C113" s="1416"/>
      <c r="D113" s="1416"/>
      <c r="E113" s="1416"/>
      <c r="F113" s="1416"/>
      <c r="G113" s="1416"/>
      <c r="H113" s="1416"/>
      <c r="I113" s="1416"/>
      <c r="J113" s="1416"/>
      <c r="K113" s="1416"/>
      <c r="L113" s="1416"/>
      <c r="M113" s="1416"/>
      <c r="N113" s="1416"/>
      <c r="O113" s="1420"/>
    </row>
    <row r="114" spans="2:15" ht="15.75" x14ac:dyDescent="0.25">
      <c r="B114" s="475"/>
      <c r="C114" s="98" t="s">
        <v>595</v>
      </c>
      <c r="D114" s="98" t="s">
        <v>65</v>
      </c>
      <c r="E114" s="98"/>
      <c r="F114" s="218">
        <v>2010</v>
      </c>
      <c r="G114" s="217">
        <v>2015</v>
      </c>
      <c r="H114" s="217">
        <v>2020</v>
      </c>
      <c r="I114" s="217">
        <v>2025</v>
      </c>
      <c r="J114" s="217">
        <v>2030</v>
      </c>
      <c r="K114" s="217">
        <v>2035</v>
      </c>
      <c r="L114" s="217">
        <v>2040</v>
      </c>
      <c r="M114" s="217">
        <v>2045</v>
      </c>
      <c r="N114" s="217">
        <v>2050</v>
      </c>
      <c r="O114" s="1420"/>
    </row>
    <row r="115" spans="2:15" ht="15.75" x14ac:dyDescent="0.25">
      <c r="B115" s="475"/>
      <c r="C115" s="1414">
        <v>1</v>
      </c>
      <c r="D115" s="1415" t="s">
        <v>1751</v>
      </c>
      <c r="E115" s="146"/>
      <c r="F115" s="666">
        <v>0.75</v>
      </c>
      <c r="G115" s="666">
        <v>0.75</v>
      </c>
      <c r="H115" s="666">
        <v>0.75</v>
      </c>
      <c r="I115" s="666">
        <v>0.75</v>
      </c>
      <c r="J115" s="666">
        <v>0.75</v>
      </c>
      <c r="K115" s="666">
        <v>0.75</v>
      </c>
      <c r="L115" s="666">
        <v>0.75</v>
      </c>
      <c r="M115" s="666">
        <v>0.75</v>
      </c>
      <c r="N115" s="666">
        <v>0.75</v>
      </c>
      <c r="O115" s="1420"/>
    </row>
    <row r="116" spans="2:15" s="1582" customFormat="1" ht="15.75" x14ac:dyDescent="0.25">
      <c r="B116" s="475"/>
      <c r="C116" s="1414">
        <v>2</v>
      </c>
      <c r="D116" s="1415" t="s">
        <v>1751</v>
      </c>
      <c r="E116" s="1415"/>
      <c r="F116" s="666">
        <v>0.75</v>
      </c>
      <c r="G116" s="666">
        <v>0.75</v>
      </c>
      <c r="H116" s="666">
        <v>0.75</v>
      </c>
      <c r="I116" s="666">
        <v>0.75</v>
      </c>
      <c r="J116" s="666">
        <v>0.75</v>
      </c>
      <c r="K116" s="666">
        <v>0.75</v>
      </c>
      <c r="L116" s="666">
        <v>0.75</v>
      </c>
      <c r="M116" s="666">
        <v>0.75</v>
      </c>
      <c r="N116" s="666">
        <v>0.75</v>
      </c>
      <c r="O116" s="1420"/>
    </row>
    <row r="117" spans="2:15" ht="15.75" x14ac:dyDescent="0.25">
      <c r="B117" s="475"/>
      <c r="C117" s="1414">
        <v>3</v>
      </c>
      <c r="D117" s="1415" t="s">
        <v>1751</v>
      </c>
      <c r="E117" s="1415"/>
      <c r="F117" s="666">
        <v>0.75</v>
      </c>
      <c r="G117" s="666">
        <v>0.75</v>
      </c>
      <c r="H117" s="666">
        <v>0.75</v>
      </c>
      <c r="I117" s="666">
        <v>0.76</v>
      </c>
      <c r="J117" s="666">
        <v>0.77</v>
      </c>
      <c r="K117" s="666">
        <v>0.78</v>
      </c>
      <c r="L117" s="666">
        <v>0.78</v>
      </c>
      <c r="M117" s="666">
        <v>0.79</v>
      </c>
      <c r="N117" s="666">
        <v>0.8</v>
      </c>
      <c r="O117" s="1420"/>
    </row>
    <row r="118" spans="2:15" ht="15.75" x14ac:dyDescent="0.25">
      <c r="B118" s="475"/>
      <c r="C118" s="1412">
        <v>4</v>
      </c>
      <c r="D118" s="102" t="s">
        <v>1751</v>
      </c>
      <c r="E118" s="102"/>
      <c r="F118" s="668">
        <v>0.75</v>
      </c>
      <c r="G118" s="668">
        <v>0.75</v>
      </c>
      <c r="H118" s="668">
        <v>0.75</v>
      </c>
      <c r="I118" s="668">
        <v>0.77</v>
      </c>
      <c r="J118" s="668">
        <v>0.78</v>
      </c>
      <c r="K118" s="668">
        <v>0.8</v>
      </c>
      <c r="L118" s="668">
        <v>0.82</v>
      </c>
      <c r="M118" s="668">
        <v>0.83</v>
      </c>
      <c r="N118" s="668">
        <v>0.85</v>
      </c>
      <c r="O118" s="1420"/>
    </row>
    <row r="119" spans="2:15" s="1582" customFormat="1" ht="15.75" x14ac:dyDescent="0.25">
      <c r="B119" s="397"/>
      <c r="C119" s="1386" t="s">
        <v>582</v>
      </c>
      <c r="D119" s="1387"/>
      <c r="E119" s="1387"/>
      <c r="F119" s="1410">
        <f t="shared" ref="F119:N119" si="11">(INDEX(F$115:F$118,ROUNDDOWN($E$7,0))*(1-MOD($E$7,1)))+(INDEX(F$115:F$118,ROUNDUP($E$7,0))*MOD($E$7,1))</f>
        <v>0.75</v>
      </c>
      <c r="G119" s="1409">
        <f t="shared" si="11"/>
        <v>0.75</v>
      </c>
      <c r="H119" s="1409">
        <f t="shared" si="11"/>
        <v>0.75</v>
      </c>
      <c r="I119" s="1409">
        <f t="shared" si="11"/>
        <v>0.77</v>
      </c>
      <c r="J119" s="1409">
        <f t="shared" si="11"/>
        <v>0.78</v>
      </c>
      <c r="K119" s="1409">
        <f t="shared" si="11"/>
        <v>0.8</v>
      </c>
      <c r="L119" s="1409">
        <f t="shared" si="11"/>
        <v>0.82</v>
      </c>
      <c r="M119" s="1409">
        <f t="shared" si="11"/>
        <v>0.83</v>
      </c>
      <c r="N119" s="1409">
        <f t="shared" si="11"/>
        <v>0.85</v>
      </c>
      <c r="O119" s="1420"/>
    </row>
    <row r="120" spans="2:15" ht="15.75" x14ac:dyDescent="0.25">
      <c r="B120" s="475"/>
      <c r="C120" s="1416"/>
      <c r="D120" s="177"/>
      <c r="E120" s="1416"/>
      <c r="F120" s="562"/>
      <c r="G120" s="562"/>
      <c r="H120" s="562"/>
      <c r="I120" s="562"/>
      <c r="J120" s="562"/>
      <c r="K120" s="562"/>
      <c r="L120" s="562"/>
      <c r="M120" s="562"/>
      <c r="N120" s="562"/>
      <c r="O120" s="1420"/>
    </row>
    <row r="121" spans="2:15" x14ac:dyDescent="0.2">
      <c r="B121" s="477"/>
      <c r="C121" s="1417" t="s">
        <v>1091</v>
      </c>
      <c r="D121" s="177"/>
      <c r="E121" s="1416"/>
      <c r="F121" s="1416"/>
      <c r="G121" s="1416"/>
      <c r="H121" s="1416"/>
      <c r="I121" s="1416"/>
      <c r="J121" s="1416"/>
      <c r="K121" s="1416"/>
      <c r="L121" s="1416"/>
      <c r="M121" s="1416"/>
      <c r="N121" s="176" t="s">
        <v>1090</v>
      </c>
      <c r="O121" s="1420"/>
    </row>
    <row r="122" spans="2:15" ht="5.25" customHeight="1" x14ac:dyDescent="0.2">
      <c r="B122" s="477"/>
      <c r="C122" s="1416"/>
      <c r="D122" s="1416"/>
      <c r="E122" s="1416"/>
      <c r="F122" s="1416"/>
      <c r="G122" s="1416"/>
      <c r="H122" s="1416"/>
      <c r="I122" s="1416"/>
      <c r="J122" s="1416"/>
      <c r="K122" s="1416"/>
      <c r="L122" s="1416"/>
      <c r="M122" s="1416"/>
      <c r="N122" s="1416"/>
      <c r="O122" s="1420"/>
    </row>
    <row r="123" spans="2:15" ht="15.75" x14ac:dyDescent="0.25">
      <c r="B123" s="475"/>
      <c r="C123" s="98" t="s">
        <v>595</v>
      </c>
      <c r="D123" s="98" t="s">
        <v>65</v>
      </c>
      <c r="E123" s="98"/>
      <c r="F123" s="218">
        <v>2010</v>
      </c>
      <c r="G123" s="217">
        <v>2015</v>
      </c>
      <c r="H123" s="217">
        <v>2020</v>
      </c>
      <c r="I123" s="217">
        <v>2025</v>
      </c>
      <c r="J123" s="217">
        <v>2030</v>
      </c>
      <c r="K123" s="217">
        <v>2035</v>
      </c>
      <c r="L123" s="217">
        <v>2040</v>
      </c>
      <c r="M123" s="217">
        <v>2045</v>
      </c>
      <c r="N123" s="217">
        <v>2050</v>
      </c>
      <c r="O123" s="1420"/>
    </row>
    <row r="124" spans="2:15" ht="15.75" x14ac:dyDescent="0.25">
      <c r="B124" s="475"/>
      <c r="C124" s="1414">
        <v>1</v>
      </c>
      <c r="D124" s="1415" t="s">
        <v>1752</v>
      </c>
      <c r="E124" s="146"/>
      <c r="F124" s="666">
        <v>0.75</v>
      </c>
      <c r="G124" s="666">
        <v>0.75</v>
      </c>
      <c r="H124" s="666">
        <v>0.75</v>
      </c>
      <c r="I124" s="666">
        <v>0.73333333333333339</v>
      </c>
      <c r="J124" s="666">
        <v>0.71666666666666679</v>
      </c>
      <c r="K124" s="666">
        <v>0.70000000000000018</v>
      </c>
      <c r="L124" s="666">
        <v>0.68333333333333357</v>
      </c>
      <c r="M124" s="666">
        <v>0.66666666666666696</v>
      </c>
      <c r="N124" s="666">
        <v>0.65</v>
      </c>
      <c r="O124" s="1420"/>
    </row>
    <row r="125" spans="2:15" s="1582" customFormat="1" ht="15.75" x14ac:dyDescent="0.25">
      <c r="B125" s="475"/>
      <c r="C125" s="1414">
        <v>2</v>
      </c>
      <c r="D125" s="1415" t="s">
        <v>1752</v>
      </c>
      <c r="E125" s="1415"/>
      <c r="F125" s="666">
        <v>0.75</v>
      </c>
      <c r="G125" s="666">
        <v>0.75</v>
      </c>
      <c r="H125" s="666">
        <v>0.75</v>
      </c>
      <c r="I125" s="666">
        <v>0.75</v>
      </c>
      <c r="J125" s="666">
        <v>0.75</v>
      </c>
      <c r="K125" s="666">
        <v>0.75</v>
      </c>
      <c r="L125" s="666">
        <v>0.75</v>
      </c>
      <c r="M125" s="666">
        <v>0.75</v>
      </c>
      <c r="N125" s="666">
        <v>0.75</v>
      </c>
      <c r="O125" s="1420"/>
    </row>
    <row r="126" spans="2:15" ht="15.75" x14ac:dyDescent="0.25">
      <c r="B126" s="475"/>
      <c r="C126" s="1414">
        <v>3</v>
      </c>
      <c r="D126" s="1415" t="s">
        <v>1752</v>
      </c>
      <c r="E126" s="1415"/>
      <c r="F126" s="666">
        <v>0.75</v>
      </c>
      <c r="G126" s="666">
        <v>0.75</v>
      </c>
      <c r="H126" s="666">
        <v>0.75</v>
      </c>
      <c r="I126" s="666">
        <v>0.7583333333333333</v>
      </c>
      <c r="J126" s="666">
        <v>0.76666666666666672</v>
      </c>
      <c r="K126" s="666">
        <v>0.77500000000000002</v>
      </c>
      <c r="L126" s="666">
        <v>0.78333333333333333</v>
      </c>
      <c r="M126" s="666">
        <v>0.79166666666666674</v>
      </c>
      <c r="N126" s="666">
        <v>0.8</v>
      </c>
      <c r="O126" s="1420"/>
    </row>
    <row r="127" spans="2:15" ht="15.75" x14ac:dyDescent="0.25">
      <c r="B127" s="475"/>
      <c r="C127" s="1412">
        <v>4</v>
      </c>
      <c r="D127" s="102" t="s">
        <v>1752</v>
      </c>
      <c r="E127" s="102"/>
      <c r="F127" s="668">
        <v>0.75</v>
      </c>
      <c r="G127" s="668">
        <v>0.75</v>
      </c>
      <c r="H127" s="668">
        <v>0.75</v>
      </c>
      <c r="I127" s="668">
        <v>0.76666666666666661</v>
      </c>
      <c r="J127" s="668">
        <v>0.78333333333333333</v>
      </c>
      <c r="K127" s="668">
        <v>0.8</v>
      </c>
      <c r="L127" s="668">
        <v>0.81666666666666665</v>
      </c>
      <c r="M127" s="668">
        <v>0.83333333333333326</v>
      </c>
      <c r="N127" s="668">
        <v>0.85</v>
      </c>
      <c r="O127" s="1420"/>
    </row>
    <row r="128" spans="2:15" s="1582" customFormat="1" ht="15.75" x14ac:dyDescent="0.25">
      <c r="B128" s="397"/>
      <c r="C128" s="1386" t="s">
        <v>582</v>
      </c>
      <c r="D128" s="1387"/>
      <c r="E128" s="1387"/>
      <c r="F128" s="1410">
        <f t="shared" ref="F128:N128" si="12">(INDEX(F$124:F$127,ROUNDDOWN($E$7,0))*(1-MOD($E$7,1)))+(INDEX(F$124:F$127,ROUNDUP($E$7,0))*MOD($E$7,1))</f>
        <v>0.75</v>
      </c>
      <c r="G128" s="1409">
        <f t="shared" si="12"/>
        <v>0.75</v>
      </c>
      <c r="H128" s="1409">
        <f t="shared" si="12"/>
        <v>0.75</v>
      </c>
      <c r="I128" s="1409">
        <f t="shared" si="12"/>
        <v>0.76666666666666661</v>
      </c>
      <c r="J128" s="1409">
        <f t="shared" si="12"/>
        <v>0.78333333333333333</v>
      </c>
      <c r="K128" s="1409">
        <f t="shared" si="12"/>
        <v>0.8</v>
      </c>
      <c r="L128" s="1409">
        <f t="shared" si="12"/>
        <v>0.81666666666666665</v>
      </c>
      <c r="M128" s="1409">
        <f t="shared" si="12"/>
        <v>0.83333333333333326</v>
      </c>
      <c r="N128" s="1409">
        <f t="shared" si="12"/>
        <v>0.85</v>
      </c>
      <c r="O128" s="1420"/>
    </row>
    <row r="129" spans="1:16" x14ac:dyDescent="0.2">
      <c r="B129" s="477"/>
      <c r="C129" s="1414"/>
      <c r="D129" s="1415"/>
      <c r="E129" s="1415"/>
      <c r="F129" s="351"/>
      <c r="G129" s="351"/>
      <c r="H129" s="351"/>
      <c r="I129" s="351"/>
      <c r="J129" s="351"/>
      <c r="K129" s="351"/>
      <c r="L129" s="351"/>
      <c r="M129" s="351"/>
      <c r="N129" s="351"/>
      <c r="O129" s="1420"/>
    </row>
    <row r="130" spans="1:16" x14ac:dyDescent="0.2">
      <c r="B130" s="477"/>
      <c r="C130" s="1417" t="s">
        <v>1098</v>
      </c>
      <c r="D130" s="177"/>
      <c r="E130" s="1416"/>
      <c r="F130" s="1416"/>
      <c r="G130" s="1416"/>
      <c r="H130" s="1416"/>
      <c r="I130" s="1416"/>
      <c r="J130" s="1416"/>
      <c r="K130" s="1416"/>
      <c r="L130" s="1416"/>
      <c r="M130" s="1416"/>
      <c r="N130" s="176" t="s">
        <v>1090</v>
      </c>
      <c r="O130" s="1420"/>
    </row>
    <row r="131" spans="1:16" ht="5.25" customHeight="1" x14ac:dyDescent="0.2">
      <c r="B131" s="477"/>
      <c r="C131" s="1416"/>
      <c r="D131" s="1416"/>
      <c r="E131" s="1416"/>
      <c r="F131" s="1416"/>
      <c r="G131" s="1416"/>
      <c r="H131" s="1416"/>
      <c r="I131" s="1416"/>
      <c r="J131" s="1416"/>
      <c r="K131" s="1416"/>
      <c r="L131" s="1416"/>
      <c r="M131" s="1416"/>
      <c r="N131" s="1416"/>
      <c r="O131" s="1420"/>
    </row>
    <row r="132" spans="1:16" ht="15.75" x14ac:dyDescent="0.25">
      <c r="B132" s="475"/>
      <c r="C132" s="98" t="s">
        <v>595</v>
      </c>
      <c r="D132" s="98" t="s">
        <v>65</v>
      </c>
      <c r="E132" s="98"/>
      <c r="F132" s="218">
        <v>2010</v>
      </c>
      <c r="G132" s="217">
        <v>2015</v>
      </c>
      <c r="H132" s="217">
        <v>2020</v>
      </c>
      <c r="I132" s="217">
        <v>2025</v>
      </c>
      <c r="J132" s="217">
        <v>2030</v>
      </c>
      <c r="K132" s="217">
        <v>2035</v>
      </c>
      <c r="L132" s="217">
        <v>2040</v>
      </c>
      <c r="M132" s="217">
        <v>2045</v>
      </c>
      <c r="N132" s="217">
        <v>2050</v>
      </c>
      <c r="O132" s="1420"/>
    </row>
    <row r="133" spans="1:16" ht="15.75" x14ac:dyDescent="0.25">
      <c r="B133" s="475"/>
      <c r="C133" s="1414">
        <v>1</v>
      </c>
      <c r="D133" s="1415" t="s">
        <v>1753</v>
      </c>
      <c r="E133" s="146"/>
      <c r="F133" s="666">
        <v>0.4</v>
      </c>
      <c r="G133" s="666">
        <v>0.4</v>
      </c>
      <c r="H133" s="666">
        <v>0.38571428571428573</v>
      </c>
      <c r="I133" s="666">
        <v>0.37142857142857144</v>
      </c>
      <c r="J133" s="666">
        <v>0.35714285714285715</v>
      </c>
      <c r="K133" s="666">
        <v>0.34285714285714286</v>
      </c>
      <c r="L133" s="666">
        <v>0.32857142857142857</v>
      </c>
      <c r="M133" s="666">
        <v>0.31428571428571428</v>
      </c>
      <c r="N133" s="666">
        <v>0.3</v>
      </c>
      <c r="O133" s="1420"/>
    </row>
    <row r="134" spans="1:16" s="1582" customFormat="1" ht="15.75" x14ac:dyDescent="0.25">
      <c r="B134" s="475"/>
      <c r="C134" s="1414">
        <v>2</v>
      </c>
      <c r="D134" s="1415" t="s">
        <v>1753</v>
      </c>
      <c r="E134" s="1415"/>
      <c r="F134" s="666">
        <v>0.4</v>
      </c>
      <c r="G134" s="666">
        <v>0.4</v>
      </c>
      <c r="H134" s="666">
        <v>0.4</v>
      </c>
      <c r="I134" s="666">
        <v>0.4</v>
      </c>
      <c r="J134" s="666">
        <v>0.4</v>
      </c>
      <c r="K134" s="666">
        <v>0.4</v>
      </c>
      <c r="L134" s="666">
        <v>0.4</v>
      </c>
      <c r="M134" s="666">
        <v>0.4</v>
      </c>
      <c r="N134" s="666">
        <v>0.4</v>
      </c>
      <c r="O134" s="1420"/>
    </row>
    <row r="135" spans="1:16" ht="15.75" x14ac:dyDescent="0.25">
      <c r="B135" s="475"/>
      <c r="C135" s="1414">
        <v>3</v>
      </c>
      <c r="D135" s="1415" t="s">
        <v>1753</v>
      </c>
      <c r="E135" s="1415"/>
      <c r="F135" s="666">
        <v>0.41395348837209306</v>
      </c>
      <c r="G135" s="666">
        <v>0.43720930232558142</v>
      </c>
      <c r="H135" s="666">
        <v>0.46046511627906977</v>
      </c>
      <c r="I135" s="666">
        <v>0.48372093023255813</v>
      </c>
      <c r="J135" s="666">
        <v>0.50697674418604655</v>
      </c>
      <c r="K135" s="666">
        <v>0.53023255813953485</v>
      </c>
      <c r="L135" s="666">
        <v>0.55348837209302326</v>
      </c>
      <c r="M135" s="666">
        <v>0.57674418604651168</v>
      </c>
      <c r="N135" s="666">
        <v>0.6</v>
      </c>
      <c r="O135" s="1420"/>
    </row>
    <row r="136" spans="1:16" ht="15.75" x14ac:dyDescent="0.25">
      <c r="B136" s="475"/>
      <c r="C136" s="1412">
        <v>4</v>
      </c>
      <c r="D136" s="102" t="s">
        <v>1753</v>
      </c>
      <c r="E136" s="102"/>
      <c r="F136" s="668">
        <v>0.4279069767441861</v>
      </c>
      <c r="G136" s="668">
        <v>0.47441860465116281</v>
      </c>
      <c r="H136" s="668">
        <v>0.52093023255813953</v>
      </c>
      <c r="I136" s="668">
        <v>0.56744186046511635</v>
      </c>
      <c r="J136" s="668">
        <v>0.61395348837209307</v>
      </c>
      <c r="K136" s="668">
        <v>0.66046511627906979</v>
      </c>
      <c r="L136" s="668">
        <v>0.7069767441860465</v>
      </c>
      <c r="M136" s="668">
        <v>0.75348837209302322</v>
      </c>
      <c r="N136" s="668">
        <v>0.8</v>
      </c>
      <c r="O136" s="1420"/>
    </row>
    <row r="137" spans="1:16" s="1582" customFormat="1" ht="15.75" x14ac:dyDescent="0.25">
      <c r="B137" s="397"/>
      <c r="C137" s="1386" t="s">
        <v>582</v>
      </c>
      <c r="D137" s="1387"/>
      <c r="E137" s="1387"/>
      <c r="F137" s="1410">
        <f t="shared" ref="F137:N137" si="13">(INDEX(F$133:F$136,ROUNDDOWN($E$7,0))*(1-MOD($E$7,1)))+(INDEX(F$133:F$136,ROUNDUP($E$7,0))*MOD($E$7,1))</f>
        <v>0.4279069767441861</v>
      </c>
      <c r="G137" s="1409">
        <f t="shared" si="13"/>
        <v>0.47441860465116281</v>
      </c>
      <c r="H137" s="1409">
        <f t="shared" si="13"/>
        <v>0.52093023255813953</v>
      </c>
      <c r="I137" s="1409">
        <f t="shared" si="13"/>
        <v>0.56744186046511635</v>
      </c>
      <c r="J137" s="1409">
        <f t="shared" si="13"/>
        <v>0.61395348837209307</v>
      </c>
      <c r="K137" s="1409">
        <f t="shared" si="13"/>
        <v>0.66046511627906979</v>
      </c>
      <c r="L137" s="1409">
        <f t="shared" si="13"/>
        <v>0.7069767441860465</v>
      </c>
      <c r="M137" s="1409">
        <f t="shared" si="13"/>
        <v>0.75348837209302322</v>
      </c>
      <c r="N137" s="1409">
        <f t="shared" si="13"/>
        <v>0.8</v>
      </c>
      <c r="O137" s="1420"/>
    </row>
    <row r="138" spans="1:16" ht="15.75" x14ac:dyDescent="0.25">
      <c r="B138" s="475"/>
      <c r="C138" s="1414"/>
      <c r="D138" s="1415"/>
      <c r="E138" s="1415"/>
      <c r="F138" s="666"/>
      <c r="G138" s="666"/>
      <c r="H138" s="666"/>
      <c r="I138" s="666"/>
      <c r="J138" s="666"/>
      <c r="K138" s="666"/>
      <c r="L138" s="666"/>
      <c r="M138" s="666"/>
      <c r="N138" s="666"/>
      <c r="O138" s="1420"/>
    </row>
    <row r="139" spans="1:16" ht="15.75" x14ac:dyDescent="0.25">
      <c r="B139" s="475"/>
      <c r="C139" s="178" t="s">
        <v>172</v>
      </c>
      <c r="D139" s="1415"/>
      <c r="E139" s="1415"/>
      <c r="F139" s="666"/>
      <c r="G139" s="666"/>
      <c r="H139" s="666"/>
      <c r="I139" s="666"/>
      <c r="J139" s="666"/>
      <c r="K139" s="666"/>
      <c r="L139" s="666"/>
      <c r="M139" s="666"/>
      <c r="N139" s="666"/>
      <c r="O139" s="1420"/>
    </row>
    <row r="140" spans="1:16" ht="15.75" x14ac:dyDescent="0.25">
      <c r="B140" s="475"/>
      <c r="C140" s="237" t="s">
        <v>93</v>
      </c>
      <c r="D140" s="1415" t="s">
        <v>1099</v>
      </c>
      <c r="E140" s="1415"/>
      <c r="F140" s="666"/>
      <c r="G140" s="666"/>
      <c r="H140" s="666"/>
      <c r="I140" s="666"/>
      <c r="J140" s="666"/>
      <c r="K140" s="666"/>
      <c r="L140" s="666"/>
      <c r="M140" s="666"/>
      <c r="N140" s="666"/>
      <c r="O140" s="1420"/>
    </row>
    <row r="141" spans="1:16" x14ac:dyDescent="0.2">
      <c r="B141" s="478"/>
      <c r="C141" s="403"/>
      <c r="D141" s="461"/>
      <c r="E141" s="403"/>
      <c r="F141" s="403"/>
      <c r="G141" s="403"/>
      <c r="H141" s="403"/>
      <c r="I141" s="403"/>
      <c r="J141" s="403"/>
      <c r="K141" s="403"/>
      <c r="L141" s="403"/>
      <c r="M141" s="403"/>
      <c r="N141" s="403"/>
      <c r="O141" s="404"/>
    </row>
    <row r="142" spans="1:16" x14ac:dyDescent="0.2">
      <c r="B142" s="471"/>
    </row>
    <row r="143" spans="1:16" s="84" customFormat="1" ht="22.5" collapsed="1" x14ac:dyDescent="0.2">
      <c r="A143" s="408"/>
      <c r="B143" s="1423" t="s">
        <v>315</v>
      </c>
      <c r="C143" s="405"/>
      <c r="D143" s="405"/>
      <c r="E143" s="405"/>
      <c r="F143" s="405"/>
      <c r="G143" s="405"/>
      <c r="H143" s="405"/>
      <c r="I143" s="405"/>
      <c r="J143" s="405"/>
      <c r="K143" s="405"/>
      <c r="L143" s="405"/>
      <c r="M143" s="405"/>
      <c r="N143" s="405"/>
      <c r="O143" s="405"/>
      <c r="P143" s="406"/>
    </row>
    <row r="144" spans="1:16" x14ac:dyDescent="0.2">
      <c r="B144" s="474"/>
      <c r="C144" s="1416"/>
      <c r="D144" s="1416"/>
      <c r="E144" s="1416"/>
      <c r="F144" s="1416"/>
      <c r="G144" s="1416"/>
      <c r="H144" s="1416"/>
      <c r="I144" s="1416"/>
      <c r="J144" s="1416"/>
      <c r="K144" s="1416"/>
      <c r="L144" s="1416"/>
      <c r="M144" s="1416"/>
      <c r="N144" s="1416"/>
      <c r="O144" s="1416"/>
      <c r="P144" s="1420"/>
    </row>
    <row r="145" spans="2:17" x14ac:dyDescent="0.2">
      <c r="B145" s="479"/>
      <c r="C145" s="1417" t="s">
        <v>1063</v>
      </c>
      <c r="D145" s="1416"/>
      <c r="E145" s="1416"/>
      <c r="F145" s="161"/>
      <c r="G145" s="176"/>
      <c r="H145" s="161"/>
      <c r="I145" s="161" t="s">
        <v>663</v>
      </c>
      <c r="J145" s="1416"/>
      <c r="K145" s="1416"/>
      <c r="L145" s="161"/>
      <c r="M145" s="1416"/>
      <c r="N145" s="1416"/>
      <c r="O145" s="1416"/>
      <c r="P145" s="1420"/>
    </row>
    <row r="146" spans="2:17" ht="6" customHeight="1" x14ac:dyDescent="0.2">
      <c r="B146" s="474"/>
      <c r="C146" s="1416"/>
      <c r="D146" s="1416"/>
      <c r="E146" s="1416"/>
      <c r="F146" s="1416"/>
      <c r="G146" s="1416"/>
      <c r="H146" s="1416"/>
      <c r="I146" s="1416"/>
      <c r="J146" s="1416"/>
      <c r="K146" s="1416"/>
      <c r="L146" s="1416"/>
      <c r="M146" s="1416"/>
      <c r="N146" s="1416"/>
      <c r="O146" s="1416"/>
      <c r="P146" s="1420"/>
    </row>
    <row r="147" spans="2:17" ht="15.75" x14ac:dyDescent="0.25">
      <c r="B147" s="475"/>
      <c r="C147" s="98" t="s">
        <v>657</v>
      </c>
      <c r="D147" s="98" t="s">
        <v>65</v>
      </c>
      <c r="E147" s="98" t="s">
        <v>172</v>
      </c>
      <c r="F147" s="571" t="s">
        <v>211</v>
      </c>
      <c r="G147" s="664" t="s">
        <v>1739</v>
      </c>
      <c r="H147" s="665" t="s">
        <v>662</v>
      </c>
      <c r="I147" s="665" t="s">
        <v>1062</v>
      </c>
      <c r="J147" s="669"/>
      <c r="K147" s="669"/>
      <c r="L147" s="669"/>
      <c r="M147" s="669"/>
      <c r="N147" s="669"/>
      <c r="O147" s="669"/>
      <c r="P147" s="1420"/>
    </row>
    <row r="148" spans="2:17" s="84" customFormat="1" ht="15.75" x14ac:dyDescent="0.2">
      <c r="B148" s="661"/>
      <c r="C148" s="192" t="s">
        <v>1072</v>
      </c>
      <c r="D148" s="192" t="s">
        <v>664</v>
      </c>
      <c r="E148" s="192"/>
      <c r="F148" s="194"/>
      <c r="G148" s="561">
        <v>0.37</v>
      </c>
      <c r="H148" s="561">
        <v>0.18</v>
      </c>
      <c r="I148" s="666">
        <v>1</v>
      </c>
      <c r="J148" s="108"/>
      <c r="K148" s="108"/>
      <c r="L148" s="108"/>
      <c r="M148" s="108"/>
      <c r="N148" s="108"/>
      <c r="O148" s="108"/>
      <c r="P148" s="400"/>
    </row>
    <row r="149" spans="2:17" s="84" customFormat="1" ht="15.75" x14ac:dyDescent="0.2">
      <c r="B149" s="661"/>
      <c r="C149" s="107" t="s">
        <v>1073</v>
      </c>
      <c r="D149" s="107" t="s">
        <v>665</v>
      </c>
      <c r="E149" s="107"/>
      <c r="F149" s="195"/>
      <c r="G149" s="666">
        <v>0.26</v>
      </c>
      <c r="H149" s="666">
        <v>0.15</v>
      </c>
      <c r="I149" s="666">
        <v>0</v>
      </c>
      <c r="J149" s="108"/>
      <c r="K149" s="108"/>
      <c r="L149" s="108"/>
      <c r="M149" s="108"/>
      <c r="N149" s="108"/>
      <c r="O149" s="108"/>
      <c r="P149" s="400"/>
    </row>
    <row r="150" spans="2:17" s="84" customFormat="1" ht="15.75" x14ac:dyDescent="0.2">
      <c r="B150" s="661"/>
      <c r="C150" s="1415" t="s">
        <v>1074</v>
      </c>
      <c r="D150" s="1415" t="s">
        <v>666</v>
      </c>
      <c r="E150" s="1415"/>
      <c r="F150" s="662"/>
      <c r="G150" s="174">
        <v>0.19</v>
      </c>
      <c r="H150" s="174">
        <v>0.04</v>
      </c>
      <c r="I150" s="174">
        <v>0</v>
      </c>
      <c r="J150" s="1415"/>
      <c r="K150" s="1415"/>
      <c r="L150" s="1415"/>
      <c r="M150" s="1415"/>
      <c r="N150" s="1415"/>
      <c r="O150" s="1415"/>
      <c r="P150" s="400"/>
    </row>
    <row r="151" spans="2:17" s="84" customFormat="1" ht="15.75" x14ac:dyDescent="0.2">
      <c r="B151" s="661"/>
      <c r="C151" s="200" t="s">
        <v>1075</v>
      </c>
      <c r="D151" s="200" t="s">
        <v>1061</v>
      </c>
      <c r="E151" s="200"/>
      <c r="F151" s="663"/>
      <c r="G151" s="210">
        <v>0.18</v>
      </c>
      <c r="H151" s="210">
        <v>0.63</v>
      </c>
      <c r="I151" s="210">
        <v>0</v>
      </c>
      <c r="J151" s="1415"/>
      <c r="K151" s="1415"/>
      <c r="L151" s="1415"/>
      <c r="M151" s="1415"/>
      <c r="N151" s="1415"/>
      <c r="O151" s="1415"/>
      <c r="P151" s="400"/>
    </row>
    <row r="152" spans="2:17" s="84" customFormat="1" x14ac:dyDescent="0.2">
      <c r="B152" s="659"/>
      <c r="C152" s="1415"/>
      <c r="D152" s="1415"/>
      <c r="E152" s="1415"/>
      <c r="F152" s="1415"/>
      <c r="G152" s="488">
        <f>SUM(G148:G151)</f>
        <v>1</v>
      </c>
      <c r="H152" s="174">
        <f>SUM(H148:H151)</f>
        <v>1</v>
      </c>
      <c r="I152" s="174">
        <f>SUM(I148:I151)</f>
        <v>1</v>
      </c>
      <c r="J152" s="1415"/>
      <c r="K152" s="1415"/>
      <c r="L152" s="1415"/>
      <c r="M152" s="1415"/>
      <c r="N152" s="1415"/>
      <c r="O152" s="1415"/>
      <c r="P152" s="400"/>
    </row>
    <row r="153" spans="2:17" x14ac:dyDescent="0.2">
      <c r="B153" s="474"/>
      <c r="C153" s="1417" t="s">
        <v>1064</v>
      </c>
      <c r="D153" s="1416"/>
      <c r="E153" s="1416"/>
      <c r="F153" s="176" t="str">
        <f>Preferences.EnergyUnits &amp; " / M odt"</f>
        <v>TWh / M odt</v>
      </c>
      <c r="G153" s="176"/>
      <c r="H153" s="1416"/>
      <c r="I153" s="1416"/>
      <c r="J153" s="1377"/>
      <c r="K153" s="1377"/>
      <c r="L153" s="1377"/>
      <c r="M153" s="1377"/>
      <c r="N153" s="1377"/>
      <c r="O153" s="1416"/>
      <c r="P153" s="1420"/>
    </row>
    <row r="154" spans="2:17" ht="6" customHeight="1" x14ac:dyDescent="0.2">
      <c r="B154" s="474"/>
      <c r="C154" s="1416"/>
      <c r="D154" s="1416"/>
      <c r="E154" s="1416"/>
      <c r="F154" s="1416"/>
      <c r="G154" s="1416"/>
      <c r="H154" s="1416"/>
      <c r="I154" s="1416"/>
      <c r="J154" s="1377"/>
      <c r="K154" s="1377"/>
      <c r="L154" s="1377"/>
      <c r="M154" s="1377"/>
      <c r="N154" s="1377"/>
      <c r="O154" s="1416"/>
      <c r="P154" s="1420"/>
    </row>
    <row r="155" spans="2:17" ht="15.75" x14ac:dyDescent="0.25">
      <c r="B155" s="475"/>
      <c r="C155" s="98" t="s">
        <v>657</v>
      </c>
      <c r="D155" s="98" t="s">
        <v>65</v>
      </c>
      <c r="E155" s="98" t="s">
        <v>172</v>
      </c>
      <c r="F155" s="103" t="s">
        <v>668</v>
      </c>
      <c r="G155" s="670"/>
      <c r="H155" s="670"/>
      <c r="I155" s="669"/>
      <c r="J155" s="1377"/>
      <c r="K155" s="1377"/>
      <c r="L155" s="1377"/>
      <c r="M155" s="1377"/>
      <c r="N155" s="1377"/>
      <c r="O155" s="669"/>
      <c r="P155" s="1420"/>
    </row>
    <row r="156" spans="2:17" ht="15.75" x14ac:dyDescent="0.25">
      <c r="B156" s="475"/>
      <c r="C156" s="192" t="s">
        <v>1072</v>
      </c>
      <c r="D156" s="192" t="s">
        <v>664</v>
      </c>
      <c r="E156" s="192"/>
      <c r="F156" s="193">
        <f>16*Unit.PJ</f>
        <v>4.4444444444444446</v>
      </c>
      <c r="G156" s="666"/>
      <c r="H156" s="666"/>
      <c r="I156" s="666"/>
      <c r="J156" s="1377"/>
      <c r="K156" s="1377"/>
      <c r="L156" s="1377"/>
      <c r="M156" s="1377"/>
      <c r="N156" s="1377"/>
      <c r="O156" s="108"/>
      <c r="P156" s="1420"/>
    </row>
    <row r="157" spans="2:17" ht="15.75" x14ac:dyDescent="0.25">
      <c r="B157" s="475"/>
      <c r="C157" s="107" t="s">
        <v>1073</v>
      </c>
      <c r="D157" s="107" t="s">
        <v>665</v>
      </c>
      <c r="E157" s="107"/>
      <c r="F157" s="188">
        <f>5*Unit.PJ</f>
        <v>1.3888888888888888</v>
      </c>
      <c r="G157" s="666"/>
      <c r="H157" s="666"/>
      <c r="I157" s="666"/>
      <c r="J157" s="1377"/>
      <c r="K157" s="1377"/>
      <c r="L157" s="1377"/>
      <c r="M157" s="1377"/>
      <c r="N157" s="1377"/>
      <c r="O157" s="108"/>
      <c r="P157" s="1420"/>
    </row>
    <row r="158" spans="2:17" ht="15.75" x14ac:dyDescent="0.25">
      <c r="B158" s="475"/>
      <c r="C158" s="1415" t="s">
        <v>1074</v>
      </c>
      <c r="D158" s="1415" t="s">
        <v>666</v>
      </c>
      <c r="E158" s="1415"/>
      <c r="F158" s="160">
        <f>30*Unit.PJ</f>
        <v>8.3333333333333339</v>
      </c>
      <c r="G158" s="174"/>
      <c r="H158" s="174"/>
      <c r="I158" s="174"/>
      <c r="J158" s="1377"/>
      <c r="K158" s="1377"/>
      <c r="L158" s="1377"/>
      <c r="M158" s="1377"/>
      <c r="N158" s="1377"/>
      <c r="O158" s="1415"/>
      <c r="P158" s="1420"/>
    </row>
    <row r="159" spans="2:17" ht="15.75" x14ac:dyDescent="0.25">
      <c r="B159" s="475"/>
      <c r="C159" s="1415" t="s">
        <v>1075</v>
      </c>
      <c r="D159" s="1415" t="s">
        <v>1061</v>
      </c>
      <c r="E159" s="1415"/>
      <c r="F159" s="160">
        <v>0</v>
      </c>
      <c r="G159" s="174"/>
      <c r="H159" s="174"/>
      <c r="I159" s="174"/>
      <c r="J159" s="1377"/>
      <c r="K159" s="1377"/>
      <c r="L159" s="1377"/>
      <c r="M159" s="1377"/>
      <c r="N159" s="1377"/>
      <c r="O159" s="1415"/>
      <c r="P159" s="1420"/>
    </row>
    <row r="160" spans="2:17" ht="15.75" x14ac:dyDescent="0.25">
      <c r="B160" s="475"/>
      <c r="C160" s="1415" t="s">
        <v>1076</v>
      </c>
      <c r="D160" s="1415" t="s">
        <v>670</v>
      </c>
      <c r="E160" s="1415"/>
      <c r="F160" s="160">
        <f>14*Unit.PJ</f>
        <v>3.8888888888888893</v>
      </c>
      <c r="G160" s="174"/>
      <c r="H160" s="174"/>
      <c r="I160" s="174"/>
      <c r="J160" s="1377"/>
      <c r="K160" s="1377"/>
      <c r="L160" s="1377"/>
      <c r="M160" s="1377"/>
      <c r="N160" s="1377"/>
      <c r="O160" s="1415"/>
      <c r="P160" s="1420"/>
      <c r="Q160"/>
    </row>
    <row r="161" spans="2:17" ht="15.75" x14ac:dyDescent="0.25">
      <c r="B161" s="475"/>
      <c r="C161" s="200" t="s">
        <v>1077</v>
      </c>
      <c r="D161" s="200" t="s">
        <v>102</v>
      </c>
      <c r="E161" s="200"/>
      <c r="F161" s="201">
        <v>0</v>
      </c>
      <c r="G161" s="174"/>
      <c r="H161" s="174"/>
      <c r="I161" s="174"/>
      <c r="J161" s="1377"/>
      <c r="K161" s="1377"/>
      <c r="L161" s="1377"/>
      <c r="M161" s="1377"/>
      <c r="N161" s="1377"/>
      <c r="O161" s="1415"/>
      <c r="P161" s="1416"/>
      <c r="Q161"/>
    </row>
    <row r="162" spans="2:17" x14ac:dyDescent="0.2">
      <c r="B162" s="474"/>
      <c r="C162" s="1416"/>
      <c r="D162" s="1416"/>
      <c r="E162" s="1416"/>
      <c r="F162" s="1416"/>
      <c r="G162" s="1416"/>
      <c r="H162" s="1416"/>
      <c r="I162" s="1416"/>
      <c r="J162" s="1377"/>
      <c r="K162" s="1377"/>
      <c r="L162" s="1377"/>
      <c r="M162" s="1377"/>
      <c r="N162" s="1377"/>
      <c r="O162" s="1416"/>
      <c r="P162" s="1416"/>
      <c r="Q162"/>
    </row>
    <row r="163" spans="2:17" ht="14.25" x14ac:dyDescent="0.25">
      <c r="B163" s="474"/>
      <c r="C163" s="1417" t="s">
        <v>1100</v>
      </c>
      <c r="D163" s="1416"/>
      <c r="E163" s="176"/>
      <c r="F163" s="176" t="s">
        <v>1107</v>
      </c>
      <c r="G163" s="1416"/>
      <c r="H163" s="1416"/>
      <c r="I163" s="1416"/>
      <c r="J163" s="1377"/>
      <c r="K163" s="1377"/>
      <c r="L163" s="1377"/>
      <c r="M163" s="1377"/>
      <c r="N163" s="1377"/>
      <c r="O163" s="1416"/>
      <c r="P163" s="1420"/>
      <c r="Q163"/>
    </row>
    <row r="164" spans="2:17" x14ac:dyDescent="0.2">
      <c r="B164" s="474"/>
      <c r="C164" s="1416"/>
      <c r="D164" s="1416"/>
      <c r="E164" s="1416"/>
      <c r="F164" s="1416"/>
      <c r="G164" s="1416"/>
      <c r="H164" s="1416"/>
      <c r="I164" s="1416"/>
      <c r="J164" s="1377"/>
      <c r="K164" s="1377"/>
      <c r="L164" s="1377"/>
      <c r="M164" s="1377"/>
      <c r="N164" s="1377"/>
      <c r="O164" s="1416"/>
      <c r="P164" s="1420"/>
    </row>
    <row r="165" spans="2:17" ht="15.75" x14ac:dyDescent="0.25">
      <c r="B165" s="475"/>
      <c r="C165" s="98" t="s">
        <v>10</v>
      </c>
      <c r="D165" s="98" t="s">
        <v>65</v>
      </c>
      <c r="E165" s="98" t="s">
        <v>172</v>
      </c>
      <c r="F165" s="103" t="s">
        <v>674</v>
      </c>
      <c r="G165" s="1416"/>
      <c r="H165" s="1416"/>
      <c r="I165" s="1416"/>
      <c r="J165" s="1377"/>
      <c r="K165" s="1377"/>
      <c r="L165" s="1377"/>
      <c r="M165" s="1377"/>
      <c r="N165" s="1377"/>
      <c r="O165" s="1416"/>
      <c r="P165" s="1420"/>
    </row>
    <row r="166" spans="2:17" ht="15.75" x14ac:dyDescent="0.25">
      <c r="B166" s="475"/>
      <c r="C166" s="1414" t="s">
        <v>474</v>
      </c>
      <c r="D166" s="1415" t="s">
        <v>683</v>
      </c>
      <c r="E166" s="1415"/>
      <c r="F166" s="671">
        <f>0.16165/F$42*GWP.CH4</f>
        <v>2.4322894942390949</v>
      </c>
      <c r="G166" s="1416"/>
      <c r="H166" s="1416"/>
      <c r="I166" s="1416"/>
      <c r="J166" s="1377"/>
      <c r="K166" s="1377"/>
      <c r="L166" s="1377"/>
      <c r="M166" s="1377"/>
      <c r="N166" s="1377"/>
      <c r="O166" s="1416"/>
      <c r="P166" s="1420"/>
    </row>
    <row r="167" spans="2:17" ht="15.75" x14ac:dyDescent="0.25">
      <c r="B167" s="475"/>
      <c r="C167" s="199" t="s">
        <v>475</v>
      </c>
      <c r="D167" s="200" t="s">
        <v>684</v>
      </c>
      <c r="E167" s="200"/>
      <c r="F167" s="672">
        <f xml:space="preserve"> 0.00403/$F$42*GWP.N2O</f>
        <v>0.89513182954145532</v>
      </c>
      <c r="G167" s="1416"/>
      <c r="H167" s="1416"/>
      <c r="I167" s="1416"/>
      <c r="J167" s="1377"/>
      <c r="K167" s="1377"/>
      <c r="L167" s="1377"/>
      <c r="M167" s="1377"/>
      <c r="N167" s="1377"/>
      <c r="O167" s="1416"/>
      <c r="P167" s="1420"/>
    </row>
    <row r="168" spans="2:17" x14ac:dyDescent="0.2">
      <c r="B168" s="474"/>
      <c r="C168" s="1416"/>
      <c r="D168" s="1416"/>
      <c r="E168" s="1416"/>
      <c r="F168" s="1416"/>
      <c r="G168" s="1416"/>
      <c r="H168" s="1416"/>
      <c r="I168" s="1416"/>
      <c r="J168" s="1377"/>
      <c r="K168" s="1377"/>
      <c r="L168" s="1377"/>
      <c r="M168" s="1377"/>
      <c r="N168" s="1416"/>
      <c r="O168" s="1416"/>
      <c r="P168" s="1420"/>
    </row>
    <row r="169" spans="2:17" x14ac:dyDescent="0.2">
      <c r="B169" s="474"/>
      <c r="C169" s="1417" t="s">
        <v>1101</v>
      </c>
      <c r="D169" s="1416"/>
      <c r="E169" s="176"/>
      <c r="F169" s="176" t="str">
        <f>Preferences.EnergyUnits &amp; " / M tonnes"</f>
        <v>TWh / M tonnes</v>
      </c>
      <c r="G169" s="1416"/>
      <c r="H169" s="1416"/>
      <c r="I169" s="1416"/>
      <c r="J169" s="1377"/>
      <c r="K169" s="1377"/>
      <c r="L169" s="1377"/>
      <c r="M169" s="1377"/>
      <c r="N169" s="1416"/>
      <c r="O169" s="1416"/>
      <c r="P169" s="1420"/>
    </row>
    <row r="170" spans="2:17" ht="5.25" customHeight="1" x14ac:dyDescent="0.2">
      <c r="B170" s="474"/>
      <c r="C170" s="1416"/>
      <c r="D170" s="1416"/>
      <c r="E170" s="1416"/>
      <c r="F170" s="1416"/>
      <c r="G170" s="1416"/>
      <c r="H170" s="1416"/>
      <c r="I170" s="1416"/>
      <c r="J170" s="1416"/>
      <c r="K170" s="1416"/>
      <c r="L170" s="1416"/>
      <c r="M170" s="1416"/>
      <c r="N170" s="1416"/>
      <c r="O170" s="1416"/>
      <c r="P170" s="1420"/>
    </row>
    <row r="171" spans="2:17" ht="15.75" x14ac:dyDescent="0.25">
      <c r="B171" s="475"/>
      <c r="C171" s="98" t="s">
        <v>10</v>
      </c>
      <c r="D171" s="98" t="s">
        <v>65</v>
      </c>
      <c r="E171" s="98" t="s">
        <v>172</v>
      </c>
      <c r="F171" s="103" t="s">
        <v>678</v>
      </c>
      <c r="G171" s="1416"/>
      <c r="H171" s="1416"/>
      <c r="I171" s="1416"/>
      <c r="J171" s="1416"/>
      <c r="K171" s="1416"/>
      <c r="L171" s="1416"/>
      <c r="M171" s="1416"/>
      <c r="N171" s="1416"/>
      <c r="O171" s="1416"/>
      <c r="P171" s="1420"/>
    </row>
    <row r="172" spans="2:17" ht="15.75" x14ac:dyDescent="0.25">
      <c r="B172" s="475"/>
      <c r="C172" s="121" t="s">
        <v>474</v>
      </c>
      <c r="D172" s="122" t="s">
        <v>677</v>
      </c>
      <c r="E172" s="122"/>
      <c r="F172" s="317">
        <f>(Constants.GCV.NaturalGasProduced/0.717)*1000000000</f>
        <v>15.365355664222971</v>
      </c>
      <c r="G172" s="1416"/>
      <c r="H172" s="1416"/>
      <c r="I172" s="1416"/>
      <c r="J172" s="1416"/>
      <c r="K172" s="1416"/>
      <c r="L172" s="1416"/>
      <c r="M172" s="1416"/>
      <c r="N172" s="1416"/>
      <c r="O172" s="1416"/>
      <c r="P172" s="1420"/>
    </row>
    <row r="173" spans="2:17" ht="15.75" x14ac:dyDescent="0.25">
      <c r="B173" s="475"/>
      <c r="C173" s="1414"/>
      <c r="D173" s="1415"/>
      <c r="E173" s="1415"/>
      <c r="F173" s="188"/>
      <c r="G173" s="1416"/>
      <c r="H173" s="1416"/>
      <c r="I173" s="1416"/>
      <c r="J173" s="1416"/>
      <c r="K173" s="1416"/>
      <c r="L173" s="1416"/>
      <c r="M173" s="1416"/>
      <c r="N173" s="1416"/>
      <c r="O173" s="1416"/>
      <c r="P173" s="1420"/>
    </row>
    <row r="174" spans="2:17" ht="15.75" x14ac:dyDescent="0.25">
      <c r="B174" s="397"/>
      <c r="C174" s="1417" t="s">
        <v>1273</v>
      </c>
      <c r="D174" s="1416"/>
      <c r="E174" s="1416"/>
      <c r="F174" s="1416"/>
      <c r="G174" s="176"/>
      <c r="H174" s="1416"/>
      <c r="I174" s="1416"/>
      <c r="J174" s="1416"/>
      <c r="K174" s="1416"/>
      <c r="L174" s="1416"/>
      <c r="M174" s="1416"/>
      <c r="N174" s="1416"/>
      <c r="O174" s="1416"/>
      <c r="P174" s="1420"/>
    </row>
    <row r="175" spans="2:17" ht="4.5" customHeight="1" x14ac:dyDescent="0.25">
      <c r="B175" s="397"/>
      <c r="C175" s="1416"/>
      <c r="D175" s="1416"/>
      <c r="E175" s="1416"/>
      <c r="F175" s="1416"/>
      <c r="G175" s="1416"/>
      <c r="H175" s="1416"/>
      <c r="I175" s="1416"/>
      <c r="J175" s="1416"/>
      <c r="K175" s="1416"/>
      <c r="L175" s="1416"/>
      <c r="M175" s="1416"/>
      <c r="N175" s="1416"/>
      <c r="O175" s="1416"/>
      <c r="P175" s="1420"/>
    </row>
    <row r="176" spans="2:17" ht="15.75" x14ac:dyDescent="0.25">
      <c r="B176" s="397"/>
      <c r="C176" s="98"/>
      <c r="D176" s="98"/>
      <c r="E176" s="98"/>
      <c r="F176" s="217"/>
      <c r="G176" s="1261" t="s">
        <v>71</v>
      </c>
      <c r="H176" s="1261"/>
      <c r="I176" s="1416"/>
      <c r="J176" s="523"/>
      <c r="K176" s="523"/>
      <c r="L176" s="523"/>
      <c r="M176" s="523"/>
      <c r="N176" s="523"/>
      <c r="O176" s="523"/>
      <c r="P176" s="1420"/>
    </row>
    <row r="177" spans="2:16" ht="15.75" x14ac:dyDescent="0.25">
      <c r="B177" s="397"/>
      <c r="C177" s="125"/>
      <c r="D177" s="124" t="s">
        <v>1379</v>
      </c>
      <c r="E177" s="125"/>
      <c r="F177" s="1268">
        <v>0.215</v>
      </c>
      <c r="G177" s="1267" t="s">
        <v>1380</v>
      </c>
      <c r="H177" s="1269"/>
      <c r="I177" s="1416"/>
      <c r="J177" s="523"/>
      <c r="K177" s="523"/>
      <c r="L177" s="523"/>
      <c r="M177" s="523"/>
      <c r="N177" s="523"/>
      <c r="O177" s="523"/>
      <c r="P177" s="1420"/>
    </row>
    <row r="178" spans="2:16" x14ac:dyDescent="0.2">
      <c r="B178" s="474"/>
      <c r="C178" s="1416"/>
      <c r="D178" s="1416"/>
      <c r="E178" s="1416"/>
      <c r="F178" s="1416"/>
      <c r="G178" s="1416"/>
      <c r="H178" s="1416"/>
      <c r="I178" s="1416"/>
      <c r="J178" s="1416"/>
      <c r="K178" s="1416"/>
      <c r="L178" s="1416"/>
      <c r="M178" s="1416"/>
      <c r="N178" s="1416"/>
      <c r="O178" s="1416"/>
      <c r="P178" s="1420"/>
    </row>
    <row r="179" spans="2:16" x14ac:dyDescent="0.2">
      <c r="B179" s="477"/>
      <c r="C179" s="1416" t="s">
        <v>266</v>
      </c>
      <c r="D179" s="177"/>
      <c r="E179" s="1416"/>
      <c r="F179" s="1416"/>
      <c r="G179" s="1416"/>
      <c r="H179" s="1416"/>
      <c r="I179" s="1416"/>
      <c r="J179" s="1416"/>
      <c r="K179" s="1416"/>
      <c r="L179" s="1416"/>
      <c r="M179" s="1416"/>
      <c r="N179" s="1416"/>
      <c r="O179" s="1416"/>
      <c r="P179" s="1420"/>
    </row>
    <row r="180" spans="2:16" x14ac:dyDescent="0.2">
      <c r="B180" s="477"/>
      <c r="C180" s="176" t="s">
        <v>93</v>
      </c>
      <c r="D180" s="177" t="s">
        <v>1102</v>
      </c>
      <c r="E180" s="1416"/>
      <c r="F180" s="1416"/>
      <c r="G180" s="1416"/>
      <c r="H180" s="1416"/>
      <c r="I180" s="1416"/>
      <c r="J180" s="1416"/>
      <c r="K180" s="1416"/>
      <c r="L180" s="1416"/>
      <c r="M180" s="1416"/>
      <c r="N180" s="1416"/>
      <c r="O180" s="1416"/>
      <c r="P180" s="1420"/>
    </row>
    <row r="181" spans="2:16" s="1918" customFormat="1" x14ac:dyDescent="0.2">
      <c r="B181" s="477"/>
      <c r="C181" s="1416"/>
      <c r="D181" s="177" t="s">
        <v>1103</v>
      </c>
      <c r="E181" s="1416"/>
      <c r="F181" s="1416"/>
      <c r="G181" s="1416"/>
      <c r="H181" s="1416"/>
      <c r="I181" s="1416"/>
      <c r="J181" s="1416"/>
      <c r="K181" s="1416"/>
      <c r="L181" s="1416"/>
      <c r="M181" s="1416"/>
      <c r="N181" s="1416"/>
      <c r="O181" s="1416"/>
      <c r="P181" s="1420"/>
    </row>
    <row r="182" spans="2:16" s="1918" customFormat="1" x14ac:dyDescent="0.2">
      <c r="B182" s="477"/>
      <c r="C182" s="1416"/>
      <c r="D182" s="177" t="s">
        <v>1104</v>
      </c>
      <c r="E182" s="1416"/>
      <c r="F182" s="1416"/>
      <c r="G182" s="1416"/>
      <c r="H182" s="1416"/>
      <c r="I182" s="1416"/>
      <c r="J182" s="1416"/>
      <c r="K182" s="1416"/>
      <c r="L182" s="1416"/>
      <c r="M182" s="1416"/>
      <c r="N182" s="1416"/>
      <c r="O182" s="1416"/>
      <c r="P182" s="1420"/>
    </row>
    <row r="183" spans="2:16" s="1918" customFormat="1" ht="15" x14ac:dyDescent="0.2">
      <c r="B183" s="480"/>
      <c r="C183" s="237" t="s">
        <v>100</v>
      </c>
      <c r="D183" s="467" t="s">
        <v>679</v>
      </c>
      <c r="E183" s="465"/>
      <c r="F183" s="465"/>
      <c r="G183" s="465"/>
      <c r="H183" s="465"/>
      <c r="I183" s="465"/>
      <c r="J183" s="465"/>
      <c r="K183" s="465"/>
      <c r="L183" s="465"/>
      <c r="M183" s="465"/>
      <c r="N183" s="465"/>
      <c r="O183" s="465"/>
      <c r="P183" s="466"/>
    </row>
    <row r="184" spans="2:16" s="1918" customFormat="1" x14ac:dyDescent="0.2">
      <c r="B184" s="1935"/>
      <c r="C184" s="1416"/>
      <c r="D184" s="177"/>
      <c r="E184" s="1416"/>
      <c r="F184" s="1416"/>
      <c r="G184" s="1416"/>
      <c r="H184" s="1416"/>
      <c r="I184" s="1416"/>
      <c r="J184" s="1416"/>
      <c r="K184" s="1416"/>
      <c r="L184" s="1416"/>
      <c r="M184" s="1416"/>
      <c r="N184" s="1416"/>
      <c r="O184" s="1416"/>
      <c r="P184" s="1416"/>
    </row>
    <row r="185" spans="2:16" s="1918" customFormat="1" x14ac:dyDescent="0.2">
      <c r="B185" s="1936"/>
      <c r="C185" s="626" t="s">
        <v>1881</v>
      </c>
      <c r="D185" s="1416"/>
      <c r="E185" s="1416"/>
      <c r="F185" s="1416"/>
      <c r="G185" s="1416"/>
      <c r="H185" s="1416"/>
      <c r="I185" s="1416"/>
      <c r="J185" s="1416"/>
      <c r="K185" s="1416"/>
      <c r="L185" s="1416"/>
      <c r="M185" s="1416"/>
      <c r="N185" s="1416"/>
      <c r="O185" s="1416"/>
      <c r="P185" s="1416"/>
    </row>
    <row r="186" spans="2:16" s="1918" customFormat="1" ht="6" customHeight="1" x14ac:dyDescent="0.2">
      <c r="B186" s="1935"/>
      <c r="C186" s="1417"/>
      <c r="D186" s="177"/>
      <c r="E186" s="1416"/>
      <c r="F186" s="1416"/>
      <c r="G186" s="1416"/>
      <c r="H186" s="1416"/>
      <c r="I186" s="1416"/>
      <c r="J186" s="1416"/>
      <c r="K186" s="1416"/>
      <c r="L186" s="1416"/>
      <c r="M186" s="1416"/>
      <c r="N186" s="1416"/>
      <c r="O186" s="1416"/>
      <c r="P186" s="1416"/>
    </row>
    <row r="187" spans="2:16" s="1918" customFormat="1" x14ac:dyDescent="0.2">
      <c r="B187" s="477"/>
      <c r="C187" s="1914" t="s">
        <v>65</v>
      </c>
      <c r="D187" s="1914"/>
      <c r="E187" s="1938" t="s">
        <v>1505</v>
      </c>
      <c r="F187" s="1939" t="s">
        <v>1506</v>
      </c>
      <c r="G187" s="1416"/>
      <c r="H187" s="1416"/>
      <c r="I187" s="1416"/>
      <c r="J187" s="1416"/>
      <c r="K187" s="1416"/>
      <c r="L187" s="1416"/>
      <c r="M187" s="1416"/>
      <c r="N187" s="1416"/>
      <c r="O187" s="1416"/>
      <c r="P187" s="1416"/>
    </row>
    <row r="188" spans="2:16" s="1918" customFormat="1" x14ac:dyDescent="0.2">
      <c r="B188" s="477"/>
      <c r="C188" s="189" t="s">
        <v>1507</v>
      </c>
      <c r="D188" s="189"/>
      <c r="E188" s="1937">
        <f>250000/1000000</f>
        <v>0.25</v>
      </c>
      <c r="F188" s="686">
        <v>15</v>
      </c>
      <c r="G188" s="1416"/>
      <c r="H188" s="1416"/>
      <c r="I188" s="1416"/>
      <c r="J188" s="1416"/>
      <c r="K188" s="1416"/>
      <c r="L188" s="1416"/>
      <c r="M188" s="1416"/>
      <c r="N188" s="1416"/>
      <c r="O188" s="1416"/>
      <c r="P188" s="1420"/>
    </row>
    <row r="189" spans="2:16" s="1918" customFormat="1" x14ac:dyDescent="0.2">
      <c r="B189" s="477"/>
      <c r="C189" s="1416"/>
      <c r="D189" s="1416"/>
      <c r="E189" s="1416"/>
      <c r="F189" s="1416"/>
      <c r="G189" s="1416"/>
      <c r="H189" s="1416"/>
      <c r="I189" s="1416"/>
      <c r="J189" s="1416"/>
      <c r="K189" s="1416"/>
      <c r="L189" s="1416"/>
      <c r="M189" s="1416"/>
      <c r="N189" s="1416"/>
      <c r="O189" s="1416"/>
      <c r="P189" s="1420"/>
    </row>
    <row r="190" spans="2:16" s="1918" customFormat="1" x14ac:dyDescent="0.2">
      <c r="B190" s="477"/>
      <c r="C190" s="1417" t="s">
        <v>1508</v>
      </c>
      <c r="D190" s="177"/>
      <c r="E190" s="1913" t="s">
        <v>1504</v>
      </c>
      <c r="F190" s="1913"/>
      <c r="G190" s="1416"/>
      <c r="H190" s="1416"/>
      <c r="I190" s="1416"/>
      <c r="J190" s="1416"/>
      <c r="K190" s="1416"/>
      <c r="L190" s="1416"/>
      <c r="M190" s="1416"/>
      <c r="N190" s="1416"/>
      <c r="O190" s="1416"/>
      <c r="P190" s="1420"/>
    </row>
    <row r="191" spans="2:16" s="1918" customFormat="1" x14ac:dyDescent="0.2">
      <c r="B191" s="477"/>
      <c r="C191" s="1417"/>
      <c r="D191" s="177"/>
      <c r="E191" s="1416"/>
      <c r="F191" s="1416"/>
      <c r="G191" s="1416"/>
      <c r="H191" s="1416"/>
      <c r="I191" s="1416"/>
      <c r="J191" s="1416"/>
      <c r="K191" s="1416"/>
      <c r="L191" s="1416"/>
      <c r="M191" s="1416"/>
      <c r="N191" s="1416"/>
      <c r="O191" s="1416"/>
      <c r="P191" s="1420"/>
    </row>
    <row r="192" spans="2:16" s="1918" customFormat="1" x14ac:dyDescent="0.2">
      <c r="B192" s="477"/>
      <c r="C192" s="1905" t="s">
        <v>65</v>
      </c>
      <c r="D192" s="1905"/>
      <c r="E192" s="1941" t="s">
        <v>1509</v>
      </c>
      <c r="F192" s="1940" t="s">
        <v>1506</v>
      </c>
      <c r="G192" s="1416"/>
      <c r="H192" s="1416"/>
      <c r="I192" s="1416"/>
      <c r="J192" s="1416"/>
      <c r="K192" s="1416"/>
      <c r="L192" s="1416"/>
      <c r="M192" s="1416"/>
      <c r="N192" s="1416"/>
      <c r="O192" s="1416"/>
      <c r="P192" s="1420"/>
    </row>
    <row r="193" spans="2:16" s="1918" customFormat="1" x14ac:dyDescent="0.2">
      <c r="B193" s="477"/>
      <c r="C193" s="1519" t="s">
        <v>1510</v>
      </c>
      <c r="D193" s="1905"/>
      <c r="E193" s="1942">
        <f>F388/(F425*F389)</f>
        <v>3.3323711311723384E-3</v>
      </c>
      <c r="F193" s="1943">
        <v>15</v>
      </c>
      <c r="G193" s="1416"/>
      <c r="H193" s="1416"/>
      <c r="I193" s="1416"/>
      <c r="J193" s="1416"/>
      <c r="K193" s="1416"/>
      <c r="L193" s="1416"/>
      <c r="M193" s="1416"/>
      <c r="N193" s="1416"/>
      <c r="O193" s="1416"/>
      <c r="P193" s="1420"/>
    </row>
    <row r="194" spans="2:16" s="1918" customFormat="1" x14ac:dyDescent="0.2">
      <c r="B194" s="477"/>
      <c r="C194" s="189" t="s">
        <v>1511</v>
      </c>
      <c r="D194" s="189"/>
      <c r="E194" s="1944">
        <f>F391/(F425*F390)</f>
        <v>1.8744587612844405E-3</v>
      </c>
      <c r="F194" s="1462">
        <v>15</v>
      </c>
      <c r="G194" s="1416"/>
      <c r="H194" s="1416"/>
      <c r="I194" s="1416"/>
      <c r="J194" s="1416"/>
      <c r="K194" s="1416"/>
      <c r="L194" s="1416"/>
      <c r="M194" s="1416"/>
      <c r="N194" s="1416"/>
      <c r="O194" s="1416"/>
      <c r="P194" s="1420"/>
    </row>
    <row r="195" spans="2:16" s="1918" customFormat="1" x14ac:dyDescent="0.2">
      <c r="B195" s="477"/>
      <c r="C195" s="1416"/>
      <c r="D195" s="1416"/>
      <c r="E195" s="1416"/>
      <c r="F195" s="1416"/>
      <c r="G195" s="1416"/>
      <c r="H195" s="1416"/>
      <c r="I195" s="1416"/>
      <c r="J195" s="1416"/>
      <c r="K195" s="1416"/>
      <c r="L195" s="1416"/>
      <c r="M195" s="1416"/>
      <c r="N195" s="1416"/>
      <c r="O195" s="1416"/>
      <c r="P195" s="1420"/>
    </row>
    <row r="196" spans="2:16" s="1918" customFormat="1" x14ac:dyDescent="0.2">
      <c r="B196" s="1377"/>
      <c r="C196" s="1417" t="s">
        <v>1512</v>
      </c>
      <c r="D196" s="177"/>
      <c r="E196" s="1913" t="s">
        <v>1504</v>
      </c>
      <c r="F196" s="1913"/>
      <c r="G196" s="1416"/>
      <c r="H196" s="1416"/>
      <c r="I196" s="1416"/>
      <c r="J196" s="1416"/>
      <c r="K196" s="1416"/>
      <c r="L196" s="1416"/>
      <c r="M196" s="1416"/>
      <c r="N196" s="1416"/>
      <c r="O196" s="1416"/>
      <c r="P196" s="1420"/>
    </row>
    <row r="197" spans="2:16" x14ac:dyDescent="0.2">
      <c r="B197" s="1377"/>
      <c r="C197" s="1417"/>
      <c r="D197" s="177"/>
      <c r="E197" s="1416"/>
      <c r="F197" s="1416"/>
      <c r="G197" s="1377"/>
      <c r="H197" s="1377"/>
      <c r="I197" s="1377"/>
      <c r="J197" s="1377"/>
      <c r="K197" s="1377"/>
      <c r="L197" s="1377"/>
      <c r="M197" s="1377"/>
      <c r="N197" s="1377"/>
      <c r="O197" s="1377"/>
      <c r="P197" s="1377"/>
    </row>
    <row r="198" spans="2:16" x14ac:dyDescent="0.2">
      <c r="B198" s="1871"/>
      <c r="C198" s="98" t="s">
        <v>65</v>
      </c>
      <c r="D198" s="98"/>
      <c r="E198" s="664" t="s">
        <v>1505</v>
      </c>
      <c r="F198" s="665" t="s">
        <v>1506</v>
      </c>
      <c r="G198" s="1377"/>
      <c r="H198" s="1377"/>
      <c r="I198" s="1377"/>
      <c r="J198" s="1377"/>
      <c r="K198" s="1377"/>
      <c r="L198" s="1377"/>
      <c r="M198" s="1377"/>
      <c r="N198" s="1377"/>
      <c r="O198" s="1377"/>
      <c r="P198" s="1377"/>
    </row>
    <row r="199" spans="2:16" s="1411" customFormat="1" x14ac:dyDescent="0.2">
      <c r="B199" s="1377"/>
      <c r="C199" s="189" t="s">
        <v>1513</v>
      </c>
      <c r="D199" s="189"/>
      <c r="E199" s="1594">
        <f>1000/1000000</f>
        <v>1E-3</v>
      </c>
      <c r="F199" s="686">
        <v>15</v>
      </c>
      <c r="G199" s="1871"/>
      <c r="H199" s="1871"/>
      <c r="I199" s="1871"/>
      <c r="J199" s="1871"/>
      <c r="K199" s="1871"/>
      <c r="L199" s="1871"/>
      <c r="M199" s="1871"/>
      <c r="N199" s="1871"/>
      <c r="O199" s="1871"/>
      <c r="P199" s="1871"/>
    </row>
    <row r="200" spans="2:16" x14ac:dyDescent="0.2">
      <c r="B200" s="1377"/>
      <c r="C200" s="1377"/>
      <c r="D200" s="1377"/>
      <c r="E200" s="1377"/>
      <c r="F200" s="1377"/>
      <c r="G200" s="1377"/>
      <c r="H200" s="1377"/>
      <c r="I200" s="1377"/>
      <c r="J200" s="1377"/>
      <c r="K200" s="1377"/>
      <c r="L200" s="1377"/>
      <c r="M200" s="1377"/>
      <c r="N200" s="1377"/>
      <c r="O200" s="1377"/>
      <c r="P200" s="1377"/>
    </row>
    <row r="201" spans="2:16" s="2022" customFormat="1" ht="15.75" x14ac:dyDescent="0.25">
      <c r="B201" s="397"/>
      <c r="C201" s="178" t="s">
        <v>1796</v>
      </c>
      <c r="D201" s="1415"/>
      <c r="E201" s="1415"/>
      <c r="F201" s="206"/>
      <c r="G201" s="760"/>
      <c r="H201" s="760"/>
      <c r="I201" s="1416"/>
      <c r="J201" s="208"/>
      <c r="K201" s="208"/>
      <c r="L201" s="208"/>
      <c r="M201" s="208"/>
      <c r="N201" s="208"/>
      <c r="O201" s="1737" t="s">
        <v>1848</v>
      </c>
      <c r="P201" s="1420"/>
    </row>
    <row r="202" spans="2:16" s="2022" customFormat="1" ht="3.75" customHeight="1" x14ac:dyDescent="0.25">
      <c r="B202" s="397"/>
      <c r="C202" s="178"/>
      <c r="D202" s="1415"/>
      <c r="E202" s="1415"/>
      <c r="F202" s="760"/>
      <c r="G202" s="760"/>
      <c r="H202" s="1416"/>
      <c r="I202" s="208"/>
      <c r="J202" s="208"/>
      <c r="K202" s="208"/>
      <c r="L202" s="208"/>
      <c r="M202" s="208"/>
      <c r="N202" s="208"/>
      <c r="O202" s="1416"/>
    </row>
    <row r="203" spans="2:16" s="2022" customFormat="1" ht="15.75" x14ac:dyDescent="0.25">
      <c r="B203" s="397"/>
      <c r="C203" s="98" t="s">
        <v>69</v>
      </c>
      <c r="D203" s="98" t="s">
        <v>289</v>
      </c>
      <c r="E203" s="98" t="s">
        <v>64</v>
      </c>
      <c r="F203" s="218" t="s">
        <v>241</v>
      </c>
      <c r="G203" s="217" t="s">
        <v>268</v>
      </c>
      <c r="H203" s="217" t="s">
        <v>269</v>
      </c>
      <c r="I203" s="217" t="s">
        <v>270</v>
      </c>
      <c r="J203" s="217" t="s">
        <v>271</v>
      </c>
      <c r="K203" s="217" t="s">
        <v>272</v>
      </c>
      <c r="L203" s="217" t="s">
        <v>273</v>
      </c>
      <c r="M203" s="217" t="s">
        <v>274</v>
      </c>
      <c r="N203" s="217" t="s">
        <v>275</v>
      </c>
      <c r="O203" s="208"/>
    </row>
    <row r="204" spans="2:16" s="2022" customFormat="1" ht="15.75" x14ac:dyDescent="0.25">
      <c r="B204" s="397"/>
      <c r="C204" s="199" t="s">
        <v>402</v>
      </c>
      <c r="D204" s="200" t="s">
        <v>1941</v>
      </c>
      <c r="E204" s="214" t="s">
        <v>103</v>
      </c>
      <c r="F204" s="1594">
        <f t="shared" ref="F204:N204" si="14">0.0355980053654342*(1/Unit.TWh)</f>
        <v>3.5598005365434199E-2</v>
      </c>
      <c r="G204" s="2060">
        <f t="shared" si="14"/>
        <v>3.5598005365434199E-2</v>
      </c>
      <c r="H204" s="2060">
        <f t="shared" si="14"/>
        <v>3.5598005365434199E-2</v>
      </c>
      <c r="I204" s="2060">
        <f t="shared" si="14"/>
        <v>3.5598005365434199E-2</v>
      </c>
      <c r="J204" s="2060">
        <f t="shared" si="14"/>
        <v>3.5598005365434199E-2</v>
      </c>
      <c r="K204" s="2060">
        <f t="shared" si="14"/>
        <v>3.5598005365434199E-2</v>
      </c>
      <c r="L204" s="2060">
        <f t="shared" si="14"/>
        <v>3.5598005365434199E-2</v>
      </c>
      <c r="M204" s="2060">
        <f t="shared" si="14"/>
        <v>3.5598005365434199E-2</v>
      </c>
      <c r="N204" s="2060">
        <f t="shared" si="14"/>
        <v>3.5598005365434199E-2</v>
      </c>
      <c r="O204" s="208"/>
    </row>
    <row r="205" spans="2:16" s="2022" customFormat="1" ht="15.75" x14ac:dyDescent="0.25">
      <c r="B205" s="397"/>
      <c r="C205" s="1414"/>
      <c r="D205" s="1415"/>
      <c r="E205" s="1415"/>
      <c r="F205" s="176"/>
      <c r="G205" s="176"/>
      <c r="H205" s="176"/>
      <c r="I205" s="680"/>
      <c r="J205" s="680"/>
      <c r="K205" s="680"/>
      <c r="L205" s="680"/>
      <c r="M205" s="680"/>
      <c r="N205" s="680"/>
      <c r="O205" s="1420"/>
    </row>
    <row r="206" spans="2:16" s="2022" customFormat="1" ht="15.75" x14ac:dyDescent="0.25">
      <c r="B206" s="397"/>
      <c r="C206" s="178" t="s">
        <v>1797</v>
      </c>
      <c r="D206" s="1415"/>
      <c r="E206" s="1415"/>
      <c r="F206" s="176"/>
      <c r="G206" s="176"/>
      <c r="H206" s="176"/>
      <c r="I206" s="680"/>
      <c r="J206" s="680"/>
      <c r="K206" s="680"/>
      <c r="L206" s="680"/>
      <c r="M206" s="680"/>
      <c r="N206" s="1737" t="s">
        <v>1848</v>
      </c>
      <c r="O206" s="1420"/>
    </row>
    <row r="207" spans="2:16" s="2022" customFormat="1" ht="3.75" customHeight="1" x14ac:dyDescent="0.25">
      <c r="B207" s="397"/>
      <c r="C207" s="178"/>
      <c r="D207" s="1415"/>
      <c r="E207" s="1415"/>
      <c r="F207" s="176"/>
      <c r="G207" s="176"/>
      <c r="H207" s="176"/>
      <c r="I207" s="680"/>
      <c r="J207" s="680"/>
      <c r="K207" s="680"/>
      <c r="L207" s="680"/>
      <c r="M207" s="680"/>
      <c r="N207" s="680"/>
      <c r="O207" s="1416"/>
    </row>
    <row r="208" spans="2:16" s="2022" customFormat="1" ht="15.75" x14ac:dyDescent="0.25">
      <c r="B208" s="397"/>
      <c r="C208" s="98" t="s">
        <v>69</v>
      </c>
      <c r="D208" s="98" t="s">
        <v>289</v>
      </c>
      <c r="E208" s="98" t="s">
        <v>64</v>
      </c>
      <c r="F208" s="218" t="s">
        <v>241</v>
      </c>
      <c r="G208" s="217" t="s">
        <v>268</v>
      </c>
      <c r="H208" s="217" t="s">
        <v>269</v>
      </c>
      <c r="I208" s="217" t="s">
        <v>270</v>
      </c>
      <c r="J208" s="217" t="s">
        <v>271</v>
      </c>
      <c r="K208" s="217" t="s">
        <v>272</v>
      </c>
      <c r="L208" s="217" t="s">
        <v>273</v>
      </c>
      <c r="M208" s="217" t="s">
        <v>274</v>
      </c>
      <c r="N208" s="217" t="s">
        <v>275</v>
      </c>
      <c r="O208" s="208"/>
    </row>
    <row r="209" spans="2:15" s="2022" customFormat="1" ht="15.75" x14ac:dyDescent="0.25">
      <c r="B209" s="397"/>
      <c r="C209" s="199" t="s">
        <v>402</v>
      </c>
      <c r="D209" s="200" t="s">
        <v>1941</v>
      </c>
      <c r="E209" s="214" t="s">
        <v>103</v>
      </c>
      <c r="F209" s="1594">
        <f t="shared" ref="F209:N209" si="15">0.863267325881341*(1/Unit.TWh)</f>
        <v>0.86326732588134103</v>
      </c>
      <c r="G209" s="2060">
        <f t="shared" si="15"/>
        <v>0.86326732588134103</v>
      </c>
      <c r="H209" s="2060">
        <f t="shared" si="15"/>
        <v>0.86326732588134103</v>
      </c>
      <c r="I209" s="2060">
        <f t="shared" si="15"/>
        <v>0.86326732588134103</v>
      </c>
      <c r="J209" s="2060">
        <f t="shared" si="15"/>
        <v>0.86326732588134103</v>
      </c>
      <c r="K209" s="2060">
        <f t="shared" si="15"/>
        <v>0.86326732588134103</v>
      </c>
      <c r="L209" s="2060">
        <f t="shared" si="15"/>
        <v>0.86326732588134103</v>
      </c>
      <c r="M209" s="2060">
        <f t="shared" si="15"/>
        <v>0.86326732588134103</v>
      </c>
      <c r="N209" s="2060">
        <f t="shared" si="15"/>
        <v>0.86326732588134103</v>
      </c>
      <c r="O209" s="208"/>
    </row>
    <row r="210" spans="2:15" s="2022" customFormat="1" ht="15.75" x14ac:dyDescent="0.25">
      <c r="B210" s="397"/>
      <c r="C210" s="1414"/>
      <c r="D210" s="1415"/>
      <c r="E210" s="1415"/>
      <c r="F210" s="176"/>
      <c r="G210" s="176"/>
      <c r="H210" s="176"/>
      <c r="I210" s="680"/>
      <c r="J210" s="680"/>
      <c r="K210" s="680"/>
      <c r="L210" s="680"/>
      <c r="M210" s="680"/>
      <c r="N210" s="680"/>
      <c r="O210" s="1420"/>
    </row>
    <row r="211" spans="2:15" s="2022" customFormat="1" ht="15.75" x14ac:dyDescent="0.25">
      <c r="B211" s="397"/>
      <c r="C211" s="178" t="s">
        <v>1798</v>
      </c>
      <c r="D211" s="1415"/>
      <c r="E211" s="1415"/>
      <c r="F211" s="176"/>
      <c r="G211" s="176"/>
      <c r="H211" s="176"/>
      <c r="I211" s="680"/>
      <c r="J211" s="680"/>
      <c r="K211" s="680"/>
      <c r="L211" s="680"/>
      <c r="M211" s="680"/>
      <c r="N211" s="1737" t="s">
        <v>1848</v>
      </c>
      <c r="O211" s="1420"/>
    </row>
    <row r="212" spans="2:15" s="2022" customFormat="1" ht="3.75" customHeight="1" x14ac:dyDescent="0.25">
      <c r="B212" s="397"/>
      <c r="C212" s="178"/>
      <c r="D212" s="1415"/>
      <c r="E212" s="1415"/>
      <c r="F212" s="176"/>
      <c r="G212" s="176"/>
      <c r="H212" s="176"/>
      <c r="I212" s="680"/>
      <c r="J212" s="680"/>
      <c r="K212" s="680"/>
      <c r="L212" s="680"/>
      <c r="M212" s="680"/>
      <c r="N212" s="680"/>
      <c r="O212" s="1416"/>
    </row>
    <row r="213" spans="2:15" s="2022" customFormat="1" ht="15.75" x14ac:dyDescent="0.25">
      <c r="B213" s="397"/>
      <c r="C213" s="98" t="s">
        <v>69</v>
      </c>
      <c r="D213" s="98" t="s">
        <v>289</v>
      </c>
      <c r="E213" s="98" t="s">
        <v>64</v>
      </c>
      <c r="F213" s="218" t="s">
        <v>241</v>
      </c>
      <c r="G213" s="217" t="s">
        <v>268</v>
      </c>
      <c r="H213" s="217" t="s">
        <v>269</v>
      </c>
      <c r="I213" s="217" t="s">
        <v>270</v>
      </c>
      <c r="J213" s="217" t="s">
        <v>271</v>
      </c>
      <c r="K213" s="217" t="s">
        <v>272</v>
      </c>
      <c r="L213" s="217" t="s">
        <v>273</v>
      </c>
      <c r="M213" s="217" t="s">
        <v>274</v>
      </c>
      <c r="N213" s="217" t="s">
        <v>275</v>
      </c>
      <c r="O213" s="208"/>
    </row>
    <row r="214" spans="2:15" s="2022" customFormat="1" ht="15.75" x14ac:dyDescent="0.25">
      <c r="B214" s="397"/>
      <c r="C214" s="199" t="s">
        <v>402</v>
      </c>
      <c r="D214" s="200" t="s">
        <v>1941</v>
      </c>
      <c r="E214" s="214" t="s">
        <v>103</v>
      </c>
      <c r="F214" s="1594">
        <f t="shared" ref="F214:N214" si="16">(0*(1/Unit.GWh))*(1/Unit.TWh)</f>
        <v>0</v>
      </c>
      <c r="G214" s="2060">
        <f t="shared" si="16"/>
        <v>0</v>
      </c>
      <c r="H214" s="2060">
        <f t="shared" si="16"/>
        <v>0</v>
      </c>
      <c r="I214" s="2060">
        <f t="shared" si="16"/>
        <v>0</v>
      </c>
      <c r="J214" s="2060">
        <f t="shared" si="16"/>
        <v>0</v>
      </c>
      <c r="K214" s="2060">
        <f t="shared" si="16"/>
        <v>0</v>
      </c>
      <c r="L214" s="2060">
        <f t="shared" si="16"/>
        <v>0</v>
      </c>
      <c r="M214" s="2060">
        <f t="shared" si="16"/>
        <v>0</v>
      </c>
      <c r="N214" s="2060">
        <f t="shared" si="16"/>
        <v>0</v>
      </c>
      <c r="O214" s="208"/>
    </row>
    <row r="215" spans="2:15" s="2022" customFormat="1" ht="15.75" x14ac:dyDescent="0.25">
      <c r="B215" s="397"/>
      <c r="C215" s="1738"/>
      <c r="D215" s="1660"/>
      <c r="E215" s="1660"/>
      <c r="F215" s="1739"/>
      <c r="G215" s="1739"/>
      <c r="H215" s="1739"/>
      <c r="I215" s="1739"/>
      <c r="J215" s="1739"/>
      <c r="K215" s="1739"/>
      <c r="L215" s="1739"/>
      <c r="M215" s="1739"/>
      <c r="N215" s="1739"/>
      <c r="O215" s="1420"/>
    </row>
    <row r="216" spans="2:15" s="2022" customFormat="1" ht="15.75" x14ac:dyDescent="0.25">
      <c r="B216" s="397"/>
      <c r="C216" s="178" t="s">
        <v>1800</v>
      </c>
      <c r="D216" s="1415"/>
      <c r="E216" s="1415"/>
      <c r="F216" s="176"/>
      <c r="G216" s="176"/>
      <c r="H216" s="176"/>
      <c r="I216" s="680"/>
      <c r="J216" s="680"/>
      <c r="K216" s="680"/>
      <c r="L216" s="680"/>
      <c r="M216" s="680"/>
      <c r="N216" s="1737" t="s">
        <v>1848</v>
      </c>
      <c r="O216" s="1420"/>
    </row>
    <row r="217" spans="2:15" s="2022" customFormat="1" ht="3.75" customHeight="1" x14ac:dyDescent="0.25">
      <c r="B217" s="397"/>
      <c r="C217" s="178"/>
      <c r="D217" s="1415"/>
      <c r="E217" s="1415"/>
      <c r="F217" s="176"/>
      <c r="G217" s="176"/>
      <c r="H217" s="176"/>
      <c r="I217" s="680"/>
      <c r="J217" s="680"/>
      <c r="K217" s="680"/>
      <c r="L217" s="680"/>
      <c r="M217" s="680"/>
      <c r="N217" s="680"/>
      <c r="O217" s="1416"/>
    </row>
    <row r="218" spans="2:15" s="2022" customFormat="1" ht="15.75" x14ac:dyDescent="0.25">
      <c r="B218" s="397"/>
      <c r="C218" s="98" t="s">
        <v>69</v>
      </c>
      <c r="D218" s="98" t="s">
        <v>289</v>
      </c>
      <c r="E218" s="98" t="s">
        <v>64</v>
      </c>
      <c r="F218" s="218" t="s">
        <v>241</v>
      </c>
      <c r="G218" s="217" t="s">
        <v>268</v>
      </c>
      <c r="H218" s="217" t="s">
        <v>269</v>
      </c>
      <c r="I218" s="217" t="s">
        <v>270</v>
      </c>
      <c r="J218" s="217" t="s">
        <v>271</v>
      </c>
      <c r="K218" s="217" t="s">
        <v>272</v>
      </c>
      <c r="L218" s="217" t="s">
        <v>273</v>
      </c>
      <c r="M218" s="217" t="s">
        <v>274</v>
      </c>
      <c r="N218" s="217" t="s">
        <v>275</v>
      </c>
      <c r="O218" s="208"/>
    </row>
    <row r="219" spans="2:15" s="2022" customFormat="1" ht="15.75" x14ac:dyDescent="0.25">
      <c r="B219" s="397"/>
      <c r="C219" s="199" t="s">
        <v>402</v>
      </c>
      <c r="D219" s="200" t="s">
        <v>1941</v>
      </c>
      <c r="E219" s="214" t="s">
        <v>103</v>
      </c>
      <c r="F219" s="1594">
        <f t="shared" ref="F219:N219" si="17">0.0130226086956522*(1/Unit.TWh)</f>
        <v>1.3022608695652201E-2</v>
      </c>
      <c r="G219" s="2060">
        <f t="shared" si="17"/>
        <v>1.3022608695652201E-2</v>
      </c>
      <c r="H219" s="2060">
        <f t="shared" si="17"/>
        <v>1.3022608695652201E-2</v>
      </c>
      <c r="I219" s="2060">
        <f t="shared" si="17"/>
        <v>1.3022608695652201E-2</v>
      </c>
      <c r="J219" s="2060">
        <f t="shared" si="17"/>
        <v>1.3022608695652201E-2</v>
      </c>
      <c r="K219" s="2060">
        <f t="shared" si="17"/>
        <v>1.3022608695652201E-2</v>
      </c>
      <c r="L219" s="2060">
        <f t="shared" si="17"/>
        <v>1.3022608695652201E-2</v>
      </c>
      <c r="M219" s="2060">
        <f t="shared" si="17"/>
        <v>1.3022608695652201E-2</v>
      </c>
      <c r="N219" s="2060">
        <f t="shared" si="17"/>
        <v>1.3022608695652201E-2</v>
      </c>
      <c r="O219" s="208"/>
    </row>
    <row r="220" spans="2:15" s="2022" customFormat="1" ht="15.75" x14ac:dyDescent="0.25">
      <c r="B220" s="397"/>
      <c r="C220" s="1414"/>
      <c r="D220" s="1415"/>
      <c r="E220" s="213"/>
      <c r="F220" s="1633"/>
      <c r="G220" s="2059"/>
      <c r="H220" s="2059"/>
      <c r="I220" s="2059"/>
      <c r="J220" s="2059"/>
      <c r="K220" s="2059"/>
      <c r="L220" s="2059"/>
      <c r="M220" s="2059"/>
      <c r="N220" s="2059"/>
      <c r="O220" s="208"/>
    </row>
    <row r="221" spans="2:15" s="2022" customFormat="1" ht="15.75" x14ac:dyDescent="0.25">
      <c r="B221" s="397"/>
      <c r="C221" s="178" t="s">
        <v>1940</v>
      </c>
      <c r="D221" s="1415"/>
      <c r="E221" s="1415"/>
      <c r="F221" s="176"/>
      <c r="G221" s="176"/>
      <c r="H221" s="176"/>
      <c r="I221" s="680"/>
      <c r="J221" s="680"/>
      <c r="K221" s="680"/>
      <c r="L221" s="680"/>
      <c r="M221" s="680"/>
      <c r="N221" s="1737" t="s">
        <v>1848</v>
      </c>
      <c r="O221" s="208"/>
    </row>
    <row r="222" spans="2:15" s="2022" customFormat="1" ht="15.75" x14ac:dyDescent="0.25">
      <c r="B222" s="397"/>
      <c r="C222" s="178"/>
      <c r="D222" s="1415"/>
      <c r="E222" s="1415"/>
      <c r="F222" s="176"/>
      <c r="G222" s="176"/>
      <c r="H222" s="176"/>
      <c r="I222" s="680"/>
      <c r="J222" s="680"/>
      <c r="K222" s="680"/>
      <c r="L222" s="680"/>
      <c r="M222" s="680"/>
      <c r="N222" s="680"/>
      <c r="O222" s="208"/>
    </row>
    <row r="223" spans="2:15" s="2022" customFormat="1" ht="15.75" x14ac:dyDescent="0.25">
      <c r="B223" s="397"/>
      <c r="C223" s="98" t="s">
        <v>69</v>
      </c>
      <c r="D223" s="98" t="s">
        <v>289</v>
      </c>
      <c r="E223" s="98" t="s">
        <v>64</v>
      </c>
      <c r="F223" s="218" t="s">
        <v>241</v>
      </c>
      <c r="G223" s="217" t="s">
        <v>268</v>
      </c>
      <c r="H223" s="217" t="s">
        <v>269</v>
      </c>
      <c r="I223" s="217"/>
      <c r="J223" s="217"/>
      <c r="K223" s="217"/>
      <c r="L223" s="217"/>
      <c r="M223" s="217"/>
      <c r="N223" s="217"/>
      <c r="O223" s="208"/>
    </row>
    <row r="224" spans="2:15" s="2022" customFormat="1" ht="15.75" x14ac:dyDescent="0.25">
      <c r="B224" s="397"/>
      <c r="C224" s="199" t="s">
        <v>402</v>
      </c>
      <c r="D224" s="200" t="s">
        <v>1941</v>
      </c>
      <c r="E224" s="214" t="s">
        <v>103</v>
      </c>
      <c r="F224" s="1594">
        <v>9.4766673770000001</v>
      </c>
      <c r="G224" s="2060">
        <v>9.0773043359999992</v>
      </c>
      <c r="H224" s="2060">
        <v>8.7208291459999998</v>
      </c>
      <c r="I224" s="2060"/>
      <c r="J224" s="2060"/>
      <c r="K224" s="2060"/>
      <c r="L224" s="2060"/>
      <c r="M224" s="2060"/>
      <c r="N224" s="2060"/>
      <c r="O224" s="208"/>
    </row>
    <row r="225" spans="2:16" s="2022" customFormat="1" ht="15.75" x14ac:dyDescent="0.25">
      <c r="B225" s="397"/>
      <c r="C225" s="1414"/>
      <c r="D225" s="1415"/>
      <c r="E225" s="213"/>
      <c r="F225" s="1633"/>
      <c r="G225" s="2059"/>
      <c r="H225" s="2059"/>
      <c r="I225" s="2059"/>
      <c r="J225" s="2059"/>
      <c r="K225" s="2059"/>
      <c r="L225" s="2059"/>
      <c r="M225" s="2059"/>
      <c r="N225" s="2059"/>
      <c r="O225" s="208"/>
    </row>
    <row r="226" spans="2:16" x14ac:dyDescent="0.2">
      <c r="B226" s="1347"/>
      <c r="C226" s="37"/>
      <c r="D226" s="1399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</row>
    <row r="227" spans="2:16" ht="15.75" x14ac:dyDescent="0.2">
      <c r="B227" s="1180" t="s">
        <v>1417</v>
      </c>
      <c r="C227" s="1181"/>
      <c r="D227" s="1181"/>
      <c r="E227" s="1181"/>
      <c r="F227" s="1181"/>
      <c r="G227" s="1181"/>
      <c r="H227" s="1181"/>
      <c r="I227" s="1181"/>
      <c r="J227" s="1181"/>
      <c r="K227" s="1181"/>
      <c r="L227" s="1181"/>
      <c r="M227" s="1181"/>
      <c r="N227" s="1181"/>
      <c r="O227" s="1181"/>
      <c r="P227" s="1934"/>
    </row>
    <row r="228" spans="2:16" ht="6.75" customHeight="1" x14ac:dyDescent="0.2">
      <c r="B228" s="465"/>
      <c r="C228" s="465"/>
      <c r="D228" s="465"/>
      <c r="E228" s="465"/>
      <c r="F228" s="465"/>
      <c r="G228" s="465"/>
      <c r="H228" s="465"/>
      <c r="I228" s="465"/>
      <c r="J228" s="465"/>
      <c r="K228" s="465"/>
      <c r="L228" s="1416"/>
      <c r="M228" s="1416"/>
      <c r="N228" s="1416"/>
      <c r="O228" s="1416"/>
      <c r="P228" s="1377"/>
    </row>
    <row r="229" spans="2:16" x14ac:dyDescent="0.2">
      <c r="B229" s="1143"/>
      <c r="C229" s="1417" t="str">
        <f>"High estimate capital costs"</f>
        <v>High estimate capital costs</v>
      </c>
      <c r="D229" s="177"/>
      <c r="E229" s="1416"/>
      <c r="F229" s="1913"/>
      <c r="G229" s="1913"/>
      <c r="H229" s="1913"/>
      <c r="I229" s="1913"/>
      <c r="J229" s="1417"/>
      <c r="K229" s="1416"/>
      <c r="L229" s="1416"/>
      <c r="M229" s="1416"/>
      <c r="N229" s="1416"/>
      <c r="O229" s="1416"/>
      <c r="P229" s="1377"/>
    </row>
    <row r="230" spans="2:16" ht="6.75" customHeight="1" x14ac:dyDescent="0.2">
      <c r="B230" s="1416"/>
      <c r="C230" s="1416"/>
      <c r="D230" s="177"/>
      <c r="E230" s="1416"/>
      <c r="F230" s="1416"/>
      <c r="G230" s="1416"/>
      <c r="H230" s="1416"/>
      <c r="I230" s="1416"/>
      <c r="J230" s="1416"/>
      <c r="K230" s="1416"/>
      <c r="L230" s="1416"/>
      <c r="M230" s="1416"/>
      <c r="N230" s="1416"/>
      <c r="O230" s="1416"/>
      <c r="P230" s="1377"/>
    </row>
    <row r="231" spans="2:16" x14ac:dyDescent="0.2">
      <c r="B231" s="477"/>
      <c r="C231" s="1905" t="s">
        <v>65</v>
      </c>
      <c r="D231" s="1905"/>
      <c r="E231" s="1904" t="s">
        <v>574</v>
      </c>
      <c r="F231" s="1567" t="s">
        <v>1321</v>
      </c>
      <c r="G231" s="1845">
        <v>2010</v>
      </c>
      <c r="H231" s="1845">
        <v>2015</v>
      </c>
      <c r="I231" s="1845">
        <v>2020</v>
      </c>
      <c r="J231" s="1845">
        <v>2025</v>
      </c>
      <c r="K231" s="1845">
        <v>2030</v>
      </c>
      <c r="L231" s="1845">
        <v>2035</v>
      </c>
      <c r="M231" s="1845">
        <v>2040</v>
      </c>
      <c r="N231" s="1845">
        <v>2045</v>
      </c>
      <c r="O231" s="1845">
        <v>2050</v>
      </c>
      <c r="P231" s="1377"/>
    </row>
    <row r="232" spans="2:16" x14ac:dyDescent="0.2">
      <c r="B232" s="477"/>
      <c r="C232" s="1519" t="s">
        <v>1740</v>
      </c>
      <c r="D232" s="1519"/>
      <c r="E232" s="1897" t="str">
        <f>Preferences.moneyunits&amp;"/odt. Millions"</f>
        <v>N/odt. Millions</v>
      </c>
      <c r="F232" s="1923">
        <f t="shared" ref="F232:F239" si="18">(O232-G232)/(O$231-G$231)</f>
        <v>0</v>
      </c>
      <c r="G232" s="1924">
        <f>(250*16*NAIRA2010_)*1000000</f>
        <v>4000000000</v>
      </c>
      <c r="H232" s="1852">
        <f t="shared" ref="H232:N239" si="19">($F232*(H$231-G$231))+G232</f>
        <v>4000000000</v>
      </c>
      <c r="I232" s="1852">
        <f t="shared" si="19"/>
        <v>4000000000</v>
      </c>
      <c r="J232" s="1852">
        <f t="shared" si="19"/>
        <v>4000000000</v>
      </c>
      <c r="K232" s="1852">
        <f t="shared" si="19"/>
        <v>4000000000</v>
      </c>
      <c r="L232" s="1852">
        <f t="shared" si="19"/>
        <v>4000000000</v>
      </c>
      <c r="M232" s="1852">
        <f t="shared" si="19"/>
        <v>4000000000</v>
      </c>
      <c r="N232" s="1852">
        <f t="shared" si="19"/>
        <v>4000000000</v>
      </c>
      <c r="O232" s="1924">
        <f>(250*16*NAIRA2010_)*1000000</f>
        <v>4000000000</v>
      </c>
      <c r="P232" s="1377"/>
    </row>
    <row r="233" spans="2:16" ht="15.75" x14ac:dyDescent="0.25">
      <c r="B233" s="475"/>
      <c r="C233" s="107" t="s">
        <v>1503</v>
      </c>
      <c r="D233" s="107"/>
      <c r="E233" s="578" t="str">
        <f>Preferences.moneyunits&amp;"/odt. Millions"</f>
        <v>N/odt. Millions</v>
      </c>
      <c r="F233" s="1921">
        <f t="shared" si="18"/>
        <v>0</v>
      </c>
      <c r="G233" s="1922">
        <f>(250*19*NAIRA2010_)*1000000</f>
        <v>4750000000</v>
      </c>
      <c r="H233" s="1849">
        <f t="shared" si="19"/>
        <v>4750000000</v>
      </c>
      <c r="I233" s="1849">
        <f t="shared" si="19"/>
        <v>4750000000</v>
      </c>
      <c r="J233" s="1849">
        <f t="shared" si="19"/>
        <v>4750000000</v>
      </c>
      <c r="K233" s="1849">
        <f t="shared" si="19"/>
        <v>4750000000</v>
      </c>
      <c r="L233" s="1849">
        <f t="shared" si="19"/>
        <v>4750000000</v>
      </c>
      <c r="M233" s="1849">
        <f t="shared" si="19"/>
        <v>4750000000</v>
      </c>
      <c r="N233" s="1849">
        <f t="shared" si="19"/>
        <v>4750000000</v>
      </c>
      <c r="O233" s="1922">
        <f>(250*19*NAIRA2010_)*1000000</f>
        <v>4750000000</v>
      </c>
      <c r="P233" s="1377"/>
    </row>
    <row r="234" spans="2:16" ht="15.75" x14ac:dyDescent="0.25">
      <c r="B234" s="475"/>
      <c r="C234" s="107" t="s">
        <v>1741</v>
      </c>
      <c r="D234" s="107"/>
      <c r="E234" s="578" t="str">
        <f>Preferences.moneyunits&amp;"/odt. Millions"</f>
        <v>N/odt. Millions</v>
      </c>
      <c r="F234" s="1921">
        <f t="shared" si="18"/>
        <v>0</v>
      </c>
      <c r="G234" s="1922">
        <f>(250*37*NAIRA2010_)*1000000</f>
        <v>9250000000</v>
      </c>
      <c r="H234" s="1849">
        <f t="shared" si="19"/>
        <v>9250000000</v>
      </c>
      <c r="I234" s="1849">
        <f t="shared" si="19"/>
        <v>9250000000</v>
      </c>
      <c r="J234" s="1849">
        <f t="shared" si="19"/>
        <v>9250000000</v>
      </c>
      <c r="K234" s="1849">
        <f t="shared" si="19"/>
        <v>9250000000</v>
      </c>
      <c r="L234" s="1849">
        <f t="shared" si="19"/>
        <v>9250000000</v>
      </c>
      <c r="M234" s="1849">
        <f t="shared" si="19"/>
        <v>9250000000</v>
      </c>
      <c r="N234" s="1849">
        <f t="shared" si="19"/>
        <v>9250000000</v>
      </c>
      <c r="O234" s="1922">
        <f>(250*37*NAIRA2010_)*1000000</f>
        <v>9250000000</v>
      </c>
      <c r="P234" s="1377"/>
    </row>
    <row r="235" spans="2:16" ht="15.75" x14ac:dyDescent="0.25">
      <c r="B235" s="475"/>
      <c r="C235" s="189" t="s">
        <v>1742</v>
      </c>
      <c r="D235" s="189"/>
      <c r="E235" s="1509" t="str">
        <f>Preferences.moneyunits&amp;"/odt. Millions"</f>
        <v>N/odt. Millions</v>
      </c>
      <c r="F235" s="1925">
        <f t="shared" si="18"/>
        <v>0</v>
      </c>
      <c r="G235" s="1933">
        <f>(250*12*NAIRA2010_)*1000000</f>
        <v>3000000000</v>
      </c>
      <c r="H235" s="1850">
        <f t="shared" si="19"/>
        <v>3000000000</v>
      </c>
      <c r="I235" s="1850">
        <f t="shared" si="19"/>
        <v>3000000000</v>
      </c>
      <c r="J235" s="1850">
        <f t="shared" si="19"/>
        <v>3000000000</v>
      </c>
      <c r="K235" s="1850">
        <f t="shared" si="19"/>
        <v>3000000000</v>
      </c>
      <c r="L235" s="1850">
        <f t="shared" si="19"/>
        <v>3000000000</v>
      </c>
      <c r="M235" s="1850">
        <f t="shared" si="19"/>
        <v>3000000000</v>
      </c>
      <c r="N235" s="1850">
        <f t="shared" si="19"/>
        <v>3000000000</v>
      </c>
      <c r="O235" s="1933">
        <f>(250*12*NAIRA2010_)*1000000</f>
        <v>3000000000</v>
      </c>
      <c r="P235" s="1377"/>
    </row>
    <row r="236" spans="2:16" ht="15.75" x14ac:dyDescent="0.25">
      <c r="B236" s="475"/>
      <c r="C236" s="1519" t="s">
        <v>1507</v>
      </c>
      <c r="D236" s="1519"/>
      <c r="E236" s="1897" t="str">
        <f>Preferences.moneyunits&amp;"/landfill site"</f>
        <v>N/landfill site</v>
      </c>
      <c r="F236" s="1923">
        <f t="shared" si="18"/>
        <v>0</v>
      </c>
      <c r="G236" s="1847">
        <f>(250*47*NAIRA2010_*plantsize.VI.b.Landfill_site)*1000000</f>
        <v>2937500000</v>
      </c>
      <c r="H236" s="1852">
        <f t="shared" si="19"/>
        <v>2937500000</v>
      </c>
      <c r="I236" s="1852">
        <f t="shared" si="19"/>
        <v>2937500000</v>
      </c>
      <c r="J236" s="1852">
        <f t="shared" si="19"/>
        <v>2937500000</v>
      </c>
      <c r="K236" s="1852">
        <f t="shared" si="19"/>
        <v>2937500000</v>
      </c>
      <c r="L236" s="1852">
        <f t="shared" si="19"/>
        <v>2937500000</v>
      </c>
      <c r="M236" s="1852">
        <f t="shared" si="19"/>
        <v>2937500000</v>
      </c>
      <c r="N236" s="1852">
        <f t="shared" si="19"/>
        <v>2937500000</v>
      </c>
      <c r="O236" s="1847">
        <f>(250*47*NAIRA2010_*plantsize.VI.b.Landfill_site)*1000000</f>
        <v>2937500000</v>
      </c>
      <c r="P236" s="1377"/>
    </row>
    <row r="237" spans="2:16" ht="16.5" customHeight="1" x14ac:dyDescent="0.25">
      <c r="B237" s="475"/>
      <c r="C237" s="107" t="s">
        <v>1510</v>
      </c>
      <c r="D237" s="1415"/>
      <c r="E237" s="578" t="str">
        <f>Preferences.moneyunits&amp;"/landfill site"</f>
        <v>N/landfill site</v>
      </c>
      <c r="F237" s="1921">
        <f t="shared" si="18"/>
        <v>0</v>
      </c>
      <c r="G237" s="188">
        <f>(250*1*NAIRA2010_*plantsize.VI.b.Capturing_landfill_gas)*1000000</f>
        <v>833092.78279308463</v>
      </c>
      <c r="H237" s="1849">
        <f t="shared" si="19"/>
        <v>833092.78279308463</v>
      </c>
      <c r="I237" s="1849">
        <f t="shared" si="19"/>
        <v>833092.78279308463</v>
      </c>
      <c r="J237" s="1849">
        <f t="shared" si="19"/>
        <v>833092.78279308463</v>
      </c>
      <c r="K237" s="1849">
        <f t="shared" si="19"/>
        <v>833092.78279308463</v>
      </c>
      <c r="L237" s="1849">
        <f t="shared" si="19"/>
        <v>833092.78279308463</v>
      </c>
      <c r="M237" s="1849">
        <f t="shared" si="19"/>
        <v>833092.78279308463</v>
      </c>
      <c r="N237" s="1849">
        <f t="shared" si="19"/>
        <v>833092.78279308463</v>
      </c>
      <c r="O237" s="188">
        <f>(250*1*NAIRA2010_*plantsize.VI.b.Capturing_landfill_gas)*1000000</f>
        <v>833092.78279308463</v>
      </c>
      <c r="P237" s="1377"/>
    </row>
    <row r="238" spans="2:16" ht="15.75" customHeight="1" x14ac:dyDescent="0.25">
      <c r="B238" s="475"/>
      <c r="C238" s="189" t="s">
        <v>1511</v>
      </c>
      <c r="D238" s="200"/>
      <c r="E238" s="1509" t="str">
        <f>Preferences.moneyunits&amp;"/landfill site"</f>
        <v>N/landfill site</v>
      </c>
      <c r="F238" s="1921">
        <f t="shared" si="18"/>
        <v>0</v>
      </c>
      <c r="G238" s="191">
        <f>(250*1*NAIRA2010_*plantsize.VI.b.Recovering_landfill_gas)*1000000</f>
        <v>468614.69032111013</v>
      </c>
      <c r="H238" s="1850">
        <f t="shared" si="19"/>
        <v>468614.69032111013</v>
      </c>
      <c r="I238" s="1850">
        <f t="shared" si="19"/>
        <v>468614.69032111013</v>
      </c>
      <c r="J238" s="1850">
        <f t="shared" si="19"/>
        <v>468614.69032111013</v>
      </c>
      <c r="K238" s="1850">
        <f t="shared" si="19"/>
        <v>468614.69032111013</v>
      </c>
      <c r="L238" s="1850">
        <f t="shared" si="19"/>
        <v>468614.69032111013</v>
      </c>
      <c r="M238" s="1850">
        <f t="shared" si="19"/>
        <v>468614.69032111013</v>
      </c>
      <c r="N238" s="1850">
        <f t="shared" si="19"/>
        <v>468614.69032111013</v>
      </c>
      <c r="O238" s="191">
        <f>(250*1*NAIRA2010_*plantsize.VI.b.Recovering_landfill_gas)*1000000</f>
        <v>468614.69032111013</v>
      </c>
      <c r="P238" s="1377"/>
    </row>
    <row r="239" spans="2:16" ht="15.75" x14ac:dyDescent="0.25">
      <c r="B239" s="475"/>
      <c r="C239" s="1543" t="s">
        <v>1513</v>
      </c>
      <c r="D239" s="1926"/>
      <c r="E239" s="1580" t="str">
        <f>Preferences.moneyunits&amp;"/sewage works"</f>
        <v>N/sewage works</v>
      </c>
      <c r="F239" s="1927">
        <f t="shared" si="18"/>
        <v>0</v>
      </c>
      <c r="G239" s="1928">
        <f>(250*1*NAIRA2010_*plantsize.VI.b.Recovering_sewage_sludge)*1000000</f>
        <v>250000</v>
      </c>
      <c r="H239" s="1929">
        <f t="shared" si="19"/>
        <v>250000</v>
      </c>
      <c r="I239" s="1929">
        <f t="shared" si="19"/>
        <v>250000</v>
      </c>
      <c r="J239" s="1929">
        <f t="shared" si="19"/>
        <v>250000</v>
      </c>
      <c r="K239" s="1929">
        <f t="shared" si="19"/>
        <v>250000</v>
      </c>
      <c r="L239" s="1929">
        <f t="shared" si="19"/>
        <v>250000</v>
      </c>
      <c r="M239" s="1929">
        <f t="shared" si="19"/>
        <v>250000</v>
      </c>
      <c r="N239" s="1929">
        <f t="shared" si="19"/>
        <v>250000</v>
      </c>
      <c r="O239" s="1928">
        <f>(250*1*NAIRA2010_*plantsize.VI.b.Recovering_sewage_sludge)*1000000</f>
        <v>250000</v>
      </c>
      <c r="P239" s="1377"/>
    </row>
    <row r="240" spans="2:16" ht="15.75" x14ac:dyDescent="0.25">
      <c r="B240" s="1920"/>
      <c r="C240" s="237"/>
      <c r="D240" s="2713" t="s">
        <v>2583</v>
      </c>
      <c r="E240" s="1377"/>
      <c r="F240" s="1415"/>
      <c r="G240" s="954"/>
      <c r="H240" s="954"/>
      <c r="I240" s="1849"/>
      <c r="J240" s="1849"/>
      <c r="K240" s="1849"/>
      <c r="L240" s="1849"/>
      <c r="M240" s="1849"/>
      <c r="N240" s="1849"/>
      <c r="O240" s="1849"/>
      <c r="P240" s="1377"/>
    </row>
    <row r="241" spans="2:16" ht="15.75" x14ac:dyDescent="0.25">
      <c r="B241" s="1920"/>
      <c r="C241" s="1417" t="str">
        <f>"Point estimate capital costs"</f>
        <v>Point estimate capital costs</v>
      </c>
      <c r="D241" s="177"/>
      <c r="E241" s="1377"/>
      <c r="F241" s="1416"/>
      <c r="G241" s="1913"/>
      <c r="H241" s="1913"/>
      <c r="I241" s="1913"/>
      <c r="J241" s="1913"/>
      <c r="K241" s="1417"/>
      <c r="L241" s="1416"/>
      <c r="M241" s="1416"/>
      <c r="N241" s="1416"/>
      <c r="O241" s="1416"/>
      <c r="P241" s="1377"/>
    </row>
    <row r="242" spans="2:16" ht="6" customHeight="1" x14ac:dyDescent="0.25">
      <c r="B242" s="1920"/>
      <c r="C242" s="1416"/>
      <c r="D242" s="177"/>
      <c r="E242" s="1377"/>
      <c r="F242" s="1416"/>
      <c r="G242" s="1416"/>
      <c r="H242" s="1416"/>
      <c r="I242" s="1416"/>
      <c r="J242" s="1416"/>
      <c r="K242" s="1416"/>
      <c r="L242" s="1416"/>
      <c r="M242" s="1416"/>
      <c r="N242" s="1416"/>
      <c r="O242" s="1416"/>
      <c r="P242" s="1377"/>
    </row>
    <row r="243" spans="2:16" ht="12" customHeight="1" x14ac:dyDescent="0.25">
      <c r="B243" s="1920"/>
      <c r="C243" s="1905" t="s">
        <v>65</v>
      </c>
      <c r="D243" s="1905"/>
      <c r="E243" s="1904" t="s">
        <v>574</v>
      </c>
      <c r="F243" s="1567" t="s">
        <v>1321</v>
      </c>
      <c r="G243" s="1845">
        <v>2010</v>
      </c>
      <c r="H243" s="1845">
        <v>2015</v>
      </c>
      <c r="I243" s="1845">
        <v>2020</v>
      </c>
      <c r="J243" s="1845">
        <v>2025</v>
      </c>
      <c r="K243" s="1845">
        <v>2030</v>
      </c>
      <c r="L243" s="1845">
        <v>2035</v>
      </c>
      <c r="M243" s="1845">
        <v>2040</v>
      </c>
      <c r="N243" s="1845">
        <v>2045</v>
      </c>
      <c r="O243" s="1845">
        <v>2050</v>
      </c>
      <c r="P243" s="1377"/>
    </row>
    <row r="244" spans="2:16" ht="15.75" x14ac:dyDescent="0.25">
      <c r="B244" s="475"/>
      <c r="C244" s="1519" t="s">
        <v>1740</v>
      </c>
      <c r="D244" s="1519"/>
      <c r="E244" s="1897" t="str">
        <f>Preferences.moneyunits&amp;"/odt. Millions"</f>
        <v>N/odt. Millions</v>
      </c>
      <c r="F244" s="1923">
        <f t="shared" ref="F244:F251" si="20">(O244-G244)/(O$243-G$243)</f>
        <v>0</v>
      </c>
      <c r="G244" s="2235">
        <f>(G256+((G232-G256)*0.35))</f>
        <v>2375000000</v>
      </c>
      <c r="H244" s="1852">
        <f t="shared" ref="H244:N251" si="21">($F244*(H$243-G$243))+G244</f>
        <v>2375000000</v>
      </c>
      <c r="I244" s="1852">
        <f t="shared" si="21"/>
        <v>2375000000</v>
      </c>
      <c r="J244" s="1852">
        <f t="shared" si="21"/>
        <v>2375000000</v>
      </c>
      <c r="K244" s="1852">
        <f t="shared" si="21"/>
        <v>2375000000</v>
      </c>
      <c r="L244" s="1852">
        <f t="shared" si="21"/>
        <v>2375000000</v>
      </c>
      <c r="M244" s="1852">
        <f t="shared" si="21"/>
        <v>2375000000</v>
      </c>
      <c r="N244" s="1852">
        <f t="shared" si="21"/>
        <v>2375000000</v>
      </c>
      <c r="O244" s="2235">
        <f>(O256+((O232-O256)*0.35))</f>
        <v>2375000000</v>
      </c>
      <c r="P244" s="1377" t="s">
        <v>133</v>
      </c>
    </row>
    <row r="245" spans="2:16" ht="15.75" x14ac:dyDescent="0.25">
      <c r="B245" s="475"/>
      <c r="C245" s="107" t="s">
        <v>1503</v>
      </c>
      <c r="D245" s="107"/>
      <c r="E245" s="578" t="str">
        <f>Preferences.moneyunits&amp;"/odt. Millions"</f>
        <v>N/odt. Millions</v>
      </c>
      <c r="F245" s="1921">
        <f t="shared" si="20"/>
        <v>0</v>
      </c>
      <c r="G245" s="954">
        <f t="shared" ref="G245:G248" si="22">(G257+((G233-G257)*0.35))</f>
        <v>4750000000</v>
      </c>
      <c r="H245" s="1849">
        <f t="shared" si="21"/>
        <v>4750000000</v>
      </c>
      <c r="I245" s="1849">
        <f t="shared" si="21"/>
        <v>4750000000</v>
      </c>
      <c r="J245" s="1849">
        <f t="shared" si="21"/>
        <v>4750000000</v>
      </c>
      <c r="K245" s="1849">
        <f t="shared" si="21"/>
        <v>4750000000</v>
      </c>
      <c r="L245" s="1849">
        <f t="shared" si="21"/>
        <v>4750000000</v>
      </c>
      <c r="M245" s="1849">
        <f t="shared" si="21"/>
        <v>4750000000</v>
      </c>
      <c r="N245" s="1849">
        <f t="shared" si="21"/>
        <v>4750000000</v>
      </c>
      <c r="O245" s="954">
        <f t="shared" ref="O245:O251" si="23">(O257+((O233-O257)*0.35))</f>
        <v>4750000000</v>
      </c>
      <c r="P245" s="1377"/>
    </row>
    <row r="246" spans="2:16" ht="15.75" x14ac:dyDescent="0.25">
      <c r="B246" s="475"/>
      <c r="C246" s="107" t="s">
        <v>1741</v>
      </c>
      <c r="D246" s="107"/>
      <c r="E246" s="578" t="str">
        <f>Preferences.moneyunits&amp;"/odt. Millions"</f>
        <v>N/odt. Millions</v>
      </c>
      <c r="F246" s="1921">
        <f t="shared" si="20"/>
        <v>0</v>
      </c>
      <c r="G246" s="954">
        <f t="shared" si="22"/>
        <v>5675000000</v>
      </c>
      <c r="H246" s="1849">
        <f t="shared" si="21"/>
        <v>5675000000</v>
      </c>
      <c r="I246" s="1849">
        <f t="shared" si="21"/>
        <v>5675000000</v>
      </c>
      <c r="J246" s="1849">
        <f t="shared" si="21"/>
        <v>5675000000</v>
      </c>
      <c r="K246" s="1849">
        <f t="shared" si="21"/>
        <v>5675000000</v>
      </c>
      <c r="L246" s="1849">
        <f t="shared" si="21"/>
        <v>5675000000</v>
      </c>
      <c r="M246" s="1849">
        <f t="shared" si="21"/>
        <v>5675000000</v>
      </c>
      <c r="N246" s="1849">
        <f t="shared" si="21"/>
        <v>5675000000</v>
      </c>
      <c r="O246" s="954">
        <f t="shared" si="23"/>
        <v>5675000000</v>
      </c>
      <c r="P246" s="1377"/>
    </row>
    <row r="247" spans="2:16" ht="15.75" x14ac:dyDescent="0.25">
      <c r="B247" s="475"/>
      <c r="C247" s="189" t="s">
        <v>1742</v>
      </c>
      <c r="D247" s="189"/>
      <c r="E247" s="1509" t="str">
        <f>Preferences.moneyunits&amp;"/odt. Millions"</f>
        <v>N/odt. Millions</v>
      </c>
      <c r="F247" s="1925">
        <f t="shared" si="20"/>
        <v>0</v>
      </c>
      <c r="G247" s="955">
        <f t="shared" si="22"/>
        <v>1375000000</v>
      </c>
      <c r="H247" s="1850">
        <f t="shared" si="21"/>
        <v>1375000000</v>
      </c>
      <c r="I247" s="1850">
        <f t="shared" si="21"/>
        <v>1375000000</v>
      </c>
      <c r="J247" s="1850">
        <f t="shared" si="21"/>
        <v>1375000000</v>
      </c>
      <c r="K247" s="1850">
        <f t="shared" si="21"/>
        <v>1375000000</v>
      </c>
      <c r="L247" s="1850">
        <f t="shared" si="21"/>
        <v>1375000000</v>
      </c>
      <c r="M247" s="1850">
        <f t="shared" si="21"/>
        <v>1375000000</v>
      </c>
      <c r="N247" s="1850">
        <f t="shared" si="21"/>
        <v>1375000000</v>
      </c>
      <c r="O247" s="955">
        <f t="shared" si="23"/>
        <v>1375000000</v>
      </c>
      <c r="P247" s="1377"/>
    </row>
    <row r="248" spans="2:16" ht="15.75" x14ac:dyDescent="0.25">
      <c r="B248" s="475"/>
      <c r="C248" s="107" t="s">
        <v>1507</v>
      </c>
      <c r="D248" s="107"/>
      <c r="E248" s="578" t="str">
        <f>Preferences.moneyunits&amp;"/landfill site"</f>
        <v>N/landfill site</v>
      </c>
      <c r="F248" s="1923">
        <f t="shared" si="20"/>
        <v>0</v>
      </c>
      <c r="G248" s="2235">
        <f t="shared" si="22"/>
        <v>1962500000</v>
      </c>
      <c r="H248" s="1852">
        <f t="shared" si="21"/>
        <v>1962500000</v>
      </c>
      <c r="I248" s="1852">
        <f t="shared" si="21"/>
        <v>1962500000</v>
      </c>
      <c r="J248" s="1852">
        <f t="shared" si="21"/>
        <v>1962500000</v>
      </c>
      <c r="K248" s="1852">
        <f t="shared" si="21"/>
        <v>1962500000</v>
      </c>
      <c r="L248" s="1852">
        <f t="shared" si="21"/>
        <v>1962500000</v>
      </c>
      <c r="M248" s="1852">
        <f t="shared" si="21"/>
        <v>1962500000</v>
      </c>
      <c r="N248" s="1852">
        <f t="shared" si="21"/>
        <v>1962500000</v>
      </c>
      <c r="O248" s="2235">
        <f t="shared" si="23"/>
        <v>1962500000</v>
      </c>
      <c r="P248" s="1377"/>
    </row>
    <row r="249" spans="2:16" ht="16.5" customHeight="1" x14ac:dyDescent="0.2">
      <c r="B249" s="1419"/>
      <c r="C249" s="107" t="s">
        <v>1510</v>
      </c>
      <c r="D249" s="1415"/>
      <c r="E249" s="578" t="str">
        <f>Preferences.moneyunits&amp;"/landfill site"</f>
        <v>N/landfill site</v>
      </c>
      <c r="F249" s="1921">
        <f t="shared" si="20"/>
        <v>0</v>
      </c>
      <c r="G249" s="954">
        <f t="shared" ref="G249:G251" si="24">(G261+((G237-G261)*0.35))</f>
        <v>291582.47397757962</v>
      </c>
      <c r="H249" s="1849">
        <f t="shared" si="21"/>
        <v>291582.47397757962</v>
      </c>
      <c r="I249" s="1849">
        <f t="shared" si="21"/>
        <v>291582.47397757962</v>
      </c>
      <c r="J249" s="1849">
        <f t="shared" si="21"/>
        <v>291582.47397757962</v>
      </c>
      <c r="K249" s="1849">
        <f t="shared" si="21"/>
        <v>291582.47397757962</v>
      </c>
      <c r="L249" s="1849">
        <f t="shared" si="21"/>
        <v>291582.47397757962</v>
      </c>
      <c r="M249" s="1849">
        <f t="shared" si="21"/>
        <v>291582.47397757962</v>
      </c>
      <c r="N249" s="1849">
        <f t="shared" si="21"/>
        <v>291582.47397757962</v>
      </c>
      <c r="O249" s="954">
        <f t="shared" si="23"/>
        <v>291582.47397757962</v>
      </c>
      <c r="P249" s="1377"/>
    </row>
    <row r="250" spans="2:16" ht="15.75" customHeight="1" x14ac:dyDescent="0.2">
      <c r="B250" s="1419"/>
      <c r="C250" s="107" t="s">
        <v>1511</v>
      </c>
      <c r="D250" s="1415"/>
      <c r="E250" s="578" t="str">
        <f>Preferences.moneyunits&amp;"/landfill site"</f>
        <v>N/landfill site</v>
      </c>
      <c r="F250" s="1925">
        <f t="shared" si="20"/>
        <v>0</v>
      </c>
      <c r="G250" s="955">
        <f t="shared" si="24"/>
        <v>164015.14161238854</v>
      </c>
      <c r="H250" s="1850">
        <f t="shared" si="21"/>
        <v>164015.14161238854</v>
      </c>
      <c r="I250" s="1850">
        <f t="shared" si="21"/>
        <v>164015.14161238854</v>
      </c>
      <c r="J250" s="1850">
        <f t="shared" si="21"/>
        <v>164015.14161238854</v>
      </c>
      <c r="K250" s="1850">
        <f t="shared" si="21"/>
        <v>164015.14161238854</v>
      </c>
      <c r="L250" s="1850">
        <f t="shared" si="21"/>
        <v>164015.14161238854</v>
      </c>
      <c r="M250" s="1850">
        <f t="shared" si="21"/>
        <v>164015.14161238854</v>
      </c>
      <c r="N250" s="1850">
        <f t="shared" si="21"/>
        <v>164015.14161238854</v>
      </c>
      <c r="O250" s="955">
        <f t="shared" si="23"/>
        <v>164015.14161238854</v>
      </c>
      <c r="P250" s="1377"/>
    </row>
    <row r="251" spans="2:16" ht="15.75" customHeight="1" x14ac:dyDescent="0.2">
      <c r="B251" s="1419"/>
      <c r="C251" s="1543" t="s">
        <v>1513</v>
      </c>
      <c r="D251" s="1926"/>
      <c r="E251" s="1580" t="str">
        <f>Preferences.moneyunits&amp;"/sewage works"</f>
        <v>N/sewage works</v>
      </c>
      <c r="F251" s="1927">
        <f t="shared" si="20"/>
        <v>0</v>
      </c>
      <c r="G251" s="2714">
        <f t="shared" si="24"/>
        <v>87500</v>
      </c>
      <c r="H251" s="1929">
        <f t="shared" si="21"/>
        <v>87500</v>
      </c>
      <c r="I251" s="1929">
        <f t="shared" si="21"/>
        <v>87500</v>
      </c>
      <c r="J251" s="1929">
        <f t="shared" si="21"/>
        <v>87500</v>
      </c>
      <c r="K251" s="1929">
        <f t="shared" si="21"/>
        <v>87500</v>
      </c>
      <c r="L251" s="1929">
        <f t="shared" si="21"/>
        <v>87500</v>
      </c>
      <c r="M251" s="1929">
        <f t="shared" si="21"/>
        <v>87500</v>
      </c>
      <c r="N251" s="1929">
        <f t="shared" si="21"/>
        <v>87500</v>
      </c>
      <c r="O251" s="2714">
        <f t="shared" si="23"/>
        <v>87500</v>
      </c>
      <c r="P251" s="1377"/>
    </row>
    <row r="252" spans="2:16" x14ac:dyDescent="0.2">
      <c r="B252" s="1419"/>
      <c r="C252" s="1416"/>
      <c r="D252" s="177"/>
      <c r="E252" s="1377"/>
      <c r="F252" s="1416"/>
      <c r="G252" s="1416"/>
      <c r="H252" s="1416"/>
      <c r="I252" s="1416"/>
      <c r="J252" s="1416"/>
      <c r="K252" s="1416"/>
      <c r="L252" s="1416"/>
      <c r="M252" s="1416"/>
      <c r="N252" s="1416"/>
      <c r="O252" s="1416"/>
      <c r="P252" s="1377"/>
    </row>
    <row r="253" spans="2:16" s="1615" customFormat="1" x14ac:dyDescent="0.2">
      <c r="B253" s="1419"/>
      <c r="C253" s="1417" t="str">
        <f>"Low estimate capital costs"</f>
        <v>Low estimate capital costs</v>
      </c>
      <c r="D253" s="177"/>
      <c r="E253" s="1377"/>
      <c r="F253" s="1416"/>
      <c r="G253" s="1913"/>
      <c r="H253" s="1913"/>
      <c r="I253" s="1913"/>
      <c r="J253" s="1913"/>
      <c r="K253" s="1417"/>
      <c r="L253" s="1416"/>
      <c r="M253" s="1416"/>
      <c r="N253" s="1416"/>
      <c r="O253" s="1416"/>
      <c r="P253" s="1416"/>
    </row>
    <row r="254" spans="2:16" s="1772" customFormat="1" ht="6" customHeight="1" x14ac:dyDescent="0.2">
      <c r="B254" s="1419"/>
      <c r="C254" s="1416"/>
      <c r="D254" s="177"/>
      <c r="E254" s="1377"/>
      <c r="F254" s="1416"/>
      <c r="G254" s="1416"/>
      <c r="H254" s="1416"/>
      <c r="I254" s="1416"/>
      <c r="J254" s="1416"/>
      <c r="K254" s="1416"/>
      <c r="L254" s="1416"/>
      <c r="M254" s="1416"/>
      <c r="N254" s="1416"/>
      <c r="O254" s="1416"/>
      <c r="P254" s="1416"/>
    </row>
    <row r="255" spans="2:16" s="1615" customFormat="1" x14ac:dyDescent="0.2">
      <c r="B255" s="477"/>
      <c r="C255" s="1905" t="s">
        <v>65</v>
      </c>
      <c r="D255" s="1905"/>
      <c r="E255" s="1904" t="s">
        <v>574</v>
      </c>
      <c r="F255" s="1567" t="s">
        <v>1321</v>
      </c>
      <c r="G255" s="1845">
        <v>2010</v>
      </c>
      <c r="H255" s="1845">
        <v>2015</v>
      </c>
      <c r="I255" s="1845">
        <v>2020</v>
      </c>
      <c r="J255" s="1845">
        <v>2025</v>
      </c>
      <c r="K255" s="1845">
        <v>2030</v>
      </c>
      <c r="L255" s="1845">
        <v>2035</v>
      </c>
      <c r="M255" s="1845">
        <v>2040</v>
      </c>
      <c r="N255" s="1845">
        <v>2045</v>
      </c>
      <c r="O255" s="1845">
        <v>2050</v>
      </c>
      <c r="P255" s="1416"/>
    </row>
    <row r="256" spans="2:16" s="1615" customFormat="1" x14ac:dyDescent="0.2">
      <c r="B256" s="477"/>
      <c r="C256" s="1519" t="s">
        <v>1740</v>
      </c>
      <c r="D256" s="1519"/>
      <c r="E256" s="1897" t="str">
        <f>Preferences.moneyunits&amp;"/odt. Millions"</f>
        <v>N/odt. Millions</v>
      </c>
      <c r="F256" s="1923">
        <f t="shared" ref="F256:F263" si="25">(O256-G256)/(O$255-G$255)</f>
        <v>0</v>
      </c>
      <c r="G256" s="2235">
        <f>(250*6*NAIRA2010_)*1000000</f>
        <v>1500000000</v>
      </c>
      <c r="H256" s="1852">
        <f t="shared" ref="H256:N263" si="26">($F256*(H$243-G$243))+G256</f>
        <v>1500000000</v>
      </c>
      <c r="I256" s="1852">
        <f t="shared" si="26"/>
        <v>1500000000</v>
      </c>
      <c r="J256" s="1852">
        <f t="shared" si="26"/>
        <v>1500000000</v>
      </c>
      <c r="K256" s="1852">
        <f t="shared" si="26"/>
        <v>1500000000</v>
      </c>
      <c r="L256" s="1852">
        <f t="shared" si="26"/>
        <v>1500000000</v>
      </c>
      <c r="M256" s="1852">
        <f t="shared" si="26"/>
        <v>1500000000</v>
      </c>
      <c r="N256" s="1852">
        <f t="shared" si="26"/>
        <v>1500000000</v>
      </c>
      <c r="O256" s="2235">
        <f>(250*6*NAIRA2010_)*1000000</f>
        <v>1500000000</v>
      </c>
      <c r="P256" s="1416"/>
    </row>
    <row r="257" spans="2:16" s="1615" customFormat="1" ht="15.75" x14ac:dyDescent="0.25">
      <c r="B257" s="475"/>
      <c r="C257" s="107" t="s">
        <v>1503</v>
      </c>
      <c r="D257" s="107"/>
      <c r="E257" s="578" t="str">
        <f>Preferences.moneyunits&amp;"/odt. Millions"</f>
        <v>N/odt. Millions</v>
      </c>
      <c r="F257" s="1921">
        <f t="shared" si="25"/>
        <v>0</v>
      </c>
      <c r="G257" s="954">
        <f>(250*19*NAIRA2010_)*1000000</f>
        <v>4750000000</v>
      </c>
      <c r="H257" s="1849">
        <f t="shared" si="26"/>
        <v>4750000000</v>
      </c>
      <c r="I257" s="1849">
        <f t="shared" si="26"/>
        <v>4750000000</v>
      </c>
      <c r="J257" s="1849">
        <f t="shared" si="26"/>
        <v>4750000000</v>
      </c>
      <c r="K257" s="1849">
        <f t="shared" si="26"/>
        <v>4750000000</v>
      </c>
      <c r="L257" s="1849">
        <f t="shared" si="26"/>
        <v>4750000000</v>
      </c>
      <c r="M257" s="1849">
        <f t="shared" si="26"/>
        <v>4750000000</v>
      </c>
      <c r="N257" s="1849">
        <f t="shared" si="26"/>
        <v>4750000000</v>
      </c>
      <c r="O257" s="954">
        <f>(250*19*NAIRA2010_)*1000000</f>
        <v>4750000000</v>
      </c>
      <c r="P257" s="1416"/>
    </row>
    <row r="258" spans="2:16" s="1615" customFormat="1" ht="15.75" x14ac:dyDescent="0.25">
      <c r="B258" s="475"/>
      <c r="C258" s="107" t="s">
        <v>1741</v>
      </c>
      <c r="D258" s="107"/>
      <c r="E258" s="578" t="str">
        <f>Preferences.moneyunits&amp;"/odt. Millions"</f>
        <v>N/odt. Millions</v>
      </c>
      <c r="F258" s="1921">
        <f t="shared" si="25"/>
        <v>0</v>
      </c>
      <c r="G258" s="954">
        <f>(250*15*NAIRA2010_)*1000000</f>
        <v>3750000000</v>
      </c>
      <c r="H258" s="1849">
        <f t="shared" si="26"/>
        <v>3750000000</v>
      </c>
      <c r="I258" s="1849">
        <f t="shared" si="26"/>
        <v>3750000000</v>
      </c>
      <c r="J258" s="1849">
        <f t="shared" si="26"/>
        <v>3750000000</v>
      </c>
      <c r="K258" s="1849">
        <f t="shared" si="26"/>
        <v>3750000000</v>
      </c>
      <c r="L258" s="1849">
        <f t="shared" si="26"/>
        <v>3750000000</v>
      </c>
      <c r="M258" s="1849">
        <f t="shared" si="26"/>
        <v>3750000000</v>
      </c>
      <c r="N258" s="1849">
        <f t="shared" si="26"/>
        <v>3750000000</v>
      </c>
      <c r="O258" s="954">
        <f>(250*15*NAIRA2010_)*1000000</f>
        <v>3750000000</v>
      </c>
      <c r="P258" s="1416"/>
    </row>
    <row r="259" spans="2:16" s="1615" customFormat="1" ht="15.75" x14ac:dyDescent="0.25">
      <c r="B259" s="475"/>
      <c r="C259" s="189" t="s">
        <v>1742</v>
      </c>
      <c r="D259" s="189"/>
      <c r="E259" s="1509" t="str">
        <f>Preferences.moneyunits&amp;"/odt. Millions"</f>
        <v>N/odt. Millions</v>
      </c>
      <c r="F259" s="1925">
        <f t="shared" si="25"/>
        <v>0</v>
      </c>
      <c r="G259" s="955">
        <f>(250*2*NAIRA2010_)*1000000</f>
        <v>500000000</v>
      </c>
      <c r="H259" s="1850">
        <f t="shared" si="26"/>
        <v>500000000</v>
      </c>
      <c r="I259" s="1850">
        <f t="shared" si="26"/>
        <v>500000000</v>
      </c>
      <c r="J259" s="1850">
        <f t="shared" si="26"/>
        <v>500000000</v>
      </c>
      <c r="K259" s="1850">
        <f t="shared" si="26"/>
        <v>500000000</v>
      </c>
      <c r="L259" s="1850">
        <f t="shared" si="26"/>
        <v>500000000</v>
      </c>
      <c r="M259" s="1850">
        <f t="shared" si="26"/>
        <v>500000000</v>
      </c>
      <c r="N259" s="1850">
        <f t="shared" si="26"/>
        <v>500000000</v>
      </c>
      <c r="O259" s="955">
        <f>(250*2*NAIRA2010_)*1000000</f>
        <v>500000000</v>
      </c>
      <c r="P259" s="1416"/>
    </row>
    <row r="260" spans="2:16" s="1615" customFormat="1" ht="15.75" x14ac:dyDescent="0.25">
      <c r="B260" s="475"/>
      <c r="C260" s="1519" t="s">
        <v>1507</v>
      </c>
      <c r="D260" s="1519"/>
      <c r="E260" s="1897" t="str">
        <f>Preferences.moneyunits&amp;"/landfill site"</f>
        <v>N/landfill site</v>
      </c>
      <c r="F260" s="1923">
        <f t="shared" si="25"/>
        <v>0</v>
      </c>
      <c r="G260" s="1847">
        <f>(250*23*NAIRA2010_*plantsize.VI.b.Landfill_site)*1000000</f>
        <v>1437500000</v>
      </c>
      <c r="H260" s="1852">
        <f t="shared" si="26"/>
        <v>1437500000</v>
      </c>
      <c r="I260" s="1852">
        <f t="shared" si="26"/>
        <v>1437500000</v>
      </c>
      <c r="J260" s="1852">
        <f t="shared" si="26"/>
        <v>1437500000</v>
      </c>
      <c r="K260" s="1852">
        <f t="shared" si="26"/>
        <v>1437500000</v>
      </c>
      <c r="L260" s="1852">
        <f t="shared" si="26"/>
        <v>1437500000</v>
      </c>
      <c r="M260" s="1852">
        <f t="shared" si="26"/>
        <v>1437500000</v>
      </c>
      <c r="N260" s="1852">
        <f t="shared" si="26"/>
        <v>1437500000</v>
      </c>
      <c r="O260" s="1847">
        <f>(250*23*NAIRA2010_*plantsize.VI.b.Landfill_site)*1000000</f>
        <v>1437500000</v>
      </c>
      <c r="P260" s="1416"/>
    </row>
    <row r="261" spans="2:16" s="1615" customFormat="1" ht="15.75" x14ac:dyDescent="0.25">
      <c r="B261" s="475"/>
      <c r="C261" s="107" t="s">
        <v>1510</v>
      </c>
      <c r="D261" s="1415"/>
      <c r="E261" s="578" t="str">
        <f>Preferences.moneyunits&amp;"/landfill site"</f>
        <v>N/landfill site</v>
      </c>
      <c r="F261" s="1921">
        <f t="shared" si="25"/>
        <v>0</v>
      </c>
      <c r="G261" s="188">
        <f>(250*0*NAIRA2010_*plantsize.VI.b.Capturing_landfill_gas)*1000000</f>
        <v>0</v>
      </c>
      <c r="H261" s="1849">
        <f t="shared" si="26"/>
        <v>0</v>
      </c>
      <c r="I261" s="1849">
        <f t="shared" si="26"/>
        <v>0</v>
      </c>
      <c r="J261" s="1849">
        <f t="shared" si="26"/>
        <v>0</v>
      </c>
      <c r="K261" s="1849">
        <f t="shared" si="26"/>
        <v>0</v>
      </c>
      <c r="L261" s="1849">
        <f t="shared" si="26"/>
        <v>0</v>
      </c>
      <c r="M261" s="1849">
        <f t="shared" si="26"/>
        <v>0</v>
      </c>
      <c r="N261" s="1849">
        <f t="shared" si="26"/>
        <v>0</v>
      </c>
      <c r="O261" s="188">
        <f>(250*0*NAIRA2010_*plantsize.VI.b.Capturing_landfill_gas)*1000000</f>
        <v>0</v>
      </c>
      <c r="P261" s="1416"/>
    </row>
    <row r="262" spans="2:16" s="1772" customFormat="1" ht="15.75" customHeight="1" x14ac:dyDescent="0.25">
      <c r="B262" s="475"/>
      <c r="C262" s="189" t="s">
        <v>1511</v>
      </c>
      <c r="D262" s="200"/>
      <c r="E262" s="1509" t="str">
        <f>Preferences.moneyunits&amp;"/landfill site"</f>
        <v>N/landfill site</v>
      </c>
      <c r="F262" s="1925">
        <f t="shared" si="25"/>
        <v>0</v>
      </c>
      <c r="G262" s="191">
        <f>(250*0*NAIRA2010_*plantsize.VI.b.Recovering_landfill_gas)*1000000</f>
        <v>0</v>
      </c>
      <c r="H262" s="1850">
        <f t="shared" si="26"/>
        <v>0</v>
      </c>
      <c r="I262" s="1850">
        <f t="shared" si="26"/>
        <v>0</v>
      </c>
      <c r="J262" s="1850">
        <f t="shared" si="26"/>
        <v>0</v>
      </c>
      <c r="K262" s="1850">
        <f t="shared" si="26"/>
        <v>0</v>
      </c>
      <c r="L262" s="1850">
        <f t="shared" si="26"/>
        <v>0</v>
      </c>
      <c r="M262" s="1850">
        <f t="shared" si="26"/>
        <v>0</v>
      </c>
      <c r="N262" s="1850">
        <f t="shared" si="26"/>
        <v>0</v>
      </c>
      <c r="O262" s="191">
        <f>(250*0*NAIRA2010_*plantsize.VI.b.Recovering_landfill_gas)*1000000</f>
        <v>0</v>
      </c>
      <c r="P262" s="1416"/>
    </row>
    <row r="263" spans="2:16" s="1615" customFormat="1" ht="15.75" x14ac:dyDescent="0.25">
      <c r="B263" s="475"/>
      <c r="C263" s="1543" t="s">
        <v>1513</v>
      </c>
      <c r="D263" s="1926"/>
      <c r="E263" s="1580" t="str">
        <f>Preferences.moneyunits&amp;"/sewage works"</f>
        <v>N/sewage works</v>
      </c>
      <c r="F263" s="1927">
        <f t="shared" si="25"/>
        <v>0</v>
      </c>
      <c r="G263" s="1928">
        <f>(0*MGBP*plantsize.VI.b.Recovering_sewage_sludge)</f>
        <v>0</v>
      </c>
      <c r="H263" s="1929">
        <f t="shared" si="26"/>
        <v>0</v>
      </c>
      <c r="I263" s="1929">
        <f t="shared" si="26"/>
        <v>0</v>
      </c>
      <c r="J263" s="1929">
        <f t="shared" si="26"/>
        <v>0</v>
      </c>
      <c r="K263" s="1929">
        <f t="shared" si="26"/>
        <v>0</v>
      </c>
      <c r="L263" s="1929">
        <f t="shared" si="26"/>
        <v>0</v>
      </c>
      <c r="M263" s="1929">
        <f t="shared" si="26"/>
        <v>0</v>
      </c>
      <c r="N263" s="1929">
        <f t="shared" si="26"/>
        <v>0</v>
      </c>
      <c r="O263" s="1928">
        <f>(0*MGBP*plantsize.VI.b.Recovering_sewage_sludge)</f>
        <v>0</v>
      </c>
      <c r="P263" s="1416"/>
    </row>
    <row r="264" spans="2:16" s="1615" customFormat="1" ht="15.75" x14ac:dyDescent="0.25">
      <c r="B264" s="475"/>
      <c r="C264" s="237"/>
      <c r="D264" s="1415"/>
      <c r="E264" s="1416"/>
      <c r="F264" s="1415"/>
      <c r="G264" s="954"/>
      <c r="H264" s="954"/>
      <c r="I264" s="1849"/>
      <c r="J264" s="1849"/>
      <c r="K264" s="1849"/>
      <c r="L264" s="1849"/>
      <c r="M264" s="1849"/>
      <c r="N264" s="1849"/>
      <c r="O264" s="1849"/>
      <c r="P264" s="1416"/>
    </row>
    <row r="265" spans="2:16" s="1615" customFormat="1" ht="15.75" x14ac:dyDescent="0.25">
      <c r="B265" s="475"/>
      <c r="C265" s="1417" t="str">
        <f>"High estimate operating costs"</f>
        <v>High estimate operating costs</v>
      </c>
      <c r="D265" s="177"/>
      <c r="E265" s="1416"/>
      <c r="F265" s="1416"/>
      <c r="G265" s="1919"/>
      <c r="H265" s="1913"/>
      <c r="I265" s="1913"/>
      <c r="J265" s="1913"/>
      <c r="K265" s="1417"/>
      <c r="L265" s="1416"/>
      <c r="M265" s="1416"/>
      <c r="N265" s="1416"/>
      <c r="O265" s="1416"/>
      <c r="P265" s="1416"/>
    </row>
    <row r="266" spans="2:16" s="1615" customFormat="1" ht="3.75" customHeight="1" x14ac:dyDescent="0.25">
      <c r="B266" s="475"/>
      <c r="C266" s="1416"/>
      <c r="D266" s="177"/>
      <c r="E266" s="1377"/>
      <c r="F266" s="1416"/>
      <c r="G266" s="1416"/>
      <c r="H266" s="1416"/>
      <c r="I266" s="1416"/>
      <c r="J266" s="1416"/>
      <c r="K266" s="1416"/>
      <c r="L266" s="1416"/>
      <c r="M266" s="1416"/>
      <c r="N266" s="1416"/>
      <c r="O266" s="1416"/>
      <c r="P266" s="1416"/>
    </row>
    <row r="267" spans="2:16" s="1615" customFormat="1" ht="15.75" x14ac:dyDescent="0.25">
      <c r="B267" s="475"/>
      <c r="C267" s="1905" t="s">
        <v>65</v>
      </c>
      <c r="D267" s="1905"/>
      <c r="E267" s="1904" t="s">
        <v>574</v>
      </c>
      <c r="F267" s="1567" t="s">
        <v>1321</v>
      </c>
      <c r="G267" s="1845">
        <v>2010</v>
      </c>
      <c r="H267" s="1845">
        <v>2015</v>
      </c>
      <c r="I267" s="1845">
        <v>2020</v>
      </c>
      <c r="J267" s="1845">
        <v>2025</v>
      </c>
      <c r="K267" s="1845">
        <v>2030</v>
      </c>
      <c r="L267" s="1845">
        <v>2035</v>
      </c>
      <c r="M267" s="1845">
        <v>2040</v>
      </c>
      <c r="N267" s="1845">
        <v>2045</v>
      </c>
      <c r="O267" s="1845">
        <v>2050</v>
      </c>
      <c r="P267" s="1416"/>
    </row>
    <row r="268" spans="2:16" s="1615" customFormat="1" ht="15.75" x14ac:dyDescent="0.25">
      <c r="B268" s="475"/>
      <c r="C268" s="1519" t="s">
        <v>1740</v>
      </c>
      <c r="D268" s="1519"/>
      <c r="E268" s="1897" t="str">
        <f>Preferences.moneyunits&amp;"/odt. Millions"</f>
        <v>N/odt. Millions</v>
      </c>
      <c r="F268" s="1923">
        <f t="shared" ref="F268:F275" si="27">(O268-G268)/(O$267-G$267)</f>
        <v>0</v>
      </c>
      <c r="G268" s="2235">
        <f>(250*39*NAIRA2010_)*1000000</f>
        <v>9750000000</v>
      </c>
      <c r="H268" s="1852">
        <f t="shared" ref="H268:N275" si="28">($F268*(H$267-G$267))+G268</f>
        <v>9750000000</v>
      </c>
      <c r="I268" s="1852">
        <f t="shared" si="28"/>
        <v>9750000000</v>
      </c>
      <c r="J268" s="1852">
        <f t="shared" si="28"/>
        <v>9750000000</v>
      </c>
      <c r="K268" s="1852">
        <f t="shared" si="28"/>
        <v>9750000000</v>
      </c>
      <c r="L268" s="1852">
        <f t="shared" si="28"/>
        <v>9750000000</v>
      </c>
      <c r="M268" s="1852">
        <f t="shared" si="28"/>
        <v>9750000000</v>
      </c>
      <c r="N268" s="1852">
        <f t="shared" si="28"/>
        <v>9750000000</v>
      </c>
      <c r="O268" s="2235">
        <f>(250*39*NAIRA2010_)*1000000</f>
        <v>9750000000</v>
      </c>
      <c r="P268" s="1416"/>
    </row>
    <row r="269" spans="2:16" s="1615" customFormat="1" ht="15.75" customHeight="1" x14ac:dyDescent="0.25">
      <c r="B269" s="475"/>
      <c r="C269" s="107" t="s">
        <v>1503</v>
      </c>
      <c r="D269" s="107"/>
      <c r="E269" s="578" t="str">
        <f>Preferences.moneyunits&amp;"/odt. Millions"</f>
        <v>N/odt. Millions</v>
      </c>
      <c r="F269" s="1921">
        <f t="shared" si="27"/>
        <v>0</v>
      </c>
      <c r="G269" s="954">
        <f>(250*19*NAIRA2010_)*1000000</f>
        <v>4750000000</v>
      </c>
      <c r="H269" s="1849">
        <f t="shared" si="28"/>
        <v>4750000000</v>
      </c>
      <c r="I269" s="1849">
        <f t="shared" si="28"/>
        <v>4750000000</v>
      </c>
      <c r="J269" s="1849">
        <f t="shared" si="28"/>
        <v>4750000000</v>
      </c>
      <c r="K269" s="1849">
        <f t="shared" si="28"/>
        <v>4750000000</v>
      </c>
      <c r="L269" s="1849">
        <f t="shared" si="28"/>
        <v>4750000000</v>
      </c>
      <c r="M269" s="1849">
        <f t="shared" si="28"/>
        <v>4750000000</v>
      </c>
      <c r="N269" s="1849">
        <f t="shared" si="28"/>
        <v>4750000000</v>
      </c>
      <c r="O269" s="954">
        <f>(250*19*NAIRA2010_)*1000000</f>
        <v>4750000000</v>
      </c>
      <c r="P269" s="1416"/>
    </row>
    <row r="270" spans="2:16" s="1772" customFormat="1" ht="16.5" customHeight="1" x14ac:dyDescent="0.25">
      <c r="B270" s="475"/>
      <c r="C270" s="107" t="s">
        <v>1741</v>
      </c>
      <c r="D270" s="107"/>
      <c r="E270" s="578" t="str">
        <f>Preferences.moneyunits&amp;"/odt. Millions"</f>
        <v>N/odt. Millions</v>
      </c>
      <c r="F270" s="1921">
        <f t="shared" si="27"/>
        <v>0</v>
      </c>
      <c r="G270" s="954">
        <f>(250*86*NAIRA2010_)*1000000</f>
        <v>21500000000</v>
      </c>
      <c r="H270" s="1849">
        <f t="shared" si="28"/>
        <v>21500000000</v>
      </c>
      <c r="I270" s="1849">
        <f t="shared" si="28"/>
        <v>21500000000</v>
      </c>
      <c r="J270" s="1849">
        <f t="shared" si="28"/>
        <v>21500000000</v>
      </c>
      <c r="K270" s="1849">
        <f t="shared" si="28"/>
        <v>21500000000</v>
      </c>
      <c r="L270" s="1849">
        <f t="shared" si="28"/>
        <v>21500000000</v>
      </c>
      <c r="M270" s="1849">
        <f t="shared" si="28"/>
        <v>21500000000</v>
      </c>
      <c r="N270" s="1849">
        <f t="shared" si="28"/>
        <v>21500000000</v>
      </c>
      <c r="O270" s="954">
        <f>(250*86*NAIRA2010_)*1000000</f>
        <v>21500000000</v>
      </c>
      <c r="P270" s="1377"/>
    </row>
    <row r="271" spans="2:16" s="1615" customFormat="1" ht="15.75" customHeight="1" x14ac:dyDescent="0.25">
      <c r="B271" s="475"/>
      <c r="C271" s="189" t="s">
        <v>1742</v>
      </c>
      <c r="D271" s="189"/>
      <c r="E271" s="1509" t="str">
        <f>Preferences.moneyunits&amp;"/odt. Millions"</f>
        <v>N/odt. Millions</v>
      </c>
      <c r="F271" s="1925">
        <f t="shared" si="27"/>
        <v>0</v>
      </c>
      <c r="G271" s="955">
        <f>(250*45*NAIRA2010_)*1000000</f>
        <v>11250000000</v>
      </c>
      <c r="H271" s="1850">
        <f t="shared" si="28"/>
        <v>11250000000</v>
      </c>
      <c r="I271" s="1850">
        <f t="shared" si="28"/>
        <v>11250000000</v>
      </c>
      <c r="J271" s="1850">
        <f t="shared" si="28"/>
        <v>11250000000</v>
      </c>
      <c r="K271" s="1850">
        <f t="shared" si="28"/>
        <v>11250000000</v>
      </c>
      <c r="L271" s="1850">
        <f t="shared" si="28"/>
        <v>11250000000</v>
      </c>
      <c r="M271" s="1850">
        <f t="shared" si="28"/>
        <v>11250000000</v>
      </c>
      <c r="N271" s="1850">
        <f t="shared" si="28"/>
        <v>11250000000</v>
      </c>
      <c r="O271" s="955">
        <f>(250*45*NAIRA2010_)*1000000</f>
        <v>11250000000</v>
      </c>
      <c r="P271" s="1377"/>
    </row>
    <row r="272" spans="2:16" s="1615" customFormat="1" ht="15.75" customHeight="1" x14ac:dyDescent="0.25">
      <c r="B272" s="475"/>
      <c r="C272" s="107" t="s">
        <v>1507</v>
      </c>
      <c r="D272" s="107"/>
      <c r="E272" s="578" t="str">
        <f>Preferences.moneyunits&amp;"/landfill site"</f>
        <v>N/landfill site</v>
      </c>
      <c r="F272" s="1921">
        <f t="shared" si="27"/>
        <v>0</v>
      </c>
      <c r="G272" s="188">
        <f>(250*5*NAIRA2010_*plantsize.VI.b.Landfill_site)*1000000</f>
        <v>312500000</v>
      </c>
      <c r="H272" s="1849">
        <f t="shared" si="28"/>
        <v>312500000</v>
      </c>
      <c r="I272" s="1849">
        <f t="shared" si="28"/>
        <v>312500000</v>
      </c>
      <c r="J272" s="1849">
        <f t="shared" si="28"/>
        <v>312500000</v>
      </c>
      <c r="K272" s="1849">
        <f t="shared" si="28"/>
        <v>312500000</v>
      </c>
      <c r="L272" s="1849">
        <f t="shared" si="28"/>
        <v>312500000</v>
      </c>
      <c r="M272" s="1849">
        <f t="shared" si="28"/>
        <v>312500000</v>
      </c>
      <c r="N272" s="1849">
        <f t="shared" si="28"/>
        <v>312500000</v>
      </c>
      <c r="O272" s="188">
        <f>(250*5*NAIRA2010_*plantsize.VI.b.Landfill_site)*1000000</f>
        <v>312500000</v>
      </c>
      <c r="P272" s="1377"/>
    </row>
    <row r="273" spans="2:16" s="1615" customFormat="1" ht="15.75" customHeight="1" x14ac:dyDescent="0.2">
      <c r="B273" s="1419"/>
      <c r="C273" s="107" t="s">
        <v>1510</v>
      </c>
      <c r="D273" s="1415"/>
      <c r="E273" s="578" t="str">
        <f>Preferences.moneyunits&amp;"/landfill site"</f>
        <v>N/landfill site</v>
      </c>
      <c r="F273" s="1921">
        <f t="shared" si="27"/>
        <v>0</v>
      </c>
      <c r="G273" s="188"/>
      <c r="H273" s="1849">
        <f t="shared" si="28"/>
        <v>0</v>
      </c>
      <c r="I273" s="1849">
        <f t="shared" si="28"/>
        <v>0</v>
      </c>
      <c r="J273" s="1849">
        <f t="shared" si="28"/>
        <v>0</v>
      </c>
      <c r="K273" s="1849">
        <f t="shared" si="28"/>
        <v>0</v>
      </c>
      <c r="L273" s="1849">
        <f t="shared" si="28"/>
        <v>0</v>
      </c>
      <c r="M273" s="1849">
        <f t="shared" si="28"/>
        <v>0</v>
      </c>
      <c r="N273" s="1849">
        <f t="shared" si="28"/>
        <v>0</v>
      </c>
      <c r="O273" s="188"/>
      <c r="P273" s="1377"/>
    </row>
    <row r="274" spans="2:16" s="1615" customFormat="1" ht="15.75" customHeight="1" x14ac:dyDescent="0.2">
      <c r="B274" s="1419"/>
      <c r="C274" s="107" t="s">
        <v>1511</v>
      </c>
      <c r="D274" s="1415"/>
      <c r="E274" s="578" t="str">
        <f>Preferences.moneyunits&amp;"/landfill site"</f>
        <v>N/landfill site</v>
      </c>
      <c r="F274" s="1921">
        <f t="shared" si="27"/>
        <v>0</v>
      </c>
      <c r="G274" s="188"/>
      <c r="H274" s="1849">
        <f t="shared" si="28"/>
        <v>0</v>
      </c>
      <c r="I274" s="1849">
        <f t="shared" si="28"/>
        <v>0</v>
      </c>
      <c r="J274" s="1849">
        <f t="shared" si="28"/>
        <v>0</v>
      </c>
      <c r="K274" s="1849">
        <f t="shared" si="28"/>
        <v>0</v>
      </c>
      <c r="L274" s="1849">
        <f t="shared" si="28"/>
        <v>0</v>
      </c>
      <c r="M274" s="1849">
        <f t="shared" si="28"/>
        <v>0</v>
      </c>
      <c r="N274" s="1849">
        <f t="shared" si="28"/>
        <v>0</v>
      </c>
      <c r="O274" s="188"/>
      <c r="P274" s="1377"/>
    </row>
    <row r="275" spans="2:16" s="1615" customFormat="1" ht="15.75" customHeight="1" x14ac:dyDescent="0.2">
      <c r="B275" s="1419"/>
      <c r="C275" s="1543" t="s">
        <v>1513</v>
      </c>
      <c r="D275" s="1926"/>
      <c r="E275" s="1580" t="str">
        <f>Preferences.moneyunits&amp;"/sewage works"</f>
        <v>N/sewage works</v>
      </c>
      <c r="F275" s="1927">
        <f t="shared" si="27"/>
        <v>0</v>
      </c>
      <c r="G275" s="1928"/>
      <c r="H275" s="1929">
        <f t="shared" si="28"/>
        <v>0</v>
      </c>
      <c r="I275" s="1929">
        <f t="shared" si="28"/>
        <v>0</v>
      </c>
      <c r="J275" s="1929">
        <f t="shared" si="28"/>
        <v>0</v>
      </c>
      <c r="K275" s="1929">
        <f t="shared" si="28"/>
        <v>0</v>
      </c>
      <c r="L275" s="1929">
        <f t="shared" si="28"/>
        <v>0</v>
      </c>
      <c r="M275" s="1929">
        <f t="shared" si="28"/>
        <v>0</v>
      </c>
      <c r="N275" s="1929">
        <f t="shared" si="28"/>
        <v>0</v>
      </c>
      <c r="O275" s="1928"/>
      <c r="P275" s="1377"/>
    </row>
    <row r="276" spans="2:16" s="1615" customFormat="1" x14ac:dyDescent="0.2">
      <c r="B276" s="1419"/>
      <c r="C276" s="237"/>
      <c r="D276" s="1415"/>
      <c r="E276" s="1377"/>
      <c r="F276" s="1415"/>
      <c r="G276" s="1880"/>
      <c r="H276" s="1880"/>
      <c r="I276" s="1849"/>
      <c r="J276" s="1849"/>
      <c r="K276" s="1849"/>
      <c r="L276" s="1849"/>
      <c r="M276" s="1849"/>
      <c r="N276" s="1849"/>
      <c r="O276" s="1849"/>
      <c r="P276" s="1377"/>
    </row>
    <row r="277" spans="2:16" s="1615" customFormat="1" x14ac:dyDescent="0.2">
      <c r="B277" s="1419"/>
      <c r="C277" s="1417" t="str">
        <f>"Point estimate operating costs"</f>
        <v>Point estimate operating costs</v>
      </c>
      <c r="D277" s="177"/>
      <c r="E277" s="1377"/>
      <c r="F277" s="1416"/>
      <c r="G277" s="1913"/>
      <c r="H277" s="1913"/>
      <c r="I277" s="1913"/>
      <c r="J277" s="1913"/>
      <c r="K277" s="1417"/>
      <c r="L277" s="1416"/>
      <c r="M277" s="1416"/>
      <c r="N277" s="1416"/>
      <c r="O277" s="1416"/>
      <c r="P277" s="1377"/>
    </row>
    <row r="278" spans="2:16" s="1772" customFormat="1" ht="4.5" customHeight="1" x14ac:dyDescent="0.2">
      <c r="B278" s="1419"/>
      <c r="C278" s="1416"/>
      <c r="D278" s="177"/>
      <c r="E278" s="1377"/>
      <c r="F278" s="1416"/>
      <c r="G278" s="1416"/>
      <c r="H278" s="1416"/>
      <c r="I278" s="1416"/>
      <c r="J278" s="1416"/>
      <c r="K278" s="1416"/>
      <c r="L278" s="1416"/>
      <c r="M278" s="1416"/>
      <c r="N278" s="1416"/>
      <c r="O278" s="1416"/>
      <c r="P278" s="1377"/>
    </row>
    <row r="279" spans="2:16" s="1615" customFormat="1" x14ac:dyDescent="0.2">
      <c r="B279" s="477"/>
      <c r="C279" s="1905" t="s">
        <v>65</v>
      </c>
      <c r="D279" s="1905"/>
      <c r="E279" s="1904" t="s">
        <v>574</v>
      </c>
      <c r="F279" s="1567" t="s">
        <v>1321</v>
      </c>
      <c r="G279" s="1845">
        <v>2010</v>
      </c>
      <c r="H279" s="1845">
        <v>2015</v>
      </c>
      <c r="I279" s="1845">
        <v>2020</v>
      </c>
      <c r="J279" s="1845">
        <v>2025</v>
      </c>
      <c r="K279" s="1845">
        <v>2030</v>
      </c>
      <c r="L279" s="1845">
        <v>2035</v>
      </c>
      <c r="M279" s="1845">
        <v>2040</v>
      </c>
      <c r="N279" s="1845">
        <v>2045</v>
      </c>
      <c r="O279" s="1845">
        <v>2050</v>
      </c>
      <c r="P279" s="1377"/>
    </row>
    <row r="280" spans="2:16" s="1615" customFormat="1" x14ac:dyDescent="0.2">
      <c r="B280" s="477"/>
      <c r="C280" s="1519" t="s">
        <v>1740</v>
      </c>
      <c r="D280" s="1519"/>
      <c r="E280" s="1897" t="str">
        <f>Preferences.moneyunits&amp;"/odt. Millions"</f>
        <v>N/odt. Millions</v>
      </c>
      <c r="F280" s="1923">
        <f t="shared" ref="F280:F287" si="29">(O280-G280)/(O$279-G$279)</f>
        <v>0</v>
      </c>
      <c r="G280" s="2235">
        <f t="shared" ref="G280:O280" si="30">(G292+((G268-G292)*0.35))</f>
        <v>6662500000</v>
      </c>
      <c r="H280" s="2235">
        <f t="shared" si="30"/>
        <v>6662500000</v>
      </c>
      <c r="I280" s="2235">
        <f t="shared" si="30"/>
        <v>6662500000</v>
      </c>
      <c r="J280" s="2235">
        <f t="shared" si="30"/>
        <v>6662500000</v>
      </c>
      <c r="K280" s="2235">
        <f t="shared" si="30"/>
        <v>6662500000</v>
      </c>
      <c r="L280" s="2235">
        <f t="shared" si="30"/>
        <v>6662500000</v>
      </c>
      <c r="M280" s="2235">
        <f t="shared" si="30"/>
        <v>6662500000</v>
      </c>
      <c r="N280" s="2235">
        <f t="shared" si="30"/>
        <v>6662500000</v>
      </c>
      <c r="O280" s="2235">
        <f t="shared" si="30"/>
        <v>6662500000</v>
      </c>
      <c r="P280" s="1377"/>
    </row>
    <row r="281" spans="2:16" s="1615" customFormat="1" ht="15.75" x14ac:dyDescent="0.25">
      <c r="B281" s="475"/>
      <c r="C281" s="107" t="s">
        <v>1503</v>
      </c>
      <c r="D281" s="107"/>
      <c r="E281" s="578" t="str">
        <f>Preferences.moneyunits&amp;"/odt. Millions"</f>
        <v>N/odt. Millions</v>
      </c>
      <c r="F281" s="1921">
        <f t="shared" si="29"/>
        <v>0</v>
      </c>
      <c r="G281" s="954">
        <f t="shared" ref="G281:O281" si="31">(G293+((G269-G293)*0.35))</f>
        <v>4750000000</v>
      </c>
      <c r="H281" s="954">
        <f t="shared" si="31"/>
        <v>4750000000</v>
      </c>
      <c r="I281" s="954">
        <f t="shared" si="31"/>
        <v>4750000000</v>
      </c>
      <c r="J281" s="954">
        <f t="shared" si="31"/>
        <v>4750000000</v>
      </c>
      <c r="K281" s="954">
        <f t="shared" si="31"/>
        <v>4750000000</v>
      </c>
      <c r="L281" s="954">
        <f t="shared" si="31"/>
        <v>4750000000</v>
      </c>
      <c r="M281" s="954">
        <f t="shared" si="31"/>
        <v>4750000000</v>
      </c>
      <c r="N281" s="954">
        <f t="shared" si="31"/>
        <v>4750000000</v>
      </c>
      <c r="O281" s="954">
        <f t="shared" si="31"/>
        <v>4750000000</v>
      </c>
      <c r="P281" s="1377"/>
    </row>
    <row r="282" spans="2:16" s="1615" customFormat="1" ht="15.75" x14ac:dyDescent="0.25">
      <c r="B282" s="475"/>
      <c r="C282" s="107" t="s">
        <v>1741</v>
      </c>
      <c r="D282" s="107"/>
      <c r="E282" s="578" t="str">
        <f>Preferences.moneyunits&amp;"/odt. Millions"</f>
        <v>N/odt. Millions</v>
      </c>
      <c r="F282" s="1921">
        <f t="shared" si="29"/>
        <v>0</v>
      </c>
      <c r="G282" s="954">
        <f t="shared" ref="G282:O282" si="32">(G294+((G270-G294)*0.35))</f>
        <v>12562500000</v>
      </c>
      <c r="H282" s="954">
        <f t="shared" si="32"/>
        <v>12562500000</v>
      </c>
      <c r="I282" s="954">
        <f t="shared" si="32"/>
        <v>12562500000</v>
      </c>
      <c r="J282" s="954">
        <f t="shared" si="32"/>
        <v>12562500000</v>
      </c>
      <c r="K282" s="954">
        <f t="shared" si="32"/>
        <v>12562500000</v>
      </c>
      <c r="L282" s="954">
        <f t="shared" si="32"/>
        <v>12562500000</v>
      </c>
      <c r="M282" s="954">
        <f t="shared" si="32"/>
        <v>12562500000</v>
      </c>
      <c r="N282" s="954">
        <f t="shared" si="32"/>
        <v>12562500000</v>
      </c>
      <c r="O282" s="954">
        <f t="shared" si="32"/>
        <v>12562500000</v>
      </c>
      <c r="P282" s="1377"/>
    </row>
    <row r="283" spans="2:16" s="1615" customFormat="1" ht="15.75" x14ac:dyDescent="0.25">
      <c r="B283" s="475"/>
      <c r="C283" s="189" t="s">
        <v>1742</v>
      </c>
      <c r="D283" s="189"/>
      <c r="E283" s="1509" t="str">
        <f>Preferences.moneyunits&amp;"/odt. Millions"</f>
        <v>N/odt. Millions</v>
      </c>
      <c r="F283" s="1925">
        <f t="shared" si="29"/>
        <v>0</v>
      </c>
      <c r="G283" s="955">
        <f t="shared" ref="G283:O283" si="33">(G295+((G271-G295)*0.35))</f>
        <v>8162500000</v>
      </c>
      <c r="H283" s="955">
        <f t="shared" si="33"/>
        <v>8162500000</v>
      </c>
      <c r="I283" s="955">
        <f t="shared" si="33"/>
        <v>8162500000</v>
      </c>
      <c r="J283" s="955">
        <f t="shared" si="33"/>
        <v>8162500000</v>
      </c>
      <c r="K283" s="955">
        <f t="shared" si="33"/>
        <v>8162500000</v>
      </c>
      <c r="L283" s="955">
        <f t="shared" si="33"/>
        <v>8162500000</v>
      </c>
      <c r="M283" s="955">
        <f t="shared" si="33"/>
        <v>8162500000</v>
      </c>
      <c r="N283" s="955">
        <f t="shared" si="33"/>
        <v>8162500000</v>
      </c>
      <c r="O283" s="955">
        <f t="shared" si="33"/>
        <v>8162500000</v>
      </c>
      <c r="P283" s="1377"/>
    </row>
    <row r="284" spans="2:16" s="1615" customFormat="1" ht="15.75" x14ac:dyDescent="0.25">
      <c r="B284" s="475"/>
      <c r="C284" s="107" t="s">
        <v>1507</v>
      </c>
      <c r="D284" s="107"/>
      <c r="E284" s="578" t="str">
        <f>Preferences.moneyunits&amp;"/landfill site"</f>
        <v>N/landfill site</v>
      </c>
      <c r="F284" s="1923">
        <f t="shared" si="29"/>
        <v>0</v>
      </c>
      <c r="G284" s="2235">
        <f t="shared" ref="G284:O284" si="34">(G296+((G272-G296)*0.35))</f>
        <v>271875000</v>
      </c>
      <c r="H284" s="2235">
        <f t="shared" si="34"/>
        <v>271875000</v>
      </c>
      <c r="I284" s="2235">
        <f t="shared" si="34"/>
        <v>271875000</v>
      </c>
      <c r="J284" s="2235">
        <f t="shared" si="34"/>
        <v>271875000</v>
      </c>
      <c r="K284" s="2235">
        <f t="shared" si="34"/>
        <v>271875000</v>
      </c>
      <c r="L284" s="2235">
        <f t="shared" si="34"/>
        <v>271875000</v>
      </c>
      <c r="M284" s="2235">
        <f t="shared" si="34"/>
        <v>271875000</v>
      </c>
      <c r="N284" s="2235">
        <f t="shared" si="34"/>
        <v>271875000</v>
      </c>
      <c r="O284" s="2235">
        <f t="shared" si="34"/>
        <v>271875000</v>
      </c>
      <c r="P284" s="1377"/>
    </row>
    <row r="285" spans="2:16" ht="15.75" x14ac:dyDescent="0.25">
      <c r="B285" s="475"/>
      <c r="C285" s="107" t="s">
        <v>1510</v>
      </c>
      <c r="D285" s="1415"/>
      <c r="E285" s="578" t="str">
        <f>Preferences.moneyunits&amp;"/landfill site"</f>
        <v>N/landfill site</v>
      </c>
      <c r="F285" s="1921">
        <f t="shared" si="29"/>
        <v>0</v>
      </c>
      <c r="G285" s="954">
        <f t="shared" ref="G285:O285" si="35">(G297+((G273-G297)*0.35))</f>
        <v>0</v>
      </c>
      <c r="H285" s="954">
        <f t="shared" si="35"/>
        <v>0</v>
      </c>
      <c r="I285" s="954">
        <f t="shared" si="35"/>
        <v>0</v>
      </c>
      <c r="J285" s="954">
        <f t="shared" si="35"/>
        <v>0</v>
      </c>
      <c r="K285" s="954">
        <f t="shared" si="35"/>
        <v>0</v>
      </c>
      <c r="L285" s="954">
        <f t="shared" si="35"/>
        <v>0</v>
      </c>
      <c r="M285" s="954">
        <f t="shared" si="35"/>
        <v>0</v>
      </c>
      <c r="N285" s="954">
        <f t="shared" si="35"/>
        <v>0</v>
      </c>
      <c r="O285" s="954">
        <f t="shared" si="35"/>
        <v>0</v>
      </c>
      <c r="P285" s="1377"/>
    </row>
    <row r="286" spans="2:16" ht="15.75" x14ac:dyDescent="0.25">
      <c r="B286" s="475"/>
      <c r="C286" s="107" t="s">
        <v>1511</v>
      </c>
      <c r="D286" s="1415"/>
      <c r="E286" s="578" t="str">
        <f>Preferences.moneyunits&amp;"/landfill site"</f>
        <v>N/landfill site</v>
      </c>
      <c r="F286" s="1925">
        <f t="shared" si="29"/>
        <v>0</v>
      </c>
      <c r="G286" s="955">
        <f t="shared" ref="G286:O286" si="36">(G298+((G274-G298)*0.35))</f>
        <v>0</v>
      </c>
      <c r="H286" s="955">
        <f t="shared" si="36"/>
        <v>0</v>
      </c>
      <c r="I286" s="955">
        <f t="shared" si="36"/>
        <v>0</v>
      </c>
      <c r="J286" s="955">
        <f t="shared" si="36"/>
        <v>0</v>
      </c>
      <c r="K286" s="955">
        <f t="shared" si="36"/>
        <v>0</v>
      </c>
      <c r="L286" s="955">
        <f t="shared" si="36"/>
        <v>0</v>
      </c>
      <c r="M286" s="955">
        <f t="shared" si="36"/>
        <v>0</v>
      </c>
      <c r="N286" s="955">
        <f t="shared" si="36"/>
        <v>0</v>
      </c>
      <c r="O286" s="955">
        <f t="shared" si="36"/>
        <v>0</v>
      </c>
      <c r="P286" s="1377"/>
    </row>
    <row r="287" spans="2:16" ht="15.75" x14ac:dyDescent="0.25">
      <c r="B287" s="475"/>
      <c r="C287" s="1543" t="s">
        <v>1513</v>
      </c>
      <c r="D287" s="1926"/>
      <c r="E287" s="1580" t="str">
        <f>Preferences.moneyunits&amp;"/sewage works"</f>
        <v>N/sewage works</v>
      </c>
      <c r="F287" s="1927">
        <f t="shared" si="29"/>
        <v>0</v>
      </c>
      <c r="G287" s="2144">
        <f t="shared" ref="G287:O287" si="37">(G299+((G275-G299)*0.35))</f>
        <v>0</v>
      </c>
      <c r="H287" s="2144">
        <f t="shared" si="37"/>
        <v>0</v>
      </c>
      <c r="I287" s="2144">
        <f t="shared" si="37"/>
        <v>0</v>
      </c>
      <c r="J287" s="2144">
        <f t="shared" si="37"/>
        <v>0</v>
      </c>
      <c r="K287" s="2144">
        <f t="shared" si="37"/>
        <v>0</v>
      </c>
      <c r="L287" s="2144">
        <f t="shared" si="37"/>
        <v>0</v>
      </c>
      <c r="M287" s="2144">
        <f t="shared" si="37"/>
        <v>0</v>
      </c>
      <c r="N287" s="2144">
        <f t="shared" si="37"/>
        <v>0</v>
      </c>
      <c r="O287" s="2144">
        <f t="shared" si="37"/>
        <v>0</v>
      </c>
      <c r="P287" s="1377"/>
    </row>
    <row r="288" spans="2:16" ht="15.75" x14ac:dyDescent="0.25">
      <c r="B288" s="475"/>
      <c r="C288" s="1416"/>
      <c r="D288" s="1416"/>
      <c r="E288" s="1377"/>
      <c r="F288" s="1416"/>
      <c r="G288" s="1416"/>
      <c r="H288" s="1416"/>
      <c r="I288" s="1416"/>
      <c r="J288" s="1416"/>
      <c r="K288" s="1416"/>
      <c r="L288" s="1416"/>
      <c r="M288" s="1416"/>
      <c r="N288" s="1416"/>
      <c r="O288" s="1416"/>
      <c r="P288" s="1377"/>
    </row>
    <row r="289" spans="1:16" ht="15.75" x14ac:dyDescent="0.25">
      <c r="B289" s="475"/>
      <c r="C289" s="1417" t="str">
        <f>"Low estimate operating costs"</f>
        <v>Low estimate operating costs</v>
      </c>
      <c r="D289" s="177"/>
      <c r="E289" s="1377"/>
      <c r="F289" s="1416"/>
      <c r="G289" s="1913"/>
      <c r="H289" s="1913"/>
      <c r="I289" s="1913"/>
      <c r="J289" s="1913"/>
      <c r="K289" s="1417"/>
      <c r="L289" s="1416"/>
      <c r="M289" s="1416"/>
      <c r="N289" s="1416"/>
      <c r="O289" s="1416"/>
      <c r="P289" s="1377"/>
    </row>
    <row r="290" spans="1:16" ht="3.75" customHeight="1" collapsed="1" x14ac:dyDescent="0.25">
      <c r="B290" s="475"/>
      <c r="C290" s="1416"/>
      <c r="D290" s="177"/>
      <c r="E290" s="1377"/>
      <c r="F290" s="1416"/>
      <c r="G290" s="1416"/>
      <c r="H290" s="1416"/>
      <c r="I290" s="1416"/>
      <c r="J290" s="1416"/>
      <c r="K290" s="1416"/>
      <c r="L290" s="1416"/>
      <c r="M290" s="1416"/>
      <c r="N290" s="1416"/>
      <c r="O290" s="1416"/>
      <c r="P290" s="1377"/>
    </row>
    <row r="291" spans="1:16" ht="15.75" x14ac:dyDescent="0.25">
      <c r="B291" s="475"/>
      <c r="C291" s="1905" t="s">
        <v>65</v>
      </c>
      <c r="D291" s="1905"/>
      <c r="E291" s="1904" t="s">
        <v>574</v>
      </c>
      <c r="F291" s="1567" t="s">
        <v>1321</v>
      </c>
      <c r="G291" s="1845">
        <v>2010</v>
      </c>
      <c r="H291" s="1845">
        <v>2015</v>
      </c>
      <c r="I291" s="1845">
        <v>2020</v>
      </c>
      <c r="J291" s="1845">
        <v>2025</v>
      </c>
      <c r="K291" s="1845">
        <v>2030</v>
      </c>
      <c r="L291" s="1845">
        <v>2035</v>
      </c>
      <c r="M291" s="1845">
        <v>2040</v>
      </c>
      <c r="N291" s="1845">
        <v>2045</v>
      </c>
      <c r="O291" s="1845">
        <v>2050</v>
      </c>
      <c r="P291" s="1377"/>
    </row>
    <row r="292" spans="1:16" ht="15.75" x14ac:dyDescent="0.25">
      <c r="B292" s="475"/>
      <c r="C292" s="1519" t="s">
        <v>1740</v>
      </c>
      <c r="D292" s="1519"/>
      <c r="E292" s="1897" t="str">
        <f>Preferences.moneyunits&amp;"/odt. Millions"</f>
        <v>N/odt. Millions</v>
      </c>
      <c r="F292" s="1923">
        <f t="shared" ref="F292:F299" si="38">(O292-G292)/(O$291-G$291)</f>
        <v>0</v>
      </c>
      <c r="G292" s="2235">
        <f>(250*20*NAIRA2010_)*1000000</f>
        <v>5000000000</v>
      </c>
      <c r="H292" s="1852">
        <f t="shared" ref="H292:N299" si="39">($F292*(H$291-G$291))+G292</f>
        <v>5000000000</v>
      </c>
      <c r="I292" s="1852">
        <f t="shared" si="39"/>
        <v>5000000000</v>
      </c>
      <c r="J292" s="1852">
        <f t="shared" si="39"/>
        <v>5000000000</v>
      </c>
      <c r="K292" s="1852">
        <f t="shared" si="39"/>
        <v>5000000000</v>
      </c>
      <c r="L292" s="1852">
        <f t="shared" si="39"/>
        <v>5000000000</v>
      </c>
      <c r="M292" s="1852">
        <f t="shared" si="39"/>
        <v>5000000000</v>
      </c>
      <c r="N292" s="1852">
        <f t="shared" si="39"/>
        <v>5000000000</v>
      </c>
      <c r="O292" s="2235">
        <f>(250*20*NAIRA2010_)*1000000</f>
        <v>5000000000</v>
      </c>
      <c r="P292" s="1377"/>
    </row>
    <row r="293" spans="1:16" ht="15.75" customHeight="1" x14ac:dyDescent="0.25">
      <c r="B293" s="475"/>
      <c r="C293" s="107" t="s">
        <v>1503</v>
      </c>
      <c r="D293" s="107"/>
      <c r="E293" s="578" t="str">
        <f>Preferences.moneyunits&amp;"/odt. Millions"</f>
        <v>N/odt. Millions</v>
      </c>
      <c r="F293" s="1921">
        <f t="shared" si="38"/>
        <v>0</v>
      </c>
      <c r="G293" s="954">
        <f>(250*19*NAIRA2010_)*1000000</f>
        <v>4750000000</v>
      </c>
      <c r="H293" s="1849">
        <f t="shared" si="39"/>
        <v>4750000000</v>
      </c>
      <c r="I293" s="1849">
        <f t="shared" si="39"/>
        <v>4750000000</v>
      </c>
      <c r="J293" s="1849">
        <f t="shared" si="39"/>
        <v>4750000000</v>
      </c>
      <c r="K293" s="1849">
        <f t="shared" si="39"/>
        <v>4750000000</v>
      </c>
      <c r="L293" s="1849">
        <f t="shared" si="39"/>
        <v>4750000000</v>
      </c>
      <c r="M293" s="1849">
        <f t="shared" si="39"/>
        <v>4750000000</v>
      </c>
      <c r="N293" s="1849">
        <f t="shared" si="39"/>
        <v>4750000000</v>
      </c>
      <c r="O293" s="954">
        <f>(250*19*NAIRA2010_)*1000000</f>
        <v>4750000000</v>
      </c>
      <c r="P293" s="1377"/>
    </row>
    <row r="294" spans="1:16" ht="15.75" x14ac:dyDescent="0.25">
      <c r="B294" s="475"/>
      <c r="C294" s="107" t="s">
        <v>1741</v>
      </c>
      <c r="D294" s="107"/>
      <c r="E294" s="578" t="str">
        <f>Preferences.moneyunits&amp;"/odt. Millions"</f>
        <v>N/odt. Millions</v>
      </c>
      <c r="F294" s="1921">
        <f t="shared" si="38"/>
        <v>0</v>
      </c>
      <c r="G294" s="954">
        <f>(250*31*NAIRA2010_)*1000000</f>
        <v>7750000000</v>
      </c>
      <c r="H294" s="1849">
        <f t="shared" si="39"/>
        <v>7750000000</v>
      </c>
      <c r="I294" s="1849">
        <f t="shared" si="39"/>
        <v>7750000000</v>
      </c>
      <c r="J294" s="1849">
        <f t="shared" si="39"/>
        <v>7750000000</v>
      </c>
      <c r="K294" s="1849">
        <f t="shared" si="39"/>
        <v>7750000000</v>
      </c>
      <c r="L294" s="1849">
        <f t="shared" si="39"/>
        <v>7750000000</v>
      </c>
      <c r="M294" s="1849">
        <f t="shared" si="39"/>
        <v>7750000000</v>
      </c>
      <c r="N294" s="1849">
        <f t="shared" si="39"/>
        <v>7750000000</v>
      </c>
      <c r="O294" s="954">
        <f>(250*31*NAIRA2010_)*1000000</f>
        <v>7750000000</v>
      </c>
      <c r="P294" s="1377"/>
    </row>
    <row r="295" spans="1:16" ht="15.75" x14ac:dyDescent="0.25">
      <c r="B295" s="475"/>
      <c r="C295" s="189" t="s">
        <v>1742</v>
      </c>
      <c r="D295" s="189"/>
      <c r="E295" s="1509" t="str">
        <f>Preferences.moneyunits&amp;"/odt. Millions"</f>
        <v>N/odt. Millions</v>
      </c>
      <c r="F295" s="1925">
        <f t="shared" si="38"/>
        <v>0</v>
      </c>
      <c r="G295" s="955">
        <f>(250*26*NAIRA2010_)*1000000</f>
        <v>6500000000</v>
      </c>
      <c r="H295" s="1850">
        <f t="shared" si="39"/>
        <v>6500000000</v>
      </c>
      <c r="I295" s="1850">
        <f t="shared" si="39"/>
        <v>6500000000</v>
      </c>
      <c r="J295" s="1850">
        <f t="shared" si="39"/>
        <v>6500000000</v>
      </c>
      <c r="K295" s="1850">
        <f t="shared" si="39"/>
        <v>6500000000</v>
      </c>
      <c r="L295" s="1850">
        <f t="shared" si="39"/>
        <v>6500000000</v>
      </c>
      <c r="M295" s="1850">
        <f t="shared" si="39"/>
        <v>6500000000</v>
      </c>
      <c r="N295" s="1850">
        <f t="shared" si="39"/>
        <v>6500000000</v>
      </c>
      <c r="O295" s="955">
        <f>(250*26*NAIRA2010_)*1000000</f>
        <v>6500000000</v>
      </c>
      <c r="P295" s="1377"/>
    </row>
    <row r="296" spans="1:16" ht="15.75" x14ac:dyDescent="0.25">
      <c r="B296" s="475"/>
      <c r="C296" s="107" t="s">
        <v>1507</v>
      </c>
      <c r="D296" s="107"/>
      <c r="E296" s="578" t="str">
        <f>Preferences.moneyunits&amp;"/landfill site"</f>
        <v>N/landfill site</v>
      </c>
      <c r="F296" s="1921">
        <f t="shared" si="38"/>
        <v>0</v>
      </c>
      <c r="G296" s="188">
        <f>(250*4*NAIRA2010_*plantsize.VI.b.Landfill_site)*1000000</f>
        <v>250000000</v>
      </c>
      <c r="H296" s="1849">
        <f t="shared" si="39"/>
        <v>250000000</v>
      </c>
      <c r="I296" s="1849">
        <f t="shared" si="39"/>
        <v>250000000</v>
      </c>
      <c r="J296" s="1849">
        <f t="shared" si="39"/>
        <v>250000000</v>
      </c>
      <c r="K296" s="1849">
        <f t="shared" si="39"/>
        <v>250000000</v>
      </c>
      <c r="L296" s="1849">
        <f t="shared" si="39"/>
        <v>250000000</v>
      </c>
      <c r="M296" s="1849">
        <f t="shared" si="39"/>
        <v>250000000</v>
      </c>
      <c r="N296" s="1849">
        <f t="shared" si="39"/>
        <v>250000000</v>
      </c>
      <c r="O296" s="188">
        <f>(250*4*NAIRA2010_*plantsize.VI.b.Landfill_site)*1000000</f>
        <v>250000000</v>
      </c>
      <c r="P296" s="1377"/>
    </row>
    <row r="297" spans="1:16" x14ac:dyDescent="0.2">
      <c r="B297" s="1419"/>
      <c r="C297" s="107" t="s">
        <v>1510</v>
      </c>
      <c r="D297" s="1415"/>
      <c r="E297" s="578" t="str">
        <f>Preferences.moneyunits&amp;"/landfill site"</f>
        <v>N/landfill site</v>
      </c>
      <c r="F297" s="1921">
        <f t="shared" si="38"/>
        <v>0</v>
      </c>
      <c r="G297" s="188"/>
      <c r="H297" s="1849">
        <f t="shared" si="39"/>
        <v>0</v>
      </c>
      <c r="I297" s="1849">
        <f t="shared" si="39"/>
        <v>0</v>
      </c>
      <c r="J297" s="1849">
        <f t="shared" si="39"/>
        <v>0</v>
      </c>
      <c r="K297" s="1849">
        <f t="shared" si="39"/>
        <v>0</v>
      </c>
      <c r="L297" s="1849">
        <f t="shared" si="39"/>
        <v>0</v>
      </c>
      <c r="M297" s="1849">
        <f t="shared" si="39"/>
        <v>0</v>
      </c>
      <c r="N297" s="1849">
        <f t="shared" si="39"/>
        <v>0</v>
      </c>
      <c r="O297" s="188"/>
      <c r="P297" s="1377"/>
    </row>
    <row r="298" spans="1:16" x14ac:dyDescent="0.2">
      <c r="B298" s="1419"/>
      <c r="C298" s="107" t="s">
        <v>1511</v>
      </c>
      <c r="D298" s="1415"/>
      <c r="E298" s="578" t="str">
        <f>Preferences.moneyunits&amp;"/landfill site"</f>
        <v>N/landfill site</v>
      </c>
      <c r="F298" s="1921">
        <f t="shared" si="38"/>
        <v>0</v>
      </c>
      <c r="G298" s="188"/>
      <c r="H298" s="1850">
        <f t="shared" si="39"/>
        <v>0</v>
      </c>
      <c r="I298" s="1850">
        <f t="shared" si="39"/>
        <v>0</v>
      </c>
      <c r="J298" s="1850">
        <f t="shared" si="39"/>
        <v>0</v>
      </c>
      <c r="K298" s="1850">
        <f t="shared" si="39"/>
        <v>0</v>
      </c>
      <c r="L298" s="1850">
        <f t="shared" si="39"/>
        <v>0</v>
      </c>
      <c r="M298" s="1850">
        <f t="shared" si="39"/>
        <v>0</v>
      </c>
      <c r="N298" s="1850">
        <f t="shared" si="39"/>
        <v>0</v>
      </c>
      <c r="O298" s="191"/>
      <c r="P298" s="1377"/>
    </row>
    <row r="299" spans="1:16" ht="15.75" customHeight="1" x14ac:dyDescent="0.2">
      <c r="B299" s="1419"/>
      <c r="C299" s="1543" t="s">
        <v>1513</v>
      </c>
      <c r="D299" s="1926"/>
      <c r="E299" s="1580" t="str">
        <f>Preferences.moneyunits&amp;"/sewage works"</f>
        <v>N/sewage works</v>
      </c>
      <c r="F299" s="1927">
        <f t="shared" si="38"/>
        <v>0</v>
      </c>
      <c r="G299" s="1928"/>
      <c r="H299" s="1929">
        <f t="shared" si="39"/>
        <v>0</v>
      </c>
      <c r="I299" s="1929">
        <f t="shared" si="39"/>
        <v>0</v>
      </c>
      <c r="J299" s="1929">
        <f t="shared" si="39"/>
        <v>0</v>
      </c>
      <c r="K299" s="1929">
        <f t="shared" si="39"/>
        <v>0</v>
      </c>
      <c r="L299" s="1929">
        <f t="shared" si="39"/>
        <v>0</v>
      </c>
      <c r="M299" s="1929">
        <f t="shared" si="39"/>
        <v>0</v>
      </c>
      <c r="N299" s="1929">
        <f t="shared" si="39"/>
        <v>0</v>
      </c>
      <c r="O299" s="1928"/>
      <c r="P299" s="1377"/>
    </row>
    <row r="300" spans="1:16" x14ac:dyDescent="0.2">
      <c r="B300" s="1416"/>
      <c r="C300" s="237"/>
      <c r="D300" s="1415"/>
      <c r="E300" s="1415"/>
      <c r="F300" s="188"/>
      <c r="G300" s="954"/>
      <c r="H300" s="1849"/>
      <c r="I300" s="1849"/>
      <c r="J300" s="1849"/>
      <c r="K300" s="1849"/>
      <c r="L300" s="1849"/>
      <c r="M300" s="1849"/>
      <c r="N300" s="1849"/>
      <c r="O300" s="954"/>
      <c r="P300" s="1377"/>
    </row>
    <row r="301" spans="1:16" s="1912" customFormat="1" x14ac:dyDescent="0.2">
      <c r="B301" s="37"/>
      <c r="C301" s="1892"/>
      <c r="D301" s="34"/>
      <c r="E301" s="34"/>
      <c r="F301" s="1184"/>
      <c r="G301" s="903"/>
      <c r="H301" s="903"/>
      <c r="I301" s="1858"/>
      <c r="J301" s="1858"/>
      <c r="K301" s="1858"/>
      <c r="L301" s="1858"/>
      <c r="M301" s="1858"/>
      <c r="N301" s="1858"/>
      <c r="O301" s="1858"/>
      <c r="P301" s="903"/>
    </row>
    <row r="302" spans="1:16" ht="15.75" x14ac:dyDescent="0.2">
      <c r="B302" s="1423" t="s">
        <v>332</v>
      </c>
      <c r="C302" s="405"/>
      <c r="D302" s="405"/>
      <c r="E302" s="405"/>
      <c r="F302" s="405"/>
      <c r="G302" s="405"/>
      <c r="H302" s="405"/>
      <c r="I302" s="405"/>
      <c r="J302" s="405"/>
      <c r="K302" s="405"/>
      <c r="L302" s="405"/>
      <c r="M302" s="405"/>
      <c r="N302" s="405"/>
      <c r="O302" s="406"/>
    </row>
    <row r="303" spans="1:16" ht="5.25" customHeight="1" x14ac:dyDescent="0.2">
      <c r="B303" s="473"/>
      <c r="C303" s="458"/>
      <c r="D303" s="458"/>
      <c r="E303" s="458"/>
      <c r="F303" s="458"/>
      <c r="G303" s="458"/>
      <c r="H303" s="458"/>
      <c r="I303" s="458"/>
      <c r="J303" s="458"/>
      <c r="K303" s="458"/>
      <c r="L303" s="458"/>
      <c r="M303" s="458"/>
      <c r="N303" s="458"/>
      <c r="O303" s="459"/>
    </row>
    <row r="304" spans="1:16" x14ac:dyDescent="0.2">
      <c r="A304" s="1615"/>
      <c r="B304" s="474"/>
      <c r="C304" s="1417" t="s">
        <v>672</v>
      </c>
      <c r="D304" s="1416"/>
      <c r="E304" s="176"/>
      <c r="F304" s="1416"/>
      <c r="G304" s="1416"/>
      <c r="H304" s="1416"/>
      <c r="I304" s="1416"/>
      <c r="J304" s="1416"/>
      <c r="K304" s="1416"/>
      <c r="L304" s="1416"/>
      <c r="M304" s="1416"/>
      <c r="N304" s="176" t="s">
        <v>667</v>
      </c>
      <c r="O304" s="1420"/>
    </row>
    <row r="305" spans="1:16" x14ac:dyDescent="0.2">
      <c r="A305" s="1772"/>
      <c r="B305" s="474"/>
      <c r="C305" s="1416"/>
      <c r="D305" s="1416"/>
      <c r="E305" s="1416"/>
      <c r="F305" s="1416"/>
      <c r="G305" s="1416"/>
      <c r="H305" s="1416"/>
      <c r="I305" s="1416"/>
      <c r="J305" s="1416"/>
      <c r="K305" s="1416"/>
      <c r="L305" s="1416"/>
      <c r="M305" s="1416"/>
      <c r="N305" s="1416"/>
      <c r="O305" s="1420"/>
    </row>
    <row r="306" spans="1:16" ht="15.75" x14ac:dyDescent="0.25">
      <c r="A306" s="1615"/>
      <c r="B306" s="475"/>
      <c r="C306" s="98" t="s">
        <v>673</v>
      </c>
      <c r="D306" s="98" t="s">
        <v>65</v>
      </c>
      <c r="E306" s="98" t="s">
        <v>172</v>
      </c>
      <c r="F306" s="218">
        <v>2010</v>
      </c>
      <c r="G306" s="217">
        <v>2015</v>
      </c>
      <c r="H306" s="217">
        <v>2020</v>
      </c>
      <c r="I306" s="217">
        <v>2025</v>
      </c>
      <c r="J306" s="217">
        <v>2030</v>
      </c>
      <c r="K306" s="217">
        <v>2035</v>
      </c>
      <c r="L306" s="217">
        <v>2040</v>
      </c>
      <c r="M306" s="217">
        <v>2045</v>
      </c>
      <c r="N306" s="217">
        <v>2050</v>
      </c>
      <c r="O306" s="1420"/>
    </row>
    <row r="307" spans="1:16" ht="15.75" x14ac:dyDescent="0.2">
      <c r="A307" s="1615"/>
      <c r="B307" s="476"/>
      <c r="C307" s="192" t="s">
        <v>1739</v>
      </c>
      <c r="D307" s="192" t="s">
        <v>658</v>
      </c>
      <c r="E307" s="192"/>
      <c r="F307" s="193">
        <f t="shared" ref="F307:N307" si="40">F19</f>
        <v>18.161999999999999</v>
      </c>
      <c r="G307" s="193">
        <f t="shared" si="40"/>
        <v>18.161999999999999</v>
      </c>
      <c r="H307" s="193">
        <f t="shared" si="40"/>
        <v>18.161999999999999</v>
      </c>
      <c r="I307" s="193">
        <f t="shared" si="40"/>
        <v>18.161999999999999</v>
      </c>
      <c r="J307" s="193">
        <f t="shared" si="40"/>
        <v>18.161999999999999</v>
      </c>
      <c r="K307" s="193">
        <f t="shared" si="40"/>
        <v>18.161999999999999</v>
      </c>
      <c r="L307" s="193">
        <f t="shared" si="40"/>
        <v>18.161999999999999</v>
      </c>
      <c r="M307" s="193">
        <f t="shared" si="40"/>
        <v>18.161999999999999</v>
      </c>
      <c r="N307" s="193">
        <f t="shared" si="40"/>
        <v>18.161999999999999</v>
      </c>
      <c r="O307" s="400"/>
    </row>
    <row r="308" spans="1:16" ht="15.75" x14ac:dyDescent="0.2">
      <c r="A308" s="1615"/>
      <c r="B308" s="476"/>
      <c r="C308" s="107" t="s">
        <v>662</v>
      </c>
      <c r="D308" s="107" t="s">
        <v>659</v>
      </c>
      <c r="E308" s="107"/>
      <c r="F308" s="188">
        <f t="shared" ref="F308:N308" si="41">F28</f>
        <v>21.128</v>
      </c>
      <c r="G308" s="188">
        <f t="shared" si="41"/>
        <v>21.128</v>
      </c>
      <c r="H308" s="188">
        <f t="shared" si="41"/>
        <v>21.128</v>
      </c>
      <c r="I308" s="188">
        <f t="shared" si="41"/>
        <v>21.128</v>
      </c>
      <c r="J308" s="188">
        <f t="shared" si="41"/>
        <v>21.128</v>
      </c>
      <c r="K308" s="188">
        <f t="shared" si="41"/>
        <v>21.128</v>
      </c>
      <c r="L308" s="188">
        <f t="shared" si="41"/>
        <v>21.128</v>
      </c>
      <c r="M308" s="188">
        <f t="shared" si="41"/>
        <v>21.128</v>
      </c>
      <c r="N308" s="188">
        <f t="shared" si="41"/>
        <v>21.128</v>
      </c>
      <c r="O308" s="400"/>
    </row>
    <row r="309" spans="1:16" ht="15.75" x14ac:dyDescent="0.2">
      <c r="A309" s="1615"/>
      <c r="B309" s="476"/>
      <c r="C309" s="107" t="s">
        <v>1062</v>
      </c>
      <c r="D309" s="107" t="s">
        <v>1070</v>
      </c>
      <c r="E309" s="107" t="s">
        <v>1071</v>
      </c>
      <c r="F309" s="188">
        <f t="shared" ref="F309:N309" si="42">F37</f>
        <v>0.57099999999999995</v>
      </c>
      <c r="G309" s="188">
        <f t="shared" si="42"/>
        <v>0.61799999999999999</v>
      </c>
      <c r="H309" s="188">
        <f t="shared" si="42"/>
        <v>0.66500000000000004</v>
      </c>
      <c r="I309" s="188">
        <f t="shared" si="42"/>
        <v>0.67500000000000004</v>
      </c>
      <c r="J309" s="188">
        <f t="shared" si="42"/>
        <v>0.68500000000000005</v>
      </c>
      <c r="K309" s="188">
        <f t="shared" si="42"/>
        <v>0.68925000000000003</v>
      </c>
      <c r="L309" s="188">
        <f t="shared" si="42"/>
        <v>0.69350000000000001</v>
      </c>
      <c r="M309" s="188">
        <f t="shared" si="42"/>
        <v>0.69774999999999998</v>
      </c>
      <c r="N309" s="188">
        <f t="shared" si="42"/>
        <v>0.70199999999999996</v>
      </c>
      <c r="O309" s="400"/>
    </row>
    <row r="310" spans="1:16" ht="15.75" x14ac:dyDescent="0.2">
      <c r="A310" s="1615"/>
      <c r="B310" s="476"/>
      <c r="C310" s="107" t="s">
        <v>120</v>
      </c>
      <c r="D310" s="107" t="s">
        <v>661</v>
      </c>
      <c r="E310" s="107"/>
      <c r="F310" s="188">
        <f t="shared" ref="F310:N310" si="43">F46</f>
        <v>1.395660347191511</v>
      </c>
      <c r="G310" s="188">
        <f t="shared" si="43"/>
        <v>1.4432516709890608</v>
      </c>
      <c r="H310" s="188">
        <f t="shared" si="43"/>
        <v>1.4921002742497826</v>
      </c>
      <c r="I310" s="188">
        <f t="shared" si="43"/>
        <v>1.539777124363374</v>
      </c>
      <c r="J310" s="188">
        <f t="shared" si="43"/>
        <v>1.5830256268442755</v>
      </c>
      <c r="K310" s="188">
        <f t="shared" si="43"/>
        <v>1.621214461553147</v>
      </c>
      <c r="L310" s="188">
        <f t="shared" si="43"/>
        <v>1.6565425273466619</v>
      </c>
      <c r="M310" s="188">
        <f t="shared" si="43"/>
        <v>1.6902597017251573</v>
      </c>
      <c r="N310" s="188">
        <f t="shared" si="43"/>
        <v>1.7224027253405279</v>
      </c>
      <c r="O310" s="400"/>
    </row>
    <row r="311" spans="1:16" ht="12.75" customHeight="1" x14ac:dyDescent="0.2">
      <c r="A311" s="1615"/>
      <c r="B311" s="476"/>
      <c r="C311" s="189" t="s">
        <v>10</v>
      </c>
      <c r="D311" s="189" t="s">
        <v>121</v>
      </c>
      <c r="E311" s="189" t="s">
        <v>1069</v>
      </c>
      <c r="F311" s="191">
        <f t="shared" ref="F311:N311" si="44">F55</f>
        <v>2.4992783483792538</v>
      </c>
      <c r="G311" s="191">
        <f t="shared" si="44"/>
        <v>2.0584815914128893</v>
      </c>
      <c r="H311" s="191">
        <f t="shared" si="44"/>
        <v>1.6176848344465247</v>
      </c>
      <c r="I311" s="191">
        <f t="shared" si="44"/>
        <v>1.303988942885755</v>
      </c>
      <c r="J311" s="191">
        <f t="shared" si="44"/>
        <v>0.99029305132498524</v>
      </c>
      <c r="K311" s="191">
        <f t="shared" si="44"/>
        <v>0.83117157114623563</v>
      </c>
      <c r="L311" s="191">
        <f t="shared" si="44"/>
        <v>0.67205009096748602</v>
      </c>
      <c r="M311" s="191">
        <f t="shared" si="44"/>
        <v>0.51292861078873653</v>
      </c>
      <c r="N311" s="191">
        <f t="shared" si="44"/>
        <v>0.35380713060998692</v>
      </c>
      <c r="O311" s="400"/>
    </row>
    <row r="312" spans="1:16" ht="15.75" x14ac:dyDescent="0.2">
      <c r="A312" s="1615"/>
      <c r="B312" s="476"/>
      <c r="C312" s="1414"/>
      <c r="D312" s="1415"/>
      <c r="E312" s="1415"/>
      <c r="F312" s="160"/>
      <c r="G312" s="160"/>
      <c r="H312" s="160"/>
      <c r="I312" s="160"/>
      <c r="J312" s="160"/>
      <c r="K312" s="160"/>
      <c r="L312" s="160"/>
      <c r="M312" s="160"/>
      <c r="N312" s="160"/>
      <c r="O312" s="400"/>
    </row>
    <row r="313" spans="1:16" ht="15.75" x14ac:dyDescent="0.2">
      <c r="A313" s="1772"/>
      <c r="B313" s="476"/>
      <c r="C313" s="1417" t="s">
        <v>1068</v>
      </c>
      <c r="D313" s="1416"/>
      <c r="E313" s="176"/>
      <c r="F313" s="1416">
        <f>CHOOSE($E$7, $F$66:$N$66, $F$74:$N$74, $F$82:$N$82,F90:N90)</f>
        <v>0.1096</v>
      </c>
      <c r="G313" s="1416"/>
      <c r="H313" s="1416"/>
      <c r="I313" s="1416"/>
      <c r="J313" s="1416"/>
      <c r="K313" s="1416"/>
      <c r="L313" s="1416"/>
      <c r="M313" s="1416"/>
      <c r="N313" s="1416"/>
      <c r="O313" s="176" t="s">
        <v>1514</v>
      </c>
      <c r="P313" s="400"/>
    </row>
    <row r="314" spans="1:16" ht="15.75" x14ac:dyDescent="0.2">
      <c r="A314" s="1615"/>
      <c r="B314" s="476"/>
      <c r="C314" s="1416"/>
      <c r="D314" s="1416"/>
      <c r="E314" s="1416"/>
      <c r="F314" s="1416"/>
      <c r="G314" s="1416"/>
      <c r="H314" s="1416"/>
      <c r="I314" s="1416"/>
      <c r="J314" s="1416"/>
      <c r="K314" s="1416"/>
      <c r="L314" s="1416"/>
      <c r="M314" s="1416"/>
      <c r="N314" s="1416"/>
      <c r="O314" s="1416"/>
      <c r="P314" s="400"/>
    </row>
    <row r="315" spans="1:16" ht="15.75" x14ac:dyDescent="0.2">
      <c r="A315" s="1615"/>
      <c r="B315" s="476"/>
      <c r="C315" s="98" t="s">
        <v>673</v>
      </c>
      <c r="D315" s="98" t="s">
        <v>65</v>
      </c>
      <c r="E315" s="98" t="s">
        <v>172</v>
      </c>
      <c r="F315" s="218">
        <v>2010</v>
      </c>
      <c r="G315" s="217">
        <v>2015</v>
      </c>
      <c r="H315" s="217">
        <v>2020</v>
      </c>
      <c r="I315" s="217">
        <v>2025</v>
      </c>
      <c r="J315" s="217">
        <v>2030</v>
      </c>
      <c r="K315" s="217">
        <v>2035</v>
      </c>
      <c r="L315" s="217">
        <v>2040</v>
      </c>
      <c r="M315" s="217">
        <v>2045</v>
      </c>
      <c r="N315" s="217">
        <v>2050</v>
      </c>
      <c r="O315" s="400"/>
    </row>
    <row r="316" spans="1:16" ht="15.75" x14ac:dyDescent="0.2">
      <c r="A316" s="1615"/>
      <c r="B316" s="476"/>
      <c r="C316" s="192" t="s">
        <v>1739</v>
      </c>
      <c r="D316" s="192" t="s">
        <v>658</v>
      </c>
      <c r="E316" s="192"/>
      <c r="F316" s="562">
        <f t="array" ref="F316:N316">CHOOSE($E$7, $F$66:$N$66, $F$74:$N$74, $F$82:$N$82,$F$90:$N$90)</f>
        <v>0.1096</v>
      </c>
      <c r="G316" s="562">
        <v>0.13650000000000001</v>
      </c>
      <c r="H316" s="562">
        <v>0.16339999999999999</v>
      </c>
      <c r="I316" s="562">
        <v>0.15604999999999999</v>
      </c>
      <c r="J316" s="562">
        <v>0.1487</v>
      </c>
      <c r="K316" s="562">
        <v>0.14097500000000002</v>
      </c>
      <c r="L316" s="562">
        <v>0.13325000000000001</v>
      </c>
      <c r="M316" s="562">
        <v>0.125525</v>
      </c>
      <c r="N316" s="562">
        <v>0.1178</v>
      </c>
      <c r="O316" s="400"/>
    </row>
    <row r="317" spans="1:16" ht="15.75" x14ac:dyDescent="0.2">
      <c r="A317" s="1615"/>
      <c r="B317" s="476"/>
      <c r="C317" s="107" t="s">
        <v>662</v>
      </c>
      <c r="D317" s="107" t="s">
        <v>659</v>
      </c>
      <c r="E317" s="107"/>
      <c r="F317" s="562">
        <f t="array" ref="F317:N317">CHOOSE($E$7, $F$66:$N$66, $F$74:$N$74, $F$82:$N$82,$F$90:$N$90)</f>
        <v>0.1096</v>
      </c>
      <c r="G317" s="562">
        <v>0.13650000000000001</v>
      </c>
      <c r="H317" s="562">
        <v>0.16339999999999999</v>
      </c>
      <c r="I317" s="562">
        <v>0.15604999999999999</v>
      </c>
      <c r="J317" s="562">
        <v>0.1487</v>
      </c>
      <c r="K317" s="562">
        <v>0.14097500000000002</v>
      </c>
      <c r="L317" s="562">
        <v>0.13325000000000001</v>
      </c>
      <c r="M317" s="562">
        <v>0.125525</v>
      </c>
      <c r="N317" s="562">
        <v>0.1178</v>
      </c>
      <c r="O317" s="400"/>
    </row>
    <row r="318" spans="1:16" ht="15.75" x14ac:dyDescent="0.2">
      <c r="A318" s="1615"/>
      <c r="B318" s="476"/>
      <c r="C318" s="107" t="s">
        <v>1062</v>
      </c>
      <c r="D318" s="107" t="s">
        <v>1082</v>
      </c>
      <c r="E318" s="107"/>
      <c r="F318" s="666">
        <f t="shared" ref="F318:N318" si="45">F110</f>
        <v>7.0000000000000007E-2</v>
      </c>
      <c r="G318" s="666">
        <f t="shared" si="45"/>
        <v>0.09</v>
      </c>
      <c r="H318" s="666">
        <f t="shared" si="45"/>
        <v>0.11</v>
      </c>
      <c r="I318" s="666">
        <f t="shared" si="45"/>
        <v>0.11499999999999999</v>
      </c>
      <c r="J318" s="666">
        <f t="shared" si="45"/>
        <v>0.12</v>
      </c>
      <c r="K318" s="666">
        <f t="shared" si="45"/>
        <v>0.12</v>
      </c>
      <c r="L318" s="666">
        <f t="shared" si="45"/>
        <v>0.12</v>
      </c>
      <c r="M318" s="666">
        <f t="shared" si="45"/>
        <v>0.12</v>
      </c>
      <c r="N318" s="666">
        <f t="shared" si="45"/>
        <v>0.12</v>
      </c>
      <c r="O318" s="400"/>
    </row>
    <row r="319" spans="1:16" ht="15.75" x14ac:dyDescent="0.2">
      <c r="A319" s="1615"/>
      <c r="B319" s="476"/>
      <c r="C319" s="189" t="s">
        <v>120</v>
      </c>
      <c r="D319" s="189" t="s">
        <v>661</v>
      </c>
      <c r="E319" s="189"/>
      <c r="F319" s="668">
        <f t="shared" ref="F319:N319" si="46">F119</f>
        <v>0.75</v>
      </c>
      <c r="G319" s="668">
        <f t="shared" si="46"/>
        <v>0.75</v>
      </c>
      <c r="H319" s="668">
        <f t="shared" si="46"/>
        <v>0.75</v>
      </c>
      <c r="I319" s="668">
        <f t="shared" si="46"/>
        <v>0.77</v>
      </c>
      <c r="J319" s="668">
        <f t="shared" si="46"/>
        <v>0.78</v>
      </c>
      <c r="K319" s="668">
        <f t="shared" si="46"/>
        <v>0.8</v>
      </c>
      <c r="L319" s="668">
        <f t="shared" si="46"/>
        <v>0.82</v>
      </c>
      <c r="M319" s="668">
        <f t="shared" si="46"/>
        <v>0.83</v>
      </c>
      <c r="N319" s="668">
        <f t="shared" si="46"/>
        <v>0.85</v>
      </c>
      <c r="O319" s="400"/>
    </row>
    <row r="320" spans="1:16" ht="15.75" x14ac:dyDescent="0.2">
      <c r="A320" s="1615"/>
      <c r="B320" s="476"/>
      <c r="C320" s="1414"/>
      <c r="D320" s="1415"/>
      <c r="E320" s="1415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400"/>
    </row>
    <row r="321" spans="1:16" ht="15.75" x14ac:dyDescent="0.2">
      <c r="A321" s="1772"/>
      <c r="B321" s="476"/>
      <c r="C321" s="1417" t="s">
        <v>1515</v>
      </c>
      <c r="D321" s="1416"/>
      <c r="E321" s="176"/>
      <c r="F321" s="1416">
        <f>CHOOSE($E$7, $F$65:$N$65, $F$73:$N$73, $F$81:$N$81,$F$89:$N$89)</f>
        <v>0.38869999999999999</v>
      </c>
      <c r="G321" s="1416"/>
      <c r="H321" s="1416"/>
      <c r="I321" s="1416"/>
      <c r="J321" s="1416"/>
      <c r="K321" s="1416"/>
      <c r="L321" s="1416"/>
      <c r="M321" s="1416"/>
      <c r="N321" s="1416"/>
      <c r="O321" s="176" t="s">
        <v>1514</v>
      </c>
      <c r="P321" s="400"/>
    </row>
    <row r="322" spans="1:16" ht="3.75" customHeight="1" x14ac:dyDescent="0.2">
      <c r="A322" s="1615"/>
      <c r="B322" s="476"/>
      <c r="C322" s="1416"/>
      <c r="D322" s="1416"/>
      <c r="E322" s="1416"/>
      <c r="F322" s="1416"/>
      <c r="G322" s="1416"/>
      <c r="H322" s="1416"/>
      <c r="I322" s="1416"/>
      <c r="J322" s="1416"/>
      <c r="K322" s="1416"/>
      <c r="L322" s="1416"/>
      <c r="M322" s="1416"/>
      <c r="N322" s="1416"/>
      <c r="O322" s="1416"/>
      <c r="P322" s="400"/>
    </row>
    <row r="323" spans="1:16" ht="15.75" x14ac:dyDescent="0.2">
      <c r="A323" s="1615"/>
      <c r="B323" s="476"/>
      <c r="C323" s="98" t="s">
        <v>673</v>
      </c>
      <c r="D323" s="98" t="s">
        <v>65</v>
      </c>
      <c r="E323" s="98" t="s">
        <v>172</v>
      </c>
      <c r="F323" s="571">
        <v>2007</v>
      </c>
      <c r="G323" s="218">
        <v>2010</v>
      </c>
      <c r="H323" s="217">
        <v>2015</v>
      </c>
      <c r="I323" s="217">
        <v>2020</v>
      </c>
      <c r="J323" s="217">
        <v>2025</v>
      </c>
      <c r="K323" s="217">
        <v>2030</v>
      </c>
      <c r="L323" s="217">
        <v>2035</v>
      </c>
      <c r="M323" s="217">
        <v>2040</v>
      </c>
      <c r="N323" s="217">
        <v>2045</v>
      </c>
      <c r="O323" s="217">
        <v>2050</v>
      </c>
      <c r="P323" s="400"/>
    </row>
    <row r="324" spans="1:16" ht="15.75" x14ac:dyDescent="0.2">
      <c r="A324" s="1615"/>
      <c r="B324" s="476"/>
      <c r="C324" s="192" t="s">
        <v>1739</v>
      </c>
      <c r="D324" s="192" t="s">
        <v>658</v>
      </c>
      <c r="E324" s="192"/>
      <c r="F324" s="667"/>
      <c r="G324" s="561"/>
      <c r="H324" s="561"/>
      <c r="I324" s="561"/>
      <c r="J324" s="561"/>
      <c r="K324" s="561"/>
      <c r="L324" s="561"/>
      <c r="M324" s="561"/>
      <c r="N324" s="561"/>
      <c r="O324" s="561"/>
      <c r="P324" s="400"/>
    </row>
    <row r="325" spans="1:16" ht="15.75" collapsed="1" x14ac:dyDescent="0.2">
      <c r="A325" s="1615"/>
      <c r="B325" s="476"/>
      <c r="C325" s="107" t="s">
        <v>662</v>
      </c>
      <c r="D325" s="107" t="s">
        <v>659</v>
      </c>
      <c r="E325" s="107"/>
      <c r="F325" s="1059"/>
      <c r="G325" s="666"/>
      <c r="H325" s="666"/>
      <c r="I325" s="666"/>
      <c r="J325" s="666"/>
      <c r="K325" s="666"/>
      <c r="L325" s="666"/>
      <c r="M325" s="666"/>
      <c r="N325" s="666"/>
      <c r="O325" s="666"/>
      <c r="P325" s="400"/>
    </row>
    <row r="326" spans="1:16" ht="15.75" x14ac:dyDescent="0.2">
      <c r="A326" s="1615"/>
      <c r="B326" s="476"/>
      <c r="C326" s="189" t="s">
        <v>1062</v>
      </c>
      <c r="D326" s="189" t="s">
        <v>1082</v>
      </c>
      <c r="E326" s="189"/>
      <c r="F326" s="1584"/>
      <c r="G326" s="1585"/>
      <c r="H326" s="1585"/>
      <c r="I326" s="1585"/>
      <c r="J326" s="1585"/>
      <c r="K326" s="1585"/>
      <c r="L326" s="1585"/>
      <c r="M326" s="1585"/>
      <c r="N326" s="1585"/>
      <c r="O326" s="1585"/>
      <c r="P326" s="1586"/>
    </row>
    <row r="327" spans="1:16" ht="15.75" x14ac:dyDescent="0.2">
      <c r="A327" s="1615"/>
      <c r="B327" s="476"/>
      <c r="C327" s="1414"/>
      <c r="D327" s="1415"/>
      <c r="E327" s="1415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400"/>
    </row>
    <row r="328" spans="1:16" ht="15.75" x14ac:dyDescent="0.2">
      <c r="A328" s="1615"/>
      <c r="B328" s="476"/>
      <c r="C328" s="1417" t="s">
        <v>1086</v>
      </c>
      <c r="D328" s="1416"/>
      <c r="E328" s="176"/>
      <c r="F328" s="1416">
        <f>CHOOSE($E$7, $F$64:$N$64, $F$72:$N$72, $F$80:$N$80,$F$88:$N$88)</f>
        <v>0.50170000000000003</v>
      </c>
      <c r="G328" s="1416"/>
      <c r="H328" s="1416"/>
      <c r="I328" s="1416"/>
      <c r="J328" s="1416"/>
      <c r="K328" s="1416"/>
      <c r="L328" s="1416"/>
      <c r="M328" s="1416"/>
      <c r="N328" s="1416"/>
      <c r="O328" s="176" t="s">
        <v>1514</v>
      </c>
      <c r="P328" s="400"/>
    </row>
    <row r="329" spans="1:16" ht="15.75" x14ac:dyDescent="0.2">
      <c r="A329" s="1772"/>
      <c r="B329" s="476"/>
      <c r="C329" s="1416"/>
      <c r="D329" s="1416"/>
      <c r="E329" s="1416"/>
      <c r="F329" s="1416"/>
      <c r="G329" s="1416"/>
      <c r="H329" s="1416"/>
      <c r="I329" s="1416"/>
      <c r="J329" s="1416"/>
      <c r="K329" s="1416"/>
      <c r="L329" s="1416"/>
      <c r="M329" s="1416"/>
      <c r="N329" s="1416"/>
      <c r="O329" s="1416"/>
      <c r="P329" s="400"/>
    </row>
    <row r="330" spans="1:16" ht="15.75" x14ac:dyDescent="0.2">
      <c r="A330" s="1615"/>
      <c r="B330" s="476"/>
      <c r="C330" s="98" t="s">
        <v>673</v>
      </c>
      <c r="D330" s="98" t="s">
        <v>65</v>
      </c>
      <c r="E330" s="98" t="s">
        <v>172</v>
      </c>
      <c r="F330" s="218">
        <v>2010</v>
      </c>
      <c r="G330" s="217">
        <v>2015</v>
      </c>
      <c r="H330" s="217">
        <v>2020</v>
      </c>
      <c r="I330" s="217">
        <v>2025</v>
      </c>
      <c r="J330" s="217">
        <v>2030</v>
      </c>
      <c r="K330" s="217">
        <v>2035</v>
      </c>
      <c r="L330" s="217">
        <v>2040</v>
      </c>
      <c r="M330" s="217">
        <v>2045</v>
      </c>
      <c r="N330" s="217">
        <v>2050</v>
      </c>
      <c r="O330" s="400"/>
    </row>
    <row r="331" spans="1:16" ht="15.75" x14ac:dyDescent="0.2">
      <c r="A331" s="1615"/>
      <c r="B331" s="476"/>
      <c r="C331" s="192" t="s">
        <v>1739</v>
      </c>
      <c r="D331" s="192" t="s">
        <v>658</v>
      </c>
      <c r="E331" s="192"/>
      <c r="F331" s="1416">
        <f t="array" ref="F331:N331">CHOOSE($E$7, $F$64:$N$64, $F$72:$N$72, $F$80:$N$80,$F$88:$N$88)</f>
        <v>0.50170000000000003</v>
      </c>
      <c r="G331" s="1416">
        <v>0.56930000000000003</v>
      </c>
      <c r="H331" s="1416">
        <v>0.63690000000000002</v>
      </c>
      <c r="I331" s="1416">
        <v>0.69455</v>
      </c>
      <c r="J331" s="1416">
        <v>0.75219999999999998</v>
      </c>
      <c r="K331" s="1416">
        <v>0.77734999999999999</v>
      </c>
      <c r="L331" s="1416">
        <v>0.80249999999999999</v>
      </c>
      <c r="M331" s="1416">
        <v>0.82765</v>
      </c>
      <c r="N331" s="1416">
        <v>0.8528</v>
      </c>
      <c r="O331" s="400"/>
    </row>
    <row r="332" spans="1:16" ht="15.75" x14ac:dyDescent="0.2">
      <c r="A332" s="1615"/>
      <c r="B332" s="476"/>
      <c r="C332" s="189" t="s">
        <v>662</v>
      </c>
      <c r="D332" s="189" t="s">
        <v>659</v>
      </c>
      <c r="E332" s="189"/>
      <c r="F332" s="2607">
        <f t="array" ref="F332:N332">CHOOSE($E$7, $F$64:$N$64, $F$72:$N$72, $F$80:$N$80,$F$88:$N$88)</f>
        <v>0.50170000000000003</v>
      </c>
      <c r="G332" s="2607">
        <v>0.56930000000000003</v>
      </c>
      <c r="H332" s="2607">
        <v>0.63690000000000002</v>
      </c>
      <c r="I332" s="2607">
        <v>0.69455</v>
      </c>
      <c r="J332" s="2607">
        <v>0.75219999999999998</v>
      </c>
      <c r="K332" s="2607">
        <v>0.77734999999999999</v>
      </c>
      <c r="L332" s="2607">
        <v>0.80249999999999999</v>
      </c>
      <c r="M332" s="2607">
        <v>0.82765</v>
      </c>
      <c r="N332" s="2607">
        <v>0.8528</v>
      </c>
      <c r="O332" s="400"/>
    </row>
    <row r="333" spans="1:16" ht="15.75" x14ac:dyDescent="0.2">
      <c r="A333" s="1615"/>
      <c r="B333" s="476"/>
      <c r="C333" s="107"/>
      <c r="D333" s="107"/>
      <c r="E333" s="107"/>
      <c r="F333" s="188"/>
      <c r="G333" s="188"/>
      <c r="H333" s="188"/>
      <c r="I333" s="188"/>
      <c r="J333" s="188"/>
      <c r="K333" s="188"/>
      <c r="L333" s="188"/>
      <c r="M333" s="188"/>
      <c r="N333" s="188"/>
      <c r="O333" s="188"/>
      <c r="P333" s="400"/>
    </row>
    <row r="334" spans="1:16" x14ac:dyDescent="0.2">
      <c r="A334" s="1615"/>
      <c r="B334" s="477"/>
      <c r="C334" s="1416"/>
      <c r="D334" s="177"/>
      <c r="E334" s="1416"/>
      <c r="F334" s="1416"/>
      <c r="G334" s="1416"/>
      <c r="H334" s="1416"/>
      <c r="I334" s="1416"/>
      <c r="J334" s="1416"/>
      <c r="K334" s="1416"/>
      <c r="L334" s="1416"/>
      <c r="M334" s="1416"/>
      <c r="N334" s="1416"/>
      <c r="O334" s="1416"/>
      <c r="P334" s="1420"/>
    </row>
    <row r="335" spans="1:16" x14ac:dyDescent="0.2">
      <c r="A335" s="1615"/>
      <c r="B335" s="471"/>
    </row>
    <row r="336" spans="1:16" ht="15.75" x14ac:dyDescent="0.25">
      <c r="B336" s="481" t="s">
        <v>279</v>
      </c>
    </row>
    <row r="337" spans="2:14" x14ac:dyDescent="0.2">
      <c r="B337" s="1427">
        <v>1</v>
      </c>
      <c r="C337" s="1451" t="s">
        <v>1078</v>
      </c>
    </row>
    <row r="338" spans="2:14" x14ac:dyDescent="0.2">
      <c r="B338" s="1427">
        <v>2</v>
      </c>
      <c r="C338" s="1451" t="s">
        <v>1079</v>
      </c>
    </row>
    <row r="339" spans="2:14" x14ac:dyDescent="0.2">
      <c r="B339" s="1427">
        <v>3</v>
      </c>
      <c r="C339" s="1451" t="s">
        <v>681</v>
      </c>
    </row>
    <row r="340" spans="2:14" x14ac:dyDescent="0.2">
      <c r="B340" s="1427">
        <v>4</v>
      </c>
      <c r="C340" s="1451" t="s">
        <v>1105</v>
      </c>
    </row>
    <row r="341" spans="2:14" x14ac:dyDescent="0.2">
      <c r="B341" s="1427">
        <v>5</v>
      </c>
      <c r="C341" s="1451" t="s">
        <v>689</v>
      </c>
    </row>
    <row r="342" spans="2:14" ht="15.75" x14ac:dyDescent="0.25">
      <c r="B342" s="481"/>
    </row>
    <row r="343" spans="2:14" x14ac:dyDescent="0.2">
      <c r="B343" s="1427">
        <v>1</v>
      </c>
      <c r="C343" s="1427" t="s">
        <v>1743</v>
      </c>
      <c r="F343" s="1427">
        <v>2010</v>
      </c>
      <c r="G343" s="1427">
        <v>2015</v>
      </c>
      <c r="H343" s="1427">
        <v>2020</v>
      </c>
      <c r="I343" s="1427">
        <v>2025</v>
      </c>
      <c r="J343" s="1427">
        <v>2030</v>
      </c>
      <c r="K343" s="1427">
        <v>2035</v>
      </c>
      <c r="L343" s="1427">
        <v>2040</v>
      </c>
      <c r="M343" s="1427">
        <v>2045</v>
      </c>
      <c r="N343" s="1427">
        <v>2050</v>
      </c>
    </row>
    <row r="344" spans="2:14" x14ac:dyDescent="0.2">
      <c r="B344" s="1063"/>
    </row>
    <row r="345" spans="2:14" x14ac:dyDescent="0.2">
      <c r="B345" s="1063"/>
      <c r="C345" s="1427" t="s">
        <v>1744</v>
      </c>
      <c r="E345" s="1426" t="s">
        <v>1038</v>
      </c>
      <c r="F345" s="1062">
        <f t="shared" ref="F345:N345" si="47">F$307*F$316</f>
        <v>1.9905552</v>
      </c>
      <c r="G345" s="1062">
        <f t="shared" si="47"/>
        <v>2.4791129999999999</v>
      </c>
      <c r="H345" s="1062">
        <f t="shared" si="47"/>
        <v>2.9676707999999996</v>
      </c>
      <c r="I345" s="1062">
        <f t="shared" si="47"/>
        <v>2.8341800999999998</v>
      </c>
      <c r="J345" s="1062">
        <f t="shared" si="47"/>
        <v>2.7006893999999999</v>
      </c>
      <c r="K345" s="1062">
        <f t="shared" si="47"/>
        <v>2.56038795</v>
      </c>
      <c r="L345" s="1062">
        <f t="shared" si="47"/>
        <v>2.4200865</v>
      </c>
      <c r="M345" s="1062">
        <f t="shared" si="47"/>
        <v>2.2797850499999996</v>
      </c>
      <c r="N345" s="1062">
        <f t="shared" si="47"/>
        <v>2.1394835999999997</v>
      </c>
    </row>
    <row r="346" spans="2:14" x14ac:dyDescent="0.2">
      <c r="B346" s="1063"/>
      <c r="C346" s="39" t="s">
        <v>1118</v>
      </c>
      <c r="D346" s="1451" t="s">
        <v>1072</v>
      </c>
      <c r="F346" s="23">
        <f t="array" ref="F346:F349">F345*$G$148:$G$151</f>
        <v>0.73650542399999996</v>
      </c>
      <c r="G346" s="23">
        <f t="array" ref="G346:G349">G345*$G$148:$G$151</f>
        <v>0.91727180999999991</v>
      </c>
      <c r="H346" s="23">
        <f t="array" ref="H346:H349">H345*$G$148:$G$151</f>
        <v>1.0980381959999999</v>
      </c>
      <c r="I346" s="23">
        <f t="array" ref="I346:I349">I345*$G$148:$G$151</f>
        <v>1.0486466369999998</v>
      </c>
      <c r="J346" s="23">
        <f t="array" ref="J346:J349">J345*$G$148:$G$151</f>
        <v>0.99925507799999991</v>
      </c>
      <c r="K346" s="23">
        <f t="array" ref="K346:K349">K345*$G$148:$G$151</f>
        <v>0.9473435415</v>
      </c>
      <c r="L346" s="23">
        <f t="array" ref="L346:L349">L345*$G$148:$G$151</f>
        <v>0.89543200499999998</v>
      </c>
      <c r="M346" s="23">
        <f t="array" ref="M346:M349">M345*$G$148:$G$151</f>
        <v>0.84352046849999984</v>
      </c>
      <c r="N346" s="23">
        <f t="array" ref="N346:N349">N345*$G$148:$G$151</f>
        <v>0.79160893199999993</v>
      </c>
    </row>
    <row r="347" spans="2:14" x14ac:dyDescent="0.2">
      <c r="B347" s="1063"/>
      <c r="D347" s="1451" t="s">
        <v>1073</v>
      </c>
      <c r="F347" s="23">
        <v>0.51754435200000004</v>
      </c>
      <c r="G347" s="23">
        <v>0.64456937999999997</v>
      </c>
      <c r="H347" s="23">
        <v>0.7715944079999999</v>
      </c>
      <c r="I347" s="23">
        <v>0.73688682599999999</v>
      </c>
      <c r="J347" s="23">
        <v>0.70217924399999998</v>
      </c>
      <c r="K347" s="23">
        <v>0.66570086699999997</v>
      </c>
      <c r="L347" s="23">
        <v>0.62922249000000008</v>
      </c>
      <c r="M347" s="23">
        <v>0.59274411299999996</v>
      </c>
      <c r="N347" s="23">
        <v>0.55626573599999996</v>
      </c>
    </row>
    <row r="348" spans="2:14" x14ac:dyDescent="0.2">
      <c r="B348" s="1063"/>
      <c r="D348" s="1451" t="s">
        <v>1074</v>
      </c>
      <c r="F348" s="23">
        <v>0.37820548799999998</v>
      </c>
      <c r="G348" s="23">
        <v>0.47103147000000001</v>
      </c>
      <c r="H348" s="23">
        <v>0.56385745199999993</v>
      </c>
      <c r="I348" s="23">
        <v>0.53849421899999994</v>
      </c>
      <c r="J348" s="23">
        <v>0.51313098599999996</v>
      </c>
      <c r="K348" s="23">
        <v>0.48647371049999999</v>
      </c>
      <c r="L348" s="23">
        <v>0.45981643500000002</v>
      </c>
      <c r="M348" s="23">
        <v>0.43315915949999995</v>
      </c>
      <c r="N348" s="23">
        <v>0.40650188399999992</v>
      </c>
    </row>
    <row r="349" spans="2:14" x14ac:dyDescent="0.2">
      <c r="B349" s="1063"/>
      <c r="D349" s="1451" t="s">
        <v>1075</v>
      </c>
      <c r="F349" s="23">
        <v>0.35829993599999999</v>
      </c>
      <c r="G349" s="23">
        <v>0.44624033999999996</v>
      </c>
      <c r="H349" s="23">
        <v>0.53418074399999993</v>
      </c>
      <c r="I349" s="23">
        <v>0.51015241799999989</v>
      </c>
      <c r="J349" s="23">
        <v>0.48612409199999995</v>
      </c>
      <c r="K349" s="23">
        <v>0.46086983099999995</v>
      </c>
      <c r="L349" s="23">
        <v>0.43561557000000001</v>
      </c>
      <c r="M349" s="23">
        <v>0.4103613089999999</v>
      </c>
      <c r="N349" s="23">
        <v>0.38510704799999995</v>
      </c>
    </row>
    <row r="350" spans="2:14" x14ac:dyDescent="0.2">
      <c r="B350" s="1063"/>
      <c r="F350" s="23"/>
      <c r="G350" s="23"/>
      <c r="H350" s="23"/>
      <c r="I350" s="23"/>
      <c r="J350" s="23"/>
      <c r="K350" s="23"/>
      <c r="L350" s="23"/>
      <c r="M350" s="23"/>
      <c r="N350" s="23"/>
    </row>
    <row r="351" spans="2:14" x14ac:dyDescent="0.2">
      <c r="B351" s="1063"/>
      <c r="C351" s="1427" t="s">
        <v>1120</v>
      </c>
      <c r="E351" s="1426" t="s">
        <v>1038</v>
      </c>
      <c r="F351" s="1062">
        <f t="shared" ref="F351:N351" si="48">F$308*F$317</f>
        <v>2.3156288000000003</v>
      </c>
      <c r="G351" s="1062">
        <f t="shared" si="48"/>
        <v>2.8839720000000004</v>
      </c>
      <c r="H351" s="1062">
        <f t="shared" si="48"/>
        <v>3.4523151999999997</v>
      </c>
      <c r="I351" s="1062">
        <f t="shared" si="48"/>
        <v>3.2970243999999997</v>
      </c>
      <c r="J351" s="1062">
        <f t="shared" si="48"/>
        <v>3.1417335999999998</v>
      </c>
      <c r="K351" s="1062">
        <f t="shared" si="48"/>
        <v>2.9785198000000004</v>
      </c>
      <c r="L351" s="1062">
        <f t="shared" si="48"/>
        <v>2.8153060000000001</v>
      </c>
      <c r="M351" s="1062">
        <f t="shared" si="48"/>
        <v>2.6520921999999998</v>
      </c>
      <c r="N351" s="1062">
        <f t="shared" si="48"/>
        <v>2.4888783999999999</v>
      </c>
    </row>
    <row r="352" spans="2:14" x14ac:dyDescent="0.2">
      <c r="B352" s="1063"/>
      <c r="C352" s="39" t="s">
        <v>1118</v>
      </c>
      <c r="D352" s="1451" t="s">
        <v>1072</v>
      </c>
      <c r="F352" s="23">
        <f t="array" ref="F352:F355">F351*$H$148:$H$151</f>
        <v>0.41681318400000006</v>
      </c>
      <c r="G352" s="23">
        <f t="array" ref="G352:G355">G351*$H$148:$H$151</f>
        <v>0.51911496000000001</v>
      </c>
      <c r="H352" s="23">
        <f t="array" ref="H352:H355">H351*$H$148:$H$151</f>
        <v>0.62141673599999991</v>
      </c>
      <c r="I352" s="23">
        <f t="array" ref="I352:I355">I351*$H$148:$H$151</f>
        <v>0.5934643919999999</v>
      </c>
      <c r="J352" s="23">
        <f t="array" ref="J352:J355">J351*$H$148:$H$151</f>
        <v>0.56551204799999999</v>
      </c>
      <c r="K352" s="23">
        <f t="array" ref="K352:K355">K351*$H$148:$H$151</f>
        <v>0.53613356400000001</v>
      </c>
      <c r="L352" s="23">
        <f t="array" ref="L352:L355">L351*$H$148:$H$151</f>
        <v>0.50675508000000002</v>
      </c>
      <c r="M352" s="23">
        <f t="array" ref="M352:M355">M351*$H$148:$H$151</f>
        <v>0.47737659599999993</v>
      </c>
      <c r="N352" s="23">
        <f t="array" ref="N352:N355">N351*$H$148:$H$151</f>
        <v>0.44799811199999995</v>
      </c>
    </row>
    <row r="353" spans="1:14" x14ac:dyDescent="0.2">
      <c r="B353" s="1063"/>
      <c r="D353" s="1451" t="s">
        <v>1073</v>
      </c>
      <c r="F353" s="23">
        <v>0.34734432000000004</v>
      </c>
      <c r="G353" s="23">
        <v>0.43259580000000003</v>
      </c>
      <c r="H353" s="23">
        <v>0.51784727999999991</v>
      </c>
      <c r="I353" s="23">
        <v>0.49455365999999995</v>
      </c>
      <c r="J353" s="23">
        <v>0.47126003999999994</v>
      </c>
      <c r="K353" s="23">
        <v>0.44677797000000002</v>
      </c>
      <c r="L353" s="23">
        <v>0.4222959</v>
      </c>
      <c r="M353" s="23">
        <v>0.39781382999999998</v>
      </c>
      <c r="N353" s="23">
        <v>0.37333175999999996</v>
      </c>
    </row>
    <row r="354" spans="1:14" x14ac:dyDescent="0.2">
      <c r="B354" s="1063"/>
      <c r="D354" s="1451" t="s">
        <v>1074</v>
      </c>
      <c r="F354" s="23">
        <v>9.2625152000000016E-2</v>
      </c>
      <c r="G354" s="23">
        <v>0.11535888000000002</v>
      </c>
      <c r="H354" s="23">
        <v>0.13809260799999998</v>
      </c>
      <c r="I354" s="23">
        <v>0.13188097599999998</v>
      </c>
      <c r="J354" s="23">
        <v>0.12566934399999999</v>
      </c>
      <c r="K354" s="23">
        <v>0.11914079200000002</v>
      </c>
      <c r="L354" s="23">
        <v>0.11261224</v>
      </c>
      <c r="M354" s="23">
        <v>0.106083688</v>
      </c>
      <c r="N354" s="23">
        <v>9.9555136000000002E-2</v>
      </c>
    </row>
    <row r="355" spans="1:14" x14ac:dyDescent="0.2">
      <c r="B355" s="1063"/>
      <c r="D355" s="1451" t="s">
        <v>1075</v>
      </c>
      <c r="F355" s="23">
        <v>1.4588461440000002</v>
      </c>
      <c r="G355" s="23">
        <v>1.8169023600000003</v>
      </c>
      <c r="H355" s="23">
        <v>2.1749585759999999</v>
      </c>
      <c r="I355" s="23">
        <v>2.0771253719999998</v>
      </c>
      <c r="J355" s="23">
        <v>1.979292168</v>
      </c>
      <c r="K355" s="23">
        <v>1.8764674740000002</v>
      </c>
      <c r="L355" s="23">
        <v>1.7736427800000001</v>
      </c>
      <c r="M355" s="23">
        <v>1.6708180859999999</v>
      </c>
      <c r="N355" s="23">
        <v>1.567993392</v>
      </c>
    </row>
    <row r="356" spans="1:14" x14ac:dyDescent="0.2">
      <c r="B356" s="1063"/>
      <c r="F356" s="23"/>
      <c r="G356" s="23"/>
      <c r="H356" s="23"/>
      <c r="I356" s="23"/>
      <c r="J356" s="23"/>
      <c r="K356" s="23"/>
      <c r="L356" s="23"/>
      <c r="M356" s="23"/>
      <c r="N356" s="23"/>
    </row>
    <row r="357" spans="1:14" x14ac:dyDescent="0.2">
      <c r="B357" s="1063"/>
      <c r="C357" s="1427" t="s">
        <v>1081</v>
      </c>
      <c r="E357" s="1426" t="s">
        <v>1038</v>
      </c>
      <c r="F357" s="1062">
        <f t="shared" ref="F357:N357" si="49">F$309*F$318</f>
        <v>3.9969999999999999E-2</v>
      </c>
      <c r="G357" s="1062">
        <f t="shared" si="49"/>
        <v>5.5619999999999996E-2</v>
      </c>
      <c r="H357" s="1062">
        <f t="shared" si="49"/>
        <v>7.3150000000000007E-2</v>
      </c>
      <c r="I357" s="1062">
        <f t="shared" si="49"/>
        <v>7.7625E-2</v>
      </c>
      <c r="J357" s="1062">
        <f t="shared" si="49"/>
        <v>8.2200000000000009E-2</v>
      </c>
      <c r="K357" s="1062">
        <f t="shared" si="49"/>
        <v>8.2710000000000006E-2</v>
      </c>
      <c r="L357" s="1062">
        <f t="shared" si="49"/>
        <v>8.3220000000000002E-2</v>
      </c>
      <c r="M357" s="1062">
        <f t="shared" si="49"/>
        <v>8.3729999999999999E-2</v>
      </c>
      <c r="N357" s="1062">
        <f t="shared" si="49"/>
        <v>8.4239999999999995E-2</v>
      </c>
    </row>
    <row r="358" spans="1:14" x14ac:dyDescent="0.2">
      <c r="B358" s="1063"/>
      <c r="C358" s="39" t="s">
        <v>1118</v>
      </c>
      <c r="D358" s="1451" t="s">
        <v>1072</v>
      </c>
      <c r="F358" s="23">
        <f t="array" ref="F358:F361">F357*$I$148:$I$151</f>
        <v>3.9969999999999999E-2</v>
      </c>
      <c r="G358" s="23">
        <f t="array" ref="G358:G361">G357*$I$148:$I$151</f>
        <v>5.5619999999999996E-2</v>
      </c>
      <c r="H358" s="23">
        <f t="array" ref="H358:H361">H357*$I$148:$I$151</f>
        <v>7.3150000000000007E-2</v>
      </c>
      <c r="I358" s="23">
        <f t="array" ref="I358:I361">I357*$I$148:$I$151</f>
        <v>7.7625E-2</v>
      </c>
      <c r="J358" s="23">
        <f t="array" ref="J358:J361">J357*$I$148:$I$151</f>
        <v>8.2200000000000009E-2</v>
      </c>
      <c r="K358" s="23">
        <f t="array" ref="K358:K361">K357*$I$148:$I$151</f>
        <v>8.2710000000000006E-2</v>
      </c>
      <c r="L358" s="23">
        <f t="array" ref="L358:L361">L357*$I$148:$I$151</f>
        <v>8.3220000000000002E-2</v>
      </c>
      <c r="M358" s="23">
        <f t="array" ref="M358:M361">M357*$I$148:$I$151</f>
        <v>8.3729999999999999E-2</v>
      </c>
      <c r="N358" s="23">
        <f t="array" ref="N358:N361">N357*$I$148:$I$151</f>
        <v>8.4239999999999995E-2</v>
      </c>
    </row>
    <row r="359" spans="1:14" x14ac:dyDescent="0.2">
      <c r="B359" s="1063"/>
      <c r="D359" s="1451" t="s">
        <v>1073</v>
      </c>
      <c r="F359" s="23">
        <v>0</v>
      </c>
      <c r="G359" s="23">
        <v>0</v>
      </c>
      <c r="H359" s="23">
        <v>0</v>
      </c>
      <c r="I359" s="23">
        <v>0</v>
      </c>
      <c r="J359" s="23">
        <v>0</v>
      </c>
      <c r="K359" s="23">
        <v>0</v>
      </c>
      <c r="L359" s="23">
        <v>0</v>
      </c>
      <c r="M359" s="23">
        <v>0</v>
      </c>
      <c r="N359" s="23">
        <v>0</v>
      </c>
    </row>
    <row r="360" spans="1:14" x14ac:dyDescent="0.2">
      <c r="B360" s="1063"/>
      <c r="D360" s="1451" t="s">
        <v>1074</v>
      </c>
      <c r="F360" s="23">
        <v>0</v>
      </c>
      <c r="G360" s="23">
        <v>0</v>
      </c>
      <c r="H360" s="23">
        <v>0</v>
      </c>
      <c r="I360" s="23">
        <v>0</v>
      </c>
      <c r="J360" s="23">
        <v>0</v>
      </c>
      <c r="K360" s="23">
        <v>0</v>
      </c>
      <c r="L360" s="23">
        <v>0</v>
      </c>
      <c r="M360" s="23">
        <v>0</v>
      </c>
      <c r="N360" s="23">
        <v>0</v>
      </c>
    </row>
    <row r="361" spans="1:14" x14ac:dyDescent="0.2">
      <c r="B361" s="1063"/>
      <c r="D361" s="1451" t="s">
        <v>1075</v>
      </c>
      <c r="F361" s="23">
        <v>0</v>
      </c>
      <c r="G361" s="23">
        <v>0</v>
      </c>
      <c r="H361" s="23">
        <v>0</v>
      </c>
      <c r="I361" s="23">
        <v>0</v>
      </c>
      <c r="J361" s="23">
        <v>0</v>
      </c>
      <c r="K361" s="23">
        <v>0</v>
      </c>
      <c r="L361" s="23">
        <v>0</v>
      </c>
      <c r="M361" s="23">
        <v>0</v>
      </c>
      <c r="N361" s="23">
        <v>0</v>
      </c>
    </row>
    <row r="362" spans="1:14" x14ac:dyDescent="0.2">
      <c r="B362" s="1063"/>
    </row>
    <row r="363" spans="1:14" ht="22.5" x14ac:dyDescent="0.3">
      <c r="A363" s="1422"/>
      <c r="B363" s="1063"/>
      <c r="C363" s="1427" t="s">
        <v>1088</v>
      </c>
      <c r="E363" s="1427"/>
    </row>
    <row r="364" spans="1:14" x14ac:dyDescent="0.2">
      <c r="B364" s="1063"/>
      <c r="C364" s="39" t="s">
        <v>1118</v>
      </c>
      <c r="D364" s="20" t="s">
        <v>1072</v>
      </c>
      <c r="E364" s="20" t="str">
        <f>Preferences.EnergyUnits</f>
        <v>TWh</v>
      </c>
      <c r="F364" s="136">
        <f t="shared" ref="F364:N364" si="50">(F346+F352+F358)*INDEX($F$156:$F$161, MATCH($D364, $C$156:$C$161, 0))</f>
        <v>5.3035049244444448</v>
      </c>
      <c r="G364" s="136">
        <f t="shared" si="50"/>
        <v>6.6311412000000001</v>
      </c>
      <c r="H364" s="136">
        <f t="shared" si="50"/>
        <v>7.9671330311111106</v>
      </c>
      <c r="I364" s="136">
        <f t="shared" si="50"/>
        <v>7.6432712399999989</v>
      </c>
      <c r="J364" s="136">
        <f t="shared" si="50"/>
        <v>7.3198538933333337</v>
      </c>
      <c r="K364" s="136">
        <f t="shared" si="50"/>
        <v>6.9608315800000007</v>
      </c>
      <c r="L364" s="136">
        <f t="shared" si="50"/>
        <v>6.6018092666666677</v>
      </c>
      <c r="M364" s="136">
        <f t="shared" si="50"/>
        <v>6.2427869533333329</v>
      </c>
      <c r="N364" s="136">
        <f t="shared" si="50"/>
        <v>5.8837646400000008</v>
      </c>
    </row>
    <row r="365" spans="1:14" x14ac:dyDescent="0.2">
      <c r="B365" s="1063"/>
      <c r="D365" s="20" t="s">
        <v>1073</v>
      </c>
      <c r="E365" s="20" t="str">
        <f>Preferences.EnergyUnits</f>
        <v>TWh</v>
      </c>
      <c r="F365" s="136">
        <f t="shared" ref="F365:N365" si="51">(F347+F353+F359)*INDEX($F$156:$F$161, MATCH($D365, $C$156:$C$161, 0))</f>
        <v>1.2012342666666667</v>
      </c>
      <c r="G365" s="136">
        <f t="shared" si="51"/>
        <v>1.4960627499999999</v>
      </c>
      <c r="H365" s="136">
        <f t="shared" si="51"/>
        <v>1.7908912333333329</v>
      </c>
      <c r="I365" s="136">
        <f t="shared" si="51"/>
        <v>1.7103340083333332</v>
      </c>
      <c r="J365" s="136">
        <f t="shared" si="51"/>
        <v>1.629776783333333</v>
      </c>
      <c r="K365" s="136">
        <f t="shared" si="51"/>
        <v>1.5451094958333333</v>
      </c>
      <c r="L365" s="136">
        <f t="shared" si="51"/>
        <v>1.4604422083333333</v>
      </c>
      <c r="M365" s="136">
        <f t="shared" si="51"/>
        <v>1.3757749208333332</v>
      </c>
      <c r="N365" s="136">
        <f t="shared" si="51"/>
        <v>1.2911076333333333</v>
      </c>
    </row>
    <row r="366" spans="1:14" x14ac:dyDescent="0.2">
      <c r="B366" s="1063"/>
      <c r="D366" s="20" t="s">
        <v>1074</v>
      </c>
      <c r="E366" s="20" t="str">
        <f>Preferences.EnergyUnits</f>
        <v>TWh</v>
      </c>
      <c r="F366" s="136">
        <f t="shared" ref="F366:N366" si="52">(F348+F354+F360)*INDEX($F$156:$F$161, MATCH($D366, $C$156:$C$161, 0))</f>
        <v>3.9235886666666668</v>
      </c>
      <c r="G366" s="136">
        <f t="shared" si="52"/>
        <v>4.8865862500000006</v>
      </c>
      <c r="H366" s="136">
        <f t="shared" si="52"/>
        <v>5.849583833333333</v>
      </c>
      <c r="I366" s="136">
        <f t="shared" si="52"/>
        <v>5.5864599583333323</v>
      </c>
      <c r="J366" s="136">
        <f t="shared" si="52"/>
        <v>5.3233360833333334</v>
      </c>
      <c r="K366" s="136">
        <f t="shared" si="52"/>
        <v>5.0467875208333339</v>
      </c>
      <c r="L366" s="136">
        <f t="shared" si="52"/>
        <v>4.7702389583333344</v>
      </c>
      <c r="M366" s="136">
        <f t="shared" si="52"/>
        <v>4.4936903958333332</v>
      </c>
      <c r="N366" s="136">
        <f t="shared" si="52"/>
        <v>4.2171418333333337</v>
      </c>
    </row>
    <row r="367" spans="1:14" x14ac:dyDescent="0.2">
      <c r="B367" s="1063"/>
    </row>
    <row r="368" spans="1:14" x14ac:dyDescent="0.2">
      <c r="B368" s="1063"/>
      <c r="C368" s="1066" t="s">
        <v>1188</v>
      </c>
      <c r="D368" s="1067"/>
      <c r="E368" s="1067"/>
      <c r="F368" s="1067"/>
      <c r="G368" s="1067"/>
      <c r="H368" s="1067"/>
      <c r="I368" s="1067"/>
      <c r="J368" s="1067"/>
      <c r="K368" s="1067"/>
      <c r="L368" s="1067"/>
      <c r="M368" s="1067"/>
      <c r="N368" s="1067"/>
    </row>
    <row r="369" spans="2:14" x14ac:dyDescent="0.2">
      <c r="B369" s="1063"/>
      <c r="C369" s="1068" t="s">
        <v>296</v>
      </c>
      <c r="D369" s="591" t="str">
        <f>INDEX(Vectors[Description], MATCH(C369, Vectors[Code], 0))</f>
        <v>Dry biomass and waste</v>
      </c>
      <c r="E369" s="591" t="str">
        <f>Preferences.EnergyUnits</f>
        <v>TWh</v>
      </c>
      <c r="F369" s="1069">
        <f t="shared" ref="F369:N369" si="53">F364+F365</f>
        <v>6.5047391911111117</v>
      </c>
      <c r="G369" s="1069">
        <f t="shared" si="53"/>
        <v>8.1272039500000002</v>
      </c>
      <c r="H369" s="1069">
        <f t="shared" si="53"/>
        <v>9.7580242644444439</v>
      </c>
      <c r="I369" s="1069">
        <f t="shared" si="53"/>
        <v>9.3536052483333325</v>
      </c>
      <c r="J369" s="1069">
        <f t="shared" si="53"/>
        <v>8.9496306766666667</v>
      </c>
      <c r="K369" s="1069">
        <f t="shared" si="53"/>
        <v>8.5059410758333343</v>
      </c>
      <c r="L369" s="1069">
        <f t="shared" si="53"/>
        <v>8.0622514750000001</v>
      </c>
      <c r="M369" s="1069">
        <f t="shared" si="53"/>
        <v>7.6185618741666659</v>
      </c>
      <c r="N369" s="1069">
        <f t="shared" si="53"/>
        <v>7.1748722733333343</v>
      </c>
    </row>
    <row r="370" spans="2:14" x14ac:dyDescent="0.2">
      <c r="B370" s="1063"/>
      <c r="C370" s="1070" t="s">
        <v>36</v>
      </c>
      <c r="D370" s="1071" t="str">
        <f>INDEX(Vectors[Description], MATCH(C370, Vectors[Code], 0))</f>
        <v>Solid hydrocarbons</v>
      </c>
      <c r="E370" s="1071" t="str">
        <f>Preferences.EnergyUnits</f>
        <v>TWh</v>
      </c>
      <c r="F370" s="1072">
        <f t="shared" ref="F370:N370" si="54">F366</f>
        <v>3.9235886666666668</v>
      </c>
      <c r="G370" s="1072">
        <f t="shared" si="54"/>
        <v>4.8865862500000006</v>
      </c>
      <c r="H370" s="1072">
        <f t="shared" si="54"/>
        <v>5.849583833333333</v>
      </c>
      <c r="I370" s="1072">
        <f t="shared" si="54"/>
        <v>5.5864599583333323</v>
      </c>
      <c r="J370" s="1072">
        <f t="shared" si="54"/>
        <v>5.3233360833333334</v>
      </c>
      <c r="K370" s="1072">
        <f t="shared" si="54"/>
        <v>5.0467875208333339</v>
      </c>
      <c r="L370" s="1072">
        <f t="shared" si="54"/>
        <v>4.7702389583333344</v>
      </c>
      <c r="M370" s="1072">
        <f t="shared" si="54"/>
        <v>4.4936903958333332</v>
      </c>
      <c r="N370" s="1072">
        <f t="shared" si="54"/>
        <v>4.2171418333333337</v>
      </c>
    </row>
    <row r="371" spans="2:14" x14ac:dyDescent="0.2">
      <c r="B371" s="1063"/>
      <c r="C371" s="1427"/>
      <c r="D371" s="1427"/>
      <c r="E371" s="1427"/>
      <c r="F371" s="1062"/>
      <c r="G371" s="1062"/>
      <c r="H371" s="1062"/>
      <c r="I371" s="1062"/>
      <c r="J371" s="1062"/>
      <c r="K371" s="1062"/>
      <c r="L371" s="1062"/>
      <c r="M371" s="1062"/>
      <c r="N371" s="1062"/>
    </row>
    <row r="372" spans="2:14" x14ac:dyDescent="0.2">
      <c r="B372" s="1063"/>
    </row>
    <row r="373" spans="2:14" x14ac:dyDescent="0.2">
      <c r="B373" s="1427">
        <v>2</v>
      </c>
      <c r="C373" s="1427" t="s">
        <v>1083</v>
      </c>
      <c r="F373" s="1427">
        <v>2010</v>
      </c>
      <c r="G373" s="1427">
        <v>2015</v>
      </c>
      <c r="H373" s="1427">
        <v>2020</v>
      </c>
      <c r="I373" s="1427">
        <v>2025</v>
      </c>
      <c r="J373" s="1427">
        <v>2030</v>
      </c>
      <c r="K373" s="1427">
        <v>2035</v>
      </c>
      <c r="L373" s="1427">
        <v>2040</v>
      </c>
      <c r="M373" s="1427">
        <v>2045</v>
      </c>
      <c r="N373" s="1427">
        <v>2050</v>
      </c>
    </row>
    <row r="374" spans="2:14" x14ac:dyDescent="0.2">
      <c r="B374" s="1063"/>
    </row>
    <row r="375" spans="2:14" x14ac:dyDescent="0.2">
      <c r="B375" s="1063"/>
      <c r="C375" s="1583" t="s">
        <v>1745</v>
      </c>
      <c r="E375" s="1451" t="s">
        <v>1038</v>
      </c>
      <c r="F375" s="1062">
        <f t="shared" ref="F375:N375" si="55">F$307*F$331</f>
        <v>9.1118754000000006</v>
      </c>
      <c r="G375" s="1062">
        <f t="shared" si="55"/>
        <v>10.339626600000001</v>
      </c>
      <c r="H375" s="1062">
        <f t="shared" si="55"/>
        <v>11.567377799999999</v>
      </c>
      <c r="I375" s="1062">
        <f t="shared" si="55"/>
        <v>12.614417099999999</v>
      </c>
      <c r="J375" s="1062">
        <f t="shared" si="55"/>
        <v>13.661456399999999</v>
      </c>
      <c r="K375" s="1062">
        <f t="shared" si="55"/>
        <v>14.1182307</v>
      </c>
      <c r="L375" s="1062">
        <f t="shared" si="55"/>
        <v>14.575004999999999</v>
      </c>
      <c r="M375" s="1062">
        <f t="shared" si="55"/>
        <v>15.031779299999998</v>
      </c>
      <c r="N375" s="1062">
        <f t="shared" si="55"/>
        <v>15.488553599999999</v>
      </c>
    </row>
    <row r="376" spans="2:14" x14ac:dyDescent="0.2">
      <c r="B376" s="1063"/>
      <c r="C376" s="39" t="s">
        <v>1118</v>
      </c>
      <c r="D376" s="1451" t="s">
        <v>1087</v>
      </c>
      <c r="F376" s="23">
        <f t="shared" ref="F376:N376" si="56">F375*$G$149*F101</f>
        <v>0</v>
      </c>
      <c r="G376" s="23">
        <f t="shared" si="56"/>
        <v>0.25122190750020007</v>
      </c>
      <c r="H376" s="23">
        <f t="shared" si="56"/>
        <v>0.56210515681320006</v>
      </c>
      <c r="I376" s="23">
        <f t="shared" si="56"/>
        <v>0.77385664583369995</v>
      </c>
      <c r="J376" s="23">
        <f t="shared" si="56"/>
        <v>1.0123139192399999</v>
      </c>
      <c r="K376" s="23">
        <f t="shared" si="56"/>
        <v>1.0687359457593002</v>
      </c>
      <c r="L376" s="23">
        <f t="shared" si="56"/>
        <v>1.12661873649</v>
      </c>
      <c r="M376" s="23">
        <f t="shared" si="56"/>
        <v>1.1859622914321</v>
      </c>
      <c r="N376" s="23">
        <f t="shared" si="56"/>
        <v>1.2467666105855999</v>
      </c>
    </row>
    <row r="377" spans="2:14" x14ac:dyDescent="0.2">
      <c r="B377" s="1429"/>
    </row>
    <row r="378" spans="2:14" x14ac:dyDescent="0.2">
      <c r="B378" s="1065"/>
      <c r="C378" s="1451" t="s">
        <v>1119</v>
      </c>
      <c r="E378" s="1451" t="s">
        <v>1038</v>
      </c>
      <c r="F378" s="1062">
        <f t="shared" ref="F378:N378" si="57">F$308*F$332</f>
        <v>10.599917600000001</v>
      </c>
      <c r="G378" s="1062">
        <f t="shared" si="57"/>
        <v>12.0281704</v>
      </c>
      <c r="H378" s="1062">
        <f t="shared" si="57"/>
        <v>13.4564232</v>
      </c>
      <c r="I378" s="1062">
        <f t="shared" si="57"/>
        <v>14.6744524</v>
      </c>
      <c r="J378" s="1062">
        <f t="shared" si="57"/>
        <v>15.8924816</v>
      </c>
      <c r="K378" s="1062">
        <f t="shared" si="57"/>
        <v>16.4238508</v>
      </c>
      <c r="L378" s="1062">
        <f t="shared" si="57"/>
        <v>16.955220000000001</v>
      </c>
      <c r="M378" s="1062">
        <f t="shared" si="57"/>
        <v>17.486589200000001</v>
      </c>
      <c r="N378" s="1062">
        <f t="shared" si="57"/>
        <v>18.017958400000001</v>
      </c>
    </row>
    <row r="379" spans="2:14" x14ac:dyDescent="0.2">
      <c r="B379" s="1063"/>
      <c r="C379" s="39" t="s">
        <v>1118</v>
      </c>
      <c r="D379" s="1451" t="s">
        <v>1087</v>
      </c>
      <c r="F379" s="23">
        <f t="shared" ref="F379:N379" si="58">F378*$H$149*F101</f>
        <v>0</v>
      </c>
      <c r="G379" s="23">
        <f t="shared" si="58"/>
        <v>0.16860487858199999</v>
      </c>
      <c r="H379" s="23">
        <f t="shared" si="58"/>
        <v>0.37725082441199997</v>
      </c>
      <c r="I379" s="23">
        <f t="shared" si="58"/>
        <v>0.51936555656700001</v>
      </c>
      <c r="J379" s="23">
        <f t="shared" si="58"/>
        <v>0.67940358839999992</v>
      </c>
      <c r="K379" s="23">
        <f t="shared" si="58"/>
        <v>0.71727062406300013</v>
      </c>
      <c r="L379" s="23">
        <f t="shared" si="58"/>
        <v>0.75611803590000004</v>
      </c>
      <c r="M379" s="23">
        <f t="shared" si="58"/>
        <v>0.79594582391100011</v>
      </c>
      <c r="N379" s="23">
        <f t="shared" si="58"/>
        <v>0.8367539880960001</v>
      </c>
    </row>
    <row r="380" spans="2:14" x14ac:dyDescent="0.2">
      <c r="B380" s="1063"/>
    </row>
    <row r="381" spans="2:14" x14ac:dyDescent="0.2">
      <c r="B381" s="1063"/>
      <c r="C381" s="1066" t="s">
        <v>1089</v>
      </c>
      <c r="D381" s="1067"/>
      <c r="E381" s="1067"/>
      <c r="F381" s="1067"/>
      <c r="G381" s="1067"/>
      <c r="H381" s="1067"/>
      <c r="I381" s="1067"/>
      <c r="J381" s="1067"/>
      <c r="K381" s="1067"/>
      <c r="L381" s="1067"/>
      <c r="M381" s="1067"/>
      <c r="N381" s="1067"/>
    </row>
    <row r="382" spans="2:14" x14ac:dyDescent="0.2">
      <c r="B382" s="1063"/>
      <c r="C382" s="1073" t="s">
        <v>383</v>
      </c>
      <c r="D382" s="1071" t="str">
        <f>INDEX(Vectors[Description], MATCH(C382, Vectors[Code], 0))</f>
        <v>Wet biomass and waste</v>
      </c>
      <c r="E382" s="580" t="str">
        <f>Preferences.EnergyUnits</f>
        <v>TWh</v>
      </c>
      <c r="F382" s="1074">
        <f t="shared" ref="F382:N382" si="59">(F$376+F$379)*$F$157</f>
        <v>0</v>
      </c>
      <c r="G382" s="1074">
        <f t="shared" si="59"/>
        <v>0.58309275844749997</v>
      </c>
      <c r="H382" s="1074">
        <f t="shared" si="59"/>
        <v>1.304661085035</v>
      </c>
      <c r="I382" s="1074">
        <f t="shared" si="59"/>
        <v>1.7961419477787497</v>
      </c>
      <c r="J382" s="1074">
        <f t="shared" si="59"/>
        <v>2.3496076494999998</v>
      </c>
      <c r="K382" s="1074">
        <f t="shared" si="59"/>
        <v>2.4805646803087504</v>
      </c>
      <c r="L382" s="1074">
        <f t="shared" si="59"/>
        <v>2.614912183875</v>
      </c>
      <c r="M382" s="1074">
        <f t="shared" si="59"/>
        <v>2.7526501601987503</v>
      </c>
      <c r="N382" s="1074">
        <f t="shared" si="59"/>
        <v>2.8937786092799995</v>
      </c>
    </row>
    <row r="383" spans="2:14" x14ac:dyDescent="0.2">
      <c r="B383" s="1063"/>
    </row>
    <row r="384" spans="2:14" x14ac:dyDescent="0.2">
      <c r="B384" s="1063"/>
    </row>
    <row r="385" spans="1:16" x14ac:dyDescent="0.2">
      <c r="B385" s="1063"/>
    </row>
    <row r="386" spans="1:16" x14ac:dyDescent="0.2">
      <c r="B386" s="1427">
        <v>3</v>
      </c>
      <c r="C386" s="1427" t="s">
        <v>824</v>
      </c>
    </row>
    <row r="388" spans="1:16" ht="14.25" x14ac:dyDescent="0.25">
      <c r="C388" s="1427" t="s">
        <v>1093</v>
      </c>
      <c r="E388" s="1427" t="s">
        <v>680</v>
      </c>
      <c r="F388" s="114">
        <f t="shared" ref="F388:N388" si="60">F$311</f>
        <v>2.4992783483792538</v>
      </c>
      <c r="G388" s="114">
        <f t="shared" si="60"/>
        <v>2.0584815914128893</v>
      </c>
      <c r="H388" s="114">
        <f t="shared" si="60"/>
        <v>1.6176848344465247</v>
      </c>
      <c r="I388" s="114">
        <f t="shared" si="60"/>
        <v>1.303988942885755</v>
      </c>
      <c r="J388" s="114">
        <f t="shared" si="60"/>
        <v>0.99029305132498524</v>
      </c>
      <c r="K388" s="114">
        <f t="shared" si="60"/>
        <v>0.83117157114623563</v>
      </c>
      <c r="L388" s="114">
        <f t="shared" si="60"/>
        <v>0.67205009096748602</v>
      </c>
      <c r="M388" s="114">
        <f t="shared" si="60"/>
        <v>0.51292861078873653</v>
      </c>
      <c r="N388" s="114">
        <f t="shared" si="60"/>
        <v>0.35380713060998692</v>
      </c>
    </row>
    <row r="389" spans="1:16" x14ac:dyDescent="0.2">
      <c r="B389" s="1076" t="s">
        <v>345</v>
      </c>
      <c r="C389" s="39" t="s">
        <v>1092</v>
      </c>
      <c r="D389" s="39"/>
      <c r="E389" s="39"/>
      <c r="F389" s="710">
        <f t="shared" ref="F389:N389" si="61">F128</f>
        <v>0.75</v>
      </c>
      <c r="G389" s="710">
        <f t="shared" si="61"/>
        <v>0.75</v>
      </c>
      <c r="H389" s="710">
        <f t="shared" si="61"/>
        <v>0.75</v>
      </c>
      <c r="I389" s="710">
        <f t="shared" si="61"/>
        <v>0.76666666666666661</v>
      </c>
      <c r="J389" s="710">
        <f t="shared" si="61"/>
        <v>0.78333333333333333</v>
      </c>
      <c r="K389" s="710">
        <f t="shared" si="61"/>
        <v>0.8</v>
      </c>
      <c r="L389" s="710">
        <f t="shared" si="61"/>
        <v>0.81666666666666665</v>
      </c>
      <c r="M389" s="710">
        <f t="shared" si="61"/>
        <v>0.83333333333333326</v>
      </c>
      <c r="N389" s="710">
        <f t="shared" si="61"/>
        <v>0.85</v>
      </c>
      <c r="O389" s="39"/>
      <c r="P389" s="39"/>
    </row>
    <row r="390" spans="1:16" x14ac:dyDescent="0.2">
      <c r="B390" s="1076" t="s">
        <v>345</v>
      </c>
      <c r="C390" s="39" t="s">
        <v>1094</v>
      </c>
      <c r="D390" s="39"/>
      <c r="E390" s="39"/>
      <c r="F390" s="710">
        <f t="shared" ref="F390:N390" si="62">F137</f>
        <v>0.4279069767441861</v>
      </c>
      <c r="G390" s="710">
        <f t="shared" si="62"/>
        <v>0.47441860465116281</v>
      </c>
      <c r="H390" s="710">
        <f t="shared" si="62"/>
        <v>0.52093023255813953</v>
      </c>
      <c r="I390" s="710">
        <f t="shared" si="62"/>
        <v>0.56744186046511635</v>
      </c>
      <c r="J390" s="710">
        <f t="shared" si="62"/>
        <v>0.61395348837209307</v>
      </c>
      <c r="K390" s="710">
        <f t="shared" si="62"/>
        <v>0.66046511627906979</v>
      </c>
      <c r="L390" s="710">
        <f t="shared" si="62"/>
        <v>0.7069767441860465</v>
      </c>
      <c r="M390" s="710">
        <f t="shared" si="62"/>
        <v>0.75348837209302322</v>
      </c>
      <c r="N390" s="710">
        <f t="shared" si="62"/>
        <v>0.8</v>
      </c>
      <c r="O390" s="39"/>
      <c r="P390" s="39"/>
    </row>
    <row r="391" spans="1:16" ht="14.25" x14ac:dyDescent="0.25">
      <c r="B391" s="586" t="s">
        <v>346</v>
      </c>
      <c r="C391" s="1427" t="s">
        <v>1097</v>
      </c>
      <c r="D391" s="1427"/>
      <c r="E391" s="1427" t="s">
        <v>680</v>
      </c>
      <c r="F391" s="114">
        <f t="shared" ref="F391:N391" si="63">F388*F389*F390</f>
        <v>0.80209398157287692</v>
      </c>
      <c r="G391" s="114">
        <f t="shared" si="63"/>
        <v>0.73243647322365601</v>
      </c>
      <c r="H391" s="114">
        <f t="shared" si="63"/>
        <v>0.63202570276050263</v>
      </c>
      <c r="I391" s="114">
        <f t="shared" si="63"/>
        <v>0.56728573236239199</v>
      </c>
      <c r="J391" s="114">
        <f t="shared" si="63"/>
        <v>0.47626186747443483</v>
      </c>
      <c r="K391" s="114">
        <f t="shared" si="63"/>
        <v>0.43916786270796454</v>
      </c>
      <c r="L391" s="114">
        <f t="shared" si="63"/>
        <v>0.38801775794773924</v>
      </c>
      <c r="M391" s="114">
        <f t="shared" si="63"/>
        <v>0.32207145328595083</v>
      </c>
      <c r="N391" s="114">
        <f t="shared" si="63"/>
        <v>0.24058884881479112</v>
      </c>
    </row>
    <row r="392" spans="1:16" x14ac:dyDescent="0.2">
      <c r="B392" s="586"/>
      <c r="C392" s="1427"/>
      <c r="D392" s="1427"/>
      <c r="E392" s="1427"/>
      <c r="F392" s="114"/>
      <c r="G392" s="114"/>
      <c r="H392" s="114"/>
      <c r="I392" s="114"/>
      <c r="J392" s="114"/>
      <c r="K392" s="114"/>
      <c r="L392" s="114"/>
      <c r="M392" s="114"/>
      <c r="N392" s="114"/>
    </row>
    <row r="393" spans="1:16" x14ac:dyDescent="0.2">
      <c r="B393" s="1076" t="s">
        <v>345</v>
      </c>
      <c r="C393" s="39" t="s">
        <v>1095</v>
      </c>
      <c r="D393" s="39"/>
      <c r="E393" s="371"/>
      <c r="F393" s="710">
        <f t="shared" ref="F393:N393" si="64">(1-F389)</f>
        <v>0.25</v>
      </c>
      <c r="G393" s="710">
        <f t="shared" si="64"/>
        <v>0.25</v>
      </c>
      <c r="H393" s="710">
        <f t="shared" si="64"/>
        <v>0.25</v>
      </c>
      <c r="I393" s="710">
        <f t="shared" si="64"/>
        <v>0.23333333333333339</v>
      </c>
      <c r="J393" s="710">
        <f t="shared" si="64"/>
        <v>0.21666666666666667</v>
      </c>
      <c r="K393" s="710">
        <f t="shared" si="64"/>
        <v>0.19999999999999996</v>
      </c>
      <c r="L393" s="710">
        <f t="shared" si="64"/>
        <v>0.18333333333333335</v>
      </c>
      <c r="M393" s="710">
        <f t="shared" si="64"/>
        <v>0.16666666666666674</v>
      </c>
      <c r="N393" s="710">
        <f t="shared" si="64"/>
        <v>0.15000000000000002</v>
      </c>
      <c r="O393" s="39"/>
      <c r="P393" s="39"/>
    </row>
    <row r="394" spans="1:16" ht="14.25" x14ac:dyDescent="0.25">
      <c r="B394" s="586" t="s">
        <v>346</v>
      </c>
      <c r="C394" s="1427" t="s">
        <v>1096</v>
      </c>
      <c r="E394" s="1427" t="s">
        <v>676</v>
      </c>
      <c r="F394" s="114">
        <f t="shared" ref="F394:N394" si="65">F388*F393*GWP.CH4</f>
        <v>13.121211328991082</v>
      </c>
      <c r="G394" s="114">
        <f t="shared" si="65"/>
        <v>10.807028354917669</v>
      </c>
      <c r="H394" s="114">
        <f t="shared" si="65"/>
        <v>8.4928453808442548</v>
      </c>
      <c r="I394" s="114">
        <f t="shared" si="65"/>
        <v>6.3895458201402011</v>
      </c>
      <c r="J394" s="114">
        <f t="shared" si="65"/>
        <v>4.5058333835286835</v>
      </c>
      <c r="K394" s="114">
        <f t="shared" si="65"/>
        <v>3.4909205988141889</v>
      </c>
      <c r="L394" s="114">
        <f t="shared" si="65"/>
        <v>2.5873928502248216</v>
      </c>
      <c r="M394" s="114">
        <f t="shared" si="65"/>
        <v>1.7952501377605785</v>
      </c>
      <c r="N394" s="114">
        <f t="shared" si="65"/>
        <v>1.1144924614214589</v>
      </c>
    </row>
    <row r="395" spans="1:16" x14ac:dyDescent="0.2">
      <c r="B395" s="586"/>
      <c r="C395" s="1427"/>
      <c r="F395" s="136"/>
      <c r="G395" s="136"/>
      <c r="H395" s="136"/>
      <c r="I395" s="136"/>
      <c r="J395" s="136"/>
      <c r="K395" s="136"/>
      <c r="L395" s="136"/>
      <c r="M395" s="136"/>
      <c r="N395" s="136"/>
    </row>
    <row r="396" spans="1:16" x14ac:dyDescent="0.2">
      <c r="B396" s="586"/>
      <c r="C396" s="1066" t="s">
        <v>1089</v>
      </c>
      <c r="D396" s="1067"/>
      <c r="E396" s="1067"/>
      <c r="F396" s="1067"/>
      <c r="G396" s="1067"/>
      <c r="H396" s="1067"/>
      <c r="I396" s="1067"/>
      <c r="J396" s="1067"/>
      <c r="K396" s="1067"/>
      <c r="L396" s="1067"/>
      <c r="M396" s="1067"/>
      <c r="N396" s="1067"/>
    </row>
    <row r="397" spans="1:16" ht="22.5" x14ac:dyDescent="0.3">
      <c r="A397" s="1422"/>
      <c r="B397" s="586"/>
      <c r="C397" s="1073" t="s">
        <v>1164</v>
      </c>
      <c r="D397" s="1071" t="str">
        <f>INDEX(Vectors[Description], MATCH(C397, Vectors[Code], 0))</f>
        <v>Gaseous waste</v>
      </c>
      <c r="E397" s="580" t="str">
        <f>Preferences.EnergyUnits</f>
        <v>TWh</v>
      </c>
      <c r="F397" s="1074">
        <f t="shared" ref="F397:N397" si="66">F391*$F$172</f>
        <v>12.32445930299996</v>
      </c>
      <c r="G397" s="1074">
        <f t="shared" si="66"/>
        <v>11.254146912530599</v>
      </c>
      <c r="H397" s="1074">
        <f t="shared" si="66"/>
        <v>9.7112997118455926</v>
      </c>
      <c r="I397" s="1074">
        <f t="shared" si="66"/>
        <v>8.716547040987356</v>
      </c>
      <c r="J397" s="1074">
        <f t="shared" si="66"/>
        <v>7.3179329830517172</v>
      </c>
      <c r="K397" s="1074">
        <f t="shared" si="66"/>
        <v>6.7479704068045194</v>
      </c>
      <c r="L397" s="1074">
        <f t="shared" si="66"/>
        <v>5.9620308549013927</v>
      </c>
      <c r="M397" s="1074">
        <f t="shared" si="66"/>
        <v>4.9487424290318085</v>
      </c>
      <c r="N397" s="1074">
        <f t="shared" si="66"/>
        <v>3.6967332308852345</v>
      </c>
    </row>
    <row r="398" spans="1:16" x14ac:dyDescent="0.2">
      <c r="A398" s="20"/>
      <c r="B398" s="586"/>
      <c r="C398" s="1427"/>
      <c r="F398" s="136"/>
      <c r="G398" s="136"/>
      <c r="H398" s="136"/>
      <c r="I398" s="136"/>
      <c r="J398" s="136"/>
      <c r="K398" s="136"/>
      <c r="L398" s="136"/>
      <c r="M398" s="136"/>
      <c r="N398" s="136"/>
    </row>
    <row r="399" spans="1:16" x14ac:dyDescent="0.2">
      <c r="A399" s="20"/>
      <c r="B399" s="39"/>
      <c r="C399" s="39"/>
      <c r="D399" s="39"/>
      <c r="E399" s="39"/>
      <c r="F399" s="366"/>
      <c r="G399" s="366"/>
      <c r="H399" s="366"/>
      <c r="I399" s="366"/>
      <c r="J399" s="366"/>
      <c r="K399" s="366"/>
      <c r="L399" s="366"/>
      <c r="M399" s="366"/>
      <c r="N399" s="366"/>
      <c r="O399" s="39"/>
      <c r="P399" s="39"/>
    </row>
    <row r="400" spans="1:16" s="39" customFormat="1" x14ac:dyDescent="0.2">
      <c r="A400" s="20"/>
      <c r="B400" s="1427">
        <v>4</v>
      </c>
      <c r="C400" s="1427" t="s">
        <v>1106</v>
      </c>
      <c r="D400" s="1451"/>
      <c r="E400" s="1451"/>
      <c r="F400" s="1451"/>
      <c r="G400" s="1451"/>
      <c r="H400" s="1451"/>
      <c r="I400" s="1451"/>
      <c r="J400" s="1451"/>
      <c r="K400" s="1451"/>
      <c r="L400" s="1451"/>
      <c r="M400" s="1451"/>
      <c r="N400" s="1451"/>
      <c r="O400" s="1451"/>
      <c r="P400" s="1451"/>
    </row>
    <row r="401" spans="1:16" s="39" customFormat="1" x14ac:dyDescent="0.2">
      <c r="A401" s="20"/>
      <c r="B401" s="1451"/>
      <c r="C401" s="1427"/>
      <c r="D401" s="1451"/>
      <c r="E401" s="1451"/>
      <c r="F401" s="114"/>
      <c r="G401" s="114"/>
      <c r="H401" s="114"/>
      <c r="I401" s="114"/>
      <c r="J401" s="114"/>
      <c r="K401" s="114"/>
      <c r="L401" s="114"/>
      <c r="M401" s="114"/>
      <c r="N401" s="114"/>
      <c r="O401" s="1451"/>
      <c r="P401" s="1451"/>
    </row>
    <row r="402" spans="1:16" x14ac:dyDescent="0.2">
      <c r="A402" s="20"/>
      <c r="C402" s="1427" t="s">
        <v>682</v>
      </c>
      <c r="E402" s="1427" t="s">
        <v>1038</v>
      </c>
      <c r="F402" s="114">
        <f t="shared" ref="F402:N402" si="67">F$310</f>
        <v>1.395660347191511</v>
      </c>
      <c r="G402" s="114">
        <f t="shared" si="67"/>
        <v>1.4432516709890608</v>
      </c>
      <c r="H402" s="114">
        <f t="shared" si="67"/>
        <v>1.4921002742497826</v>
      </c>
      <c r="I402" s="114">
        <f t="shared" si="67"/>
        <v>1.539777124363374</v>
      </c>
      <c r="J402" s="114">
        <f t="shared" si="67"/>
        <v>1.5830256268442755</v>
      </c>
      <c r="K402" s="114">
        <f t="shared" si="67"/>
        <v>1.621214461553147</v>
      </c>
      <c r="L402" s="114">
        <f t="shared" si="67"/>
        <v>1.6565425273466619</v>
      </c>
      <c r="M402" s="114">
        <f t="shared" si="67"/>
        <v>1.6902597017251573</v>
      </c>
      <c r="N402" s="114">
        <f t="shared" si="67"/>
        <v>1.7224027253405279</v>
      </c>
    </row>
    <row r="403" spans="1:16" x14ac:dyDescent="0.2">
      <c r="A403" s="20"/>
      <c r="C403" s="1427"/>
      <c r="F403" s="23"/>
      <c r="G403" s="23"/>
      <c r="H403" s="23"/>
      <c r="I403" s="23"/>
      <c r="J403" s="23"/>
      <c r="K403" s="23"/>
      <c r="L403" s="23"/>
      <c r="M403" s="23"/>
      <c r="N403" s="23"/>
    </row>
    <row r="404" spans="1:16" s="39" customFormat="1" ht="14.25" x14ac:dyDescent="0.25">
      <c r="A404" s="20"/>
      <c r="B404" s="39" t="s">
        <v>345</v>
      </c>
      <c r="C404" s="39" t="s">
        <v>1112</v>
      </c>
      <c r="E404" s="582" t="s">
        <v>1113</v>
      </c>
      <c r="F404" s="674"/>
      <c r="G404" s="674"/>
      <c r="H404" s="674"/>
      <c r="I404" s="674"/>
      <c r="J404" s="674"/>
      <c r="K404" s="674"/>
      <c r="L404" s="674"/>
      <c r="M404" s="674"/>
      <c r="N404" s="674"/>
    </row>
    <row r="405" spans="1:16" ht="14.25" x14ac:dyDescent="0.25">
      <c r="A405" s="20"/>
      <c r="B405" s="196" t="s">
        <v>346</v>
      </c>
      <c r="C405" s="20" t="s">
        <v>1114</v>
      </c>
      <c r="D405" s="20"/>
      <c r="E405" s="20" t="s">
        <v>493</v>
      </c>
      <c r="F405" s="1026">
        <f t="shared" ref="F405:N405" si="68">F402*$F404</f>
        <v>0</v>
      </c>
      <c r="G405" s="1026">
        <f t="shared" si="68"/>
        <v>0</v>
      </c>
      <c r="H405" s="1026">
        <f t="shared" si="68"/>
        <v>0</v>
      </c>
      <c r="I405" s="1026">
        <f t="shared" si="68"/>
        <v>0</v>
      </c>
      <c r="J405" s="1026">
        <f t="shared" si="68"/>
        <v>0</v>
      </c>
      <c r="K405" s="1026">
        <f t="shared" si="68"/>
        <v>0</v>
      </c>
      <c r="L405" s="1026">
        <f t="shared" si="68"/>
        <v>0</v>
      </c>
      <c r="M405" s="1026">
        <f t="shared" si="68"/>
        <v>0</v>
      </c>
      <c r="N405" s="1026">
        <f t="shared" si="68"/>
        <v>0</v>
      </c>
    </row>
    <row r="406" spans="1:16" x14ac:dyDescent="0.2">
      <c r="A406" s="20"/>
      <c r="B406" s="132"/>
      <c r="C406" s="1427"/>
      <c r="E406" s="1427"/>
      <c r="F406" s="673"/>
      <c r="G406" s="673"/>
      <c r="H406" s="673"/>
      <c r="I406" s="673"/>
      <c r="J406" s="673"/>
      <c r="K406" s="673"/>
      <c r="L406" s="673"/>
      <c r="M406" s="673"/>
      <c r="N406" s="673"/>
    </row>
    <row r="407" spans="1:16" x14ac:dyDescent="0.2">
      <c r="A407" s="20"/>
      <c r="B407" s="39" t="s">
        <v>345</v>
      </c>
      <c r="C407" s="39" t="s">
        <v>1108</v>
      </c>
      <c r="D407" s="39"/>
      <c r="E407" s="371"/>
      <c r="F407" s="710">
        <f t="shared" ref="F407:N407" si="69">F$319</f>
        <v>0.75</v>
      </c>
      <c r="G407" s="710">
        <f t="shared" si="69"/>
        <v>0.75</v>
      </c>
      <c r="H407" s="710">
        <f t="shared" si="69"/>
        <v>0.75</v>
      </c>
      <c r="I407" s="710">
        <f t="shared" si="69"/>
        <v>0.77</v>
      </c>
      <c r="J407" s="710">
        <f t="shared" si="69"/>
        <v>0.78</v>
      </c>
      <c r="K407" s="710">
        <f t="shared" si="69"/>
        <v>0.8</v>
      </c>
      <c r="L407" s="710">
        <f t="shared" si="69"/>
        <v>0.82</v>
      </c>
      <c r="M407" s="710">
        <f t="shared" si="69"/>
        <v>0.83</v>
      </c>
      <c r="N407" s="710">
        <f t="shared" si="69"/>
        <v>0.85</v>
      </c>
      <c r="O407" s="39"/>
      <c r="P407" s="39"/>
    </row>
    <row r="408" spans="1:16" x14ac:dyDescent="0.2">
      <c r="A408" s="20"/>
      <c r="B408" s="132" t="s">
        <v>346</v>
      </c>
      <c r="C408" s="1427" t="s">
        <v>675</v>
      </c>
      <c r="E408" s="1427" t="s">
        <v>1038</v>
      </c>
      <c r="F408" s="114">
        <f t="shared" ref="F408:N408" si="70">F407*F$402</f>
        <v>1.0467452603936334</v>
      </c>
      <c r="G408" s="114">
        <f t="shared" si="70"/>
        <v>1.0824387532417956</v>
      </c>
      <c r="H408" s="114">
        <f t="shared" si="70"/>
        <v>1.119075205687337</v>
      </c>
      <c r="I408" s="114">
        <f t="shared" si="70"/>
        <v>1.185628385759798</v>
      </c>
      <c r="J408" s="114">
        <f t="shared" si="70"/>
        <v>1.234759988938535</v>
      </c>
      <c r="K408" s="114">
        <f t="shared" si="70"/>
        <v>1.2969715692425177</v>
      </c>
      <c r="L408" s="114">
        <f t="shared" si="70"/>
        <v>1.3583648724242627</v>
      </c>
      <c r="M408" s="114">
        <f t="shared" si="70"/>
        <v>1.4029155524318804</v>
      </c>
      <c r="N408" s="114">
        <f t="shared" si="70"/>
        <v>1.4640423165394487</v>
      </c>
    </row>
    <row r="409" spans="1:16" x14ac:dyDescent="0.2">
      <c r="A409" s="20"/>
      <c r="B409" s="132"/>
      <c r="C409" s="1427"/>
      <c r="F409" s="136"/>
      <c r="G409" s="136"/>
      <c r="H409" s="136"/>
      <c r="I409" s="136"/>
      <c r="J409" s="136"/>
      <c r="K409" s="136"/>
      <c r="L409" s="136"/>
      <c r="M409" s="136"/>
      <c r="N409" s="136"/>
    </row>
    <row r="410" spans="1:16" s="39" customFormat="1" x14ac:dyDescent="0.2">
      <c r="A410" s="20"/>
      <c r="B410" s="132"/>
      <c r="C410" s="1427" t="s">
        <v>1115</v>
      </c>
      <c r="D410" s="1451"/>
      <c r="E410" s="1427" t="s">
        <v>1038</v>
      </c>
      <c r="F410" s="114">
        <f t="shared" ref="F410:N410" si="71">F402-F408</f>
        <v>0.34891508679787764</v>
      </c>
      <c r="G410" s="114">
        <f t="shared" si="71"/>
        <v>0.3608129177472652</v>
      </c>
      <c r="H410" s="114">
        <f t="shared" si="71"/>
        <v>0.37302506856244566</v>
      </c>
      <c r="I410" s="114">
        <f t="shared" si="71"/>
        <v>0.35414873860357599</v>
      </c>
      <c r="J410" s="114">
        <f t="shared" si="71"/>
        <v>0.3482656379057405</v>
      </c>
      <c r="K410" s="114">
        <f t="shared" si="71"/>
        <v>0.3242428923106293</v>
      </c>
      <c r="L410" s="114">
        <f t="shared" si="71"/>
        <v>0.29817765492239912</v>
      </c>
      <c r="M410" s="114">
        <f t="shared" si="71"/>
        <v>0.2873441492932769</v>
      </c>
      <c r="N410" s="114">
        <f t="shared" si="71"/>
        <v>0.25836040880107913</v>
      </c>
      <c r="O410" s="1451"/>
      <c r="P410" s="1451"/>
    </row>
    <row r="411" spans="1:16" ht="14.25" x14ac:dyDescent="0.25">
      <c r="A411" s="20"/>
      <c r="B411" s="39" t="s">
        <v>345</v>
      </c>
      <c r="C411" s="39" t="s">
        <v>1116</v>
      </c>
      <c r="F411" s="136"/>
      <c r="G411" s="136"/>
      <c r="H411" s="136"/>
      <c r="I411" s="136"/>
      <c r="J411" s="136"/>
      <c r="K411" s="136"/>
      <c r="L411" s="136"/>
      <c r="M411" s="136"/>
      <c r="N411" s="136"/>
    </row>
    <row r="412" spans="1:16" ht="14.25" x14ac:dyDescent="0.25">
      <c r="A412" s="20"/>
      <c r="B412" s="196" t="s">
        <v>346</v>
      </c>
      <c r="C412" s="1451" t="s">
        <v>1117</v>
      </c>
      <c r="E412" s="20" t="s">
        <v>493</v>
      </c>
      <c r="F412" s="1026">
        <f t="shared" ref="F412:N412" si="72">F410*$F411</f>
        <v>0</v>
      </c>
      <c r="G412" s="1026">
        <f t="shared" si="72"/>
        <v>0</v>
      </c>
      <c r="H412" s="1026">
        <f t="shared" si="72"/>
        <v>0</v>
      </c>
      <c r="I412" s="1026">
        <f t="shared" si="72"/>
        <v>0</v>
      </c>
      <c r="J412" s="1026">
        <f t="shared" si="72"/>
        <v>0</v>
      </c>
      <c r="K412" s="1026">
        <f t="shared" si="72"/>
        <v>0</v>
      </c>
      <c r="L412" s="1026">
        <f t="shared" si="72"/>
        <v>0</v>
      </c>
      <c r="M412" s="1026">
        <f t="shared" si="72"/>
        <v>0</v>
      </c>
      <c r="N412" s="1026">
        <f t="shared" si="72"/>
        <v>0</v>
      </c>
    </row>
    <row r="413" spans="1:16" x14ac:dyDescent="0.2">
      <c r="A413" s="20"/>
      <c r="B413" s="132"/>
      <c r="C413" s="1427"/>
      <c r="F413" s="136"/>
      <c r="G413" s="136"/>
      <c r="H413" s="136"/>
      <c r="I413" s="136"/>
      <c r="J413" s="136"/>
      <c r="K413" s="136"/>
      <c r="L413" s="136"/>
      <c r="M413" s="136"/>
      <c r="N413" s="136"/>
    </row>
    <row r="414" spans="1:16" x14ac:dyDescent="0.2">
      <c r="A414" s="20"/>
      <c r="C414" s="1066" t="s">
        <v>1089</v>
      </c>
      <c r="D414" s="1067"/>
      <c r="E414" s="1067"/>
      <c r="F414" s="1067"/>
      <c r="G414" s="1067"/>
      <c r="H414" s="1067"/>
      <c r="I414" s="1067"/>
      <c r="J414" s="1067"/>
      <c r="K414" s="1067"/>
      <c r="L414" s="1067"/>
      <c r="M414" s="1067"/>
      <c r="N414" s="1067"/>
    </row>
    <row r="415" spans="1:16" s="39" customFormat="1" x14ac:dyDescent="0.2">
      <c r="A415" s="20"/>
      <c r="B415" s="132"/>
      <c r="C415" s="1073" t="s">
        <v>383</v>
      </c>
      <c r="D415" s="1071" t="str">
        <f>INDEX(Vectors[Description], MATCH(C415, Vectors[Code], 0))</f>
        <v>Wet biomass and waste</v>
      </c>
      <c r="E415" s="580" t="str">
        <f>Preferences.EnergyUnits</f>
        <v>TWh</v>
      </c>
      <c r="F415" s="1074">
        <f t="shared" ref="F415:N415" si="73">F$408*$F$160</f>
        <v>4.0706760126419077</v>
      </c>
      <c r="G415" s="1074">
        <f t="shared" si="73"/>
        <v>4.2094840403847611</v>
      </c>
      <c r="H415" s="1074">
        <f t="shared" si="73"/>
        <v>4.351959133228533</v>
      </c>
      <c r="I415" s="1074">
        <f t="shared" si="73"/>
        <v>4.610777055732548</v>
      </c>
      <c r="J415" s="1074">
        <f t="shared" si="73"/>
        <v>4.8018444014276369</v>
      </c>
      <c r="K415" s="1074">
        <f t="shared" si="73"/>
        <v>5.0437783248320134</v>
      </c>
      <c r="L415" s="1074">
        <f t="shared" si="73"/>
        <v>5.2825300594276889</v>
      </c>
      <c r="M415" s="1074">
        <f t="shared" si="73"/>
        <v>5.4557827039017575</v>
      </c>
      <c r="N415" s="1074">
        <f t="shared" si="73"/>
        <v>5.6934978976534119</v>
      </c>
      <c r="O415" s="1451"/>
      <c r="P415" s="1451"/>
    </row>
    <row r="416" spans="1:16" x14ac:dyDescent="0.2">
      <c r="A416" s="20"/>
      <c r="B416" s="132"/>
      <c r="C416" s="142"/>
      <c r="D416" s="591"/>
      <c r="E416" s="36"/>
      <c r="F416" s="1095"/>
      <c r="G416" s="1095"/>
      <c r="H416" s="1095"/>
      <c r="I416" s="1095"/>
      <c r="J416" s="1095"/>
      <c r="K416" s="1095"/>
      <c r="L416" s="1095"/>
      <c r="M416" s="1095"/>
      <c r="N416" s="1095"/>
    </row>
    <row r="417" spans="1:16" x14ac:dyDescent="0.2">
      <c r="A417" s="20"/>
      <c r="B417" s="1427">
        <v>5</v>
      </c>
      <c r="C417" s="1427" t="s">
        <v>1381</v>
      </c>
      <c r="D417" s="591"/>
      <c r="E417" s="36"/>
      <c r="F417" s="1095"/>
      <c r="G417" s="1095"/>
      <c r="H417" s="1095"/>
      <c r="I417" s="1095"/>
      <c r="J417" s="1095"/>
      <c r="K417" s="1095"/>
      <c r="L417" s="1095"/>
      <c r="M417" s="1095"/>
      <c r="N417" s="1095"/>
    </row>
    <row r="418" spans="1:16" s="39" customFormat="1" x14ac:dyDescent="0.2">
      <c r="A418" s="20"/>
      <c r="B418" s="1427"/>
      <c r="C418" s="20" t="s">
        <v>1516</v>
      </c>
      <c r="D418" s="1000"/>
      <c r="E418" s="591" t="s">
        <v>1038</v>
      </c>
      <c r="F418" s="1463">
        <f t="shared" ref="F418:N418" si="74">SUM(F307:F308)</f>
        <v>39.29</v>
      </c>
      <c r="G418" s="1463">
        <f t="shared" si="74"/>
        <v>39.29</v>
      </c>
      <c r="H418" s="1463">
        <f t="shared" si="74"/>
        <v>39.29</v>
      </c>
      <c r="I418" s="1463">
        <f t="shared" si="74"/>
        <v>39.29</v>
      </c>
      <c r="J418" s="1463">
        <f t="shared" si="74"/>
        <v>39.29</v>
      </c>
      <c r="K418" s="1463">
        <f t="shared" si="74"/>
        <v>39.29</v>
      </c>
      <c r="L418" s="1463">
        <f t="shared" si="74"/>
        <v>39.29</v>
      </c>
      <c r="M418" s="1463">
        <f t="shared" si="74"/>
        <v>39.29</v>
      </c>
      <c r="N418" s="1463">
        <f t="shared" si="74"/>
        <v>39.29</v>
      </c>
      <c r="O418" s="1427"/>
      <c r="P418" s="1427"/>
    </row>
    <row r="419" spans="1:16" x14ac:dyDescent="0.2">
      <c r="A419" s="20"/>
      <c r="B419" s="1427"/>
      <c r="C419" s="1451" t="s">
        <v>1517</v>
      </c>
      <c r="D419" s="1000"/>
      <c r="E419" s="591" t="s">
        <v>1038</v>
      </c>
      <c r="F419" s="1463">
        <f t="shared" ref="F419:N419" si="75">SUMPRODUCT(F$307:F$308,F$316:F$317)</f>
        <v>4.306184</v>
      </c>
      <c r="G419" s="1463">
        <f t="shared" si="75"/>
        <v>5.3630849999999999</v>
      </c>
      <c r="H419" s="1463">
        <f t="shared" si="75"/>
        <v>6.4199859999999997</v>
      </c>
      <c r="I419" s="1463">
        <f t="shared" si="75"/>
        <v>6.1312044999999991</v>
      </c>
      <c r="J419" s="1463">
        <f t="shared" si="75"/>
        <v>5.8424230000000001</v>
      </c>
      <c r="K419" s="1463">
        <f t="shared" si="75"/>
        <v>5.5389077499999999</v>
      </c>
      <c r="L419" s="1463">
        <f t="shared" si="75"/>
        <v>5.2353924999999997</v>
      </c>
      <c r="M419" s="1463">
        <f t="shared" si="75"/>
        <v>4.9318772499999994</v>
      </c>
      <c r="N419" s="1463">
        <f t="shared" si="75"/>
        <v>4.6283619999999992</v>
      </c>
      <c r="O419" s="1427"/>
      <c r="P419" s="1427"/>
    </row>
    <row r="420" spans="1:16" x14ac:dyDescent="0.2">
      <c r="A420" s="20"/>
      <c r="B420" s="1427"/>
      <c r="C420" s="1451" t="s">
        <v>1518</v>
      </c>
      <c r="D420" s="1000"/>
      <c r="E420" s="591" t="s">
        <v>1038</v>
      </c>
      <c r="F420" s="1463">
        <f t="shared" ref="F420:N420" si="76">SUMPRODUCT(F$307:F$308,G$324:G$325)</f>
        <v>0</v>
      </c>
      <c r="G420" s="1463">
        <f t="shared" si="76"/>
        <v>0</v>
      </c>
      <c r="H420" s="1463">
        <f t="shared" si="76"/>
        <v>0</v>
      </c>
      <c r="I420" s="1463">
        <f t="shared" si="76"/>
        <v>0</v>
      </c>
      <c r="J420" s="1463">
        <f t="shared" si="76"/>
        <v>0</v>
      </c>
      <c r="K420" s="1463">
        <f t="shared" si="76"/>
        <v>0</v>
      </c>
      <c r="L420" s="1463">
        <f t="shared" si="76"/>
        <v>0</v>
      </c>
      <c r="M420" s="1463">
        <f t="shared" si="76"/>
        <v>0</v>
      </c>
      <c r="N420" s="1463">
        <f t="shared" si="76"/>
        <v>0</v>
      </c>
      <c r="O420" s="1427"/>
      <c r="P420" s="1427"/>
    </row>
    <row r="421" spans="1:16" x14ac:dyDescent="0.2">
      <c r="A421" s="20"/>
      <c r="B421" s="1427"/>
      <c r="C421" s="20" t="s">
        <v>1519</v>
      </c>
      <c r="D421" s="1000"/>
      <c r="E421" s="591" t="s">
        <v>1038</v>
      </c>
      <c r="F421" s="1463">
        <f t="shared" ref="F421:N421" si="77">SUMPRODUCT(F307:F308,F331:F332)</f>
        <v>19.711793</v>
      </c>
      <c r="G421" s="1463">
        <f t="shared" si="77"/>
        <v>22.367797000000003</v>
      </c>
      <c r="H421" s="1463">
        <f t="shared" si="77"/>
        <v>25.023800999999999</v>
      </c>
      <c r="I421" s="1463">
        <f t="shared" si="77"/>
        <v>27.288869499999997</v>
      </c>
      <c r="J421" s="1463">
        <f t="shared" si="77"/>
        <v>29.553937999999999</v>
      </c>
      <c r="K421" s="1463">
        <f t="shared" si="77"/>
        <v>30.542081500000002</v>
      </c>
      <c r="L421" s="1463">
        <f t="shared" si="77"/>
        <v>31.530225000000002</v>
      </c>
      <c r="M421" s="1463">
        <f t="shared" si="77"/>
        <v>32.518368500000001</v>
      </c>
      <c r="N421" s="1463">
        <f t="shared" si="77"/>
        <v>33.506512000000001</v>
      </c>
      <c r="O421" s="1427"/>
      <c r="P421" s="1427"/>
    </row>
    <row r="422" spans="1:16" x14ac:dyDescent="0.2">
      <c r="A422" s="20"/>
      <c r="B422" s="1427"/>
      <c r="C422" s="20"/>
      <c r="D422" s="1000"/>
      <c r="E422" s="591"/>
      <c r="F422" s="1463"/>
      <c r="G422" s="1463"/>
      <c r="H422" s="1463"/>
      <c r="I422" s="1463"/>
      <c r="J422" s="1463"/>
      <c r="K422" s="1463"/>
      <c r="L422" s="1463"/>
      <c r="M422" s="1463"/>
      <c r="N422" s="1463"/>
      <c r="O422" s="1427"/>
      <c r="P422" s="1427"/>
    </row>
    <row r="423" spans="1:16" x14ac:dyDescent="0.2">
      <c r="A423" s="20"/>
      <c r="B423" s="1427"/>
      <c r="C423" s="1451" t="s">
        <v>1520</v>
      </c>
      <c r="D423" s="1000"/>
      <c r="E423" s="591" t="s">
        <v>1038</v>
      </c>
      <c r="F423" s="918">
        <f t="shared" ref="F423:N423" si="78">SUM(F376,F379)</f>
        <v>0</v>
      </c>
      <c r="G423" s="918">
        <f t="shared" si="78"/>
        <v>0.41982678608220003</v>
      </c>
      <c r="H423" s="918">
        <f t="shared" si="78"/>
        <v>0.93935598122520003</v>
      </c>
      <c r="I423" s="918">
        <f t="shared" si="78"/>
        <v>1.2932222024006998</v>
      </c>
      <c r="J423" s="918">
        <f t="shared" si="78"/>
        <v>1.69171750764</v>
      </c>
      <c r="K423" s="918">
        <f t="shared" si="78"/>
        <v>1.7860065698223004</v>
      </c>
      <c r="L423" s="918">
        <f t="shared" si="78"/>
        <v>1.8827367723899999</v>
      </c>
      <c r="M423" s="918">
        <f t="shared" si="78"/>
        <v>1.9819081153431002</v>
      </c>
      <c r="N423" s="918">
        <f t="shared" si="78"/>
        <v>2.0835205986815999</v>
      </c>
      <c r="O423" s="1427"/>
      <c r="P423" s="1427"/>
    </row>
    <row r="424" spans="1:16" x14ac:dyDescent="0.2">
      <c r="A424" s="20"/>
      <c r="B424" s="1427"/>
      <c r="D424" s="1000"/>
      <c r="E424" s="591"/>
      <c r="F424" s="1260"/>
      <c r="G424" s="1260"/>
      <c r="H424" s="1260"/>
      <c r="I424" s="1260"/>
      <c r="J424" s="1260"/>
      <c r="K424" s="1260"/>
      <c r="L424" s="1260"/>
      <c r="M424" s="1260"/>
      <c r="N424" s="1260"/>
      <c r="O424" s="1427"/>
      <c r="P424" s="1427"/>
    </row>
    <row r="425" spans="1:16" x14ac:dyDescent="0.2">
      <c r="A425" s="20"/>
      <c r="B425" s="1427"/>
      <c r="C425" s="1451" t="s">
        <v>1521</v>
      </c>
      <c r="D425" s="1000"/>
      <c r="E425" s="1347" t="s">
        <v>1275</v>
      </c>
      <c r="F425" s="1463">
        <v>1000</v>
      </c>
      <c r="G425" s="1463">
        <f t="shared" ref="G425:N425" si="79">G420/$E$188</f>
        <v>0</v>
      </c>
      <c r="H425" s="1463">
        <f t="shared" si="79"/>
        <v>0</v>
      </c>
      <c r="I425" s="1463">
        <f t="shared" si="79"/>
        <v>0</v>
      </c>
      <c r="J425" s="1463">
        <f t="shared" si="79"/>
        <v>0</v>
      </c>
      <c r="K425" s="1463">
        <f t="shared" si="79"/>
        <v>0</v>
      </c>
      <c r="L425" s="1463">
        <f t="shared" si="79"/>
        <v>0</v>
      </c>
      <c r="M425" s="1463">
        <f t="shared" si="79"/>
        <v>0</v>
      </c>
      <c r="N425" s="1463">
        <f t="shared" si="79"/>
        <v>0</v>
      </c>
      <c r="O425" s="1427"/>
      <c r="P425" s="1427"/>
    </row>
    <row r="426" spans="1:16" x14ac:dyDescent="0.2">
      <c r="A426" s="20"/>
      <c r="B426" s="1427"/>
      <c r="C426" s="1451" t="s">
        <v>1522</v>
      </c>
      <c r="D426" s="1000"/>
      <c r="E426" s="1347" t="s">
        <v>1275</v>
      </c>
      <c r="F426" s="1463">
        <f>F$425/3</f>
        <v>333.33333333333331</v>
      </c>
      <c r="G426" s="1463">
        <f t="shared" ref="G426:N426" si="80">MAX(G425-SUM(G427:G428),0)</f>
        <v>0</v>
      </c>
      <c r="H426" s="1463">
        <f t="shared" si="80"/>
        <v>0</v>
      </c>
      <c r="I426" s="1463">
        <f t="shared" si="80"/>
        <v>0</v>
      </c>
      <c r="J426" s="1463">
        <f t="shared" si="80"/>
        <v>0</v>
      </c>
      <c r="K426" s="1463">
        <f t="shared" si="80"/>
        <v>0</v>
      </c>
      <c r="L426" s="1463">
        <f t="shared" si="80"/>
        <v>0</v>
      </c>
      <c r="M426" s="1463">
        <f t="shared" si="80"/>
        <v>0</v>
      </c>
      <c r="N426" s="1463">
        <f t="shared" si="80"/>
        <v>0</v>
      </c>
      <c r="O426" s="1427"/>
      <c r="P426" s="1427"/>
    </row>
    <row r="427" spans="1:16" x14ac:dyDescent="0.2">
      <c r="A427" s="20"/>
      <c r="B427" s="1427"/>
      <c r="C427" s="1451" t="s">
        <v>1523</v>
      </c>
      <c r="D427" s="1000"/>
      <c r="E427" s="1347" t="s">
        <v>1275</v>
      </c>
      <c r="F427" s="1463">
        <f>F$425/3</f>
        <v>333.33333333333331</v>
      </c>
      <c r="G427" s="1463">
        <f>F426</f>
        <v>333.33333333333331</v>
      </c>
      <c r="H427" s="1463">
        <f t="shared" ref="H427:N428" si="81">G426</f>
        <v>0</v>
      </c>
      <c r="I427" s="1463">
        <f t="shared" si="81"/>
        <v>0</v>
      </c>
      <c r="J427" s="1463">
        <f t="shared" si="81"/>
        <v>0</v>
      </c>
      <c r="K427" s="1463">
        <f t="shared" si="81"/>
        <v>0</v>
      </c>
      <c r="L427" s="1463">
        <f t="shared" si="81"/>
        <v>0</v>
      </c>
      <c r="M427" s="1463">
        <f t="shared" si="81"/>
        <v>0</v>
      </c>
      <c r="N427" s="1463">
        <f t="shared" si="81"/>
        <v>0</v>
      </c>
      <c r="O427" s="1427"/>
      <c r="P427" s="1427"/>
    </row>
    <row r="428" spans="1:16" x14ac:dyDescent="0.2">
      <c r="A428" s="20"/>
      <c r="B428" s="1427"/>
      <c r="C428" s="1451" t="s">
        <v>1524</v>
      </c>
      <c r="D428" s="1000"/>
      <c r="E428" s="1347" t="s">
        <v>1275</v>
      </c>
      <c r="F428" s="1463">
        <f>F$425/3</f>
        <v>333.33333333333331</v>
      </c>
      <c r="G428" s="1463">
        <f>F427</f>
        <v>333.33333333333331</v>
      </c>
      <c r="H428" s="1463">
        <f t="shared" si="81"/>
        <v>333.33333333333331</v>
      </c>
      <c r="I428" s="1463">
        <f t="shared" si="81"/>
        <v>0</v>
      </c>
      <c r="J428" s="1463">
        <f t="shared" si="81"/>
        <v>0</v>
      </c>
      <c r="K428" s="1463">
        <f t="shared" si="81"/>
        <v>0</v>
      </c>
      <c r="L428" s="1463">
        <f t="shared" si="81"/>
        <v>0</v>
      </c>
      <c r="M428" s="1463">
        <f t="shared" si="81"/>
        <v>0</v>
      </c>
      <c r="N428" s="1463">
        <f t="shared" si="81"/>
        <v>0</v>
      </c>
      <c r="O428" s="1427"/>
      <c r="P428" s="1427"/>
    </row>
    <row r="429" spans="1:16" s="1427" customFormat="1" x14ac:dyDescent="0.2">
      <c r="A429" s="20"/>
      <c r="C429" s="1451"/>
      <c r="D429" s="1000"/>
      <c r="E429" s="1347"/>
      <c r="F429" s="1463"/>
      <c r="G429" s="1463"/>
      <c r="H429" s="1463"/>
      <c r="I429" s="1463"/>
      <c r="J429" s="1463"/>
      <c r="K429" s="1463"/>
      <c r="L429" s="1463"/>
      <c r="M429" s="1463"/>
      <c r="N429" s="1463"/>
    </row>
    <row r="430" spans="1:16" s="1427" customFormat="1" x14ac:dyDescent="0.2">
      <c r="A430" s="20"/>
      <c r="C430" s="1451" t="s">
        <v>1525</v>
      </c>
      <c r="D430" s="1000"/>
      <c r="E430" s="1347" t="s">
        <v>1275</v>
      </c>
      <c r="F430" s="1463">
        <f t="shared" ref="F430:N430" si="82">F388/$E$193</f>
        <v>750</v>
      </c>
      <c r="G430" s="1463">
        <f t="shared" si="82"/>
        <v>617.722789684806</v>
      </c>
      <c r="H430" s="1463">
        <f t="shared" si="82"/>
        <v>485.44557936961189</v>
      </c>
      <c r="I430" s="1463">
        <f t="shared" si="82"/>
        <v>391.30963855967855</v>
      </c>
      <c r="J430" s="1463">
        <f t="shared" si="82"/>
        <v>297.17369774974526</v>
      </c>
      <c r="K430" s="1463">
        <f t="shared" si="82"/>
        <v>249.42347008444614</v>
      </c>
      <c r="L430" s="1463">
        <f t="shared" si="82"/>
        <v>201.67324241914699</v>
      </c>
      <c r="M430" s="1463">
        <f t="shared" si="82"/>
        <v>153.92301475384787</v>
      </c>
      <c r="N430" s="1463">
        <f t="shared" si="82"/>
        <v>106.17278708854872</v>
      </c>
    </row>
    <row r="431" spans="1:16" s="1427" customFormat="1" x14ac:dyDescent="0.2">
      <c r="A431" s="20"/>
      <c r="C431" s="1451" t="s">
        <v>1522</v>
      </c>
      <c r="D431" s="1000"/>
      <c r="E431" s="1347" t="s">
        <v>1275</v>
      </c>
      <c r="F431" s="1463">
        <f>F$430/3</f>
        <v>250</v>
      </c>
      <c r="G431" s="1463">
        <f t="shared" ref="G431:N431" si="83">MAX(G430-SUM(G432:G433),0)</f>
        <v>117.722789684806</v>
      </c>
      <c r="H431" s="1463">
        <f t="shared" si="83"/>
        <v>117.72278968480589</v>
      </c>
      <c r="I431" s="1463">
        <f t="shared" si="83"/>
        <v>155.86405919006665</v>
      </c>
      <c r="J431" s="1463">
        <f t="shared" si="83"/>
        <v>23.586848874872715</v>
      </c>
      <c r="K431" s="1463">
        <f t="shared" si="83"/>
        <v>69.972562019506768</v>
      </c>
      <c r="L431" s="1463">
        <f t="shared" si="83"/>
        <v>108.11383152476751</v>
      </c>
      <c r="M431" s="1463">
        <f t="shared" si="83"/>
        <v>0</v>
      </c>
      <c r="N431" s="1463">
        <f t="shared" si="83"/>
        <v>0</v>
      </c>
    </row>
    <row r="432" spans="1:16" s="1427" customFormat="1" x14ac:dyDescent="0.2">
      <c r="A432" s="20"/>
      <c r="C432" s="1451" t="s">
        <v>1523</v>
      </c>
      <c r="D432" s="1000"/>
      <c r="E432" s="1347" t="s">
        <v>1275</v>
      </c>
      <c r="F432" s="1463">
        <f>F$430/3</f>
        <v>250</v>
      </c>
      <c r="G432" s="1463">
        <f>F431</f>
        <v>250</v>
      </c>
      <c r="H432" s="1463">
        <f>G431</f>
        <v>117.722789684806</v>
      </c>
      <c r="I432" s="1463">
        <f t="shared" ref="I432:N433" si="84">H431</f>
        <v>117.72278968480589</v>
      </c>
      <c r="J432" s="1463">
        <f t="shared" si="84"/>
        <v>155.86405919006665</v>
      </c>
      <c r="K432" s="1463">
        <f t="shared" si="84"/>
        <v>23.586848874872715</v>
      </c>
      <c r="L432" s="1463">
        <f t="shared" si="84"/>
        <v>69.972562019506768</v>
      </c>
      <c r="M432" s="1463">
        <f t="shared" si="84"/>
        <v>108.11383152476751</v>
      </c>
      <c r="N432" s="1463">
        <f t="shared" si="84"/>
        <v>0</v>
      </c>
    </row>
    <row r="433" spans="1:16" s="1427" customFormat="1" x14ac:dyDescent="0.2">
      <c r="A433" s="20"/>
      <c r="C433" s="1451" t="s">
        <v>1524</v>
      </c>
      <c r="D433" s="1000"/>
      <c r="E433" s="1347" t="s">
        <v>1275</v>
      </c>
      <c r="F433" s="1463">
        <f>F$430/3</f>
        <v>250</v>
      </c>
      <c r="G433" s="1463">
        <f>F432</f>
        <v>250</v>
      </c>
      <c r="H433" s="1463">
        <f>G432</f>
        <v>250</v>
      </c>
      <c r="I433" s="1463">
        <f t="shared" si="84"/>
        <v>117.722789684806</v>
      </c>
      <c r="J433" s="1463">
        <f t="shared" si="84"/>
        <v>117.72278968480589</v>
      </c>
      <c r="K433" s="1463">
        <f t="shared" si="84"/>
        <v>155.86405919006665</v>
      </c>
      <c r="L433" s="1463">
        <f t="shared" si="84"/>
        <v>23.586848874872715</v>
      </c>
      <c r="M433" s="1463">
        <f t="shared" si="84"/>
        <v>69.972562019506768</v>
      </c>
      <c r="N433" s="1463">
        <f t="shared" si="84"/>
        <v>108.11383152476751</v>
      </c>
    </row>
    <row r="434" spans="1:16" s="1427" customFormat="1" x14ac:dyDescent="0.2">
      <c r="A434" s="20"/>
      <c r="C434" s="1451"/>
      <c r="D434" s="1000"/>
      <c r="E434" s="1347"/>
      <c r="F434" s="1463"/>
      <c r="G434" s="1463"/>
      <c r="H434" s="1463"/>
      <c r="I434" s="1463"/>
      <c r="J434" s="1463"/>
      <c r="K434" s="1463"/>
      <c r="L434" s="1463"/>
      <c r="M434" s="1463"/>
      <c r="N434" s="1463"/>
    </row>
    <row r="435" spans="1:16" s="1427" customFormat="1" x14ac:dyDescent="0.2">
      <c r="A435" s="20"/>
      <c r="C435" s="1451" t="s">
        <v>1526</v>
      </c>
      <c r="D435" s="1000"/>
      <c r="E435" s="1347" t="s">
        <v>1275</v>
      </c>
      <c r="F435" s="1463">
        <f t="shared" ref="F435:N435" si="85">F391/$E$194</f>
        <v>427.90697674418607</v>
      </c>
      <c r="G435" s="1463">
        <f t="shared" si="85"/>
        <v>390.74557859131909</v>
      </c>
      <c r="H435" s="1463">
        <f t="shared" si="85"/>
        <v>337.17770474044352</v>
      </c>
      <c r="I435" s="1463">
        <f t="shared" si="85"/>
        <v>302.63975077993672</v>
      </c>
      <c r="J435" s="1463">
        <f t="shared" si="85"/>
        <v>254.07967212257293</v>
      </c>
      <c r="K435" s="1463">
        <f t="shared" si="85"/>
        <v>234.29049055580842</v>
      </c>
      <c r="L435" s="1463">
        <f t="shared" si="85"/>
        <v>207.0025577313084</v>
      </c>
      <c r="M435" s="1463">
        <f t="shared" si="85"/>
        <v>171.82103972522549</v>
      </c>
      <c r="N435" s="1463">
        <f t="shared" si="85"/>
        <v>128.35110261371221</v>
      </c>
    </row>
    <row r="436" spans="1:16" s="1427" customFormat="1" x14ac:dyDescent="0.2">
      <c r="A436" s="20"/>
      <c r="C436" s="1451" t="s">
        <v>1522</v>
      </c>
      <c r="D436" s="1000"/>
      <c r="E436" s="1347" t="s">
        <v>1275</v>
      </c>
      <c r="F436" s="1463">
        <f>F$435/3</f>
        <v>142.63565891472868</v>
      </c>
      <c r="G436" s="1463">
        <f t="shared" ref="G436:N436" si="86">MAX(G435-SUM(G437:G438),0)</f>
        <v>105.47426076186173</v>
      </c>
      <c r="H436" s="1463">
        <f t="shared" si="86"/>
        <v>89.067785063853108</v>
      </c>
      <c r="I436" s="1463">
        <f t="shared" si="86"/>
        <v>108.09770495422188</v>
      </c>
      <c r="J436" s="1463">
        <f t="shared" si="86"/>
        <v>56.914182104497939</v>
      </c>
      <c r="K436" s="1463">
        <f t="shared" si="86"/>
        <v>69.278603497088596</v>
      </c>
      <c r="L436" s="1463">
        <f t="shared" si="86"/>
        <v>80.809772129721864</v>
      </c>
      <c r="M436" s="1463">
        <f t="shared" si="86"/>
        <v>21.732664098415029</v>
      </c>
      <c r="N436" s="1463">
        <f t="shared" si="86"/>
        <v>25.808666385575322</v>
      </c>
    </row>
    <row r="437" spans="1:16" s="1427" customFormat="1" x14ac:dyDescent="0.2">
      <c r="A437" s="20"/>
      <c r="C437" s="1451" t="s">
        <v>1523</v>
      </c>
      <c r="D437" s="1000"/>
      <c r="E437" s="1347" t="s">
        <v>1275</v>
      </c>
      <c r="F437" s="1463">
        <f>F$435/3</f>
        <v>142.63565891472868</v>
      </c>
      <c r="G437" s="1463">
        <f>F436</f>
        <v>142.63565891472868</v>
      </c>
      <c r="H437" s="1463">
        <f t="shared" ref="H437:N438" si="87">G436</f>
        <v>105.47426076186173</v>
      </c>
      <c r="I437" s="1463">
        <f t="shared" si="87"/>
        <v>89.067785063853108</v>
      </c>
      <c r="J437" s="1463">
        <f t="shared" si="87"/>
        <v>108.09770495422188</v>
      </c>
      <c r="K437" s="1463">
        <f t="shared" si="87"/>
        <v>56.914182104497939</v>
      </c>
      <c r="L437" s="1463">
        <f t="shared" si="87"/>
        <v>69.278603497088596</v>
      </c>
      <c r="M437" s="1463">
        <f t="shared" si="87"/>
        <v>80.809772129721864</v>
      </c>
      <c r="N437" s="1463">
        <f t="shared" si="87"/>
        <v>21.732664098415029</v>
      </c>
    </row>
    <row r="438" spans="1:16" s="1427" customFormat="1" x14ac:dyDescent="0.2">
      <c r="A438" s="20"/>
      <c r="C438" s="1451" t="s">
        <v>1524</v>
      </c>
      <c r="D438" s="1000"/>
      <c r="E438" s="1347" t="s">
        <v>1275</v>
      </c>
      <c r="F438" s="1463">
        <f>F$435/3</f>
        <v>142.63565891472868</v>
      </c>
      <c r="G438" s="1463">
        <f>F437</f>
        <v>142.63565891472868</v>
      </c>
      <c r="H438" s="1463">
        <f>G437</f>
        <v>142.63565891472868</v>
      </c>
      <c r="I438" s="1463">
        <f t="shared" si="87"/>
        <v>105.47426076186173</v>
      </c>
      <c r="J438" s="1463">
        <f t="shared" si="87"/>
        <v>89.067785063853108</v>
      </c>
      <c r="K438" s="1463">
        <f t="shared" si="87"/>
        <v>108.09770495422188</v>
      </c>
      <c r="L438" s="1463">
        <f t="shared" si="87"/>
        <v>56.914182104497939</v>
      </c>
      <c r="M438" s="1463">
        <f t="shared" si="87"/>
        <v>69.278603497088596</v>
      </c>
      <c r="N438" s="1463">
        <f t="shared" si="87"/>
        <v>80.809772129721864</v>
      </c>
    </row>
    <row r="439" spans="1:16" s="1427" customFormat="1" x14ac:dyDescent="0.2">
      <c r="A439" s="20"/>
      <c r="C439" s="1451"/>
      <c r="D439" s="1000"/>
      <c r="E439" s="1347"/>
      <c r="F439" s="1463"/>
      <c r="G439" s="1463"/>
      <c r="H439" s="1463"/>
      <c r="I439" s="1463"/>
      <c r="J439" s="1463"/>
      <c r="K439" s="1463"/>
      <c r="L439" s="1463"/>
      <c r="M439" s="1463"/>
      <c r="N439" s="1463"/>
    </row>
    <row r="440" spans="1:16" s="1427" customFormat="1" x14ac:dyDescent="0.2">
      <c r="A440" s="20"/>
      <c r="C440" s="1451" t="s">
        <v>1527</v>
      </c>
      <c r="D440" s="1000"/>
      <c r="E440" s="1347" t="s">
        <v>1275</v>
      </c>
      <c r="F440" s="1463">
        <f t="shared" ref="F440:N440" si="88">F408/$E$199</f>
        <v>1046.7452603936333</v>
      </c>
      <c r="G440" s="1463">
        <f t="shared" si="88"/>
        <v>1082.4387532417957</v>
      </c>
      <c r="H440" s="1463">
        <f t="shared" si="88"/>
        <v>1119.0752056873368</v>
      </c>
      <c r="I440" s="1463">
        <f t="shared" si="88"/>
        <v>1185.628385759798</v>
      </c>
      <c r="J440" s="1463">
        <f t="shared" si="88"/>
        <v>1234.7599889385349</v>
      </c>
      <c r="K440" s="1463">
        <f t="shared" si="88"/>
        <v>1296.9715692425177</v>
      </c>
      <c r="L440" s="1463">
        <f t="shared" si="88"/>
        <v>1358.3648724242628</v>
      </c>
      <c r="M440" s="1463">
        <f t="shared" si="88"/>
        <v>1402.9155524318803</v>
      </c>
      <c r="N440" s="1463">
        <f t="shared" si="88"/>
        <v>1464.0423165394486</v>
      </c>
    </row>
    <row r="441" spans="1:16" s="1427" customFormat="1" ht="13.5" customHeight="1" x14ac:dyDescent="0.2">
      <c r="A441" s="20"/>
      <c r="C441" s="1451"/>
      <c r="D441" s="1000"/>
      <c r="E441" s="1347"/>
      <c r="F441" s="1463"/>
      <c r="G441" s="1463"/>
      <c r="H441" s="1463"/>
      <c r="I441" s="1463"/>
      <c r="J441" s="1463"/>
      <c r="K441" s="1463"/>
      <c r="L441" s="1463"/>
      <c r="M441" s="1463"/>
      <c r="N441" s="1463"/>
    </row>
    <row r="442" spans="1:16" s="1427" customFormat="1" x14ac:dyDescent="0.2">
      <c r="A442" s="20"/>
      <c r="B442" s="132"/>
      <c r="C442" s="1027" t="s">
        <v>1746</v>
      </c>
      <c r="D442" s="591"/>
      <c r="E442" s="1347" t="s">
        <v>1275</v>
      </c>
      <c r="F442" s="1095">
        <f t="shared" ref="F442:N442" si="89">SUM(F345,F351,F357)/$F$177</f>
        <v>20.214669767441862</v>
      </c>
      <c r="G442" s="1095">
        <f t="shared" si="89"/>
        <v>25.203279069767444</v>
      </c>
      <c r="H442" s="1095">
        <f t="shared" si="89"/>
        <v>30.200632558139535</v>
      </c>
      <c r="I442" s="1095">
        <f t="shared" si="89"/>
        <v>28.878276744186042</v>
      </c>
      <c r="J442" s="1095">
        <f t="shared" si="89"/>
        <v>27.55638604651163</v>
      </c>
      <c r="K442" s="1095">
        <f t="shared" si="89"/>
        <v>26.14705930232558</v>
      </c>
      <c r="L442" s="1095">
        <f t="shared" si="89"/>
        <v>24.737732558139534</v>
      </c>
      <c r="M442" s="1095">
        <f t="shared" si="89"/>
        <v>23.328405813953488</v>
      </c>
      <c r="N442" s="1095">
        <f t="shared" si="89"/>
        <v>21.919079069767442</v>
      </c>
      <c r="O442" s="1451"/>
      <c r="P442" s="1451"/>
    </row>
    <row r="443" spans="1:16" s="1427" customFormat="1" x14ac:dyDescent="0.2">
      <c r="A443" s="20"/>
      <c r="B443" s="132"/>
      <c r="C443" s="142"/>
      <c r="D443" s="591"/>
      <c r="E443" s="36"/>
      <c r="F443" s="1095"/>
      <c r="G443" s="1095"/>
      <c r="H443" s="1095"/>
      <c r="I443" s="1095"/>
      <c r="J443" s="1095"/>
      <c r="K443" s="1095"/>
      <c r="L443" s="1095"/>
      <c r="M443" s="1095"/>
      <c r="N443" s="1095"/>
      <c r="O443" s="1451"/>
      <c r="P443" s="1451"/>
    </row>
    <row r="444" spans="1:16" s="1427" customFormat="1" x14ac:dyDescent="0.2">
      <c r="A444" s="20"/>
      <c r="B444" s="1427">
        <v>6</v>
      </c>
      <c r="C444" s="1427" t="s">
        <v>1473</v>
      </c>
      <c r="D444" s="591"/>
      <c r="E444" s="36"/>
      <c r="F444" s="1095"/>
      <c r="G444" s="1095"/>
      <c r="H444" s="1095"/>
      <c r="I444" s="1095"/>
      <c r="J444" s="1095"/>
      <c r="K444" s="1095"/>
      <c r="L444" s="1095"/>
      <c r="M444" s="1095"/>
      <c r="N444" s="1095"/>
      <c r="O444" s="1451"/>
      <c r="P444" s="1451"/>
    </row>
    <row r="445" spans="1:16" s="1427" customFormat="1" x14ac:dyDescent="0.2">
      <c r="A445" s="20"/>
      <c r="C445" s="1427" t="s">
        <v>1535</v>
      </c>
      <c r="D445" s="591"/>
      <c r="E445" s="1000" t="str">
        <f>Preferences.moneyunits</f>
        <v>N</v>
      </c>
      <c r="F445" s="1427">
        <v>2010</v>
      </c>
      <c r="G445" s="1427">
        <v>2015</v>
      </c>
      <c r="H445" s="1427">
        <v>2020</v>
      </c>
      <c r="I445" s="1427">
        <v>2025</v>
      </c>
      <c r="J445" s="1427">
        <v>2030</v>
      </c>
      <c r="K445" s="1427">
        <v>2035</v>
      </c>
      <c r="L445" s="1427">
        <v>2040</v>
      </c>
      <c r="M445" s="1427">
        <v>2045</v>
      </c>
      <c r="N445" s="1427">
        <v>2050</v>
      </c>
    </row>
    <row r="446" spans="1:16" s="1427" customFormat="1" ht="13.5" customHeight="1" x14ac:dyDescent="0.2">
      <c r="A446" s="20"/>
      <c r="C446" s="1451" t="s">
        <v>1529</v>
      </c>
      <c r="D446" s="591"/>
      <c r="E446" s="36"/>
      <c r="F446" s="1095">
        <f t="shared" ref="F446:N446" si="90">F418*G$232</f>
        <v>157160000000</v>
      </c>
      <c r="G446" s="1095">
        <f t="shared" si="90"/>
        <v>157160000000</v>
      </c>
      <c r="H446" s="1095">
        <f t="shared" si="90"/>
        <v>157160000000</v>
      </c>
      <c r="I446" s="1095">
        <f t="shared" si="90"/>
        <v>157160000000</v>
      </c>
      <c r="J446" s="1095">
        <f t="shared" si="90"/>
        <v>157160000000</v>
      </c>
      <c r="K446" s="1095">
        <f t="shared" si="90"/>
        <v>157160000000</v>
      </c>
      <c r="L446" s="1095">
        <f t="shared" si="90"/>
        <v>157160000000</v>
      </c>
      <c r="M446" s="1095">
        <f t="shared" si="90"/>
        <v>157160000000</v>
      </c>
      <c r="N446" s="1095">
        <f t="shared" si="90"/>
        <v>157160000000</v>
      </c>
    </row>
    <row r="447" spans="1:16" s="1427" customFormat="1" x14ac:dyDescent="0.2">
      <c r="A447" s="1451"/>
      <c r="C447" s="1451" t="s">
        <v>668</v>
      </c>
      <c r="D447" s="591"/>
      <c r="E447" s="36"/>
      <c r="F447" s="1095">
        <f t="shared" ref="F447:N447" si="91">F419*G$233</f>
        <v>20454374000</v>
      </c>
      <c r="G447" s="1095">
        <f t="shared" si="91"/>
        <v>25474653750</v>
      </c>
      <c r="H447" s="1095">
        <f t="shared" si="91"/>
        <v>30494933500</v>
      </c>
      <c r="I447" s="1095">
        <f t="shared" si="91"/>
        <v>29123221374.999996</v>
      </c>
      <c r="J447" s="1095">
        <f t="shared" si="91"/>
        <v>27751509250</v>
      </c>
      <c r="K447" s="1095">
        <f t="shared" si="91"/>
        <v>26309811812.5</v>
      </c>
      <c r="L447" s="1095">
        <f t="shared" si="91"/>
        <v>24868114375</v>
      </c>
      <c r="M447" s="1095">
        <f t="shared" si="91"/>
        <v>23426416937.499996</v>
      </c>
      <c r="N447" s="1095">
        <f t="shared" si="91"/>
        <v>21984719499.999996</v>
      </c>
    </row>
    <row r="448" spans="1:16" s="1427" customFormat="1" x14ac:dyDescent="0.2">
      <c r="A448" s="1451"/>
      <c r="C448" s="1451" t="s">
        <v>1507</v>
      </c>
      <c r="D448" s="591"/>
      <c r="E448" s="36"/>
      <c r="F448" s="1464">
        <f t="shared" ref="F448:N448" si="92">(F$426/5)*G$236</f>
        <v>195833333333.33331</v>
      </c>
      <c r="G448" s="1464">
        <f t="shared" si="92"/>
        <v>0</v>
      </c>
      <c r="H448" s="1464">
        <f t="shared" si="92"/>
        <v>0</v>
      </c>
      <c r="I448" s="1464">
        <f t="shared" si="92"/>
        <v>0</v>
      </c>
      <c r="J448" s="1464">
        <f t="shared" si="92"/>
        <v>0</v>
      </c>
      <c r="K448" s="1464">
        <f t="shared" si="92"/>
        <v>0</v>
      </c>
      <c r="L448" s="1464">
        <f t="shared" si="92"/>
        <v>0</v>
      </c>
      <c r="M448" s="1464">
        <f t="shared" si="92"/>
        <v>0</v>
      </c>
      <c r="N448" s="1464">
        <f t="shared" si="92"/>
        <v>0</v>
      </c>
    </row>
    <row r="449" spans="1:14" s="1427" customFormat="1" x14ac:dyDescent="0.2">
      <c r="A449" s="1451"/>
      <c r="C449" s="1451" t="s">
        <v>1530</v>
      </c>
      <c r="D449" s="591"/>
      <c r="E449" s="36"/>
      <c r="F449" s="1464">
        <f t="shared" ref="F449" si="93">(F$431/5)*G$237</f>
        <v>41654639.139654234</v>
      </c>
      <c r="G449" s="1464">
        <f t="shared" ref="G449:N449" si="94">(G$431/5)*H$237</f>
        <v>19614801.291336015</v>
      </c>
      <c r="H449" s="1464">
        <f t="shared" si="94"/>
        <v>19614801.291335993</v>
      </c>
      <c r="I449" s="1464">
        <f t="shared" si="94"/>
        <v>25969844.561615735</v>
      </c>
      <c r="J449" s="1464">
        <f t="shared" si="94"/>
        <v>3930006.7132975291</v>
      </c>
      <c r="K449" s="1464">
        <f t="shared" si="94"/>
        <v>11658727.282398518</v>
      </c>
      <c r="L449" s="1464">
        <f t="shared" si="94"/>
        <v>18013770.552678257</v>
      </c>
      <c r="M449" s="1464">
        <f t="shared" si="94"/>
        <v>0</v>
      </c>
      <c r="N449" s="1464">
        <f t="shared" si="94"/>
        <v>0</v>
      </c>
    </row>
    <row r="450" spans="1:14" s="1427" customFormat="1" x14ac:dyDescent="0.2">
      <c r="A450" s="39"/>
      <c r="C450" s="1451" t="s">
        <v>1531</v>
      </c>
      <c r="D450" s="591"/>
      <c r="E450" s="36"/>
      <c r="F450" s="1464">
        <f t="shared" ref="F450" si="95">(F$436/5)*G$238</f>
        <v>13368233.026214615</v>
      </c>
      <c r="G450" s="1464">
        <f t="shared" ref="G450:N450" si="96">(G$436/5)*H$238</f>
        <v>9885357.6087535713</v>
      </c>
      <c r="H450" s="1464">
        <f t="shared" si="96"/>
        <v>8347694.5030569453</v>
      </c>
      <c r="I450" s="1464">
        <f t="shared" si="96"/>
        <v>10131234.506309085</v>
      </c>
      <c r="J450" s="1464">
        <f t="shared" si="96"/>
        <v>5334164.3643557141</v>
      </c>
      <c r="K450" s="1464">
        <f t="shared" si="96"/>
        <v>6492994.26473343</v>
      </c>
      <c r="L450" s="1464">
        <f t="shared" si="96"/>
        <v>7573729.2682978176</v>
      </c>
      <c r="M450" s="1464">
        <f t="shared" si="96"/>
        <v>2036849.1312662933</v>
      </c>
      <c r="N450" s="1464">
        <f t="shared" si="96"/>
        <v>2418864.0411754446</v>
      </c>
    </row>
    <row r="451" spans="1:14" s="1427" customFormat="1" x14ac:dyDescent="0.2">
      <c r="A451" s="39"/>
      <c r="C451" s="1451" t="s">
        <v>1527</v>
      </c>
      <c r="D451" s="591"/>
      <c r="E451" s="36"/>
      <c r="F451" s="1464">
        <f>((F$440-F$440)+(F$440/3))*G$263/5</f>
        <v>0</v>
      </c>
      <c r="G451" s="1464">
        <f t="shared" ref="G451:N451" si="97">((G$440-F$440)+(F$440/3))*H$263/5</f>
        <v>0</v>
      </c>
      <c r="H451" s="1464">
        <f t="shared" si="97"/>
        <v>0</v>
      </c>
      <c r="I451" s="1464">
        <f t="shared" si="97"/>
        <v>0</v>
      </c>
      <c r="J451" s="1464">
        <f t="shared" si="97"/>
        <v>0</v>
      </c>
      <c r="K451" s="1464">
        <f t="shared" si="97"/>
        <v>0</v>
      </c>
      <c r="L451" s="1464">
        <f t="shared" si="97"/>
        <v>0</v>
      </c>
      <c r="M451" s="1464">
        <f t="shared" si="97"/>
        <v>0</v>
      </c>
      <c r="N451" s="1464">
        <f t="shared" si="97"/>
        <v>0</v>
      </c>
    </row>
    <row r="452" spans="1:14" s="1427" customFormat="1" x14ac:dyDescent="0.2">
      <c r="A452" s="1451"/>
      <c r="C452" s="1451" t="s">
        <v>1532</v>
      </c>
      <c r="D452" s="591"/>
      <c r="E452" s="36"/>
      <c r="F452" s="1095">
        <f t="shared" ref="F452:M452" si="98">F421*G$234</f>
        <v>182334085250</v>
      </c>
      <c r="G452" s="1095">
        <f t="shared" si="98"/>
        <v>206902122250.00003</v>
      </c>
      <c r="H452" s="1095">
        <f t="shared" si="98"/>
        <v>231470159250</v>
      </c>
      <c r="I452" s="1095">
        <f t="shared" si="98"/>
        <v>252422042874.99997</v>
      </c>
      <c r="J452" s="1095">
        <f t="shared" si="98"/>
        <v>273373926500</v>
      </c>
      <c r="K452" s="1095">
        <f t="shared" si="98"/>
        <v>282514253875</v>
      </c>
      <c r="L452" s="1095">
        <f t="shared" si="98"/>
        <v>291654581250</v>
      </c>
      <c r="M452" s="1095">
        <f t="shared" si="98"/>
        <v>300794908625</v>
      </c>
      <c r="N452" s="1095">
        <f>N421*O$234</f>
        <v>309935236000</v>
      </c>
    </row>
    <row r="453" spans="1:14" x14ac:dyDescent="0.2">
      <c r="B453" s="1427"/>
      <c r="C453" s="1451" t="s">
        <v>1533</v>
      </c>
      <c r="D453" s="591"/>
      <c r="E453" s="36"/>
      <c r="F453" s="1095">
        <f t="shared" ref="F453:N453" si="99">F423*G$235</f>
        <v>0</v>
      </c>
      <c r="G453" s="1095">
        <f t="shared" si="99"/>
        <v>1259480358.2466002</v>
      </c>
      <c r="H453" s="1095">
        <f t="shared" si="99"/>
        <v>2818067943.6756001</v>
      </c>
      <c r="I453" s="1095">
        <f t="shared" si="99"/>
        <v>3879666607.2020993</v>
      </c>
      <c r="J453" s="1095">
        <f t="shared" si="99"/>
        <v>5075152522.9200001</v>
      </c>
      <c r="K453" s="1095">
        <f t="shared" si="99"/>
        <v>5358019709.4669018</v>
      </c>
      <c r="L453" s="1095">
        <f t="shared" si="99"/>
        <v>5648210317.1700001</v>
      </c>
      <c r="M453" s="1095">
        <f t="shared" si="99"/>
        <v>5945724346.0293007</v>
      </c>
      <c r="N453" s="1095">
        <f t="shared" si="99"/>
        <v>6250561796.0447998</v>
      </c>
    </row>
    <row r="454" spans="1:14" x14ac:dyDescent="0.2">
      <c r="A454" s="39"/>
      <c r="B454" s="1427"/>
      <c r="C454" s="1451" t="s">
        <v>105</v>
      </c>
      <c r="D454" s="591"/>
      <c r="E454" s="36"/>
      <c r="F454" s="1464">
        <f>F446+F448+F449+F450+F452</f>
        <v>535382441455.49915</v>
      </c>
      <c r="G454" s="1095">
        <f t="shared" ref="G454:N454" si="100">SUM(G446:G453)</f>
        <v>390825756517.14673</v>
      </c>
      <c r="H454" s="1095">
        <f t="shared" si="100"/>
        <v>421971123189.46997</v>
      </c>
      <c r="I454" s="1095">
        <f t="shared" si="100"/>
        <v>442621031936.26996</v>
      </c>
      <c r="J454" s="1095">
        <f t="shared" si="100"/>
        <v>463369852443.99762</v>
      </c>
      <c r="K454" s="1095">
        <f t="shared" si="100"/>
        <v>471360237118.51404</v>
      </c>
      <c r="L454" s="1095">
        <f t="shared" si="100"/>
        <v>479356493441.99097</v>
      </c>
      <c r="M454" s="1095">
        <f t="shared" si="100"/>
        <v>487329086757.66052</v>
      </c>
      <c r="N454" s="1095">
        <f t="shared" si="100"/>
        <v>495332936160.08594</v>
      </c>
    </row>
    <row r="455" spans="1:14" x14ac:dyDescent="0.2">
      <c r="B455" s="1427"/>
      <c r="C455" s="1592" t="s">
        <v>1764</v>
      </c>
      <c r="D455" s="591"/>
      <c r="E455" s="1591"/>
      <c r="F455" s="1464">
        <f t="shared" ref="F455" si="101">F445+F447+F451</f>
        <v>20454376010</v>
      </c>
      <c r="G455" s="1464">
        <f t="shared" ref="G455:N455" si="102">G447+G449+G450+G451+G453</f>
        <v>26763634267.14669</v>
      </c>
      <c r="H455" s="1464">
        <f t="shared" si="102"/>
        <v>33340963939.469994</v>
      </c>
      <c r="I455" s="1464">
        <f t="shared" si="102"/>
        <v>33038989061.27002</v>
      </c>
      <c r="J455" s="1464">
        <f t="shared" si="102"/>
        <v>32835925943.997658</v>
      </c>
      <c r="K455" s="1464">
        <f t="shared" si="102"/>
        <v>31685983243.51403</v>
      </c>
      <c r="L455" s="1464">
        <f t="shared" si="102"/>
        <v>30541912191.990974</v>
      </c>
      <c r="M455" s="1464">
        <f t="shared" si="102"/>
        <v>29374178132.660564</v>
      </c>
      <c r="N455" s="1464">
        <f t="shared" si="102"/>
        <v>28237700160.085972</v>
      </c>
    </row>
    <row r="456" spans="1:14" x14ac:dyDescent="0.2">
      <c r="B456" s="1427"/>
      <c r="C456" s="1592" t="s">
        <v>1763</v>
      </c>
      <c r="D456" s="591"/>
      <c r="E456" s="1591"/>
      <c r="F456" s="1464">
        <f t="shared" ref="F456:N456" si="103">F446+F448+F452</f>
        <v>535327418583.33331</v>
      </c>
      <c r="G456" s="1464">
        <f t="shared" si="103"/>
        <v>364062122250</v>
      </c>
      <c r="H456" s="1464">
        <f t="shared" si="103"/>
        <v>388630159250</v>
      </c>
      <c r="I456" s="1464">
        <f t="shared" si="103"/>
        <v>409582042875</v>
      </c>
      <c r="J456" s="1464">
        <f t="shared" si="103"/>
        <v>430533926500</v>
      </c>
      <c r="K456" s="1464">
        <f t="shared" si="103"/>
        <v>439674253875</v>
      </c>
      <c r="L456" s="1464">
        <f t="shared" si="103"/>
        <v>448814581250</v>
      </c>
      <c r="M456" s="1464">
        <f t="shared" si="103"/>
        <v>457954908625</v>
      </c>
      <c r="N456" s="1464">
        <f t="shared" si="103"/>
        <v>467095236000</v>
      </c>
    </row>
    <row r="457" spans="1:14" s="1912" customFormat="1" x14ac:dyDescent="0.2">
      <c r="B457" s="1427"/>
      <c r="D457" s="591"/>
      <c r="E457" s="1911"/>
      <c r="F457" s="1464"/>
      <c r="G457" s="1464"/>
      <c r="H457" s="1464"/>
      <c r="I457" s="1464"/>
      <c r="J457" s="1464"/>
      <c r="K457" s="1464"/>
      <c r="L457" s="1464"/>
      <c r="M457" s="1464"/>
      <c r="N457" s="1464"/>
    </row>
    <row r="458" spans="1:14" s="1912" customFormat="1" x14ac:dyDescent="0.2">
      <c r="B458" s="1427"/>
      <c r="C458" s="1427" t="s">
        <v>1878</v>
      </c>
      <c r="D458" s="591"/>
      <c r="E458" s="1000" t="str">
        <f>Preferences.moneyunits</f>
        <v>N</v>
      </c>
      <c r="F458" s="1427">
        <v>2010</v>
      </c>
      <c r="G458" s="1427">
        <v>2015</v>
      </c>
      <c r="H458" s="1427">
        <v>2020</v>
      </c>
      <c r="I458" s="1427">
        <v>2025</v>
      </c>
      <c r="J458" s="1427">
        <v>2030</v>
      </c>
      <c r="K458" s="1427">
        <v>2035</v>
      </c>
      <c r="L458" s="1427">
        <v>2040</v>
      </c>
      <c r="M458" s="1427">
        <v>2045</v>
      </c>
      <c r="N458" s="1427">
        <v>2050</v>
      </c>
    </row>
    <row r="459" spans="1:14" s="1912" customFormat="1" x14ac:dyDescent="0.2">
      <c r="B459" s="1427"/>
      <c r="C459" s="1912" t="s">
        <v>1529</v>
      </c>
      <c r="D459" s="591"/>
      <c r="E459" s="1911"/>
      <c r="F459" s="1095">
        <f t="shared" ref="F459:N459" si="104">F418*G$244</f>
        <v>93313750000</v>
      </c>
      <c r="G459" s="1095">
        <f t="shared" si="104"/>
        <v>93313750000</v>
      </c>
      <c r="H459" s="1095">
        <f t="shared" si="104"/>
        <v>93313750000</v>
      </c>
      <c r="I459" s="1095">
        <f t="shared" si="104"/>
        <v>93313750000</v>
      </c>
      <c r="J459" s="1095">
        <f t="shared" si="104"/>
        <v>93313750000</v>
      </c>
      <c r="K459" s="1095">
        <f t="shared" si="104"/>
        <v>93313750000</v>
      </c>
      <c r="L459" s="1095">
        <f t="shared" si="104"/>
        <v>93313750000</v>
      </c>
      <c r="M459" s="1095">
        <f t="shared" si="104"/>
        <v>93313750000</v>
      </c>
      <c r="N459" s="1095">
        <f t="shared" si="104"/>
        <v>93313750000</v>
      </c>
    </row>
    <row r="460" spans="1:14" s="1912" customFormat="1" x14ac:dyDescent="0.2">
      <c r="B460" s="1427"/>
      <c r="C460" s="1912" t="s">
        <v>668</v>
      </c>
      <c r="D460" s="591"/>
      <c r="E460" s="1911"/>
      <c r="F460" s="1095">
        <f t="shared" ref="F460:N460" si="105">F419*G$245</f>
        <v>20454374000</v>
      </c>
      <c r="G460" s="1095">
        <f t="shared" si="105"/>
        <v>25474653750</v>
      </c>
      <c r="H460" s="1095">
        <f t="shared" si="105"/>
        <v>30494933500</v>
      </c>
      <c r="I460" s="1095">
        <f t="shared" si="105"/>
        <v>29123221374.999996</v>
      </c>
      <c r="J460" s="1095">
        <f t="shared" si="105"/>
        <v>27751509250</v>
      </c>
      <c r="K460" s="1095">
        <f t="shared" si="105"/>
        <v>26309811812.5</v>
      </c>
      <c r="L460" s="1095">
        <f t="shared" si="105"/>
        <v>24868114375</v>
      </c>
      <c r="M460" s="1095">
        <f t="shared" si="105"/>
        <v>23426416937.499996</v>
      </c>
      <c r="N460" s="1095">
        <f t="shared" si="105"/>
        <v>21984719499.999996</v>
      </c>
    </row>
    <row r="461" spans="1:14" s="1912" customFormat="1" x14ac:dyDescent="0.2">
      <c r="B461" s="1427"/>
      <c r="C461" s="1912" t="s">
        <v>1507</v>
      </c>
      <c r="D461" s="591"/>
      <c r="E461" s="1911"/>
      <c r="F461" s="1464">
        <f t="shared" ref="F461:N461" si="106">(F$426/5)*G$248</f>
        <v>130833333333.33331</v>
      </c>
      <c r="G461" s="1464">
        <f t="shared" si="106"/>
        <v>0</v>
      </c>
      <c r="H461" s="1464">
        <f t="shared" si="106"/>
        <v>0</v>
      </c>
      <c r="I461" s="1464">
        <f t="shared" si="106"/>
        <v>0</v>
      </c>
      <c r="J461" s="1464">
        <f t="shared" si="106"/>
        <v>0</v>
      </c>
      <c r="K461" s="1464">
        <f t="shared" si="106"/>
        <v>0</v>
      </c>
      <c r="L461" s="1464">
        <f t="shared" si="106"/>
        <v>0</v>
      </c>
      <c r="M461" s="1464">
        <f t="shared" si="106"/>
        <v>0</v>
      </c>
      <c r="N461" s="1464">
        <f t="shared" si="106"/>
        <v>0</v>
      </c>
    </row>
    <row r="462" spans="1:14" s="1912" customFormat="1" x14ac:dyDescent="0.2">
      <c r="B462" s="1427"/>
      <c r="C462" s="1912" t="s">
        <v>1530</v>
      </c>
      <c r="D462" s="591"/>
      <c r="E462" s="1911"/>
      <c r="F462" s="1464">
        <f t="shared" ref="F462:N462" si="107">(F$431/5)*G$249</f>
        <v>14579123.698878981</v>
      </c>
      <c r="G462" s="1464">
        <f t="shared" si="107"/>
        <v>6865180.4519676054</v>
      </c>
      <c r="H462" s="1464">
        <f t="shared" si="107"/>
        <v>6865180.4519675979</v>
      </c>
      <c r="I462" s="1464">
        <f t="shared" si="107"/>
        <v>9089445.5965655074</v>
      </c>
      <c r="J462" s="1464">
        <f t="shared" si="107"/>
        <v>1375502.3496541353</v>
      </c>
      <c r="K462" s="1464">
        <f t="shared" si="107"/>
        <v>4080554.5488394815</v>
      </c>
      <c r="L462" s="1464">
        <f t="shared" si="107"/>
        <v>6304819.69343739</v>
      </c>
      <c r="M462" s="1464">
        <f t="shared" si="107"/>
        <v>0</v>
      </c>
      <c r="N462" s="1464">
        <f t="shared" si="107"/>
        <v>0</v>
      </c>
    </row>
    <row r="463" spans="1:14" s="1912" customFormat="1" x14ac:dyDescent="0.2">
      <c r="B463" s="1427"/>
      <c r="C463" s="1912" t="s">
        <v>1531</v>
      </c>
      <c r="D463" s="591"/>
      <c r="E463" s="1911"/>
      <c r="F463" s="1464">
        <f t="shared" ref="F463:N463" si="108">(F$436/5)*G$250</f>
        <v>4678881.5591751151</v>
      </c>
      <c r="G463" s="1464">
        <f t="shared" si="108"/>
        <v>3459875.1630637497</v>
      </c>
      <c r="H463" s="1464">
        <f t="shared" si="108"/>
        <v>2921693.0760699306</v>
      </c>
      <c r="I463" s="1464">
        <f t="shared" si="108"/>
        <v>3545932.0772081795</v>
      </c>
      <c r="J463" s="1464">
        <f t="shared" si="108"/>
        <v>1866957.5275244999</v>
      </c>
      <c r="K463" s="1464">
        <f t="shared" si="108"/>
        <v>2272547.9926567008</v>
      </c>
      <c r="L463" s="1464">
        <f t="shared" si="108"/>
        <v>2650805.2439042362</v>
      </c>
      <c r="M463" s="1464">
        <f t="shared" si="108"/>
        <v>712897.19594320271</v>
      </c>
      <c r="N463" s="1464">
        <f t="shared" si="108"/>
        <v>846602.41441140568</v>
      </c>
    </row>
    <row r="464" spans="1:14" s="1912" customFormat="1" x14ac:dyDescent="0.2">
      <c r="B464" s="1427"/>
      <c r="C464" s="1912" t="s">
        <v>1527</v>
      </c>
      <c r="D464" s="591"/>
      <c r="E464" s="1911"/>
      <c r="F464" s="1464">
        <f>((F$440-F$440)+(F$440/3))*G$251/5</f>
        <v>6106014.018962862</v>
      </c>
      <c r="G464" s="1464">
        <f t="shared" ref="G464:N464" si="109">((G$440-F$440)+(F$440/3))*H$251/5</f>
        <v>6730650.1438057022</v>
      </c>
      <c r="H464" s="1464">
        <f t="shared" si="109"/>
        <v>6955363.9783741115</v>
      </c>
      <c r="I464" s="1464">
        <f t="shared" si="109"/>
        <v>7692619.3511108682</v>
      </c>
      <c r="J464" s="1464">
        <f t="shared" si="109"/>
        <v>7775968.6392267169</v>
      </c>
      <c r="K464" s="1464">
        <f t="shared" si="109"/>
        <v>8291469.257461153</v>
      </c>
      <c r="L464" s="1464">
        <f t="shared" si="109"/>
        <v>8640050.2929285578</v>
      </c>
      <c r="M464" s="1464">
        <f t="shared" si="109"/>
        <v>8703431.9892748408</v>
      </c>
      <c r="N464" s="1464">
        <f t="shared" si="109"/>
        <v>9253392.4277350791</v>
      </c>
    </row>
    <row r="465" spans="1:16" s="1912" customFormat="1" x14ac:dyDescent="0.2">
      <c r="B465" s="1427"/>
      <c r="C465" s="1912" t="s">
        <v>1532</v>
      </c>
      <c r="D465" s="591"/>
      <c r="E465" s="1911"/>
      <c r="F465" s="1095">
        <f t="shared" ref="F465:N465" si="110">F421*G$234</f>
        <v>182334085250</v>
      </c>
      <c r="G465" s="1095">
        <f t="shared" si="110"/>
        <v>206902122250.00003</v>
      </c>
      <c r="H465" s="1095">
        <f t="shared" si="110"/>
        <v>231470159250</v>
      </c>
      <c r="I465" s="1095">
        <f t="shared" si="110"/>
        <v>252422042874.99997</v>
      </c>
      <c r="J465" s="1095">
        <f t="shared" si="110"/>
        <v>273373926500</v>
      </c>
      <c r="K465" s="1095">
        <f t="shared" si="110"/>
        <v>282514253875</v>
      </c>
      <c r="L465" s="1095">
        <f t="shared" si="110"/>
        <v>291654581250</v>
      </c>
      <c r="M465" s="1095">
        <f t="shared" si="110"/>
        <v>300794908625</v>
      </c>
      <c r="N465" s="1095">
        <f t="shared" si="110"/>
        <v>309935236000</v>
      </c>
    </row>
    <row r="466" spans="1:16" s="1912" customFormat="1" x14ac:dyDescent="0.2">
      <c r="B466" s="1427"/>
      <c r="C466" s="1912" t="s">
        <v>1533</v>
      </c>
      <c r="D466" s="591"/>
      <c r="E466" s="1911"/>
      <c r="F466" s="1095">
        <f t="shared" ref="F466:N466" si="111">F423*G$247</f>
        <v>0</v>
      </c>
      <c r="G466" s="1095">
        <f t="shared" si="111"/>
        <v>577261830.86302507</v>
      </c>
      <c r="H466" s="1095">
        <f t="shared" si="111"/>
        <v>1291614474.1846499</v>
      </c>
      <c r="I466" s="1095">
        <f t="shared" si="111"/>
        <v>1778180528.3009622</v>
      </c>
      <c r="J466" s="1095">
        <f t="shared" si="111"/>
        <v>2326111573.0050001</v>
      </c>
      <c r="K466" s="1095">
        <f t="shared" si="111"/>
        <v>2455759033.5056629</v>
      </c>
      <c r="L466" s="1095">
        <f t="shared" si="111"/>
        <v>2588763062.0362501</v>
      </c>
      <c r="M466" s="1095">
        <f t="shared" si="111"/>
        <v>2725123658.5967627</v>
      </c>
      <c r="N466" s="1095">
        <f t="shared" si="111"/>
        <v>2864840823.1872001</v>
      </c>
    </row>
    <row r="467" spans="1:16" s="1912" customFormat="1" x14ac:dyDescent="0.2">
      <c r="B467" s="1427"/>
      <c r="C467" s="1912" t="s">
        <v>105</v>
      </c>
      <c r="D467" s="591"/>
      <c r="E467" s="1911"/>
      <c r="F467" s="1095">
        <f t="shared" ref="F467:N467" si="112">SUM(F459:F466)</f>
        <v>426960906602.61035</v>
      </c>
      <c r="G467" s="1095">
        <f t="shared" si="112"/>
        <v>326284843536.62189</v>
      </c>
      <c r="H467" s="1095">
        <f t="shared" si="112"/>
        <v>356587199461.69104</v>
      </c>
      <c r="I467" s="1095">
        <f t="shared" si="112"/>
        <v>376657522775.32581</v>
      </c>
      <c r="J467" s="1095">
        <f t="shared" si="112"/>
        <v>396776315751.52142</v>
      </c>
      <c r="K467" s="1095">
        <f t="shared" si="112"/>
        <v>404608219292.80463</v>
      </c>
      <c r="L467" s="1095">
        <f t="shared" si="112"/>
        <v>412442804362.26654</v>
      </c>
      <c r="M467" s="1095">
        <f t="shared" si="112"/>
        <v>420269615550.28192</v>
      </c>
      <c r="N467" s="1095">
        <f t="shared" si="112"/>
        <v>428108646318.02936</v>
      </c>
    </row>
    <row r="468" spans="1:16" s="1912" customFormat="1" x14ac:dyDescent="0.2">
      <c r="B468" s="1427"/>
      <c r="C468" s="1912" t="s">
        <v>1764</v>
      </c>
      <c r="D468" s="591"/>
      <c r="E468" s="1911"/>
      <c r="F468" s="1464">
        <f>F460+F462+F463+F464+F466</f>
        <v>20479738019.277016</v>
      </c>
      <c r="G468" s="1464">
        <f t="shared" ref="G468:N468" si="113">G460+G462+G463+G464+G466</f>
        <v>26068971286.621864</v>
      </c>
      <c r="H468" s="1464">
        <f t="shared" si="113"/>
        <v>31803290211.691063</v>
      </c>
      <c r="I468" s="1464">
        <f t="shared" si="113"/>
        <v>30921729900.325844</v>
      </c>
      <c r="J468" s="1464">
        <f t="shared" si="113"/>
        <v>30088639251.521404</v>
      </c>
      <c r="K468" s="1464">
        <f t="shared" si="113"/>
        <v>28780215417.804619</v>
      </c>
      <c r="L468" s="1464">
        <f t="shared" si="113"/>
        <v>27474473112.266518</v>
      </c>
      <c r="M468" s="1464">
        <f t="shared" si="113"/>
        <v>26160956925.281975</v>
      </c>
      <c r="N468" s="1464">
        <f t="shared" si="113"/>
        <v>24859660318.029339</v>
      </c>
    </row>
    <row r="469" spans="1:16" x14ac:dyDescent="0.2">
      <c r="B469" s="1427"/>
      <c r="C469" s="1912" t="s">
        <v>1763</v>
      </c>
      <c r="D469" s="591"/>
      <c r="E469" s="1911"/>
      <c r="F469" s="1464">
        <f t="shared" ref="F469:N469" si="114">F459+F461+F465</f>
        <v>406481168583.33331</v>
      </c>
      <c r="G469" s="1464">
        <f t="shared" si="114"/>
        <v>300215872250</v>
      </c>
      <c r="H469" s="1464">
        <f t="shared" si="114"/>
        <v>324783909250</v>
      </c>
      <c r="I469" s="1464">
        <f t="shared" si="114"/>
        <v>345735792875</v>
      </c>
      <c r="J469" s="1464">
        <f t="shared" si="114"/>
        <v>366687676500</v>
      </c>
      <c r="K469" s="1464">
        <f t="shared" si="114"/>
        <v>375828003875</v>
      </c>
      <c r="L469" s="1464">
        <f t="shared" si="114"/>
        <v>384968331250</v>
      </c>
      <c r="M469" s="1464">
        <f t="shared" si="114"/>
        <v>394108658625</v>
      </c>
      <c r="N469" s="1464">
        <f t="shared" si="114"/>
        <v>403248986000</v>
      </c>
    </row>
    <row r="470" spans="1:16" s="1912" customFormat="1" x14ac:dyDescent="0.2">
      <c r="B470" s="1427"/>
      <c r="D470" s="591"/>
      <c r="E470" s="1911"/>
      <c r="F470" s="1464"/>
      <c r="G470" s="1464"/>
      <c r="H470" s="1464"/>
      <c r="I470" s="1464"/>
      <c r="J470" s="1464"/>
      <c r="K470" s="1464"/>
      <c r="L470" s="1464"/>
      <c r="M470" s="1464"/>
      <c r="N470" s="1464"/>
    </row>
    <row r="471" spans="1:16" x14ac:dyDescent="0.2">
      <c r="B471" s="1427"/>
      <c r="C471" s="1427" t="s">
        <v>1528</v>
      </c>
      <c r="D471" s="591"/>
      <c r="E471" s="1000" t="str">
        <f>Preferences.moneyunits</f>
        <v>N</v>
      </c>
      <c r="F471" s="1427">
        <v>2010</v>
      </c>
      <c r="G471" s="1427">
        <v>2015</v>
      </c>
      <c r="H471" s="1427">
        <v>2020</v>
      </c>
      <c r="I471" s="1427">
        <v>2025</v>
      </c>
      <c r="J471" s="1427">
        <v>2030</v>
      </c>
      <c r="K471" s="1427">
        <v>2035</v>
      </c>
      <c r="L471" s="1427">
        <v>2040</v>
      </c>
      <c r="M471" s="1427">
        <v>2045</v>
      </c>
      <c r="N471" s="1427">
        <v>2050</v>
      </c>
    </row>
    <row r="472" spans="1:16" x14ac:dyDescent="0.2">
      <c r="B472" s="1427"/>
      <c r="C472" s="1912" t="s">
        <v>1529</v>
      </c>
      <c r="D472" s="591"/>
      <c r="E472" s="1911"/>
      <c r="F472" s="1095">
        <f t="shared" ref="F472:N472" si="115">F418*G$256</f>
        <v>58935000000</v>
      </c>
      <c r="G472" s="1095">
        <f t="shared" si="115"/>
        <v>58935000000</v>
      </c>
      <c r="H472" s="1095">
        <f t="shared" si="115"/>
        <v>58935000000</v>
      </c>
      <c r="I472" s="1095">
        <f t="shared" si="115"/>
        <v>58935000000</v>
      </c>
      <c r="J472" s="1095">
        <f t="shared" si="115"/>
        <v>58935000000</v>
      </c>
      <c r="K472" s="1095">
        <f t="shared" si="115"/>
        <v>58935000000</v>
      </c>
      <c r="L472" s="1095">
        <f t="shared" si="115"/>
        <v>58935000000</v>
      </c>
      <c r="M472" s="1095">
        <f t="shared" si="115"/>
        <v>58935000000</v>
      </c>
      <c r="N472" s="1095">
        <f t="shared" si="115"/>
        <v>58935000000</v>
      </c>
    </row>
    <row r="473" spans="1:16" x14ac:dyDescent="0.2">
      <c r="A473" s="39"/>
      <c r="B473" s="1427"/>
      <c r="C473" s="1912" t="s">
        <v>668</v>
      </c>
      <c r="D473" s="591"/>
      <c r="E473" s="1911"/>
      <c r="F473" s="1095">
        <f t="shared" ref="F473:N473" si="116">F419*G$257</f>
        <v>20454374000</v>
      </c>
      <c r="G473" s="1095">
        <f t="shared" si="116"/>
        <v>25474653750</v>
      </c>
      <c r="H473" s="1095">
        <f t="shared" si="116"/>
        <v>30494933500</v>
      </c>
      <c r="I473" s="1095">
        <f t="shared" si="116"/>
        <v>29123221374.999996</v>
      </c>
      <c r="J473" s="1095">
        <f t="shared" si="116"/>
        <v>27751509250</v>
      </c>
      <c r="K473" s="1095">
        <f t="shared" si="116"/>
        <v>26309811812.5</v>
      </c>
      <c r="L473" s="1095">
        <f t="shared" si="116"/>
        <v>24868114375</v>
      </c>
      <c r="M473" s="1095">
        <f t="shared" si="116"/>
        <v>23426416937.499996</v>
      </c>
      <c r="N473" s="1095">
        <f t="shared" si="116"/>
        <v>21984719499.999996</v>
      </c>
    </row>
    <row r="474" spans="1:16" x14ac:dyDescent="0.2">
      <c r="B474" s="1427"/>
      <c r="C474" s="1912" t="s">
        <v>1507</v>
      </c>
      <c r="D474" s="591"/>
      <c r="E474" s="1911"/>
      <c r="F474" s="1464">
        <f t="shared" ref="F474:N474" si="117">(F$426/5)*G$260</f>
        <v>95833333333.333313</v>
      </c>
      <c r="G474" s="1464">
        <f t="shared" si="117"/>
        <v>0</v>
      </c>
      <c r="H474" s="1464">
        <f t="shared" si="117"/>
        <v>0</v>
      </c>
      <c r="I474" s="1464">
        <f t="shared" si="117"/>
        <v>0</v>
      </c>
      <c r="J474" s="1464">
        <f t="shared" si="117"/>
        <v>0</v>
      </c>
      <c r="K474" s="1464">
        <f t="shared" si="117"/>
        <v>0</v>
      </c>
      <c r="L474" s="1464">
        <f t="shared" si="117"/>
        <v>0</v>
      </c>
      <c r="M474" s="1464">
        <f t="shared" si="117"/>
        <v>0</v>
      </c>
      <c r="N474" s="1464">
        <f t="shared" si="117"/>
        <v>0</v>
      </c>
    </row>
    <row r="475" spans="1:16" x14ac:dyDescent="0.2">
      <c r="B475" s="1427"/>
      <c r="C475" s="1912" t="s">
        <v>1530</v>
      </c>
      <c r="D475" s="591"/>
      <c r="E475" s="1911"/>
      <c r="F475" s="1464">
        <f t="shared" ref="F475:N475" si="118">(F$431/5)*G$261</f>
        <v>0</v>
      </c>
      <c r="G475" s="1464">
        <f t="shared" si="118"/>
        <v>0</v>
      </c>
      <c r="H475" s="1464">
        <f t="shared" si="118"/>
        <v>0</v>
      </c>
      <c r="I475" s="1464">
        <f t="shared" si="118"/>
        <v>0</v>
      </c>
      <c r="J475" s="1464">
        <f t="shared" si="118"/>
        <v>0</v>
      </c>
      <c r="K475" s="1464">
        <f t="shared" si="118"/>
        <v>0</v>
      </c>
      <c r="L475" s="1464">
        <f t="shared" si="118"/>
        <v>0</v>
      </c>
      <c r="M475" s="1464">
        <f t="shared" si="118"/>
        <v>0</v>
      </c>
      <c r="N475" s="1464">
        <f t="shared" si="118"/>
        <v>0</v>
      </c>
    </row>
    <row r="476" spans="1:16" x14ac:dyDescent="0.2">
      <c r="B476" s="1427"/>
      <c r="C476" s="1912" t="s">
        <v>1531</v>
      </c>
      <c r="D476" s="591"/>
      <c r="E476" s="1911"/>
      <c r="F476" s="1464">
        <f t="shared" ref="F476:N476" si="119">(F$436/5)*G$250</f>
        <v>4678881.5591751151</v>
      </c>
      <c r="G476" s="1464">
        <f t="shared" si="119"/>
        <v>3459875.1630637497</v>
      </c>
      <c r="H476" s="1464">
        <f t="shared" si="119"/>
        <v>2921693.0760699306</v>
      </c>
      <c r="I476" s="1464">
        <f t="shared" si="119"/>
        <v>3545932.0772081795</v>
      </c>
      <c r="J476" s="1464">
        <f t="shared" si="119"/>
        <v>1866957.5275244999</v>
      </c>
      <c r="K476" s="1464">
        <f t="shared" si="119"/>
        <v>2272547.9926567008</v>
      </c>
      <c r="L476" s="1464">
        <f t="shared" si="119"/>
        <v>2650805.2439042362</v>
      </c>
      <c r="M476" s="1464">
        <f t="shared" si="119"/>
        <v>712897.19594320271</v>
      </c>
      <c r="N476" s="1464">
        <f t="shared" si="119"/>
        <v>846602.41441140568</v>
      </c>
    </row>
    <row r="477" spans="1:16" x14ac:dyDescent="0.2">
      <c r="B477" s="1427"/>
      <c r="C477" s="1912" t="s">
        <v>1527</v>
      </c>
      <c r="D477" s="591"/>
      <c r="E477" s="1911"/>
      <c r="F477" s="1464">
        <f>((F$440-F$440)+(F$440/3))*G$263/5</f>
        <v>0</v>
      </c>
      <c r="G477" s="1464">
        <f t="shared" ref="G477:N477" si="120">((G$440-F$440)+(F$440/3))*H$263/5</f>
        <v>0</v>
      </c>
      <c r="H477" s="1464">
        <f t="shared" si="120"/>
        <v>0</v>
      </c>
      <c r="I477" s="1464">
        <f t="shared" si="120"/>
        <v>0</v>
      </c>
      <c r="J477" s="1464">
        <f t="shared" si="120"/>
        <v>0</v>
      </c>
      <c r="K477" s="1464">
        <f t="shared" si="120"/>
        <v>0</v>
      </c>
      <c r="L477" s="1464">
        <f t="shared" si="120"/>
        <v>0</v>
      </c>
      <c r="M477" s="1464">
        <f t="shared" si="120"/>
        <v>0</v>
      </c>
      <c r="N477" s="1464">
        <f t="shared" si="120"/>
        <v>0</v>
      </c>
    </row>
    <row r="478" spans="1:16" x14ac:dyDescent="0.2">
      <c r="A478" s="39"/>
      <c r="B478" s="1427"/>
      <c r="C478" s="1912" t="s">
        <v>1532</v>
      </c>
      <c r="D478" s="591"/>
      <c r="E478" s="1911"/>
      <c r="F478" s="1095">
        <f t="shared" ref="F478:N478" si="121">F421*G$234</f>
        <v>182334085250</v>
      </c>
      <c r="G478" s="1095">
        <f t="shared" si="121"/>
        <v>206902122250.00003</v>
      </c>
      <c r="H478" s="1095">
        <f t="shared" si="121"/>
        <v>231470159250</v>
      </c>
      <c r="I478" s="1095">
        <f t="shared" si="121"/>
        <v>252422042874.99997</v>
      </c>
      <c r="J478" s="1095">
        <f t="shared" si="121"/>
        <v>273373926500</v>
      </c>
      <c r="K478" s="1095">
        <f t="shared" si="121"/>
        <v>282514253875</v>
      </c>
      <c r="L478" s="1095">
        <f t="shared" si="121"/>
        <v>291654581250</v>
      </c>
      <c r="M478" s="1095">
        <f t="shared" si="121"/>
        <v>300794908625</v>
      </c>
      <c r="N478" s="1095">
        <f t="shared" si="121"/>
        <v>309935236000</v>
      </c>
    </row>
    <row r="479" spans="1:16" s="1592" customFormat="1" x14ac:dyDescent="0.2">
      <c r="A479" s="1451"/>
      <c r="B479" s="1427"/>
      <c r="C479" s="1912" t="s">
        <v>1533</v>
      </c>
      <c r="D479" s="591"/>
      <c r="E479" s="1911"/>
      <c r="F479" s="1095">
        <f t="shared" ref="F479:N479" si="122">F423*G$259</f>
        <v>0</v>
      </c>
      <c r="G479" s="1095">
        <f t="shared" si="122"/>
        <v>209913393.04110003</v>
      </c>
      <c r="H479" s="1095">
        <f t="shared" si="122"/>
        <v>469677990.61260003</v>
      </c>
      <c r="I479" s="1095">
        <f t="shared" si="122"/>
        <v>646611101.20034993</v>
      </c>
      <c r="J479" s="1095">
        <f t="shared" si="122"/>
        <v>845858753.81999993</v>
      </c>
      <c r="K479" s="1095">
        <f t="shared" si="122"/>
        <v>893003284.91115022</v>
      </c>
      <c r="L479" s="1095">
        <f t="shared" si="122"/>
        <v>941368386.19499993</v>
      </c>
      <c r="M479" s="1095">
        <f t="shared" si="122"/>
        <v>990954057.67155004</v>
      </c>
      <c r="N479" s="1095">
        <f t="shared" si="122"/>
        <v>1041760299.3407999</v>
      </c>
      <c r="O479" s="1451"/>
      <c r="P479" s="1451"/>
    </row>
    <row r="480" spans="1:16" s="1592" customFormat="1" x14ac:dyDescent="0.2">
      <c r="A480" s="1451"/>
      <c r="B480" s="1427"/>
      <c r="C480" s="1912" t="s">
        <v>105</v>
      </c>
      <c r="D480" s="591"/>
      <c r="E480" s="1911"/>
      <c r="F480" s="1095">
        <f t="shared" ref="F480:N480" si="123">SUM(F472:F479)</f>
        <v>357561471464.89246</v>
      </c>
      <c r="G480" s="1095">
        <f t="shared" si="123"/>
        <v>291525149268.20416</v>
      </c>
      <c r="H480" s="1095">
        <f t="shared" si="123"/>
        <v>321372692433.68866</v>
      </c>
      <c r="I480" s="1095">
        <f t="shared" si="123"/>
        <v>341130421283.27753</v>
      </c>
      <c r="J480" s="1095">
        <f t="shared" si="123"/>
        <v>360908161461.34753</v>
      </c>
      <c r="K480" s="1095">
        <f t="shared" si="123"/>
        <v>368654341520.40381</v>
      </c>
      <c r="L480" s="1095">
        <f t="shared" si="123"/>
        <v>376401714816.4389</v>
      </c>
      <c r="M480" s="1095">
        <f t="shared" si="123"/>
        <v>384147992517.36749</v>
      </c>
      <c r="N480" s="1095">
        <f t="shared" si="123"/>
        <v>391897562401.75525</v>
      </c>
      <c r="O480" s="1451"/>
      <c r="P480" s="1451"/>
    </row>
    <row r="481" spans="1:16" x14ac:dyDescent="0.2">
      <c r="A481" s="39"/>
      <c r="B481" s="1427"/>
      <c r="C481" s="1912" t="s">
        <v>1764</v>
      </c>
      <c r="D481" s="591"/>
      <c r="E481" s="1911"/>
      <c r="F481" s="1464">
        <f>F473+F475+F476+F477+F479</f>
        <v>20459052881.559174</v>
      </c>
      <c r="G481" s="1464">
        <f>G473+G475+G476+G477+G479</f>
        <v>25688027018.204163</v>
      </c>
      <c r="H481" s="1464">
        <f t="shared" ref="H481:N481" si="124">H473+H475+H476+H477+H479</f>
        <v>30967533183.688667</v>
      </c>
      <c r="I481" s="1464">
        <f t="shared" si="124"/>
        <v>29773378408.277557</v>
      </c>
      <c r="J481" s="1464">
        <f t="shared" si="124"/>
        <v>28599234961.347523</v>
      </c>
      <c r="K481" s="1464">
        <f t="shared" si="124"/>
        <v>27205087645.403809</v>
      </c>
      <c r="L481" s="1464">
        <f t="shared" si="124"/>
        <v>25812133566.438904</v>
      </c>
      <c r="M481" s="1464">
        <f t="shared" si="124"/>
        <v>24418083892.367489</v>
      </c>
      <c r="N481" s="1464">
        <f t="shared" si="124"/>
        <v>23027326401.755207</v>
      </c>
      <c r="O481" s="1592"/>
      <c r="P481" s="1592"/>
    </row>
    <row r="482" spans="1:16" x14ac:dyDescent="0.2">
      <c r="B482" s="1427"/>
      <c r="C482" s="1912" t="s">
        <v>1763</v>
      </c>
      <c r="D482" s="591"/>
      <c r="E482" s="1911"/>
      <c r="F482" s="1464">
        <f t="shared" ref="F482:N482" si="125">F472+F474+F478</f>
        <v>337102418583.33331</v>
      </c>
      <c r="G482" s="1464">
        <f t="shared" si="125"/>
        <v>265837122250.00003</v>
      </c>
      <c r="H482" s="1464">
        <f t="shared" si="125"/>
        <v>290405159250</v>
      </c>
      <c r="I482" s="1464">
        <f t="shared" si="125"/>
        <v>311357042875</v>
      </c>
      <c r="J482" s="1464">
        <f t="shared" si="125"/>
        <v>332308926500</v>
      </c>
      <c r="K482" s="1464">
        <f t="shared" si="125"/>
        <v>341449253875</v>
      </c>
      <c r="L482" s="1464">
        <f t="shared" si="125"/>
        <v>350589581250</v>
      </c>
      <c r="M482" s="1464">
        <f t="shared" si="125"/>
        <v>359729908625</v>
      </c>
      <c r="N482" s="1464">
        <f t="shared" si="125"/>
        <v>368870236000</v>
      </c>
      <c r="O482" s="1592"/>
      <c r="P482" s="1592"/>
    </row>
    <row r="483" spans="1:16" x14ac:dyDescent="0.2">
      <c r="B483" s="1427"/>
      <c r="D483" s="591"/>
      <c r="E483" s="36"/>
      <c r="F483" s="1095"/>
      <c r="G483" s="1095"/>
      <c r="H483" s="1095"/>
      <c r="I483" s="1095"/>
      <c r="J483" s="1095"/>
      <c r="K483" s="1095"/>
      <c r="L483" s="1095"/>
      <c r="M483" s="1095"/>
      <c r="N483" s="1095"/>
    </row>
    <row r="484" spans="1:16" x14ac:dyDescent="0.2">
      <c r="B484" s="1427"/>
      <c r="C484" s="1427" t="s">
        <v>1547</v>
      </c>
      <c r="D484" s="591"/>
      <c r="E484" s="1000" t="str">
        <f>Preferences.moneyunits</f>
        <v>N</v>
      </c>
      <c r="F484" s="1427">
        <v>2010</v>
      </c>
      <c r="G484" s="1427">
        <v>2015</v>
      </c>
      <c r="H484" s="1427">
        <v>2020</v>
      </c>
      <c r="I484" s="1427">
        <v>2025</v>
      </c>
      <c r="J484" s="1427">
        <v>2030</v>
      </c>
      <c r="K484" s="1427">
        <v>2035</v>
      </c>
      <c r="L484" s="1427">
        <v>2040</v>
      </c>
      <c r="M484" s="1427">
        <v>2045</v>
      </c>
      <c r="N484" s="1427">
        <v>2050</v>
      </c>
    </row>
    <row r="485" spans="1:16" x14ac:dyDescent="0.2">
      <c r="B485" s="1427"/>
      <c r="C485" s="1451" t="s">
        <v>1529</v>
      </c>
      <c r="D485" s="591"/>
      <c r="E485" s="36"/>
      <c r="F485" s="1464">
        <f t="shared" ref="F485:N485" si="126">F$418*G$268</f>
        <v>383077500000</v>
      </c>
      <c r="G485" s="1464">
        <f t="shared" si="126"/>
        <v>383077500000</v>
      </c>
      <c r="H485" s="1464">
        <f t="shared" si="126"/>
        <v>383077500000</v>
      </c>
      <c r="I485" s="1464">
        <f t="shared" si="126"/>
        <v>383077500000</v>
      </c>
      <c r="J485" s="1464">
        <f t="shared" si="126"/>
        <v>383077500000</v>
      </c>
      <c r="K485" s="1464">
        <f t="shared" si="126"/>
        <v>383077500000</v>
      </c>
      <c r="L485" s="1464">
        <f t="shared" si="126"/>
        <v>383077500000</v>
      </c>
      <c r="M485" s="1464">
        <f t="shared" si="126"/>
        <v>383077500000</v>
      </c>
      <c r="N485" s="1464">
        <f t="shared" si="126"/>
        <v>383077500000</v>
      </c>
    </row>
    <row r="486" spans="1:16" x14ac:dyDescent="0.2">
      <c r="B486" s="1427"/>
      <c r="C486" s="1451" t="s">
        <v>668</v>
      </c>
      <c r="D486" s="591"/>
      <c r="E486" s="36"/>
      <c r="F486" s="1464">
        <f t="shared" ref="F486:N486" si="127">F$419*G$269</f>
        <v>20454374000</v>
      </c>
      <c r="G486" s="1464">
        <f t="shared" si="127"/>
        <v>25474653750</v>
      </c>
      <c r="H486" s="1464">
        <f t="shared" si="127"/>
        <v>30494933500</v>
      </c>
      <c r="I486" s="1464">
        <f t="shared" si="127"/>
        <v>29123221374.999996</v>
      </c>
      <c r="J486" s="1464">
        <f t="shared" si="127"/>
        <v>27751509250</v>
      </c>
      <c r="K486" s="1464">
        <f t="shared" si="127"/>
        <v>26309811812.5</v>
      </c>
      <c r="L486" s="1464">
        <f t="shared" si="127"/>
        <v>24868114375</v>
      </c>
      <c r="M486" s="1464">
        <f t="shared" si="127"/>
        <v>23426416937.499996</v>
      </c>
      <c r="N486" s="1464">
        <f t="shared" si="127"/>
        <v>21984719499.999996</v>
      </c>
    </row>
    <row r="487" spans="1:16" x14ac:dyDescent="0.2">
      <c r="B487" s="1427"/>
      <c r="C487" s="1451" t="s">
        <v>1507</v>
      </c>
      <c r="D487" s="591"/>
      <c r="E487" s="36"/>
      <c r="F487" s="1464">
        <f t="shared" ref="F487:N487" si="128">F$425*G$272</f>
        <v>312500000000</v>
      </c>
      <c r="G487" s="1464">
        <f t="shared" si="128"/>
        <v>0</v>
      </c>
      <c r="H487" s="1464">
        <f t="shared" si="128"/>
        <v>0</v>
      </c>
      <c r="I487" s="1464">
        <f t="shared" si="128"/>
        <v>0</v>
      </c>
      <c r="J487" s="1464">
        <f t="shared" si="128"/>
        <v>0</v>
      </c>
      <c r="K487" s="1464">
        <f t="shared" si="128"/>
        <v>0</v>
      </c>
      <c r="L487" s="1464">
        <f t="shared" si="128"/>
        <v>0</v>
      </c>
      <c r="M487" s="1464">
        <f t="shared" si="128"/>
        <v>0</v>
      </c>
      <c r="N487" s="1464">
        <f t="shared" si="128"/>
        <v>0</v>
      </c>
    </row>
    <row r="488" spans="1:16" x14ac:dyDescent="0.2">
      <c r="B488" s="1427"/>
      <c r="C488" s="1451" t="s">
        <v>1530</v>
      </c>
      <c r="D488" s="591"/>
      <c r="E488" s="36"/>
      <c r="F488" s="1464">
        <f t="shared" ref="F488:N488" si="129">(F$430/5)*G273</f>
        <v>0</v>
      </c>
      <c r="G488" s="1464">
        <f t="shared" si="129"/>
        <v>0</v>
      </c>
      <c r="H488" s="1464">
        <f t="shared" si="129"/>
        <v>0</v>
      </c>
      <c r="I488" s="1464">
        <f t="shared" si="129"/>
        <v>0</v>
      </c>
      <c r="J488" s="1464">
        <f t="shared" si="129"/>
        <v>0</v>
      </c>
      <c r="K488" s="1464">
        <f t="shared" si="129"/>
        <v>0</v>
      </c>
      <c r="L488" s="1464">
        <f t="shared" si="129"/>
        <v>0</v>
      </c>
      <c r="M488" s="1464">
        <f t="shared" si="129"/>
        <v>0</v>
      </c>
      <c r="N488" s="1464">
        <f t="shared" si="129"/>
        <v>0</v>
      </c>
    </row>
    <row r="489" spans="1:16" x14ac:dyDescent="0.2">
      <c r="B489" s="1427"/>
      <c r="C489" s="1451" t="s">
        <v>1531</v>
      </c>
      <c r="D489" s="591"/>
      <c r="E489" s="36"/>
      <c r="F489" s="1464">
        <f t="shared" ref="F489:N489" si="130">(F$435/5)*G274</f>
        <v>0</v>
      </c>
      <c r="G489" s="1464">
        <f t="shared" si="130"/>
        <v>0</v>
      </c>
      <c r="H489" s="1464">
        <f t="shared" si="130"/>
        <v>0</v>
      </c>
      <c r="I489" s="1464">
        <f t="shared" si="130"/>
        <v>0</v>
      </c>
      <c r="J489" s="1464">
        <f t="shared" si="130"/>
        <v>0</v>
      </c>
      <c r="K489" s="1464">
        <f t="shared" si="130"/>
        <v>0</v>
      </c>
      <c r="L489" s="1464">
        <f t="shared" si="130"/>
        <v>0</v>
      </c>
      <c r="M489" s="1464">
        <f t="shared" si="130"/>
        <v>0</v>
      </c>
      <c r="N489" s="1464">
        <f t="shared" si="130"/>
        <v>0</v>
      </c>
    </row>
    <row r="490" spans="1:16" x14ac:dyDescent="0.2">
      <c r="B490" s="1427"/>
      <c r="C490" s="1451" t="s">
        <v>1527</v>
      </c>
      <c r="D490" s="591"/>
      <c r="E490" s="36"/>
      <c r="F490" s="1464">
        <f>(F$440)*F418</f>
        <v>41126.621280865853</v>
      </c>
      <c r="G490" s="1464">
        <f t="shared" ref="G490:N490" si="131">(G$440)*G418</f>
        <v>42529.018614870154</v>
      </c>
      <c r="H490" s="1464">
        <f t="shared" si="131"/>
        <v>43968.464831455465</v>
      </c>
      <c r="I490" s="1464">
        <f t="shared" si="131"/>
        <v>46583.339276502462</v>
      </c>
      <c r="J490" s="1464">
        <f t="shared" si="131"/>
        <v>48513.719965395037</v>
      </c>
      <c r="K490" s="1464">
        <f t="shared" si="131"/>
        <v>50958.012955538521</v>
      </c>
      <c r="L490" s="1464">
        <f t="shared" si="131"/>
        <v>53370.155837549282</v>
      </c>
      <c r="M490" s="1464">
        <f t="shared" si="131"/>
        <v>55120.552055048574</v>
      </c>
      <c r="N490" s="1464">
        <f t="shared" si="131"/>
        <v>57522.222616834937</v>
      </c>
    </row>
    <row r="491" spans="1:16" x14ac:dyDescent="0.2">
      <c r="B491" s="1427"/>
      <c r="C491" s="1451" t="s">
        <v>1532</v>
      </c>
      <c r="D491" s="591"/>
      <c r="E491" s="36"/>
      <c r="F491" s="1464">
        <f t="shared" ref="F491:N491" si="132">F$421*G270</f>
        <v>423803549500</v>
      </c>
      <c r="G491" s="1464">
        <f t="shared" si="132"/>
        <v>480907635500.00006</v>
      </c>
      <c r="H491" s="1464">
        <f t="shared" si="132"/>
        <v>538011721500</v>
      </c>
      <c r="I491" s="1464">
        <f t="shared" si="132"/>
        <v>586710694249.99988</v>
      </c>
      <c r="J491" s="1464">
        <f t="shared" si="132"/>
        <v>635409667000</v>
      </c>
      <c r="K491" s="1464">
        <f t="shared" si="132"/>
        <v>656654752250</v>
      </c>
      <c r="L491" s="1464">
        <f t="shared" si="132"/>
        <v>677899837500</v>
      </c>
      <c r="M491" s="1464">
        <f t="shared" si="132"/>
        <v>699144922750</v>
      </c>
      <c r="N491" s="1464">
        <f t="shared" si="132"/>
        <v>720390008000</v>
      </c>
    </row>
    <row r="492" spans="1:16" s="1592" customFormat="1" x14ac:dyDescent="0.2">
      <c r="A492" s="1427"/>
      <c r="B492" s="1427"/>
      <c r="C492" s="1451" t="s">
        <v>1533</v>
      </c>
      <c r="D492" s="591"/>
      <c r="E492" s="36"/>
      <c r="F492" s="1464">
        <f t="shared" ref="F492:N492" si="133">F$423*G$271</f>
        <v>0</v>
      </c>
      <c r="G492" s="1464">
        <f t="shared" si="133"/>
        <v>4723051343.4247503</v>
      </c>
      <c r="H492" s="1464">
        <f t="shared" si="133"/>
        <v>10567754788.783501</v>
      </c>
      <c r="I492" s="1464">
        <f t="shared" si="133"/>
        <v>14548749777.007874</v>
      </c>
      <c r="J492" s="1464">
        <f t="shared" si="133"/>
        <v>19031821960.950001</v>
      </c>
      <c r="K492" s="1464">
        <f t="shared" si="133"/>
        <v>20092573910.500881</v>
      </c>
      <c r="L492" s="1464">
        <f t="shared" si="133"/>
        <v>21180788689.387501</v>
      </c>
      <c r="M492" s="1464">
        <f t="shared" si="133"/>
        <v>22296466297.609879</v>
      </c>
      <c r="N492" s="1464">
        <f t="shared" si="133"/>
        <v>23439606735.167999</v>
      </c>
      <c r="O492" s="1451"/>
      <c r="P492" s="1451"/>
    </row>
    <row r="493" spans="1:16" s="1592" customFormat="1" x14ac:dyDescent="0.2">
      <c r="A493" s="1427"/>
      <c r="B493" s="1427"/>
      <c r="C493" s="1451" t="s">
        <v>105</v>
      </c>
      <c r="D493" s="591"/>
      <c r="E493" s="36" t="s">
        <v>1534</v>
      </c>
      <c r="F493" s="1464">
        <f t="shared" ref="F493:L493" si="134">SUM(F485:F492)</f>
        <v>1139835464626.6213</v>
      </c>
      <c r="G493" s="1464">
        <f t="shared" si="134"/>
        <v>894182883122.44348</v>
      </c>
      <c r="H493" s="1464">
        <f t="shared" si="134"/>
        <v>962151953757.24829</v>
      </c>
      <c r="I493" s="1464">
        <f t="shared" si="134"/>
        <v>1013460211985.3469</v>
      </c>
      <c r="J493" s="1464">
        <f t="shared" si="134"/>
        <v>1065270546724.6699</v>
      </c>
      <c r="K493" s="1464">
        <f t="shared" si="134"/>
        <v>1086134688931.0138</v>
      </c>
      <c r="L493" s="1464">
        <f t="shared" si="134"/>
        <v>1107026293934.5432</v>
      </c>
      <c r="M493" s="1464">
        <f>SUM(M485:M492)</f>
        <v>1127945361105.6619</v>
      </c>
      <c r="N493" s="1464">
        <f>SUM(N485:N492)</f>
        <v>1148891891757.3906</v>
      </c>
      <c r="O493" s="1451"/>
      <c r="P493" s="1451"/>
    </row>
    <row r="494" spans="1:16" x14ac:dyDescent="0.2">
      <c r="A494" s="1427"/>
      <c r="B494" s="1427"/>
      <c r="C494" s="1592" t="s">
        <v>1764</v>
      </c>
      <c r="D494" s="591"/>
      <c r="E494" s="1591"/>
      <c r="F494" s="1464">
        <f>F486+F488+F489+F490+F492</f>
        <v>20454415126.621281</v>
      </c>
      <c r="G494" s="1464">
        <f t="shared" ref="G494:L494" si="135">G486+G488+G489+G490+G492</f>
        <v>30197747622.443367</v>
      </c>
      <c r="H494" s="1464">
        <f t="shared" si="135"/>
        <v>41062732257.248337</v>
      </c>
      <c r="I494" s="1464">
        <f t="shared" si="135"/>
        <v>43672017735.347145</v>
      </c>
      <c r="J494" s="1464">
        <f t="shared" si="135"/>
        <v>46783379724.669968</v>
      </c>
      <c r="K494" s="1464">
        <f t="shared" si="135"/>
        <v>46402436681.01384</v>
      </c>
      <c r="L494" s="1464">
        <f t="shared" si="135"/>
        <v>46048956434.543335</v>
      </c>
      <c r="M494" s="1464">
        <f>M486+M488+M489+M490+M492</f>
        <v>45722938355.661926</v>
      </c>
      <c r="N494" s="1464">
        <f>N486+N488+N489+N490+N492</f>
        <v>45424383757.39061</v>
      </c>
      <c r="O494" s="1592"/>
      <c r="P494" s="1592"/>
    </row>
    <row r="495" spans="1:16" x14ac:dyDescent="0.2">
      <c r="A495" s="1427"/>
      <c r="B495" s="1427"/>
      <c r="C495" s="1592" t="s">
        <v>1763</v>
      </c>
      <c r="D495" s="591"/>
      <c r="E495" s="1591"/>
      <c r="F495" s="1464">
        <f>F485+F487+F491</f>
        <v>1119381049500</v>
      </c>
      <c r="G495" s="1464">
        <f t="shared" ref="G495:N495" si="136">G485+G487+G491</f>
        <v>863985135500</v>
      </c>
      <c r="H495" s="1464">
        <f t="shared" si="136"/>
        <v>921089221500</v>
      </c>
      <c r="I495" s="1464">
        <f t="shared" si="136"/>
        <v>969788194249.99988</v>
      </c>
      <c r="J495" s="1464">
        <f t="shared" si="136"/>
        <v>1018487167000</v>
      </c>
      <c r="K495" s="1464">
        <f t="shared" si="136"/>
        <v>1039732252250</v>
      </c>
      <c r="L495" s="1464">
        <f t="shared" si="136"/>
        <v>1060977337500</v>
      </c>
      <c r="M495" s="1464">
        <f t="shared" si="136"/>
        <v>1082222422750</v>
      </c>
      <c r="N495" s="1464">
        <f t="shared" si="136"/>
        <v>1103467508000</v>
      </c>
      <c r="O495" s="1592"/>
      <c r="P495" s="1592"/>
    </row>
    <row r="496" spans="1:16" x14ac:dyDescent="0.2">
      <c r="A496" s="1427"/>
      <c r="B496" s="1427"/>
      <c r="C496" s="1427"/>
      <c r="D496" s="591"/>
      <c r="E496" s="36"/>
      <c r="F496" s="1095"/>
      <c r="G496" s="1095"/>
      <c r="H496" s="1095"/>
      <c r="I496" s="1095"/>
      <c r="J496" s="1095"/>
      <c r="K496" s="1095"/>
      <c r="L496" s="1095"/>
      <c r="M496" s="1095"/>
      <c r="N496" s="1095"/>
    </row>
    <row r="497" spans="1:16" x14ac:dyDescent="0.2">
      <c r="A497" s="1427"/>
      <c r="B497" s="1427"/>
      <c r="C497" s="1427" t="s">
        <v>1879</v>
      </c>
      <c r="D497" s="591"/>
      <c r="E497" s="1000" t="str">
        <f>Preferences.moneyunits</f>
        <v>N</v>
      </c>
      <c r="F497" s="1427">
        <v>2010</v>
      </c>
      <c r="G497" s="1427">
        <v>2015</v>
      </c>
      <c r="H497" s="1427">
        <v>2020</v>
      </c>
      <c r="I497" s="1427">
        <v>2025</v>
      </c>
      <c r="J497" s="1427">
        <v>2030</v>
      </c>
      <c r="K497" s="1427">
        <v>2035</v>
      </c>
      <c r="L497" s="1427">
        <v>2040</v>
      </c>
      <c r="M497" s="1427">
        <v>2045</v>
      </c>
      <c r="N497" s="1427">
        <v>2050</v>
      </c>
    </row>
    <row r="498" spans="1:16" x14ac:dyDescent="0.2">
      <c r="A498" s="1427"/>
      <c r="B498" s="1427"/>
      <c r="C498" s="1451" t="s">
        <v>1529</v>
      </c>
      <c r="D498" s="591"/>
      <c r="E498" s="36"/>
      <c r="F498" s="1464">
        <f t="shared" ref="F498:N498" si="137">F$418*G$280</f>
        <v>261769625000</v>
      </c>
      <c r="G498" s="1464">
        <f t="shared" si="137"/>
        <v>261769625000</v>
      </c>
      <c r="H498" s="1464">
        <f t="shared" si="137"/>
        <v>261769625000</v>
      </c>
      <c r="I498" s="1464">
        <f t="shared" si="137"/>
        <v>261769625000</v>
      </c>
      <c r="J498" s="1464">
        <f t="shared" si="137"/>
        <v>261769625000</v>
      </c>
      <c r="K498" s="1464">
        <f t="shared" si="137"/>
        <v>261769625000</v>
      </c>
      <c r="L498" s="1464">
        <f t="shared" si="137"/>
        <v>261769625000</v>
      </c>
      <c r="M498" s="1464">
        <f t="shared" si="137"/>
        <v>261769625000</v>
      </c>
      <c r="N498" s="1464">
        <f t="shared" si="137"/>
        <v>261769625000</v>
      </c>
    </row>
    <row r="499" spans="1:16" x14ac:dyDescent="0.2">
      <c r="A499" s="1427"/>
      <c r="B499" s="1427"/>
      <c r="C499" s="1451" t="s">
        <v>668</v>
      </c>
      <c r="D499" s="591"/>
      <c r="E499" s="36"/>
      <c r="F499" s="1464">
        <f t="shared" ref="F499:N499" si="138">F$419*G$281</f>
        <v>20454374000</v>
      </c>
      <c r="G499" s="1464">
        <f t="shared" si="138"/>
        <v>25474653750</v>
      </c>
      <c r="H499" s="1464">
        <f t="shared" si="138"/>
        <v>30494933500</v>
      </c>
      <c r="I499" s="1464">
        <f t="shared" si="138"/>
        <v>29123221374.999996</v>
      </c>
      <c r="J499" s="1464">
        <f t="shared" si="138"/>
        <v>27751509250</v>
      </c>
      <c r="K499" s="1464">
        <f t="shared" si="138"/>
        <v>26309811812.5</v>
      </c>
      <c r="L499" s="1464">
        <f t="shared" si="138"/>
        <v>24868114375</v>
      </c>
      <c r="M499" s="1464">
        <f t="shared" si="138"/>
        <v>23426416937.499996</v>
      </c>
      <c r="N499" s="1464">
        <f t="shared" si="138"/>
        <v>21984719499.999996</v>
      </c>
    </row>
    <row r="500" spans="1:16" x14ac:dyDescent="0.2">
      <c r="A500" s="1427"/>
      <c r="B500" s="1427"/>
      <c r="C500" s="1451" t="s">
        <v>1059</v>
      </c>
      <c r="D500" s="591"/>
      <c r="E500" s="36"/>
      <c r="F500" s="1464">
        <f t="shared" ref="F500:N500" si="139">F$425*G$284</f>
        <v>271875000000</v>
      </c>
      <c r="G500" s="1464">
        <f t="shared" si="139"/>
        <v>0</v>
      </c>
      <c r="H500" s="1464">
        <f t="shared" si="139"/>
        <v>0</v>
      </c>
      <c r="I500" s="1464">
        <f t="shared" si="139"/>
        <v>0</v>
      </c>
      <c r="J500" s="1464">
        <f t="shared" si="139"/>
        <v>0</v>
      </c>
      <c r="K500" s="1464">
        <f t="shared" si="139"/>
        <v>0</v>
      </c>
      <c r="L500" s="1464">
        <f t="shared" si="139"/>
        <v>0</v>
      </c>
      <c r="M500" s="1464">
        <f t="shared" si="139"/>
        <v>0</v>
      </c>
      <c r="N500" s="1464">
        <f t="shared" si="139"/>
        <v>0</v>
      </c>
    </row>
    <row r="501" spans="1:16" x14ac:dyDescent="0.2">
      <c r="A501" s="1427"/>
      <c r="B501" s="1427"/>
      <c r="C501" s="1451" t="s">
        <v>1530</v>
      </c>
      <c r="D501" s="591"/>
      <c r="E501" s="36"/>
      <c r="F501" s="1464">
        <f t="shared" ref="F501:N501" si="140">(F$430/5)*G286</f>
        <v>0</v>
      </c>
      <c r="G501" s="1464">
        <f t="shared" si="140"/>
        <v>0</v>
      </c>
      <c r="H501" s="1464">
        <f t="shared" si="140"/>
        <v>0</v>
      </c>
      <c r="I501" s="1464">
        <f t="shared" si="140"/>
        <v>0</v>
      </c>
      <c r="J501" s="1464">
        <f t="shared" si="140"/>
        <v>0</v>
      </c>
      <c r="K501" s="1464">
        <f t="shared" si="140"/>
        <v>0</v>
      </c>
      <c r="L501" s="1464">
        <f t="shared" si="140"/>
        <v>0</v>
      </c>
      <c r="M501" s="1464">
        <f t="shared" si="140"/>
        <v>0</v>
      </c>
      <c r="N501" s="1464">
        <f t="shared" si="140"/>
        <v>0</v>
      </c>
    </row>
    <row r="502" spans="1:16" x14ac:dyDescent="0.2">
      <c r="A502" s="1427"/>
      <c r="B502" s="1427"/>
      <c r="C502" s="1451" t="s">
        <v>1531</v>
      </c>
      <c r="D502" s="591"/>
      <c r="E502" s="36"/>
      <c r="F502" s="1464">
        <f t="shared" ref="F502:N502" si="141">(F$435/5)*G286</f>
        <v>0</v>
      </c>
      <c r="G502" s="1464">
        <f t="shared" si="141"/>
        <v>0</v>
      </c>
      <c r="H502" s="1464">
        <f t="shared" si="141"/>
        <v>0</v>
      </c>
      <c r="I502" s="1464">
        <f t="shared" si="141"/>
        <v>0</v>
      </c>
      <c r="J502" s="1464">
        <f t="shared" si="141"/>
        <v>0</v>
      </c>
      <c r="K502" s="1464">
        <f t="shared" si="141"/>
        <v>0</v>
      </c>
      <c r="L502" s="1464">
        <f t="shared" si="141"/>
        <v>0</v>
      </c>
      <c r="M502" s="1464">
        <f t="shared" si="141"/>
        <v>0</v>
      </c>
      <c r="N502" s="1464">
        <f t="shared" si="141"/>
        <v>0</v>
      </c>
    </row>
    <row r="503" spans="1:16" x14ac:dyDescent="0.2">
      <c r="A503" s="1427"/>
      <c r="B503" s="1427"/>
      <c r="C503" s="1451" t="s">
        <v>1527</v>
      </c>
      <c r="D503" s="591"/>
      <c r="E503" s="36"/>
      <c r="F503" s="1464">
        <f t="shared" ref="F503:N503" si="142">(F$440)*G$287</f>
        <v>0</v>
      </c>
      <c r="G503" s="1464">
        <f t="shared" si="142"/>
        <v>0</v>
      </c>
      <c r="H503" s="1464">
        <f t="shared" si="142"/>
        <v>0</v>
      </c>
      <c r="I503" s="1464">
        <f t="shared" si="142"/>
        <v>0</v>
      </c>
      <c r="J503" s="1464">
        <f t="shared" si="142"/>
        <v>0</v>
      </c>
      <c r="K503" s="1464">
        <f t="shared" si="142"/>
        <v>0</v>
      </c>
      <c r="L503" s="1464">
        <f t="shared" si="142"/>
        <v>0</v>
      </c>
      <c r="M503" s="1464">
        <f t="shared" si="142"/>
        <v>0</v>
      </c>
      <c r="N503" s="1464">
        <f t="shared" si="142"/>
        <v>0</v>
      </c>
    </row>
    <row r="504" spans="1:16" x14ac:dyDescent="0.2">
      <c r="A504" s="1427"/>
      <c r="B504" s="1427"/>
      <c r="C504" s="1451" t="s">
        <v>1532</v>
      </c>
      <c r="D504" s="591"/>
      <c r="E504" s="36"/>
      <c r="F504" s="1464">
        <f t="shared" ref="F504:N504" si="143">F$421*G282</f>
        <v>247629399562.5</v>
      </c>
      <c r="G504" s="1464">
        <f t="shared" si="143"/>
        <v>280995449812.50006</v>
      </c>
      <c r="H504" s="1464">
        <f t="shared" si="143"/>
        <v>314361500062.5</v>
      </c>
      <c r="I504" s="1464">
        <f t="shared" si="143"/>
        <v>342816423093.74994</v>
      </c>
      <c r="J504" s="1464">
        <f t="shared" si="143"/>
        <v>371271346125</v>
      </c>
      <c r="K504" s="1464">
        <f t="shared" si="143"/>
        <v>383684898843.75</v>
      </c>
      <c r="L504" s="1464">
        <f t="shared" si="143"/>
        <v>396098451562.5</v>
      </c>
      <c r="M504" s="1464">
        <f t="shared" si="143"/>
        <v>408512004281.25</v>
      </c>
      <c r="N504" s="1464">
        <f t="shared" si="143"/>
        <v>420925557000</v>
      </c>
    </row>
    <row r="505" spans="1:16" s="1592" customFormat="1" x14ac:dyDescent="0.2">
      <c r="A505" s="1427"/>
      <c r="B505" s="1427"/>
      <c r="C505" s="1451" t="s">
        <v>1533</v>
      </c>
      <c r="D505" s="591"/>
      <c r="E505" s="36"/>
      <c r="F505" s="1464">
        <f t="shared" ref="F505:N505" si="144">F$423*G$283</f>
        <v>0</v>
      </c>
      <c r="G505" s="1464">
        <f t="shared" si="144"/>
        <v>3426836141.3959579</v>
      </c>
      <c r="H505" s="1464">
        <f t="shared" si="144"/>
        <v>7667493196.7506952</v>
      </c>
      <c r="I505" s="1464">
        <f t="shared" si="144"/>
        <v>10555926227.095713</v>
      </c>
      <c r="J505" s="1464">
        <f t="shared" si="144"/>
        <v>13808644156.1115</v>
      </c>
      <c r="K505" s="1464">
        <f t="shared" si="144"/>
        <v>14578278626.174528</v>
      </c>
      <c r="L505" s="1464">
        <f t="shared" si="144"/>
        <v>15367838904.633375</v>
      </c>
      <c r="M505" s="1464">
        <f t="shared" si="144"/>
        <v>16177324991.488056</v>
      </c>
      <c r="N505" s="1464">
        <f t="shared" si="144"/>
        <v>17006736886.73856</v>
      </c>
      <c r="O505" s="1451"/>
      <c r="P505" s="1451"/>
    </row>
    <row r="506" spans="1:16" s="1592" customFormat="1" x14ac:dyDescent="0.2">
      <c r="A506" s="1427"/>
      <c r="B506" s="1427"/>
      <c r="C506" s="1451" t="s">
        <v>105</v>
      </c>
      <c r="D506" s="591"/>
      <c r="E506" s="36"/>
      <c r="F506" s="1464">
        <f t="shared" ref="F506:N506" si="145">SUM(F498:F505)</f>
        <v>801728398562.5</v>
      </c>
      <c r="G506" s="1464">
        <f t="shared" si="145"/>
        <v>571666564703.896</v>
      </c>
      <c r="H506" s="1464">
        <f t="shared" si="145"/>
        <v>614293551759.25073</v>
      </c>
      <c r="I506" s="1464">
        <f t="shared" si="145"/>
        <v>644265195695.8457</v>
      </c>
      <c r="J506" s="1464">
        <f t="shared" si="145"/>
        <v>674601124531.11145</v>
      </c>
      <c r="K506" s="1464">
        <f t="shared" si="145"/>
        <v>686342614282.42456</v>
      </c>
      <c r="L506" s="1464">
        <f t="shared" si="145"/>
        <v>698104029842.13342</v>
      </c>
      <c r="M506" s="1464">
        <f t="shared" si="145"/>
        <v>709885371210.23804</v>
      </c>
      <c r="N506" s="1464">
        <f t="shared" si="145"/>
        <v>721686638386.73853</v>
      </c>
      <c r="O506" s="1451"/>
      <c r="P506" s="1451"/>
    </row>
    <row r="507" spans="1:16" x14ac:dyDescent="0.2">
      <c r="A507" s="1427"/>
      <c r="B507" s="1427"/>
      <c r="C507" s="1592" t="s">
        <v>1764</v>
      </c>
      <c r="D507" s="591"/>
      <c r="E507" s="1591"/>
      <c r="F507" s="1464">
        <f>F499+F501+F502+F503+F505</f>
        <v>20454374000</v>
      </c>
      <c r="G507" s="1464">
        <f t="shared" ref="G507:N507" si="146">G499+G501+G502+G503+G505</f>
        <v>28901489891.395958</v>
      </c>
      <c r="H507" s="1464">
        <f t="shared" si="146"/>
        <v>38162426696.750694</v>
      </c>
      <c r="I507" s="1464">
        <f t="shared" si="146"/>
        <v>39679147602.095711</v>
      </c>
      <c r="J507" s="1464">
        <f t="shared" si="146"/>
        <v>41560153406.111496</v>
      </c>
      <c r="K507" s="1464">
        <f t="shared" si="146"/>
        <v>40888090438.67453</v>
      </c>
      <c r="L507" s="1464">
        <f t="shared" si="146"/>
        <v>40235953279.633377</v>
      </c>
      <c r="M507" s="1464">
        <f t="shared" si="146"/>
        <v>39603741928.988052</v>
      </c>
      <c r="N507" s="1464">
        <f t="shared" si="146"/>
        <v>38991456386.738556</v>
      </c>
      <c r="O507" s="1592"/>
      <c r="P507" s="1592"/>
    </row>
    <row r="508" spans="1:16" x14ac:dyDescent="0.2">
      <c r="A508" s="1427"/>
      <c r="B508" s="1427"/>
      <c r="C508" s="1592" t="s">
        <v>1763</v>
      </c>
      <c r="D508" s="591"/>
      <c r="E508" s="1591"/>
      <c r="F508" s="1464">
        <f>F498+F500+F504</f>
        <v>781274024562.5</v>
      </c>
      <c r="G508" s="1464">
        <f t="shared" ref="G508:N508" si="147">G498+G500+G504</f>
        <v>542765074812.50006</v>
      </c>
      <c r="H508" s="1464">
        <f t="shared" si="147"/>
        <v>576131125062.5</v>
      </c>
      <c r="I508" s="1464">
        <f t="shared" si="147"/>
        <v>604586048093.75</v>
      </c>
      <c r="J508" s="1464">
        <f t="shared" si="147"/>
        <v>633040971125</v>
      </c>
      <c r="K508" s="1464">
        <f t="shared" si="147"/>
        <v>645454523843.75</v>
      </c>
      <c r="L508" s="1464">
        <f t="shared" si="147"/>
        <v>657868076562.5</v>
      </c>
      <c r="M508" s="1464">
        <f t="shared" si="147"/>
        <v>670281629281.25</v>
      </c>
      <c r="N508" s="1464">
        <f t="shared" si="147"/>
        <v>682695182000</v>
      </c>
      <c r="O508" s="1592"/>
      <c r="P508" s="1592"/>
    </row>
    <row r="509" spans="1:16" x14ac:dyDescent="0.2">
      <c r="A509" s="1427"/>
      <c r="B509" s="1427"/>
      <c r="C509" s="1427"/>
      <c r="D509" s="591"/>
      <c r="E509" s="36"/>
      <c r="F509" s="1095"/>
      <c r="G509" s="1095"/>
      <c r="H509" s="1095"/>
      <c r="I509" s="1095"/>
      <c r="J509" s="1095"/>
      <c r="K509" s="1095"/>
      <c r="L509" s="1095"/>
      <c r="M509" s="1095"/>
      <c r="N509" s="1095"/>
    </row>
    <row r="510" spans="1:16" x14ac:dyDescent="0.2">
      <c r="A510" s="1427"/>
      <c r="C510" s="1427" t="s">
        <v>1880</v>
      </c>
      <c r="D510" s="591"/>
      <c r="E510" s="1000" t="str">
        <f>Preferences.moneyunits</f>
        <v>N</v>
      </c>
      <c r="F510" s="1427">
        <v>2010</v>
      </c>
      <c r="G510" s="1427">
        <v>2015</v>
      </c>
      <c r="H510" s="1427">
        <v>2020</v>
      </c>
      <c r="I510" s="1427">
        <v>2025</v>
      </c>
      <c r="J510" s="1427">
        <v>2030</v>
      </c>
      <c r="K510" s="1427">
        <v>2035</v>
      </c>
      <c r="L510" s="1427">
        <v>2040</v>
      </c>
      <c r="M510" s="1427">
        <v>2045</v>
      </c>
      <c r="N510" s="1427">
        <v>2050</v>
      </c>
    </row>
    <row r="511" spans="1:16" x14ac:dyDescent="0.2">
      <c r="A511" s="1427"/>
      <c r="C511" s="1912" t="s">
        <v>1529</v>
      </c>
      <c r="D511" s="591"/>
      <c r="E511" s="1911"/>
      <c r="F511" s="1464">
        <f t="shared" ref="F511:N511" si="148">F$418*G$292</f>
        <v>196450000000</v>
      </c>
      <c r="G511" s="1464">
        <f t="shared" si="148"/>
        <v>196450000000</v>
      </c>
      <c r="H511" s="1464">
        <f t="shared" si="148"/>
        <v>196450000000</v>
      </c>
      <c r="I511" s="1464">
        <f t="shared" si="148"/>
        <v>196450000000</v>
      </c>
      <c r="J511" s="1464">
        <f t="shared" si="148"/>
        <v>196450000000</v>
      </c>
      <c r="K511" s="1464">
        <f t="shared" si="148"/>
        <v>196450000000</v>
      </c>
      <c r="L511" s="1464">
        <f t="shared" si="148"/>
        <v>196450000000</v>
      </c>
      <c r="M511" s="1464">
        <f t="shared" si="148"/>
        <v>196450000000</v>
      </c>
      <c r="N511" s="1464">
        <f t="shared" si="148"/>
        <v>196450000000</v>
      </c>
    </row>
    <row r="512" spans="1:16" x14ac:dyDescent="0.2">
      <c r="A512" s="1427"/>
      <c r="C512" s="1912" t="s">
        <v>668</v>
      </c>
      <c r="D512" s="591"/>
      <c r="E512" s="1911"/>
      <c r="F512" s="1464">
        <f t="shared" ref="F512:N512" si="149">F$419*G$281</f>
        <v>20454374000</v>
      </c>
      <c r="G512" s="1464">
        <f t="shared" si="149"/>
        <v>25474653750</v>
      </c>
      <c r="H512" s="1464">
        <f t="shared" si="149"/>
        <v>30494933500</v>
      </c>
      <c r="I512" s="1464">
        <f t="shared" si="149"/>
        <v>29123221374.999996</v>
      </c>
      <c r="J512" s="1464">
        <f t="shared" si="149"/>
        <v>27751509250</v>
      </c>
      <c r="K512" s="1464">
        <f t="shared" si="149"/>
        <v>26309811812.5</v>
      </c>
      <c r="L512" s="1464">
        <f t="shared" si="149"/>
        <v>24868114375</v>
      </c>
      <c r="M512" s="1464">
        <f t="shared" si="149"/>
        <v>23426416937.499996</v>
      </c>
      <c r="N512" s="1464">
        <f t="shared" si="149"/>
        <v>21984719499.999996</v>
      </c>
    </row>
    <row r="513" spans="1:16" x14ac:dyDescent="0.2">
      <c r="A513" s="1427"/>
      <c r="C513" s="1912" t="s">
        <v>1059</v>
      </c>
      <c r="D513" s="591"/>
      <c r="E513" s="1911"/>
      <c r="F513" s="1464">
        <f t="shared" ref="F513:N513" si="150">F$425*G$296</f>
        <v>250000000000</v>
      </c>
      <c r="G513" s="1464">
        <f t="shared" si="150"/>
        <v>0</v>
      </c>
      <c r="H513" s="1464">
        <f t="shared" si="150"/>
        <v>0</v>
      </c>
      <c r="I513" s="1464">
        <f t="shared" si="150"/>
        <v>0</v>
      </c>
      <c r="J513" s="1464">
        <f t="shared" si="150"/>
        <v>0</v>
      </c>
      <c r="K513" s="1464">
        <f t="shared" si="150"/>
        <v>0</v>
      </c>
      <c r="L513" s="1464">
        <f t="shared" si="150"/>
        <v>0</v>
      </c>
      <c r="M513" s="1464">
        <f t="shared" si="150"/>
        <v>0</v>
      </c>
      <c r="N513" s="1464">
        <f t="shared" si="150"/>
        <v>0</v>
      </c>
    </row>
    <row r="514" spans="1:16" x14ac:dyDescent="0.2">
      <c r="A514" s="1427"/>
      <c r="C514" s="1912" t="s">
        <v>1530</v>
      </c>
      <c r="D514" s="591"/>
      <c r="E514" s="1911"/>
      <c r="F514" s="1464">
        <f t="shared" ref="F514:N514" si="151">(F$430/5)*G297</f>
        <v>0</v>
      </c>
      <c r="G514" s="1464">
        <f t="shared" si="151"/>
        <v>0</v>
      </c>
      <c r="H514" s="1464">
        <f t="shared" si="151"/>
        <v>0</v>
      </c>
      <c r="I514" s="1464">
        <f t="shared" si="151"/>
        <v>0</v>
      </c>
      <c r="J514" s="1464">
        <f t="shared" si="151"/>
        <v>0</v>
      </c>
      <c r="K514" s="1464">
        <f t="shared" si="151"/>
        <v>0</v>
      </c>
      <c r="L514" s="1464">
        <f t="shared" si="151"/>
        <v>0</v>
      </c>
      <c r="M514" s="1464">
        <f t="shared" si="151"/>
        <v>0</v>
      </c>
      <c r="N514" s="1464">
        <f t="shared" si="151"/>
        <v>0</v>
      </c>
    </row>
    <row r="515" spans="1:16" x14ac:dyDescent="0.2">
      <c r="A515" s="1427"/>
      <c r="C515" s="1912" t="s">
        <v>1531</v>
      </c>
      <c r="D515" s="591"/>
      <c r="E515" s="1911"/>
      <c r="F515" s="1464">
        <f t="shared" ref="F515:N515" si="152">(F$435/5)*G298</f>
        <v>0</v>
      </c>
      <c r="G515" s="1464">
        <f t="shared" si="152"/>
        <v>0</v>
      </c>
      <c r="H515" s="1464">
        <f t="shared" si="152"/>
        <v>0</v>
      </c>
      <c r="I515" s="1464">
        <f t="shared" si="152"/>
        <v>0</v>
      </c>
      <c r="J515" s="1464">
        <f t="shared" si="152"/>
        <v>0</v>
      </c>
      <c r="K515" s="1464">
        <f t="shared" si="152"/>
        <v>0</v>
      </c>
      <c r="L515" s="1464">
        <f t="shared" si="152"/>
        <v>0</v>
      </c>
      <c r="M515" s="1464">
        <f t="shared" si="152"/>
        <v>0</v>
      </c>
      <c r="N515" s="1464">
        <f t="shared" si="152"/>
        <v>0</v>
      </c>
    </row>
    <row r="516" spans="1:16" x14ac:dyDescent="0.2">
      <c r="C516" s="1912" t="s">
        <v>1527</v>
      </c>
      <c r="D516" s="591"/>
      <c r="E516" s="1911"/>
      <c r="F516" s="1464">
        <f t="shared" ref="F516:N516" si="153">(F$440)*G$299</f>
        <v>0</v>
      </c>
      <c r="G516" s="1464">
        <f t="shared" si="153"/>
        <v>0</v>
      </c>
      <c r="H516" s="1464">
        <f t="shared" si="153"/>
        <v>0</v>
      </c>
      <c r="I516" s="1464">
        <f t="shared" si="153"/>
        <v>0</v>
      </c>
      <c r="J516" s="1464">
        <f t="shared" si="153"/>
        <v>0</v>
      </c>
      <c r="K516" s="1464">
        <f t="shared" si="153"/>
        <v>0</v>
      </c>
      <c r="L516" s="1464">
        <f t="shared" si="153"/>
        <v>0</v>
      </c>
      <c r="M516" s="1464">
        <f t="shared" si="153"/>
        <v>0</v>
      </c>
      <c r="N516" s="1464">
        <f t="shared" si="153"/>
        <v>0</v>
      </c>
    </row>
    <row r="517" spans="1:16" x14ac:dyDescent="0.2">
      <c r="C517" s="1912" t="s">
        <v>1532</v>
      </c>
      <c r="D517" s="591"/>
      <c r="E517" s="1911"/>
      <c r="F517" s="1464">
        <f t="shared" ref="F517:N517" si="154">F$421*G294</f>
        <v>152766395750</v>
      </c>
      <c r="G517" s="1464">
        <f t="shared" si="154"/>
        <v>173350426750.00003</v>
      </c>
      <c r="H517" s="1464">
        <f t="shared" si="154"/>
        <v>193934457750</v>
      </c>
      <c r="I517" s="1464">
        <f t="shared" si="154"/>
        <v>211488738624.99997</v>
      </c>
      <c r="J517" s="1464">
        <f t="shared" si="154"/>
        <v>229043019500</v>
      </c>
      <c r="K517" s="1464">
        <f t="shared" si="154"/>
        <v>236701131625</v>
      </c>
      <c r="L517" s="1464">
        <f t="shared" si="154"/>
        <v>244359243750</v>
      </c>
      <c r="M517" s="1464">
        <f t="shared" si="154"/>
        <v>252017355875</v>
      </c>
      <c r="N517" s="1464">
        <f t="shared" si="154"/>
        <v>259675468000</v>
      </c>
    </row>
    <row r="518" spans="1:16" s="1592" customFormat="1" x14ac:dyDescent="0.2">
      <c r="A518" s="1451"/>
      <c r="C518" s="1912" t="s">
        <v>1533</v>
      </c>
      <c r="D518" s="591"/>
      <c r="E518" s="1911"/>
      <c r="F518" s="1464">
        <f t="shared" ref="F518:N518" si="155">F$423*G$295</f>
        <v>0</v>
      </c>
      <c r="G518" s="1464">
        <f t="shared" si="155"/>
        <v>2728874109.5343003</v>
      </c>
      <c r="H518" s="1464">
        <f t="shared" si="155"/>
        <v>6105813877.9638004</v>
      </c>
      <c r="I518" s="1464">
        <f t="shared" si="155"/>
        <v>8405944315.6045494</v>
      </c>
      <c r="J518" s="1464">
        <f t="shared" si="155"/>
        <v>10996163799.66</v>
      </c>
      <c r="K518" s="1464">
        <f t="shared" si="155"/>
        <v>11609042703.844954</v>
      </c>
      <c r="L518" s="1464">
        <f t="shared" si="155"/>
        <v>12237789020.535</v>
      </c>
      <c r="M518" s="1464">
        <f t="shared" si="155"/>
        <v>12882402749.730152</v>
      </c>
      <c r="N518" s="1464">
        <f t="shared" si="155"/>
        <v>13542883891.430399</v>
      </c>
    </row>
    <row r="519" spans="1:16" s="1592" customFormat="1" x14ac:dyDescent="0.2">
      <c r="A519" s="1451"/>
      <c r="C519" s="1912" t="s">
        <v>105</v>
      </c>
      <c r="D519" s="591"/>
      <c r="E519" s="1911"/>
      <c r="F519" s="1464">
        <f t="shared" ref="F519:N519" si="156">SUM(F511:F518)</f>
        <v>619670769750</v>
      </c>
      <c r="G519" s="1464">
        <f t="shared" si="156"/>
        <v>398003954609.5343</v>
      </c>
      <c r="H519" s="1464">
        <f t="shared" si="156"/>
        <v>426985205127.96381</v>
      </c>
      <c r="I519" s="1464">
        <f t="shared" si="156"/>
        <v>445467904315.60455</v>
      </c>
      <c r="J519" s="1464">
        <f t="shared" si="156"/>
        <v>464240692549.65997</v>
      </c>
      <c r="K519" s="1464">
        <f t="shared" si="156"/>
        <v>471069986141.34497</v>
      </c>
      <c r="L519" s="1464">
        <f t="shared" si="156"/>
        <v>477915147145.53497</v>
      </c>
      <c r="M519" s="1464">
        <f t="shared" si="156"/>
        <v>484776175562.23016</v>
      </c>
      <c r="N519" s="1464">
        <f t="shared" si="156"/>
        <v>491653071391.43042</v>
      </c>
    </row>
    <row r="520" spans="1:16" x14ac:dyDescent="0.2">
      <c r="C520" s="1912" t="s">
        <v>1764</v>
      </c>
      <c r="D520" s="591"/>
      <c r="E520" s="1911"/>
      <c r="F520" s="1464">
        <f>F512+F514+F515+F516+F518</f>
        <v>20454374000</v>
      </c>
      <c r="G520" s="1464">
        <f t="shared" ref="G520:N520" si="157">G512+G514+G515+G516+G518</f>
        <v>28203527859.534302</v>
      </c>
      <c r="H520" s="1464">
        <f t="shared" si="157"/>
        <v>36600747377.963799</v>
      </c>
      <c r="I520" s="1464">
        <f t="shared" si="157"/>
        <v>37529165690.604546</v>
      </c>
      <c r="J520" s="1464">
        <f t="shared" si="157"/>
        <v>38747673049.660004</v>
      </c>
      <c r="K520" s="1464">
        <f t="shared" si="157"/>
        <v>37918854516.344955</v>
      </c>
      <c r="L520" s="1464">
        <f t="shared" si="157"/>
        <v>37105903395.535004</v>
      </c>
      <c r="M520" s="1464">
        <f t="shared" si="157"/>
        <v>36308819687.230148</v>
      </c>
      <c r="N520" s="1464">
        <f t="shared" si="157"/>
        <v>35527603391.430397</v>
      </c>
    </row>
    <row r="521" spans="1:16" collapsed="1" x14ac:dyDescent="0.2">
      <c r="C521" s="1912" t="s">
        <v>1763</v>
      </c>
      <c r="D521" s="591"/>
      <c r="E521" s="1911"/>
      <c r="F521" s="1464">
        <f>F511+F513+F517</f>
        <v>599216395750</v>
      </c>
      <c r="G521" s="1464">
        <f t="shared" ref="G521:N521" si="158">G511+G513+G517</f>
        <v>369800426750</v>
      </c>
      <c r="H521" s="1464">
        <f t="shared" si="158"/>
        <v>390384457750</v>
      </c>
      <c r="I521" s="1464">
        <f t="shared" si="158"/>
        <v>407938738625</v>
      </c>
      <c r="J521" s="1464">
        <f t="shared" si="158"/>
        <v>425493019500</v>
      </c>
      <c r="K521" s="1464">
        <f t="shared" si="158"/>
        <v>433151131625</v>
      </c>
      <c r="L521" s="1464">
        <f t="shared" si="158"/>
        <v>440809243750</v>
      </c>
      <c r="M521" s="1464">
        <f t="shared" si="158"/>
        <v>448467355875</v>
      </c>
      <c r="N521" s="1464">
        <f t="shared" si="158"/>
        <v>456125468000</v>
      </c>
    </row>
    <row r="523" spans="1:16" ht="15.75" x14ac:dyDescent="0.2">
      <c r="B523" s="468" t="s">
        <v>236</v>
      </c>
      <c r="C523" s="421"/>
      <c r="D523" s="421"/>
      <c r="E523" s="421"/>
      <c r="F523" s="421"/>
      <c r="G523" s="421"/>
      <c r="H523" s="421"/>
      <c r="I523" s="421"/>
      <c r="J523" s="421"/>
      <c r="K523" s="421"/>
      <c r="L523" s="421"/>
      <c r="M523" s="421"/>
      <c r="N523" s="421"/>
      <c r="O523" s="421"/>
      <c r="P523" s="423"/>
    </row>
    <row r="524" spans="1:16" ht="6.75" customHeight="1" x14ac:dyDescent="0.2">
      <c r="B524" s="410"/>
      <c r="C524" s="412"/>
      <c r="D524" s="412"/>
      <c r="E524" s="412"/>
      <c r="F524" s="412"/>
      <c r="G524" s="412"/>
      <c r="H524" s="412"/>
      <c r="I524" s="412"/>
      <c r="J524" s="412"/>
      <c r="K524" s="412"/>
      <c r="L524" s="412"/>
      <c r="M524" s="412"/>
      <c r="N524" s="412"/>
      <c r="O524" s="412"/>
      <c r="P524" s="414"/>
    </row>
    <row r="525" spans="1:16" x14ac:dyDescent="0.2">
      <c r="B525" s="410"/>
      <c r="C525" s="424" t="s">
        <v>277</v>
      </c>
      <c r="D525" s="412"/>
      <c r="E525" s="413"/>
      <c r="F525" s="412"/>
      <c r="G525" s="413"/>
      <c r="H525" s="412"/>
      <c r="I525" s="412"/>
      <c r="J525" s="412"/>
      <c r="K525" s="412"/>
      <c r="L525" s="412"/>
      <c r="M525" s="412"/>
      <c r="N525" s="1749" t="str">
        <f>Preferences.EnergyUnits</f>
        <v>TWh</v>
      </c>
      <c r="P525" s="414"/>
    </row>
    <row r="526" spans="1:16" ht="6.75" customHeight="1" x14ac:dyDescent="0.2">
      <c r="B526" s="410"/>
      <c r="C526" s="412"/>
      <c r="D526" s="412"/>
      <c r="E526" s="412"/>
      <c r="F526" s="412"/>
      <c r="G526" s="412"/>
      <c r="H526" s="412"/>
      <c r="I526" s="412"/>
      <c r="J526" s="412"/>
      <c r="K526" s="412"/>
      <c r="L526" s="412"/>
      <c r="M526" s="412"/>
      <c r="N526" s="412"/>
      <c r="O526" s="412"/>
      <c r="P526" s="414"/>
    </row>
    <row r="527" spans="1:16" ht="15.75" x14ac:dyDescent="0.25">
      <c r="B527" s="415"/>
      <c r="C527" s="426" t="s">
        <v>64</v>
      </c>
      <c r="D527" s="426" t="s">
        <v>150</v>
      </c>
      <c r="E527" s="426" t="s">
        <v>172</v>
      </c>
      <c r="F527" s="426" t="s">
        <v>241</v>
      </c>
      <c r="G527" s="426" t="s">
        <v>268</v>
      </c>
      <c r="H527" s="426" t="s">
        <v>269</v>
      </c>
      <c r="I527" s="426" t="s">
        <v>270</v>
      </c>
      <c r="J527" s="426" t="s">
        <v>271</v>
      </c>
      <c r="K527" s="426" t="s">
        <v>272</v>
      </c>
      <c r="L527" s="426" t="s">
        <v>273</v>
      </c>
      <c r="M527" s="426" t="s">
        <v>274</v>
      </c>
      <c r="N527" s="426" t="s">
        <v>275</v>
      </c>
      <c r="O527" s="414"/>
    </row>
    <row r="528" spans="1:16" ht="15.75" x14ac:dyDescent="0.25">
      <c r="B528" s="415"/>
      <c r="C528" s="97" t="s">
        <v>42</v>
      </c>
      <c r="D528" s="97" t="str">
        <f>INDEX(Vectors[Description], MATCH(VI.b.Outputs[Vector], Vectors[Code], 0))</f>
        <v>Waste</v>
      </c>
      <c r="E528" s="97"/>
      <c r="F528" s="241">
        <f t="shared" ref="F528:N528" si="159">-(F369+F370+F382+F397+F415)</f>
        <v>-26.823463173419647</v>
      </c>
      <c r="G528" s="241">
        <f t="shared" si="159"/>
        <v>-29.060513911362861</v>
      </c>
      <c r="H528" s="241">
        <f t="shared" si="159"/>
        <v>-30.975528027886902</v>
      </c>
      <c r="I528" s="241">
        <f t="shared" si="159"/>
        <v>-30.063531251165315</v>
      </c>
      <c r="J528" s="241">
        <f t="shared" si="159"/>
        <v>-28.742351793979353</v>
      </c>
      <c r="K528" s="241">
        <f t="shared" si="159"/>
        <v>-27.825042008611952</v>
      </c>
      <c r="L528" s="241">
        <f t="shared" si="159"/>
        <v>-26.691963531537414</v>
      </c>
      <c r="M528" s="241">
        <f t="shared" si="159"/>
        <v>-25.269427563132314</v>
      </c>
      <c r="N528" s="241">
        <f t="shared" si="159"/>
        <v>-23.676023844485314</v>
      </c>
      <c r="O528" s="414"/>
    </row>
    <row r="529" spans="1:16" ht="15.75" x14ac:dyDescent="0.25">
      <c r="A529" s="1592"/>
      <c r="B529" s="415"/>
      <c r="C529" s="97" t="s">
        <v>51</v>
      </c>
      <c r="D529" s="97" t="str">
        <f>INDEX(Vectors[Description], MATCH(VI.b.Outputs[Vector], Vectors[Code], 0))</f>
        <v>Coal and fossil waste</v>
      </c>
      <c r="E529" s="97"/>
      <c r="F529" s="241">
        <f t="shared" ref="F529:N529" si="160">F$370</f>
        <v>3.9235886666666668</v>
      </c>
      <c r="G529" s="241">
        <f t="shared" si="160"/>
        <v>4.8865862500000006</v>
      </c>
      <c r="H529" s="241">
        <f t="shared" si="160"/>
        <v>5.849583833333333</v>
      </c>
      <c r="I529" s="241">
        <f t="shared" si="160"/>
        <v>5.5864599583333323</v>
      </c>
      <c r="J529" s="241">
        <f t="shared" si="160"/>
        <v>5.3233360833333334</v>
      </c>
      <c r="K529" s="241">
        <f t="shared" si="160"/>
        <v>5.0467875208333339</v>
      </c>
      <c r="L529" s="241">
        <f t="shared" si="160"/>
        <v>4.7702389583333344</v>
      </c>
      <c r="M529" s="241">
        <f t="shared" si="160"/>
        <v>4.4936903958333332</v>
      </c>
      <c r="N529" s="241">
        <f t="shared" si="160"/>
        <v>4.2171418333333337</v>
      </c>
      <c r="O529" s="414"/>
    </row>
    <row r="530" spans="1:16" ht="15.75" x14ac:dyDescent="0.25">
      <c r="A530" s="1592"/>
      <c r="B530" s="415"/>
      <c r="C530" s="97" t="s">
        <v>296</v>
      </c>
      <c r="D530" s="97" t="str">
        <f>INDEX(Vectors[Description], MATCH(VI.b.Outputs[Vector], Vectors[Code], 0))</f>
        <v>Dry biomass and waste</v>
      </c>
      <c r="E530" s="97"/>
      <c r="F530" s="241">
        <f t="shared" ref="F530:N530" si="161">F$369</f>
        <v>6.5047391911111117</v>
      </c>
      <c r="G530" s="241">
        <f t="shared" si="161"/>
        <v>8.1272039500000002</v>
      </c>
      <c r="H530" s="241">
        <f t="shared" si="161"/>
        <v>9.7580242644444439</v>
      </c>
      <c r="I530" s="241">
        <f t="shared" si="161"/>
        <v>9.3536052483333325</v>
      </c>
      <c r="J530" s="241">
        <f t="shared" si="161"/>
        <v>8.9496306766666667</v>
      </c>
      <c r="K530" s="241">
        <f t="shared" si="161"/>
        <v>8.5059410758333343</v>
      </c>
      <c r="L530" s="241">
        <f t="shared" si="161"/>
        <v>8.0622514750000001</v>
      </c>
      <c r="M530" s="241">
        <f t="shared" si="161"/>
        <v>7.6185618741666659</v>
      </c>
      <c r="N530" s="241">
        <f t="shared" si="161"/>
        <v>7.1748722733333343</v>
      </c>
      <c r="O530" s="414"/>
    </row>
    <row r="531" spans="1:16" ht="15.75" x14ac:dyDescent="0.25">
      <c r="B531" s="415"/>
      <c r="C531" s="97" t="s">
        <v>383</v>
      </c>
      <c r="D531" s="97" t="str">
        <f>INDEX(Vectors[Description], MATCH(VI.b.Outputs[Vector], Vectors[Code], 0))</f>
        <v>Wet biomass and waste</v>
      </c>
      <c r="E531" s="97"/>
      <c r="F531" s="241">
        <f t="shared" ref="F531:N531" si="162">F$382+F$415</f>
        <v>4.0706760126419077</v>
      </c>
      <c r="G531" s="241">
        <f t="shared" si="162"/>
        <v>4.7925767988322612</v>
      </c>
      <c r="H531" s="241">
        <f t="shared" si="162"/>
        <v>5.6566202182635328</v>
      </c>
      <c r="I531" s="241">
        <f t="shared" si="162"/>
        <v>6.4069190035112982</v>
      </c>
      <c r="J531" s="241">
        <f t="shared" si="162"/>
        <v>7.1514520509276363</v>
      </c>
      <c r="K531" s="241">
        <f t="shared" si="162"/>
        <v>7.5243430051407643</v>
      </c>
      <c r="L531" s="241">
        <f t="shared" si="162"/>
        <v>7.897442243302689</v>
      </c>
      <c r="M531" s="241">
        <f t="shared" si="162"/>
        <v>8.2084328641005087</v>
      </c>
      <c r="N531" s="241">
        <f t="shared" si="162"/>
        <v>8.5872765069334118</v>
      </c>
      <c r="O531" s="414"/>
    </row>
    <row r="532" spans="1:16" ht="15.75" x14ac:dyDescent="0.25">
      <c r="B532" s="415"/>
      <c r="C532" s="97" t="s">
        <v>1164</v>
      </c>
      <c r="D532" s="97" t="str">
        <f>INDEX(Vectors[Description], MATCH(VI.b.Outputs[Vector], Vectors[Code], 0))</f>
        <v>Gaseous waste</v>
      </c>
      <c r="E532" s="97"/>
      <c r="F532" s="241">
        <f t="shared" ref="F532:N532" si="163">F$397</f>
        <v>12.32445930299996</v>
      </c>
      <c r="G532" s="241">
        <f t="shared" si="163"/>
        <v>11.254146912530599</v>
      </c>
      <c r="H532" s="241">
        <f t="shared" si="163"/>
        <v>9.7112997118455926</v>
      </c>
      <c r="I532" s="241">
        <f t="shared" si="163"/>
        <v>8.716547040987356</v>
      </c>
      <c r="J532" s="241">
        <f t="shared" si="163"/>
        <v>7.3179329830517172</v>
      </c>
      <c r="K532" s="241">
        <f t="shared" si="163"/>
        <v>6.7479704068045194</v>
      </c>
      <c r="L532" s="241">
        <f t="shared" si="163"/>
        <v>5.9620308549013927</v>
      </c>
      <c r="M532" s="241">
        <f t="shared" si="163"/>
        <v>4.9487424290318085</v>
      </c>
      <c r="N532" s="241">
        <f t="shared" si="163"/>
        <v>3.6967332308852345</v>
      </c>
      <c r="O532" s="414"/>
    </row>
    <row r="533" spans="1:16" ht="15.75" x14ac:dyDescent="0.25">
      <c r="B533" s="415"/>
      <c r="C533" s="97" t="s">
        <v>105</v>
      </c>
      <c r="D533" s="97"/>
      <c r="E533" s="97"/>
      <c r="F533" s="529">
        <f>SUBTOTAL(109,VI.b.Outputs[2010])</f>
        <v>0</v>
      </c>
      <c r="G533" s="529">
        <f>SUBTOTAL(109,VI.b.Outputs[2015])</f>
        <v>0</v>
      </c>
      <c r="H533" s="529">
        <f>SUBTOTAL(109,VI.b.Outputs[2020])</f>
        <v>0</v>
      </c>
      <c r="I533" s="529">
        <f>SUBTOTAL(109,VI.b.Outputs[2025])</f>
        <v>0</v>
      </c>
      <c r="J533" s="529">
        <f>SUBTOTAL(109,VI.b.Outputs[2030])</f>
        <v>0</v>
      </c>
      <c r="K533" s="529">
        <f>SUBTOTAL(109,VI.b.Outputs[2035])</f>
        <v>0</v>
      </c>
      <c r="L533" s="529">
        <f>SUBTOTAL(109,VI.b.Outputs[2040])</f>
        <v>0</v>
      </c>
      <c r="M533" s="529">
        <f>SUBTOTAL(109,VI.b.Outputs[2045])</f>
        <v>0</v>
      </c>
      <c r="N533" s="529">
        <f>SUBTOTAL(109,VI.b.Outputs[2050])</f>
        <v>0</v>
      </c>
      <c r="O533" s="414"/>
    </row>
    <row r="534" spans="1:16" ht="15.75" collapsed="1" x14ac:dyDescent="0.25">
      <c r="B534" s="416"/>
      <c r="C534" s="417"/>
      <c r="D534" s="417"/>
      <c r="E534" s="417"/>
      <c r="F534" s="417"/>
      <c r="G534" s="417"/>
      <c r="H534" s="417"/>
      <c r="I534" s="417"/>
      <c r="J534" s="417"/>
      <c r="K534" s="417"/>
      <c r="L534" s="417"/>
      <c r="M534" s="417"/>
      <c r="N534" s="417"/>
      <c r="O534" s="417"/>
      <c r="P534" s="419"/>
    </row>
    <row r="536" spans="1:16" ht="15.75" x14ac:dyDescent="0.2">
      <c r="B536" s="484" t="s">
        <v>361</v>
      </c>
      <c r="C536" s="436"/>
      <c r="D536" s="437"/>
      <c r="E536" s="437"/>
      <c r="F536" s="437"/>
      <c r="G536" s="437"/>
      <c r="H536" s="437"/>
      <c r="I536" s="437"/>
      <c r="J536" s="437"/>
      <c r="K536" s="437"/>
      <c r="L536" s="437"/>
      <c r="M536" s="437"/>
      <c r="N536" s="437"/>
      <c r="O536" s="437"/>
      <c r="P536" s="438"/>
    </row>
    <row r="537" spans="1:16" ht="6.75" customHeight="1" x14ac:dyDescent="0.2">
      <c r="B537" s="444"/>
      <c r="C537" s="445"/>
      <c r="D537" s="445"/>
      <c r="E537" s="445"/>
      <c r="F537" s="445"/>
      <c r="G537" s="445"/>
      <c r="H537" s="445"/>
      <c r="I537" s="445"/>
      <c r="J537" s="445"/>
      <c r="K537" s="445"/>
      <c r="L537" s="445"/>
      <c r="M537" s="445"/>
      <c r="N537" s="445"/>
      <c r="O537" s="445"/>
      <c r="P537" s="446"/>
    </row>
    <row r="538" spans="1:16" ht="14.25" x14ac:dyDescent="0.25">
      <c r="B538" s="447"/>
      <c r="C538" s="439" t="s">
        <v>1857</v>
      </c>
      <c r="D538" s="440"/>
      <c r="E538" s="441"/>
      <c r="F538" s="440"/>
      <c r="G538" s="441"/>
      <c r="H538" s="440"/>
      <c r="I538" s="440"/>
      <c r="J538" s="440"/>
      <c r="K538" s="440"/>
      <c r="L538" s="440"/>
      <c r="M538" s="440"/>
      <c r="N538" s="1750" t="s">
        <v>676</v>
      </c>
      <c r="P538" s="448"/>
    </row>
    <row r="539" spans="1:16" ht="6.75" customHeight="1" x14ac:dyDescent="0.2">
      <c r="B539" s="447"/>
      <c r="C539" s="440"/>
      <c r="D539" s="440"/>
      <c r="E539" s="440"/>
      <c r="F539" s="440"/>
      <c r="G539" s="440"/>
      <c r="H539" s="440"/>
      <c r="I539" s="440"/>
      <c r="J539" s="440"/>
      <c r="K539" s="440"/>
      <c r="L539" s="440"/>
      <c r="M539" s="440"/>
      <c r="N539" s="440"/>
      <c r="O539" s="440"/>
      <c r="P539" s="448"/>
    </row>
    <row r="540" spans="1:16" ht="15.75" x14ac:dyDescent="0.25">
      <c r="B540" s="449"/>
      <c r="C540" s="503" t="s">
        <v>490</v>
      </c>
      <c r="D540" s="503" t="s">
        <v>461</v>
      </c>
      <c r="E540" s="503" t="s">
        <v>172</v>
      </c>
      <c r="F540" s="503" t="s">
        <v>241</v>
      </c>
      <c r="G540" s="503" t="s">
        <v>268</v>
      </c>
      <c r="H540" s="503" t="s">
        <v>269</v>
      </c>
      <c r="I540" s="503" t="s">
        <v>270</v>
      </c>
      <c r="J540" s="503" t="s">
        <v>271</v>
      </c>
      <c r="K540" s="503" t="s">
        <v>272</v>
      </c>
      <c r="L540" s="503" t="s">
        <v>273</v>
      </c>
      <c r="M540" s="503" t="s">
        <v>274</v>
      </c>
      <c r="N540" s="503" t="s">
        <v>275</v>
      </c>
      <c r="O540" s="448"/>
    </row>
    <row r="541" spans="1:16" ht="15.75" x14ac:dyDescent="0.25">
      <c r="B541" s="449"/>
      <c r="C541" s="443" t="s">
        <v>473</v>
      </c>
      <c r="D541" s="501">
        <v>6</v>
      </c>
      <c r="E541" s="443" t="str">
        <f>INDEX(IPCC[Sector_description], MATCH(VI.b.Emissions[IPCC Sector], IPCC[Sector_code], 0))</f>
        <v>Waste</v>
      </c>
      <c r="F541" s="502">
        <f>0</f>
        <v>0</v>
      </c>
      <c r="G541" s="502">
        <f>0</f>
        <v>0</v>
      </c>
      <c r="H541" s="502">
        <f>0</f>
        <v>0</v>
      </c>
      <c r="I541" s="502">
        <f>0</f>
        <v>0</v>
      </c>
      <c r="J541" s="502">
        <f>0</f>
        <v>0</v>
      </c>
      <c r="K541" s="502">
        <f>0</f>
        <v>0</v>
      </c>
      <c r="L541" s="502">
        <f>0</f>
        <v>0</v>
      </c>
      <c r="M541" s="502">
        <f>0</f>
        <v>0</v>
      </c>
      <c r="N541" s="502">
        <f>0</f>
        <v>0</v>
      </c>
      <c r="O541" s="448"/>
    </row>
    <row r="542" spans="1:16" ht="15.75" x14ac:dyDescent="0.25">
      <c r="A542" s="1592"/>
      <c r="B542" s="449"/>
      <c r="C542" s="443" t="s">
        <v>474</v>
      </c>
      <c r="D542" s="501">
        <v>6</v>
      </c>
      <c r="E542" s="443" t="str">
        <f>INDEX(IPCC[Sector_description], MATCH(VI.b.Emissions[IPCC Sector], IPCC[Sector_code], 0))</f>
        <v>Waste</v>
      </c>
      <c r="F542" s="502">
        <f t="shared" ref="F542:N542" si="164">F394+F412</f>
        <v>13.121211328991082</v>
      </c>
      <c r="G542" s="502">
        <f t="shared" si="164"/>
        <v>10.807028354917669</v>
      </c>
      <c r="H542" s="502">
        <f t="shared" si="164"/>
        <v>8.4928453808442548</v>
      </c>
      <c r="I542" s="502">
        <f t="shared" si="164"/>
        <v>6.3895458201402011</v>
      </c>
      <c r="J542" s="502">
        <f t="shared" si="164"/>
        <v>4.5058333835286835</v>
      </c>
      <c r="K542" s="502">
        <f t="shared" si="164"/>
        <v>3.4909205988141889</v>
      </c>
      <c r="L542" s="502">
        <f t="shared" si="164"/>
        <v>2.5873928502248216</v>
      </c>
      <c r="M542" s="502">
        <f t="shared" si="164"/>
        <v>1.7952501377605785</v>
      </c>
      <c r="N542" s="502">
        <f t="shared" si="164"/>
        <v>1.1144924614214589</v>
      </c>
      <c r="O542" s="448"/>
    </row>
    <row r="543" spans="1:16" s="1745" customFormat="1" ht="15.75" x14ac:dyDescent="0.25">
      <c r="A543" s="1592"/>
      <c r="B543" s="449"/>
      <c r="C543" s="443" t="s">
        <v>475</v>
      </c>
      <c r="D543" s="501">
        <v>6</v>
      </c>
      <c r="E543" s="443" t="str">
        <f>INDEX(IPCC[Sector_description], MATCH(VI.b.Emissions[IPCC Sector], IPCC[Sector_code], 0))</f>
        <v>Waste</v>
      </c>
      <c r="F543" s="502">
        <f t="shared" ref="F543:N543" si="165">F405</f>
        <v>0</v>
      </c>
      <c r="G543" s="502">
        <f t="shared" si="165"/>
        <v>0</v>
      </c>
      <c r="H543" s="502">
        <f t="shared" si="165"/>
        <v>0</v>
      </c>
      <c r="I543" s="502">
        <f t="shared" si="165"/>
        <v>0</v>
      </c>
      <c r="J543" s="502">
        <f t="shared" si="165"/>
        <v>0</v>
      </c>
      <c r="K543" s="502">
        <f t="shared" si="165"/>
        <v>0</v>
      </c>
      <c r="L543" s="502">
        <f t="shared" si="165"/>
        <v>0</v>
      </c>
      <c r="M543" s="502">
        <f t="shared" si="165"/>
        <v>0</v>
      </c>
      <c r="N543" s="502">
        <f t="shared" si="165"/>
        <v>0</v>
      </c>
      <c r="O543" s="448"/>
      <c r="P543" s="1451"/>
    </row>
    <row r="544" spans="1:16" s="1745" customFormat="1" ht="15.75" x14ac:dyDescent="0.25">
      <c r="A544" s="1451"/>
      <c r="B544" s="449"/>
      <c r="C544" s="443" t="s">
        <v>105</v>
      </c>
      <c r="D544" s="513"/>
      <c r="E544" s="443"/>
      <c r="F544" s="512">
        <f>SUBTOTAL(109,VI.b.Emissions[2010])</f>
        <v>13.121211328991082</v>
      </c>
      <c r="G544" s="512">
        <f>SUBTOTAL(109,VI.b.Emissions[2015])</f>
        <v>10.807028354917669</v>
      </c>
      <c r="H544" s="512">
        <f>SUBTOTAL(109,VI.b.Emissions[2020])</f>
        <v>8.4928453808442548</v>
      </c>
      <c r="I544" s="512">
        <f>SUBTOTAL(109,VI.b.Emissions[2025])</f>
        <v>6.3895458201402011</v>
      </c>
      <c r="J544" s="512">
        <f>SUBTOTAL(109,VI.b.Emissions[2030])</f>
        <v>4.5058333835286835</v>
      </c>
      <c r="K544" s="512">
        <f>SUBTOTAL(109,VI.b.Emissions[2035])</f>
        <v>3.4909205988141889</v>
      </c>
      <c r="L544" s="512">
        <f>SUBTOTAL(109,VI.b.Emissions[2040])</f>
        <v>2.5873928502248216</v>
      </c>
      <c r="M544" s="512">
        <f>SUBTOTAL(109,VI.b.Emissions[2045])</f>
        <v>1.7952501377605785</v>
      </c>
      <c r="N544" s="512">
        <f>SUBTOTAL(109,VI.b.Emissions[2050])</f>
        <v>1.1144924614214589</v>
      </c>
      <c r="O544" s="448"/>
      <c r="P544" s="1451"/>
    </row>
    <row r="545" spans="1:17" s="1745" customFormat="1" ht="15.75" customHeight="1" x14ac:dyDescent="0.25">
      <c r="A545" s="1451"/>
      <c r="B545" s="449"/>
      <c r="C545" s="443"/>
      <c r="D545" s="513"/>
      <c r="E545" s="443"/>
      <c r="F545" s="512"/>
      <c r="G545" s="512"/>
      <c r="H545" s="512"/>
      <c r="I545" s="512"/>
      <c r="J545" s="512"/>
      <c r="K545" s="512"/>
      <c r="L545" s="512"/>
      <c r="M545" s="512"/>
      <c r="N545" s="512"/>
      <c r="O545" s="512"/>
      <c r="P545" s="448"/>
      <c r="Q545" s="1451"/>
    </row>
    <row r="546" spans="1:17" s="1745" customFormat="1" ht="15.75" x14ac:dyDescent="0.25">
      <c r="A546" s="1451"/>
      <c r="B546" s="449"/>
      <c r="C546" s="1764" t="s">
        <v>1849</v>
      </c>
      <c r="D546" s="513"/>
      <c r="E546" s="443"/>
      <c r="F546" s="512"/>
      <c r="G546" s="512"/>
      <c r="H546" s="512"/>
      <c r="I546" s="512"/>
      <c r="J546" s="512"/>
      <c r="K546" s="512"/>
      <c r="L546" s="512"/>
      <c r="M546" s="512"/>
      <c r="N546" s="1765" t="s">
        <v>1848</v>
      </c>
      <c r="P546" s="448"/>
      <c r="Q546" s="1451"/>
    </row>
    <row r="547" spans="1:17" s="1745" customFormat="1" ht="15.75" x14ac:dyDescent="0.25">
      <c r="A547" s="1451"/>
      <c r="B547" s="449"/>
      <c r="C547" s="443"/>
      <c r="D547" s="513"/>
      <c r="E547" s="443"/>
      <c r="F547" s="512"/>
      <c r="G547" s="512"/>
      <c r="H547" s="512"/>
      <c r="I547" s="512"/>
      <c r="J547" s="512"/>
      <c r="K547" s="512"/>
      <c r="L547" s="512"/>
      <c r="M547" s="512"/>
      <c r="N547" s="512"/>
      <c r="O547" s="512"/>
      <c r="P547" s="448"/>
      <c r="Q547" s="1451"/>
    </row>
    <row r="548" spans="1:17" s="1745" customFormat="1" ht="15.75" x14ac:dyDescent="0.25">
      <c r="A548" s="1451"/>
      <c r="B548" s="449"/>
      <c r="C548" s="1784" t="s">
        <v>64</v>
      </c>
      <c r="D548" s="1784" t="s">
        <v>150</v>
      </c>
      <c r="E548" s="1784" t="s">
        <v>172</v>
      </c>
      <c r="F548" s="1784" t="s">
        <v>241</v>
      </c>
      <c r="G548" s="1784" t="s">
        <v>268</v>
      </c>
      <c r="H548" s="1784" t="s">
        <v>269</v>
      </c>
      <c r="I548" s="1784" t="s">
        <v>270</v>
      </c>
      <c r="J548" s="1784" t="s">
        <v>271</v>
      </c>
      <c r="K548" s="1784" t="s">
        <v>272</v>
      </c>
      <c r="L548" s="1784" t="s">
        <v>273</v>
      </c>
      <c r="M548" s="1784" t="s">
        <v>274</v>
      </c>
      <c r="N548" s="1784" t="s">
        <v>275</v>
      </c>
      <c r="O548" s="448"/>
      <c r="P548" s="1451"/>
    </row>
    <row r="549" spans="1:17" s="1745" customFormat="1" ht="15.75" x14ac:dyDescent="0.25">
      <c r="A549" s="1451"/>
      <c r="B549" s="449"/>
      <c r="C549" s="1778" t="s">
        <v>1787</v>
      </c>
      <c r="D549" s="1779" t="str">
        <f>INDEX(AirQualityVectors[Description],MATCH(C549,AirQualityVectors[Code],0))</f>
        <v>PM10</v>
      </c>
      <c r="E549" s="1778"/>
      <c r="F549" s="2183">
        <f t="shared" ref="F549:N549" si="166">F204*(F$388*F$389*(1-F$390))*$F$172</f>
        <v>0.58655781209233648</v>
      </c>
      <c r="G549" s="2183">
        <f t="shared" si="166"/>
        <v>0.44382985868478764</v>
      </c>
      <c r="H549" s="2183">
        <f t="shared" si="166"/>
        <v>0.31792320198664958</v>
      </c>
      <c r="I549" s="2183">
        <f t="shared" si="166"/>
        <v>0.23653382799164632</v>
      </c>
      <c r="J549" s="2183">
        <f t="shared" si="166"/>
        <v>0.16380164288142965</v>
      </c>
      <c r="K549" s="2183">
        <f t="shared" si="166"/>
        <v>0.12349044318695032</v>
      </c>
      <c r="L549" s="2183">
        <f t="shared" si="166"/>
        <v>8.7966405268321279E-2</v>
      </c>
      <c r="M549" s="2183">
        <f t="shared" si="166"/>
        <v>5.7634346022615981E-2</v>
      </c>
      <c r="N549" s="2183">
        <f t="shared" si="166"/>
        <v>3.289908234690786E-2</v>
      </c>
      <c r="O549" s="448"/>
      <c r="P549" s="1451"/>
    </row>
    <row r="550" spans="1:17" s="1745" customFormat="1" ht="15.75" x14ac:dyDescent="0.25">
      <c r="A550" s="1451"/>
      <c r="B550" s="449"/>
      <c r="C550" s="1757" t="s">
        <v>1788</v>
      </c>
      <c r="D550" s="1756" t="str">
        <f>INDEX(AirQualityVectors[Description],MATCH(C550,AirQualityVectors[Code],0))</f>
        <v>NOX</v>
      </c>
      <c r="E550" s="1757"/>
      <c r="F550" s="2184">
        <f t="shared" ref="F550:N550" si="167">F209*(F$388*F$389*(1-F$390))*$F$172</f>
        <v>14.2242855666131</v>
      </c>
      <c r="G550" s="2184">
        <f t="shared" si="167"/>
        <v>10.763069765283655</v>
      </c>
      <c r="H550" s="2184">
        <f t="shared" si="167"/>
        <v>7.7097778259549088</v>
      </c>
      <c r="I550" s="2184">
        <f t="shared" si="167"/>
        <v>5.7360496206087088</v>
      </c>
      <c r="J550" s="2184">
        <f t="shared" si="167"/>
        <v>3.9722620628212675</v>
      </c>
      <c r="K550" s="2184">
        <f t="shared" si="167"/>
        <v>2.9946976963325702</v>
      </c>
      <c r="L550" s="2184">
        <f t="shared" si="167"/>
        <v>2.1332241136497672</v>
      </c>
      <c r="M550" s="2184">
        <f t="shared" si="167"/>
        <v>1.3976583030175838</v>
      </c>
      <c r="N550" s="2184">
        <f t="shared" si="167"/>
        <v>0.79781725268074632</v>
      </c>
      <c r="O550" s="448"/>
      <c r="P550" s="1451"/>
    </row>
    <row r="551" spans="1:17" s="1745" customFormat="1" ht="15.75" x14ac:dyDescent="0.25">
      <c r="A551" s="1451"/>
      <c r="B551" s="449"/>
      <c r="C551" s="1757" t="s">
        <v>1789</v>
      </c>
      <c r="D551" s="1756" t="str">
        <f>INDEX(AirQualityVectors[Description],MATCH(C551,AirQualityVectors[Code],0))</f>
        <v>SO2</v>
      </c>
      <c r="E551" s="1757"/>
      <c r="F551" s="2184">
        <f t="shared" ref="F551:N551" si="168">F214*(F$388*F$389*(1-F$390))*$F$172</f>
        <v>0</v>
      </c>
      <c r="G551" s="2184">
        <f t="shared" si="168"/>
        <v>0</v>
      </c>
      <c r="H551" s="2184">
        <f t="shared" si="168"/>
        <v>0</v>
      </c>
      <c r="I551" s="2184">
        <f t="shared" si="168"/>
        <v>0</v>
      </c>
      <c r="J551" s="2184">
        <f t="shared" si="168"/>
        <v>0</v>
      </c>
      <c r="K551" s="2184">
        <f t="shared" si="168"/>
        <v>0</v>
      </c>
      <c r="L551" s="2184">
        <f t="shared" si="168"/>
        <v>0</v>
      </c>
      <c r="M551" s="2184">
        <f t="shared" si="168"/>
        <v>0</v>
      </c>
      <c r="N551" s="2184">
        <f t="shared" si="168"/>
        <v>0</v>
      </c>
      <c r="O551" s="448"/>
      <c r="P551" s="1451"/>
    </row>
    <row r="552" spans="1:17" ht="15.75" x14ac:dyDescent="0.25">
      <c r="B552" s="449"/>
      <c r="C552" s="1782" t="s">
        <v>1790</v>
      </c>
      <c r="D552" s="1783" t="str">
        <f>INDEX(AirQualityVectors[Description],MATCH(C552,AirQualityVectors[Code],0))</f>
        <v>NMVOC</v>
      </c>
      <c r="E552" s="1782"/>
      <c r="F552" s="2185">
        <f t="shared" ref="F552:N552" si="169">F219*(F$388*F$389*(1-F$390))*$F$172+$F224*F542/$F542</f>
        <v>9.6912443676443534</v>
      </c>
      <c r="G552" s="2185">
        <f t="shared" si="169"/>
        <v>7.9676348759032773</v>
      </c>
      <c r="H552" s="2185">
        <f t="shared" si="169"/>
        <v>6.2501790200907124</v>
      </c>
      <c r="I552" s="2185">
        <f t="shared" si="169"/>
        <v>4.7013171557305782</v>
      </c>
      <c r="J552" s="2185">
        <f t="shared" si="169"/>
        <v>3.3142169663432255</v>
      </c>
      <c r="K552" s="2185">
        <f t="shared" si="169"/>
        <v>2.5664592611726569</v>
      </c>
      <c r="L552" s="2185">
        <f t="shared" si="169"/>
        <v>1.9008995751642612</v>
      </c>
      <c r="M552" s="2185">
        <f t="shared" si="169"/>
        <v>1.3176860000998616</v>
      </c>
      <c r="N552" s="2185">
        <f t="shared" si="169"/>
        <v>0.81696662776128137</v>
      </c>
      <c r="O552" s="448"/>
      <c r="P552" s="1745"/>
    </row>
    <row r="553" spans="1:17" ht="21.75" customHeight="1" collapsed="1" x14ac:dyDescent="0.25">
      <c r="B553" s="449"/>
      <c r="C553" s="443"/>
      <c r="D553" s="513"/>
      <c r="E553" s="443"/>
      <c r="F553" s="512"/>
      <c r="G553" s="512"/>
      <c r="H553" s="512"/>
      <c r="I553" s="512"/>
      <c r="J553" s="512"/>
      <c r="K553" s="512"/>
      <c r="L553" s="512"/>
      <c r="M553" s="512"/>
      <c r="N553" s="512"/>
      <c r="O553" s="512"/>
      <c r="P553" s="448"/>
      <c r="Q553" s="1745"/>
    </row>
    <row r="554" spans="1:17" x14ac:dyDescent="0.2">
      <c r="Q554" s="1745"/>
    </row>
    <row r="555" spans="1:17" ht="15.75" x14ac:dyDescent="0.2">
      <c r="A555" s="1592"/>
      <c r="B555" s="1430" t="s">
        <v>1225</v>
      </c>
      <c r="C555" s="1218"/>
      <c r="D555" s="1431"/>
      <c r="E555" s="1431"/>
      <c r="F555" s="1431"/>
      <c r="G555" s="1431"/>
      <c r="H555" s="1431"/>
      <c r="I555" s="1431"/>
      <c r="J555" s="1431"/>
      <c r="K555" s="1431"/>
      <c r="L555" s="1431"/>
      <c r="M555" s="1431"/>
      <c r="N555" s="1431"/>
      <c r="O555" s="1431"/>
      <c r="P555" s="1432"/>
      <c r="Q555" s="1745"/>
    </row>
    <row r="556" spans="1:17" ht="6.75" customHeight="1" x14ac:dyDescent="0.2">
      <c r="A556" s="1592"/>
      <c r="B556" s="1219"/>
      <c r="C556" s="1220"/>
      <c r="D556" s="1220"/>
      <c r="E556" s="1220"/>
      <c r="F556" s="1220"/>
      <c r="G556" s="1220"/>
      <c r="H556" s="1220"/>
      <c r="I556" s="1220"/>
      <c r="J556" s="1220"/>
      <c r="K556" s="1220"/>
      <c r="L556" s="1220"/>
      <c r="M556" s="1220"/>
      <c r="N556" s="1220"/>
      <c r="O556" s="1220"/>
      <c r="P556" s="1221"/>
      <c r="Q556" s="1745"/>
    </row>
    <row r="557" spans="1:17" x14ac:dyDescent="0.2">
      <c r="B557" s="1433"/>
      <c r="C557" s="1222" t="s">
        <v>1230</v>
      </c>
      <c r="D557" s="1434"/>
      <c r="E557" s="1223"/>
      <c r="F557" s="1434"/>
      <c r="G557" s="1223"/>
      <c r="H557" s="1434"/>
      <c r="I557" s="1434"/>
      <c r="J557" s="1434"/>
      <c r="K557" s="1434"/>
      <c r="L557" s="1434"/>
      <c r="M557" s="1434"/>
      <c r="N557" s="1434"/>
      <c r="O557" s="1223"/>
      <c r="P557" s="1435"/>
      <c r="Q557" s="1745"/>
    </row>
    <row r="558" spans="1:17" ht="6.75" customHeight="1" x14ac:dyDescent="0.2">
      <c r="B558" s="1433"/>
      <c r="C558" s="1434"/>
      <c r="D558" s="1434"/>
      <c r="E558" s="1434"/>
      <c r="F558" s="1434"/>
      <c r="G558" s="1434"/>
      <c r="H558" s="1434"/>
      <c r="I558" s="1434"/>
      <c r="J558" s="1434"/>
      <c r="K558" s="1434"/>
      <c r="L558" s="1434"/>
      <c r="M558" s="1434"/>
      <c r="N558" s="1434"/>
      <c r="O558" s="1434"/>
      <c r="P558" s="1435"/>
      <c r="Q558" s="1745"/>
    </row>
    <row r="559" spans="1:17" ht="15.75" x14ac:dyDescent="0.25">
      <c r="B559" s="1436"/>
      <c r="C559" s="1437" t="s">
        <v>64</v>
      </c>
      <c r="D559" s="1437" t="s">
        <v>1226</v>
      </c>
      <c r="E559" s="1437" t="s">
        <v>172</v>
      </c>
      <c r="F559" s="1437" t="s">
        <v>241</v>
      </c>
      <c r="G559" s="1437" t="s">
        <v>268</v>
      </c>
      <c r="H559" s="1437" t="s">
        <v>269</v>
      </c>
      <c r="I559" s="1437" t="s">
        <v>270</v>
      </c>
      <c r="J559" s="1437" t="s">
        <v>271</v>
      </c>
      <c r="K559" s="1437" t="s">
        <v>272</v>
      </c>
      <c r="L559" s="1437" t="s">
        <v>273</v>
      </c>
      <c r="M559" s="1437" t="s">
        <v>274</v>
      </c>
      <c r="N559" s="1437" t="s">
        <v>275</v>
      </c>
      <c r="O559" s="1435"/>
      <c r="P559" s="1745"/>
    </row>
    <row r="560" spans="1:17" ht="15.75" x14ac:dyDescent="0.25">
      <c r="B560" s="1436"/>
      <c r="C560" s="1438" t="s">
        <v>1233</v>
      </c>
      <c r="D560" s="1438" t="s">
        <v>1746</v>
      </c>
      <c r="E560" s="1439"/>
      <c r="F560" s="1226">
        <f t="shared" ref="F560:N560" si="170">F442</f>
        <v>20.214669767441862</v>
      </c>
      <c r="G560" s="1226">
        <f t="shared" si="170"/>
        <v>25.203279069767444</v>
      </c>
      <c r="H560" s="1226">
        <f t="shared" si="170"/>
        <v>30.200632558139535</v>
      </c>
      <c r="I560" s="1226">
        <f t="shared" si="170"/>
        <v>28.878276744186042</v>
      </c>
      <c r="J560" s="1226">
        <f t="shared" si="170"/>
        <v>27.55638604651163</v>
      </c>
      <c r="K560" s="1226">
        <f t="shared" si="170"/>
        <v>26.14705930232558</v>
      </c>
      <c r="L560" s="1226">
        <f t="shared" si="170"/>
        <v>24.737732558139534</v>
      </c>
      <c r="M560" s="1226">
        <f t="shared" si="170"/>
        <v>23.328405813953488</v>
      </c>
      <c r="N560" s="1226">
        <f t="shared" si="170"/>
        <v>21.919079069767442</v>
      </c>
      <c r="O560" s="1435"/>
      <c r="P560" s="1745"/>
    </row>
    <row r="561" spans="1:17" ht="15.75" x14ac:dyDescent="0.25">
      <c r="B561" s="1227"/>
      <c r="C561" s="1440"/>
      <c r="D561" s="1440"/>
      <c r="E561" s="1440"/>
      <c r="F561" s="1440"/>
      <c r="G561" s="1440"/>
      <c r="H561" s="1440"/>
      <c r="I561" s="1440"/>
      <c r="J561" s="1440"/>
      <c r="K561" s="1440"/>
      <c r="L561" s="1440"/>
      <c r="M561" s="1440"/>
      <c r="N561" s="1440"/>
      <c r="O561" s="1440"/>
      <c r="P561" s="1224"/>
    </row>
    <row r="563" spans="1:17" ht="15.75" x14ac:dyDescent="0.2">
      <c r="B563" s="1430" t="s">
        <v>1424</v>
      </c>
      <c r="C563" s="1431"/>
      <c r="D563" s="1431"/>
      <c r="E563" s="1431"/>
      <c r="F563" s="1431"/>
      <c r="G563" s="1431"/>
      <c r="H563" s="1431"/>
      <c r="I563" s="1431"/>
      <c r="J563" s="1431"/>
      <c r="K563" s="1431"/>
      <c r="L563" s="1431"/>
      <c r="M563" s="1431"/>
      <c r="N563" s="1431"/>
      <c r="O563" s="1431"/>
      <c r="P563" s="1432"/>
    </row>
    <row r="564" spans="1:17" ht="6.75" customHeight="1" x14ac:dyDescent="0.2">
      <c r="B564" s="1433"/>
      <c r="C564" s="1434"/>
      <c r="D564" s="1434"/>
      <c r="E564" s="1434"/>
      <c r="F564" s="1434"/>
      <c r="G564" s="1434"/>
      <c r="H564" s="1434"/>
      <c r="I564" s="1434"/>
      <c r="J564" s="1434"/>
      <c r="K564" s="1434"/>
      <c r="L564" s="1434"/>
      <c r="M564" s="1434"/>
      <c r="N564" s="1434"/>
      <c r="O564" s="1434"/>
      <c r="P564" s="1435"/>
    </row>
    <row r="565" spans="1:17" x14ac:dyDescent="0.2">
      <c r="B565" s="1433"/>
      <c r="C565" s="1441" t="s">
        <v>1761</v>
      </c>
      <c r="D565" s="1442"/>
      <c r="E565" s="1442"/>
      <c r="F565" s="1442"/>
      <c r="G565" s="1442"/>
      <c r="H565" s="1442"/>
      <c r="I565" s="1442"/>
      <c r="J565" s="1442"/>
      <c r="K565" s="1442"/>
      <c r="L565" s="1442"/>
      <c r="M565" s="1442"/>
      <c r="N565" s="1479" t="str">
        <f>Preferences.moneyunits</f>
        <v>N</v>
      </c>
      <c r="P565" s="1435"/>
    </row>
    <row r="566" spans="1:17" ht="5.25" customHeight="1" x14ac:dyDescent="0.2">
      <c r="B566" s="1433"/>
      <c r="C566" s="1434"/>
      <c r="D566" s="1434"/>
      <c r="E566" s="1434"/>
      <c r="F566" s="1434"/>
      <c r="G566" s="1434"/>
      <c r="H566" s="1434"/>
      <c r="I566" s="1434"/>
      <c r="J566" s="1434"/>
      <c r="K566" s="1434"/>
      <c r="L566" s="1434"/>
      <c r="M566" s="1434"/>
      <c r="N566" s="1434"/>
      <c r="O566" s="1434"/>
      <c r="P566" s="1435"/>
    </row>
    <row r="567" spans="1:17" ht="15.75" x14ac:dyDescent="0.25">
      <c r="B567" s="1436"/>
      <c r="C567" s="1437" t="s">
        <v>64</v>
      </c>
      <c r="D567" s="1437" t="s">
        <v>150</v>
      </c>
      <c r="E567" s="1437" t="s">
        <v>172</v>
      </c>
      <c r="F567" s="1437" t="s">
        <v>241</v>
      </c>
      <c r="G567" s="1437" t="s">
        <v>268</v>
      </c>
      <c r="H567" s="1437" t="s">
        <v>269</v>
      </c>
      <c r="I567" s="1437" t="s">
        <v>270</v>
      </c>
      <c r="J567" s="1437" t="s">
        <v>271</v>
      </c>
      <c r="K567" s="1437" t="s">
        <v>272</v>
      </c>
      <c r="L567" s="1437" t="s">
        <v>273</v>
      </c>
      <c r="M567" s="1437" t="s">
        <v>274</v>
      </c>
      <c r="N567" s="1437" t="s">
        <v>275</v>
      </c>
      <c r="O567" s="1443"/>
    </row>
    <row r="568" spans="1:17" s="1912" customFormat="1" ht="15.75" x14ac:dyDescent="0.25">
      <c r="B568" s="1436"/>
      <c r="C568" s="1458" t="s">
        <v>1382</v>
      </c>
      <c r="D568" s="1439" t="str">
        <f>INDEX(CostVectors[Description], MATCH(C568, CostVectors[Code], 0))</f>
        <v>Low estimate of capital costs</v>
      </c>
      <c r="E568" s="1439"/>
      <c r="F568" s="1196">
        <f t="shared" ref="F568:N568" si="171">F472</f>
        <v>58935000000</v>
      </c>
      <c r="G568" s="1196">
        <f t="shared" si="171"/>
        <v>58935000000</v>
      </c>
      <c r="H568" s="1196">
        <f t="shared" si="171"/>
        <v>58935000000</v>
      </c>
      <c r="I568" s="1196">
        <f t="shared" si="171"/>
        <v>58935000000</v>
      </c>
      <c r="J568" s="1196">
        <f t="shared" si="171"/>
        <v>58935000000</v>
      </c>
      <c r="K568" s="1196">
        <f t="shared" si="171"/>
        <v>58935000000</v>
      </c>
      <c r="L568" s="1196">
        <f t="shared" si="171"/>
        <v>58935000000</v>
      </c>
      <c r="M568" s="1196">
        <f t="shared" si="171"/>
        <v>58935000000</v>
      </c>
      <c r="N568" s="1196">
        <f t="shared" si="171"/>
        <v>58935000000</v>
      </c>
      <c r="O568" s="1443"/>
    </row>
    <row r="569" spans="1:17" ht="15.75" x14ac:dyDescent="0.25">
      <c r="A569" s="1592"/>
      <c r="B569" s="1436"/>
      <c r="C569" s="1438" t="s">
        <v>1384</v>
      </c>
      <c r="D569" s="1439" t="str">
        <f>INDEX(CostVectors[Description], MATCH(C569, CostVectors[Code], 0))</f>
        <v>Low estimate of operating costs</v>
      </c>
      <c r="E569" s="1439"/>
      <c r="F569" s="1394">
        <f t="shared" ref="F569:N569" si="172">F520</f>
        <v>20454374000</v>
      </c>
      <c r="G569" s="1394">
        <f t="shared" si="172"/>
        <v>28203527859.534302</v>
      </c>
      <c r="H569" s="1394">
        <f t="shared" si="172"/>
        <v>36600747377.963799</v>
      </c>
      <c r="I569" s="1394">
        <f t="shared" si="172"/>
        <v>37529165690.604546</v>
      </c>
      <c r="J569" s="1394">
        <f t="shared" si="172"/>
        <v>38747673049.660004</v>
      </c>
      <c r="K569" s="1394">
        <f t="shared" si="172"/>
        <v>37918854516.344955</v>
      </c>
      <c r="L569" s="1394">
        <f t="shared" si="172"/>
        <v>37105903395.535004</v>
      </c>
      <c r="M569" s="1394">
        <f t="shared" si="172"/>
        <v>36308819687.230148</v>
      </c>
      <c r="N569" s="1394">
        <f t="shared" si="172"/>
        <v>35527603391.430397</v>
      </c>
      <c r="O569" s="1443"/>
    </row>
    <row r="570" spans="1:17" ht="15.75" x14ac:dyDescent="0.25">
      <c r="A570" s="1592"/>
      <c r="B570" s="1436"/>
      <c r="C570" s="1458" t="s">
        <v>1866</v>
      </c>
      <c r="D570" s="1439" t="str">
        <f>INDEX(CostVectors[Description], MATCH(C570, CostVectors[Code], 0))</f>
        <v>Point estimate of capital costs</v>
      </c>
      <c r="E570" s="1393"/>
      <c r="F570" s="1394">
        <f t="shared" ref="F570:N570" si="173">F494</f>
        <v>20454415126.621281</v>
      </c>
      <c r="G570" s="1394">
        <f t="shared" si="173"/>
        <v>30197747622.443367</v>
      </c>
      <c r="H570" s="1394">
        <f t="shared" si="173"/>
        <v>41062732257.248337</v>
      </c>
      <c r="I570" s="1394">
        <f t="shared" si="173"/>
        <v>43672017735.347145</v>
      </c>
      <c r="J570" s="1394">
        <f t="shared" si="173"/>
        <v>46783379724.669968</v>
      </c>
      <c r="K570" s="1394">
        <f t="shared" si="173"/>
        <v>46402436681.01384</v>
      </c>
      <c r="L570" s="1394">
        <f t="shared" si="173"/>
        <v>46048956434.543335</v>
      </c>
      <c r="M570" s="1394">
        <f t="shared" si="173"/>
        <v>45722938355.661926</v>
      </c>
      <c r="N570" s="1394">
        <f t="shared" si="173"/>
        <v>45424383757.39061</v>
      </c>
      <c r="O570" s="1443"/>
    </row>
    <row r="571" spans="1:17" ht="15.75" x14ac:dyDescent="0.25">
      <c r="B571" s="1436"/>
      <c r="C571" s="1458" t="s">
        <v>1868</v>
      </c>
      <c r="D571" s="1459" t="str">
        <f>INDEX(CostVectors[Description], MATCH(C571, CostVectors[Code], 0))</f>
        <v>Point estimate of operating costs</v>
      </c>
      <c r="E571" s="1460"/>
      <c r="F571" s="1461">
        <f t="shared" ref="F571:N571" si="174">F507</f>
        <v>20454374000</v>
      </c>
      <c r="G571" s="1461">
        <f t="shared" si="174"/>
        <v>28901489891.395958</v>
      </c>
      <c r="H571" s="1461">
        <f t="shared" si="174"/>
        <v>38162426696.750694</v>
      </c>
      <c r="I571" s="1461">
        <f t="shared" si="174"/>
        <v>39679147602.095711</v>
      </c>
      <c r="J571" s="1461">
        <f t="shared" si="174"/>
        <v>41560153406.111496</v>
      </c>
      <c r="K571" s="1461">
        <f t="shared" si="174"/>
        <v>40888090438.67453</v>
      </c>
      <c r="L571" s="1461">
        <f t="shared" si="174"/>
        <v>40235953279.633377</v>
      </c>
      <c r="M571" s="1461">
        <f t="shared" si="174"/>
        <v>39603741928.988052</v>
      </c>
      <c r="N571" s="1461">
        <f t="shared" si="174"/>
        <v>38991456386.738556</v>
      </c>
      <c r="O571" s="1443"/>
    </row>
    <row r="572" spans="1:17" s="1912" customFormat="1" ht="15.75" x14ac:dyDescent="0.25">
      <c r="B572" s="1436"/>
      <c r="C572" s="1438" t="s">
        <v>1391</v>
      </c>
      <c r="D572" s="1459" t="str">
        <f>INDEX(CostVectors[Description], MATCH(C572, CostVectors[Code], 0))</f>
        <v>High estimate of capital costs</v>
      </c>
      <c r="E572" s="1930"/>
      <c r="F572" s="1196">
        <f t="shared" ref="F572:N572" si="175">F455</f>
        <v>20454376010</v>
      </c>
      <c r="G572" s="1196">
        <f t="shared" si="175"/>
        <v>26763634267.14669</v>
      </c>
      <c r="H572" s="1196">
        <f t="shared" si="175"/>
        <v>33340963939.469994</v>
      </c>
      <c r="I572" s="1196">
        <f t="shared" si="175"/>
        <v>33038989061.27002</v>
      </c>
      <c r="J572" s="1196">
        <f t="shared" si="175"/>
        <v>32835925943.997658</v>
      </c>
      <c r="K572" s="1196">
        <f t="shared" si="175"/>
        <v>31685983243.51403</v>
      </c>
      <c r="L572" s="1196">
        <f t="shared" si="175"/>
        <v>30541912191.990974</v>
      </c>
      <c r="M572" s="1196">
        <f t="shared" si="175"/>
        <v>29374178132.660564</v>
      </c>
      <c r="N572" s="1196">
        <f t="shared" si="175"/>
        <v>28237700160.085972</v>
      </c>
      <c r="O572" s="1443"/>
    </row>
    <row r="573" spans="1:17" s="1592" customFormat="1" ht="22.5" x14ac:dyDescent="0.3">
      <c r="A573" s="1422"/>
      <c r="B573" s="1444"/>
      <c r="C573" s="1438" t="s">
        <v>1393</v>
      </c>
      <c r="D573" s="1439" t="str">
        <f>INDEX(CostVectors[Description], MATCH(C573, CostVectors[Code], 0))</f>
        <v>High estimate of operating costs</v>
      </c>
      <c r="E573" s="1393"/>
      <c r="F573" s="1394">
        <f t="shared" ref="F573:N573" si="176">F494</f>
        <v>20454415126.621281</v>
      </c>
      <c r="G573" s="1394">
        <f t="shared" si="176"/>
        <v>30197747622.443367</v>
      </c>
      <c r="H573" s="1394">
        <f t="shared" si="176"/>
        <v>41062732257.248337</v>
      </c>
      <c r="I573" s="1394">
        <f t="shared" si="176"/>
        <v>43672017735.347145</v>
      </c>
      <c r="J573" s="1394">
        <f t="shared" si="176"/>
        <v>46783379724.669968</v>
      </c>
      <c r="K573" s="1394">
        <f t="shared" si="176"/>
        <v>46402436681.01384</v>
      </c>
      <c r="L573" s="1394">
        <f t="shared" si="176"/>
        <v>46048956434.543335</v>
      </c>
      <c r="M573" s="1394">
        <f t="shared" si="176"/>
        <v>45722938355.661926</v>
      </c>
      <c r="N573" s="1394">
        <f t="shared" si="176"/>
        <v>45424383757.39061</v>
      </c>
      <c r="O573" s="1445"/>
      <c r="P573" s="1451"/>
    </row>
    <row r="574" spans="1:17" s="1592" customFormat="1" ht="4.5" customHeight="1" x14ac:dyDescent="0.2">
      <c r="A574" s="1451"/>
      <c r="B574" s="1444"/>
      <c r="C574" s="1434"/>
      <c r="D574" s="1434"/>
      <c r="E574" s="1434"/>
      <c r="F574" s="1434"/>
      <c r="G574" s="1434"/>
      <c r="H574" s="1434"/>
      <c r="I574" s="1434"/>
      <c r="J574" s="1434"/>
      <c r="K574" s="1434"/>
      <c r="L574" s="1434"/>
      <c r="M574" s="1434"/>
      <c r="N574" s="1434"/>
      <c r="O574" s="1434"/>
      <c r="P574" s="1445"/>
      <c r="Q574" s="1451"/>
    </row>
    <row r="575" spans="1:17" s="2133" customFormat="1" ht="14.25" x14ac:dyDescent="0.2">
      <c r="B575" s="1444"/>
      <c r="C575" s="1434"/>
      <c r="D575" s="1434"/>
      <c r="E575" s="1434"/>
      <c r="F575" s="1434"/>
      <c r="G575" s="1434"/>
      <c r="H575" s="1434"/>
      <c r="I575" s="1434"/>
      <c r="J575" s="1434"/>
      <c r="K575" s="1434"/>
      <c r="L575" s="1434"/>
      <c r="M575" s="1434"/>
      <c r="N575" s="1434"/>
      <c r="O575" s="1434"/>
      <c r="P575" s="1445"/>
    </row>
    <row r="576" spans="1:17" s="1592" customFormat="1" x14ac:dyDescent="0.2">
      <c r="A576" s="1451"/>
      <c r="B576" s="1433"/>
      <c r="C576" s="1441" t="s">
        <v>1762</v>
      </c>
      <c r="D576" s="1442"/>
      <c r="E576" s="1442"/>
      <c r="F576" s="1442"/>
      <c r="G576" s="1442"/>
      <c r="H576" s="1442"/>
      <c r="I576" s="1442"/>
      <c r="J576" s="1442"/>
      <c r="K576" s="1442"/>
      <c r="L576" s="1442"/>
      <c r="M576" s="1442"/>
      <c r="N576" s="1479" t="str">
        <f>Preferences.moneyunits</f>
        <v>N</v>
      </c>
      <c r="P576" s="1435"/>
      <c r="Q576" s="1451"/>
    </row>
    <row r="577" spans="1:17" s="1592" customFormat="1" ht="4.5" customHeight="1" x14ac:dyDescent="0.2">
      <c r="A577" s="1451"/>
      <c r="B577" s="1433"/>
      <c r="C577" s="1434"/>
      <c r="D577" s="1434"/>
      <c r="E577" s="1434"/>
      <c r="F577" s="1434"/>
      <c r="G577" s="1434"/>
      <c r="H577" s="1434"/>
      <c r="I577" s="1434"/>
      <c r="J577" s="1434"/>
      <c r="K577" s="1434"/>
      <c r="L577" s="1434"/>
      <c r="M577" s="1434"/>
      <c r="N577" s="1434"/>
      <c r="O577" s="1434"/>
      <c r="P577" s="1435"/>
      <c r="Q577" s="1451"/>
    </row>
    <row r="578" spans="1:17" s="1592" customFormat="1" ht="15.75" x14ac:dyDescent="0.25">
      <c r="A578" s="3"/>
      <c r="B578" s="1436"/>
      <c r="C578" s="1727" t="s">
        <v>64</v>
      </c>
      <c r="D578" s="1727" t="s">
        <v>150</v>
      </c>
      <c r="E578" s="1727" t="s">
        <v>172</v>
      </c>
      <c r="F578" s="1727" t="s">
        <v>241</v>
      </c>
      <c r="G578" s="1727" t="s">
        <v>268</v>
      </c>
      <c r="H578" s="1727" t="s">
        <v>269</v>
      </c>
      <c r="I578" s="1727" t="s">
        <v>270</v>
      </c>
      <c r="J578" s="1727" t="s">
        <v>271</v>
      </c>
      <c r="K578" s="1727" t="s">
        <v>272</v>
      </c>
      <c r="L578" s="1727" t="s">
        <v>273</v>
      </c>
      <c r="M578" s="1727" t="s">
        <v>274</v>
      </c>
      <c r="N578" s="1727" t="s">
        <v>275</v>
      </c>
      <c r="O578" s="1443"/>
      <c r="P578" s="1451"/>
    </row>
    <row r="579" spans="1:17" s="1592" customFormat="1" ht="15.75" x14ac:dyDescent="0.25">
      <c r="A579" s="3"/>
      <c r="B579" s="1728"/>
      <c r="C579" s="1458" t="s">
        <v>1382</v>
      </c>
      <c r="D579" s="1439" t="str">
        <f>INDEX(CostVectors[Description], MATCH(C579, CostVectors[Code], 0))</f>
        <v>Low estimate of capital costs</v>
      </c>
      <c r="E579" s="1439"/>
      <c r="F579" s="1196">
        <f t="shared" ref="F579:N579" si="177">F482</f>
        <v>337102418583.33331</v>
      </c>
      <c r="G579" s="1196">
        <f t="shared" si="177"/>
        <v>265837122250.00003</v>
      </c>
      <c r="H579" s="1196">
        <f t="shared" si="177"/>
        <v>290405159250</v>
      </c>
      <c r="I579" s="1196">
        <f t="shared" si="177"/>
        <v>311357042875</v>
      </c>
      <c r="J579" s="1196">
        <f t="shared" si="177"/>
        <v>332308926500</v>
      </c>
      <c r="K579" s="1196">
        <f t="shared" si="177"/>
        <v>341449253875</v>
      </c>
      <c r="L579" s="1196">
        <f t="shared" si="177"/>
        <v>350589581250</v>
      </c>
      <c r="M579" s="1196">
        <f t="shared" si="177"/>
        <v>359729908625</v>
      </c>
      <c r="N579" s="1196">
        <f t="shared" si="177"/>
        <v>368870236000</v>
      </c>
      <c r="O579" s="1458"/>
      <c r="P579" s="1451"/>
    </row>
    <row r="580" spans="1:17" s="1592" customFormat="1" ht="15.75" x14ac:dyDescent="0.25">
      <c r="A580" s="3"/>
      <c r="B580" s="1728"/>
      <c r="C580" s="1438" t="s">
        <v>1384</v>
      </c>
      <c r="D580" s="1439" t="str">
        <f>INDEX(CostVectors[Description], MATCH(C580, CostVectors[Code], 0))</f>
        <v>Low estimate of operating costs</v>
      </c>
      <c r="E580" s="1439"/>
      <c r="F580" s="1394">
        <f t="shared" ref="F580:N580" si="178">F521</f>
        <v>599216395750</v>
      </c>
      <c r="G580" s="1394">
        <f t="shared" si="178"/>
        <v>369800426750</v>
      </c>
      <c r="H580" s="1394">
        <f t="shared" si="178"/>
        <v>390384457750</v>
      </c>
      <c r="I580" s="1394">
        <f t="shared" si="178"/>
        <v>407938738625</v>
      </c>
      <c r="J580" s="1394">
        <f t="shared" si="178"/>
        <v>425493019500</v>
      </c>
      <c r="K580" s="1394">
        <f t="shared" si="178"/>
        <v>433151131625</v>
      </c>
      <c r="L580" s="1394">
        <f t="shared" si="178"/>
        <v>440809243750</v>
      </c>
      <c r="M580" s="1394">
        <f t="shared" si="178"/>
        <v>448467355875</v>
      </c>
      <c r="N580" s="1394">
        <f t="shared" si="178"/>
        <v>456125468000</v>
      </c>
      <c r="O580" s="1458"/>
      <c r="P580" s="1451"/>
    </row>
    <row r="581" spans="1:17" s="1592" customFormat="1" ht="15.75" x14ac:dyDescent="0.25">
      <c r="A581" s="3"/>
      <c r="B581" s="1728"/>
      <c r="C581" s="1458" t="s">
        <v>1866</v>
      </c>
      <c r="D581" s="1439" t="str">
        <f>INDEX(CostVectors[Description], MATCH(C581, CostVectors[Code], 0))</f>
        <v>Point estimate of capital costs</v>
      </c>
      <c r="E581" s="1931"/>
      <c r="F581" s="1394">
        <f t="shared" ref="F581:N581" si="179">F469</f>
        <v>406481168583.33331</v>
      </c>
      <c r="G581" s="1394">
        <f t="shared" si="179"/>
        <v>300215872250</v>
      </c>
      <c r="H581" s="1394">
        <f t="shared" si="179"/>
        <v>324783909250</v>
      </c>
      <c r="I581" s="1394">
        <f t="shared" si="179"/>
        <v>345735792875</v>
      </c>
      <c r="J581" s="1394">
        <f t="shared" si="179"/>
        <v>366687676500</v>
      </c>
      <c r="K581" s="1394">
        <f t="shared" si="179"/>
        <v>375828003875</v>
      </c>
      <c r="L581" s="1394">
        <f t="shared" si="179"/>
        <v>384968331250</v>
      </c>
      <c r="M581" s="1394">
        <f t="shared" si="179"/>
        <v>394108658625</v>
      </c>
      <c r="N581" s="1394">
        <f t="shared" si="179"/>
        <v>403248986000</v>
      </c>
      <c r="O581" s="1458"/>
      <c r="P581" s="1451"/>
    </row>
    <row r="582" spans="1:17" ht="15.75" x14ac:dyDescent="0.25">
      <c r="A582" s="3"/>
      <c r="B582" s="1775"/>
      <c r="C582" s="1458" t="s">
        <v>1868</v>
      </c>
      <c r="D582" s="1459" t="str">
        <f>INDEX(CostVectors[Description], MATCH(C582, CostVectors[Code], 0))</f>
        <v>Point estimate of operating costs</v>
      </c>
      <c r="E582" s="1459"/>
      <c r="F582" s="1461">
        <f t="shared" ref="F582:N582" si="180">F508</f>
        <v>781274024562.5</v>
      </c>
      <c r="G582" s="1461">
        <f t="shared" si="180"/>
        <v>542765074812.50006</v>
      </c>
      <c r="H582" s="1461">
        <f t="shared" si="180"/>
        <v>576131125062.5</v>
      </c>
      <c r="I582" s="1461">
        <f t="shared" si="180"/>
        <v>604586048093.75</v>
      </c>
      <c r="J582" s="1461">
        <f t="shared" si="180"/>
        <v>633040971125</v>
      </c>
      <c r="K582" s="1461">
        <f t="shared" si="180"/>
        <v>645454523843.75</v>
      </c>
      <c r="L582" s="1461">
        <f t="shared" si="180"/>
        <v>657868076562.5</v>
      </c>
      <c r="M582" s="1461">
        <f t="shared" si="180"/>
        <v>670281629281.25</v>
      </c>
      <c r="N582" s="1461">
        <f t="shared" si="180"/>
        <v>682695182000</v>
      </c>
      <c r="O582" s="1865"/>
    </row>
    <row r="583" spans="1:17" ht="15.75" x14ac:dyDescent="0.25">
      <c r="A583" s="3"/>
      <c r="B583" s="1775"/>
      <c r="C583" s="1438" t="s">
        <v>1391</v>
      </c>
      <c r="D583" s="1459" t="str">
        <f>INDEX(CostVectors[Description], MATCH(C583, CostVectors[Code], 0))</f>
        <v>High estimate of capital costs</v>
      </c>
      <c r="E583" s="1439"/>
      <c r="F583" s="1196">
        <f t="shared" ref="F583:N583" si="181">F456</f>
        <v>535327418583.33331</v>
      </c>
      <c r="G583" s="1196">
        <f t="shared" si="181"/>
        <v>364062122250</v>
      </c>
      <c r="H583" s="1196">
        <f t="shared" si="181"/>
        <v>388630159250</v>
      </c>
      <c r="I583" s="1196">
        <f t="shared" si="181"/>
        <v>409582042875</v>
      </c>
      <c r="J583" s="1196">
        <f t="shared" si="181"/>
        <v>430533926500</v>
      </c>
      <c r="K583" s="1196">
        <f t="shared" si="181"/>
        <v>439674253875</v>
      </c>
      <c r="L583" s="1196">
        <f t="shared" si="181"/>
        <v>448814581250</v>
      </c>
      <c r="M583" s="1196">
        <f t="shared" si="181"/>
        <v>457954908625</v>
      </c>
      <c r="N583" s="1196">
        <f t="shared" si="181"/>
        <v>467095236000</v>
      </c>
      <c r="O583" s="1865"/>
      <c r="P583" s="1592"/>
    </row>
    <row r="584" spans="1:17" ht="15.75" x14ac:dyDescent="0.25">
      <c r="A584" s="3"/>
      <c r="B584" s="1434"/>
      <c r="C584" s="1438" t="s">
        <v>1393</v>
      </c>
      <c r="D584" s="1439" t="str">
        <f>INDEX(CostVectors[Description], MATCH(C584, CostVectors[Code], 0))</f>
        <v>High estimate of operating costs</v>
      </c>
      <c r="E584" s="1931"/>
      <c r="F584" s="1394">
        <f t="shared" ref="F584:N584" si="182">F495</f>
        <v>1119381049500</v>
      </c>
      <c r="G584" s="1394">
        <f t="shared" si="182"/>
        <v>863985135500</v>
      </c>
      <c r="H584" s="1394">
        <f t="shared" si="182"/>
        <v>921089221500</v>
      </c>
      <c r="I584" s="1394">
        <f t="shared" si="182"/>
        <v>969788194249.99988</v>
      </c>
      <c r="J584" s="1394">
        <f t="shared" si="182"/>
        <v>1018487167000</v>
      </c>
      <c r="K584" s="1394">
        <f t="shared" si="182"/>
        <v>1039732252250</v>
      </c>
      <c r="L584" s="1394">
        <f t="shared" si="182"/>
        <v>1060977337500</v>
      </c>
      <c r="M584" s="1394">
        <f t="shared" si="182"/>
        <v>1082222422750</v>
      </c>
      <c r="N584" s="1394">
        <f t="shared" si="182"/>
        <v>1103467508000</v>
      </c>
      <c r="O584" s="1434"/>
      <c r="P584" s="1592"/>
    </row>
    <row r="585" spans="1:17" ht="15.75" x14ac:dyDescent="0.25">
      <c r="A585" s="3"/>
      <c r="B585" s="1442"/>
      <c r="C585" s="1442"/>
      <c r="D585" s="1442"/>
      <c r="E585" s="1442"/>
      <c r="F585" s="1442"/>
      <c r="G585" s="1442"/>
      <c r="H585" s="1442"/>
      <c r="I585" s="1442"/>
      <c r="J585" s="1442"/>
      <c r="K585" s="1442"/>
      <c r="L585" s="1442"/>
      <c r="M585" s="1442"/>
      <c r="N585" s="1442"/>
      <c r="O585" s="1442"/>
      <c r="P585" s="1442"/>
      <c r="Q585" s="1592"/>
    </row>
    <row r="586" spans="1:17" x14ac:dyDescent="0.2">
      <c r="Q586" s="1592"/>
    </row>
  </sheetData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 enableFormatConditionsCalculation="0">
    <tabColor theme="9"/>
    <outlinePr summaryBelow="0"/>
    <pageSetUpPr autoPageBreaks="0"/>
  </sheetPr>
  <dimension ref="A1:P163"/>
  <sheetViews>
    <sheetView windowProtection="1" zoomScaleNormal="100" workbookViewId="0"/>
  </sheetViews>
  <sheetFormatPr defaultColWidth="8.7109375" defaultRowHeight="12.75" x14ac:dyDescent="0.2"/>
  <cols>
    <col min="1" max="1" width="7.7109375" style="1404" customWidth="1"/>
    <col min="2" max="2" width="5.7109375" style="1404" customWidth="1"/>
    <col min="3" max="3" width="20.42578125" style="1404" customWidth="1"/>
    <col min="4" max="4" width="30.7109375" style="1404" customWidth="1"/>
    <col min="5" max="5" width="20.7109375" style="1404" customWidth="1"/>
    <col min="6" max="14" width="17.7109375" style="1404" customWidth="1"/>
    <col min="15" max="15" width="10.7109375" style="1404" customWidth="1"/>
    <col min="16" max="16384" width="8.7109375" style="1404"/>
  </cols>
  <sheetData>
    <row r="1" spans="1:16" ht="21" x14ac:dyDescent="0.35">
      <c r="A1" s="119" t="s">
        <v>226</v>
      </c>
      <c r="B1" s="119" t="str">
        <f>INDEX(Workstreams[Workstream], MATCH($A1, Workstreams[Code], 0))</f>
        <v>Electricity distribution, storage &amp; balancing</v>
      </c>
      <c r="C1" s="119"/>
    </row>
    <row r="2" spans="1:16" s="84" customFormat="1" ht="19.5" customHeight="1" x14ac:dyDescent="0.2">
      <c r="A2" s="6" t="s">
        <v>305</v>
      </c>
      <c r="B2" s="6" t="str">
        <f>INDEX(Modules[Module], MATCH($A2, Modules[Code], 0))</f>
        <v>Electricity imports</v>
      </c>
      <c r="C2" s="6"/>
      <c r="E2" s="1380"/>
    </row>
    <row r="4" spans="1:16" ht="22.5" collapsed="1" x14ac:dyDescent="0.3">
      <c r="A4" s="409"/>
      <c r="B4" s="468" t="s">
        <v>600</v>
      </c>
      <c r="C4" s="420"/>
      <c r="D4" s="421"/>
      <c r="E4" s="422"/>
      <c r="F4" s="421"/>
      <c r="G4" s="421"/>
      <c r="H4" s="421"/>
      <c r="I4" s="421"/>
      <c r="J4" s="421"/>
      <c r="K4" s="421"/>
      <c r="L4" s="421"/>
      <c r="M4" s="421"/>
      <c r="N4" s="421"/>
    </row>
    <row r="5" spans="1:16" x14ac:dyDescent="0.2">
      <c r="B5" s="410"/>
      <c r="C5" s="411"/>
      <c r="D5" s="412"/>
      <c r="E5" s="413"/>
      <c r="F5" s="412"/>
      <c r="G5" s="412"/>
      <c r="H5" s="412"/>
      <c r="I5" s="412"/>
      <c r="J5" s="412"/>
      <c r="K5" s="412"/>
      <c r="L5" s="412"/>
      <c r="M5" s="412"/>
      <c r="N5" s="412"/>
    </row>
    <row r="6" spans="1:16" ht="15.75" x14ac:dyDescent="0.25">
      <c r="B6" s="415"/>
      <c r="C6" s="412"/>
      <c r="D6" s="216" t="s">
        <v>342</v>
      </c>
      <c r="E6" s="216" t="s">
        <v>595</v>
      </c>
      <c r="F6" s="412"/>
      <c r="G6" s="412"/>
      <c r="H6" s="412"/>
      <c r="I6" s="412"/>
      <c r="J6" s="412"/>
      <c r="K6" s="412"/>
      <c r="L6" s="412"/>
      <c r="M6" s="412"/>
      <c r="N6" s="412"/>
    </row>
    <row r="7" spans="1:16" ht="15.75" x14ac:dyDescent="0.25">
      <c r="B7" s="415"/>
      <c r="C7" s="412"/>
      <c r="D7" s="238" t="s">
        <v>671</v>
      </c>
      <c r="E7" s="238">
        <f>VII.a.Scenario</f>
        <v>4</v>
      </c>
      <c r="F7" s="412"/>
      <c r="G7" s="412"/>
      <c r="H7" s="412"/>
      <c r="I7" s="412"/>
      <c r="J7" s="412"/>
      <c r="K7" s="412"/>
      <c r="L7" s="412"/>
      <c r="M7" s="412"/>
      <c r="N7" s="412"/>
    </row>
    <row r="8" spans="1:16" ht="15.75" x14ac:dyDescent="0.25">
      <c r="B8" s="416"/>
      <c r="C8" s="417"/>
      <c r="D8" s="417"/>
      <c r="E8" s="417"/>
      <c r="F8" s="418"/>
      <c r="G8" s="418"/>
      <c r="H8" s="418"/>
      <c r="I8" s="418"/>
      <c r="J8" s="418"/>
      <c r="K8" s="418"/>
      <c r="L8" s="418"/>
      <c r="M8" s="418"/>
      <c r="N8" s="418"/>
    </row>
    <row r="9" spans="1:16" s="1772" customFormat="1" x14ac:dyDescent="0.2"/>
    <row r="10" spans="1:16" s="1483" customFormat="1" ht="22.5" collapsed="1" x14ac:dyDescent="0.3">
      <c r="A10" s="1422"/>
      <c r="B10" s="468" t="s">
        <v>235</v>
      </c>
      <c r="C10" s="421"/>
      <c r="D10" s="421"/>
      <c r="E10" s="421"/>
      <c r="F10" s="421"/>
      <c r="G10" s="421"/>
      <c r="H10" s="421"/>
      <c r="I10" s="421"/>
      <c r="J10" s="421"/>
      <c r="K10" s="421"/>
      <c r="L10" s="421"/>
      <c r="M10" s="421"/>
      <c r="N10" s="421"/>
    </row>
    <row r="11" spans="1:16" s="1483" customFormat="1" x14ac:dyDescent="0.2">
      <c r="B11" s="410"/>
      <c r="C11" s="412"/>
      <c r="D11" s="412"/>
      <c r="E11" s="412"/>
      <c r="F11" s="412"/>
      <c r="G11" s="412"/>
      <c r="H11" s="412"/>
      <c r="I11" s="412"/>
      <c r="J11" s="412"/>
      <c r="K11" s="412"/>
      <c r="L11" s="412"/>
      <c r="M11" s="412"/>
      <c r="N11" s="412"/>
    </row>
    <row r="12" spans="1:16" s="1483" customFormat="1" ht="15.75" x14ac:dyDescent="0.2">
      <c r="A12" s="1243"/>
      <c r="B12" s="1244"/>
      <c r="C12" s="424" t="s">
        <v>2419</v>
      </c>
      <c r="D12" s="1009"/>
      <c r="E12" s="426"/>
      <c r="F12" s="500"/>
      <c r="G12" s="500"/>
      <c r="H12" s="500"/>
      <c r="I12" s="500"/>
      <c r="J12" s="500"/>
      <c r="K12" s="500"/>
      <c r="L12" s="500"/>
      <c r="M12" s="500"/>
      <c r="N12" s="1786" t="str">
        <f>Preferences.EnergyUnits&amp;"e"</f>
        <v>TWhe</v>
      </c>
    </row>
    <row r="13" spans="1:16" s="1483" customFormat="1" ht="6" customHeight="1" x14ac:dyDescent="0.2">
      <c r="A13" s="1243"/>
      <c r="B13" s="1244"/>
      <c r="C13" s="426"/>
      <c r="D13" s="1009"/>
      <c r="E13" s="426"/>
      <c r="F13" s="500"/>
      <c r="G13" s="500"/>
      <c r="H13" s="500"/>
      <c r="I13" s="500"/>
      <c r="J13" s="500"/>
      <c r="K13" s="500"/>
      <c r="L13" s="500"/>
      <c r="M13" s="500"/>
      <c r="N13" s="500"/>
    </row>
    <row r="14" spans="1:16" s="1483" customFormat="1" ht="15.75" x14ac:dyDescent="0.2">
      <c r="A14" s="1243"/>
      <c r="B14" s="1244"/>
      <c r="C14" s="589"/>
      <c r="D14" s="589" t="s">
        <v>65</v>
      </c>
      <c r="E14" s="589" t="s">
        <v>172</v>
      </c>
      <c r="F14" s="1014">
        <v>2010</v>
      </c>
      <c r="G14" s="1013">
        <v>2015</v>
      </c>
      <c r="H14" s="1013">
        <v>2020</v>
      </c>
      <c r="I14" s="1013">
        <v>2025</v>
      </c>
      <c r="J14" s="1013">
        <v>2030</v>
      </c>
      <c r="K14" s="1013">
        <v>2035</v>
      </c>
      <c r="L14" s="1013">
        <v>2040</v>
      </c>
      <c r="M14" s="1013">
        <v>2045</v>
      </c>
      <c r="N14" s="1013">
        <v>2050</v>
      </c>
    </row>
    <row r="15" spans="1:16" s="1483" customFormat="1" ht="15.75" x14ac:dyDescent="0.2">
      <c r="A15" s="1243"/>
      <c r="B15" s="1244"/>
      <c r="C15" s="1183"/>
      <c r="D15" s="238" t="s">
        <v>1593</v>
      </c>
      <c r="E15" s="238"/>
      <c r="F15" s="2570">
        <f t="shared" ref="F15:N15" ca="1" si="0">MAX(-INDIRECT(F14&amp;"!U110"),0)+F$20</f>
        <v>0.52500000000000002</v>
      </c>
      <c r="G15" s="2570">
        <f t="shared" ca="1" si="0"/>
        <v>0.52500000000000002</v>
      </c>
      <c r="H15" s="2570">
        <f t="shared" ca="1" si="0"/>
        <v>0.52500000000000002</v>
      </c>
      <c r="I15" s="2570">
        <f t="shared" ca="1" si="0"/>
        <v>0.52500000000000002</v>
      </c>
      <c r="J15" s="2570">
        <f t="shared" ca="1" si="0"/>
        <v>0.52500000000000002</v>
      </c>
      <c r="K15" s="2570">
        <f t="shared" ca="1" si="0"/>
        <v>0.52500000000000002</v>
      </c>
      <c r="L15" s="2570">
        <f t="shared" ca="1" si="0"/>
        <v>0.52500000000000002</v>
      </c>
      <c r="M15" s="2570">
        <f t="shared" ca="1" si="0"/>
        <v>0.52500000000000002</v>
      </c>
      <c r="N15" s="2570">
        <f t="shared" ca="1" si="0"/>
        <v>0.52500000000000002</v>
      </c>
      <c r="P15" s="1019" t="s">
        <v>1590</v>
      </c>
    </row>
    <row r="16" spans="1:16" s="1483" customFormat="1" x14ac:dyDescent="0.2">
      <c r="B16" s="410"/>
      <c r="C16" s="424"/>
      <c r="D16" s="412"/>
      <c r="E16" s="412"/>
      <c r="F16" s="412"/>
      <c r="G16" s="412"/>
      <c r="H16" s="412"/>
      <c r="I16" s="412"/>
      <c r="J16" s="412"/>
      <c r="K16" s="412"/>
      <c r="L16" s="412"/>
      <c r="M16" s="413"/>
    </row>
    <row r="17" spans="1:14" s="2479" customFormat="1" x14ac:dyDescent="0.2">
      <c r="B17" s="410"/>
      <c r="C17" s="424"/>
      <c r="D17" s="412"/>
      <c r="E17" s="412"/>
      <c r="F17" s="412"/>
      <c r="G17" s="412"/>
      <c r="H17" s="412"/>
      <c r="I17" s="412"/>
      <c r="J17" s="412"/>
      <c r="K17" s="412"/>
      <c r="L17" s="412"/>
      <c r="M17" s="413"/>
      <c r="N17" s="1485"/>
    </row>
    <row r="18" spans="1:14" s="2479" customFormat="1" x14ac:dyDescent="0.2">
      <c r="B18" s="410"/>
      <c r="C18" s="1015" t="s">
        <v>2414</v>
      </c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1786" t="str">
        <f>Preferences.EnergyUnits&amp;"e"</f>
        <v>TWhe</v>
      </c>
    </row>
    <row r="19" spans="1:14" s="2479" customFormat="1" x14ac:dyDescent="0.2">
      <c r="B19" s="410"/>
      <c r="C19" s="589"/>
      <c r="D19" s="589" t="s">
        <v>65</v>
      </c>
      <c r="E19" s="589" t="s">
        <v>172</v>
      </c>
      <c r="F19" s="1014">
        <v>2010</v>
      </c>
      <c r="G19" s="1013">
        <v>2015</v>
      </c>
      <c r="H19" s="1013">
        <v>2020</v>
      </c>
      <c r="I19" s="1013">
        <v>2025</v>
      </c>
      <c r="J19" s="1013">
        <v>2030</v>
      </c>
      <c r="K19" s="1013">
        <v>2035</v>
      </c>
      <c r="L19" s="1013">
        <v>2040</v>
      </c>
      <c r="M19" s="1013">
        <v>2045</v>
      </c>
      <c r="N19" s="1013">
        <v>2050</v>
      </c>
    </row>
    <row r="20" spans="1:14" s="2479" customFormat="1" x14ac:dyDescent="0.2">
      <c r="B20" s="410"/>
      <c r="C20" s="1183"/>
      <c r="D20" s="238" t="s">
        <v>1593</v>
      </c>
      <c r="E20" s="238"/>
      <c r="F20" s="2570">
        <f t="shared" ref="F20:N20" si="1">525*Unit.GWh</f>
        <v>0.52500000000000002</v>
      </c>
      <c r="G20" s="2570">
        <f t="shared" si="1"/>
        <v>0.52500000000000002</v>
      </c>
      <c r="H20" s="2570">
        <f t="shared" si="1"/>
        <v>0.52500000000000002</v>
      </c>
      <c r="I20" s="2570">
        <f t="shared" si="1"/>
        <v>0.52500000000000002</v>
      </c>
      <c r="J20" s="2570">
        <f t="shared" si="1"/>
        <v>0.52500000000000002</v>
      </c>
      <c r="K20" s="2570">
        <f t="shared" si="1"/>
        <v>0.52500000000000002</v>
      </c>
      <c r="L20" s="2570">
        <f t="shared" si="1"/>
        <v>0.52500000000000002</v>
      </c>
      <c r="M20" s="2570">
        <f t="shared" si="1"/>
        <v>0.52500000000000002</v>
      </c>
      <c r="N20" s="2570">
        <f t="shared" si="1"/>
        <v>0.52500000000000002</v>
      </c>
    </row>
    <row r="21" spans="1:14" s="2479" customFormat="1" x14ac:dyDescent="0.2">
      <c r="B21" s="410"/>
      <c r="C21" s="424"/>
      <c r="D21" s="412"/>
      <c r="E21" s="412"/>
      <c r="F21" s="412"/>
      <c r="G21" s="412"/>
      <c r="H21" s="412"/>
      <c r="I21" s="412"/>
      <c r="J21" s="412"/>
      <c r="K21" s="412"/>
      <c r="L21" s="412"/>
      <c r="M21" s="412"/>
      <c r="N21" s="413"/>
    </row>
    <row r="22" spans="1:14" s="2479" customFormat="1" ht="15.75" x14ac:dyDescent="0.2">
      <c r="B22" s="1423" t="s">
        <v>597</v>
      </c>
      <c r="C22" s="405"/>
      <c r="D22" s="405"/>
      <c r="E22" s="405"/>
      <c r="F22" s="405"/>
      <c r="G22" s="405"/>
      <c r="H22" s="405"/>
      <c r="I22" s="405"/>
      <c r="J22" s="405"/>
      <c r="K22" s="405"/>
      <c r="L22" s="405"/>
      <c r="M22" s="405"/>
      <c r="N22" s="405"/>
    </row>
    <row r="23" spans="1:14" s="2479" customFormat="1" x14ac:dyDescent="0.2">
      <c r="B23" s="410"/>
      <c r="C23" s="424"/>
      <c r="D23" s="412"/>
      <c r="E23" s="412"/>
      <c r="F23" s="412"/>
      <c r="G23" s="412"/>
      <c r="H23" s="412"/>
      <c r="I23" s="412"/>
      <c r="J23" s="412"/>
      <c r="K23" s="412"/>
      <c r="L23" s="412"/>
      <c r="M23" s="412"/>
      <c r="N23" s="413"/>
    </row>
    <row r="24" spans="1:14" s="2479" customFormat="1" x14ac:dyDescent="0.2">
      <c r="B24" s="410"/>
      <c r="C24" s="424" t="s">
        <v>949</v>
      </c>
      <c r="D24" s="412"/>
      <c r="E24" s="412"/>
      <c r="F24" s="412"/>
      <c r="G24" s="412"/>
      <c r="H24" s="412"/>
      <c r="I24" s="412"/>
      <c r="J24" s="412"/>
      <c r="K24" s="412"/>
      <c r="L24" s="412"/>
      <c r="M24" s="412"/>
      <c r="N24" s="413" t="str">
        <f>Preferences.PowerUnits</f>
        <v>GW</v>
      </c>
    </row>
    <row r="25" spans="1:14" s="2479" customFormat="1" x14ac:dyDescent="0.2">
      <c r="B25" s="410"/>
      <c r="C25" s="424"/>
      <c r="D25" s="412"/>
      <c r="E25" s="412"/>
      <c r="F25" s="412"/>
      <c r="G25" s="412"/>
      <c r="H25" s="412"/>
      <c r="I25" s="412"/>
      <c r="J25" s="412"/>
      <c r="K25" s="412"/>
      <c r="L25" s="412"/>
      <c r="M25" s="412"/>
      <c r="N25" s="413"/>
    </row>
    <row r="26" spans="1:14" s="2479" customFormat="1" x14ac:dyDescent="0.2">
      <c r="B26" s="410"/>
      <c r="C26" s="2612" t="s">
        <v>595</v>
      </c>
      <c r="D26" s="2613" t="s">
        <v>66</v>
      </c>
      <c r="E26" s="2613" t="s">
        <v>172</v>
      </c>
      <c r="F26" s="2613">
        <v>2010</v>
      </c>
      <c r="G26" s="2613">
        <v>2015</v>
      </c>
      <c r="H26" s="2613">
        <v>2020</v>
      </c>
      <c r="I26" s="2613">
        <v>2025</v>
      </c>
      <c r="J26" s="2613">
        <v>2030</v>
      </c>
      <c r="K26" s="2613">
        <v>2035</v>
      </c>
      <c r="L26" s="2613">
        <v>2040</v>
      </c>
      <c r="M26" s="2613">
        <v>2045</v>
      </c>
      <c r="N26" s="2614">
        <v>2050</v>
      </c>
    </row>
    <row r="27" spans="1:14" s="2479" customFormat="1" x14ac:dyDescent="0.2">
      <c r="B27" s="410"/>
      <c r="C27" s="424">
        <v>1</v>
      </c>
      <c r="D27" s="412"/>
      <c r="E27" s="412"/>
      <c r="F27" s="412">
        <f t="shared" ref="F27:N30" si="2">0.86*Unit.GW</f>
        <v>0.86</v>
      </c>
      <c r="G27" s="412">
        <f t="shared" si="2"/>
        <v>0.86</v>
      </c>
      <c r="H27" s="412">
        <f t="shared" si="2"/>
        <v>0.86</v>
      </c>
      <c r="I27" s="412">
        <f t="shared" si="2"/>
        <v>0.86</v>
      </c>
      <c r="J27" s="412">
        <f t="shared" si="2"/>
        <v>0.86</v>
      </c>
      <c r="K27" s="412">
        <f t="shared" si="2"/>
        <v>0.86</v>
      </c>
      <c r="L27" s="412">
        <f t="shared" si="2"/>
        <v>0.86</v>
      </c>
      <c r="M27" s="412">
        <f t="shared" si="2"/>
        <v>0.86</v>
      </c>
      <c r="N27" s="413">
        <f t="shared" si="2"/>
        <v>0.86</v>
      </c>
    </row>
    <row r="28" spans="1:14" s="2479" customFormat="1" x14ac:dyDescent="0.2">
      <c r="B28" s="410"/>
      <c r="C28" s="424">
        <v>2</v>
      </c>
      <c r="D28" s="412"/>
      <c r="E28" s="412"/>
      <c r="F28" s="412">
        <f t="shared" si="2"/>
        <v>0.86</v>
      </c>
      <c r="G28" s="412">
        <f t="shared" si="2"/>
        <v>0.86</v>
      </c>
      <c r="H28" s="412">
        <f t="shared" si="2"/>
        <v>0.86</v>
      </c>
      <c r="I28" s="412">
        <f t="shared" si="2"/>
        <v>0.86</v>
      </c>
      <c r="J28" s="412">
        <f>2.1552*Unit.GW</f>
        <v>2.1551999999999998</v>
      </c>
      <c r="K28" s="412">
        <f>3.46*Unit.GW</f>
        <v>3.46</v>
      </c>
      <c r="L28" s="412">
        <f>3.46*Unit.GW</f>
        <v>3.46</v>
      </c>
      <c r="M28" s="412">
        <f>3.46*Unit.GW</f>
        <v>3.46</v>
      </c>
      <c r="N28" s="413">
        <f>3.46*Unit.GW</f>
        <v>3.46</v>
      </c>
    </row>
    <row r="29" spans="1:14" s="2479" customFormat="1" x14ac:dyDescent="0.2">
      <c r="B29" s="410"/>
      <c r="C29" s="424">
        <v>3</v>
      </c>
      <c r="D29" s="412"/>
      <c r="E29" s="412"/>
      <c r="F29" s="412">
        <f t="shared" si="2"/>
        <v>0.86</v>
      </c>
      <c r="G29" s="412">
        <f t="shared" si="2"/>
        <v>0.86</v>
      </c>
      <c r="H29" s="412">
        <f t="shared" si="2"/>
        <v>0.86</v>
      </c>
      <c r="I29" s="412">
        <f t="shared" si="2"/>
        <v>0.86</v>
      </c>
      <c r="J29" s="412">
        <f>4.8552*Unit.GW</f>
        <v>4.8552</v>
      </c>
      <c r="K29" s="412">
        <f>6.807*Unit.GW</f>
        <v>6.8070000000000004</v>
      </c>
      <c r="L29" s="412">
        <f>6.807*Unit.GW</f>
        <v>6.8070000000000004</v>
      </c>
      <c r="M29" s="412">
        <f>6.807*Unit.GW</f>
        <v>6.8070000000000004</v>
      </c>
      <c r="N29" s="413">
        <f>6.807*Unit.GW</f>
        <v>6.8070000000000004</v>
      </c>
    </row>
    <row r="30" spans="1:14" s="2479" customFormat="1" x14ac:dyDescent="0.2">
      <c r="B30" s="410"/>
      <c r="C30" s="424">
        <v>4</v>
      </c>
      <c r="D30" s="412"/>
      <c r="E30" s="412"/>
      <c r="F30" s="412">
        <f t="shared" si="2"/>
        <v>0.86</v>
      </c>
      <c r="G30" s="412">
        <f t="shared" si="2"/>
        <v>0.86</v>
      </c>
      <c r="H30" s="412">
        <f t="shared" si="2"/>
        <v>0.86</v>
      </c>
      <c r="I30" s="412">
        <f t="shared" si="2"/>
        <v>0.86</v>
      </c>
      <c r="J30" s="412">
        <f>8.8552*Unit.GW</f>
        <v>8.8552</v>
      </c>
      <c r="K30" s="412">
        <f>11.454*Unit.GW</f>
        <v>11.454000000000001</v>
      </c>
      <c r="L30" s="412">
        <f>11.454*Unit.GW</f>
        <v>11.454000000000001</v>
      </c>
      <c r="M30" s="412">
        <f>11.454*Unit.GW</f>
        <v>11.454000000000001</v>
      </c>
      <c r="N30" s="413">
        <f>11.454*Unit.GW</f>
        <v>11.454000000000001</v>
      </c>
    </row>
    <row r="31" spans="1:14" s="2479" customFormat="1" x14ac:dyDescent="0.2">
      <c r="B31" s="410"/>
      <c r="C31" s="2612" t="s">
        <v>582</v>
      </c>
      <c r="D31" s="2613"/>
      <c r="E31" s="2613"/>
      <c r="F31" s="2613">
        <f>(INDEX(F27:F30,ROUNDDOWN($E$7,0))*(1-MOD($E$7,1)))+(INDEX(F27:F30,ROUNDUP($E$7,0))*MOD($E$7,1))</f>
        <v>0.86</v>
      </c>
      <c r="G31" s="2613">
        <f t="shared" ref="G31:N31" si="3">(INDEX(G27:G30,ROUNDDOWN($E$7,0))*(1-MOD($E$7,1)))+(INDEX(G27:G30,ROUNDUP($E$7,0))*MOD($E$7,1))</f>
        <v>0.86</v>
      </c>
      <c r="H31" s="2613">
        <f t="shared" si="3"/>
        <v>0.86</v>
      </c>
      <c r="I31" s="2613">
        <f t="shared" si="3"/>
        <v>0.86</v>
      </c>
      <c r="J31" s="2613">
        <f t="shared" si="3"/>
        <v>8.8552</v>
      </c>
      <c r="K31" s="2613">
        <f t="shared" si="3"/>
        <v>11.454000000000001</v>
      </c>
      <c r="L31" s="2613">
        <f t="shared" si="3"/>
        <v>11.454000000000001</v>
      </c>
      <c r="M31" s="2613">
        <f t="shared" si="3"/>
        <v>11.454000000000001</v>
      </c>
      <c r="N31" s="2613">
        <f t="shared" si="3"/>
        <v>11.454000000000001</v>
      </c>
    </row>
    <row r="32" spans="1:14" s="1483" customFormat="1" ht="15.75" x14ac:dyDescent="0.2">
      <c r="A32" s="1243"/>
      <c r="B32" s="1244"/>
      <c r="C32" s="424"/>
      <c r="D32" s="412"/>
      <c r="E32" s="412"/>
      <c r="F32" s="412"/>
      <c r="G32" s="412"/>
      <c r="H32" s="412"/>
      <c r="I32" s="412"/>
      <c r="J32" s="412"/>
      <c r="K32" s="412"/>
      <c r="L32" s="412"/>
      <c r="M32" s="412"/>
      <c r="N32" s="413"/>
    </row>
    <row r="33" spans="1:14" s="1483" customFormat="1" ht="5.25" customHeight="1" x14ac:dyDescent="0.2">
      <c r="A33" s="1243"/>
      <c r="B33" s="1244"/>
      <c r="C33" s="424"/>
      <c r="D33" s="412"/>
      <c r="E33" s="412"/>
      <c r="F33" s="412"/>
      <c r="G33" s="412"/>
      <c r="H33" s="412"/>
      <c r="I33" s="412"/>
      <c r="J33" s="412"/>
      <c r="K33" s="412"/>
      <c r="L33" s="412"/>
      <c r="M33" s="412"/>
      <c r="N33" s="413"/>
    </row>
    <row r="34" spans="1:14" s="1483" customFormat="1" ht="15.75" x14ac:dyDescent="0.2">
      <c r="A34" s="1243"/>
      <c r="B34" s="1244"/>
      <c r="C34" s="424"/>
      <c r="D34" s="412"/>
      <c r="E34" s="412"/>
      <c r="F34" s="412"/>
      <c r="G34" s="412"/>
      <c r="H34" s="412"/>
      <c r="I34" s="412"/>
      <c r="J34" s="412"/>
      <c r="K34" s="412"/>
      <c r="L34" s="412"/>
      <c r="M34" s="412"/>
      <c r="N34" s="413"/>
    </row>
    <row r="35" spans="1:14" s="1483" customFormat="1" ht="15.75" x14ac:dyDescent="0.2">
      <c r="A35" s="1243"/>
      <c r="B35" s="1244"/>
      <c r="C35" s="1011" t="s">
        <v>1595</v>
      </c>
      <c r="D35" s="1009"/>
      <c r="E35" s="426"/>
      <c r="F35" s="500"/>
      <c r="G35" s="500"/>
      <c r="H35" s="500"/>
      <c r="I35" s="500"/>
      <c r="J35" s="500"/>
      <c r="K35" s="500"/>
      <c r="L35" s="500"/>
      <c r="M35" s="1012" t="s">
        <v>1594</v>
      </c>
      <c r="N35" s="1012" t="str">
        <f>Preferences.PowerUnits&amp;"e"</f>
        <v>GWe</v>
      </c>
    </row>
    <row r="36" spans="1:14" s="1483" customFormat="1" x14ac:dyDescent="0.2">
      <c r="B36" s="412"/>
      <c r="C36" s="1011"/>
      <c r="D36" s="1009"/>
      <c r="E36" s="426"/>
      <c r="F36" s="500"/>
      <c r="G36" s="500"/>
      <c r="H36" s="500"/>
      <c r="I36" s="500"/>
      <c r="J36" s="500"/>
      <c r="K36" s="500"/>
      <c r="L36" s="500"/>
      <c r="M36" s="500"/>
      <c r="N36" s="500"/>
    </row>
    <row r="37" spans="1:14" s="1483" customFormat="1" x14ac:dyDescent="0.2">
      <c r="B37" s="412"/>
      <c r="C37" s="589"/>
      <c r="D37" s="589" t="s">
        <v>65</v>
      </c>
      <c r="E37" s="589" t="s">
        <v>172</v>
      </c>
      <c r="F37" s="1014">
        <v>2010</v>
      </c>
      <c r="G37" s="1013">
        <v>2015</v>
      </c>
      <c r="H37" s="1013">
        <v>2020</v>
      </c>
      <c r="I37" s="1013">
        <v>2025</v>
      </c>
      <c r="J37" s="1013">
        <v>2030</v>
      </c>
      <c r="K37" s="1013">
        <v>2035</v>
      </c>
      <c r="L37" s="1013">
        <v>2040</v>
      </c>
      <c r="M37" s="1013">
        <v>2045</v>
      </c>
      <c r="N37" s="1013">
        <v>2050</v>
      </c>
    </row>
    <row r="38" spans="1:14" x14ac:dyDescent="0.2">
      <c r="C38" s="238" t="s">
        <v>1595</v>
      </c>
      <c r="D38" s="238" t="s">
        <v>1596</v>
      </c>
      <c r="E38" s="238"/>
      <c r="F38" s="1490">
        <f>F31</f>
        <v>0.86</v>
      </c>
      <c r="G38" s="1490">
        <f t="shared" ref="G38:N38" si="4">G31</f>
        <v>0.86</v>
      </c>
      <c r="H38" s="1490">
        <f t="shared" si="4"/>
        <v>0.86</v>
      </c>
      <c r="I38" s="1490">
        <f t="shared" si="4"/>
        <v>0.86</v>
      </c>
      <c r="J38" s="1490">
        <f t="shared" si="4"/>
        <v>8.8552</v>
      </c>
      <c r="K38" s="1490">
        <f t="shared" si="4"/>
        <v>11.454000000000001</v>
      </c>
      <c r="L38" s="1490">
        <f t="shared" si="4"/>
        <v>11.454000000000001</v>
      </c>
      <c r="M38" s="1490">
        <f t="shared" si="4"/>
        <v>11.454000000000001</v>
      </c>
      <c r="N38" s="1490">
        <f t="shared" si="4"/>
        <v>11.454000000000001</v>
      </c>
    </row>
    <row r="39" spans="1:14" ht="27.75" customHeight="1" collapsed="1" x14ac:dyDescent="0.3">
      <c r="A39" s="409"/>
      <c r="C39" s="412"/>
      <c r="D39" s="412"/>
      <c r="E39" s="412"/>
      <c r="F39" s="412"/>
      <c r="G39" s="412"/>
      <c r="H39" s="412"/>
      <c r="I39" s="412"/>
      <c r="J39" s="412"/>
      <c r="K39" s="412"/>
      <c r="L39" s="412"/>
      <c r="M39" s="413"/>
      <c r="N39" s="1485"/>
    </row>
    <row r="40" spans="1:14" ht="15.75" x14ac:dyDescent="0.25">
      <c r="B40" s="475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</row>
    <row r="41" spans="1:14" ht="15.75" x14ac:dyDescent="0.2">
      <c r="B41" s="476"/>
      <c r="C41" s="175" t="s">
        <v>2415</v>
      </c>
      <c r="D41" s="173"/>
      <c r="E41" s="176"/>
      <c r="F41" s="173"/>
      <c r="G41" s="173"/>
      <c r="H41" s="173"/>
      <c r="I41" s="173"/>
      <c r="J41" s="173"/>
      <c r="K41" s="173"/>
      <c r="L41" s="173"/>
      <c r="M41" s="173"/>
      <c r="N41" s="1255" t="str">
        <f>Preferences.EnergyUnits</f>
        <v>TWh</v>
      </c>
    </row>
    <row r="42" spans="1:14" ht="15.75" x14ac:dyDescent="0.2">
      <c r="B42" s="476"/>
      <c r="C42" s="173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</row>
    <row r="43" spans="1:14" ht="15.75" x14ac:dyDescent="0.2">
      <c r="B43" s="476"/>
      <c r="C43" s="98" t="s">
        <v>595</v>
      </c>
      <c r="D43" s="98" t="s">
        <v>65</v>
      </c>
      <c r="E43" s="98"/>
      <c r="F43" s="218">
        <v>2010</v>
      </c>
      <c r="G43" s="217">
        <v>2015</v>
      </c>
      <c r="H43" s="217">
        <v>2020</v>
      </c>
      <c r="I43" s="217">
        <v>2025</v>
      </c>
      <c r="J43" s="217">
        <v>2030</v>
      </c>
      <c r="K43" s="217">
        <v>2035</v>
      </c>
      <c r="L43" s="217">
        <v>2040</v>
      </c>
      <c r="M43" s="217">
        <v>2045</v>
      </c>
      <c r="N43" s="217">
        <v>2050</v>
      </c>
    </row>
    <row r="44" spans="1:14" ht="15.75" x14ac:dyDescent="0.25">
      <c r="B44" s="475"/>
      <c r="C44" s="144">
        <v>1</v>
      </c>
      <c r="D44" s="145" t="s">
        <v>2416</v>
      </c>
      <c r="E44" s="146"/>
      <c r="F44" s="1055">
        <f t="shared" ref="F44:N44" si="5">0*Unit.TWh</f>
        <v>0</v>
      </c>
      <c r="G44" s="1055">
        <f t="shared" si="5"/>
        <v>0</v>
      </c>
      <c r="H44" s="1055">
        <f t="shared" si="5"/>
        <v>0</v>
      </c>
      <c r="I44" s="1055">
        <f t="shared" si="5"/>
        <v>0</v>
      </c>
      <c r="J44" s="1055">
        <f t="shared" si="5"/>
        <v>0</v>
      </c>
      <c r="K44" s="1055">
        <f t="shared" si="5"/>
        <v>0</v>
      </c>
      <c r="L44" s="1055">
        <f t="shared" si="5"/>
        <v>0</v>
      </c>
      <c r="M44" s="1055">
        <f t="shared" si="5"/>
        <v>0</v>
      </c>
      <c r="N44" s="1055">
        <f t="shared" si="5"/>
        <v>0</v>
      </c>
    </row>
    <row r="45" spans="1:14" ht="15.75" x14ac:dyDescent="0.25">
      <c r="B45" s="397"/>
      <c r="C45" s="144">
        <v>2</v>
      </c>
      <c r="D45" s="145" t="s">
        <v>2416</v>
      </c>
      <c r="E45" s="145"/>
      <c r="F45" s="1055">
        <f t="shared" ref="F45:I47" si="6">0*Unit.TWh</f>
        <v>0</v>
      </c>
      <c r="G45" s="1055">
        <f t="shared" si="6"/>
        <v>0</v>
      </c>
      <c r="H45" s="1055">
        <f t="shared" si="6"/>
        <v>0</v>
      </c>
      <c r="I45" s="1055">
        <f t="shared" si="6"/>
        <v>0</v>
      </c>
      <c r="J45" s="1055">
        <f>2.2776*Unit.TWh</f>
        <v>2.2776000000000001</v>
      </c>
      <c r="K45" s="1055">
        <f>4.5552*Unit.TWh</f>
        <v>4.5552000000000001</v>
      </c>
      <c r="L45" s="1055">
        <f>6.8328*Unit.TWh</f>
        <v>6.8327999999999998</v>
      </c>
      <c r="M45" s="1055">
        <f>9.1104*Unit.TWh</f>
        <v>9.1104000000000003</v>
      </c>
      <c r="N45" s="1055">
        <f>11.388*Unit.TWh</f>
        <v>11.388</v>
      </c>
    </row>
    <row r="46" spans="1:14" x14ac:dyDescent="0.2">
      <c r="B46" s="477"/>
      <c r="C46" s="144">
        <v>3</v>
      </c>
      <c r="D46" s="145" t="s">
        <v>2416</v>
      </c>
      <c r="E46" s="145"/>
      <c r="F46" s="1055">
        <f t="shared" si="6"/>
        <v>0</v>
      </c>
      <c r="G46" s="1055">
        <f t="shared" si="6"/>
        <v>0</v>
      </c>
      <c r="H46" s="1055">
        <f t="shared" si="6"/>
        <v>0</v>
      </c>
      <c r="I46" s="1055">
        <f t="shared" si="6"/>
        <v>0</v>
      </c>
      <c r="J46" s="1055">
        <f>7.008*Unit.TWh</f>
        <v>7.008</v>
      </c>
      <c r="K46" s="1055">
        <f>14.016*Unit.TWh</f>
        <v>14.016</v>
      </c>
      <c r="L46" s="1055">
        <f>21.024*Unit.TWh</f>
        <v>21.024000000000001</v>
      </c>
      <c r="M46" s="1055">
        <f>28.032*Unit.TWh</f>
        <v>28.032</v>
      </c>
      <c r="N46" s="1055">
        <f>35.04*Unit.TWh</f>
        <v>35.04</v>
      </c>
    </row>
    <row r="47" spans="1:14" x14ac:dyDescent="0.2">
      <c r="B47" s="477"/>
      <c r="C47" s="101">
        <v>4</v>
      </c>
      <c r="D47" s="102" t="s">
        <v>2416</v>
      </c>
      <c r="E47" s="102"/>
      <c r="F47" s="1055">
        <f t="shared" si="6"/>
        <v>0</v>
      </c>
      <c r="G47" s="1055">
        <f t="shared" si="6"/>
        <v>0</v>
      </c>
      <c r="H47" s="1055">
        <f t="shared" si="6"/>
        <v>0</v>
      </c>
      <c r="I47" s="1055">
        <f t="shared" si="6"/>
        <v>0</v>
      </c>
      <c r="J47" s="1056">
        <f>14.016*Unit.TWh</f>
        <v>14.016</v>
      </c>
      <c r="K47" s="1090">
        <f>28.032*Unit.TWh</f>
        <v>28.032</v>
      </c>
      <c r="L47" s="1056">
        <f>42.048*Unit.TWh</f>
        <v>42.048000000000002</v>
      </c>
      <c r="M47" s="1090">
        <f>56.064*Unit.TWh</f>
        <v>56.064</v>
      </c>
      <c r="N47" s="1056">
        <f>70.08*Unit.TWh</f>
        <v>70.08</v>
      </c>
    </row>
    <row r="48" spans="1:14" x14ac:dyDescent="0.2">
      <c r="B48" s="477"/>
      <c r="C48" s="1386" t="s">
        <v>582</v>
      </c>
      <c r="D48" s="1387"/>
      <c r="E48" s="1387"/>
      <c r="F48" s="1408">
        <f t="shared" ref="F48:N48" si="7">(INDEX(F$44:F$47,ROUNDDOWN($E$7,0))*(1-MOD($E$7,1)))+(INDEX(F$44:F$47,ROUNDUP($E$7,0))*MOD($E$7,1))</f>
        <v>0</v>
      </c>
      <c r="G48" s="1388">
        <f t="shared" si="7"/>
        <v>0</v>
      </c>
      <c r="H48" s="1388">
        <f t="shared" si="7"/>
        <v>0</v>
      </c>
      <c r="I48" s="1388">
        <f t="shared" si="7"/>
        <v>0</v>
      </c>
      <c r="J48" s="1506">
        <f t="shared" si="7"/>
        <v>14.016</v>
      </c>
      <c r="K48" s="1506">
        <f t="shared" si="7"/>
        <v>28.032</v>
      </c>
      <c r="L48" s="1506">
        <f t="shared" si="7"/>
        <v>42.048000000000002</v>
      </c>
      <c r="M48" s="1506">
        <f t="shared" si="7"/>
        <v>56.064</v>
      </c>
      <c r="N48" s="1506">
        <f t="shared" si="7"/>
        <v>70.08</v>
      </c>
    </row>
    <row r="49" spans="2:14" x14ac:dyDescent="0.2">
      <c r="B49" s="477"/>
      <c r="C49" s="173"/>
      <c r="D49" s="177"/>
      <c r="E49" s="173"/>
      <c r="F49" s="173"/>
      <c r="G49" s="173"/>
      <c r="H49" s="173"/>
      <c r="I49" s="173"/>
      <c r="J49" s="173"/>
      <c r="K49" s="173"/>
      <c r="L49" s="173"/>
      <c r="M49" s="173"/>
      <c r="N49" s="173"/>
    </row>
    <row r="50" spans="2:14" s="2479" customFormat="1" x14ac:dyDescent="0.2">
      <c r="B50" s="477"/>
      <c r="C50" s="1416"/>
      <c r="D50" s="177"/>
      <c r="E50" s="1416"/>
      <c r="F50" s="1416"/>
      <c r="G50" s="1416"/>
      <c r="H50" s="1416"/>
      <c r="I50" s="1416"/>
      <c r="J50" s="1416"/>
      <c r="K50" s="1416"/>
      <c r="L50" s="1416"/>
      <c r="M50" s="1416"/>
      <c r="N50" s="1416"/>
    </row>
    <row r="51" spans="2:14" s="2479" customFormat="1" x14ac:dyDescent="0.2">
      <c r="B51" s="477"/>
      <c r="C51" s="1416"/>
      <c r="D51" s="177"/>
      <c r="E51" s="1416"/>
      <c r="F51" s="1416"/>
      <c r="G51" s="1416"/>
      <c r="H51" s="1416"/>
      <c r="I51" s="1416"/>
      <c r="J51" s="1416"/>
      <c r="K51" s="1416"/>
      <c r="L51" s="1416"/>
      <c r="M51" s="1416"/>
      <c r="N51" s="1416"/>
    </row>
    <row r="52" spans="2:14" x14ac:dyDescent="0.2">
      <c r="B52" s="395"/>
      <c r="C52" s="173"/>
      <c r="D52" s="177"/>
      <c r="E52" s="173"/>
      <c r="F52" s="173"/>
      <c r="G52" s="173"/>
      <c r="H52" s="173"/>
      <c r="I52" s="173"/>
      <c r="J52" s="173"/>
      <c r="K52" s="173"/>
      <c r="L52" s="173"/>
      <c r="M52" s="173"/>
      <c r="N52" s="173"/>
    </row>
    <row r="53" spans="2:14" x14ac:dyDescent="0.2">
      <c r="B53" s="395"/>
    </row>
    <row r="54" spans="2:14" ht="15.75" x14ac:dyDescent="0.2">
      <c r="B54" s="472" t="s">
        <v>315</v>
      </c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</row>
    <row r="55" spans="2:14" ht="15.75" x14ac:dyDescent="0.25">
      <c r="B55" s="397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</row>
    <row r="56" spans="2:14" s="84" customFormat="1" ht="15.75" x14ac:dyDescent="0.2">
      <c r="B56" s="399"/>
      <c r="C56" s="175" t="s">
        <v>37</v>
      </c>
      <c r="D56" s="173"/>
      <c r="E56" s="176"/>
      <c r="F56" s="173"/>
      <c r="G56" s="173"/>
      <c r="H56" s="173"/>
      <c r="I56" s="173"/>
      <c r="J56" s="173"/>
      <c r="K56" s="173"/>
      <c r="L56" s="173"/>
      <c r="M56" s="173"/>
      <c r="N56" s="1255" t="str">
        <f>Preferences.EnergyUnits</f>
        <v>TWh</v>
      </c>
    </row>
    <row r="57" spans="2:14" x14ac:dyDescent="0.2">
      <c r="B57" s="401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</row>
    <row r="58" spans="2:14" ht="15.75" x14ac:dyDescent="0.25">
      <c r="B58" s="397"/>
      <c r="C58" s="98" t="s">
        <v>64</v>
      </c>
      <c r="D58" s="98" t="s">
        <v>150</v>
      </c>
      <c r="E58" s="98" t="s">
        <v>172</v>
      </c>
      <c r="F58" s="218">
        <v>2010</v>
      </c>
      <c r="G58" s="217">
        <v>2015</v>
      </c>
      <c r="H58" s="217">
        <v>2020</v>
      </c>
      <c r="I58" s="217">
        <v>2025</v>
      </c>
      <c r="J58" s="217">
        <v>2030</v>
      </c>
      <c r="K58" s="217">
        <v>2035</v>
      </c>
      <c r="L58" s="217">
        <v>2040</v>
      </c>
      <c r="M58" s="217">
        <v>2045</v>
      </c>
      <c r="N58" s="217">
        <v>2050</v>
      </c>
    </row>
    <row r="59" spans="2:14" ht="15.75" x14ac:dyDescent="0.25">
      <c r="B59" s="397"/>
      <c r="C59" s="124" t="s">
        <v>35</v>
      </c>
      <c r="D59" s="124" t="str">
        <f>INDEX(Vectors[Description], MATCH($C59, Vectors[Code], 0))</f>
        <v>Electricity (supplied to grid)</v>
      </c>
      <c r="E59" s="124" t="s">
        <v>93</v>
      </c>
      <c r="F59" s="2571">
        <f t="shared" ref="F59:N59" si="8">F$48*(100%-$F$65)</f>
        <v>0</v>
      </c>
      <c r="G59" s="2571">
        <f t="shared" si="8"/>
        <v>0</v>
      </c>
      <c r="H59" s="2571">
        <f t="shared" si="8"/>
        <v>0</v>
      </c>
      <c r="I59" s="2571">
        <f t="shared" si="8"/>
        <v>0</v>
      </c>
      <c r="J59" s="2571">
        <f t="shared" si="8"/>
        <v>12.6144</v>
      </c>
      <c r="K59" s="2571">
        <f t="shared" si="8"/>
        <v>25.2288</v>
      </c>
      <c r="L59" s="2571">
        <f t="shared" si="8"/>
        <v>37.843200000000003</v>
      </c>
      <c r="M59" s="2571">
        <f t="shared" si="8"/>
        <v>50.457599999999999</v>
      </c>
      <c r="N59" s="2571">
        <f t="shared" si="8"/>
        <v>63.072000000000003</v>
      </c>
    </row>
    <row r="60" spans="2:14" ht="15.75" x14ac:dyDescent="0.25">
      <c r="B60" s="397"/>
      <c r="C60" s="173"/>
      <c r="D60" s="177"/>
      <c r="E60" s="173"/>
      <c r="F60" s="173"/>
      <c r="G60" s="173"/>
      <c r="H60" s="173"/>
      <c r="I60" s="173"/>
      <c r="J60" s="173"/>
      <c r="K60" s="173"/>
      <c r="L60" s="173"/>
      <c r="M60" s="173"/>
      <c r="N60" s="173"/>
    </row>
    <row r="61" spans="2:14" ht="15.75" x14ac:dyDescent="0.25">
      <c r="B61" s="397"/>
      <c r="C61" s="175" t="s">
        <v>1273</v>
      </c>
      <c r="D61" s="173"/>
      <c r="E61" s="173"/>
      <c r="F61" s="176"/>
      <c r="G61" s="173"/>
      <c r="H61" s="173"/>
      <c r="I61" s="173"/>
      <c r="J61" s="173"/>
      <c r="K61" s="173"/>
      <c r="L61" s="173"/>
      <c r="M61" s="173"/>
      <c r="N61" s="173"/>
    </row>
    <row r="62" spans="2:14" ht="15.75" x14ac:dyDescent="0.25">
      <c r="B62" s="397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</row>
    <row r="63" spans="2:14" ht="15.75" x14ac:dyDescent="0.25">
      <c r="B63" s="397"/>
      <c r="C63" s="98"/>
      <c r="D63" s="98"/>
      <c r="E63" s="98"/>
      <c r="F63" s="217"/>
      <c r="G63" s="1261" t="s">
        <v>71</v>
      </c>
      <c r="H63" s="1261"/>
      <c r="I63" s="173"/>
      <c r="J63" s="523"/>
      <c r="K63" s="523"/>
      <c r="L63" s="523"/>
      <c r="M63" s="523"/>
      <c r="N63" s="523"/>
    </row>
    <row r="64" spans="2:14" s="1932" customFormat="1" ht="15.75" x14ac:dyDescent="0.25">
      <c r="B64" s="397"/>
      <c r="C64" s="106"/>
      <c r="D64" s="107" t="s">
        <v>1287</v>
      </c>
      <c r="E64" s="146" t="s">
        <v>100</v>
      </c>
      <c r="F64" s="1274">
        <v>0.9</v>
      </c>
      <c r="G64" s="953"/>
      <c r="H64" s="953"/>
      <c r="I64" s="173"/>
      <c r="J64" s="523"/>
      <c r="K64" s="523"/>
      <c r="L64" s="523"/>
      <c r="M64" s="523"/>
      <c r="N64" s="523"/>
    </row>
    <row r="65" spans="1:16" s="1932" customFormat="1" ht="15.75" x14ac:dyDescent="0.25">
      <c r="B65" s="397"/>
      <c r="C65" s="106"/>
      <c r="D65" s="107" t="s">
        <v>1289</v>
      </c>
      <c r="E65" s="145" t="s">
        <v>101</v>
      </c>
      <c r="F65" s="1274">
        <v>0.1</v>
      </c>
      <c r="G65" s="953"/>
      <c r="H65" s="953"/>
      <c r="I65" s="173"/>
      <c r="J65" s="523"/>
      <c r="K65" s="523"/>
      <c r="L65" s="523"/>
      <c r="M65" s="523"/>
      <c r="N65" s="523"/>
    </row>
    <row r="66" spans="1:16" x14ac:dyDescent="0.2">
      <c r="B66" s="401"/>
      <c r="C66" s="1414"/>
      <c r="D66" s="1415"/>
      <c r="E66" s="1415"/>
      <c r="F66" s="160"/>
      <c r="G66" s="760"/>
      <c r="H66" s="760"/>
      <c r="I66" s="1416"/>
      <c r="J66" s="208"/>
      <c r="K66" s="208"/>
      <c r="L66" s="208"/>
      <c r="M66" s="208"/>
      <c r="N66" s="208"/>
    </row>
    <row r="67" spans="1:16" x14ac:dyDescent="0.2">
      <c r="B67" s="401"/>
      <c r="C67" s="1541" t="s">
        <v>1883</v>
      </c>
      <c r="D67" s="1580"/>
      <c r="E67" s="1956">
        <v>30</v>
      </c>
      <c r="F67" s="1580" t="s">
        <v>1467</v>
      </c>
      <c r="G67" s="1878"/>
      <c r="H67" s="1878"/>
      <c r="I67" s="1416"/>
      <c r="J67" s="208"/>
      <c r="K67" s="208"/>
      <c r="L67" s="208"/>
      <c r="M67" s="208"/>
      <c r="N67" s="208"/>
    </row>
    <row r="68" spans="1:16" s="81" customFormat="1" x14ac:dyDescent="0.2">
      <c r="B68" s="462"/>
      <c r="C68" s="173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</row>
    <row r="69" spans="1:16" s="81" customFormat="1" x14ac:dyDescent="0.2">
      <c r="B69" s="462"/>
      <c r="C69" s="173"/>
      <c r="D69" s="177"/>
      <c r="E69" s="173"/>
      <c r="F69" s="173"/>
      <c r="G69" s="173"/>
      <c r="H69" s="173"/>
      <c r="I69" s="173"/>
      <c r="J69" s="173"/>
      <c r="K69" s="173"/>
      <c r="L69" s="173"/>
      <c r="M69" s="173"/>
      <c r="N69" s="173"/>
    </row>
    <row r="70" spans="1:16" s="81" customFormat="1" x14ac:dyDescent="0.2">
      <c r="B70" s="462"/>
      <c r="C70" s="1291" t="s">
        <v>213</v>
      </c>
      <c r="D70" s="2623"/>
      <c r="E70" s="1291"/>
      <c r="F70" s="1291"/>
      <c r="G70" s="1291"/>
      <c r="H70" s="1291"/>
      <c r="I70" s="173"/>
      <c r="J70" s="173"/>
      <c r="K70" s="173"/>
      <c r="L70" s="173"/>
      <c r="M70" s="173"/>
      <c r="N70" s="173"/>
    </row>
    <row r="71" spans="1:16" s="81" customFormat="1" x14ac:dyDescent="0.2">
      <c r="B71" s="462"/>
      <c r="C71" s="2624" t="s">
        <v>93</v>
      </c>
      <c r="D71" s="2623"/>
      <c r="E71" s="2625"/>
      <c r="F71" s="2625"/>
      <c r="G71" s="2625"/>
      <c r="H71" s="2625"/>
      <c r="I71" s="465"/>
      <c r="J71" s="465"/>
      <c r="K71" s="465"/>
      <c r="L71" s="465"/>
      <c r="M71" s="465"/>
      <c r="N71" s="465"/>
    </row>
    <row r="72" spans="1:16" x14ac:dyDescent="0.2">
      <c r="B72" s="402"/>
      <c r="C72" s="2624" t="s">
        <v>100</v>
      </c>
      <c r="D72" s="2623"/>
      <c r="E72" s="2625"/>
      <c r="F72" s="2625"/>
      <c r="G72" s="2625"/>
      <c r="H72" s="2625"/>
      <c r="I72" s="465"/>
      <c r="J72" s="465"/>
      <c r="K72" s="465"/>
      <c r="L72" s="465"/>
      <c r="M72" s="465"/>
      <c r="N72" s="465"/>
    </row>
    <row r="73" spans="1:16" s="1449" customFormat="1" x14ac:dyDescent="0.2">
      <c r="B73" s="37"/>
      <c r="C73" s="2624" t="s">
        <v>101</v>
      </c>
      <c r="D73" s="2623"/>
      <c r="E73" s="2625"/>
      <c r="F73" s="2625"/>
      <c r="G73" s="2625"/>
      <c r="H73" s="2625"/>
      <c r="I73" s="465"/>
      <c r="J73" s="465"/>
      <c r="K73" s="465"/>
      <c r="L73" s="465"/>
      <c r="M73" s="465"/>
      <c r="N73" s="465"/>
    </row>
    <row r="74" spans="1:16" s="1449" customFormat="1" ht="22.5" customHeight="1" x14ac:dyDescent="0.2">
      <c r="C74" s="176" t="s">
        <v>171</v>
      </c>
      <c r="D74" s="177"/>
      <c r="E74" s="465"/>
      <c r="F74" s="465"/>
      <c r="G74" s="465"/>
      <c r="H74" s="465"/>
      <c r="I74" s="465"/>
      <c r="J74" s="465"/>
      <c r="K74" s="465"/>
      <c r="L74" s="465"/>
      <c r="M74" s="465"/>
      <c r="N74" s="465"/>
      <c r="O74" s="588"/>
      <c r="P74" s="1859"/>
    </row>
    <row r="75" spans="1:16" s="1579" customFormat="1" x14ac:dyDescent="0.2">
      <c r="B75" s="473"/>
      <c r="C75" s="403"/>
      <c r="D75" s="403"/>
      <c r="E75" s="403"/>
      <c r="F75" s="403"/>
      <c r="G75" s="403"/>
      <c r="H75" s="403"/>
      <c r="I75" s="403"/>
      <c r="J75" s="403"/>
      <c r="K75" s="403"/>
      <c r="L75" s="403"/>
      <c r="M75" s="403"/>
      <c r="N75" s="403"/>
      <c r="P75" s="1959"/>
    </row>
    <row r="76" spans="1:16" s="84" customFormat="1" x14ac:dyDescent="0.2">
      <c r="A76" s="1579"/>
      <c r="B76" s="1419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1579"/>
      <c r="P76" s="1860"/>
    </row>
    <row r="77" spans="1:16" s="84" customFormat="1" ht="15.75" x14ac:dyDescent="0.2">
      <c r="A77" s="1579"/>
      <c r="B77" s="1423" t="s">
        <v>1417</v>
      </c>
      <c r="C77" s="405"/>
      <c r="D77" s="405"/>
      <c r="E77" s="405"/>
      <c r="F77" s="405"/>
      <c r="G77" s="405"/>
      <c r="H77" s="405"/>
      <c r="I77" s="405"/>
      <c r="J77" s="405"/>
      <c r="K77" s="405"/>
      <c r="L77" s="405"/>
      <c r="M77" s="405"/>
      <c r="N77" s="405"/>
      <c r="O77" s="1860"/>
    </row>
    <row r="78" spans="1:16" s="84" customFormat="1" x14ac:dyDescent="0.2">
      <c r="A78" s="1579"/>
      <c r="B78" s="1419"/>
      <c r="C78" s="458"/>
      <c r="D78" s="458"/>
      <c r="E78" s="458"/>
      <c r="F78" s="458"/>
      <c r="G78" s="458"/>
      <c r="H78" s="458"/>
      <c r="I78" s="458"/>
      <c r="J78" s="458"/>
      <c r="K78" s="458"/>
      <c r="L78" s="458"/>
      <c r="M78" s="458"/>
      <c r="N78" s="458"/>
      <c r="O78" s="1860"/>
    </row>
    <row r="79" spans="1:16" s="84" customFormat="1" ht="15.75" customHeight="1" x14ac:dyDescent="0.2">
      <c r="A79" s="1579"/>
      <c r="B79" s="1419"/>
      <c r="C79" s="1417" t="str">
        <f>"Capital cost of Desertec per "&amp;Preferences.EnergyUnits&amp;""</f>
        <v>Capital cost of Desertec per TWh</v>
      </c>
      <c r="D79" s="107"/>
      <c r="E79" s="1081"/>
      <c r="F79" s="1055"/>
      <c r="G79" s="760"/>
      <c r="H79" s="760"/>
      <c r="I79" s="760"/>
      <c r="J79" s="760"/>
      <c r="K79" s="760"/>
      <c r="L79" s="760"/>
      <c r="M79" s="760"/>
      <c r="N79" s="1255" t="str">
        <f>Preferences.moneyunits&amp;"/"&amp;Preferences.EnergyUnits</f>
        <v>N/TWh</v>
      </c>
      <c r="O79" s="1860"/>
    </row>
    <row r="80" spans="1:16" s="84" customFormat="1" ht="15.75" customHeight="1" x14ac:dyDescent="0.2">
      <c r="A80" s="1579"/>
      <c r="B80" s="1419"/>
      <c r="C80" s="1848"/>
      <c r="D80" s="107"/>
      <c r="E80" s="1081"/>
      <c r="F80" s="1055"/>
      <c r="G80" s="760"/>
      <c r="H80" s="760"/>
      <c r="I80" s="760"/>
      <c r="J80" s="760"/>
      <c r="K80" s="760"/>
      <c r="L80" s="760"/>
      <c r="M80" s="760"/>
      <c r="N80" s="1416"/>
      <c r="O80" s="1860"/>
    </row>
    <row r="81" spans="2:16" s="1449" customFormat="1" ht="15" customHeight="1" x14ac:dyDescent="0.2">
      <c r="B81" s="1419"/>
      <c r="C81" s="1406"/>
      <c r="D81" s="1519"/>
      <c r="E81" s="1567" t="s">
        <v>1321</v>
      </c>
      <c r="F81" s="1948">
        <v>2010</v>
      </c>
      <c r="G81" s="1845">
        <v>2015</v>
      </c>
      <c r="H81" s="1845">
        <v>2020</v>
      </c>
      <c r="I81" s="1845">
        <v>2025</v>
      </c>
      <c r="J81" s="1845">
        <v>2030</v>
      </c>
      <c r="K81" s="1845">
        <v>2035</v>
      </c>
      <c r="L81" s="1845">
        <v>2040</v>
      </c>
      <c r="M81" s="1845">
        <v>2045</v>
      </c>
      <c r="N81" s="1845">
        <v>2050</v>
      </c>
      <c r="O81" s="1347"/>
    </row>
    <row r="82" spans="2:16" s="1483" customFormat="1" ht="15" customHeight="1" x14ac:dyDescent="0.2">
      <c r="B82" s="1419"/>
      <c r="C82" s="606" t="s">
        <v>1871</v>
      </c>
      <c r="D82" s="1519"/>
      <c r="E82" s="1847">
        <f>(N83-F82)/(N$81-F$81)</f>
        <v>-857187500</v>
      </c>
      <c r="F82" s="1272">
        <f>250*1000000*755*NAIRA2010_/Unit.TWh</f>
        <v>188750000000</v>
      </c>
      <c r="G82" s="1852">
        <f t="shared" ref="G82:M83" si="9">($E82*(G$81-F$81))+F82</f>
        <v>184464062500</v>
      </c>
      <c r="H82" s="1852">
        <f t="shared" si="9"/>
        <v>180178125000</v>
      </c>
      <c r="I82" s="1852">
        <f t="shared" si="9"/>
        <v>175892187500</v>
      </c>
      <c r="J82" s="1852">
        <f t="shared" si="9"/>
        <v>171606250000</v>
      </c>
      <c r="K82" s="1852">
        <f t="shared" si="9"/>
        <v>167320312500</v>
      </c>
      <c r="L82" s="1852">
        <f t="shared" si="9"/>
        <v>163034375000</v>
      </c>
      <c r="M82" s="1852">
        <f t="shared" si="9"/>
        <v>158748437500</v>
      </c>
      <c r="N82" s="1949">
        <f>250*1000000*755*NAIRA2010_/Unit.TWh</f>
        <v>188750000000</v>
      </c>
      <c r="O82" s="1347"/>
    </row>
    <row r="83" spans="2:16" s="1449" customFormat="1" ht="15" customHeight="1" x14ac:dyDescent="0.2">
      <c r="B83" s="1419"/>
      <c r="C83" s="606" t="s">
        <v>1872</v>
      </c>
      <c r="D83" s="107"/>
      <c r="E83" s="188">
        <f>(N83-F83)/(N$81-F$81)</f>
        <v>0</v>
      </c>
      <c r="F83" s="1922">
        <f>(F84+((F82-F84)*0.35))</f>
        <v>154462500000</v>
      </c>
      <c r="G83" s="1849">
        <f t="shared" si="9"/>
        <v>154462500000</v>
      </c>
      <c r="H83" s="1849">
        <f t="shared" si="9"/>
        <v>154462500000</v>
      </c>
      <c r="I83" s="1849">
        <f t="shared" si="9"/>
        <v>154462500000</v>
      </c>
      <c r="J83" s="1849">
        <f t="shared" si="9"/>
        <v>154462500000</v>
      </c>
      <c r="K83" s="1849">
        <f t="shared" si="9"/>
        <v>154462500000</v>
      </c>
      <c r="L83" s="1849">
        <f t="shared" si="9"/>
        <v>154462500000</v>
      </c>
      <c r="M83" s="1849">
        <f>($E83*(M$81-L$81))+L83</f>
        <v>154462500000</v>
      </c>
      <c r="N83" s="1922">
        <f>(N84+((N82-N84)*0.35))</f>
        <v>154462500000</v>
      </c>
      <c r="O83" s="1347"/>
    </row>
    <row r="84" spans="2:16" s="1449" customFormat="1" ht="15" customHeight="1" x14ac:dyDescent="0.2">
      <c r="B84" s="1419"/>
      <c r="C84" s="1731" t="s">
        <v>1873</v>
      </c>
      <c r="D84" s="189"/>
      <c r="E84" s="191">
        <f>(N84-F84)/(N$81-F$81)</f>
        <v>0</v>
      </c>
      <c r="F84" s="686">
        <f>250*1000000*544*NAIRA2010_/Unit.TWh</f>
        <v>136000000000</v>
      </c>
      <c r="G84" s="1850">
        <f t="shared" ref="G84:M84" si="10">($E84*(G$81-F$81))+F84</f>
        <v>136000000000</v>
      </c>
      <c r="H84" s="1850">
        <f t="shared" si="10"/>
        <v>136000000000</v>
      </c>
      <c r="I84" s="1850">
        <f t="shared" si="10"/>
        <v>136000000000</v>
      </c>
      <c r="J84" s="1850">
        <f t="shared" si="10"/>
        <v>136000000000</v>
      </c>
      <c r="K84" s="1850">
        <f t="shared" si="10"/>
        <v>136000000000</v>
      </c>
      <c r="L84" s="1850">
        <f t="shared" si="10"/>
        <v>136000000000</v>
      </c>
      <c r="M84" s="1850">
        <f t="shared" si="10"/>
        <v>136000000000</v>
      </c>
      <c r="N84" s="1273">
        <f>250*1000000*544*NAIRA2010_/Unit.TWh</f>
        <v>136000000000</v>
      </c>
      <c r="O84" s="1347"/>
    </row>
    <row r="85" spans="2:16" s="1449" customFormat="1" ht="15" customHeight="1" x14ac:dyDescent="0.2">
      <c r="B85" s="1419"/>
      <c r="C85" s="1848"/>
      <c r="D85" s="107"/>
      <c r="E85" s="1081"/>
      <c r="F85" s="1947"/>
      <c r="G85" s="760"/>
      <c r="H85" s="760"/>
      <c r="I85" s="760"/>
      <c r="J85" s="760"/>
      <c r="K85" s="760"/>
      <c r="L85" s="760"/>
      <c r="M85" s="760"/>
      <c r="N85" s="1416"/>
      <c r="O85" s="1347"/>
    </row>
    <row r="86" spans="2:16" s="1449" customFormat="1" ht="15" customHeight="1" x14ac:dyDescent="0.2">
      <c r="B86" s="1419"/>
      <c r="C86" s="1417" t="str">
        <f>"Operating cost of Desertec per "&amp;Preferences.EnergyUnits&amp;""</f>
        <v>Operating cost of Desertec per TWh</v>
      </c>
      <c r="D86" s="107"/>
      <c r="E86" s="1081"/>
      <c r="F86" s="1947"/>
      <c r="G86" s="760"/>
      <c r="H86" s="760"/>
      <c r="I86" s="760"/>
      <c r="J86" s="760"/>
      <c r="K86" s="760"/>
      <c r="L86" s="760"/>
      <c r="M86" s="760"/>
      <c r="N86" s="1255" t="str">
        <f>Preferences.moneyunits&amp;"/"&amp;Preferences.EnergyUnits</f>
        <v>N/TWh</v>
      </c>
      <c r="O86" s="1347"/>
    </row>
    <row r="87" spans="2:16" s="1449" customFormat="1" ht="15.75" customHeight="1" x14ac:dyDescent="0.2">
      <c r="B87" s="1419"/>
      <c r="C87" s="1848"/>
      <c r="D87" s="107"/>
      <c r="E87" s="1081"/>
      <c r="F87" s="1947"/>
      <c r="G87" s="760"/>
      <c r="H87" s="760"/>
      <c r="I87" s="760"/>
      <c r="J87" s="760"/>
      <c r="K87" s="760"/>
      <c r="L87" s="760"/>
      <c r="M87" s="760"/>
      <c r="N87" s="1416"/>
      <c r="O87" s="1347"/>
    </row>
    <row r="88" spans="2:16" s="1579" customFormat="1" ht="16.5" customHeight="1" x14ac:dyDescent="0.2">
      <c r="B88" s="1419"/>
      <c r="C88" s="1101"/>
      <c r="D88" s="1519"/>
      <c r="E88" s="1567" t="s">
        <v>1321</v>
      </c>
      <c r="F88" s="1948">
        <v>2010</v>
      </c>
      <c r="G88" s="1845">
        <v>2015</v>
      </c>
      <c r="H88" s="1845">
        <v>2020</v>
      </c>
      <c r="I88" s="1845">
        <v>2025</v>
      </c>
      <c r="J88" s="1845">
        <v>2030</v>
      </c>
      <c r="K88" s="1845">
        <v>2035</v>
      </c>
      <c r="L88" s="1845">
        <v>2040</v>
      </c>
      <c r="M88" s="1845">
        <v>2045</v>
      </c>
      <c r="N88" s="1845">
        <v>2050</v>
      </c>
      <c r="O88" s="1347"/>
    </row>
    <row r="89" spans="2:16" s="1932" customFormat="1" x14ac:dyDescent="0.2">
      <c r="B89" s="1416"/>
      <c r="C89" s="1846" t="s">
        <v>1871</v>
      </c>
      <c r="D89" s="1519"/>
      <c r="E89" s="1847">
        <f>(N89-F89)/(N$88-F$88)</f>
        <v>0</v>
      </c>
      <c r="F89" s="1272">
        <f>150%*0.298*(NAIRA2010_/Unit.GW)*250*1000000</f>
        <v>111749999.99999999</v>
      </c>
      <c r="G89" s="1566">
        <f t="shared" ref="G89:M90" si="11">($E89*(G$81-F$81))+F89</f>
        <v>111749999.99999999</v>
      </c>
      <c r="H89" s="1566">
        <f t="shared" si="11"/>
        <v>111749999.99999999</v>
      </c>
      <c r="I89" s="1566">
        <f t="shared" si="11"/>
        <v>111749999.99999999</v>
      </c>
      <c r="J89" s="1566">
        <f t="shared" si="11"/>
        <v>111749999.99999999</v>
      </c>
      <c r="K89" s="1566">
        <f t="shared" si="11"/>
        <v>111749999.99999999</v>
      </c>
      <c r="L89" s="1566">
        <f t="shared" si="11"/>
        <v>111749999.99999999</v>
      </c>
      <c r="M89" s="1566">
        <f t="shared" si="11"/>
        <v>111749999.99999999</v>
      </c>
      <c r="N89" s="1272">
        <f>150%*0.298*(NAIRA2010_/Unit.GW)*250*1000000</f>
        <v>111749999.99999999</v>
      </c>
      <c r="O89" s="1347"/>
    </row>
    <row r="90" spans="2:16" s="1579" customFormat="1" x14ac:dyDescent="0.2">
      <c r="B90" s="1416"/>
      <c r="C90" s="606" t="s">
        <v>1872</v>
      </c>
      <c r="D90" s="107"/>
      <c r="E90" s="188">
        <f>(N90-F90)/(N$88-F$88)</f>
        <v>0</v>
      </c>
      <c r="F90" s="1922">
        <f>(F91+((F89-F91)*0.35))</f>
        <v>63324999.999999993</v>
      </c>
      <c r="G90" s="1055">
        <f t="shared" si="11"/>
        <v>63324999.999999993</v>
      </c>
      <c r="H90" s="1055">
        <f t="shared" si="11"/>
        <v>63324999.999999993</v>
      </c>
      <c r="I90" s="1055">
        <f t="shared" si="11"/>
        <v>63324999.999999993</v>
      </c>
      <c r="J90" s="1055">
        <f t="shared" si="11"/>
        <v>63324999.999999993</v>
      </c>
      <c r="K90" s="1055">
        <f t="shared" si="11"/>
        <v>63324999.999999993</v>
      </c>
      <c r="L90" s="1055">
        <f t="shared" si="11"/>
        <v>63324999.999999993</v>
      </c>
      <c r="M90" s="1055">
        <f>($E90*(M$81-L$81))+L90</f>
        <v>63324999.999999993</v>
      </c>
      <c r="N90" s="1922">
        <f>(N91+((N89-N91)*0.35))</f>
        <v>63324999.999999993</v>
      </c>
      <c r="O90" s="1347"/>
    </row>
    <row r="91" spans="2:16" s="1449" customFormat="1" x14ac:dyDescent="0.2">
      <c r="B91" s="1936"/>
      <c r="C91" s="1731" t="s">
        <v>1873</v>
      </c>
      <c r="D91" s="189"/>
      <c r="E91" s="191">
        <f>(N91-F91)/(N$88-F$88)</f>
        <v>0</v>
      </c>
      <c r="F91" s="686">
        <f>50%*0.298*(NAIRA2010_/Unit.GW)*250*1000000</f>
        <v>37250000</v>
      </c>
      <c r="G91" s="1056">
        <f t="shared" ref="G91:M91" si="12">($E91*(G$81-F$81))+F91</f>
        <v>37250000</v>
      </c>
      <c r="H91" s="1056">
        <f t="shared" si="12"/>
        <v>37250000</v>
      </c>
      <c r="I91" s="1056">
        <f>($E91*(I$81-H$81))+H91</f>
        <v>37250000</v>
      </c>
      <c r="J91" s="1056">
        <f t="shared" si="12"/>
        <v>37250000</v>
      </c>
      <c r="K91" s="1056">
        <f t="shared" si="12"/>
        <v>37250000</v>
      </c>
      <c r="L91" s="1056">
        <f t="shared" si="12"/>
        <v>37250000</v>
      </c>
      <c r="M91" s="1056">
        <f t="shared" si="12"/>
        <v>37250000</v>
      </c>
      <c r="N91" s="686">
        <f>50%*0.298*(NAIRA2010_/Unit.GW)*250*1000000</f>
        <v>37250000</v>
      </c>
      <c r="O91" s="1347"/>
    </row>
    <row r="92" spans="2:16" s="1483" customFormat="1" x14ac:dyDescent="0.2">
      <c r="B92" s="1419"/>
      <c r="C92" s="606"/>
      <c r="D92" s="107"/>
      <c r="E92" s="188"/>
      <c r="F92" s="1557"/>
      <c r="G92" s="1557"/>
      <c r="H92" s="1055"/>
      <c r="I92" s="1055"/>
      <c r="J92" s="1055"/>
      <c r="K92" s="1055"/>
      <c r="L92" s="1055"/>
      <c r="M92" s="1055"/>
      <c r="N92" s="1055"/>
      <c r="O92" s="588"/>
      <c r="P92" s="1347"/>
    </row>
    <row r="93" spans="2:16" s="1483" customFormat="1" x14ac:dyDescent="0.2">
      <c r="B93" s="1419"/>
      <c r="C93" s="1414" t="s">
        <v>1731</v>
      </c>
      <c r="D93" s="1416"/>
      <c r="E93" s="760"/>
      <c r="F93" s="1416"/>
      <c r="G93" s="1416"/>
      <c r="H93" s="1416"/>
      <c r="I93" s="1416"/>
      <c r="J93" s="1488"/>
      <c r="K93" s="1488"/>
      <c r="L93" s="1416"/>
      <c r="M93" s="1416"/>
      <c r="N93" s="1416"/>
      <c r="O93" s="588"/>
      <c r="P93" s="1347"/>
    </row>
    <row r="94" spans="2:16" s="1483" customFormat="1" x14ac:dyDescent="0.2">
      <c r="B94" s="1419"/>
      <c r="C94" s="1416"/>
      <c r="D94" s="1416"/>
      <c r="E94" s="1416"/>
      <c r="F94" s="1416"/>
      <c r="G94" s="1416"/>
      <c r="H94" s="1416"/>
      <c r="I94" s="1416"/>
      <c r="J94" s="1416"/>
      <c r="K94" s="1416"/>
      <c r="L94" s="1416"/>
      <c r="M94" s="1416"/>
      <c r="N94" s="1416"/>
      <c r="O94" s="588"/>
      <c r="P94" s="1347"/>
    </row>
    <row r="95" spans="2:16" s="1483" customFormat="1" ht="15.75" customHeight="1" x14ac:dyDescent="0.2">
      <c r="B95" s="1419"/>
      <c r="C95" s="1417" t="str">
        <f>"Capital cost of Interconnector per "&amp;Preferences.PowerUnits&amp;"e"</f>
        <v>Capital cost of Interconnector per GWe</v>
      </c>
      <c r="D95" s="107"/>
      <c r="E95" s="1081"/>
      <c r="F95" s="1055"/>
      <c r="G95" s="1055"/>
      <c r="H95" s="760"/>
      <c r="I95" s="760"/>
      <c r="J95" s="760"/>
      <c r="K95" s="760"/>
      <c r="L95" s="760"/>
      <c r="M95" s="760"/>
      <c r="N95" s="1255" t="str">
        <f>Preferences.moneyunits&amp;"/"&amp;Preferences.PowerUnits&amp;"e"</f>
        <v>N/GWe</v>
      </c>
      <c r="O95" s="588"/>
      <c r="P95" s="1347"/>
    </row>
    <row r="96" spans="2:16" s="1483" customFormat="1" ht="16.5" customHeight="1" x14ac:dyDescent="0.2">
      <c r="B96" s="1419"/>
      <c r="C96" s="1848"/>
      <c r="D96" s="107"/>
      <c r="E96" s="1081"/>
      <c r="F96" s="1055"/>
      <c r="G96" s="1055"/>
      <c r="H96" s="760"/>
      <c r="I96" s="760"/>
      <c r="J96" s="760"/>
      <c r="K96" s="760"/>
      <c r="L96" s="760"/>
      <c r="M96" s="760"/>
      <c r="N96" s="760"/>
      <c r="O96" s="588"/>
      <c r="P96" s="1347"/>
    </row>
    <row r="97" spans="2:15" s="1483" customFormat="1" ht="15.75" customHeight="1" x14ac:dyDescent="0.2">
      <c r="B97" s="1419"/>
      <c r="C97" s="1406"/>
      <c r="D97" s="1519"/>
      <c r="E97" s="1567" t="s">
        <v>1321</v>
      </c>
      <c r="F97" s="1845">
        <v>2010</v>
      </c>
      <c r="G97" s="1845">
        <v>2015</v>
      </c>
      <c r="H97" s="1845">
        <v>2020</v>
      </c>
      <c r="I97" s="1845">
        <v>2025</v>
      </c>
      <c r="J97" s="1845">
        <v>2030</v>
      </c>
      <c r="K97" s="1845">
        <v>2035</v>
      </c>
      <c r="L97" s="1845">
        <v>2040</v>
      </c>
      <c r="M97" s="1845">
        <v>2045</v>
      </c>
      <c r="N97" s="1845">
        <v>2050</v>
      </c>
      <c r="O97" s="1347"/>
    </row>
    <row r="98" spans="2:15" s="1483" customFormat="1" x14ac:dyDescent="0.2">
      <c r="B98" s="1419"/>
      <c r="C98" s="606" t="s">
        <v>1871</v>
      </c>
      <c r="D98" s="1519"/>
      <c r="E98" s="1847">
        <f>(N98-F98)/(N$97-F$97)</f>
        <v>0</v>
      </c>
      <c r="F98" s="1949">
        <f>250*783*NAIRA2010_/Unit.kW</f>
        <v>195750000000</v>
      </c>
      <c r="G98" s="1852">
        <f>($E98*(G$97-F$97))+F98</f>
        <v>195750000000</v>
      </c>
      <c r="H98" s="1852">
        <f t="shared" ref="H98:M98" si="13">($E98*(H$97-G$97))+G98</f>
        <v>195750000000</v>
      </c>
      <c r="I98" s="1852">
        <f t="shared" si="13"/>
        <v>195750000000</v>
      </c>
      <c r="J98" s="1852">
        <f t="shared" si="13"/>
        <v>195750000000</v>
      </c>
      <c r="K98" s="1852">
        <f t="shared" si="13"/>
        <v>195750000000</v>
      </c>
      <c r="L98" s="1852">
        <f t="shared" si="13"/>
        <v>195750000000</v>
      </c>
      <c r="M98" s="1852">
        <f t="shared" si="13"/>
        <v>195750000000</v>
      </c>
      <c r="N98" s="1949">
        <f>250*783*NAIRA2010_/Unit.kW</f>
        <v>195750000000</v>
      </c>
      <c r="O98" s="1347"/>
    </row>
    <row r="99" spans="2:15" s="1483" customFormat="1" x14ac:dyDescent="0.2">
      <c r="B99" s="1419"/>
      <c r="C99" s="606" t="s">
        <v>1872</v>
      </c>
      <c r="D99" s="107"/>
      <c r="E99" s="188">
        <f>(N99-F99)/(N$97-F$97)</f>
        <v>0</v>
      </c>
      <c r="F99" s="1922">
        <f>(F100+((F98-F100)*0.35))</f>
        <v>110925000000</v>
      </c>
      <c r="G99" s="1849">
        <f t="shared" ref="G99:M99" si="14">($E99*(G$97-F$97))+F99</f>
        <v>110925000000</v>
      </c>
      <c r="H99" s="1849">
        <f t="shared" si="14"/>
        <v>110925000000</v>
      </c>
      <c r="I99" s="1849">
        <f t="shared" si="14"/>
        <v>110925000000</v>
      </c>
      <c r="J99" s="1849">
        <f t="shared" si="14"/>
        <v>110925000000</v>
      </c>
      <c r="K99" s="1849">
        <f t="shared" si="14"/>
        <v>110925000000</v>
      </c>
      <c r="L99" s="1849">
        <f t="shared" si="14"/>
        <v>110925000000</v>
      </c>
      <c r="M99" s="1849">
        <f t="shared" si="14"/>
        <v>110925000000</v>
      </c>
      <c r="N99" s="1922">
        <f>(N100+((N98-N100)*0.35))</f>
        <v>110925000000</v>
      </c>
      <c r="O99" s="1347"/>
    </row>
    <row r="100" spans="2:15" s="1483" customFormat="1" x14ac:dyDescent="0.2">
      <c r="B100" s="1419"/>
      <c r="C100" s="1731" t="s">
        <v>1873</v>
      </c>
      <c r="D100" s="189"/>
      <c r="E100" s="191">
        <f>(N100-F100)/(N$97-F$97)</f>
        <v>0</v>
      </c>
      <c r="F100" s="1273">
        <f>250*261*NAIRA2010_/Unit.kW</f>
        <v>65250000000</v>
      </c>
      <c r="G100" s="1850">
        <f t="shared" ref="G100:M100" si="15">($E100*(G$97-F$97))+F100</f>
        <v>65250000000</v>
      </c>
      <c r="H100" s="1850">
        <f t="shared" si="15"/>
        <v>65250000000</v>
      </c>
      <c r="I100" s="1850">
        <f t="shared" si="15"/>
        <v>65250000000</v>
      </c>
      <c r="J100" s="1850">
        <f t="shared" si="15"/>
        <v>65250000000</v>
      </c>
      <c r="K100" s="1850">
        <f t="shared" si="15"/>
        <v>65250000000</v>
      </c>
      <c r="L100" s="1850">
        <f t="shared" si="15"/>
        <v>65250000000</v>
      </c>
      <c r="M100" s="1850">
        <f t="shared" si="15"/>
        <v>65250000000</v>
      </c>
      <c r="N100" s="1273">
        <f>250*261*NAIRA2010_/Unit.kW</f>
        <v>65250000000</v>
      </c>
      <c r="O100" s="1347"/>
    </row>
    <row r="101" spans="2:15" s="1483" customFormat="1" x14ac:dyDescent="0.2">
      <c r="B101" s="1419"/>
      <c r="C101" s="1848"/>
      <c r="D101" s="107"/>
      <c r="E101" s="1081"/>
      <c r="F101" s="1055"/>
      <c r="G101" s="760"/>
      <c r="H101" s="760"/>
      <c r="I101" s="760"/>
      <c r="J101" s="760"/>
      <c r="K101" s="760"/>
      <c r="L101" s="760"/>
      <c r="M101" s="760"/>
      <c r="N101" s="1416"/>
      <c r="O101" s="1347"/>
    </row>
    <row r="102" spans="2:15" s="1449" customFormat="1" ht="15.75" customHeight="1" x14ac:dyDescent="0.2">
      <c r="B102" s="1419"/>
      <c r="C102" s="1417" t="str">
        <f>"Operating cost of Interconnector per "&amp;Preferences.PowerUnits&amp;"e"</f>
        <v>Operating cost of Interconnector per GWe</v>
      </c>
      <c r="D102" s="107"/>
      <c r="E102" s="1081"/>
      <c r="F102" s="1055"/>
      <c r="G102" s="760"/>
      <c r="H102" s="760"/>
      <c r="I102" s="760"/>
      <c r="J102" s="760"/>
      <c r="K102" s="760"/>
      <c r="L102" s="760"/>
      <c r="M102" s="760"/>
      <c r="N102" s="1255" t="str">
        <f>Preferences.moneyunits&amp;"/"&amp;Preferences.PowerUnits&amp;"e"</f>
        <v>N/GWe</v>
      </c>
      <c r="O102" s="1347"/>
    </row>
    <row r="103" spans="2:15" s="1449" customFormat="1" ht="15.75" customHeight="1" x14ac:dyDescent="0.2">
      <c r="B103" s="1419"/>
      <c r="C103" s="1848"/>
      <c r="D103" s="107"/>
      <c r="E103" s="1081"/>
      <c r="F103" s="1055"/>
      <c r="G103" s="760"/>
      <c r="H103" s="760"/>
      <c r="I103" s="760"/>
      <c r="J103" s="760"/>
      <c r="K103" s="760"/>
      <c r="L103" s="760"/>
      <c r="M103" s="760"/>
      <c r="N103" s="1416"/>
      <c r="O103" s="37"/>
    </row>
    <row r="104" spans="2:15" s="1449" customFormat="1" ht="16.5" customHeight="1" x14ac:dyDescent="0.2">
      <c r="B104" s="1419"/>
      <c r="C104" s="1101"/>
      <c r="D104" s="1519"/>
      <c r="E104" s="1567" t="s">
        <v>1321</v>
      </c>
      <c r="F104" s="1845">
        <v>2010</v>
      </c>
      <c r="G104" s="1845">
        <v>2015</v>
      </c>
      <c r="H104" s="1845">
        <v>2020</v>
      </c>
      <c r="I104" s="1845">
        <v>2025</v>
      </c>
      <c r="J104" s="1845">
        <v>2030</v>
      </c>
      <c r="K104" s="1845">
        <v>2035</v>
      </c>
      <c r="L104" s="1845">
        <v>2040</v>
      </c>
      <c r="M104" s="1845">
        <v>2045</v>
      </c>
      <c r="N104" s="1845">
        <v>2050</v>
      </c>
      <c r="O104" s="588"/>
    </row>
    <row r="105" spans="2:15" s="1932" customFormat="1" ht="15.75" customHeight="1" x14ac:dyDescent="0.2">
      <c r="B105" s="1416"/>
      <c r="C105" s="1846" t="s">
        <v>1871</v>
      </c>
      <c r="D105" s="1519"/>
      <c r="E105" s="1847">
        <f>(N105-F105)/(N$104-F$104)</f>
        <v>0</v>
      </c>
      <c r="F105" s="2145">
        <f>150%*0.298*(NAIRA2010_/Unit.GW)*250*1000000</f>
        <v>111749999.99999999</v>
      </c>
      <c r="G105" s="2146">
        <f>($E105*(G$104-F$104))+F105</f>
        <v>111749999.99999999</v>
      </c>
      <c r="H105" s="2146">
        <f t="shared" ref="H105:M105" si="16">($E105*(H$104-G$104))+G105</f>
        <v>111749999.99999999</v>
      </c>
      <c r="I105" s="2146">
        <f t="shared" si="16"/>
        <v>111749999.99999999</v>
      </c>
      <c r="J105" s="2146">
        <f t="shared" si="16"/>
        <v>111749999.99999999</v>
      </c>
      <c r="K105" s="2146">
        <f t="shared" si="16"/>
        <v>111749999.99999999</v>
      </c>
      <c r="L105" s="2146">
        <f t="shared" si="16"/>
        <v>111749999.99999999</v>
      </c>
      <c r="M105" s="2146">
        <f t="shared" si="16"/>
        <v>111749999.99999999</v>
      </c>
      <c r="N105" s="2145">
        <f>150%*0.298*(NAIRA2010_/Unit.GW)*250*1000000</f>
        <v>111749999.99999999</v>
      </c>
      <c r="O105" s="588"/>
    </row>
    <row r="106" spans="2:15" s="1932" customFormat="1" ht="15.75" customHeight="1" x14ac:dyDescent="0.2">
      <c r="B106" s="1416"/>
      <c r="C106" s="606" t="s">
        <v>1872</v>
      </c>
      <c r="D106" s="107"/>
      <c r="E106" s="188">
        <f>(N106-F106)/(N$104-F$104)</f>
        <v>0</v>
      </c>
      <c r="F106" s="2115">
        <f>(F107+((F105-F107)*0.35))</f>
        <v>63324999.999999993</v>
      </c>
      <c r="G106" s="2147">
        <f t="shared" ref="G106:M106" si="17">($E106*(G$104-F$104))+F106</f>
        <v>63324999.999999993</v>
      </c>
      <c r="H106" s="2147">
        <f t="shared" si="17"/>
        <v>63324999.999999993</v>
      </c>
      <c r="I106" s="2147">
        <f t="shared" si="17"/>
        <v>63324999.999999993</v>
      </c>
      <c r="J106" s="2147">
        <f t="shared" si="17"/>
        <v>63324999.999999993</v>
      </c>
      <c r="K106" s="2147">
        <f t="shared" si="17"/>
        <v>63324999.999999993</v>
      </c>
      <c r="L106" s="2147">
        <f t="shared" si="17"/>
        <v>63324999.999999993</v>
      </c>
      <c r="M106" s="2147">
        <f t="shared" si="17"/>
        <v>63324999.999999993</v>
      </c>
      <c r="N106" s="2115">
        <f>(N107+((N105-N107)*0.35))</f>
        <v>63324999.999999993</v>
      </c>
      <c r="O106" s="588"/>
    </row>
    <row r="107" spans="2:15" s="1449" customFormat="1" x14ac:dyDescent="0.2">
      <c r="B107" s="1377"/>
      <c r="C107" s="1731" t="s">
        <v>1873</v>
      </c>
      <c r="D107" s="189"/>
      <c r="E107" s="191">
        <f>(N107-F107)/(N$104-F$104)</f>
        <v>0</v>
      </c>
      <c r="F107" s="2148">
        <f>50%*0.298*(NAIRA2010_/Unit.GW)*250*1000000</f>
        <v>37250000</v>
      </c>
      <c r="G107" s="2149">
        <f t="shared" ref="G107:M107" si="18">($E107*(G$104-F$104))+F107</f>
        <v>37250000</v>
      </c>
      <c r="H107" s="2149">
        <f t="shared" si="18"/>
        <v>37250000</v>
      </c>
      <c r="I107" s="2149">
        <f t="shared" si="18"/>
        <v>37250000</v>
      </c>
      <c r="J107" s="2149">
        <f t="shared" si="18"/>
        <v>37250000</v>
      </c>
      <c r="K107" s="2149">
        <f t="shared" si="18"/>
        <v>37250000</v>
      </c>
      <c r="L107" s="2149">
        <f t="shared" si="18"/>
        <v>37250000</v>
      </c>
      <c r="M107" s="2149">
        <f t="shared" si="18"/>
        <v>37250000</v>
      </c>
      <c r="N107" s="2148">
        <f>50%*0.298*(NAIRA2010_/Unit.GW)*250*1000000</f>
        <v>37250000</v>
      </c>
      <c r="O107" s="588"/>
    </row>
    <row r="108" spans="2:15" s="1932" customFormat="1" x14ac:dyDescent="0.2">
      <c r="B108" s="1377"/>
      <c r="C108" s="606"/>
      <c r="D108" s="107"/>
      <c r="E108" s="188"/>
      <c r="F108" s="207"/>
      <c r="G108" s="1055"/>
      <c r="H108" s="1055"/>
      <c r="I108" s="1055"/>
      <c r="J108" s="1055"/>
      <c r="K108" s="1055"/>
      <c r="L108" s="1055"/>
      <c r="M108" s="1055"/>
      <c r="N108" s="207"/>
      <c r="O108" s="588"/>
    </row>
    <row r="109" spans="2:15" s="1932" customFormat="1" ht="15.75" customHeight="1" x14ac:dyDescent="0.2">
      <c r="B109" s="1377"/>
      <c r="C109" s="1514" t="s">
        <v>1882</v>
      </c>
      <c r="D109" s="107"/>
      <c r="E109" s="188"/>
      <c r="F109" s="207"/>
      <c r="G109" s="1055"/>
      <c r="H109" s="1055"/>
      <c r="I109" s="1055"/>
      <c r="J109" s="1055"/>
      <c r="K109" s="1055"/>
      <c r="L109" s="1055"/>
      <c r="M109" s="1055"/>
      <c r="N109" s="1951" t="str">
        <f>Preferences.moneyunits&amp;"/"&amp;Preferences.EnergyUnits&amp;"e"</f>
        <v>N/TWhe</v>
      </c>
      <c r="O109" s="588"/>
    </row>
    <row r="110" spans="2:15" s="1932" customFormat="1" ht="15.75" customHeight="1" x14ac:dyDescent="0.2">
      <c r="B110" s="1377"/>
      <c r="C110" s="1377"/>
      <c r="D110" s="1416"/>
      <c r="E110" s="760"/>
      <c r="F110" s="176"/>
      <c r="G110" s="176"/>
      <c r="H110" s="176"/>
      <c r="I110" s="1950"/>
      <c r="J110" s="1950"/>
      <c r="K110" s="1379"/>
      <c r="L110" s="1379"/>
      <c r="M110" s="1379"/>
      <c r="N110" s="1379"/>
      <c r="O110" s="588"/>
    </row>
    <row r="111" spans="2:15" s="1932" customFormat="1" ht="15.75" customHeight="1" x14ac:dyDescent="0.2">
      <c r="B111" s="1377"/>
      <c r="C111" s="1955" t="s">
        <v>1882</v>
      </c>
      <c r="D111" s="1519"/>
      <c r="E111" s="1567" t="s">
        <v>1321</v>
      </c>
      <c r="F111" s="1845">
        <v>2010</v>
      </c>
      <c r="G111" s="1845">
        <v>2015</v>
      </c>
      <c r="H111" s="1845">
        <v>2020</v>
      </c>
      <c r="I111" s="1845">
        <v>2025</v>
      </c>
      <c r="J111" s="1845">
        <v>2030</v>
      </c>
      <c r="K111" s="1845">
        <v>2035</v>
      </c>
      <c r="L111" s="1845">
        <v>2040</v>
      </c>
      <c r="M111" s="1845">
        <v>2045</v>
      </c>
      <c r="N111" s="1845">
        <v>2050</v>
      </c>
      <c r="O111" s="588"/>
    </row>
    <row r="112" spans="2:15" s="1932" customFormat="1" x14ac:dyDescent="0.2">
      <c r="B112" s="1377"/>
      <c r="C112" s="1846" t="s">
        <v>1871</v>
      </c>
      <c r="D112" s="1519"/>
      <c r="E112" s="1847">
        <f>(N112-F112)/(N$104-F$104)</f>
        <v>0</v>
      </c>
      <c r="F112" s="1272">
        <f>250*172*NAIRA2010_/Unit.MWh</f>
        <v>43000000000</v>
      </c>
      <c r="G112" s="1952">
        <f>($E112*(G$111-F$111))+F112</f>
        <v>43000000000</v>
      </c>
      <c r="H112" s="1952">
        <f t="shared" ref="H112:M112" si="19">($E112*(H$111-G$111))+G112</f>
        <v>43000000000</v>
      </c>
      <c r="I112" s="1952">
        <f t="shared" si="19"/>
        <v>43000000000</v>
      </c>
      <c r="J112" s="1952">
        <f t="shared" si="19"/>
        <v>43000000000</v>
      </c>
      <c r="K112" s="1952">
        <f t="shared" si="19"/>
        <v>43000000000</v>
      </c>
      <c r="L112" s="1952">
        <f t="shared" si="19"/>
        <v>43000000000</v>
      </c>
      <c r="M112" s="1952">
        <f t="shared" si="19"/>
        <v>43000000000</v>
      </c>
      <c r="N112" s="1272">
        <f>250*172*NAIRA2010_/Unit.MWh</f>
        <v>43000000000</v>
      </c>
      <c r="O112" s="588"/>
    </row>
    <row r="113" spans="1:15" s="1449" customFormat="1" x14ac:dyDescent="0.2">
      <c r="B113" s="1377"/>
      <c r="C113" s="1416" t="s">
        <v>1872</v>
      </c>
      <c r="D113" s="107"/>
      <c r="E113" s="188">
        <f>(N113-F113)/(N$104-F$104)</f>
        <v>0</v>
      </c>
      <c r="F113" s="1922">
        <f>(F114+((F112-F114)*0.35))</f>
        <v>18300000000</v>
      </c>
      <c r="G113" s="1922">
        <f t="shared" ref="G113:M113" si="20">(G114+((G112-G114)*0.35))</f>
        <v>18300000000</v>
      </c>
      <c r="H113" s="1922">
        <f t="shared" si="20"/>
        <v>18300000000</v>
      </c>
      <c r="I113" s="1922">
        <f t="shared" si="20"/>
        <v>18300000000</v>
      </c>
      <c r="J113" s="1922">
        <f t="shared" si="20"/>
        <v>18300000000</v>
      </c>
      <c r="K113" s="1922">
        <f t="shared" si="20"/>
        <v>18300000000</v>
      </c>
      <c r="L113" s="1922">
        <f t="shared" si="20"/>
        <v>18300000000</v>
      </c>
      <c r="M113" s="1922">
        <f t="shared" si="20"/>
        <v>18300000000</v>
      </c>
      <c r="N113" s="1922">
        <f>(N114+((N112-N114)*0.35))</f>
        <v>18300000000</v>
      </c>
      <c r="O113" s="588"/>
    </row>
    <row r="114" spans="1:15" s="1449" customFormat="1" x14ac:dyDescent="0.2">
      <c r="B114" s="1377"/>
      <c r="C114" s="524" t="s">
        <v>1873</v>
      </c>
      <c r="D114" s="189"/>
      <c r="E114" s="191">
        <f>(N114-F114)/(N$104-F$104)</f>
        <v>0</v>
      </c>
      <c r="F114" s="1953">
        <f>250*20*NAIRA2010_/Unit.MWh</f>
        <v>5000000000</v>
      </c>
      <c r="G114" s="1954">
        <f t="shared" ref="G114:M114" si="21">($E114*(G$111-F$111))+F114</f>
        <v>5000000000</v>
      </c>
      <c r="H114" s="1954">
        <f t="shared" si="21"/>
        <v>5000000000</v>
      </c>
      <c r="I114" s="1954">
        <f t="shared" si="21"/>
        <v>5000000000</v>
      </c>
      <c r="J114" s="1954">
        <f t="shared" si="21"/>
        <v>5000000000</v>
      </c>
      <c r="K114" s="1954">
        <f t="shared" si="21"/>
        <v>5000000000</v>
      </c>
      <c r="L114" s="1954">
        <f t="shared" si="21"/>
        <v>5000000000</v>
      </c>
      <c r="M114" s="1954">
        <f t="shared" si="21"/>
        <v>5000000000</v>
      </c>
      <c r="N114" s="1953">
        <f>250*20*NAIRA2010_/Unit.MWh</f>
        <v>5000000000</v>
      </c>
    </row>
    <row r="115" spans="1:15" s="1449" customFormat="1" x14ac:dyDescent="0.2">
      <c r="B115" s="1377"/>
      <c r="C115" s="1377"/>
      <c r="D115" s="1416"/>
      <c r="E115" s="760"/>
      <c r="F115" s="1416"/>
      <c r="G115" s="1416"/>
      <c r="H115" s="1416"/>
      <c r="I115" s="1416"/>
      <c r="J115" s="1488"/>
      <c r="K115" s="1488"/>
      <c r="L115" s="1377"/>
      <c r="M115" s="1377"/>
      <c r="N115" s="1377"/>
      <c r="O115" s="588"/>
    </row>
    <row r="116" spans="1:15" s="1483" customFormat="1" ht="15.75" x14ac:dyDescent="0.2">
      <c r="A116" s="1449"/>
      <c r="B116" s="1423" t="s">
        <v>332</v>
      </c>
      <c r="C116" s="405"/>
      <c r="D116" s="405"/>
      <c r="E116" s="405"/>
      <c r="F116" s="405"/>
      <c r="G116" s="405"/>
      <c r="H116" s="405"/>
      <c r="I116" s="405"/>
      <c r="J116" s="405"/>
      <c r="K116" s="405"/>
      <c r="L116" s="405"/>
      <c r="M116" s="405"/>
      <c r="N116" s="405"/>
    </row>
    <row r="117" spans="1:15" s="1483" customFormat="1" ht="15.75" x14ac:dyDescent="0.25">
      <c r="A117" s="1449"/>
      <c r="B117" s="397"/>
      <c r="C117" s="1416"/>
      <c r="D117" s="1416"/>
      <c r="E117" s="1416"/>
      <c r="F117" s="1416"/>
      <c r="G117" s="1416"/>
      <c r="H117" s="1416"/>
      <c r="I117" s="1416"/>
      <c r="J117" s="1416"/>
      <c r="K117" s="1416"/>
      <c r="L117" s="1416"/>
      <c r="M117" s="1416"/>
      <c r="N117" s="1416"/>
    </row>
    <row r="118" spans="1:15" s="1483" customFormat="1" hidden="1" x14ac:dyDescent="0.2">
      <c r="B118" s="1419"/>
      <c r="C118" s="121" t="s">
        <v>7</v>
      </c>
      <c r="D118" s="122" t="s">
        <v>1477</v>
      </c>
      <c r="E118" s="122"/>
      <c r="F118" s="123">
        <f t="shared" ref="F118:N118" si="22">F48</f>
        <v>0</v>
      </c>
      <c r="G118" s="123">
        <f t="shared" si="22"/>
        <v>0</v>
      </c>
      <c r="H118" s="123">
        <f t="shared" si="22"/>
        <v>0</v>
      </c>
      <c r="I118" s="123">
        <f t="shared" si="22"/>
        <v>0</v>
      </c>
      <c r="J118" s="123">
        <f t="shared" si="22"/>
        <v>14.016</v>
      </c>
      <c r="K118" s="123">
        <f t="shared" si="22"/>
        <v>28.032</v>
      </c>
      <c r="L118" s="123">
        <f t="shared" si="22"/>
        <v>42.048000000000002</v>
      </c>
      <c r="M118" s="123">
        <f t="shared" si="22"/>
        <v>56.064</v>
      </c>
      <c r="N118" s="123">
        <f t="shared" si="22"/>
        <v>70.08</v>
      </c>
    </row>
    <row r="119" spans="1:15" s="1483" customFormat="1" ht="15" customHeight="1" x14ac:dyDescent="0.25">
      <c r="B119" s="397"/>
      <c r="C119" s="178" t="s">
        <v>2418</v>
      </c>
      <c r="D119" s="1415"/>
      <c r="E119" s="1415"/>
      <c r="F119" s="207"/>
      <c r="G119" s="207"/>
      <c r="H119" s="207"/>
      <c r="I119" s="207"/>
      <c r="J119" s="207"/>
      <c r="K119" s="207"/>
      <c r="L119" s="207"/>
      <c r="M119" s="207"/>
      <c r="N119" s="207" t="str">
        <f>Preferences.EnergyUnits</f>
        <v>TWh</v>
      </c>
    </row>
    <row r="120" spans="1:15" s="2479" customFormat="1" ht="15" customHeight="1" x14ac:dyDescent="0.25">
      <c r="B120" s="397"/>
      <c r="C120" s="1414"/>
      <c r="D120" s="1415"/>
      <c r="E120" s="1415"/>
      <c r="F120" s="207"/>
      <c r="G120" s="207"/>
      <c r="H120" s="207"/>
      <c r="I120" s="207"/>
      <c r="J120" s="207"/>
      <c r="K120" s="207"/>
      <c r="L120" s="207"/>
      <c r="M120" s="207"/>
      <c r="N120" s="207"/>
    </row>
    <row r="121" spans="1:15" s="2479" customFormat="1" ht="15" customHeight="1" x14ac:dyDescent="0.25">
      <c r="B121" s="397"/>
      <c r="C121" s="1406" t="s">
        <v>264</v>
      </c>
      <c r="D121" s="1926" t="s">
        <v>65</v>
      </c>
      <c r="E121" s="1926" t="s">
        <v>172</v>
      </c>
      <c r="F121" s="2573">
        <v>2010</v>
      </c>
      <c r="G121" s="2573">
        <v>2015</v>
      </c>
      <c r="H121" s="2573">
        <v>2020</v>
      </c>
      <c r="I121" s="2573">
        <v>2025</v>
      </c>
      <c r="J121" s="2573">
        <v>2030</v>
      </c>
      <c r="K121" s="2573">
        <v>2035</v>
      </c>
      <c r="L121" s="2573">
        <v>2040</v>
      </c>
      <c r="M121" s="2573">
        <v>2045</v>
      </c>
      <c r="N121" s="2573">
        <v>2050</v>
      </c>
    </row>
    <row r="122" spans="1:15" s="1483" customFormat="1" ht="15.75" x14ac:dyDescent="0.25">
      <c r="B122" s="397"/>
      <c r="C122" s="2572" t="s">
        <v>8</v>
      </c>
      <c r="D122" s="200" t="s">
        <v>2417</v>
      </c>
      <c r="E122" s="200"/>
      <c r="F122" s="1273">
        <f t="shared" ref="F122:N122" si="23">F46</f>
        <v>0</v>
      </c>
      <c r="G122" s="1273">
        <f t="shared" si="23"/>
        <v>0</v>
      </c>
      <c r="H122" s="1273">
        <f t="shared" si="23"/>
        <v>0</v>
      </c>
      <c r="I122" s="1273">
        <f t="shared" si="23"/>
        <v>0</v>
      </c>
      <c r="J122" s="1273">
        <f t="shared" si="23"/>
        <v>7.008</v>
      </c>
      <c r="K122" s="1273">
        <f t="shared" si="23"/>
        <v>14.016</v>
      </c>
      <c r="L122" s="1273">
        <f t="shared" si="23"/>
        <v>21.024000000000001</v>
      </c>
      <c r="M122" s="1273">
        <f t="shared" si="23"/>
        <v>28.032</v>
      </c>
      <c r="N122" s="1273">
        <f t="shared" si="23"/>
        <v>35.04</v>
      </c>
    </row>
    <row r="123" spans="1:15" ht="15.75" x14ac:dyDescent="0.25">
      <c r="A123" s="1483"/>
      <c r="B123" s="397"/>
      <c r="C123" s="1416"/>
      <c r="D123" s="1416"/>
      <c r="E123" s="1416"/>
      <c r="F123" s="1416"/>
      <c r="G123" s="1416"/>
      <c r="H123" s="1416"/>
      <c r="I123" s="1416"/>
      <c r="J123" s="1416"/>
      <c r="K123" s="1416"/>
      <c r="L123" s="1416"/>
      <c r="M123" s="1416"/>
      <c r="N123" s="1416"/>
    </row>
    <row r="124" spans="1:15" ht="15.75" x14ac:dyDescent="0.25">
      <c r="A124" s="1483"/>
      <c r="B124" s="397"/>
      <c r="C124" s="98"/>
      <c r="D124" s="98" t="s">
        <v>65</v>
      </c>
      <c r="E124" s="98" t="s">
        <v>172</v>
      </c>
      <c r="F124" s="218">
        <v>2010</v>
      </c>
      <c r="G124" s="217">
        <v>2015</v>
      </c>
      <c r="H124" s="217">
        <v>2020</v>
      </c>
      <c r="I124" s="217">
        <v>2025</v>
      </c>
      <c r="J124" s="217">
        <v>2030</v>
      </c>
      <c r="K124" s="217">
        <v>2035</v>
      </c>
      <c r="L124" s="217">
        <v>2040</v>
      </c>
      <c r="M124" s="217">
        <v>2045</v>
      </c>
      <c r="N124" s="217">
        <v>2050</v>
      </c>
    </row>
    <row r="125" spans="1:15" s="1579" customFormat="1" ht="15.75" x14ac:dyDescent="0.2">
      <c r="A125" s="1483"/>
      <c r="B125" s="399"/>
      <c r="C125" s="1413"/>
      <c r="D125" s="107" t="s">
        <v>1597</v>
      </c>
      <c r="E125" s="1413"/>
      <c r="F125" s="1491">
        <f t="shared" ref="F125:N125" ca="1" si="24">F15*Conversion.to.average.power</f>
        <v>5.9890485968514706E-2</v>
      </c>
      <c r="G125" s="1491">
        <f t="shared" ca="1" si="24"/>
        <v>5.9890485968514706E-2</v>
      </c>
      <c r="H125" s="1491">
        <f t="shared" ca="1" si="24"/>
        <v>5.9890485968514706E-2</v>
      </c>
      <c r="I125" s="1491">
        <f t="shared" ca="1" si="24"/>
        <v>5.9890485968514706E-2</v>
      </c>
      <c r="J125" s="1491">
        <f t="shared" ca="1" si="24"/>
        <v>5.9890485968514706E-2</v>
      </c>
      <c r="K125" s="1491">
        <f t="shared" ca="1" si="24"/>
        <v>5.9890485968514706E-2</v>
      </c>
      <c r="L125" s="1491">
        <f t="shared" ca="1" si="24"/>
        <v>5.9890485968514706E-2</v>
      </c>
      <c r="M125" s="1491">
        <f t="shared" ca="1" si="24"/>
        <v>5.9890485968514706E-2</v>
      </c>
      <c r="N125" s="1491">
        <f t="shared" ca="1" si="24"/>
        <v>5.9890485968514706E-2</v>
      </c>
    </row>
    <row r="126" spans="1:15" s="1579" customFormat="1" x14ac:dyDescent="0.2">
      <c r="A126" s="1483"/>
      <c r="B126" s="401"/>
      <c r="C126" s="1413"/>
      <c r="D126" s="107" t="s">
        <v>1599</v>
      </c>
      <c r="E126" s="1413"/>
      <c r="F126" s="1491">
        <f t="shared" ref="F126:N126" si="25">-F122*Conversion.to.average.power</f>
        <v>0</v>
      </c>
      <c r="G126" s="1491">
        <f t="shared" si="25"/>
        <v>0</v>
      </c>
      <c r="H126" s="1491">
        <f t="shared" si="25"/>
        <v>0</v>
      </c>
      <c r="I126" s="1491">
        <f t="shared" si="25"/>
        <v>0</v>
      </c>
      <c r="J126" s="1491">
        <f t="shared" si="25"/>
        <v>-0.79945242984257336</v>
      </c>
      <c r="K126" s="1491">
        <f t="shared" si="25"/>
        <v>-1.5989048596851467</v>
      </c>
      <c r="L126" s="1491">
        <f t="shared" si="25"/>
        <v>-2.3983572895277203</v>
      </c>
      <c r="M126" s="1491">
        <f t="shared" si="25"/>
        <v>-3.1978097193702935</v>
      </c>
      <c r="N126" s="1491">
        <f t="shared" si="25"/>
        <v>-3.997262149212867</v>
      </c>
    </row>
    <row r="127" spans="1:15" s="1579" customFormat="1" x14ac:dyDescent="0.2">
      <c r="A127" s="1404"/>
      <c r="B127" s="1404"/>
      <c r="C127" s="1413"/>
      <c r="D127" s="107" t="s">
        <v>1598</v>
      </c>
      <c r="E127" s="1413"/>
      <c r="F127" s="1491">
        <f t="shared" ref="F127:N127" si="26">-F38</f>
        <v>-0.86</v>
      </c>
      <c r="G127" s="1491">
        <f t="shared" si="26"/>
        <v>-0.86</v>
      </c>
      <c r="H127" s="1491">
        <f t="shared" si="26"/>
        <v>-0.86</v>
      </c>
      <c r="I127" s="1491">
        <f t="shared" si="26"/>
        <v>-0.86</v>
      </c>
      <c r="J127" s="1491">
        <f t="shared" si="26"/>
        <v>-8.8552</v>
      </c>
      <c r="K127" s="1491">
        <f t="shared" si="26"/>
        <v>-11.454000000000001</v>
      </c>
      <c r="L127" s="1491">
        <f t="shared" si="26"/>
        <v>-11.454000000000001</v>
      </c>
      <c r="M127" s="1491">
        <f t="shared" si="26"/>
        <v>-11.454000000000001</v>
      </c>
      <c r="N127" s="1491">
        <f t="shared" si="26"/>
        <v>-11.454000000000001</v>
      </c>
    </row>
    <row r="128" spans="1:15" s="1579" customFormat="1" x14ac:dyDescent="0.2">
      <c r="A128" s="1404"/>
      <c r="C128" s="121"/>
      <c r="D128" s="122" t="s">
        <v>1600</v>
      </c>
      <c r="E128" s="122"/>
      <c r="F128" s="1040">
        <f t="shared" ref="F128:N128" ca="1" si="27">MAX(SUM(F125:F127),0)</f>
        <v>0</v>
      </c>
      <c r="G128" s="1040">
        <f t="shared" ca="1" si="27"/>
        <v>0</v>
      </c>
      <c r="H128" s="1040">
        <f t="shared" ca="1" si="27"/>
        <v>0</v>
      </c>
      <c r="I128" s="1040">
        <f t="shared" ca="1" si="27"/>
        <v>0</v>
      </c>
      <c r="J128" s="1040">
        <f t="shared" ca="1" si="27"/>
        <v>0</v>
      </c>
      <c r="K128" s="1040">
        <f t="shared" ca="1" si="27"/>
        <v>0</v>
      </c>
      <c r="L128" s="1040">
        <f t="shared" ca="1" si="27"/>
        <v>0</v>
      </c>
      <c r="M128" s="1040">
        <f t="shared" ca="1" si="27"/>
        <v>0</v>
      </c>
      <c r="N128" s="1040">
        <f t="shared" ca="1" si="27"/>
        <v>0</v>
      </c>
    </row>
    <row r="129" spans="1:15" s="1579" customFormat="1" x14ac:dyDescent="0.2">
      <c r="C129" s="1414"/>
      <c r="D129" s="1415"/>
      <c r="E129" s="1415"/>
      <c r="F129" s="207"/>
      <c r="G129" s="207"/>
      <c r="H129" s="207"/>
      <c r="I129" s="207"/>
      <c r="J129" s="207"/>
      <c r="K129" s="207"/>
      <c r="L129" s="207"/>
      <c r="M129" s="207"/>
      <c r="N129" s="207"/>
    </row>
    <row r="130" spans="1:15" s="1449" customFormat="1" x14ac:dyDescent="0.2">
      <c r="A130" s="1579"/>
      <c r="B130" s="1579"/>
      <c r="C130" s="1404"/>
      <c r="D130" s="1404"/>
      <c r="E130" s="1404"/>
      <c r="F130" s="1404"/>
      <c r="G130" s="1404"/>
      <c r="H130" s="1404"/>
      <c r="I130" s="1404"/>
      <c r="J130" s="1404"/>
      <c r="K130" s="1404"/>
      <c r="L130" s="1404"/>
      <c r="M130" s="1404"/>
      <c r="N130" s="1404"/>
    </row>
    <row r="131" spans="1:15" s="1449" customFormat="1" x14ac:dyDescent="0.2">
      <c r="A131" s="1579"/>
      <c r="B131" s="1427">
        <v>1</v>
      </c>
      <c r="C131" s="1427" t="s">
        <v>1604</v>
      </c>
      <c r="D131" s="1404"/>
      <c r="E131" s="1404" t="str">
        <f>Preferences.EnergyUnits</f>
        <v>TWh</v>
      </c>
      <c r="F131" s="114">
        <f t="shared" ref="F131:N131" si="28">F$59</f>
        <v>0</v>
      </c>
      <c r="G131" s="114">
        <f t="shared" si="28"/>
        <v>0</v>
      </c>
      <c r="H131" s="114">
        <f t="shared" si="28"/>
        <v>0</v>
      </c>
      <c r="I131" s="114">
        <f t="shared" si="28"/>
        <v>0</v>
      </c>
      <c r="J131" s="114">
        <f t="shared" si="28"/>
        <v>12.6144</v>
      </c>
      <c r="K131" s="114">
        <f t="shared" si="28"/>
        <v>25.2288</v>
      </c>
      <c r="L131" s="114">
        <f t="shared" si="28"/>
        <v>37.843200000000003</v>
      </c>
      <c r="M131" s="114">
        <f t="shared" si="28"/>
        <v>50.457599999999999</v>
      </c>
      <c r="N131" s="114">
        <f t="shared" si="28"/>
        <v>63.072000000000003</v>
      </c>
    </row>
    <row r="132" spans="1:15" s="1449" customFormat="1" x14ac:dyDescent="0.2">
      <c r="A132" s="1579"/>
      <c r="B132" s="1579"/>
      <c r="C132" s="1579"/>
      <c r="D132" s="1579"/>
      <c r="E132" s="1579"/>
      <c r="F132" s="1262"/>
      <c r="G132" s="1262"/>
      <c r="H132" s="1262"/>
      <c r="I132" s="1262"/>
      <c r="J132" s="1262"/>
      <c r="K132" s="1262"/>
      <c r="L132" s="1262"/>
      <c r="M132" s="1262"/>
      <c r="N132" s="1262"/>
    </row>
    <row r="133" spans="1:15" s="1449" customFormat="1" x14ac:dyDescent="0.2">
      <c r="C133" s="1427" t="s">
        <v>1274</v>
      </c>
      <c r="D133" s="1579"/>
      <c r="E133" s="1579"/>
      <c r="F133" s="114"/>
      <c r="G133" s="114"/>
      <c r="H133" s="114"/>
      <c r="I133" s="114"/>
      <c r="J133" s="114"/>
      <c r="K133" s="114"/>
      <c r="L133" s="114"/>
      <c r="M133" s="114"/>
      <c r="N133" s="114"/>
    </row>
    <row r="134" spans="1:15" s="1932" customFormat="1" x14ac:dyDescent="0.2">
      <c r="C134" s="1579" t="s">
        <v>1288</v>
      </c>
      <c r="D134" s="1579"/>
      <c r="E134" s="1579" t="str">
        <f>Preferences.PowerUnits</f>
        <v>GW</v>
      </c>
      <c r="F134" s="1262">
        <f t="shared" ref="F134:N134" si="29">(F131*Conversion.to.average.power)/$F$64/(1-$F$65)</f>
        <v>0</v>
      </c>
      <c r="G134" s="1262">
        <f t="shared" si="29"/>
        <v>0</v>
      </c>
      <c r="H134" s="1262">
        <f t="shared" si="29"/>
        <v>0</v>
      </c>
      <c r="I134" s="1262">
        <f t="shared" si="29"/>
        <v>0</v>
      </c>
      <c r="J134" s="1262">
        <f t="shared" si="29"/>
        <v>1.7765609552057184</v>
      </c>
      <c r="K134" s="1262">
        <f t="shared" si="29"/>
        <v>3.5531219104114369</v>
      </c>
      <c r="L134" s="1262">
        <f t="shared" si="29"/>
        <v>5.3296828656171575</v>
      </c>
      <c r="M134" s="1262">
        <f t="shared" si="29"/>
        <v>7.1062438208228738</v>
      </c>
      <c r="N134" s="1262">
        <f t="shared" si="29"/>
        <v>8.8828047760285944</v>
      </c>
    </row>
    <row r="135" spans="1:15" s="1932" customFormat="1" x14ac:dyDescent="0.2">
      <c r="C135" s="1449"/>
      <c r="D135" s="1449"/>
      <c r="E135" s="1449"/>
      <c r="F135" s="1262"/>
      <c r="G135" s="1262"/>
      <c r="H135" s="1262"/>
      <c r="I135" s="1262"/>
      <c r="J135" s="1262"/>
      <c r="K135" s="1262"/>
      <c r="L135" s="1262"/>
      <c r="M135" s="1262"/>
      <c r="N135" s="1262"/>
    </row>
    <row r="136" spans="1:15" s="1483" customFormat="1" x14ac:dyDescent="0.2"/>
    <row r="137" spans="1:15" s="1579" customFormat="1" x14ac:dyDescent="0.2">
      <c r="A137" s="1483"/>
      <c r="B137" s="1483"/>
      <c r="C137" s="1427" t="s">
        <v>1605</v>
      </c>
      <c r="D137" s="1483"/>
      <c r="E137" s="1483" t="str">
        <f>Preferences.EnergyUnits</f>
        <v>TWh</v>
      </c>
      <c r="F137" s="114">
        <f t="shared" ref="F137:N137" ca="1" si="30">F15</f>
        <v>0.52500000000000002</v>
      </c>
      <c r="G137" s="114">
        <f t="shared" ca="1" si="30"/>
        <v>0.52500000000000002</v>
      </c>
      <c r="H137" s="114">
        <f t="shared" ca="1" si="30"/>
        <v>0.52500000000000002</v>
      </c>
      <c r="I137" s="114">
        <f t="shared" ca="1" si="30"/>
        <v>0.52500000000000002</v>
      </c>
      <c r="J137" s="114">
        <f t="shared" ca="1" si="30"/>
        <v>0.52500000000000002</v>
      </c>
      <c r="K137" s="114">
        <f t="shared" ca="1" si="30"/>
        <v>0.52500000000000002</v>
      </c>
      <c r="L137" s="114">
        <f t="shared" ca="1" si="30"/>
        <v>0.52500000000000002</v>
      </c>
      <c r="M137" s="114">
        <f t="shared" ca="1" si="30"/>
        <v>0.52500000000000002</v>
      </c>
      <c r="N137" s="114">
        <f t="shared" ca="1" si="30"/>
        <v>0.52500000000000002</v>
      </c>
    </row>
    <row r="138" spans="1:15" s="1483" customFormat="1" x14ac:dyDescent="0.2">
      <c r="C138" s="1427"/>
      <c r="F138" s="114"/>
      <c r="G138" s="114"/>
      <c r="H138" s="114"/>
      <c r="I138" s="114"/>
      <c r="J138" s="114"/>
      <c r="K138" s="114"/>
      <c r="L138" s="114"/>
      <c r="M138" s="114"/>
      <c r="N138" s="114"/>
    </row>
    <row r="139" spans="1:15" s="1483" customFormat="1" x14ac:dyDescent="0.2">
      <c r="C139" s="1427" t="s">
        <v>1274</v>
      </c>
      <c r="F139" s="1392">
        <v>2010</v>
      </c>
      <c r="G139" s="1392">
        <v>2015</v>
      </c>
      <c r="H139" s="1392">
        <v>2020</v>
      </c>
      <c r="I139" s="1392">
        <v>2025</v>
      </c>
      <c r="J139" s="1392">
        <v>2030</v>
      </c>
      <c r="K139" s="1392">
        <v>2035</v>
      </c>
      <c r="L139" s="1392">
        <v>2040</v>
      </c>
      <c r="M139" s="1392">
        <v>2045</v>
      </c>
      <c r="N139" s="1392">
        <v>2050</v>
      </c>
    </row>
    <row r="140" spans="1:15" s="1483" customFormat="1" x14ac:dyDescent="0.2">
      <c r="C140" s="1483" t="s">
        <v>1606</v>
      </c>
      <c r="E140" s="1483" t="str">
        <f>Preferences.PowerUnits</f>
        <v>GW</v>
      </c>
      <c r="F140" s="136">
        <f t="shared" ref="F140:N140" ca="1" si="31">F128</f>
        <v>0</v>
      </c>
      <c r="G140" s="136">
        <f t="shared" ca="1" si="31"/>
        <v>0</v>
      </c>
      <c r="H140" s="136">
        <f t="shared" ca="1" si="31"/>
        <v>0</v>
      </c>
      <c r="I140" s="136">
        <f t="shared" ca="1" si="31"/>
        <v>0</v>
      </c>
      <c r="J140" s="136">
        <f t="shared" ca="1" si="31"/>
        <v>0</v>
      </c>
      <c r="K140" s="136">
        <f t="shared" ca="1" si="31"/>
        <v>0</v>
      </c>
      <c r="L140" s="136">
        <f t="shared" ca="1" si="31"/>
        <v>0</v>
      </c>
      <c r="M140" s="136">
        <f t="shared" ca="1" si="31"/>
        <v>0</v>
      </c>
      <c r="N140" s="136">
        <f t="shared" ca="1" si="31"/>
        <v>0</v>
      </c>
    </row>
    <row r="141" spans="1:15" s="1483" customFormat="1" x14ac:dyDescent="0.2">
      <c r="A141" s="1579"/>
      <c r="B141" s="1579"/>
      <c r="C141" s="20" t="s">
        <v>1607</v>
      </c>
      <c r="E141" s="20" t="str">
        <f>Preferences.PowerUnits&amp;"/yr"</f>
        <v>GW/yr</v>
      </c>
      <c r="F141" s="136">
        <v>0</v>
      </c>
      <c r="G141" s="136">
        <f t="shared" ref="G141:N141" ca="1" si="32">F140/$E$67</f>
        <v>0</v>
      </c>
      <c r="H141" s="136">
        <f t="shared" ca="1" si="32"/>
        <v>0</v>
      </c>
      <c r="I141" s="136">
        <f t="shared" ca="1" si="32"/>
        <v>0</v>
      </c>
      <c r="J141" s="136">
        <f t="shared" ca="1" si="32"/>
        <v>0</v>
      </c>
      <c r="K141" s="136">
        <f t="shared" ca="1" si="32"/>
        <v>0</v>
      </c>
      <c r="L141" s="136">
        <f t="shared" ca="1" si="32"/>
        <v>0</v>
      </c>
      <c r="M141" s="136">
        <f t="shared" ca="1" si="32"/>
        <v>0</v>
      </c>
      <c r="N141" s="136">
        <f t="shared" ca="1" si="32"/>
        <v>0</v>
      </c>
    </row>
    <row r="142" spans="1:15" s="1483" customFormat="1" x14ac:dyDescent="0.2">
      <c r="C142" s="1483" t="s">
        <v>1609</v>
      </c>
      <c r="E142" s="1483" t="str">
        <f>Preferences.PowerUnits&amp;"/yr"</f>
        <v>GW/yr</v>
      </c>
      <c r="F142" s="1262">
        <v>0</v>
      </c>
      <c r="G142" s="1262">
        <f t="shared" ref="G142:M142" ca="1" si="33">MAX((G140-F140)/(G139-F139),0)</f>
        <v>0</v>
      </c>
      <c r="H142" s="1262">
        <f t="shared" ca="1" si="33"/>
        <v>0</v>
      </c>
      <c r="I142" s="1262">
        <f t="shared" ca="1" si="33"/>
        <v>0</v>
      </c>
      <c r="J142" s="1262">
        <f t="shared" ca="1" si="33"/>
        <v>0</v>
      </c>
      <c r="K142" s="1262">
        <f t="shared" ca="1" si="33"/>
        <v>0</v>
      </c>
      <c r="L142" s="1262">
        <f t="shared" ca="1" si="33"/>
        <v>0</v>
      </c>
      <c r="M142" s="1262">
        <f t="shared" ca="1" si="33"/>
        <v>0</v>
      </c>
      <c r="N142" s="1262">
        <f ca="1">MAX((N140-M140)/(N139-M139),0)</f>
        <v>0</v>
      </c>
    </row>
    <row r="143" spans="1:15" s="1932" customFormat="1" x14ac:dyDescent="0.2">
      <c r="C143" s="1483" t="s">
        <v>1608</v>
      </c>
      <c r="D143" s="1483"/>
      <c r="E143" s="1483" t="str">
        <f>Preferences.PowerUnits&amp;"/yr"</f>
        <v>GW/yr</v>
      </c>
      <c r="F143" s="1262">
        <v>0</v>
      </c>
      <c r="G143" s="1262">
        <f t="shared" ref="G143:N143" ca="1" si="34">SUM(G141:G142)</f>
        <v>0</v>
      </c>
      <c r="H143" s="1262">
        <f t="shared" ca="1" si="34"/>
        <v>0</v>
      </c>
      <c r="I143" s="1262">
        <f t="shared" ca="1" si="34"/>
        <v>0</v>
      </c>
      <c r="J143" s="1262">
        <f t="shared" ca="1" si="34"/>
        <v>0</v>
      </c>
      <c r="K143" s="1262">
        <f t="shared" ca="1" si="34"/>
        <v>0</v>
      </c>
      <c r="L143" s="1262">
        <f t="shared" ca="1" si="34"/>
        <v>0</v>
      </c>
      <c r="M143" s="1262">
        <f t="shared" ca="1" si="34"/>
        <v>0</v>
      </c>
      <c r="N143" s="1262">
        <f t="shared" ca="1" si="34"/>
        <v>0</v>
      </c>
    </row>
    <row r="144" spans="1:15" s="1932" customFormat="1" x14ac:dyDescent="0.2">
      <c r="C144" s="1579"/>
      <c r="D144" s="1579"/>
      <c r="E144" s="1579"/>
      <c r="F144" s="1262"/>
      <c r="G144" s="1262"/>
      <c r="H144" s="1262"/>
      <c r="I144" s="1262"/>
      <c r="J144" s="1262"/>
      <c r="K144" s="1262"/>
      <c r="L144" s="1262"/>
      <c r="M144" s="1262"/>
      <c r="N144" s="1262"/>
      <c r="O144" s="588"/>
    </row>
    <row r="145" spans="1:15" ht="15.75" x14ac:dyDescent="0.2">
      <c r="B145" s="468" t="s">
        <v>236</v>
      </c>
      <c r="C145" s="421"/>
      <c r="D145" s="421"/>
      <c r="E145" s="421"/>
      <c r="F145" s="421"/>
      <c r="G145" s="421"/>
      <c r="H145" s="421"/>
      <c r="I145" s="421"/>
      <c r="J145" s="421"/>
      <c r="K145" s="421"/>
      <c r="L145" s="421"/>
      <c r="M145" s="421"/>
      <c r="N145" s="421"/>
      <c r="O145" s="588"/>
    </row>
    <row r="146" spans="1:15" ht="15.75" x14ac:dyDescent="0.25">
      <c r="A146" s="3"/>
      <c r="B146" s="415"/>
      <c r="C146" s="412"/>
      <c r="D146" s="412"/>
      <c r="E146" s="412"/>
      <c r="F146" s="412"/>
      <c r="G146" s="412"/>
      <c r="H146" s="412"/>
      <c r="I146" s="412"/>
      <c r="J146" s="412"/>
      <c r="K146" s="412"/>
      <c r="L146" s="412"/>
      <c r="M146" s="412"/>
      <c r="N146" s="412"/>
      <c r="O146" s="588"/>
    </row>
    <row r="147" spans="1:15" ht="15.75" x14ac:dyDescent="0.25">
      <c r="A147" s="3"/>
      <c r="B147" s="415"/>
      <c r="C147" s="424" t="s">
        <v>277</v>
      </c>
      <c r="D147" s="412"/>
      <c r="E147" s="413"/>
      <c r="F147" s="412"/>
      <c r="G147" s="413"/>
      <c r="H147" s="412"/>
      <c r="I147" s="412"/>
      <c r="J147" s="412"/>
      <c r="K147" s="412"/>
      <c r="L147" s="412"/>
      <c r="M147" s="412"/>
      <c r="N147" s="413" t="str">
        <f>Preferences.EnergyUnits</f>
        <v>TWh</v>
      </c>
      <c r="O147" s="588"/>
    </row>
    <row r="148" spans="1:15" ht="21.75" customHeight="1" collapsed="1" x14ac:dyDescent="0.25">
      <c r="A148" s="3"/>
      <c r="B148" s="415"/>
      <c r="C148" s="412"/>
      <c r="D148" s="412"/>
      <c r="E148" s="412"/>
      <c r="F148" s="412"/>
      <c r="G148" s="412"/>
      <c r="H148" s="412"/>
      <c r="I148" s="412"/>
      <c r="J148" s="412"/>
      <c r="K148" s="412"/>
      <c r="L148" s="412"/>
      <c r="M148" s="412"/>
      <c r="N148" s="412"/>
      <c r="O148" s="588"/>
    </row>
    <row r="149" spans="1:15" ht="15.75" x14ac:dyDescent="0.25">
      <c r="A149" s="3"/>
      <c r="B149" s="415"/>
      <c r="C149" s="426" t="s">
        <v>64</v>
      </c>
      <c r="D149" s="426" t="s">
        <v>150</v>
      </c>
      <c r="E149" s="426" t="s">
        <v>172</v>
      </c>
      <c r="F149" s="426" t="s">
        <v>241</v>
      </c>
      <c r="G149" s="426" t="s">
        <v>268</v>
      </c>
      <c r="H149" s="426" t="s">
        <v>269</v>
      </c>
      <c r="I149" s="426" t="s">
        <v>270</v>
      </c>
      <c r="J149" s="426" t="s">
        <v>271</v>
      </c>
      <c r="K149" s="426" t="s">
        <v>272</v>
      </c>
      <c r="L149" s="426" t="s">
        <v>273</v>
      </c>
      <c r="M149" s="426" t="s">
        <v>274</v>
      </c>
      <c r="N149" s="426" t="s">
        <v>275</v>
      </c>
    </row>
    <row r="150" spans="1:15" ht="15.75" x14ac:dyDescent="0.25">
      <c r="A150" s="3"/>
      <c r="B150" s="416"/>
      <c r="C150" s="97" t="s">
        <v>35</v>
      </c>
      <c r="D150" s="97" t="str">
        <f>INDEX(Vectors[Description], MATCH(VII.a.Outputs[Vector], Vectors[Code], 0))</f>
        <v>Electricity (supplied to grid)</v>
      </c>
      <c r="E150" s="97"/>
      <c r="F150" s="241">
        <f t="shared" ref="F150:N150" ca="1" si="35">F$131-F137</f>
        <v>-0.52500000000000002</v>
      </c>
      <c r="G150" s="241">
        <f t="shared" ca="1" si="35"/>
        <v>-0.52500000000000002</v>
      </c>
      <c r="H150" s="241">
        <f t="shared" ca="1" si="35"/>
        <v>-0.52500000000000002</v>
      </c>
      <c r="I150" s="241">
        <f t="shared" ca="1" si="35"/>
        <v>-0.52500000000000002</v>
      </c>
      <c r="J150" s="241">
        <f t="shared" ca="1" si="35"/>
        <v>12.089399999999999</v>
      </c>
      <c r="K150" s="241">
        <f t="shared" ca="1" si="35"/>
        <v>24.703800000000001</v>
      </c>
      <c r="L150" s="241">
        <f t="shared" ca="1" si="35"/>
        <v>37.318200000000004</v>
      </c>
      <c r="M150" s="241">
        <f t="shared" ca="1" si="35"/>
        <v>49.932600000000001</v>
      </c>
      <c r="N150" s="241">
        <f t="shared" ca="1" si="35"/>
        <v>62.547000000000004</v>
      </c>
    </row>
    <row r="151" spans="1:15" x14ac:dyDescent="0.2">
      <c r="C151" s="97" t="s">
        <v>47</v>
      </c>
      <c r="D151" s="97" t="str">
        <f>INDEX(Vectors[Description], MATCH(VII.a.Outputs[Vector], Vectors[Code], 0))</f>
        <v>Electricity oversupply (imports)</v>
      </c>
      <c r="E151" s="97"/>
      <c r="F151" s="241">
        <f ca="1">-F150</f>
        <v>0.52500000000000002</v>
      </c>
      <c r="G151" s="241">
        <f t="shared" ref="G151:N151" ca="1" si="36">-G150</f>
        <v>0.52500000000000002</v>
      </c>
      <c r="H151" s="241">
        <f t="shared" ca="1" si="36"/>
        <v>0.52500000000000002</v>
      </c>
      <c r="I151" s="241">
        <f t="shared" ca="1" si="36"/>
        <v>0.52500000000000002</v>
      </c>
      <c r="J151" s="241">
        <f t="shared" ca="1" si="36"/>
        <v>-12.089399999999999</v>
      </c>
      <c r="K151" s="241">
        <f t="shared" ca="1" si="36"/>
        <v>-24.703800000000001</v>
      </c>
      <c r="L151" s="241">
        <f t="shared" ca="1" si="36"/>
        <v>-37.318200000000004</v>
      </c>
      <c r="M151" s="241">
        <f t="shared" ca="1" si="36"/>
        <v>-49.932600000000001</v>
      </c>
      <c r="N151" s="241">
        <f t="shared" ca="1" si="36"/>
        <v>-62.547000000000004</v>
      </c>
    </row>
    <row r="152" spans="1:15" x14ac:dyDescent="0.2">
      <c r="C152" s="97" t="s">
        <v>105</v>
      </c>
      <c r="D152" s="97"/>
      <c r="E152" s="97"/>
      <c r="F152" s="2466">
        <f ca="1">SUBTOTAL(109,VII.a.Outputs[2010])</f>
        <v>0</v>
      </c>
      <c r="G152" s="2466">
        <f ca="1">SUBTOTAL(109,VII.a.Outputs[2015])</f>
        <v>0</v>
      </c>
      <c r="H152" s="2466">
        <f ca="1">SUBTOTAL(109,VII.a.Outputs[2020])</f>
        <v>0</v>
      </c>
      <c r="I152" s="2466">
        <f ca="1">SUBTOTAL(109,VII.a.Outputs[2025])</f>
        <v>0</v>
      </c>
      <c r="J152" s="2466">
        <f ca="1">SUBTOTAL(109,VII.a.Outputs[2030])</f>
        <v>0</v>
      </c>
      <c r="K152" s="2466">
        <f ca="1">SUBTOTAL(109,VII.a.Outputs[2035])</f>
        <v>0</v>
      </c>
      <c r="L152" s="2466">
        <f ca="1">SUBTOTAL(109,VII.a.Outputs[2040])</f>
        <v>0</v>
      </c>
      <c r="M152" s="2466">
        <f ca="1">SUBTOTAL(109,VII.a.Outputs[2045])</f>
        <v>0</v>
      </c>
      <c r="N152" s="2466">
        <f ca="1">SUBTOTAL(109,VII.a.Outputs[2050])</f>
        <v>0</v>
      </c>
    </row>
    <row r="153" spans="1:15" ht="15.75" x14ac:dyDescent="0.25">
      <c r="B153" s="416"/>
      <c r="C153" s="515"/>
      <c r="D153" s="516"/>
      <c r="E153" s="516"/>
      <c r="F153" s="516"/>
      <c r="G153" s="516"/>
      <c r="H153" s="516"/>
      <c r="I153" s="516"/>
      <c r="J153" s="516"/>
      <c r="K153" s="516"/>
      <c r="L153" s="516"/>
      <c r="M153" s="516"/>
      <c r="N153" s="516"/>
      <c r="O153" s="588"/>
    </row>
    <row r="154" spans="1:15" ht="15.75" x14ac:dyDescent="0.25">
      <c r="B154" s="416"/>
      <c r="O154" s="588"/>
    </row>
    <row r="155" spans="1:15" ht="15.75" x14ac:dyDescent="0.2">
      <c r="B155" s="1186" t="s">
        <v>1225</v>
      </c>
      <c r="C155" s="1218"/>
      <c r="D155" s="1187"/>
      <c r="E155" s="1187"/>
      <c r="F155" s="1187"/>
      <c r="G155" s="1187"/>
      <c r="H155" s="1187"/>
      <c r="I155" s="1187"/>
      <c r="J155" s="1187"/>
      <c r="K155" s="1187"/>
      <c r="L155" s="1187"/>
      <c r="M155" s="1187"/>
      <c r="N155" s="1187"/>
      <c r="O155" s="588"/>
    </row>
    <row r="156" spans="1:15" ht="15.75" x14ac:dyDescent="0.25">
      <c r="B156" s="1192"/>
      <c r="C156" s="1220"/>
      <c r="D156" s="1220"/>
      <c r="E156" s="1220"/>
      <c r="F156" s="1220"/>
      <c r="G156" s="1220"/>
      <c r="H156" s="1220"/>
      <c r="I156" s="1220"/>
      <c r="J156" s="1220"/>
      <c r="K156" s="1220"/>
      <c r="L156" s="1220"/>
      <c r="M156" s="1220"/>
      <c r="N156" s="1220"/>
      <c r="O156" s="588"/>
    </row>
    <row r="157" spans="1:15" ht="15.75" x14ac:dyDescent="0.25">
      <c r="B157" s="1192"/>
      <c r="C157" s="1222" t="s">
        <v>1230</v>
      </c>
      <c r="D157" s="1190"/>
      <c r="E157" s="1223"/>
      <c r="F157" s="1190"/>
      <c r="G157" s="1223"/>
      <c r="H157" s="1190"/>
      <c r="I157" s="1190"/>
      <c r="J157" s="1190"/>
      <c r="K157" s="1190"/>
      <c r="L157" s="1190"/>
      <c r="M157" s="1190"/>
      <c r="N157" s="1190"/>
      <c r="O157" s="588"/>
    </row>
    <row r="158" spans="1:15" ht="15.75" x14ac:dyDescent="0.25">
      <c r="B158" s="1192"/>
      <c r="C158" s="1190"/>
      <c r="D158" s="1190"/>
      <c r="E158" s="1190"/>
      <c r="F158" s="1190"/>
      <c r="G158" s="1190"/>
      <c r="H158" s="1190"/>
      <c r="I158" s="1190"/>
      <c r="J158" s="1190"/>
      <c r="K158" s="1190"/>
      <c r="L158" s="1190"/>
      <c r="M158" s="1190"/>
      <c r="N158" s="1190"/>
      <c r="O158" s="588"/>
    </row>
    <row r="159" spans="1:15" ht="15.75" x14ac:dyDescent="0.25">
      <c r="B159" s="1436"/>
      <c r="C159" s="1193" t="s">
        <v>64</v>
      </c>
      <c r="D159" s="1193" t="s">
        <v>1226</v>
      </c>
      <c r="E159" s="1193" t="s">
        <v>172</v>
      </c>
      <c r="F159" s="1193" t="s">
        <v>241</v>
      </c>
      <c r="G159" s="1193" t="s">
        <v>268</v>
      </c>
      <c r="H159" s="1193" t="s">
        <v>269</v>
      </c>
      <c r="I159" s="1193" t="s">
        <v>270</v>
      </c>
      <c r="J159" s="1193" t="s">
        <v>271</v>
      </c>
      <c r="K159" s="1193" t="s">
        <v>272</v>
      </c>
      <c r="L159" s="1193" t="s">
        <v>273</v>
      </c>
      <c r="M159" s="1193" t="s">
        <v>274</v>
      </c>
      <c r="N159" s="1193" t="s">
        <v>275</v>
      </c>
    </row>
    <row r="160" spans="1:15" ht="15.75" x14ac:dyDescent="0.25">
      <c r="B160" s="1728"/>
      <c r="C160" s="1438" t="s">
        <v>1594</v>
      </c>
      <c r="D160" s="1439" t="str">
        <f>INDEX(Vectors[Description], MATCH(VII.a.info[Vector], Vectors[Code], 0))</f>
        <v>Interconnector capacity</v>
      </c>
      <c r="E160" s="1195" t="str">
        <f>Preferences.PowerUnits</f>
        <v>GW</v>
      </c>
      <c r="F160" s="1226">
        <f t="shared" ref="F160:N160" ca="1" si="37">F140+F134</f>
        <v>0</v>
      </c>
      <c r="G160" s="1226">
        <f t="shared" ca="1" si="37"/>
        <v>0</v>
      </c>
      <c r="H160" s="1226">
        <f t="shared" ca="1" si="37"/>
        <v>0</v>
      </c>
      <c r="I160" s="1226">
        <f t="shared" ca="1" si="37"/>
        <v>0</v>
      </c>
      <c r="J160" s="1226">
        <f t="shared" ca="1" si="37"/>
        <v>1.7765609552057184</v>
      </c>
      <c r="K160" s="1226">
        <f t="shared" ca="1" si="37"/>
        <v>3.5531219104114369</v>
      </c>
      <c r="L160" s="1226">
        <f t="shared" ca="1" si="37"/>
        <v>5.3296828656171575</v>
      </c>
      <c r="M160" s="1226">
        <f t="shared" ca="1" si="37"/>
        <v>7.1062438208228738</v>
      </c>
      <c r="N160" s="1226">
        <f t="shared" ca="1" si="37"/>
        <v>8.8828047760285944</v>
      </c>
    </row>
    <row r="161" spans="2:15" x14ac:dyDescent="0.2">
      <c r="B161" s="1433"/>
      <c r="C161" s="1197"/>
      <c r="D161" s="1197"/>
      <c r="E161" s="1197"/>
      <c r="F161" s="1197"/>
      <c r="G161" s="1197"/>
      <c r="H161" s="1197"/>
      <c r="I161" s="1197"/>
      <c r="J161" s="1197"/>
      <c r="K161" s="1197"/>
      <c r="L161" s="1197"/>
      <c r="M161" s="1197"/>
      <c r="N161" s="1197"/>
      <c r="O161" s="588"/>
    </row>
    <row r="162" spans="2:15" x14ac:dyDescent="0.2">
      <c r="B162" s="2479"/>
      <c r="O162" s="588"/>
    </row>
    <row r="163" spans="2:15" x14ac:dyDescent="0.2">
      <c r="C163" s="2479"/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 enableFormatConditionsCalculation="0">
    <tabColor theme="9"/>
    <outlinePr summaryBelow="0"/>
    <pageSetUpPr autoPageBreaks="0"/>
  </sheetPr>
  <dimension ref="A1:Q140"/>
  <sheetViews>
    <sheetView windowProtection="1" zoomScaleNormal="100" workbookViewId="0"/>
  </sheetViews>
  <sheetFormatPr defaultColWidth="8.7109375" defaultRowHeight="12.75" x14ac:dyDescent="0.2"/>
  <cols>
    <col min="1" max="1" width="7.7109375" style="38" customWidth="1"/>
    <col min="2" max="2" width="5.7109375" style="38" customWidth="1"/>
    <col min="3" max="3" width="20.42578125" style="38" customWidth="1"/>
    <col min="4" max="4" width="30.7109375" style="38" customWidth="1"/>
    <col min="5" max="5" width="20.7109375" style="38" customWidth="1"/>
    <col min="6" max="15" width="17.7109375" style="38" customWidth="1"/>
    <col min="16" max="16" width="2" style="38" customWidth="1"/>
    <col min="17" max="17" width="10.7109375" style="38" customWidth="1"/>
    <col min="18" max="16384" width="8.7109375" style="38"/>
  </cols>
  <sheetData>
    <row r="1" spans="1:16" ht="21" x14ac:dyDescent="0.35">
      <c r="A1" s="119" t="s">
        <v>226</v>
      </c>
      <c r="B1" s="119" t="str">
        <f>INDEX(Workstreams[Workstream], MATCH($A1, Workstreams[Code], 0))</f>
        <v>Electricity distribution, storage &amp; balancing</v>
      </c>
      <c r="C1" s="119"/>
    </row>
    <row r="2" spans="1:16" s="84" customFormat="1" ht="19.5" customHeight="1" x14ac:dyDescent="0.2">
      <c r="A2" s="6" t="s">
        <v>313</v>
      </c>
      <c r="B2" s="6" t="str">
        <f>INDEX(Modules[Module], MATCH($A2, Modules[Code], 0))</f>
        <v>Electricity grid distribution</v>
      </c>
      <c r="C2" s="6"/>
      <c r="E2" s="1380"/>
    </row>
    <row r="4" spans="1:16" ht="22.5" collapsed="1" x14ac:dyDescent="0.3">
      <c r="A4" s="409"/>
      <c r="B4" s="468" t="s">
        <v>235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P5" s="414"/>
    </row>
    <row r="6" spans="1:16" x14ac:dyDescent="0.2">
      <c r="B6" s="410"/>
      <c r="C6" s="424" t="s">
        <v>310</v>
      </c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3" t="str">
        <f>Preferences.EnergyUnits</f>
        <v>TWh</v>
      </c>
      <c r="P6" s="414"/>
    </row>
    <row r="7" spans="1:16" ht="6" customHeight="1" x14ac:dyDescent="0.2">
      <c r="B7" s="410"/>
      <c r="C7" s="411"/>
      <c r="D7" s="412"/>
      <c r="E7" s="413"/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s="84" customFormat="1" ht="15.75" x14ac:dyDescent="0.2">
      <c r="A8" s="89"/>
      <c r="B8" s="425"/>
      <c r="C8" s="426" t="s">
        <v>64</v>
      </c>
      <c r="D8" s="426" t="s">
        <v>150</v>
      </c>
      <c r="E8" s="426" t="s">
        <v>172</v>
      </c>
      <c r="F8" s="426" t="s">
        <v>241</v>
      </c>
      <c r="G8" s="427" t="s">
        <v>268</v>
      </c>
      <c r="H8" s="427" t="s">
        <v>269</v>
      </c>
      <c r="I8" s="427" t="s">
        <v>270</v>
      </c>
      <c r="J8" s="427" t="s">
        <v>271</v>
      </c>
      <c r="K8" s="427" t="s">
        <v>272</v>
      </c>
      <c r="L8" s="427" t="s">
        <v>273</v>
      </c>
      <c r="M8" s="427" t="s">
        <v>274</v>
      </c>
      <c r="N8" s="427" t="s">
        <v>275</v>
      </c>
      <c r="O8" s="428"/>
    </row>
    <row r="9" spans="1:16" s="84" customFormat="1" ht="18" customHeight="1" x14ac:dyDescent="0.2">
      <c r="A9" s="89"/>
      <c r="B9" s="425"/>
      <c r="C9" s="97" t="s">
        <v>34</v>
      </c>
      <c r="D9" s="97" t="str">
        <f>INDEX(Vectors[Description], MATCH(VII.b.Inputs[Vector], Vectors[Code], 0))</f>
        <v>Electricity (delivered to end user)</v>
      </c>
      <c r="E9" s="97"/>
      <c r="F9" s="500">
        <f ca="1">INDEX(INDIRECT("'"&amp;VII.b.Inputs[#Headers]&amp;"'!Year.Matrix"), MATCH("Subtotal."&amp;$A$2, INDIRECT("'"&amp;VII.b.Inputs[#Headers]&amp;"'!Year.Modules"), 0), MATCH(VII.b.Inputs[Vector], INDIRECT("'"&amp;VII.b.Inputs[#Headers]&amp;"'!Year.Vectors"), 0))</f>
        <v>-117.07862642129547</v>
      </c>
      <c r="G9" s="500">
        <f ca="1">INDEX(INDIRECT("'"&amp;VII.b.Inputs[#Headers]&amp;"'!Year.Matrix"), MATCH("Subtotal."&amp;$A$2, INDIRECT("'"&amp;VII.b.Inputs[#Headers]&amp;"'!Year.Modules"), 0), MATCH(VII.b.Inputs[Vector], INDIRECT("'"&amp;VII.b.Inputs[#Headers]&amp;"'!Year.Vectors"), 0))</f>
        <v>-138.16092956568079</v>
      </c>
      <c r="H9" s="500">
        <f ca="1">INDEX(INDIRECT("'"&amp;VII.b.Inputs[#Headers]&amp;"'!Year.Matrix"), MATCH("Subtotal."&amp;$A$2, INDIRECT("'"&amp;VII.b.Inputs[#Headers]&amp;"'!Year.Modules"), 0), MATCH(VII.b.Inputs[Vector], INDIRECT("'"&amp;VII.b.Inputs[#Headers]&amp;"'!Year.Vectors"), 0))</f>
        <v>-192.24084077257035</v>
      </c>
      <c r="I9" s="500">
        <f ca="1">INDEX(INDIRECT("'"&amp;VII.b.Inputs[#Headers]&amp;"'!Year.Matrix"), MATCH("Subtotal."&amp;$A$2, INDIRECT("'"&amp;VII.b.Inputs[#Headers]&amp;"'!Year.Modules"), 0), MATCH(VII.b.Inputs[Vector], INDIRECT("'"&amp;VII.b.Inputs[#Headers]&amp;"'!Year.Vectors"), 0))</f>
        <v>-289.18504122724516</v>
      </c>
      <c r="J9" s="500">
        <f ca="1">INDEX(INDIRECT("'"&amp;VII.b.Inputs[#Headers]&amp;"'!Year.Matrix"), MATCH("Subtotal."&amp;$A$2, INDIRECT("'"&amp;VII.b.Inputs[#Headers]&amp;"'!Year.Modules"), 0), MATCH(VII.b.Inputs[Vector], INDIRECT("'"&amp;VII.b.Inputs[#Headers]&amp;"'!Year.Vectors"), 0))</f>
        <v>-388.87602401750888</v>
      </c>
      <c r="K9" s="500">
        <f ca="1">INDEX(INDIRECT("'"&amp;VII.b.Inputs[#Headers]&amp;"'!Year.Matrix"), MATCH("Subtotal."&amp;$A$2, INDIRECT("'"&amp;VII.b.Inputs[#Headers]&amp;"'!Year.Modules"), 0), MATCH(VII.b.Inputs[Vector], INDIRECT("'"&amp;VII.b.Inputs[#Headers]&amp;"'!Year.Vectors"), 0))</f>
        <v>-530.14446047320098</v>
      </c>
      <c r="L9" s="500">
        <f ca="1">INDEX(INDIRECT("'"&amp;VII.b.Inputs[#Headers]&amp;"'!Year.Matrix"), MATCH("Subtotal."&amp;$A$2, INDIRECT("'"&amp;VII.b.Inputs[#Headers]&amp;"'!Year.Modules"), 0), MATCH(VII.b.Inputs[Vector], INDIRECT("'"&amp;VII.b.Inputs[#Headers]&amp;"'!Year.Vectors"), 0))</f>
        <v>-659.56399429121348</v>
      </c>
      <c r="M9" s="500">
        <f ca="1">INDEX(INDIRECT("'"&amp;VII.b.Inputs[#Headers]&amp;"'!Year.Matrix"), MATCH("Subtotal."&amp;$A$2, INDIRECT("'"&amp;VII.b.Inputs[#Headers]&amp;"'!Year.Modules"), 0), MATCH(VII.b.Inputs[Vector], INDIRECT("'"&amp;VII.b.Inputs[#Headers]&amp;"'!Year.Vectors"), 0))</f>
        <v>-797.53692959998352</v>
      </c>
      <c r="N9" s="500">
        <f ca="1">INDEX(INDIRECT("'"&amp;VII.b.Inputs[#Headers]&amp;"'!Year.Matrix"), MATCH("Subtotal."&amp;$A$2, INDIRECT("'"&amp;VII.b.Inputs[#Headers]&amp;"'!Year.Modules"), 0), MATCH(VII.b.Inputs[Vector], INDIRECT("'"&amp;VII.b.Inputs[#Headers]&amp;"'!Year.Vectors"), 0))</f>
        <v>-946.39709827169258</v>
      </c>
      <c r="O9" s="429"/>
    </row>
    <row r="10" spans="1:16" s="84" customFormat="1" ht="18" customHeight="1" x14ac:dyDescent="0.2">
      <c r="A10" s="89"/>
      <c r="B10" s="425"/>
      <c r="C10" s="522"/>
      <c r="D10" s="522" t="s">
        <v>1462</v>
      </c>
      <c r="E10" s="522" t="str">
        <f>Preferences.PowerUnits</f>
        <v>GW</v>
      </c>
      <c r="F10" s="2608">
        <f t="array" aca="1" ref="F10:N10" ca="1">Peak_Electricity_Generation_Capacity</f>
        <v>31.876154125983817</v>
      </c>
      <c r="G10" s="2608">
        <f ca="1"/>
        <v>35.890054991993203</v>
      </c>
      <c r="H10" s="2608">
        <f ca="1"/>
        <v>55.535469994919801</v>
      </c>
      <c r="I10" s="2608">
        <f ca="1"/>
        <v>88.545857142857145</v>
      </c>
      <c r="J10" s="2608">
        <f ca="1"/>
        <v>136.93668571428572</v>
      </c>
      <c r="K10" s="2608">
        <f ca="1"/>
        <v>202.8275142857143</v>
      </c>
      <c r="L10" s="2608">
        <f ca="1"/>
        <v>259.52834285714283</v>
      </c>
      <c r="M10" s="2608">
        <f ca="1"/>
        <v>328.01917142857138</v>
      </c>
      <c r="N10" s="2608">
        <f ca="1"/>
        <v>409.40999999999997</v>
      </c>
      <c r="O10" s="1396"/>
      <c r="P10" s="429"/>
    </row>
    <row r="11" spans="1:16" x14ac:dyDescent="0.2">
      <c r="B11" s="430"/>
      <c r="C11" s="418"/>
      <c r="D11" s="418"/>
      <c r="E11" s="418"/>
      <c r="F11" s="418"/>
      <c r="G11" s="418"/>
      <c r="H11" s="418"/>
      <c r="I11" s="418"/>
      <c r="J11" s="418"/>
      <c r="K11" s="418"/>
      <c r="L11" s="418"/>
      <c r="M11" s="418"/>
      <c r="N11" s="418"/>
      <c r="O11" s="418"/>
      <c r="P11" s="419"/>
    </row>
    <row r="13" spans="1:16" s="84" customFormat="1" ht="22.5" collapsed="1" x14ac:dyDescent="0.2">
      <c r="A13" s="408"/>
      <c r="B13" s="472" t="s">
        <v>315</v>
      </c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N13" s="405"/>
      <c r="O13" s="406"/>
    </row>
    <row r="14" spans="1:16" x14ac:dyDescent="0.2">
      <c r="B14" s="395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396"/>
    </row>
    <row r="15" spans="1:16" x14ac:dyDescent="0.2">
      <c r="B15" s="395"/>
      <c r="C15" s="175" t="s">
        <v>412</v>
      </c>
      <c r="D15" s="173"/>
      <c r="E15" s="176"/>
      <c r="F15" s="173"/>
      <c r="G15" s="173"/>
      <c r="H15" s="173"/>
      <c r="I15" s="173"/>
      <c r="J15" s="173"/>
      <c r="K15" s="173"/>
      <c r="L15" s="173"/>
      <c r="M15" s="173"/>
      <c r="N15" s="173"/>
      <c r="O15" s="396"/>
    </row>
    <row r="16" spans="1:16" ht="6" customHeight="1" x14ac:dyDescent="0.2">
      <c r="B16" s="395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396"/>
    </row>
    <row r="17" spans="1:16" ht="15.75" x14ac:dyDescent="0.25">
      <c r="B17" s="397"/>
      <c r="C17" s="98" t="s">
        <v>64</v>
      </c>
      <c r="D17" s="98" t="s">
        <v>150</v>
      </c>
      <c r="E17" s="98" t="s">
        <v>172</v>
      </c>
      <c r="F17" s="218">
        <v>2010</v>
      </c>
      <c r="G17" s="217">
        <v>2015</v>
      </c>
      <c r="H17" s="217">
        <v>2020</v>
      </c>
      <c r="I17" s="217">
        <v>2025</v>
      </c>
      <c r="J17" s="217">
        <v>2030</v>
      </c>
      <c r="K17" s="217">
        <v>2035</v>
      </c>
      <c r="L17" s="217">
        <v>2040</v>
      </c>
      <c r="M17" s="217">
        <v>2045</v>
      </c>
      <c r="N17" s="217">
        <v>2050</v>
      </c>
      <c r="O17" s="396"/>
    </row>
    <row r="18" spans="1:16" s="84" customFormat="1" ht="15.75" x14ac:dyDescent="0.2">
      <c r="B18" s="399"/>
      <c r="C18" s="121" t="s">
        <v>27</v>
      </c>
      <c r="D18" s="122" t="str">
        <f>INDEX(Vectors[Description], MATCH($C18, Vectors[Code], 0))</f>
        <v>Distribution losses and own use</v>
      </c>
      <c r="E18" s="122"/>
      <c r="F18" s="141">
        <v>0.17</v>
      </c>
      <c r="G18" s="137">
        <f>$F$18</f>
        <v>0.17</v>
      </c>
      <c r="H18" s="137">
        <v>0.15</v>
      </c>
      <c r="I18" s="137">
        <v>0.15</v>
      </c>
      <c r="J18" s="137">
        <v>0.15</v>
      </c>
      <c r="K18" s="137">
        <v>0.12</v>
      </c>
      <c r="L18" s="137">
        <v>0.12</v>
      </c>
      <c r="M18" s="137">
        <v>0.1</v>
      </c>
      <c r="N18" s="137">
        <v>0.1</v>
      </c>
      <c r="O18" s="400"/>
    </row>
    <row r="19" spans="1:16" x14ac:dyDescent="0.2">
      <c r="B19" s="401"/>
      <c r="C19" s="1416"/>
      <c r="D19" s="177"/>
      <c r="E19" s="1416"/>
      <c r="F19" s="1416"/>
      <c r="G19" s="1416"/>
      <c r="H19" s="1416"/>
      <c r="I19" s="1416"/>
      <c r="J19" s="1416"/>
      <c r="K19" s="1416"/>
      <c r="L19" s="1416"/>
      <c r="M19" s="1416"/>
      <c r="N19" s="1416"/>
      <c r="O19" s="1420"/>
    </row>
    <row r="20" spans="1:16" s="1946" customFormat="1" x14ac:dyDescent="0.2">
      <c r="B20" s="578"/>
      <c r="C20" s="1417" t="s">
        <v>1466</v>
      </c>
      <c r="D20" s="1961" t="s">
        <v>1467</v>
      </c>
      <c r="E20" s="1416"/>
      <c r="F20" s="1416"/>
      <c r="G20" s="1416"/>
      <c r="H20" s="1416"/>
      <c r="I20" s="1416"/>
      <c r="J20" s="1416"/>
      <c r="K20" s="1416"/>
      <c r="L20" s="1416"/>
      <c r="M20" s="1416"/>
      <c r="N20" s="1416"/>
      <c r="O20" s="1416"/>
    </row>
    <row r="21" spans="1:16" s="1946" customFormat="1" ht="4.5" customHeight="1" x14ac:dyDescent="0.2">
      <c r="B21" s="578"/>
      <c r="C21" s="1417"/>
      <c r="D21" s="177"/>
      <c r="E21" s="1416"/>
      <c r="F21" s="1416"/>
      <c r="G21" s="1416"/>
      <c r="H21" s="1416"/>
      <c r="I21" s="1416"/>
      <c r="J21" s="1416"/>
      <c r="K21" s="1416"/>
      <c r="L21" s="1416"/>
      <c r="M21" s="1416"/>
      <c r="N21" s="1416"/>
      <c r="O21" s="1416"/>
    </row>
    <row r="22" spans="1:16" s="1946" customFormat="1" x14ac:dyDescent="0.2">
      <c r="B22" s="578"/>
      <c r="C22" s="1962" t="s">
        <v>1884</v>
      </c>
      <c r="D22" s="1963">
        <v>20</v>
      </c>
      <c r="E22" s="1416"/>
      <c r="F22" s="1416"/>
      <c r="G22" s="1416"/>
      <c r="H22" s="1416"/>
      <c r="I22" s="1416"/>
      <c r="J22" s="1416"/>
      <c r="K22" s="1416"/>
      <c r="L22" s="1416"/>
      <c r="M22" s="1416"/>
      <c r="N22" s="1416"/>
      <c r="O22" s="1416"/>
    </row>
    <row r="23" spans="1:16" s="1946" customFormat="1" x14ac:dyDescent="0.2">
      <c r="B23" s="578"/>
      <c r="C23" s="1263" t="s">
        <v>1885</v>
      </c>
      <c r="D23" s="1964">
        <v>20</v>
      </c>
      <c r="E23" s="1416"/>
      <c r="F23" s="1416"/>
      <c r="G23" s="1416"/>
      <c r="H23" s="1416"/>
      <c r="I23" s="1416"/>
      <c r="J23" s="1416"/>
      <c r="K23" s="1416"/>
      <c r="L23" s="1416"/>
      <c r="M23" s="1416"/>
      <c r="N23" s="1416"/>
      <c r="O23" s="1416"/>
    </row>
    <row r="24" spans="1:16" s="81" customFormat="1" ht="10.5" x14ac:dyDescent="0.15">
      <c r="B24" s="1871"/>
      <c r="C24" s="1871"/>
      <c r="D24" s="1871"/>
      <c r="E24" s="1871"/>
      <c r="F24" s="1871"/>
      <c r="G24" s="1871"/>
      <c r="H24" s="1871"/>
      <c r="I24" s="1871"/>
      <c r="J24" s="1871"/>
      <c r="K24" s="1871"/>
      <c r="L24" s="1871"/>
      <c r="M24" s="1871"/>
      <c r="N24" s="1871"/>
      <c r="O24" s="1871"/>
    </row>
    <row r="25" spans="1:16" x14ac:dyDescent="0.2">
      <c r="B25" s="462"/>
      <c r="C25" s="486"/>
      <c r="D25" s="489"/>
      <c r="E25" s="465"/>
      <c r="F25" s="465"/>
      <c r="G25" s="465"/>
      <c r="H25" s="465"/>
      <c r="I25" s="465"/>
      <c r="J25" s="465"/>
      <c r="K25" s="465"/>
      <c r="L25" s="465"/>
      <c r="M25" s="465"/>
      <c r="N25" s="465"/>
      <c r="O25" s="466"/>
    </row>
    <row r="26" spans="1:16" s="588" customFormat="1" x14ac:dyDescent="0.2">
      <c r="B26" s="402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4"/>
    </row>
    <row r="27" spans="1:16" s="84" customFormat="1" ht="15.75" customHeight="1" x14ac:dyDescent="0.2">
      <c r="A27" s="408"/>
    </row>
    <row r="28" spans="1:16" s="1395" customFormat="1" ht="15.75" x14ac:dyDescent="0.2">
      <c r="B28" s="1423" t="s">
        <v>1417</v>
      </c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1965"/>
    </row>
    <row r="29" spans="1:16" s="1395" customFormat="1" x14ac:dyDescent="0.2">
      <c r="B29" s="473"/>
      <c r="C29" s="458"/>
      <c r="D29" s="458"/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1377"/>
    </row>
    <row r="30" spans="1:16" s="1395" customFormat="1" x14ac:dyDescent="0.2">
      <c r="B30" s="1419"/>
      <c r="C30" s="1417" t="str">
        <f>"Capital cost of Transmission Grid "</f>
        <v xml:space="preserve">Capital cost of Transmission Grid </v>
      </c>
      <c r="D30" s="107"/>
      <c r="E30" s="1081"/>
      <c r="F30" s="1055"/>
      <c r="G30" s="760"/>
      <c r="H30" s="760"/>
      <c r="I30" s="760"/>
      <c r="J30" s="760"/>
      <c r="K30" s="760"/>
      <c r="L30" s="760"/>
      <c r="M30" s="760"/>
      <c r="N30" s="1255" t="str">
        <f>Preferences.moneyunits&amp;"/"&amp;Preferences.PowerUnits</f>
        <v>N/GW</v>
      </c>
      <c r="O30" s="1377"/>
      <c r="P30" s="37"/>
    </row>
    <row r="31" spans="1:16" s="1395" customFormat="1" ht="6" customHeight="1" x14ac:dyDescent="0.2">
      <c r="B31" s="1419"/>
      <c r="C31" s="1848"/>
      <c r="D31" s="107"/>
      <c r="E31" s="1081"/>
      <c r="F31" s="1055"/>
      <c r="G31" s="760"/>
      <c r="H31" s="760"/>
      <c r="I31" s="760"/>
      <c r="J31" s="760"/>
      <c r="K31" s="760"/>
      <c r="L31" s="760"/>
      <c r="M31" s="760"/>
      <c r="N31" s="1416"/>
      <c r="O31" s="1377"/>
      <c r="P31" s="37"/>
    </row>
    <row r="32" spans="1:16" s="1395" customFormat="1" x14ac:dyDescent="0.2">
      <c r="B32" s="1419"/>
      <c r="C32" s="1101"/>
      <c r="D32" s="1519"/>
      <c r="E32" s="1567" t="s">
        <v>1321</v>
      </c>
      <c r="F32" s="1948">
        <v>2010</v>
      </c>
      <c r="G32" s="1845">
        <v>2015</v>
      </c>
      <c r="H32" s="1845">
        <v>2020</v>
      </c>
      <c r="I32" s="1845">
        <v>2025</v>
      </c>
      <c r="J32" s="1845">
        <v>2030</v>
      </c>
      <c r="K32" s="1845">
        <v>2035</v>
      </c>
      <c r="L32" s="1845">
        <v>2040</v>
      </c>
      <c r="M32" s="1845">
        <v>2045</v>
      </c>
      <c r="N32" s="1845">
        <v>2050</v>
      </c>
      <c r="O32" s="1377"/>
      <c r="P32" s="37"/>
    </row>
    <row r="33" spans="2:16" s="1395" customFormat="1" x14ac:dyDescent="0.2">
      <c r="B33" s="1419"/>
      <c r="C33" s="1846" t="s">
        <v>1871</v>
      </c>
      <c r="D33" s="1519"/>
      <c r="E33" s="1847">
        <f>(N33-F33)/(N$32-F$32)</f>
        <v>0</v>
      </c>
      <c r="F33" s="1272">
        <f>250*481*NAIRA2010_/Unit.kW</f>
        <v>120250000000</v>
      </c>
      <c r="G33" s="1852">
        <f t="shared" ref="G33:M35" si="0">($E33*(G$32-F$32))+F33</f>
        <v>120250000000</v>
      </c>
      <c r="H33" s="1852">
        <f t="shared" si="0"/>
        <v>120250000000</v>
      </c>
      <c r="I33" s="1852">
        <f t="shared" si="0"/>
        <v>120250000000</v>
      </c>
      <c r="J33" s="1852">
        <f t="shared" si="0"/>
        <v>120250000000</v>
      </c>
      <c r="K33" s="1852">
        <f t="shared" si="0"/>
        <v>120250000000</v>
      </c>
      <c r="L33" s="1852">
        <f t="shared" si="0"/>
        <v>120250000000</v>
      </c>
      <c r="M33" s="1852">
        <f t="shared" si="0"/>
        <v>120250000000</v>
      </c>
      <c r="N33" s="1272">
        <f>250*481*NAIRA2010_/Unit.kW</f>
        <v>120250000000</v>
      </c>
      <c r="O33" s="1377"/>
      <c r="P33" s="37"/>
    </row>
    <row r="34" spans="2:16" s="1395" customFormat="1" x14ac:dyDescent="0.2">
      <c r="B34" s="1419"/>
      <c r="C34" s="606" t="s">
        <v>1872</v>
      </c>
      <c r="D34" s="107"/>
      <c r="E34" s="188">
        <f>(N34-F34)/(N$32-F$32)</f>
        <v>0</v>
      </c>
      <c r="F34" s="206">
        <f>250*150*NAIRA2010_/Unit.kW</f>
        <v>37500000000</v>
      </c>
      <c r="G34" s="1849">
        <f t="shared" si="0"/>
        <v>37500000000</v>
      </c>
      <c r="H34" s="1849">
        <f t="shared" si="0"/>
        <v>37500000000</v>
      </c>
      <c r="I34" s="1849">
        <f t="shared" si="0"/>
        <v>37500000000</v>
      </c>
      <c r="J34" s="1849">
        <f t="shared" si="0"/>
        <v>37500000000</v>
      </c>
      <c r="K34" s="1849">
        <f t="shared" si="0"/>
        <v>37500000000</v>
      </c>
      <c r="L34" s="1849">
        <f t="shared" si="0"/>
        <v>37500000000</v>
      </c>
      <c r="M34" s="1849">
        <f t="shared" si="0"/>
        <v>37500000000</v>
      </c>
      <c r="N34" s="206">
        <f>250*150*NAIRA2010_/Unit.kW</f>
        <v>37500000000</v>
      </c>
      <c r="O34" s="1377"/>
      <c r="P34" s="37"/>
    </row>
    <row r="35" spans="2:16" s="1395" customFormat="1" x14ac:dyDescent="0.2">
      <c r="B35" s="1419"/>
      <c r="C35" s="1731" t="s">
        <v>1873</v>
      </c>
      <c r="D35" s="189"/>
      <c r="E35" s="191">
        <f>(N35-F35)/(N$32-F$32)</f>
        <v>0</v>
      </c>
      <c r="F35" s="693">
        <f>250*82*NAIRA2010_/Unit.kW</f>
        <v>20500000000</v>
      </c>
      <c r="G35" s="1850">
        <f t="shared" si="0"/>
        <v>20500000000</v>
      </c>
      <c r="H35" s="1850">
        <f t="shared" si="0"/>
        <v>20500000000</v>
      </c>
      <c r="I35" s="1850">
        <f t="shared" si="0"/>
        <v>20500000000</v>
      </c>
      <c r="J35" s="1850">
        <f t="shared" si="0"/>
        <v>20500000000</v>
      </c>
      <c r="K35" s="1850">
        <f t="shared" si="0"/>
        <v>20500000000</v>
      </c>
      <c r="L35" s="1850">
        <f t="shared" si="0"/>
        <v>20500000000</v>
      </c>
      <c r="M35" s="1850">
        <f t="shared" si="0"/>
        <v>20500000000</v>
      </c>
      <c r="N35" s="693">
        <f>250*82*NAIRA2010_/Unit.kW</f>
        <v>20500000000</v>
      </c>
      <c r="O35" s="1377"/>
      <c r="P35" s="37"/>
    </row>
    <row r="36" spans="2:16" s="1395" customFormat="1" x14ac:dyDescent="0.2">
      <c r="B36" s="1419"/>
      <c r="C36" s="1848"/>
      <c r="D36" s="107"/>
      <c r="E36" s="1081"/>
      <c r="F36" s="1947"/>
      <c r="G36" s="760"/>
      <c r="H36" s="760"/>
      <c r="I36" s="760"/>
      <c r="J36" s="760"/>
      <c r="K36" s="760"/>
      <c r="L36" s="760"/>
      <c r="M36" s="760"/>
      <c r="N36" s="1416"/>
      <c r="O36" s="1377"/>
      <c r="P36" s="37"/>
    </row>
    <row r="37" spans="2:16" s="1395" customFormat="1" x14ac:dyDescent="0.2">
      <c r="B37" s="1419"/>
      <c r="C37" s="1417" t="str">
        <f>"Operating cost of Transmission Grid"</f>
        <v>Operating cost of Transmission Grid</v>
      </c>
      <c r="D37" s="107"/>
      <c r="E37" s="1081"/>
      <c r="F37" s="1947"/>
      <c r="G37" s="760"/>
      <c r="H37" s="760"/>
      <c r="I37" s="760"/>
      <c r="J37" s="760"/>
      <c r="K37" s="760"/>
      <c r="L37" s="760"/>
      <c r="M37" s="760"/>
      <c r="N37" s="1255" t="str">
        <f>Preferences.moneyunits&amp;"/"&amp;Preferences.PowerUnits</f>
        <v>N/GW</v>
      </c>
      <c r="O37" s="1377"/>
      <c r="P37" s="37"/>
    </row>
    <row r="38" spans="2:16" s="1395" customFormat="1" ht="6" customHeight="1" x14ac:dyDescent="0.2">
      <c r="B38" s="1419"/>
      <c r="C38" s="1848"/>
      <c r="D38" s="107"/>
      <c r="E38" s="1081"/>
      <c r="F38" s="1947"/>
      <c r="G38" s="760"/>
      <c r="H38" s="760"/>
      <c r="I38" s="760"/>
      <c r="J38" s="760"/>
      <c r="K38" s="760"/>
      <c r="L38" s="760"/>
      <c r="M38" s="760"/>
      <c r="N38" s="1416"/>
      <c r="O38" s="1377"/>
      <c r="P38" s="37"/>
    </row>
    <row r="39" spans="2:16" s="1395" customFormat="1" x14ac:dyDescent="0.2">
      <c r="B39" s="1419"/>
      <c r="C39" s="1101"/>
      <c r="D39" s="1519"/>
      <c r="E39" s="1567" t="s">
        <v>1321</v>
      </c>
      <c r="F39" s="1948">
        <v>2010</v>
      </c>
      <c r="G39" s="1845">
        <v>2015</v>
      </c>
      <c r="H39" s="1845">
        <v>2020</v>
      </c>
      <c r="I39" s="1845">
        <v>2025</v>
      </c>
      <c r="J39" s="1845">
        <v>2030</v>
      </c>
      <c r="K39" s="1845">
        <v>2035</v>
      </c>
      <c r="L39" s="1845">
        <v>2040</v>
      </c>
      <c r="M39" s="1845">
        <v>2045</v>
      </c>
      <c r="N39" s="1845">
        <v>2050</v>
      </c>
      <c r="O39" s="1377"/>
      <c r="P39" s="37"/>
    </row>
    <row r="40" spans="2:16" s="1395" customFormat="1" x14ac:dyDescent="0.2">
      <c r="B40" s="1419"/>
      <c r="C40" s="1846" t="s">
        <v>1871</v>
      </c>
      <c r="D40" s="1519"/>
      <c r="E40" s="1847">
        <f>(N40-F40)/(N$39-F$39)</f>
        <v>0</v>
      </c>
      <c r="F40" s="2235">
        <f>250*12*NAIRA2010_/Unit.kW</f>
        <v>3000000000</v>
      </c>
      <c r="G40" s="1847">
        <f>($E40*(G$39-F$39))+F40</f>
        <v>3000000000</v>
      </c>
      <c r="H40" s="1847">
        <f t="shared" ref="H40:M40" si="1">($E40*(H$39-G$39))+G40</f>
        <v>3000000000</v>
      </c>
      <c r="I40" s="1847">
        <f t="shared" si="1"/>
        <v>3000000000</v>
      </c>
      <c r="J40" s="1847">
        <f t="shared" si="1"/>
        <v>3000000000</v>
      </c>
      <c r="K40" s="1847">
        <f t="shared" si="1"/>
        <v>3000000000</v>
      </c>
      <c r="L40" s="1847">
        <f t="shared" si="1"/>
        <v>3000000000</v>
      </c>
      <c r="M40" s="1847">
        <f t="shared" si="1"/>
        <v>3000000000</v>
      </c>
      <c r="N40" s="2235">
        <f>250*12*NAIRA2010_/Unit.kW</f>
        <v>3000000000</v>
      </c>
      <c r="O40" s="1377"/>
      <c r="P40" s="37"/>
    </row>
    <row r="41" spans="2:16" x14ac:dyDescent="0.2">
      <c r="B41" s="1419"/>
      <c r="C41" s="606" t="s">
        <v>1872</v>
      </c>
      <c r="D41" s="107"/>
      <c r="E41" s="188">
        <f>(N41-F41)/(N$39-F$39)</f>
        <v>0</v>
      </c>
      <c r="F41" s="954">
        <f>250*12*NAIRA2010_/Unit.kW</f>
        <v>3000000000</v>
      </c>
      <c r="G41" s="954">
        <f t="shared" ref="G41:M41" si="2">12*MGBP*Price2010/Unit.GW</f>
        <v>3000000000</v>
      </c>
      <c r="H41" s="954">
        <f t="shared" si="2"/>
        <v>3000000000</v>
      </c>
      <c r="I41" s="954">
        <f t="shared" si="2"/>
        <v>3000000000</v>
      </c>
      <c r="J41" s="954">
        <f t="shared" si="2"/>
        <v>3000000000</v>
      </c>
      <c r="K41" s="954">
        <f t="shared" si="2"/>
        <v>3000000000</v>
      </c>
      <c r="L41" s="954">
        <f t="shared" si="2"/>
        <v>3000000000</v>
      </c>
      <c r="M41" s="954">
        <f t="shared" si="2"/>
        <v>3000000000</v>
      </c>
      <c r="N41" s="954">
        <f>250*12*NAIRA2010_/Unit.kW</f>
        <v>3000000000</v>
      </c>
      <c r="O41" s="1377"/>
      <c r="P41" s="37"/>
    </row>
    <row r="42" spans="2:16" collapsed="1" x14ac:dyDescent="0.2">
      <c r="B42" s="1419"/>
      <c r="C42" s="1731" t="s">
        <v>1873</v>
      </c>
      <c r="D42" s="189"/>
      <c r="E42" s="191">
        <f>(N42-F42)/(N$39-F$39)</f>
        <v>0</v>
      </c>
      <c r="F42" s="955">
        <f>250*2*NAIRA2010_/Unit.kW</f>
        <v>500000000</v>
      </c>
      <c r="G42" s="191">
        <f t="shared" ref="G42:M42" si="3">($E42*(G$39-F$39))+F42</f>
        <v>500000000</v>
      </c>
      <c r="H42" s="191">
        <f t="shared" si="3"/>
        <v>500000000</v>
      </c>
      <c r="I42" s="191">
        <f t="shared" si="3"/>
        <v>500000000</v>
      </c>
      <c r="J42" s="191">
        <f t="shared" si="3"/>
        <v>500000000</v>
      </c>
      <c r="K42" s="191">
        <f t="shared" si="3"/>
        <v>500000000</v>
      </c>
      <c r="L42" s="191">
        <f t="shared" si="3"/>
        <v>500000000</v>
      </c>
      <c r="M42" s="191">
        <f t="shared" si="3"/>
        <v>500000000</v>
      </c>
      <c r="N42" s="955">
        <f>250*2*NAIRA2010_/Unit.kW</f>
        <v>500000000</v>
      </c>
      <c r="O42" s="1377"/>
      <c r="P42" s="37"/>
    </row>
    <row r="43" spans="2:16" x14ac:dyDescent="0.2">
      <c r="B43" s="1416"/>
      <c r="C43" s="606"/>
      <c r="D43" s="107"/>
      <c r="E43" s="188"/>
      <c r="F43" s="1557"/>
      <c r="G43" s="1055"/>
      <c r="H43" s="1055"/>
      <c r="I43" s="1055"/>
      <c r="J43" s="1055"/>
      <c r="K43" s="1055"/>
      <c r="L43" s="1055"/>
      <c r="M43" s="1055"/>
      <c r="N43" s="1055"/>
      <c r="O43" s="1377"/>
      <c r="P43" s="37"/>
    </row>
    <row r="44" spans="2:16" x14ac:dyDescent="0.2">
      <c r="B44" s="1377"/>
      <c r="C44" s="1417" t="str">
        <f>"Capital cost of Distribution Grid"</f>
        <v>Capital cost of Distribution Grid</v>
      </c>
      <c r="D44" s="107"/>
      <c r="E44" s="1081"/>
      <c r="F44" s="1055"/>
      <c r="G44" s="760"/>
      <c r="H44" s="760"/>
      <c r="I44" s="760"/>
      <c r="J44" s="760"/>
      <c r="K44" s="760"/>
      <c r="L44" s="760"/>
      <c r="M44" s="760"/>
      <c r="N44" s="1255" t="str">
        <f>Preferences.moneyunits&amp;"/"&amp;Preferences.PowerUnits</f>
        <v>N/GW</v>
      </c>
      <c r="O44" s="1377"/>
      <c r="P44" s="37"/>
    </row>
    <row r="45" spans="2:16" ht="6" customHeight="1" x14ac:dyDescent="0.2">
      <c r="B45" s="1377"/>
      <c r="C45" s="1848"/>
      <c r="D45" s="107"/>
      <c r="E45" s="1081"/>
      <c r="F45" s="1055"/>
      <c r="G45" s="760"/>
      <c r="H45" s="760"/>
      <c r="I45" s="760"/>
      <c r="J45" s="760"/>
      <c r="K45" s="760"/>
      <c r="L45" s="760"/>
      <c r="M45" s="760"/>
      <c r="N45" s="1416"/>
      <c r="O45" s="1377"/>
      <c r="P45" s="37"/>
    </row>
    <row r="46" spans="2:16" x14ac:dyDescent="0.2">
      <c r="B46" s="1377"/>
      <c r="C46" s="1101"/>
      <c r="D46" s="1519"/>
      <c r="E46" s="1567" t="s">
        <v>1321</v>
      </c>
      <c r="F46" s="1948">
        <v>2010</v>
      </c>
      <c r="G46" s="1845">
        <v>2015</v>
      </c>
      <c r="H46" s="1845">
        <v>2020</v>
      </c>
      <c r="I46" s="1845">
        <v>2025</v>
      </c>
      <c r="J46" s="1845">
        <v>2030</v>
      </c>
      <c r="K46" s="1845">
        <v>2035</v>
      </c>
      <c r="L46" s="1845">
        <v>2040</v>
      </c>
      <c r="M46" s="1845">
        <v>2045</v>
      </c>
      <c r="N46" s="1845">
        <v>2050</v>
      </c>
      <c r="O46" s="1377"/>
      <c r="P46" s="37"/>
    </row>
    <row r="47" spans="2:16" x14ac:dyDescent="0.2">
      <c r="B47" s="1377"/>
      <c r="C47" s="1846" t="s">
        <v>1871</v>
      </c>
      <c r="D47" s="1519"/>
      <c r="E47" s="1847">
        <f>(N47-F47)/(N$46-F$46)</f>
        <v>0</v>
      </c>
      <c r="F47" s="1960">
        <f>250*1688*NAIRA2010_/Unit.kW</f>
        <v>422000000000</v>
      </c>
      <c r="G47" s="1566">
        <f t="shared" ref="G47:M49" si="4">($E47*(G$46-F$46))+F47</f>
        <v>422000000000</v>
      </c>
      <c r="H47" s="1566">
        <f t="shared" si="4"/>
        <v>422000000000</v>
      </c>
      <c r="I47" s="1566">
        <f t="shared" si="4"/>
        <v>422000000000</v>
      </c>
      <c r="J47" s="1566">
        <f t="shared" si="4"/>
        <v>422000000000</v>
      </c>
      <c r="K47" s="1566">
        <f t="shared" si="4"/>
        <v>422000000000</v>
      </c>
      <c r="L47" s="1566">
        <f t="shared" si="4"/>
        <v>422000000000</v>
      </c>
      <c r="M47" s="1566">
        <f t="shared" si="4"/>
        <v>422000000000</v>
      </c>
      <c r="N47" s="1960">
        <f>250*1688*NAIRA2010_/Unit.kW</f>
        <v>422000000000</v>
      </c>
      <c r="O47" s="1377"/>
      <c r="P47" s="37"/>
    </row>
    <row r="48" spans="2:16" x14ac:dyDescent="0.2">
      <c r="B48" s="1377"/>
      <c r="C48" s="606" t="s">
        <v>1872</v>
      </c>
      <c r="D48" s="107"/>
      <c r="E48" s="188">
        <f>(N48-F48)/(N$46-F$46)</f>
        <v>0</v>
      </c>
      <c r="F48" s="691">
        <f>250*82*NAIRA2010_/Unit.kW</f>
        <v>20500000000</v>
      </c>
      <c r="G48" s="1055">
        <f t="shared" si="4"/>
        <v>20500000000</v>
      </c>
      <c r="H48" s="1055">
        <f t="shared" si="4"/>
        <v>20500000000</v>
      </c>
      <c r="I48" s="1055">
        <f t="shared" si="4"/>
        <v>20500000000</v>
      </c>
      <c r="J48" s="1055">
        <f t="shared" si="4"/>
        <v>20500000000</v>
      </c>
      <c r="K48" s="1055">
        <f t="shared" si="4"/>
        <v>20500000000</v>
      </c>
      <c r="L48" s="1055">
        <f t="shared" si="4"/>
        <v>20500000000</v>
      </c>
      <c r="M48" s="1055">
        <f t="shared" si="4"/>
        <v>20500000000</v>
      </c>
      <c r="N48" s="691">
        <f>250*82*NAIRA2010_/Unit.kW</f>
        <v>20500000000</v>
      </c>
      <c r="O48" s="1377"/>
      <c r="P48" s="37"/>
    </row>
    <row r="49" spans="1:17" x14ac:dyDescent="0.2">
      <c r="B49" s="1377"/>
      <c r="C49" s="1731" t="s">
        <v>1873</v>
      </c>
      <c r="D49" s="189"/>
      <c r="E49" s="191">
        <f>(N49-F49)/(N$46-F$46)</f>
        <v>0</v>
      </c>
      <c r="F49" s="693">
        <f>250*106*NAIRA2010_/Unit.kW</f>
        <v>26500000000</v>
      </c>
      <c r="G49" s="1056">
        <f t="shared" si="4"/>
        <v>26500000000</v>
      </c>
      <c r="H49" s="1056">
        <f t="shared" si="4"/>
        <v>26500000000</v>
      </c>
      <c r="I49" s="1056">
        <f t="shared" si="4"/>
        <v>26500000000</v>
      </c>
      <c r="J49" s="1056">
        <f t="shared" si="4"/>
        <v>26500000000</v>
      </c>
      <c r="K49" s="1056">
        <f t="shared" si="4"/>
        <v>26500000000</v>
      </c>
      <c r="L49" s="1056">
        <f t="shared" si="4"/>
        <v>26500000000</v>
      </c>
      <c r="M49" s="1056">
        <f t="shared" si="4"/>
        <v>26500000000</v>
      </c>
      <c r="N49" s="693">
        <f>250*106*NAIRA2010_/Unit.kW</f>
        <v>26500000000</v>
      </c>
      <c r="O49" s="1377"/>
      <c r="P49" s="37"/>
    </row>
    <row r="50" spans="1:17" x14ac:dyDescent="0.2">
      <c r="B50" s="1377"/>
      <c r="C50" s="1848"/>
      <c r="D50" s="107"/>
      <c r="E50" s="1081"/>
      <c r="F50" s="1055"/>
      <c r="G50" s="760"/>
      <c r="H50" s="760"/>
      <c r="I50" s="760"/>
      <c r="J50" s="760"/>
      <c r="K50" s="760"/>
      <c r="L50" s="760"/>
      <c r="M50" s="760"/>
      <c r="N50" s="1416"/>
      <c r="O50" s="1377"/>
      <c r="P50" s="37"/>
    </row>
    <row r="51" spans="1:17" s="1395" customFormat="1" x14ac:dyDescent="0.2">
      <c r="B51" s="1377"/>
      <c r="C51" s="1417" t="str">
        <f>"Operating cost of Distribution grid"</f>
        <v>Operating cost of Distribution grid</v>
      </c>
      <c r="D51" s="107"/>
      <c r="E51" s="1081"/>
      <c r="F51" s="1055"/>
      <c r="G51" s="760"/>
      <c r="H51" s="760"/>
      <c r="I51" s="760"/>
      <c r="J51" s="760"/>
      <c r="K51" s="760"/>
      <c r="L51" s="760"/>
      <c r="M51" s="760"/>
      <c r="N51" s="1255" t="str">
        <f>Preferences.moneyunits&amp;"/"&amp;Preferences.PowerUnits</f>
        <v>N/GW</v>
      </c>
      <c r="O51" s="1377"/>
      <c r="P51" s="37"/>
    </row>
    <row r="52" spans="1:17" s="1395" customFormat="1" ht="6" customHeight="1" x14ac:dyDescent="0.2">
      <c r="B52" s="1377"/>
      <c r="C52" s="1848"/>
      <c r="D52" s="107"/>
      <c r="E52" s="1081"/>
      <c r="F52" s="1055"/>
      <c r="G52" s="760"/>
      <c r="H52" s="760"/>
      <c r="I52" s="760"/>
      <c r="J52" s="760"/>
      <c r="K52" s="760"/>
      <c r="L52" s="760"/>
      <c r="M52" s="760"/>
      <c r="N52" s="1416"/>
      <c r="O52" s="1377"/>
      <c r="P52" s="37"/>
    </row>
    <row r="53" spans="1:17" s="1395" customFormat="1" x14ac:dyDescent="0.2">
      <c r="B53" s="1377"/>
      <c r="C53" s="1101"/>
      <c r="D53" s="1519"/>
      <c r="E53" s="1567" t="s">
        <v>1321</v>
      </c>
      <c r="F53" s="1948">
        <v>2010</v>
      </c>
      <c r="G53" s="1845">
        <v>2015</v>
      </c>
      <c r="H53" s="1845">
        <v>2020</v>
      </c>
      <c r="I53" s="1845">
        <v>2025</v>
      </c>
      <c r="J53" s="1845">
        <v>2030</v>
      </c>
      <c r="K53" s="1845">
        <v>2035</v>
      </c>
      <c r="L53" s="1845">
        <v>2040</v>
      </c>
      <c r="M53" s="1845">
        <v>2045</v>
      </c>
      <c r="N53" s="1845">
        <v>2050</v>
      </c>
      <c r="O53" s="1377"/>
      <c r="P53" s="37"/>
    </row>
    <row r="54" spans="1:17" s="1395" customFormat="1" x14ac:dyDescent="0.2">
      <c r="B54" s="1377"/>
      <c r="C54" s="1846" t="s">
        <v>1871</v>
      </c>
      <c r="D54" s="1519"/>
      <c r="E54" s="1847">
        <f>(N54-F54)/(N$53-F$53)</f>
        <v>0</v>
      </c>
      <c r="F54" s="2235">
        <f>250*3*NAIRA2010_/Unit.kW</f>
        <v>750000000</v>
      </c>
      <c r="G54" s="1847">
        <f t="shared" ref="G54:M56" si="5">($E54*(G$53-F$53))+F54</f>
        <v>750000000</v>
      </c>
      <c r="H54" s="1847">
        <f t="shared" si="5"/>
        <v>750000000</v>
      </c>
      <c r="I54" s="1847">
        <f t="shared" si="5"/>
        <v>750000000</v>
      </c>
      <c r="J54" s="1847">
        <f t="shared" si="5"/>
        <v>750000000</v>
      </c>
      <c r="K54" s="1847">
        <f t="shared" si="5"/>
        <v>750000000</v>
      </c>
      <c r="L54" s="1847">
        <f t="shared" si="5"/>
        <v>750000000</v>
      </c>
      <c r="M54" s="1847">
        <f t="shared" si="5"/>
        <v>750000000</v>
      </c>
      <c r="N54" s="2235">
        <f>250*3*NAIRA2010_/Unit.kW</f>
        <v>750000000</v>
      </c>
      <c r="O54" s="1377"/>
      <c r="P54" s="37"/>
    </row>
    <row r="55" spans="1:17" s="1395" customFormat="1" x14ac:dyDescent="0.2">
      <c r="B55" s="1377"/>
      <c r="C55" s="606" t="s">
        <v>1872</v>
      </c>
      <c r="D55" s="107"/>
      <c r="E55" s="188">
        <f>(N55-F55)/(N$53-F$53)</f>
        <v>0</v>
      </c>
      <c r="F55" s="954">
        <f>250*3*NAIRA2010_/Unit.kW</f>
        <v>750000000</v>
      </c>
      <c r="G55" s="954">
        <f t="shared" ref="G55:M55" si="6">3*MGBP*Price2010/Unit.GW</f>
        <v>750000000</v>
      </c>
      <c r="H55" s="954">
        <f t="shared" si="6"/>
        <v>750000000</v>
      </c>
      <c r="I55" s="954">
        <f t="shared" si="6"/>
        <v>750000000</v>
      </c>
      <c r="J55" s="954">
        <f t="shared" si="6"/>
        <v>750000000</v>
      </c>
      <c r="K55" s="954">
        <f t="shared" si="6"/>
        <v>750000000</v>
      </c>
      <c r="L55" s="954">
        <f t="shared" si="6"/>
        <v>750000000</v>
      </c>
      <c r="M55" s="954">
        <f t="shared" si="6"/>
        <v>750000000</v>
      </c>
      <c r="N55" s="954">
        <f>250*3*NAIRA2010_/Unit.kW</f>
        <v>750000000</v>
      </c>
      <c r="O55" s="1377"/>
      <c r="P55" s="37"/>
    </row>
    <row r="56" spans="1:17" s="1395" customFormat="1" x14ac:dyDescent="0.2">
      <c r="B56" s="1377"/>
      <c r="C56" s="1731" t="s">
        <v>1873</v>
      </c>
      <c r="D56" s="189"/>
      <c r="E56" s="191">
        <f>(N56-F56)/(N$53-F$53)</f>
        <v>0</v>
      </c>
      <c r="F56" s="955">
        <f>250*3*NAIRA2010_/Unit.kW</f>
        <v>750000000</v>
      </c>
      <c r="G56" s="191">
        <f t="shared" si="5"/>
        <v>750000000</v>
      </c>
      <c r="H56" s="191">
        <f t="shared" si="5"/>
        <v>750000000</v>
      </c>
      <c r="I56" s="191">
        <f t="shared" si="5"/>
        <v>750000000</v>
      </c>
      <c r="J56" s="191">
        <f t="shared" si="5"/>
        <v>750000000</v>
      </c>
      <c r="K56" s="191">
        <f t="shared" si="5"/>
        <v>750000000</v>
      </c>
      <c r="L56" s="191">
        <f t="shared" si="5"/>
        <v>750000000</v>
      </c>
      <c r="M56" s="191">
        <f t="shared" si="5"/>
        <v>750000000</v>
      </c>
      <c r="N56" s="955">
        <f>250*3*NAIRA2010_/Unit.kW</f>
        <v>750000000</v>
      </c>
      <c r="O56" s="1377"/>
      <c r="P56" s="37"/>
    </row>
    <row r="57" spans="1:17" s="1395" customFormat="1" x14ac:dyDescent="0.2">
      <c r="B57" s="1377"/>
      <c r="C57" s="606"/>
      <c r="D57" s="107"/>
      <c r="E57" s="188"/>
      <c r="F57" s="207"/>
      <c r="G57" s="1055"/>
      <c r="H57" s="1055"/>
      <c r="I57" s="1055"/>
      <c r="J57" s="1055"/>
      <c r="K57" s="1055"/>
      <c r="L57" s="1055"/>
      <c r="M57" s="1055"/>
      <c r="N57" s="207"/>
      <c r="O57" s="1377"/>
      <c r="P57" s="37"/>
    </row>
    <row r="58" spans="1:17" s="1395" customFormat="1" x14ac:dyDescent="0.2">
      <c r="B58" s="1377"/>
      <c r="C58" s="1377" t="s">
        <v>1434</v>
      </c>
      <c r="D58" s="1391" t="s">
        <v>2043</v>
      </c>
      <c r="E58" s="1377"/>
      <c r="F58" s="1377"/>
      <c r="G58" s="1377"/>
      <c r="H58" s="1377"/>
      <c r="I58" s="1377"/>
      <c r="J58" s="1377"/>
      <c r="K58" s="1377"/>
      <c r="L58" s="1377"/>
      <c r="M58" s="1377"/>
      <c r="N58" s="1377"/>
      <c r="O58" s="1377"/>
    </row>
    <row r="59" spans="1:17" s="1395" customFormat="1" x14ac:dyDescent="0.2">
      <c r="B59" s="1416"/>
      <c r="C59" s="1377"/>
      <c r="D59" s="1377"/>
      <c r="E59" s="1377"/>
      <c r="F59" s="1377"/>
      <c r="G59" s="1377"/>
      <c r="H59" s="1377"/>
      <c r="I59" s="1377"/>
      <c r="J59" s="1377"/>
      <c r="K59" s="1377"/>
      <c r="L59" s="1377"/>
      <c r="M59" s="1377"/>
      <c r="N59" s="1377"/>
      <c r="O59" s="1377"/>
    </row>
    <row r="60" spans="1:17" s="1395" customFormat="1" x14ac:dyDescent="0.2">
      <c r="B60" s="588"/>
    </row>
    <row r="61" spans="1:17" s="1395" customFormat="1" x14ac:dyDescent="0.2">
      <c r="A61" s="3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</row>
    <row r="62" spans="1:17" s="1395" customFormat="1" ht="15.75" x14ac:dyDescent="0.25">
      <c r="A62" s="38"/>
      <c r="B62" s="134" t="s">
        <v>279</v>
      </c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38"/>
    </row>
    <row r="63" spans="1:17" s="1395" customFormat="1" x14ac:dyDescent="0.2">
      <c r="A63" s="38"/>
      <c r="B63" s="82">
        <v>1</v>
      </c>
      <c r="C63" s="38" t="s">
        <v>413</v>
      </c>
      <c r="D63" s="38"/>
      <c r="E63" s="38"/>
      <c r="F63" s="38"/>
      <c r="G63" s="38"/>
      <c r="H63" s="38"/>
      <c r="I63" s="38"/>
      <c r="J63" s="38"/>
      <c r="K63" s="38"/>
      <c r="L63" s="38"/>
      <c r="M63" s="38"/>
      <c r="N63" s="38"/>
      <c r="O63" s="38"/>
      <c r="P63" s="38"/>
      <c r="Q63" s="38"/>
    </row>
    <row r="64" spans="1:17" s="1395" customFormat="1" x14ac:dyDescent="0.2">
      <c r="A64" s="38"/>
      <c r="B64" s="38"/>
      <c r="C64" s="38"/>
      <c r="D64" s="38"/>
      <c r="E64" s="38"/>
      <c r="F64" s="38"/>
      <c r="G64" s="38"/>
      <c r="H64" s="38"/>
      <c r="I64" s="38"/>
      <c r="J64" s="38"/>
      <c r="K64" s="38"/>
      <c r="L64" s="38"/>
      <c r="M64" s="38"/>
      <c r="N64" s="38"/>
      <c r="O64" s="38"/>
      <c r="P64" s="38"/>
      <c r="Q64" s="38"/>
    </row>
    <row r="65" spans="1:16" s="1395" customFormat="1" x14ac:dyDescent="0.2">
      <c r="A65" s="38"/>
      <c r="B65" s="38"/>
      <c r="C65" s="82" t="s">
        <v>307</v>
      </c>
      <c r="D65" s="38"/>
      <c r="E65" s="38" t="str">
        <f>Preferences.EnergyUnits</f>
        <v>TWh</v>
      </c>
      <c r="F65" s="114">
        <f ca="1">-VII.b.Inputs[2010]</f>
        <v>117.07862642129547</v>
      </c>
      <c r="G65" s="114">
        <f ca="1">-VII.b.Inputs[2015]</f>
        <v>138.16092956568079</v>
      </c>
      <c r="H65" s="114">
        <f ca="1">-VII.b.Inputs[2020]</f>
        <v>192.24084077257035</v>
      </c>
      <c r="I65" s="114">
        <f ca="1">-VII.b.Inputs[2025]</f>
        <v>289.18504122724516</v>
      </c>
      <c r="J65" s="114">
        <f ca="1">-VII.b.Inputs[2030]</f>
        <v>388.87602401750888</v>
      </c>
      <c r="K65" s="114">
        <f ca="1">-VII.b.Inputs[2035]</f>
        <v>530.14446047320098</v>
      </c>
      <c r="L65" s="114">
        <f ca="1">-VII.b.Inputs[2040]</f>
        <v>659.56399429121348</v>
      </c>
      <c r="M65" s="114">
        <f ca="1">-VII.b.Inputs[2045]</f>
        <v>797.53692959998352</v>
      </c>
      <c r="N65" s="114">
        <f ca="1">-VII.b.Inputs[2050]</f>
        <v>946.39709827169258</v>
      </c>
      <c r="O65" s="38"/>
      <c r="P65" s="38"/>
    </row>
    <row r="66" spans="1:16" s="1395" customFormat="1" x14ac:dyDescent="0.2">
      <c r="A66" s="38"/>
      <c r="B66" s="38"/>
      <c r="C66" s="38" t="s">
        <v>308</v>
      </c>
      <c r="D66" s="38"/>
      <c r="E66" s="38"/>
      <c r="F66" s="140">
        <f t="shared" ref="F66:N66" si="7">(1-F$18)</f>
        <v>0.83</v>
      </c>
      <c r="G66" s="140">
        <f t="shared" si="7"/>
        <v>0.83</v>
      </c>
      <c r="H66" s="140">
        <f t="shared" si="7"/>
        <v>0.85</v>
      </c>
      <c r="I66" s="140">
        <f t="shared" si="7"/>
        <v>0.85</v>
      </c>
      <c r="J66" s="140">
        <f t="shared" si="7"/>
        <v>0.85</v>
      </c>
      <c r="K66" s="140">
        <f t="shared" si="7"/>
        <v>0.88</v>
      </c>
      <c r="L66" s="140">
        <f t="shared" si="7"/>
        <v>0.88</v>
      </c>
      <c r="M66" s="140">
        <f t="shared" si="7"/>
        <v>0.9</v>
      </c>
      <c r="N66" s="140">
        <f t="shared" si="7"/>
        <v>0.9</v>
      </c>
      <c r="O66" s="38"/>
      <c r="P66" s="38"/>
    </row>
    <row r="67" spans="1:16" s="1395" customFormat="1" x14ac:dyDescent="0.2">
      <c r="A67" s="38"/>
      <c r="B67" s="38"/>
      <c r="C67" s="132" t="s">
        <v>311</v>
      </c>
      <c r="D67" s="38"/>
      <c r="E67" s="38"/>
      <c r="F67" s="114">
        <f t="shared" ref="F67:N67" ca="1" si="8">F65/F66</f>
        <v>141.05858604975359</v>
      </c>
      <c r="G67" s="114">
        <f t="shared" ca="1" si="8"/>
        <v>166.45895128395276</v>
      </c>
      <c r="H67" s="114">
        <f t="shared" ca="1" si="8"/>
        <v>226.16569502655335</v>
      </c>
      <c r="I67" s="114">
        <f t="shared" ca="1" si="8"/>
        <v>340.21769556146489</v>
      </c>
      <c r="J67" s="114">
        <f t="shared" ca="1" si="8"/>
        <v>457.50120472648103</v>
      </c>
      <c r="K67" s="114">
        <f t="shared" ca="1" si="8"/>
        <v>602.4368869013648</v>
      </c>
      <c r="L67" s="114">
        <f t="shared" ca="1" si="8"/>
        <v>749.504538967288</v>
      </c>
      <c r="M67" s="114">
        <f t="shared" ca="1" si="8"/>
        <v>886.15214399998172</v>
      </c>
      <c r="N67" s="114">
        <f t="shared" ca="1" si="8"/>
        <v>1051.5523314129916</v>
      </c>
      <c r="O67" s="38"/>
      <c r="P67" s="38"/>
    </row>
    <row r="68" spans="1:16" s="1395" customFormat="1" x14ac:dyDescent="0.2">
      <c r="A68" s="38"/>
      <c r="B68" s="38"/>
      <c r="C68" s="138" t="s">
        <v>309</v>
      </c>
      <c r="D68" s="38"/>
      <c r="E68" s="38"/>
      <c r="F68" s="139">
        <f t="shared" ref="F68:N68" si="9">F$18</f>
        <v>0.17</v>
      </c>
      <c r="G68" s="139">
        <f t="shared" si="9"/>
        <v>0.17</v>
      </c>
      <c r="H68" s="139">
        <f t="shared" si="9"/>
        <v>0.15</v>
      </c>
      <c r="I68" s="139">
        <f t="shared" si="9"/>
        <v>0.15</v>
      </c>
      <c r="J68" s="139">
        <f t="shared" si="9"/>
        <v>0.15</v>
      </c>
      <c r="K68" s="139">
        <f t="shared" si="9"/>
        <v>0.12</v>
      </c>
      <c r="L68" s="139">
        <f t="shared" si="9"/>
        <v>0.12</v>
      </c>
      <c r="M68" s="139">
        <f t="shared" si="9"/>
        <v>0.1</v>
      </c>
      <c r="N68" s="139">
        <f t="shared" si="9"/>
        <v>0.1</v>
      </c>
      <c r="O68" s="38"/>
      <c r="P68" s="38"/>
    </row>
    <row r="69" spans="1:16" s="1395" customFormat="1" x14ac:dyDescent="0.2">
      <c r="A69" s="38"/>
      <c r="B69" s="38"/>
      <c r="C69" s="132" t="s">
        <v>312</v>
      </c>
      <c r="D69" s="38"/>
      <c r="E69" s="38"/>
      <c r="F69" s="136">
        <f t="shared" ref="F69:N69" ca="1" si="10">F67*F68</f>
        <v>23.979959628458111</v>
      </c>
      <c r="G69" s="136">
        <f t="shared" ca="1" si="10"/>
        <v>28.298021718271972</v>
      </c>
      <c r="H69" s="136">
        <f t="shared" ca="1" si="10"/>
        <v>33.924854253983</v>
      </c>
      <c r="I69" s="136">
        <f t="shared" ca="1" si="10"/>
        <v>51.032654334219735</v>
      </c>
      <c r="J69" s="136">
        <f t="shared" ca="1" si="10"/>
        <v>68.625180708972152</v>
      </c>
      <c r="K69" s="136">
        <f t="shared" ca="1" si="10"/>
        <v>72.292426428163779</v>
      </c>
      <c r="L69" s="136">
        <f t="shared" ca="1" si="10"/>
        <v>89.940544676074552</v>
      </c>
      <c r="M69" s="136">
        <f t="shared" ca="1" si="10"/>
        <v>88.61521439999818</v>
      </c>
      <c r="N69" s="136">
        <f t="shared" ca="1" si="10"/>
        <v>105.15523314129916</v>
      </c>
      <c r="O69" s="38"/>
      <c r="P69" s="38"/>
    </row>
    <row r="70" spans="1:16" s="1395" customFormat="1" x14ac:dyDescent="0.2">
      <c r="A70" s="38"/>
      <c r="B70" s="38"/>
      <c r="C70" s="38"/>
      <c r="D70" s="38"/>
      <c r="E70" s="38"/>
      <c r="F70" s="38" t="str">
        <f ca="1">IF(F69+F65=F67,"ok","Not ok")</f>
        <v>ok</v>
      </c>
      <c r="G70" s="38"/>
      <c r="H70" s="38"/>
      <c r="I70" s="38"/>
      <c r="J70" s="38"/>
      <c r="K70" s="38"/>
      <c r="L70" s="38"/>
      <c r="M70" s="38"/>
      <c r="N70" s="38"/>
      <c r="O70" s="38"/>
      <c r="P70" s="38"/>
    </row>
    <row r="71" spans="1:16" s="1395" customFormat="1" x14ac:dyDescent="0.2">
      <c r="B71" s="82">
        <v>2</v>
      </c>
      <c r="C71" s="82" t="s">
        <v>1464</v>
      </c>
    </row>
    <row r="72" spans="1:16" s="1395" customFormat="1" x14ac:dyDescent="0.2">
      <c r="C72" s="1395" t="s">
        <v>894</v>
      </c>
    </row>
    <row r="73" spans="1:16" s="1395" customFormat="1" x14ac:dyDescent="0.2">
      <c r="C73" s="1395" t="s">
        <v>1465</v>
      </c>
      <c r="E73" s="1395" t="str">
        <f>Preferences.moneyunits</f>
        <v>N</v>
      </c>
      <c r="F73" s="1262">
        <f t="shared" ref="F73:N73" ca="1" si="11">G10*F$33</f>
        <v>4315779112787.1826</v>
      </c>
      <c r="G73" s="1262">
        <f t="shared" ca="1" si="11"/>
        <v>6678140266889.1064</v>
      </c>
      <c r="H73" s="1262">
        <f t="shared" ca="1" si="11"/>
        <v>10647639321428.572</v>
      </c>
      <c r="I73" s="1262">
        <f t="shared" ca="1" si="11"/>
        <v>16466636457142.857</v>
      </c>
      <c r="J73" s="1262">
        <f t="shared" ca="1" si="11"/>
        <v>24390008592857.145</v>
      </c>
      <c r="K73" s="1262">
        <f t="shared" ca="1" si="11"/>
        <v>31208283228571.426</v>
      </c>
      <c r="L73" s="1262">
        <f t="shared" ca="1" si="11"/>
        <v>39444305364285.711</v>
      </c>
      <c r="M73" s="1262">
        <f t="shared" ca="1" si="11"/>
        <v>49231552500000</v>
      </c>
      <c r="N73" s="1262">
        <f t="shared" si="11"/>
        <v>0</v>
      </c>
    </row>
    <row r="74" spans="1:16" s="1395" customFormat="1" x14ac:dyDescent="0.2">
      <c r="C74" s="1395" t="s">
        <v>1468</v>
      </c>
      <c r="E74" s="1395" t="str">
        <f>Preferences.moneyunits&amp;"/yr"</f>
        <v>N/yr</v>
      </c>
      <c r="F74" s="1262">
        <f t="shared" ref="F74" si="12">F11*F$33</f>
        <v>0</v>
      </c>
      <c r="G74" s="1262">
        <f t="shared" ref="G74:N74" ca="1" si="13">(F73/$D$22)+((G73-F73)/5)</f>
        <v>688261186459.7439</v>
      </c>
      <c r="H74" s="1262">
        <f t="shared" ca="1" si="13"/>
        <v>1127806824252.3486</v>
      </c>
      <c r="I74" s="1262">
        <f t="shared" ca="1" si="13"/>
        <v>1696181393214.2856</v>
      </c>
      <c r="J74" s="1262">
        <f t="shared" ca="1" si="13"/>
        <v>2408006250000</v>
      </c>
      <c r="K74" s="1262">
        <f t="shared" ca="1" si="13"/>
        <v>2583155356785.7134</v>
      </c>
      <c r="L74" s="1262">
        <f t="shared" ca="1" si="13"/>
        <v>3207618588571.4282</v>
      </c>
      <c r="M74" s="1262">
        <f t="shared" ca="1" si="13"/>
        <v>3929664695357.1436</v>
      </c>
      <c r="N74" s="1262">
        <f t="shared" ca="1" si="13"/>
        <v>-7384732875000</v>
      </c>
    </row>
    <row r="75" spans="1:16" s="1395" customFormat="1" x14ac:dyDescent="0.2">
      <c r="C75" s="1395" t="s">
        <v>1469</v>
      </c>
      <c r="E75" s="1395" t="str">
        <f>Preferences.moneyunits&amp;"/yr"</f>
        <v>N/yr</v>
      </c>
      <c r="F75" s="1262">
        <f>(F74/$D$22)+((F74-F74)/5)</f>
        <v>0</v>
      </c>
      <c r="G75" s="675">
        <f t="shared" ref="G75:N75" ca="1" si="14">H10*G$40</f>
        <v>166606409984.7594</v>
      </c>
      <c r="H75" s="675">
        <f t="shared" ca="1" si="14"/>
        <v>265637571428.57144</v>
      </c>
      <c r="I75" s="675">
        <f t="shared" ca="1" si="14"/>
        <v>410810057142.85712</v>
      </c>
      <c r="J75" s="675">
        <f t="shared" ca="1" si="14"/>
        <v>608482542857.14294</v>
      </c>
      <c r="K75" s="675">
        <f t="shared" ca="1" si="14"/>
        <v>778585028571.42847</v>
      </c>
      <c r="L75" s="675">
        <f t="shared" ca="1" si="14"/>
        <v>984057514285.71411</v>
      </c>
      <c r="M75" s="675">
        <f t="shared" ca="1" si="14"/>
        <v>1228230000000</v>
      </c>
      <c r="N75" s="675">
        <f t="shared" si="14"/>
        <v>0</v>
      </c>
    </row>
    <row r="76" spans="1:16" s="1395" customFormat="1" x14ac:dyDescent="0.2">
      <c r="C76" s="1395" t="s">
        <v>1470</v>
      </c>
      <c r="E76" s="1395" t="str">
        <f>Preferences.moneyunits&amp;"/yr"</f>
        <v>N/yr</v>
      </c>
      <c r="F76" s="675">
        <f>F11*F$40</f>
        <v>0</v>
      </c>
      <c r="G76" s="675">
        <f t="shared" ref="G76:N76" ca="1" si="15">SUM(G74:G75)</f>
        <v>854867596444.5033</v>
      </c>
      <c r="H76" s="675">
        <f t="shared" ca="1" si="15"/>
        <v>1393444395680.9202</v>
      </c>
      <c r="I76" s="675">
        <f t="shared" ca="1" si="15"/>
        <v>2106991450357.1428</v>
      </c>
      <c r="J76" s="675">
        <f t="shared" ca="1" si="15"/>
        <v>3016488792857.1431</v>
      </c>
      <c r="K76" s="675">
        <f t="shared" ca="1" si="15"/>
        <v>3361740385357.1416</v>
      </c>
      <c r="L76" s="675">
        <f t="shared" ca="1" si="15"/>
        <v>4191676102857.1426</v>
      </c>
      <c r="M76" s="675">
        <f t="shared" ca="1" si="15"/>
        <v>5157894695357.1436</v>
      </c>
      <c r="N76" s="675">
        <f t="shared" ca="1" si="15"/>
        <v>-7384732875000</v>
      </c>
    </row>
    <row r="77" spans="1:16" s="1946" customFormat="1" x14ac:dyDescent="0.2">
      <c r="F77" s="675">
        <f>SUM(F75:F76)</f>
        <v>0</v>
      </c>
      <c r="G77" s="675"/>
      <c r="H77" s="675"/>
      <c r="I77" s="675"/>
      <c r="J77" s="675"/>
      <c r="K77" s="675"/>
      <c r="L77" s="675"/>
      <c r="M77" s="675"/>
      <c r="N77" s="675"/>
    </row>
    <row r="78" spans="1:16" s="1946" customFormat="1" x14ac:dyDescent="0.2">
      <c r="C78" s="1946" t="s">
        <v>1886</v>
      </c>
    </row>
    <row r="79" spans="1:16" s="1946" customFormat="1" x14ac:dyDescent="0.2">
      <c r="C79" s="1946" t="s">
        <v>1465</v>
      </c>
      <c r="E79" s="1946" t="str">
        <f>Preferences.moneyunits</f>
        <v>N</v>
      </c>
      <c r="F79" s="1262">
        <f t="shared" ref="F79:N79" ca="1" si="16">G10*F$34</f>
        <v>1345877062199.7451</v>
      </c>
      <c r="G79" s="1262">
        <f t="shared" ca="1" si="16"/>
        <v>2082580124809.4924</v>
      </c>
      <c r="H79" s="1262">
        <f t="shared" ca="1" si="16"/>
        <v>3320469642857.1431</v>
      </c>
      <c r="I79" s="1262">
        <f t="shared" ca="1" si="16"/>
        <v>5135125714285.7139</v>
      </c>
      <c r="J79" s="1262">
        <f t="shared" ca="1" si="16"/>
        <v>7606031785714.2861</v>
      </c>
      <c r="K79" s="1262">
        <f t="shared" ca="1" si="16"/>
        <v>9732312857142.8555</v>
      </c>
      <c r="L79" s="1262">
        <f t="shared" ca="1" si="16"/>
        <v>12300718928571.428</v>
      </c>
      <c r="M79" s="1262">
        <f t="shared" ca="1" si="16"/>
        <v>15352874999999.998</v>
      </c>
      <c r="N79" s="1262">
        <f t="shared" si="16"/>
        <v>0</v>
      </c>
    </row>
    <row r="80" spans="1:16" s="1946" customFormat="1" x14ac:dyDescent="0.2">
      <c r="C80" s="1946" t="s">
        <v>1468</v>
      </c>
      <c r="E80" s="1946" t="str">
        <f>Preferences.moneyunits&amp;"/yr"</f>
        <v>N/yr</v>
      </c>
      <c r="F80" s="1262">
        <f ca="1">(F79/$D$22)+((F79-F79)/5)</f>
        <v>67293853109.987259</v>
      </c>
      <c r="G80" s="1262">
        <f t="shared" ref="G80:N80" ca="1" si="17">(F79/$D$22)+((G79-F79)/5)</f>
        <v>214634465631.93671</v>
      </c>
      <c r="H80" s="1262">
        <f t="shared" ca="1" si="17"/>
        <v>351706909850.00476</v>
      </c>
      <c r="I80" s="1262">
        <f t="shared" ca="1" si="17"/>
        <v>528954696428.57129</v>
      </c>
      <c r="J80" s="1262">
        <f t="shared" ca="1" si="17"/>
        <v>750937500000.00024</v>
      </c>
      <c r="K80" s="1262">
        <f t="shared" ca="1" si="17"/>
        <v>805557803571.42822</v>
      </c>
      <c r="L80" s="1262">
        <f t="shared" ca="1" si="17"/>
        <v>1000296857142.8572</v>
      </c>
      <c r="M80" s="1262">
        <f ca="1">(L79/$D$22)+((M79-L79)/5)</f>
        <v>1225467160714.2856</v>
      </c>
      <c r="N80" s="1262">
        <f t="shared" ca="1" si="17"/>
        <v>-2302931249999.9995</v>
      </c>
    </row>
    <row r="81" spans="1:16" s="1946" customFormat="1" x14ac:dyDescent="0.2">
      <c r="C81" s="1946" t="s">
        <v>1469</v>
      </c>
      <c r="E81" s="1946" t="str">
        <f>Preferences.moneyunits&amp;"/yr"</f>
        <v>N/yr</v>
      </c>
      <c r="F81" s="675">
        <f ca="1">F10*F$41</f>
        <v>95628462377.951447</v>
      </c>
      <c r="G81" s="675">
        <f t="shared" ref="G81:N81" ca="1" si="18">H10*G$41</f>
        <v>166606409984.7594</v>
      </c>
      <c r="H81" s="675">
        <f t="shared" ca="1" si="18"/>
        <v>265637571428.57144</v>
      </c>
      <c r="I81" s="675">
        <f t="shared" ca="1" si="18"/>
        <v>410810057142.85712</v>
      </c>
      <c r="J81" s="675">
        <f t="shared" ca="1" si="18"/>
        <v>608482542857.14294</v>
      </c>
      <c r="K81" s="675">
        <f t="shared" ca="1" si="18"/>
        <v>778585028571.42847</v>
      </c>
      <c r="L81" s="675">
        <f t="shared" ca="1" si="18"/>
        <v>984057514285.71411</v>
      </c>
      <c r="M81" s="675">
        <f t="shared" ca="1" si="18"/>
        <v>1228230000000</v>
      </c>
      <c r="N81" s="675">
        <f t="shared" si="18"/>
        <v>0</v>
      </c>
    </row>
    <row r="82" spans="1:16" s="1946" customFormat="1" x14ac:dyDescent="0.2">
      <c r="C82" s="1946" t="s">
        <v>1470</v>
      </c>
      <c r="E82" s="1946" t="str">
        <f>Preferences.moneyunits&amp;"/yr"</f>
        <v>N/yr</v>
      </c>
      <c r="F82" s="675">
        <f ca="1">SUM(F80:F81)</f>
        <v>162922315487.93872</v>
      </c>
      <c r="G82" s="675">
        <f t="shared" ref="G82:N82" ca="1" si="19">SUM(G80:G81)</f>
        <v>381240875616.69611</v>
      </c>
      <c r="H82" s="675">
        <f t="shared" ca="1" si="19"/>
        <v>617344481278.57617</v>
      </c>
      <c r="I82" s="675">
        <f ca="1">SUM(I80:I81)</f>
        <v>939764753571.42847</v>
      </c>
      <c r="J82" s="675">
        <f t="shared" ca="1" si="19"/>
        <v>1359420042857.1431</v>
      </c>
      <c r="K82" s="675">
        <f t="shared" ca="1" si="19"/>
        <v>1584142832142.8567</v>
      </c>
      <c r="L82" s="675">
        <f t="shared" ca="1" si="19"/>
        <v>1984354371428.5713</v>
      </c>
      <c r="M82" s="675">
        <f t="shared" ca="1" si="19"/>
        <v>2453697160714.2856</v>
      </c>
      <c r="N82" s="675">
        <f t="shared" ca="1" si="19"/>
        <v>-2302931249999.9995</v>
      </c>
    </row>
    <row r="83" spans="1:16" x14ac:dyDescent="0.2">
      <c r="A83" s="1395"/>
      <c r="B83" s="1395"/>
      <c r="C83" s="1395"/>
      <c r="D83" s="1395"/>
      <c r="E83" s="1395"/>
      <c r="F83" s="1395"/>
      <c r="G83" s="1395"/>
      <c r="H83" s="1395"/>
      <c r="I83" s="1395"/>
      <c r="J83" s="1395"/>
      <c r="K83" s="1395"/>
      <c r="L83" s="1395"/>
      <c r="M83" s="1395"/>
      <c r="N83" s="1395"/>
      <c r="O83" s="1395"/>
    </row>
    <row r="84" spans="1:16" collapsed="1" x14ac:dyDescent="0.2">
      <c r="A84" s="1395"/>
      <c r="B84" s="1395"/>
      <c r="C84" s="1395" t="s">
        <v>893</v>
      </c>
      <c r="D84" s="1395"/>
      <c r="E84" s="1395"/>
      <c r="F84" s="1395"/>
      <c r="G84" s="1395"/>
      <c r="H84" s="1395"/>
      <c r="I84" s="1395"/>
      <c r="J84" s="1395"/>
      <c r="K84" s="1395"/>
      <c r="L84" s="1395"/>
      <c r="M84" s="1395"/>
      <c r="N84" s="1395"/>
      <c r="O84" s="1395"/>
      <c r="P84" s="1395"/>
    </row>
    <row r="85" spans="1:16" x14ac:dyDescent="0.2">
      <c r="A85" s="1395"/>
      <c r="B85" s="1395"/>
      <c r="C85" s="1395" t="s">
        <v>1465</v>
      </c>
      <c r="D85" s="1395"/>
      <c r="E85" s="1395" t="str">
        <f>Preferences.moneyunits</f>
        <v>N</v>
      </c>
      <c r="F85" s="1262">
        <f t="shared" ref="F85:N85" ca="1" si="20">G10*F$35</f>
        <v>735746127335.86072</v>
      </c>
      <c r="G85" s="1262">
        <f t="shared" ca="1" si="20"/>
        <v>1138477134895.856</v>
      </c>
      <c r="H85" s="1262">
        <f t="shared" ca="1" si="20"/>
        <v>1815190071428.5715</v>
      </c>
      <c r="I85" s="1262">
        <f t="shared" ca="1" si="20"/>
        <v>2807202057142.8569</v>
      </c>
      <c r="J85" s="1262">
        <f t="shared" ca="1" si="20"/>
        <v>4157964042857.1431</v>
      </c>
      <c r="K85" s="1262">
        <f t="shared" ca="1" si="20"/>
        <v>5320331028571.4277</v>
      </c>
      <c r="L85" s="1262">
        <f t="shared" ca="1" si="20"/>
        <v>6724393014285.7129</v>
      </c>
      <c r="M85" s="1262">
        <f t="shared" ca="1" si="20"/>
        <v>8392904999999.999</v>
      </c>
      <c r="N85" s="1262">
        <f t="shared" si="20"/>
        <v>0</v>
      </c>
      <c r="O85" s="1395"/>
      <c r="P85" s="1395"/>
    </row>
    <row r="86" spans="1:16" x14ac:dyDescent="0.2">
      <c r="A86" s="1395"/>
      <c r="B86" s="1395"/>
      <c r="C86" s="1395" t="s">
        <v>1468</v>
      </c>
      <c r="D86" s="1395"/>
      <c r="E86" s="1395" t="str">
        <f>Preferences.moneyunits&amp;"/yr"</f>
        <v>N/yr</v>
      </c>
      <c r="F86" s="1262">
        <f ca="1">(F85/$D$22)+((F85-F85)/5)</f>
        <v>36787306366.793037</v>
      </c>
      <c r="G86" s="1262">
        <f t="shared" ref="G86:N86" ca="1" si="21">(F85/$D$22)+((G85-F85)/5)</f>
        <v>117333507878.79208</v>
      </c>
      <c r="H86" s="1262">
        <f t="shared" ca="1" si="21"/>
        <v>192266444051.33594</v>
      </c>
      <c r="I86" s="1262">
        <f t="shared" ca="1" si="21"/>
        <v>289161900714.28564</v>
      </c>
      <c r="J86" s="1262">
        <f t="shared" ca="1" si="21"/>
        <v>410512500000.00012</v>
      </c>
      <c r="K86" s="1262">
        <f t="shared" ca="1" si="21"/>
        <v>440371599285.71411</v>
      </c>
      <c r="L86" s="1262">
        <f t="shared" ca="1" si="21"/>
        <v>546828948571.42847</v>
      </c>
      <c r="M86" s="1262">
        <f t="shared" ca="1" si="21"/>
        <v>669922047857.14282</v>
      </c>
      <c r="N86" s="1262">
        <f t="shared" ca="1" si="21"/>
        <v>-1258935749999.9998</v>
      </c>
      <c r="O86" s="1395"/>
      <c r="P86" s="1395"/>
    </row>
    <row r="87" spans="1:16" ht="11.25" customHeight="1" x14ac:dyDescent="0.2">
      <c r="A87" s="1395"/>
      <c r="B87" s="1395"/>
      <c r="C87" s="1395" t="s">
        <v>1469</v>
      </c>
      <c r="D87" s="1395"/>
      <c r="E87" s="1395" t="str">
        <f>Preferences.moneyunits&amp;"/yr"</f>
        <v>N/yr</v>
      </c>
      <c r="F87" s="675">
        <f ca="1">F10*$G$42</f>
        <v>15938077062.991909</v>
      </c>
      <c r="G87" s="675">
        <f t="shared" ref="G87:N87" ca="1" si="22">H10*$F$42</f>
        <v>27767734997.4599</v>
      </c>
      <c r="H87" s="675">
        <f t="shared" ca="1" si="22"/>
        <v>44272928571.428574</v>
      </c>
      <c r="I87" s="675">
        <f t="shared" ca="1" si="22"/>
        <v>68468342857.14286</v>
      </c>
      <c r="J87" s="675">
        <f t="shared" ca="1" si="22"/>
        <v>101413757142.85715</v>
      </c>
      <c r="K87" s="675">
        <f t="shared" ca="1" si="22"/>
        <v>129764171428.57141</v>
      </c>
      <c r="L87" s="675">
        <f t="shared" ca="1" si="22"/>
        <v>164009585714.28571</v>
      </c>
      <c r="M87" s="675">
        <f t="shared" ca="1" si="22"/>
        <v>204704999999.99997</v>
      </c>
      <c r="N87" s="675">
        <f t="shared" si="22"/>
        <v>0</v>
      </c>
      <c r="O87" s="1395"/>
      <c r="P87" s="1395"/>
    </row>
    <row r="88" spans="1:16" x14ac:dyDescent="0.2">
      <c r="A88" s="1395"/>
      <c r="B88" s="1395"/>
      <c r="C88" s="1395" t="s">
        <v>1470</v>
      </c>
      <c r="D88" s="1395"/>
      <c r="E88" s="1395" t="str">
        <f>Preferences.moneyunits&amp;"/yr"</f>
        <v>N/yr</v>
      </c>
      <c r="F88" s="675">
        <f ca="1">SUM(F86:F87)</f>
        <v>52725383429.784943</v>
      </c>
      <c r="G88" s="675">
        <f t="shared" ref="G88:N88" ca="1" si="23">SUM(G86:G87)</f>
        <v>145101242876.25198</v>
      </c>
      <c r="H88" s="675">
        <f t="shared" ca="1" si="23"/>
        <v>236539372622.76453</v>
      </c>
      <c r="I88" s="675">
        <f t="shared" ca="1" si="23"/>
        <v>357630243571.42853</v>
      </c>
      <c r="J88" s="675">
        <f t="shared" ca="1" si="23"/>
        <v>511926257142.8573</v>
      </c>
      <c r="K88" s="675">
        <f t="shared" ca="1" si="23"/>
        <v>570135770714.28552</v>
      </c>
      <c r="L88" s="675">
        <f t="shared" ca="1" si="23"/>
        <v>710838534285.71411</v>
      </c>
      <c r="M88" s="675">
        <f t="shared" ca="1" si="23"/>
        <v>874627047857.14282</v>
      </c>
      <c r="N88" s="675">
        <f t="shared" ca="1" si="23"/>
        <v>-1258935749999.9998</v>
      </c>
      <c r="O88" s="1395"/>
      <c r="P88" s="1395"/>
    </row>
    <row r="89" spans="1:16" x14ac:dyDescent="0.2">
      <c r="A89" s="1395"/>
      <c r="B89" s="1395"/>
      <c r="C89" s="1395"/>
      <c r="D89" s="1395"/>
      <c r="E89" s="1395"/>
      <c r="F89" s="1395"/>
      <c r="G89" s="1395"/>
      <c r="H89" s="1395"/>
      <c r="I89" s="1395"/>
      <c r="J89" s="1395"/>
      <c r="K89" s="1395"/>
      <c r="L89" s="1395"/>
      <c r="M89" s="1395"/>
      <c r="N89" s="1395"/>
      <c r="O89" s="1395"/>
      <c r="P89" s="1395"/>
    </row>
    <row r="90" spans="1:16" x14ac:dyDescent="0.2">
      <c r="A90" s="1395"/>
      <c r="B90" s="82">
        <v>3</v>
      </c>
      <c r="C90" s="82" t="s">
        <v>1471</v>
      </c>
      <c r="D90" s="1395"/>
      <c r="E90" s="1395"/>
      <c r="F90" s="1395"/>
      <c r="G90" s="1395"/>
      <c r="H90" s="1395"/>
      <c r="I90" s="1395"/>
      <c r="J90" s="1395"/>
      <c r="K90" s="1395"/>
      <c r="L90" s="1395"/>
      <c r="M90" s="1395"/>
      <c r="N90" s="1395"/>
      <c r="O90" s="1395"/>
      <c r="P90" s="1395"/>
    </row>
    <row r="91" spans="1:16" x14ac:dyDescent="0.2">
      <c r="A91" s="1395"/>
      <c r="B91" s="1395"/>
      <c r="O91" s="1395"/>
      <c r="P91" s="1395"/>
    </row>
    <row r="92" spans="1:16" x14ac:dyDescent="0.2">
      <c r="A92" s="1395"/>
      <c r="B92" s="1395"/>
      <c r="C92" s="1395" t="s">
        <v>894</v>
      </c>
      <c r="D92" s="1395"/>
      <c r="E92" s="1395"/>
      <c r="F92" s="1395"/>
      <c r="G92" s="1395"/>
      <c r="H92" s="1395"/>
      <c r="I92" s="1395"/>
      <c r="J92" s="1395"/>
      <c r="K92" s="1395"/>
      <c r="L92" s="1395"/>
      <c r="M92" s="1395"/>
      <c r="N92" s="1395"/>
      <c r="O92" s="1395"/>
    </row>
    <row r="93" spans="1:16" x14ac:dyDescent="0.2">
      <c r="A93" s="1395"/>
      <c r="B93" s="1395"/>
      <c r="C93" s="1395" t="s">
        <v>1465</v>
      </c>
      <c r="D93" s="1395"/>
      <c r="E93" s="1395" t="str">
        <f>Preferences.moneyunits</f>
        <v>N</v>
      </c>
      <c r="F93" s="1262">
        <f t="shared" ref="F93:N93" ca="1" si="24">G10*F$47</f>
        <v>15145603206621.131</v>
      </c>
      <c r="G93" s="1262">
        <f t="shared" ca="1" si="24"/>
        <v>23435968337856.156</v>
      </c>
      <c r="H93" s="1262">
        <f t="shared" ca="1" si="24"/>
        <v>37366351714285.719</v>
      </c>
      <c r="I93" s="1262">
        <f t="shared" ca="1" si="24"/>
        <v>57787281371428.57</v>
      </c>
      <c r="J93" s="1262">
        <f t="shared" ca="1" si="24"/>
        <v>85593211028571.437</v>
      </c>
      <c r="K93" s="1262">
        <f t="shared" ca="1" si="24"/>
        <v>109520960685714.28</v>
      </c>
      <c r="L93" s="1262">
        <f t="shared" ca="1" si="24"/>
        <v>138424090342857.12</v>
      </c>
      <c r="M93" s="1262">
        <f t="shared" ca="1" si="24"/>
        <v>172771020000000</v>
      </c>
      <c r="N93" s="1262">
        <f t="shared" si="24"/>
        <v>0</v>
      </c>
      <c r="O93" s="1395"/>
    </row>
    <row r="94" spans="1:16" x14ac:dyDescent="0.2">
      <c r="A94" s="1395"/>
      <c r="B94" s="1395"/>
      <c r="C94" s="1395" t="s">
        <v>1468</v>
      </c>
      <c r="D94" s="1395"/>
      <c r="E94" s="1395" t="str">
        <f>Preferences.moneyunits&amp;"/yr"</f>
        <v>N/yr</v>
      </c>
      <c r="F94" s="1262">
        <f ca="1">(F93/$D$23)+((F93-F93)/5)</f>
        <v>757280160331.05652</v>
      </c>
      <c r="G94" s="1262">
        <f t="shared" ref="G94:N94" ca="1" si="25">(F93/$D$23)+((G93-F93)/5)</f>
        <v>2415353186578.0615</v>
      </c>
      <c r="H94" s="1262">
        <f t="shared" ca="1" si="25"/>
        <v>3957875092178.7207</v>
      </c>
      <c r="I94" s="1262">
        <f t="shared" ca="1" si="25"/>
        <v>5952503517142.8564</v>
      </c>
      <c r="J94" s="1262">
        <f t="shared" ca="1" si="25"/>
        <v>8450550000000.002</v>
      </c>
      <c r="K94" s="1262">
        <f t="shared" ca="1" si="25"/>
        <v>9065210482857.1406</v>
      </c>
      <c r="L94" s="1262">
        <f t="shared" ca="1" si="25"/>
        <v>11256673965714.281</v>
      </c>
      <c r="M94" s="1262">
        <f t="shared" ca="1" si="25"/>
        <v>13790590448571.432</v>
      </c>
      <c r="N94" s="1262">
        <f t="shared" ca="1" si="25"/>
        <v>-25915653000000</v>
      </c>
      <c r="O94" s="1395"/>
    </row>
    <row r="95" spans="1:16" s="1225" customFormat="1" ht="15.75" customHeight="1" collapsed="1" x14ac:dyDescent="0.2">
      <c r="A95" s="1395"/>
      <c r="B95" s="1395"/>
      <c r="C95" s="1395" t="s">
        <v>1469</v>
      </c>
      <c r="D95" s="1395"/>
      <c r="E95" s="1395" t="str">
        <f>Preferences.moneyunits&amp;"/yr"</f>
        <v>N/yr</v>
      </c>
      <c r="F95" s="675">
        <f ca="1">F10*F$54</f>
        <v>23907115594.487862</v>
      </c>
      <c r="G95" s="675">
        <f t="shared" ref="G95:N95" ca="1" si="26">H10*G$54</f>
        <v>41651602496.18985</v>
      </c>
      <c r="H95" s="675">
        <f t="shared" ca="1" si="26"/>
        <v>66409392857.14286</v>
      </c>
      <c r="I95" s="675">
        <f t="shared" ca="1" si="26"/>
        <v>102702514285.71428</v>
      </c>
      <c r="J95" s="675">
        <f t="shared" ca="1" si="26"/>
        <v>152120635714.28574</v>
      </c>
      <c r="K95" s="675">
        <f t="shared" ca="1" si="26"/>
        <v>194646257142.85712</v>
      </c>
      <c r="L95" s="675">
        <f t="shared" ca="1" si="26"/>
        <v>246014378571.42853</v>
      </c>
      <c r="M95" s="675">
        <f t="shared" ca="1" si="26"/>
        <v>307057500000</v>
      </c>
      <c r="N95" s="675">
        <f t="shared" si="26"/>
        <v>0</v>
      </c>
      <c r="O95" s="1395"/>
    </row>
    <row r="96" spans="1:16" s="1946" customFormat="1" ht="15.75" customHeight="1" x14ac:dyDescent="0.2">
      <c r="C96" s="1395" t="s">
        <v>1470</v>
      </c>
      <c r="D96" s="1395"/>
      <c r="E96" s="1395" t="str">
        <f>Preferences.moneyunits&amp;"/yr"</f>
        <v>N/yr</v>
      </c>
      <c r="F96" s="675">
        <f ca="1">SUM(F94:F95)</f>
        <v>781187275925.54443</v>
      </c>
      <c r="G96" s="675">
        <f t="shared" ref="G96:N96" ca="1" si="27">SUM(G94:G95)</f>
        <v>2457004789074.2515</v>
      </c>
      <c r="H96" s="675">
        <f t="shared" ca="1" si="27"/>
        <v>4024284485035.8638</v>
      </c>
      <c r="I96" s="675">
        <f t="shared" ca="1" si="27"/>
        <v>6055206031428.5703</v>
      </c>
      <c r="J96" s="675">
        <f t="shared" ca="1" si="27"/>
        <v>8602670635714.2881</v>
      </c>
      <c r="K96" s="675">
        <f t="shared" ca="1" si="27"/>
        <v>9259856739999.998</v>
      </c>
      <c r="L96" s="675">
        <f t="shared" ca="1" si="27"/>
        <v>11502688344285.709</v>
      </c>
      <c r="M96" s="675">
        <f t="shared" ca="1" si="27"/>
        <v>14097647948571.432</v>
      </c>
      <c r="N96" s="675">
        <f t="shared" ca="1" si="27"/>
        <v>-25915653000000</v>
      </c>
    </row>
    <row r="97" spans="1:17" s="1946" customFormat="1" ht="15.75" customHeight="1" x14ac:dyDescent="0.2"/>
    <row r="98" spans="1:17" s="1946" customFormat="1" ht="15.75" customHeight="1" x14ac:dyDescent="0.2">
      <c r="C98" s="1946" t="s">
        <v>1886</v>
      </c>
    </row>
    <row r="99" spans="1:17" s="1946" customFormat="1" ht="15.75" customHeight="1" x14ac:dyDescent="0.2">
      <c r="C99" s="1946" t="s">
        <v>1465</v>
      </c>
      <c r="E99" s="1946" t="str">
        <f>Preferences.moneyunits</f>
        <v>N</v>
      </c>
      <c r="F99" s="1262">
        <f t="shared" ref="F99:N99" ca="1" si="28">G10*F$48</f>
        <v>735746127335.86072</v>
      </c>
      <c r="G99" s="1262">
        <f t="shared" ca="1" si="28"/>
        <v>1138477134895.856</v>
      </c>
      <c r="H99" s="1262">
        <f t="shared" ca="1" si="28"/>
        <v>1815190071428.5715</v>
      </c>
      <c r="I99" s="1262">
        <f t="shared" ca="1" si="28"/>
        <v>2807202057142.8569</v>
      </c>
      <c r="J99" s="1262">
        <f t="shared" ca="1" si="28"/>
        <v>4157964042857.1431</v>
      </c>
      <c r="K99" s="1262">
        <f t="shared" ca="1" si="28"/>
        <v>5320331028571.4277</v>
      </c>
      <c r="L99" s="1262">
        <f t="shared" ca="1" si="28"/>
        <v>6724393014285.7129</v>
      </c>
      <c r="M99" s="1262">
        <f t="shared" ca="1" si="28"/>
        <v>8392904999999.999</v>
      </c>
      <c r="N99" s="1262">
        <f t="shared" si="28"/>
        <v>0</v>
      </c>
    </row>
    <row r="100" spans="1:17" s="1946" customFormat="1" ht="15.75" customHeight="1" x14ac:dyDescent="0.2">
      <c r="C100" s="1946" t="s">
        <v>1468</v>
      </c>
      <c r="E100" s="1946" t="str">
        <f>Preferences.moneyunits&amp;"/yr"</f>
        <v>N/yr</v>
      </c>
      <c r="F100" s="1262">
        <f ca="1">(F99/$D$23)+((F99-F99)/5)</f>
        <v>36787306366.793037</v>
      </c>
      <c r="G100" s="1262">
        <f t="shared" ref="G100:N100" ca="1" si="29">(F99/$D$23)+((G99-F99)/5)</f>
        <v>117333507878.79208</v>
      </c>
      <c r="H100" s="1262">
        <f t="shared" ca="1" si="29"/>
        <v>192266444051.33594</v>
      </c>
      <c r="I100" s="1262">
        <f t="shared" ca="1" si="29"/>
        <v>289161900714.28564</v>
      </c>
      <c r="J100" s="1262">
        <f t="shared" ca="1" si="29"/>
        <v>410512500000.00012</v>
      </c>
      <c r="K100" s="1262">
        <f t="shared" ca="1" si="29"/>
        <v>440371599285.71411</v>
      </c>
      <c r="L100" s="1262">
        <f t="shared" ca="1" si="29"/>
        <v>546828948571.42847</v>
      </c>
      <c r="M100" s="1262">
        <f t="shared" ca="1" si="29"/>
        <v>669922047857.14282</v>
      </c>
      <c r="N100" s="1262">
        <f t="shared" ca="1" si="29"/>
        <v>-1258935749999.9998</v>
      </c>
    </row>
    <row r="101" spans="1:17" s="1946" customFormat="1" ht="15.75" customHeight="1" x14ac:dyDescent="0.2">
      <c r="C101" s="1946" t="s">
        <v>1469</v>
      </c>
      <c r="E101" s="1946" t="str">
        <f>Preferences.moneyunits&amp;"/yr"</f>
        <v>N/yr</v>
      </c>
      <c r="F101" s="675">
        <f ca="1">F10*F$55</f>
        <v>23907115594.487862</v>
      </c>
      <c r="G101" s="675">
        <f t="shared" ref="G101:N101" ca="1" si="30">H10*G$55</f>
        <v>41651602496.18985</v>
      </c>
      <c r="H101" s="675">
        <f t="shared" ca="1" si="30"/>
        <v>66409392857.14286</v>
      </c>
      <c r="I101" s="675">
        <f t="shared" ca="1" si="30"/>
        <v>102702514285.71428</v>
      </c>
      <c r="J101" s="675">
        <f t="shared" ca="1" si="30"/>
        <v>152120635714.28574</v>
      </c>
      <c r="K101" s="675">
        <f t="shared" ca="1" si="30"/>
        <v>194646257142.85712</v>
      </c>
      <c r="L101" s="675">
        <f t="shared" ca="1" si="30"/>
        <v>246014378571.42853</v>
      </c>
      <c r="M101" s="675">
        <f t="shared" ca="1" si="30"/>
        <v>307057500000</v>
      </c>
      <c r="N101" s="675">
        <f t="shared" si="30"/>
        <v>0</v>
      </c>
    </row>
    <row r="102" spans="1:17" s="1225" customFormat="1" x14ac:dyDescent="0.2">
      <c r="A102" s="1395"/>
      <c r="B102" s="1395"/>
      <c r="C102" s="1946" t="s">
        <v>1470</v>
      </c>
      <c r="D102" s="1946"/>
      <c r="E102" s="1946" t="str">
        <f>Preferences.moneyunits&amp;"/yr"</f>
        <v>N/yr</v>
      </c>
      <c r="F102" s="675">
        <f ca="1">SUM(F100:F101)</f>
        <v>60694421961.280899</v>
      </c>
      <c r="G102" s="675">
        <f t="shared" ref="G102:N102" ca="1" si="31">SUM(G100:G101)</f>
        <v>158985110374.98193</v>
      </c>
      <c r="H102" s="675">
        <f t="shared" ca="1" si="31"/>
        <v>258675836908.47879</v>
      </c>
      <c r="I102" s="675">
        <f t="shared" ca="1" si="31"/>
        <v>391864414999.99994</v>
      </c>
      <c r="J102" s="675">
        <f t="shared" ca="1" si="31"/>
        <v>562633135714.28589</v>
      </c>
      <c r="K102" s="675">
        <f t="shared" ca="1" si="31"/>
        <v>635017856428.57129</v>
      </c>
      <c r="L102" s="675">
        <f t="shared" ca="1" si="31"/>
        <v>792843327142.85693</v>
      </c>
      <c r="M102" s="675">
        <f t="shared" ca="1" si="31"/>
        <v>976979547857.14282</v>
      </c>
      <c r="N102" s="675">
        <f t="shared" ca="1" si="31"/>
        <v>-1258935749999.9998</v>
      </c>
      <c r="O102" s="1395"/>
      <c r="P102" s="1395"/>
    </row>
    <row r="103" spans="1:17" s="1225" customFormat="1" x14ac:dyDescent="0.2">
      <c r="A103" s="1395"/>
      <c r="B103" s="1395"/>
      <c r="O103" s="1395"/>
      <c r="P103" s="1395"/>
    </row>
    <row r="104" spans="1:17" s="1225" customFormat="1" ht="15.75" customHeight="1" x14ac:dyDescent="0.2">
      <c r="A104" s="1395"/>
      <c r="B104" s="1395"/>
      <c r="C104" s="1395" t="s">
        <v>893</v>
      </c>
      <c r="D104" s="1395"/>
      <c r="E104" s="1395"/>
      <c r="F104" s="1395"/>
      <c r="G104" s="1395"/>
      <c r="H104" s="1395"/>
      <c r="I104" s="1395"/>
      <c r="J104" s="1395"/>
      <c r="K104" s="1395"/>
      <c r="L104" s="1395"/>
      <c r="M104" s="1395"/>
      <c r="N104" s="1395"/>
      <c r="O104" s="1395"/>
      <c r="P104" s="1395"/>
    </row>
    <row r="105" spans="1:17" s="1225" customFormat="1" x14ac:dyDescent="0.2">
      <c r="A105" s="1395"/>
      <c r="B105" s="1395"/>
      <c r="C105" s="1395" t="s">
        <v>1465</v>
      </c>
      <c r="D105" s="1395"/>
      <c r="E105" s="1395" t="str">
        <f>Preferences.moneyunits</f>
        <v>N</v>
      </c>
      <c r="F105" s="1262">
        <f t="shared" ref="F105:N105" ca="1" si="32">G10*F$49</f>
        <v>951086457287.81995</v>
      </c>
      <c r="G105" s="1262">
        <f t="shared" ca="1" si="32"/>
        <v>1471689954865.3748</v>
      </c>
      <c r="H105" s="1262">
        <f t="shared" ca="1" si="32"/>
        <v>2346465214285.7144</v>
      </c>
      <c r="I105" s="1262">
        <f t="shared" ca="1" si="32"/>
        <v>3628822171428.5713</v>
      </c>
      <c r="J105" s="1262">
        <f t="shared" ca="1" si="32"/>
        <v>5374929128571.4287</v>
      </c>
      <c r="K105" s="1262">
        <f t="shared" ca="1" si="32"/>
        <v>6877501085714.2852</v>
      </c>
      <c r="L105" s="1262">
        <f t="shared" ca="1" si="32"/>
        <v>8692508042857.1416</v>
      </c>
      <c r="M105" s="1262">
        <f t="shared" ca="1" si="32"/>
        <v>10849365000000</v>
      </c>
      <c r="N105" s="1262">
        <f t="shared" si="32"/>
        <v>0</v>
      </c>
      <c r="O105" s="1395"/>
      <c r="P105" s="1395"/>
    </row>
    <row r="106" spans="1:17" s="1225" customFormat="1" x14ac:dyDescent="0.2">
      <c r="A106" s="1395"/>
      <c r="B106" s="1395"/>
      <c r="C106" s="1395" t="s">
        <v>1468</v>
      </c>
      <c r="D106" s="1395"/>
      <c r="E106" s="1395" t="str">
        <f>Preferences.moneyunits&amp;"/yr"</f>
        <v>N/yr</v>
      </c>
      <c r="F106" s="1262">
        <f ca="1">(F105/$D$23)+((F105-F105)/5)</f>
        <v>47554322864.390999</v>
      </c>
      <c r="G106" s="1262">
        <f t="shared" ref="G106:N106" ca="1" si="33">(F105/$D$23)+((G105-F105)/5)</f>
        <v>151675022379.90195</v>
      </c>
      <c r="H106" s="1262">
        <f t="shared" ca="1" si="33"/>
        <v>248539549627.33667</v>
      </c>
      <c r="I106" s="1262">
        <f t="shared" ca="1" si="33"/>
        <v>373794652142.85712</v>
      </c>
      <c r="J106" s="1262">
        <f t="shared" ca="1" si="33"/>
        <v>530662500000</v>
      </c>
      <c r="K106" s="1262">
        <f t="shared" ca="1" si="33"/>
        <v>569260847857.1427</v>
      </c>
      <c r="L106" s="1262">
        <f t="shared" ca="1" si="33"/>
        <v>706876445714.28552</v>
      </c>
      <c r="M106" s="1262">
        <f t="shared" ca="1" si="33"/>
        <v>865996793571.42871</v>
      </c>
      <c r="N106" s="1262">
        <f t="shared" ca="1" si="33"/>
        <v>-1627404750000</v>
      </c>
      <c r="O106" s="1395"/>
      <c r="P106" s="1395"/>
    </row>
    <row r="107" spans="1:17" s="1225" customFormat="1" x14ac:dyDescent="0.2">
      <c r="A107" s="1395"/>
      <c r="B107" s="1395"/>
      <c r="C107" s="1395" t="s">
        <v>1469</v>
      </c>
      <c r="D107" s="1395"/>
      <c r="E107" s="1395" t="str">
        <f>Preferences.moneyunits&amp;"/yr"</f>
        <v>N/yr</v>
      </c>
      <c r="F107" s="675">
        <f t="shared" ref="F107" ca="1" si="34">F10*F$56</f>
        <v>23907115594.487862</v>
      </c>
      <c r="G107" s="675">
        <f t="shared" ref="G107:N107" ca="1" si="35">H10*G$56</f>
        <v>41651602496.18985</v>
      </c>
      <c r="H107" s="675">
        <f t="shared" ca="1" si="35"/>
        <v>66409392857.14286</v>
      </c>
      <c r="I107" s="675">
        <f t="shared" ca="1" si="35"/>
        <v>102702514285.71428</v>
      </c>
      <c r="J107" s="675">
        <f t="shared" ca="1" si="35"/>
        <v>152120635714.28574</v>
      </c>
      <c r="K107" s="675">
        <f t="shared" ca="1" si="35"/>
        <v>194646257142.85712</v>
      </c>
      <c r="L107" s="675">
        <f t="shared" ca="1" si="35"/>
        <v>246014378571.42853</v>
      </c>
      <c r="M107" s="675">
        <f t="shared" ca="1" si="35"/>
        <v>307057500000</v>
      </c>
      <c r="N107" s="675">
        <f t="shared" si="35"/>
        <v>0</v>
      </c>
      <c r="O107" s="1395"/>
      <c r="P107" s="1395"/>
    </row>
    <row r="108" spans="1:17" s="1225" customFormat="1" x14ac:dyDescent="0.2">
      <c r="A108" s="1395"/>
      <c r="B108" s="1395"/>
      <c r="C108" s="1395" t="s">
        <v>1470</v>
      </c>
      <c r="D108" s="1395"/>
      <c r="E108" s="1395" t="str">
        <f>Preferences.moneyunits&amp;"/yr"</f>
        <v>N/yr</v>
      </c>
      <c r="F108" s="675">
        <f t="shared" ref="F108" ca="1" si="36">SUM(F106:F107)</f>
        <v>71461438458.87886</v>
      </c>
      <c r="G108" s="675">
        <f t="shared" ref="G108:N108" ca="1" si="37">SUM(G106:G107)</f>
        <v>193326624876.0918</v>
      </c>
      <c r="H108" s="675">
        <f t="shared" ca="1" si="37"/>
        <v>314948942484.47955</v>
      </c>
      <c r="I108" s="675">
        <f t="shared" ca="1" si="37"/>
        <v>476497166428.57141</v>
      </c>
      <c r="J108" s="675">
        <f t="shared" ca="1" si="37"/>
        <v>682783135714.28577</v>
      </c>
      <c r="K108" s="675">
        <f t="shared" ca="1" si="37"/>
        <v>763907104999.99976</v>
      </c>
      <c r="L108" s="675">
        <f t="shared" ca="1" si="37"/>
        <v>952890824285.71411</v>
      </c>
      <c r="M108" s="675">
        <f t="shared" ca="1" si="37"/>
        <v>1173054293571.4287</v>
      </c>
      <c r="N108" s="675">
        <f t="shared" ca="1" si="37"/>
        <v>-1627404750000</v>
      </c>
      <c r="O108" s="1395"/>
      <c r="P108" s="1395"/>
    </row>
    <row r="109" spans="1:17" s="1395" customFormat="1" collapsed="1" x14ac:dyDescent="0.2">
      <c r="A109" s="38"/>
      <c r="B109" s="38"/>
      <c r="C109" s="38"/>
      <c r="D109" s="38"/>
      <c r="E109" s="38"/>
      <c r="F109" s="38"/>
      <c r="G109" s="38"/>
      <c r="H109" s="38"/>
      <c r="I109" s="38"/>
      <c r="J109" s="38"/>
      <c r="K109" s="38"/>
      <c r="L109" s="38"/>
      <c r="M109" s="38"/>
      <c r="N109" s="38"/>
      <c r="O109" s="38"/>
      <c r="P109" s="38"/>
      <c r="Q109" s="38"/>
    </row>
    <row r="110" spans="1:17" s="1395" customFormat="1" ht="22.5" customHeight="1" x14ac:dyDescent="0.3">
      <c r="A110" s="409"/>
      <c r="B110" s="468" t="s">
        <v>236</v>
      </c>
      <c r="C110" s="421"/>
      <c r="D110" s="421"/>
      <c r="E110" s="421"/>
      <c r="F110" s="421"/>
      <c r="G110" s="421"/>
      <c r="H110" s="421"/>
      <c r="I110" s="421"/>
      <c r="J110" s="421"/>
      <c r="K110" s="421"/>
      <c r="L110" s="421"/>
      <c r="M110" s="421"/>
      <c r="N110" s="421"/>
      <c r="O110" s="421"/>
      <c r="P110" s="423"/>
      <c r="Q110" s="38"/>
    </row>
    <row r="111" spans="1:17" s="1395" customFormat="1" x14ac:dyDescent="0.2">
      <c r="A111" s="38"/>
      <c r="B111" s="410"/>
      <c r="C111" s="412"/>
      <c r="D111" s="412"/>
      <c r="E111" s="412"/>
      <c r="F111" s="412"/>
      <c r="G111" s="412"/>
      <c r="H111" s="412"/>
      <c r="I111" s="412"/>
      <c r="J111" s="412"/>
      <c r="K111" s="412"/>
      <c r="L111" s="412"/>
      <c r="M111" s="412"/>
      <c r="N111" s="412"/>
      <c r="O111" s="412"/>
      <c r="P111" s="414"/>
      <c r="Q111" s="38"/>
    </row>
    <row r="112" spans="1:17" s="1395" customFormat="1" ht="15.75" customHeight="1" x14ac:dyDescent="0.2">
      <c r="A112" s="38"/>
      <c r="B112" s="410"/>
      <c r="C112" s="424" t="s">
        <v>277</v>
      </c>
      <c r="D112" s="412"/>
      <c r="E112" s="413"/>
      <c r="F112" s="412"/>
      <c r="G112" s="413"/>
      <c r="H112" s="412"/>
      <c r="I112" s="412"/>
      <c r="J112" s="412"/>
      <c r="K112" s="412"/>
      <c r="L112" s="412"/>
      <c r="M112" s="412"/>
      <c r="N112" s="413" t="str">
        <f>Preferences.EnergyUnits</f>
        <v>TWh</v>
      </c>
      <c r="P112" s="414"/>
      <c r="Q112" s="38"/>
    </row>
    <row r="113" spans="1:17" s="1395" customFormat="1" ht="5.25" customHeight="1" x14ac:dyDescent="0.2">
      <c r="A113" s="38"/>
      <c r="B113" s="410"/>
      <c r="C113" s="412"/>
      <c r="D113" s="412"/>
      <c r="E113" s="412"/>
      <c r="F113" s="412"/>
      <c r="G113" s="412"/>
      <c r="H113" s="412"/>
      <c r="I113" s="412"/>
      <c r="J113" s="412"/>
      <c r="K113" s="412"/>
      <c r="L113" s="412"/>
      <c r="M113" s="412"/>
      <c r="N113" s="412"/>
      <c r="O113" s="412"/>
      <c r="P113" s="414"/>
      <c r="Q113" s="38"/>
    </row>
    <row r="114" spans="1:17" s="1395" customFormat="1" ht="15.75" x14ac:dyDescent="0.25">
      <c r="A114" s="3"/>
      <c r="B114" s="415"/>
      <c r="C114" s="426" t="s">
        <v>64</v>
      </c>
      <c r="D114" s="426" t="s">
        <v>150</v>
      </c>
      <c r="E114" s="426" t="s">
        <v>172</v>
      </c>
      <c r="F114" s="426" t="s">
        <v>241</v>
      </c>
      <c r="G114" s="427" t="s">
        <v>268</v>
      </c>
      <c r="H114" s="427" t="s">
        <v>269</v>
      </c>
      <c r="I114" s="427" t="s">
        <v>270</v>
      </c>
      <c r="J114" s="427" t="s">
        <v>271</v>
      </c>
      <c r="K114" s="427" t="s">
        <v>272</v>
      </c>
      <c r="L114" s="427" t="s">
        <v>273</v>
      </c>
      <c r="M114" s="427" t="s">
        <v>274</v>
      </c>
      <c r="N114" s="427" t="s">
        <v>275</v>
      </c>
      <c r="O114" s="414"/>
      <c r="P114" s="38"/>
    </row>
    <row r="115" spans="1:17" s="1395" customFormat="1" ht="15.75" x14ac:dyDescent="0.25">
      <c r="A115" s="3"/>
      <c r="B115" s="415"/>
      <c r="C115" s="97" t="s">
        <v>35</v>
      </c>
      <c r="D115" s="97" t="str">
        <f>INDEX(Vectors[Description], MATCH(VII.b.Outputs[Vector], Vectors[Code], 0))</f>
        <v>Electricity (supplied to grid)</v>
      </c>
      <c r="E115" s="97"/>
      <c r="F115" s="241">
        <f t="shared" ref="F115:N115" ca="1" si="38">-(F$67-F$65)</f>
        <v>-23.979959628458118</v>
      </c>
      <c r="G115" s="241">
        <f t="shared" ca="1" si="38"/>
        <v>-28.298021718271968</v>
      </c>
      <c r="H115" s="241">
        <f t="shared" ca="1" si="38"/>
        <v>-33.924854253983</v>
      </c>
      <c r="I115" s="241">
        <f t="shared" ca="1" si="38"/>
        <v>-51.032654334219728</v>
      </c>
      <c r="J115" s="241">
        <f t="shared" ca="1" si="38"/>
        <v>-68.625180708972152</v>
      </c>
      <c r="K115" s="241">
        <f t="shared" ca="1" si="38"/>
        <v>-72.292426428163822</v>
      </c>
      <c r="L115" s="241">
        <f t="shared" ca="1" si="38"/>
        <v>-89.940544676074524</v>
      </c>
      <c r="M115" s="241">
        <f t="shared" ca="1" si="38"/>
        <v>-88.615214399998194</v>
      </c>
      <c r="N115" s="241">
        <f t="shared" ca="1" si="38"/>
        <v>-105.15523314129905</v>
      </c>
      <c r="O115" s="414"/>
      <c r="P115" s="38"/>
    </row>
    <row r="116" spans="1:17" s="1395" customFormat="1" ht="15.75" x14ac:dyDescent="0.25">
      <c r="A116" s="3"/>
      <c r="B116" s="415"/>
      <c r="C116" s="97" t="s">
        <v>27</v>
      </c>
      <c r="D116" s="97" t="str">
        <f>INDEX(Vectors[Description], MATCH(VII.b.Outputs[Vector], Vectors[Code], 0))</f>
        <v>Distribution losses and own use</v>
      </c>
      <c r="E116" s="97"/>
      <c r="F116" s="241">
        <f t="shared" ref="F116:N116" ca="1" si="39">F$69</f>
        <v>23.979959628458111</v>
      </c>
      <c r="G116" s="241">
        <f t="shared" ca="1" si="39"/>
        <v>28.298021718271972</v>
      </c>
      <c r="H116" s="241">
        <f t="shared" ca="1" si="39"/>
        <v>33.924854253983</v>
      </c>
      <c r="I116" s="241">
        <f t="shared" ca="1" si="39"/>
        <v>51.032654334219735</v>
      </c>
      <c r="J116" s="241">
        <f t="shared" ca="1" si="39"/>
        <v>68.625180708972152</v>
      </c>
      <c r="K116" s="241">
        <f t="shared" ca="1" si="39"/>
        <v>72.292426428163779</v>
      </c>
      <c r="L116" s="241">
        <f t="shared" ca="1" si="39"/>
        <v>89.940544676074552</v>
      </c>
      <c r="M116" s="241">
        <f t="shared" ca="1" si="39"/>
        <v>88.61521439999818</v>
      </c>
      <c r="N116" s="241">
        <f t="shared" ca="1" si="39"/>
        <v>105.15523314129916</v>
      </c>
      <c r="O116" s="414"/>
      <c r="P116" s="38"/>
    </row>
    <row r="117" spans="1:17" s="1395" customFormat="1" ht="15.75" x14ac:dyDescent="0.25">
      <c r="A117" s="3"/>
      <c r="B117" s="415"/>
      <c r="C117" s="97" t="s">
        <v>105</v>
      </c>
      <c r="D117" s="97"/>
      <c r="E117" s="97"/>
      <c r="F117" s="517">
        <f ca="1">SUBTOTAL(109,VII.b.Outputs[2010])</f>
        <v>0</v>
      </c>
      <c r="G117" s="517">
        <f ca="1">SUBTOTAL(109,VII.b.Outputs[2015])</f>
        <v>0</v>
      </c>
      <c r="H117" s="517">
        <f ca="1">SUBTOTAL(109,VII.b.Outputs[2020])</f>
        <v>0</v>
      </c>
      <c r="I117" s="517">
        <f ca="1">SUBTOTAL(109,VII.b.Outputs[2025])</f>
        <v>0</v>
      </c>
      <c r="J117" s="517">
        <f ca="1">SUBTOTAL(109,VII.b.Outputs[2030])</f>
        <v>0</v>
      </c>
      <c r="K117" s="517">
        <f ca="1">SUBTOTAL(109,VII.b.Outputs[2035])</f>
        <v>0</v>
      </c>
      <c r="L117" s="517">
        <f ca="1">SUBTOTAL(109,VII.b.Outputs[2040])</f>
        <v>0</v>
      </c>
      <c r="M117" s="517">
        <f ca="1">SUBTOTAL(109,VII.b.Outputs[2045])</f>
        <v>0</v>
      </c>
      <c r="N117" s="517">
        <f ca="1">SUBTOTAL(109,VII.b.Outputs[2050])</f>
        <v>1.1368683772161603E-13</v>
      </c>
      <c r="O117" s="414"/>
      <c r="P117" s="38"/>
    </row>
    <row r="118" spans="1:17" s="1395" customFormat="1" ht="15.75" x14ac:dyDescent="0.25">
      <c r="A118" s="3"/>
      <c r="B118" s="416"/>
      <c r="C118" s="515"/>
      <c r="D118" s="516"/>
      <c r="E118" s="516"/>
      <c r="F118" s="516"/>
      <c r="G118" s="516"/>
      <c r="H118" s="516"/>
      <c r="I118" s="516"/>
      <c r="J118" s="516"/>
      <c r="K118" s="516"/>
      <c r="L118" s="516"/>
      <c r="M118" s="516"/>
      <c r="N118" s="516"/>
      <c r="O118" s="516"/>
      <c r="P118" s="419"/>
      <c r="Q118" s="38"/>
    </row>
    <row r="119" spans="1:17" s="1395" customFormat="1" x14ac:dyDescent="0.2">
      <c r="A119" s="38"/>
      <c r="B119" s="38"/>
      <c r="C119" s="38"/>
      <c r="D119" s="38"/>
      <c r="E119" s="38"/>
      <c r="F119" s="38"/>
      <c r="G119" s="38"/>
      <c r="H119" s="38"/>
      <c r="I119" s="38"/>
      <c r="J119" s="38"/>
      <c r="K119" s="38"/>
      <c r="L119" s="38"/>
      <c r="M119" s="38"/>
      <c r="N119" s="38"/>
      <c r="O119" s="38"/>
      <c r="P119" s="38"/>
      <c r="Q119" s="38"/>
    </row>
    <row r="120" spans="1:17" s="1395" customFormat="1" ht="15.75" x14ac:dyDescent="0.2">
      <c r="A120" s="1225"/>
      <c r="B120" s="1186" t="s">
        <v>1225</v>
      </c>
      <c r="C120" s="1218"/>
      <c r="D120" s="1187"/>
      <c r="E120" s="1187"/>
      <c r="F120" s="1187"/>
      <c r="G120" s="1187"/>
      <c r="H120" s="1187"/>
      <c r="I120" s="1187"/>
      <c r="J120" s="1187"/>
      <c r="K120" s="1187"/>
      <c r="L120" s="1187"/>
      <c r="M120" s="1187"/>
      <c r="N120" s="1187"/>
      <c r="O120" s="1187"/>
      <c r="P120" s="1188"/>
      <c r="Q120" s="1225"/>
    </row>
    <row r="121" spans="1:17" x14ac:dyDescent="0.2">
      <c r="A121" s="1225"/>
      <c r="B121" s="1219"/>
      <c r="C121" s="1220"/>
      <c r="D121" s="1220"/>
      <c r="E121" s="1220"/>
      <c r="F121" s="1220"/>
      <c r="G121" s="1220"/>
      <c r="H121" s="1220"/>
      <c r="I121" s="1220"/>
      <c r="J121" s="1220"/>
      <c r="K121" s="1220"/>
      <c r="L121" s="1220"/>
      <c r="M121" s="1220"/>
      <c r="N121" s="1220"/>
      <c r="O121" s="1220"/>
      <c r="P121" s="1221"/>
      <c r="Q121" s="1225"/>
    </row>
    <row r="122" spans="1:17" x14ac:dyDescent="0.2">
      <c r="A122" s="1225"/>
      <c r="B122" s="1189"/>
      <c r="C122" s="1222" t="s">
        <v>1230</v>
      </c>
      <c r="D122" s="1190"/>
      <c r="E122" s="1223"/>
      <c r="F122" s="1190"/>
      <c r="G122" s="1223"/>
      <c r="H122" s="1190"/>
      <c r="I122" s="1190"/>
      <c r="J122" s="1190"/>
      <c r="K122" s="1190"/>
      <c r="L122" s="1190"/>
      <c r="M122" s="1190"/>
      <c r="N122" s="1190"/>
      <c r="O122" s="1223"/>
      <c r="P122" s="1191"/>
      <c r="Q122" s="1225"/>
    </row>
    <row r="123" spans="1:17" x14ac:dyDescent="0.2">
      <c r="A123" s="1225"/>
      <c r="B123" s="1189"/>
      <c r="C123" s="1190"/>
      <c r="D123" s="1190"/>
      <c r="E123" s="1190"/>
      <c r="F123" s="1190"/>
      <c r="G123" s="1190"/>
      <c r="H123" s="1190"/>
      <c r="I123" s="1190"/>
      <c r="J123" s="1190"/>
      <c r="K123" s="1190"/>
      <c r="L123" s="1190"/>
      <c r="M123" s="1190"/>
      <c r="N123" s="1190"/>
      <c r="O123" s="1190"/>
      <c r="P123" s="1191"/>
      <c r="Q123" s="1225"/>
    </row>
    <row r="124" spans="1:17" ht="15.75" x14ac:dyDescent="0.25">
      <c r="A124" s="1225"/>
      <c r="B124" s="1192"/>
      <c r="C124" s="1193" t="s">
        <v>64</v>
      </c>
      <c r="D124" s="1193" t="s">
        <v>1226</v>
      </c>
      <c r="E124" s="1193" t="s">
        <v>172</v>
      </c>
      <c r="F124" s="1193" t="s">
        <v>241</v>
      </c>
      <c r="G124" s="1193" t="s">
        <v>268</v>
      </c>
      <c r="H124" s="1193" t="s">
        <v>269</v>
      </c>
      <c r="I124" s="1193" t="s">
        <v>270</v>
      </c>
      <c r="J124" s="1193" t="s">
        <v>271</v>
      </c>
      <c r="K124" s="1193" t="s">
        <v>272</v>
      </c>
      <c r="L124" s="1193" t="s">
        <v>273</v>
      </c>
      <c r="M124" s="1193" t="s">
        <v>274</v>
      </c>
      <c r="N124" s="1193" t="s">
        <v>275</v>
      </c>
      <c r="O124" s="1191"/>
      <c r="P124" s="1225"/>
    </row>
    <row r="125" spans="1:17" ht="15.75" x14ac:dyDescent="0.25">
      <c r="A125" s="1225"/>
      <c r="B125" s="1192"/>
      <c r="C125" s="1194"/>
      <c r="D125" s="1195"/>
      <c r="E125" s="1195"/>
      <c r="F125" s="1226"/>
      <c r="G125" s="1226"/>
      <c r="H125" s="1226"/>
      <c r="I125" s="1226"/>
      <c r="J125" s="1226"/>
      <c r="K125" s="1226"/>
      <c r="L125" s="1226"/>
      <c r="M125" s="1226"/>
      <c r="N125" s="1226"/>
      <c r="O125" s="1191"/>
      <c r="P125" s="1225"/>
    </row>
    <row r="126" spans="1:17" ht="15.75" x14ac:dyDescent="0.25">
      <c r="A126" s="1225"/>
      <c r="B126" s="1192"/>
      <c r="C126" s="1194"/>
      <c r="D126" s="1195"/>
      <c r="E126" s="1195"/>
      <c r="F126" s="1226"/>
      <c r="G126" s="1226"/>
      <c r="H126" s="1226"/>
      <c r="I126" s="1226"/>
      <c r="J126" s="1226"/>
      <c r="K126" s="1226"/>
      <c r="L126" s="1226"/>
      <c r="M126" s="1226"/>
      <c r="N126" s="1226"/>
      <c r="O126" s="1191"/>
      <c r="P126" s="1225"/>
    </row>
    <row r="127" spans="1:17" ht="15.75" x14ac:dyDescent="0.25">
      <c r="A127" s="1225"/>
      <c r="B127" s="1227"/>
      <c r="C127" s="1197"/>
      <c r="D127" s="1197"/>
      <c r="E127" s="1197"/>
      <c r="F127" s="1197"/>
      <c r="G127" s="1197"/>
      <c r="H127" s="1197"/>
      <c r="I127" s="1197"/>
      <c r="J127" s="1197"/>
      <c r="K127" s="1197"/>
      <c r="L127" s="1197"/>
      <c r="M127" s="1197"/>
      <c r="N127" s="1197"/>
      <c r="O127" s="1197"/>
      <c r="P127" s="1224"/>
      <c r="Q127" s="1225"/>
    </row>
    <row r="128" spans="1:17" x14ac:dyDescent="0.2">
      <c r="A128" s="1395"/>
      <c r="B128" s="1395"/>
      <c r="C128" s="1395"/>
      <c r="D128" s="1395"/>
      <c r="E128" s="1395"/>
      <c r="F128" s="1395"/>
      <c r="G128" s="1395"/>
      <c r="H128" s="1395"/>
      <c r="I128" s="1395"/>
      <c r="J128" s="1395"/>
      <c r="K128" s="1395"/>
      <c r="L128" s="1395"/>
      <c r="M128" s="1395"/>
      <c r="N128" s="1395"/>
      <c r="O128" s="1395"/>
      <c r="P128" s="1395"/>
      <c r="Q128" s="1395"/>
    </row>
    <row r="129" spans="1:17" ht="15.75" x14ac:dyDescent="0.2">
      <c r="A129" s="1395"/>
      <c r="B129" s="1186" t="s">
        <v>1424</v>
      </c>
      <c r="C129" s="1187"/>
      <c r="D129" s="1187"/>
      <c r="E129" s="1187"/>
      <c r="F129" s="1187"/>
      <c r="G129" s="1187"/>
      <c r="H129" s="1187"/>
      <c r="I129" s="1187"/>
      <c r="J129" s="1187"/>
      <c r="K129" s="1187"/>
      <c r="L129" s="1187"/>
      <c r="M129" s="1187"/>
      <c r="N129" s="1187"/>
      <c r="O129" s="1187"/>
      <c r="P129" s="1188"/>
      <c r="Q129" s="1395"/>
    </row>
    <row r="130" spans="1:17" x14ac:dyDescent="0.2">
      <c r="A130" s="1395"/>
      <c r="B130" s="1189"/>
      <c r="C130" s="1190"/>
      <c r="D130" s="1190"/>
      <c r="E130" s="1190"/>
      <c r="F130" s="1190"/>
      <c r="G130" s="1190"/>
      <c r="H130" s="1190"/>
      <c r="I130" s="1190"/>
      <c r="J130" s="1190"/>
      <c r="K130" s="1190"/>
      <c r="L130" s="1190"/>
      <c r="M130" s="1190"/>
      <c r="N130" s="1190"/>
      <c r="O130" s="1190"/>
      <c r="P130" s="1191"/>
      <c r="Q130" s="1395"/>
    </row>
    <row r="131" spans="1:17" x14ac:dyDescent="0.2">
      <c r="A131" s="1395"/>
      <c r="B131" s="1189"/>
      <c r="C131" s="1367" t="s">
        <v>1425</v>
      </c>
      <c r="D131" s="1368"/>
      <c r="E131" s="1368"/>
      <c r="F131" s="1368"/>
      <c r="G131" s="1368"/>
      <c r="H131" s="1368"/>
      <c r="I131" s="1368"/>
      <c r="J131" s="1368"/>
      <c r="K131" s="1368"/>
      <c r="L131" s="1368"/>
      <c r="M131" s="1368"/>
      <c r="N131" s="1479" t="str">
        <f>Preferences.moneyunits</f>
        <v>N</v>
      </c>
      <c r="P131" s="1191"/>
      <c r="Q131" s="1395"/>
    </row>
    <row r="132" spans="1:17" x14ac:dyDescent="0.2">
      <c r="A132" s="1395"/>
      <c r="B132" s="1189"/>
      <c r="C132" s="1190"/>
      <c r="D132" s="1190"/>
      <c r="E132" s="1190"/>
      <c r="F132" s="1190"/>
      <c r="G132" s="1190"/>
      <c r="H132" s="1190"/>
      <c r="I132" s="1190"/>
      <c r="J132" s="1190"/>
      <c r="K132" s="1190"/>
      <c r="L132" s="1190"/>
      <c r="M132" s="1190"/>
      <c r="N132" s="1190"/>
      <c r="O132" s="1190"/>
      <c r="P132" s="1191"/>
      <c r="Q132" s="1395"/>
    </row>
    <row r="133" spans="1:17" ht="15.75" x14ac:dyDescent="0.25">
      <c r="A133" s="1395"/>
      <c r="B133" s="1192"/>
      <c r="C133" s="1193" t="s">
        <v>64</v>
      </c>
      <c r="D133" s="1193" t="s">
        <v>150</v>
      </c>
      <c r="E133" s="1193" t="s">
        <v>172</v>
      </c>
      <c r="F133" s="1193" t="s">
        <v>241</v>
      </c>
      <c r="G133" s="1193" t="s">
        <v>268</v>
      </c>
      <c r="H133" s="1193" t="s">
        <v>269</v>
      </c>
      <c r="I133" s="1193" t="s">
        <v>270</v>
      </c>
      <c r="J133" s="1193" t="s">
        <v>271</v>
      </c>
      <c r="K133" s="1193" t="s">
        <v>272</v>
      </c>
      <c r="L133" s="1193" t="s">
        <v>273</v>
      </c>
      <c r="M133" s="1193" t="s">
        <v>274</v>
      </c>
      <c r="N133" s="1193" t="s">
        <v>275</v>
      </c>
      <c r="O133" s="1369"/>
      <c r="P133" s="1395"/>
    </row>
    <row r="134" spans="1:17" ht="15.75" x14ac:dyDescent="0.25">
      <c r="A134" s="1395"/>
      <c r="B134" s="1192"/>
      <c r="C134" s="1438" t="s">
        <v>1391</v>
      </c>
      <c r="D134" s="1439" t="str">
        <f>INDEX(CostVectors[Description], MATCH(C134, CostVectors[Code], 0))</f>
        <v>High estimate of capital costs</v>
      </c>
      <c r="E134" s="1439"/>
      <c r="F134" s="1196">
        <f t="shared" ref="F134:N134" ca="1" si="40">F74+F94</f>
        <v>757280160331.05652</v>
      </c>
      <c r="G134" s="1196">
        <f t="shared" ca="1" si="40"/>
        <v>3103614373037.8057</v>
      </c>
      <c r="H134" s="1196">
        <f t="shared" ca="1" si="40"/>
        <v>5085681916431.0693</v>
      </c>
      <c r="I134" s="1196">
        <f t="shared" ca="1" si="40"/>
        <v>7648684910357.1426</v>
      </c>
      <c r="J134" s="1196">
        <f t="shared" ca="1" si="40"/>
        <v>10858556250000.002</v>
      </c>
      <c r="K134" s="1196">
        <f t="shared" ca="1" si="40"/>
        <v>11648365839642.854</v>
      </c>
      <c r="L134" s="1196">
        <f t="shared" ca="1" si="40"/>
        <v>14464292554285.709</v>
      </c>
      <c r="M134" s="1196">
        <f t="shared" ca="1" si="40"/>
        <v>17720255143928.574</v>
      </c>
      <c r="N134" s="1196">
        <f t="shared" ca="1" si="40"/>
        <v>-33300385875000</v>
      </c>
      <c r="O134" s="1369"/>
      <c r="P134" s="1395"/>
    </row>
    <row r="135" spans="1:17" ht="15.75" x14ac:dyDescent="0.25">
      <c r="A135" s="1395"/>
      <c r="B135" s="1192"/>
      <c r="C135" s="1438" t="s">
        <v>1393</v>
      </c>
      <c r="D135" s="1439" t="str">
        <f>INDEX(CostVectors[Description], MATCH(C135, CostVectors[Code], 0))</f>
        <v>High estimate of operating costs</v>
      </c>
      <c r="E135" s="1439"/>
      <c r="F135" s="1196">
        <f t="shared" ref="F135:N135" ca="1" si="41">F75+F95</f>
        <v>23907115594.487862</v>
      </c>
      <c r="G135" s="1196">
        <f t="shared" ca="1" si="41"/>
        <v>208258012480.94925</v>
      </c>
      <c r="H135" s="1196">
        <f t="shared" ca="1" si="41"/>
        <v>332046964285.71429</v>
      </c>
      <c r="I135" s="1196">
        <f t="shared" ca="1" si="41"/>
        <v>513512571428.57141</v>
      </c>
      <c r="J135" s="1196">
        <f t="shared" ca="1" si="41"/>
        <v>760603178571.42871</v>
      </c>
      <c r="K135" s="1196">
        <f t="shared" ca="1" si="41"/>
        <v>973231285714.28564</v>
      </c>
      <c r="L135" s="1196">
        <f t="shared" ca="1" si="41"/>
        <v>1230071892857.1426</v>
      </c>
      <c r="M135" s="1196">
        <f t="shared" ca="1" si="41"/>
        <v>1535287500000</v>
      </c>
      <c r="N135" s="1196">
        <f t="shared" si="41"/>
        <v>0</v>
      </c>
      <c r="O135" s="1369"/>
      <c r="P135" s="1395"/>
    </row>
    <row r="136" spans="1:17" ht="15.75" x14ac:dyDescent="0.25">
      <c r="A136" s="1395"/>
      <c r="B136" s="1192"/>
      <c r="C136" s="1438" t="s">
        <v>1866</v>
      </c>
      <c r="D136" s="1195" t="str">
        <f>INDEX(CostVectors[Description], MATCH(C136, CostVectors[Code], 0))</f>
        <v>Point estimate of capital costs</v>
      </c>
      <c r="E136" s="1195"/>
      <c r="F136" s="1196">
        <f ca="1">F80+F100</f>
        <v>104081159476.7803</v>
      </c>
      <c r="G136" s="1196">
        <f t="shared" ref="G136:N136" ca="1" si="42">G80+G100</f>
        <v>331967973510.72876</v>
      </c>
      <c r="H136" s="1196">
        <f t="shared" ca="1" si="42"/>
        <v>543973353901.3407</v>
      </c>
      <c r="I136" s="1196">
        <f t="shared" ca="1" si="42"/>
        <v>818116597142.85693</v>
      </c>
      <c r="J136" s="1196">
        <f t="shared" ca="1" si="42"/>
        <v>1161450000000.0005</v>
      </c>
      <c r="K136" s="1196">
        <f t="shared" ca="1" si="42"/>
        <v>1245929402857.1423</v>
      </c>
      <c r="L136" s="1196">
        <f t="shared" ca="1" si="42"/>
        <v>1547125805714.2856</v>
      </c>
      <c r="M136" s="1196">
        <f t="shared" ca="1" si="42"/>
        <v>1895389208571.4285</v>
      </c>
      <c r="N136" s="1196">
        <f t="shared" ca="1" si="42"/>
        <v>-3561866999999.999</v>
      </c>
      <c r="O136" s="1369"/>
      <c r="P136" s="1395"/>
    </row>
    <row r="137" spans="1:17" ht="14.25" x14ac:dyDescent="0.2">
      <c r="A137" s="1395"/>
      <c r="B137" s="1370"/>
      <c r="C137" s="1438" t="s">
        <v>1868</v>
      </c>
      <c r="D137" s="1195" t="str">
        <f>INDEX(CostVectors[Description], MATCH(C137, CostVectors[Code], 0))</f>
        <v>Point estimate of operating costs</v>
      </c>
      <c r="E137" s="1930"/>
      <c r="F137" s="1397">
        <f ca="1">F81+F101</f>
        <v>119535577972.4393</v>
      </c>
      <c r="G137" s="1397">
        <f t="shared" ref="G137:N137" ca="1" si="43">G81+G101</f>
        <v>208258012480.94925</v>
      </c>
      <c r="H137" s="1397">
        <f t="shared" ca="1" si="43"/>
        <v>332046964285.71429</v>
      </c>
      <c r="I137" s="1397">
        <f t="shared" ca="1" si="43"/>
        <v>513512571428.57141</v>
      </c>
      <c r="J137" s="1397">
        <f t="shared" ca="1" si="43"/>
        <v>760603178571.42871</v>
      </c>
      <c r="K137" s="1397">
        <f t="shared" ca="1" si="43"/>
        <v>973231285714.28564</v>
      </c>
      <c r="L137" s="1397">
        <f t="shared" ca="1" si="43"/>
        <v>1230071892857.1426</v>
      </c>
      <c r="M137" s="1397">
        <f t="shared" ca="1" si="43"/>
        <v>1535287500000</v>
      </c>
      <c r="N137" s="1397">
        <f t="shared" si="43"/>
        <v>0</v>
      </c>
      <c r="O137" s="1371"/>
    </row>
    <row r="138" spans="1:17" ht="14.25" x14ac:dyDescent="0.2">
      <c r="A138" s="1395"/>
      <c r="B138" s="1370"/>
      <c r="C138" s="1438" t="s">
        <v>1382</v>
      </c>
      <c r="D138" s="1439" t="str">
        <f>INDEX(CostVectors[Description], MATCH(C138,CostVectors[Code], 0))</f>
        <v>Low estimate of capital costs</v>
      </c>
      <c r="E138" s="1439"/>
      <c r="F138" s="1196">
        <f t="shared" ref="F138:N138" ca="1" si="44">F86+F106</f>
        <v>84341629231.184036</v>
      </c>
      <c r="G138" s="1196">
        <f t="shared" ca="1" si="44"/>
        <v>269008530258.69403</v>
      </c>
      <c r="H138" s="1196">
        <f t="shared" ca="1" si="44"/>
        <v>440805993678.67261</v>
      </c>
      <c r="I138" s="1196">
        <f t="shared" ca="1" si="44"/>
        <v>662956552857.14282</v>
      </c>
      <c r="J138" s="1196">
        <f t="shared" ca="1" si="44"/>
        <v>941175000000.00012</v>
      </c>
      <c r="K138" s="1196">
        <f t="shared" ca="1" si="44"/>
        <v>1009632447142.8568</v>
      </c>
      <c r="L138" s="1196">
        <f t="shared" ca="1" si="44"/>
        <v>1253705394285.7139</v>
      </c>
      <c r="M138" s="1196">
        <f t="shared" ca="1" si="44"/>
        <v>1535918841428.5715</v>
      </c>
      <c r="N138" s="1196">
        <f t="shared" ca="1" si="44"/>
        <v>-2886340500000</v>
      </c>
      <c r="O138" s="1371"/>
    </row>
    <row r="139" spans="1:17" ht="14.25" x14ac:dyDescent="0.2">
      <c r="A139" s="1395"/>
      <c r="B139" s="1370"/>
      <c r="C139" s="1438" t="s">
        <v>1384</v>
      </c>
      <c r="D139" s="1439" t="str">
        <f>INDEX(CostVectors[Description], MATCH(C139, CostVectors[Code], 0))</f>
        <v>Low estimate of operating costs</v>
      </c>
      <c r="E139" s="1439"/>
      <c r="F139" s="1196">
        <f t="shared" ref="F139:N139" ca="1" si="45">F107+F87</f>
        <v>39845192657.479767</v>
      </c>
      <c r="G139" s="1196">
        <f t="shared" ca="1" si="45"/>
        <v>69419337493.64975</v>
      </c>
      <c r="H139" s="1196">
        <f t="shared" ca="1" si="45"/>
        <v>110682321428.57144</v>
      </c>
      <c r="I139" s="1196">
        <f t="shared" ca="1" si="45"/>
        <v>171170857142.85715</v>
      </c>
      <c r="J139" s="1196">
        <f t="shared" ca="1" si="45"/>
        <v>253534392857.14288</v>
      </c>
      <c r="K139" s="1196">
        <f t="shared" ca="1" si="45"/>
        <v>324410428571.42853</v>
      </c>
      <c r="L139" s="1196">
        <f t="shared" ca="1" si="45"/>
        <v>410023964285.71423</v>
      </c>
      <c r="M139" s="1196">
        <f t="shared" ca="1" si="45"/>
        <v>511762500000</v>
      </c>
      <c r="N139" s="1196">
        <f t="shared" si="45"/>
        <v>0</v>
      </c>
      <c r="O139" s="1371"/>
      <c r="P139" s="1395"/>
    </row>
    <row r="140" spans="1:17" ht="14.25" x14ac:dyDescent="0.2">
      <c r="A140" s="1395"/>
      <c r="B140" s="1372"/>
      <c r="C140" s="1197"/>
      <c r="D140" s="1197"/>
      <c r="E140" s="1197"/>
      <c r="F140" s="1197"/>
      <c r="G140" s="1197"/>
      <c r="H140" s="1197"/>
      <c r="I140" s="1197"/>
      <c r="J140" s="1197"/>
      <c r="K140" s="1197"/>
      <c r="L140" s="1197"/>
      <c r="M140" s="1197"/>
      <c r="N140" s="1197"/>
      <c r="O140" s="1197"/>
      <c r="P140" s="1373"/>
      <c r="Q140" s="1395"/>
    </row>
  </sheetData>
  <conditionalFormatting sqref="F70">
    <cfRule type="beginsWith" dxfId="2429" priority="1" operator="beginsWith" text="ok">
      <formula>LEFT(F70,LEN("ok"))="ok"</formula>
    </cfRule>
  </conditionalFormatting>
  <hyperlinks>
    <hyperlink ref="D58" r:id="rId1" display="http://decc-wiki.greenonblack.com/pages/330"/>
  </hyperlinks>
  <pageMargins left="0.7" right="0.7" top="0.75" bottom="0.75" header="0.3" footer="0.3"/>
  <pageSetup paperSize="9" orientation="portrait" r:id="rId2"/>
  <tableParts count="4">
    <tablePart r:id="rId3"/>
    <tablePart r:id="rId4"/>
    <tablePart r:id="rId5"/>
    <tablePart r:id="rId6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outlinePr summaryBelow="0"/>
    <pageSetUpPr autoPageBreaks="0"/>
  </sheetPr>
  <dimension ref="A1:Q159"/>
  <sheetViews>
    <sheetView windowProtection="1" zoomScaleNormal="100" workbookViewId="0"/>
  </sheetViews>
  <sheetFormatPr defaultColWidth="8.7109375" defaultRowHeight="12.75" x14ac:dyDescent="0.2"/>
  <cols>
    <col min="1" max="1" width="7.7109375" style="2370" customWidth="1"/>
    <col min="2" max="2" width="5.7109375" style="2370" customWidth="1"/>
    <col min="3" max="3" width="20.42578125" style="2370" customWidth="1"/>
    <col min="4" max="4" width="30.7109375" style="2370" customWidth="1"/>
    <col min="5" max="5" width="20.7109375" style="2370" customWidth="1"/>
    <col min="6" max="15" width="17.7109375" style="2370" customWidth="1"/>
    <col min="16" max="16" width="2" style="2370" customWidth="1"/>
    <col min="17" max="17" width="10.7109375" style="2370" customWidth="1"/>
    <col min="18" max="16384" width="8.7109375" style="2370"/>
  </cols>
  <sheetData>
    <row r="1" spans="1:16" ht="21" x14ac:dyDescent="0.35">
      <c r="A1" s="120" t="s">
        <v>229</v>
      </c>
      <c r="B1" s="120" t="str">
        <f>INDEX(Workstreams[Workstream], MATCH($A1, Workstreams[Code], 0))</f>
        <v>Cooling</v>
      </c>
      <c r="C1" s="120"/>
      <c r="E1" s="1475"/>
    </row>
    <row r="2" spans="1:16" s="84" customFormat="1" ht="19.5" customHeight="1" x14ac:dyDescent="0.2">
      <c r="A2" s="6" t="s">
        <v>341</v>
      </c>
      <c r="B2" s="6" t="str">
        <f>INDEX(Modules[Module], MATCH($A2, Modules[Code], 0))</f>
        <v>Residential Cooling</v>
      </c>
      <c r="C2" s="6"/>
      <c r="E2" s="1380"/>
    </row>
    <row r="4" spans="1:16" ht="22.5" collapsed="1" x14ac:dyDescent="0.3">
      <c r="A4" s="1422"/>
      <c r="B4" s="468" t="s">
        <v>596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ht="5.25" customHeight="1" x14ac:dyDescent="0.2">
      <c r="B6" s="410"/>
      <c r="C6" s="411"/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6" ht="15.75" x14ac:dyDescent="0.25">
      <c r="B7" s="415"/>
      <c r="C7" s="412"/>
      <c r="D7" s="216" t="s">
        <v>342</v>
      </c>
      <c r="E7" s="216" t="s">
        <v>595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ht="15.75" x14ac:dyDescent="0.25">
      <c r="B8" s="415"/>
      <c r="C8" s="412"/>
      <c r="D8" s="521" t="s">
        <v>2232</v>
      </c>
      <c r="E8" s="521">
        <f>IX.a.Scenario.Cooling</f>
        <v>4</v>
      </c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4"/>
    </row>
    <row r="9" spans="1:16" ht="15.75" x14ac:dyDescent="0.25">
      <c r="B9" s="415"/>
      <c r="C9" s="412"/>
      <c r="D9" s="522" t="s">
        <v>2233</v>
      </c>
      <c r="E9" s="522">
        <f>IX.a.Scenario.Efficiency</f>
        <v>4</v>
      </c>
      <c r="F9" s="412"/>
      <c r="G9" s="412"/>
      <c r="H9" s="412"/>
      <c r="I9" s="412"/>
      <c r="J9" s="412"/>
      <c r="K9" s="412"/>
      <c r="L9" s="412"/>
      <c r="M9" s="412"/>
      <c r="N9" s="412"/>
      <c r="O9" s="412"/>
      <c r="P9" s="414"/>
    </row>
    <row r="10" spans="1:16" ht="15.75" x14ac:dyDescent="0.25">
      <c r="B10" s="415"/>
      <c r="C10" s="412"/>
      <c r="D10" s="97"/>
      <c r="E10" s="97"/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4"/>
    </row>
    <row r="11" spans="1:16" x14ac:dyDescent="0.2">
      <c r="B11" s="430"/>
      <c r="C11" s="418"/>
      <c r="D11" s="418"/>
      <c r="E11" s="418"/>
      <c r="F11" s="418"/>
      <c r="G11" s="418"/>
      <c r="H11" s="418"/>
      <c r="I11" s="418"/>
      <c r="J11" s="418"/>
      <c r="K11" s="418"/>
      <c r="L11" s="418"/>
      <c r="M11" s="418"/>
      <c r="N11" s="418"/>
      <c r="O11" s="418"/>
      <c r="P11" s="419"/>
    </row>
    <row r="13" spans="1:16" s="84" customFormat="1" ht="22.5" collapsed="1" x14ac:dyDescent="0.2">
      <c r="A13" s="408"/>
      <c r="B13" s="1423" t="s">
        <v>597</v>
      </c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N13" s="405"/>
      <c r="O13" s="406"/>
    </row>
    <row r="14" spans="1:16" x14ac:dyDescent="0.2">
      <c r="B14" s="1419"/>
      <c r="C14" s="1416"/>
      <c r="D14" s="1416"/>
      <c r="E14" s="1416"/>
      <c r="F14" s="1416"/>
      <c r="G14" s="1416"/>
      <c r="H14" s="1416"/>
      <c r="I14" s="1416"/>
      <c r="J14" s="1416"/>
      <c r="K14" s="1416"/>
      <c r="L14" s="1416"/>
      <c r="M14" s="1416"/>
      <c r="N14" s="1416"/>
      <c r="O14" s="1420"/>
    </row>
    <row r="15" spans="1:16" x14ac:dyDescent="0.2">
      <c r="B15" s="1419"/>
      <c r="C15" s="1417" t="s">
        <v>2234</v>
      </c>
      <c r="D15" s="1416"/>
      <c r="E15" s="490"/>
      <c r="F15" s="1416"/>
      <c r="G15" s="1416"/>
      <c r="H15" s="1416"/>
      <c r="I15" s="1416"/>
      <c r="J15" s="1416"/>
      <c r="K15" s="1416"/>
      <c r="L15" s="1416"/>
      <c r="M15" s="1416"/>
      <c r="N15" s="490" t="str">
        <f>Preferences.EnergyUnits</f>
        <v>TWh</v>
      </c>
      <c r="O15" s="1420"/>
    </row>
    <row r="16" spans="1:16" ht="5.25" customHeight="1" x14ac:dyDescent="0.2">
      <c r="B16" s="1419"/>
      <c r="C16" s="1416"/>
      <c r="D16" s="1416"/>
      <c r="E16" s="1416"/>
      <c r="F16" s="1416"/>
      <c r="G16" s="1416"/>
      <c r="H16" s="1416"/>
      <c r="I16" s="1416"/>
      <c r="J16" s="1416"/>
      <c r="K16" s="1416"/>
      <c r="L16" s="1416"/>
      <c r="M16" s="1416"/>
      <c r="N16" s="1416"/>
      <c r="O16" s="1420"/>
    </row>
    <row r="17" spans="2:17" ht="15.75" x14ac:dyDescent="0.25">
      <c r="B17" s="397"/>
      <c r="C17" s="98" t="s">
        <v>595</v>
      </c>
      <c r="D17" s="98" t="s">
        <v>66</v>
      </c>
      <c r="E17" s="98" t="s">
        <v>172</v>
      </c>
      <c r="F17" s="218">
        <v>2010</v>
      </c>
      <c r="G17" s="217">
        <v>2015</v>
      </c>
      <c r="H17" s="217">
        <v>2020</v>
      </c>
      <c r="I17" s="217">
        <v>2025</v>
      </c>
      <c r="J17" s="217">
        <v>2030</v>
      </c>
      <c r="K17" s="217">
        <v>2035</v>
      </c>
      <c r="L17" s="217">
        <v>2040</v>
      </c>
      <c r="M17" s="217">
        <v>2045</v>
      </c>
      <c r="N17" s="217">
        <v>2050</v>
      </c>
      <c r="O17" s="1420"/>
    </row>
    <row r="18" spans="2:17" ht="15.75" x14ac:dyDescent="0.25">
      <c r="B18" s="397"/>
      <c r="C18" s="1414">
        <v>1</v>
      </c>
      <c r="D18" s="1415" t="s">
        <v>798</v>
      </c>
      <c r="E18" s="488"/>
      <c r="F18" s="1515">
        <f>(Unit.kWh)*1309.24593689514</f>
        <v>1.3092459368951401E-6</v>
      </c>
      <c r="G18" s="556">
        <f>(Unit.kWh)*1770.59019478325</f>
        <v>1.7705901947832499E-6</v>
      </c>
      <c r="H18" s="556">
        <f>(Unit.kWh)*2231.93445267136</f>
        <v>2.2319344526713598E-6</v>
      </c>
      <c r="I18" s="556">
        <f>(Unit.kWh)*2693.27871055946</f>
        <v>2.6932787105594599E-6</v>
      </c>
      <c r="J18" s="556">
        <f>(Unit.kWh)*3154.62296844757</f>
        <v>3.1546229684475702E-6</v>
      </c>
      <c r="K18" s="556">
        <f>(Unit.kWh)*3615.96722633568</f>
        <v>3.6159672263356805E-6</v>
      </c>
      <c r="L18" s="556">
        <f>(Unit.kWh)*4077.31148422379</f>
        <v>4.07731148422379E-6</v>
      </c>
      <c r="M18" s="556">
        <f>(Unit.kWh)*4538.65574211189</f>
        <v>4.5386557421118897E-6</v>
      </c>
      <c r="N18" s="556">
        <f>(Unit.kWh)*5000</f>
        <v>5.0000000000000004E-6</v>
      </c>
      <c r="O18" s="1420"/>
    </row>
    <row r="19" spans="2:17" ht="15.75" x14ac:dyDescent="0.25">
      <c r="B19" s="397"/>
      <c r="C19" s="1414">
        <v>2</v>
      </c>
      <c r="D19" s="1415" t="s">
        <v>798</v>
      </c>
      <c r="E19" s="1415"/>
      <c r="F19" s="1515">
        <f>(Unit.kWh)*1309.24593689514</f>
        <v>1.3092459368951401E-6</v>
      </c>
      <c r="G19" s="557">
        <f>(Unit.kWh)*1645.59019478325</f>
        <v>1.6455901947832501E-6</v>
      </c>
      <c r="H19" s="557">
        <f>(Unit.kWh)*1981.93445267136</f>
        <v>1.9819344526713601E-6</v>
      </c>
      <c r="I19" s="557">
        <f>(Unit.kWh)*2318.27871055946</f>
        <v>2.3182787105594601E-6</v>
      </c>
      <c r="J19" s="557">
        <f>(Unit.kWh)*2654.62296844757</f>
        <v>2.6546229684475704E-6</v>
      </c>
      <c r="K19" s="557">
        <f>(Unit.kWh)*2990.96722633568</f>
        <v>2.9909672263356802E-6</v>
      </c>
      <c r="L19" s="557">
        <f>(Unit.kWh)*3327.31148422379</f>
        <v>3.3273114842237904E-6</v>
      </c>
      <c r="M19" s="557">
        <f>(Unit.kWh)*3663.65574211189</f>
        <v>3.6636557421118904E-6</v>
      </c>
      <c r="N19" s="557">
        <f>(Unit.kWh)*4000</f>
        <v>4.0000000000000007E-6</v>
      </c>
      <c r="O19" s="1420"/>
    </row>
    <row r="20" spans="2:17" ht="15.75" x14ac:dyDescent="0.25">
      <c r="B20" s="397"/>
      <c r="C20" s="1414">
        <v>3</v>
      </c>
      <c r="D20" s="1415" t="s">
        <v>798</v>
      </c>
      <c r="E20" s="1415"/>
      <c r="F20" s="1515">
        <f>(Unit.kWh)*1309.24593689514</f>
        <v>1.3092459368951401E-6</v>
      </c>
      <c r="G20" s="557">
        <f>(Unit.kWh)*1520.59019478325</f>
        <v>1.52059019478325E-6</v>
      </c>
      <c r="H20" s="557">
        <f>(Unit.kWh)*1731.93445267136</f>
        <v>1.7319344526713601E-6</v>
      </c>
      <c r="I20" s="557">
        <f>(Unit.kWh)*1943.27871055946</f>
        <v>1.9432787105594603E-6</v>
      </c>
      <c r="J20" s="557">
        <f>(Unit.kWh)*2154.62296844757</f>
        <v>2.1546229684475705E-6</v>
      </c>
      <c r="K20" s="557">
        <f>(Unit.kWh)*2365.96722633568</f>
        <v>2.3659672263356802E-6</v>
      </c>
      <c r="L20" s="557">
        <f>(Unit.kWh)*2577.31148422379</f>
        <v>2.5773114842237904E-6</v>
      </c>
      <c r="M20" s="557">
        <f>(Unit.kWh)*2788.65574211189</f>
        <v>2.7886557421118903E-6</v>
      </c>
      <c r="N20" s="557">
        <f>(Unit.kWh)*3000</f>
        <v>3.0000000000000001E-6</v>
      </c>
      <c r="O20" s="1420"/>
    </row>
    <row r="21" spans="2:17" ht="15.75" x14ac:dyDescent="0.25">
      <c r="B21" s="397"/>
      <c r="C21" s="1412">
        <v>4</v>
      </c>
      <c r="D21" s="102" t="s">
        <v>798</v>
      </c>
      <c r="E21" s="102"/>
      <c r="F21" s="1516">
        <f>(Unit.kWh)*1309.24593689514</f>
        <v>1.3092459368951401E-6</v>
      </c>
      <c r="G21" s="1091">
        <f>(Unit.kWh)*1395.59019478325</f>
        <v>1.3955901947832499E-6</v>
      </c>
      <c r="H21" s="1091">
        <f>(Unit.kWh)*1481.93445267136</f>
        <v>1.4819344526713602E-6</v>
      </c>
      <c r="I21" s="1091">
        <f>(Unit.kWh)*1568.27871055946</f>
        <v>1.5682787105594601E-6</v>
      </c>
      <c r="J21" s="1091">
        <f>(Unit.kWh)*1654.62296844757</f>
        <v>1.65462296844757E-6</v>
      </c>
      <c r="K21" s="1091">
        <f>(Unit.kWh)*1740.96722633568</f>
        <v>1.7409672263356801E-6</v>
      </c>
      <c r="L21" s="1091">
        <f>(Unit.kWh)*1827.31148422379</f>
        <v>1.8273114842237901E-6</v>
      </c>
      <c r="M21" s="1091">
        <f>(Unit.kWh)*1913.65574211189</f>
        <v>1.9136557421118903E-6</v>
      </c>
      <c r="N21" s="1091">
        <f>(Unit.kWh)*2000</f>
        <v>2.0000000000000003E-6</v>
      </c>
      <c r="O21" s="1420"/>
    </row>
    <row r="22" spans="2:17" ht="15.75" x14ac:dyDescent="0.25">
      <c r="B22" s="397"/>
      <c r="C22" s="1414"/>
      <c r="D22" s="1415"/>
      <c r="E22" s="1415"/>
      <c r="F22" s="161"/>
      <c r="G22" s="161"/>
      <c r="H22" s="161"/>
      <c r="I22" s="161"/>
      <c r="J22" s="161"/>
      <c r="K22" s="161"/>
      <c r="L22" s="161"/>
      <c r="M22" s="161"/>
      <c r="N22" s="161"/>
      <c r="O22" s="1420"/>
    </row>
    <row r="23" spans="2:17" ht="15.75" x14ac:dyDescent="0.25">
      <c r="B23" s="397"/>
      <c r="C23" s="178" t="s">
        <v>2231</v>
      </c>
      <c r="D23" s="1415"/>
      <c r="E23" s="1415"/>
      <c r="F23" s="160"/>
      <c r="G23" s="161"/>
      <c r="H23" s="161"/>
      <c r="I23" s="161"/>
      <c r="J23" s="161"/>
      <c r="K23" s="161"/>
      <c r="L23" s="1420"/>
      <c r="M23" s="588"/>
    </row>
    <row r="24" spans="2:17" ht="26.25" customHeight="1" x14ac:dyDescent="0.25">
      <c r="B24" s="397"/>
      <c r="C24" s="1414"/>
      <c r="D24" s="1415"/>
      <c r="E24" s="1415"/>
      <c r="F24" s="160"/>
      <c r="G24" s="182" t="str">
        <f>INDEX(Vectors[Description], MATCH(G25, Vectors[Code], 0))</f>
        <v>Electricity (delivered to end user)</v>
      </c>
      <c r="H24" s="161"/>
      <c r="I24" s="161"/>
      <c r="J24" s="161"/>
      <c r="K24" s="161"/>
      <c r="L24" s="1420"/>
      <c r="M24" s="588"/>
    </row>
    <row r="25" spans="2:17" ht="15.75" x14ac:dyDescent="0.25">
      <c r="B25" s="397"/>
      <c r="C25" s="98" t="s">
        <v>595</v>
      </c>
      <c r="D25" s="98" t="s">
        <v>65</v>
      </c>
      <c r="E25" s="98" t="s">
        <v>172</v>
      </c>
      <c r="F25" s="573" t="s">
        <v>804</v>
      </c>
      <c r="G25" s="528" t="s">
        <v>34</v>
      </c>
      <c r="H25" s="161"/>
      <c r="I25" s="161"/>
      <c r="J25" s="161"/>
      <c r="K25" s="161"/>
      <c r="L25" s="161"/>
      <c r="M25" s="161"/>
      <c r="N25" s="1420"/>
      <c r="O25" s="588"/>
    </row>
    <row r="26" spans="2:17" ht="15.75" x14ac:dyDescent="0.25">
      <c r="B26" s="397"/>
      <c r="C26" s="1413">
        <v>1</v>
      </c>
      <c r="D26" s="107" t="s">
        <v>2196</v>
      </c>
      <c r="E26" s="1413"/>
      <c r="F26" s="2411"/>
      <c r="G26" s="174">
        <f>$F$41</f>
        <v>1</v>
      </c>
      <c r="H26" s="161"/>
      <c r="I26" s="161"/>
      <c r="J26" s="161"/>
      <c r="K26" s="161"/>
      <c r="L26" s="161"/>
      <c r="M26" s="161"/>
      <c r="N26" s="1420"/>
      <c r="O26" s="588"/>
    </row>
    <row r="27" spans="2:17" ht="15.75" x14ac:dyDescent="0.25">
      <c r="B27" s="397"/>
      <c r="C27" s="1413">
        <v>2</v>
      </c>
      <c r="D27" s="107" t="s">
        <v>2502</v>
      </c>
      <c r="E27" s="1413"/>
      <c r="F27" s="2411"/>
      <c r="G27" s="174">
        <v>0.9</v>
      </c>
      <c r="H27" s="161"/>
      <c r="I27" s="161"/>
      <c r="J27" s="161"/>
      <c r="K27" s="161"/>
      <c r="L27" s="161"/>
      <c r="M27" s="161"/>
      <c r="N27" s="1420"/>
      <c r="O27" s="588"/>
    </row>
    <row r="28" spans="2:17" ht="15.75" x14ac:dyDescent="0.25">
      <c r="B28" s="397"/>
      <c r="C28" s="1414">
        <v>3</v>
      </c>
      <c r="D28" s="107" t="s">
        <v>2503</v>
      </c>
      <c r="E28" s="488"/>
      <c r="F28" s="763"/>
      <c r="G28" s="174">
        <v>0.8</v>
      </c>
      <c r="H28" s="226"/>
      <c r="I28" s="226"/>
      <c r="J28" s="226"/>
      <c r="K28" s="226"/>
      <c r="L28" s="226"/>
      <c r="M28" s="763"/>
      <c r="N28" s="1420"/>
      <c r="O28" s="588"/>
    </row>
    <row r="29" spans="2:17" ht="15.75" x14ac:dyDescent="0.25">
      <c r="B29" s="397"/>
      <c r="C29" s="199">
        <v>4</v>
      </c>
      <c r="D29" s="200" t="s">
        <v>2504</v>
      </c>
      <c r="E29" s="200"/>
      <c r="F29" s="210"/>
      <c r="G29" s="186">
        <v>0.7</v>
      </c>
      <c r="H29" s="227"/>
      <c r="I29" s="227"/>
      <c r="J29" s="227"/>
      <c r="K29" s="227"/>
      <c r="L29" s="227"/>
      <c r="M29" s="227"/>
      <c r="N29" s="1420"/>
      <c r="O29" s="588"/>
    </row>
    <row r="30" spans="2:17" ht="15.75" x14ac:dyDescent="0.25">
      <c r="B30" s="397"/>
      <c r="C30" s="1414"/>
      <c r="D30" s="1415"/>
      <c r="E30" s="1415"/>
      <c r="F30" s="226"/>
      <c r="G30" s="227"/>
      <c r="H30" s="227"/>
      <c r="I30" s="227"/>
      <c r="J30" s="227"/>
      <c r="K30" s="227"/>
      <c r="L30" s="227"/>
      <c r="M30" s="227"/>
      <c r="N30" s="227"/>
      <c r="O30" s="227"/>
      <c r="P30" s="1420"/>
      <c r="Q30" s="588"/>
    </row>
    <row r="31" spans="2:17" ht="15.75" x14ac:dyDescent="0.25">
      <c r="B31" s="397"/>
      <c r="C31" s="1414"/>
      <c r="D31" s="1415"/>
      <c r="E31" s="1415"/>
      <c r="F31" s="226"/>
      <c r="G31" s="227"/>
      <c r="H31" s="227"/>
      <c r="I31" s="227"/>
      <c r="J31" s="227"/>
      <c r="K31" s="227"/>
      <c r="L31" s="227"/>
      <c r="M31" s="227"/>
      <c r="N31" s="227"/>
      <c r="O31" s="227"/>
      <c r="P31" s="1420"/>
      <c r="Q31" s="588"/>
    </row>
    <row r="32" spans="2:17" x14ac:dyDescent="0.2">
      <c r="B32" s="401"/>
      <c r="C32" s="464" t="s">
        <v>266</v>
      </c>
      <c r="D32" s="177" t="s">
        <v>359</v>
      </c>
      <c r="E32" s="1416"/>
      <c r="F32" s="1416"/>
      <c r="G32" s="1416"/>
      <c r="H32" s="1416"/>
      <c r="I32" s="1416"/>
      <c r="J32" s="1416"/>
      <c r="K32" s="1416"/>
      <c r="L32" s="1416"/>
      <c r="M32" s="1416"/>
      <c r="N32" s="1416"/>
      <c r="O32" s="1416"/>
      <c r="P32" s="1420"/>
      <c r="Q32" s="588"/>
    </row>
    <row r="33" spans="1:17" x14ac:dyDescent="0.2">
      <c r="B33" s="401"/>
      <c r="C33" s="464"/>
      <c r="D33" s="177" t="s">
        <v>2244</v>
      </c>
      <c r="E33" s="1416"/>
      <c r="F33" s="1416"/>
      <c r="G33" s="1416"/>
      <c r="H33" s="1416"/>
      <c r="I33" s="1416"/>
      <c r="J33" s="1416"/>
      <c r="K33" s="1416"/>
      <c r="L33" s="1416"/>
      <c r="M33" s="1416"/>
      <c r="N33" s="1416"/>
      <c r="O33" s="1416"/>
      <c r="P33" s="1420"/>
      <c r="Q33" s="588"/>
    </row>
    <row r="34" spans="1:17" x14ac:dyDescent="0.2">
      <c r="B34" s="401"/>
      <c r="C34" s="464"/>
      <c r="D34" s="177"/>
      <c r="E34" s="1416"/>
      <c r="F34" s="1416"/>
      <c r="G34" s="1416"/>
      <c r="H34" s="1416"/>
      <c r="I34" s="1416"/>
      <c r="J34" s="1416"/>
      <c r="K34" s="1416"/>
      <c r="L34" s="1416"/>
      <c r="M34" s="1416"/>
      <c r="N34" s="1416"/>
      <c r="O34" s="1416"/>
      <c r="P34" s="1420"/>
    </row>
    <row r="36" spans="1:17" s="84" customFormat="1" ht="22.5" collapsed="1" x14ac:dyDescent="0.2">
      <c r="A36" s="408"/>
      <c r="B36" s="1423" t="s">
        <v>315</v>
      </c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6"/>
    </row>
    <row r="37" spans="1:17" x14ac:dyDescent="0.2">
      <c r="B37" s="1419"/>
      <c r="C37" s="1416"/>
      <c r="D37" s="1416"/>
      <c r="E37" s="1416"/>
      <c r="F37" s="1416"/>
      <c r="G37" s="1416"/>
      <c r="H37" s="1416"/>
      <c r="I37" s="1416"/>
      <c r="J37" s="1416"/>
      <c r="K37" s="1416"/>
      <c r="L37" s="1416"/>
      <c r="M37" s="1416"/>
      <c r="N37" s="1416"/>
      <c r="O37" s="1416"/>
      <c r="P37" s="1420"/>
    </row>
    <row r="38" spans="1:17" x14ac:dyDescent="0.2">
      <c r="B38" s="1419"/>
      <c r="C38" s="1417" t="s">
        <v>2235</v>
      </c>
      <c r="D38" s="1416"/>
      <c r="E38" s="1416"/>
      <c r="F38" s="161" t="s">
        <v>384</v>
      </c>
      <c r="G38" s="1416"/>
      <c r="H38" s="1416"/>
      <c r="I38" s="1416"/>
      <c r="J38" s="1416"/>
      <c r="K38" s="1416"/>
      <c r="L38" s="1416"/>
      <c r="M38" s="1416"/>
      <c r="N38" s="1416"/>
      <c r="O38" s="1416"/>
      <c r="P38" s="1420"/>
    </row>
    <row r="39" spans="1:17" ht="6.75" customHeight="1" x14ac:dyDescent="0.2">
      <c r="B39" s="1419"/>
      <c r="C39" s="1416"/>
      <c r="D39" s="1416"/>
      <c r="E39" s="1416"/>
      <c r="F39" s="1416"/>
      <c r="G39" s="1416"/>
      <c r="H39" s="1416"/>
      <c r="I39" s="1416"/>
      <c r="J39" s="1416"/>
      <c r="K39" s="1416"/>
      <c r="L39" s="1416"/>
      <c r="M39" s="1416"/>
      <c r="N39" s="1416"/>
      <c r="O39" s="1416"/>
      <c r="P39" s="1420"/>
    </row>
    <row r="40" spans="1:17" ht="15.75" x14ac:dyDescent="0.25">
      <c r="B40" s="397"/>
      <c r="C40" s="98" t="s">
        <v>64</v>
      </c>
      <c r="D40" s="98" t="s">
        <v>65</v>
      </c>
      <c r="E40" s="98" t="s">
        <v>172</v>
      </c>
      <c r="F40" s="217">
        <v>2010</v>
      </c>
      <c r="G40" s="523"/>
      <c r="H40" s="523"/>
      <c r="I40" s="523"/>
      <c r="J40" s="523"/>
      <c r="K40" s="1416"/>
      <c r="L40" s="1416"/>
      <c r="M40" s="1416"/>
      <c r="N40" s="1416"/>
      <c r="O40" s="1416"/>
      <c r="P40" s="1420"/>
    </row>
    <row r="41" spans="1:17" ht="15.75" x14ac:dyDescent="0.25">
      <c r="B41" s="397"/>
      <c r="C41" s="1414" t="s">
        <v>34</v>
      </c>
      <c r="D41" s="1415" t="str">
        <f>INDEX(Vectors[Description], MATCH($C41, Vectors[Code], 0))</f>
        <v>Electricity (delivered to end user)</v>
      </c>
      <c r="E41" s="488"/>
      <c r="F41" s="174">
        <v>1</v>
      </c>
      <c r="G41" s="1053"/>
      <c r="H41" s="562"/>
      <c r="I41" s="562"/>
      <c r="J41" s="562"/>
      <c r="K41" s="1416"/>
      <c r="L41" s="1416"/>
      <c r="M41" s="1416"/>
      <c r="N41" s="1416"/>
      <c r="O41" s="1416"/>
      <c r="P41" s="1420"/>
    </row>
    <row r="42" spans="1:17" ht="5.25" customHeight="1" x14ac:dyDescent="0.25">
      <c r="B42" s="1035"/>
      <c r="C42" s="1414"/>
      <c r="D42" s="1415"/>
      <c r="E42" s="1415"/>
      <c r="F42" s="174"/>
      <c r="G42" s="174"/>
      <c r="H42" s="1416"/>
      <c r="I42" s="1416"/>
      <c r="J42" s="1416"/>
      <c r="K42" s="1416"/>
      <c r="L42" s="1416"/>
      <c r="M42" s="1416"/>
      <c r="N42" s="1416"/>
      <c r="O42" s="174"/>
      <c r="P42" s="1420"/>
    </row>
    <row r="43" spans="1:17" ht="15.75" x14ac:dyDescent="0.25">
      <c r="B43" s="1035"/>
      <c r="C43" s="1414"/>
      <c r="D43" s="1415"/>
      <c r="E43" s="1415"/>
      <c r="F43" s="174"/>
      <c r="G43" s="174"/>
      <c r="H43" s="1416"/>
      <c r="I43" s="1416"/>
      <c r="J43" s="1416"/>
      <c r="K43" s="1416"/>
      <c r="L43" s="1416"/>
      <c r="M43" s="1416"/>
      <c r="N43" s="1416"/>
      <c r="O43" s="174"/>
      <c r="P43" s="1420"/>
    </row>
    <row r="44" spans="1:17" x14ac:dyDescent="0.2">
      <c r="B44" s="465"/>
      <c r="C44" s="176"/>
      <c r="D44" s="177"/>
      <c r="E44" s="465"/>
      <c r="F44" s="465"/>
      <c r="G44" s="465"/>
      <c r="H44" s="465"/>
      <c r="I44" s="465"/>
      <c r="J44" s="465"/>
      <c r="K44" s="465"/>
      <c r="L44" s="465"/>
      <c r="M44" s="465"/>
      <c r="N44" s="465"/>
      <c r="O44" s="465"/>
      <c r="P44" s="497"/>
    </row>
    <row r="45" spans="1:17" ht="16.5" customHeight="1" x14ac:dyDescent="0.2">
      <c r="B45" s="1377"/>
      <c r="C45" s="1980"/>
      <c r="D45" s="1980"/>
      <c r="E45" s="1981"/>
      <c r="F45" s="1377"/>
      <c r="G45" s="1377"/>
      <c r="H45" s="1377"/>
      <c r="I45" s="1377"/>
      <c r="J45" s="1377"/>
      <c r="K45" s="1377"/>
      <c r="L45" s="1377"/>
      <c r="M45" s="1377"/>
      <c r="N45" s="1377"/>
      <c r="O45" s="1377"/>
      <c r="P45" s="1377"/>
    </row>
    <row r="46" spans="1:17" ht="15.75" customHeight="1" x14ac:dyDescent="0.2">
      <c r="B46" s="1377"/>
      <c r="C46" s="1980" t="s">
        <v>1549</v>
      </c>
      <c r="D46" s="1982"/>
      <c r="E46" s="1983">
        <v>0.1</v>
      </c>
      <c r="F46" s="1377"/>
      <c r="G46" s="1377"/>
      <c r="H46" s="1377"/>
      <c r="I46" s="1377"/>
      <c r="J46" s="1377"/>
      <c r="K46" s="1377"/>
      <c r="L46" s="1377"/>
      <c r="M46" s="1377"/>
      <c r="N46" s="1377"/>
      <c r="O46" s="1377"/>
      <c r="P46" s="1377"/>
    </row>
    <row r="47" spans="1:17" ht="12" customHeight="1" x14ac:dyDescent="0.2">
      <c r="B47" s="1377"/>
      <c r="C47" s="1377"/>
      <c r="D47" s="1377"/>
      <c r="E47" s="1377"/>
      <c r="F47" s="1377"/>
      <c r="G47" s="1377"/>
      <c r="H47" s="1377"/>
      <c r="I47" s="1377"/>
      <c r="J47" s="1377"/>
      <c r="K47" s="1377"/>
      <c r="L47" s="1377"/>
      <c r="M47" s="1377"/>
      <c r="N47" s="1377"/>
      <c r="O47" s="1377"/>
      <c r="P47" s="1377"/>
    </row>
    <row r="48" spans="1:17" ht="4.5" customHeight="1" x14ac:dyDescent="0.2"/>
    <row r="49" spans="1:16" ht="12" customHeight="1" x14ac:dyDescent="0.2">
      <c r="B49" s="1423" t="s">
        <v>1417</v>
      </c>
      <c r="C49" s="405"/>
      <c r="D49" s="405"/>
      <c r="E49" s="405"/>
      <c r="F49" s="405"/>
      <c r="G49" s="405"/>
      <c r="H49" s="405"/>
      <c r="I49" s="405"/>
      <c r="J49" s="405"/>
      <c r="K49" s="405"/>
      <c r="L49" s="405"/>
      <c r="M49" s="405"/>
      <c r="N49" s="405"/>
      <c r="O49" s="406"/>
    </row>
    <row r="50" spans="1:16" ht="12" customHeight="1" x14ac:dyDescent="0.2">
      <c r="B50" s="473"/>
      <c r="C50" s="458"/>
      <c r="D50" s="458"/>
      <c r="E50" s="458"/>
      <c r="F50" s="458"/>
      <c r="G50" s="458"/>
      <c r="H50" s="458"/>
      <c r="I50" s="458"/>
      <c r="J50" s="458"/>
      <c r="K50" s="458"/>
      <c r="L50" s="458"/>
      <c r="M50" s="458"/>
      <c r="N50" s="458"/>
      <c r="O50" s="459"/>
    </row>
    <row r="51" spans="1:16" ht="12" customHeight="1" x14ac:dyDescent="0.2">
      <c r="B51" s="1419"/>
      <c r="C51" s="1417" t="str">
        <f>"Capital cost of an air conditioner"</f>
        <v>Capital cost of an air conditioner</v>
      </c>
      <c r="D51" s="107"/>
      <c r="E51" s="1081"/>
      <c r="F51" s="1055"/>
      <c r="G51" s="760"/>
      <c r="H51" s="760"/>
      <c r="I51" s="760"/>
      <c r="J51" s="760"/>
      <c r="K51" s="760"/>
      <c r="L51" s="760"/>
      <c r="M51" s="760"/>
      <c r="N51" s="1255" t="str">
        <f>Preferences.moneyunits&amp;"/ cooling unit"</f>
        <v>N/ cooling unit</v>
      </c>
      <c r="O51" s="1420"/>
      <c r="P51" s="588"/>
    </row>
    <row r="52" spans="1:16" ht="12" customHeight="1" x14ac:dyDescent="0.2">
      <c r="B52" s="1419"/>
      <c r="C52" s="1848"/>
      <c r="D52" s="107"/>
      <c r="E52" s="1081"/>
      <c r="F52" s="1055"/>
      <c r="G52" s="760"/>
      <c r="H52" s="760"/>
      <c r="I52" s="760"/>
      <c r="J52" s="760"/>
      <c r="K52" s="760"/>
      <c r="L52" s="760"/>
      <c r="M52" s="760"/>
      <c r="N52" s="1416"/>
      <c r="O52" s="1420"/>
      <c r="P52" s="588"/>
    </row>
    <row r="53" spans="1:16" ht="12" customHeight="1" x14ac:dyDescent="0.2">
      <c r="B53" s="1419"/>
      <c r="C53" s="1101"/>
      <c r="D53" s="1519" t="s">
        <v>1220</v>
      </c>
      <c r="E53" s="1567" t="s">
        <v>1321</v>
      </c>
      <c r="F53" s="1845">
        <v>2010</v>
      </c>
      <c r="G53" s="1845">
        <v>2015</v>
      </c>
      <c r="H53" s="1845">
        <v>2020</v>
      </c>
      <c r="I53" s="1845">
        <v>2025</v>
      </c>
      <c r="J53" s="1845">
        <v>2030</v>
      </c>
      <c r="K53" s="1845">
        <v>2035</v>
      </c>
      <c r="L53" s="1845">
        <v>2040</v>
      </c>
      <c r="M53" s="1845">
        <v>2045</v>
      </c>
      <c r="N53" s="1845">
        <v>2050</v>
      </c>
      <c r="O53" s="1420"/>
      <c r="P53" s="588"/>
    </row>
    <row r="54" spans="1:16" ht="12" customHeight="1" x14ac:dyDescent="0.2">
      <c r="B54" s="1419"/>
      <c r="C54" s="1846" t="s">
        <v>1871</v>
      </c>
      <c r="D54" s="1519" t="s">
        <v>2428</v>
      </c>
      <c r="E54" s="1847">
        <f>(N54-F54)/(N$53-F$53)</f>
        <v>0</v>
      </c>
      <c r="F54" s="2715">
        <f t="shared" ref="F54:N54" si="0">(70000)*NAIRA2010_*1.5</f>
        <v>105000</v>
      </c>
      <c r="G54" s="2715">
        <f t="shared" si="0"/>
        <v>105000</v>
      </c>
      <c r="H54" s="2715">
        <f t="shared" si="0"/>
        <v>105000</v>
      </c>
      <c r="I54" s="2715">
        <f t="shared" si="0"/>
        <v>105000</v>
      </c>
      <c r="J54" s="2715">
        <f t="shared" si="0"/>
        <v>105000</v>
      </c>
      <c r="K54" s="2715">
        <f t="shared" si="0"/>
        <v>105000</v>
      </c>
      <c r="L54" s="2715">
        <f t="shared" si="0"/>
        <v>105000</v>
      </c>
      <c r="M54" s="2715">
        <f t="shared" si="0"/>
        <v>105000</v>
      </c>
      <c r="N54" s="2715">
        <f t="shared" si="0"/>
        <v>105000</v>
      </c>
      <c r="O54" s="1420"/>
      <c r="P54" s="588"/>
    </row>
    <row r="55" spans="1:16" ht="14.25" customHeight="1" x14ac:dyDescent="0.2">
      <c r="B55" s="1419"/>
      <c r="C55" s="606" t="s">
        <v>1872</v>
      </c>
      <c r="D55" s="107"/>
      <c r="E55" s="188">
        <f>(N55-F55)/(N$53-F$53)</f>
        <v>0</v>
      </c>
      <c r="F55" s="2716">
        <f>(F56+((F54-F56)*0.35))</f>
        <v>69250</v>
      </c>
      <c r="G55" s="188">
        <f>($E55*(G$53-F$53))+F55</f>
        <v>69250</v>
      </c>
      <c r="H55" s="188">
        <f t="shared" ref="G55:M56" si="1">($E55*(H$53-G$53))+G55</f>
        <v>69250</v>
      </c>
      <c r="I55" s="188">
        <f t="shared" si="1"/>
        <v>69250</v>
      </c>
      <c r="J55" s="188">
        <f t="shared" si="1"/>
        <v>69250</v>
      </c>
      <c r="K55" s="188">
        <f t="shared" si="1"/>
        <v>69250</v>
      </c>
      <c r="L55" s="188">
        <f t="shared" si="1"/>
        <v>69250</v>
      </c>
      <c r="M55" s="188">
        <f t="shared" si="1"/>
        <v>69250</v>
      </c>
      <c r="N55" s="2716">
        <f>(N56+((N54-N56)*0.35))</f>
        <v>69250</v>
      </c>
      <c r="O55" s="1420"/>
      <c r="P55" s="588"/>
    </row>
    <row r="56" spans="1:16" ht="12" customHeight="1" x14ac:dyDescent="0.2">
      <c r="B56" s="1419"/>
      <c r="C56" s="1731" t="s">
        <v>1873</v>
      </c>
      <c r="D56" s="189"/>
      <c r="E56" s="191">
        <f>(N56-F56)/(N$53-F$53)</f>
        <v>0</v>
      </c>
      <c r="F56" s="2717">
        <f>(50000)*NAIRA2010_</f>
        <v>50000</v>
      </c>
      <c r="G56" s="191">
        <f t="shared" si="1"/>
        <v>50000</v>
      </c>
      <c r="H56" s="191">
        <f t="shared" si="1"/>
        <v>50000</v>
      </c>
      <c r="I56" s="191">
        <f t="shared" si="1"/>
        <v>50000</v>
      </c>
      <c r="J56" s="191">
        <f t="shared" si="1"/>
        <v>50000</v>
      </c>
      <c r="K56" s="191">
        <f t="shared" si="1"/>
        <v>50000</v>
      </c>
      <c r="L56" s="191">
        <f t="shared" si="1"/>
        <v>50000</v>
      </c>
      <c r="M56" s="191">
        <f t="shared" si="1"/>
        <v>50000</v>
      </c>
      <c r="N56" s="2717">
        <f>(50000)*NAIRA2010_</f>
        <v>50000</v>
      </c>
      <c r="O56" s="1420"/>
      <c r="P56" s="588"/>
    </row>
    <row r="57" spans="1:16" ht="12" customHeight="1" x14ac:dyDescent="0.2">
      <c r="B57" s="1419"/>
      <c r="C57" s="1848"/>
      <c r="D57" s="107"/>
      <c r="E57" s="1081"/>
      <c r="F57" s="1055"/>
      <c r="G57" s="760"/>
      <c r="H57" s="760"/>
      <c r="I57" s="760"/>
      <c r="J57" s="760"/>
      <c r="K57" s="760"/>
      <c r="L57" s="760"/>
      <c r="M57" s="760"/>
      <c r="N57" s="1416"/>
      <c r="O57" s="1420"/>
      <c r="P57" s="588"/>
    </row>
    <row r="58" spans="1:16" ht="12" customHeight="1" x14ac:dyDescent="0.2">
      <c r="B58" s="1377"/>
      <c r="C58" s="1377"/>
      <c r="D58" s="1416"/>
      <c r="E58" s="760"/>
      <c r="F58" s="1416"/>
      <c r="G58" s="1416"/>
      <c r="H58" s="1416"/>
      <c r="I58" s="1488"/>
      <c r="J58" s="1488"/>
      <c r="K58" s="1377"/>
      <c r="L58" s="1377"/>
      <c r="M58" s="1377"/>
      <c r="N58" s="1377"/>
      <c r="O58" s="1377"/>
    </row>
    <row r="59" spans="1:16" ht="4.5" customHeight="1" x14ac:dyDescent="0.2"/>
    <row r="60" spans="1:16" ht="12" customHeight="1" x14ac:dyDescent="0.2">
      <c r="B60" s="1423" t="s">
        <v>332</v>
      </c>
      <c r="C60" s="1424"/>
      <c r="D60" s="1424"/>
      <c r="E60" s="1424"/>
      <c r="F60" s="1424"/>
      <c r="G60" s="1424"/>
      <c r="H60" s="1424"/>
      <c r="I60" s="1424"/>
      <c r="J60" s="1424"/>
      <c r="K60" s="1424"/>
      <c r="L60" s="1424"/>
      <c r="M60" s="1424"/>
      <c r="N60" s="1424"/>
      <c r="O60" s="1425"/>
    </row>
    <row r="61" spans="1:16" ht="12" customHeight="1" x14ac:dyDescent="0.2">
      <c r="B61" s="1419"/>
      <c r="C61" s="1416"/>
      <c r="D61" s="1416"/>
      <c r="E61" s="1416"/>
      <c r="F61" s="1416"/>
      <c r="G61" s="1416"/>
      <c r="H61" s="1416"/>
      <c r="I61" s="1416"/>
      <c r="J61" s="1416"/>
      <c r="K61" s="1416"/>
      <c r="L61" s="1416"/>
      <c r="M61" s="1416"/>
      <c r="N61" s="1416"/>
      <c r="O61" s="1420"/>
    </row>
    <row r="62" spans="1:16" x14ac:dyDescent="0.2">
      <c r="B62" s="1419"/>
      <c r="C62" s="1417" t="s">
        <v>2236</v>
      </c>
      <c r="D62" s="1416"/>
      <c r="E62" s="1416"/>
      <c r="F62" s="1416"/>
      <c r="G62" s="1416"/>
      <c r="H62" s="1416"/>
      <c r="I62" s="1416"/>
      <c r="J62" s="1416"/>
      <c r="K62" s="1416"/>
      <c r="L62" s="1416"/>
      <c r="M62" s="1416"/>
      <c r="N62" s="161" t="s">
        <v>384</v>
      </c>
      <c r="O62" s="1420"/>
    </row>
    <row r="63" spans="1:16" x14ac:dyDescent="0.2">
      <c r="B63" s="1419"/>
      <c r="C63" s="1416"/>
      <c r="D63" s="1416"/>
      <c r="E63" s="1416"/>
      <c r="F63" s="1416"/>
      <c r="G63" s="1416"/>
      <c r="H63" s="1416"/>
      <c r="I63" s="1416"/>
      <c r="J63" s="1416"/>
      <c r="K63" s="1416"/>
      <c r="L63" s="1416"/>
      <c r="M63" s="1416"/>
      <c r="N63" s="1416"/>
      <c r="O63" s="1420"/>
    </row>
    <row r="64" spans="1:16" ht="22.5" collapsed="1" x14ac:dyDescent="0.3">
      <c r="A64" s="1422"/>
      <c r="B64" s="397"/>
      <c r="C64" s="98" t="s">
        <v>64</v>
      </c>
      <c r="D64" s="98" t="s">
        <v>65</v>
      </c>
      <c r="E64" s="98" t="s">
        <v>172</v>
      </c>
      <c r="F64" s="218">
        <v>2010</v>
      </c>
      <c r="G64" s="217">
        <v>2015</v>
      </c>
      <c r="H64" s="217">
        <v>2020</v>
      </c>
      <c r="I64" s="217">
        <v>2025</v>
      </c>
      <c r="J64" s="217">
        <v>2030</v>
      </c>
      <c r="K64" s="217">
        <v>2035</v>
      </c>
      <c r="L64" s="217">
        <v>2040</v>
      </c>
      <c r="M64" s="217">
        <v>2045</v>
      </c>
      <c r="N64" s="217">
        <v>2050</v>
      </c>
      <c r="O64" s="1420"/>
    </row>
    <row r="65" spans="1:16" ht="15.75" x14ac:dyDescent="0.25">
      <c r="B65" s="397"/>
      <c r="C65" s="1414" t="s">
        <v>34</v>
      </c>
      <c r="D65" s="1415" t="str">
        <f>INDEX(Vectors[Description], MATCH($C65, Vectors[Code], 0))</f>
        <v>Electricity (delivered to end user)</v>
      </c>
      <c r="E65" s="488"/>
      <c r="F65" s="174">
        <f>F41</f>
        <v>1</v>
      </c>
      <c r="G65" s="765">
        <f>$F65+($N65-$F65)/($N$64-$F$64)*(G$64-$F$64)</f>
        <v>0.96250000000000002</v>
      </c>
      <c r="H65" s="740">
        <f>$F65+($N65-$F65)/($N$64-$F$64)*(H$64-$F$64)</f>
        <v>0.92500000000000004</v>
      </c>
      <c r="I65" s="740">
        <f t="shared" ref="I65:M65" si="2">$F65+($N65-$F65)/($N$64-$F$64)*(I$64-$F$64)</f>
        <v>0.88749999999999996</v>
      </c>
      <c r="J65" s="740">
        <f t="shared" si="2"/>
        <v>0.85</v>
      </c>
      <c r="K65" s="740">
        <f t="shared" si="2"/>
        <v>0.8125</v>
      </c>
      <c r="L65" s="740">
        <f t="shared" si="2"/>
        <v>0.77499999999999991</v>
      </c>
      <c r="M65" s="740">
        <f t="shared" si="2"/>
        <v>0.73749999999999993</v>
      </c>
      <c r="N65" s="740">
        <f>INDEX(G$26:G$29, MATCH($E$9, $C$26:$C$29, 0))</f>
        <v>0.7</v>
      </c>
      <c r="O65" s="1420"/>
    </row>
    <row r="66" spans="1:16" ht="15.75" customHeight="1" x14ac:dyDescent="0.2">
      <c r="B66" s="1419"/>
      <c r="C66" s="1416"/>
      <c r="D66" s="1416"/>
      <c r="E66" s="1416"/>
      <c r="F66" s="1416"/>
      <c r="G66" s="1416"/>
      <c r="H66" s="1416"/>
      <c r="I66" s="1416"/>
      <c r="J66" s="1416"/>
      <c r="K66" s="1416"/>
      <c r="L66" s="1416"/>
      <c r="M66" s="1416"/>
      <c r="N66" s="1416"/>
      <c r="O66" s="1420"/>
    </row>
    <row r="67" spans="1:16" ht="15.75" x14ac:dyDescent="0.25">
      <c r="B67" s="397"/>
      <c r="C67" s="1414"/>
      <c r="D67" s="1415"/>
      <c r="E67" s="1415"/>
      <c r="F67" s="741"/>
      <c r="G67" s="741"/>
      <c r="H67" s="741"/>
      <c r="I67" s="741"/>
      <c r="J67" s="741"/>
      <c r="K67" s="741"/>
      <c r="L67" s="741"/>
      <c r="M67" s="741"/>
      <c r="N67" s="183"/>
      <c r="O67" s="1420"/>
    </row>
    <row r="68" spans="1:16" ht="15.75" x14ac:dyDescent="0.25">
      <c r="B68" s="397"/>
      <c r="C68" s="178" t="s">
        <v>334</v>
      </c>
      <c r="D68" s="1415"/>
      <c r="E68" s="179"/>
      <c r="F68" s="161"/>
      <c r="G68" s="1416"/>
      <c r="H68" s="1416"/>
      <c r="I68" s="1416"/>
      <c r="J68" s="1416"/>
      <c r="K68" s="1416"/>
      <c r="L68" s="1416"/>
      <c r="M68" s="1416"/>
      <c r="N68" s="176" t="s">
        <v>334</v>
      </c>
      <c r="O68" s="1420"/>
    </row>
    <row r="69" spans="1:16" ht="15.75" x14ac:dyDescent="0.25">
      <c r="B69" s="397"/>
      <c r="C69" s="1414"/>
      <c r="D69" s="1415"/>
      <c r="E69" s="1415"/>
      <c r="F69" s="1416"/>
      <c r="G69" s="1416"/>
      <c r="H69" s="1416"/>
      <c r="I69" s="1416"/>
      <c r="J69" s="1416"/>
      <c r="K69" s="1416"/>
      <c r="L69" s="1416"/>
      <c r="M69" s="1416"/>
      <c r="N69" s="1420"/>
    </row>
    <row r="70" spans="1:16" ht="15.75" x14ac:dyDescent="0.25">
      <c r="B70" s="397"/>
      <c r="C70" s="98"/>
      <c r="D70" s="98" t="s">
        <v>65</v>
      </c>
      <c r="E70" s="98" t="s">
        <v>172</v>
      </c>
      <c r="F70" s="558">
        <v>2010</v>
      </c>
      <c r="G70" s="559">
        <v>2015</v>
      </c>
      <c r="H70" s="559">
        <v>2020</v>
      </c>
      <c r="I70" s="559">
        <v>2025</v>
      </c>
      <c r="J70" s="559">
        <v>2030</v>
      </c>
      <c r="K70" s="559">
        <v>2035</v>
      </c>
      <c r="L70" s="559">
        <v>2040</v>
      </c>
      <c r="M70" s="559">
        <v>2045</v>
      </c>
      <c r="N70" s="559">
        <v>2050</v>
      </c>
      <c r="O70" s="1420"/>
    </row>
    <row r="71" spans="1:16" ht="15.75" x14ac:dyDescent="0.25">
      <c r="B71" s="397"/>
      <c r="C71" s="560"/>
      <c r="D71" s="146" t="s">
        <v>569</v>
      </c>
      <c r="E71" s="146"/>
      <c r="F71" s="555">
        <f>INDEX(Global.Assumptions[Households], MATCH(F70, Global.Assumptions[Year], 0))</f>
        <v>29446986.320893276</v>
      </c>
      <c r="G71" s="555">
        <f>INDEX(Global.Assumptions[Households], MATCH(G70, Global.Assumptions[Year], 0))</f>
        <v>31531746.337889936</v>
      </c>
      <c r="H71" s="555">
        <f>INDEX(Global.Assumptions[Households], MATCH(H70, Global.Assumptions[Year], 0))</f>
        <v>36996583.320638195</v>
      </c>
      <c r="I71" s="555">
        <f>INDEX(Global.Assumptions[Households], MATCH(I70, Global.Assumptions[Year], 0))</f>
        <v>43468170.457010902</v>
      </c>
      <c r="J71" s="555">
        <f>INDEX(Global.Assumptions[Households], MATCH(J70, Global.Assumptions[Year], 0))</f>
        <v>49180245.054391749</v>
      </c>
      <c r="K71" s="555">
        <f>INDEX(Global.Assumptions[Households], MATCH(K70, Global.Assumptions[Year], 0))</f>
        <v>57868650.493172847</v>
      </c>
      <c r="L71" s="555">
        <f>INDEX(Global.Assumptions[Households], MATCH(L70, Global.Assumptions[Year], 0))</f>
        <v>63891666.116602361</v>
      </c>
      <c r="M71" s="555">
        <f>INDEX(Global.Assumptions[Households], MATCH(M70, Global.Assumptions[Year], 0))</f>
        <v>70541562.043804556</v>
      </c>
      <c r="N71" s="555">
        <f>INDEX(Global.Assumptions[Households], MATCH(N70, Global.Assumptions[Year], 0))</f>
        <v>77883584.480306372</v>
      </c>
      <c r="O71" s="1420"/>
    </row>
    <row r="72" spans="1:16" x14ac:dyDescent="0.2">
      <c r="B72" s="1419"/>
      <c r="C72" s="1416"/>
      <c r="D72" s="1416"/>
      <c r="E72" s="1416"/>
      <c r="F72" s="1416"/>
      <c r="G72" s="1416"/>
      <c r="H72" s="1416"/>
      <c r="I72" s="1416"/>
      <c r="J72" s="1416"/>
      <c r="K72" s="1416"/>
      <c r="L72" s="1416"/>
      <c r="M72" s="1416"/>
      <c r="N72" s="1416"/>
      <c r="O72" s="1420"/>
    </row>
    <row r="74" spans="1:16" ht="15.75" x14ac:dyDescent="0.25">
      <c r="B74" s="134" t="s">
        <v>279</v>
      </c>
    </row>
    <row r="75" spans="1:16" x14ac:dyDescent="0.2">
      <c r="B75" s="1427">
        <v>1</v>
      </c>
      <c r="C75" s="1427" t="s">
        <v>2237</v>
      </c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</row>
    <row r="76" spans="1:16" x14ac:dyDescent="0.2">
      <c r="B76" s="1427">
        <v>2</v>
      </c>
      <c r="C76" s="1427" t="s">
        <v>807</v>
      </c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</row>
    <row r="77" spans="1:16" x14ac:dyDescent="0.2">
      <c r="B77" s="1427">
        <v>3</v>
      </c>
      <c r="C77" s="1427" t="s">
        <v>813</v>
      </c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</row>
    <row r="78" spans="1:16" ht="18" collapsed="1" x14ac:dyDescent="0.25">
      <c r="A78" s="99"/>
      <c r="B78" s="1427">
        <v>4</v>
      </c>
      <c r="C78" s="1427" t="s">
        <v>513</v>
      </c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</row>
    <row r="79" spans="1:16" s="20" customFormat="1" x14ac:dyDescent="0.2">
      <c r="B79" s="2370"/>
      <c r="C79" s="2370"/>
      <c r="D79" s="2370"/>
      <c r="E79" s="2370"/>
      <c r="F79" s="2370"/>
      <c r="G79" s="2370"/>
      <c r="H79" s="2370"/>
      <c r="I79" s="2370"/>
      <c r="J79" s="2370"/>
      <c r="K79" s="2370"/>
      <c r="L79" s="2370"/>
      <c r="M79" s="2370"/>
      <c r="N79" s="2370"/>
      <c r="O79" s="2370"/>
    </row>
    <row r="80" spans="1:16" x14ac:dyDescent="0.2">
      <c r="B80" s="1427">
        <v>1</v>
      </c>
      <c r="C80" s="1427" t="s">
        <v>2238</v>
      </c>
      <c r="F80" s="219"/>
      <c r="G80" s="219"/>
      <c r="H80" s="219"/>
      <c r="I80" s="219"/>
      <c r="J80" s="219"/>
      <c r="K80" s="219"/>
      <c r="L80" s="219"/>
      <c r="M80" s="219"/>
      <c r="N80" s="219"/>
    </row>
    <row r="81" spans="2:15" x14ac:dyDescent="0.2">
      <c r="F81" s="171">
        <v>2010</v>
      </c>
      <c r="G81" s="171">
        <v>2015</v>
      </c>
      <c r="H81" s="171">
        <v>2020</v>
      </c>
      <c r="I81" s="171">
        <v>2025</v>
      </c>
      <c r="J81" s="171">
        <v>2030</v>
      </c>
      <c r="K81" s="171">
        <v>2035</v>
      </c>
      <c r="L81" s="171">
        <v>2040</v>
      </c>
      <c r="M81" s="171">
        <v>2045</v>
      </c>
      <c r="N81" s="171">
        <v>2050</v>
      </c>
    </row>
    <row r="82" spans="2:15" x14ac:dyDescent="0.2">
      <c r="C82" s="20" t="s">
        <v>2239</v>
      </c>
      <c r="E82" s="20" t="str">
        <f>Preferences.EnergyUnits</f>
        <v>TWh</v>
      </c>
      <c r="F82" s="232">
        <f t="shared" ref="F82:N82" si="3">INDEX(F$18:F$21, MATCH($E$8, $C$18:$C$21, 0))</f>
        <v>1.3092459368951401E-6</v>
      </c>
      <c r="G82" s="232">
        <f t="shared" si="3"/>
        <v>1.3955901947832499E-6</v>
      </c>
      <c r="H82" s="232">
        <f t="shared" si="3"/>
        <v>1.4819344526713602E-6</v>
      </c>
      <c r="I82" s="232">
        <f t="shared" si="3"/>
        <v>1.5682787105594601E-6</v>
      </c>
      <c r="J82" s="232">
        <f t="shared" si="3"/>
        <v>1.65462296844757E-6</v>
      </c>
      <c r="K82" s="232">
        <f t="shared" si="3"/>
        <v>1.7409672263356801E-6</v>
      </c>
      <c r="L82" s="232">
        <f t="shared" si="3"/>
        <v>1.8273114842237901E-6</v>
      </c>
      <c r="M82" s="232">
        <f t="shared" si="3"/>
        <v>1.9136557421118903E-6</v>
      </c>
      <c r="N82" s="232">
        <f t="shared" si="3"/>
        <v>2.0000000000000003E-6</v>
      </c>
    </row>
    <row r="83" spans="2:15" x14ac:dyDescent="0.2">
      <c r="B83" s="582" t="s">
        <v>345</v>
      </c>
      <c r="C83" s="39" t="s">
        <v>350</v>
      </c>
      <c r="F83" s="768">
        <f>INDEX(Global.Assumptions[Households], MATCH(F$81, Global.Assumptions[Year], 0))</f>
        <v>29446986.320893276</v>
      </c>
      <c r="G83" s="768">
        <f>INDEX(Global.Assumptions[Households], MATCH(G$81, Global.Assumptions[Year], 0))</f>
        <v>31531746.337889936</v>
      </c>
      <c r="H83" s="768">
        <f>INDEX(Global.Assumptions[Households], MATCH(H$81, Global.Assumptions[Year], 0))</f>
        <v>36996583.320638195</v>
      </c>
      <c r="I83" s="768">
        <f>INDEX(Global.Assumptions[Households], MATCH(I$81, Global.Assumptions[Year], 0))</f>
        <v>43468170.457010902</v>
      </c>
      <c r="J83" s="768">
        <f>INDEX(Global.Assumptions[Households], MATCH(J$81, Global.Assumptions[Year], 0))</f>
        <v>49180245.054391749</v>
      </c>
      <c r="K83" s="768">
        <f>INDEX(Global.Assumptions[Households], MATCH(K$81, Global.Assumptions[Year], 0))</f>
        <v>57868650.493172847</v>
      </c>
      <c r="L83" s="768">
        <f>INDEX(Global.Assumptions[Households], MATCH(L$81, Global.Assumptions[Year], 0))</f>
        <v>63891666.116602361</v>
      </c>
      <c r="M83" s="768">
        <f>INDEX(Global.Assumptions[Households], MATCH(M$81, Global.Assumptions[Year], 0))</f>
        <v>70541562.043804556</v>
      </c>
      <c r="N83" s="768">
        <f>INDEX(Global.Assumptions[Households], MATCH(N$81, Global.Assumptions[Year], 0))</f>
        <v>77883584.480306372</v>
      </c>
    </row>
    <row r="84" spans="2:15" x14ac:dyDescent="0.2">
      <c r="B84" s="584" t="s">
        <v>346</v>
      </c>
      <c r="C84" s="1427" t="s">
        <v>2240</v>
      </c>
      <c r="E84" s="1427" t="str">
        <f>Preferences.EnergyUnits</f>
        <v>TWh</v>
      </c>
      <c r="F84" s="234">
        <f>F82*F83*F65</f>
        <v>38.553347194436292</v>
      </c>
      <c r="G84" s="234">
        <f t="shared" ref="G84:N84" si="4">G82*G83*G65</f>
        <v>42.35519366304365</v>
      </c>
      <c r="H84" s="234">
        <f t="shared" si="4"/>
        <v>50.714523094931813</v>
      </c>
      <c r="I84" s="234">
        <f t="shared" si="4"/>
        <v>60.501058104296142</v>
      </c>
      <c r="J84" s="234">
        <f t="shared" si="4"/>
        <v>69.168548601745115</v>
      </c>
      <c r="K84" s="234">
        <f t="shared" si="4"/>
        <v>81.857281951971515</v>
      </c>
      <c r="L84" s="234">
        <f t="shared" si="4"/>
        <v>90.481230811821106</v>
      </c>
      <c r="M84" s="234">
        <f t="shared" si="4"/>
        <v>99.556795631218193</v>
      </c>
      <c r="N84" s="234">
        <f t="shared" si="4"/>
        <v>109.03701827242892</v>
      </c>
    </row>
    <row r="85" spans="2:15" x14ac:dyDescent="0.2">
      <c r="B85" s="1426" t="s">
        <v>34</v>
      </c>
      <c r="C85" s="2370" t="str">
        <f>INDEX(Vectors[Description], MATCH($B85, Vectors[Code], 0))</f>
        <v>Electricity (delivered to end user)</v>
      </c>
      <c r="F85" s="219">
        <f t="shared" ref="F85:N85" si="5">F84</f>
        <v>38.553347194436292</v>
      </c>
      <c r="G85" s="219">
        <f t="shared" si="5"/>
        <v>42.35519366304365</v>
      </c>
      <c r="H85" s="219">
        <f t="shared" si="5"/>
        <v>50.714523094931813</v>
      </c>
      <c r="I85" s="219">
        <f t="shared" si="5"/>
        <v>60.501058104296142</v>
      </c>
      <c r="J85" s="219">
        <f t="shared" si="5"/>
        <v>69.168548601745115</v>
      </c>
      <c r="K85" s="219">
        <f t="shared" si="5"/>
        <v>81.857281951971515</v>
      </c>
      <c r="L85" s="219">
        <f t="shared" si="5"/>
        <v>90.481230811821106</v>
      </c>
      <c r="M85" s="219">
        <f t="shared" si="5"/>
        <v>99.556795631218193</v>
      </c>
      <c r="N85" s="219">
        <f t="shared" si="5"/>
        <v>109.03701827242892</v>
      </c>
    </row>
    <row r="86" spans="2:15" x14ac:dyDescent="0.2">
      <c r="F86" s="219"/>
      <c r="G86" s="219"/>
      <c r="H86" s="219"/>
      <c r="I86" s="219"/>
      <c r="J86" s="219"/>
      <c r="K86" s="219"/>
      <c r="L86" s="219"/>
      <c r="M86" s="219"/>
      <c r="N86" s="219"/>
    </row>
    <row r="87" spans="2:15" x14ac:dyDescent="0.2">
      <c r="B87" s="1427">
        <v>2</v>
      </c>
      <c r="C87" s="1427" t="s">
        <v>814</v>
      </c>
      <c r="F87" s="219"/>
      <c r="G87" s="219"/>
      <c r="H87" s="219"/>
      <c r="I87" s="219"/>
      <c r="J87" s="219"/>
      <c r="K87" s="219"/>
      <c r="L87" s="219"/>
      <c r="M87" s="219"/>
      <c r="N87" s="219"/>
    </row>
    <row r="88" spans="2:15" x14ac:dyDescent="0.2">
      <c r="B88" s="1427"/>
      <c r="C88" s="1427"/>
      <c r="F88" s="171">
        <v>2010</v>
      </c>
      <c r="G88" s="171">
        <v>2015</v>
      </c>
      <c r="H88" s="171">
        <v>2020</v>
      </c>
      <c r="I88" s="171">
        <v>2025</v>
      </c>
      <c r="J88" s="171">
        <v>2030</v>
      </c>
      <c r="K88" s="171">
        <v>2035</v>
      </c>
      <c r="L88" s="171">
        <v>2040</v>
      </c>
      <c r="M88" s="171">
        <v>2045</v>
      </c>
      <c r="N88" s="171">
        <v>2050</v>
      </c>
    </row>
    <row r="89" spans="2:15" x14ac:dyDescent="0.2">
      <c r="B89" s="1426" t="s">
        <v>34</v>
      </c>
      <c r="C89" s="2370" t="str">
        <f>INDEX(Vectors[Description], MATCH($B89, Vectors[Code], 0))</f>
        <v>Electricity (delivered to end user)</v>
      </c>
      <c r="E89" s="20" t="str">
        <f>Preferences.EnergyUnits</f>
        <v>TWh</v>
      </c>
      <c r="F89" s="219">
        <f t="shared" ref="F89:N89" si="6">F85</f>
        <v>38.553347194436292</v>
      </c>
      <c r="G89" s="219">
        <f t="shared" si="6"/>
        <v>42.35519366304365</v>
      </c>
      <c r="H89" s="219">
        <f t="shared" si="6"/>
        <v>50.714523094931813</v>
      </c>
      <c r="I89" s="219">
        <f t="shared" si="6"/>
        <v>60.501058104296142</v>
      </c>
      <c r="J89" s="219">
        <f t="shared" si="6"/>
        <v>69.168548601745115</v>
      </c>
      <c r="K89" s="219">
        <f t="shared" si="6"/>
        <v>81.857281951971515</v>
      </c>
      <c r="L89" s="219">
        <f t="shared" si="6"/>
        <v>90.481230811821106</v>
      </c>
      <c r="M89" s="219">
        <f t="shared" si="6"/>
        <v>99.556795631218193</v>
      </c>
      <c r="N89" s="219">
        <f t="shared" si="6"/>
        <v>109.03701827242892</v>
      </c>
    </row>
    <row r="90" spans="2:15" x14ac:dyDescent="0.2">
      <c r="B90" s="1426"/>
      <c r="E90" s="20"/>
      <c r="F90" s="219"/>
      <c r="G90" s="219"/>
      <c r="H90" s="219"/>
      <c r="I90" s="219"/>
      <c r="J90" s="219"/>
      <c r="K90" s="219"/>
      <c r="L90" s="219"/>
      <c r="M90" s="219"/>
      <c r="N90" s="219"/>
    </row>
    <row r="91" spans="2:15" x14ac:dyDescent="0.2">
      <c r="B91" s="1426"/>
      <c r="E91" s="20"/>
      <c r="F91" s="219"/>
      <c r="G91" s="219"/>
      <c r="H91" s="219"/>
      <c r="I91" s="219"/>
      <c r="J91" s="219"/>
      <c r="K91" s="219"/>
      <c r="L91" s="219"/>
      <c r="M91" s="219"/>
      <c r="N91" s="219"/>
    </row>
    <row r="92" spans="2:15" x14ac:dyDescent="0.2">
      <c r="B92" s="1426"/>
      <c r="E92" s="20"/>
      <c r="F92" s="219"/>
      <c r="G92" s="219"/>
      <c r="H92" s="219"/>
      <c r="I92" s="219"/>
      <c r="J92" s="219"/>
      <c r="K92" s="219"/>
      <c r="L92" s="219"/>
      <c r="M92" s="219"/>
      <c r="N92" s="219"/>
    </row>
    <row r="93" spans="2:15" x14ac:dyDescent="0.2">
      <c r="B93" s="1426"/>
      <c r="E93" s="20"/>
      <c r="F93" s="219"/>
      <c r="G93" s="219"/>
      <c r="H93" s="219"/>
      <c r="I93" s="219"/>
      <c r="J93" s="219"/>
      <c r="K93" s="219"/>
      <c r="L93" s="219"/>
      <c r="M93" s="219"/>
      <c r="N93" s="219"/>
    </row>
    <row r="94" spans="2:15" x14ac:dyDescent="0.2">
      <c r="B94" s="1426">
        <v>3</v>
      </c>
      <c r="C94" s="1427" t="s">
        <v>1887</v>
      </c>
      <c r="E94" s="20"/>
      <c r="F94" s="219"/>
      <c r="G94" s="219"/>
      <c r="H94" s="219"/>
      <c r="I94" s="219"/>
      <c r="J94" s="219"/>
      <c r="K94" s="219"/>
      <c r="L94" s="219"/>
      <c r="M94" s="219"/>
      <c r="N94" s="219"/>
    </row>
    <row r="95" spans="2:15" x14ac:dyDescent="0.2">
      <c r="B95" s="37"/>
      <c r="C95" s="1971"/>
      <c r="D95" s="1971"/>
      <c r="E95" s="1972"/>
      <c r="F95" s="1972"/>
      <c r="G95" s="1972"/>
      <c r="H95" s="1972"/>
      <c r="I95" s="1972"/>
      <c r="J95" s="1973"/>
      <c r="K95" s="1973"/>
      <c r="L95" s="1973"/>
      <c r="M95" s="1973"/>
      <c r="N95" s="1973"/>
      <c r="O95" s="37"/>
    </row>
    <row r="96" spans="2:15" x14ac:dyDescent="0.2">
      <c r="B96" s="37"/>
      <c r="C96" s="1971" t="s">
        <v>2242</v>
      </c>
      <c r="D96" s="1971"/>
      <c r="E96" s="1972"/>
      <c r="F96" s="1972"/>
      <c r="G96" s="1972"/>
      <c r="H96" s="1972"/>
      <c r="I96" s="1972"/>
      <c r="J96" s="1973"/>
      <c r="K96" s="1973"/>
      <c r="L96" s="1973"/>
      <c r="M96" s="1973"/>
      <c r="N96" s="1973"/>
      <c r="O96" s="37"/>
    </row>
    <row r="97" spans="1:16" x14ac:dyDescent="0.2">
      <c r="B97" s="37"/>
      <c r="C97" s="1971" t="s">
        <v>64</v>
      </c>
      <c r="D97" s="1971" t="s">
        <v>65</v>
      </c>
      <c r="E97" s="1971" t="s">
        <v>172</v>
      </c>
      <c r="F97" s="1977">
        <v>2010</v>
      </c>
      <c r="G97" s="1977">
        <v>2015</v>
      </c>
      <c r="H97" s="1977">
        <v>2020</v>
      </c>
      <c r="I97" s="1977">
        <v>2025</v>
      </c>
      <c r="J97" s="1977">
        <v>2030</v>
      </c>
      <c r="K97" s="1977">
        <v>2035</v>
      </c>
      <c r="L97" s="1977">
        <v>2040</v>
      </c>
      <c r="M97" s="1977">
        <v>2045</v>
      </c>
      <c r="N97" s="1977">
        <v>2050</v>
      </c>
      <c r="O97" s="37"/>
    </row>
    <row r="98" spans="1:16" x14ac:dyDescent="0.2">
      <c r="B98" s="37"/>
      <c r="C98" s="1974" t="s">
        <v>34</v>
      </c>
      <c r="D98" s="1971" t="str">
        <f>INDEX(Vectors[Description], MATCH($C98, Vectors[Code], 0))</f>
        <v>Electricity (delivered to end user)</v>
      </c>
      <c r="E98" s="1975"/>
      <c r="F98" s="1976">
        <f t="shared" ref="F98:N98" si="7">F65*F$71</f>
        <v>29446986.320893276</v>
      </c>
      <c r="G98" s="1976">
        <f>G65*G$71</f>
        <v>30349305.850219063</v>
      </c>
      <c r="H98" s="1976">
        <f t="shared" si="7"/>
        <v>34221839.571590334</v>
      </c>
      <c r="I98" s="1976">
        <f t="shared" si="7"/>
        <v>38578001.280597173</v>
      </c>
      <c r="J98" s="1976">
        <f t="shared" si="7"/>
        <v>41803208.296232983</v>
      </c>
      <c r="K98" s="1976">
        <f t="shared" si="7"/>
        <v>47018278.525702938</v>
      </c>
      <c r="L98" s="1976">
        <f t="shared" si="7"/>
        <v>49516041.240366824</v>
      </c>
      <c r="M98" s="1976">
        <f t="shared" si="7"/>
        <v>52024402.007305853</v>
      </c>
      <c r="N98" s="1976">
        <f t="shared" si="7"/>
        <v>54518509.136214457</v>
      </c>
      <c r="O98" s="37"/>
    </row>
    <row r="99" spans="1:16" x14ac:dyDescent="0.2">
      <c r="A99" s="37"/>
      <c r="B99" s="37"/>
      <c r="C99" s="1971"/>
      <c r="D99" s="1971"/>
      <c r="E99" s="1972"/>
      <c r="F99" s="1972"/>
      <c r="G99" s="1972"/>
      <c r="H99" s="1972"/>
      <c r="I99" s="1972"/>
      <c r="J99" s="1973"/>
      <c r="K99" s="1973"/>
      <c r="L99" s="1973"/>
      <c r="M99" s="1973"/>
      <c r="N99" s="1973"/>
      <c r="O99" s="37"/>
      <c r="P99" s="37"/>
    </row>
    <row r="100" spans="1:16" x14ac:dyDescent="0.2">
      <c r="A100" s="37"/>
      <c r="B100" s="37"/>
      <c r="D100" s="1973"/>
      <c r="E100" s="1973"/>
      <c r="F100" s="1972"/>
      <c r="G100" s="1972"/>
      <c r="H100" s="1972"/>
      <c r="I100" s="1972"/>
      <c r="J100" s="1973"/>
      <c r="K100" s="1973"/>
      <c r="L100" s="1973"/>
      <c r="M100" s="1973"/>
      <c r="N100" s="1973"/>
      <c r="O100" s="37"/>
      <c r="P100" s="37"/>
    </row>
    <row r="101" spans="1:16" x14ac:dyDescent="0.2">
      <c r="A101" s="37"/>
      <c r="B101" s="37"/>
      <c r="C101" s="1971"/>
      <c r="D101" s="1973"/>
      <c r="E101" s="1973"/>
      <c r="F101" s="1972"/>
      <c r="G101" s="1972"/>
      <c r="H101" s="1972"/>
      <c r="I101" s="1972"/>
      <c r="J101" s="1973"/>
      <c r="K101" s="1973"/>
      <c r="L101" s="1973"/>
      <c r="M101" s="1973"/>
      <c r="N101" s="1973"/>
      <c r="O101" s="37"/>
      <c r="P101" s="37"/>
    </row>
    <row r="102" spans="1:16" x14ac:dyDescent="0.2">
      <c r="A102" s="37"/>
      <c r="B102" s="37"/>
      <c r="C102" s="1971" t="s">
        <v>2430</v>
      </c>
      <c r="D102" s="1971"/>
      <c r="E102" s="1972"/>
      <c r="F102" s="1972"/>
      <c r="G102" s="1972"/>
      <c r="H102" s="1972"/>
      <c r="I102" s="1972"/>
      <c r="J102" s="1973"/>
      <c r="K102" s="1973"/>
      <c r="L102" s="1973"/>
      <c r="M102" s="1973"/>
      <c r="N102" s="1973"/>
      <c r="O102" s="37"/>
      <c r="P102" s="37"/>
    </row>
    <row r="103" spans="1:16" x14ac:dyDescent="0.2">
      <c r="A103" s="37"/>
      <c r="B103" s="37"/>
      <c r="C103" s="1971" t="s">
        <v>64</v>
      </c>
      <c r="D103" s="1971" t="s">
        <v>65</v>
      </c>
      <c r="E103" s="1971" t="s">
        <v>172</v>
      </c>
      <c r="F103" s="1977">
        <v>2010</v>
      </c>
      <c r="G103" s="1977">
        <v>2015</v>
      </c>
      <c r="H103" s="1977">
        <v>2020</v>
      </c>
      <c r="I103" s="1977">
        <v>2025</v>
      </c>
      <c r="J103" s="1977">
        <v>2030</v>
      </c>
      <c r="K103" s="1977">
        <v>2035</v>
      </c>
      <c r="L103" s="1977">
        <v>2040</v>
      </c>
      <c r="M103" s="1977">
        <v>2045</v>
      </c>
      <c r="N103" s="1977">
        <v>2050</v>
      </c>
      <c r="O103" s="37"/>
      <c r="P103" s="37"/>
    </row>
    <row r="104" spans="1:16" x14ac:dyDescent="0.2">
      <c r="A104" s="37"/>
      <c r="B104" s="37"/>
      <c r="C104" s="1974" t="s">
        <v>34</v>
      </c>
      <c r="D104" s="1971" t="str">
        <f>INDEX(Vectors[Description], MATCH($C104, Vectors[Code], 0))</f>
        <v>Electricity (delivered to end user)</v>
      </c>
      <c r="E104" s="1975"/>
      <c r="F104" s="1976">
        <f t="shared" ref="F104:N104" si="8">F98*$E$46</f>
        <v>2944698.632089328</v>
      </c>
      <c r="G104" s="1976">
        <f>G98*$E$46</f>
        <v>3034930.5850219065</v>
      </c>
      <c r="H104" s="1976">
        <f t="shared" si="8"/>
        <v>3422183.9571590335</v>
      </c>
      <c r="I104" s="1976">
        <f t="shared" si="8"/>
        <v>3857800.1280597174</v>
      </c>
      <c r="J104" s="1976">
        <f t="shared" si="8"/>
        <v>4180320.8296232987</v>
      </c>
      <c r="K104" s="1976">
        <f t="shared" si="8"/>
        <v>4701827.8525702944</v>
      </c>
      <c r="L104" s="1976">
        <f t="shared" si="8"/>
        <v>4951604.1240366828</v>
      </c>
      <c r="M104" s="1976">
        <f t="shared" si="8"/>
        <v>5202440.2007305855</v>
      </c>
      <c r="N104" s="1976">
        <f t="shared" si="8"/>
        <v>5451850.9136214461</v>
      </c>
      <c r="O104" s="37"/>
      <c r="P104" s="37"/>
    </row>
    <row r="105" spans="1:16" x14ac:dyDescent="0.2">
      <c r="A105" s="37"/>
      <c r="B105" s="37"/>
      <c r="C105" s="1971"/>
      <c r="D105" s="1971"/>
      <c r="E105" s="1972"/>
      <c r="F105" s="1972"/>
      <c r="G105" s="1972"/>
      <c r="H105" s="1972"/>
      <c r="I105" s="1972"/>
      <c r="J105" s="1973"/>
      <c r="K105" s="1973"/>
      <c r="L105" s="1973"/>
      <c r="M105" s="1973"/>
      <c r="N105" s="1973"/>
      <c r="O105" s="37"/>
      <c r="P105" s="37"/>
    </row>
    <row r="106" spans="1:16" x14ac:dyDescent="0.2">
      <c r="A106" s="37"/>
      <c r="B106" s="37"/>
      <c r="C106" s="1971" t="s">
        <v>2241</v>
      </c>
      <c r="D106" s="1971"/>
      <c r="E106" s="1972"/>
      <c r="F106" s="1972"/>
      <c r="G106" s="1972"/>
      <c r="H106" s="1972"/>
      <c r="I106" s="1972"/>
      <c r="J106" s="1973"/>
      <c r="K106" s="1973"/>
      <c r="L106" s="1973"/>
      <c r="M106" s="1973"/>
      <c r="N106" s="1973"/>
      <c r="O106" s="37"/>
      <c r="P106" s="37"/>
    </row>
    <row r="107" spans="1:16" x14ac:dyDescent="0.2">
      <c r="A107" s="37"/>
      <c r="B107" s="37"/>
      <c r="C107" s="1971" t="s">
        <v>64</v>
      </c>
      <c r="D107" s="1971" t="s">
        <v>65</v>
      </c>
      <c r="E107" s="1971" t="s">
        <v>172</v>
      </c>
      <c r="F107" s="1977">
        <v>2010</v>
      </c>
      <c r="G107" s="1977">
        <v>2015</v>
      </c>
      <c r="H107" s="1977">
        <v>2020</v>
      </c>
      <c r="I107" s="1977">
        <v>2025</v>
      </c>
      <c r="J107" s="1977">
        <v>2030</v>
      </c>
      <c r="K107" s="1977">
        <v>2035</v>
      </c>
      <c r="L107" s="1977">
        <v>2040</v>
      </c>
      <c r="M107" s="1977">
        <v>2045</v>
      </c>
      <c r="N107" s="1977">
        <v>2050</v>
      </c>
      <c r="O107" s="37"/>
      <c r="P107" s="37"/>
    </row>
    <row r="108" spans="1:16" x14ac:dyDescent="0.2">
      <c r="A108" s="37"/>
      <c r="B108" s="37"/>
      <c r="C108" s="1974" t="s">
        <v>34</v>
      </c>
      <c r="D108" s="1971" t="str">
        <f>INDEX(Vectors[Description], MATCH($C108, Vectors[Code], 0))</f>
        <v>Electricity (delivered to end user)</v>
      </c>
      <c r="E108" s="1975"/>
      <c r="F108" s="1976"/>
      <c r="G108" s="1976">
        <f>IF(G98-F98+F104&gt;0,G98-F98+F104,0)</f>
        <v>3847018.161415115</v>
      </c>
      <c r="H108" s="1976">
        <f>IF(H98-G98+G104&gt;0,H98-G98+G104,0)</f>
        <v>6907464.3063931772</v>
      </c>
      <c r="I108" s="1976">
        <f t="shared" ref="I108:N108" si="9">IF(I98-H98+H104&gt;0,I98-H98+H104,0)</f>
        <v>7778345.6661658715</v>
      </c>
      <c r="J108" s="1976">
        <f t="shared" si="9"/>
        <v>7083007.1436955277</v>
      </c>
      <c r="K108" s="1976">
        <f t="shared" si="9"/>
        <v>9395391.0590932537</v>
      </c>
      <c r="L108" s="1976">
        <f t="shared" si="9"/>
        <v>7199590.5672341799</v>
      </c>
      <c r="M108" s="1976">
        <f t="shared" si="9"/>
        <v>7459964.8909757119</v>
      </c>
      <c r="N108" s="1976">
        <f t="shared" si="9"/>
        <v>7696547.3296391899</v>
      </c>
      <c r="O108" s="37"/>
      <c r="P108" s="37"/>
    </row>
    <row r="109" spans="1:16" x14ac:dyDescent="0.2">
      <c r="A109" s="37"/>
      <c r="B109" s="37"/>
      <c r="C109" s="1974"/>
      <c r="D109" s="1971"/>
      <c r="E109" s="1971"/>
      <c r="F109" s="1976"/>
      <c r="G109" s="1976"/>
      <c r="H109" s="1976"/>
      <c r="I109" s="1976"/>
      <c r="J109" s="1976"/>
      <c r="K109" s="1976"/>
      <c r="L109" s="1976"/>
      <c r="M109" s="1976"/>
      <c r="N109" s="1976"/>
      <c r="O109" s="37"/>
      <c r="P109" s="37"/>
    </row>
    <row r="110" spans="1:16" x14ac:dyDescent="0.2">
      <c r="A110" s="37"/>
      <c r="B110" s="37"/>
      <c r="C110" s="1974"/>
      <c r="D110" s="1971"/>
      <c r="E110" s="1971"/>
      <c r="F110" s="1976"/>
      <c r="G110" s="1976"/>
      <c r="H110" s="1976"/>
      <c r="I110" s="1976"/>
      <c r="J110" s="1976"/>
      <c r="K110" s="1976"/>
      <c r="L110" s="1976"/>
      <c r="M110" s="1976"/>
      <c r="N110" s="1976"/>
      <c r="O110" s="37"/>
      <c r="P110" s="37"/>
    </row>
    <row r="111" spans="1:16" x14ac:dyDescent="0.2">
      <c r="B111" s="1427"/>
      <c r="E111" s="1426"/>
      <c r="F111" s="1428"/>
      <c r="G111" s="1428"/>
      <c r="H111" s="1428"/>
      <c r="I111" s="1428"/>
      <c r="J111" s="1428"/>
      <c r="K111" s="1428"/>
      <c r="L111" s="1428"/>
      <c r="M111" s="1428"/>
      <c r="N111" s="1428"/>
    </row>
    <row r="112" spans="1:16" x14ac:dyDescent="0.2">
      <c r="B112" s="1427">
        <v>4</v>
      </c>
      <c r="C112" s="1427" t="s">
        <v>1424</v>
      </c>
    </row>
    <row r="114" spans="2:17" x14ac:dyDescent="0.2">
      <c r="B114" s="2370" t="s">
        <v>1392</v>
      </c>
      <c r="F114" s="1262"/>
      <c r="G114" s="1262"/>
      <c r="H114" s="1262"/>
      <c r="I114" s="1262"/>
      <c r="J114" s="1262"/>
      <c r="K114" s="1262"/>
      <c r="L114" s="1262"/>
      <c r="M114" s="1262"/>
      <c r="N114" s="1262"/>
    </row>
    <row r="115" spans="2:17" x14ac:dyDescent="0.2">
      <c r="C115" s="2370" t="s">
        <v>1418</v>
      </c>
      <c r="E115" s="2370" t="str">
        <f>Preferences.moneyunits</f>
        <v>N</v>
      </c>
      <c r="F115" s="1262">
        <f t="shared" ref="F115:N115" si="10">(F108*F54)/10</f>
        <v>0</v>
      </c>
      <c r="G115" s="1262">
        <f>(G108*G54)/10</f>
        <v>40393690694.858711</v>
      </c>
      <c r="H115" s="1262">
        <f>(H108*H54)/10</f>
        <v>72528375217.128357</v>
      </c>
      <c r="I115" s="1262">
        <f t="shared" si="10"/>
        <v>81672629494.741653</v>
      </c>
      <c r="J115" s="1262">
        <f t="shared" si="10"/>
        <v>74371575008.80304</v>
      </c>
      <c r="K115" s="1262">
        <f t="shared" si="10"/>
        <v>98651606120.479156</v>
      </c>
      <c r="L115" s="1262">
        <f t="shared" si="10"/>
        <v>75595700955.958893</v>
      </c>
      <c r="M115" s="1262">
        <f t="shared" si="10"/>
        <v>78329631355.244965</v>
      </c>
      <c r="N115" s="1262">
        <f t="shared" si="10"/>
        <v>80813746961.211502</v>
      </c>
    </row>
    <row r="116" spans="2:17" x14ac:dyDescent="0.2">
      <c r="C116" s="2370" t="s">
        <v>1419</v>
      </c>
      <c r="E116" s="2370" t="str">
        <f>Preferences.moneyunits</f>
        <v>N</v>
      </c>
      <c r="F116" s="1262"/>
      <c r="G116" s="1262"/>
      <c r="H116" s="1262"/>
      <c r="I116" s="1262"/>
      <c r="J116" s="1262"/>
      <c r="K116" s="1262"/>
      <c r="L116" s="1262"/>
      <c r="M116" s="1262"/>
      <c r="N116" s="1262"/>
      <c r="P116" s="1245"/>
    </row>
    <row r="117" spans="2:17" x14ac:dyDescent="0.2">
      <c r="C117" s="2370" t="s">
        <v>1421</v>
      </c>
      <c r="E117" s="2370" t="str">
        <f>Preferences.moneyunits</f>
        <v>N</v>
      </c>
      <c r="F117" s="1262"/>
      <c r="G117" s="1262"/>
      <c r="H117" s="1262"/>
      <c r="I117" s="1262"/>
      <c r="J117" s="1262"/>
      <c r="K117" s="1262"/>
      <c r="L117" s="1262"/>
      <c r="M117" s="1262"/>
      <c r="N117" s="1262"/>
      <c r="O117" s="1262"/>
      <c r="P117" s="1245"/>
    </row>
    <row r="118" spans="2:17" x14ac:dyDescent="0.2">
      <c r="O118" s="1262"/>
      <c r="P118" s="1245"/>
    </row>
    <row r="119" spans="2:17" x14ac:dyDescent="0.2">
      <c r="B119" s="2370" t="s">
        <v>1875</v>
      </c>
      <c r="F119" s="1262"/>
      <c r="G119" s="1262"/>
      <c r="H119" s="1262"/>
      <c r="I119" s="1262"/>
      <c r="J119" s="1262"/>
      <c r="K119" s="1262"/>
      <c r="L119" s="1262"/>
      <c r="M119" s="1262"/>
      <c r="N119" s="1262"/>
      <c r="O119" s="1262"/>
      <c r="P119" s="1245"/>
    </row>
    <row r="120" spans="2:17" x14ac:dyDescent="0.2">
      <c r="C120" s="2370" t="s">
        <v>1418</v>
      </c>
      <c r="E120" s="2370" t="str">
        <f>Preferences.moneyunits</f>
        <v>N</v>
      </c>
      <c r="F120" s="1262">
        <f t="shared" ref="F120:N120" si="11">(F108*F55)/10</f>
        <v>0</v>
      </c>
      <c r="G120" s="1262">
        <f>(G108*G55)/10</f>
        <v>26640600767.799671</v>
      </c>
      <c r="H120" s="1262">
        <f>(H108*H55)/10</f>
        <v>47834190321.772751</v>
      </c>
      <c r="I120" s="1262">
        <f t="shared" si="11"/>
        <v>53865043738.198662</v>
      </c>
      <c r="J120" s="1262">
        <f t="shared" si="11"/>
        <v>49049824470.09153</v>
      </c>
      <c r="K120" s="1262">
        <f t="shared" si="11"/>
        <v>65063083084.220779</v>
      </c>
      <c r="L120" s="1262">
        <f t="shared" si="11"/>
        <v>49857164678.096695</v>
      </c>
      <c r="M120" s="1262">
        <f t="shared" si="11"/>
        <v>51660256870.006805</v>
      </c>
      <c r="N120" s="1262">
        <f t="shared" si="11"/>
        <v>53298590257.751389</v>
      </c>
      <c r="O120" s="1262"/>
      <c r="P120" s="1245"/>
    </row>
    <row r="121" spans="2:17" x14ac:dyDescent="0.2">
      <c r="C121" s="2370" t="s">
        <v>1419</v>
      </c>
      <c r="E121" s="2370" t="str">
        <f>Preferences.moneyunits</f>
        <v>N</v>
      </c>
      <c r="F121" s="1262"/>
      <c r="G121" s="1262"/>
      <c r="H121" s="1262"/>
      <c r="I121" s="1262"/>
      <c r="J121" s="1262"/>
      <c r="K121" s="1262"/>
      <c r="L121" s="1262"/>
      <c r="M121" s="1262"/>
      <c r="N121" s="1262"/>
      <c r="O121" s="1262"/>
      <c r="P121" s="1245"/>
    </row>
    <row r="122" spans="2:17" x14ac:dyDescent="0.2">
      <c r="C122" s="2370" t="s">
        <v>1421</v>
      </c>
      <c r="E122" s="2370" t="str">
        <f>Preferences.moneyunits</f>
        <v>N</v>
      </c>
      <c r="F122" s="1262"/>
      <c r="G122" s="1262"/>
      <c r="H122" s="1262"/>
      <c r="I122" s="1262"/>
      <c r="J122" s="1262"/>
      <c r="K122" s="1262"/>
      <c r="L122" s="1262"/>
      <c r="M122" s="1262"/>
      <c r="N122" s="1262"/>
      <c r="O122" s="1262"/>
      <c r="P122" s="1245"/>
    </row>
    <row r="123" spans="2:17" x14ac:dyDescent="0.2">
      <c r="O123" s="1262"/>
      <c r="P123" s="1245"/>
    </row>
    <row r="124" spans="2:17" x14ac:dyDescent="0.2">
      <c r="B124" s="2370" t="s">
        <v>1385</v>
      </c>
      <c r="F124" s="1262"/>
      <c r="G124" s="1262"/>
      <c r="H124" s="1262"/>
      <c r="I124" s="1262"/>
      <c r="J124" s="1262"/>
      <c r="K124" s="1262"/>
      <c r="L124" s="1262"/>
      <c r="M124" s="1262"/>
      <c r="N124" s="1262"/>
      <c r="O124" s="1262"/>
      <c r="P124" s="1245"/>
    </row>
    <row r="125" spans="2:17" x14ac:dyDescent="0.2">
      <c r="C125" s="2370" t="s">
        <v>1418</v>
      </c>
      <c r="E125" s="2370" t="str">
        <f>Preferences.moneyunits</f>
        <v>N</v>
      </c>
      <c r="F125" s="1262">
        <f t="shared" ref="F125:N125" si="12">(F108*F56)/10</f>
        <v>0</v>
      </c>
      <c r="G125" s="1262">
        <f>(G108*G56)/10</f>
        <v>19235090807.075573</v>
      </c>
      <c r="H125" s="1262">
        <f>(H108*H56)/10</f>
        <v>34537321531.965889</v>
      </c>
      <c r="I125" s="1262">
        <f t="shared" si="12"/>
        <v>38891728330.829361</v>
      </c>
      <c r="J125" s="1262">
        <f t="shared" si="12"/>
        <v>35415035718.477638</v>
      </c>
      <c r="K125" s="1262">
        <f t="shared" si="12"/>
        <v>46976955295.466263</v>
      </c>
      <c r="L125" s="1262">
        <f t="shared" si="12"/>
        <v>35997952836.170898</v>
      </c>
      <c r="M125" s="1262">
        <f t="shared" si="12"/>
        <v>37299824454.878555</v>
      </c>
      <c r="N125" s="1262">
        <f t="shared" si="12"/>
        <v>38482736648.195946</v>
      </c>
      <c r="O125" s="1262"/>
      <c r="P125" s="1245"/>
    </row>
    <row r="126" spans="2:17" x14ac:dyDescent="0.2">
      <c r="C126" s="2370" t="s">
        <v>1419</v>
      </c>
      <c r="E126" s="2370" t="str">
        <f>Preferences.moneyunits</f>
        <v>N</v>
      </c>
      <c r="F126" s="1262"/>
      <c r="G126" s="1262"/>
      <c r="H126" s="1262"/>
      <c r="I126" s="1262"/>
      <c r="J126" s="1262"/>
      <c r="K126" s="1262"/>
      <c r="L126" s="1262"/>
      <c r="M126" s="1262"/>
      <c r="N126" s="1262"/>
      <c r="O126" s="1262"/>
      <c r="P126" s="1245"/>
    </row>
    <row r="127" spans="2:17" x14ac:dyDescent="0.2">
      <c r="C127" s="2370" t="s">
        <v>1421</v>
      </c>
      <c r="E127" s="2370" t="str">
        <f>Preferences.moneyunits</f>
        <v>N</v>
      </c>
      <c r="F127" s="1262"/>
      <c r="G127" s="1262"/>
      <c r="H127" s="1262"/>
      <c r="I127" s="1262"/>
      <c r="J127" s="1262"/>
      <c r="K127" s="1262"/>
      <c r="L127" s="1262"/>
      <c r="M127" s="1262"/>
      <c r="N127" s="1262"/>
      <c r="P127" s="1245"/>
    </row>
    <row r="128" spans="2:17" x14ac:dyDescent="0.2">
      <c r="B128" s="84"/>
      <c r="C128" s="84"/>
      <c r="D128" s="84"/>
      <c r="E128" s="84"/>
      <c r="F128" s="23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1245"/>
    </row>
    <row r="129" spans="1:17" ht="15.75" x14ac:dyDescent="0.2">
      <c r="B129" s="468" t="s">
        <v>236</v>
      </c>
      <c r="C129" s="421"/>
      <c r="D129" s="421"/>
      <c r="E129" s="421"/>
      <c r="F129" s="421"/>
      <c r="G129" s="421"/>
      <c r="H129" s="421"/>
      <c r="I129" s="421"/>
      <c r="J129" s="421"/>
      <c r="K129" s="421"/>
      <c r="L129" s="421"/>
      <c r="M129" s="421"/>
      <c r="N129" s="421"/>
      <c r="O129" s="421"/>
      <c r="P129" s="423"/>
      <c r="Q129" s="1245"/>
    </row>
    <row r="130" spans="1:17" x14ac:dyDescent="0.2">
      <c r="B130" s="410"/>
      <c r="C130" s="412"/>
      <c r="D130" s="412"/>
      <c r="E130" s="412"/>
      <c r="F130" s="412"/>
      <c r="G130" s="412"/>
      <c r="H130" s="412"/>
      <c r="I130" s="412"/>
      <c r="J130" s="412"/>
      <c r="K130" s="412"/>
      <c r="L130" s="412"/>
      <c r="M130" s="412"/>
      <c r="N130" s="412"/>
      <c r="O130" s="412"/>
      <c r="P130" s="414"/>
      <c r="Q130" s="1245"/>
    </row>
    <row r="131" spans="1:17" x14ac:dyDescent="0.2">
      <c r="B131" s="410"/>
      <c r="C131" s="424" t="s">
        <v>277</v>
      </c>
      <c r="D131" s="412"/>
      <c r="E131" s="413"/>
      <c r="F131" s="412"/>
      <c r="G131" s="413"/>
      <c r="H131" s="412"/>
      <c r="I131" s="412"/>
      <c r="J131" s="412"/>
      <c r="K131" s="412"/>
      <c r="L131" s="412"/>
      <c r="M131" s="412"/>
      <c r="N131" s="413" t="str">
        <f>Preferences.EnergyUnits</f>
        <v>TWh</v>
      </c>
      <c r="P131" s="414"/>
    </row>
    <row r="132" spans="1:17" s="84" customFormat="1" x14ac:dyDescent="0.2">
      <c r="B132" s="410"/>
      <c r="C132" s="412"/>
      <c r="D132" s="412"/>
      <c r="E132" s="412"/>
      <c r="F132" s="412"/>
      <c r="G132" s="412"/>
      <c r="H132" s="412"/>
      <c r="I132" s="412"/>
      <c r="J132" s="412"/>
      <c r="K132" s="412"/>
      <c r="L132" s="412"/>
      <c r="M132" s="412"/>
      <c r="N132" s="412"/>
      <c r="O132" s="412"/>
      <c r="P132" s="414"/>
    </row>
    <row r="133" spans="1:17" ht="22.5" collapsed="1" x14ac:dyDescent="0.3">
      <c r="A133" s="1422"/>
      <c r="B133" s="415"/>
      <c r="C133" s="426" t="s">
        <v>64</v>
      </c>
      <c r="D133" s="426" t="s">
        <v>150</v>
      </c>
      <c r="E133" s="426" t="s">
        <v>172</v>
      </c>
      <c r="F133" s="426" t="s">
        <v>241</v>
      </c>
      <c r="G133" s="427" t="s">
        <v>268</v>
      </c>
      <c r="H133" s="427" t="s">
        <v>269</v>
      </c>
      <c r="I133" s="427" t="s">
        <v>270</v>
      </c>
      <c r="J133" s="427" t="s">
        <v>271</v>
      </c>
      <c r="K133" s="427" t="s">
        <v>272</v>
      </c>
      <c r="L133" s="427" t="s">
        <v>273</v>
      </c>
      <c r="M133" s="427" t="s">
        <v>274</v>
      </c>
      <c r="N133" s="427" t="s">
        <v>275</v>
      </c>
      <c r="O133" s="414"/>
    </row>
    <row r="134" spans="1:17" ht="15.95" customHeight="1" x14ac:dyDescent="0.25">
      <c r="B134" s="415"/>
      <c r="C134" s="97" t="s">
        <v>5</v>
      </c>
      <c r="D134" s="97" t="str">
        <f>INDEX(Vectors[Description], MATCH(IX.a.Outputs[Vector], Vectors[Code], 0))</f>
        <v>Cooling</v>
      </c>
      <c r="E134" s="97"/>
      <c r="F134" s="241">
        <f t="shared" ref="F134:N134" si="13">F84</f>
        <v>38.553347194436292</v>
      </c>
      <c r="G134" s="241">
        <f t="shared" si="13"/>
        <v>42.35519366304365</v>
      </c>
      <c r="H134" s="241">
        <f t="shared" si="13"/>
        <v>50.714523094931813</v>
      </c>
      <c r="I134" s="241">
        <f t="shared" si="13"/>
        <v>60.501058104296142</v>
      </c>
      <c r="J134" s="241">
        <f t="shared" si="13"/>
        <v>69.168548601745115</v>
      </c>
      <c r="K134" s="241">
        <f t="shared" si="13"/>
        <v>81.857281951971515</v>
      </c>
      <c r="L134" s="241">
        <f t="shared" si="13"/>
        <v>90.481230811821106</v>
      </c>
      <c r="M134" s="241">
        <f t="shared" si="13"/>
        <v>99.556795631218193</v>
      </c>
      <c r="N134" s="241">
        <f t="shared" si="13"/>
        <v>109.03701827242892</v>
      </c>
      <c r="O134" s="414"/>
    </row>
    <row r="135" spans="1:17" ht="15.95" customHeight="1" x14ac:dyDescent="0.25">
      <c r="B135" s="415"/>
      <c r="C135" s="97" t="s">
        <v>34</v>
      </c>
      <c r="D135" s="97" t="str">
        <f>INDEX(Vectors[Description], MATCH(IX.a.Outputs[Vector], Vectors[Code], 0))</f>
        <v>Electricity (delivered to end user)</v>
      </c>
      <c r="E135" s="97"/>
      <c r="F135" s="241">
        <f t="shared" ref="F135:N135" si="14">-F89</f>
        <v>-38.553347194436292</v>
      </c>
      <c r="G135" s="241">
        <f t="shared" si="14"/>
        <v>-42.35519366304365</v>
      </c>
      <c r="H135" s="241">
        <f t="shared" si="14"/>
        <v>-50.714523094931813</v>
      </c>
      <c r="I135" s="241">
        <f t="shared" si="14"/>
        <v>-60.501058104296142</v>
      </c>
      <c r="J135" s="241">
        <f t="shared" si="14"/>
        <v>-69.168548601745115</v>
      </c>
      <c r="K135" s="241">
        <f t="shared" si="14"/>
        <v>-81.857281951971515</v>
      </c>
      <c r="L135" s="241">
        <f t="shared" si="14"/>
        <v>-90.481230811821106</v>
      </c>
      <c r="M135" s="241">
        <f t="shared" si="14"/>
        <v>-99.556795631218193</v>
      </c>
      <c r="N135" s="241">
        <f t="shared" si="14"/>
        <v>-109.03701827242892</v>
      </c>
      <c r="O135" s="414"/>
    </row>
    <row r="136" spans="1:17" ht="15.75" x14ac:dyDescent="0.25">
      <c r="A136" s="3"/>
      <c r="B136" s="415"/>
      <c r="C136" s="97" t="s">
        <v>105</v>
      </c>
      <c r="D136" s="97"/>
      <c r="E136" s="97"/>
      <c r="F136" s="2412">
        <f>SUBTOTAL(109,IX.a.Outputs[2010])</f>
        <v>0</v>
      </c>
      <c r="G136" s="2412">
        <f>SUBTOTAL(109,IX.a.Outputs[2015])</f>
        <v>0</v>
      </c>
      <c r="H136" s="2412">
        <f>SUBTOTAL(109,IX.a.Outputs[2020])</f>
        <v>0</v>
      </c>
      <c r="I136" s="2412">
        <f>SUBTOTAL(109,IX.a.Outputs[2025])</f>
        <v>0</v>
      </c>
      <c r="J136" s="2412">
        <f>SUBTOTAL(109,IX.a.Outputs[2030])</f>
        <v>0</v>
      </c>
      <c r="K136" s="2412">
        <f>SUBTOTAL(109,IX.a.Outputs[2035])</f>
        <v>0</v>
      </c>
      <c r="L136" s="2412">
        <f>SUBTOTAL(109,IX.a.Outputs[2040])</f>
        <v>0</v>
      </c>
      <c r="M136" s="2412">
        <f>SUBTOTAL(109,IX.a.Outputs[2045])</f>
        <v>0</v>
      </c>
      <c r="N136" s="2412">
        <f>SUBTOTAL(109,IX.a.Outputs[2050])</f>
        <v>0</v>
      </c>
    </row>
    <row r="137" spans="1:17" ht="15.75" x14ac:dyDescent="0.25">
      <c r="A137" s="3"/>
      <c r="B137" s="416"/>
      <c r="P137" s="446"/>
    </row>
    <row r="138" spans="1:17" ht="15.75" x14ac:dyDescent="0.25">
      <c r="A138" s="3"/>
      <c r="P138" s="448"/>
    </row>
    <row r="139" spans="1:17" ht="15.95" customHeight="1" x14ac:dyDescent="0.2">
      <c r="P139" s="448"/>
    </row>
    <row r="140" spans="1:17" x14ac:dyDescent="0.2">
      <c r="P140" s="448"/>
    </row>
    <row r="141" spans="1:17" ht="15.75" x14ac:dyDescent="0.2">
      <c r="B141" s="1430" t="s">
        <v>1225</v>
      </c>
      <c r="C141" s="1218"/>
      <c r="D141" s="1431"/>
      <c r="E141" s="1431"/>
      <c r="F141" s="1431"/>
      <c r="G141" s="1431"/>
      <c r="H141" s="1431"/>
      <c r="I141" s="1431"/>
      <c r="J141" s="1431"/>
      <c r="K141" s="1431"/>
      <c r="L141" s="1431"/>
      <c r="M141" s="1431"/>
      <c r="N141" s="1431"/>
      <c r="O141" s="1431"/>
      <c r="P141" s="1432"/>
    </row>
    <row r="142" spans="1:17" x14ac:dyDescent="0.2">
      <c r="B142" s="1219"/>
      <c r="C142" s="1220"/>
      <c r="D142" s="1220"/>
      <c r="E142" s="1220"/>
      <c r="F142" s="1220"/>
      <c r="G142" s="1220"/>
      <c r="H142" s="1220"/>
      <c r="I142" s="1220"/>
      <c r="J142" s="1220"/>
      <c r="K142" s="1220"/>
      <c r="L142" s="1220"/>
      <c r="M142" s="1220"/>
      <c r="N142" s="1220"/>
      <c r="O142" s="1220"/>
      <c r="P142" s="1221"/>
    </row>
    <row r="143" spans="1:17" ht="21.75" customHeight="1" collapsed="1" x14ac:dyDescent="0.2">
      <c r="B143" s="1433"/>
      <c r="C143" s="1222" t="s">
        <v>1230</v>
      </c>
      <c r="D143" s="1434"/>
      <c r="E143" s="1223"/>
      <c r="F143" s="1434"/>
      <c r="G143" s="1223"/>
      <c r="H143" s="1434"/>
      <c r="I143" s="1434"/>
      <c r="J143" s="1434"/>
      <c r="K143" s="1434"/>
      <c r="L143" s="1434"/>
      <c r="M143" s="1434"/>
      <c r="N143" s="1434"/>
      <c r="O143" s="1223"/>
      <c r="P143" s="1435"/>
    </row>
    <row r="144" spans="1:17" ht="15.95" customHeight="1" x14ac:dyDescent="0.2">
      <c r="B144" s="1433"/>
      <c r="C144" s="1434"/>
      <c r="D144" s="1434"/>
      <c r="E144" s="1434"/>
      <c r="F144" s="1434"/>
      <c r="G144" s="1434"/>
      <c r="H144" s="1434"/>
      <c r="I144" s="1434"/>
      <c r="J144" s="1434"/>
      <c r="K144" s="1434"/>
      <c r="L144" s="1434"/>
      <c r="M144" s="1434"/>
      <c r="N144" s="1434"/>
      <c r="O144" s="1434"/>
      <c r="P144" s="1435"/>
    </row>
    <row r="145" spans="1:17" ht="15.95" customHeight="1" x14ac:dyDescent="0.25">
      <c r="B145" s="1436"/>
      <c r="C145" s="1437" t="s">
        <v>64</v>
      </c>
      <c r="D145" s="1437" t="s">
        <v>1226</v>
      </c>
      <c r="E145" s="1437" t="s">
        <v>172</v>
      </c>
      <c r="F145" s="1437" t="s">
        <v>241</v>
      </c>
      <c r="G145" s="1437" t="s">
        <v>268</v>
      </c>
      <c r="H145" s="1437" t="s">
        <v>269</v>
      </c>
      <c r="I145" s="1437" t="s">
        <v>270</v>
      </c>
      <c r="J145" s="1437" t="s">
        <v>271</v>
      </c>
      <c r="K145" s="1437" t="s">
        <v>272</v>
      </c>
      <c r="L145" s="1437" t="s">
        <v>273</v>
      </c>
      <c r="M145" s="1437" t="s">
        <v>274</v>
      </c>
      <c r="N145" s="1437" t="s">
        <v>275</v>
      </c>
      <c r="O145" s="1435"/>
    </row>
    <row r="146" spans="1:17" ht="15.95" customHeight="1" x14ac:dyDescent="0.25">
      <c r="B146" s="1436"/>
      <c r="C146" s="1438"/>
      <c r="D146" s="1439"/>
      <c r="E146" s="1439"/>
      <c r="F146" s="1226"/>
      <c r="G146" s="1226"/>
      <c r="H146" s="1226"/>
      <c r="I146" s="1226"/>
      <c r="J146" s="1226"/>
      <c r="K146" s="1226"/>
      <c r="L146" s="1226"/>
      <c r="M146" s="1226"/>
      <c r="N146" s="1226"/>
      <c r="O146" s="1435"/>
    </row>
    <row r="147" spans="1:17" ht="15.95" customHeight="1" x14ac:dyDescent="0.25">
      <c r="B147" s="1436"/>
      <c r="C147" s="1438"/>
      <c r="D147" s="1439"/>
      <c r="E147" s="1439"/>
      <c r="F147" s="1226"/>
      <c r="G147" s="1226"/>
      <c r="H147" s="1226"/>
      <c r="I147" s="1226"/>
      <c r="J147" s="1226"/>
      <c r="K147" s="1226"/>
      <c r="L147" s="1226"/>
      <c r="M147" s="1226"/>
      <c r="N147" s="1226"/>
      <c r="O147" s="1435"/>
    </row>
    <row r="148" spans="1:17" ht="15.95" customHeight="1" x14ac:dyDescent="0.25">
      <c r="B148" s="1227"/>
      <c r="C148" s="1440"/>
      <c r="D148" s="1440"/>
      <c r="E148" s="1440"/>
      <c r="F148" s="1440"/>
      <c r="G148" s="1440"/>
      <c r="H148" s="1440"/>
      <c r="I148" s="1440"/>
      <c r="J148" s="1440"/>
      <c r="K148" s="1440"/>
      <c r="L148" s="1440"/>
      <c r="M148" s="1440"/>
      <c r="N148" s="1440"/>
      <c r="O148" s="1440"/>
      <c r="P148" s="1224"/>
    </row>
    <row r="150" spans="1:17" ht="15.75" x14ac:dyDescent="0.2">
      <c r="B150" s="1430" t="s">
        <v>1424</v>
      </c>
      <c r="C150" s="1431"/>
      <c r="D150" s="1431"/>
      <c r="E150" s="1431"/>
      <c r="F150" s="1431"/>
      <c r="G150" s="1431"/>
      <c r="H150" s="1431"/>
      <c r="I150" s="1431"/>
      <c r="J150" s="1431"/>
      <c r="K150" s="1431"/>
      <c r="L150" s="1431"/>
      <c r="M150" s="1431"/>
      <c r="N150" s="1431"/>
      <c r="O150" s="1431"/>
      <c r="P150" s="1432"/>
    </row>
    <row r="151" spans="1:17" x14ac:dyDescent="0.2">
      <c r="B151" s="1433"/>
      <c r="C151" s="1434"/>
      <c r="D151" s="1434"/>
      <c r="E151" s="1434"/>
      <c r="F151" s="1434"/>
      <c r="G151" s="1434"/>
      <c r="H151" s="1434"/>
      <c r="I151" s="1434"/>
      <c r="J151" s="1434"/>
      <c r="K151" s="1434"/>
      <c r="L151" s="1434"/>
      <c r="M151" s="1434"/>
      <c r="N151" s="1434"/>
      <c r="O151" s="1434"/>
      <c r="P151" s="1435"/>
    </row>
    <row r="152" spans="1:17" x14ac:dyDescent="0.2">
      <c r="B152" s="1433"/>
      <c r="C152" s="1441" t="s">
        <v>1425</v>
      </c>
      <c r="D152" s="1442"/>
      <c r="E152" s="1442"/>
      <c r="F152" s="1442"/>
      <c r="G152" s="1442"/>
      <c r="H152" s="1442"/>
      <c r="I152" s="1442"/>
      <c r="J152" s="1442"/>
      <c r="K152" s="1442"/>
      <c r="L152" s="1442"/>
      <c r="M152" s="1442"/>
      <c r="N152" s="1479" t="str">
        <f>Preferences.moneyunits</f>
        <v>N</v>
      </c>
      <c r="P152" s="1435"/>
      <c r="Q152" s="588"/>
    </row>
    <row r="153" spans="1:17" x14ac:dyDescent="0.2">
      <c r="A153" s="588"/>
      <c r="B153" s="1433"/>
      <c r="C153" s="1434"/>
      <c r="D153" s="1434"/>
      <c r="E153" s="1434"/>
      <c r="F153" s="1434"/>
      <c r="G153" s="1434"/>
      <c r="H153" s="1434"/>
      <c r="I153" s="1434"/>
      <c r="J153" s="1434"/>
      <c r="K153" s="1434"/>
      <c r="L153" s="1434"/>
      <c r="M153" s="1434"/>
      <c r="N153" s="1434"/>
      <c r="O153" s="1434"/>
      <c r="P153" s="1435"/>
      <c r="Q153" s="588"/>
    </row>
    <row r="154" spans="1:17" ht="15.75" x14ac:dyDescent="0.25">
      <c r="B154" s="1436"/>
      <c r="C154" s="1727" t="s">
        <v>64</v>
      </c>
      <c r="D154" s="1727" t="s">
        <v>150</v>
      </c>
      <c r="E154" s="1727" t="s">
        <v>172</v>
      </c>
      <c r="F154" s="1727" t="s">
        <v>241</v>
      </c>
      <c r="G154" s="1727" t="s">
        <v>268</v>
      </c>
      <c r="H154" s="1727" t="s">
        <v>269</v>
      </c>
      <c r="I154" s="1727" t="s">
        <v>270</v>
      </c>
      <c r="J154" s="1727" t="s">
        <v>271</v>
      </c>
      <c r="K154" s="1727" t="s">
        <v>272</v>
      </c>
      <c r="L154" s="1727" t="s">
        <v>273</v>
      </c>
      <c r="M154" s="1727" t="s">
        <v>274</v>
      </c>
      <c r="N154" s="1727" t="s">
        <v>275</v>
      </c>
      <c r="O154" s="1443"/>
    </row>
    <row r="155" spans="1:17" ht="15.95" customHeight="1" x14ac:dyDescent="0.25">
      <c r="B155" s="1436"/>
      <c r="C155" s="1438" t="s">
        <v>1391</v>
      </c>
      <c r="D155" s="1438" t="s">
        <v>1392</v>
      </c>
      <c r="E155" s="1439"/>
      <c r="F155" s="1448">
        <f t="shared" ref="F155:N155" si="15">F115</f>
        <v>0</v>
      </c>
      <c r="G155" s="1448">
        <f t="shared" si="15"/>
        <v>40393690694.858711</v>
      </c>
      <c r="H155" s="1448">
        <f t="shared" si="15"/>
        <v>72528375217.128357</v>
      </c>
      <c r="I155" s="1448">
        <f t="shared" si="15"/>
        <v>81672629494.741653</v>
      </c>
      <c r="J155" s="1448">
        <f t="shared" si="15"/>
        <v>74371575008.80304</v>
      </c>
      <c r="K155" s="1448">
        <f t="shared" si="15"/>
        <v>98651606120.479156</v>
      </c>
      <c r="L155" s="1448">
        <f t="shared" si="15"/>
        <v>75595700955.958893</v>
      </c>
      <c r="M155" s="1448">
        <f t="shared" si="15"/>
        <v>78329631355.244965</v>
      </c>
      <c r="N155" s="1448">
        <f t="shared" si="15"/>
        <v>80813746961.211502</v>
      </c>
      <c r="O155" s="1458"/>
    </row>
    <row r="156" spans="1:17" ht="15.95" customHeight="1" x14ac:dyDescent="0.25">
      <c r="B156" s="1436"/>
      <c r="C156" s="1438" t="s">
        <v>1866</v>
      </c>
      <c r="D156" s="1438" t="s">
        <v>1867</v>
      </c>
      <c r="E156" s="1439"/>
      <c r="F156" s="1448">
        <f>F120</f>
        <v>0</v>
      </c>
      <c r="G156" s="1448">
        <f t="shared" ref="G156:M156" si="16">G120</f>
        <v>26640600767.799671</v>
      </c>
      <c r="H156" s="1448">
        <f t="shared" si="16"/>
        <v>47834190321.772751</v>
      </c>
      <c r="I156" s="1448">
        <f t="shared" si="16"/>
        <v>53865043738.198662</v>
      </c>
      <c r="J156" s="1448">
        <f t="shared" si="16"/>
        <v>49049824470.09153</v>
      </c>
      <c r="K156" s="1448">
        <f t="shared" si="16"/>
        <v>65063083084.220779</v>
      </c>
      <c r="L156" s="1448">
        <f t="shared" si="16"/>
        <v>49857164678.096695</v>
      </c>
      <c r="M156" s="1448">
        <f t="shared" si="16"/>
        <v>51660256870.006805</v>
      </c>
      <c r="N156" s="1448">
        <f>N120</f>
        <v>53298590257.751389</v>
      </c>
      <c r="O156" s="1458"/>
    </row>
    <row r="157" spans="1:17" ht="15.95" customHeight="1" x14ac:dyDescent="0.25">
      <c r="B157" s="1436"/>
      <c r="C157" s="1438" t="s">
        <v>1382</v>
      </c>
      <c r="D157" s="1438" t="s">
        <v>1383</v>
      </c>
      <c r="E157" s="1439"/>
      <c r="F157" s="1448">
        <f t="shared" ref="F157:N157" si="17">F125</f>
        <v>0</v>
      </c>
      <c r="G157" s="1448">
        <f t="shared" si="17"/>
        <v>19235090807.075573</v>
      </c>
      <c r="H157" s="1448">
        <f t="shared" si="17"/>
        <v>34537321531.965889</v>
      </c>
      <c r="I157" s="1448">
        <f t="shared" si="17"/>
        <v>38891728330.829361</v>
      </c>
      <c r="J157" s="1448">
        <f t="shared" si="17"/>
        <v>35415035718.477638</v>
      </c>
      <c r="K157" s="1448">
        <f t="shared" si="17"/>
        <v>46976955295.466263</v>
      </c>
      <c r="L157" s="1448">
        <f t="shared" si="17"/>
        <v>35997952836.170898</v>
      </c>
      <c r="M157" s="1448">
        <f t="shared" si="17"/>
        <v>37299824454.878555</v>
      </c>
      <c r="N157" s="1448">
        <f t="shared" si="17"/>
        <v>38482736648.195946</v>
      </c>
      <c r="O157" s="1458"/>
    </row>
    <row r="158" spans="1:17" ht="15.95" customHeight="1" x14ac:dyDescent="0.2">
      <c r="B158" s="1444"/>
      <c r="C158" s="1438"/>
      <c r="D158" s="1439"/>
      <c r="E158" s="1439"/>
      <c r="F158" s="1970"/>
      <c r="G158" s="1970"/>
      <c r="H158" s="1970"/>
      <c r="I158" s="1970"/>
      <c r="J158" s="1970"/>
      <c r="K158" s="1970"/>
      <c r="L158" s="1970"/>
      <c r="M158" s="1970"/>
      <c r="N158" s="1970"/>
      <c r="O158" s="1865"/>
    </row>
    <row r="159" spans="1:17" ht="14.25" x14ac:dyDescent="0.2">
      <c r="B159" s="1957"/>
      <c r="C159" s="1201"/>
      <c r="D159" s="1201"/>
      <c r="E159" s="1201"/>
      <c r="F159" s="1201"/>
      <c r="G159" s="1201"/>
      <c r="H159" s="1201"/>
      <c r="I159" s="1201"/>
      <c r="J159" s="1201"/>
      <c r="K159" s="1201"/>
      <c r="L159" s="1201"/>
      <c r="M159" s="1201"/>
      <c r="N159" s="1201"/>
      <c r="O159" s="1984"/>
    </row>
  </sheetData>
  <pageMargins left="0.7" right="0.7" top="0.75" bottom="0.75" header="0.3" footer="0.3"/>
  <pageSetup paperSize="9" orientation="portrait"/>
  <tableParts count="3">
    <tablePart r:id="rId1"/>
    <tablePart r:id="rId2"/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outlinePr summaryBelow="0"/>
    <pageSetUpPr autoPageBreaks="0"/>
  </sheetPr>
  <dimension ref="A1:Q142"/>
  <sheetViews>
    <sheetView windowProtection="1" zoomScaleNormal="100" workbookViewId="0"/>
  </sheetViews>
  <sheetFormatPr defaultColWidth="8.7109375" defaultRowHeight="12.75" x14ac:dyDescent="0.2"/>
  <cols>
    <col min="1" max="1" width="7.7109375" style="2370" customWidth="1"/>
    <col min="2" max="2" width="5.7109375" style="2370" customWidth="1"/>
    <col min="3" max="3" width="20.42578125" style="2370" customWidth="1"/>
    <col min="4" max="4" width="30.7109375" style="2370" customWidth="1"/>
    <col min="5" max="5" width="20.7109375" style="2370" customWidth="1"/>
    <col min="6" max="15" width="17.7109375" style="2370" customWidth="1"/>
    <col min="16" max="16" width="2" style="2370" customWidth="1"/>
    <col min="17" max="17" width="10.7109375" style="2370" customWidth="1"/>
    <col min="18" max="16384" width="8.7109375" style="2370"/>
  </cols>
  <sheetData>
    <row r="1" spans="1:16" ht="21" x14ac:dyDescent="0.35">
      <c r="A1" s="120" t="s">
        <v>229</v>
      </c>
      <c r="B1" s="120" t="str">
        <f>INDEX(Workstreams[Workstream], MATCH($A1, Workstreams[Code], 0))</f>
        <v>Cooling</v>
      </c>
      <c r="C1" s="120"/>
      <c r="E1" s="1475"/>
    </row>
    <row r="2" spans="1:16" s="84" customFormat="1" ht="19.5" customHeight="1" x14ac:dyDescent="0.2">
      <c r="A2" s="6" t="s">
        <v>388</v>
      </c>
      <c r="B2" s="6" t="str">
        <f>INDEX(Modules[Module], MATCH($A2, Modules[Code], 0))</f>
        <v>Service Sector Cooling</v>
      </c>
      <c r="C2" s="6"/>
      <c r="E2" s="1380"/>
    </row>
    <row r="4" spans="1:16" ht="22.5" collapsed="1" x14ac:dyDescent="0.3">
      <c r="A4" s="1422"/>
      <c r="B4" s="468" t="s">
        <v>596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ht="5.25" customHeight="1" x14ac:dyDescent="0.2">
      <c r="B6" s="410"/>
      <c r="C6" s="411"/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6" ht="15.75" x14ac:dyDescent="0.25">
      <c r="B7" s="415"/>
      <c r="C7" s="412"/>
      <c r="D7" s="216" t="s">
        <v>342</v>
      </c>
      <c r="E7" s="216" t="s">
        <v>595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ht="15.75" x14ac:dyDescent="0.25">
      <c r="B8" s="415"/>
      <c r="C8" s="412"/>
      <c r="D8" s="521" t="s">
        <v>2232</v>
      </c>
      <c r="E8" s="521">
        <f>IX.c.Scenario.Demand</f>
        <v>4</v>
      </c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4"/>
    </row>
    <row r="9" spans="1:16" ht="15.75" x14ac:dyDescent="0.25">
      <c r="B9" s="415"/>
      <c r="C9" s="412"/>
      <c r="D9" s="522" t="s">
        <v>2245</v>
      </c>
      <c r="E9" s="522">
        <f>IX.c.Scenario.Efficiency</f>
        <v>4</v>
      </c>
      <c r="F9" s="412"/>
      <c r="G9" s="412"/>
      <c r="H9" s="412"/>
      <c r="I9" s="412"/>
      <c r="J9" s="412"/>
      <c r="K9" s="412"/>
      <c r="L9" s="412"/>
      <c r="M9" s="412"/>
      <c r="N9" s="412"/>
      <c r="O9" s="412"/>
      <c r="P9" s="414"/>
    </row>
    <row r="10" spans="1:16" x14ac:dyDescent="0.2">
      <c r="B10" s="430"/>
      <c r="C10" s="418"/>
      <c r="D10" s="418"/>
      <c r="E10" s="418"/>
      <c r="F10" s="418"/>
      <c r="G10" s="418"/>
      <c r="H10" s="418"/>
      <c r="I10" s="418"/>
      <c r="J10" s="418"/>
      <c r="K10" s="418"/>
      <c r="L10" s="418"/>
      <c r="M10" s="418"/>
      <c r="N10" s="418"/>
      <c r="O10" s="418"/>
      <c r="P10" s="419"/>
    </row>
    <row r="12" spans="1:16" s="84" customFormat="1" ht="22.5" collapsed="1" x14ac:dyDescent="0.2">
      <c r="A12" s="408"/>
      <c r="B12" s="1423" t="s">
        <v>597</v>
      </c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/>
      <c r="N12" s="405"/>
      <c r="O12" s="406"/>
    </row>
    <row r="13" spans="1:16" x14ac:dyDescent="0.2">
      <c r="B13" s="1419"/>
      <c r="C13" s="1416"/>
      <c r="D13" s="1416"/>
      <c r="E13" s="1416"/>
      <c r="F13" s="1416"/>
      <c r="G13" s="1416"/>
      <c r="H13" s="1416"/>
      <c r="I13" s="1416"/>
      <c r="J13" s="1416"/>
      <c r="K13" s="1416"/>
      <c r="L13" s="1416"/>
      <c r="M13" s="1416"/>
      <c r="N13" s="1416"/>
      <c r="O13" s="1420"/>
    </row>
    <row r="14" spans="1:16" x14ac:dyDescent="0.2">
      <c r="B14" s="1419"/>
      <c r="C14" s="1417" t="s">
        <v>2246</v>
      </c>
      <c r="D14" s="1416"/>
      <c r="E14" s="490"/>
      <c r="F14" s="1416"/>
      <c r="G14" s="1416"/>
      <c r="H14" s="1416"/>
      <c r="I14" s="1416"/>
      <c r="J14" s="1416"/>
      <c r="K14" s="1416"/>
      <c r="L14" s="1416"/>
      <c r="M14" s="1416"/>
      <c r="N14" s="490" t="str">
        <f>Preferences.EnergyUnits</f>
        <v>TWh</v>
      </c>
      <c r="O14" s="1420"/>
    </row>
    <row r="15" spans="1:16" ht="5.25" customHeight="1" x14ac:dyDescent="0.2">
      <c r="B15" s="1419"/>
      <c r="C15" s="1416"/>
      <c r="D15" s="1416"/>
      <c r="E15" s="1416"/>
      <c r="F15" s="1416"/>
      <c r="G15" s="1416"/>
      <c r="H15" s="1416"/>
      <c r="I15" s="1416"/>
      <c r="J15" s="1416"/>
      <c r="K15" s="1416"/>
      <c r="L15" s="1416"/>
      <c r="M15" s="1416"/>
      <c r="N15" s="1416"/>
      <c r="O15" s="1420"/>
    </row>
    <row r="16" spans="1:16" x14ac:dyDescent="0.2">
      <c r="B16" s="1419"/>
      <c r="C16" s="98" t="s">
        <v>595</v>
      </c>
      <c r="D16" s="98" t="s">
        <v>66</v>
      </c>
      <c r="E16" s="98" t="s">
        <v>172</v>
      </c>
      <c r="F16" s="218">
        <v>2010</v>
      </c>
      <c r="G16" s="217">
        <v>2015</v>
      </c>
      <c r="H16" s="217">
        <v>2020</v>
      </c>
      <c r="I16" s="217">
        <v>2025</v>
      </c>
      <c r="J16" s="217">
        <v>2030</v>
      </c>
      <c r="K16" s="217">
        <v>2035</v>
      </c>
      <c r="L16" s="217">
        <v>2040</v>
      </c>
      <c r="M16" s="217">
        <v>2045</v>
      </c>
      <c r="N16" s="217">
        <v>2050</v>
      </c>
      <c r="O16" s="1420"/>
    </row>
    <row r="17" spans="2:16" ht="15.75" x14ac:dyDescent="0.25">
      <c r="B17" s="397"/>
      <c r="C17" s="1414">
        <v>1</v>
      </c>
      <c r="D17" s="1415" t="s">
        <v>798</v>
      </c>
      <c r="E17" s="488"/>
      <c r="F17" s="204">
        <f>(Unit.GWyear)*0.871302770454111</f>
        <v>7.6376658252466445</v>
      </c>
      <c r="G17" s="506">
        <f>(Unit.GWyear)*2.16462453257842</f>
        <v>18.974665727675909</v>
      </c>
      <c r="H17" s="506">
        <f>(Unit.GWyear)*3.45794629470272</f>
        <v>30.3116656301051</v>
      </c>
      <c r="I17" s="506">
        <f>(Unit.GWyear)*4.75126805682703</f>
        <v>41.648665532534373</v>
      </c>
      <c r="J17" s="506">
        <f>(Unit.GWyear)*6.04458981895133</f>
        <v>52.985665434963565</v>
      </c>
      <c r="K17" s="506">
        <f>(Unit.GWyear)*7.33791158107564</f>
        <v>64.322665337392834</v>
      </c>
      <c r="L17" s="506">
        <f>(Unit.GWyear)*8.63123334319994</f>
        <v>75.659665239822019</v>
      </c>
      <c r="M17" s="506">
        <f>(Unit.GWyear)*9.92455510532425</f>
        <v>86.996665142251302</v>
      </c>
      <c r="N17" s="506">
        <f>(Unit.GWyear)*11.2178768674486</f>
        <v>98.333665044680927</v>
      </c>
      <c r="O17" s="1420"/>
    </row>
    <row r="18" spans="2:16" ht="15.75" x14ac:dyDescent="0.25">
      <c r="B18" s="397"/>
      <c r="C18" s="1414">
        <v>2</v>
      </c>
      <c r="D18" s="1415" t="s">
        <v>798</v>
      </c>
      <c r="E18" s="488"/>
      <c r="F18" s="204">
        <f>(Unit.GWyear)*0.871302770454111</f>
        <v>7.6376658252466445</v>
      </c>
      <c r="G18" s="506">
        <f>(Unit.GWyear)*1.8841776108922</f>
        <v>16.516324101558844</v>
      </c>
      <c r="H18" s="506">
        <f>(Unit.GWyear)*2.89705245133029</f>
        <v>25.394982377871052</v>
      </c>
      <c r="I18" s="506">
        <f>(Unit.GWyear)*3.90992729176839</f>
        <v>34.273640654183346</v>
      </c>
      <c r="J18" s="506">
        <f>(Unit.GWyear)*4.92280213220648</f>
        <v>43.152298930495562</v>
      </c>
      <c r="K18" s="506">
        <f>(Unit.GWyear)*5.93567697264457</f>
        <v>52.030957206807763</v>
      </c>
      <c r="L18" s="506">
        <f>(Unit.GWyear)*6.94855181308266</f>
        <v>60.909615483119971</v>
      </c>
      <c r="M18" s="506">
        <f>(Unit.GWyear)*7.96142665352075</f>
        <v>69.788273759432172</v>
      </c>
      <c r="N18" s="506">
        <f>(Unit.GWyear)*8.97430149395884</f>
        <v>78.666932035744395</v>
      </c>
      <c r="O18" s="1420"/>
    </row>
    <row r="19" spans="2:16" ht="15.75" x14ac:dyDescent="0.25">
      <c r="B19" s="397"/>
      <c r="C19" s="1414">
        <v>3</v>
      </c>
      <c r="D19" s="1415" t="s">
        <v>798</v>
      </c>
      <c r="E19" s="488"/>
      <c r="F19" s="204">
        <f>(Unit.GWyear)*0.871302770454111</f>
        <v>7.6376658252466445</v>
      </c>
      <c r="G19" s="506">
        <f>(Unit.GWyear)*1.60373068920599</f>
        <v>14.057982475441865</v>
      </c>
      <c r="H19" s="506">
        <f>(Unit.GWyear)*2.33615860795787</f>
        <v>20.478299125637093</v>
      </c>
      <c r="I19" s="506">
        <f>(Unit.GWyear)*3.06858652670974</f>
        <v>26.898615775832237</v>
      </c>
      <c r="J19" s="506">
        <f>(Unit.GWyear)*3.80101444546162</f>
        <v>33.318932426027466</v>
      </c>
      <c r="K19" s="506">
        <f>(Unit.GWyear)*4.5334423642135</f>
        <v>39.739249076222691</v>
      </c>
      <c r="L19" s="506">
        <f>(Unit.GWyear)*5.26587028296538</f>
        <v>46.159565726417917</v>
      </c>
      <c r="M19" s="506">
        <f>(Unit.GWyear)*5.99829820171725</f>
        <v>52.579882376613064</v>
      </c>
      <c r="N19" s="506">
        <f>(Unit.GWyear)*6.73072612046913</f>
        <v>59.000199026808296</v>
      </c>
      <c r="O19" s="1420"/>
    </row>
    <row r="20" spans="2:16" ht="15.75" x14ac:dyDescent="0.25">
      <c r="B20" s="397"/>
      <c r="C20" s="1412">
        <v>4</v>
      </c>
      <c r="D20" s="102" t="s">
        <v>798</v>
      </c>
      <c r="E20" s="102"/>
      <c r="F20" s="1937">
        <f>(Unit.GWyear)*0.871302770454111</f>
        <v>7.6376658252466445</v>
      </c>
      <c r="G20" s="750">
        <f>(Unit.GWyear)*1.32328376751978</f>
        <v>11.599640849324885</v>
      </c>
      <c r="H20" s="750">
        <f>(Unit.GWyear)*1.77526476458544</f>
        <v>15.561615873403047</v>
      </c>
      <c r="I20" s="750">
        <f>(Unit.GWyear)*2.2272457616511</f>
        <v>19.52359089748121</v>
      </c>
      <c r="J20" s="750">
        <f>(Unit.GWyear)*2.67922675871677</f>
        <v>23.485565921559459</v>
      </c>
      <c r="K20" s="750">
        <f>(Unit.GWyear)*3.13120775578243</f>
        <v>27.44754094563762</v>
      </c>
      <c r="L20" s="750">
        <f>(Unit.GWyear)*3.58318875284809</f>
        <v>31.40951596971578</v>
      </c>
      <c r="M20" s="750">
        <f>(Unit.GWyear)*4.03516974991376</f>
        <v>35.371490993794033</v>
      </c>
      <c r="N20" s="750">
        <f>(Unit.GWyear)*4.48715074697942</f>
        <v>39.333466017872198</v>
      </c>
      <c r="O20" s="1420"/>
    </row>
    <row r="21" spans="2:16" ht="15.75" x14ac:dyDescent="0.25">
      <c r="B21" s="397"/>
      <c r="C21" s="1414"/>
      <c r="D21" s="1415"/>
      <c r="E21" s="1415"/>
      <c r="F21" s="161"/>
      <c r="G21" s="161"/>
      <c r="H21" s="161"/>
      <c r="I21" s="161"/>
      <c r="J21" s="161"/>
      <c r="K21" s="161"/>
      <c r="L21" s="161"/>
      <c r="M21" s="161"/>
      <c r="N21" s="161"/>
      <c r="O21" s="1420"/>
    </row>
    <row r="22" spans="2:16" ht="15.75" x14ac:dyDescent="0.25">
      <c r="B22" s="397"/>
      <c r="C22" s="1414"/>
      <c r="D22" s="1415"/>
      <c r="E22" s="1415"/>
      <c r="F22" s="160"/>
      <c r="G22" s="161"/>
      <c r="H22" s="161"/>
      <c r="I22" s="161"/>
      <c r="J22" s="161"/>
      <c r="K22" s="161"/>
      <c r="L22" s="161"/>
      <c r="M22" s="161"/>
      <c r="N22" s="161"/>
      <c r="O22" s="161"/>
      <c r="P22" s="1420"/>
    </row>
    <row r="23" spans="2:16" ht="15.75" x14ac:dyDescent="0.25">
      <c r="B23" s="397"/>
      <c r="C23" s="178" t="s">
        <v>2231</v>
      </c>
      <c r="D23" s="1415"/>
      <c r="E23" s="1415"/>
      <c r="F23" s="160"/>
      <c r="G23" s="161"/>
      <c r="H23" s="161"/>
      <c r="I23" s="161"/>
      <c r="J23" s="161"/>
      <c r="K23" s="161"/>
      <c r="L23" s="161"/>
      <c r="M23" s="161"/>
      <c r="N23" s="161"/>
      <c r="O23" s="161"/>
      <c r="P23" s="1420"/>
    </row>
    <row r="24" spans="2:16" ht="22.5" x14ac:dyDescent="0.25">
      <c r="B24" s="397"/>
      <c r="C24" s="1414"/>
      <c r="D24" s="1415"/>
      <c r="E24" s="1415"/>
      <c r="F24" s="160"/>
      <c r="G24" s="182" t="str">
        <f>INDEX(Vectors[Description], MATCH(G25, Vectors[Code], 0))</f>
        <v>Electricity (delivered to end user)</v>
      </c>
      <c r="H24" s="161"/>
      <c r="I24" s="161"/>
      <c r="J24" s="161"/>
      <c r="K24" s="161"/>
      <c r="L24" s="1420"/>
    </row>
    <row r="25" spans="2:16" ht="15.75" x14ac:dyDescent="0.25">
      <c r="B25" s="397"/>
      <c r="C25" s="98" t="s">
        <v>595</v>
      </c>
      <c r="D25" s="98" t="s">
        <v>65</v>
      </c>
      <c r="E25" s="98" t="s">
        <v>172</v>
      </c>
      <c r="F25" s="573" t="s">
        <v>804</v>
      </c>
      <c r="G25" s="528" t="s">
        <v>34</v>
      </c>
      <c r="H25" s="161"/>
      <c r="I25" s="161"/>
      <c r="J25" s="161"/>
      <c r="K25" s="161"/>
      <c r="L25" s="161"/>
      <c r="M25" s="161"/>
      <c r="N25" s="1420"/>
    </row>
    <row r="26" spans="2:16" ht="15.75" x14ac:dyDescent="0.25">
      <c r="B26" s="397"/>
      <c r="C26" s="1414">
        <v>1</v>
      </c>
      <c r="D26" s="1415" t="s">
        <v>2196</v>
      </c>
      <c r="E26" s="488"/>
      <c r="F26" s="763"/>
      <c r="G26" s="174">
        <v>1</v>
      </c>
      <c r="H26" s="161"/>
      <c r="I26" s="161"/>
      <c r="J26" s="161"/>
      <c r="K26" s="161"/>
      <c r="L26" s="161"/>
      <c r="M26" s="161"/>
      <c r="N26" s="1420"/>
    </row>
    <row r="27" spans="2:16" ht="15.75" x14ac:dyDescent="0.25">
      <c r="B27" s="397"/>
      <c r="C27" s="1414">
        <v>2</v>
      </c>
      <c r="D27" s="1415" t="s">
        <v>2502</v>
      </c>
      <c r="E27" s="488"/>
      <c r="F27" s="763"/>
      <c r="G27" s="174">
        <v>0.9</v>
      </c>
      <c r="H27" s="161"/>
      <c r="I27" s="161"/>
      <c r="J27" s="161"/>
      <c r="K27" s="161"/>
      <c r="L27" s="161"/>
      <c r="M27" s="161"/>
      <c r="N27" s="1420"/>
    </row>
    <row r="28" spans="2:16" ht="15.75" x14ac:dyDescent="0.25">
      <c r="B28" s="397"/>
      <c r="C28" s="1414">
        <v>3</v>
      </c>
      <c r="D28" s="1415" t="s">
        <v>2503</v>
      </c>
      <c r="E28" s="488"/>
      <c r="F28" s="763"/>
      <c r="G28" s="174">
        <v>0.8</v>
      </c>
      <c r="H28" s="161"/>
      <c r="I28" s="161"/>
      <c r="J28" s="161"/>
      <c r="K28" s="161"/>
      <c r="L28" s="161"/>
      <c r="M28" s="161"/>
      <c r="N28" s="1420"/>
    </row>
    <row r="29" spans="2:16" ht="15.75" x14ac:dyDescent="0.25">
      <c r="B29" s="397"/>
      <c r="C29" s="199">
        <v>4</v>
      </c>
      <c r="D29" s="200" t="s">
        <v>2504</v>
      </c>
      <c r="E29" s="200"/>
      <c r="F29" s="764"/>
      <c r="G29" s="210">
        <v>0.7</v>
      </c>
      <c r="H29" s="161"/>
      <c r="I29" s="161"/>
      <c r="J29" s="161"/>
      <c r="K29" s="161"/>
      <c r="L29" s="161"/>
      <c r="M29" s="161"/>
      <c r="N29" s="1420"/>
    </row>
    <row r="30" spans="2:16" ht="15.75" x14ac:dyDescent="0.25">
      <c r="B30" s="397"/>
      <c r="C30" s="1414"/>
      <c r="D30" s="1415"/>
      <c r="E30" s="1415"/>
      <c r="F30" s="160"/>
      <c r="G30" s="161"/>
      <c r="H30" s="161"/>
      <c r="I30" s="161"/>
      <c r="J30" s="161"/>
      <c r="K30" s="161"/>
      <c r="L30" s="161"/>
      <c r="M30" s="161"/>
      <c r="N30" s="161"/>
      <c r="O30" s="161"/>
      <c r="P30" s="1420"/>
    </row>
    <row r="31" spans="2:16" ht="15.75" x14ac:dyDescent="0.25">
      <c r="B31" s="397"/>
      <c r="C31" s="1414"/>
      <c r="D31" s="1415"/>
      <c r="E31" s="1415"/>
      <c r="F31" s="160"/>
      <c r="G31" s="161"/>
      <c r="H31" s="161"/>
      <c r="I31" s="161"/>
      <c r="J31" s="161"/>
      <c r="K31" s="161"/>
      <c r="L31" s="161"/>
      <c r="M31" s="161"/>
      <c r="N31" s="161"/>
      <c r="O31" s="161"/>
      <c r="P31" s="1420"/>
    </row>
    <row r="32" spans="2:16" x14ac:dyDescent="0.2">
      <c r="B32" s="401"/>
      <c r="C32" s="464" t="s">
        <v>266</v>
      </c>
      <c r="D32" s="177" t="s">
        <v>359</v>
      </c>
      <c r="E32" s="1416"/>
      <c r="F32" s="1416"/>
      <c r="G32" s="1416"/>
      <c r="H32" s="1416"/>
      <c r="I32" s="1416"/>
      <c r="J32" s="1416"/>
      <c r="K32" s="1416"/>
      <c r="L32" s="1416"/>
      <c r="M32" s="1416"/>
      <c r="N32" s="1416"/>
      <c r="O32" s="1416"/>
      <c r="P32" s="1420"/>
    </row>
    <row r="33" spans="1:17" ht="15.75" x14ac:dyDescent="0.25">
      <c r="B33" s="431"/>
      <c r="C33" s="432"/>
      <c r="D33" s="433"/>
      <c r="E33" s="433"/>
      <c r="F33" s="434"/>
      <c r="G33" s="435"/>
      <c r="H33" s="435"/>
      <c r="I33" s="435"/>
      <c r="J33" s="435"/>
      <c r="K33" s="435"/>
      <c r="L33" s="435"/>
      <c r="M33" s="435"/>
      <c r="N33" s="435"/>
      <c r="O33" s="435"/>
      <c r="P33" s="404"/>
    </row>
    <row r="35" spans="1:17" s="84" customFormat="1" ht="22.5" collapsed="1" x14ac:dyDescent="0.2">
      <c r="A35" s="408"/>
      <c r="B35" s="1423" t="s">
        <v>315</v>
      </c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6"/>
    </row>
    <row r="36" spans="1:17" x14ac:dyDescent="0.2">
      <c r="B36" s="1419"/>
      <c r="C36" s="1416"/>
      <c r="D36" s="1416"/>
      <c r="E36" s="1416"/>
      <c r="F36" s="1416"/>
      <c r="G36" s="1416"/>
      <c r="H36" s="1416"/>
      <c r="I36" s="1416"/>
      <c r="J36" s="1416"/>
      <c r="K36" s="1416"/>
      <c r="L36" s="1416"/>
      <c r="M36" s="1416"/>
      <c r="N36" s="1416"/>
      <c r="O36" s="1416"/>
      <c r="P36" s="1420"/>
    </row>
    <row r="37" spans="1:17" x14ac:dyDescent="0.2">
      <c r="B37" s="1419"/>
      <c r="C37" s="1417" t="s">
        <v>2501</v>
      </c>
      <c r="D37" s="1416"/>
      <c r="E37" s="490"/>
      <c r="F37" s="176" t="s">
        <v>384</v>
      </c>
      <c r="G37" s="1416"/>
      <c r="H37" s="1416"/>
      <c r="I37" s="1416"/>
      <c r="J37" s="1416"/>
      <c r="K37" s="1416"/>
      <c r="L37" s="1416"/>
      <c r="M37" s="1416"/>
      <c r="N37" s="1416"/>
      <c r="O37" s="176"/>
      <c r="P37" s="1420"/>
    </row>
    <row r="38" spans="1:17" ht="5.25" customHeight="1" x14ac:dyDescent="0.2">
      <c r="B38" s="1419"/>
      <c r="C38" s="1416"/>
      <c r="D38" s="1416"/>
      <c r="E38" s="1416"/>
      <c r="F38" s="1416"/>
      <c r="G38" s="1416"/>
      <c r="H38" s="1416"/>
      <c r="I38" s="1416"/>
      <c r="J38" s="1416"/>
      <c r="K38" s="1416"/>
      <c r="L38" s="1416"/>
      <c r="M38" s="1416"/>
      <c r="N38" s="1416"/>
      <c r="O38" s="1416"/>
      <c r="P38" s="1420"/>
    </row>
    <row r="39" spans="1:17" ht="18" x14ac:dyDescent="0.25">
      <c r="B39" s="575"/>
      <c r="C39" s="98" t="s">
        <v>64</v>
      </c>
      <c r="D39" s="98" t="s">
        <v>585</v>
      </c>
      <c r="E39" s="98" t="s">
        <v>172</v>
      </c>
      <c r="F39" s="217">
        <v>2010</v>
      </c>
      <c r="G39" s="523"/>
      <c r="H39" s="523"/>
      <c r="I39" s="523"/>
      <c r="J39" s="523"/>
      <c r="K39" s="523"/>
      <c r="L39" s="523"/>
      <c r="M39" s="523"/>
      <c r="N39" s="523"/>
      <c r="O39" s="523"/>
      <c r="P39" s="1420"/>
    </row>
    <row r="40" spans="1:17" ht="18" x14ac:dyDescent="0.25">
      <c r="B40" s="575"/>
      <c r="C40" s="1414" t="s">
        <v>34</v>
      </c>
      <c r="D40" s="1415" t="str">
        <f>INDEX(Vectors[Description], MATCH($C40, Vectors[Code], 0))</f>
        <v>Electricity (delivered to end user)</v>
      </c>
      <c r="E40" s="488"/>
      <c r="F40" s="174">
        <v>1</v>
      </c>
      <c r="G40" s="1053"/>
      <c r="H40" s="562"/>
      <c r="I40" s="562"/>
      <c r="J40" s="562"/>
      <c r="K40" s="174"/>
      <c r="L40" s="174"/>
      <c r="M40" s="174"/>
      <c r="N40" s="174"/>
      <c r="O40" s="174"/>
      <c r="P40" s="1420"/>
    </row>
    <row r="41" spans="1:17" x14ac:dyDescent="0.2">
      <c r="B41" s="494"/>
      <c r="C41" s="495"/>
      <c r="D41" s="461"/>
      <c r="E41" s="496"/>
      <c r="F41" s="496"/>
      <c r="G41" s="496"/>
      <c r="H41" s="496"/>
      <c r="I41" s="496"/>
      <c r="J41" s="496"/>
      <c r="K41" s="496"/>
      <c r="L41" s="496"/>
      <c r="M41" s="496"/>
      <c r="N41" s="496"/>
      <c r="O41" s="1820"/>
      <c r="P41" s="497"/>
    </row>
    <row r="42" spans="1:17" x14ac:dyDescent="0.2">
      <c r="B42" s="494"/>
      <c r="C42" s="495"/>
      <c r="D42" s="461"/>
      <c r="E42" s="496"/>
      <c r="F42" s="496"/>
      <c r="G42" s="496"/>
      <c r="H42" s="496"/>
      <c r="I42" s="496"/>
      <c r="J42" s="496"/>
      <c r="K42" s="496"/>
      <c r="L42" s="496"/>
      <c r="M42" s="496"/>
      <c r="N42" s="496"/>
      <c r="O42" s="496"/>
      <c r="P42" s="497"/>
    </row>
    <row r="43" spans="1:17" x14ac:dyDescent="0.2">
      <c r="B43" s="1411"/>
      <c r="C43" s="1411"/>
      <c r="D43" s="1411"/>
      <c r="E43" s="1411"/>
      <c r="F43" s="1411"/>
      <c r="G43" s="1411"/>
      <c r="H43" s="1411"/>
      <c r="I43" s="1411"/>
      <c r="J43" s="1411"/>
      <c r="K43" s="1411"/>
      <c r="L43" s="1411"/>
      <c r="M43" s="1411"/>
      <c r="N43" s="1411"/>
      <c r="O43" s="1411"/>
      <c r="P43" s="1411"/>
    </row>
    <row r="44" spans="1:17" ht="15.75" x14ac:dyDescent="0.2">
      <c r="B44" s="1423" t="s">
        <v>1417</v>
      </c>
      <c r="C44" s="1424"/>
      <c r="D44" s="1424"/>
      <c r="E44" s="1424"/>
      <c r="F44" s="1424"/>
      <c r="G44" s="1424"/>
      <c r="H44" s="1424"/>
      <c r="I44" s="1424"/>
      <c r="J44" s="1424"/>
      <c r="K44" s="1424"/>
      <c r="L44" s="1424"/>
      <c r="M44" s="1424"/>
      <c r="N44" s="1424"/>
      <c r="O44" s="1424"/>
      <c r="P44" s="1425"/>
    </row>
    <row r="45" spans="1:17" s="1411" customFormat="1" x14ac:dyDescent="0.2">
      <c r="B45" s="1419"/>
      <c r="C45" s="1416"/>
      <c r="D45" s="1416"/>
      <c r="E45" s="1416"/>
      <c r="F45" s="1416"/>
      <c r="G45" s="1416"/>
      <c r="H45" s="1416"/>
      <c r="I45" s="1416"/>
      <c r="J45" s="1416"/>
      <c r="K45" s="1416"/>
      <c r="L45" s="1416"/>
      <c r="M45" s="1416"/>
      <c r="N45" s="1416"/>
      <c r="O45" s="1416"/>
      <c r="P45" s="1420"/>
    </row>
    <row r="46" spans="1:17" s="1411" customFormat="1" x14ac:dyDescent="0.2">
      <c r="B46" s="1419"/>
      <c r="C46" s="1417" t="str">
        <f>Preferences.moneyunits&amp;" Cost of demand reduction packages/"&amp;Preferences.EnergyUnits</f>
        <v>N Cost of demand reduction packages/TWh</v>
      </c>
      <c r="D46" s="1416"/>
      <c r="E46" s="176"/>
      <c r="F46" s="1416"/>
      <c r="G46" s="1416"/>
      <c r="H46" s="1416"/>
      <c r="I46" s="1416"/>
      <c r="J46" s="1416"/>
      <c r="K46" s="1416"/>
      <c r="L46" s="1416"/>
      <c r="M46" s="1416"/>
      <c r="N46" s="1416"/>
      <c r="O46" s="1416"/>
      <c r="P46" s="1420"/>
    </row>
    <row r="47" spans="1:17" s="1411" customFormat="1" ht="26.25" customHeight="1" x14ac:dyDescent="0.2">
      <c r="B47" s="1419"/>
      <c r="C47" s="1417"/>
      <c r="D47" s="1416"/>
      <c r="E47" s="176"/>
      <c r="F47" s="1416"/>
      <c r="G47" s="1416"/>
      <c r="H47" s="1416"/>
      <c r="I47" s="1416"/>
      <c r="J47" s="1416"/>
      <c r="K47" s="1416"/>
      <c r="L47" s="1416"/>
      <c r="M47" s="1416"/>
      <c r="N47" s="1416"/>
      <c r="O47" s="1416"/>
      <c r="P47" s="1420"/>
    </row>
    <row r="48" spans="1:17" ht="12" customHeight="1" x14ac:dyDescent="0.2">
      <c r="A48" s="1411"/>
      <c r="B48" s="1419"/>
      <c r="C48" s="1562" t="s">
        <v>1180</v>
      </c>
      <c r="D48" s="1562" t="s">
        <v>893</v>
      </c>
      <c r="E48" s="1562" t="s">
        <v>894</v>
      </c>
      <c r="F48" s="1252" t="s">
        <v>1977</v>
      </c>
      <c r="G48" s="176"/>
      <c r="H48" s="176"/>
      <c r="I48" s="1416"/>
      <c r="J48" s="1416"/>
      <c r="K48" s="1416"/>
      <c r="L48" s="1416"/>
      <c r="M48" s="1416"/>
      <c r="N48" s="1416"/>
      <c r="O48" s="1416"/>
      <c r="P48" s="1420"/>
      <c r="Q48" s="1411"/>
    </row>
    <row r="49" spans="1:17" ht="12" customHeight="1" x14ac:dyDescent="0.2">
      <c r="A49" s="1411"/>
      <c r="B49" s="1419"/>
      <c r="C49" s="2247">
        <v>1</v>
      </c>
      <c r="D49" s="2247">
        <v>0</v>
      </c>
      <c r="E49" s="2248">
        <v>0</v>
      </c>
      <c r="F49" s="2249">
        <f>(D49+((E49-D49)*0.35))</f>
        <v>0</v>
      </c>
      <c r="G49" s="176"/>
      <c r="H49" s="176"/>
      <c r="I49" s="1416"/>
      <c r="J49" s="1416"/>
      <c r="K49" s="1416"/>
      <c r="L49" s="1416"/>
      <c r="M49" s="1416"/>
      <c r="N49" s="1416"/>
      <c r="O49" s="1416"/>
      <c r="P49" s="1420"/>
      <c r="Q49" s="1411"/>
    </row>
    <row r="50" spans="1:17" ht="12" customHeight="1" x14ac:dyDescent="0.2">
      <c r="B50" s="1419"/>
      <c r="C50" s="1560">
        <v>2</v>
      </c>
      <c r="D50" s="1557">
        <f>250*95059012*NAIRA2010_*Unit.TWh</f>
        <v>23764753000</v>
      </c>
      <c r="E50" s="1557">
        <f>D52</f>
        <v>82371419000</v>
      </c>
      <c r="F50" s="2246">
        <f>(D50+((E50-D50)*0.35))</f>
        <v>44277086100</v>
      </c>
      <c r="G50" s="176"/>
      <c r="H50" s="176"/>
      <c r="I50" s="1416"/>
      <c r="J50" s="1416"/>
      <c r="K50" s="1416"/>
      <c r="L50" s="1416"/>
      <c r="M50" s="1416"/>
      <c r="N50" s="1416"/>
      <c r="O50" s="1416"/>
      <c r="P50" s="1420"/>
    </row>
    <row r="51" spans="1:17" ht="12" customHeight="1" x14ac:dyDescent="0.2">
      <c r="B51" s="1419"/>
      <c r="C51" s="1560">
        <v>3</v>
      </c>
      <c r="D51" s="1557">
        <f>250*310688997*NAIRA2010_*Unit.TWh</f>
        <v>77672249250</v>
      </c>
      <c r="E51" s="1557">
        <f>D51*2</f>
        <v>155344498500</v>
      </c>
      <c r="F51" s="2246">
        <f>(D51+((E51-D51)*0.35))</f>
        <v>104857536487.5</v>
      </c>
      <c r="G51" s="176"/>
      <c r="H51" s="176"/>
      <c r="I51" s="1416"/>
      <c r="J51" s="1416"/>
      <c r="K51" s="1416"/>
      <c r="L51" s="1416"/>
      <c r="M51" s="1416"/>
      <c r="N51" s="1416"/>
      <c r="O51" s="1416"/>
      <c r="P51" s="1420"/>
    </row>
    <row r="52" spans="1:17" ht="12" customHeight="1" x14ac:dyDescent="0.2">
      <c r="B52" s="1419"/>
      <c r="C52" s="2250">
        <v>4</v>
      </c>
      <c r="D52" s="1462">
        <f>250*329485676*NAIRA2010_*Unit.TWh</f>
        <v>82371419000</v>
      </c>
      <c r="E52" s="1462">
        <f>D52*2</f>
        <v>164742838000</v>
      </c>
      <c r="F52" s="2251">
        <f>(D52+((E52-D52)*0.35))</f>
        <v>111201415650</v>
      </c>
      <c r="G52" s="176"/>
      <c r="H52" s="176"/>
      <c r="I52" s="1416"/>
      <c r="J52" s="1416"/>
      <c r="K52" s="1416"/>
      <c r="L52" s="1416"/>
      <c r="M52" s="1416"/>
      <c r="N52" s="1416"/>
      <c r="O52" s="1416"/>
      <c r="P52" s="1420"/>
    </row>
    <row r="53" spans="1:17" ht="12" customHeight="1" x14ac:dyDescent="0.2">
      <c r="B53" s="1419"/>
      <c r="C53" s="1417"/>
      <c r="D53" s="1416"/>
      <c r="E53" s="176"/>
      <c r="F53" s="176"/>
      <c r="G53" s="1416"/>
      <c r="H53" s="176"/>
      <c r="I53" s="1416"/>
      <c r="J53" s="1416"/>
      <c r="K53" s="1416"/>
      <c r="L53" s="1416"/>
      <c r="M53" s="1416"/>
      <c r="N53" s="1416"/>
      <c r="O53" s="1416"/>
      <c r="P53" s="1420"/>
    </row>
    <row r="54" spans="1:17" ht="12" customHeight="1" x14ac:dyDescent="0.2">
      <c r="B54" s="1419"/>
      <c r="C54" s="1416"/>
      <c r="D54" s="1416"/>
      <c r="E54" s="1416"/>
      <c r="F54" s="1416"/>
      <c r="G54" s="1416"/>
      <c r="H54" s="1416"/>
      <c r="I54" s="1416"/>
      <c r="J54" s="1416"/>
      <c r="K54" s="1416"/>
      <c r="L54" s="1416"/>
      <c r="M54" s="1416"/>
      <c r="N54" s="1416"/>
      <c r="O54" s="1416"/>
      <c r="P54" s="1420"/>
    </row>
    <row r="55" spans="1:17" ht="12" customHeight="1" x14ac:dyDescent="0.2">
      <c r="B55" s="1419"/>
      <c r="C55" s="485"/>
      <c r="D55" s="1382"/>
      <c r="E55" s="1416"/>
      <c r="F55" s="1416"/>
      <c r="G55" s="1416"/>
      <c r="H55" s="1416"/>
      <c r="I55" s="1416"/>
      <c r="J55" s="1416"/>
      <c r="K55" s="1416"/>
      <c r="L55" s="1416"/>
      <c r="M55" s="1416"/>
      <c r="N55" s="1416"/>
      <c r="O55" s="1416"/>
      <c r="P55" s="1420"/>
    </row>
    <row r="56" spans="1:17" ht="12" customHeight="1" x14ac:dyDescent="0.2">
      <c r="B56" s="1419"/>
      <c r="C56" s="1416"/>
      <c r="D56" s="1416"/>
      <c r="E56" s="1416"/>
      <c r="F56" s="1416"/>
      <c r="G56" s="1416"/>
      <c r="H56" s="1416"/>
      <c r="I56" s="1416"/>
      <c r="J56" s="1416"/>
      <c r="K56" s="1416"/>
      <c r="L56" s="1416"/>
      <c r="M56" s="1416"/>
      <c r="N56" s="1416"/>
      <c r="O56" s="1416"/>
      <c r="P56" s="1420"/>
    </row>
    <row r="57" spans="1:17" ht="12" customHeight="1" x14ac:dyDescent="0.2"/>
    <row r="58" spans="1:17" ht="12" customHeight="1" x14ac:dyDescent="0.2"/>
    <row r="59" spans="1:17" ht="12" customHeight="1" x14ac:dyDescent="0.2">
      <c r="B59" s="1423" t="s">
        <v>332</v>
      </c>
      <c r="C59" s="1424"/>
      <c r="D59" s="1424"/>
      <c r="E59" s="1424"/>
      <c r="F59" s="1424"/>
      <c r="G59" s="1424"/>
      <c r="H59" s="1424"/>
      <c r="I59" s="1424"/>
      <c r="J59" s="1424"/>
      <c r="K59" s="1424"/>
      <c r="L59" s="1424"/>
      <c r="M59" s="1424"/>
      <c r="N59" s="1424"/>
      <c r="O59" s="1425"/>
    </row>
    <row r="60" spans="1:17" ht="12" customHeight="1" x14ac:dyDescent="0.2">
      <c r="B60" s="1419"/>
      <c r="C60" s="1416"/>
      <c r="D60" s="1416"/>
      <c r="E60" s="1416"/>
      <c r="F60" s="1416"/>
      <c r="G60" s="1416"/>
      <c r="H60" s="1416"/>
      <c r="I60" s="1416"/>
      <c r="J60" s="1416"/>
      <c r="K60" s="1416"/>
      <c r="L60" s="1416"/>
      <c r="M60" s="1416"/>
      <c r="N60" s="1416"/>
      <c r="O60" s="1420"/>
    </row>
    <row r="61" spans="1:17" x14ac:dyDescent="0.2">
      <c r="B61" s="1419"/>
      <c r="C61" s="1417" t="s">
        <v>1687</v>
      </c>
      <c r="D61" s="1416"/>
      <c r="E61" s="1416"/>
      <c r="F61" s="1416"/>
      <c r="G61" s="1416"/>
      <c r="H61" s="1416"/>
      <c r="I61" s="1416"/>
      <c r="J61" s="1416"/>
      <c r="K61" s="1416"/>
      <c r="L61" s="1416"/>
      <c r="M61" s="1416"/>
      <c r="N61" s="1416"/>
      <c r="O61" s="1420"/>
    </row>
    <row r="62" spans="1:17" ht="22.5" collapsed="1" x14ac:dyDescent="0.3">
      <c r="A62" s="1422"/>
      <c r="B62" s="1419"/>
      <c r="C62" s="1417"/>
      <c r="D62" s="1416"/>
      <c r="E62" s="1416"/>
      <c r="F62" s="1416"/>
      <c r="G62" s="1416"/>
      <c r="H62" s="1416"/>
      <c r="I62" s="1416"/>
      <c r="J62" s="1416"/>
      <c r="K62" s="1416"/>
      <c r="L62" s="1416"/>
      <c r="M62" s="1416"/>
      <c r="N62" s="1416"/>
      <c r="O62" s="1420"/>
    </row>
    <row r="63" spans="1:17" x14ac:dyDescent="0.2">
      <c r="B63" s="1419"/>
      <c r="C63" s="98" t="s">
        <v>64</v>
      </c>
      <c r="D63" s="98" t="s">
        <v>65</v>
      </c>
      <c r="E63" s="98" t="s">
        <v>172</v>
      </c>
      <c r="F63" s="218">
        <v>2010</v>
      </c>
      <c r="G63" s="217">
        <v>2015</v>
      </c>
      <c r="H63" s="217">
        <v>2020</v>
      </c>
      <c r="I63" s="217">
        <v>2025</v>
      </c>
      <c r="J63" s="217">
        <v>2030</v>
      </c>
      <c r="K63" s="217">
        <v>2035</v>
      </c>
      <c r="L63" s="217">
        <v>2040</v>
      </c>
      <c r="M63" s="217">
        <v>2045</v>
      </c>
      <c r="N63" s="217">
        <v>2050</v>
      </c>
      <c r="O63" s="1420"/>
    </row>
    <row r="64" spans="1:17" x14ac:dyDescent="0.2">
      <c r="B64" s="1419"/>
      <c r="C64" s="121"/>
      <c r="D64" s="122" t="s">
        <v>1686</v>
      </c>
      <c r="E64" s="230"/>
      <c r="F64" s="1576">
        <f>F17-F75</f>
        <v>0</v>
      </c>
      <c r="G64" s="1576">
        <f t="shared" ref="G64:N64" si="0">(G17-F17)+(F75-G75)</f>
        <v>7.3750248783510237</v>
      </c>
      <c r="H64" s="1576">
        <f t="shared" si="0"/>
        <v>7.375024878351029</v>
      </c>
      <c r="I64" s="1576">
        <f t="shared" si="0"/>
        <v>7.3750248783511108</v>
      </c>
      <c r="J64" s="1576">
        <f t="shared" si="0"/>
        <v>7.375024878350942</v>
      </c>
      <c r="K64" s="1576">
        <f t="shared" si="0"/>
        <v>7.375024878351109</v>
      </c>
      <c r="L64" s="1576">
        <f t="shared" si="0"/>
        <v>7.3750248783510237</v>
      </c>
      <c r="M64" s="1576">
        <f t="shared" si="0"/>
        <v>7.3750248783510308</v>
      </c>
      <c r="N64" s="1576">
        <f t="shared" si="0"/>
        <v>7.3750248783514607</v>
      </c>
      <c r="O64" s="1420"/>
    </row>
    <row r="65" spans="2:15" ht="6" customHeight="1" x14ac:dyDescent="0.2">
      <c r="B65" s="1419"/>
      <c r="C65" s="1416"/>
      <c r="D65" s="1416"/>
      <c r="E65" s="1416"/>
      <c r="F65" s="1416"/>
      <c r="G65" s="1563"/>
      <c r="H65" s="1563"/>
      <c r="I65" s="1563"/>
      <c r="J65" s="1563"/>
      <c r="K65" s="1563"/>
      <c r="L65" s="1563"/>
      <c r="M65" s="1563"/>
      <c r="N65" s="1563"/>
      <c r="O65" s="1420"/>
    </row>
    <row r="66" spans="2:15" x14ac:dyDescent="0.2">
      <c r="B66" s="1419"/>
      <c r="C66" s="1417" t="s">
        <v>2247</v>
      </c>
      <c r="D66" s="1416"/>
      <c r="E66" s="1416"/>
      <c r="F66" s="1416"/>
      <c r="G66" s="1416"/>
      <c r="H66" s="1416"/>
      <c r="I66" s="1416"/>
      <c r="J66" s="1416"/>
      <c r="K66" s="1416"/>
      <c r="L66" s="1416"/>
      <c r="M66" s="1416"/>
      <c r="N66" s="161" t="s">
        <v>384</v>
      </c>
      <c r="O66" s="1420"/>
    </row>
    <row r="67" spans="2:15" x14ac:dyDescent="0.2">
      <c r="B67" s="1419"/>
      <c r="C67" s="1416"/>
      <c r="D67" s="1416"/>
      <c r="E67" s="1416"/>
      <c r="F67" s="1416"/>
      <c r="G67" s="1416"/>
      <c r="H67" s="1416"/>
      <c r="I67" s="1416"/>
      <c r="J67" s="1416"/>
      <c r="K67" s="1416"/>
      <c r="L67" s="1416"/>
      <c r="M67" s="1416"/>
      <c r="N67" s="1416"/>
      <c r="O67" s="1420"/>
    </row>
    <row r="68" spans="2:15" ht="15.75" x14ac:dyDescent="0.25">
      <c r="B68" s="397"/>
      <c r="C68" s="98" t="s">
        <v>64</v>
      </c>
      <c r="D68" s="98" t="s">
        <v>65</v>
      </c>
      <c r="E68" s="98" t="s">
        <v>172</v>
      </c>
      <c r="F68" s="218">
        <v>2010</v>
      </c>
      <c r="G68" s="217">
        <v>2015</v>
      </c>
      <c r="H68" s="217">
        <v>2020</v>
      </c>
      <c r="I68" s="217">
        <v>2025</v>
      </c>
      <c r="J68" s="217">
        <v>2030</v>
      </c>
      <c r="K68" s="217">
        <v>2035</v>
      </c>
      <c r="L68" s="217">
        <v>2040</v>
      </c>
      <c r="M68" s="217">
        <v>2045</v>
      </c>
      <c r="N68" s="217">
        <v>2050</v>
      </c>
      <c r="O68" s="1420"/>
    </row>
    <row r="69" spans="2:15" ht="15.75" x14ac:dyDescent="0.25">
      <c r="B69" s="397"/>
      <c r="C69" s="1414" t="s">
        <v>34</v>
      </c>
      <c r="D69" s="1415" t="str">
        <f>INDEX(Vectors[Description], MATCH($C69, Vectors[Code], 0))</f>
        <v>Electricity (delivered to end user)</v>
      </c>
      <c r="E69" s="488"/>
      <c r="F69" s="765">
        <f>F40</f>
        <v>1</v>
      </c>
      <c r="G69" s="740">
        <f>$F69+($N69-$F69)/($N$68-$F$68)*(G$68-$F$68)</f>
        <v>0.96250000000000002</v>
      </c>
      <c r="H69" s="740">
        <f t="shared" ref="H69:M69" si="1">$F69+($N69-$F69)/($N$68-$F$68)*(H$68-$F$68)</f>
        <v>0.92500000000000004</v>
      </c>
      <c r="I69" s="740">
        <f t="shared" si="1"/>
        <v>0.88749999999999996</v>
      </c>
      <c r="J69" s="740">
        <f t="shared" si="1"/>
        <v>0.85</v>
      </c>
      <c r="K69" s="740">
        <f t="shared" si="1"/>
        <v>0.8125</v>
      </c>
      <c r="L69" s="740">
        <f t="shared" si="1"/>
        <v>0.77499999999999991</v>
      </c>
      <c r="M69" s="740">
        <f t="shared" si="1"/>
        <v>0.73749999999999993</v>
      </c>
      <c r="N69" s="174">
        <f>INDEX(G$26:G$29, MATCH($E$9, $C$26:$C$29, 0))</f>
        <v>0.7</v>
      </c>
      <c r="O69" s="1420"/>
    </row>
    <row r="70" spans="2:15" x14ac:dyDescent="0.2">
      <c r="B70" s="402"/>
      <c r="C70" s="403"/>
      <c r="D70" s="403"/>
      <c r="E70" s="403"/>
      <c r="F70" s="403"/>
      <c r="G70" s="403"/>
      <c r="H70" s="403"/>
      <c r="I70" s="403"/>
      <c r="J70" s="403"/>
      <c r="K70" s="403"/>
      <c r="L70" s="403"/>
      <c r="M70" s="403"/>
      <c r="N70" s="403"/>
      <c r="O70" s="404"/>
    </row>
    <row r="72" spans="2:15" ht="15.75" x14ac:dyDescent="0.25">
      <c r="B72" s="134" t="s">
        <v>279</v>
      </c>
    </row>
    <row r="73" spans="2:15" x14ac:dyDescent="0.2">
      <c r="B73" s="1427">
        <v>1</v>
      </c>
      <c r="C73" s="1427" t="s">
        <v>2248</v>
      </c>
      <c r="E73" s="1426"/>
      <c r="F73" s="234"/>
      <c r="G73" s="234"/>
      <c r="H73" s="234"/>
      <c r="I73" s="234"/>
      <c r="J73" s="234"/>
      <c r="K73" s="234"/>
      <c r="L73" s="234"/>
      <c r="M73" s="234"/>
      <c r="N73" s="234"/>
      <c r="O73" s="234"/>
    </row>
    <row r="74" spans="2:15" x14ac:dyDescent="0.2">
      <c r="C74" s="1427"/>
      <c r="E74" s="1426"/>
      <c r="F74" s="171">
        <v>2010</v>
      </c>
      <c r="G74" s="171">
        <v>2015</v>
      </c>
      <c r="H74" s="171">
        <v>2020</v>
      </c>
      <c r="I74" s="171">
        <v>2025</v>
      </c>
      <c r="J74" s="171">
        <v>2030</v>
      </c>
      <c r="K74" s="171">
        <v>2035</v>
      </c>
      <c r="L74" s="171">
        <v>2040</v>
      </c>
      <c r="M74" s="171">
        <v>2045</v>
      </c>
      <c r="N74" s="171">
        <v>2050</v>
      </c>
    </row>
    <row r="75" spans="2:15" x14ac:dyDescent="0.2">
      <c r="B75" s="584"/>
      <c r="C75" s="1427" t="s">
        <v>2240</v>
      </c>
      <c r="E75" s="172" t="str">
        <f>Preferences.EnergyUnits</f>
        <v>TWh</v>
      </c>
      <c r="F75" s="234">
        <f t="shared" ref="F75:N75" si="2">INDEX(F$17:F$20, MATCH($E$8, $C$17:$C$20, 0))</f>
        <v>7.6376658252466445</v>
      </c>
      <c r="G75" s="234">
        <f t="shared" si="2"/>
        <v>11.599640849324885</v>
      </c>
      <c r="H75" s="234">
        <f t="shared" si="2"/>
        <v>15.561615873403047</v>
      </c>
      <c r="I75" s="234">
        <f t="shared" si="2"/>
        <v>19.52359089748121</v>
      </c>
      <c r="J75" s="234">
        <f t="shared" si="2"/>
        <v>23.485565921559459</v>
      </c>
      <c r="K75" s="234">
        <f t="shared" si="2"/>
        <v>27.44754094563762</v>
      </c>
      <c r="L75" s="234">
        <f t="shared" si="2"/>
        <v>31.40951596971578</v>
      </c>
      <c r="M75" s="234">
        <f t="shared" si="2"/>
        <v>35.371490993794033</v>
      </c>
      <c r="N75" s="234">
        <f t="shared" si="2"/>
        <v>39.333466017872198</v>
      </c>
    </row>
    <row r="76" spans="2:15" x14ac:dyDescent="0.2">
      <c r="B76" s="1426" t="s">
        <v>34</v>
      </c>
      <c r="C76" s="2370" t="str">
        <f>INDEX(Vectors[Description], MATCH($B76, Vectors[Code], 0))</f>
        <v>Electricity (delivered to end user)</v>
      </c>
      <c r="E76" s="1426"/>
      <c r="F76" s="219">
        <f>F75*F69</f>
        <v>7.6376658252466445</v>
      </c>
      <c r="G76" s="219">
        <f t="shared" ref="G76:N76" si="3">G75*G69</f>
        <v>11.164654317475202</v>
      </c>
      <c r="H76" s="219">
        <f t="shared" si="3"/>
        <v>14.39449468289782</v>
      </c>
      <c r="I76" s="219">
        <f t="shared" si="3"/>
        <v>17.327186921514574</v>
      </c>
      <c r="J76" s="219">
        <f t="shared" si="3"/>
        <v>19.962731033325539</v>
      </c>
      <c r="K76" s="219">
        <f t="shared" si="3"/>
        <v>22.301127018330565</v>
      </c>
      <c r="L76" s="219">
        <f t="shared" si="3"/>
        <v>24.342374876529728</v>
      </c>
      <c r="M76" s="219">
        <f t="shared" si="3"/>
        <v>26.086474607923098</v>
      </c>
      <c r="N76" s="219">
        <f t="shared" si="3"/>
        <v>27.533426212510538</v>
      </c>
    </row>
    <row r="77" spans="2:15" x14ac:dyDescent="0.2">
      <c r="C77" s="1427"/>
      <c r="E77" s="1426"/>
      <c r="F77" s="234"/>
      <c r="G77" s="234"/>
      <c r="H77" s="234"/>
      <c r="I77" s="234"/>
      <c r="J77" s="234"/>
      <c r="K77" s="234"/>
      <c r="L77" s="234"/>
      <c r="M77" s="234"/>
      <c r="N77" s="234"/>
    </row>
    <row r="78" spans="2:15" x14ac:dyDescent="0.2">
      <c r="B78" s="1427">
        <v>2</v>
      </c>
      <c r="C78" s="1427" t="s">
        <v>814</v>
      </c>
      <c r="E78" s="1426"/>
      <c r="F78" s="219"/>
      <c r="G78" s="219"/>
      <c r="H78" s="219"/>
      <c r="I78" s="219"/>
      <c r="J78" s="219"/>
      <c r="K78" s="219"/>
      <c r="L78" s="219"/>
      <c r="M78" s="219"/>
      <c r="N78" s="219"/>
    </row>
    <row r="79" spans="2:15" x14ac:dyDescent="0.2">
      <c r="B79" s="1427"/>
      <c r="C79" s="1427"/>
      <c r="E79" s="1426"/>
      <c r="F79" s="171">
        <v>2010</v>
      </c>
      <c r="G79" s="171">
        <v>2015</v>
      </c>
      <c r="H79" s="171">
        <v>2020</v>
      </c>
      <c r="I79" s="171">
        <v>2025</v>
      </c>
      <c r="J79" s="171">
        <v>2030</v>
      </c>
      <c r="K79" s="171">
        <v>2035</v>
      </c>
      <c r="L79" s="171">
        <v>2040</v>
      </c>
      <c r="M79" s="171">
        <v>2045</v>
      </c>
      <c r="N79" s="171">
        <v>2050</v>
      </c>
    </row>
    <row r="80" spans="2:15" x14ac:dyDescent="0.2">
      <c r="B80" s="1426" t="s">
        <v>34</v>
      </c>
      <c r="C80" s="2370" t="str">
        <f>INDEX(Vectors[Description], MATCH($B80, Vectors[Code], 0))</f>
        <v>Electricity (delivered to end user)</v>
      </c>
      <c r="E80" s="583" t="str">
        <f>Preferences.EnergyUnits</f>
        <v>TWh</v>
      </c>
      <c r="F80" s="219">
        <f t="shared" ref="F80:N80" si="4">F76</f>
        <v>7.6376658252466445</v>
      </c>
      <c r="G80" s="219">
        <f t="shared" si="4"/>
        <v>11.164654317475202</v>
      </c>
      <c r="H80" s="219">
        <f t="shared" si="4"/>
        <v>14.39449468289782</v>
      </c>
      <c r="I80" s="219">
        <f t="shared" si="4"/>
        <v>17.327186921514574</v>
      </c>
      <c r="J80" s="219">
        <f t="shared" si="4"/>
        <v>19.962731033325539</v>
      </c>
      <c r="K80" s="219">
        <f t="shared" si="4"/>
        <v>22.301127018330565</v>
      </c>
      <c r="L80" s="219">
        <f t="shared" si="4"/>
        <v>24.342374876529728</v>
      </c>
      <c r="M80" s="219">
        <f t="shared" si="4"/>
        <v>26.086474607923098</v>
      </c>
      <c r="N80" s="219">
        <f t="shared" si="4"/>
        <v>27.533426212510538</v>
      </c>
    </row>
    <row r="81" spans="2:15" x14ac:dyDescent="0.2">
      <c r="C81" s="1427"/>
      <c r="E81" s="1426"/>
      <c r="F81" s="234"/>
      <c r="G81" s="234"/>
      <c r="H81" s="234"/>
      <c r="I81" s="234"/>
      <c r="J81" s="234"/>
      <c r="K81" s="234"/>
      <c r="L81" s="234"/>
      <c r="M81" s="234"/>
      <c r="N81" s="234"/>
    </row>
    <row r="82" spans="2:15" x14ac:dyDescent="0.2">
      <c r="E82" s="1426"/>
      <c r="F82" s="219"/>
      <c r="G82" s="219"/>
      <c r="H82" s="219"/>
      <c r="I82" s="219"/>
      <c r="J82" s="219"/>
      <c r="K82" s="219"/>
      <c r="L82" s="219"/>
      <c r="M82" s="219"/>
      <c r="N82" s="219"/>
    </row>
    <row r="83" spans="2:15" x14ac:dyDescent="0.2">
      <c r="B83" s="2370" t="s">
        <v>1274</v>
      </c>
      <c r="C83" s="1427"/>
      <c r="F83" s="136"/>
      <c r="G83" s="136"/>
      <c r="H83" s="136"/>
      <c r="I83" s="136"/>
      <c r="J83" s="136"/>
      <c r="K83" s="136"/>
      <c r="L83" s="136"/>
      <c r="M83" s="136"/>
      <c r="N83" s="136"/>
      <c r="O83" s="136"/>
    </row>
    <row r="84" spans="2:15" x14ac:dyDescent="0.2">
      <c r="E84" s="84"/>
      <c r="F84" s="171">
        <v>2010</v>
      </c>
      <c r="G84" s="171">
        <v>2015</v>
      </c>
      <c r="H84" s="171">
        <v>2020</v>
      </c>
      <c r="I84" s="171">
        <v>2025</v>
      </c>
      <c r="J84" s="171">
        <v>2030</v>
      </c>
      <c r="K84" s="171">
        <v>2035</v>
      </c>
      <c r="L84" s="171">
        <v>2040</v>
      </c>
      <c r="M84" s="171">
        <v>2045</v>
      </c>
      <c r="N84" s="171">
        <v>2050</v>
      </c>
      <c r="O84" s="136"/>
    </row>
    <row r="85" spans="2:15" ht="12" customHeight="1" x14ac:dyDescent="0.2">
      <c r="B85" s="39"/>
      <c r="C85" s="39" t="s">
        <v>2249</v>
      </c>
      <c r="D85" s="39"/>
      <c r="E85" s="202" t="s">
        <v>1554</v>
      </c>
      <c r="F85" s="366">
        <v>0.9</v>
      </c>
      <c r="G85" s="366">
        <v>0.9</v>
      </c>
      <c r="H85" s="366">
        <v>0.9</v>
      </c>
      <c r="I85" s="366">
        <v>0.9</v>
      </c>
      <c r="J85" s="366">
        <v>0.9</v>
      </c>
      <c r="K85" s="366">
        <v>0.9</v>
      </c>
      <c r="L85" s="366">
        <v>0.9</v>
      </c>
      <c r="M85" s="366">
        <v>0.9</v>
      </c>
      <c r="N85" s="366">
        <v>0.9</v>
      </c>
      <c r="O85" s="366"/>
    </row>
    <row r="86" spans="2:15" x14ac:dyDescent="0.2">
      <c r="E86" s="84"/>
      <c r="F86" s="136"/>
      <c r="G86" s="136"/>
      <c r="H86" s="136"/>
      <c r="I86" s="136"/>
      <c r="J86" s="136"/>
      <c r="K86" s="136"/>
      <c r="L86" s="136"/>
      <c r="M86" s="136"/>
      <c r="N86" s="136"/>
      <c r="O86" s="136"/>
    </row>
    <row r="87" spans="2:15" s="39" customFormat="1" x14ac:dyDescent="0.2">
      <c r="B87" s="2370"/>
      <c r="C87" s="2370" t="s">
        <v>2250</v>
      </c>
      <c r="D87" s="2370"/>
      <c r="E87" s="84" t="s">
        <v>73</v>
      </c>
      <c r="F87" s="136">
        <v>0</v>
      </c>
      <c r="G87" s="136">
        <f t="shared" ref="G87:N87" si="5" xml:space="preserve"> (F75 * 0.9) + (G75-F75)</f>
        <v>10.835874266800221</v>
      </c>
      <c r="H87" s="136">
        <f t="shared" si="5"/>
        <v>14.401651788470559</v>
      </c>
      <c r="I87" s="136">
        <f t="shared" si="5"/>
        <v>17.967429310140908</v>
      </c>
      <c r="J87" s="136">
        <f t="shared" si="5"/>
        <v>21.533206831811338</v>
      </c>
      <c r="K87" s="136">
        <f t="shared" si="5"/>
        <v>25.098984353481676</v>
      </c>
      <c r="L87" s="136">
        <f t="shared" si="5"/>
        <v>28.664761875152021</v>
      </c>
      <c r="M87" s="136">
        <f t="shared" si="5"/>
        <v>32.230539396822451</v>
      </c>
      <c r="N87" s="136">
        <f t="shared" si="5"/>
        <v>35.796316918492792</v>
      </c>
      <c r="O87" s="136"/>
    </row>
    <row r="88" spans="2:15" x14ac:dyDescent="0.2">
      <c r="E88" s="84"/>
      <c r="F88" s="136"/>
      <c r="G88" s="136"/>
      <c r="H88" s="136"/>
      <c r="I88" s="136"/>
      <c r="J88" s="136"/>
      <c r="K88" s="136"/>
      <c r="L88" s="136"/>
      <c r="M88" s="136"/>
      <c r="N88" s="136"/>
      <c r="O88" s="136"/>
    </row>
    <row r="89" spans="2:15" x14ac:dyDescent="0.2">
      <c r="E89" s="84"/>
      <c r="F89" s="171"/>
      <c r="G89" s="171"/>
      <c r="H89" s="171"/>
      <c r="I89" s="171"/>
      <c r="J89" s="171"/>
      <c r="K89" s="171"/>
      <c r="L89" s="171"/>
      <c r="M89" s="171"/>
      <c r="N89" s="171"/>
      <c r="O89" s="136"/>
    </row>
    <row r="90" spans="2:15" x14ac:dyDescent="0.2">
      <c r="B90" s="2370" t="s">
        <v>1689</v>
      </c>
      <c r="F90" s="136"/>
      <c r="G90" s="136"/>
      <c r="H90" s="136"/>
      <c r="I90" s="136"/>
      <c r="J90" s="136"/>
      <c r="K90" s="136"/>
      <c r="L90" s="136"/>
      <c r="M90" s="136"/>
      <c r="N90" s="136"/>
      <c r="O90" s="136"/>
    </row>
    <row r="91" spans="2:15" x14ac:dyDescent="0.2">
      <c r="C91" s="2370" t="s">
        <v>1418</v>
      </c>
      <c r="E91" s="2370" t="str">
        <f>Preferences.moneyunits</f>
        <v>N</v>
      </c>
      <c r="F91" s="136">
        <f>(F$17-F$75)*INDEX($E$49:$E$52,MATCH($E$8,$C$49:$C$52,0),0)</f>
        <v>0</v>
      </c>
      <c r="G91" s="136">
        <f t="shared" ref="G91:N91" si="6">(G$64*INDEX($E$49:$E$52,MATCH($E$8,$C$49:$C$52,0),0))/(G$100-F$100)</f>
        <v>242996505756.03046</v>
      </c>
      <c r="H91" s="136">
        <f t="shared" si="6"/>
        <v>242996505756.03067</v>
      </c>
      <c r="I91" s="136">
        <f t="shared" si="6"/>
        <v>242996505756.03336</v>
      </c>
      <c r="J91" s="136">
        <f t="shared" si="6"/>
        <v>242996505756.02777</v>
      </c>
      <c r="K91" s="136">
        <f t="shared" si="6"/>
        <v>242996505756.03329</v>
      </c>
      <c r="L91" s="136">
        <f t="shared" si="6"/>
        <v>242996505756.03046</v>
      </c>
      <c r="M91" s="136">
        <f t="shared" si="6"/>
        <v>242996505756.0307</v>
      </c>
      <c r="N91" s="136">
        <f t="shared" si="6"/>
        <v>242996505756.04486</v>
      </c>
      <c r="O91" s="136"/>
    </row>
    <row r="92" spans="2:15" x14ac:dyDescent="0.2">
      <c r="C92" s="2370" t="s">
        <v>1419</v>
      </c>
      <c r="E92" s="2370" t="str">
        <f>Preferences.moneyunits</f>
        <v>N</v>
      </c>
      <c r="F92" s="136"/>
      <c r="G92" s="136"/>
      <c r="H92" s="136"/>
      <c r="I92" s="136"/>
      <c r="J92" s="136"/>
      <c r="K92" s="136"/>
      <c r="L92" s="136"/>
      <c r="M92" s="136"/>
      <c r="N92" s="136"/>
      <c r="O92" s="136"/>
    </row>
    <row r="93" spans="2:15" x14ac:dyDescent="0.2">
      <c r="C93" s="2370" t="s">
        <v>1421</v>
      </c>
      <c r="E93" s="2370" t="str">
        <f>Preferences.moneyunits</f>
        <v>N</v>
      </c>
      <c r="F93" s="136">
        <f xml:space="preserve"> F91 + F92</f>
        <v>0</v>
      </c>
      <c r="G93" s="136">
        <f t="shared" ref="G93:N93" si="7" xml:space="preserve"> G91 + G92</f>
        <v>242996505756.03046</v>
      </c>
      <c r="H93" s="136">
        <f t="shared" si="7"/>
        <v>242996505756.03067</v>
      </c>
      <c r="I93" s="136">
        <f t="shared" si="7"/>
        <v>242996505756.03336</v>
      </c>
      <c r="J93" s="136">
        <f t="shared" si="7"/>
        <v>242996505756.02777</v>
      </c>
      <c r="K93" s="136">
        <f t="shared" si="7"/>
        <v>242996505756.03329</v>
      </c>
      <c r="L93" s="136">
        <f t="shared" si="7"/>
        <v>242996505756.03046</v>
      </c>
      <c r="M93" s="136">
        <f t="shared" si="7"/>
        <v>242996505756.0307</v>
      </c>
      <c r="N93" s="136">
        <f t="shared" si="7"/>
        <v>242996505756.04486</v>
      </c>
      <c r="O93" s="136"/>
    </row>
    <row r="94" spans="2:15" x14ac:dyDescent="0.2">
      <c r="F94" s="136"/>
      <c r="G94" s="136"/>
      <c r="H94" s="136"/>
      <c r="I94" s="136"/>
      <c r="J94" s="136"/>
      <c r="K94" s="136"/>
      <c r="L94" s="136"/>
      <c r="M94" s="136"/>
      <c r="N94" s="136"/>
      <c r="O94" s="136"/>
    </row>
    <row r="95" spans="2:15" x14ac:dyDescent="0.2">
      <c r="B95" s="2370" t="s">
        <v>1951</v>
      </c>
      <c r="F95" s="136"/>
      <c r="G95" s="136"/>
      <c r="H95" s="136"/>
      <c r="I95" s="136"/>
      <c r="J95" s="136"/>
      <c r="K95" s="136"/>
      <c r="L95" s="136"/>
      <c r="M95" s="136"/>
      <c r="N95" s="136"/>
      <c r="O95" s="136"/>
    </row>
    <row r="96" spans="2:15" x14ac:dyDescent="0.2">
      <c r="C96" s="2370" t="s">
        <v>1418</v>
      </c>
      <c r="E96" s="2370" t="str">
        <f>Preferences.moneyunits</f>
        <v>N</v>
      </c>
      <c r="F96" s="136">
        <f>(F$17-F$75)*INDEX($E$49:$E$52,MATCH($E$8,$C$49:$C$52,0),0)</f>
        <v>0</v>
      </c>
      <c r="G96" s="136">
        <f>(G101+((G91-G101)*0.35))</f>
        <v>164022641385.32056</v>
      </c>
      <c r="H96" s="136">
        <f t="shared" ref="H96:M96" si="8">(H101+((H91-H101)*0.35))</f>
        <v>164022641385.32071</v>
      </c>
      <c r="I96" s="136">
        <f t="shared" si="8"/>
        <v>164022641385.32251</v>
      </c>
      <c r="J96" s="136">
        <f t="shared" si="8"/>
        <v>164022641385.31873</v>
      </c>
      <c r="K96" s="136">
        <f t="shared" si="8"/>
        <v>164022641385.32248</v>
      </c>
      <c r="L96" s="136">
        <f t="shared" si="8"/>
        <v>164022641385.32056</v>
      </c>
      <c r="M96" s="136">
        <f t="shared" si="8"/>
        <v>164022641385.32071</v>
      </c>
      <c r="N96" s="136">
        <f>(N101+((N91-N101)*0.35))</f>
        <v>164022641385.33026</v>
      </c>
      <c r="O96" s="136"/>
    </row>
    <row r="97" spans="1:16" x14ac:dyDescent="0.2">
      <c r="C97" s="2370" t="s">
        <v>1419</v>
      </c>
      <c r="E97" s="2370" t="str">
        <f>Preferences.moneyunits</f>
        <v>N</v>
      </c>
      <c r="F97" s="136"/>
      <c r="G97" s="136"/>
      <c r="H97" s="136"/>
      <c r="I97" s="136"/>
      <c r="J97" s="136"/>
      <c r="K97" s="136"/>
      <c r="L97" s="136"/>
      <c r="M97" s="136"/>
      <c r="N97" s="136"/>
      <c r="O97" s="136"/>
    </row>
    <row r="98" spans="1:16" x14ac:dyDescent="0.2">
      <c r="C98" s="2370" t="s">
        <v>1421</v>
      </c>
      <c r="E98" s="2370" t="str">
        <f>Preferences.moneyunits</f>
        <v>N</v>
      </c>
      <c r="F98" s="136">
        <f xml:space="preserve"> F96 + F97</f>
        <v>0</v>
      </c>
      <c r="G98" s="136">
        <f t="shared" ref="G98:N98" si="9" xml:space="preserve"> G96 + G97</f>
        <v>164022641385.32056</v>
      </c>
      <c r="H98" s="136">
        <f t="shared" si="9"/>
        <v>164022641385.32071</v>
      </c>
      <c r="I98" s="136">
        <f t="shared" si="9"/>
        <v>164022641385.32251</v>
      </c>
      <c r="J98" s="136">
        <f t="shared" si="9"/>
        <v>164022641385.31873</v>
      </c>
      <c r="K98" s="136">
        <f t="shared" si="9"/>
        <v>164022641385.32248</v>
      </c>
      <c r="L98" s="136">
        <f t="shared" si="9"/>
        <v>164022641385.32056</v>
      </c>
      <c r="M98" s="136">
        <f t="shared" si="9"/>
        <v>164022641385.32071</v>
      </c>
      <c r="N98" s="136">
        <f t="shared" si="9"/>
        <v>164022641385.33026</v>
      </c>
      <c r="O98" s="136"/>
    </row>
    <row r="99" spans="1:16" x14ac:dyDescent="0.2">
      <c r="F99" s="136"/>
      <c r="G99" s="136"/>
      <c r="H99" s="136"/>
      <c r="I99" s="136"/>
      <c r="J99" s="136"/>
      <c r="K99" s="136"/>
      <c r="L99" s="136"/>
      <c r="M99" s="136"/>
      <c r="N99" s="136"/>
      <c r="O99" s="136"/>
    </row>
    <row r="100" spans="1:16" ht="12" customHeight="1" x14ac:dyDescent="0.2">
      <c r="B100" s="2370" t="s">
        <v>1688</v>
      </c>
      <c r="F100" s="171">
        <v>2010</v>
      </c>
      <c r="G100" s="171">
        <v>2015</v>
      </c>
      <c r="H100" s="171">
        <v>2020</v>
      </c>
      <c r="I100" s="171">
        <v>2025</v>
      </c>
      <c r="J100" s="171">
        <v>2030</v>
      </c>
      <c r="K100" s="171">
        <v>2035</v>
      </c>
      <c r="L100" s="171">
        <v>2040</v>
      </c>
      <c r="M100" s="171">
        <v>2045</v>
      </c>
      <c r="N100" s="171">
        <v>2050</v>
      </c>
      <c r="O100" s="136"/>
    </row>
    <row r="101" spans="1:16" x14ac:dyDescent="0.2">
      <c r="C101" s="2370" t="s">
        <v>1418</v>
      </c>
      <c r="E101" s="2370" t="str">
        <f>Preferences.moneyunits</f>
        <v>N</v>
      </c>
      <c r="F101" s="136">
        <f>(F$17-F$75)*INDEX($D$49:$D$52,MATCH($E$8,$C$49:$C$52,0),0)</f>
        <v>0</v>
      </c>
      <c r="G101" s="136">
        <f t="shared" ref="G101:N101" si="10">(G$64*INDEX($D$49:$D$52,MATCH($E$8,$C$49:$C$52,0),0))/(G$100-F$100)</f>
        <v>121498252878.01523</v>
      </c>
      <c r="H101" s="136">
        <f t="shared" si="10"/>
        <v>121498252878.01534</v>
      </c>
      <c r="I101" s="136">
        <f t="shared" si="10"/>
        <v>121498252878.01668</v>
      </c>
      <c r="J101" s="136">
        <f t="shared" si="10"/>
        <v>121498252878.01389</v>
      </c>
      <c r="K101" s="136">
        <f t="shared" si="10"/>
        <v>121498252878.01665</v>
      </c>
      <c r="L101" s="136">
        <f t="shared" si="10"/>
        <v>121498252878.01523</v>
      </c>
      <c r="M101" s="136">
        <f t="shared" si="10"/>
        <v>121498252878.01535</v>
      </c>
      <c r="N101" s="136">
        <f t="shared" si="10"/>
        <v>121498252878.02243</v>
      </c>
      <c r="O101" s="136"/>
    </row>
    <row r="102" spans="1:16" x14ac:dyDescent="0.2">
      <c r="C102" s="2370" t="s">
        <v>1419</v>
      </c>
      <c r="E102" s="2370" t="str">
        <f>Preferences.moneyunits</f>
        <v>N</v>
      </c>
      <c r="F102" s="136"/>
      <c r="G102" s="136"/>
      <c r="H102" s="136"/>
      <c r="I102" s="136"/>
      <c r="J102" s="136"/>
      <c r="K102" s="136"/>
      <c r="L102" s="136"/>
      <c r="M102" s="136"/>
      <c r="N102" s="136"/>
    </row>
    <row r="103" spans="1:16" x14ac:dyDescent="0.2">
      <c r="C103" s="2370" t="s">
        <v>1421</v>
      </c>
      <c r="E103" s="2370" t="str">
        <f>Preferences.moneyunits</f>
        <v>N</v>
      </c>
      <c r="F103" s="136">
        <f xml:space="preserve"> F101 + F102</f>
        <v>0</v>
      </c>
      <c r="G103" s="136">
        <f t="shared" ref="G103:N103" si="11" xml:space="preserve"> G101 + G102</f>
        <v>121498252878.01523</v>
      </c>
      <c r="H103" s="136">
        <f t="shared" si="11"/>
        <v>121498252878.01534</v>
      </c>
      <c r="I103" s="136">
        <f t="shared" si="11"/>
        <v>121498252878.01668</v>
      </c>
      <c r="J103" s="136">
        <f t="shared" si="11"/>
        <v>121498252878.01389</v>
      </c>
      <c r="K103" s="136">
        <f t="shared" si="11"/>
        <v>121498252878.01665</v>
      </c>
      <c r="L103" s="136">
        <f t="shared" si="11"/>
        <v>121498252878.01523</v>
      </c>
      <c r="M103" s="136">
        <f t="shared" si="11"/>
        <v>121498252878.01535</v>
      </c>
      <c r="N103" s="136">
        <f t="shared" si="11"/>
        <v>121498252878.02243</v>
      </c>
    </row>
    <row r="104" spans="1:16" x14ac:dyDescent="0.2">
      <c r="B104" s="84"/>
      <c r="C104" s="84"/>
      <c r="D104" s="84"/>
      <c r="E104" s="84"/>
      <c r="F104" s="23"/>
      <c r="G104" s="84"/>
      <c r="H104" s="84"/>
      <c r="I104" s="84"/>
      <c r="J104" s="84"/>
      <c r="K104" s="84"/>
      <c r="L104" s="84"/>
      <c r="M104" s="84"/>
      <c r="N104" s="84"/>
      <c r="O104" s="84"/>
      <c r="P104" s="84"/>
    </row>
    <row r="105" spans="1:16" ht="15.75" x14ac:dyDescent="0.2">
      <c r="B105" s="468" t="s">
        <v>236</v>
      </c>
      <c r="C105" s="421"/>
      <c r="D105" s="421"/>
      <c r="E105" s="421"/>
      <c r="F105" s="421"/>
      <c r="G105" s="421"/>
      <c r="H105" s="421"/>
      <c r="I105" s="421"/>
      <c r="J105" s="421"/>
      <c r="K105" s="421"/>
      <c r="L105" s="421"/>
      <c r="M105" s="421"/>
      <c r="N105" s="421"/>
      <c r="O105" s="421"/>
      <c r="P105" s="423"/>
    </row>
    <row r="106" spans="1:16" x14ac:dyDescent="0.2">
      <c r="B106" s="410"/>
      <c r="C106" s="412"/>
      <c r="D106" s="412"/>
      <c r="E106" s="412"/>
      <c r="F106" s="412"/>
      <c r="G106" s="412"/>
      <c r="H106" s="412"/>
      <c r="I106" s="412"/>
      <c r="J106" s="412"/>
      <c r="K106" s="412"/>
      <c r="L106" s="412"/>
      <c r="M106" s="412"/>
      <c r="N106" s="412"/>
      <c r="O106" s="412"/>
      <c r="P106" s="414"/>
    </row>
    <row r="107" spans="1:16" s="84" customFormat="1" x14ac:dyDescent="0.2">
      <c r="B107" s="410"/>
      <c r="C107" s="424" t="s">
        <v>277</v>
      </c>
      <c r="D107" s="412"/>
      <c r="E107" s="413" t="str">
        <f>Preferences.EnergyUnits</f>
        <v>TWh</v>
      </c>
      <c r="F107" s="412"/>
      <c r="G107" s="413"/>
      <c r="H107" s="412"/>
      <c r="I107" s="412"/>
      <c r="J107" s="412"/>
      <c r="K107" s="412"/>
      <c r="L107" s="412"/>
      <c r="M107" s="412"/>
      <c r="N107" s="412"/>
      <c r="O107" s="412"/>
      <c r="P107" s="414"/>
    </row>
    <row r="108" spans="1:16" ht="22.5" collapsed="1" x14ac:dyDescent="0.3">
      <c r="A108" s="1422"/>
      <c r="B108" s="410"/>
      <c r="C108" s="412"/>
      <c r="D108" s="412"/>
      <c r="E108" s="412"/>
      <c r="F108" s="412"/>
      <c r="G108" s="412"/>
      <c r="H108" s="412"/>
      <c r="I108" s="412"/>
      <c r="J108" s="412"/>
      <c r="K108" s="412"/>
      <c r="L108" s="412"/>
      <c r="M108" s="412"/>
      <c r="N108" s="412"/>
      <c r="O108" s="412"/>
      <c r="P108" s="414"/>
    </row>
    <row r="109" spans="1:16" ht="15.75" x14ac:dyDescent="0.25">
      <c r="B109" s="415"/>
      <c r="C109" s="426" t="s">
        <v>64</v>
      </c>
      <c r="D109" s="426" t="s">
        <v>150</v>
      </c>
      <c r="E109" s="426" t="s">
        <v>172</v>
      </c>
      <c r="F109" s="426" t="s">
        <v>241</v>
      </c>
      <c r="G109" s="427" t="s">
        <v>268</v>
      </c>
      <c r="H109" s="427" t="s">
        <v>269</v>
      </c>
      <c r="I109" s="427" t="s">
        <v>270</v>
      </c>
      <c r="J109" s="427" t="s">
        <v>271</v>
      </c>
      <c r="K109" s="427" t="s">
        <v>272</v>
      </c>
      <c r="L109" s="427" t="s">
        <v>273</v>
      </c>
      <c r="M109" s="427" t="s">
        <v>274</v>
      </c>
      <c r="N109" s="427" t="s">
        <v>275</v>
      </c>
      <c r="O109" s="414"/>
    </row>
    <row r="110" spans="1:16" ht="15.75" x14ac:dyDescent="0.25">
      <c r="B110" s="415"/>
      <c r="C110" s="426" t="s">
        <v>5</v>
      </c>
      <c r="D110" s="426" t="str">
        <f>INDEX(Vectors[Description], MATCH(IX.c.Outputs[Vector], Vectors[Code], 0))</f>
        <v>Cooling</v>
      </c>
      <c r="E110" s="426"/>
      <c r="F110" s="500">
        <f t="shared" ref="F110:N110" si="12">F76</f>
        <v>7.6376658252466445</v>
      </c>
      <c r="G110" s="500">
        <f t="shared" si="12"/>
        <v>11.164654317475202</v>
      </c>
      <c r="H110" s="500">
        <f t="shared" si="12"/>
        <v>14.39449468289782</v>
      </c>
      <c r="I110" s="500">
        <f t="shared" si="12"/>
        <v>17.327186921514574</v>
      </c>
      <c r="J110" s="500">
        <f t="shared" si="12"/>
        <v>19.962731033325539</v>
      </c>
      <c r="K110" s="500">
        <f t="shared" si="12"/>
        <v>22.301127018330565</v>
      </c>
      <c r="L110" s="500">
        <f t="shared" si="12"/>
        <v>24.342374876529728</v>
      </c>
      <c r="M110" s="500">
        <f t="shared" si="12"/>
        <v>26.086474607923098</v>
      </c>
      <c r="N110" s="500">
        <f t="shared" si="12"/>
        <v>27.533426212510538</v>
      </c>
      <c r="O110" s="414"/>
    </row>
    <row r="111" spans="1:16" ht="15.75" x14ac:dyDescent="0.25">
      <c r="A111" s="3"/>
      <c r="B111" s="415"/>
      <c r="C111" s="426" t="s">
        <v>34</v>
      </c>
      <c r="D111" s="426" t="str">
        <f>INDEX(Vectors[Description], MATCH(IX.c.Outputs[Vector], Vectors[Code], 0))</f>
        <v>Electricity (delivered to end user)</v>
      </c>
      <c r="E111" s="426"/>
      <c r="F111" s="500">
        <f t="shared" ref="F111:N111" si="13">-F80</f>
        <v>-7.6376658252466445</v>
      </c>
      <c r="G111" s="500">
        <f t="shared" si="13"/>
        <v>-11.164654317475202</v>
      </c>
      <c r="H111" s="500">
        <f t="shared" si="13"/>
        <v>-14.39449468289782</v>
      </c>
      <c r="I111" s="500">
        <f t="shared" si="13"/>
        <v>-17.327186921514574</v>
      </c>
      <c r="J111" s="500">
        <f t="shared" si="13"/>
        <v>-19.962731033325539</v>
      </c>
      <c r="K111" s="500">
        <f t="shared" si="13"/>
        <v>-22.301127018330565</v>
      </c>
      <c r="L111" s="500">
        <f t="shared" si="13"/>
        <v>-24.342374876529728</v>
      </c>
      <c r="M111" s="500">
        <f t="shared" si="13"/>
        <v>-26.086474607923098</v>
      </c>
      <c r="N111" s="500">
        <f t="shared" si="13"/>
        <v>-27.533426212510538</v>
      </c>
      <c r="O111" s="414"/>
    </row>
    <row r="112" spans="1:16" ht="15" customHeight="1" x14ac:dyDescent="0.25">
      <c r="A112" s="3"/>
      <c r="B112" s="416"/>
      <c r="C112" s="97" t="s">
        <v>105</v>
      </c>
      <c r="D112" s="97"/>
      <c r="E112" s="97"/>
      <c r="F112" s="2412">
        <f>SUBTOTAL(109,IX.c.Outputs[2010])</f>
        <v>0</v>
      </c>
      <c r="G112" s="2412">
        <f>SUBTOTAL(109,IX.c.Outputs[2015])</f>
        <v>0</v>
      </c>
      <c r="H112" s="2412">
        <f>SUBTOTAL(109,IX.c.Outputs[2020])</f>
        <v>0</v>
      </c>
      <c r="I112" s="2412">
        <f>SUBTOTAL(109,IX.c.Outputs[2025])</f>
        <v>0</v>
      </c>
      <c r="J112" s="2412">
        <f>SUBTOTAL(109,IX.c.Outputs[2030])</f>
        <v>0</v>
      </c>
      <c r="K112" s="2412">
        <f>SUBTOTAL(109,IX.c.Outputs[2035])</f>
        <v>0</v>
      </c>
      <c r="L112" s="2412">
        <f>SUBTOTAL(109,IX.c.Outputs[2040])</f>
        <v>0</v>
      </c>
      <c r="M112" s="2412">
        <f>SUBTOTAL(109,IX.c.Outputs[2045])</f>
        <v>0</v>
      </c>
      <c r="N112" s="2412">
        <f>SUBTOTAL(109,IX.c.Outputs[2050])</f>
        <v>0</v>
      </c>
      <c r="O112" s="419"/>
    </row>
    <row r="113" spans="1:16" ht="15.75" x14ac:dyDescent="0.25">
      <c r="A113" s="3"/>
      <c r="B113" s="600"/>
      <c r="C113" s="417"/>
      <c r="D113" s="417"/>
      <c r="E113" s="417"/>
      <c r="F113" s="519"/>
      <c r="G113" s="417"/>
      <c r="H113" s="417"/>
      <c r="I113" s="417"/>
      <c r="J113" s="417"/>
      <c r="K113" s="417"/>
      <c r="L113" s="417"/>
      <c r="M113" s="417"/>
      <c r="N113" s="417"/>
      <c r="O113" s="417"/>
    </row>
    <row r="114" spans="1:16" ht="15.75" x14ac:dyDescent="0.25">
      <c r="A114" s="3"/>
      <c r="P114" s="438"/>
    </row>
    <row r="115" spans="1:16" ht="15.75" x14ac:dyDescent="0.25">
      <c r="B115" s="504"/>
      <c r="C115" s="451"/>
      <c r="D115" s="451"/>
      <c r="E115" s="451"/>
      <c r="F115" s="451"/>
      <c r="G115" s="451"/>
      <c r="H115" s="451"/>
      <c r="I115" s="451"/>
      <c r="J115" s="451"/>
      <c r="K115" s="451"/>
      <c r="L115" s="451"/>
      <c r="M115" s="451"/>
      <c r="N115" s="451"/>
      <c r="O115" s="451"/>
    </row>
    <row r="117" spans="1:16" x14ac:dyDescent="0.2">
      <c r="P117" s="1432"/>
    </row>
    <row r="118" spans="1:16" ht="15.75" x14ac:dyDescent="0.2">
      <c r="B118" s="1430" t="s">
        <v>1225</v>
      </c>
      <c r="C118" s="1218"/>
      <c r="D118" s="1431"/>
      <c r="E118" s="1431"/>
      <c r="F118" s="1431"/>
      <c r="G118" s="1431"/>
      <c r="H118" s="1431"/>
      <c r="I118" s="1431"/>
      <c r="J118" s="1431"/>
      <c r="K118" s="1431"/>
      <c r="L118" s="1431"/>
      <c r="M118" s="1431"/>
      <c r="N118" s="1431"/>
      <c r="O118" s="1431"/>
      <c r="P118" s="1221"/>
    </row>
    <row r="119" spans="1:16" x14ac:dyDescent="0.2">
      <c r="B119" s="1219"/>
      <c r="C119" s="1220"/>
      <c r="D119" s="1220"/>
      <c r="E119" s="1220"/>
      <c r="F119" s="1220"/>
      <c r="G119" s="1220"/>
      <c r="H119" s="1220"/>
      <c r="I119" s="1220"/>
      <c r="J119" s="1220"/>
      <c r="K119" s="1220"/>
      <c r="L119" s="1220"/>
      <c r="M119" s="1220"/>
      <c r="N119" s="1220"/>
      <c r="O119" s="1220"/>
      <c r="P119" s="1435"/>
    </row>
    <row r="120" spans="1:16" ht="21.75" customHeight="1" collapsed="1" x14ac:dyDescent="0.2">
      <c r="B120" s="1433"/>
      <c r="C120" s="1222" t="s">
        <v>1230</v>
      </c>
      <c r="D120" s="1434"/>
      <c r="E120" s="1223"/>
      <c r="F120" s="1434"/>
      <c r="G120" s="1223"/>
      <c r="H120" s="1434"/>
      <c r="I120" s="1434"/>
      <c r="J120" s="1434"/>
      <c r="K120" s="1434"/>
      <c r="L120" s="1434"/>
      <c r="M120" s="1434"/>
      <c r="N120" s="1434"/>
      <c r="O120" s="1223"/>
      <c r="P120" s="1435"/>
    </row>
    <row r="121" spans="1:16" x14ac:dyDescent="0.2">
      <c r="B121" s="1433"/>
      <c r="C121" s="1434"/>
      <c r="D121" s="1434"/>
      <c r="E121" s="1434"/>
      <c r="F121" s="1434"/>
      <c r="G121" s="1434"/>
      <c r="H121" s="1434"/>
      <c r="I121" s="1434"/>
      <c r="J121" s="1434"/>
      <c r="K121" s="1434"/>
      <c r="L121" s="1434"/>
      <c r="M121" s="1434"/>
      <c r="N121" s="1434"/>
      <c r="O121" s="1434"/>
      <c r="P121" s="1435"/>
    </row>
    <row r="122" spans="1:16" ht="15.75" x14ac:dyDescent="0.25">
      <c r="B122" s="1436"/>
      <c r="C122" s="1437" t="s">
        <v>64</v>
      </c>
      <c r="D122" s="1437" t="s">
        <v>1226</v>
      </c>
      <c r="E122" s="1437" t="s">
        <v>172</v>
      </c>
      <c r="F122" s="1437" t="s">
        <v>241</v>
      </c>
      <c r="G122" s="1437" t="s">
        <v>268</v>
      </c>
      <c r="H122" s="1437" t="s">
        <v>269</v>
      </c>
      <c r="I122" s="1437" t="s">
        <v>270</v>
      </c>
      <c r="J122" s="1437" t="s">
        <v>271</v>
      </c>
      <c r="K122" s="1437" t="s">
        <v>272</v>
      </c>
      <c r="L122" s="1437" t="s">
        <v>273</v>
      </c>
      <c r="M122" s="1437" t="s">
        <v>274</v>
      </c>
      <c r="N122" s="1437" t="s">
        <v>275</v>
      </c>
      <c r="O122" s="1435"/>
    </row>
    <row r="123" spans="1:16" ht="15.75" x14ac:dyDescent="0.25">
      <c r="B123" s="1436"/>
      <c r="C123" s="1438"/>
      <c r="D123" s="1439"/>
      <c r="E123" s="1439"/>
      <c r="F123" s="1226"/>
      <c r="G123" s="1226"/>
      <c r="H123" s="1226"/>
      <c r="I123" s="1226"/>
      <c r="J123" s="1226"/>
      <c r="K123" s="1226"/>
      <c r="L123" s="1226"/>
      <c r="M123" s="1226"/>
      <c r="N123" s="1226"/>
      <c r="O123" s="1435"/>
    </row>
    <row r="124" spans="1:16" ht="15.75" x14ac:dyDescent="0.25">
      <c r="B124" s="1436"/>
      <c r="C124" s="1438"/>
      <c r="D124" s="1439"/>
      <c r="E124" s="1439"/>
      <c r="F124" s="1226"/>
      <c r="G124" s="1226"/>
      <c r="H124" s="1226"/>
      <c r="I124" s="1226"/>
      <c r="J124" s="1226"/>
      <c r="K124" s="1226"/>
      <c r="L124" s="1226"/>
      <c r="M124" s="1226"/>
      <c r="N124" s="1226"/>
      <c r="O124" s="1224"/>
    </row>
    <row r="125" spans="1:16" ht="15.75" x14ac:dyDescent="0.25">
      <c r="B125" s="1227"/>
      <c r="C125" s="1440"/>
      <c r="D125" s="1440"/>
      <c r="E125" s="1440"/>
      <c r="F125" s="1440"/>
      <c r="G125" s="1440"/>
      <c r="H125" s="1440"/>
      <c r="I125" s="1440"/>
      <c r="J125" s="1440"/>
      <c r="K125" s="1440"/>
      <c r="L125" s="1440"/>
      <c r="M125" s="1440"/>
      <c r="N125" s="1440"/>
      <c r="O125" s="1440"/>
    </row>
    <row r="127" spans="1:16" x14ac:dyDescent="0.2">
      <c r="P127" s="1432"/>
    </row>
    <row r="128" spans="1:16" ht="15.75" x14ac:dyDescent="0.2">
      <c r="B128" s="1430" t="s">
        <v>1424</v>
      </c>
      <c r="C128" s="1431"/>
      <c r="D128" s="1431"/>
      <c r="E128" s="1431"/>
      <c r="F128" s="1431"/>
      <c r="G128" s="1431"/>
      <c r="H128" s="1431"/>
      <c r="I128" s="1431"/>
      <c r="J128" s="1431"/>
      <c r="K128" s="1431"/>
      <c r="L128" s="1431"/>
      <c r="M128" s="1431"/>
      <c r="N128" s="1431"/>
      <c r="O128" s="1431"/>
      <c r="P128" s="1435"/>
    </row>
    <row r="129" spans="2:16" x14ac:dyDescent="0.2">
      <c r="B129" s="1433"/>
      <c r="C129" s="1434"/>
      <c r="D129" s="1434"/>
      <c r="E129" s="1434"/>
      <c r="F129" s="1434"/>
      <c r="G129" s="1434"/>
      <c r="H129" s="1434"/>
      <c r="I129" s="1434"/>
      <c r="J129" s="1434"/>
      <c r="K129" s="1434"/>
      <c r="L129" s="1434"/>
      <c r="M129" s="1434"/>
      <c r="N129" s="1434"/>
      <c r="O129" s="1434"/>
      <c r="P129" s="1435"/>
    </row>
    <row r="130" spans="2:16" x14ac:dyDescent="0.2">
      <c r="B130" s="1433"/>
      <c r="C130" s="1441" t="s">
        <v>1425</v>
      </c>
      <c r="D130" s="1442"/>
      <c r="E130" s="1442"/>
      <c r="F130" s="1442"/>
      <c r="G130" s="1442"/>
      <c r="H130" s="1442"/>
      <c r="I130" s="1442"/>
      <c r="J130" s="1442"/>
      <c r="K130" s="1442"/>
      <c r="L130" s="1442"/>
      <c r="M130" s="1442"/>
      <c r="N130" s="1442"/>
      <c r="O130" s="1442"/>
      <c r="P130" s="1435"/>
    </row>
    <row r="131" spans="2:16" ht="6" customHeight="1" x14ac:dyDescent="0.2">
      <c r="B131" s="1433"/>
      <c r="C131" s="1434"/>
      <c r="D131" s="1434"/>
      <c r="E131" s="1434"/>
      <c r="F131" s="1434"/>
      <c r="G131" s="1434"/>
      <c r="H131" s="1434"/>
      <c r="I131" s="1434"/>
      <c r="J131" s="1434"/>
      <c r="K131" s="1434"/>
      <c r="L131" s="1434"/>
      <c r="M131" s="1434"/>
      <c r="N131" s="1434"/>
      <c r="O131" s="1434"/>
      <c r="P131" s="1443"/>
    </row>
    <row r="132" spans="2:16" ht="15" customHeight="1" x14ac:dyDescent="0.25">
      <c r="B132" s="1436"/>
      <c r="C132" s="1437" t="s">
        <v>64</v>
      </c>
      <c r="D132" s="1437" t="s">
        <v>150</v>
      </c>
      <c r="E132" s="1437" t="s">
        <v>172</v>
      </c>
      <c r="F132" s="1437" t="s">
        <v>241</v>
      </c>
      <c r="G132" s="1437" t="s">
        <v>268</v>
      </c>
      <c r="H132" s="1437" t="s">
        <v>269</v>
      </c>
      <c r="I132" s="1437" t="s">
        <v>270</v>
      </c>
      <c r="J132" s="1437" t="s">
        <v>271</v>
      </c>
      <c r="K132" s="1437" t="s">
        <v>272</v>
      </c>
      <c r="L132" s="1437" t="s">
        <v>273</v>
      </c>
      <c r="M132" s="1437" t="s">
        <v>274</v>
      </c>
      <c r="N132" s="1437" t="s">
        <v>275</v>
      </c>
      <c r="O132" s="1443"/>
    </row>
    <row r="133" spans="2:16" ht="15" customHeight="1" x14ac:dyDescent="0.25">
      <c r="B133" s="1436"/>
      <c r="C133" s="1438" t="s">
        <v>1391</v>
      </c>
      <c r="D133" s="1439" t="s">
        <v>1392</v>
      </c>
      <c r="E133" s="1439"/>
      <c r="F133" s="1448">
        <f t="shared" ref="F133:N133" si="14">F91</f>
        <v>0</v>
      </c>
      <c r="G133" s="1448">
        <f t="shared" si="14"/>
        <v>242996505756.03046</v>
      </c>
      <c r="H133" s="1448">
        <f t="shared" si="14"/>
        <v>242996505756.03067</v>
      </c>
      <c r="I133" s="1448">
        <f t="shared" si="14"/>
        <v>242996505756.03336</v>
      </c>
      <c r="J133" s="1448">
        <f t="shared" si="14"/>
        <v>242996505756.02777</v>
      </c>
      <c r="K133" s="1448">
        <f t="shared" si="14"/>
        <v>242996505756.03329</v>
      </c>
      <c r="L133" s="1448">
        <f t="shared" si="14"/>
        <v>242996505756.03046</v>
      </c>
      <c r="M133" s="1448">
        <f t="shared" si="14"/>
        <v>242996505756.0307</v>
      </c>
      <c r="N133" s="1448">
        <f t="shared" si="14"/>
        <v>242996505756.04486</v>
      </c>
      <c r="O133" s="1443"/>
    </row>
    <row r="134" spans="2:16" ht="15" customHeight="1" x14ac:dyDescent="0.25">
      <c r="B134" s="1436"/>
      <c r="C134" s="1438" t="s">
        <v>1393</v>
      </c>
      <c r="D134" s="1439" t="s">
        <v>1394</v>
      </c>
      <c r="E134" s="1439"/>
      <c r="F134" s="1448"/>
      <c r="G134" s="1448"/>
      <c r="H134" s="1448"/>
      <c r="I134" s="1448"/>
      <c r="J134" s="1448"/>
      <c r="K134" s="1448"/>
      <c r="L134" s="1448"/>
      <c r="M134" s="1448"/>
      <c r="N134" s="1448"/>
      <c r="O134" s="1443"/>
    </row>
    <row r="135" spans="2:16" ht="15" customHeight="1" x14ac:dyDescent="0.25">
      <c r="B135" s="1436"/>
      <c r="C135" s="1438" t="s">
        <v>1395</v>
      </c>
      <c r="D135" s="1439" t="s">
        <v>1396</v>
      </c>
      <c r="E135" s="1439"/>
      <c r="F135" s="1448"/>
      <c r="G135" s="1448"/>
      <c r="H135" s="1448"/>
      <c r="I135" s="1448"/>
      <c r="J135" s="1448"/>
      <c r="K135" s="1448"/>
      <c r="L135" s="1448"/>
      <c r="M135" s="1448"/>
      <c r="N135" s="1448"/>
      <c r="O135" s="1443"/>
    </row>
    <row r="136" spans="2:16" ht="15" customHeight="1" x14ac:dyDescent="0.25">
      <c r="B136" s="1436"/>
      <c r="C136" s="1438" t="s">
        <v>1866</v>
      </c>
      <c r="D136" s="1438" t="s">
        <v>1867</v>
      </c>
      <c r="E136" s="1439"/>
      <c r="F136" s="1448">
        <f>F96</f>
        <v>0</v>
      </c>
      <c r="G136" s="1448">
        <f t="shared" ref="G136:N136" si="15">G96</f>
        <v>164022641385.32056</v>
      </c>
      <c r="H136" s="1448">
        <f t="shared" si="15"/>
        <v>164022641385.32071</v>
      </c>
      <c r="I136" s="1448">
        <f t="shared" si="15"/>
        <v>164022641385.32251</v>
      </c>
      <c r="J136" s="1448">
        <f t="shared" si="15"/>
        <v>164022641385.31873</v>
      </c>
      <c r="K136" s="1448">
        <f t="shared" si="15"/>
        <v>164022641385.32248</v>
      </c>
      <c r="L136" s="1448">
        <f t="shared" si="15"/>
        <v>164022641385.32056</v>
      </c>
      <c r="M136" s="1448">
        <f t="shared" si="15"/>
        <v>164022641385.32071</v>
      </c>
      <c r="N136" s="1448">
        <f t="shared" si="15"/>
        <v>164022641385.33026</v>
      </c>
      <c r="O136" s="1443"/>
    </row>
    <row r="137" spans="2:16" ht="15" customHeight="1" x14ac:dyDescent="0.25">
      <c r="B137" s="1436"/>
      <c r="C137" s="1438" t="s">
        <v>1868</v>
      </c>
      <c r="D137" s="1438" t="s">
        <v>1952</v>
      </c>
      <c r="E137" s="1439"/>
      <c r="F137" s="1448"/>
      <c r="G137" s="1448"/>
      <c r="H137" s="1448"/>
      <c r="I137" s="1448"/>
      <c r="J137" s="1448"/>
      <c r="K137" s="1448"/>
      <c r="L137" s="1448"/>
      <c r="M137" s="1448"/>
      <c r="N137" s="1448"/>
      <c r="O137" s="1443"/>
    </row>
    <row r="138" spans="2:16" ht="15" customHeight="1" x14ac:dyDescent="0.25">
      <c r="B138" s="1436"/>
      <c r="C138" s="1438" t="s">
        <v>1869</v>
      </c>
      <c r="D138" s="1438" t="s">
        <v>1870</v>
      </c>
      <c r="E138" s="1439"/>
      <c r="F138" s="1448"/>
      <c r="G138" s="1448"/>
      <c r="H138" s="1448"/>
      <c r="I138" s="1448"/>
      <c r="J138" s="1448"/>
      <c r="K138" s="1448"/>
      <c r="L138" s="1448"/>
      <c r="M138" s="1448"/>
      <c r="N138" s="1448"/>
      <c r="O138" s="1445"/>
    </row>
    <row r="139" spans="2:16" ht="15" customHeight="1" x14ac:dyDescent="0.2">
      <c r="B139" s="1444"/>
      <c r="C139" s="1438" t="s">
        <v>1382</v>
      </c>
      <c r="D139" s="1439" t="s">
        <v>1383</v>
      </c>
      <c r="E139" s="1439"/>
      <c r="F139" s="1448">
        <f t="shared" ref="F139:N139" si="16">F101</f>
        <v>0</v>
      </c>
      <c r="G139" s="1448">
        <f t="shared" si="16"/>
        <v>121498252878.01523</v>
      </c>
      <c r="H139" s="1448">
        <f t="shared" si="16"/>
        <v>121498252878.01534</v>
      </c>
      <c r="I139" s="1448">
        <f t="shared" si="16"/>
        <v>121498252878.01668</v>
      </c>
      <c r="J139" s="1448">
        <f t="shared" si="16"/>
        <v>121498252878.01389</v>
      </c>
      <c r="K139" s="1448">
        <f t="shared" si="16"/>
        <v>121498252878.01665</v>
      </c>
      <c r="L139" s="1448">
        <f t="shared" si="16"/>
        <v>121498252878.01523</v>
      </c>
      <c r="M139" s="1448">
        <f t="shared" si="16"/>
        <v>121498252878.01535</v>
      </c>
      <c r="N139" s="1448">
        <f t="shared" si="16"/>
        <v>121498252878.02243</v>
      </c>
      <c r="O139" s="1445"/>
    </row>
    <row r="140" spans="2:16" ht="15" customHeight="1" x14ac:dyDescent="0.2">
      <c r="B140" s="1444"/>
      <c r="C140" s="1438" t="s">
        <v>1384</v>
      </c>
      <c r="D140" s="1439" t="s">
        <v>1385</v>
      </c>
      <c r="E140" s="1439"/>
      <c r="F140" s="1448"/>
      <c r="G140" s="1448"/>
      <c r="H140" s="1448"/>
      <c r="I140" s="1448"/>
      <c r="J140" s="1448"/>
      <c r="K140" s="1448"/>
      <c r="L140" s="1448"/>
      <c r="M140" s="1448"/>
      <c r="N140" s="1448"/>
      <c r="O140" s="1445"/>
    </row>
    <row r="141" spans="2:16" ht="15" customHeight="1" x14ac:dyDescent="0.2">
      <c r="B141" s="1444"/>
      <c r="C141" s="1438" t="s">
        <v>1386</v>
      </c>
      <c r="D141" s="1439" t="s">
        <v>1387</v>
      </c>
      <c r="E141" s="1439"/>
      <c r="F141" s="1448"/>
      <c r="G141" s="1448"/>
      <c r="H141" s="1448"/>
      <c r="I141" s="1448"/>
      <c r="J141" s="1448"/>
      <c r="K141" s="1448"/>
      <c r="L141" s="1448"/>
      <c r="M141" s="1448"/>
      <c r="N141" s="1448"/>
      <c r="O141" s="1447"/>
    </row>
    <row r="142" spans="2:16" ht="14.25" x14ac:dyDescent="0.2">
      <c r="B142" s="1446"/>
      <c r="C142" s="1440"/>
      <c r="D142" s="1440"/>
      <c r="E142" s="1440"/>
      <c r="F142" s="1440"/>
      <c r="G142" s="1440"/>
      <c r="H142" s="1440"/>
      <c r="I142" s="1440"/>
      <c r="J142" s="1440"/>
      <c r="K142" s="1440"/>
      <c r="L142" s="1440"/>
      <c r="M142" s="1440"/>
      <c r="N142" s="1440"/>
      <c r="O142" s="1440"/>
    </row>
  </sheetData>
  <pageMargins left="0.7" right="0.7" top="0.75" bottom="0.75" header="0.3" footer="0.3"/>
  <tableParts count="3">
    <tablePart r:id="rId1"/>
    <tablePart r:id="rId2"/>
    <tablePart r:id="rId3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 enableFormatConditionsCalculation="0">
    <tabColor theme="9"/>
    <outlinePr summaryBelow="0"/>
    <pageSetUpPr autoPageBreaks="0"/>
  </sheetPr>
  <dimension ref="A1:S240"/>
  <sheetViews>
    <sheetView windowProtection="1" zoomScaleNormal="100" workbookViewId="0"/>
  </sheetViews>
  <sheetFormatPr defaultColWidth="8.7109375" defaultRowHeight="12.75" x14ac:dyDescent="0.2"/>
  <cols>
    <col min="1" max="1" width="7.7109375" style="38" customWidth="1"/>
    <col min="2" max="2" width="5.7109375" style="38" customWidth="1"/>
    <col min="3" max="3" width="20.42578125" style="38" customWidth="1"/>
    <col min="4" max="4" width="30.7109375" style="38" customWidth="1"/>
    <col min="5" max="5" width="20.7109375" style="38" customWidth="1"/>
    <col min="6" max="15" width="17.7109375" style="38" customWidth="1"/>
    <col min="16" max="16" width="2" style="38" customWidth="1"/>
    <col min="17" max="17" width="10.7109375" style="38" customWidth="1"/>
    <col min="18" max="16384" width="8.7109375" style="38"/>
  </cols>
  <sheetData>
    <row r="1" spans="1:16" ht="21" x14ac:dyDescent="0.35">
      <c r="A1" s="120" t="s">
        <v>230</v>
      </c>
      <c r="B1" s="120" t="str">
        <f>INDEX(Workstreams[Workstream], MATCH($A1, Workstreams[Code], 0))</f>
        <v>Lighting, Appliances &amp; Cooking</v>
      </c>
      <c r="C1" s="120"/>
      <c r="E1" s="1475"/>
    </row>
    <row r="2" spans="1:16" s="84" customFormat="1" ht="19.5" customHeight="1" x14ac:dyDescent="0.2">
      <c r="A2" s="6" t="s">
        <v>392</v>
      </c>
      <c r="B2" s="6" t="str">
        <f>INDEX(Modules[Module], MATCH($A2, Modules[Code], 0))</f>
        <v>Residential Lighting, Appliances, and Cooking</v>
      </c>
      <c r="C2" s="6"/>
      <c r="E2" s="1380"/>
    </row>
    <row r="4" spans="1:16" ht="22.5" collapsed="1" x14ac:dyDescent="0.3">
      <c r="A4" s="409"/>
      <c r="B4" s="468" t="s">
        <v>596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ht="5.25" customHeight="1" x14ac:dyDescent="0.2">
      <c r="B6" s="410"/>
      <c r="C6" s="411"/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6" ht="15.75" x14ac:dyDescent="0.25">
      <c r="B7" s="415"/>
      <c r="C7" s="412"/>
      <c r="D7" s="216" t="s">
        <v>342</v>
      </c>
      <c r="E7" s="216" t="s">
        <v>595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ht="15.75" x14ac:dyDescent="0.25">
      <c r="B8" s="415"/>
      <c r="C8" s="412"/>
      <c r="D8" s="521" t="s">
        <v>594</v>
      </c>
      <c r="E8" s="521">
        <f>X.a.Scenario.Demand</f>
        <v>4</v>
      </c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4"/>
    </row>
    <row r="9" spans="1:16" ht="15.75" x14ac:dyDescent="0.25">
      <c r="B9" s="415"/>
      <c r="C9" s="412"/>
      <c r="D9" s="522" t="s">
        <v>800</v>
      </c>
      <c r="E9" s="522">
        <f>MIN(X.a.Scenario.Technology,4)</f>
        <v>4</v>
      </c>
      <c r="F9" s="412"/>
      <c r="G9" s="412"/>
      <c r="H9" s="412"/>
      <c r="I9" s="412"/>
      <c r="J9" s="412"/>
      <c r="K9" s="412"/>
      <c r="L9" s="412"/>
      <c r="M9" s="412"/>
      <c r="N9" s="412"/>
      <c r="O9" s="412"/>
      <c r="P9" s="414"/>
    </row>
    <row r="10" spans="1:16" ht="15.75" x14ac:dyDescent="0.25">
      <c r="B10" s="415"/>
      <c r="C10" s="412"/>
      <c r="D10" s="97"/>
      <c r="E10" s="97"/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4"/>
    </row>
    <row r="11" spans="1:16" x14ac:dyDescent="0.2">
      <c r="B11" s="430"/>
      <c r="C11" s="418"/>
      <c r="D11" s="418"/>
      <c r="E11" s="418"/>
      <c r="F11" s="418"/>
      <c r="G11" s="418"/>
      <c r="H11" s="418"/>
      <c r="I11" s="418"/>
      <c r="J11" s="418"/>
      <c r="K11" s="418"/>
      <c r="L11" s="418"/>
      <c r="M11" s="418"/>
      <c r="N11" s="418"/>
      <c r="O11" s="418"/>
      <c r="P11" s="419"/>
    </row>
    <row r="13" spans="1:16" s="84" customFormat="1" ht="22.5" collapsed="1" x14ac:dyDescent="0.2">
      <c r="A13" s="408"/>
      <c r="B13" s="472" t="s">
        <v>597</v>
      </c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N13" s="405"/>
      <c r="O13" s="406"/>
    </row>
    <row r="14" spans="1:16" x14ac:dyDescent="0.2">
      <c r="B14" s="395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396"/>
    </row>
    <row r="15" spans="1:16" x14ac:dyDescent="0.2">
      <c r="B15" s="395"/>
      <c r="C15" s="175" t="s">
        <v>801</v>
      </c>
      <c r="D15" s="173"/>
      <c r="E15" s="490"/>
      <c r="F15" s="173"/>
      <c r="G15" s="173"/>
      <c r="H15" s="173"/>
      <c r="I15" s="173"/>
      <c r="J15" s="173"/>
      <c r="K15" s="173"/>
      <c r="L15" s="173"/>
      <c r="M15" s="173"/>
      <c r="N15" s="490" t="str">
        <f>Preferences.EnergyUnits</f>
        <v>TWh</v>
      </c>
      <c r="O15" s="396"/>
    </row>
    <row r="16" spans="1:16" ht="5.25" customHeight="1" x14ac:dyDescent="0.2">
      <c r="B16" s="395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396"/>
    </row>
    <row r="17" spans="2:17" ht="15.75" x14ac:dyDescent="0.25">
      <c r="B17" s="397"/>
      <c r="C17" s="98" t="s">
        <v>595</v>
      </c>
      <c r="D17" s="98" t="s">
        <v>66</v>
      </c>
      <c r="E17" s="98" t="s">
        <v>172</v>
      </c>
      <c r="F17" s="218">
        <v>2010</v>
      </c>
      <c r="G17" s="217">
        <v>2015</v>
      </c>
      <c r="H17" s="217">
        <v>2020</v>
      </c>
      <c r="I17" s="217">
        <v>2025</v>
      </c>
      <c r="J17" s="217">
        <v>2030</v>
      </c>
      <c r="K17" s="217">
        <v>2035</v>
      </c>
      <c r="L17" s="217">
        <v>2040</v>
      </c>
      <c r="M17" s="217">
        <v>2045</v>
      </c>
      <c r="N17" s="217">
        <v>2050</v>
      </c>
      <c r="O17" s="396"/>
    </row>
    <row r="18" spans="2:17" ht="15.75" x14ac:dyDescent="0.25">
      <c r="B18" s="397"/>
      <c r="C18" s="144">
        <v>1</v>
      </c>
      <c r="D18" s="145" t="s">
        <v>57</v>
      </c>
      <c r="E18" s="488"/>
      <c r="F18" s="1515">
        <f>(Unit.GWyear)*8.19905835643482E-08</f>
        <v>7.187130574083633E-7</v>
      </c>
      <c r="G18" s="556">
        <f>(Unit.GWyear)*1.56022453936662E-07</f>
        <v>1.3676616267179915E-6</v>
      </c>
      <c r="H18" s="556">
        <f>(Unit.GWyear)*2.95538771447737E-07</f>
        <v>2.5906337627565729E-6</v>
      </c>
      <c r="I18" s="556">
        <f>(Unit.GWyear)*5.74270232232755E-07</f>
        <v>5.0339380017058828E-6</v>
      </c>
      <c r="J18" s="556">
        <f>(Unit.GWyear)*8.01697712117196E-07</f>
        <v>7.0275218048769154E-6</v>
      </c>
      <c r="K18" s="556">
        <f>(Unit.GWyear)*1.02479092657844E-06</f>
        <v>8.9831123042012882E-6</v>
      </c>
      <c r="L18" s="556">
        <f>(Unit.GWyear)*1.23342982617944E-06</f>
        <v>1.0811999170323734E-5</v>
      </c>
      <c r="M18" s="556">
        <f>(Unit.GWyear)*1.41940245824179E-06</f>
        <v>1.244219806845588E-5</v>
      </c>
      <c r="N18" s="556">
        <f>(Unit.GWyear)*1.58441754067398E-06</f>
        <v>1.3888687278039972E-5</v>
      </c>
      <c r="O18" s="396"/>
    </row>
    <row r="19" spans="2:17" ht="15.75" x14ac:dyDescent="0.25">
      <c r="B19" s="397"/>
      <c r="C19" s="144">
        <v>2</v>
      </c>
      <c r="D19" s="145" t="s">
        <v>57</v>
      </c>
      <c r="E19" s="145"/>
      <c r="F19" s="1515">
        <f>(Unit.GWyear)*8.19905835643482E-08</f>
        <v>7.187130574083633E-7</v>
      </c>
      <c r="G19" s="557">
        <f>(Unit.GWyear)*1.17016840452497E-07</f>
        <v>1.025746220038498E-6</v>
      </c>
      <c r="H19" s="557">
        <f>(Unit.GWyear)*2.21654078585803E-07</f>
        <v>1.9429753220674318E-6</v>
      </c>
      <c r="I19" s="557">
        <f>(Unit.GWyear)*4.30702674174566E-07</f>
        <v>3.7754535012794102E-6</v>
      </c>
      <c r="J19" s="557">
        <f>(Unit.GWyear)*6.01273284087897E-07</f>
        <v>5.2706413536576867E-6</v>
      </c>
      <c r="K19" s="557">
        <f>(Unit.GWyear)*7.68593194933833E-07</f>
        <v>6.737334228150992E-6</v>
      </c>
      <c r="L19" s="557">
        <f>(Unit.GWyear)*9.2507236963458E-07</f>
        <v>8.1089993777428E-6</v>
      </c>
      <c r="M19" s="557">
        <f>(Unit.GWyear)*1.06455184368134E-06</f>
        <v>9.331648551341889E-6</v>
      </c>
      <c r="N19" s="557">
        <f>(Unit.GWyear)*1.18831315550548E-06</f>
        <v>1.0416515458529934E-5</v>
      </c>
      <c r="O19" s="396"/>
    </row>
    <row r="20" spans="2:17" ht="15.75" x14ac:dyDescent="0.25">
      <c r="B20" s="397"/>
      <c r="C20" s="144">
        <v>3</v>
      </c>
      <c r="D20" s="145" t="s">
        <v>57</v>
      </c>
      <c r="E20" s="145"/>
      <c r="F20" s="1515">
        <f>(Unit.GWyear)*8.19905835643482E-08</f>
        <v>7.187130574083633E-7</v>
      </c>
      <c r="G20" s="557">
        <f>(Unit.GWyear)*1.09215717755664E-07</f>
        <v>9.5736313870259926E-7</v>
      </c>
      <c r="H20" s="557">
        <f>(Unit.GWyear)*2.06877140013416E-07</f>
        <v>1.8134436339296018E-6</v>
      </c>
      <c r="I20" s="557">
        <f>(Unit.GWyear)*4.01989162562929E-07</f>
        <v>3.5237566011941222E-6</v>
      </c>
      <c r="J20" s="557">
        <f>(Unit.GWyear)*5.61188398482037E-07</f>
        <v>4.9192652634138395E-6</v>
      </c>
      <c r="K20" s="557">
        <f>(Unit.GWyear)*7.17353648604911E-07</f>
        <v>6.2881786129409284E-6</v>
      </c>
      <c r="L20" s="557">
        <f>(Unit.GWyear)*8.63400878325608E-07</f>
        <v>7.5683994192266134E-6</v>
      </c>
      <c r="M20" s="557">
        <f>(Unit.GWyear)*9.9358172076925E-07</f>
        <v>8.7095386479190904E-6</v>
      </c>
      <c r="N20" s="557">
        <f>(Unit.GWyear)*1.10909227847179E-06</f>
        <v>9.7220810946280147E-6</v>
      </c>
      <c r="O20" s="396"/>
    </row>
    <row r="21" spans="2:17" ht="15.75" x14ac:dyDescent="0.25">
      <c r="B21" s="397"/>
      <c r="C21" s="101">
        <v>4</v>
      </c>
      <c r="D21" s="102" t="s">
        <v>57</v>
      </c>
      <c r="E21" s="102"/>
      <c r="F21" s="1516">
        <f>(Unit.GWyear)*8.19905835643482E-08</f>
        <v>7.187130574083633E-7</v>
      </c>
      <c r="G21" s="1091">
        <f>(Unit.GWyear)*9.36134723619974E-08</f>
        <v>8.205969760307966E-7</v>
      </c>
      <c r="H21" s="1091">
        <f>(Unit.GWyear)*1.77323262868642E-07</f>
        <v>1.5543802576539418E-6</v>
      </c>
      <c r="I21" s="1091">
        <f>(Unit.GWyear)*3.44562139339653E-07</f>
        <v>3.0203628010235297E-6</v>
      </c>
      <c r="J21" s="1091">
        <f>(Unit.GWyear)*4.81018627270317E-07</f>
        <v>4.2165130829261441E-6</v>
      </c>
      <c r="K21" s="1091">
        <f>(Unit.GWyear)*6.14874555947066E-07</f>
        <v>5.3898673825207901E-6</v>
      </c>
      <c r="L21" s="1091">
        <f>(Unit.GWyear)*7.40057895707664E-07</f>
        <v>6.4871995021942403E-6</v>
      </c>
      <c r="M21" s="1091">
        <f>(Unit.GWyear)*8.51641474945071E-07</f>
        <v>7.4653188410735025E-6</v>
      </c>
      <c r="N21" s="1091">
        <f>(Unit.GWyear)*9.50650524404388E-07</f>
        <v>8.3332123668239838E-6</v>
      </c>
      <c r="O21" s="396"/>
    </row>
    <row r="22" spans="2:17" ht="15.75" x14ac:dyDescent="0.25">
      <c r="B22" s="397"/>
      <c r="C22" s="144"/>
      <c r="D22" s="145"/>
      <c r="E22" s="145"/>
      <c r="F22" s="161"/>
      <c r="G22" s="161"/>
      <c r="H22" s="161"/>
      <c r="I22" s="161"/>
      <c r="J22" s="161"/>
      <c r="K22" s="161"/>
      <c r="L22" s="161"/>
      <c r="M22" s="161"/>
      <c r="N22" s="161"/>
      <c r="O22" s="396"/>
    </row>
    <row r="23" spans="2:17" ht="15.75" x14ac:dyDescent="0.25">
      <c r="B23" s="397"/>
      <c r="C23" s="175" t="s">
        <v>802</v>
      </c>
      <c r="D23" s="173"/>
      <c r="E23" s="490"/>
      <c r="F23" s="173"/>
      <c r="G23" s="173"/>
      <c r="H23" s="173"/>
      <c r="I23" s="173"/>
      <c r="J23" s="173"/>
      <c r="K23" s="173"/>
      <c r="L23" s="173"/>
      <c r="M23" s="173"/>
      <c r="N23" s="490" t="str">
        <f>Preferences.EnergyUnits</f>
        <v>TWh</v>
      </c>
      <c r="O23" s="396"/>
    </row>
    <row r="24" spans="2:17" ht="5.25" customHeight="1" x14ac:dyDescent="0.25">
      <c r="B24" s="397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396"/>
    </row>
    <row r="25" spans="2:17" ht="15.75" x14ac:dyDescent="0.25">
      <c r="B25" s="397"/>
      <c r="C25" s="98" t="s">
        <v>595</v>
      </c>
      <c r="D25" s="98" t="s">
        <v>66</v>
      </c>
      <c r="E25" s="98" t="s">
        <v>172</v>
      </c>
      <c r="F25" s="218">
        <v>2010</v>
      </c>
      <c r="G25" s="217">
        <v>2015</v>
      </c>
      <c r="H25" s="217">
        <v>2020</v>
      </c>
      <c r="I25" s="217">
        <v>2025</v>
      </c>
      <c r="J25" s="217">
        <v>2030</v>
      </c>
      <c r="K25" s="217">
        <v>2035</v>
      </c>
      <c r="L25" s="217">
        <v>2040</v>
      </c>
      <c r="M25" s="217">
        <v>2045</v>
      </c>
      <c r="N25" s="217">
        <v>2050</v>
      </c>
      <c r="O25" s="396"/>
    </row>
    <row r="26" spans="2:17" ht="15.75" x14ac:dyDescent="0.25">
      <c r="B26" s="397"/>
      <c r="C26" s="144">
        <v>1</v>
      </c>
      <c r="D26" s="145" t="s">
        <v>99</v>
      </c>
      <c r="E26" s="488"/>
      <c r="F26" s="220">
        <f>(Unit.GWyear)*8.69365783986897E-07</f>
        <v>7.6206865892723407E-6</v>
      </c>
      <c r="G26" s="226">
        <f>(Unit.GWyear)*8.6003614377339E-07</f>
        <v>7.5389048290887813E-6</v>
      </c>
      <c r="H26" s="226">
        <f>(Unit.GWyear)*8.50706503559882E-07</f>
        <v>7.4571230689052126E-6</v>
      </c>
      <c r="I26" s="226">
        <f>(Unit.GWyear)*8.41376863346375E-07</f>
        <v>7.3753413087216524E-6</v>
      </c>
      <c r="J26" s="226">
        <f>(Unit.GWyear)*8.32047223132868E-07</f>
        <v>7.2935595485380939E-6</v>
      </c>
      <c r="K26" s="226">
        <f>(Unit.GWyear)*8.2271758291936E-07</f>
        <v>7.2117777883545252E-6</v>
      </c>
      <c r="L26" s="226">
        <f>(Unit.GWyear)*8.13387942705853E-07</f>
        <v>7.129996028170965E-6</v>
      </c>
      <c r="M26" s="226">
        <f>(Unit.GWyear)*8.04058302492346E-07</f>
        <v>7.0482142679874057E-6</v>
      </c>
      <c r="N26" s="226">
        <f>(Unit.GWyear)*7.94728662278838E-07</f>
        <v>6.9664325078038379E-6</v>
      </c>
      <c r="O26" s="396"/>
    </row>
    <row r="27" spans="2:17" ht="15.75" x14ac:dyDescent="0.25">
      <c r="B27" s="397"/>
      <c r="C27" s="144">
        <v>2</v>
      </c>
      <c r="D27" s="145" t="s">
        <v>99</v>
      </c>
      <c r="E27" s="145"/>
      <c r="F27" s="221">
        <f>(Unit.GWyear)*8.69365783986897E-07</f>
        <v>7.6206865892723407E-6</v>
      </c>
      <c r="G27" s="227">
        <f>(Unit.GWyear)*8.35200873077176E-07</f>
        <v>7.321203813219908E-6</v>
      </c>
      <c r="H27" s="227">
        <f>(Unit.GWyear)*8.01035962167455E-07</f>
        <v>7.0217210371674754E-6</v>
      </c>
      <c r="I27" s="227">
        <f>(Unit.GWyear)*7.66871051257734E-07</f>
        <v>6.7222382611150436E-6</v>
      </c>
      <c r="J27" s="227">
        <f>(Unit.GWyear)*7.32706140348013E-07</f>
        <v>6.4227554850626118E-6</v>
      </c>
      <c r="K27" s="227">
        <f>(Unit.GWyear)*6.98541229438292E-07</f>
        <v>6.1232727090101791E-6</v>
      </c>
      <c r="L27" s="227">
        <f>(Unit.GWyear)*6.64376318528571E-07</f>
        <v>5.8237899329577473E-6</v>
      </c>
      <c r="M27" s="227">
        <f>(Unit.GWyear)*6.3021140761885E-07</f>
        <v>5.5243071569053146E-6</v>
      </c>
      <c r="N27" s="227">
        <f>(Unit.GWyear)*5.96046496709129E-07</f>
        <v>5.224824380852882E-6</v>
      </c>
      <c r="O27" s="396"/>
    </row>
    <row r="28" spans="2:17" ht="15.75" x14ac:dyDescent="0.25">
      <c r="B28" s="397"/>
      <c r="C28" s="144">
        <v>3</v>
      </c>
      <c r="D28" s="145" t="s">
        <v>99</v>
      </c>
      <c r="E28" s="145"/>
      <c r="F28" s="221">
        <f>(Unit.GWyear)*8.69365783986897E-07</f>
        <v>7.6206865892723407E-6</v>
      </c>
      <c r="G28" s="227">
        <f>(Unit.GWyear)*8.10365602380962E-07</f>
        <v>7.1035027973510356E-6</v>
      </c>
      <c r="H28" s="227">
        <f>(Unit.GWyear)*7.51365420775028E-07</f>
        <v>6.5863190054297398E-6</v>
      </c>
      <c r="I28" s="227">
        <f>(Unit.GWyear)*6.92365239169093E-07</f>
        <v>6.0691352135084347E-6</v>
      </c>
      <c r="J28" s="227">
        <f>(Unit.GWyear)*6.33365057563158E-07</f>
        <v>5.5519514215871296E-6</v>
      </c>
      <c r="K28" s="227">
        <f>(Unit.GWyear)*5.74364875957223E-07</f>
        <v>5.0347676296658245E-6</v>
      </c>
      <c r="L28" s="227">
        <f>(Unit.GWyear)*5.15364694351289E-07</f>
        <v>4.5175838377445287E-6</v>
      </c>
      <c r="M28" s="227">
        <f>(Unit.GWyear)*4.56364512745354E-07</f>
        <v>4.0004000458232236E-6</v>
      </c>
      <c r="N28" s="227">
        <f>(Unit.GWyear)*3.97364331139419E-07</f>
        <v>3.4832162539019189E-6</v>
      </c>
      <c r="O28" s="396"/>
    </row>
    <row r="29" spans="2:17" ht="15.75" x14ac:dyDescent="0.25">
      <c r="B29" s="397"/>
      <c r="C29" s="101">
        <v>4</v>
      </c>
      <c r="D29" s="102" t="s">
        <v>99</v>
      </c>
      <c r="E29" s="102"/>
      <c r="F29" s="222">
        <f>(Unit.GWyear)*8.69365783986897E-07</f>
        <v>7.6206865892723407E-6</v>
      </c>
      <c r="G29" s="223">
        <f>(Unit.GWyear)*7.85530331684749E-07</f>
        <v>6.8858017814821716E-6</v>
      </c>
      <c r="H29" s="223">
        <f>(Unit.GWyear)*0.0000007016948793826</f>
        <v>6.1509169736919941E-6</v>
      </c>
      <c r="I29" s="223">
        <f>(Unit.GWyear)*6.17859427080452E-07</f>
        <v>5.416032165901825E-6</v>
      </c>
      <c r="J29" s="223">
        <f>(Unit.GWyear)*5.34023974778303E-07</f>
        <v>4.6811473581116483E-6</v>
      </c>
      <c r="K29" s="223">
        <f>(Unit.GWyear)*4.50188522476155E-07</f>
        <v>3.9462625503214792E-6</v>
      </c>
      <c r="L29" s="223">
        <f>(Unit.GWyear)*3.66353070174007E-07</f>
        <v>3.2113777425313101E-6</v>
      </c>
      <c r="M29" s="223">
        <f>(Unit.GWyear)*2.82517617871858E-07</f>
        <v>2.4764929347411326E-6</v>
      </c>
      <c r="N29" s="223">
        <f>(Unit.GWyear)*1.9868216556971E-07</f>
        <v>1.7416081269509635E-6</v>
      </c>
      <c r="O29" s="396"/>
    </row>
    <row r="30" spans="2:17" ht="15.75" x14ac:dyDescent="0.25">
      <c r="B30" s="397"/>
      <c r="C30" s="144"/>
      <c r="D30" s="145"/>
      <c r="E30" s="145"/>
      <c r="F30" s="160"/>
      <c r="G30" s="161"/>
      <c r="H30" s="161"/>
      <c r="I30" s="161"/>
      <c r="J30" s="161"/>
      <c r="K30" s="161"/>
      <c r="L30" s="161"/>
      <c r="M30" s="161"/>
      <c r="N30" s="161"/>
      <c r="O30" s="161"/>
      <c r="P30" s="396"/>
    </row>
    <row r="31" spans="2:17" ht="15.75" x14ac:dyDescent="0.25">
      <c r="B31" s="397"/>
      <c r="C31" s="178" t="s">
        <v>803</v>
      </c>
      <c r="D31" s="145"/>
      <c r="E31" s="145"/>
      <c r="F31" s="160"/>
      <c r="G31" s="161"/>
      <c r="H31" s="161"/>
      <c r="I31" s="161"/>
      <c r="J31" s="161"/>
      <c r="K31" s="161"/>
      <c r="L31" s="161"/>
      <c r="M31" s="161"/>
      <c r="N31" s="161"/>
      <c r="O31" s="161"/>
      <c r="P31" s="396"/>
      <c r="Q31" s="588"/>
    </row>
    <row r="32" spans="2:17" ht="51.75" customHeight="1" x14ac:dyDescent="0.25">
      <c r="B32" s="397"/>
      <c r="C32" s="144"/>
      <c r="D32" s="145"/>
      <c r="E32" s="145"/>
      <c r="F32" s="160"/>
      <c r="G32" s="182" t="str">
        <f>INDEX(Vectors[Description], MATCH(G33, Vectors[Code], 0))</f>
        <v>Electricity (delivered to end user)</v>
      </c>
      <c r="H32" s="182" t="str">
        <f>INDEX(Vectors[Description], MATCH(H33, Vectors[Code], 0))</f>
        <v>Liquid hydrocarbons</v>
      </c>
      <c r="I32" s="182" t="str">
        <f>INDEX(Vectors[Description], MATCH(I33, Vectors[Code], 0))</f>
        <v>Gaseous hydrocarbons</v>
      </c>
      <c r="J32" s="182" t="str">
        <f>INDEX(Vectors[Description], MATCH(J33, Vectors[Code], 0))</f>
        <v>Traditional Fuel</v>
      </c>
      <c r="K32" s="161"/>
      <c r="L32" s="161"/>
      <c r="M32" s="161"/>
      <c r="N32" s="161"/>
      <c r="O32" s="161"/>
      <c r="P32" s="396"/>
      <c r="Q32" s="588"/>
    </row>
    <row r="33" spans="1:19" ht="15.75" x14ac:dyDescent="0.25">
      <c r="B33" s="397"/>
      <c r="C33" s="98" t="s">
        <v>595</v>
      </c>
      <c r="D33" s="98" t="s">
        <v>65</v>
      </c>
      <c r="E33" s="98" t="s">
        <v>172</v>
      </c>
      <c r="F33" s="573" t="s">
        <v>804</v>
      </c>
      <c r="G33" s="528" t="s">
        <v>34</v>
      </c>
      <c r="H33" s="528" t="s">
        <v>38</v>
      </c>
      <c r="I33" s="528" t="s">
        <v>39</v>
      </c>
      <c r="J33" s="528" t="s">
        <v>2184</v>
      </c>
      <c r="K33" s="161"/>
      <c r="L33" s="161"/>
      <c r="M33" s="161"/>
      <c r="N33" s="161"/>
      <c r="O33" s="161"/>
      <c r="P33" s="161"/>
      <c r="Q33" s="161"/>
      <c r="R33" s="396"/>
      <c r="S33" s="588"/>
    </row>
    <row r="34" spans="1:19" s="2370" customFormat="1" ht="15.75" x14ac:dyDescent="0.25">
      <c r="B34" s="397"/>
      <c r="C34" s="1413">
        <v>1</v>
      </c>
      <c r="D34" s="107" t="s">
        <v>2196</v>
      </c>
      <c r="E34" s="1413"/>
      <c r="F34" s="2411"/>
      <c r="G34" s="174">
        <v>0.03</v>
      </c>
      <c r="H34" s="174">
        <v>0.12</v>
      </c>
      <c r="I34" s="174">
        <v>0.05</v>
      </c>
      <c r="J34" s="174">
        <v>0.8</v>
      </c>
      <c r="K34" s="161"/>
      <c r="L34" s="161"/>
      <c r="M34" s="161"/>
      <c r="N34" s="161"/>
      <c r="O34" s="161"/>
      <c r="P34" s="161"/>
      <c r="Q34" s="161"/>
      <c r="R34" s="1420"/>
      <c r="S34" s="588"/>
    </row>
    <row r="35" spans="1:19" s="2370" customFormat="1" ht="15.75" x14ac:dyDescent="0.25">
      <c r="B35" s="397"/>
      <c r="C35" s="1413">
        <v>2</v>
      </c>
      <c r="D35" s="107" t="s">
        <v>2197</v>
      </c>
      <c r="E35" s="1413"/>
      <c r="F35" s="2411"/>
      <c r="G35" s="174">
        <v>0.1</v>
      </c>
      <c r="H35" s="174">
        <v>0.16</v>
      </c>
      <c r="I35" s="174">
        <v>0.18</v>
      </c>
      <c r="J35" s="174">
        <v>0.55999999999999994</v>
      </c>
      <c r="K35" s="161"/>
      <c r="L35" s="161"/>
      <c r="M35" s="161"/>
      <c r="N35" s="161"/>
      <c r="O35" s="161"/>
      <c r="P35" s="161"/>
      <c r="Q35" s="161"/>
      <c r="R35" s="1420"/>
      <c r="S35" s="588"/>
    </row>
    <row r="36" spans="1:19" ht="15.75" x14ac:dyDescent="0.25">
      <c r="B36" s="397"/>
      <c r="C36" s="144">
        <v>3</v>
      </c>
      <c r="D36" s="107" t="s">
        <v>2198</v>
      </c>
      <c r="E36" s="488"/>
      <c r="F36" s="763"/>
      <c r="G36" s="174">
        <v>0.15</v>
      </c>
      <c r="H36" s="174">
        <v>0.2</v>
      </c>
      <c r="I36" s="174">
        <v>0.25</v>
      </c>
      <c r="J36" s="174">
        <v>0.4</v>
      </c>
      <c r="K36" s="226"/>
      <c r="L36" s="226"/>
      <c r="M36" s="226"/>
      <c r="N36" s="226"/>
      <c r="O36" s="226"/>
      <c r="P36" s="226"/>
      <c r="Q36" s="763"/>
      <c r="R36" s="396"/>
      <c r="S36" s="588"/>
    </row>
    <row r="37" spans="1:19" ht="15.75" x14ac:dyDescent="0.25">
      <c r="B37" s="397"/>
      <c r="C37" s="199">
        <v>4</v>
      </c>
      <c r="D37" s="200" t="s">
        <v>2199</v>
      </c>
      <c r="E37" s="200"/>
      <c r="F37" s="210"/>
      <c r="G37" s="186">
        <v>0.2</v>
      </c>
      <c r="H37" s="210">
        <v>0.24</v>
      </c>
      <c r="I37" s="210">
        <v>0.4</v>
      </c>
      <c r="J37" s="210">
        <v>0.16000000000000003</v>
      </c>
      <c r="K37" s="227"/>
      <c r="L37" s="227"/>
      <c r="M37" s="227"/>
      <c r="N37" s="227"/>
      <c r="O37" s="227"/>
      <c r="P37" s="227"/>
      <c r="Q37" s="227"/>
      <c r="R37" s="396"/>
      <c r="S37" s="588"/>
    </row>
    <row r="38" spans="1:19" ht="15.75" x14ac:dyDescent="0.25">
      <c r="B38" s="397"/>
      <c r="C38" s="144"/>
      <c r="D38" s="145"/>
      <c r="E38" s="145"/>
      <c r="F38" s="226"/>
      <c r="K38" s="227"/>
      <c r="L38" s="227"/>
      <c r="M38" s="227"/>
      <c r="N38" s="227"/>
      <c r="O38" s="227"/>
      <c r="P38" s="396"/>
      <c r="Q38" s="588"/>
    </row>
    <row r="39" spans="1:19" ht="15.75" x14ac:dyDescent="0.25">
      <c r="B39" s="397"/>
      <c r="C39" s="144"/>
      <c r="D39" s="145"/>
      <c r="E39" s="145"/>
      <c r="F39" s="226"/>
      <c r="G39" s="227"/>
      <c r="H39" s="227"/>
      <c r="I39" s="227"/>
      <c r="J39" s="227"/>
      <c r="K39" s="227"/>
      <c r="L39" s="227"/>
      <c r="M39" s="227"/>
      <c r="N39" s="227"/>
      <c r="O39" s="227"/>
      <c r="P39" s="396"/>
      <c r="Q39" s="588"/>
    </row>
    <row r="40" spans="1:19" x14ac:dyDescent="0.2">
      <c r="B40" s="401"/>
      <c r="C40" s="464" t="s">
        <v>266</v>
      </c>
      <c r="D40" s="177" t="s">
        <v>359</v>
      </c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396"/>
      <c r="Q40" s="588"/>
    </row>
    <row r="41" spans="1:19" x14ac:dyDescent="0.2">
      <c r="B41" s="401"/>
      <c r="C41" s="464"/>
      <c r="D41" s="177" t="s">
        <v>601</v>
      </c>
      <c r="E41" s="173"/>
      <c r="F41" s="173"/>
      <c r="G41" s="173"/>
      <c r="H41" s="173"/>
      <c r="I41" s="173"/>
      <c r="J41" s="173"/>
      <c r="K41" s="173"/>
      <c r="L41" s="173"/>
      <c r="M41" s="173"/>
      <c r="N41" s="173"/>
      <c r="O41" s="173"/>
      <c r="P41" s="396"/>
      <c r="Q41" s="588"/>
    </row>
    <row r="42" spans="1:19" x14ac:dyDescent="0.2">
      <c r="B42" s="401"/>
      <c r="C42" s="464"/>
      <c r="D42" s="177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396"/>
    </row>
    <row r="43" spans="1:19" x14ac:dyDescent="0.2">
      <c r="Q43" s="2082"/>
    </row>
    <row r="44" spans="1:19" s="84" customFormat="1" ht="22.5" collapsed="1" x14ac:dyDescent="0.2">
      <c r="A44" s="408"/>
      <c r="B44" s="472" t="s">
        <v>315</v>
      </c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6"/>
    </row>
    <row r="45" spans="1:19" x14ac:dyDescent="0.2">
      <c r="B45" s="395"/>
      <c r="C45" s="173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396"/>
    </row>
    <row r="46" spans="1:19" s="1616" customFormat="1" x14ac:dyDescent="0.2">
      <c r="B46" s="1419"/>
      <c r="C46" s="1417" t="s">
        <v>1796</v>
      </c>
      <c r="D46" s="1416"/>
      <c r="E46" s="1416"/>
      <c r="F46" s="1416"/>
      <c r="G46" s="1416"/>
      <c r="H46" s="1416"/>
      <c r="I46" s="1416"/>
      <c r="J46" s="1416"/>
      <c r="K46" s="1416"/>
      <c r="L46" s="1416"/>
      <c r="M46" s="1416"/>
      <c r="N46" s="1255" t="str">
        <f>"kt per "&amp;Preferences.EnergyUnits</f>
        <v>kt per TWh</v>
      </c>
      <c r="O46" s="1420"/>
    </row>
    <row r="47" spans="1:19" s="1616" customFormat="1" x14ac:dyDescent="0.2">
      <c r="B47" s="1419"/>
      <c r="C47" s="1416"/>
      <c r="D47" s="1416"/>
      <c r="E47" s="713"/>
      <c r="F47" s="1416"/>
      <c r="G47" s="1416"/>
      <c r="H47" s="1416"/>
      <c r="I47" s="1416"/>
      <c r="J47" s="1416"/>
      <c r="K47" s="1416"/>
      <c r="L47" s="1416"/>
      <c r="M47" s="1416"/>
      <c r="N47" s="1416"/>
      <c r="O47" s="1420"/>
      <c r="P47" s="2082"/>
    </row>
    <row r="48" spans="1:19" s="1616" customFormat="1" ht="11.25" customHeight="1" x14ac:dyDescent="0.2">
      <c r="B48" s="1419"/>
      <c r="C48" s="1803" t="s">
        <v>69</v>
      </c>
      <c r="D48" s="1803" t="s">
        <v>592</v>
      </c>
      <c r="E48" s="1629" t="s">
        <v>343</v>
      </c>
      <c r="F48" s="1804" t="s">
        <v>241</v>
      </c>
      <c r="G48" s="1804" t="s">
        <v>268</v>
      </c>
      <c r="H48" s="1804" t="s">
        <v>269</v>
      </c>
      <c r="I48" s="1804" t="s">
        <v>270</v>
      </c>
      <c r="J48" s="1804" t="s">
        <v>271</v>
      </c>
      <c r="K48" s="1804" t="s">
        <v>272</v>
      </c>
      <c r="L48" s="1804" t="s">
        <v>273</v>
      </c>
      <c r="M48" s="1804" t="s">
        <v>274</v>
      </c>
      <c r="N48" s="1630" t="s">
        <v>275</v>
      </c>
      <c r="O48" s="1420"/>
    </row>
    <row r="49" spans="1:15" s="1616" customFormat="1" x14ac:dyDescent="0.2">
      <c r="B49" s="1419"/>
      <c r="C49" s="1805" t="s">
        <v>392</v>
      </c>
      <c r="D49" s="1806" t="s">
        <v>394</v>
      </c>
      <c r="E49" s="1807" t="s">
        <v>197</v>
      </c>
      <c r="F49" s="1808">
        <f t="shared" ref="F49:N49" si="0">0.0000018*(1/Unit.GWh)</f>
        <v>1.8E-3</v>
      </c>
      <c r="G49" s="1808">
        <f t="shared" si="0"/>
        <v>1.8E-3</v>
      </c>
      <c r="H49" s="1808">
        <f t="shared" si="0"/>
        <v>1.8E-3</v>
      </c>
      <c r="I49" s="1808">
        <f t="shared" si="0"/>
        <v>1.8E-3</v>
      </c>
      <c r="J49" s="1808">
        <f t="shared" si="0"/>
        <v>1.8E-3</v>
      </c>
      <c r="K49" s="1808">
        <f t="shared" si="0"/>
        <v>1.8E-3</v>
      </c>
      <c r="L49" s="1808">
        <f t="shared" si="0"/>
        <v>1.8E-3</v>
      </c>
      <c r="M49" s="1808">
        <f t="shared" si="0"/>
        <v>1.8E-3</v>
      </c>
      <c r="N49" s="988">
        <f t="shared" si="0"/>
        <v>1.8E-3</v>
      </c>
      <c r="O49" s="1420"/>
    </row>
    <row r="50" spans="1:15" s="1616" customFormat="1" x14ac:dyDescent="0.2">
      <c r="B50" s="1419"/>
      <c r="C50" s="1416"/>
      <c r="D50" s="1416"/>
      <c r="E50" s="1416"/>
      <c r="F50" s="1416"/>
      <c r="G50" s="1416"/>
      <c r="H50" s="1416"/>
      <c r="I50" s="1416"/>
      <c r="J50" s="1416"/>
      <c r="K50" s="1416"/>
      <c r="L50" s="1416"/>
      <c r="M50" s="1416"/>
      <c r="N50" s="1416"/>
      <c r="O50" s="1420"/>
    </row>
    <row r="51" spans="1:15" s="1616" customFormat="1" x14ac:dyDescent="0.2">
      <c r="B51" s="1419"/>
      <c r="C51" s="1417" t="s">
        <v>1797</v>
      </c>
      <c r="D51" s="1416"/>
      <c r="E51" s="1416"/>
      <c r="F51" s="1416"/>
      <c r="G51" s="1416"/>
      <c r="H51" s="1416"/>
      <c r="I51" s="1416"/>
      <c r="J51" s="1416"/>
      <c r="K51" s="1416"/>
      <c r="L51" s="1416"/>
      <c r="M51" s="1416"/>
      <c r="N51" s="1255" t="str">
        <f>"kt per "&amp;Preferences.EnergyUnits</f>
        <v>kt per TWh</v>
      </c>
      <c r="O51" s="1420"/>
    </row>
    <row r="52" spans="1:15" s="1616" customFormat="1" x14ac:dyDescent="0.2">
      <c r="B52" s="1419"/>
      <c r="C52" s="1416"/>
      <c r="D52" s="1416"/>
      <c r="E52" s="713"/>
      <c r="F52" s="1416"/>
      <c r="G52" s="1416"/>
      <c r="H52" s="1416"/>
      <c r="I52" s="1416"/>
      <c r="J52" s="1416"/>
      <c r="K52" s="1416"/>
      <c r="L52" s="1416"/>
      <c r="M52" s="1416"/>
      <c r="N52" s="1416"/>
      <c r="O52" s="1420"/>
    </row>
    <row r="53" spans="1:15" s="1616" customFormat="1" ht="13.5" customHeight="1" x14ac:dyDescent="0.2">
      <c r="B53" s="1419"/>
      <c r="C53" s="1803" t="s">
        <v>69</v>
      </c>
      <c r="D53" s="1803" t="s">
        <v>592</v>
      </c>
      <c r="E53" s="1629" t="s">
        <v>343</v>
      </c>
      <c r="F53" s="1804" t="s">
        <v>241</v>
      </c>
      <c r="G53" s="1804" t="s">
        <v>268</v>
      </c>
      <c r="H53" s="1804" t="s">
        <v>269</v>
      </c>
      <c r="I53" s="1804" t="s">
        <v>270</v>
      </c>
      <c r="J53" s="1804" t="s">
        <v>271</v>
      </c>
      <c r="K53" s="1804" t="s">
        <v>272</v>
      </c>
      <c r="L53" s="1804" t="s">
        <v>273</v>
      </c>
      <c r="M53" s="1804" t="s">
        <v>274</v>
      </c>
      <c r="N53" s="1630" t="s">
        <v>275</v>
      </c>
      <c r="O53" s="1420"/>
    </row>
    <row r="54" spans="1:15" s="1616" customFormat="1" x14ac:dyDescent="0.2">
      <c r="B54" s="1419"/>
      <c r="C54" s="1805" t="s">
        <v>392</v>
      </c>
      <c r="D54" s="1806" t="s">
        <v>394</v>
      </c>
      <c r="E54" s="1807" t="s">
        <v>197</v>
      </c>
      <c r="F54" s="1808">
        <f t="shared" ref="F54:N54" si="1">0.000252*(1/Unit.GWh)</f>
        <v>0.252</v>
      </c>
      <c r="G54" s="1808">
        <f t="shared" si="1"/>
        <v>0.252</v>
      </c>
      <c r="H54" s="1808">
        <f t="shared" si="1"/>
        <v>0.252</v>
      </c>
      <c r="I54" s="1808">
        <f t="shared" si="1"/>
        <v>0.252</v>
      </c>
      <c r="J54" s="1808">
        <f t="shared" si="1"/>
        <v>0.252</v>
      </c>
      <c r="K54" s="1808">
        <f t="shared" si="1"/>
        <v>0.252</v>
      </c>
      <c r="L54" s="1808">
        <f t="shared" si="1"/>
        <v>0.252</v>
      </c>
      <c r="M54" s="1808">
        <f t="shared" si="1"/>
        <v>0.252</v>
      </c>
      <c r="N54" s="988">
        <f t="shared" si="1"/>
        <v>0.252</v>
      </c>
      <c r="O54" s="1420"/>
    </row>
    <row r="55" spans="1:15" s="1616" customFormat="1" x14ac:dyDescent="0.2">
      <c r="B55" s="1419"/>
      <c r="C55" s="1416"/>
      <c r="D55" s="1416"/>
      <c r="E55" s="1416"/>
      <c r="F55" s="1416"/>
      <c r="G55" s="1416"/>
      <c r="H55" s="1416"/>
      <c r="I55" s="1416"/>
      <c r="J55" s="1416"/>
      <c r="K55" s="1416"/>
      <c r="L55" s="1416"/>
      <c r="M55" s="1416"/>
      <c r="N55" s="1416"/>
      <c r="O55" s="1420"/>
    </row>
    <row r="56" spans="1:15" s="1616" customFormat="1" x14ac:dyDescent="0.2">
      <c r="B56" s="1419"/>
      <c r="C56" s="1417" t="s">
        <v>1798</v>
      </c>
      <c r="D56" s="1416"/>
      <c r="E56" s="1416"/>
      <c r="F56" s="1416"/>
      <c r="G56" s="1416"/>
      <c r="H56" s="1416"/>
      <c r="I56" s="1416"/>
      <c r="J56" s="1416"/>
      <c r="K56" s="1416"/>
      <c r="L56" s="1416"/>
      <c r="M56" s="1416"/>
      <c r="N56" s="1255" t="str">
        <f>"kt per "&amp;Preferences.EnergyUnits</f>
        <v>kt per TWh</v>
      </c>
      <c r="O56" s="1420"/>
    </row>
    <row r="57" spans="1:15" s="1616" customFormat="1" x14ac:dyDescent="0.2">
      <c r="B57" s="1419"/>
      <c r="C57" s="1416"/>
      <c r="D57" s="1416"/>
      <c r="E57" s="713"/>
      <c r="F57" s="1416"/>
      <c r="G57" s="1416"/>
      <c r="H57" s="1416"/>
      <c r="I57" s="1416"/>
      <c r="J57" s="1416"/>
      <c r="K57" s="1416"/>
      <c r="L57" s="1416"/>
      <c r="M57" s="1416"/>
      <c r="N57" s="1416"/>
      <c r="O57" s="1420"/>
    </row>
    <row r="58" spans="1:15" s="1616" customFormat="1" ht="15" customHeight="1" x14ac:dyDescent="0.2">
      <c r="B58" s="1419"/>
      <c r="C58" s="1803" t="s">
        <v>69</v>
      </c>
      <c r="D58" s="1803" t="s">
        <v>592</v>
      </c>
      <c r="E58" s="1629" t="s">
        <v>343</v>
      </c>
      <c r="F58" s="1804" t="s">
        <v>241</v>
      </c>
      <c r="G58" s="1804" t="s">
        <v>268</v>
      </c>
      <c r="H58" s="1804" t="s">
        <v>269</v>
      </c>
      <c r="I58" s="1804" t="s">
        <v>270</v>
      </c>
      <c r="J58" s="1804" t="s">
        <v>271</v>
      </c>
      <c r="K58" s="1804" t="s">
        <v>272</v>
      </c>
      <c r="L58" s="1804" t="s">
        <v>273</v>
      </c>
      <c r="M58" s="1804" t="s">
        <v>274</v>
      </c>
      <c r="N58" s="1630" t="s">
        <v>275</v>
      </c>
      <c r="O58" s="1420"/>
    </row>
    <row r="59" spans="1:15" s="1616" customFormat="1" ht="15" customHeight="1" x14ac:dyDescent="0.2">
      <c r="B59" s="1419"/>
      <c r="C59" s="1805" t="s">
        <v>392</v>
      </c>
      <c r="D59" s="1806" t="s">
        <v>394</v>
      </c>
      <c r="E59" s="1807" t="s">
        <v>197</v>
      </c>
      <c r="F59" s="1808">
        <f t="shared" ref="F59:N59" si="2">0*(1/Unit.GWh)</f>
        <v>0</v>
      </c>
      <c r="G59" s="1808">
        <f t="shared" si="2"/>
        <v>0</v>
      </c>
      <c r="H59" s="1808">
        <f t="shared" si="2"/>
        <v>0</v>
      </c>
      <c r="I59" s="1808">
        <f t="shared" si="2"/>
        <v>0</v>
      </c>
      <c r="J59" s="1808">
        <f t="shared" si="2"/>
        <v>0</v>
      </c>
      <c r="K59" s="1808">
        <f t="shared" si="2"/>
        <v>0</v>
      </c>
      <c r="L59" s="1808">
        <f t="shared" si="2"/>
        <v>0</v>
      </c>
      <c r="M59" s="1808">
        <f t="shared" si="2"/>
        <v>0</v>
      </c>
      <c r="N59" s="988">
        <f t="shared" si="2"/>
        <v>0</v>
      </c>
      <c r="O59" s="1420"/>
    </row>
    <row r="60" spans="1:15" s="1616" customFormat="1" x14ac:dyDescent="0.2">
      <c r="B60" s="1419"/>
      <c r="C60" s="1416"/>
      <c r="D60" s="1416"/>
      <c r="E60" s="1416"/>
      <c r="F60" s="1416"/>
      <c r="G60" s="1416"/>
      <c r="H60" s="1416"/>
      <c r="I60" s="1416"/>
      <c r="J60" s="1416"/>
      <c r="K60" s="1416"/>
      <c r="L60" s="1416"/>
      <c r="M60" s="1416"/>
      <c r="N60" s="1416"/>
      <c r="O60" s="1420"/>
    </row>
    <row r="61" spans="1:15" s="1616" customFormat="1" x14ac:dyDescent="0.2">
      <c r="B61" s="1419"/>
      <c r="C61" s="1417" t="s">
        <v>1800</v>
      </c>
      <c r="D61" s="1416"/>
      <c r="E61" s="1416"/>
      <c r="F61" s="1416"/>
      <c r="G61" s="1416"/>
      <c r="H61" s="1416"/>
      <c r="I61" s="1416"/>
      <c r="J61" s="1416"/>
      <c r="K61" s="1416"/>
      <c r="L61" s="1416"/>
      <c r="M61" s="1416"/>
      <c r="N61" s="1255" t="str">
        <f>"kt per "&amp;Preferences.EnergyUnits</f>
        <v>kt per TWh</v>
      </c>
      <c r="O61" s="1420"/>
    </row>
    <row r="62" spans="1:15" s="525" customFormat="1" x14ac:dyDescent="0.2">
      <c r="B62" s="1419"/>
      <c r="C62" s="1416"/>
      <c r="D62" s="1416"/>
      <c r="E62" s="713"/>
      <c r="F62" s="1416"/>
      <c r="G62" s="1416"/>
      <c r="H62" s="1416"/>
      <c r="I62" s="1416"/>
      <c r="J62" s="1416"/>
      <c r="K62" s="1416"/>
      <c r="L62" s="1416"/>
      <c r="M62" s="1416"/>
      <c r="N62" s="1416"/>
      <c r="O62" s="1420"/>
    </row>
    <row r="63" spans="1:15" s="1466" customFormat="1" ht="13.5" customHeight="1" x14ac:dyDescent="0.3">
      <c r="A63" s="1422"/>
      <c r="B63" s="1419"/>
      <c r="C63" s="1803" t="s">
        <v>69</v>
      </c>
      <c r="D63" s="1803" t="s">
        <v>592</v>
      </c>
      <c r="E63" s="1629" t="s">
        <v>343</v>
      </c>
      <c r="F63" s="1804" t="s">
        <v>241</v>
      </c>
      <c r="G63" s="1804" t="s">
        <v>268</v>
      </c>
      <c r="H63" s="1804" t="s">
        <v>269</v>
      </c>
      <c r="I63" s="1804" t="s">
        <v>270</v>
      </c>
      <c r="J63" s="1804" t="s">
        <v>271</v>
      </c>
      <c r="K63" s="1804" t="s">
        <v>272</v>
      </c>
      <c r="L63" s="1804" t="s">
        <v>273</v>
      </c>
      <c r="M63" s="1804" t="s">
        <v>274</v>
      </c>
      <c r="N63" s="1630" t="s">
        <v>275</v>
      </c>
      <c r="O63" s="1420"/>
    </row>
    <row r="64" spans="1:15" s="1466" customFormat="1" ht="12" customHeight="1" x14ac:dyDescent="0.2">
      <c r="B64" s="1419"/>
      <c r="C64" s="1805" t="s">
        <v>392</v>
      </c>
      <c r="D64" s="1806" t="s">
        <v>394</v>
      </c>
      <c r="E64" s="1807" t="s">
        <v>197</v>
      </c>
      <c r="F64" s="1808">
        <f t="shared" ref="F64:N64" si="3">0.000036*(1/Unit.GWh)</f>
        <v>3.6000000000000004E-2</v>
      </c>
      <c r="G64" s="1808">
        <f t="shared" si="3"/>
        <v>3.6000000000000004E-2</v>
      </c>
      <c r="H64" s="1808">
        <f t="shared" si="3"/>
        <v>3.6000000000000004E-2</v>
      </c>
      <c r="I64" s="1808">
        <f t="shared" si="3"/>
        <v>3.6000000000000004E-2</v>
      </c>
      <c r="J64" s="1808">
        <f t="shared" si="3"/>
        <v>3.6000000000000004E-2</v>
      </c>
      <c r="K64" s="1808">
        <f t="shared" si="3"/>
        <v>3.6000000000000004E-2</v>
      </c>
      <c r="L64" s="1808">
        <f t="shared" si="3"/>
        <v>3.6000000000000004E-2</v>
      </c>
      <c r="M64" s="1808">
        <f t="shared" si="3"/>
        <v>3.6000000000000004E-2</v>
      </c>
      <c r="N64" s="988">
        <f t="shared" si="3"/>
        <v>3.6000000000000004E-2</v>
      </c>
      <c r="O64" s="1420"/>
    </row>
    <row r="65" spans="2:16" s="1466" customFormat="1" ht="12" customHeight="1" x14ac:dyDescent="0.2">
      <c r="B65" s="1419"/>
      <c r="C65" s="1631"/>
      <c r="D65" s="1505"/>
      <c r="E65" s="1663"/>
      <c r="F65" s="983"/>
      <c r="G65" s="983"/>
      <c r="H65" s="983"/>
      <c r="I65" s="983"/>
      <c r="J65" s="983"/>
      <c r="K65" s="983"/>
      <c r="L65" s="983"/>
      <c r="M65" s="983"/>
      <c r="N65" s="983"/>
      <c r="O65" s="1420"/>
    </row>
    <row r="66" spans="2:16" s="1466" customFormat="1" ht="12" customHeight="1" x14ac:dyDescent="0.2">
      <c r="B66" s="1978"/>
      <c r="C66" s="1979" t="s">
        <v>99</v>
      </c>
      <c r="D66" s="1980"/>
      <c r="E66" s="1981"/>
      <c r="F66" s="1978"/>
      <c r="G66" s="1978"/>
      <c r="H66" s="1978"/>
      <c r="I66" s="1978"/>
      <c r="J66" s="1978"/>
      <c r="K66" s="1978"/>
      <c r="L66" s="1978"/>
      <c r="M66" s="1978"/>
      <c r="N66" s="1978"/>
      <c r="O66" s="1978"/>
    </row>
    <row r="67" spans="2:16" s="1466" customFormat="1" ht="16.5" customHeight="1" x14ac:dyDescent="0.2">
      <c r="B67" s="1377"/>
      <c r="C67" s="1980"/>
      <c r="D67" s="1980"/>
      <c r="E67" s="1981"/>
      <c r="F67" s="1377"/>
      <c r="G67" s="1377"/>
      <c r="H67" s="1377"/>
      <c r="I67" s="1377"/>
      <c r="J67" s="1377"/>
      <c r="K67" s="1377"/>
      <c r="L67" s="1377"/>
      <c r="M67" s="1377"/>
      <c r="N67" s="1377"/>
      <c r="O67" s="1377"/>
    </row>
    <row r="68" spans="2:16" s="1466" customFormat="1" ht="15.75" customHeight="1" x14ac:dyDescent="0.2">
      <c r="B68" s="1377"/>
      <c r="C68" s="1980" t="s">
        <v>1549</v>
      </c>
      <c r="D68" s="1982"/>
      <c r="E68" s="1983">
        <v>0.33</v>
      </c>
      <c r="F68" s="1377"/>
      <c r="G68" s="1377"/>
      <c r="H68" s="1377"/>
      <c r="I68" s="1377"/>
      <c r="J68" s="1377"/>
      <c r="K68" s="1377"/>
      <c r="L68" s="1377"/>
      <c r="M68" s="1377"/>
      <c r="N68" s="1377"/>
      <c r="O68" s="1377"/>
    </row>
    <row r="69" spans="2:16" s="1466" customFormat="1" ht="12" customHeight="1" x14ac:dyDescent="0.2">
      <c r="B69" s="1377"/>
      <c r="C69" s="1377"/>
      <c r="D69" s="1377"/>
      <c r="E69" s="1377"/>
      <c r="F69" s="1377"/>
      <c r="G69" s="1377"/>
      <c r="H69" s="1377"/>
      <c r="I69" s="1377"/>
      <c r="J69" s="1377"/>
      <c r="K69" s="1377"/>
      <c r="L69" s="1377"/>
      <c r="M69" s="1377"/>
      <c r="N69" s="1377"/>
      <c r="O69" s="1377"/>
    </row>
    <row r="70" spans="2:16" s="1466" customFormat="1" ht="4.5" customHeight="1" x14ac:dyDescent="0.2"/>
    <row r="71" spans="2:16" s="1466" customFormat="1" ht="12" customHeight="1" x14ac:dyDescent="0.2">
      <c r="B71" s="1423" t="s">
        <v>1417</v>
      </c>
      <c r="C71" s="405"/>
      <c r="D71" s="405"/>
      <c r="E71" s="405"/>
      <c r="F71" s="405"/>
      <c r="G71" s="405"/>
      <c r="H71" s="405"/>
      <c r="I71" s="405"/>
      <c r="J71" s="405"/>
      <c r="K71" s="405"/>
      <c r="L71" s="405"/>
      <c r="M71" s="405"/>
      <c r="N71" s="405"/>
      <c r="O71" s="406"/>
    </row>
    <row r="72" spans="2:16" s="1466" customFormat="1" ht="12" customHeight="1" x14ac:dyDescent="0.2">
      <c r="B72" s="473"/>
      <c r="C72" s="458"/>
      <c r="D72" s="458"/>
      <c r="E72" s="458"/>
      <c r="F72" s="458"/>
      <c r="G72" s="458"/>
      <c r="H72" s="458"/>
      <c r="I72" s="458"/>
      <c r="J72" s="458"/>
      <c r="K72" s="458"/>
      <c r="L72" s="458"/>
      <c r="M72" s="458"/>
      <c r="N72" s="458"/>
      <c r="O72" s="459"/>
    </row>
    <row r="73" spans="2:16" s="1466" customFormat="1" ht="12" customHeight="1" x14ac:dyDescent="0.2">
      <c r="B73" s="1419"/>
      <c r="C73" s="1417" t="str">
        <f>"Capital cost of an electric cooker"</f>
        <v>Capital cost of an electric cooker</v>
      </c>
      <c r="D73" s="107"/>
      <c r="E73" s="1081"/>
      <c r="F73" s="1055"/>
      <c r="G73" s="760"/>
      <c r="H73" s="760"/>
      <c r="I73" s="760"/>
      <c r="J73" s="760"/>
      <c r="K73" s="760"/>
      <c r="L73" s="760"/>
      <c r="M73" s="760"/>
      <c r="N73" s="1255" t="str">
        <f>Preferences.moneyunits&amp;"/ cooking unit"</f>
        <v>N/ cooking unit</v>
      </c>
      <c r="O73" s="1420"/>
      <c r="P73" s="588"/>
    </row>
    <row r="74" spans="2:16" s="1466" customFormat="1" ht="12" customHeight="1" x14ac:dyDescent="0.2">
      <c r="B74" s="1419"/>
      <c r="C74" s="1848"/>
      <c r="D74" s="107"/>
      <c r="E74" s="1081"/>
      <c r="F74" s="1055"/>
      <c r="G74" s="760"/>
      <c r="H74" s="760"/>
      <c r="I74" s="760"/>
      <c r="J74" s="760"/>
      <c r="K74" s="760"/>
      <c r="L74" s="760"/>
      <c r="M74" s="760"/>
      <c r="N74" s="1416"/>
      <c r="O74" s="1420"/>
      <c r="P74" s="588"/>
    </row>
    <row r="75" spans="2:16" s="1466" customFormat="1" ht="12" customHeight="1" x14ac:dyDescent="0.2">
      <c r="B75" s="1419"/>
      <c r="C75" s="1101"/>
      <c r="D75" s="1519"/>
      <c r="E75" s="1567" t="s">
        <v>1321</v>
      </c>
      <c r="F75" s="1845">
        <v>2010</v>
      </c>
      <c r="G75" s="1845">
        <v>2015</v>
      </c>
      <c r="H75" s="1845">
        <v>2020</v>
      </c>
      <c r="I75" s="1845">
        <v>2025</v>
      </c>
      <c r="J75" s="1845">
        <v>2030</v>
      </c>
      <c r="K75" s="1845">
        <v>2035</v>
      </c>
      <c r="L75" s="1845">
        <v>2040</v>
      </c>
      <c r="M75" s="1845">
        <v>2045</v>
      </c>
      <c r="N75" s="1845">
        <v>2050</v>
      </c>
      <c r="O75" s="1420"/>
      <c r="P75" s="588"/>
    </row>
    <row r="76" spans="2:16" s="1466" customFormat="1" ht="12" customHeight="1" x14ac:dyDescent="0.2">
      <c r="B76" s="1419"/>
      <c r="C76" s="1846" t="s">
        <v>1871</v>
      </c>
      <c r="D76" s="1519"/>
      <c r="E76" s="1847">
        <f>(N76-F76)/(N$75-F$75)</f>
        <v>0</v>
      </c>
      <c r="F76" s="2161">
        <f t="shared" ref="F76:N76" si="4">(80000)*NAIRA2010_*1.5</f>
        <v>120000</v>
      </c>
      <c r="G76" s="2161">
        <f t="shared" si="4"/>
        <v>120000</v>
      </c>
      <c r="H76" s="2161">
        <f t="shared" si="4"/>
        <v>120000</v>
      </c>
      <c r="I76" s="2161">
        <f t="shared" si="4"/>
        <v>120000</v>
      </c>
      <c r="J76" s="2161">
        <f t="shared" si="4"/>
        <v>120000</v>
      </c>
      <c r="K76" s="2161">
        <f t="shared" si="4"/>
        <v>120000</v>
      </c>
      <c r="L76" s="2161">
        <f t="shared" si="4"/>
        <v>120000</v>
      </c>
      <c r="M76" s="2161">
        <f t="shared" si="4"/>
        <v>120000</v>
      </c>
      <c r="N76" s="2161">
        <f t="shared" si="4"/>
        <v>120000</v>
      </c>
      <c r="O76" s="1420"/>
      <c r="P76" s="588"/>
    </row>
    <row r="77" spans="2:16" s="1466" customFormat="1" ht="14.25" customHeight="1" x14ac:dyDescent="0.2">
      <c r="B77" s="1419"/>
      <c r="C77" s="606" t="s">
        <v>1872</v>
      </c>
      <c r="D77" s="107"/>
      <c r="E77" s="188">
        <f>(N77-F77)/(N$75-F$75)</f>
        <v>0</v>
      </c>
      <c r="F77" s="2162">
        <f>(F78+((F76-F78)*0.35))</f>
        <v>61500</v>
      </c>
      <c r="G77" s="1921">
        <f>($E77*(G$75-F$75))+F77</f>
        <v>61500</v>
      </c>
      <c r="H77" s="1921">
        <f t="shared" ref="G77:M78" si="5">($E77*(H$75-G$75))+G77</f>
        <v>61500</v>
      </c>
      <c r="I77" s="1921">
        <f t="shared" si="5"/>
        <v>61500</v>
      </c>
      <c r="J77" s="1921">
        <f t="shared" si="5"/>
        <v>61500</v>
      </c>
      <c r="K77" s="1921">
        <f t="shared" si="5"/>
        <v>61500</v>
      </c>
      <c r="L77" s="1921">
        <f t="shared" si="5"/>
        <v>61500</v>
      </c>
      <c r="M77" s="1921">
        <f t="shared" si="5"/>
        <v>61500</v>
      </c>
      <c r="N77" s="2162">
        <f>(N78+((N76-N78)*0.35))</f>
        <v>61500</v>
      </c>
      <c r="O77" s="1420"/>
      <c r="P77" s="588"/>
    </row>
    <row r="78" spans="2:16" s="1466" customFormat="1" ht="12" customHeight="1" x14ac:dyDescent="0.2">
      <c r="B78" s="1419"/>
      <c r="C78" s="1731" t="s">
        <v>1873</v>
      </c>
      <c r="D78" s="189"/>
      <c r="E78" s="2163">
        <f>(N78-F78)/(N$75-F$75)</f>
        <v>0</v>
      </c>
      <c r="F78" s="2163">
        <f>(30000)*NAIRA2010_</f>
        <v>30000</v>
      </c>
      <c r="G78" s="1925">
        <f t="shared" si="5"/>
        <v>30000</v>
      </c>
      <c r="H78" s="1925">
        <f t="shared" si="5"/>
        <v>30000</v>
      </c>
      <c r="I78" s="1925">
        <f t="shared" si="5"/>
        <v>30000</v>
      </c>
      <c r="J78" s="1925">
        <f t="shared" si="5"/>
        <v>30000</v>
      </c>
      <c r="K78" s="1925">
        <f t="shared" si="5"/>
        <v>30000</v>
      </c>
      <c r="L78" s="1925">
        <f t="shared" si="5"/>
        <v>30000</v>
      </c>
      <c r="M78" s="1925">
        <f t="shared" si="5"/>
        <v>30000</v>
      </c>
      <c r="N78" s="2163">
        <f>(30000)*NAIRA2010_</f>
        <v>30000</v>
      </c>
      <c r="O78" s="1420"/>
      <c r="P78" s="588"/>
    </row>
    <row r="79" spans="2:16" s="1466" customFormat="1" ht="12" customHeight="1" x14ac:dyDescent="0.2">
      <c r="B79" s="1419"/>
      <c r="C79" s="1848"/>
      <c r="D79" s="107"/>
      <c r="E79" s="1081"/>
      <c r="F79" s="1055"/>
      <c r="G79" s="760"/>
      <c r="H79" s="760"/>
      <c r="I79" s="760"/>
      <c r="J79" s="760"/>
      <c r="K79" s="760"/>
      <c r="L79" s="760"/>
      <c r="M79" s="760"/>
      <c r="N79" s="1416"/>
      <c r="O79" s="1420"/>
      <c r="P79" s="588"/>
    </row>
    <row r="80" spans="2:16" s="1466" customFormat="1" ht="12" customHeight="1" x14ac:dyDescent="0.2">
      <c r="B80" s="1419"/>
      <c r="C80" s="1417" t="str">
        <f>"Capital cost of a gas cooker"</f>
        <v>Capital cost of a gas cooker</v>
      </c>
      <c r="D80" s="107"/>
      <c r="E80" s="1081"/>
      <c r="F80" s="1055"/>
      <c r="G80" s="760"/>
      <c r="H80" s="760"/>
      <c r="I80" s="760"/>
      <c r="J80" s="760"/>
      <c r="K80" s="760"/>
      <c r="L80" s="760"/>
      <c r="M80" s="760"/>
      <c r="N80" s="1255" t="str">
        <f>Preferences.moneyunits&amp;"/ cooking unit"</f>
        <v>N/ cooking unit</v>
      </c>
      <c r="O80" s="1420"/>
      <c r="P80" s="588"/>
    </row>
    <row r="81" spans="1:15" s="1466" customFormat="1" ht="12" customHeight="1" x14ac:dyDescent="0.2">
      <c r="B81" s="1419"/>
      <c r="C81" s="1848"/>
      <c r="D81" s="107"/>
      <c r="E81" s="1081"/>
      <c r="F81" s="1055"/>
      <c r="G81" s="760"/>
      <c r="H81" s="760"/>
      <c r="I81" s="760"/>
      <c r="J81" s="760"/>
      <c r="K81" s="760"/>
      <c r="L81" s="760"/>
      <c r="M81" s="760"/>
      <c r="N81" s="1416"/>
      <c r="O81" s="1420"/>
    </row>
    <row r="82" spans="1:15" s="1466" customFormat="1" ht="12" customHeight="1" x14ac:dyDescent="0.2">
      <c r="B82" s="1419"/>
      <c r="C82" s="1406"/>
      <c r="D82" s="1543"/>
      <c r="E82" s="1544" t="s">
        <v>1321</v>
      </c>
      <c r="F82" s="1546">
        <v>2010</v>
      </c>
      <c r="G82" s="1546">
        <v>2015</v>
      </c>
      <c r="H82" s="1546">
        <v>2020</v>
      </c>
      <c r="I82" s="1546">
        <v>2025</v>
      </c>
      <c r="J82" s="1546">
        <v>2030</v>
      </c>
      <c r="K82" s="1546">
        <v>2035</v>
      </c>
      <c r="L82" s="1546">
        <v>2040</v>
      </c>
      <c r="M82" s="1546">
        <v>2045</v>
      </c>
      <c r="N82" s="1546">
        <v>2050</v>
      </c>
      <c r="O82" s="1420"/>
    </row>
    <row r="83" spans="1:15" s="1466" customFormat="1" ht="12" customHeight="1" x14ac:dyDescent="0.2">
      <c r="B83" s="1419"/>
      <c r="C83" s="1846" t="s">
        <v>1871</v>
      </c>
      <c r="D83" s="1519"/>
      <c r="E83" s="1847">
        <f>(N83-F83)/(N$82-F$82)</f>
        <v>0</v>
      </c>
      <c r="F83" s="2161">
        <f>(80000)*NAIRA2010_*1.5</f>
        <v>120000</v>
      </c>
      <c r="G83" s="1923">
        <f t="shared" ref="G83:M85" si="6">($E83*(G$82-F$82))+F83</f>
        <v>120000</v>
      </c>
      <c r="H83" s="1923">
        <f t="shared" si="6"/>
        <v>120000</v>
      </c>
      <c r="I83" s="1923">
        <f t="shared" si="6"/>
        <v>120000</v>
      </c>
      <c r="J83" s="1923">
        <f t="shared" si="6"/>
        <v>120000</v>
      </c>
      <c r="K83" s="1923">
        <f t="shared" si="6"/>
        <v>120000</v>
      </c>
      <c r="L83" s="1923">
        <f t="shared" si="6"/>
        <v>120000</v>
      </c>
      <c r="M83" s="1923">
        <f t="shared" si="6"/>
        <v>120000</v>
      </c>
      <c r="N83" s="2161">
        <f>(80000)*NAIRA2010_*1.5</f>
        <v>120000</v>
      </c>
      <c r="O83" s="1420"/>
    </row>
    <row r="84" spans="1:15" s="1466" customFormat="1" ht="12" customHeight="1" x14ac:dyDescent="0.2">
      <c r="B84" s="1419"/>
      <c r="C84" s="606" t="s">
        <v>1872</v>
      </c>
      <c r="D84" s="107"/>
      <c r="E84" s="188">
        <f>(N84-F84)/(N$82-F$82)</f>
        <v>0</v>
      </c>
      <c r="F84" s="2162">
        <f>(F85+((F83-F85)*0.35))</f>
        <v>61500</v>
      </c>
      <c r="G84" s="2162">
        <f>(G85+((G83-G85)*0.3))</f>
        <v>57000</v>
      </c>
      <c r="H84" s="1921">
        <f t="shared" si="6"/>
        <v>57000</v>
      </c>
      <c r="I84" s="1921">
        <f t="shared" si="6"/>
        <v>57000</v>
      </c>
      <c r="J84" s="1921">
        <f t="shared" si="6"/>
        <v>57000</v>
      </c>
      <c r="K84" s="1921">
        <f t="shared" si="6"/>
        <v>57000</v>
      </c>
      <c r="L84" s="1921">
        <f t="shared" si="6"/>
        <v>57000</v>
      </c>
      <c r="M84" s="1921">
        <f>($E84*(M$82-L$82))+L84</f>
        <v>57000</v>
      </c>
      <c r="N84" s="2162">
        <f>(N85+((N83-N85)*0.35))</f>
        <v>61500</v>
      </c>
      <c r="O84" s="1420"/>
    </row>
    <row r="85" spans="1:15" s="1466" customFormat="1" ht="12" customHeight="1" x14ac:dyDescent="0.2">
      <c r="B85" s="1419"/>
      <c r="C85" s="1731" t="s">
        <v>1873</v>
      </c>
      <c r="D85" s="189"/>
      <c r="E85" s="191">
        <f>(N85-F85)/(N$82-F$82)</f>
        <v>0</v>
      </c>
      <c r="F85" s="2163">
        <f>(30000)*NAIRA2010_</f>
        <v>30000</v>
      </c>
      <c r="G85" s="1925">
        <f t="shared" si="6"/>
        <v>30000</v>
      </c>
      <c r="H85" s="1925">
        <f t="shared" si="6"/>
        <v>30000</v>
      </c>
      <c r="I85" s="1925">
        <f t="shared" si="6"/>
        <v>30000</v>
      </c>
      <c r="J85" s="1925">
        <f t="shared" si="6"/>
        <v>30000</v>
      </c>
      <c r="K85" s="1925">
        <f t="shared" si="6"/>
        <v>30000</v>
      </c>
      <c r="L85" s="1925">
        <f t="shared" si="6"/>
        <v>30000</v>
      </c>
      <c r="M85" s="1925">
        <f t="shared" si="6"/>
        <v>30000</v>
      </c>
      <c r="N85" s="2163">
        <f>(30000)*NAIRA2010_</f>
        <v>30000</v>
      </c>
      <c r="O85" s="1420"/>
    </row>
    <row r="86" spans="1:15" s="1466" customFormat="1" ht="12" customHeight="1" x14ac:dyDescent="0.2">
      <c r="B86" s="1377"/>
      <c r="C86" s="1377"/>
      <c r="D86" s="1416"/>
      <c r="E86" s="760"/>
      <c r="F86" s="1416"/>
      <c r="G86" s="1416"/>
      <c r="H86" s="1416"/>
      <c r="I86" s="1488"/>
      <c r="J86" s="1488"/>
      <c r="K86" s="1377"/>
      <c r="L86" s="1377"/>
      <c r="M86" s="1377"/>
      <c r="N86" s="1377"/>
      <c r="O86" s="1377"/>
    </row>
    <row r="87" spans="1:15" s="1466" customFormat="1" ht="4.5" customHeight="1" x14ac:dyDescent="0.2"/>
    <row r="88" spans="1:15" s="1466" customFormat="1" ht="12" customHeight="1" x14ac:dyDescent="0.2">
      <c r="B88" s="472" t="s">
        <v>332</v>
      </c>
      <c r="C88" s="498"/>
      <c r="D88" s="498"/>
      <c r="E88" s="498"/>
      <c r="F88" s="498"/>
      <c r="G88" s="498"/>
      <c r="H88" s="498"/>
      <c r="I88" s="498"/>
      <c r="J88" s="498"/>
      <c r="K88" s="498"/>
      <c r="L88" s="498"/>
      <c r="M88" s="498"/>
      <c r="N88" s="498"/>
      <c r="O88" s="499"/>
    </row>
    <row r="89" spans="1:15" s="1467" customFormat="1" ht="12" customHeight="1" x14ac:dyDescent="0.2">
      <c r="B89" s="395"/>
      <c r="C89" s="173"/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73"/>
      <c r="O89" s="396"/>
    </row>
    <row r="90" spans="1:15" s="1466" customFormat="1" x14ac:dyDescent="0.2">
      <c r="B90" s="395"/>
      <c r="C90" s="175" t="s">
        <v>805</v>
      </c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61" t="s">
        <v>384</v>
      </c>
      <c r="O90" s="396"/>
    </row>
    <row r="91" spans="1:15" x14ac:dyDescent="0.2">
      <c r="B91" s="395"/>
      <c r="C91" s="173"/>
      <c r="D91" s="173"/>
      <c r="E91" s="173"/>
      <c r="F91" s="173"/>
      <c r="G91" s="173"/>
      <c r="H91" s="173"/>
      <c r="I91" s="173"/>
      <c r="J91" s="173"/>
      <c r="K91" s="173"/>
      <c r="L91" s="173"/>
      <c r="M91" s="173"/>
      <c r="N91" s="173"/>
      <c r="O91" s="396"/>
    </row>
    <row r="92" spans="1:15" ht="22.5" collapsed="1" x14ac:dyDescent="0.3">
      <c r="A92" s="409"/>
      <c r="B92" s="397"/>
      <c r="C92" s="98" t="s">
        <v>64</v>
      </c>
      <c r="D92" s="98" t="s">
        <v>65</v>
      </c>
      <c r="E92" s="98" t="s">
        <v>172</v>
      </c>
      <c r="F92" s="218">
        <v>2010</v>
      </c>
      <c r="G92" s="217">
        <v>2015</v>
      </c>
      <c r="H92" s="217">
        <v>2020</v>
      </c>
      <c r="I92" s="217">
        <v>2025</v>
      </c>
      <c r="J92" s="217">
        <v>2030</v>
      </c>
      <c r="K92" s="217">
        <v>2035</v>
      </c>
      <c r="L92" s="217">
        <v>2040</v>
      </c>
      <c r="M92" s="217">
        <v>2045</v>
      </c>
      <c r="N92" s="217">
        <v>2050</v>
      </c>
      <c r="O92" s="396"/>
    </row>
    <row r="93" spans="1:15" ht="15.75" x14ac:dyDescent="0.25">
      <c r="B93" s="397"/>
      <c r="C93" s="144" t="s">
        <v>34</v>
      </c>
      <c r="D93" s="145" t="str">
        <f>INDEX(Vectors[Description], MATCH($C93, Vectors[Code], 0))</f>
        <v>Electricity (delivered to end user)</v>
      </c>
      <c r="E93" s="488"/>
      <c r="F93" s="174">
        <f>G34</f>
        <v>0.03</v>
      </c>
      <c r="G93" s="740">
        <f t="shared" ref="G93:M93" si="7">F$93+($N93-$F93)/($N$92-$F$92)*(G$92-F$92)</f>
        <v>5.1250000000000004E-2</v>
      </c>
      <c r="H93" s="740">
        <f t="shared" si="7"/>
        <v>7.2500000000000009E-2</v>
      </c>
      <c r="I93" s="740">
        <f t="shared" si="7"/>
        <v>9.3750000000000014E-2</v>
      </c>
      <c r="J93" s="740">
        <f t="shared" si="7"/>
        <v>0.11500000000000002</v>
      </c>
      <c r="K93" s="740">
        <f t="shared" si="7"/>
        <v>0.13625000000000001</v>
      </c>
      <c r="L93" s="740">
        <f t="shared" si="7"/>
        <v>0.1575</v>
      </c>
      <c r="M93" s="740">
        <f t="shared" si="7"/>
        <v>0.17874999999999999</v>
      </c>
      <c r="N93" s="174">
        <f>INDEX($G$34:$J$37, MATCH($E$9, $C$34:$C$37, 0), MATCH($C93, $G$33:$J$33, 0))</f>
        <v>0.2</v>
      </c>
      <c r="O93" s="396"/>
    </row>
    <row r="94" spans="1:15" s="2370" customFormat="1" ht="15.75" x14ac:dyDescent="0.25">
      <c r="B94" s="397"/>
      <c r="C94" s="1414" t="s">
        <v>38</v>
      </c>
      <c r="D94" s="1415" t="str">
        <f>INDEX(Vectors[Description], MATCH($C94, Vectors[Code], 0))</f>
        <v>Liquid hydrocarbons</v>
      </c>
      <c r="E94" s="488"/>
      <c r="F94" s="174">
        <f>H34</f>
        <v>0.12</v>
      </c>
      <c r="G94" s="740">
        <f t="shared" ref="G94:M94" si="8">F$94+($N94-$F94)/($N$92-$F$92)*(G$92-F$92)</f>
        <v>0.13500000000000001</v>
      </c>
      <c r="H94" s="740">
        <f t="shared" si="8"/>
        <v>0.15000000000000002</v>
      </c>
      <c r="I94" s="740">
        <f t="shared" si="8"/>
        <v>0.16500000000000004</v>
      </c>
      <c r="J94" s="740">
        <f t="shared" si="8"/>
        <v>0.18000000000000005</v>
      </c>
      <c r="K94" s="740">
        <f t="shared" si="8"/>
        <v>0.19500000000000006</v>
      </c>
      <c r="L94" s="740">
        <f t="shared" si="8"/>
        <v>0.21000000000000008</v>
      </c>
      <c r="M94" s="740">
        <f t="shared" si="8"/>
        <v>0.22500000000000009</v>
      </c>
      <c r="N94" s="174">
        <f>INDEX($G$34:$J$37, MATCH($E$9, $C$34:$C$37, 0), MATCH($C94, $G$33:$J$33, 0))</f>
        <v>0.24</v>
      </c>
      <c r="O94" s="1420"/>
    </row>
    <row r="95" spans="1:15" s="2370" customFormat="1" ht="15.75" x14ac:dyDescent="0.25">
      <c r="B95" s="397"/>
      <c r="C95" s="1414" t="s">
        <v>39</v>
      </c>
      <c r="D95" s="1415" t="str">
        <f>INDEX(Vectors[Description], MATCH($C95, Vectors[Code], 0))</f>
        <v>Gaseous hydrocarbons</v>
      </c>
      <c r="E95" s="488"/>
      <c r="F95" s="174">
        <f>I34</f>
        <v>0.05</v>
      </c>
      <c r="G95" s="740">
        <f t="shared" ref="G95:M95" si="9">F$95+($N95-$F95)/($N$92-$F$92)*(G$92-F$92)</f>
        <v>9.375E-2</v>
      </c>
      <c r="H95" s="740">
        <f t="shared" si="9"/>
        <v>0.13750000000000001</v>
      </c>
      <c r="I95" s="740">
        <f t="shared" si="9"/>
        <v>0.18125000000000002</v>
      </c>
      <c r="J95" s="740">
        <f t="shared" si="9"/>
        <v>0.22500000000000003</v>
      </c>
      <c r="K95" s="740">
        <f t="shared" si="9"/>
        <v>0.26875000000000004</v>
      </c>
      <c r="L95" s="740">
        <f t="shared" si="9"/>
        <v>0.31250000000000006</v>
      </c>
      <c r="M95" s="740">
        <f t="shared" si="9"/>
        <v>0.35625000000000007</v>
      </c>
      <c r="N95" s="174">
        <f>INDEX($G$34:$J$37, MATCH($E$9, $C$34:$C$37, 0), MATCH($C95, $G$33:$J$33, 0))</f>
        <v>0.4</v>
      </c>
      <c r="O95" s="1420"/>
    </row>
    <row r="96" spans="1:15" ht="16.5" customHeight="1" x14ac:dyDescent="0.25">
      <c r="B96" s="397"/>
      <c r="C96" s="199" t="s">
        <v>2184</v>
      </c>
      <c r="D96" s="200" t="str">
        <f>INDEX(Vectors[Description], MATCH($C96, Vectors[Code], 0))</f>
        <v>Traditional Fuel</v>
      </c>
      <c r="E96" s="200"/>
      <c r="F96" s="210">
        <f>J34</f>
        <v>0.8</v>
      </c>
      <c r="G96" s="767">
        <f t="shared" ref="G96:M96" si="10">F$96+($N96-$F96)/($N$92-$F$92)*(G$92-F$92)</f>
        <v>0.72000000000000008</v>
      </c>
      <c r="H96" s="767">
        <f t="shared" si="10"/>
        <v>0.64000000000000012</v>
      </c>
      <c r="I96" s="767">
        <f t="shared" si="10"/>
        <v>0.56000000000000016</v>
      </c>
      <c r="J96" s="767">
        <f t="shared" si="10"/>
        <v>0.48000000000000015</v>
      </c>
      <c r="K96" s="767">
        <f t="shared" si="10"/>
        <v>0.40000000000000013</v>
      </c>
      <c r="L96" s="767">
        <f t="shared" si="10"/>
        <v>0.32000000000000012</v>
      </c>
      <c r="M96" s="767">
        <f t="shared" si="10"/>
        <v>0.2400000000000001</v>
      </c>
      <c r="N96" s="767">
        <f>INDEX($G$34:$J$37, MATCH($E$9, $C$34:$C$37, 0), MATCH($C96, $G$33:$J$33, 0))</f>
        <v>0.16000000000000003</v>
      </c>
      <c r="O96" s="396"/>
    </row>
    <row r="97" spans="1:16" ht="15.75" customHeight="1" x14ac:dyDescent="0.2">
      <c r="B97" s="395"/>
      <c r="C97" s="173"/>
      <c r="D97" s="173"/>
      <c r="E97" s="173"/>
      <c r="F97" s="173"/>
      <c r="G97" s="173"/>
      <c r="H97" s="173"/>
      <c r="I97" s="173"/>
      <c r="J97" s="173"/>
      <c r="K97" s="173"/>
      <c r="L97" s="173"/>
      <c r="M97" s="173"/>
      <c r="N97" s="173"/>
      <c r="O97" s="396"/>
    </row>
    <row r="98" spans="1:16" ht="15.75" x14ac:dyDescent="0.25">
      <c r="B98" s="397"/>
      <c r="C98" s="1414"/>
      <c r="D98" s="1415"/>
      <c r="E98" s="1415"/>
      <c r="F98" s="741"/>
      <c r="G98" s="741"/>
      <c r="H98" s="741"/>
      <c r="I98" s="741"/>
      <c r="J98" s="741"/>
      <c r="K98" s="741"/>
      <c r="L98" s="741"/>
      <c r="M98" s="741"/>
      <c r="N98" s="183"/>
      <c r="O98" s="1420"/>
    </row>
    <row r="99" spans="1:16" ht="15.75" x14ac:dyDescent="0.25">
      <c r="B99" s="397"/>
      <c r="C99" s="178" t="s">
        <v>334</v>
      </c>
      <c r="D99" s="1415"/>
      <c r="E99" s="179"/>
      <c r="F99" s="161"/>
      <c r="G99" s="1416"/>
      <c r="H99" s="1416"/>
      <c r="I99" s="1416"/>
      <c r="J99" s="1416"/>
      <c r="K99" s="1416"/>
      <c r="L99" s="1416"/>
      <c r="M99" s="1416"/>
      <c r="N99" s="176" t="s">
        <v>334</v>
      </c>
      <c r="O99" s="1420"/>
    </row>
    <row r="100" spans="1:16" ht="15.75" x14ac:dyDescent="0.25">
      <c r="B100" s="397"/>
      <c r="C100" s="1414"/>
      <c r="D100" s="1415"/>
      <c r="E100" s="1415"/>
      <c r="F100" s="161"/>
      <c r="G100" s="1416"/>
      <c r="H100" s="1416"/>
      <c r="I100" s="1416"/>
      <c r="J100" s="1416"/>
      <c r="K100" s="1416"/>
      <c r="L100" s="1416"/>
      <c r="M100" s="1416"/>
      <c r="N100" s="1416"/>
      <c r="O100" s="1420"/>
    </row>
    <row r="101" spans="1:16" ht="15.75" x14ac:dyDescent="0.25">
      <c r="B101" s="397"/>
      <c r="C101" s="98"/>
      <c r="D101" s="98" t="s">
        <v>65</v>
      </c>
      <c r="E101" s="98" t="s">
        <v>172</v>
      </c>
      <c r="F101" s="558">
        <v>2010</v>
      </c>
      <c r="G101" s="559">
        <v>2015</v>
      </c>
      <c r="H101" s="559">
        <v>2020</v>
      </c>
      <c r="I101" s="559">
        <v>2025</v>
      </c>
      <c r="J101" s="559">
        <v>2030</v>
      </c>
      <c r="K101" s="559">
        <v>2035</v>
      </c>
      <c r="L101" s="559">
        <v>2040</v>
      </c>
      <c r="M101" s="559">
        <v>2045</v>
      </c>
      <c r="N101" s="559">
        <v>2050</v>
      </c>
      <c r="O101" s="1420"/>
    </row>
    <row r="102" spans="1:16" s="1466" customFormat="1" ht="15.75" x14ac:dyDescent="0.25">
      <c r="B102" s="397"/>
      <c r="C102" s="560"/>
      <c r="D102" s="146" t="s">
        <v>569</v>
      </c>
      <c r="E102" s="146"/>
      <c r="F102" s="555">
        <f>INDEX(Global.Assumptions[Households], MATCH(F101, Global.Assumptions[Year], 0))</f>
        <v>29446986.320893276</v>
      </c>
      <c r="G102" s="555">
        <f>INDEX(Global.Assumptions[Households], MATCH(G101, Global.Assumptions[Year], 0))</f>
        <v>31531746.337889936</v>
      </c>
      <c r="H102" s="555">
        <f>INDEX(Global.Assumptions[Households], MATCH(H101, Global.Assumptions[Year], 0))</f>
        <v>36996583.320638195</v>
      </c>
      <c r="I102" s="555">
        <f>INDEX(Global.Assumptions[Households], MATCH(I101, Global.Assumptions[Year], 0))</f>
        <v>43468170.457010902</v>
      </c>
      <c r="J102" s="555">
        <f>INDEX(Global.Assumptions[Households], MATCH(J101, Global.Assumptions[Year], 0))</f>
        <v>49180245.054391749</v>
      </c>
      <c r="K102" s="555">
        <f>INDEX(Global.Assumptions[Households], MATCH(K101, Global.Assumptions[Year], 0))</f>
        <v>57868650.493172847</v>
      </c>
      <c r="L102" s="555">
        <f>INDEX(Global.Assumptions[Households], MATCH(L101, Global.Assumptions[Year], 0))</f>
        <v>63891666.116602361</v>
      </c>
      <c r="M102" s="555">
        <f>INDEX(Global.Assumptions[Households], MATCH(M101, Global.Assumptions[Year], 0))</f>
        <v>70541562.043804556</v>
      </c>
      <c r="N102" s="555">
        <f>INDEX(Global.Assumptions[Households], MATCH(N101, Global.Assumptions[Year], 0))</f>
        <v>77883584.480306372</v>
      </c>
      <c r="O102" s="1420"/>
    </row>
    <row r="103" spans="1:16" s="1466" customFormat="1" x14ac:dyDescent="0.2">
      <c r="B103" s="1419"/>
      <c r="C103" s="1416"/>
      <c r="D103" s="1416"/>
      <c r="E103" s="1416"/>
      <c r="F103" s="1416"/>
      <c r="G103" s="1416"/>
      <c r="H103" s="1416"/>
      <c r="I103" s="1416"/>
      <c r="J103" s="1416"/>
      <c r="K103" s="1416"/>
      <c r="L103" s="1416"/>
      <c r="M103" s="1416"/>
      <c r="N103" s="1416"/>
      <c r="O103" s="1416"/>
      <c r="P103" s="1420"/>
    </row>
    <row r="104" spans="1:16" s="1466" customFormat="1" x14ac:dyDescent="0.2">
      <c r="B104" s="38"/>
      <c r="C104" s="38"/>
      <c r="D104" s="38"/>
      <c r="E104" s="38"/>
      <c r="F104" s="38"/>
      <c r="G104" s="38"/>
      <c r="H104" s="38"/>
      <c r="I104" s="38"/>
      <c r="J104" s="38"/>
      <c r="K104" s="38"/>
      <c r="L104" s="38"/>
      <c r="M104" s="38"/>
      <c r="N104" s="38"/>
      <c r="O104" s="38"/>
      <c r="P104" s="38"/>
    </row>
    <row r="105" spans="1:16" s="1466" customFormat="1" ht="15.75" x14ac:dyDescent="0.25">
      <c r="B105" s="134" t="s">
        <v>279</v>
      </c>
      <c r="C105" s="38"/>
      <c r="D105" s="38"/>
      <c r="E105" s="38"/>
      <c r="F105" s="38"/>
      <c r="G105" s="38"/>
      <c r="H105" s="38"/>
      <c r="I105" s="38"/>
      <c r="J105" s="38"/>
      <c r="K105" s="38"/>
      <c r="L105" s="38"/>
      <c r="M105" s="38"/>
      <c r="N105" s="38"/>
      <c r="O105" s="38"/>
      <c r="P105" s="38"/>
    </row>
    <row r="106" spans="1:16" s="1466" customFormat="1" x14ac:dyDescent="0.2">
      <c r="B106" s="82">
        <v>1</v>
      </c>
      <c r="C106" s="82" t="s">
        <v>806</v>
      </c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  <c r="O106" s="20"/>
      <c r="P106" s="20"/>
    </row>
    <row r="107" spans="1:16" s="1466" customFormat="1" x14ac:dyDescent="0.2">
      <c r="B107" s="82">
        <v>2</v>
      </c>
      <c r="C107" s="82" t="s">
        <v>807</v>
      </c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</row>
    <row r="108" spans="1:16" x14ac:dyDescent="0.2">
      <c r="B108" s="82">
        <v>3</v>
      </c>
      <c r="C108" s="82" t="s">
        <v>813</v>
      </c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</row>
    <row r="109" spans="1:16" ht="18" collapsed="1" x14ac:dyDescent="0.25">
      <c r="A109" s="99"/>
      <c r="B109" s="82">
        <v>4</v>
      </c>
      <c r="C109" s="82" t="s">
        <v>513</v>
      </c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</row>
    <row r="110" spans="1:16" s="20" customFormat="1" x14ac:dyDescent="0.2">
      <c r="B110" s="38"/>
      <c r="C110" s="38"/>
      <c r="D110" s="38"/>
      <c r="E110" s="38"/>
      <c r="F110" s="38"/>
      <c r="G110" s="38"/>
      <c r="H110" s="38"/>
      <c r="I110" s="38"/>
      <c r="J110" s="38"/>
      <c r="K110" s="38"/>
      <c r="L110" s="38"/>
      <c r="M110" s="38"/>
      <c r="N110" s="38"/>
      <c r="O110" s="38"/>
      <c r="P110" s="38"/>
    </row>
    <row r="111" spans="1:16" s="20" customFormat="1" x14ac:dyDescent="0.2">
      <c r="B111" s="82">
        <v>1</v>
      </c>
      <c r="C111" s="82" t="s">
        <v>808</v>
      </c>
      <c r="D111" s="38"/>
      <c r="E111" s="38"/>
      <c r="F111" s="38"/>
      <c r="G111" s="38"/>
      <c r="H111" s="38"/>
      <c r="I111" s="38"/>
      <c r="J111" s="38"/>
      <c r="K111" s="38"/>
      <c r="L111" s="38"/>
      <c r="M111" s="38"/>
      <c r="N111" s="38"/>
      <c r="O111" s="38"/>
    </row>
    <row r="112" spans="1:16" s="20" customFormat="1" x14ac:dyDescent="0.2">
      <c r="B112" s="82"/>
      <c r="C112" s="82"/>
      <c r="D112" s="38"/>
      <c r="E112" s="38"/>
      <c r="F112" s="171">
        <v>2010</v>
      </c>
      <c r="G112" s="171">
        <v>2015</v>
      </c>
      <c r="H112" s="171">
        <v>2020</v>
      </c>
      <c r="I112" s="171">
        <v>2025</v>
      </c>
      <c r="J112" s="171">
        <v>2030</v>
      </c>
      <c r="K112" s="171">
        <v>2035</v>
      </c>
      <c r="L112" s="171">
        <v>2040</v>
      </c>
      <c r="M112" s="171">
        <v>2045</v>
      </c>
      <c r="N112" s="171">
        <v>2050</v>
      </c>
      <c r="O112" s="38"/>
    </row>
    <row r="113" spans="2:15" s="20" customFormat="1" x14ac:dyDescent="0.2">
      <c r="B113" s="38"/>
      <c r="C113" s="20" t="s">
        <v>810</v>
      </c>
      <c r="D113" s="38"/>
      <c r="E113" s="16" t="str">
        <f>Preferences.EnergyUnits</f>
        <v>TWh</v>
      </c>
      <c r="F113" s="232">
        <f t="shared" ref="F113:N113" si="11">INDEX(F$26:F$29, MATCH($E$8, $C$26:$C$29, 0))</f>
        <v>7.6206865892723407E-6</v>
      </c>
      <c r="G113" s="232">
        <f t="shared" si="11"/>
        <v>6.8858017814821716E-6</v>
      </c>
      <c r="H113" s="232">
        <f t="shared" si="11"/>
        <v>6.1509169736919941E-6</v>
      </c>
      <c r="I113" s="232">
        <f t="shared" si="11"/>
        <v>5.416032165901825E-6</v>
      </c>
      <c r="J113" s="232">
        <f t="shared" si="11"/>
        <v>4.6811473581116483E-6</v>
      </c>
      <c r="K113" s="232">
        <f t="shared" si="11"/>
        <v>3.9462625503214792E-6</v>
      </c>
      <c r="L113" s="232">
        <f t="shared" si="11"/>
        <v>3.2113777425313101E-6</v>
      </c>
      <c r="M113" s="232">
        <f t="shared" si="11"/>
        <v>2.4764929347411326E-6</v>
      </c>
      <c r="N113" s="232">
        <f t="shared" si="11"/>
        <v>1.7416081269509635E-6</v>
      </c>
      <c r="O113" s="38"/>
    </row>
    <row r="114" spans="2:15" x14ac:dyDescent="0.2">
      <c r="B114" s="582" t="s">
        <v>345</v>
      </c>
      <c r="C114" s="39" t="s">
        <v>350</v>
      </c>
      <c r="D114" s="39"/>
      <c r="E114" s="582"/>
      <c r="F114" s="768">
        <f>INDEX(Global.Assumptions[Households], MATCH(F$112, Global.Assumptions[Year], 0))</f>
        <v>29446986.320893276</v>
      </c>
      <c r="G114" s="768">
        <f>INDEX(Global.Assumptions[Households], MATCH(G$112, Global.Assumptions[Year], 0))</f>
        <v>31531746.337889936</v>
      </c>
      <c r="H114" s="768">
        <f>INDEX(Global.Assumptions[Households], MATCH(H$112, Global.Assumptions[Year], 0))</f>
        <v>36996583.320638195</v>
      </c>
      <c r="I114" s="768">
        <f>INDEX(Global.Assumptions[Households], MATCH(I$112, Global.Assumptions[Year], 0))</f>
        <v>43468170.457010902</v>
      </c>
      <c r="J114" s="768">
        <f>INDEX(Global.Assumptions[Households], MATCH(J$112, Global.Assumptions[Year], 0))</f>
        <v>49180245.054391749</v>
      </c>
      <c r="K114" s="768">
        <f>INDEX(Global.Assumptions[Households], MATCH(K$112, Global.Assumptions[Year], 0))</f>
        <v>57868650.493172847</v>
      </c>
      <c r="L114" s="768">
        <f>INDEX(Global.Assumptions[Households], MATCH(L$112, Global.Assumptions[Year], 0))</f>
        <v>63891666.116602361</v>
      </c>
      <c r="M114" s="768">
        <f>INDEX(Global.Assumptions[Households], MATCH(M$112, Global.Assumptions[Year], 0))</f>
        <v>70541562.043804556</v>
      </c>
      <c r="N114" s="768">
        <f>INDEX(Global.Assumptions[Households], MATCH(N$112, Global.Assumptions[Year], 0))</f>
        <v>77883584.480306372</v>
      </c>
      <c r="O114" s="39"/>
    </row>
    <row r="115" spans="2:15" x14ac:dyDescent="0.2">
      <c r="B115" s="584" t="s">
        <v>346</v>
      </c>
      <c r="C115" s="82" t="s">
        <v>809</v>
      </c>
      <c r="D115" s="82"/>
      <c r="E115" s="172" t="str">
        <f>Preferences.EnergyUnits</f>
        <v>TWh</v>
      </c>
      <c r="F115" s="234">
        <f t="shared" ref="F115:N115" si="12">F113*F114</f>
        <v>224.40625375011746</v>
      </c>
      <c r="G115" s="234">
        <f t="shared" si="12"/>
        <v>217.12135510668645</v>
      </c>
      <c r="H115" s="234">
        <f t="shared" si="12"/>
        <v>227.56291231552359</v>
      </c>
      <c r="I115" s="234">
        <f t="shared" si="12"/>
        <v>235.42500938807447</v>
      </c>
      <c r="J115" s="234">
        <f t="shared" si="12"/>
        <v>230.21997420764939</v>
      </c>
      <c r="K115" s="234">
        <f t="shared" si="12"/>
        <v>228.3648882788506</v>
      </c>
      <c r="L115" s="234">
        <f t="shared" si="12"/>
        <v>205.18027450009868</v>
      </c>
      <c r="M115" s="234">
        <f t="shared" si="12"/>
        <v>174.69568000708523</v>
      </c>
      <c r="N115" s="234">
        <f t="shared" si="12"/>
        <v>135.6426836869735</v>
      </c>
      <c r="O115" s="82"/>
    </row>
    <row r="116" spans="2:15" x14ac:dyDescent="0.2">
      <c r="B116" s="16" t="s">
        <v>34</v>
      </c>
      <c r="C116" s="38" t="str">
        <f>INDEX(Vectors[Description], MATCH($B116, Vectors[Code], 0))</f>
        <v>Electricity (delivered to end user)</v>
      </c>
      <c r="F116" s="219">
        <f t="shared" ref="F116:N116" si="13">F$115*F93</f>
        <v>6.7321876125035232</v>
      </c>
      <c r="G116" s="219">
        <f t="shared" si="13"/>
        <v>11.127469449217681</v>
      </c>
      <c r="H116" s="219">
        <f t="shared" si="13"/>
        <v>16.498311142875462</v>
      </c>
      <c r="I116" s="219">
        <f t="shared" si="13"/>
        <v>22.071094630131984</v>
      </c>
      <c r="J116" s="219">
        <f t="shared" si="13"/>
        <v>26.475297033879684</v>
      </c>
      <c r="K116" s="219">
        <f t="shared" si="13"/>
        <v>31.114716027993396</v>
      </c>
      <c r="L116" s="219">
        <f t="shared" si="13"/>
        <v>32.315893233765543</v>
      </c>
      <c r="M116" s="219">
        <f t="shared" si="13"/>
        <v>31.226852801266482</v>
      </c>
      <c r="N116" s="219">
        <f t="shared" si="13"/>
        <v>27.1285367373947</v>
      </c>
    </row>
    <row r="117" spans="2:15" s="2370" customFormat="1" x14ac:dyDescent="0.2">
      <c r="B117" s="1426" t="s">
        <v>38</v>
      </c>
      <c r="C117" s="2370" t="str">
        <f>INDEX(Vectors[Description], MATCH($B117, Vectors[Code], 0))</f>
        <v>Liquid hydrocarbons</v>
      </c>
      <c r="F117" s="219">
        <f t="shared" ref="F117:N117" si="14">F$115*F94</f>
        <v>26.928750450014093</v>
      </c>
      <c r="G117" s="219">
        <f t="shared" si="14"/>
        <v>29.311382939402673</v>
      </c>
      <c r="H117" s="219">
        <f t="shared" si="14"/>
        <v>34.134436847328544</v>
      </c>
      <c r="I117" s="219">
        <f t="shared" si="14"/>
        <v>38.845126549032294</v>
      </c>
      <c r="J117" s="219">
        <f t="shared" si="14"/>
        <v>41.439595357376902</v>
      </c>
      <c r="K117" s="219">
        <f t="shared" si="14"/>
        <v>44.531153214375884</v>
      </c>
      <c r="L117" s="219">
        <f t="shared" si="14"/>
        <v>43.08785764502074</v>
      </c>
      <c r="M117" s="219">
        <f t="shared" si="14"/>
        <v>39.306528001594195</v>
      </c>
      <c r="N117" s="219">
        <f t="shared" si="14"/>
        <v>32.554244084873638</v>
      </c>
    </row>
    <row r="118" spans="2:15" x14ac:dyDescent="0.2">
      <c r="B118" s="16" t="s">
        <v>39</v>
      </c>
      <c r="C118" s="38" t="str">
        <f>INDEX(Vectors[Description], MATCH($B118, Vectors[Code], 0))</f>
        <v>Gaseous hydrocarbons</v>
      </c>
      <c r="F118" s="219">
        <f t="shared" ref="F118:N118" si="15">F$115*F95</f>
        <v>11.220312687505874</v>
      </c>
      <c r="G118" s="219">
        <f t="shared" si="15"/>
        <v>20.355127041251855</v>
      </c>
      <c r="H118" s="219">
        <f t="shared" si="15"/>
        <v>31.289900443384496</v>
      </c>
      <c r="I118" s="219">
        <f t="shared" si="15"/>
        <v>42.670782951588507</v>
      </c>
      <c r="J118" s="219">
        <f t="shared" si="15"/>
        <v>51.79949419672112</v>
      </c>
      <c r="K118" s="219">
        <f t="shared" si="15"/>
        <v>61.373063724941112</v>
      </c>
      <c r="L118" s="219">
        <f t="shared" si="15"/>
        <v>64.11883578128085</v>
      </c>
      <c r="M118" s="219">
        <f t="shared" si="15"/>
        <v>62.235336002524122</v>
      </c>
      <c r="N118" s="219">
        <f t="shared" si="15"/>
        <v>54.257073474789401</v>
      </c>
    </row>
    <row r="119" spans="2:15" s="2370" customFormat="1" x14ac:dyDescent="0.2">
      <c r="B119" s="1426" t="s">
        <v>2184</v>
      </c>
      <c r="C119" s="2370" t="str">
        <f>INDEX(Vectors[Description], MATCH($B119, Vectors[Code], 0))</f>
        <v>Traditional Fuel</v>
      </c>
      <c r="F119" s="219">
        <f t="shared" ref="F119:N119" si="16">F$115*F96</f>
        <v>179.52500300009399</v>
      </c>
      <c r="G119" s="219">
        <f t="shared" si="16"/>
        <v>156.32737567681426</v>
      </c>
      <c r="H119" s="219">
        <f t="shared" si="16"/>
        <v>145.64026388193511</v>
      </c>
      <c r="I119" s="219">
        <f t="shared" si="16"/>
        <v>131.83800525732175</v>
      </c>
      <c r="J119" s="219">
        <f t="shared" si="16"/>
        <v>110.50558761967174</v>
      </c>
      <c r="K119" s="219">
        <f t="shared" si="16"/>
        <v>91.345955311540266</v>
      </c>
      <c r="L119" s="219">
        <f t="shared" si="16"/>
        <v>65.657687840031599</v>
      </c>
      <c r="M119" s="219">
        <f t="shared" si="16"/>
        <v>41.926963201700474</v>
      </c>
      <c r="N119" s="219">
        <f t="shared" si="16"/>
        <v>21.702829389915763</v>
      </c>
    </row>
    <row r="120" spans="2:15" s="39" customFormat="1" x14ac:dyDescent="0.2">
      <c r="B120" s="38"/>
      <c r="C120" s="38"/>
      <c r="D120" s="38"/>
      <c r="E120" s="38"/>
      <c r="F120" s="219"/>
      <c r="G120" s="219"/>
      <c r="H120" s="219"/>
      <c r="I120" s="219"/>
      <c r="J120" s="219"/>
      <c r="K120" s="219"/>
      <c r="L120" s="219"/>
      <c r="M120" s="219"/>
      <c r="N120" s="219"/>
      <c r="O120" s="38"/>
    </row>
    <row r="121" spans="2:15" s="82" customFormat="1" x14ac:dyDescent="0.2">
      <c r="B121" s="38"/>
      <c r="C121" s="38"/>
      <c r="D121" s="38"/>
      <c r="E121" s="38"/>
      <c r="F121" s="219"/>
      <c r="G121" s="219"/>
      <c r="H121" s="219"/>
      <c r="I121" s="219"/>
      <c r="J121" s="219"/>
      <c r="K121" s="219"/>
      <c r="L121" s="219"/>
      <c r="M121" s="219"/>
      <c r="N121" s="219"/>
      <c r="O121" s="38"/>
    </row>
    <row r="122" spans="2:15" x14ac:dyDescent="0.2">
      <c r="B122" s="82">
        <v>2</v>
      </c>
      <c r="C122" s="82" t="s">
        <v>816</v>
      </c>
      <c r="F122" s="219"/>
      <c r="G122" s="219"/>
      <c r="H122" s="219"/>
      <c r="I122" s="219"/>
      <c r="J122" s="219"/>
      <c r="K122" s="219"/>
      <c r="L122" s="219"/>
      <c r="M122" s="219"/>
      <c r="N122" s="219"/>
    </row>
    <row r="123" spans="2:15" x14ac:dyDescent="0.2">
      <c r="F123" s="171">
        <v>2010</v>
      </c>
      <c r="G123" s="171">
        <v>2015</v>
      </c>
      <c r="H123" s="171">
        <v>2020</v>
      </c>
      <c r="I123" s="171">
        <v>2025</v>
      </c>
      <c r="J123" s="171">
        <v>2030</v>
      </c>
      <c r="K123" s="171">
        <v>2035</v>
      </c>
      <c r="L123" s="171">
        <v>2040</v>
      </c>
      <c r="M123" s="171">
        <v>2045</v>
      </c>
      <c r="N123" s="171">
        <v>2050</v>
      </c>
    </row>
    <row r="124" spans="2:15" x14ac:dyDescent="0.2">
      <c r="C124" s="20" t="s">
        <v>812</v>
      </c>
      <c r="E124" s="20" t="str">
        <f>Preferences.EnergyUnits</f>
        <v>TWh</v>
      </c>
      <c r="F124" s="232">
        <f t="shared" ref="F124:N124" si="17">INDEX(F$18:F$21, MATCH($E$8, $C$18:$C$21, 0))</f>
        <v>7.187130574083633E-7</v>
      </c>
      <c r="G124" s="232">
        <f t="shared" si="17"/>
        <v>8.205969760307966E-7</v>
      </c>
      <c r="H124" s="232">
        <f t="shared" si="17"/>
        <v>1.5543802576539418E-6</v>
      </c>
      <c r="I124" s="232">
        <f t="shared" si="17"/>
        <v>3.0203628010235297E-6</v>
      </c>
      <c r="J124" s="232">
        <f t="shared" si="17"/>
        <v>4.2165130829261441E-6</v>
      </c>
      <c r="K124" s="232">
        <f t="shared" si="17"/>
        <v>5.3898673825207901E-6</v>
      </c>
      <c r="L124" s="232">
        <f t="shared" si="17"/>
        <v>6.4871995021942403E-6</v>
      </c>
      <c r="M124" s="232">
        <f t="shared" si="17"/>
        <v>7.4653188410735025E-6</v>
      </c>
      <c r="N124" s="232">
        <f t="shared" si="17"/>
        <v>8.3332123668239838E-6</v>
      </c>
    </row>
    <row r="125" spans="2:15" x14ac:dyDescent="0.2">
      <c r="B125" s="582" t="s">
        <v>345</v>
      </c>
      <c r="C125" s="39" t="s">
        <v>350</v>
      </c>
      <c r="F125" s="768">
        <f>INDEX(Global.Assumptions[Households], MATCH(F$123, Global.Assumptions[Year], 0))</f>
        <v>29446986.320893276</v>
      </c>
      <c r="G125" s="768">
        <f>INDEX(Global.Assumptions[Households], MATCH(G$123, Global.Assumptions[Year], 0))</f>
        <v>31531746.337889936</v>
      </c>
      <c r="H125" s="768">
        <f>INDEX(Global.Assumptions[Households], MATCH(H$123, Global.Assumptions[Year], 0))</f>
        <v>36996583.320638195</v>
      </c>
      <c r="I125" s="768">
        <f>INDEX(Global.Assumptions[Households], MATCH(I$123, Global.Assumptions[Year], 0))</f>
        <v>43468170.457010902</v>
      </c>
      <c r="J125" s="768">
        <f>INDEX(Global.Assumptions[Households], MATCH(J$123, Global.Assumptions[Year], 0))</f>
        <v>49180245.054391749</v>
      </c>
      <c r="K125" s="768">
        <f>INDEX(Global.Assumptions[Households], MATCH(K$123, Global.Assumptions[Year], 0))</f>
        <v>57868650.493172847</v>
      </c>
      <c r="L125" s="768">
        <f>INDEX(Global.Assumptions[Households], MATCH(L$123, Global.Assumptions[Year], 0))</f>
        <v>63891666.116602361</v>
      </c>
      <c r="M125" s="768">
        <f>INDEX(Global.Assumptions[Households], MATCH(M$123, Global.Assumptions[Year], 0))</f>
        <v>70541562.043804556</v>
      </c>
      <c r="N125" s="768">
        <f>INDEX(Global.Assumptions[Households], MATCH(N$123, Global.Assumptions[Year], 0))</f>
        <v>77883584.480306372</v>
      </c>
    </row>
    <row r="126" spans="2:15" x14ac:dyDescent="0.2">
      <c r="B126" s="584" t="s">
        <v>346</v>
      </c>
      <c r="C126" s="82" t="s">
        <v>811</v>
      </c>
      <c r="E126" s="82" t="str">
        <f>Preferences.EnergyUnits</f>
        <v>TWh</v>
      </c>
      <c r="F126" s="234">
        <f t="shared" ref="F126:N126" si="18">F124*F125</f>
        <v>21.163933570151457</v>
      </c>
      <c r="G126" s="234">
        <f t="shared" si="18"/>
        <v>25.874855693842626</v>
      </c>
      <c r="H126" s="234">
        <f t="shared" si="18"/>
        <v>57.506758714249123</v>
      </c>
      <c r="I126" s="234">
        <f t="shared" si="18"/>
        <v>131.28964507690569</v>
      </c>
      <c r="J126" s="234">
        <f t="shared" si="18"/>
        <v>207.36914669335661</v>
      </c>
      <c r="K126" s="234">
        <f t="shared" si="18"/>
        <v>311.90435176364798</v>
      </c>
      <c r="L126" s="234">
        <f t="shared" si="18"/>
        <v>414.47798462598342</v>
      </c>
      <c r="M126" s="234">
        <f t="shared" si="18"/>
        <v>526.61525220436965</v>
      </c>
      <c r="N126" s="234">
        <f t="shared" si="18"/>
        <v>649.0204493638696</v>
      </c>
    </row>
    <row r="127" spans="2:15" x14ac:dyDescent="0.2">
      <c r="B127" s="16" t="s">
        <v>34</v>
      </c>
      <c r="C127" s="38" t="str">
        <f>INDEX(Vectors[Description], MATCH($B127, Vectors[Code], 0))</f>
        <v>Electricity (delivered to end user)</v>
      </c>
      <c r="F127" s="219">
        <f t="shared" ref="F127:N127" si="19">F126</f>
        <v>21.163933570151457</v>
      </c>
      <c r="G127" s="219">
        <f t="shared" si="19"/>
        <v>25.874855693842626</v>
      </c>
      <c r="H127" s="219">
        <f t="shared" si="19"/>
        <v>57.506758714249123</v>
      </c>
      <c r="I127" s="219">
        <f t="shared" si="19"/>
        <v>131.28964507690569</v>
      </c>
      <c r="J127" s="219">
        <f t="shared" si="19"/>
        <v>207.36914669335661</v>
      </c>
      <c r="K127" s="219">
        <f t="shared" si="19"/>
        <v>311.90435176364798</v>
      </c>
      <c r="L127" s="219">
        <f t="shared" si="19"/>
        <v>414.47798462598342</v>
      </c>
      <c r="M127" s="219">
        <f t="shared" si="19"/>
        <v>526.61525220436965</v>
      </c>
      <c r="N127" s="219">
        <f t="shared" si="19"/>
        <v>649.0204493638696</v>
      </c>
    </row>
    <row r="128" spans="2:15" x14ac:dyDescent="0.2">
      <c r="F128" s="219"/>
      <c r="G128" s="219"/>
      <c r="H128" s="219"/>
      <c r="I128" s="219"/>
      <c r="J128" s="219"/>
      <c r="K128" s="219"/>
      <c r="L128" s="219"/>
      <c r="M128" s="219"/>
      <c r="N128" s="219"/>
    </row>
    <row r="129" spans="2:15" x14ac:dyDescent="0.2">
      <c r="B129" s="82">
        <v>3</v>
      </c>
      <c r="C129" s="82" t="s">
        <v>814</v>
      </c>
      <c r="F129" s="219"/>
      <c r="G129" s="219"/>
      <c r="H129" s="219"/>
      <c r="I129" s="219"/>
      <c r="J129" s="219"/>
      <c r="K129" s="219"/>
      <c r="L129" s="219"/>
      <c r="M129" s="219"/>
      <c r="N129" s="219"/>
    </row>
    <row r="130" spans="2:15" x14ac:dyDescent="0.2">
      <c r="B130" s="82"/>
      <c r="C130" s="82"/>
      <c r="F130" s="171">
        <v>2010</v>
      </c>
      <c r="G130" s="171">
        <v>2015</v>
      </c>
      <c r="H130" s="171">
        <v>2020</v>
      </c>
      <c r="I130" s="171">
        <v>2025</v>
      </c>
      <c r="J130" s="171">
        <v>2030</v>
      </c>
      <c r="K130" s="171">
        <v>2035</v>
      </c>
      <c r="L130" s="171">
        <v>2040</v>
      </c>
      <c r="M130" s="171">
        <v>2045</v>
      </c>
      <c r="N130" s="171">
        <v>2050</v>
      </c>
    </row>
    <row r="131" spans="2:15" x14ac:dyDescent="0.2">
      <c r="B131" s="16" t="s">
        <v>34</v>
      </c>
      <c r="C131" s="38" t="str">
        <f>INDEX(Vectors[Description], MATCH($B131, Vectors[Code], 0))</f>
        <v>Electricity (delivered to end user)</v>
      </c>
      <c r="E131" s="20" t="str">
        <f>Preferences.EnergyUnits</f>
        <v>TWh</v>
      </c>
      <c r="F131" s="219">
        <f t="shared" ref="F131:N131" si="20">F116+F127</f>
        <v>27.89612118265498</v>
      </c>
      <c r="G131" s="219">
        <f t="shared" si="20"/>
        <v>37.002325143060304</v>
      </c>
      <c r="H131" s="219">
        <f t="shared" si="20"/>
        <v>74.005069857124582</v>
      </c>
      <c r="I131" s="219">
        <f t="shared" si="20"/>
        <v>153.36073970703768</v>
      </c>
      <c r="J131" s="219">
        <f t="shared" si="20"/>
        <v>233.8444437272363</v>
      </c>
      <c r="K131" s="219">
        <f t="shared" si="20"/>
        <v>343.01906779164136</v>
      </c>
      <c r="L131" s="219">
        <f t="shared" si="20"/>
        <v>446.79387785974899</v>
      </c>
      <c r="M131" s="219">
        <f t="shared" si="20"/>
        <v>557.84210500563609</v>
      </c>
      <c r="N131" s="219">
        <f t="shared" si="20"/>
        <v>676.14898610126431</v>
      </c>
    </row>
    <row r="132" spans="2:15" s="2370" customFormat="1" x14ac:dyDescent="0.2">
      <c r="B132" s="1426" t="s">
        <v>38</v>
      </c>
      <c r="C132" s="2370" t="str">
        <f>INDEX(Vectors[Description], MATCH($B132, Vectors[Code], 0))</f>
        <v>Liquid hydrocarbons</v>
      </c>
      <c r="E132" s="20" t="str">
        <f>Preferences.EnergyUnits</f>
        <v>TWh</v>
      </c>
      <c r="F132" s="219">
        <f t="shared" ref="F132:N132" si="21">F117</f>
        <v>26.928750450014093</v>
      </c>
      <c r="G132" s="219">
        <f t="shared" si="21"/>
        <v>29.311382939402673</v>
      </c>
      <c r="H132" s="219">
        <f t="shared" si="21"/>
        <v>34.134436847328544</v>
      </c>
      <c r="I132" s="219">
        <f t="shared" si="21"/>
        <v>38.845126549032294</v>
      </c>
      <c r="J132" s="219">
        <f t="shared" si="21"/>
        <v>41.439595357376902</v>
      </c>
      <c r="K132" s="219">
        <f t="shared" si="21"/>
        <v>44.531153214375884</v>
      </c>
      <c r="L132" s="219">
        <f t="shared" si="21"/>
        <v>43.08785764502074</v>
      </c>
      <c r="M132" s="219">
        <f t="shared" si="21"/>
        <v>39.306528001594195</v>
      </c>
      <c r="N132" s="219">
        <f t="shared" si="21"/>
        <v>32.554244084873638</v>
      </c>
    </row>
    <row r="133" spans="2:15" x14ac:dyDescent="0.2">
      <c r="B133" s="16" t="s">
        <v>39</v>
      </c>
      <c r="C133" s="38" t="str">
        <f>INDEX(Vectors[Description], MATCH($B133, Vectors[Code], 0))</f>
        <v>Gaseous hydrocarbons</v>
      </c>
      <c r="E133" s="20" t="str">
        <f>Preferences.EnergyUnits</f>
        <v>TWh</v>
      </c>
      <c r="F133" s="219">
        <f t="shared" ref="F133:N133" si="22">F118</f>
        <v>11.220312687505874</v>
      </c>
      <c r="G133" s="219">
        <f t="shared" si="22"/>
        <v>20.355127041251855</v>
      </c>
      <c r="H133" s="219">
        <f t="shared" si="22"/>
        <v>31.289900443384496</v>
      </c>
      <c r="I133" s="219">
        <f t="shared" si="22"/>
        <v>42.670782951588507</v>
      </c>
      <c r="J133" s="219">
        <f t="shared" si="22"/>
        <v>51.79949419672112</v>
      </c>
      <c r="K133" s="219">
        <f t="shared" si="22"/>
        <v>61.373063724941112</v>
      </c>
      <c r="L133" s="219">
        <f t="shared" si="22"/>
        <v>64.11883578128085</v>
      </c>
      <c r="M133" s="219">
        <f t="shared" si="22"/>
        <v>62.235336002524122</v>
      </c>
      <c r="N133" s="219">
        <f t="shared" si="22"/>
        <v>54.257073474789401</v>
      </c>
    </row>
    <row r="134" spans="2:15" s="2370" customFormat="1" x14ac:dyDescent="0.2">
      <c r="B134" s="1426" t="s">
        <v>2184</v>
      </c>
      <c r="C134" s="2370" t="str">
        <f>INDEX(Vectors[Description], MATCH($B134, Vectors[Code], 0))</f>
        <v>Traditional Fuel</v>
      </c>
      <c r="E134" s="20" t="str">
        <f>Preferences.EnergyUnits</f>
        <v>TWh</v>
      </c>
      <c r="F134" s="219">
        <f t="shared" ref="F134:N134" si="23">F119</f>
        <v>179.52500300009399</v>
      </c>
      <c r="G134" s="219">
        <f t="shared" si="23"/>
        <v>156.32737567681426</v>
      </c>
      <c r="H134" s="219">
        <f t="shared" si="23"/>
        <v>145.64026388193511</v>
      </c>
      <c r="I134" s="219">
        <f t="shared" si="23"/>
        <v>131.83800525732175</v>
      </c>
      <c r="J134" s="219">
        <f t="shared" si="23"/>
        <v>110.50558761967174</v>
      </c>
      <c r="K134" s="219">
        <f t="shared" si="23"/>
        <v>91.345955311540266</v>
      </c>
      <c r="L134" s="219">
        <f t="shared" si="23"/>
        <v>65.657687840031599</v>
      </c>
      <c r="M134" s="219">
        <f t="shared" si="23"/>
        <v>41.926963201700474</v>
      </c>
      <c r="N134" s="219">
        <f t="shared" si="23"/>
        <v>21.702829389915763</v>
      </c>
    </row>
    <row r="135" spans="2:15" s="2370" customFormat="1" x14ac:dyDescent="0.2">
      <c r="B135" s="1426"/>
      <c r="E135" s="20"/>
      <c r="F135" s="219"/>
      <c r="G135" s="219"/>
      <c r="H135" s="219"/>
      <c r="I135" s="219"/>
      <c r="J135" s="219"/>
      <c r="K135" s="219"/>
      <c r="L135" s="219"/>
      <c r="M135" s="219"/>
      <c r="N135" s="219"/>
    </row>
    <row r="136" spans="2:15" s="2370" customFormat="1" x14ac:dyDescent="0.2">
      <c r="B136" s="1426"/>
      <c r="E136" s="20"/>
      <c r="F136" s="219"/>
      <c r="G136" s="219"/>
      <c r="H136" s="219"/>
      <c r="I136" s="219"/>
      <c r="J136" s="219"/>
      <c r="K136" s="219"/>
      <c r="L136" s="219"/>
      <c r="M136" s="219"/>
      <c r="N136" s="219"/>
    </row>
    <row r="137" spans="2:15" s="2370" customFormat="1" x14ac:dyDescent="0.2">
      <c r="B137" s="1426"/>
      <c r="E137" s="20"/>
      <c r="F137" s="219"/>
      <c r="G137" s="219"/>
      <c r="H137" s="219"/>
      <c r="I137" s="219"/>
      <c r="J137" s="219"/>
      <c r="K137" s="219"/>
      <c r="L137" s="219"/>
      <c r="M137" s="219"/>
      <c r="N137" s="219"/>
    </row>
    <row r="138" spans="2:15" x14ac:dyDescent="0.2">
      <c r="B138" s="1426"/>
      <c r="C138" s="1968"/>
      <c r="D138" s="1968"/>
      <c r="E138" s="20"/>
      <c r="F138" s="219"/>
      <c r="G138" s="219"/>
      <c r="H138" s="219"/>
      <c r="I138" s="219"/>
      <c r="J138" s="219"/>
      <c r="K138" s="219"/>
      <c r="L138" s="219"/>
      <c r="M138" s="219"/>
      <c r="N138" s="219"/>
      <c r="O138" s="1968"/>
    </row>
    <row r="139" spans="2:15" x14ac:dyDescent="0.2">
      <c r="B139" s="1426">
        <v>4</v>
      </c>
      <c r="C139" s="1427" t="s">
        <v>1887</v>
      </c>
      <c r="D139" s="1968"/>
      <c r="E139" s="20"/>
      <c r="F139" s="219"/>
      <c r="G139" s="219"/>
      <c r="H139" s="219"/>
      <c r="I139" s="219"/>
      <c r="J139" s="219"/>
      <c r="K139" s="219"/>
      <c r="L139" s="219"/>
      <c r="M139" s="219"/>
      <c r="N139" s="219"/>
      <c r="O139" s="1968"/>
    </row>
    <row r="140" spans="2:15" x14ac:dyDescent="0.2">
      <c r="B140" s="37"/>
      <c r="C140" s="1971"/>
      <c r="D140" s="1971"/>
      <c r="E140" s="1972"/>
      <c r="F140" s="1972"/>
      <c r="G140" s="1972"/>
      <c r="H140" s="1972"/>
      <c r="I140" s="1972"/>
      <c r="J140" s="1973"/>
      <c r="K140" s="1973"/>
      <c r="L140" s="1973"/>
      <c r="M140" s="1973"/>
      <c r="N140" s="1973"/>
      <c r="O140" s="37"/>
    </row>
    <row r="141" spans="2:15" x14ac:dyDescent="0.2">
      <c r="B141" s="37"/>
      <c r="C141" s="1971" t="s">
        <v>1550</v>
      </c>
      <c r="D141" s="1971"/>
      <c r="E141" s="1972"/>
      <c r="F141" s="1972"/>
      <c r="G141" s="1972"/>
      <c r="H141" s="1972"/>
      <c r="I141" s="1972"/>
      <c r="J141" s="1973"/>
      <c r="K141" s="1973"/>
      <c r="L141" s="1973"/>
      <c r="M141" s="1973"/>
      <c r="N141" s="1973"/>
      <c r="O141" s="37"/>
    </row>
    <row r="142" spans="2:15" s="1968" customFormat="1" x14ac:dyDescent="0.2">
      <c r="B142" s="37"/>
      <c r="C142" s="1971" t="s">
        <v>64</v>
      </c>
      <c r="D142" s="1971" t="s">
        <v>65</v>
      </c>
      <c r="E142" s="1971" t="s">
        <v>172</v>
      </c>
      <c r="F142" s="1977">
        <v>2010</v>
      </c>
      <c r="G142" s="1977">
        <v>2015</v>
      </c>
      <c r="H142" s="1977">
        <v>2020</v>
      </c>
      <c r="I142" s="1977">
        <v>2025</v>
      </c>
      <c r="J142" s="1977">
        <v>2030</v>
      </c>
      <c r="K142" s="1977">
        <v>2035</v>
      </c>
      <c r="L142" s="1977">
        <v>2040</v>
      </c>
      <c r="M142" s="1977">
        <v>2045</v>
      </c>
      <c r="N142" s="1977">
        <v>2050</v>
      </c>
      <c r="O142" s="37"/>
    </row>
    <row r="143" spans="2:15" s="1968" customFormat="1" x14ac:dyDescent="0.2">
      <c r="B143" s="37"/>
      <c r="C143" s="1974" t="s">
        <v>34</v>
      </c>
      <c r="D143" s="1971" t="str">
        <f>INDEX(Vectors[Description], MATCH($C143, Vectors[Code], 0))</f>
        <v>Electricity (delivered to end user)</v>
      </c>
      <c r="E143" s="1975"/>
      <c r="F143" s="1976">
        <f t="shared" ref="F143:N143" si="24">F93*F$102</f>
        <v>883409.58962679829</v>
      </c>
      <c r="G143" s="1976">
        <f t="shared" si="24"/>
        <v>1616001.9998168594</v>
      </c>
      <c r="H143" s="1976">
        <f t="shared" si="24"/>
        <v>2682252.2907462693</v>
      </c>
      <c r="I143" s="1976">
        <f t="shared" si="24"/>
        <v>4075140.9803447728</v>
      </c>
      <c r="J143" s="1976">
        <f t="shared" si="24"/>
        <v>5655728.1812550519</v>
      </c>
      <c r="K143" s="1976">
        <f t="shared" si="24"/>
        <v>7884603.6296948008</v>
      </c>
      <c r="L143" s="1976">
        <f t="shared" si="24"/>
        <v>10062937.413364872</v>
      </c>
      <c r="M143" s="1976">
        <f t="shared" si="24"/>
        <v>12609304.215330064</v>
      </c>
      <c r="N143" s="1976">
        <f t="shared" si="24"/>
        <v>15576716.896061275</v>
      </c>
      <c r="O143" s="37"/>
    </row>
    <row r="144" spans="2:15" s="2370" customFormat="1" x14ac:dyDescent="0.2">
      <c r="B144" s="37"/>
      <c r="C144" s="17" t="s">
        <v>38</v>
      </c>
      <c r="D144" s="1971" t="str">
        <f>INDEX(Vectors[Description], MATCH($C144, Vectors[Code], 0))</f>
        <v>Liquid hydrocarbons</v>
      </c>
      <c r="E144" s="1975"/>
      <c r="F144" s="1976">
        <f t="shared" ref="F144:N144" si="25">F94*F$102</f>
        <v>3533638.3585071932</v>
      </c>
      <c r="G144" s="1976">
        <f t="shared" si="25"/>
        <v>4256785.7556151412</v>
      </c>
      <c r="H144" s="1976">
        <f t="shared" si="25"/>
        <v>5549487.4980957303</v>
      </c>
      <c r="I144" s="1976">
        <f t="shared" si="25"/>
        <v>7172248.1254068008</v>
      </c>
      <c r="J144" s="1976">
        <f t="shared" si="25"/>
        <v>8852444.109790517</v>
      </c>
      <c r="K144" s="1976">
        <f t="shared" si="25"/>
        <v>11284386.846168708</v>
      </c>
      <c r="L144" s="1976">
        <f t="shared" si="25"/>
        <v>13417249.8844865</v>
      </c>
      <c r="M144" s="1976">
        <f t="shared" si="25"/>
        <v>15871851.459856031</v>
      </c>
      <c r="N144" s="1976">
        <f t="shared" si="25"/>
        <v>18692060.275273528</v>
      </c>
      <c r="O144" s="37"/>
    </row>
    <row r="145" spans="1:16" s="1968" customFormat="1" x14ac:dyDescent="0.2">
      <c r="A145" s="37"/>
      <c r="B145" s="37"/>
      <c r="C145" s="1974" t="s">
        <v>39</v>
      </c>
      <c r="D145" s="1971" t="str">
        <f>INDEX(Vectors[Description], MATCH($C145, Vectors[Code], 0))</f>
        <v>Gaseous hydrocarbons</v>
      </c>
      <c r="E145" s="1971"/>
      <c r="F145" s="1976">
        <f t="shared" ref="F145:N145" si="26">F95*F$102</f>
        <v>1472349.316044664</v>
      </c>
      <c r="G145" s="1976">
        <f t="shared" si="26"/>
        <v>2956101.2191771814</v>
      </c>
      <c r="H145" s="1976">
        <f t="shared" si="26"/>
        <v>5087030.2065877523</v>
      </c>
      <c r="I145" s="1976">
        <f t="shared" si="26"/>
        <v>7878605.8953332268</v>
      </c>
      <c r="J145" s="1976">
        <f t="shared" si="26"/>
        <v>11065555.137238145</v>
      </c>
      <c r="K145" s="1976">
        <f t="shared" si="26"/>
        <v>15552199.820040205</v>
      </c>
      <c r="L145" s="1976">
        <f t="shared" si="26"/>
        <v>19966145.661438242</v>
      </c>
      <c r="M145" s="1976">
        <f t="shared" si="26"/>
        <v>25130431.478105377</v>
      </c>
      <c r="N145" s="1976">
        <f t="shared" si="26"/>
        <v>31153433.79212255</v>
      </c>
      <c r="O145" s="37"/>
      <c r="P145" s="37"/>
    </row>
    <row r="146" spans="1:16" s="2370" customFormat="1" x14ac:dyDescent="0.2">
      <c r="A146" s="37"/>
      <c r="B146" s="37"/>
      <c r="C146" s="17" t="s">
        <v>2184</v>
      </c>
      <c r="D146" s="1971" t="str">
        <f>INDEX(Vectors[Description], MATCH($C146, Vectors[Code], 0))</f>
        <v>Traditional Fuel</v>
      </c>
      <c r="E146" s="1971"/>
      <c r="F146" s="1976">
        <f t="shared" ref="F146:N146" si="27">F96*F$102</f>
        <v>23557589.056714624</v>
      </c>
      <c r="G146" s="1976">
        <f t="shared" si="27"/>
        <v>22702857.363280758</v>
      </c>
      <c r="H146" s="1976">
        <f t="shared" si="27"/>
        <v>23677813.325208448</v>
      </c>
      <c r="I146" s="1976">
        <f t="shared" si="27"/>
        <v>24342175.455926113</v>
      </c>
      <c r="J146" s="1976">
        <f t="shared" si="27"/>
        <v>23606517.626108047</v>
      </c>
      <c r="K146" s="1976">
        <f t="shared" si="27"/>
        <v>23147460.197269145</v>
      </c>
      <c r="L146" s="1976">
        <f t="shared" si="27"/>
        <v>20445333.157312762</v>
      </c>
      <c r="M146" s="1976">
        <f t="shared" si="27"/>
        <v>16929974.8905131</v>
      </c>
      <c r="N146" s="1976">
        <f t="shared" si="27"/>
        <v>12461373.516849022</v>
      </c>
      <c r="O146" s="37"/>
      <c r="P146" s="37"/>
    </row>
    <row r="147" spans="1:16" s="1968" customFormat="1" x14ac:dyDescent="0.2">
      <c r="A147" s="37"/>
      <c r="B147" s="37"/>
      <c r="C147" s="1971"/>
      <c r="D147" s="1971"/>
      <c r="E147" s="1972"/>
      <c r="F147" s="1972"/>
      <c r="G147" s="1972"/>
      <c r="H147" s="1972"/>
      <c r="I147" s="1972"/>
      <c r="J147" s="1973"/>
      <c r="K147" s="1973"/>
      <c r="L147" s="1973"/>
      <c r="M147" s="1973"/>
      <c r="N147" s="1973"/>
      <c r="O147" s="37"/>
      <c r="P147" s="37"/>
    </row>
    <row r="148" spans="1:16" s="1968" customFormat="1" x14ac:dyDescent="0.2">
      <c r="A148" s="37"/>
      <c r="B148" s="37"/>
      <c r="C148" s="1971" t="s">
        <v>1551</v>
      </c>
      <c r="D148" s="1973"/>
      <c r="E148" s="1973"/>
      <c r="F148" s="1972"/>
      <c r="G148" s="1972"/>
      <c r="H148" s="1972"/>
      <c r="I148" s="1972"/>
      <c r="J148" s="1973"/>
      <c r="K148" s="1973"/>
      <c r="L148" s="1973"/>
      <c r="M148" s="1973"/>
      <c r="N148" s="1973"/>
      <c r="O148" s="37"/>
      <c r="P148" s="37"/>
    </row>
    <row r="149" spans="1:16" s="1968" customFormat="1" x14ac:dyDescent="0.2">
      <c r="A149" s="37"/>
      <c r="B149" s="37"/>
      <c r="C149" s="1971"/>
      <c r="D149" s="1973"/>
      <c r="E149" s="1973"/>
      <c r="F149" s="1972"/>
      <c r="G149" s="1972"/>
      <c r="H149" s="1972"/>
      <c r="I149" s="1972"/>
      <c r="J149" s="1973"/>
      <c r="K149" s="1973"/>
      <c r="L149" s="1973"/>
      <c r="M149" s="1973"/>
      <c r="N149" s="1973"/>
      <c r="O149" s="37"/>
      <c r="P149" s="37"/>
    </row>
    <row r="150" spans="1:16" s="1968" customFormat="1" x14ac:dyDescent="0.2">
      <c r="A150" s="37"/>
      <c r="B150" s="37"/>
      <c r="C150" s="1971" t="s">
        <v>1550</v>
      </c>
      <c r="D150" s="1971"/>
      <c r="E150" s="1972"/>
      <c r="F150" s="1972"/>
      <c r="G150" s="1972"/>
      <c r="H150" s="1972"/>
      <c r="I150" s="1972"/>
      <c r="J150" s="1973"/>
      <c r="K150" s="1973"/>
      <c r="L150" s="1973"/>
      <c r="M150" s="1973"/>
      <c r="N150" s="1973"/>
      <c r="O150" s="37"/>
      <c r="P150" s="37"/>
    </row>
    <row r="151" spans="1:16" s="1968" customFormat="1" x14ac:dyDescent="0.2">
      <c r="A151" s="37"/>
      <c r="B151" s="37"/>
      <c r="C151" s="1971" t="s">
        <v>64</v>
      </c>
      <c r="D151" s="1971" t="s">
        <v>65</v>
      </c>
      <c r="E151" s="1971" t="s">
        <v>172</v>
      </c>
      <c r="F151" s="1977">
        <v>2010</v>
      </c>
      <c r="G151" s="1977">
        <v>2015</v>
      </c>
      <c r="H151" s="1977">
        <v>2020</v>
      </c>
      <c r="I151" s="1977">
        <v>2025</v>
      </c>
      <c r="J151" s="1977">
        <v>2030</v>
      </c>
      <c r="K151" s="1977">
        <v>2035</v>
      </c>
      <c r="L151" s="1977">
        <v>2040</v>
      </c>
      <c r="M151" s="1977">
        <v>2045</v>
      </c>
      <c r="N151" s="1977">
        <v>2050</v>
      </c>
      <c r="O151" s="37"/>
      <c r="P151" s="37"/>
    </row>
    <row r="152" spans="1:16" s="1968" customFormat="1" x14ac:dyDescent="0.2">
      <c r="A152" s="37"/>
      <c r="B152" s="37"/>
      <c r="C152" s="1974" t="s">
        <v>34</v>
      </c>
      <c r="D152" s="1971" t="str">
        <f>INDEX(Vectors[Description], MATCH($C152, Vectors[Code], 0))</f>
        <v>Electricity (delivered to end user)</v>
      </c>
      <c r="E152" s="1975"/>
      <c r="F152" s="1976">
        <f t="shared" ref="F152:N152" si="28">F143*$E$68</f>
        <v>291525.16457684344</v>
      </c>
      <c r="G152" s="1976">
        <f t="shared" si="28"/>
        <v>533280.6599395636</v>
      </c>
      <c r="H152" s="1976">
        <f t="shared" si="28"/>
        <v>885143.25594626891</v>
      </c>
      <c r="I152" s="1976">
        <f t="shared" si="28"/>
        <v>1344796.5235137751</v>
      </c>
      <c r="J152" s="1976">
        <f t="shared" si="28"/>
        <v>1866390.2998141672</v>
      </c>
      <c r="K152" s="1976">
        <f t="shared" si="28"/>
        <v>2601919.1977992845</v>
      </c>
      <c r="L152" s="1976">
        <f t="shared" si="28"/>
        <v>3320769.3464104082</v>
      </c>
      <c r="M152" s="1976">
        <f t="shared" si="28"/>
        <v>4161070.3910589213</v>
      </c>
      <c r="N152" s="1976">
        <f t="shared" si="28"/>
        <v>5140316.5757002207</v>
      </c>
      <c r="O152" s="37"/>
      <c r="P152" s="37"/>
    </row>
    <row r="153" spans="1:16" s="2370" customFormat="1" x14ac:dyDescent="0.2">
      <c r="A153" s="37"/>
      <c r="B153" s="37"/>
      <c r="C153" s="17" t="s">
        <v>38</v>
      </c>
      <c r="D153" s="1971" t="str">
        <f>INDEX(Vectors[Description], MATCH($C153, Vectors[Code], 0))</f>
        <v>Liquid hydrocarbons</v>
      </c>
      <c r="E153" s="1975"/>
      <c r="F153" s="1976">
        <f t="shared" ref="F153:N153" si="29">F144*$E$68</f>
        <v>1166100.6583073738</v>
      </c>
      <c r="G153" s="1976">
        <f t="shared" si="29"/>
        <v>1404739.2993529967</v>
      </c>
      <c r="H153" s="1976">
        <f t="shared" si="29"/>
        <v>1831330.874371591</v>
      </c>
      <c r="I153" s="1976">
        <f t="shared" si="29"/>
        <v>2366841.8813842442</v>
      </c>
      <c r="J153" s="1976">
        <f t="shared" si="29"/>
        <v>2921306.5562308705</v>
      </c>
      <c r="K153" s="1976">
        <f t="shared" si="29"/>
        <v>3723847.659235674</v>
      </c>
      <c r="L153" s="1976">
        <f t="shared" si="29"/>
        <v>4427692.4618805451</v>
      </c>
      <c r="M153" s="1976">
        <f t="shared" si="29"/>
        <v>5237710.9817524906</v>
      </c>
      <c r="N153" s="1976">
        <f t="shared" si="29"/>
        <v>6168379.890840265</v>
      </c>
      <c r="O153" s="37"/>
      <c r="P153" s="37"/>
    </row>
    <row r="154" spans="1:16" s="1968" customFormat="1" x14ac:dyDescent="0.2">
      <c r="A154" s="37"/>
      <c r="B154" s="37"/>
      <c r="C154" s="1974" t="s">
        <v>39</v>
      </c>
      <c r="D154" s="1971" t="str">
        <f>INDEX(Vectors[Description], MATCH($C154, Vectors[Code], 0))</f>
        <v>Gaseous hydrocarbons</v>
      </c>
      <c r="E154" s="1971"/>
      <c r="F154" s="1976">
        <f t="shared" ref="F154:N154" si="30">F145*$E$68</f>
        <v>485875.27429473912</v>
      </c>
      <c r="G154" s="1976">
        <f t="shared" si="30"/>
        <v>975513.40232846991</v>
      </c>
      <c r="H154" s="1976">
        <f t="shared" si="30"/>
        <v>1678719.9681739584</v>
      </c>
      <c r="I154" s="1976">
        <f t="shared" si="30"/>
        <v>2599939.9454599652</v>
      </c>
      <c r="J154" s="1976">
        <f t="shared" si="30"/>
        <v>3651633.1952885878</v>
      </c>
      <c r="K154" s="1976">
        <f t="shared" si="30"/>
        <v>5132225.9406132679</v>
      </c>
      <c r="L154" s="1976">
        <f t="shared" si="30"/>
        <v>6588828.06827462</v>
      </c>
      <c r="M154" s="1976">
        <f t="shared" si="30"/>
        <v>8293042.3877747748</v>
      </c>
      <c r="N154" s="1976">
        <f t="shared" si="30"/>
        <v>10280633.151400441</v>
      </c>
      <c r="O154" s="37"/>
      <c r="P154" s="37"/>
    </row>
    <row r="155" spans="1:16" s="2370" customFormat="1" x14ac:dyDescent="0.2">
      <c r="A155" s="37"/>
      <c r="B155" s="37"/>
      <c r="C155" s="17" t="s">
        <v>2184</v>
      </c>
      <c r="D155" s="1971" t="str">
        <f>INDEX(Vectors[Description], MATCH($C155, Vectors[Code], 0))</f>
        <v>Traditional Fuel</v>
      </c>
      <c r="E155" s="1971"/>
      <c r="F155" s="1976">
        <f t="shared" ref="F155:N155" si="31">F146*$E$68</f>
        <v>7774004.388715826</v>
      </c>
      <c r="G155" s="1976">
        <f t="shared" si="31"/>
        <v>7491942.9298826503</v>
      </c>
      <c r="H155" s="1976">
        <f t="shared" si="31"/>
        <v>7813678.3973187879</v>
      </c>
      <c r="I155" s="1976">
        <f t="shared" si="31"/>
        <v>8032917.9004556173</v>
      </c>
      <c r="J155" s="1976">
        <f t="shared" si="31"/>
        <v>7790150.816615656</v>
      </c>
      <c r="K155" s="1976">
        <f t="shared" si="31"/>
        <v>7638661.8650988182</v>
      </c>
      <c r="L155" s="1976">
        <f t="shared" si="31"/>
        <v>6746959.9419132117</v>
      </c>
      <c r="M155" s="1976">
        <f t="shared" si="31"/>
        <v>5586891.713869323</v>
      </c>
      <c r="N155" s="1976">
        <f t="shared" si="31"/>
        <v>4112253.2605601777</v>
      </c>
      <c r="O155" s="37"/>
      <c r="P155" s="37"/>
    </row>
    <row r="156" spans="1:16" s="1968" customFormat="1" x14ac:dyDescent="0.2">
      <c r="A156" s="37"/>
      <c r="B156" s="37"/>
      <c r="C156" s="1971"/>
      <c r="D156" s="1971"/>
      <c r="E156" s="1972"/>
      <c r="F156" s="1972"/>
      <c r="G156" s="1972"/>
      <c r="H156" s="1972"/>
      <c r="I156" s="1972"/>
      <c r="J156" s="1973"/>
      <c r="K156" s="1973"/>
      <c r="L156" s="1973"/>
      <c r="M156" s="1973"/>
      <c r="N156" s="1973"/>
      <c r="O156" s="37"/>
      <c r="P156" s="37"/>
    </row>
    <row r="157" spans="1:16" s="1968" customFormat="1" x14ac:dyDescent="0.2">
      <c r="A157" s="37"/>
      <c r="B157" s="37"/>
      <c r="C157" s="1971" t="s">
        <v>1552</v>
      </c>
      <c r="D157" s="1971"/>
      <c r="E157" s="1972"/>
      <c r="F157" s="1972"/>
      <c r="G157" s="1972"/>
      <c r="H157" s="1972"/>
      <c r="I157" s="1972"/>
      <c r="J157" s="1973"/>
      <c r="K157" s="1973"/>
      <c r="L157" s="1973"/>
      <c r="M157" s="1973"/>
      <c r="N157" s="1973"/>
      <c r="O157" s="37"/>
      <c r="P157" s="37"/>
    </row>
    <row r="158" spans="1:16" s="1968" customFormat="1" x14ac:dyDescent="0.2">
      <c r="A158" s="37"/>
      <c r="B158" s="37"/>
      <c r="C158" s="1971" t="s">
        <v>64</v>
      </c>
      <c r="D158" s="1971" t="s">
        <v>65</v>
      </c>
      <c r="E158" s="1971" t="s">
        <v>172</v>
      </c>
      <c r="F158" s="1977">
        <v>2010</v>
      </c>
      <c r="G158" s="1977">
        <v>2015</v>
      </c>
      <c r="H158" s="1977">
        <v>2020</v>
      </c>
      <c r="I158" s="1977">
        <v>2025</v>
      </c>
      <c r="J158" s="1977">
        <v>2030</v>
      </c>
      <c r="K158" s="1977">
        <v>2035</v>
      </c>
      <c r="L158" s="1977">
        <v>2040</v>
      </c>
      <c r="M158" s="1977">
        <v>2045</v>
      </c>
      <c r="N158" s="1977">
        <v>2050</v>
      </c>
      <c r="O158" s="37"/>
      <c r="P158" s="37"/>
    </row>
    <row r="159" spans="1:16" s="1968" customFormat="1" x14ac:dyDescent="0.2">
      <c r="A159" s="37"/>
      <c r="B159" s="37"/>
      <c r="C159" s="1974" t="s">
        <v>34</v>
      </c>
      <c r="D159" s="1971" t="str">
        <f>INDEX(Vectors[Description], MATCH($C159, Vectors[Code], 0))</f>
        <v>Electricity (delivered to end user)</v>
      </c>
      <c r="E159" s="1975"/>
      <c r="F159" s="1976"/>
      <c r="G159" s="1976">
        <f t="shared" ref="G159:N159" si="32">IF(G143-F143+F152&gt;0,G143-F143+F152,0)</f>
        <v>1024117.5747669046</v>
      </c>
      <c r="H159" s="1976">
        <f t="shared" si="32"/>
        <v>1599530.9508689735</v>
      </c>
      <c r="I159" s="1976">
        <f t="shared" si="32"/>
        <v>2278031.9455447723</v>
      </c>
      <c r="J159" s="1976">
        <f t="shared" si="32"/>
        <v>2925383.7244240539</v>
      </c>
      <c r="K159" s="1976">
        <f t="shared" si="32"/>
        <v>4095265.7482539164</v>
      </c>
      <c r="L159" s="1976">
        <f t="shared" si="32"/>
        <v>4780252.9814693555</v>
      </c>
      <c r="M159" s="1976">
        <f t="shared" si="32"/>
        <v>5867136.1483756006</v>
      </c>
      <c r="N159" s="1976">
        <f t="shared" si="32"/>
        <v>7128483.0717901327</v>
      </c>
      <c r="O159" s="37"/>
      <c r="P159" s="37"/>
    </row>
    <row r="160" spans="1:16" s="2370" customFormat="1" x14ac:dyDescent="0.2">
      <c r="A160" s="37"/>
      <c r="B160" s="37"/>
      <c r="C160" s="17" t="s">
        <v>38</v>
      </c>
      <c r="D160" s="1971" t="str">
        <f>INDEX(Vectors[Description], MATCH($C160, Vectors[Code], 0))</f>
        <v>Liquid hydrocarbons</v>
      </c>
      <c r="E160" s="1975"/>
      <c r="F160" s="1976"/>
      <c r="G160" s="1976">
        <f>IF(G144-F144+F153&gt;0,G144-F144+F153,0)</f>
        <v>1889248.0554153218</v>
      </c>
      <c r="H160" s="1976">
        <f t="shared" ref="H160:N160" si="33">IF(H144-G144+G153&gt;0,H144-G144+G153,0)</f>
        <v>2697441.0418335861</v>
      </c>
      <c r="I160" s="1976">
        <f t="shared" si="33"/>
        <v>3454091.5016826615</v>
      </c>
      <c r="J160" s="1976">
        <f t="shared" si="33"/>
        <v>4047037.8657679604</v>
      </c>
      <c r="K160" s="1976">
        <f t="shared" si="33"/>
        <v>5353249.292609062</v>
      </c>
      <c r="L160" s="1976">
        <f t="shared" si="33"/>
        <v>5856710.6975534661</v>
      </c>
      <c r="M160" s="1976">
        <f t="shared" si="33"/>
        <v>6882294.0372500764</v>
      </c>
      <c r="N160" s="1976">
        <f t="shared" si="33"/>
        <v>8057919.7971699871</v>
      </c>
      <c r="O160" s="37"/>
      <c r="P160" s="37"/>
    </row>
    <row r="161" spans="1:16" s="1968" customFormat="1" x14ac:dyDescent="0.2">
      <c r="A161" s="37"/>
      <c r="B161" s="37"/>
      <c r="C161" s="1974" t="s">
        <v>39</v>
      </c>
      <c r="D161" s="1971" t="str">
        <f>INDEX(Vectors[Description], MATCH($C161, Vectors[Code], 0))</f>
        <v>Gaseous hydrocarbons</v>
      </c>
      <c r="E161" s="1971"/>
      <c r="F161" s="1976"/>
      <c r="G161" s="1976">
        <f>IF(G145-F145+F154&gt;0,G145-F145+F154,0)</f>
        <v>1969627.1774272565</v>
      </c>
      <c r="H161" s="1976">
        <f t="shared" ref="H161:N161" si="34">IF(H145-G145+G154&gt;0,H145-G145+G154,0)</f>
        <v>3106442.3897390408</v>
      </c>
      <c r="I161" s="1976">
        <f t="shared" si="34"/>
        <v>4470295.6569194328</v>
      </c>
      <c r="J161" s="1976">
        <f t="shared" si="34"/>
        <v>5786889.1873648837</v>
      </c>
      <c r="K161" s="1976">
        <f t="shared" si="34"/>
        <v>8138277.878090648</v>
      </c>
      <c r="L161" s="1976">
        <f t="shared" si="34"/>
        <v>9546171.7820113041</v>
      </c>
      <c r="M161" s="1976">
        <f t="shared" si="34"/>
        <v>11753113.884941757</v>
      </c>
      <c r="N161" s="1976">
        <f t="shared" si="34"/>
        <v>14316044.701791948</v>
      </c>
      <c r="O161" s="37"/>
      <c r="P161" s="37"/>
    </row>
    <row r="162" spans="1:16" s="2370" customFormat="1" x14ac:dyDescent="0.2">
      <c r="A162" s="37"/>
      <c r="B162" s="37"/>
      <c r="C162" s="17" t="s">
        <v>2184</v>
      </c>
      <c r="D162" s="1971" t="str">
        <f>INDEX(Vectors[Description], MATCH($C162, Vectors[Code], 0))</f>
        <v>Traditional Fuel</v>
      </c>
      <c r="E162" s="1971"/>
      <c r="F162" s="1976"/>
      <c r="G162" s="1976">
        <f>IF(G146-F146+F155&gt;0,G146-F146+F155,0)</f>
        <v>6919272.6952819601</v>
      </c>
      <c r="H162" s="1976">
        <f t="shared" ref="H162:N162" si="35">IF(H146-G146+G155&gt;0,H146-G146+G155,0)</f>
        <v>8466898.8918103389</v>
      </c>
      <c r="I162" s="1976">
        <f t="shared" si="35"/>
        <v>8478040.5280364528</v>
      </c>
      <c r="J162" s="1976">
        <f t="shared" si="35"/>
        <v>7297260.0706375511</v>
      </c>
      <c r="K162" s="1976">
        <f t="shared" si="35"/>
        <v>7331093.3877767548</v>
      </c>
      <c r="L162" s="1976">
        <f t="shared" si="35"/>
        <v>4936534.8251424348</v>
      </c>
      <c r="M162" s="1976">
        <f t="shared" si="35"/>
        <v>3231601.6751135495</v>
      </c>
      <c r="N162" s="1976">
        <f t="shared" si="35"/>
        <v>1118290.3402052457</v>
      </c>
      <c r="O162" s="37"/>
      <c r="P162" s="37"/>
    </row>
    <row r="163" spans="1:16" s="1968" customFormat="1" x14ac:dyDescent="0.2">
      <c r="A163" s="37"/>
      <c r="B163" s="37"/>
      <c r="C163" s="1974"/>
      <c r="D163" s="1971"/>
      <c r="E163" s="1971"/>
      <c r="F163" s="1976"/>
      <c r="G163" s="1976"/>
      <c r="H163" s="1976"/>
      <c r="I163" s="1976"/>
      <c r="J163" s="1976"/>
      <c r="K163" s="1976"/>
      <c r="L163" s="1976"/>
      <c r="M163" s="1976"/>
      <c r="N163" s="1976"/>
      <c r="O163" s="37"/>
      <c r="P163" s="37"/>
    </row>
    <row r="164" spans="1:16" s="1968" customFormat="1" x14ac:dyDescent="0.2">
      <c r="A164" s="37"/>
      <c r="B164" s="37"/>
      <c r="C164" s="1974"/>
      <c r="D164" s="1971"/>
      <c r="E164" s="1971"/>
      <c r="F164" s="1976"/>
      <c r="G164" s="1976"/>
      <c r="H164" s="1976"/>
      <c r="I164" s="1976"/>
      <c r="J164" s="1976"/>
      <c r="K164" s="1976"/>
      <c r="L164" s="1976"/>
      <c r="M164" s="1976"/>
      <c r="N164" s="1976"/>
      <c r="O164" s="37"/>
      <c r="P164" s="37"/>
    </row>
    <row r="165" spans="1:16" s="1968" customFormat="1" x14ac:dyDescent="0.2">
      <c r="A165" s="37"/>
      <c r="B165" s="82">
        <v>5</v>
      </c>
      <c r="C165" s="82" t="s">
        <v>514</v>
      </c>
      <c r="D165" s="38"/>
      <c r="E165" s="38"/>
      <c r="F165" s="219"/>
      <c r="G165" s="219"/>
      <c r="H165" s="219"/>
      <c r="I165" s="219"/>
      <c r="J165" s="219"/>
      <c r="K165" s="219"/>
      <c r="L165" s="219"/>
      <c r="M165" s="219"/>
      <c r="N165" s="219"/>
      <c r="O165" s="38"/>
      <c r="P165" s="37"/>
    </row>
    <row r="166" spans="1:16" x14ac:dyDescent="0.2">
      <c r="A166" s="37"/>
      <c r="B166" s="82"/>
      <c r="F166" s="219"/>
      <c r="G166" s="219"/>
      <c r="H166" s="219"/>
      <c r="I166" s="219"/>
      <c r="J166" s="219"/>
      <c r="K166" s="219"/>
      <c r="L166" s="219"/>
      <c r="M166" s="219"/>
      <c r="N166" s="219"/>
      <c r="P166" s="37"/>
    </row>
    <row r="167" spans="1:16" s="1968" customFormat="1" x14ac:dyDescent="0.2">
      <c r="A167" s="37"/>
      <c r="B167" s="82"/>
      <c r="C167" s="38" t="s">
        <v>473</v>
      </c>
      <c r="D167" s="38"/>
      <c r="E167" s="16" t="s">
        <v>492</v>
      </c>
      <c r="F167" s="1428">
        <f t="array" ref="F167">SUM(F$131:F$134*SUMIFS(EF[CO2], EF[Vector], $B$131:$B$134))</f>
        <v>8.7967251470046044</v>
      </c>
      <c r="G167" s="1428">
        <f t="array" ref="G167">SUM(G$131:G$134*SUMIFS(EF[CO2], EF[Vector], $B$131:$B$134))</f>
        <v>11.073189110441009</v>
      </c>
      <c r="H167" s="1428">
        <f t="array" ref="H167">SUM(H$131:H$134*SUMIFS(EF[CO2], EF[Vector], $B$131:$B$134))</f>
        <v>14.290950893414882</v>
      </c>
      <c r="I167" s="1428">
        <f t="array" ref="I167">SUM(I$131:I$134*SUMIFS(EF[CO2], EF[Vector], $B$131:$B$134))</f>
        <v>17.562705700350357</v>
      </c>
      <c r="J167" s="1428">
        <f t="array" ref="J167">SUM(J$131:J$134*SUMIFS(EF[CO2], EF[Vector], $B$131:$B$134))</f>
        <v>19.891005771540911</v>
      </c>
      <c r="K167" s="1428">
        <f t="array" ref="K167">SUM(K$131:K$134*SUMIFS(EF[CO2], EF[Vector], $B$131:$B$134))</f>
        <v>22.425432028983131</v>
      </c>
      <c r="L167" s="1428">
        <f t="array" ref="L167">SUM(L$131:L$134*SUMIFS(EF[CO2], EF[Vector], $B$131:$B$134))</f>
        <v>22.569830195010859</v>
      </c>
      <c r="M167" s="1428">
        <f t="array" ref="M167">SUM(M$131:M$134*SUMIFS(EF[CO2], EF[Vector], $B$131:$B$134))</f>
        <v>21.277933824862984</v>
      </c>
      <c r="N167" s="1428">
        <f t="array" ref="N167">SUM(N$131:N$134*SUMIFS(EF[CO2], EF[Vector], $B$131:$B$134))</f>
        <v>18.121862540579656</v>
      </c>
      <c r="O167" s="38"/>
      <c r="P167" s="37"/>
    </row>
    <row r="168" spans="1:16" s="1968" customFormat="1" x14ac:dyDescent="0.2">
      <c r="A168" s="37"/>
      <c r="B168" s="82"/>
      <c r="C168" s="38" t="s">
        <v>474</v>
      </c>
      <c r="D168" s="38"/>
      <c r="E168" s="16"/>
      <c r="F168" s="1428">
        <f t="array" ref="F168">SUM(F$131:F$134*SUMIFS(EF[CO2], EF[Vector], $B$131:$B$134))</f>
        <v>8.7967251470046044</v>
      </c>
      <c r="G168" s="1428">
        <f t="array" ref="G168">SUM(G$131:G$134*SUMIFS(EF[CO2], EF[Vector], $B$131:$B$134))</f>
        <v>11.073189110441009</v>
      </c>
      <c r="H168" s="1428">
        <f t="array" ref="H168">SUM(H$131:H$134*SUMIFS(EF[CO2], EF[Vector], $B$131:$B$134))</f>
        <v>14.290950893414882</v>
      </c>
      <c r="I168" s="1428">
        <f t="array" ref="I168">SUM(I$131:I$134*SUMIFS(EF[CO2], EF[Vector], $B$131:$B$134))</f>
        <v>17.562705700350357</v>
      </c>
      <c r="J168" s="1428">
        <f t="array" ref="J168">SUM(J$131:J$134*SUMIFS(EF[CO2], EF[Vector], $B$131:$B$134))</f>
        <v>19.891005771540911</v>
      </c>
      <c r="K168" s="1428">
        <f t="array" ref="K168">SUM(K$131:K$134*SUMIFS(EF[CO2], EF[Vector], $B$131:$B$134))</f>
        <v>22.425432028983131</v>
      </c>
      <c r="L168" s="1428">
        <f t="array" ref="L168">SUM(L$131:L$134*SUMIFS(EF[CO2], EF[Vector], $B$131:$B$134))</f>
        <v>22.569830195010859</v>
      </c>
      <c r="M168" s="1428">
        <f t="array" ref="M168">SUM(M$131:M$134*SUMIFS(EF[CO2], EF[Vector], $B$131:$B$134))</f>
        <v>21.277933824862984</v>
      </c>
      <c r="N168" s="1428">
        <f t="array" ref="N168">SUM(N$131:N$134*SUMIFS(EF[CO2], EF[Vector], $B$131:$B$134))</f>
        <v>18.121862540579656</v>
      </c>
      <c r="O168" s="38"/>
      <c r="P168" s="37"/>
    </row>
    <row r="169" spans="1:16" x14ac:dyDescent="0.2">
      <c r="B169" s="82"/>
      <c r="C169" s="38" t="s">
        <v>475</v>
      </c>
      <c r="E169" s="16"/>
      <c r="F169" s="1428">
        <f t="array" ref="F169">SUM(F$131:F$134*SUMIFS(EF[CO2], EF[Vector], $B$131:$B$134))</f>
        <v>8.7967251470046044</v>
      </c>
      <c r="G169" s="1428">
        <f t="array" ref="G169">SUM(G$131:G$134*SUMIFS(EF[CO2], EF[Vector], $B$131:$B$134))</f>
        <v>11.073189110441009</v>
      </c>
      <c r="H169" s="1428">
        <f t="array" ref="H169">SUM(H$131:H$134*SUMIFS(EF[CO2], EF[Vector], $B$131:$B$134))</f>
        <v>14.290950893414882</v>
      </c>
      <c r="I169" s="1428">
        <f t="array" ref="I169">SUM(I$131:I$134*SUMIFS(EF[CO2], EF[Vector], $B$131:$B$134))</f>
        <v>17.562705700350357</v>
      </c>
      <c r="J169" s="1428">
        <f t="array" ref="J169">SUM(J$131:J$134*SUMIFS(EF[CO2], EF[Vector], $B$131:$B$134))</f>
        <v>19.891005771540911</v>
      </c>
      <c r="K169" s="1428">
        <f t="array" ref="K169">SUM(K$131:K$134*SUMIFS(EF[CO2], EF[Vector], $B$131:$B$134))</f>
        <v>22.425432028983131</v>
      </c>
      <c r="L169" s="1428">
        <f t="array" ref="L169">SUM(L$131:L$134*SUMIFS(EF[CO2], EF[Vector], $B$131:$B$134))</f>
        <v>22.569830195010859</v>
      </c>
      <c r="M169" s="1428">
        <f t="array" ref="M169">SUM(M$131:M$134*SUMIFS(EF[CO2], EF[Vector], $B$131:$B$134))</f>
        <v>21.277933824862984</v>
      </c>
      <c r="N169" s="1428">
        <f t="array" ref="N169">SUM(N$131:N$134*SUMIFS(EF[CO2], EF[Vector], $B$131:$B$134))</f>
        <v>18.121862540579656</v>
      </c>
    </row>
    <row r="170" spans="1:16" x14ac:dyDescent="0.2">
      <c r="B170" s="1427"/>
      <c r="C170" s="1466"/>
      <c r="D170" s="1466"/>
      <c r="E170" s="1426"/>
      <c r="F170" s="1428"/>
      <c r="G170" s="1428"/>
      <c r="H170" s="1428"/>
      <c r="I170" s="1428"/>
      <c r="J170" s="1428"/>
      <c r="K170" s="1428"/>
      <c r="L170" s="1428"/>
      <c r="M170" s="1428"/>
      <c r="N170" s="1428"/>
      <c r="O170" s="1466"/>
    </row>
    <row r="171" spans="1:16" x14ac:dyDescent="0.2">
      <c r="B171" s="1427">
        <v>6</v>
      </c>
      <c r="C171" s="1427" t="s">
        <v>1424</v>
      </c>
      <c r="D171" s="1466"/>
      <c r="E171" s="1466"/>
      <c r="F171" s="1466"/>
      <c r="G171" s="1466"/>
      <c r="H171" s="1466"/>
      <c r="I171" s="1466"/>
      <c r="J171" s="1466"/>
      <c r="K171" s="1466"/>
      <c r="L171" s="1466"/>
      <c r="M171" s="1466"/>
      <c r="N171" s="1466"/>
      <c r="O171" s="1466"/>
    </row>
    <row r="172" spans="1:16" x14ac:dyDescent="0.2">
      <c r="B172" s="1466"/>
      <c r="C172" s="1466"/>
      <c r="D172" s="1466"/>
      <c r="E172" s="1466"/>
      <c r="F172" s="1466"/>
      <c r="G172" s="1466"/>
      <c r="H172" s="1466"/>
      <c r="I172" s="1466"/>
      <c r="J172" s="1466"/>
      <c r="K172" s="1466"/>
      <c r="L172" s="1466"/>
      <c r="M172" s="1466"/>
      <c r="N172" s="1466"/>
      <c r="O172" s="1466"/>
    </row>
    <row r="173" spans="1:16" x14ac:dyDescent="0.2">
      <c r="B173" s="1968" t="s">
        <v>1392</v>
      </c>
      <c r="C173" s="1466"/>
      <c r="D173" s="1466"/>
      <c r="E173" s="1466"/>
      <c r="F173" s="1262"/>
      <c r="G173" s="1262"/>
      <c r="H173" s="1262"/>
      <c r="I173" s="1262"/>
      <c r="J173" s="1262"/>
      <c r="K173" s="1262"/>
      <c r="L173" s="1262"/>
      <c r="M173" s="1262"/>
      <c r="N173" s="1262"/>
      <c r="O173" s="1466"/>
    </row>
    <row r="174" spans="1:16" s="1466" customFormat="1" x14ac:dyDescent="0.2">
      <c r="C174" s="1466" t="s">
        <v>1418</v>
      </c>
      <c r="E174" s="1466" t="str">
        <f>Preferences.moneyunits</f>
        <v>N</v>
      </c>
      <c r="F174" s="1262">
        <f t="shared" ref="F174:N174" si="36">((F159*F76)+(F161*F83))/5</f>
        <v>0</v>
      </c>
      <c r="G174" s="1262">
        <f t="shared" si="36"/>
        <v>71849874052.659866</v>
      </c>
      <c r="H174" s="1262">
        <f t="shared" si="36"/>
        <v>112943360174.59233</v>
      </c>
      <c r="I174" s="1262">
        <f t="shared" si="36"/>
        <v>161959862459.14093</v>
      </c>
      <c r="J174" s="1262">
        <f t="shared" si="36"/>
        <v>209094549882.93451</v>
      </c>
      <c r="K174" s="1262">
        <f t="shared" si="36"/>
        <v>293605047032.26953</v>
      </c>
      <c r="L174" s="1262">
        <f t="shared" si="36"/>
        <v>343834194323.53583</v>
      </c>
      <c r="M174" s="1262">
        <f t="shared" si="36"/>
        <v>422886000799.61658</v>
      </c>
      <c r="N174" s="1262">
        <f t="shared" si="36"/>
        <v>514668666565.96991</v>
      </c>
    </row>
    <row r="175" spans="1:16" s="1466" customFormat="1" x14ac:dyDescent="0.2">
      <c r="C175" s="1466" t="s">
        <v>1419</v>
      </c>
      <c r="E175" s="1466" t="str">
        <f>Preferences.moneyunits</f>
        <v>N</v>
      </c>
      <c r="F175" s="1262"/>
      <c r="G175" s="1262"/>
      <c r="H175" s="1262"/>
      <c r="I175" s="1262"/>
      <c r="J175" s="1262"/>
      <c r="K175" s="1262"/>
      <c r="L175" s="1262"/>
      <c r="M175" s="1262"/>
      <c r="N175" s="1262"/>
      <c r="O175" s="1968"/>
      <c r="P175" s="1245"/>
    </row>
    <row r="176" spans="1:16" s="1466" customFormat="1" x14ac:dyDescent="0.2">
      <c r="C176" s="1466" t="s">
        <v>1421</v>
      </c>
      <c r="E176" s="1466" t="str">
        <f>Preferences.moneyunits</f>
        <v>N</v>
      </c>
      <c r="F176" s="1262"/>
      <c r="G176" s="1262"/>
      <c r="H176" s="1262"/>
      <c r="I176" s="1262"/>
      <c r="J176" s="1262"/>
      <c r="K176" s="1262"/>
      <c r="L176" s="1262"/>
      <c r="M176" s="1262"/>
      <c r="N176" s="1262"/>
      <c r="O176" s="1262"/>
      <c r="P176" s="1245"/>
    </row>
    <row r="177" spans="1:17" s="1466" customFormat="1" x14ac:dyDescent="0.2">
      <c r="B177" s="1968"/>
      <c r="C177" s="1968"/>
      <c r="D177" s="1968"/>
      <c r="E177" s="1968"/>
      <c r="F177" s="1968"/>
      <c r="G177" s="1968"/>
      <c r="H177" s="1968"/>
      <c r="I177" s="1968"/>
      <c r="J177" s="1968"/>
      <c r="K177" s="1968"/>
      <c r="L177" s="1968"/>
      <c r="M177" s="1968"/>
      <c r="N177" s="1968"/>
      <c r="O177" s="1262"/>
      <c r="P177" s="1245"/>
    </row>
    <row r="178" spans="1:17" s="1466" customFormat="1" x14ac:dyDescent="0.2">
      <c r="B178" s="1968" t="s">
        <v>1875</v>
      </c>
      <c r="C178" s="1968"/>
      <c r="D178" s="1968"/>
      <c r="E178" s="1968"/>
      <c r="F178" s="1262"/>
      <c r="G178" s="1262"/>
      <c r="H178" s="1262"/>
      <c r="I178" s="1262"/>
      <c r="J178" s="1262"/>
      <c r="K178" s="1262"/>
      <c r="L178" s="1262"/>
      <c r="M178" s="1262"/>
      <c r="N178" s="1262"/>
      <c r="O178" s="1262"/>
      <c r="P178" s="1245"/>
    </row>
    <row r="179" spans="1:17" s="1968" customFormat="1" x14ac:dyDescent="0.2">
      <c r="C179" s="1968" t="s">
        <v>1418</v>
      </c>
      <c r="E179" s="1968" t="str">
        <f>Preferences.moneyunits</f>
        <v>N</v>
      </c>
      <c r="F179" s="1262">
        <f t="shared" ref="F179:N179" si="37">((F159*F77)+(F161*F84))/5</f>
        <v>0</v>
      </c>
      <c r="G179" s="1262">
        <f t="shared" si="37"/>
        <v>35050395992.30365</v>
      </c>
      <c r="H179" s="1262">
        <f t="shared" si="37"/>
        <v>55087673938.71344</v>
      </c>
      <c r="I179" s="1262">
        <f t="shared" si="37"/>
        <v>78981163419.082245</v>
      </c>
      <c r="J179" s="1262">
        <f t="shared" si="37"/>
        <v>101952756546.37553</v>
      </c>
      <c r="K179" s="1262">
        <f t="shared" si="37"/>
        <v>143148136513.75653</v>
      </c>
      <c r="L179" s="1262">
        <f t="shared" si="37"/>
        <v>167623469987.00195</v>
      </c>
      <c r="M179" s="1262">
        <f t="shared" si="37"/>
        <v>206151272913.3559</v>
      </c>
      <c r="N179" s="1262">
        <f t="shared" si="37"/>
        <v>263767691615.05957</v>
      </c>
      <c r="O179" s="1262"/>
      <c r="P179" s="1245"/>
    </row>
    <row r="180" spans="1:17" s="1968" customFormat="1" x14ac:dyDescent="0.2">
      <c r="C180" s="1968" t="s">
        <v>1419</v>
      </c>
      <c r="E180" s="1968" t="str">
        <f>Preferences.moneyunits</f>
        <v>N</v>
      </c>
      <c r="F180" s="1262"/>
      <c r="G180" s="1262"/>
      <c r="H180" s="1262"/>
      <c r="I180" s="1262"/>
      <c r="J180" s="1262"/>
      <c r="K180" s="1262"/>
      <c r="L180" s="1262"/>
      <c r="M180" s="1262"/>
      <c r="N180" s="1262"/>
      <c r="O180" s="1262"/>
      <c r="P180" s="1245"/>
    </row>
    <row r="181" spans="1:17" s="1968" customFormat="1" x14ac:dyDescent="0.2">
      <c r="C181" s="1968" t="s">
        <v>1421</v>
      </c>
      <c r="E181" s="1968" t="str">
        <f>Preferences.moneyunits</f>
        <v>N</v>
      </c>
      <c r="F181" s="1262"/>
      <c r="G181" s="1262"/>
      <c r="H181" s="1262"/>
      <c r="I181" s="1262"/>
      <c r="J181" s="1262"/>
      <c r="K181" s="1262"/>
      <c r="L181" s="1262"/>
      <c r="M181" s="1262"/>
      <c r="N181" s="1262"/>
      <c r="O181" s="1262"/>
      <c r="P181" s="1245"/>
    </row>
    <row r="182" spans="1:17" s="1968" customFormat="1" x14ac:dyDescent="0.2">
      <c r="O182" s="1262"/>
      <c r="P182" s="1245"/>
    </row>
    <row r="183" spans="1:17" s="1968" customFormat="1" x14ac:dyDescent="0.2">
      <c r="B183" s="1968" t="s">
        <v>1385</v>
      </c>
      <c r="C183" s="1466"/>
      <c r="D183" s="1466"/>
      <c r="E183" s="1466"/>
      <c r="F183" s="1262"/>
      <c r="G183" s="1262"/>
      <c r="H183" s="1262"/>
      <c r="I183" s="1262"/>
      <c r="J183" s="1262"/>
      <c r="K183" s="1262"/>
      <c r="L183" s="1262"/>
      <c r="M183" s="1262"/>
      <c r="N183" s="1262"/>
      <c r="O183" s="1262"/>
      <c r="P183" s="1245"/>
    </row>
    <row r="184" spans="1:17" s="1968" customFormat="1" x14ac:dyDescent="0.2">
      <c r="B184" s="1466"/>
      <c r="C184" s="1466" t="s">
        <v>1418</v>
      </c>
      <c r="D184" s="1466"/>
      <c r="E184" s="1466" t="str">
        <f>Preferences.moneyunits</f>
        <v>N</v>
      </c>
      <c r="F184" s="1262">
        <f t="shared" ref="F184:N184" si="38">((F159*F78)+(F161*F85))/5</f>
        <v>0</v>
      </c>
      <c r="G184" s="1262">
        <f t="shared" si="38"/>
        <v>17962468513.164967</v>
      </c>
      <c r="H184" s="1262">
        <f t="shared" si="38"/>
        <v>28235840043.648083</v>
      </c>
      <c r="I184" s="1262">
        <f t="shared" si="38"/>
        <v>40489965614.785233</v>
      </c>
      <c r="J184" s="1262">
        <f t="shared" si="38"/>
        <v>52273637470.733627</v>
      </c>
      <c r="K184" s="1262">
        <f t="shared" si="38"/>
        <v>73401261758.067383</v>
      </c>
      <c r="L184" s="1262">
        <f t="shared" si="38"/>
        <v>85958548580.883957</v>
      </c>
      <c r="M184" s="1262">
        <f t="shared" si="38"/>
        <v>105721500199.90414</v>
      </c>
      <c r="N184" s="1262">
        <f t="shared" si="38"/>
        <v>128667166641.49248</v>
      </c>
      <c r="O184" s="1262"/>
      <c r="P184" s="1245"/>
    </row>
    <row r="185" spans="1:17" s="1968" customFormat="1" x14ac:dyDescent="0.2">
      <c r="B185" s="1466"/>
      <c r="C185" s="1466" t="s">
        <v>1419</v>
      </c>
      <c r="D185" s="1466"/>
      <c r="E185" s="1466" t="str">
        <f>Preferences.moneyunits</f>
        <v>N</v>
      </c>
      <c r="F185" s="1262"/>
      <c r="G185" s="1262"/>
      <c r="H185" s="1262"/>
      <c r="I185" s="1262"/>
      <c r="J185" s="1262"/>
      <c r="K185" s="1262"/>
      <c r="L185" s="1262"/>
      <c r="M185" s="1262"/>
      <c r="N185" s="1262"/>
      <c r="O185" s="1262"/>
      <c r="P185" s="1245"/>
    </row>
    <row r="186" spans="1:17" s="1466" customFormat="1" x14ac:dyDescent="0.2">
      <c r="C186" s="1466" t="s">
        <v>1421</v>
      </c>
      <c r="E186" s="1466" t="str">
        <f>Preferences.moneyunits</f>
        <v>N</v>
      </c>
      <c r="F186" s="1262"/>
      <c r="G186" s="1262"/>
      <c r="H186" s="1262"/>
      <c r="I186" s="1262"/>
      <c r="J186" s="1262"/>
      <c r="K186" s="1262"/>
      <c r="L186" s="1262"/>
      <c r="M186" s="1262"/>
      <c r="N186" s="1262"/>
      <c r="P186" s="1245"/>
    </row>
    <row r="187" spans="1:17" s="1466" customFormat="1" x14ac:dyDescent="0.2">
      <c r="B187" s="84"/>
      <c r="C187" s="84"/>
      <c r="D187" s="84"/>
      <c r="E187" s="84"/>
      <c r="F187" s="23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1245"/>
    </row>
    <row r="188" spans="1:17" s="1466" customFormat="1" ht="15.75" x14ac:dyDescent="0.2">
      <c r="B188" s="468" t="s">
        <v>236</v>
      </c>
      <c r="C188" s="421"/>
      <c r="D188" s="421"/>
      <c r="E188" s="421"/>
      <c r="F188" s="421"/>
      <c r="G188" s="421"/>
      <c r="H188" s="421"/>
      <c r="I188" s="421"/>
      <c r="J188" s="421"/>
      <c r="K188" s="421"/>
      <c r="L188" s="421"/>
      <c r="M188" s="421"/>
      <c r="N188" s="421"/>
      <c r="O188" s="421"/>
      <c r="P188" s="423"/>
      <c r="Q188" s="1245"/>
    </row>
    <row r="189" spans="1:17" s="1466" customFormat="1" x14ac:dyDescent="0.2">
      <c r="B189" s="410"/>
      <c r="C189" s="412"/>
      <c r="D189" s="412"/>
      <c r="E189" s="412"/>
      <c r="F189" s="412"/>
      <c r="G189" s="412"/>
      <c r="H189" s="412"/>
      <c r="I189" s="412"/>
      <c r="J189" s="412"/>
      <c r="K189" s="412"/>
      <c r="L189" s="412"/>
      <c r="M189" s="412"/>
      <c r="N189" s="412"/>
      <c r="O189" s="412"/>
      <c r="P189" s="414"/>
      <c r="Q189" s="1245"/>
    </row>
    <row r="190" spans="1:17" s="1466" customFormat="1" x14ac:dyDescent="0.2">
      <c r="B190" s="410"/>
      <c r="C190" s="424" t="s">
        <v>277</v>
      </c>
      <c r="D190" s="412"/>
      <c r="E190" s="413"/>
      <c r="F190" s="412"/>
      <c r="G190" s="413"/>
      <c r="H190" s="412"/>
      <c r="I190" s="412"/>
      <c r="J190" s="412"/>
      <c r="K190" s="412"/>
      <c r="L190" s="412"/>
      <c r="M190" s="412"/>
      <c r="N190" s="413" t="str">
        <f>Preferences.EnergyUnits</f>
        <v>TWh</v>
      </c>
      <c r="P190" s="414"/>
    </row>
    <row r="191" spans="1:17" s="84" customFormat="1" x14ac:dyDescent="0.2">
      <c r="B191" s="410"/>
      <c r="C191" s="412"/>
      <c r="D191" s="412"/>
      <c r="E191" s="412"/>
      <c r="F191" s="412"/>
      <c r="G191" s="412"/>
      <c r="H191" s="412"/>
      <c r="I191" s="412"/>
      <c r="J191" s="412"/>
      <c r="K191" s="412"/>
      <c r="L191" s="412"/>
      <c r="M191" s="412"/>
      <c r="N191" s="412"/>
      <c r="O191" s="412"/>
      <c r="P191" s="414"/>
    </row>
    <row r="192" spans="1:17" ht="22.5" collapsed="1" x14ac:dyDescent="0.3">
      <c r="A192" s="409"/>
      <c r="B192" s="415"/>
      <c r="C192" s="426" t="s">
        <v>64</v>
      </c>
      <c r="D192" s="426" t="s">
        <v>150</v>
      </c>
      <c r="E192" s="426" t="s">
        <v>172</v>
      </c>
      <c r="F192" s="426" t="s">
        <v>241</v>
      </c>
      <c r="G192" s="427" t="s">
        <v>268</v>
      </c>
      <c r="H192" s="427" t="s">
        <v>269</v>
      </c>
      <c r="I192" s="427" t="s">
        <v>270</v>
      </c>
      <c r="J192" s="427" t="s">
        <v>271</v>
      </c>
      <c r="K192" s="427" t="s">
        <v>272</v>
      </c>
      <c r="L192" s="427" t="s">
        <v>273</v>
      </c>
      <c r="M192" s="427" t="s">
        <v>274</v>
      </c>
      <c r="N192" s="427" t="s">
        <v>275</v>
      </c>
      <c r="O192" s="414"/>
    </row>
    <row r="193" spans="1:16" ht="15.95" customHeight="1" x14ac:dyDescent="0.25">
      <c r="B193" s="415"/>
      <c r="C193" s="97" t="s">
        <v>44</v>
      </c>
      <c r="D193" s="97" t="str">
        <f>INDEX(Vectors[Description], MATCH(X.a.Outputs[Vector], Vectors[Code], 0))</f>
        <v>Lighting &amp; appliances</v>
      </c>
      <c r="E193" s="97"/>
      <c r="F193" s="241">
        <f t="shared" ref="F193:N193" si="39">F126</f>
        <v>21.163933570151457</v>
      </c>
      <c r="G193" s="241">
        <f t="shared" si="39"/>
        <v>25.874855693842626</v>
      </c>
      <c r="H193" s="241">
        <f t="shared" si="39"/>
        <v>57.506758714249123</v>
      </c>
      <c r="I193" s="241">
        <f t="shared" si="39"/>
        <v>131.28964507690569</v>
      </c>
      <c r="J193" s="241">
        <f t="shared" si="39"/>
        <v>207.36914669335661</v>
      </c>
      <c r="K193" s="241">
        <f t="shared" si="39"/>
        <v>311.90435176364798</v>
      </c>
      <c r="L193" s="241">
        <f t="shared" si="39"/>
        <v>414.47798462598342</v>
      </c>
      <c r="M193" s="241">
        <f t="shared" si="39"/>
        <v>526.61525220436965</v>
      </c>
      <c r="N193" s="241">
        <f t="shared" si="39"/>
        <v>649.0204493638696</v>
      </c>
      <c r="O193" s="414"/>
    </row>
    <row r="194" spans="1:16" ht="15.95" customHeight="1" x14ac:dyDescent="0.25">
      <c r="B194" s="415"/>
      <c r="C194" s="97" t="s">
        <v>2205</v>
      </c>
      <c r="D194" s="97" t="str">
        <f>INDEX(Vectors[Description], MATCH(X.a.Outputs[Vector], Vectors[Code], 0))</f>
        <v>Cooking</v>
      </c>
      <c r="E194" s="97"/>
      <c r="F194" s="241">
        <f t="shared" ref="F194:N194" si="40">F115</f>
        <v>224.40625375011746</v>
      </c>
      <c r="G194" s="241">
        <f t="shared" si="40"/>
        <v>217.12135510668645</v>
      </c>
      <c r="H194" s="241">
        <f t="shared" si="40"/>
        <v>227.56291231552359</v>
      </c>
      <c r="I194" s="241">
        <f t="shared" si="40"/>
        <v>235.42500938807447</v>
      </c>
      <c r="J194" s="241">
        <f t="shared" si="40"/>
        <v>230.21997420764939</v>
      </c>
      <c r="K194" s="241">
        <f t="shared" si="40"/>
        <v>228.3648882788506</v>
      </c>
      <c r="L194" s="241">
        <f t="shared" si="40"/>
        <v>205.18027450009868</v>
      </c>
      <c r="M194" s="241">
        <f t="shared" si="40"/>
        <v>174.69568000708523</v>
      </c>
      <c r="N194" s="241">
        <f t="shared" si="40"/>
        <v>135.6426836869735</v>
      </c>
      <c r="O194" s="414"/>
    </row>
    <row r="195" spans="1:16" ht="15.95" customHeight="1" x14ac:dyDescent="0.25">
      <c r="B195" s="415"/>
      <c r="C195" s="97" t="s">
        <v>34</v>
      </c>
      <c r="D195" s="97" t="str">
        <f>INDEX(Vectors[Description], MATCH(X.a.Outputs[Vector], Vectors[Code], 0))</f>
        <v>Electricity (delivered to end user)</v>
      </c>
      <c r="E195" s="97"/>
      <c r="F195" s="241">
        <f t="shared" ref="F195:N195" si="41">-F131</f>
        <v>-27.89612118265498</v>
      </c>
      <c r="G195" s="241">
        <f t="shared" si="41"/>
        <v>-37.002325143060304</v>
      </c>
      <c r="H195" s="241">
        <f t="shared" si="41"/>
        <v>-74.005069857124582</v>
      </c>
      <c r="I195" s="241">
        <f t="shared" si="41"/>
        <v>-153.36073970703768</v>
      </c>
      <c r="J195" s="241">
        <f t="shared" si="41"/>
        <v>-233.8444437272363</v>
      </c>
      <c r="K195" s="241">
        <f t="shared" si="41"/>
        <v>-343.01906779164136</v>
      </c>
      <c r="L195" s="241">
        <f t="shared" si="41"/>
        <v>-446.79387785974899</v>
      </c>
      <c r="M195" s="241">
        <f t="shared" si="41"/>
        <v>-557.84210500563609</v>
      </c>
      <c r="N195" s="241">
        <f t="shared" si="41"/>
        <v>-676.14898610126431</v>
      </c>
      <c r="O195" s="414"/>
    </row>
    <row r="196" spans="1:16" ht="15.95" customHeight="1" x14ac:dyDescent="0.25">
      <c r="A196" s="3"/>
      <c r="B196" s="415"/>
      <c r="C196" s="97" t="s">
        <v>38</v>
      </c>
      <c r="D196" s="97" t="str">
        <f>INDEX(Vectors[Description], MATCH(X.a.Outputs[Vector], Vectors[Code], 0))</f>
        <v>Liquid hydrocarbons</v>
      </c>
      <c r="E196" s="97"/>
      <c r="F196" s="241">
        <f t="shared" ref="F196:N196" si="42">-F132</f>
        <v>-26.928750450014093</v>
      </c>
      <c r="G196" s="241">
        <f t="shared" si="42"/>
        <v>-29.311382939402673</v>
      </c>
      <c r="H196" s="241">
        <f t="shared" si="42"/>
        <v>-34.134436847328544</v>
      </c>
      <c r="I196" s="241">
        <f t="shared" si="42"/>
        <v>-38.845126549032294</v>
      </c>
      <c r="J196" s="241">
        <f t="shared" si="42"/>
        <v>-41.439595357376902</v>
      </c>
      <c r="K196" s="241">
        <f t="shared" si="42"/>
        <v>-44.531153214375884</v>
      </c>
      <c r="L196" s="241">
        <f t="shared" si="42"/>
        <v>-43.08785764502074</v>
      </c>
      <c r="M196" s="241">
        <f t="shared" si="42"/>
        <v>-39.306528001594195</v>
      </c>
      <c r="N196" s="241">
        <f t="shared" si="42"/>
        <v>-32.554244084873638</v>
      </c>
      <c r="O196" s="414"/>
    </row>
    <row r="197" spans="1:16" ht="15.75" x14ac:dyDescent="0.25">
      <c r="A197" s="3"/>
      <c r="B197" s="415"/>
      <c r="C197" s="97" t="s">
        <v>39</v>
      </c>
      <c r="D197" s="97" t="str">
        <f>INDEX(Vectors[Description], MATCH(X.a.Outputs[Vector], Vectors[Code], 0))</f>
        <v>Gaseous hydrocarbons</v>
      </c>
      <c r="E197" s="97"/>
      <c r="F197" s="241">
        <f t="shared" ref="F197:N197" si="43">-F133</f>
        <v>-11.220312687505874</v>
      </c>
      <c r="G197" s="241">
        <f t="shared" si="43"/>
        <v>-20.355127041251855</v>
      </c>
      <c r="H197" s="241">
        <f t="shared" si="43"/>
        <v>-31.289900443384496</v>
      </c>
      <c r="I197" s="241">
        <f t="shared" si="43"/>
        <v>-42.670782951588507</v>
      </c>
      <c r="J197" s="241">
        <f t="shared" si="43"/>
        <v>-51.79949419672112</v>
      </c>
      <c r="K197" s="241">
        <f t="shared" si="43"/>
        <v>-61.373063724941112</v>
      </c>
      <c r="L197" s="241">
        <f t="shared" si="43"/>
        <v>-64.11883578128085</v>
      </c>
      <c r="M197" s="241">
        <f t="shared" si="43"/>
        <v>-62.235336002524122</v>
      </c>
      <c r="N197" s="241">
        <f t="shared" si="43"/>
        <v>-54.257073474789401</v>
      </c>
      <c r="O197" s="419"/>
    </row>
    <row r="198" spans="1:16" ht="15.75" x14ac:dyDescent="0.25">
      <c r="A198" s="3"/>
      <c r="B198" s="415"/>
      <c r="C198" s="97" t="s">
        <v>2184</v>
      </c>
      <c r="D198" s="97" t="str">
        <f>INDEX(Vectors[Description], MATCH(X.a.Outputs[Vector], Vectors[Code], 0))</f>
        <v>Traditional Fuel</v>
      </c>
      <c r="E198" s="97"/>
      <c r="F198" s="241">
        <f t="shared" ref="F198:N198" si="44">-F134</f>
        <v>-179.52500300009399</v>
      </c>
      <c r="G198" s="241">
        <f t="shared" si="44"/>
        <v>-156.32737567681426</v>
      </c>
      <c r="H198" s="241">
        <f t="shared" si="44"/>
        <v>-145.64026388193511</v>
      </c>
      <c r="I198" s="241">
        <f t="shared" si="44"/>
        <v>-131.83800525732175</v>
      </c>
      <c r="J198" s="241">
        <f t="shared" si="44"/>
        <v>-110.50558761967174</v>
      </c>
      <c r="K198" s="241">
        <f t="shared" si="44"/>
        <v>-91.345955311540266</v>
      </c>
      <c r="L198" s="241">
        <f t="shared" si="44"/>
        <v>-65.657687840031599</v>
      </c>
      <c r="M198" s="241">
        <f t="shared" si="44"/>
        <v>-41.926963201700474</v>
      </c>
      <c r="N198" s="241">
        <f t="shared" si="44"/>
        <v>-21.702829389915763</v>
      </c>
    </row>
    <row r="199" spans="1:16" ht="15.75" x14ac:dyDescent="0.25">
      <c r="A199" s="3"/>
      <c r="B199" s="416"/>
      <c r="C199" s="97" t="s">
        <v>105</v>
      </c>
      <c r="D199" s="97"/>
      <c r="E199" s="97"/>
      <c r="F199" s="2412">
        <f>SUBTOTAL(109,X.a.Outputs[2010])</f>
        <v>0</v>
      </c>
      <c r="G199" s="2412">
        <f>SUBTOTAL(109,X.a.Outputs[2015])</f>
        <v>0</v>
      </c>
      <c r="H199" s="2412">
        <f>SUBTOTAL(109,X.a.Outputs[2020])</f>
        <v>0</v>
      </c>
      <c r="I199" s="2412">
        <f>SUBTOTAL(109,X.a.Outputs[2025])</f>
        <v>0</v>
      </c>
      <c r="J199" s="2412">
        <f>SUBTOTAL(109,X.a.Outputs[2030])</f>
        <v>0</v>
      </c>
      <c r="K199" s="2412">
        <f>SUBTOTAL(109,X.a.Outputs[2035])</f>
        <v>0</v>
      </c>
      <c r="L199" s="2412">
        <f>SUBTOTAL(109,X.a.Outputs[2040])</f>
        <v>0</v>
      </c>
      <c r="M199" s="2412">
        <f>SUBTOTAL(109,X.a.Outputs[2045])</f>
        <v>0</v>
      </c>
      <c r="N199" s="2412">
        <f>SUBTOTAL(109,X.a.Outputs[2050])</f>
        <v>-6.3948846218409017E-14</v>
      </c>
      <c r="O199" s="446"/>
    </row>
    <row r="200" spans="1:16" s="2370" customFormat="1" ht="15.75" x14ac:dyDescent="0.25">
      <c r="A200" s="3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L200" s="38"/>
      <c r="M200" s="38"/>
      <c r="N200" s="38"/>
      <c r="O200" s="38"/>
      <c r="P200" s="448"/>
    </row>
    <row r="201" spans="1:16" ht="15.75" x14ac:dyDescent="0.25">
      <c r="A201" s="3"/>
      <c r="B201" s="2370"/>
      <c r="C201" s="2370"/>
      <c r="D201" s="2370"/>
      <c r="E201" s="2370"/>
      <c r="F201" s="2370"/>
      <c r="G201" s="2370"/>
      <c r="H201" s="2370"/>
      <c r="I201" s="2370"/>
      <c r="J201" s="2370"/>
      <c r="K201" s="2370"/>
      <c r="L201" s="2370"/>
      <c r="M201" s="2370"/>
      <c r="N201" s="2370"/>
      <c r="O201" s="2370"/>
      <c r="P201" s="448"/>
    </row>
    <row r="202" spans="1:16" ht="15.75" x14ac:dyDescent="0.2">
      <c r="B202" s="484" t="s">
        <v>361</v>
      </c>
      <c r="C202" s="436"/>
      <c r="D202" s="437"/>
      <c r="E202" s="437"/>
      <c r="F202" s="437"/>
      <c r="G202" s="437"/>
      <c r="H202" s="437"/>
      <c r="I202" s="437"/>
      <c r="J202" s="437"/>
      <c r="K202" s="437"/>
      <c r="L202" s="437"/>
      <c r="M202" s="437"/>
      <c r="N202" s="437"/>
      <c r="O202" s="437"/>
      <c r="P202" s="448"/>
    </row>
    <row r="203" spans="1:16" ht="15.95" customHeight="1" x14ac:dyDescent="0.3">
      <c r="A203" s="409"/>
      <c r="B203" s="444"/>
      <c r="C203" s="445"/>
      <c r="D203" s="445"/>
      <c r="E203" s="445"/>
      <c r="F203" s="445"/>
      <c r="G203" s="445"/>
      <c r="H203" s="445"/>
      <c r="I203" s="445"/>
      <c r="J203" s="445"/>
      <c r="K203" s="445"/>
      <c r="L203" s="445"/>
      <c r="M203" s="445"/>
      <c r="N203" s="445"/>
      <c r="O203" s="445"/>
      <c r="P203" s="448"/>
    </row>
    <row r="204" spans="1:16" ht="15.95" customHeight="1" x14ac:dyDescent="0.25">
      <c r="B204" s="447"/>
      <c r="C204" s="439" t="s">
        <v>1857</v>
      </c>
      <c r="D204" s="440"/>
      <c r="E204" s="441"/>
      <c r="F204" s="440"/>
      <c r="G204" s="441"/>
      <c r="H204" s="440"/>
      <c r="I204" s="440"/>
      <c r="J204" s="440"/>
      <c r="K204" s="440"/>
      <c r="L204" s="440"/>
      <c r="M204" s="440"/>
      <c r="N204" s="1750" t="s">
        <v>676</v>
      </c>
      <c r="P204" s="448"/>
    </row>
    <row r="205" spans="1:16" ht="15.95" customHeight="1" x14ac:dyDescent="0.2">
      <c r="B205" s="447"/>
      <c r="C205" s="440"/>
      <c r="D205" s="440"/>
      <c r="E205" s="440"/>
      <c r="F205" s="440"/>
      <c r="G205" s="440"/>
      <c r="H205" s="440"/>
      <c r="I205" s="440"/>
      <c r="J205" s="440"/>
      <c r="K205" s="440"/>
      <c r="L205" s="440"/>
      <c r="M205" s="440"/>
      <c r="N205" s="440"/>
      <c r="O205" s="440"/>
      <c r="P205" s="448"/>
    </row>
    <row r="206" spans="1:16" ht="15.95" customHeight="1" x14ac:dyDescent="0.25">
      <c r="B206" s="449"/>
      <c r="C206" s="503" t="s">
        <v>490</v>
      </c>
      <c r="D206" s="503" t="s">
        <v>461</v>
      </c>
      <c r="E206" s="503" t="s">
        <v>172</v>
      </c>
      <c r="F206" s="503" t="s">
        <v>241</v>
      </c>
      <c r="G206" s="503" t="s">
        <v>268</v>
      </c>
      <c r="H206" s="503" t="s">
        <v>269</v>
      </c>
      <c r="I206" s="503" t="s">
        <v>270</v>
      </c>
      <c r="J206" s="503" t="s">
        <v>271</v>
      </c>
      <c r="K206" s="503" t="s">
        <v>272</v>
      </c>
      <c r="L206" s="503" t="s">
        <v>273</v>
      </c>
      <c r="M206" s="503" t="s">
        <v>274</v>
      </c>
      <c r="N206" s="503" t="s">
        <v>275</v>
      </c>
      <c r="O206" s="448"/>
    </row>
    <row r="207" spans="1:16" ht="15.95" customHeight="1" x14ac:dyDescent="0.25">
      <c r="B207" s="449"/>
      <c r="C207" s="443" t="s">
        <v>473</v>
      </c>
      <c r="D207" s="453" t="s">
        <v>483</v>
      </c>
      <c r="E207" s="443" t="str">
        <f>INDEX(IPCC[Sector_description], MATCH(X.a.Emissions[IPCC Sector], IPCC[Sector_code], 0))</f>
        <v>Fuel Combustion</v>
      </c>
      <c r="F207" s="502">
        <f t="shared" ref="F207:N207" si="45">F167</f>
        <v>8.7967251470046044</v>
      </c>
      <c r="G207" s="502">
        <f t="shared" si="45"/>
        <v>11.073189110441009</v>
      </c>
      <c r="H207" s="502">
        <f t="shared" si="45"/>
        <v>14.290950893414882</v>
      </c>
      <c r="I207" s="502">
        <f t="shared" si="45"/>
        <v>17.562705700350357</v>
      </c>
      <c r="J207" s="502">
        <f t="shared" si="45"/>
        <v>19.891005771540911</v>
      </c>
      <c r="K207" s="502">
        <f t="shared" si="45"/>
        <v>22.425432028983131</v>
      </c>
      <c r="L207" s="502">
        <f t="shared" si="45"/>
        <v>22.569830195010859</v>
      </c>
      <c r="M207" s="502">
        <f t="shared" si="45"/>
        <v>21.277933824862984</v>
      </c>
      <c r="N207" s="502">
        <f t="shared" si="45"/>
        <v>18.121862540579656</v>
      </c>
      <c r="O207" s="448"/>
    </row>
    <row r="208" spans="1:16" ht="15.95" customHeight="1" x14ac:dyDescent="0.25">
      <c r="B208" s="449"/>
      <c r="C208" s="443" t="s">
        <v>474</v>
      </c>
      <c r="D208" s="453" t="s">
        <v>483</v>
      </c>
      <c r="E208" s="443" t="str">
        <f>INDEX(IPCC[Sector_description], MATCH(X.a.Emissions[IPCC Sector], IPCC[Sector_code], 0))</f>
        <v>Fuel Combustion</v>
      </c>
      <c r="F208" s="502">
        <f t="shared" ref="F208:N208" si="46">F168</f>
        <v>8.7967251470046044</v>
      </c>
      <c r="G208" s="502">
        <f t="shared" si="46"/>
        <v>11.073189110441009</v>
      </c>
      <c r="H208" s="502">
        <f t="shared" si="46"/>
        <v>14.290950893414882</v>
      </c>
      <c r="I208" s="502">
        <f t="shared" si="46"/>
        <v>17.562705700350357</v>
      </c>
      <c r="J208" s="502">
        <f t="shared" si="46"/>
        <v>19.891005771540911</v>
      </c>
      <c r="K208" s="502">
        <f t="shared" si="46"/>
        <v>22.425432028983131</v>
      </c>
      <c r="L208" s="502">
        <f t="shared" si="46"/>
        <v>22.569830195010859</v>
      </c>
      <c r="M208" s="502">
        <f t="shared" si="46"/>
        <v>21.277933824862984</v>
      </c>
      <c r="N208" s="502">
        <f t="shared" si="46"/>
        <v>18.121862540579656</v>
      </c>
      <c r="O208" s="440"/>
    </row>
    <row r="209" spans="2:16" ht="15.95" customHeight="1" x14ac:dyDescent="0.25">
      <c r="B209" s="449"/>
      <c r="C209" s="443" t="s">
        <v>475</v>
      </c>
      <c r="D209" s="453" t="s">
        <v>483</v>
      </c>
      <c r="E209" s="443" t="str">
        <f>INDEX(IPCC[Sector_description], MATCH(X.a.Emissions[IPCC Sector], IPCC[Sector_code], 0))</f>
        <v>Fuel Combustion</v>
      </c>
      <c r="F209" s="502">
        <f t="shared" ref="F209:N209" si="47">F169</f>
        <v>8.7967251470046044</v>
      </c>
      <c r="G209" s="502">
        <f t="shared" si="47"/>
        <v>11.073189110441009</v>
      </c>
      <c r="H209" s="502">
        <f t="shared" si="47"/>
        <v>14.290950893414882</v>
      </c>
      <c r="I209" s="502">
        <f t="shared" si="47"/>
        <v>17.562705700350357</v>
      </c>
      <c r="J209" s="502">
        <f t="shared" si="47"/>
        <v>19.891005771540911</v>
      </c>
      <c r="K209" s="502">
        <f t="shared" si="47"/>
        <v>22.425432028983131</v>
      </c>
      <c r="L209" s="502">
        <f t="shared" si="47"/>
        <v>22.569830195010859</v>
      </c>
      <c r="M209" s="502">
        <f t="shared" si="47"/>
        <v>21.277933824862984</v>
      </c>
      <c r="N209" s="502">
        <f t="shared" si="47"/>
        <v>18.121862540579656</v>
      </c>
      <c r="O209" s="440"/>
    </row>
    <row r="210" spans="2:16" ht="15.95" customHeight="1" x14ac:dyDescent="0.25">
      <c r="B210" s="449"/>
      <c r="C210" s="443" t="s">
        <v>105</v>
      </c>
      <c r="D210" s="443"/>
      <c r="E210" s="443"/>
      <c r="F210" s="512">
        <f>SUBTOTAL(109,X.a.Emissions[2010])</f>
        <v>26.390175441013813</v>
      </c>
      <c r="G210" s="512">
        <f>SUBTOTAL(109,X.a.Emissions[2015])</f>
        <v>33.219567331323027</v>
      </c>
      <c r="H210" s="512">
        <f>SUBTOTAL(109,X.a.Emissions[2020])</f>
        <v>42.872852680244648</v>
      </c>
      <c r="I210" s="512">
        <f>SUBTOTAL(109,X.a.Emissions[2025])</f>
        <v>52.68811710105107</v>
      </c>
      <c r="J210" s="512">
        <f>SUBTOTAL(109,X.a.Emissions[2030])</f>
        <v>59.673017314622733</v>
      </c>
      <c r="K210" s="512">
        <f>SUBTOTAL(109,X.a.Emissions[2035])</f>
        <v>67.276296086949401</v>
      </c>
      <c r="L210" s="512">
        <f>SUBTOTAL(109,X.a.Emissions[2040])</f>
        <v>67.709490585032569</v>
      </c>
      <c r="M210" s="512">
        <f>SUBTOTAL(109,X.a.Emissions[2045])</f>
        <v>63.833801474588952</v>
      </c>
      <c r="N210" s="512">
        <f>SUBTOTAL(109,X.a.Emissions[2050])</f>
        <v>54.365587621738968</v>
      </c>
      <c r="O210" s="1794"/>
    </row>
    <row r="211" spans="2:16" ht="15.75" x14ac:dyDescent="0.25">
      <c r="B211" s="1793"/>
      <c r="C211" s="443"/>
      <c r="D211" s="443"/>
      <c r="E211" s="443"/>
      <c r="F211" s="512"/>
      <c r="G211" s="512"/>
      <c r="H211" s="512"/>
      <c r="I211" s="512"/>
      <c r="J211" s="512"/>
      <c r="K211" s="512"/>
      <c r="L211" s="512"/>
      <c r="M211" s="512"/>
      <c r="N211" s="512"/>
      <c r="O211" s="512"/>
      <c r="P211" s="1794"/>
    </row>
    <row r="212" spans="2:16" s="1792" customFormat="1" ht="15.75" x14ac:dyDescent="0.25">
      <c r="B212" s="1793"/>
      <c r="C212" s="1764" t="s">
        <v>1849</v>
      </c>
      <c r="D212" s="513"/>
      <c r="E212" s="443"/>
      <c r="F212" s="512"/>
      <c r="G212" s="512"/>
      <c r="H212" s="512"/>
      <c r="I212" s="512"/>
      <c r="J212" s="512"/>
      <c r="K212" s="512"/>
      <c r="L212" s="512"/>
      <c r="M212" s="512"/>
      <c r="N212" s="1765" t="s">
        <v>1848</v>
      </c>
      <c r="P212" s="1794"/>
    </row>
    <row r="213" spans="2:16" s="1792" customFormat="1" ht="15.95" customHeight="1" x14ac:dyDescent="0.2">
      <c r="B213" s="1794"/>
      <c r="C213" s="1794"/>
      <c r="D213" s="1794"/>
      <c r="E213" s="1794"/>
      <c r="F213" s="1794"/>
      <c r="G213" s="1794"/>
      <c r="H213" s="1794"/>
      <c r="I213" s="1794"/>
      <c r="J213" s="1794"/>
      <c r="K213" s="1794"/>
      <c r="L213" s="1794"/>
      <c r="M213" s="1794"/>
      <c r="N213" s="1794"/>
      <c r="O213" s="1794"/>
      <c r="P213" s="1794"/>
    </row>
    <row r="214" spans="2:16" s="1616" customFormat="1" ht="15.95" customHeight="1" x14ac:dyDescent="0.2">
      <c r="B214" s="1794"/>
      <c r="C214" s="1815" t="s">
        <v>64</v>
      </c>
      <c r="D214" s="1815" t="s">
        <v>150</v>
      </c>
      <c r="E214" s="1815" t="s">
        <v>461</v>
      </c>
      <c r="F214" s="1815" t="s">
        <v>241</v>
      </c>
      <c r="G214" s="1815" t="s">
        <v>268</v>
      </c>
      <c r="H214" s="1815" t="s">
        <v>269</v>
      </c>
      <c r="I214" s="1815" t="s">
        <v>270</v>
      </c>
      <c r="J214" s="1815" t="s">
        <v>271</v>
      </c>
      <c r="K214" s="1815" t="s">
        <v>272</v>
      </c>
      <c r="L214" s="1815" t="s">
        <v>273</v>
      </c>
      <c r="M214" s="1815" t="s">
        <v>274</v>
      </c>
      <c r="N214" s="1815" t="s">
        <v>275</v>
      </c>
      <c r="O214" s="1794"/>
    </row>
    <row r="215" spans="2:16" s="1616" customFormat="1" ht="15.95" customHeight="1" x14ac:dyDescent="0.2">
      <c r="B215" s="1794"/>
      <c r="C215" s="1797" t="str">
        <f>INDEX(AirQualityVectors[Code],MATCH(D215,AirQualityVectors[Description],0))</f>
        <v>AQ.01</v>
      </c>
      <c r="D215" s="1798" t="s">
        <v>1791</v>
      </c>
      <c r="E215" s="1797" t="s">
        <v>483</v>
      </c>
      <c r="F215" s="1799">
        <f ca="1">F49*F$133*(1-'Intermediate output'!AX$253*(1-Constants!$F$37))</f>
        <v>0.10925186988602936</v>
      </c>
      <c r="G215" s="1799">
        <f ca="1">G49*G$133*(1-'Intermediate output'!AY$253*(1-Constants!$F$37))</f>
        <v>0.16597560427965399</v>
      </c>
      <c r="H215" s="1799">
        <f ca="1">H49*H$133*(1-'Intermediate output'!AZ$253*(1-Constants!$F$37))</f>
        <v>0.2036964155984021</v>
      </c>
      <c r="I215" s="1799">
        <f ca="1">I49*I$133*(1-'Intermediate output'!BA$253*(1-Constants!$F$37))</f>
        <v>0.23997765146267264</v>
      </c>
      <c r="J215" s="1799">
        <f ca="1">J49*J$133*(1-'Intermediate output'!BB$253*(1-Constants!$F$37))</f>
        <v>0.24677220542860212</v>
      </c>
      <c r="K215" s="1799">
        <f ca="1">K49*K$133*(1-'Intermediate output'!BC$253*(1-Constants!$F$37))</f>
        <v>0.24287874475072926</v>
      </c>
      <c r="L215" s="1799">
        <f ca="1">L49*L$133*(1-'Intermediate output'!BD$253*(1-Constants!$F$37))</f>
        <v>0.20880306878531074</v>
      </c>
      <c r="M215" s="1799">
        <f ca="1">M49*M$133*(1-'Intermediate output'!BE$253*(1-Constants!$F$37))</f>
        <v>0.17069742115540251</v>
      </c>
      <c r="N215" s="1799">
        <f ca="1">N49*N$133*(1-'Intermediate output'!BF$253*(1-Constants!$F$37))</f>
        <v>0.12854564575552488</v>
      </c>
      <c r="O215" s="1794"/>
    </row>
    <row r="216" spans="2:16" s="1616" customFormat="1" ht="15.95" customHeight="1" x14ac:dyDescent="0.2">
      <c r="B216" s="1794"/>
      <c r="C216" s="1794" t="str">
        <f>INDEX(AirQualityVectors[Code],MATCH(D216,AirQualityVectors[Description],0))</f>
        <v>AQ.02</v>
      </c>
      <c r="D216" s="1795" t="s">
        <v>1794</v>
      </c>
      <c r="E216" s="1794" t="s">
        <v>483</v>
      </c>
      <c r="F216" s="1796">
        <f ca="1">F54*F$133*(1-'Intermediate output'!AX$253*(1-Constants!$G$37))</f>
        <v>2.2397292692115118</v>
      </c>
      <c r="G216" s="1796">
        <f ca="1">G54*G$133*(1-'Intermediate output'!AY$253*(1-Constants!$G$37))</f>
        <v>4.2758363514704021</v>
      </c>
      <c r="H216" s="1796">
        <f ca="1">H54*H$133*(1-'Intermediate output'!AZ$253*(1-Constants!$G$37))</f>
        <v>6.9123420393202357</v>
      </c>
      <c r="I216" s="1796">
        <f ca="1">I54*I$133*(1-'Intermediate output'!BA$253*(1-Constants!$G$37))</f>
        <v>9.6760688130718062</v>
      </c>
      <c r="J216" s="1796">
        <f ca="1">J54*J$133*(1-'Intermediate output'!BB$253*(1-Constants!$G$37))</f>
        <v>12.040111731695935</v>
      </c>
      <c r="K216" s="1796">
        <f ca="1">K54*K$133*(1-'Intermediate output'!BC$253*(1-Constants!$G$37))</f>
        <v>14.592087911578249</v>
      </c>
      <c r="L216" s="1796">
        <f ca="1">L54*L$133*(1-'Intermediate output'!BD$253*(1-Constants!$G$37))</f>
        <v>15.541552438100416</v>
      </c>
      <c r="M216" s="1796">
        <f ca="1">M54*M$133*(1-'Intermediate output'!BE$253*(1-Constants!$G$37))</f>
        <v>15.296041341969151</v>
      </c>
      <c r="N216" s="1796">
        <f ca="1">N54*N$133*(1-'Intermediate output'!BF$253*(1-Constants!$G$37))</f>
        <v>13.468946789817522</v>
      </c>
      <c r="O216" s="452"/>
    </row>
    <row r="217" spans="2:16" s="1616" customFormat="1" ht="15.95" customHeight="1" x14ac:dyDescent="0.2">
      <c r="B217" s="1794"/>
      <c r="C217" s="1794" t="str">
        <f>INDEX(AirQualityVectors[Code],MATCH(D217,AirQualityVectors[Description],0))</f>
        <v>AQ.03</v>
      </c>
      <c r="D217" s="1795" t="s">
        <v>1795</v>
      </c>
      <c r="E217" s="1794" t="s">
        <v>483</v>
      </c>
      <c r="F217" s="1796">
        <f ca="1">F59*F$133*(1-'Intermediate output'!AX$253*(1-Constants!$H$37))</f>
        <v>0</v>
      </c>
      <c r="G217" s="1796">
        <f ca="1">G59*G$133*(1-'Intermediate output'!AY$253*(1-Constants!$H$37))</f>
        <v>0</v>
      </c>
      <c r="H217" s="1796">
        <f ca="1">H59*H$133*(1-'Intermediate output'!AZ$253*(1-Constants!$H$37))</f>
        <v>0</v>
      </c>
      <c r="I217" s="1796">
        <f ca="1">I59*I$133*(1-'Intermediate output'!BA$253*(1-Constants!$H$37))</f>
        <v>0</v>
      </c>
      <c r="J217" s="1796">
        <f ca="1">J59*J$133*(1-'Intermediate output'!BB$253*(1-Constants!$H$37))</f>
        <v>0</v>
      </c>
      <c r="K217" s="1796">
        <f ca="1">K59*K$133*(1-'Intermediate output'!BC$253*(1-Constants!$H$37))</f>
        <v>0</v>
      </c>
      <c r="L217" s="1796">
        <f ca="1">L59*L$133*(1-'Intermediate output'!BD$253*(1-Constants!$H$37))</f>
        <v>0</v>
      </c>
      <c r="M217" s="1796">
        <f ca="1">M59*M$133*(1-'Intermediate output'!BE$253*(1-Constants!$H$37))</f>
        <v>0</v>
      </c>
      <c r="N217" s="1796">
        <f ca="1">N59*N$133*(1-'Intermediate output'!BF$253*(1-Constants!$H$37))</f>
        <v>0</v>
      </c>
      <c r="O217" s="38"/>
    </row>
    <row r="218" spans="2:16" s="1616" customFormat="1" ht="15.95" customHeight="1" x14ac:dyDescent="0.2">
      <c r="B218" s="1794"/>
      <c r="C218" s="1800" t="str">
        <f>INDEX(AirQualityVectors[Code],MATCH(D218,AirQualityVectors[Description],0))</f>
        <v>AQ.04</v>
      </c>
      <c r="D218" s="1801" t="s">
        <v>1792</v>
      </c>
      <c r="E218" s="1800" t="s">
        <v>483</v>
      </c>
      <c r="F218" s="1802">
        <f ca="1">F64*F$133*(1-'Intermediate output'!AX$253*(1-Constants!$I$37))</f>
        <v>0.52761172057402572</v>
      </c>
      <c r="G218" s="1802">
        <f ca="1">G64*G$133*(1-'Intermediate output'!AY$253*(1-Constants!$I$37))</f>
        <v>0.91240759039804997</v>
      </c>
      <c r="H218" s="1802">
        <f ca="1">H64*H$133*(1-'Intermediate output'!AZ$253*(1-Constants!$I$37))</f>
        <v>1.3311110035281783</v>
      </c>
      <c r="I218" s="1802">
        <f ca="1">I64*I$133*(1-'Intermediate output'!BA$253*(1-Constants!$I$37))</f>
        <v>1.7627598492806833</v>
      </c>
      <c r="J218" s="1802">
        <f ca="1">J64*J$133*(1-'Intermediate output'!BB$253*(1-Constants!$I$37))</f>
        <v>2.0780093640701547</v>
      </c>
      <c r="K218" s="1802">
        <f ca="1">K64*K$133*(1-'Intermediate output'!BC$253*(1-Constants!$I$37))</f>
        <v>2.3933181292919512</v>
      </c>
      <c r="L218" s="1802">
        <f ca="1">L64*L$133*(1-'Intermediate output'!BD$253*(1-Constants!$I$37))</f>
        <v>2.4379774350748664</v>
      </c>
      <c r="M218" s="1802">
        <f ca="1">M64*M$133*(1-'Intermediate output'!BE$253*(1-Constants!$I$37))</f>
        <v>2.3219585909567382</v>
      </c>
      <c r="N218" s="1802">
        <f ca="1">N64*N$133*(1-'Intermediate output'!BF$253*(1-Constants!$I$37))</f>
        <v>1.9961449925923327</v>
      </c>
      <c r="O218" s="38"/>
    </row>
    <row r="219" spans="2:16" s="1616" customFormat="1" ht="15.95" customHeight="1" x14ac:dyDescent="0.25">
      <c r="B219" s="504"/>
      <c r="C219" s="451"/>
      <c r="D219" s="451"/>
      <c r="E219" s="451"/>
      <c r="F219" s="451"/>
      <c r="G219" s="451"/>
      <c r="H219" s="451"/>
      <c r="I219" s="451"/>
      <c r="J219" s="451"/>
      <c r="K219" s="451"/>
      <c r="L219" s="451"/>
      <c r="M219" s="451"/>
      <c r="N219" s="451"/>
      <c r="O219" s="451"/>
      <c r="P219" s="1188"/>
    </row>
    <row r="220" spans="2:16" x14ac:dyDescent="0.2">
      <c r="P220" s="1221"/>
    </row>
    <row r="221" spans="2:16" x14ac:dyDescent="0.2">
      <c r="P221" s="1191"/>
    </row>
    <row r="222" spans="2:16" ht="15.75" x14ac:dyDescent="0.2">
      <c r="B222" s="1186" t="s">
        <v>1225</v>
      </c>
      <c r="C222" s="1218"/>
      <c r="D222" s="1187"/>
      <c r="E222" s="1187"/>
      <c r="F222" s="1187"/>
      <c r="G222" s="1187"/>
      <c r="H222" s="1187"/>
      <c r="I222" s="1187"/>
      <c r="J222" s="1187"/>
      <c r="K222" s="1187"/>
      <c r="L222" s="1187"/>
      <c r="M222" s="1187"/>
      <c r="N222" s="1187"/>
      <c r="O222" s="1187"/>
      <c r="P222" s="1191"/>
    </row>
    <row r="223" spans="2:16" s="1225" customFormat="1" ht="21.75" customHeight="1" collapsed="1" x14ac:dyDescent="0.2">
      <c r="B223" s="1219"/>
      <c r="C223" s="1220"/>
      <c r="D223" s="1220"/>
      <c r="E223" s="1220"/>
      <c r="F223" s="1220"/>
      <c r="G223" s="1220"/>
      <c r="H223" s="1220"/>
      <c r="I223" s="1220"/>
      <c r="J223" s="1220"/>
      <c r="K223" s="1220"/>
      <c r="L223" s="1220"/>
      <c r="M223" s="1220"/>
      <c r="N223" s="1220"/>
      <c r="O223" s="1220"/>
      <c r="P223" s="1191"/>
    </row>
    <row r="224" spans="2:16" s="1225" customFormat="1" ht="15.95" customHeight="1" x14ac:dyDescent="0.2">
      <c r="B224" s="1189"/>
      <c r="C224" s="1222" t="s">
        <v>1230</v>
      </c>
      <c r="D224" s="1190"/>
      <c r="E224" s="1223"/>
      <c r="F224" s="1190"/>
      <c r="G224" s="1223"/>
      <c r="H224" s="1190"/>
      <c r="I224" s="1190"/>
      <c r="J224" s="1190"/>
      <c r="K224" s="1190"/>
      <c r="L224" s="1190"/>
      <c r="M224" s="1190"/>
      <c r="N224" s="1190"/>
      <c r="O224" s="1223"/>
      <c r="P224" s="1191"/>
    </row>
    <row r="225" spans="1:17" s="1225" customFormat="1" ht="15.95" customHeight="1" x14ac:dyDescent="0.2">
      <c r="B225" s="1189"/>
      <c r="C225" s="1190"/>
      <c r="D225" s="1190"/>
      <c r="E225" s="1190"/>
      <c r="F225" s="1190"/>
      <c r="G225" s="1190"/>
      <c r="H225" s="1190"/>
      <c r="I225" s="1190"/>
      <c r="J225" s="1190"/>
      <c r="K225" s="1190"/>
      <c r="L225" s="1190"/>
      <c r="M225" s="1190"/>
      <c r="N225" s="1190"/>
      <c r="O225" s="1190"/>
      <c r="P225" s="1191"/>
    </row>
    <row r="226" spans="1:17" s="1225" customFormat="1" ht="15.95" customHeight="1" x14ac:dyDescent="0.25">
      <c r="B226" s="1192"/>
      <c r="C226" s="1193" t="s">
        <v>64</v>
      </c>
      <c r="D226" s="1193" t="s">
        <v>1226</v>
      </c>
      <c r="E226" s="1193" t="s">
        <v>172</v>
      </c>
      <c r="F226" s="1193" t="s">
        <v>241</v>
      </c>
      <c r="G226" s="1193" t="s">
        <v>268</v>
      </c>
      <c r="H226" s="1193" t="s">
        <v>269</v>
      </c>
      <c r="I226" s="1193" t="s">
        <v>270</v>
      </c>
      <c r="J226" s="1193" t="s">
        <v>271</v>
      </c>
      <c r="K226" s="1193" t="s">
        <v>272</v>
      </c>
      <c r="L226" s="1193" t="s">
        <v>273</v>
      </c>
      <c r="M226" s="1193" t="s">
        <v>274</v>
      </c>
      <c r="N226" s="1193" t="s">
        <v>275</v>
      </c>
      <c r="O226" s="1224"/>
    </row>
    <row r="227" spans="1:17" s="1225" customFormat="1" ht="15.95" customHeight="1" x14ac:dyDescent="0.25">
      <c r="B227" s="1192"/>
      <c r="C227" s="1194"/>
      <c r="D227" s="1195"/>
      <c r="E227" s="1195"/>
      <c r="F227" s="1226"/>
      <c r="G227" s="1226"/>
      <c r="H227" s="1226"/>
      <c r="I227" s="1226"/>
      <c r="J227" s="1226"/>
      <c r="K227" s="1226"/>
      <c r="L227" s="1226"/>
      <c r="M227" s="1226"/>
      <c r="N227" s="1226"/>
      <c r="O227" s="1224"/>
    </row>
    <row r="228" spans="1:17" s="1225" customFormat="1" ht="15.95" customHeight="1" x14ac:dyDescent="0.25">
      <c r="B228" s="1192"/>
      <c r="C228" s="1194"/>
      <c r="D228" s="1195"/>
      <c r="E228" s="1195"/>
      <c r="F228" s="1226"/>
      <c r="G228" s="1226"/>
      <c r="H228" s="1226"/>
      <c r="I228" s="1226"/>
      <c r="J228" s="1226"/>
      <c r="K228" s="1226"/>
      <c r="L228" s="1226"/>
      <c r="M228" s="1226"/>
      <c r="N228" s="1226"/>
      <c r="O228" s="1224"/>
    </row>
    <row r="229" spans="1:17" s="1225" customFormat="1" ht="15.75" x14ac:dyDescent="0.25">
      <c r="B229" s="1227"/>
      <c r="C229" s="1197"/>
      <c r="D229" s="1197"/>
      <c r="E229" s="1197"/>
      <c r="F229" s="1197"/>
      <c r="G229" s="1197"/>
      <c r="H229" s="1197"/>
      <c r="I229" s="1197"/>
      <c r="J229" s="1197"/>
      <c r="K229" s="1197"/>
      <c r="L229" s="1197"/>
      <c r="M229" s="1197"/>
      <c r="N229" s="1197"/>
      <c r="O229" s="1197"/>
      <c r="P229" s="1435"/>
    </row>
    <row r="230" spans="1:17" s="1225" customFormat="1" x14ac:dyDescent="0.2"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L230" s="38"/>
      <c r="M230" s="38"/>
      <c r="N230" s="38"/>
      <c r="O230" s="38"/>
      <c r="P230" s="1435"/>
    </row>
    <row r="231" spans="1:17" ht="15.75" x14ac:dyDescent="0.2">
      <c r="B231" s="1430" t="s">
        <v>1424</v>
      </c>
      <c r="C231" s="1431"/>
      <c r="D231" s="1431"/>
      <c r="E231" s="1431"/>
      <c r="F231" s="1431"/>
      <c r="G231" s="1431"/>
      <c r="H231" s="1431"/>
      <c r="I231" s="1431"/>
      <c r="J231" s="1431"/>
      <c r="K231" s="1431"/>
      <c r="L231" s="1431"/>
      <c r="M231" s="1431"/>
      <c r="N231" s="1431"/>
      <c r="O231" s="1431"/>
      <c r="P231" s="1435"/>
    </row>
    <row r="232" spans="1:17" s="1466" customFormat="1" x14ac:dyDescent="0.2">
      <c r="B232" s="1433"/>
      <c r="C232" s="1434"/>
      <c r="D232" s="1434"/>
      <c r="E232" s="1434"/>
      <c r="F232" s="1434"/>
      <c r="G232" s="1434"/>
      <c r="H232" s="1434"/>
      <c r="I232" s="1434"/>
      <c r="J232" s="1434"/>
      <c r="K232" s="1434"/>
      <c r="L232" s="1434"/>
      <c r="M232" s="1434"/>
      <c r="N232" s="1434"/>
      <c r="O232" s="1434"/>
      <c r="P232" s="1443"/>
      <c r="Q232" s="588"/>
    </row>
    <row r="233" spans="1:17" s="1466" customFormat="1" x14ac:dyDescent="0.2">
      <c r="A233" s="588"/>
      <c r="B233" s="1433"/>
      <c r="C233" s="1441" t="s">
        <v>1425</v>
      </c>
      <c r="D233" s="1442"/>
      <c r="E233" s="1442"/>
      <c r="F233" s="1442"/>
      <c r="G233" s="1442"/>
      <c r="H233" s="1442"/>
      <c r="I233" s="1442"/>
      <c r="J233" s="1442"/>
      <c r="K233" s="1442"/>
      <c r="L233" s="1442"/>
      <c r="M233" s="1442"/>
      <c r="N233" s="1479" t="str">
        <f>Preferences.moneyunits</f>
        <v>N</v>
      </c>
      <c r="P233" s="1458"/>
      <c r="Q233" s="588"/>
    </row>
    <row r="234" spans="1:17" x14ac:dyDescent="0.2">
      <c r="B234" s="1433"/>
      <c r="C234" s="1434"/>
      <c r="D234" s="1434"/>
      <c r="E234" s="1434"/>
      <c r="F234" s="1434"/>
      <c r="G234" s="1434"/>
      <c r="H234" s="1434"/>
      <c r="I234" s="1434"/>
      <c r="J234" s="1434"/>
      <c r="K234" s="1434"/>
      <c r="L234" s="1434"/>
      <c r="M234" s="1434"/>
      <c r="N234" s="1434"/>
      <c r="O234" s="1434"/>
      <c r="P234" s="1458"/>
    </row>
    <row r="235" spans="1:17" ht="15.95" customHeight="1" x14ac:dyDescent="0.25">
      <c r="B235" s="1436"/>
      <c r="C235" s="1727" t="s">
        <v>64</v>
      </c>
      <c r="D235" s="1727" t="s">
        <v>150</v>
      </c>
      <c r="E235" s="1727" t="s">
        <v>172</v>
      </c>
      <c r="F235" s="1727" t="s">
        <v>241</v>
      </c>
      <c r="G235" s="1727" t="s">
        <v>268</v>
      </c>
      <c r="H235" s="1727" t="s">
        <v>269</v>
      </c>
      <c r="I235" s="1727" t="s">
        <v>270</v>
      </c>
      <c r="J235" s="1727" t="s">
        <v>271</v>
      </c>
      <c r="K235" s="1727" t="s">
        <v>272</v>
      </c>
      <c r="L235" s="1727" t="s">
        <v>273</v>
      </c>
      <c r="M235" s="1727" t="s">
        <v>274</v>
      </c>
      <c r="N235" s="1727" t="s">
        <v>275</v>
      </c>
      <c r="O235" s="1458"/>
    </row>
    <row r="236" spans="1:17" ht="15.95" customHeight="1" x14ac:dyDescent="0.25">
      <c r="B236" s="1436"/>
      <c r="C236" s="1438" t="s">
        <v>1391</v>
      </c>
      <c r="D236" s="1438" t="s">
        <v>1392</v>
      </c>
      <c r="E236" s="1439"/>
      <c r="F236" s="1448">
        <f t="shared" ref="F236:N236" si="48">F174</f>
        <v>0</v>
      </c>
      <c r="G236" s="1448">
        <f t="shared" si="48"/>
        <v>71849874052.659866</v>
      </c>
      <c r="H236" s="1448">
        <f t="shared" si="48"/>
        <v>112943360174.59233</v>
      </c>
      <c r="I236" s="1448">
        <f t="shared" si="48"/>
        <v>161959862459.14093</v>
      </c>
      <c r="J236" s="1448">
        <f t="shared" si="48"/>
        <v>209094549882.93451</v>
      </c>
      <c r="K236" s="1448">
        <f t="shared" si="48"/>
        <v>293605047032.26953</v>
      </c>
      <c r="L236" s="1448">
        <f t="shared" si="48"/>
        <v>343834194323.53583</v>
      </c>
      <c r="M236" s="1448">
        <f t="shared" si="48"/>
        <v>422886000799.61658</v>
      </c>
      <c r="N236" s="1448">
        <f t="shared" si="48"/>
        <v>514668666565.96991</v>
      </c>
      <c r="O236" s="1865"/>
    </row>
    <row r="237" spans="1:17" ht="15.95" customHeight="1" x14ac:dyDescent="0.25">
      <c r="B237" s="1436"/>
      <c r="C237" s="1438" t="s">
        <v>1866</v>
      </c>
      <c r="D237" s="1438" t="s">
        <v>1867</v>
      </c>
      <c r="E237" s="1439"/>
      <c r="F237" s="1448">
        <f>F179</f>
        <v>0</v>
      </c>
      <c r="G237" s="1448">
        <f t="shared" ref="G237:M237" si="49">G179</f>
        <v>35050395992.30365</v>
      </c>
      <c r="H237" s="1448">
        <f t="shared" si="49"/>
        <v>55087673938.71344</v>
      </c>
      <c r="I237" s="1448">
        <f t="shared" si="49"/>
        <v>78981163419.082245</v>
      </c>
      <c r="J237" s="1448">
        <f t="shared" si="49"/>
        <v>101952756546.37553</v>
      </c>
      <c r="K237" s="1448">
        <f t="shared" si="49"/>
        <v>143148136513.75653</v>
      </c>
      <c r="L237" s="1448">
        <f t="shared" si="49"/>
        <v>167623469987.00195</v>
      </c>
      <c r="M237" s="1448">
        <f t="shared" si="49"/>
        <v>206151272913.3559</v>
      </c>
      <c r="N237" s="1448">
        <f>N179</f>
        <v>263767691615.05957</v>
      </c>
      <c r="O237" s="1865"/>
    </row>
    <row r="238" spans="1:17" ht="15.95" customHeight="1" x14ac:dyDescent="0.25">
      <c r="B238" s="1436"/>
      <c r="C238" s="1438" t="s">
        <v>1382</v>
      </c>
      <c r="D238" s="1438" t="s">
        <v>1383</v>
      </c>
      <c r="E238" s="1439"/>
      <c r="F238" s="1448">
        <f t="shared" ref="F238:N238" si="50">F184</f>
        <v>0</v>
      </c>
      <c r="G238" s="1448">
        <f t="shared" si="50"/>
        <v>17962468513.164967</v>
      </c>
      <c r="H238" s="1448">
        <f t="shared" si="50"/>
        <v>28235840043.648083</v>
      </c>
      <c r="I238" s="1448">
        <f t="shared" si="50"/>
        <v>40489965614.785233</v>
      </c>
      <c r="J238" s="1448">
        <f t="shared" si="50"/>
        <v>52273637470.733627</v>
      </c>
      <c r="K238" s="1448">
        <f t="shared" si="50"/>
        <v>73401261758.067383</v>
      </c>
      <c r="L238" s="1448">
        <f t="shared" si="50"/>
        <v>85958548580.883957</v>
      </c>
      <c r="M238" s="1448">
        <f t="shared" si="50"/>
        <v>105721500199.90414</v>
      </c>
      <c r="N238" s="1448">
        <f t="shared" si="50"/>
        <v>128667166641.49248</v>
      </c>
      <c r="O238" s="1865"/>
    </row>
    <row r="239" spans="1:17" ht="14.25" x14ac:dyDescent="0.2">
      <c r="B239" s="1444"/>
      <c r="C239" s="1438"/>
      <c r="D239" s="1439"/>
      <c r="E239" s="1439"/>
      <c r="F239" s="1970"/>
      <c r="G239" s="1970"/>
      <c r="H239" s="1970"/>
      <c r="I239" s="1970"/>
      <c r="J239" s="1970"/>
      <c r="K239" s="1970"/>
      <c r="L239" s="1970"/>
      <c r="M239" s="1970"/>
      <c r="N239" s="1970"/>
      <c r="O239" s="1865"/>
    </row>
    <row r="240" spans="1:17" ht="14.25" x14ac:dyDescent="0.2">
      <c r="B240" s="1957"/>
      <c r="C240" s="1201"/>
      <c r="D240" s="1201"/>
      <c r="E240" s="1201"/>
      <c r="F240" s="1201"/>
      <c r="G240" s="1201"/>
      <c r="H240" s="1201"/>
      <c r="I240" s="1201"/>
      <c r="J240" s="1201"/>
      <c r="K240" s="1201"/>
      <c r="L240" s="1201"/>
      <c r="M240" s="1201"/>
      <c r="N240" s="1201"/>
    </row>
  </sheetData>
  <pageMargins left="0.7" right="0.7" top="0.75" bottom="0.75" header="0.3" footer="0.3"/>
  <pageSetup paperSize="9" orientation="portrait"/>
  <tableParts count="5">
    <tablePart r:id="rId1"/>
    <tablePart r:id="rId2"/>
    <tablePart r:id="rId3"/>
    <tablePart r:id="rId4"/>
    <tablePart r:id="rId5"/>
  </tableParts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 enableFormatConditionsCalculation="0">
    <tabColor theme="9"/>
    <outlinePr summaryBelow="0"/>
    <pageSetUpPr autoPageBreaks="0"/>
  </sheetPr>
  <dimension ref="A1:P210"/>
  <sheetViews>
    <sheetView windowProtection="1" zoomScaleNormal="100" workbookViewId="0"/>
  </sheetViews>
  <sheetFormatPr defaultColWidth="8.7109375" defaultRowHeight="12.75" x14ac:dyDescent="0.2"/>
  <cols>
    <col min="1" max="1" width="7.7109375" style="38" customWidth="1"/>
    <col min="2" max="2" width="5.7109375" style="38" customWidth="1"/>
    <col min="3" max="3" width="20.42578125" style="38" customWidth="1"/>
    <col min="4" max="4" width="30.7109375" style="38" customWidth="1"/>
    <col min="5" max="5" width="20.7109375" style="38" customWidth="1"/>
    <col min="6" max="14" width="17.7109375" style="38" customWidth="1"/>
    <col min="15" max="15" width="10.7109375" style="38" customWidth="1"/>
    <col min="16" max="16384" width="8.7109375" style="38"/>
  </cols>
  <sheetData>
    <row r="1" spans="1:14" ht="21" x14ac:dyDescent="0.35">
      <c r="A1" s="120" t="s">
        <v>230</v>
      </c>
      <c r="B1" s="120" t="str">
        <f>INDEX(Workstreams[Workstream], MATCH($A1, Workstreams[Code], 0))</f>
        <v>Lighting, Appliances &amp; Cooking</v>
      </c>
      <c r="C1" s="120"/>
      <c r="E1" s="1475"/>
    </row>
    <row r="2" spans="1:14" s="84" customFormat="1" ht="19.5" customHeight="1" x14ac:dyDescent="0.2">
      <c r="A2" s="6" t="s">
        <v>393</v>
      </c>
      <c r="B2" s="6" t="str">
        <f>INDEX(Modules[Module], MATCH($A2, Modules[Code], 0))</f>
        <v>Service Sector Lighting, Appliances, and Cooking</v>
      </c>
      <c r="C2" s="6"/>
      <c r="E2" s="1380"/>
    </row>
    <row r="4" spans="1:14" ht="22.5" collapsed="1" x14ac:dyDescent="0.3">
      <c r="A4" s="409"/>
      <c r="B4" s="468" t="s">
        <v>596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</row>
    <row r="5" spans="1:14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</row>
    <row r="6" spans="1:14" ht="5.25" customHeight="1" x14ac:dyDescent="0.2">
      <c r="B6" s="410"/>
      <c r="C6" s="411"/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2"/>
    </row>
    <row r="7" spans="1:14" ht="15.75" x14ac:dyDescent="0.25">
      <c r="B7" s="415"/>
      <c r="C7" s="412"/>
      <c r="D7" s="216" t="s">
        <v>342</v>
      </c>
      <c r="E7" s="216" t="s">
        <v>595</v>
      </c>
      <c r="F7" s="412"/>
      <c r="G7" s="412"/>
      <c r="H7" s="412"/>
      <c r="I7" s="412"/>
      <c r="J7" s="412"/>
      <c r="K7" s="412"/>
      <c r="L7" s="412"/>
      <c r="M7" s="412"/>
      <c r="N7" s="412"/>
    </row>
    <row r="8" spans="1:14" ht="15.75" x14ac:dyDescent="0.25">
      <c r="B8" s="415"/>
      <c r="C8" s="412"/>
      <c r="D8" s="521" t="s">
        <v>594</v>
      </c>
      <c r="E8" s="521">
        <f>X.b.Scenario.Demand</f>
        <v>4</v>
      </c>
      <c r="F8" s="412"/>
      <c r="G8" s="412"/>
      <c r="H8" s="412"/>
      <c r="I8" s="412"/>
      <c r="J8" s="412"/>
      <c r="K8" s="412"/>
      <c r="L8" s="412"/>
      <c r="M8" s="412"/>
      <c r="N8" s="412"/>
    </row>
    <row r="9" spans="1:14" ht="15.75" x14ac:dyDescent="0.25">
      <c r="B9" s="415"/>
      <c r="C9" s="412"/>
      <c r="D9" s="522" t="s">
        <v>800</v>
      </c>
      <c r="E9" s="522">
        <f>MIN(X.b.Scenario.Technology,4)</f>
        <v>4</v>
      </c>
      <c r="F9" s="412"/>
      <c r="G9" s="412"/>
      <c r="H9" s="412"/>
      <c r="I9" s="412"/>
      <c r="J9" s="412"/>
      <c r="K9" s="412"/>
      <c r="L9" s="412"/>
      <c r="M9" s="412"/>
      <c r="N9" s="412"/>
    </row>
    <row r="10" spans="1:14" x14ac:dyDescent="0.2">
      <c r="B10" s="430"/>
      <c r="C10" s="418"/>
      <c r="D10" s="418"/>
      <c r="E10" s="418"/>
      <c r="F10" s="418"/>
      <c r="G10" s="418"/>
      <c r="H10" s="418"/>
      <c r="I10" s="418"/>
      <c r="J10" s="418"/>
      <c r="K10" s="418"/>
      <c r="L10" s="418"/>
      <c r="M10" s="418"/>
      <c r="N10" s="418"/>
    </row>
    <row r="12" spans="1:14" s="84" customFormat="1" ht="22.5" collapsed="1" x14ac:dyDescent="0.2">
      <c r="A12" s="408"/>
      <c r="B12" s="472" t="s">
        <v>597</v>
      </c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/>
      <c r="N12" s="405"/>
    </row>
    <row r="13" spans="1:14" x14ac:dyDescent="0.2">
      <c r="B13" s="395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</row>
    <row r="14" spans="1:14" x14ac:dyDescent="0.2">
      <c r="B14" s="395"/>
      <c r="C14" s="175" t="s">
        <v>2224</v>
      </c>
      <c r="D14" s="173"/>
      <c r="E14" s="490"/>
      <c r="F14" s="173"/>
      <c r="G14" s="173"/>
      <c r="H14" s="173"/>
      <c r="I14" s="173"/>
      <c r="J14" s="173"/>
      <c r="K14" s="173"/>
      <c r="L14" s="173"/>
      <c r="M14" s="173"/>
      <c r="N14" s="490" t="str">
        <f>Preferences.EnergyUnits</f>
        <v>TWh</v>
      </c>
    </row>
    <row r="15" spans="1:14" ht="5.25" customHeight="1" x14ac:dyDescent="0.2">
      <c r="B15" s="395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</row>
    <row r="16" spans="1:14" x14ac:dyDescent="0.2">
      <c r="B16" s="395"/>
      <c r="C16" s="98" t="s">
        <v>595</v>
      </c>
      <c r="D16" s="98" t="s">
        <v>66</v>
      </c>
      <c r="E16" s="98" t="s">
        <v>172</v>
      </c>
      <c r="F16" s="218">
        <v>2010</v>
      </c>
      <c r="G16" s="217">
        <v>2015</v>
      </c>
      <c r="H16" s="217">
        <v>2020</v>
      </c>
      <c r="I16" s="217">
        <v>2025</v>
      </c>
      <c r="J16" s="217">
        <v>2030</v>
      </c>
      <c r="K16" s="217">
        <v>2035</v>
      </c>
      <c r="L16" s="217">
        <v>2040</v>
      </c>
      <c r="M16" s="217">
        <v>2045</v>
      </c>
      <c r="N16" s="217">
        <v>2050</v>
      </c>
    </row>
    <row r="17" spans="2:16" ht="15.75" x14ac:dyDescent="0.25">
      <c r="B17" s="397"/>
      <c r="C17" s="144">
        <v>1</v>
      </c>
      <c r="D17" s="145"/>
      <c r="E17" s="488"/>
      <c r="F17" s="204">
        <f>(Unit.GWyear)*1.15577469748354</f>
        <v>10.131289843201213</v>
      </c>
      <c r="G17" s="506">
        <f>(Unit.GWyear)*2.31154939496709</f>
        <v>20.262579686402514</v>
      </c>
      <c r="H17" s="506">
        <f>(Unit.GWyear)*3.71401460396746</f>
        <v>32.556309215457958</v>
      </c>
      <c r="I17" s="506">
        <f>(Unit.GWyear)*5.63579050729826</f>
        <v>49.402212428875082</v>
      </c>
      <c r="J17" s="506">
        <f>(Unit.GWyear)*7.92880710288119</f>
        <v>69.502337302435919</v>
      </c>
      <c r="K17" s="506">
        <f>(Unit.GWyear)*10.3940043190997</f>
        <v>91.11176306036414</v>
      </c>
      <c r="L17" s="506">
        <f>(Unit.GWyear)*11.234564</f>
        <v>98.479941111199992</v>
      </c>
      <c r="M17" s="506">
        <f>(Unit.GWyear)*12.023486</f>
        <v>105.39547357879998</v>
      </c>
      <c r="N17" s="506">
        <f>(Unit.GWyear)*13.5507182572595</f>
        <v>118.78288609948531</v>
      </c>
    </row>
    <row r="18" spans="2:16" ht="15.75" x14ac:dyDescent="0.25">
      <c r="B18" s="397"/>
      <c r="C18" s="144">
        <v>2</v>
      </c>
      <c r="D18" s="145"/>
      <c r="E18" s="488"/>
      <c r="F18" s="204">
        <f>(Unit.GWyear)*1.15577469748354</f>
        <v>10.131289843201213</v>
      </c>
      <c r="G18" s="506">
        <f>(Unit.GWyear)*1.73366204622531</f>
        <v>15.196934764801821</v>
      </c>
      <c r="H18" s="506">
        <f>(Unit.GWyear)*2.7855109529756</f>
        <v>24.417231911593511</v>
      </c>
      <c r="I18" s="506">
        <f>(Unit.GWyear)*4.22684288047369</f>
        <v>37.051659321656267</v>
      </c>
      <c r="J18" s="506">
        <f>(Unit.GWyear)*5.94660532716089</f>
        <v>52.126752976826921</v>
      </c>
      <c r="K18" s="506">
        <f>(Unit.GWyear)*7.7955032393248</f>
        <v>68.333822295273322</v>
      </c>
      <c r="L18" s="506">
        <f>(Unit.GWyear)*8.425923</f>
        <v>73.859955833399979</v>
      </c>
      <c r="M18" s="506">
        <f>(Unit.GWyear)*9.0176145</f>
        <v>79.046605184099988</v>
      </c>
      <c r="N18" s="506">
        <f>(Unit.GWyear)*10.1630386929447</f>
        <v>89.087164574614633</v>
      </c>
    </row>
    <row r="19" spans="2:16" ht="15.75" x14ac:dyDescent="0.25">
      <c r="B19" s="397"/>
      <c r="C19" s="144">
        <v>3</v>
      </c>
      <c r="D19" s="145"/>
      <c r="E19" s="488"/>
      <c r="F19" s="204">
        <f>(Unit.GWyear)*1.15577469748354</f>
        <v>10.131289843201213</v>
      </c>
      <c r="G19" s="506">
        <f>(Unit.GWyear)*1.345412</f>
        <v>11.793612509599999</v>
      </c>
      <c r="H19" s="506">
        <f>(Unit.GWyear)*1.85700730198373</f>
        <v>16.278154607728979</v>
      </c>
      <c r="I19" s="506">
        <f>(Unit.GWyear)*2.81789525364913</f>
        <v>24.701106214437541</v>
      </c>
      <c r="J19" s="506">
        <f>(Unit.GWyear)*3.96440355144059</f>
        <v>34.751168651217917</v>
      </c>
      <c r="K19" s="506">
        <f>(Unit.GWyear)*5.19700215954987</f>
        <v>45.555881530182241</v>
      </c>
      <c r="L19" s="506">
        <f>(Unit.GWyear)*5.617282</f>
        <v>49.239970555599996</v>
      </c>
      <c r="M19" s="506">
        <f>(Unit.GWyear)*6.011743</f>
        <v>52.69773678939999</v>
      </c>
      <c r="N19" s="506">
        <f>(Unit.GWyear)*6.77535912862977</f>
        <v>59.391443049742826</v>
      </c>
    </row>
    <row r="20" spans="2:16" ht="15.75" x14ac:dyDescent="0.25">
      <c r="B20" s="397"/>
      <c r="C20" s="101">
        <v>4</v>
      </c>
      <c r="D20" s="102"/>
      <c r="E20" s="102"/>
      <c r="F20" s="1937">
        <f>(Unit.GWyear)*1.15577469748354</f>
        <v>10.131289843201213</v>
      </c>
      <c r="G20" s="750">
        <f>(Unit.GWyear)*1.23334556</f>
        <v>10.811260509847999</v>
      </c>
      <c r="H20" s="750">
        <f>(Unit.GWyear)*1.324765</f>
        <v>11.612625036999997</v>
      </c>
      <c r="I20" s="750">
        <f>(Unit.GWyear)*1.40894762682456</f>
        <v>12.350553107218726</v>
      </c>
      <c r="J20" s="750">
        <f>(Unit.GWyear)*1.9822017757203</f>
        <v>17.375584325609005</v>
      </c>
      <c r="K20" s="750">
        <f>(Unit.GWyear)*2.59850107977493</f>
        <v>22.777940765091078</v>
      </c>
      <c r="L20" s="750">
        <f>(Unit.GWyear)*2.808641</f>
        <v>24.619985277799998</v>
      </c>
      <c r="M20" s="750">
        <f>(Unit.GWyear)*3.0058715</f>
        <v>26.348868394699995</v>
      </c>
      <c r="N20" s="750">
        <f>(Unit.GWyear)*3.38767956431488</f>
        <v>29.69572152487137</v>
      </c>
    </row>
    <row r="21" spans="2:16" ht="15.75" x14ac:dyDescent="0.25">
      <c r="B21" s="397"/>
      <c r="C21" s="144"/>
      <c r="D21" s="145"/>
      <c r="E21" s="145"/>
      <c r="F21" s="161"/>
      <c r="G21" s="161"/>
      <c r="H21" s="161"/>
      <c r="I21" s="161"/>
      <c r="J21" s="161"/>
      <c r="K21" s="161"/>
      <c r="L21" s="161"/>
      <c r="M21" s="161"/>
      <c r="N21" s="161"/>
    </row>
    <row r="22" spans="2:16" ht="15.75" x14ac:dyDescent="0.25">
      <c r="B22" s="397"/>
      <c r="C22" s="175" t="s">
        <v>2225</v>
      </c>
      <c r="D22" s="173"/>
      <c r="E22" s="490"/>
      <c r="F22" s="173"/>
      <c r="G22" s="173"/>
      <c r="H22" s="173"/>
      <c r="I22" s="173"/>
      <c r="J22" s="173"/>
      <c r="K22" s="173"/>
      <c r="L22" s="173"/>
      <c r="M22" s="173"/>
      <c r="N22" s="490" t="str">
        <f>Preferences.EnergyUnits</f>
        <v>TWh</v>
      </c>
    </row>
    <row r="23" spans="2:16" ht="5.25" customHeight="1" x14ac:dyDescent="0.25">
      <c r="B23" s="397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</row>
    <row r="24" spans="2:16" ht="15.75" x14ac:dyDescent="0.25">
      <c r="B24" s="397"/>
      <c r="C24" s="98" t="s">
        <v>595</v>
      </c>
      <c r="D24" s="98" t="s">
        <v>66</v>
      </c>
      <c r="E24" s="98" t="s">
        <v>172</v>
      </c>
      <c r="F24" s="218">
        <v>2010</v>
      </c>
      <c r="G24" s="217">
        <v>2015</v>
      </c>
      <c r="H24" s="217">
        <v>2020</v>
      </c>
      <c r="I24" s="217">
        <v>2025</v>
      </c>
      <c r="J24" s="217">
        <v>2030</v>
      </c>
      <c r="K24" s="217">
        <v>2035</v>
      </c>
      <c r="L24" s="217">
        <v>2040</v>
      </c>
      <c r="M24" s="217">
        <v>2045</v>
      </c>
      <c r="N24" s="217">
        <v>2050</v>
      </c>
    </row>
    <row r="25" spans="2:16" ht="15.75" x14ac:dyDescent="0.25">
      <c r="B25" s="397"/>
      <c r="C25" s="144">
        <v>1</v>
      </c>
      <c r="D25" s="145"/>
      <c r="E25" s="488"/>
      <c r="F25" s="204">
        <f>(Unit.GWyear)*2.34251760734817</f>
        <v>20.534040842492583</v>
      </c>
      <c r="G25" s="506">
        <f>(Unit.GWyear)*2.6938952484504</f>
        <v>23.614146968866514</v>
      </c>
      <c r="H25" s="506">
        <f>(Unit.GWyear)*3.04527288955263</f>
        <v>26.694253095240441</v>
      </c>
      <c r="I25" s="506">
        <f>(Unit.GWyear)*3.39665053065485</f>
        <v>29.774359221614279</v>
      </c>
      <c r="J25" s="506">
        <f>(Unit.GWyear)*3.74802817175708</f>
        <v>32.854465347988203</v>
      </c>
      <c r="K25" s="506">
        <f>(Unit.GWyear)*4.09940581285931</f>
        <v>35.93457147436213</v>
      </c>
      <c r="L25" s="506">
        <f>(Unit.GWyear)*4.45078345396153</f>
        <v>39.014677600735972</v>
      </c>
      <c r="M25" s="506">
        <f>(Unit.GWyear)*4.80216109506376</f>
        <v>42.094783727109906</v>
      </c>
      <c r="N25" s="506">
        <f>(Unit.GWyear)*5.15353873616599</f>
        <v>45.174889853483826</v>
      </c>
    </row>
    <row r="26" spans="2:16" ht="15.75" x14ac:dyDescent="0.25">
      <c r="B26" s="397"/>
      <c r="C26" s="144">
        <v>2</v>
      </c>
      <c r="D26" s="145"/>
      <c r="E26" s="488"/>
      <c r="F26" s="204">
        <f>(Unit.GWyear)*2.34251760734817</f>
        <v>20.534040842492583</v>
      </c>
      <c r="G26" s="506">
        <f>(Unit.GWyear)*2.42450572360536</f>
        <v>21.252732271979863</v>
      </c>
      <c r="H26" s="506">
        <f>(Unit.GWyear)*2.74074560059736</f>
        <v>24.024827785716333</v>
      </c>
      <c r="I26" s="506">
        <f>(Unit.GWyear)*3.05698547758937</f>
        <v>26.796923299452896</v>
      </c>
      <c r="J26" s="506">
        <f>(Unit.GWyear)*3.37322535458137</f>
        <v>29.56901881318937</v>
      </c>
      <c r="K26" s="506">
        <f>(Unit.GWyear)*3.68946523157338</f>
        <v>32.341114326925926</v>
      </c>
      <c r="L26" s="506">
        <f>(Unit.GWyear)*4.00570510856538</f>
        <v>35.1132098406624</v>
      </c>
      <c r="M26" s="506">
        <f>(Unit.GWyear)*4.32194498555738</f>
        <v>37.885305354398874</v>
      </c>
      <c r="N26" s="506">
        <f>(Unit.GWyear)*4.63818486254939</f>
        <v>40.65740086813544</v>
      </c>
    </row>
    <row r="27" spans="2:16" ht="15.75" x14ac:dyDescent="0.25">
      <c r="B27" s="397"/>
      <c r="C27" s="144">
        <v>3</v>
      </c>
      <c r="D27" s="145"/>
      <c r="E27" s="488"/>
      <c r="F27" s="204">
        <f>(Unit.GWyear)*2.34251760734817</f>
        <v>20.534040842492583</v>
      </c>
      <c r="G27" s="506">
        <f>(Unit.GWyear)*2.3975548</f>
        <v>21.016485865839996</v>
      </c>
      <c r="H27" s="506">
        <f>(Unit.GWyear)*2.4362183116421</f>
        <v>21.355402476192317</v>
      </c>
      <c r="I27" s="506">
        <f>(Unit.GWyear)*2.71732042452388</f>
        <v>23.819487377291424</v>
      </c>
      <c r="J27" s="506">
        <f>(Unit.GWyear)*2.99842253740566</f>
        <v>26.283572278390533</v>
      </c>
      <c r="K27" s="506">
        <f>(Unit.GWyear)*3.27952465028745</f>
        <v>28.747657179489725</v>
      </c>
      <c r="L27" s="506">
        <f>(Unit.GWyear)*3.56062676316923</f>
        <v>31.211742080588834</v>
      </c>
      <c r="M27" s="506">
        <f>(Unit.GWyear)*3.84172887605101</f>
        <v>33.675826981687941</v>
      </c>
      <c r="N27" s="506">
        <f>(Unit.GWyear)*4.12283098893279</f>
        <v>36.139911882787047</v>
      </c>
    </row>
    <row r="28" spans="2:16" ht="15.75" x14ac:dyDescent="0.25">
      <c r="B28" s="397"/>
      <c r="C28" s="101">
        <v>4</v>
      </c>
      <c r="D28" s="102"/>
      <c r="E28" s="102"/>
      <c r="F28" s="1937">
        <f>(Unit.GWyear)*2.34251760734817</f>
        <v>20.534040842492583</v>
      </c>
      <c r="G28" s="750">
        <f>(Unit.GWyear)*2.374437</f>
        <v>20.813839854599998</v>
      </c>
      <c r="H28" s="750">
        <f>(Unit.GWyear)*2.4678645</f>
        <v>21.6328066341</v>
      </c>
      <c r="I28" s="750">
        <f>(Unit.GWyear)*2.567789</f>
        <v>22.508724816199997</v>
      </c>
      <c r="J28" s="750">
        <f>(Unit.GWyear)*2.62361972022996</f>
        <v>22.998125743591778</v>
      </c>
      <c r="K28" s="750">
        <f>(Unit.GWyear)*2.86958406900151</f>
        <v>25.154200032053431</v>
      </c>
      <c r="L28" s="750">
        <f>(Unit.GWyear)*3.11554841777307</f>
        <v>27.310274320515173</v>
      </c>
      <c r="M28" s="750">
        <f>(Unit.GWyear)*3.36151276654463</f>
        <v>29.466348608976912</v>
      </c>
      <c r="N28" s="750">
        <f>(Unit.GWyear)*3.60747711531619</f>
        <v>31.622422897438657</v>
      </c>
    </row>
    <row r="29" spans="2:16" ht="15.75" x14ac:dyDescent="0.25">
      <c r="B29" s="397"/>
      <c r="C29" s="144"/>
      <c r="D29" s="145"/>
      <c r="E29" s="145"/>
      <c r="F29" s="161"/>
      <c r="G29" s="161"/>
      <c r="H29" s="161"/>
      <c r="I29" s="161"/>
      <c r="J29" s="161"/>
      <c r="K29" s="161"/>
      <c r="L29" s="161"/>
      <c r="M29" s="161"/>
      <c r="N29" s="161"/>
    </row>
    <row r="30" spans="2:16" ht="15.75" x14ac:dyDescent="0.25">
      <c r="B30" s="397"/>
      <c r="C30" s="178" t="s">
        <v>2200</v>
      </c>
      <c r="D30" s="145"/>
      <c r="E30" s="145"/>
      <c r="F30" s="160"/>
      <c r="G30" s="161"/>
      <c r="H30" s="161"/>
      <c r="I30" s="161"/>
      <c r="J30" s="161"/>
      <c r="K30" s="161"/>
      <c r="L30" s="161"/>
      <c r="M30" s="161"/>
      <c r="N30" s="161"/>
    </row>
    <row r="31" spans="2:16" ht="22.5" x14ac:dyDescent="0.25">
      <c r="B31" s="397"/>
      <c r="C31" s="144"/>
      <c r="D31" s="145"/>
      <c r="E31" s="145"/>
      <c r="F31" s="160"/>
      <c r="G31" s="182" t="str">
        <f>INDEX(Vectors[Description], MATCH(G32, Vectors[Code], 0))</f>
        <v>Electricity (delivered to end user)</v>
      </c>
      <c r="H31" s="182" t="str">
        <f>INDEX(Vectors[Description], MATCH(H32, Vectors[Code], 0))</f>
        <v>Liquid hydrocarbons</v>
      </c>
      <c r="I31" s="182" t="str">
        <f>INDEX(Vectors[Description], MATCH(I32, Vectors[Code], 0))</f>
        <v>Gaseous hydrocarbons</v>
      </c>
      <c r="J31" s="182" t="str">
        <f>INDEX(Vectors[Description], MATCH(J32, Vectors[Code], 0))</f>
        <v>Traditional Fuel</v>
      </c>
      <c r="K31" s="161"/>
      <c r="L31" s="161"/>
      <c r="M31" s="161"/>
      <c r="N31" s="161"/>
    </row>
    <row r="32" spans="2:16" ht="15.75" x14ac:dyDescent="0.25">
      <c r="B32" s="397"/>
      <c r="C32" s="98" t="s">
        <v>595</v>
      </c>
      <c r="D32" s="98" t="s">
        <v>65</v>
      </c>
      <c r="E32" s="98" t="s">
        <v>172</v>
      </c>
      <c r="F32" s="573" t="s">
        <v>804</v>
      </c>
      <c r="G32" s="528" t="s">
        <v>34</v>
      </c>
      <c r="H32" s="528" t="s">
        <v>38</v>
      </c>
      <c r="I32" s="528" t="s">
        <v>39</v>
      </c>
      <c r="J32" s="528" t="s">
        <v>2184</v>
      </c>
      <c r="K32" s="161"/>
      <c r="L32" s="161"/>
      <c r="M32" s="161"/>
      <c r="N32" s="161"/>
      <c r="O32" s="161"/>
      <c r="P32" s="396"/>
    </row>
    <row r="33" spans="1:16" ht="15.75" x14ac:dyDescent="0.25">
      <c r="B33" s="397"/>
      <c r="C33" s="144">
        <v>1</v>
      </c>
      <c r="D33" s="145" t="s">
        <v>2196</v>
      </c>
      <c r="E33" s="488"/>
      <c r="F33" s="763"/>
      <c r="G33" s="174">
        <v>0.03</v>
      </c>
      <c r="H33" s="174">
        <v>0.12</v>
      </c>
      <c r="I33" s="174">
        <v>0.05</v>
      </c>
      <c r="J33" s="174">
        <v>0.8</v>
      </c>
      <c r="K33" s="161"/>
      <c r="L33" s="161"/>
      <c r="M33" s="161"/>
      <c r="N33" s="161"/>
      <c r="O33" s="161"/>
      <c r="P33" s="396"/>
    </row>
    <row r="34" spans="1:16" s="2370" customFormat="1" ht="15.75" x14ac:dyDescent="0.25">
      <c r="B34" s="397"/>
      <c r="C34" s="1414">
        <v>2</v>
      </c>
      <c r="D34" s="1415" t="s">
        <v>2197</v>
      </c>
      <c r="E34" s="488"/>
      <c r="F34" s="763"/>
      <c r="G34" s="174">
        <v>0.1</v>
      </c>
      <c r="H34" s="174">
        <v>0.16</v>
      </c>
      <c r="I34" s="174">
        <v>0.18</v>
      </c>
      <c r="J34" s="174">
        <v>0.55999999999999994</v>
      </c>
      <c r="K34" s="161"/>
      <c r="L34" s="161"/>
      <c r="M34" s="161"/>
      <c r="N34" s="161"/>
      <c r="O34" s="161"/>
      <c r="P34" s="1420"/>
    </row>
    <row r="35" spans="1:16" s="2370" customFormat="1" ht="15.75" x14ac:dyDescent="0.25">
      <c r="B35" s="397"/>
      <c r="C35" s="1414">
        <v>3</v>
      </c>
      <c r="D35" s="1415" t="s">
        <v>2198</v>
      </c>
      <c r="E35" s="488"/>
      <c r="F35" s="763"/>
      <c r="G35" s="174">
        <v>0.15</v>
      </c>
      <c r="H35" s="174">
        <v>0.2</v>
      </c>
      <c r="I35" s="174">
        <v>0.25</v>
      </c>
      <c r="J35" s="174">
        <v>0.4</v>
      </c>
      <c r="K35" s="161"/>
      <c r="L35" s="161"/>
      <c r="M35" s="161"/>
      <c r="N35" s="161"/>
      <c r="O35" s="161"/>
      <c r="P35" s="1420"/>
    </row>
    <row r="36" spans="1:16" ht="15.75" x14ac:dyDescent="0.25">
      <c r="B36" s="397"/>
      <c r="C36" s="199">
        <v>4</v>
      </c>
      <c r="D36" s="200" t="s">
        <v>2199</v>
      </c>
      <c r="E36" s="200"/>
      <c r="F36" s="764"/>
      <c r="G36" s="210">
        <v>0.2</v>
      </c>
      <c r="H36" s="210">
        <v>0.24</v>
      </c>
      <c r="I36" s="210">
        <v>0.4</v>
      </c>
      <c r="J36" s="210">
        <v>0.16000000000000003</v>
      </c>
      <c r="K36" s="161"/>
      <c r="L36" s="161"/>
      <c r="M36" s="161"/>
      <c r="N36" s="161"/>
      <c r="O36" s="161"/>
      <c r="P36" s="396"/>
    </row>
    <row r="37" spans="1:16" ht="15.75" x14ac:dyDescent="0.25">
      <c r="B37" s="397"/>
      <c r="C37" s="144"/>
      <c r="D37" s="145"/>
      <c r="E37" s="145"/>
      <c r="F37" s="160"/>
      <c r="G37" s="161"/>
      <c r="H37" s="161"/>
      <c r="I37" s="161"/>
      <c r="J37" s="161"/>
      <c r="K37" s="161"/>
      <c r="L37" s="161"/>
      <c r="M37" s="161"/>
      <c r="N37" s="161"/>
    </row>
    <row r="38" spans="1:16" ht="15.75" x14ac:dyDescent="0.25">
      <c r="B38" s="397"/>
      <c r="C38" s="144"/>
      <c r="D38" s="145"/>
      <c r="E38" s="145"/>
      <c r="F38" s="160"/>
      <c r="G38" s="161"/>
      <c r="H38" s="161"/>
      <c r="I38" s="161"/>
      <c r="J38" s="161"/>
      <c r="K38" s="161"/>
      <c r="L38" s="161"/>
      <c r="M38" s="161"/>
      <c r="N38" s="161"/>
    </row>
    <row r="39" spans="1:16" x14ac:dyDescent="0.2">
      <c r="B39" s="401"/>
      <c r="C39" s="464" t="s">
        <v>266</v>
      </c>
      <c r="D39" s="177" t="s">
        <v>359</v>
      </c>
      <c r="E39" s="173"/>
      <c r="F39" s="173"/>
      <c r="G39" s="173"/>
      <c r="H39" s="173"/>
      <c r="I39" s="173"/>
      <c r="J39" s="173"/>
      <c r="K39" s="173"/>
      <c r="L39" s="173"/>
      <c r="M39" s="173"/>
      <c r="N39" s="173"/>
    </row>
    <row r="40" spans="1:16" ht="15.75" x14ac:dyDescent="0.25">
      <c r="B40" s="431"/>
      <c r="C40" s="432"/>
      <c r="D40" s="433"/>
      <c r="E40" s="433"/>
      <c r="F40" s="434"/>
      <c r="G40" s="435"/>
      <c r="H40" s="435"/>
      <c r="I40" s="435"/>
      <c r="J40" s="435"/>
      <c r="K40" s="435"/>
      <c r="L40" s="435"/>
      <c r="M40" s="435"/>
      <c r="N40" s="435"/>
    </row>
    <row r="42" spans="1:16" s="84" customFormat="1" ht="22.5" collapsed="1" x14ac:dyDescent="0.2">
      <c r="A42" s="408"/>
      <c r="B42" s="472" t="s">
        <v>315</v>
      </c>
      <c r="C42" s="405"/>
      <c r="D42" s="405"/>
      <c r="E42" s="405"/>
      <c r="F42" s="405"/>
      <c r="G42" s="405"/>
      <c r="H42" s="405"/>
      <c r="I42" s="405"/>
      <c r="J42" s="405"/>
      <c r="K42" s="405"/>
      <c r="L42" s="405"/>
      <c r="M42" s="405"/>
      <c r="N42" s="405"/>
    </row>
    <row r="43" spans="1:16" x14ac:dyDescent="0.2">
      <c r="B43" s="395"/>
      <c r="C43" s="173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</row>
    <row r="44" spans="1:16" s="1616" customFormat="1" x14ac:dyDescent="0.2">
      <c r="B44" s="1419"/>
      <c r="C44" s="1417" t="s">
        <v>1796</v>
      </c>
      <c r="D44" s="1416"/>
      <c r="E44" s="1416"/>
      <c r="F44" s="1416"/>
      <c r="G44" s="1416"/>
      <c r="H44" s="1416"/>
      <c r="I44" s="1416"/>
      <c r="J44" s="1416"/>
      <c r="K44" s="1416"/>
      <c r="L44" s="1416"/>
      <c r="M44" s="1416"/>
      <c r="N44" s="1255" t="str">
        <f>"kt per "&amp;Preferences.EnergyUnits</f>
        <v>kt per TWh</v>
      </c>
    </row>
    <row r="45" spans="1:16" s="1616" customFormat="1" ht="5.25" customHeight="1" x14ac:dyDescent="0.2">
      <c r="B45" s="1419"/>
      <c r="C45" s="1416"/>
      <c r="D45" s="1416"/>
      <c r="E45" s="713"/>
      <c r="F45" s="1416"/>
      <c r="G45" s="1416"/>
      <c r="H45" s="1416"/>
      <c r="I45" s="1416"/>
      <c r="J45" s="1416"/>
      <c r="K45" s="1416"/>
      <c r="L45" s="1416"/>
      <c r="M45" s="1416"/>
      <c r="N45" s="1416"/>
    </row>
    <row r="46" spans="1:16" s="1616" customFormat="1" x14ac:dyDescent="0.2">
      <c r="B46" s="1419"/>
      <c r="C46" s="1803" t="s">
        <v>69</v>
      </c>
      <c r="D46" s="1803" t="s">
        <v>592</v>
      </c>
      <c r="E46" s="1629" t="s">
        <v>343</v>
      </c>
      <c r="F46" s="1804" t="s">
        <v>241</v>
      </c>
      <c r="G46" s="1804" t="s">
        <v>268</v>
      </c>
      <c r="H46" s="1804" t="s">
        <v>269</v>
      </c>
      <c r="I46" s="1804" t="s">
        <v>270</v>
      </c>
      <c r="J46" s="1804" t="s">
        <v>271</v>
      </c>
      <c r="K46" s="1804" t="s">
        <v>272</v>
      </c>
      <c r="L46" s="1804" t="s">
        <v>273</v>
      </c>
      <c r="M46" s="1804" t="s">
        <v>274</v>
      </c>
      <c r="N46" s="1630" t="s">
        <v>275</v>
      </c>
    </row>
    <row r="47" spans="1:16" s="1616" customFormat="1" x14ac:dyDescent="0.2">
      <c r="B47" s="1419"/>
      <c r="C47" s="1805" t="s">
        <v>393</v>
      </c>
      <c r="D47" s="1806" t="s">
        <v>1908</v>
      </c>
      <c r="E47" s="1807" t="s">
        <v>197</v>
      </c>
      <c r="F47" s="1808">
        <f t="shared" ref="F47:N47" si="0">0.0000018*(1/Unit.GWh)</f>
        <v>1.8E-3</v>
      </c>
      <c r="G47" s="1808">
        <f t="shared" si="0"/>
        <v>1.8E-3</v>
      </c>
      <c r="H47" s="1808">
        <f t="shared" si="0"/>
        <v>1.8E-3</v>
      </c>
      <c r="I47" s="1808">
        <f t="shared" si="0"/>
        <v>1.8E-3</v>
      </c>
      <c r="J47" s="1808">
        <f t="shared" si="0"/>
        <v>1.8E-3</v>
      </c>
      <c r="K47" s="1808">
        <f t="shared" si="0"/>
        <v>1.8E-3</v>
      </c>
      <c r="L47" s="1808">
        <f t="shared" si="0"/>
        <v>1.8E-3</v>
      </c>
      <c r="M47" s="1808">
        <f t="shared" si="0"/>
        <v>1.8E-3</v>
      </c>
      <c r="N47" s="988">
        <f t="shared" si="0"/>
        <v>1.8E-3</v>
      </c>
    </row>
    <row r="48" spans="1:16" s="1616" customFormat="1" x14ac:dyDescent="0.2">
      <c r="B48" s="1419"/>
      <c r="C48" s="1416"/>
      <c r="D48" s="1416"/>
      <c r="E48" s="1416"/>
      <c r="F48" s="1416"/>
      <c r="G48" s="1416"/>
      <c r="H48" s="1416"/>
      <c r="I48" s="1416"/>
      <c r="J48" s="1416"/>
      <c r="K48" s="1416"/>
      <c r="L48" s="1416"/>
      <c r="M48" s="1416"/>
      <c r="N48" s="1416"/>
    </row>
    <row r="49" spans="2:14" s="1616" customFormat="1" x14ac:dyDescent="0.2">
      <c r="B49" s="1419"/>
      <c r="C49" s="1417" t="s">
        <v>1797</v>
      </c>
      <c r="D49" s="1416"/>
      <c r="E49" s="1416"/>
      <c r="F49" s="1416"/>
      <c r="G49" s="1416"/>
      <c r="H49" s="1416"/>
      <c r="I49" s="1416"/>
      <c r="J49" s="1416"/>
      <c r="K49" s="1416"/>
      <c r="L49" s="1416"/>
      <c r="M49" s="1416"/>
      <c r="N49" s="1255" t="str">
        <f>"kt per "&amp;Preferences.EnergyUnits</f>
        <v>kt per TWh</v>
      </c>
    </row>
    <row r="50" spans="2:14" s="1616" customFormat="1" ht="5.25" customHeight="1" x14ac:dyDescent="0.2">
      <c r="B50" s="1419"/>
      <c r="C50" s="1416"/>
      <c r="D50" s="1416"/>
      <c r="E50" s="713"/>
      <c r="F50" s="1416"/>
      <c r="G50" s="1416"/>
      <c r="H50" s="1416"/>
      <c r="I50" s="1416"/>
      <c r="J50" s="1416"/>
      <c r="K50" s="1416"/>
      <c r="L50" s="1416"/>
      <c r="M50" s="1416"/>
      <c r="N50" s="1416"/>
    </row>
    <row r="51" spans="2:14" s="1616" customFormat="1" x14ac:dyDescent="0.2">
      <c r="B51" s="1419"/>
      <c r="C51" s="1803" t="s">
        <v>69</v>
      </c>
      <c r="D51" s="1803" t="s">
        <v>592</v>
      </c>
      <c r="E51" s="1629" t="s">
        <v>343</v>
      </c>
      <c r="F51" s="1804" t="s">
        <v>241</v>
      </c>
      <c r="G51" s="1804" t="s">
        <v>268</v>
      </c>
      <c r="H51" s="1804" t="s">
        <v>269</v>
      </c>
      <c r="I51" s="1804" t="s">
        <v>270</v>
      </c>
      <c r="J51" s="1804" t="s">
        <v>271</v>
      </c>
      <c r="K51" s="1804" t="s">
        <v>272</v>
      </c>
      <c r="L51" s="1804" t="s">
        <v>273</v>
      </c>
      <c r="M51" s="1804" t="s">
        <v>274</v>
      </c>
      <c r="N51" s="1630" t="s">
        <v>275</v>
      </c>
    </row>
    <row r="52" spans="2:14" s="1616" customFormat="1" x14ac:dyDescent="0.2">
      <c r="B52" s="1419"/>
      <c r="C52" s="1805" t="s">
        <v>393</v>
      </c>
      <c r="D52" s="1806" t="s">
        <v>1908</v>
      </c>
      <c r="E52" s="1807" t="s">
        <v>197</v>
      </c>
      <c r="F52" s="1808">
        <f t="shared" ref="F52:N52" si="1">0.000252*(1/Unit.GWh)</f>
        <v>0.252</v>
      </c>
      <c r="G52" s="1808">
        <f t="shared" si="1"/>
        <v>0.252</v>
      </c>
      <c r="H52" s="1808">
        <f t="shared" si="1"/>
        <v>0.252</v>
      </c>
      <c r="I52" s="1808">
        <f t="shared" si="1"/>
        <v>0.252</v>
      </c>
      <c r="J52" s="1808">
        <f t="shared" si="1"/>
        <v>0.252</v>
      </c>
      <c r="K52" s="1808">
        <f t="shared" si="1"/>
        <v>0.252</v>
      </c>
      <c r="L52" s="1808">
        <f t="shared" si="1"/>
        <v>0.252</v>
      </c>
      <c r="M52" s="1808">
        <f t="shared" si="1"/>
        <v>0.252</v>
      </c>
      <c r="N52" s="988">
        <f t="shared" si="1"/>
        <v>0.252</v>
      </c>
    </row>
    <row r="53" spans="2:14" s="1616" customFormat="1" x14ac:dyDescent="0.2">
      <c r="B53" s="1419"/>
      <c r="C53" s="1416"/>
      <c r="D53" s="1416"/>
      <c r="E53" s="1416"/>
      <c r="F53" s="1416"/>
      <c r="G53" s="1416"/>
      <c r="H53" s="1416"/>
      <c r="I53" s="1416"/>
      <c r="J53" s="1416"/>
      <c r="K53" s="1416"/>
      <c r="L53" s="1416"/>
      <c r="M53" s="1416"/>
      <c r="N53" s="1416"/>
    </row>
    <row r="54" spans="2:14" s="1616" customFormat="1" x14ac:dyDescent="0.2">
      <c r="B54" s="1419"/>
      <c r="C54" s="1417" t="s">
        <v>1798</v>
      </c>
      <c r="D54" s="1416"/>
      <c r="E54" s="1416"/>
      <c r="F54" s="1416"/>
      <c r="G54" s="1416"/>
      <c r="H54" s="1416"/>
      <c r="I54" s="1416"/>
      <c r="J54" s="1416"/>
      <c r="K54" s="1416"/>
      <c r="L54" s="1416"/>
      <c r="M54" s="1416"/>
      <c r="N54" s="1255" t="str">
        <f>"kt per "&amp;Preferences.EnergyUnits</f>
        <v>kt per TWh</v>
      </c>
    </row>
    <row r="55" spans="2:14" s="1616" customFormat="1" ht="5.25" customHeight="1" x14ac:dyDescent="0.2">
      <c r="B55" s="1419"/>
      <c r="C55" s="1416"/>
      <c r="D55" s="1416"/>
      <c r="E55" s="713"/>
      <c r="F55" s="1416"/>
      <c r="G55" s="1416"/>
      <c r="H55" s="1416"/>
      <c r="I55" s="1416"/>
      <c r="J55" s="1416"/>
      <c r="K55" s="1416"/>
      <c r="L55" s="1416"/>
      <c r="M55" s="1416"/>
      <c r="N55" s="1416"/>
    </row>
    <row r="56" spans="2:14" s="1616" customFormat="1" x14ac:dyDescent="0.2">
      <c r="B56" s="1419"/>
      <c r="C56" s="1803" t="s">
        <v>69</v>
      </c>
      <c r="D56" s="1803" t="s">
        <v>592</v>
      </c>
      <c r="E56" s="1629" t="s">
        <v>343</v>
      </c>
      <c r="F56" s="1804" t="s">
        <v>241</v>
      </c>
      <c r="G56" s="1804" t="s">
        <v>268</v>
      </c>
      <c r="H56" s="1804" t="s">
        <v>269</v>
      </c>
      <c r="I56" s="1804" t="s">
        <v>270</v>
      </c>
      <c r="J56" s="1804" t="s">
        <v>271</v>
      </c>
      <c r="K56" s="1804" t="s">
        <v>272</v>
      </c>
      <c r="L56" s="1804" t="s">
        <v>273</v>
      </c>
      <c r="M56" s="1804" t="s">
        <v>274</v>
      </c>
      <c r="N56" s="1630" t="s">
        <v>275</v>
      </c>
    </row>
    <row r="57" spans="2:14" s="1616" customFormat="1" x14ac:dyDescent="0.2">
      <c r="B57" s="1419"/>
      <c r="C57" s="1805" t="s">
        <v>393</v>
      </c>
      <c r="D57" s="1806" t="s">
        <v>1908</v>
      </c>
      <c r="E57" s="1807" t="s">
        <v>197</v>
      </c>
      <c r="F57" s="1808">
        <v>0</v>
      </c>
      <c r="G57" s="1808">
        <v>0</v>
      </c>
      <c r="H57" s="1808">
        <v>0</v>
      </c>
      <c r="I57" s="1808">
        <v>0</v>
      </c>
      <c r="J57" s="1808">
        <v>0</v>
      </c>
      <c r="K57" s="1808">
        <v>0</v>
      </c>
      <c r="L57" s="1808">
        <v>0</v>
      </c>
      <c r="M57" s="1808">
        <v>0</v>
      </c>
      <c r="N57" s="988">
        <v>0</v>
      </c>
    </row>
    <row r="58" spans="2:14" s="1616" customFormat="1" x14ac:dyDescent="0.2">
      <c r="B58" s="1419"/>
      <c r="C58" s="1416"/>
      <c r="D58" s="1416"/>
      <c r="E58" s="1416"/>
      <c r="F58" s="1416"/>
      <c r="G58" s="1416"/>
      <c r="H58" s="1416"/>
      <c r="I58" s="1416"/>
      <c r="J58" s="1416"/>
      <c r="K58" s="1416"/>
      <c r="L58" s="1416"/>
      <c r="M58" s="1416"/>
      <c r="N58" s="1416"/>
    </row>
    <row r="59" spans="2:14" s="1616" customFormat="1" x14ac:dyDescent="0.2">
      <c r="B59" s="1419"/>
      <c r="C59" s="1417" t="s">
        <v>1800</v>
      </c>
      <c r="D59" s="1416"/>
      <c r="E59" s="1416"/>
      <c r="F59" s="1416"/>
      <c r="G59" s="1416"/>
      <c r="H59" s="1416"/>
      <c r="I59" s="1416"/>
      <c r="J59" s="1416"/>
      <c r="K59" s="1416"/>
      <c r="L59" s="1416"/>
      <c r="M59" s="1416"/>
      <c r="N59" s="1255" t="str">
        <f>"kt per "&amp;Preferences.EnergyUnits</f>
        <v>kt per TWh</v>
      </c>
    </row>
    <row r="60" spans="2:14" s="1616" customFormat="1" ht="5.25" customHeight="1" x14ac:dyDescent="0.2">
      <c r="B60" s="1419"/>
      <c r="C60" s="1416"/>
      <c r="D60" s="1416"/>
      <c r="E60" s="713"/>
      <c r="F60" s="1416"/>
      <c r="G60" s="1416"/>
      <c r="H60" s="1416"/>
      <c r="I60" s="1416"/>
      <c r="J60" s="1416"/>
      <c r="K60" s="1416"/>
      <c r="L60" s="1416"/>
      <c r="M60" s="1416"/>
      <c r="N60" s="1416"/>
    </row>
    <row r="61" spans="2:14" s="1616" customFormat="1" x14ac:dyDescent="0.2">
      <c r="B61" s="1419"/>
      <c r="C61" s="1803" t="s">
        <v>69</v>
      </c>
      <c r="D61" s="1803" t="s">
        <v>592</v>
      </c>
      <c r="E61" s="1629" t="s">
        <v>343</v>
      </c>
      <c r="F61" s="1804" t="s">
        <v>241</v>
      </c>
      <c r="G61" s="1804" t="s">
        <v>268</v>
      </c>
      <c r="H61" s="1804" t="s">
        <v>269</v>
      </c>
      <c r="I61" s="1804" t="s">
        <v>270</v>
      </c>
      <c r="J61" s="1804" t="s">
        <v>271</v>
      </c>
      <c r="K61" s="1804" t="s">
        <v>272</v>
      </c>
      <c r="L61" s="1804" t="s">
        <v>273</v>
      </c>
      <c r="M61" s="1804" t="s">
        <v>274</v>
      </c>
      <c r="N61" s="1630" t="s">
        <v>275</v>
      </c>
    </row>
    <row r="62" spans="2:14" s="1616" customFormat="1" x14ac:dyDescent="0.2">
      <c r="B62" s="1419"/>
      <c r="C62" s="1805" t="s">
        <v>393</v>
      </c>
      <c r="D62" s="1806" t="s">
        <v>1908</v>
      </c>
      <c r="E62" s="1807" t="s">
        <v>197</v>
      </c>
      <c r="F62" s="1808">
        <f t="shared" ref="F62:N62" si="2">0.000036*(1/Unit.GWh)</f>
        <v>3.6000000000000004E-2</v>
      </c>
      <c r="G62" s="1808">
        <f t="shared" si="2"/>
        <v>3.6000000000000004E-2</v>
      </c>
      <c r="H62" s="1808">
        <f t="shared" si="2"/>
        <v>3.6000000000000004E-2</v>
      </c>
      <c r="I62" s="1808">
        <f t="shared" si="2"/>
        <v>3.6000000000000004E-2</v>
      </c>
      <c r="J62" s="1808">
        <f t="shared" si="2"/>
        <v>3.6000000000000004E-2</v>
      </c>
      <c r="K62" s="1808">
        <f t="shared" si="2"/>
        <v>3.6000000000000004E-2</v>
      </c>
      <c r="L62" s="1808">
        <f t="shared" si="2"/>
        <v>3.6000000000000004E-2</v>
      </c>
      <c r="M62" s="1808">
        <f t="shared" si="2"/>
        <v>3.6000000000000004E-2</v>
      </c>
      <c r="N62" s="988">
        <f t="shared" si="2"/>
        <v>3.6000000000000004E-2</v>
      </c>
    </row>
    <row r="63" spans="2:14" x14ac:dyDescent="0.2">
      <c r="B63" s="395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</row>
    <row r="64" spans="2:14" x14ac:dyDescent="0.2">
      <c r="B64" s="395"/>
      <c r="C64" s="173" t="s">
        <v>266</v>
      </c>
      <c r="D64" s="173" t="s">
        <v>815</v>
      </c>
      <c r="E64" s="173"/>
      <c r="F64" s="173"/>
      <c r="G64" s="173"/>
      <c r="H64" s="173"/>
      <c r="I64" s="173"/>
      <c r="J64" s="173"/>
      <c r="K64" s="173"/>
      <c r="L64" s="173"/>
      <c r="M64" s="173"/>
      <c r="N64" s="173"/>
    </row>
    <row r="65" spans="1:15" s="81" customFormat="1" x14ac:dyDescent="0.2">
      <c r="B65" s="494"/>
      <c r="C65" s="495"/>
      <c r="D65" s="461"/>
      <c r="E65" s="496"/>
      <c r="F65" s="496"/>
      <c r="G65" s="496"/>
      <c r="H65" s="496"/>
      <c r="I65" s="496"/>
      <c r="J65" s="496"/>
      <c r="K65" s="496"/>
      <c r="L65" s="496"/>
      <c r="M65" s="496"/>
      <c r="N65" s="496"/>
    </row>
    <row r="66" spans="1:15" s="1411" customFormat="1" ht="10.5" x14ac:dyDescent="0.15"/>
    <row r="67" spans="1:15" s="1411" customFormat="1" ht="26.25" customHeight="1" x14ac:dyDescent="0.2">
      <c r="B67" s="1423" t="s">
        <v>1417</v>
      </c>
      <c r="C67" s="1424"/>
      <c r="D67" s="1424"/>
      <c r="E67" s="1424"/>
      <c r="F67" s="1424"/>
      <c r="G67" s="1424"/>
      <c r="H67" s="1424"/>
      <c r="I67" s="1424"/>
      <c r="J67" s="1424"/>
      <c r="K67" s="1424"/>
      <c r="L67" s="1424"/>
      <c r="M67" s="1424"/>
      <c r="N67" s="1424"/>
    </row>
    <row r="68" spans="1:15" s="1467" customFormat="1" ht="12" customHeight="1" x14ac:dyDescent="0.2">
      <c r="A68" s="1411"/>
      <c r="B68" s="1419"/>
      <c r="C68" s="1416"/>
      <c r="D68" s="1416"/>
      <c r="E68" s="1416"/>
      <c r="F68" s="1416"/>
      <c r="G68" s="1416"/>
      <c r="H68" s="1416"/>
      <c r="I68" s="1416"/>
      <c r="J68" s="1416"/>
      <c r="K68" s="1416"/>
      <c r="L68" s="1416"/>
      <c r="M68" s="1416"/>
      <c r="N68" s="1416"/>
      <c r="O68" s="1411"/>
    </row>
    <row r="69" spans="1:15" s="1467" customFormat="1" ht="12" customHeight="1" x14ac:dyDescent="0.2">
      <c r="A69" s="1411"/>
      <c r="B69" s="1419"/>
      <c r="C69" s="1417" t="str">
        <f>Preferences.moneyunits&amp;" Cost of demand reduction packages/"&amp;Preferences.EnergyUnits</f>
        <v>N Cost of demand reduction packages/TWh</v>
      </c>
      <c r="D69" s="1416"/>
      <c r="E69" s="176"/>
      <c r="F69" s="1416"/>
      <c r="G69" s="1416"/>
      <c r="H69" s="1416"/>
      <c r="I69" s="1416"/>
      <c r="J69" s="1416"/>
      <c r="K69" s="1416"/>
      <c r="L69" s="1416"/>
      <c r="M69" s="1416"/>
      <c r="N69" s="1416"/>
      <c r="O69" s="1411"/>
    </row>
    <row r="70" spans="1:15" s="1467" customFormat="1" ht="12" customHeight="1" x14ac:dyDescent="0.2">
      <c r="B70" s="1419"/>
      <c r="C70" s="1417"/>
      <c r="D70" s="1416"/>
      <c r="E70" s="176"/>
      <c r="F70" s="1416"/>
      <c r="G70" s="1416"/>
      <c r="H70" s="1416"/>
      <c r="I70" s="1416"/>
      <c r="J70" s="1416"/>
      <c r="K70" s="1416"/>
      <c r="L70" s="1416"/>
      <c r="M70" s="1416"/>
      <c r="N70" s="1416"/>
    </row>
    <row r="71" spans="1:15" s="1467" customFormat="1" ht="12" customHeight="1" x14ac:dyDescent="0.2">
      <c r="B71" s="1419"/>
      <c r="C71" s="1562" t="s">
        <v>1180</v>
      </c>
      <c r="D71" s="1562" t="s">
        <v>893</v>
      </c>
      <c r="E71" s="1562" t="s">
        <v>894</v>
      </c>
      <c r="F71" s="1252" t="s">
        <v>1977</v>
      </c>
      <c r="G71" s="176"/>
      <c r="H71" s="176"/>
      <c r="I71" s="1416"/>
      <c r="J71" s="1416"/>
      <c r="K71" s="1416"/>
      <c r="L71" s="1416"/>
      <c r="M71" s="1416"/>
      <c r="N71" s="1416"/>
    </row>
    <row r="72" spans="1:15" s="1559" customFormat="1" ht="12" customHeight="1" x14ac:dyDescent="0.2">
      <c r="B72" s="1419"/>
      <c r="C72" s="2247">
        <v>1</v>
      </c>
      <c r="D72" s="2247">
        <v>0</v>
      </c>
      <c r="E72" s="2248">
        <v>0</v>
      </c>
      <c r="F72" s="2249">
        <f>(D72+((E72-D72)*0.35))</f>
        <v>0</v>
      </c>
      <c r="G72" s="176"/>
      <c r="H72" s="176"/>
      <c r="I72" s="1416"/>
      <c r="J72" s="1416"/>
      <c r="K72" s="1416"/>
      <c r="L72" s="1416"/>
      <c r="M72" s="1416"/>
      <c r="N72" s="1416"/>
    </row>
    <row r="73" spans="1:15" s="1467" customFormat="1" ht="12" customHeight="1" x14ac:dyDescent="0.2">
      <c r="B73" s="1419"/>
      <c r="C73" s="1560">
        <v>2</v>
      </c>
      <c r="D73" s="1557">
        <f>250*95059012*NAIRA2010_*Unit.TWh</f>
        <v>23764753000</v>
      </c>
      <c r="E73" s="1557">
        <f>D75</f>
        <v>82371419000</v>
      </c>
      <c r="F73" s="2246">
        <f>(D73+((E73-D73)*0.35))</f>
        <v>44277086100</v>
      </c>
      <c r="G73" s="176"/>
      <c r="H73" s="176"/>
      <c r="I73" s="1416"/>
      <c r="J73" s="1416"/>
      <c r="K73" s="1416"/>
      <c r="L73" s="1416"/>
      <c r="M73" s="1416"/>
      <c r="N73" s="1416"/>
    </row>
    <row r="74" spans="1:15" s="1467" customFormat="1" ht="12" customHeight="1" x14ac:dyDescent="0.2">
      <c r="B74" s="1419"/>
      <c r="C74" s="1560">
        <v>3</v>
      </c>
      <c r="D74" s="1557">
        <f>250*310688997*NAIRA2010_*Unit.TWh</f>
        <v>77672249250</v>
      </c>
      <c r="E74" s="1557">
        <f>D74*2</f>
        <v>155344498500</v>
      </c>
      <c r="F74" s="2246">
        <f>(D74+((E74-D74)*0.35))</f>
        <v>104857536487.5</v>
      </c>
      <c r="G74" s="176"/>
      <c r="H74" s="176"/>
      <c r="I74" s="1416"/>
      <c r="J74" s="1416"/>
      <c r="K74" s="1416"/>
      <c r="L74" s="1416"/>
      <c r="M74" s="1416"/>
      <c r="N74" s="1416"/>
    </row>
    <row r="75" spans="1:15" s="1467" customFormat="1" ht="12" customHeight="1" x14ac:dyDescent="0.2">
      <c r="B75" s="1419"/>
      <c r="C75" s="2250">
        <v>4</v>
      </c>
      <c r="D75" s="1462">
        <f>250*329485676*NAIRA2010_*Unit.TWh</f>
        <v>82371419000</v>
      </c>
      <c r="E75" s="1462">
        <f>D75*2</f>
        <v>164742838000</v>
      </c>
      <c r="F75" s="2251">
        <f>(D75+((E75-D75)*0.35))</f>
        <v>111201415650</v>
      </c>
      <c r="G75" s="176"/>
      <c r="H75" s="176"/>
      <c r="I75" s="1416"/>
      <c r="J75" s="1416"/>
      <c r="K75" s="1416"/>
      <c r="L75" s="1416"/>
      <c r="M75" s="1416"/>
      <c r="N75" s="1416"/>
    </row>
    <row r="76" spans="1:15" s="1467" customFormat="1" ht="12" customHeight="1" x14ac:dyDescent="0.2">
      <c r="B76" s="1419"/>
      <c r="C76" s="1417"/>
      <c r="D76" s="1416"/>
      <c r="E76" s="176"/>
      <c r="F76" s="176"/>
      <c r="G76" s="1416"/>
      <c r="H76" s="176"/>
      <c r="I76" s="1416"/>
      <c r="J76" s="1416"/>
      <c r="K76" s="1416"/>
      <c r="L76" s="1416"/>
      <c r="M76" s="1416"/>
      <c r="N76" s="1416"/>
    </row>
    <row r="77" spans="1:15" s="1467" customFormat="1" ht="12" customHeight="1" x14ac:dyDescent="0.2">
      <c r="B77" s="1419"/>
      <c r="C77" s="1416" t="s">
        <v>172</v>
      </c>
      <c r="D77" s="1416"/>
      <c r="E77" s="1416"/>
      <c r="F77" s="1416"/>
      <c r="G77" s="1416"/>
      <c r="H77" s="1416"/>
      <c r="I77" s="1416"/>
      <c r="J77" s="1416"/>
      <c r="K77" s="1416"/>
      <c r="L77" s="1416"/>
      <c r="M77" s="1416"/>
      <c r="N77" s="1416"/>
    </row>
    <row r="78" spans="1:15" s="1467" customFormat="1" ht="12" customHeight="1" x14ac:dyDescent="0.2">
      <c r="B78" s="1419"/>
      <c r="C78" s="485" t="s">
        <v>93</v>
      </c>
      <c r="D78" s="1382" t="s">
        <v>2044</v>
      </c>
      <c r="E78" s="1416"/>
      <c r="F78" s="1416"/>
      <c r="G78" s="1416"/>
      <c r="H78" s="1416"/>
      <c r="I78" s="1416"/>
      <c r="J78" s="1416"/>
      <c r="K78" s="1416"/>
      <c r="L78" s="1416"/>
      <c r="M78" s="1416"/>
      <c r="N78" s="1416"/>
    </row>
    <row r="79" spans="1:15" s="1467" customFormat="1" ht="12" customHeight="1" x14ac:dyDescent="0.2">
      <c r="B79" s="1419"/>
      <c r="C79" s="1416"/>
      <c r="D79" s="1416"/>
      <c r="E79" s="1416"/>
      <c r="F79" s="1416"/>
      <c r="G79" s="1416"/>
      <c r="H79" s="1416"/>
      <c r="I79" s="1416"/>
      <c r="J79" s="1416"/>
      <c r="K79" s="1416"/>
      <c r="L79" s="1416"/>
      <c r="M79" s="1416"/>
      <c r="N79" s="1416"/>
    </row>
    <row r="80" spans="1:15" s="1467" customFormat="1" ht="12" customHeight="1" x14ac:dyDescent="0.2"/>
    <row r="82" spans="1:14" ht="22.5" collapsed="1" x14ac:dyDescent="0.3">
      <c r="A82" s="409"/>
      <c r="B82" s="472" t="s">
        <v>332</v>
      </c>
      <c r="C82" s="498"/>
      <c r="D82" s="498"/>
      <c r="E82" s="498"/>
      <c r="F82" s="498"/>
      <c r="G82" s="498"/>
      <c r="H82" s="498"/>
      <c r="I82" s="498"/>
      <c r="J82" s="498"/>
      <c r="K82" s="498"/>
      <c r="L82" s="498"/>
      <c r="M82" s="498"/>
      <c r="N82" s="498"/>
    </row>
    <row r="83" spans="1:14" x14ac:dyDescent="0.2">
      <c r="B83" s="395"/>
      <c r="C83" s="173"/>
      <c r="D83" s="173"/>
      <c r="E83" s="173"/>
      <c r="F83" s="173"/>
      <c r="G83" s="173"/>
      <c r="H83" s="173"/>
      <c r="I83" s="173"/>
      <c r="J83" s="173"/>
      <c r="K83" s="173"/>
      <c r="L83" s="173"/>
      <c r="M83" s="173"/>
      <c r="N83" s="173"/>
    </row>
    <row r="84" spans="1:14" s="1559" customFormat="1" x14ac:dyDescent="0.2">
      <c r="B84" s="1419"/>
      <c r="C84" s="1417" t="s">
        <v>1687</v>
      </c>
      <c r="D84" s="1416"/>
      <c r="E84" s="1416"/>
      <c r="F84" s="1416"/>
      <c r="G84" s="1416"/>
      <c r="H84" s="1416"/>
      <c r="I84" s="1416"/>
      <c r="J84" s="1416"/>
      <c r="K84" s="1416"/>
      <c r="L84" s="1416"/>
      <c r="M84" s="1416"/>
      <c r="N84" s="1416"/>
    </row>
    <row r="85" spans="1:14" s="1559" customFormat="1" ht="6" customHeight="1" x14ac:dyDescent="0.2">
      <c r="B85" s="1419"/>
      <c r="C85" s="1417"/>
      <c r="D85" s="1416"/>
      <c r="E85" s="1416"/>
      <c r="F85" s="1416"/>
      <c r="G85" s="1416"/>
      <c r="H85" s="1416"/>
      <c r="I85" s="1416"/>
      <c r="J85" s="1416"/>
      <c r="K85" s="1416"/>
      <c r="L85" s="1416"/>
      <c r="M85" s="1416"/>
      <c r="N85" s="1416"/>
    </row>
    <row r="86" spans="1:14" s="1559" customFormat="1" x14ac:dyDescent="0.2">
      <c r="B86" s="1419"/>
      <c r="C86" s="98" t="s">
        <v>64</v>
      </c>
      <c r="D86" s="98" t="s">
        <v>65</v>
      </c>
      <c r="E86" s="98" t="s">
        <v>172</v>
      </c>
      <c r="F86" s="218">
        <v>2010</v>
      </c>
      <c r="G86" s="217">
        <v>2015</v>
      </c>
      <c r="H86" s="217">
        <v>2020</v>
      </c>
      <c r="I86" s="217">
        <v>2025</v>
      </c>
      <c r="J86" s="217">
        <v>2030</v>
      </c>
      <c r="K86" s="217">
        <v>2035</v>
      </c>
      <c r="L86" s="217">
        <v>2040</v>
      </c>
      <c r="M86" s="217">
        <v>2045</v>
      </c>
      <c r="N86" s="217">
        <v>2050</v>
      </c>
    </row>
    <row r="87" spans="1:14" s="1559" customFormat="1" x14ac:dyDescent="0.2">
      <c r="B87" s="1419"/>
      <c r="C87" s="121"/>
      <c r="D87" s="122" t="s">
        <v>1686</v>
      </c>
      <c r="E87" s="230"/>
      <c r="F87" s="1576">
        <f>F17-F110</f>
        <v>0</v>
      </c>
      <c r="G87" s="1576">
        <f t="shared" ref="G87:N87" si="3">(G17-F17)+(F110-G110)</f>
        <v>9.4513191765545148</v>
      </c>
      <c r="H87" s="1576">
        <f t="shared" si="3"/>
        <v>11.492365001903446</v>
      </c>
      <c r="I87" s="1576">
        <f t="shared" si="3"/>
        <v>16.107975143198395</v>
      </c>
      <c r="J87" s="1576">
        <f t="shared" si="3"/>
        <v>15.075093655170559</v>
      </c>
      <c r="K87" s="1576">
        <f t="shared" si="3"/>
        <v>16.207069318446148</v>
      </c>
      <c r="L87" s="1576">
        <f t="shared" si="3"/>
        <v>5.5261335381269312</v>
      </c>
      <c r="M87" s="1576">
        <f t="shared" si="3"/>
        <v>5.1866493506999909</v>
      </c>
      <c r="N87" s="1576">
        <f t="shared" si="3"/>
        <v>10.040559390513955</v>
      </c>
    </row>
    <row r="88" spans="1:14" s="1559" customFormat="1" x14ac:dyDescent="0.2">
      <c r="B88" s="1419"/>
      <c r="C88" s="1416"/>
      <c r="D88" s="1416"/>
      <c r="E88" s="1416"/>
      <c r="F88" s="1416"/>
      <c r="G88" s="1563"/>
      <c r="H88" s="1563"/>
      <c r="I88" s="1563"/>
      <c r="J88" s="1563"/>
      <c r="K88" s="1563"/>
      <c r="L88" s="1563"/>
      <c r="M88" s="1563"/>
      <c r="N88" s="1563"/>
    </row>
    <row r="89" spans="1:14" x14ac:dyDescent="0.2">
      <c r="B89" s="395"/>
      <c r="C89" s="175" t="s">
        <v>2226</v>
      </c>
      <c r="D89" s="173"/>
      <c r="E89" s="173"/>
      <c r="F89" s="173"/>
      <c r="G89" s="173"/>
      <c r="H89" s="173"/>
      <c r="I89" s="173"/>
      <c r="J89" s="173"/>
      <c r="K89" s="173"/>
      <c r="L89" s="173"/>
      <c r="M89" s="173"/>
      <c r="N89" s="161" t="s">
        <v>384</v>
      </c>
    </row>
    <row r="90" spans="1:14" ht="4.5" customHeight="1" x14ac:dyDescent="0.2">
      <c r="B90" s="395"/>
      <c r="C90" s="173"/>
      <c r="D90" s="173"/>
      <c r="E90" s="173"/>
      <c r="F90" s="173"/>
      <c r="G90" s="173"/>
      <c r="H90" s="173"/>
      <c r="I90" s="173"/>
      <c r="J90" s="173"/>
      <c r="K90" s="173"/>
      <c r="L90" s="173"/>
      <c r="M90" s="173"/>
      <c r="N90" s="173"/>
    </row>
    <row r="91" spans="1:14" ht="15.75" x14ac:dyDescent="0.25">
      <c r="B91" s="397"/>
      <c r="C91" s="98" t="s">
        <v>64</v>
      </c>
      <c r="D91" s="98" t="s">
        <v>65</v>
      </c>
      <c r="E91" s="98" t="s">
        <v>172</v>
      </c>
      <c r="F91" s="218">
        <v>2010</v>
      </c>
      <c r="G91" s="217">
        <v>2015</v>
      </c>
      <c r="H91" s="217">
        <v>2020</v>
      </c>
      <c r="I91" s="217">
        <v>2025</v>
      </c>
      <c r="J91" s="217">
        <v>2030</v>
      </c>
      <c r="K91" s="217">
        <v>2035</v>
      </c>
      <c r="L91" s="217">
        <v>2040</v>
      </c>
      <c r="M91" s="217">
        <v>2045</v>
      </c>
      <c r="N91" s="217">
        <v>2050</v>
      </c>
    </row>
    <row r="92" spans="1:14" ht="15.75" x14ac:dyDescent="0.25">
      <c r="B92" s="397"/>
      <c r="C92" s="144" t="s">
        <v>34</v>
      </c>
      <c r="D92" s="145" t="str">
        <f>INDEX(Vectors[Description], MATCH($C92, Vectors[Code], 0))</f>
        <v>Electricity (delivered to end user)</v>
      </c>
      <c r="E92" s="488"/>
      <c r="F92" s="765">
        <f>G33</f>
        <v>0.03</v>
      </c>
      <c r="G92" s="740">
        <f t="shared" ref="G92:M95" si="4">$F92+($N92-$F92)/($N$91-$F$91)*(G$91-$F$91)</f>
        <v>5.1250000000000004E-2</v>
      </c>
      <c r="H92" s="740">
        <f t="shared" si="4"/>
        <v>7.2500000000000009E-2</v>
      </c>
      <c r="I92" s="740">
        <f t="shared" si="4"/>
        <v>9.375E-2</v>
      </c>
      <c r="J92" s="740">
        <f t="shared" si="4"/>
        <v>0.115</v>
      </c>
      <c r="K92" s="740">
        <f t="shared" si="4"/>
        <v>0.13625000000000001</v>
      </c>
      <c r="L92" s="740">
        <f t="shared" si="4"/>
        <v>0.1575</v>
      </c>
      <c r="M92" s="740">
        <f t="shared" si="4"/>
        <v>0.17875000000000002</v>
      </c>
      <c r="N92" s="174">
        <f>INDEX($G$33:$J$36, MATCH($E$9, $C$33:$C$36, 0), MATCH($C92, $G$32:$J$32, 0))</f>
        <v>0.2</v>
      </c>
    </row>
    <row r="93" spans="1:14" s="2370" customFormat="1" ht="15.75" x14ac:dyDescent="0.25">
      <c r="B93" s="397"/>
      <c r="C93" s="1414" t="s">
        <v>38</v>
      </c>
      <c r="D93" s="1415" t="str">
        <f>INDEX(Vectors[Description], MATCH($C93, Vectors[Code], 0))</f>
        <v>Liquid hydrocarbons</v>
      </c>
      <c r="E93" s="488"/>
      <c r="F93" s="765">
        <f>H33</f>
        <v>0.12</v>
      </c>
      <c r="G93" s="740">
        <f t="shared" si="4"/>
        <v>0.13500000000000001</v>
      </c>
      <c r="H93" s="740">
        <f t="shared" si="4"/>
        <v>0.15</v>
      </c>
      <c r="I93" s="740">
        <f t="shared" si="4"/>
        <v>0.16499999999999998</v>
      </c>
      <c r="J93" s="740">
        <f t="shared" si="4"/>
        <v>0.18</v>
      </c>
      <c r="K93" s="740">
        <f t="shared" si="4"/>
        <v>0.19500000000000001</v>
      </c>
      <c r="L93" s="740">
        <f t="shared" si="4"/>
        <v>0.21</v>
      </c>
      <c r="M93" s="740">
        <f t="shared" si="4"/>
        <v>0.22499999999999998</v>
      </c>
      <c r="N93" s="174">
        <f>INDEX($G$33:$J$36, MATCH($E$9, $C$33:$C$36, 0), MATCH($C93, $G$32:$J$32, 0))</f>
        <v>0.24</v>
      </c>
    </row>
    <row r="94" spans="1:14" s="2370" customFormat="1" ht="15.75" x14ac:dyDescent="0.25">
      <c r="B94" s="397"/>
      <c r="C94" s="1414" t="s">
        <v>39</v>
      </c>
      <c r="D94" s="1415" t="str">
        <f>INDEX(Vectors[Description], MATCH($C94, Vectors[Code], 0))</f>
        <v>Gaseous hydrocarbons</v>
      </c>
      <c r="E94" s="488"/>
      <c r="F94" s="765">
        <f>I33</f>
        <v>0.05</v>
      </c>
      <c r="G94" s="740">
        <f t="shared" si="4"/>
        <v>9.375E-2</v>
      </c>
      <c r="H94" s="740">
        <f t="shared" si="4"/>
        <v>0.13750000000000001</v>
      </c>
      <c r="I94" s="740">
        <f t="shared" si="4"/>
        <v>0.18125000000000002</v>
      </c>
      <c r="J94" s="740">
        <f t="shared" si="4"/>
        <v>0.22500000000000003</v>
      </c>
      <c r="K94" s="740">
        <f t="shared" si="4"/>
        <v>0.26875000000000004</v>
      </c>
      <c r="L94" s="740">
        <f t="shared" si="4"/>
        <v>0.3125</v>
      </c>
      <c r="M94" s="740">
        <f t="shared" si="4"/>
        <v>0.35625000000000001</v>
      </c>
      <c r="N94" s="174">
        <f>INDEX($G$33:$J$36, MATCH($E$9, $C$33:$C$36, 0), MATCH($C94, $G$32:$J$32, 0))</f>
        <v>0.4</v>
      </c>
    </row>
    <row r="95" spans="1:14" ht="15.75" x14ac:dyDescent="0.25">
      <c r="B95" s="397"/>
      <c r="C95" s="199" t="s">
        <v>2184</v>
      </c>
      <c r="D95" s="200" t="str">
        <f>INDEX(Vectors[Description], MATCH($C95, Vectors[Code], 0))</f>
        <v>Traditional Fuel</v>
      </c>
      <c r="E95" s="200"/>
      <c r="F95" s="766">
        <f>J33</f>
        <v>0.8</v>
      </c>
      <c r="G95" s="767">
        <f t="shared" si="4"/>
        <v>0.72000000000000008</v>
      </c>
      <c r="H95" s="767">
        <f t="shared" si="4"/>
        <v>0.64</v>
      </c>
      <c r="I95" s="767">
        <f t="shared" si="4"/>
        <v>0.56000000000000005</v>
      </c>
      <c r="J95" s="767">
        <f t="shared" si="4"/>
        <v>0.48000000000000004</v>
      </c>
      <c r="K95" s="767">
        <f t="shared" si="4"/>
        <v>0.4</v>
      </c>
      <c r="L95" s="767">
        <f t="shared" si="4"/>
        <v>0.32000000000000006</v>
      </c>
      <c r="M95" s="767">
        <f t="shared" si="4"/>
        <v>0.24</v>
      </c>
      <c r="N95" s="564">
        <f>INDEX($G$33:$J$36, MATCH($E$9, $C$33:$C$36, 0), MATCH($C95, $G$32:$J$32, 0))</f>
        <v>0.16000000000000003</v>
      </c>
    </row>
    <row r="96" spans="1:14" x14ac:dyDescent="0.2">
      <c r="B96" s="402"/>
      <c r="C96" s="403"/>
      <c r="D96" s="403"/>
      <c r="E96" s="403"/>
      <c r="F96" s="403"/>
      <c r="G96" s="403"/>
      <c r="H96" s="403"/>
      <c r="I96" s="403"/>
      <c r="J96" s="403"/>
      <c r="K96" s="403"/>
      <c r="L96" s="403"/>
      <c r="M96" s="403"/>
      <c r="N96" s="403"/>
    </row>
    <row r="97" spans="1:14" x14ac:dyDescent="0.2">
      <c r="F97" s="2705"/>
    </row>
    <row r="98" spans="1:14" ht="18" collapsed="1" x14ac:dyDescent="0.25">
      <c r="A98" s="99"/>
      <c r="B98" s="134" t="s">
        <v>279</v>
      </c>
    </row>
    <row r="99" spans="1:14" s="20" customFormat="1" x14ac:dyDescent="0.2">
      <c r="B99" s="82">
        <v>1</v>
      </c>
      <c r="C99" s="82" t="s">
        <v>2227</v>
      </c>
    </row>
    <row r="100" spans="1:14" x14ac:dyDescent="0.2">
      <c r="F100" s="171">
        <v>2010</v>
      </c>
      <c r="G100" s="171">
        <v>2015</v>
      </c>
      <c r="H100" s="171">
        <v>2020</v>
      </c>
      <c r="I100" s="171">
        <v>2025</v>
      </c>
      <c r="J100" s="171">
        <v>2030</v>
      </c>
      <c r="K100" s="171">
        <v>2035</v>
      </c>
      <c r="L100" s="171">
        <v>2040</v>
      </c>
      <c r="M100" s="171">
        <v>2045</v>
      </c>
      <c r="N100" s="171">
        <v>2050</v>
      </c>
    </row>
    <row r="101" spans="1:14" x14ac:dyDescent="0.2">
      <c r="B101" s="584"/>
      <c r="C101" s="82" t="s">
        <v>809</v>
      </c>
      <c r="D101" s="82"/>
      <c r="E101" s="172" t="str">
        <f>Preferences.EnergyUnits</f>
        <v>TWh</v>
      </c>
      <c r="F101" s="234">
        <f t="shared" ref="F101:N101" si="5">INDEX(F$25:F$28, MATCH($E$8, $C$25:$C$28, 0))</f>
        <v>20.534040842492583</v>
      </c>
      <c r="G101" s="234">
        <f t="shared" si="5"/>
        <v>20.813839854599998</v>
      </c>
      <c r="H101" s="234">
        <f t="shared" si="5"/>
        <v>21.6328066341</v>
      </c>
      <c r="I101" s="234">
        <f t="shared" si="5"/>
        <v>22.508724816199997</v>
      </c>
      <c r="J101" s="234">
        <f t="shared" si="5"/>
        <v>22.998125743591778</v>
      </c>
      <c r="K101" s="234">
        <f t="shared" si="5"/>
        <v>25.154200032053431</v>
      </c>
      <c r="L101" s="234">
        <f t="shared" si="5"/>
        <v>27.310274320515173</v>
      </c>
      <c r="M101" s="234">
        <f t="shared" si="5"/>
        <v>29.466348608976912</v>
      </c>
      <c r="N101" s="234">
        <f t="shared" si="5"/>
        <v>31.622422897438657</v>
      </c>
    </row>
    <row r="102" spans="1:14" x14ac:dyDescent="0.2">
      <c r="B102" s="16" t="s">
        <v>34</v>
      </c>
      <c r="C102" s="38" t="str">
        <f>INDEX(Vectors[Description], MATCH($B102, Vectors[Code], 0))</f>
        <v>Electricity (delivered to end user)</v>
      </c>
      <c r="F102" s="219">
        <f t="shared" ref="F102:N102" si="6">F$101*F92</f>
        <v>0.61602122527477743</v>
      </c>
      <c r="G102" s="219">
        <f t="shared" si="6"/>
        <v>1.06670929254825</v>
      </c>
      <c r="H102" s="219">
        <f t="shared" si="6"/>
        <v>1.5683784809722501</v>
      </c>
      <c r="I102" s="219">
        <f t="shared" si="6"/>
        <v>2.1101929515187496</v>
      </c>
      <c r="J102" s="219">
        <f t="shared" si="6"/>
        <v>2.6447844605130548</v>
      </c>
      <c r="K102" s="219">
        <f t="shared" si="6"/>
        <v>3.4272597543672805</v>
      </c>
      <c r="L102" s="219">
        <f t="shared" si="6"/>
        <v>4.3013682054811397</v>
      </c>
      <c r="M102" s="219">
        <f t="shared" si="6"/>
        <v>5.2671098138546233</v>
      </c>
      <c r="N102" s="219">
        <f t="shared" si="6"/>
        <v>6.3244845794877316</v>
      </c>
    </row>
    <row r="103" spans="1:14" s="2370" customFormat="1" x14ac:dyDescent="0.2">
      <c r="B103" s="1426" t="s">
        <v>38</v>
      </c>
      <c r="C103" s="2370" t="str">
        <f>INDEX(Vectors[Description], MATCH($B103, Vectors[Code], 0))</f>
        <v>Liquid hydrocarbons</v>
      </c>
      <c r="F103" s="219">
        <f t="shared" ref="F103:N103" si="7">F$101*F93</f>
        <v>2.4640849010991097</v>
      </c>
      <c r="G103" s="219">
        <f t="shared" si="7"/>
        <v>2.8098683803709998</v>
      </c>
      <c r="H103" s="219">
        <f t="shared" si="7"/>
        <v>3.2449209951149998</v>
      </c>
      <c r="I103" s="219">
        <f t="shared" si="7"/>
        <v>3.7139395946729992</v>
      </c>
      <c r="J103" s="219">
        <f t="shared" si="7"/>
        <v>4.1396626338465197</v>
      </c>
      <c r="K103" s="219">
        <f t="shared" si="7"/>
        <v>4.905069006250419</v>
      </c>
      <c r="L103" s="219">
        <f t="shared" si="7"/>
        <v>5.735157607308186</v>
      </c>
      <c r="M103" s="219">
        <f t="shared" si="7"/>
        <v>6.6299284370198048</v>
      </c>
      <c r="N103" s="219">
        <f t="shared" si="7"/>
        <v>7.5893814953852772</v>
      </c>
    </row>
    <row r="104" spans="1:14" s="2370" customFormat="1" x14ac:dyDescent="0.2">
      <c r="B104" s="1426" t="s">
        <v>39</v>
      </c>
      <c r="C104" s="2370" t="str">
        <f>INDEX(Vectors[Description], MATCH($B104, Vectors[Code], 0))</f>
        <v>Gaseous hydrocarbons</v>
      </c>
      <c r="F104" s="219">
        <f t="shared" ref="F104:N104" si="8">F$101*F94</f>
        <v>1.0267020421246291</v>
      </c>
      <c r="G104" s="219">
        <f t="shared" si="8"/>
        <v>1.9512974863687498</v>
      </c>
      <c r="H104" s="219">
        <f t="shared" si="8"/>
        <v>2.9745109121887503</v>
      </c>
      <c r="I104" s="219">
        <f t="shared" si="8"/>
        <v>4.0797063729362497</v>
      </c>
      <c r="J104" s="219">
        <f t="shared" si="8"/>
        <v>5.1745782923081505</v>
      </c>
      <c r="K104" s="219">
        <f t="shared" si="8"/>
        <v>6.7601912586143609</v>
      </c>
      <c r="L104" s="219">
        <f t="shared" si="8"/>
        <v>8.5344607251609919</v>
      </c>
      <c r="M104" s="219">
        <f t="shared" si="8"/>
        <v>10.497386691948025</v>
      </c>
      <c r="N104" s="219">
        <f t="shared" si="8"/>
        <v>12.648969158975463</v>
      </c>
    </row>
    <row r="105" spans="1:14" x14ac:dyDescent="0.2">
      <c r="B105" s="16" t="s">
        <v>2184</v>
      </c>
      <c r="C105" s="38" t="str">
        <f>INDEX(Vectors[Description], MATCH($B105, Vectors[Code], 0))</f>
        <v>Traditional Fuel</v>
      </c>
      <c r="F105" s="219">
        <f t="shared" ref="F105:N105" si="9">F$101*F95</f>
        <v>16.427232673994066</v>
      </c>
      <c r="G105" s="219">
        <f t="shared" si="9"/>
        <v>14.985964695312001</v>
      </c>
      <c r="H105" s="219">
        <f t="shared" si="9"/>
        <v>13.844996245823999</v>
      </c>
      <c r="I105" s="219">
        <f t="shared" si="9"/>
        <v>12.604885897072</v>
      </c>
      <c r="J105" s="219">
        <f t="shared" si="9"/>
        <v>11.039100356924054</v>
      </c>
      <c r="K105" s="219">
        <f t="shared" si="9"/>
        <v>10.061680012821373</v>
      </c>
      <c r="L105" s="219">
        <f t="shared" si="9"/>
        <v>8.7392877825648565</v>
      </c>
      <c r="M105" s="219">
        <f t="shared" si="9"/>
        <v>7.0719236661544587</v>
      </c>
      <c r="N105" s="219">
        <f t="shared" si="9"/>
        <v>5.059587663590186</v>
      </c>
    </row>
    <row r="106" spans="1:14" x14ac:dyDescent="0.2">
      <c r="C106" s="82"/>
      <c r="E106" s="16"/>
      <c r="F106" s="234"/>
      <c r="G106" s="234"/>
      <c r="H106" s="234"/>
      <c r="I106" s="234"/>
      <c r="J106" s="234"/>
      <c r="K106" s="234"/>
      <c r="L106" s="234"/>
      <c r="M106" s="234"/>
      <c r="N106" s="234"/>
    </row>
    <row r="107" spans="1:14" x14ac:dyDescent="0.2">
      <c r="C107" s="82"/>
      <c r="E107" s="16"/>
      <c r="F107" s="234"/>
      <c r="G107" s="234"/>
      <c r="H107" s="234"/>
      <c r="I107" s="234"/>
      <c r="J107" s="234"/>
      <c r="K107" s="234"/>
      <c r="L107" s="234"/>
      <c r="M107" s="234"/>
      <c r="N107" s="234"/>
    </row>
    <row r="108" spans="1:14" x14ac:dyDescent="0.2">
      <c r="B108" s="82">
        <v>2</v>
      </c>
      <c r="C108" s="82" t="s">
        <v>816</v>
      </c>
      <c r="E108" s="16"/>
      <c r="F108" s="234"/>
      <c r="G108" s="234"/>
      <c r="H108" s="234"/>
      <c r="I108" s="234"/>
      <c r="J108" s="234"/>
      <c r="K108" s="234"/>
      <c r="L108" s="234"/>
      <c r="M108" s="234"/>
      <c r="N108" s="234"/>
    </row>
    <row r="109" spans="1:14" x14ac:dyDescent="0.2">
      <c r="C109" s="82"/>
      <c r="E109" s="16"/>
      <c r="F109" s="171">
        <v>2010</v>
      </c>
      <c r="G109" s="171">
        <v>2015</v>
      </c>
      <c r="H109" s="171">
        <v>2020</v>
      </c>
      <c r="I109" s="171">
        <v>2025</v>
      </c>
      <c r="J109" s="171">
        <v>2030</v>
      </c>
      <c r="K109" s="171">
        <v>2035</v>
      </c>
      <c r="L109" s="171">
        <v>2040</v>
      </c>
      <c r="M109" s="171">
        <v>2045</v>
      </c>
      <c r="N109" s="171">
        <v>2050</v>
      </c>
    </row>
    <row r="110" spans="1:14" x14ac:dyDescent="0.2">
      <c r="B110" s="584"/>
      <c r="C110" s="82" t="s">
        <v>811</v>
      </c>
      <c r="E110" s="172" t="str">
        <f>Preferences.EnergyUnits</f>
        <v>TWh</v>
      </c>
      <c r="F110" s="234">
        <f t="shared" ref="F110:N110" si="10">INDEX(F$17:F$20, MATCH($E$8, $C$17:$C$20, 0))</f>
        <v>10.131289843201213</v>
      </c>
      <c r="G110" s="234">
        <f t="shared" si="10"/>
        <v>10.811260509847999</v>
      </c>
      <c r="H110" s="234">
        <f t="shared" si="10"/>
        <v>11.612625036999997</v>
      </c>
      <c r="I110" s="234">
        <f t="shared" si="10"/>
        <v>12.350553107218726</v>
      </c>
      <c r="J110" s="234">
        <f t="shared" si="10"/>
        <v>17.375584325609005</v>
      </c>
      <c r="K110" s="234">
        <f t="shared" si="10"/>
        <v>22.777940765091078</v>
      </c>
      <c r="L110" s="234">
        <f t="shared" si="10"/>
        <v>24.619985277799998</v>
      </c>
      <c r="M110" s="234">
        <f t="shared" si="10"/>
        <v>26.348868394699995</v>
      </c>
      <c r="N110" s="234">
        <f t="shared" si="10"/>
        <v>29.69572152487137</v>
      </c>
    </row>
    <row r="111" spans="1:14" x14ac:dyDescent="0.2">
      <c r="B111" s="16" t="s">
        <v>34</v>
      </c>
      <c r="C111" s="38" t="str">
        <f>INDEX(Vectors[Description], MATCH($B111, Vectors[Code], 0))</f>
        <v>Electricity (delivered to end user)</v>
      </c>
      <c r="E111" s="16"/>
      <c r="F111" s="219">
        <f t="shared" ref="F111:N111" si="11">F110</f>
        <v>10.131289843201213</v>
      </c>
      <c r="G111" s="219">
        <f t="shared" si="11"/>
        <v>10.811260509847999</v>
      </c>
      <c r="H111" s="219">
        <f t="shared" si="11"/>
        <v>11.612625036999997</v>
      </c>
      <c r="I111" s="219">
        <f t="shared" si="11"/>
        <v>12.350553107218726</v>
      </c>
      <c r="J111" s="219">
        <f t="shared" si="11"/>
        <v>17.375584325609005</v>
      </c>
      <c r="K111" s="219">
        <f t="shared" si="11"/>
        <v>22.777940765091078</v>
      </c>
      <c r="L111" s="219">
        <f t="shared" si="11"/>
        <v>24.619985277799998</v>
      </c>
      <c r="M111" s="219">
        <f t="shared" si="11"/>
        <v>26.348868394699995</v>
      </c>
      <c r="N111" s="219">
        <f t="shared" si="11"/>
        <v>29.69572152487137</v>
      </c>
    </row>
    <row r="112" spans="1:14" x14ac:dyDescent="0.2">
      <c r="C112" s="82"/>
      <c r="E112" s="16"/>
      <c r="F112" s="234"/>
      <c r="G112" s="234"/>
      <c r="H112" s="234"/>
      <c r="I112" s="234"/>
      <c r="J112" s="234"/>
      <c r="K112" s="234"/>
      <c r="L112" s="234"/>
      <c r="M112" s="234"/>
      <c r="N112" s="234"/>
    </row>
    <row r="113" spans="2:14" x14ac:dyDescent="0.2">
      <c r="B113" s="82">
        <v>3</v>
      </c>
      <c r="C113" s="82" t="s">
        <v>814</v>
      </c>
      <c r="E113" s="16"/>
      <c r="F113" s="219"/>
      <c r="G113" s="219"/>
      <c r="H113" s="219"/>
      <c r="I113" s="219"/>
      <c r="J113" s="219"/>
      <c r="K113" s="219"/>
      <c r="L113" s="219"/>
      <c r="M113" s="219"/>
      <c r="N113" s="219"/>
    </row>
    <row r="114" spans="2:14" x14ac:dyDescent="0.2">
      <c r="B114" s="82"/>
      <c r="C114" s="82"/>
      <c r="E114" s="16"/>
      <c r="F114" s="171">
        <v>2010</v>
      </c>
      <c r="G114" s="171">
        <v>2015</v>
      </c>
      <c r="H114" s="171">
        <v>2020</v>
      </c>
      <c r="I114" s="171">
        <v>2025</v>
      </c>
      <c r="J114" s="171">
        <v>2030</v>
      </c>
      <c r="K114" s="171">
        <v>2035</v>
      </c>
      <c r="L114" s="171">
        <v>2040</v>
      </c>
      <c r="M114" s="171">
        <v>2045</v>
      </c>
      <c r="N114" s="171">
        <v>2050</v>
      </c>
    </row>
    <row r="115" spans="2:14" x14ac:dyDescent="0.2">
      <c r="B115" s="16" t="s">
        <v>34</v>
      </c>
      <c r="C115" s="38" t="str">
        <f>INDEX(Vectors[Description], MATCH($B115, Vectors[Code], 0))</f>
        <v>Electricity (delivered to end user)</v>
      </c>
      <c r="E115" s="583" t="str">
        <f>Preferences.EnergyUnits</f>
        <v>TWh</v>
      </c>
      <c r="F115" s="219">
        <f t="shared" ref="F115:N115" si="12">F102+F111</f>
        <v>10.747311068475991</v>
      </c>
      <c r="G115" s="219">
        <f t="shared" si="12"/>
        <v>11.877969802396249</v>
      </c>
      <c r="H115" s="219">
        <f t="shared" si="12"/>
        <v>13.181003517972247</v>
      </c>
      <c r="I115" s="219">
        <f t="shared" si="12"/>
        <v>14.460746058737476</v>
      </c>
      <c r="J115" s="219">
        <f t="shared" si="12"/>
        <v>20.020368786122059</v>
      </c>
      <c r="K115" s="219">
        <f t="shared" si="12"/>
        <v>26.205200519458359</v>
      </c>
      <c r="L115" s="219">
        <f t="shared" si="12"/>
        <v>28.921353483281138</v>
      </c>
      <c r="M115" s="219">
        <f t="shared" si="12"/>
        <v>31.615978208554619</v>
      </c>
      <c r="N115" s="219">
        <f t="shared" si="12"/>
        <v>36.020206104359104</v>
      </c>
    </row>
    <row r="116" spans="2:14" s="2370" customFormat="1" x14ac:dyDescent="0.2">
      <c r="B116" s="1426" t="s">
        <v>38</v>
      </c>
      <c r="C116" s="2370" t="str">
        <f>INDEX(Vectors[Description], MATCH($B116, Vectors[Code], 0))</f>
        <v>Liquid hydrocarbons</v>
      </c>
      <c r="E116" s="583" t="str">
        <f>Preferences.EnergyUnits</f>
        <v>TWh</v>
      </c>
      <c r="F116" s="219">
        <f t="shared" ref="F116:N116" si="13">F103</f>
        <v>2.4640849010991097</v>
      </c>
      <c r="G116" s="219">
        <f t="shared" si="13"/>
        <v>2.8098683803709998</v>
      </c>
      <c r="H116" s="219">
        <f t="shared" si="13"/>
        <v>3.2449209951149998</v>
      </c>
      <c r="I116" s="219">
        <f t="shared" si="13"/>
        <v>3.7139395946729992</v>
      </c>
      <c r="J116" s="219">
        <f t="shared" si="13"/>
        <v>4.1396626338465197</v>
      </c>
      <c r="K116" s="219">
        <f t="shared" si="13"/>
        <v>4.905069006250419</v>
      </c>
      <c r="L116" s="219">
        <f t="shared" si="13"/>
        <v>5.735157607308186</v>
      </c>
      <c r="M116" s="219">
        <f t="shared" si="13"/>
        <v>6.6299284370198048</v>
      </c>
      <c r="N116" s="219">
        <f t="shared" si="13"/>
        <v>7.5893814953852772</v>
      </c>
    </row>
    <row r="117" spans="2:14" s="2370" customFormat="1" x14ac:dyDescent="0.2">
      <c r="B117" s="1426" t="s">
        <v>39</v>
      </c>
      <c r="C117" s="2370" t="str">
        <f>INDEX(Vectors[Description], MATCH($B117, Vectors[Code], 0))</f>
        <v>Gaseous hydrocarbons</v>
      </c>
      <c r="E117" s="583" t="str">
        <f>Preferences.EnergyUnits</f>
        <v>TWh</v>
      </c>
      <c r="F117" s="219">
        <f t="shared" ref="F117:N117" si="14">F104</f>
        <v>1.0267020421246291</v>
      </c>
      <c r="G117" s="219">
        <f t="shared" si="14"/>
        <v>1.9512974863687498</v>
      </c>
      <c r="H117" s="219">
        <f t="shared" si="14"/>
        <v>2.9745109121887503</v>
      </c>
      <c r="I117" s="219">
        <f t="shared" si="14"/>
        <v>4.0797063729362497</v>
      </c>
      <c r="J117" s="219">
        <f t="shared" si="14"/>
        <v>5.1745782923081505</v>
      </c>
      <c r="K117" s="219">
        <f t="shared" si="14"/>
        <v>6.7601912586143609</v>
      </c>
      <c r="L117" s="219">
        <f t="shared" si="14"/>
        <v>8.5344607251609919</v>
      </c>
      <c r="M117" s="219">
        <f t="shared" si="14"/>
        <v>10.497386691948025</v>
      </c>
      <c r="N117" s="219">
        <f t="shared" si="14"/>
        <v>12.648969158975463</v>
      </c>
    </row>
    <row r="118" spans="2:14" x14ac:dyDescent="0.2">
      <c r="B118" s="16" t="s">
        <v>2184</v>
      </c>
      <c r="C118" s="38" t="str">
        <f>INDEX(Vectors[Description], MATCH($B118, Vectors[Code], 0))</f>
        <v>Traditional Fuel</v>
      </c>
      <c r="E118" s="583" t="str">
        <f>Preferences.EnergyUnits</f>
        <v>TWh</v>
      </c>
      <c r="F118" s="219">
        <f t="shared" ref="F118:N118" si="15">F105</f>
        <v>16.427232673994066</v>
      </c>
      <c r="G118" s="219">
        <f t="shared" si="15"/>
        <v>14.985964695312001</v>
      </c>
      <c r="H118" s="219">
        <f t="shared" si="15"/>
        <v>13.844996245823999</v>
      </c>
      <c r="I118" s="219">
        <f t="shared" si="15"/>
        <v>12.604885897072</v>
      </c>
      <c r="J118" s="219">
        <f t="shared" si="15"/>
        <v>11.039100356924054</v>
      </c>
      <c r="K118" s="219">
        <f t="shared" si="15"/>
        <v>10.061680012821373</v>
      </c>
      <c r="L118" s="219">
        <f t="shared" si="15"/>
        <v>8.7392877825648565</v>
      </c>
      <c r="M118" s="219">
        <f t="shared" si="15"/>
        <v>7.0719236661544587</v>
      </c>
      <c r="N118" s="219">
        <f t="shared" si="15"/>
        <v>5.059587663590186</v>
      </c>
    </row>
    <row r="119" spans="2:14" x14ac:dyDescent="0.2">
      <c r="C119" s="82"/>
      <c r="E119" s="16"/>
      <c r="F119" s="234"/>
      <c r="G119" s="234"/>
      <c r="H119" s="234"/>
      <c r="I119" s="234"/>
      <c r="J119" s="234"/>
      <c r="K119" s="234"/>
      <c r="L119" s="234"/>
      <c r="M119" s="234"/>
      <c r="N119" s="234"/>
    </row>
    <row r="120" spans="2:14" x14ac:dyDescent="0.2">
      <c r="B120" s="82">
        <v>4</v>
      </c>
      <c r="C120" s="82" t="s">
        <v>514</v>
      </c>
      <c r="F120" s="219"/>
      <c r="G120" s="219"/>
      <c r="H120" s="219"/>
      <c r="I120" s="219"/>
      <c r="J120" s="219"/>
      <c r="K120" s="219"/>
      <c r="L120" s="219"/>
      <c r="M120" s="219"/>
      <c r="N120" s="219"/>
    </row>
    <row r="121" spans="2:14" x14ac:dyDescent="0.2">
      <c r="B121" s="82"/>
      <c r="F121" s="219"/>
      <c r="G121" s="219"/>
      <c r="H121" s="219"/>
      <c r="I121" s="219"/>
      <c r="J121" s="219"/>
      <c r="K121" s="219"/>
      <c r="L121" s="219"/>
      <c r="M121" s="219"/>
      <c r="N121" s="219"/>
    </row>
    <row r="122" spans="2:14" x14ac:dyDescent="0.2">
      <c r="B122" s="82"/>
      <c r="C122" s="38" t="s">
        <v>473</v>
      </c>
      <c r="E122" s="16" t="s">
        <v>492</v>
      </c>
      <c r="F122" s="153">
        <f t="array" ref="F122">SUM(F$115:F$118*SUMIFS(EF[CO2], EF[Vector], $B$115:$B$118))</f>
        <v>0.80493440102570912</v>
      </c>
      <c r="G122" s="153">
        <f t="array" ref="G122">SUM(G$115:G$118*SUMIFS(EF[CO2], EF[Vector], $B$115:$B$118))</f>
        <v>1.0615058325845999</v>
      </c>
      <c r="H122" s="153">
        <f t="array" ref="H122">SUM(H$115:H$118*SUMIFS(EF[CO2], EF[Vector], $B$115:$B$118))</f>
        <v>1.3585402566214799</v>
      </c>
      <c r="I122" s="153">
        <f t="array" ref="I122">SUM(I$115:I$118*SUMIFS(EF[CO2], EF[Vector], $B$115:$B$118))</f>
        <v>1.6791508712885195</v>
      </c>
      <c r="J122" s="153">
        <f t="array" ref="J122">SUM(J$115:J$118*SUMIFS(EF[CO2], EF[Vector], $B$115:$B$118))</f>
        <v>1.9870380642463294</v>
      </c>
      <c r="K122" s="153">
        <f t="array" ref="K122">SUM(K$115:K$118*SUMIFS(EF[CO2], EF[Vector], $B$115:$B$118))</f>
        <v>2.4701424431476466</v>
      </c>
      <c r="L122" s="153">
        <f t="array" ref="L122">SUM(L$115:L$118*SUMIFS(EF[CO2], EF[Vector], $B$115:$B$118))</f>
        <v>3.0041301752566687</v>
      </c>
      <c r="M122" s="153">
        <f t="array" ref="M122">SUM(M$115:M$118*SUMIFS(EF[CO2], EF[Vector], $B$115:$B$118))</f>
        <v>3.5890012605733874</v>
      </c>
      <c r="N122" s="153">
        <f t="array" ref="N122">SUM(N$115:N$118*SUMIFS(EF[CO2], EF[Vector], $B$115:$B$118))</f>
        <v>4.2247556990978037</v>
      </c>
    </row>
    <row r="123" spans="2:14" x14ac:dyDescent="0.2">
      <c r="B123" s="82"/>
      <c r="C123" s="38" t="s">
        <v>474</v>
      </c>
      <c r="E123" s="16"/>
      <c r="F123" s="153">
        <f t="array" ref="F123">SUM(F$115:F$118*SUMIFS(EF[CH4], EF[Vector], $B$115:$B$118))</f>
        <v>1.1456177544755506E-3</v>
      </c>
      <c r="G123" s="153">
        <f t="array" ref="G123">SUM(G$115:G$118*SUMIFS(EF[CH4], EF[Vector], $B$115:$B$118))</f>
        <v>1.5942567782625146E-3</v>
      </c>
      <c r="H123" s="153">
        <f t="array" ref="H123">SUM(H$115:H$118*SUMIFS(EF[CH4], EF[Vector], $B$115:$B$118))</f>
        <v>2.1070535459381812E-3</v>
      </c>
      <c r="I123" s="153">
        <f t="array" ref="I123">SUM(I$115:I$118*SUMIFS(EF[CH4], EF[Vector], $B$115:$B$118))</f>
        <v>2.6606592472575756E-3</v>
      </c>
      <c r="J123" s="153">
        <f t="array" ref="J123">SUM(J$115:J$118*SUMIFS(EF[CH4], EF[Vector], $B$115:$B$118))</f>
        <v>3.1969816641663346E-3</v>
      </c>
      <c r="K123" s="153">
        <f t="array" ref="K123">SUM(K$115:K$118*SUMIFS(EF[CH4], EF[Vector], $B$115:$B$118))</f>
        <v>4.0200279316692606E-3</v>
      </c>
      <c r="L123" s="153">
        <f t="array" ref="L123">SUM(L$115:L$118*SUMIFS(EF[CH4], EF[Vector], $B$115:$B$118))</f>
        <v>4.932787782570028E-3</v>
      </c>
      <c r="M123" s="153">
        <f t="array" ref="M123">SUM(M$115:M$118*SUMIFS(EF[CH4], EF[Vector], $B$115:$B$118))</f>
        <v>5.9352612168686262E-3</v>
      </c>
      <c r="N123" s="153">
        <f t="array" ref="N123">SUM(N$115:N$118*SUMIFS(EF[CH4], EF[Vector], $B$115:$B$118))</f>
        <v>7.0274482345650579E-3</v>
      </c>
    </row>
    <row r="124" spans="2:14" x14ac:dyDescent="0.2">
      <c r="B124" s="82"/>
      <c r="C124" s="38" t="s">
        <v>475</v>
      </c>
      <c r="E124" s="16"/>
      <c r="F124" s="153">
        <f t="array" ref="F124">SUM(F$115:F$118*SUMIFS(EF[N2O], EF[Vector], $B$115:$B$118))</f>
        <v>1.1490766165675643E-2</v>
      </c>
      <c r="G124" s="153">
        <f t="array" ref="G124">SUM(G$115:G$118*SUMIFS(EF[N2O], EF[Vector], $B$115:$B$118))</f>
        <v>1.3412881911597329E-2</v>
      </c>
      <c r="H124" s="153">
        <f t="array" ref="H124">SUM(H$115:H$118*SUMIFS(EF[N2O], EF[Vector], $B$115:$B$118))</f>
        <v>1.5775652053763283E-2</v>
      </c>
      <c r="I124" s="153">
        <f t="array" ref="I124">SUM(I$115:I$118*SUMIFS(EF[N2O], EF[Vector], $B$115:$B$118))</f>
        <v>1.8323723034495584E-2</v>
      </c>
      <c r="J124" s="153">
        <f t="array" ref="J124">SUM(J$115:J$118*SUMIFS(EF[N2O], EF[Vector], $B$115:$B$118))</f>
        <v>2.0672954811594566E-2</v>
      </c>
      <c r="K124" s="153">
        <f t="array" ref="K124">SUM(K$115:K$118*SUMIFS(EF[N2O], EF[Vector], $B$115:$B$118))</f>
        <v>2.4744758268238694E-2</v>
      </c>
      <c r="L124" s="153">
        <f t="array" ref="L124">SUM(L$115:L$118*SUMIFS(EF[N2O], EF[Vector], $B$115:$B$118))</f>
        <v>2.9182341257978427E-2</v>
      </c>
      <c r="M124" s="153">
        <f t="array" ref="M124">SUM(M$115:M$118*SUMIFS(EF[N2O], EF[Vector], $B$115:$B$118))</f>
        <v>3.3985703780813677E-2</v>
      </c>
      <c r="N124" s="153">
        <f t="array" ref="N124">SUM(N$115:N$118*SUMIFS(EF[N2O], EF[Vector], $B$115:$B$118))</f>
        <v>3.9154845836744452E-2</v>
      </c>
    </row>
    <row r="125" spans="2:14" s="1467" customFormat="1" ht="12" customHeight="1" x14ac:dyDescent="0.2">
      <c r="E125" s="1426"/>
      <c r="F125" s="219"/>
      <c r="G125" s="219"/>
      <c r="H125" s="219"/>
      <c r="I125" s="219"/>
      <c r="J125" s="219"/>
      <c r="K125" s="219"/>
      <c r="L125" s="219"/>
      <c r="M125" s="219"/>
      <c r="N125" s="219"/>
    </row>
    <row r="126" spans="2:14" s="1467" customFormat="1" x14ac:dyDescent="0.2">
      <c r="B126" s="1467" t="s">
        <v>1274</v>
      </c>
      <c r="C126" s="1427"/>
      <c r="F126" s="136"/>
      <c r="G126" s="136"/>
      <c r="H126" s="136"/>
      <c r="I126" s="136"/>
      <c r="J126" s="136"/>
      <c r="K126" s="136"/>
      <c r="L126" s="136"/>
      <c r="M126" s="136"/>
      <c r="N126" s="136"/>
    </row>
    <row r="127" spans="2:14" s="1467" customFormat="1" x14ac:dyDescent="0.2">
      <c r="E127" s="84"/>
      <c r="F127" s="171">
        <v>2010</v>
      </c>
      <c r="G127" s="171">
        <v>2015</v>
      </c>
      <c r="H127" s="171">
        <v>2020</v>
      </c>
      <c r="I127" s="171">
        <v>2025</v>
      </c>
      <c r="J127" s="171">
        <v>2030</v>
      </c>
      <c r="K127" s="171">
        <v>2035</v>
      </c>
      <c r="L127" s="171">
        <v>2040</v>
      </c>
      <c r="M127" s="171">
        <v>2045</v>
      </c>
      <c r="N127" s="171">
        <v>2050</v>
      </c>
    </row>
    <row r="128" spans="2:14" s="39" customFormat="1" x14ac:dyDescent="0.2">
      <c r="C128" s="39" t="s">
        <v>1553</v>
      </c>
      <c r="E128" s="202" t="s">
        <v>1554</v>
      </c>
      <c r="F128" s="366">
        <v>0.9</v>
      </c>
      <c r="G128" s="366">
        <v>0.9</v>
      </c>
      <c r="H128" s="366">
        <v>0.9</v>
      </c>
      <c r="I128" s="366">
        <v>0.9</v>
      </c>
      <c r="J128" s="366">
        <v>0.9</v>
      </c>
      <c r="K128" s="366">
        <v>0.9</v>
      </c>
      <c r="L128" s="366">
        <v>0.9</v>
      </c>
      <c r="M128" s="366">
        <v>0.9</v>
      </c>
      <c r="N128" s="366">
        <v>0.9</v>
      </c>
    </row>
    <row r="129" spans="2:14" s="39" customFormat="1" x14ac:dyDescent="0.2">
      <c r="C129" s="39" t="s">
        <v>2228</v>
      </c>
      <c r="E129" s="202" t="s">
        <v>1554</v>
      </c>
      <c r="F129" s="366">
        <v>0.5</v>
      </c>
      <c r="G129" s="366">
        <v>0.5</v>
      </c>
      <c r="H129" s="366">
        <v>0.5</v>
      </c>
      <c r="I129" s="366">
        <v>0.5</v>
      </c>
      <c r="J129" s="366">
        <v>0.5</v>
      </c>
      <c r="K129" s="366">
        <v>0.5</v>
      </c>
      <c r="L129" s="366">
        <v>0.5</v>
      </c>
      <c r="M129" s="366">
        <v>0.5</v>
      </c>
      <c r="N129" s="366">
        <v>0.5</v>
      </c>
    </row>
    <row r="130" spans="2:14" s="1467" customFormat="1" x14ac:dyDescent="0.2">
      <c r="E130" s="84"/>
      <c r="F130" s="136"/>
      <c r="G130" s="136"/>
      <c r="H130" s="136"/>
      <c r="I130" s="136"/>
      <c r="J130" s="136"/>
      <c r="K130" s="136"/>
      <c r="L130" s="136"/>
      <c r="M130" s="136"/>
      <c r="N130" s="136"/>
    </row>
    <row r="131" spans="2:14" s="1467" customFormat="1" x14ac:dyDescent="0.2">
      <c r="C131" s="1467" t="s">
        <v>1555</v>
      </c>
      <c r="E131" s="84" t="s">
        <v>73</v>
      </c>
      <c r="F131" s="136">
        <f xml:space="preserve"> (F110 * 0.9)</f>
        <v>9.1181608588810921</v>
      </c>
      <c r="G131" s="136">
        <f xml:space="preserve"> (F110 * 0.9) + (G110-F110)</f>
        <v>9.7981315255278787</v>
      </c>
      <c r="H131" s="136">
        <f t="shared" ref="H131:N131" si="16" xml:space="preserve"> (G110 * 0.9) + (H110-G110)</f>
        <v>10.531498986015198</v>
      </c>
      <c r="I131" s="136">
        <f t="shared" si="16"/>
        <v>11.189290603518726</v>
      </c>
      <c r="J131" s="136">
        <f t="shared" si="16"/>
        <v>16.140529014887132</v>
      </c>
      <c r="K131" s="136">
        <f t="shared" si="16"/>
        <v>21.040382332530179</v>
      </c>
      <c r="L131" s="136">
        <f t="shared" si="16"/>
        <v>22.342191201290891</v>
      </c>
      <c r="M131" s="136">
        <f t="shared" si="16"/>
        <v>23.886869866919994</v>
      </c>
      <c r="N131" s="136">
        <f t="shared" si="16"/>
        <v>27.060834685401371</v>
      </c>
    </row>
    <row r="132" spans="2:14" s="1467" customFormat="1" x14ac:dyDescent="0.2">
      <c r="C132" s="1467" t="s">
        <v>2229</v>
      </c>
      <c r="E132" s="84" t="s">
        <v>73</v>
      </c>
      <c r="F132" s="136">
        <f xml:space="preserve"> (F101 * F129)</f>
        <v>10.267020421246292</v>
      </c>
      <c r="G132" s="136">
        <f t="shared" ref="G132:N132" si="17" xml:space="preserve"> (G101 * G129) + (G101 - F101)</f>
        <v>10.686718939407413</v>
      </c>
      <c r="H132" s="136">
        <f t="shared" si="17"/>
        <v>11.635370096550002</v>
      </c>
      <c r="I132" s="136">
        <f t="shared" si="17"/>
        <v>12.130280590199996</v>
      </c>
      <c r="J132" s="136">
        <f t="shared" si="17"/>
        <v>11.98846379918767</v>
      </c>
      <c r="K132" s="136">
        <f t="shared" si="17"/>
        <v>14.733174304488369</v>
      </c>
      <c r="L132" s="136">
        <f t="shared" si="17"/>
        <v>15.811211448719328</v>
      </c>
      <c r="M132" s="136">
        <f t="shared" si="17"/>
        <v>16.889248592950196</v>
      </c>
      <c r="N132" s="136">
        <f t="shared" si="17"/>
        <v>17.967285737181072</v>
      </c>
    </row>
    <row r="133" spans="2:14" s="1467" customFormat="1" x14ac:dyDescent="0.2">
      <c r="E133" s="84"/>
      <c r="F133" s="136"/>
      <c r="G133" s="136"/>
      <c r="H133" s="136"/>
      <c r="I133" s="136"/>
      <c r="J133" s="136"/>
      <c r="K133" s="136"/>
      <c r="L133" s="136"/>
      <c r="M133" s="136"/>
      <c r="N133" s="136"/>
    </row>
    <row r="134" spans="2:14" s="1467" customFormat="1" x14ac:dyDescent="0.2">
      <c r="E134" s="84"/>
      <c r="F134" s="171"/>
      <c r="G134" s="171"/>
      <c r="H134" s="171"/>
      <c r="I134" s="171"/>
      <c r="J134" s="171"/>
      <c r="K134" s="171"/>
      <c r="L134" s="171"/>
      <c r="M134" s="171"/>
      <c r="N134" s="171"/>
    </row>
    <row r="135" spans="2:14" s="1467" customFormat="1" x14ac:dyDescent="0.2">
      <c r="B135" s="1559" t="s">
        <v>1689</v>
      </c>
      <c r="F135" s="136"/>
      <c r="G135" s="136"/>
      <c r="H135" s="136"/>
      <c r="I135" s="136"/>
      <c r="J135" s="136"/>
      <c r="K135" s="136"/>
      <c r="L135" s="136"/>
      <c r="M135" s="136"/>
      <c r="N135" s="136"/>
    </row>
    <row r="136" spans="2:14" s="1467" customFormat="1" x14ac:dyDescent="0.2">
      <c r="C136" s="1467" t="s">
        <v>1418</v>
      </c>
      <c r="E136" s="1467" t="str">
        <f>Preferences.moneyunits</f>
        <v>N</v>
      </c>
      <c r="F136" s="136">
        <f>(F$17-F$110)*INDEX($E$72:$E$75,MATCH($E$8,$C$72:$C$75,0),0)</f>
        <v>0</v>
      </c>
      <c r="G136" s="136">
        <f t="shared" ref="G136:N136" si="18">(G$87*INDEX($E$72:$E$75,MATCH($E$8,$C$72:$C$75,0),0))/(G$145-F$145)</f>
        <v>311407428797.88275</v>
      </c>
      <c r="H136" s="136">
        <f t="shared" si="18"/>
        <v>378656965149.08978</v>
      </c>
      <c r="I136" s="136">
        <f t="shared" si="18"/>
        <v>530734707904.79199</v>
      </c>
      <c r="J136" s="136">
        <f t="shared" si="18"/>
        <v>496702742373.71826</v>
      </c>
      <c r="K136" s="136">
        <f t="shared" si="18"/>
        <v>533999719036.70886</v>
      </c>
      <c r="L136" s="136">
        <f t="shared" si="18"/>
        <v>182078184447.60236</v>
      </c>
      <c r="M136" s="136">
        <f t="shared" si="18"/>
        <v>170892666749.03476</v>
      </c>
      <c r="N136" s="136">
        <f t="shared" si="18"/>
        <v>330822049820.16388</v>
      </c>
    </row>
    <row r="137" spans="2:14" s="1467" customFormat="1" x14ac:dyDescent="0.2">
      <c r="C137" s="1467" t="s">
        <v>1419</v>
      </c>
      <c r="E137" s="1467" t="str">
        <f>Preferences.moneyunits</f>
        <v>N</v>
      </c>
      <c r="F137" s="136"/>
      <c r="G137" s="136"/>
      <c r="H137" s="136"/>
      <c r="I137" s="136"/>
      <c r="J137" s="136"/>
      <c r="K137" s="136"/>
      <c r="L137" s="136"/>
      <c r="M137" s="136"/>
      <c r="N137" s="136"/>
    </row>
    <row r="138" spans="2:14" s="1467" customFormat="1" x14ac:dyDescent="0.2">
      <c r="C138" s="1467" t="s">
        <v>1421</v>
      </c>
      <c r="E138" s="1467" t="str">
        <f>Preferences.moneyunits</f>
        <v>N</v>
      </c>
      <c r="F138" s="136">
        <f t="shared" ref="F138:N138" si="19" xml:space="preserve"> F136 + F137</f>
        <v>0</v>
      </c>
      <c r="G138" s="136">
        <f t="shared" si="19"/>
        <v>311407428797.88275</v>
      </c>
      <c r="H138" s="136">
        <f t="shared" si="19"/>
        <v>378656965149.08978</v>
      </c>
      <c r="I138" s="136">
        <f t="shared" si="19"/>
        <v>530734707904.79199</v>
      </c>
      <c r="J138" s="136">
        <f t="shared" si="19"/>
        <v>496702742373.71826</v>
      </c>
      <c r="K138" s="136">
        <f t="shared" si="19"/>
        <v>533999719036.70886</v>
      </c>
      <c r="L138" s="136">
        <f t="shared" si="19"/>
        <v>182078184447.60236</v>
      </c>
      <c r="M138" s="136">
        <f t="shared" si="19"/>
        <v>170892666749.03476</v>
      </c>
      <c r="N138" s="136">
        <f t="shared" si="19"/>
        <v>330822049820.16388</v>
      </c>
    </row>
    <row r="139" spans="2:14" s="2124" customFormat="1" x14ac:dyDescent="0.2">
      <c r="F139" s="136"/>
      <c r="G139" s="136"/>
      <c r="H139" s="136"/>
      <c r="I139" s="136"/>
      <c r="J139" s="136"/>
      <c r="K139" s="136"/>
      <c r="L139" s="136"/>
      <c r="M139" s="136"/>
      <c r="N139" s="136"/>
    </row>
    <row r="140" spans="2:14" s="2124" customFormat="1" x14ac:dyDescent="0.2">
      <c r="B140" s="2124" t="s">
        <v>1951</v>
      </c>
      <c r="F140" s="136"/>
      <c r="G140" s="136"/>
      <c r="H140" s="136"/>
      <c r="I140" s="136"/>
      <c r="J140" s="136"/>
      <c r="K140" s="136"/>
      <c r="L140" s="136"/>
      <c r="M140" s="136"/>
      <c r="N140" s="136"/>
    </row>
    <row r="141" spans="2:14" s="2124" customFormat="1" x14ac:dyDescent="0.2">
      <c r="C141" s="2124" t="s">
        <v>1418</v>
      </c>
      <c r="E141" s="2124" t="str">
        <f>Preferences.moneyunits</f>
        <v>N</v>
      </c>
      <c r="F141" s="136">
        <f>(F$17-F$110)*INDEX($E$72:$E$75,MATCH($E$8,$C$72:$C$75,0),0)</f>
        <v>0</v>
      </c>
      <c r="G141" s="136">
        <f>(G146+((G136-G146)*0.35))</f>
        <v>210200014438.57086</v>
      </c>
      <c r="H141" s="136">
        <f t="shared" ref="H141:M141" si="20">(H146+((H136-H146)*0.35))</f>
        <v>255593451475.63559</v>
      </c>
      <c r="I141" s="136">
        <f t="shared" si="20"/>
        <v>358245927835.73462</v>
      </c>
      <c r="J141" s="136">
        <f t="shared" si="20"/>
        <v>335274351102.25983</v>
      </c>
      <c r="K141" s="136">
        <f t="shared" si="20"/>
        <v>360449810349.77844</v>
      </c>
      <c r="L141" s="136">
        <f t="shared" si="20"/>
        <v>122902774502.13159</v>
      </c>
      <c r="M141" s="136">
        <f t="shared" si="20"/>
        <v>115352550055.59846</v>
      </c>
      <c r="N141" s="136">
        <f>(N146+((N136-N146)*0.35))</f>
        <v>223304883628.61063</v>
      </c>
    </row>
    <row r="142" spans="2:14" s="1467" customFormat="1" ht="12" customHeight="1" x14ac:dyDescent="0.2">
      <c r="B142" s="2124"/>
      <c r="C142" s="2124" t="s">
        <v>1419</v>
      </c>
      <c r="D142" s="2124"/>
      <c r="E142" s="2124" t="str">
        <f>Preferences.moneyunits</f>
        <v>N</v>
      </c>
      <c r="F142" s="136"/>
      <c r="G142" s="136"/>
      <c r="H142" s="136"/>
      <c r="I142" s="136"/>
      <c r="J142" s="136"/>
      <c r="K142" s="136"/>
      <c r="L142" s="136"/>
      <c r="M142" s="136"/>
      <c r="N142" s="136"/>
    </row>
    <row r="143" spans="2:14" s="1467" customFormat="1" x14ac:dyDescent="0.2">
      <c r="B143" s="2124"/>
      <c r="C143" s="2124" t="s">
        <v>1421</v>
      </c>
      <c r="D143" s="2124"/>
      <c r="E143" s="2124" t="str">
        <f>Preferences.moneyunits</f>
        <v>N</v>
      </c>
      <c r="F143" s="136">
        <f xml:space="preserve"> F141 + F142</f>
        <v>0</v>
      </c>
      <c r="G143" s="136">
        <f t="shared" ref="G143:N143" si="21" xml:space="preserve"> G141 + G142</f>
        <v>210200014438.57086</v>
      </c>
      <c r="H143" s="136">
        <f t="shared" si="21"/>
        <v>255593451475.63559</v>
      </c>
      <c r="I143" s="136">
        <f t="shared" si="21"/>
        <v>358245927835.73462</v>
      </c>
      <c r="J143" s="136">
        <f t="shared" si="21"/>
        <v>335274351102.25983</v>
      </c>
      <c r="K143" s="136">
        <f t="shared" si="21"/>
        <v>360449810349.77844</v>
      </c>
      <c r="L143" s="136">
        <f t="shared" si="21"/>
        <v>122902774502.13159</v>
      </c>
      <c r="M143" s="136">
        <f t="shared" si="21"/>
        <v>115352550055.59846</v>
      </c>
      <c r="N143" s="136">
        <f t="shared" si="21"/>
        <v>223304883628.61063</v>
      </c>
    </row>
    <row r="144" spans="2:14" s="1467" customFormat="1" x14ac:dyDescent="0.2">
      <c r="B144" s="2124"/>
      <c r="C144" s="2124"/>
      <c r="D144" s="2124"/>
      <c r="E144" s="2124"/>
      <c r="F144" s="136"/>
      <c r="G144" s="136"/>
      <c r="H144" s="136"/>
      <c r="I144" s="136"/>
      <c r="J144" s="136"/>
      <c r="K144" s="136"/>
      <c r="L144" s="136"/>
      <c r="M144" s="136"/>
      <c r="N144" s="136"/>
    </row>
    <row r="145" spans="1:14" s="1467" customFormat="1" x14ac:dyDescent="0.2">
      <c r="B145" s="1559" t="s">
        <v>1688</v>
      </c>
      <c r="F145" s="171">
        <v>2010</v>
      </c>
      <c r="G145" s="171">
        <v>2015</v>
      </c>
      <c r="H145" s="171">
        <v>2020</v>
      </c>
      <c r="I145" s="171">
        <v>2025</v>
      </c>
      <c r="J145" s="171">
        <v>2030</v>
      </c>
      <c r="K145" s="171">
        <v>2035</v>
      </c>
      <c r="L145" s="171">
        <v>2040</v>
      </c>
      <c r="M145" s="171">
        <v>2045</v>
      </c>
      <c r="N145" s="171">
        <v>2050</v>
      </c>
    </row>
    <row r="146" spans="1:14" s="1467" customFormat="1" x14ac:dyDescent="0.2">
      <c r="C146" s="1559" t="s">
        <v>1418</v>
      </c>
      <c r="E146" s="1467" t="str">
        <f>Preferences.moneyunits</f>
        <v>N</v>
      </c>
      <c r="F146" s="136">
        <f>(F$17-F$110)*INDEX($D$72:$D$75,MATCH($E$8,$C$72:$C$75,0),0)</f>
        <v>0</v>
      </c>
      <c r="G146" s="136">
        <f t="shared" ref="G146:N146" si="22">(G$87*INDEX($D$72:$D$75,MATCH($E$8,$C$72:$C$75,0),0))/(G$145-F$145)</f>
        <v>155703714398.94138</v>
      </c>
      <c r="H146" s="136">
        <f t="shared" si="22"/>
        <v>189328482574.54489</v>
      </c>
      <c r="I146" s="136">
        <f t="shared" si="22"/>
        <v>265367353952.396</v>
      </c>
      <c r="J146" s="136">
        <f t="shared" si="22"/>
        <v>248351371186.85913</v>
      </c>
      <c r="K146" s="136">
        <f t="shared" si="22"/>
        <v>266999859518.35443</v>
      </c>
      <c r="L146" s="136">
        <f t="shared" si="22"/>
        <v>91039092223.801178</v>
      </c>
      <c r="M146" s="136">
        <f t="shared" si="22"/>
        <v>85446333374.51738</v>
      </c>
      <c r="N146" s="136">
        <f t="shared" si="22"/>
        <v>165411024910.08194</v>
      </c>
    </row>
    <row r="147" spans="1:14" s="1467" customFormat="1" x14ac:dyDescent="0.2">
      <c r="C147" s="1467" t="s">
        <v>1419</v>
      </c>
      <c r="E147" s="1467" t="str">
        <f>Preferences.moneyunits</f>
        <v>N</v>
      </c>
      <c r="F147" s="136"/>
      <c r="G147" s="136"/>
      <c r="H147" s="136"/>
      <c r="I147" s="136"/>
      <c r="J147" s="136"/>
      <c r="K147" s="136"/>
      <c r="L147" s="136"/>
      <c r="M147" s="136"/>
      <c r="N147" s="136"/>
    </row>
    <row r="148" spans="1:14" x14ac:dyDescent="0.2">
      <c r="B148" s="1467"/>
      <c r="C148" s="1467" t="s">
        <v>1421</v>
      </c>
      <c r="D148" s="1467"/>
      <c r="E148" s="1467" t="str">
        <f>Preferences.moneyunits</f>
        <v>N</v>
      </c>
      <c r="F148" s="136">
        <f xml:space="preserve"> F146 + F147</f>
        <v>0</v>
      </c>
      <c r="G148" s="136">
        <f t="shared" ref="G148:N148" si="23" xml:space="preserve"> G146 + G147</f>
        <v>155703714398.94138</v>
      </c>
      <c r="H148" s="136">
        <f t="shared" si="23"/>
        <v>189328482574.54489</v>
      </c>
      <c r="I148" s="136">
        <f t="shared" si="23"/>
        <v>265367353952.396</v>
      </c>
      <c r="J148" s="136">
        <f t="shared" si="23"/>
        <v>248351371186.85913</v>
      </c>
      <c r="K148" s="136">
        <f t="shared" si="23"/>
        <v>266999859518.35443</v>
      </c>
      <c r="L148" s="136">
        <f t="shared" si="23"/>
        <v>91039092223.801178</v>
      </c>
      <c r="M148" s="136">
        <f t="shared" si="23"/>
        <v>85446333374.51738</v>
      </c>
      <c r="N148" s="136">
        <f t="shared" si="23"/>
        <v>165411024910.08194</v>
      </c>
    </row>
    <row r="149" spans="1:14" s="84" customFormat="1" x14ac:dyDescent="0.2">
      <c r="F149" s="23"/>
    </row>
    <row r="150" spans="1:14" ht="22.5" collapsed="1" x14ac:dyDescent="0.3">
      <c r="A150" s="409"/>
      <c r="B150" s="468" t="s">
        <v>236</v>
      </c>
      <c r="C150" s="421"/>
      <c r="D150" s="421"/>
      <c r="E150" s="421"/>
      <c r="F150" s="421"/>
      <c r="G150" s="421"/>
      <c r="H150" s="421"/>
      <c r="I150" s="421"/>
      <c r="J150" s="421"/>
      <c r="K150" s="421"/>
      <c r="L150" s="421"/>
      <c r="M150" s="421"/>
      <c r="N150" s="421"/>
    </row>
    <row r="151" spans="1:14" x14ac:dyDescent="0.2">
      <c r="B151" s="410"/>
      <c r="C151" s="412"/>
      <c r="D151" s="412"/>
      <c r="E151" s="412"/>
      <c r="F151" s="412"/>
      <c r="G151" s="412"/>
      <c r="H151" s="412"/>
      <c r="I151" s="412"/>
      <c r="J151" s="412"/>
      <c r="K151" s="412"/>
      <c r="L151" s="412"/>
      <c r="M151" s="412"/>
      <c r="N151" s="412"/>
    </row>
    <row r="152" spans="1:14" x14ac:dyDescent="0.2">
      <c r="B152" s="410"/>
      <c r="C152" s="424" t="s">
        <v>277</v>
      </c>
      <c r="D152" s="412"/>
      <c r="E152" s="413" t="str">
        <f>Preferences.EnergyUnits</f>
        <v>TWh</v>
      </c>
      <c r="F152" s="412"/>
      <c r="G152" s="413"/>
      <c r="H152" s="412"/>
      <c r="I152" s="412"/>
      <c r="J152" s="412"/>
      <c r="K152" s="412"/>
      <c r="L152" s="412"/>
      <c r="M152" s="412"/>
      <c r="N152" s="412"/>
    </row>
    <row r="153" spans="1:14" ht="6" customHeight="1" x14ac:dyDescent="0.2">
      <c r="B153" s="410"/>
      <c r="C153" s="412"/>
      <c r="D153" s="412"/>
      <c r="E153" s="412"/>
      <c r="F153" s="412"/>
      <c r="G153" s="412"/>
      <c r="H153" s="412"/>
      <c r="I153" s="412"/>
      <c r="J153" s="412"/>
      <c r="K153" s="412"/>
      <c r="L153" s="412"/>
      <c r="M153" s="412"/>
      <c r="N153" s="412"/>
    </row>
    <row r="154" spans="1:14" ht="15.75" x14ac:dyDescent="0.25">
      <c r="A154" s="3"/>
      <c r="B154" s="415"/>
      <c r="C154" s="426" t="s">
        <v>64</v>
      </c>
      <c r="D154" s="426" t="s">
        <v>150</v>
      </c>
      <c r="E154" s="426" t="s">
        <v>172</v>
      </c>
      <c r="F154" s="426" t="s">
        <v>241</v>
      </c>
      <c r="G154" s="427" t="s">
        <v>268</v>
      </c>
      <c r="H154" s="427" t="s">
        <v>269</v>
      </c>
      <c r="I154" s="427" t="s">
        <v>270</v>
      </c>
      <c r="J154" s="427" t="s">
        <v>271</v>
      </c>
      <c r="K154" s="427" t="s">
        <v>272</v>
      </c>
      <c r="L154" s="427" t="s">
        <v>273</v>
      </c>
      <c r="M154" s="427" t="s">
        <v>274</v>
      </c>
      <c r="N154" s="427" t="s">
        <v>275</v>
      </c>
    </row>
    <row r="155" spans="1:14" ht="15.75" x14ac:dyDescent="0.25">
      <c r="A155" s="3"/>
      <c r="B155" s="415"/>
      <c r="C155" s="426" t="s">
        <v>44</v>
      </c>
      <c r="D155" s="426" t="str">
        <f>INDEX(Vectors[Description], MATCH(X.b.Outputs[Vector], Vectors[Code], 0))</f>
        <v>Lighting &amp; appliances</v>
      </c>
      <c r="E155" s="426"/>
      <c r="F155" s="500">
        <f t="shared" ref="F155:N155" si="24">F111</f>
        <v>10.131289843201213</v>
      </c>
      <c r="G155" s="500">
        <f t="shared" si="24"/>
        <v>10.811260509847999</v>
      </c>
      <c r="H155" s="500">
        <f t="shared" si="24"/>
        <v>11.612625036999997</v>
      </c>
      <c r="I155" s="500">
        <f t="shared" si="24"/>
        <v>12.350553107218726</v>
      </c>
      <c r="J155" s="500">
        <f t="shared" si="24"/>
        <v>17.375584325609005</v>
      </c>
      <c r="K155" s="500">
        <f t="shared" si="24"/>
        <v>22.777940765091078</v>
      </c>
      <c r="L155" s="500">
        <f t="shared" si="24"/>
        <v>24.619985277799998</v>
      </c>
      <c r="M155" s="500">
        <f t="shared" si="24"/>
        <v>26.348868394699995</v>
      </c>
      <c r="N155" s="500">
        <f t="shared" si="24"/>
        <v>29.69572152487137</v>
      </c>
    </row>
    <row r="156" spans="1:14" ht="15" customHeight="1" x14ac:dyDescent="0.25">
      <c r="A156" s="3"/>
      <c r="B156" s="415"/>
      <c r="C156" s="426" t="s">
        <v>2205</v>
      </c>
      <c r="D156" s="426" t="str">
        <f>INDEX(Vectors[Description], MATCH(X.b.Outputs[Vector], Vectors[Code], 0))</f>
        <v>Cooking</v>
      </c>
      <c r="E156" s="426"/>
      <c r="F156" s="500">
        <f t="shared" ref="F156:N156" si="25">F101</f>
        <v>20.534040842492583</v>
      </c>
      <c r="G156" s="500">
        <f t="shared" si="25"/>
        <v>20.813839854599998</v>
      </c>
      <c r="H156" s="500">
        <f t="shared" si="25"/>
        <v>21.6328066341</v>
      </c>
      <c r="I156" s="500">
        <f t="shared" si="25"/>
        <v>22.508724816199997</v>
      </c>
      <c r="J156" s="500">
        <f t="shared" si="25"/>
        <v>22.998125743591778</v>
      </c>
      <c r="K156" s="500">
        <f t="shared" si="25"/>
        <v>25.154200032053431</v>
      </c>
      <c r="L156" s="500">
        <f t="shared" si="25"/>
        <v>27.310274320515173</v>
      </c>
      <c r="M156" s="500">
        <f t="shared" si="25"/>
        <v>29.466348608976912</v>
      </c>
      <c r="N156" s="500">
        <f t="shared" si="25"/>
        <v>31.622422897438657</v>
      </c>
    </row>
    <row r="157" spans="1:14" s="2370" customFormat="1" ht="15" customHeight="1" x14ac:dyDescent="0.25">
      <c r="A157" s="3"/>
      <c r="B157" s="415"/>
      <c r="C157" s="426" t="s">
        <v>34</v>
      </c>
      <c r="D157" s="426" t="str">
        <f>INDEX(Vectors[Description], MATCH(X.b.Outputs[Vector], Vectors[Code], 0))</f>
        <v>Electricity (delivered to end user)</v>
      </c>
      <c r="E157" s="426"/>
      <c r="F157" s="500">
        <f t="shared" ref="F157:N157" si="26">-F115</f>
        <v>-10.747311068475991</v>
      </c>
      <c r="G157" s="500">
        <f t="shared" si="26"/>
        <v>-11.877969802396249</v>
      </c>
      <c r="H157" s="500">
        <f t="shared" si="26"/>
        <v>-13.181003517972247</v>
      </c>
      <c r="I157" s="500">
        <f t="shared" si="26"/>
        <v>-14.460746058737476</v>
      </c>
      <c r="J157" s="500">
        <f t="shared" si="26"/>
        <v>-20.020368786122059</v>
      </c>
      <c r="K157" s="500">
        <f t="shared" si="26"/>
        <v>-26.205200519458359</v>
      </c>
      <c r="L157" s="500">
        <f t="shared" si="26"/>
        <v>-28.921353483281138</v>
      </c>
      <c r="M157" s="500">
        <f t="shared" si="26"/>
        <v>-31.615978208554619</v>
      </c>
      <c r="N157" s="500">
        <f t="shared" si="26"/>
        <v>-36.020206104359104</v>
      </c>
    </row>
    <row r="158" spans="1:14" s="2370" customFormat="1" ht="15" customHeight="1" x14ac:dyDescent="0.25">
      <c r="A158" s="3"/>
      <c r="B158" s="415"/>
      <c r="C158" s="426" t="s">
        <v>38</v>
      </c>
      <c r="D158" s="426" t="str">
        <f>INDEX(Vectors[Description], MATCH(X.b.Outputs[Vector], Vectors[Code], 0))</f>
        <v>Liquid hydrocarbons</v>
      </c>
      <c r="E158" s="426"/>
      <c r="F158" s="500">
        <f t="shared" ref="F158:N158" si="27">-F116</f>
        <v>-2.4640849010991097</v>
      </c>
      <c r="G158" s="500">
        <f t="shared" si="27"/>
        <v>-2.8098683803709998</v>
      </c>
      <c r="H158" s="500">
        <f t="shared" si="27"/>
        <v>-3.2449209951149998</v>
      </c>
      <c r="I158" s="500">
        <f t="shared" si="27"/>
        <v>-3.7139395946729992</v>
      </c>
      <c r="J158" s="500">
        <f t="shared" si="27"/>
        <v>-4.1396626338465197</v>
      </c>
      <c r="K158" s="500">
        <f t="shared" si="27"/>
        <v>-4.905069006250419</v>
      </c>
      <c r="L158" s="500">
        <f t="shared" si="27"/>
        <v>-5.735157607308186</v>
      </c>
      <c r="M158" s="500">
        <f t="shared" si="27"/>
        <v>-6.6299284370198048</v>
      </c>
      <c r="N158" s="500">
        <f t="shared" si="27"/>
        <v>-7.5893814953852772</v>
      </c>
    </row>
    <row r="159" spans="1:14" ht="15.75" x14ac:dyDescent="0.25">
      <c r="A159" s="3"/>
      <c r="B159" s="415"/>
      <c r="C159" s="426" t="s">
        <v>39</v>
      </c>
      <c r="D159" s="426" t="str">
        <f>INDEX(Vectors[Description], MATCH(X.b.Outputs[Vector], Vectors[Code], 0))</f>
        <v>Gaseous hydrocarbons</v>
      </c>
      <c r="E159" s="426"/>
      <c r="F159" s="500">
        <f t="shared" ref="F159:N159" si="28">-F117</f>
        <v>-1.0267020421246291</v>
      </c>
      <c r="G159" s="500">
        <f t="shared" si="28"/>
        <v>-1.9512974863687498</v>
      </c>
      <c r="H159" s="500">
        <f t="shared" si="28"/>
        <v>-2.9745109121887503</v>
      </c>
      <c r="I159" s="500">
        <f t="shared" si="28"/>
        <v>-4.0797063729362497</v>
      </c>
      <c r="J159" s="500">
        <f t="shared" si="28"/>
        <v>-5.1745782923081505</v>
      </c>
      <c r="K159" s="500">
        <f t="shared" si="28"/>
        <v>-6.7601912586143609</v>
      </c>
      <c r="L159" s="500">
        <f t="shared" si="28"/>
        <v>-8.5344607251609919</v>
      </c>
      <c r="M159" s="500">
        <f t="shared" si="28"/>
        <v>-10.497386691948025</v>
      </c>
      <c r="N159" s="500">
        <f t="shared" si="28"/>
        <v>-12.648969158975463</v>
      </c>
    </row>
    <row r="160" spans="1:14" ht="15.75" x14ac:dyDescent="0.25">
      <c r="A160" s="3"/>
      <c r="B160" s="415"/>
      <c r="C160" s="426" t="s">
        <v>2184</v>
      </c>
      <c r="D160" s="426" t="str">
        <f>INDEX(Vectors[Description], MATCH(X.b.Outputs[Vector], Vectors[Code], 0))</f>
        <v>Traditional Fuel</v>
      </c>
      <c r="E160" s="426"/>
      <c r="F160" s="500">
        <f t="shared" ref="F160:N160" si="29">-F118</f>
        <v>-16.427232673994066</v>
      </c>
      <c r="G160" s="500">
        <f t="shared" si="29"/>
        <v>-14.985964695312001</v>
      </c>
      <c r="H160" s="500">
        <f t="shared" si="29"/>
        <v>-13.844996245823999</v>
      </c>
      <c r="I160" s="500">
        <f t="shared" si="29"/>
        <v>-12.604885897072</v>
      </c>
      <c r="J160" s="500">
        <f t="shared" si="29"/>
        <v>-11.039100356924054</v>
      </c>
      <c r="K160" s="500">
        <f t="shared" si="29"/>
        <v>-10.061680012821373</v>
      </c>
      <c r="L160" s="500">
        <f t="shared" si="29"/>
        <v>-8.7392877825648565</v>
      </c>
      <c r="M160" s="500">
        <f t="shared" si="29"/>
        <v>-7.0719236661544587</v>
      </c>
      <c r="N160" s="500">
        <f t="shared" si="29"/>
        <v>-5.059587663590186</v>
      </c>
    </row>
    <row r="161" spans="1:14" ht="15.75" x14ac:dyDescent="0.25">
      <c r="A161" s="3"/>
      <c r="B161" s="416"/>
      <c r="C161" s="97" t="s">
        <v>105</v>
      </c>
      <c r="D161" s="97"/>
      <c r="E161" s="97"/>
      <c r="F161" s="2412">
        <f>SUBTOTAL(109,X.b.Outputs[2010])</f>
        <v>0</v>
      </c>
      <c r="G161" s="2412">
        <f>SUBTOTAL(109,X.b.Outputs[2015])</f>
        <v>0</v>
      </c>
      <c r="H161" s="2412">
        <f>SUBTOTAL(109,X.b.Outputs[2020])</f>
        <v>0</v>
      </c>
      <c r="I161" s="2412">
        <f>SUBTOTAL(109,X.b.Outputs[2025])</f>
        <v>0</v>
      </c>
      <c r="J161" s="2412">
        <f>SUBTOTAL(109,X.b.Outputs[2030])</f>
        <v>0</v>
      </c>
      <c r="K161" s="2412">
        <f>SUBTOTAL(109,X.b.Outputs[2035])</f>
        <v>0</v>
      </c>
      <c r="L161" s="2412">
        <f>SUBTOTAL(109,X.b.Outputs[2040])</f>
        <v>0</v>
      </c>
      <c r="M161" s="2412">
        <f>SUBTOTAL(109,X.b.Outputs[2045])</f>
        <v>0</v>
      </c>
      <c r="N161" s="2412">
        <f>SUBTOTAL(109,X.b.Outputs[2050])</f>
        <v>0</v>
      </c>
    </row>
    <row r="162" spans="1:14" x14ac:dyDescent="0.2">
      <c r="C162" s="417"/>
      <c r="D162" s="417"/>
      <c r="E162" s="417"/>
      <c r="F162" s="519"/>
      <c r="G162" s="417"/>
      <c r="H162" s="417"/>
      <c r="I162" s="417"/>
      <c r="J162" s="417"/>
      <c r="K162" s="417"/>
      <c r="L162" s="417"/>
      <c r="M162" s="417"/>
      <c r="N162" s="417"/>
    </row>
    <row r="163" spans="1:14" ht="22.5" x14ac:dyDescent="0.3">
      <c r="A163" s="409"/>
      <c r="B163" s="484" t="s">
        <v>361</v>
      </c>
    </row>
    <row r="164" spans="1:14" ht="15.75" x14ac:dyDescent="0.2">
      <c r="B164" s="444"/>
      <c r="C164" s="436"/>
      <c r="D164" s="437"/>
      <c r="E164" s="437"/>
      <c r="F164" s="437"/>
      <c r="G164" s="437"/>
      <c r="H164" s="437"/>
      <c r="I164" s="437"/>
      <c r="J164" s="437"/>
      <c r="K164" s="437"/>
      <c r="L164" s="437"/>
      <c r="M164" s="437"/>
      <c r="N164" s="437"/>
    </row>
    <row r="165" spans="1:14" x14ac:dyDescent="0.2">
      <c r="B165" s="447"/>
      <c r="C165" s="445"/>
      <c r="D165" s="445"/>
      <c r="E165" s="445"/>
      <c r="F165" s="445"/>
      <c r="G165" s="445"/>
      <c r="H165" s="445"/>
      <c r="I165" s="445"/>
      <c r="J165" s="445"/>
      <c r="K165" s="445"/>
      <c r="L165" s="445"/>
      <c r="M165" s="445"/>
      <c r="N165" s="445"/>
    </row>
    <row r="166" spans="1:14" ht="15.75" customHeight="1" x14ac:dyDescent="0.25">
      <c r="B166" s="447"/>
      <c r="C166" s="439" t="s">
        <v>1857</v>
      </c>
      <c r="D166" s="440"/>
      <c r="E166" s="441"/>
      <c r="F166" s="440"/>
      <c r="G166" s="441"/>
      <c r="H166" s="440"/>
      <c r="I166" s="440"/>
      <c r="J166" s="440"/>
      <c r="K166" s="440"/>
      <c r="L166" s="440"/>
      <c r="M166" s="440"/>
      <c r="N166" s="1750" t="s">
        <v>676</v>
      </c>
    </row>
    <row r="167" spans="1:14" ht="15.75" x14ac:dyDescent="0.25">
      <c r="B167" s="449"/>
      <c r="C167" s="440"/>
      <c r="D167" s="440"/>
      <c r="E167" s="440"/>
      <c r="F167" s="440"/>
      <c r="G167" s="440"/>
      <c r="H167" s="440"/>
      <c r="I167" s="440"/>
      <c r="J167" s="440"/>
      <c r="K167" s="440"/>
      <c r="L167" s="440"/>
      <c r="M167" s="440"/>
      <c r="N167" s="440"/>
    </row>
    <row r="168" spans="1:14" ht="15.75" x14ac:dyDescent="0.25">
      <c r="B168" s="449"/>
      <c r="C168" s="503" t="s">
        <v>490</v>
      </c>
      <c r="D168" s="503" t="s">
        <v>461</v>
      </c>
      <c r="E168" s="503" t="s">
        <v>172</v>
      </c>
      <c r="F168" s="503" t="s">
        <v>241</v>
      </c>
      <c r="G168" s="503" t="s">
        <v>268</v>
      </c>
      <c r="H168" s="503" t="s">
        <v>269</v>
      </c>
      <c r="I168" s="503" t="s">
        <v>270</v>
      </c>
      <c r="J168" s="503" t="s">
        <v>271</v>
      </c>
      <c r="K168" s="503" t="s">
        <v>272</v>
      </c>
      <c r="L168" s="503" t="s">
        <v>273</v>
      </c>
      <c r="M168" s="503" t="s">
        <v>274</v>
      </c>
      <c r="N168" s="503" t="s">
        <v>275</v>
      </c>
    </row>
    <row r="169" spans="1:14" ht="15.75" x14ac:dyDescent="0.25">
      <c r="B169" s="449"/>
      <c r="C169" s="443" t="s">
        <v>473</v>
      </c>
      <c r="D169" s="453" t="s">
        <v>483</v>
      </c>
      <c r="E169" s="443" t="str">
        <f>INDEX(IPCC[Sector_description], MATCH(X.b.Emissions[IPCC Sector], IPCC[Sector_code], 0))</f>
        <v>Fuel Combustion</v>
      </c>
      <c r="F169" s="502">
        <f t="shared" ref="F169:N169" si="30">F122</f>
        <v>0.80493440102570912</v>
      </c>
      <c r="G169" s="502">
        <f t="shared" si="30"/>
        <v>1.0615058325845999</v>
      </c>
      <c r="H169" s="502">
        <f t="shared" si="30"/>
        <v>1.3585402566214799</v>
      </c>
      <c r="I169" s="502">
        <f t="shared" si="30"/>
        <v>1.6791508712885195</v>
      </c>
      <c r="J169" s="502">
        <f t="shared" si="30"/>
        <v>1.9870380642463294</v>
      </c>
      <c r="K169" s="502">
        <f t="shared" si="30"/>
        <v>2.4701424431476466</v>
      </c>
      <c r="L169" s="502">
        <f t="shared" si="30"/>
        <v>3.0041301752566687</v>
      </c>
      <c r="M169" s="502">
        <f t="shared" si="30"/>
        <v>3.5890012605733874</v>
      </c>
      <c r="N169" s="502">
        <f t="shared" si="30"/>
        <v>4.2247556990978037</v>
      </c>
    </row>
    <row r="170" spans="1:14" ht="15.75" x14ac:dyDescent="0.25">
      <c r="B170" s="449"/>
      <c r="C170" s="443" t="s">
        <v>474</v>
      </c>
      <c r="D170" s="453" t="s">
        <v>483</v>
      </c>
      <c r="E170" s="443" t="str">
        <f>INDEX(IPCC[Sector_description], MATCH(X.b.Emissions[IPCC Sector], IPCC[Sector_code], 0))</f>
        <v>Fuel Combustion</v>
      </c>
      <c r="F170" s="502">
        <f t="shared" ref="F170:N170" si="31">F123</f>
        <v>1.1456177544755506E-3</v>
      </c>
      <c r="G170" s="502">
        <f t="shared" si="31"/>
        <v>1.5942567782625146E-3</v>
      </c>
      <c r="H170" s="502">
        <f t="shared" si="31"/>
        <v>2.1070535459381812E-3</v>
      </c>
      <c r="I170" s="502">
        <f t="shared" si="31"/>
        <v>2.6606592472575756E-3</v>
      </c>
      <c r="J170" s="502">
        <f t="shared" si="31"/>
        <v>3.1969816641663346E-3</v>
      </c>
      <c r="K170" s="502">
        <f t="shared" si="31"/>
        <v>4.0200279316692606E-3</v>
      </c>
      <c r="L170" s="502">
        <f t="shared" si="31"/>
        <v>4.932787782570028E-3</v>
      </c>
      <c r="M170" s="502">
        <f t="shared" si="31"/>
        <v>5.9352612168686262E-3</v>
      </c>
      <c r="N170" s="502">
        <f t="shared" si="31"/>
        <v>7.0274482345650579E-3</v>
      </c>
    </row>
    <row r="171" spans="1:14" ht="15.75" x14ac:dyDescent="0.25">
      <c r="B171" s="449"/>
      <c r="C171" s="443" t="s">
        <v>475</v>
      </c>
      <c r="D171" s="453" t="s">
        <v>483</v>
      </c>
      <c r="E171" s="443" t="str">
        <f>INDEX(IPCC[Sector_description], MATCH(X.b.Emissions[IPCC Sector], IPCC[Sector_code], 0))</f>
        <v>Fuel Combustion</v>
      </c>
      <c r="F171" s="502">
        <f t="shared" ref="F171:N171" si="32">F124</f>
        <v>1.1490766165675643E-2</v>
      </c>
      <c r="G171" s="502">
        <f t="shared" si="32"/>
        <v>1.3412881911597329E-2</v>
      </c>
      <c r="H171" s="502">
        <f t="shared" si="32"/>
        <v>1.5775652053763283E-2</v>
      </c>
      <c r="I171" s="502">
        <f t="shared" si="32"/>
        <v>1.8323723034495584E-2</v>
      </c>
      <c r="J171" s="502">
        <f t="shared" si="32"/>
        <v>2.0672954811594566E-2</v>
      </c>
      <c r="K171" s="502">
        <f t="shared" si="32"/>
        <v>2.4744758268238694E-2</v>
      </c>
      <c r="L171" s="502">
        <f t="shared" si="32"/>
        <v>2.9182341257978427E-2</v>
      </c>
      <c r="M171" s="502">
        <f t="shared" si="32"/>
        <v>3.3985703780813677E-2</v>
      </c>
      <c r="N171" s="502">
        <f t="shared" si="32"/>
        <v>3.9154845836744452E-2</v>
      </c>
    </row>
    <row r="172" spans="1:14" s="1616" customFormat="1" x14ac:dyDescent="0.2">
      <c r="B172" s="1766"/>
      <c r="C172" s="443" t="s">
        <v>105</v>
      </c>
      <c r="D172" s="443"/>
      <c r="E172" s="443"/>
      <c r="F172" s="512">
        <f>SUBTOTAL(109,X.b.Emissions[2010])</f>
        <v>0.81757078494586033</v>
      </c>
      <c r="G172" s="512">
        <f>SUBTOTAL(109,X.b.Emissions[2015])</f>
        <v>1.0765129712744597</v>
      </c>
      <c r="H172" s="512">
        <f>SUBTOTAL(109,X.b.Emissions[2020])</f>
        <v>1.3764229622211814</v>
      </c>
      <c r="I172" s="512">
        <f>SUBTOTAL(109,X.b.Emissions[2025])</f>
        <v>1.7001352535702725</v>
      </c>
      <c r="J172" s="512">
        <f>SUBTOTAL(109,X.b.Emissions[2030])</f>
        <v>2.0109080007220905</v>
      </c>
      <c r="K172" s="512">
        <f>SUBTOTAL(109,X.b.Emissions[2035])</f>
        <v>2.4989072293475543</v>
      </c>
      <c r="L172" s="512">
        <f>SUBTOTAL(109,X.b.Emissions[2040])</f>
        <v>3.0382453042972171</v>
      </c>
      <c r="M172" s="512">
        <f>SUBTOTAL(109,X.b.Emissions[2045])</f>
        <v>3.6289222255710696</v>
      </c>
      <c r="N172" s="512">
        <f>SUBTOTAL(109,X.b.Emissions[2050])</f>
        <v>4.2709379931691132</v>
      </c>
    </row>
    <row r="173" spans="1:14" s="1792" customFormat="1" x14ac:dyDescent="0.2">
      <c r="B173" s="1766"/>
      <c r="C173" s="1766"/>
      <c r="D173" s="1766"/>
      <c r="E173" s="1766"/>
      <c r="F173" s="1766"/>
      <c r="G173" s="1766"/>
      <c r="H173" s="1766"/>
      <c r="I173" s="1766"/>
      <c r="J173" s="1766"/>
      <c r="K173" s="1766"/>
      <c r="L173" s="1766"/>
      <c r="M173" s="1766"/>
      <c r="N173" s="1766"/>
    </row>
    <row r="174" spans="1:14" s="1792" customFormat="1" ht="16.5" customHeight="1" x14ac:dyDescent="0.2">
      <c r="B174" s="1766"/>
      <c r="C174" s="1764" t="s">
        <v>1849</v>
      </c>
      <c r="D174" s="513"/>
      <c r="E174" s="443"/>
      <c r="F174" s="512"/>
      <c r="G174" s="512"/>
      <c r="H174" s="512"/>
      <c r="I174" s="512"/>
      <c r="J174" s="512"/>
      <c r="K174" s="512"/>
      <c r="L174" s="512"/>
      <c r="M174" s="512"/>
      <c r="N174" s="1765" t="s">
        <v>1848</v>
      </c>
    </row>
    <row r="175" spans="1:14" s="1616" customFormat="1" x14ac:dyDescent="0.2">
      <c r="B175" s="1766"/>
      <c r="C175" s="1816"/>
      <c r="D175" s="1816"/>
      <c r="E175" s="1816"/>
      <c r="F175" s="1816"/>
      <c r="G175" s="1816"/>
      <c r="H175" s="1816"/>
      <c r="I175" s="1816"/>
      <c r="J175" s="1816"/>
      <c r="K175" s="1816"/>
      <c r="L175" s="1816"/>
      <c r="M175" s="1816"/>
      <c r="N175" s="1816"/>
    </row>
    <row r="176" spans="1:14" s="1616" customFormat="1" x14ac:dyDescent="0.2">
      <c r="B176" s="1766"/>
      <c r="C176" s="1817" t="s">
        <v>64</v>
      </c>
      <c r="D176" s="1818" t="s">
        <v>150</v>
      </c>
      <c r="E176" s="1818" t="s">
        <v>461</v>
      </c>
      <c r="F176" s="1818" t="s">
        <v>241</v>
      </c>
      <c r="G176" s="1818" t="s">
        <v>268</v>
      </c>
      <c r="H176" s="1818" t="s">
        <v>269</v>
      </c>
      <c r="I176" s="1818" t="s">
        <v>270</v>
      </c>
      <c r="J176" s="1818" t="s">
        <v>271</v>
      </c>
      <c r="K176" s="1818" t="s">
        <v>272</v>
      </c>
      <c r="L176" s="1818" t="s">
        <v>273</v>
      </c>
      <c r="M176" s="1818" t="s">
        <v>274</v>
      </c>
      <c r="N176" s="1819" t="s">
        <v>275</v>
      </c>
    </row>
    <row r="177" spans="2:14" s="1616" customFormat="1" x14ac:dyDescent="0.2">
      <c r="B177" s="1766"/>
      <c r="C177" s="1810" t="str">
        <f>INDEX(AirQualityVectors[Code],MATCH(D177,AirQualityVectors[Description],0))</f>
        <v>AQ.01</v>
      </c>
      <c r="D177" s="1798" t="s">
        <v>1791</v>
      </c>
      <c r="E177" s="1797" t="s">
        <v>483</v>
      </c>
      <c r="F177" s="1799">
        <f ca="1">F47*F$118*(1-'Intermediate output'!AX$253*(1-Constants!$F$37))</f>
        <v>0.15995150372994366</v>
      </c>
      <c r="G177" s="1799">
        <f ca="1">G47*G$118*(1-'Intermediate output'!AY$253*(1-Constants!$F$37))</f>
        <v>0.12219548131422515</v>
      </c>
      <c r="H177" s="1799">
        <f ca="1">H47*H$118*(1-'Intermediate output'!AZ$253*(1-Constants!$F$37))</f>
        <v>9.0130555523833283E-2</v>
      </c>
      <c r="I177" s="1799">
        <f ca="1">I47*I$118*(1-'Intermediate output'!BA$253*(1-Constants!$F$37))</f>
        <v>7.0889041758763746E-2</v>
      </c>
      <c r="J177" s="1799">
        <f ca="1">J47*J$118*(1-'Intermediate output'!BB$253*(1-Constants!$F$37))</f>
        <v>5.2590149445865715E-2</v>
      </c>
      <c r="K177" s="1799">
        <f ca="1">K47*K$118*(1-'Intermediate output'!BC$253*(1-Constants!$F$37))</f>
        <v>3.981825353464382E-2</v>
      </c>
      <c r="L177" s="1799">
        <f ca="1">L47*L$118*(1-'Intermediate output'!BD$253*(1-Constants!$F$37))</f>
        <v>2.8459501576450226E-2</v>
      </c>
      <c r="M177" s="1799">
        <f ca="1">M47*M$118*(1-'Intermediate output'!BE$253*(1-Constants!$F$37))</f>
        <v>1.9396683780601203E-2</v>
      </c>
      <c r="N177" s="1799">
        <f ca="1">N47*N$118*(1-'Intermediate output'!BF$253*(1-Constants!$F$37))</f>
        <v>1.1987155255896564E-2</v>
      </c>
    </row>
    <row r="178" spans="2:14" s="1616" customFormat="1" x14ac:dyDescent="0.2">
      <c r="B178" s="1766"/>
      <c r="C178" s="1809" t="str">
        <f>INDEX(AirQualityVectors[Code],MATCH(D178,AirQualityVectors[Description],0))</f>
        <v>AQ.02</v>
      </c>
      <c r="D178" s="1795" t="s">
        <v>1794</v>
      </c>
      <c r="E178" s="1794" t="s">
        <v>483</v>
      </c>
      <c r="F178" s="1796">
        <f ca="1">F52*F$118*(1-'Intermediate output'!AX$253*(1-Constants!$G$37))</f>
        <v>3.2791023616535848</v>
      </c>
      <c r="G178" s="1796">
        <f ca="1">G52*G$118*(1-'Intermediate output'!AY$253*(1-Constants!$G$37))</f>
        <v>3.1479799893268714</v>
      </c>
      <c r="H178" s="1796">
        <f ca="1">H52*H$118*(1-'Intermediate output'!AZ$253*(1-Constants!$G$37))</f>
        <v>3.0585380019792887</v>
      </c>
      <c r="I178" s="1796">
        <f ca="1">I52*I$118*(1-'Intermediate output'!BA$253*(1-Constants!$G$37))</f>
        <v>2.8582963537219697</v>
      </c>
      <c r="J178" s="1796">
        <f ca="1">J52*J$118*(1-'Intermediate output'!BB$253*(1-Constants!$G$37))</f>
        <v>2.5658938137504705</v>
      </c>
      <c r="K178" s="1796">
        <f ca="1">K52*K$118*(1-'Intermediate output'!BC$253*(1-Constants!$G$37))</f>
        <v>2.3922696762096525</v>
      </c>
      <c r="L178" s="1796">
        <f ca="1">L52*L$118*(1-'Intermediate output'!BD$253*(1-Constants!$G$37))</f>
        <v>2.1182870476265658</v>
      </c>
      <c r="M178" s="1796">
        <f ca="1">M52*M$118*(1-'Intermediate output'!BE$253*(1-Constants!$G$37))</f>
        <v>1.7381192697402874</v>
      </c>
      <c r="N178" s="1796">
        <f ca="1">N52*N$118*(1-'Intermediate output'!BF$253*(1-Constants!$G$37))</f>
        <v>1.2560079756417029</v>
      </c>
    </row>
    <row r="179" spans="2:14" s="1616" customFormat="1" x14ac:dyDescent="0.2">
      <c r="B179" s="1766"/>
      <c r="C179" s="1809" t="str">
        <f>INDEX(AirQualityVectors[Code],MATCH(D179,AirQualityVectors[Description],0))</f>
        <v>AQ.03</v>
      </c>
      <c r="D179" s="1795" t="s">
        <v>1795</v>
      </c>
      <c r="E179" s="1794" t="s">
        <v>483</v>
      </c>
      <c r="F179" s="1796">
        <f ca="1">F57*F$118*(1-'Intermediate output'!AX$253*(1-Constants!$H$37))</f>
        <v>0</v>
      </c>
      <c r="G179" s="1796">
        <f ca="1">G57*G$118*(1-'Intermediate output'!AY$253*(1-Constants!$H$37))</f>
        <v>0</v>
      </c>
      <c r="H179" s="1796">
        <f ca="1">H57*H$118*(1-'Intermediate output'!AZ$253*(1-Constants!$H$37))</f>
        <v>0</v>
      </c>
      <c r="I179" s="1796">
        <f ca="1">I57*I$118*(1-'Intermediate output'!BA$253*(1-Constants!$H$37))</f>
        <v>0</v>
      </c>
      <c r="J179" s="1796">
        <f ca="1">J57*J$118*(1-'Intermediate output'!BB$253*(1-Constants!$H$37))</f>
        <v>0</v>
      </c>
      <c r="K179" s="1796">
        <f ca="1">K57*K$118*(1-'Intermediate output'!BC$253*(1-Constants!$H$37))</f>
        <v>0</v>
      </c>
      <c r="L179" s="1796">
        <f ca="1">L57*L$118*(1-'Intermediate output'!BD$253*(1-Constants!$H$37))</f>
        <v>0</v>
      </c>
      <c r="M179" s="1796">
        <f ca="1">M57*M$118*(1-'Intermediate output'!BE$253*(1-Constants!$H$37))</f>
        <v>0</v>
      </c>
      <c r="N179" s="1796">
        <f ca="1">N57*N$118*(1-'Intermediate output'!BF$253*(1-Constants!$H$37))</f>
        <v>0</v>
      </c>
    </row>
    <row r="180" spans="2:14" s="1616" customFormat="1" x14ac:dyDescent="0.2">
      <c r="B180" s="1766"/>
      <c r="C180" s="1811" t="str">
        <f>INDEX(AirQualityVectors[Code],MATCH(D180,AirQualityVectors[Description],0))</f>
        <v>AQ.04</v>
      </c>
      <c r="D180" s="1812" t="s">
        <v>1792</v>
      </c>
      <c r="E180" s="1813" t="s">
        <v>483</v>
      </c>
      <c r="F180" s="1814">
        <f ca="1">F62*F$118*(1-'Intermediate output'!AX$253*(1-Constants!$I$37))</f>
        <v>0.77245623511428763</v>
      </c>
      <c r="G180" s="1814">
        <f ca="1">G62*G$118*(1-'Intermediate output'!AY$253*(1-Constants!$I$37))</f>
        <v>0.67173778428056186</v>
      </c>
      <c r="H180" s="1814">
        <f ca="1">H62*H$118*(1-'Intermediate output'!AZ$253*(1-Constants!$I$37))</f>
        <v>0.58898323693832855</v>
      </c>
      <c r="I180" s="1814">
        <f ca="1">I62*I$118*(1-'Intermediate output'!BA$253*(1-Constants!$I$37))</f>
        <v>0.52071664092340464</v>
      </c>
      <c r="J180" s="1814">
        <f ca="1">J62*J$118*(1-'Intermediate output'!BB$253*(1-Constants!$I$37))</f>
        <v>0.44284899434501468</v>
      </c>
      <c r="K180" s="1814">
        <f ca="1">K62*K$118*(1-'Intermediate output'!BC$253*(1-Constants!$I$37))</f>
        <v>0.39236759132221349</v>
      </c>
      <c r="L180" s="1814">
        <f ca="1">L62*L$118*(1-'Intermediate output'!BD$253*(1-Constants!$I$37))</f>
        <v>0.33229215959561781</v>
      </c>
      <c r="M180" s="1814">
        <f ca="1">M62*M$118*(1-'Intermediate output'!BE$253*(1-Constants!$I$37))</f>
        <v>0.26384872270235077</v>
      </c>
      <c r="N180" s="1814">
        <f ca="1">N62*N$118*(1-'Intermediate output'!BF$253*(1-Constants!$I$37))</f>
        <v>0.18614477214570577</v>
      </c>
    </row>
    <row r="181" spans="2:14" ht="15.75" x14ac:dyDescent="0.25">
      <c r="B181" s="504"/>
      <c r="C181" s="1766"/>
      <c r="D181" s="1766"/>
      <c r="E181" s="1766"/>
      <c r="F181" s="1766"/>
      <c r="G181" s="1766"/>
      <c r="H181" s="1766"/>
      <c r="I181" s="1766"/>
      <c r="J181" s="1766"/>
      <c r="K181" s="1766"/>
      <c r="L181" s="1766"/>
      <c r="M181" s="1766"/>
      <c r="N181" s="1766"/>
    </row>
    <row r="182" spans="2:14" x14ac:dyDescent="0.2">
      <c r="C182" s="451"/>
      <c r="D182" s="451"/>
      <c r="E182" s="451"/>
      <c r="F182" s="451"/>
      <c r="G182" s="451"/>
      <c r="H182" s="451"/>
      <c r="I182" s="451"/>
      <c r="J182" s="451"/>
      <c r="K182" s="451"/>
      <c r="L182" s="451"/>
      <c r="M182" s="451"/>
      <c r="N182" s="451"/>
    </row>
    <row r="184" spans="2:14" s="1225" customFormat="1" ht="21.75" customHeight="1" collapsed="1" x14ac:dyDescent="0.2">
      <c r="B184" s="1186" t="s">
        <v>1225</v>
      </c>
      <c r="C184" s="38"/>
      <c r="D184" s="38"/>
      <c r="E184" s="38"/>
      <c r="F184" s="38"/>
      <c r="G184" s="38"/>
      <c r="H184" s="38"/>
      <c r="I184" s="38"/>
      <c r="J184" s="38"/>
      <c r="K184" s="38"/>
      <c r="L184" s="38"/>
      <c r="M184" s="38"/>
      <c r="N184" s="38"/>
    </row>
    <row r="185" spans="2:14" s="1225" customFormat="1" ht="15.75" x14ac:dyDescent="0.2">
      <c r="B185" s="1219"/>
      <c r="C185" s="1218"/>
      <c r="D185" s="1187"/>
      <c r="E185" s="1187"/>
      <c r="F185" s="1187"/>
      <c r="G185" s="1187"/>
      <c r="H185" s="1187"/>
      <c r="I185" s="1187"/>
      <c r="J185" s="1187"/>
      <c r="K185" s="1187"/>
      <c r="L185" s="1187"/>
      <c r="M185" s="1187"/>
      <c r="N185" s="1187"/>
    </row>
    <row r="186" spans="2:14" s="1225" customFormat="1" x14ac:dyDescent="0.2">
      <c r="B186" s="1189"/>
      <c r="C186" s="1220"/>
      <c r="D186" s="1220"/>
      <c r="E186" s="1220"/>
      <c r="F186" s="1220"/>
      <c r="G186" s="1220"/>
      <c r="H186" s="1220"/>
      <c r="I186" s="1220"/>
      <c r="J186" s="1220"/>
      <c r="K186" s="1220"/>
      <c r="L186" s="1220"/>
      <c r="M186" s="1220"/>
      <c r="N186" s="1220"/>
    </row>
    <row r="187" spans="2:14" s="1225" customFormat="1" x14ac:dyDescent="0.2">
      <c r="B187" s="1189"/>
      <c r="C187" s="1222" t="s">
        <v>1230</v>
      </c>
      <c r="D187" s="1190"/>
      <c r="E187" s="1223"/>
      <c r="F187" s="1190"/>
      <c r="G187" s="1223"/>
      <c r="H187" s="1190"/>
      <c r="I187" s="1190"/>
      <c r="J187" s="1190"/>
      <c r="K187" s="1190"/>
      <c r="L187" s="1190"/>
      <c r="M187" s="1190"/>
      <c r="N187" s="1190"/>
    </row>
    <row r="188" spans="2:14" s="1225" customFormat="1" ht="15.75" x14ac:dyDescent="0.25">
      <c r="B188" s="1192"/>
      <c r="C188" s="1190"/>
      <c r="D188" s="1190"/>
      <c r="E188" s="1190"/>
      <c r="F188" s="1190"/>
      <c r="G188" s="1190"/>
      <c r="H188" s="1190"/>
      <c r="I188" s="1190"/>
      <c r="J188" s="1190"/>
      <c r="K188" s="1190"/>
      <c r="L188" s="1190"/>
      <c r="M188" s="1190"/>
      <c r="N188" s="1190"/>
    </row>
    <row r="189" spans="2:14" s="1225" customFormat="1" ht="15.75" x14ac:dyDescent="0.25">
      <c r="B189" s="1192"/>
      <c r="C189" s="1193" t="s">
        <v>64</v>
      </c>
      <c r="D189" s="1193" t="s">
        <v>1226</v>
      </c>
      <c r="E189" s="1193" t="s">
        <v>172</v>
      </c>
      <c r="F189" s="1193" t="s">
        <v>241</v>
      </c>
      <c r="G189" s="1193" t="s">
        <v>268</v>
      </c>
      <c r="H189" s="1193" t="s">
        <v>269</v>
      </c>
      <c r="I189" s="1193" t="s">
        <v>270</v>
      </c>
      <c r="J189" s="1193" t="s">
        <v>271</v>
      </c>
      <c r="K189" s="1193" t="s">
        <v>272</v>
      </c>
      <c r="L189" s="1193" t="s">
        <v>273</v>
      </c>
      <c r="M189" s="1193" t="s">
        <v>274</v>
      </c>
      <c r="N189" s="1193" t="s">
        <v>275</v>
      </c>
    </row>
    <row r="190" spans="2:14" s="1225" customFormat="1" ht="15.75" x14ac:dyDescent="0.25">
      <c r="B190" s="1192"/>
      <c r="C190" s="1194"/>
      <c r="D190" s="1195"/>
      <c r="E190" s="1195"/>
      <c r="F190" s="1226"/>
      <c r="G190" s="1226"/>
      <c r="H190" s="1226"/>
      <c r="I190" s="1226"/>
      <c r="J190" s="1226"/>
      <c r="K190" s="1226"/>
      <c r="L190" s="1226"/>
      <c r="M190" s="1226"/>
      <c r="N190" s="1226"/>
    </row>
    <row r="191" spans="2:14" s="1225" customFormat="1" ht="15.75" x14ac:dyDescent="0.25">
      <c r="B191" s="1227"/>
      <c r="C191" s="1194"/>
      <c r="D191" s="1195"/>
      <c r="E191" s="1195"/>
      <c r="F191" s="1226"/>
      <c r="G191" s="1226"/>
      <c r="H191" s="1226"/>
      <c r="I191" s="1226"/>
      <c r="J191" s="1226"/>
      <c r="K191" s="1226"/>
      <c r="L191" s="1226"/>
      <c r="M191" s="1226"/>
      <c r="N191" s="1226"/>
    </row>
    <row r="192" spans="2:14" x14ac:dyDescent="0.2">
      <c r="C192" s="1197"/>
      <c r="D192" s="1197"/>
      <c r="E192" s="1197"/>
      <c r="F192" s="1197"/>
      <c r="G192" s="1197"/>
      <c r="H192" s="1197"/>
      <c r="I192" s="1197"/>
      <c r="J192" s="1197"/>
      <c r="K192" s="1197"/>
      <c r="L192" s="1197"/>
      <c r="M192" s="1197"/>
      <c r="N192" s="1197"/>
    </row>
    <row r="193" spans="2:14" s="1467" customFormat="1" x14ac:dyDescent="0.2">
      <c r="C193" s="38"/>
      <c r="D193" s="38"/>
      <c r="E193" s="38"/>
      <c r="F193" s="38"/>
      <c r="G193" s="38"/>
      <c r="H193" s="38"/>
      <c r="I193" s="38"/>
      <c r="J193" s="38"/>
      <c r="K193" s="38"/>
      <c r="L193" s="38"/>
      <c r="M193" s="38"/>
      <c r="N193" s="38"/>
    </row>
    <row r="194" spans="2:14" s="1467" customFormat="1" ht="15.75" x14ac:dyDescent="0.2">
      <c r="B194" s="1430" t="s">
        <v>1424</v>
      </c>
    </row>
    <row r="195" spans="2:14" s="1467" customFormat="1" ht="6" customHeight="1" x14ac:dyDescent="0.2">
      <c r="B195" s="1433"/>
      <c r="C195" s="1431"/>
      <c r="D195" s="1431"/>
      <c r="E195" s="1431"/>
      <c r="F195" s="1431"/>
      <c r="G195" s="1431"/>
      <c r="H195" s="1431"/>
      <c r="I195" s="1431"/>
      <c r="J195" s="1431"/>
      <c r="K195" s="1431"/>
      <c r="L195" s="1431"/>
      <c r="M195" s="1431"/>
      <c r="N195" s="1431"/>
    </row>
    <row r="196" spans="2:14" s="1467" customFormat="1" x14ac:dyDescent="0.2">
      <c r="B196" s="1433"/>
      <c r="C196" s="1434"/>
      <c r="D196" s="1434"/>
      <c r="E196" s="1434"/>
      <c r="F196" s="1434"/>
      <c r="G196" s="1434"/>
      <c r="H196" s="1434"/>
      <c r="I196" s="1434"/>
      <c r="J196" s="1434"/>
      <c r="K196" s="1434"/>
      <c r="L196" s="1434"/>
      <c r="M196" s="1434"/>
      <c r="N196" s="1434"/>
    </row>
    <row r="197" spans="2:14" s="1467" customFormat="1" ht="6" customHeight="1" x14ac:dyDescent="0.2">
      <c r="B197" s="1433"/>
      <c r="C197" s="1441" t="s">
        <v>1425</v>
      </c>
      <c r="D197" s="1442"/>
      <c r="E197" s="1442"/>
      <c r="F197" s="1442"/>
      <c r="G197" s="1442"/>
      <c r="H197" s="1442"/>
      <c r="I197" s="1442"/>
      <c r="J197" s="1442"/>
      <c r="K197" s="1442"/>
      <c r="L197" s="1442"/>
      <c r="M197" s="1442"/>
      <c r="N197" s="1442"/>
    </row>
    <row r="198" spans="2:14" s="1467" customFormat="1" ht="15.75" x14ac:dyDescent="0.25">
      <c r="B198" s="1436"/>
      <c r="C198" s="1434"/>
      <c r="D198" s="1434"/>
      <c r="E198" s="1434"/>
      <c r="F198" s="1434"/>
      <c r="G198" s="1434"/>
      <c r="H198" s="1434"/>
      <c r="I198" s="1434"/>
      <c r="J198" s="1434"/>
      <c r="K198" s="1434"/>
      <c r="L198" s="1434"/>
      <c r="M198" s="1434"/>
      <c r="N198" s="1434"/>
    </row>
    <row r="199" spans="2:14" s="1467" customFormat="1" ht="15.75" x14ac:dyDescent="0.25">
      <c r="B199" s="1436"/>
      <c r="C199" s="1437" t="s">
        <v>64</v>
      </c>
      <c r="D199" s="1437" t="s">
        <v>150</v>
      </c>
      <c r="E199" s="1437" t="s">
        <v>172</v>
      </c>
      <c r="F199" s="1437" t="s">
        <v>241</v>
      </c>
      <c r="G199" s="1437" t="s">
        <v>268</v>
      </c>
      <c r="H199" s="1437" t="s">
        <v>269</v>
      </c>
      <c r="I199" s="1437" t="s">
        <v>270</v>
      </c>
      <c r="J199" s="1437" t="s">
        <v>271</v>
      </c>
      <c r="K199" s="1437" t="s">
        <v>272</v>
      </c>
      <c r="L199" s="1437" t="s">
        <v>273</v>
      </c>
      <c r="M199" s="1437" t="s">
        <v>274</v>
      </c>
      <c r="N199" s="1437" t="s">
        <v>275</v>
      </c>
    </row>
    <row r="200" spans="2:14" s="1467" customFormat="1" ht="15.75" x14ac:dyDescent="0.25">
      <c r="B200" s="1436"/>
      <c r="C200" s="1438" t="s">
        <v>1391</v>
      </c>
      <c r="D200" s="1439" t="s">
        <v>1392</v>
      </c>
      <c r="E200" s="1439"/>
      <c r="F200" s="1448">
        <f t="shared" ref="F200:N200" si="33">F136</f>
        <v>0</v>
      </c>
      <c r="G200" s="1448">
        <f t="shared" si="33"/>
        <v>311407428797.88275</v>
      </c>
      <c r="H200" s="1448">
        <f t="shared" si="33"/>
        <v>378656965149.08978</v>
      </c>
      <c r="I200" s="1448">
        <f t="shared" si="33"/>
        <v>530734707904.79199</v>
      </c>
      <c r="J200" s="1448">
        <f t="shared" si="33"/>
        <v>496702742373.71826</v>
      </c>
      <c r="K200" s="1448">
        <f t="shared" si="33"/>
        <v>533999719036.70886</v>
      </c>
      <c r="L200" s="1448">
        <f t="shared" si="33"/>
        <v>182078184447.60236</v>
      </c>
      <c r="M200" s="1448">
        <f t="shared" si="33"/>
        <v>170892666749.03476</v>
      </c>
      <c r="N200" s="1448">
        <f t="shared" si="33"/>
        <v>330822049820.16388</v>
      </c>
    </row>
    <row r="201" spans="2:14" s="1467" customFormat="1" ht="15.75" x14ac:dyDescent="0.25">
      <c r="B201" s="1436"/>
      <c r="C201" s="1438" t="s">
        <v>1393</v>
      </c>
      <c r="D201" s="1439" t="s">
        <v>1394</v>
      </c>
      <c r="E201" s="1439"/>
      <c r="F201" s="1448"/>
      <c r="G201" s="1448"/>
      <c r="H201" s="1448"/>
      <c r="I201" s="1448"/>
      <c r="J201" s="1448"/>
      <c r="K201" s="1448"/>
      <c r="L201" s="1448"/>
      <c r="M201" s="1448"/>
      <c r="N201" s="1448"/>
    </row>
    <row r="202" spans="2:14" s="2124" customFormat="1" ht="15.75" x14ac:dyDescent="0.25">
      <c r="B202" s="1436"/>
      <c r="C202" s="1438" t="s">
        <v>1395</v>
      </c>
      <c r="D202" s="1439" t="s">
        <v>1396</v>
      </c>
      <c r="E202" s="1439"/>
      <c r="F202" s="1448"/>
      <c r="G202" s="1448"/>
      <c r="H202" s="1448"/>
      <c r="I202" s="1448"/>
      <c r="J202" s="1448"/>
      <c r="K202" s="1448"/>
      <c r="L202" s="1448"/>
      <c r="M202" s="1448"/>
      <c r="N202" s="1448"/>
    </row>
    <row r="203" spans="2:14" s="2124" customFormat="1" ht="15.75" x14ac:dyDescent="0.25">
      <c r="B203" s="1436"/>
      <c r="C203" s="1438" t="s">
        <v>1866</v>
      </c>
      <c r="D203" s="1438" t="s">
        <v>1867</v>
      </c>
      <c r="E203" s="1439"/>
      <c r="F203" s="1448">
        <f>F141</f>
        <v>0</v>
      </c>
      <c r="G203" s="1448">
        <f t="shared" ref="G203:N203" si="34">G141</f>
        <v>210200014438.57086</v>
      </c>
      <c r="H203" s="1448">
        <f t="shared" si="34"/>
        <v>255593451475.63559</v>
      </c>
      <c r="I203" s="1448">
        <f t="shared" si="34"/>
        <v>358245927835.73462</v>
      </c>
      <c r="J203" s="1448">
        <f t="shared" si="34"/>
        <v>335274351102.25983</v>
      </c>
      <c r="K203" s="1448">
        <f t="shared" si="34"/>
        <v>360449810349.77844</v>
      </c>
      <c r="L203" s="1448">
        <f t="shared" si="34"/>
        <v>122902774502.13159</v>
      </c>
      <c r="M203" s="1448">
        <f t="shared" si="34"/>
        <v>115352550055.59846</v>
      </c>
      <c r="N203" s="1448">
        <f t="shared" si="34"/>
        <v>223304883628.61063</v>
      </c>
    </row>
    <row r="204" spans="2:14" s="2124" customFormat="1" ht="15.75" x14ac:dyDescent="0.25">
      <c r="B204" s="1436"/>
      <c r="C204" s="1438" t="s">
        <v>1868</v>
      </c>
      <c r="D204" s="1438" t="s">
        <v>1952</v>
      </c>
      <c r="E204" s="1439"/>
      <c r="F204" s="1448"/>
      <c r="G204" s="1448"/>
      <c r="H204" s="1448"/>
      <c r="I204" s="1448"/>
      <c r="J204" s="1448"/>
      <c r="K204" s="1448"/>
      <c r="L204" s="1448"/>
      <c r="M204" s="1448"/>
      <c r="N204" s="1448"/>
    </row>
    <row r="205" spans="2:14" s="1467" customFormat="1" ht="14.25" x14ac:dyDescent="0.2">
      <c r="B205" s="1444"/>
      <c r="C205" s="1438" t="s">
        <v>1869</v>
      </c>
      <c r="D205" s="1438" t="s">
        <v>1870</v>
      </c>
      <c r="E205" s="1439"/>
      <c r="F205" s="1448"/>
      <c r="G205" s="1448"/>
      <c r="H205" s="1448"/>
      <c r="I205" s="1448"/>
      <c r="J205" s="1448"/>
      <c r="K205" s="1448"/>
      <c r="L205" s="1448"/>
      <c r="M205" s="1448"/>
      <c r="N205" s="1448"/>
    </row>
    <row r="206" spans="2:14" s="1467" customFormat="1" ht="14.25" x14ac:dyDescent="0.2">
      <c r="B206" s="1444"/>
      <c r="C206" s="1438" t="s">
        <v>1382</v>
      </c>
      <c r="D206" s="1439" t="s">
        <v>1383</v>
      </c>
      <c r="E206" s="1439"/>
      <c r="F206" s="1448">
        <f t="shared" ref="F206:N206" si="35">F146</f>
        <v>0</v>
      </c>
      <c r="G206" s="1448">
        <f t="shared" si="35"/>
        <v>155703714398.94138</v>
      </c>
      <c r="H206" s="1448">
        <f t="shared" si="35"/>
        <v>189328482574.54489</v>
      </c>
      <c r="I206" s="1448">
        <f t="shared" si="35"/>
        <v>265367353952.396</v>
      </c>
      <c r="J206" s="1448">
        <f t="shared" si="35"/>
        <v>248351371186.85913</v>
      </c>
      <c r="K206" s="1448">
        <f t="shared" si="35"/>
        <v>266999859518.35443</v>
      </c>
      <c r="L206" s="1448">
        <f t="shared" si="35"/>
        <v>91039092223.801178</v>
      </c>
      <c r="M206" s="1448">
        <f t="shared" si="35"/>
        <v>85446333374.51738</v>
      </c>
      <c r="N206" s="1448">
        <f t="shared" si="35"/>
        <v>165411024910.08194</v>
      </c>
    </row>
    <row r="207" spans="2:14" s="1467" customFormat="1" ht="14.25" x14ac:dyDescent="0.2">
      <c r="B207" s="1444"/>
      <c r="C207" s="1438" t="s">
        <v>1384</v>
      </c>
      <c r="D207" s="1439" t="s">
        <v>1385</v>
      </c>
      <c r="E207" s="1439"/>
      <c r="F207" s="1448"/>
      <c r="G207" s="1448"/>
      <c r="H207" s="1448"/>
      <c r="I207" s="1448"/>
      <c r="J207" s="1448"/>
      <c r="K207" s="1448"/>
      <c r="L207" s="1448"/>
      <c r="M207" s="1448"/>
      <c r="N207" s="1448"/>
    </row>
    <row r="208" spans="2:14" s="1467" customFormat="1" ht="14.25" x14ac:dyDescent="0.2">
      <c r="B208" s="1446"/>
      <c r="C208" s="1438" t="s">
        <v>1386</v>
      </c>
      <c r="D208" s="1439" t="s">
        <v>1387</v>
      </c>
      <c r="E208" s="1439"/>
      <c r="F208" s="1448"/>
      <c r="G208" s="1448"/>
      <c r="H208" s="1448"/>
      <c r="I208" s="1448"/>
      <c r="J208" s="1448"/>
      <c r="K208" s="1448"/>
      <c r="L208" s="1448"/>
      <c r="M208" s="1448"/>
      <c r="N208" s="1448"/>
    </row>
    <row r="209" spans="3:14" s="1467" customFormat="1" x14ac:dyDescent="0.2">
      <c r="C209" s="1440"/>
      <c r="D209" s="1440"/>
      <c r="E209" s="1440"/>
      <c r="F209" s="1440"/>
      <c r="G209" s="1440"/>
      <c r="H209" s="1440"/>
      <c r="I209" s="1440"/>
      <c r="J209" s="1440"/>
      <c r="K209" s="1440"/>
      <c r="L209" s="1440"/>
      <c r="M209" s="1440"/>
      <c r="N209" s="1440"/>
    </row>
    <row r="210" spans="3:14" x14ac:dyDescent="0.2">
      <c r="C210" s="1467"/>
      <c r="D210" s="1467"/>
      <c r="E210" s="1467"/>
      <c r="F210" s="1467"/>
      <c r="G210" s="1467"/>
      <c r="H210" s="1467"/>
      <c r="I210" s="1467"/>
      <c r="J210" s="1467"/>
      <c r="K210" s="1467"/>
      <c r="L210" s="1467"/>
      <c r="M210" s="1467"/>
      <c r="N210" s="1467"/>
    </row>
  </sheetData>
  <hyperlinks>
    <hyperlink ref="D78" r:id="rId1" display="http://decc-wiki.greenonblack.com/pages/xxx"/>
  </hyperlinks>
  <pageMargins left="0.7" right="0.7" top="0.75" bottom="0.75" header="0.3" footer="0.3"/>
  <legacyDrawing r:id="rId2"/>
  <tableParts count="5">
    <tablePart r:id="rId3"/>
    <tablePart r:id="rId4"/>
    <tablePart r:id="rId5"/>
    <tablePart r:id="rId6"/>
    <tablePart r:id="rId7"/>
  </tablePar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 enableFormatConditionsCalculation="0">
    <tabColor theme="9"/>
    <outlinePr summaryBelow="0"/>
    <pageSetUpPr autoPageBreaks="0"/>
  </sheetPr>
  <dimension ref="A1:U502"/>
  <sheetViews>
    <sheetView windowProtection="1" zoomScaleNormal="100" workbookViewId="0"/>
  </sheetViews>
  <sheetFormatPr defaultColWidth="8.7109375" defaultRowHeight="12.75" x14ac:dyDescent="0.2"/>
  <cols>
    <col min="1" max="1" width="7.7109375" style="38" customWidth="1"/>
    <col min="2" max="2" width="5.7109375" style="38" customWidth="1"/>
    <col min="3" max="3" width="20.42578125" style="38" customWidth="1"/>
    <col min="4" max="4" width="30.7109375" style="38" customWidth="1"/>
    <col min="5" max="5" width="20.7109375" style="38" customWidth="1"/>
    <col min="6" max="15" width="17.7109375" style="38" customWidth="1"/>
    <col min="16" max="16" width="5.140625" style="38" customWidth="1"/>
    <col min="17" max="17" width="10.7109375" style="38" customWidth="1"/>
    <col min="18" max="16384" width="8.7109375" style="38"/>
  </cols>
  <sheetData>
    <row r="1" spans="1:18" ht="21" x14ac:dyDescent="0.35">
      <c r="A1" s="120" t="s">
        <v>231</v>
      </c>
      <c r="B1" s="120" t="str">
        <f>INDEX(Workstreams[Workstream], MATCH($A1, Workstreams[Code], 0))</f>
        <v>Industry</v>
      </c>
      <c r="C1" s="120"/>
    </row>
    <row r="2" spans="1:18" s="84" customFormat="1" ht="19.5" customHeight="1" x14ac:dyDescent="0.2">
      <c r="A2" s="6" t="s">
        <v>360</v>
      </c>
      <c r="B2" s="6" t="str">
        <f>INDEX(Modules[Module], MATCH($A2, Modules[Code], 0))</f>
        <v>Industrial processes</v>
      </c>
      <c r="C2" s="6"/>
      <c r="E2" s="1380"/>
    </row>
    <row r="4" spans="1:18" ht="22.5" collapsed="1" x14ac:dyDescent="0.3">
      <c r="A4" s="409"/>
      <c r="B4" s="468" t="s">
        <v>596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8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8" ht="5.25" customHeight="1" x14ac:dyDescent="0.2">
      <c r="B6" s="410"/>
      <c r="C6" s="411"/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8" ht="15.75" x14ac:dyDescent="0.25">
      <c r="B7" s="415"/>
      <c r="C7" s="412"/>
      <c r="D7" s="216" t="s">
        <v>342</v>
      </c>
      <c r="E7" s="216" t="s">
        <v>595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8" ht="15.75" x14ac:dyDescent="0.25">
      <c r="B8" s="415"/>
      <c r="C8" s="412"/>
      <c r="D8" s="521" t="s">
        <v>2182</v>
      </c>
      <c r="E8" s="1202">
        <f>MIN(XI.a.Scenario.Output,4)</f>
        <v>4</v>
      </c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4"/>
    </row>
    <row r="9" spans="1:18" ht="15.75" x14ac:dyDescent="0.25">
      <c r="B9" s="415"/>
      <c r="C9" s="412"/>
      <c r="D9" s="522" t="s">
        <v>1213</v>
      </c>
      <c r="E9" s="1173">
        <f>MIN(XI.a.Scenario.Efficiency,4)</f>
        <v>4</v>
      </c>
      <c r="F9" s="412"/>
      <c r="G9" s="412"/>
      <c r="H9" s="412"/>
      <c r="I9" s="412"/>
      <c r="J9" s="412"/>
      <c r="K9" s="412"/>
      <c r="L9" s="412"/>
      <c r="M9" s="412"/>
      <c r="N9" s="412"/>
      <c r="O9" s="412"/>
      <c r="P9" s="414"/>
    </row>
    <row r="10" spans="1:18" ht="15.75" x14ac:dyDescent="0.25">
      <c r="B10" s="415"/>
      <c r="C10" s="412"/>
      <c r="D10" s="412"/>
      <c r="E10" s="412"/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4"/>
    </row>
    <row r="11" spans="1:18" x14ac:dyDescent="0.2">
      <c r="B11" s="430"/>
      <c r="C11" s="418"/>
      <c r="D11" s="418"/>
      <c r="E11" s="418"/>
      <c r="F11" s="418"/>
      <c r="G11" s="418"/>
      <c r="H11" s="418"/>
      <c r="I11" s="418"/>
      <c r="J11" s="418"/>
      <c r="K11" s="418"/>
      <c r="L11" s="418"/>
      <c r="M11" s="418"/>
      <c r="N11" s="418"/>
      <c r="O11" s="418"/>
      <c r="P11" s="419"/>
    </row>
    <row r="13" spans="1:18" s="84" customFormat="1" ht="22.5" x14ac:dyDescent="0.2">
      <c r="A13" s="408"/>
      <c r="B13" s="472" t="s">
        <v>597</v>
      </c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N13" s="405"/>
      <c r="O13" s="405"/>
      <c r="P13" s="406"/>
    </row>
    <row r="14" spans="1:18" x14ac:dyDescent="0.2">
      <c r="B14" s="395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416"/>
      <c r="P14" s="173"/>
      <c r="Q14" s="396"/>
    </row>
    <row r="15" spans="1:18" x14ac:dyDescent="0.2">
      <c r="B15" s="395"/>
      <c r="C15" s="175" t="s">
        <v>759</v>
      </c>
      <c r="D15" s="173"/>
      <c r="E15" s="490"/>
      <c r="F15" s="1082" t="s">
        <v>2180</v>
      </c>
      <c r="G15" s="1082"/>
      <c r="H15" s="1082"/>
      <c r="I15" s="1082"/>
      <c r="J15" s="176" t="s">
        <v>496</v>
      </c>
      <c r="K15" s="1082" t="s">
        <v>1153</v>
      </c>
      <c r="L15" s="1082"/>
      <c r="M15" s="1082"/>
      <c r="N15" s="173"/>
      <c r="O15" s="176" t="s">
        <v>496</v>
      </c>
      <c r="Q15" s="176"/>
      <c r="R15" s="396"/>
    </row>
    <row r="16" spans="1:18" ht="5.25" customHeight="1" x14ac:dyDescent="0.2">
      <c r="B16" s="395"/>
      <c r="C16" s="173"/>
      <c r="D16" s="173"/>
      <c r="E16" s="713"/>
      <c r="F16" s="712"/>
      <c r="G16" s="173"/>
      <c r="H16" s="173"/>
      <c r="I16" s="1416"/>
      <c r="J16" s="173"/>
      <c r="K16" s="712"/>
      <c r="L16" s="173"/>
      <c r="M16" s="173"/>
      <c r="N16" s="173"/>
      <c r="O16" s="1416"/>
      <c r="P16" s="173"/>
      <c r="Q16" s="173"/>
      <c r="R16" s="396"/>
    </row>
    <row r="17" spans="2:20" ht="15.75" x14ac:dyDescent="0.25">
      <c r="B17" s="397"/>
      <c r="C17" s="98" t="s">
        <v>33</v>
      </c>
      <c r="D17" s="98" t="s">
        <v>65</v>
      </c>
      <c r="E17" s="98" t="s">
        <v>172</v>
      </c>
      <c r="F17" s="528">
        <v>1</v>
      </c>
      <c r="G17" s="528">
        <v>2</v>
      </c>
      <c r="H17" s="528">
        <v>3</v>
      </c>
      <c r="I17" s="528">
        <v>4</v>
      </c>
      <c r="J17" s="719"/>
      <c r="K17" s="719"/>
      <c r="L17" s="528">
        <v>1</v>
      </c>
      <c r="M17" s="528">
        <v>2</v>
      </c>
      <c r="N17" s="528">
        <v>3</v>
      </c>
      <c r="O17" s="528">
        <v>4</v>
      </c>
      <c r="P17" s="719"/>
      <c r="Q17" s="719"/>
      <c r="R17" s="523"/>
      <c r="S17" s="523"/>
      <c r="T17" s="1416"/>
    </row>
    <row r="18" spans="2:20" ht="15.75" x14ac:dyDescent="0.25">
      <c r="B18" s="397"/>
      <c r="C18" s="144" t="s">
        <v>504</v>
      </c>
      <c r="D18" s="145" t="s">
        <v>2181</v>
      </c>
      <c r="E18" s="1077"/>
      <c r="F18" s="213">
        <v>7.0000000000000007E-2</v>
      </c>
      <c r="G18" s="213">
        <v>0.05</v>
      </c>
      <c r="H18" s="213">
        <v>0.04</v>
      </c>
      <c r="I18" s="213">
        <v>2.5000000000000001E-2</v>
      </c>
      <c r="J18" s="213"/>
      <c r="K18" s="719"/>
      <c r="L18" s="213">
        <v>0.06</v>
      </c>
      <c r="M18" s="213">
        <f>L18*0.75</f>
        <v>4.4999999999999998E-2</v>
      </c>
      <c r="N18" s="213">
        <f>L18*0.5</f>
        <v>0.03</v>
      </c>
      <c r="O18" s="213">
        <f>L18*0.3</f>
        <v>1.7999999999999999E-2</v>
      </c>
      <c r="P18" s="213"/>
      <c r="Q18" s="720"/>
      <c r="R18" s="160"/>
      <c r="S18" s="1416"/>
      <c r="T18" s="1416"/>
    </row>
    <row r="19" spans="2:20" ht="15.75" x14ac:dyDescent="0.25">
      <c r="B19" s="397"/>
      <c r="C19" s="144" t="s">
        <v>505</v>
      </c>
      <c r="D19" s="145" t="s">
        <v>112</v>
      </c>
      <c r="E19" s="173"/>
      <c r="F19" s="213">
        <v>0.04</v>
      </c>
      <c r="G19" s="213">
        <v>3.5000000000000003E-2</v>
      </c>
      <c r="H19" s="213">
        <f>$F19*0.5</f>
        <v>0.02</v>
      </c>
      <c r="I19" s="213">
        <v>0.02</v>
      </c>
      <c r="J19" s="346"/>
      <c r="K19" s="719"/>
      <c r="L19" s="213">
        <v>3.5000000000000003E-2</v>
      </c>
      <c r="M19" s="213">
        <f t="shared" ref="M19:M21" si="0">L19*0.75</f>
        <v>2.6250000000000002E-2</v>
      </c>
      <c r="N19" s="213">
        <f t="shared" ref="N19:N21" si="1">L19*0.5</f>
        <v>1.7500000000000002E-2</v>
      </c>
      <c r="O19" s="346">
        <f t="shared" ref="O19:O21" si="2">L19*0.3</f>
        <v>1.0500000000000001E-2</v>
      </c>
      <c r="P19" s="346"/>
      <c r="Q19" s="961"/>
      <c r="R19" s="351"/>
      <c r="S19" s="1416"/>
      <c r="T19" s="1416"/>
    </row>
    <row r="20" spans="2:20" ht="15.75" x14ac:dyDescent="0.25">
      <c r="B20" s="397"/>
      <c r="C20" s="144" t="s">
        <v>506</v>
      </c>
      <c r="D20" s="145" t="s">
        <v>2183</v>
      </c>
      <c r="E20" s="173"/>
      <c r="F20" s="213">
        <v>0.03</v>
      </c>
      <c r="G20" s="213">
        <v>2.5000000000000001E-2</v>
      </c>
      <c r="H20" s="213">
        <v>0.02</v>
      </c>
      <c r="I20" s="213">
        <f>$F20*0.3</f>
        <v>8.9999999999999993E-3</v>
      </c>
      <c r="J20" s="346"/>
      <c r="K20" s="719"/>
      <c r="L20" s="213">
        <v>0.03</v>
      </c>
      <c r="M20" s="213">
        <f t="shared" si="0"/>
        <v>2.2499999999999999E-2</v>
      </c>
      <c r="N20" s="213">
        <f t="shared" si="1"/>
        <v>1.4999999999999999E-2</v>
      </c>
      <c r="O20" s="346">
        <f t="shared" si="2"/>
        <v>8.9999999999999993E-3</v>
      </c>
      <c r="P20" s="346"/>
      <c r="Q20" s="961"/>
      <c r="R20" s="351"/>
      <c r="S20" s="1416"/>
      <c r="T20" s="1416"/>
    </row>
    <row r="21" spans="2:20" ht="15.75" x14ac:dyDescent="0.25">
      <c r="B21" s="397"/>
      <c r="C21" s="101" t="s">
        <v>507</v>
      </c>
      <c r="D21" s="102" t="s">
        <v>102</v>
      </c>
      <c r="E21" s="524"/>
      <c r="F21" s="532">
        <v>0.02</v>
      </c>
      <c r="G21" s="532">
        <f>$F21*0.75</f>
        <v>1.4999999999999999E-2</v>
      </c>
      <c r="H21" s="532">
        <f>$F21*0.5</f>
        <v>0.01</v>
      </c>
      <c r="I21" s="532">
        <f>$F21*0.3</f>
        <v>6.0000000000000001E-3</v>
      </c>
      <c r="J21" s="346"/>
      <c r="K21" s="719"/>
      <c r="L21" s="532">
        <v>1.4999999999999999E-2</v>
      </c>
      <c r="M21" s="532">
        <f t="shared" si="0"/>
        <v>1.125E-2</v>
      </c>
      <c r="N21" s="532">
        <f t="shared" si="1"/>
        <v>7.4999999999999997E-3</v>
      </c>
      <c r="O21" s="532">
        <f t="shared" si="2"/>
        <v>4.4999999999999997E-3</v>
      </c>
      <c r="P21" s="346"/>
      <c r="Q21" s="961"/>
      <c r="R21" s="351"/>
      <c r="S21" s="1416"/>
      <c r="T21" s="1416"/>
    </row>
    <row r="22" spans="2:20" x14ac:dyDescent="0.2">
      <c r="B22" s="395"/>
      <c r="C22" s="173"/>
      <c r="D22" s="173"/>
      <c r="E22" s="713"/>
      <c r="F22" s="712"/>
      <c r="G22" s="173"/>
      <c r="H22" s="1416"/>
      <c r="I22" s="173"/>
      <c r="J22" s="1416"/>
      <c r="K22" s="173"/>
      <c r="L22" s="173"/>
      <c r="M22" s="173"/>
      <c r="N22" s="1416"/>
      <c r="O22" s="173"/>
      <c r="P22" s="1416"/>
      <c r="Q22" s="173"/>
      <c r="R22" s="173"/>
      <c r="S22" s="1416"/>
      <c r="T22" s="1416"/>
    </row>
    <row r="23" spans="2:20" x14ac:dyDescent="0.2">
      <c r="B23" s="395"/>
      <c r="C23" s="175" t="s">
        <v>758</v>
      </c>
      <c r="D23" s="173"/>
      <c r="E23" s="711"/>
      <c r="F23" s="712" t="s">
        <v>595</v>
      </c>
      <c r="G23" s="173"/>
      <c r="H23" s="1416"/>
      <c r="I23" s="176" t="s">
        <v>496</v>
      </c>
      <c r="J23" s="176"/>
      <c r="K23" s="173"/>
      <c r="L23" s="173"/>
      <c r="M23" s="173"/>
      <c r="N23" s="1416"/>
      <c r="O23" s="173"/>
      <c r="P23" s="1416"/>
      <c r="Q23" s="485"/>
      <c r="R23" s="173"/>
      <c r="S23" s="173"/>
      <c r="T23" s="396"/>
    </row>
    <row r="24" spans="2:20" ht="5.25" customHeight="1" x14ac:dyDescent="0.2">
      <c r="B24" s="395"/>
      <c r="C24" s="173"/>
      <c r="D24" s="173"/>
      <c r="E24" s="713"/>
      <c r="F24" s="712"/>
      <c r="G24" s="173"/>
      <c r="H24" s="1416"/>
      <c r="I24" s="173"/>
      <c r="J24" s="1416"/>
      <c r="K24" s="173"/>
      <c r="L24" s="173"/>
      <c r="M24" s="173"/>
      <c r="N24" s="1416"/>
      <c r="O24" s="173"/>
      <c r="P24" s="1416"/>
      <c r="Q24" s="173"/>
      <c r="R24" s="173"/>
      <c r="S24" s="173"/>
      <c r="T24" s="396"/>
    </row>
    <row r="25" spans="2:20" ht="15.75" x14ac:dyDescent="0.25">
      <c r="B25" s="397"/>
      <c r="C25" s="98" t="s">
        <v>33</v>
      </c>
      <c r="D25" s="98" t="s">
        <v>65</v>
      </c>
      <c r="E25" s="98" t="s">
        <v>172</v>
      </c>
      <c r="F25" s="528">
        <v>1</v>
      </c>
      <c r="G25" s="528">
        <v>2</v>
      </c>
      <c r="H25" s="528">
        <v>3</v>
      </c>
      <c r="I25" s="528">
        <v>4</v>
      </c>
      <c r="J25" s="719"/>
      <c r="K25" s="719"/>
      <c r="L25" s="719"/>
      <c r="M25" s="719"/>
      <c r="N25" s="719"/>
      <c r="O25" s="719"/>
      <c r="P25" s="719"/>
      <c r="Q25" s="719"/>
      <c r="R25" s="173"/>
      <c r="S25" s="173"/>
      <c r="T25" s="396"/>
    </row>
    <row r="26" spans="2:20" ht="15.75" x14ac:dyDescent="0.25">
      <c r="B26" s="397"/>
      <c r="C26" s="144" t="s">
        <v>504</v>
      </c>
      <c r="D26" s="1415" t="s">
        <v>2181</v>
      </c>
      <c r="E26" s="488" t="s">
        <v>100</v>
      </c>
      <c r="F26" s="213">
        <v>0.02</v>
      </c>
      <c r="G26" s="213">
        <v>1.7500000000000002E-2</v>
      </c>
      <c r="H26" s="213">
        <v>1.4999999999999999E-2</v>
      </c>
      <c r="I26" s="213">
        <v>1.2500000000000001E-2</v>
      </c>
      <c r="J26" s="213"/>
      <c r="K26" s="213"/>
      <c r="L26" s="533"/>
      <c r="M26" s="533"/>
      <c r="N26" s="533"/>
      <c r="O26" s="533"/>
      <c r="P26" s="533"/>
      <c r="Q26" s="533"/>
      <c r="R26" s="173"/>
      <c r="S26" s="173"/>
      <c r="T26" s="396"/>
    </row>
    <row r="27" spans="2:20" ht="15.75" x14ac:dyDescent="0.25">
      <c r="B27" s="397"/>
      <c r="C27" s="144" t="s">
        <v>505</v>
      </c>
      <c r="D27" s="1415" t="s">
        <v>112</v>
      </c>
      <c r="E27" s="488" t="s">
        <v>100</v>
      </c>
      <c r="F27" s="213">
        <v>0.01</v>
      </c>
      <c r="G27" s="213">
        <f>F27*0.75</f>
        <v>7.4999999999999997E-3</v>
      </c>
      <c r="H27" s="213">
        <f>F27*0.5</f>
        <v>5.0000000000000001E-3</v>
      </c>
      <c r="I27" s="213">
        <f>F27*0.3</f>
        <v>3.0000000000000001E-3</v>
      </c>
      <c r="J27" s="346"/>
      <c r="K27" s="346"/>
      <c r="L27" s="533"/>
      <c r="M27" s="534"/>
      <c r="N27" s="534"/>
      <c r="O27" s="534"/>
      <c r="P27" s="534"/>
      <c r="Q27" s="534"/>
      <c r="R27" s="173"/>
      <c r="S27" s="173"/>
      <c r="T27" s="396"/>
    </row>
    <row r="28" spans="2:20" ht="15.75" x14ac:dyDescent="0.25">
      <c r="B28" s="397"/>
      <c r="C28" s="144" t="s">
        <v>506</v>
      </c>
      <c r="D28" s="1415" t="s">
        <v>2183</v>
      </c>
      <c r="E28" s="488" t="s">
        <v>100</v>
      </c>
      <c r="F28" s="213">
        <v>5.0000000000000001E-3</v>
      </c>
      <c r="G28" s="213">
        <f>F28*0.75</f>
        <v>3.7499999999999999E-3</v>
      </c>
      <c r="H28" s="213">
        <f>F28*0.5</f>
        <v>2.5000000000000001E-3</v>
      </c>
      <c r="I28" s="213">
        <f>F28*0.3</f>
        <v>1.5E-3</v>
      </c>
      <c r="J28" s="346"/>
      <c r="K28" s="346"/>
      <c r="L28" s="533"/>
      <c r="M28" s="534"/>
      <c r="N28" s="534"/>
      <c r="O28" s="534"/>
      <c r="P28" s="534"/>
      <c r="Q28" s="534"/>
      <c r="R28" s="173"/>
      <c r="S28" s="173"/>
      <c r="T28" s="396"/>
    </row>
    <row r="29" spans="2:20" ht="15.75" x14ac:dyDescent="0.25">
      <c r="B29" s="397"/>
      <c r="C29" s="101" t="s">
        <v>507</v>
      </c>
      <c r="D29" s="102" t="s">
        <v>102</v>
      </c>
      <c r="E29" s="102" t="s">
        <v>100</v>
      </c>
      <c r="F29" s="110">
        <v>5.9999999999999995E-4</v>
      </c>
      <c r="G29" s="110">
        <f>F29*0.75</f>
        <v>4.4999999999999999E-4</v>
      </c>
      <c r="H29" s="110">
        <f>F29*0.5</f>
        <v>2.9999999999999997E-4</v>
      </c>
      <c r="I29" s="110">
        <f>F29*0.3</f>
        <v>1.7999999999999998E-4</v>
      </c>
      <c r="J29" s="346"/>
      <c r="K29" s="346"/>
      <c r="L29" s="533"/>
      <c r="M29" s="534"/>
      <c r="N29" s="534"/>
      <c r="O29" s="534"/>
      <c r="P29" s="534"/>
      <c r="Q29" s="534"/>
      <c r="R29" s="173"/>
      <c r="S29" s="173"/>
      <c r="T29" s="396"/>
    </row>
    <row r="30" spans="2:20" x14ac:dyDescent="0.2">
      <c r="B30" s="395"/>
      <c r="C30" s="173"/>
      <c r="D30" s="173"/>
      <c r="E30" s="713"/>
      <c r="F30" s="712"/>
      <c r="G30" s="173"/>
      <c r="H30" s="1416"/>
      <c r="I30" s="173"/>
      <c r="J30" s="1416"/>
      <c r="K30" s="173"/>
      <c r="L30" s="173"/>
      <c r="M30" s="173"/>
      <c r="N30" s="1416"/>
      <c r="O30" s="173"/>
      <c r="P30" s="1416"/>
      <c r="Q30" s="173"/>
      <c r="R30" s="173"/>
      <c r="S30" s="173"/>
      <c r="T30" s="173"/>
    </row>
    <row r="31" spans="2:20" x14ac:dyDescent="0.2">
      <c r="B31" s="395"/>
      <c r="C31" s="175" t="s">
        <v>1191</v>
      </c>
      <c r="D31" s="173"/>
      <c r="E31" s="490"/>
      <c r="F31" s="964" t="s">
        <v>897</v>
      </c>
      <c r="G31" s="965"/>
      <c r="H31" s="965"/>
      <c r="I31" s="965"/>
      <c r="J31" s="965"/>
      <c r="K31" s="965"/>
      <c r="L31" s="964" t="s">
        <v>895</v>
      </c>
      <c r="M31" s="965"/>
      <c r="N31" s="965"/>
      <c r="O31" s="965"/>
      <c r="P31" s="965"/>
      <c r="Q31" s="965"/>
      <c r="R31" s="964" t="s">
        <v>896</v>
      </c>
      <c r="S31" s="965"/>
      <c r="T31" s="965"/>
    </row>
    <row r="32" spans="2:20" ht="5.25" customHeight="1" x14ac:dyDescent="0.2">
      <c r="B32" s="395"/>
      <c r="C32" s="173"/>
      <c r="D32" s="173"/>
      <c r="E32" s="173"/>
      <c r="F32" s="712"/>
      <c r="G32" s="173"/>
      <c r="H32" s="1416"/>
      <c r="I32" s="173"/>
      <c r="J32" s="1416"/>
      <c r="K32" s="173"/>
      <c r="L32" s="712"/>
      <c r="M32" s="173"/>
      <c r="N32" s="1416"/>
      <c r="O32" s="173"/>
      <c r="P32" s="1416"/>
      <c r="Q32" s="173"/>
      <c r="R32" s="712"/>
      <c r="S32" s="173"/>
      <c r="T32" s="173"/>
    </row>
    <row r="33" spans="2:21" ht="15.75" x14ac:dyDescent="0.25">
      <c r="B33" s="397"/>
      <c r="C33" s="98" t="s">
        <v>64</v>
      </c>
      <c r="D33" s="98" t="s">
        <v>65</v>
      </c>
      <c r="E33" s="963">
        <v>2010</v>
      </c>
      <c r="F33" s="715">
        <v>1</v>
      </c>
      <c r="G33" s="528">
        <v>2</v>
      </c>
      <c r="H33" s="528">
        <v>3</v>
      </c>
      <c r="I33" s="528">
        <v>4</v>
      </c>
      <c r="J33" s="719"/>
      <c r="K33" s="719"/>
      <c r="L33" s="528">
        <v>1</v>
      </c>
      <c r="M33" s="528">
        <v>2</v>
      </c>
      <c r="N33" s="528">
        <v>3</v>
      </c>
      <c r="O33" s="528">
        <v>4</v>
      </c>
      <c r="P33" s="719"/>
      <c r="Q33" s="719"/>
      <c r="R33" s="528">
        <v>1</v>
      </c>
      <c r="S33" s="528">
        <v>2</v>
      </c>
      <c r="T33" s="528">
        <v>3</v>
      </c>
      <c r="U33" s="528">
        <v>4</v>
      </c>
    </row>
    <row r="34" spans="2:21" ht="15.75" x14ac:dyDescent="0.25">
      <c r="B34" s="397"/>
      <c r="C34" s="144" t="s">
        <v>34</v>
      </c>
      <c r="D34" s="145" t="str">
        <f>INDEX(Vectors[Description], MATCH($C34, Vectors[Code], 0))</f>
        <v>Electricity (delivered to end user)</v>
      </c>
      <c r="E34" s="966">
        <f>$J67/$J$72</f>
        <v>0.45701081709595037</v>
      </c>
      <c r="F34" s="2407">
        <v>0.19400000000000001</v>
      </c>
      <c r="G34" s="2407">
        <v>0.19400000000000001</v>
      </c>
      <c r="H34" s="2407">
        <v>0.19400000000000001</v>
      </c>
      <c r="I34" s="174">
        <v>0.19400000000000001</v>
      </c>
      <c r="J34" s="174"/>
      <c r="K34" s="174"/>
      <c r="L34" s="2407">
        <v>0.20899999999999999</v>
      </c>
      <c r="M34" s="2407">
        <v>0.20899999999999999</v>
      </c>
      <c r="N34" s="2407">
        <v>0.20899999999999999</v>
      </c>
      <c r="O34" s="2407">
        <v>0.20899999999999999</v>
      </c>
      <c r="P34" s="174"/>
      <c r="Q34" s="174"/>
      <c r="R34" s="2407">
        <v>0.216</v>
      </c>
      <c r="S34" s="2407">
        <v>0.216</v>
      </c>
      <c r="T34" s="2407">
        <v>0.216</v>
      </c>
      <c r="U34" s="174">
        <v>0.216</v>
      </c>
    </row>
    <row r="35" spans="2:21" ht="15.75" x14ac:dyDescent="0.25">
      <c r="B35" s="397"/>
      <c r="C35" s="144" t="s">
        <v>36</v>
      </c>
      <c r="D35" s="145" t="str">
        <f>INDEX(Vectors[Description], MATCH($C35, Vectors[Code], 0))</f>
        <v>Solid hydrocarbons</v>
      </c>
      <c r="E35" s="966">
        <f>$J68/$J$72</f>
        <v>2.8182958524887811E-2</v>
      </c>
      <c r="F35" s="2408">
        <v>2.8000000000000001E-2</v>
      </c>
      <c r="G35" s="2408">
        <v>2.8000000000000001E-2</v>
      </c>
      <c r="H35" s="2408">
        <v>2.8000000000000001E-2</v>
      </c>
      <c r="I35" s="183">
        <v>2.8000000000000001E-2</v>
      </c>
      <c r="J35" s="183"/>
      <c r="K35" s="183"/>
      <c r="L35" s="2408">
        <v>2.9000000000000001E-2</v>
      </c>
      <c r="M35" s="2408">
        <v>2.9000000000000001E-2</v>
      </c>
      <c r="N35" s="2408">
        <v>2.9000000000000001E-2</v>
      </c>
      <c r="O35" s="2408">
        <v>2.9000000000000001E-2</v>
      </c>
      <c r="P35" s="183"/>
      <c r="Q35" s="183"/>
      <c r="R35" s="2407">
        <v>0.03</v>
      </c>
      <c r="S35" s="2408">
        <v>0.03</v>
      </c>
      <c r="T35" s="2408">
        <v>0.03</v>
      </c>
      <c r="U35" s="183">
        <v>0.03</v>
      </c>
    </row>
    <row r="36" spans="2:21" ht="15.75" x14ac:dyDescent="0.25">
      <c r="B36" s="397"/>
      <c r="C36" s="144" t="s">
        <v>38</v>
      </c>
      <c r="D36" s="145" t="str">
        <f>INDEX(Vectors[Description], MATCH($C36, Vectors[Code], 0))</f>
        <v>Liquid hydrocarbons</v>
      </c>
      <c r="E36" s="966">
        <f>$J69/$J$72</f>
        <v>4.5564050451098917E-2</v>
      </c>
      <c r="F36" s="2408">
        <v>0.214</v>
      </c>
      <c r="G36" s="2408">
        <v>0.214</v>
      </c>
      <c r="H36" s="2408">
        <v>0.214</v>
      </c>
      <c r="I36" s="183">
        <v>0.214</v>
      </c>
      <c r="J36" s="183"/>
      <c r="K36" s="183"/>
      <c r="L36" s="2408">
        <v>0.20200000000000001</v>
      </c>
      <c r="M36" s="2408">
        <v>0.20200000000000001</v>
      </c>
      <c r="N36" s="2408">
        <v>0.20200000000000001</v>
      </c>
      <c r="O36" s="2408">
        <v>0.20200000000000001</v>
      </c>
      <c r="P36" s="183"/>
      <c r="Q36" s="183"/>
      <c r="R36" s="2407">
        <v>0.20699999999999999</v>
      </c>
      <c r="S36" s="2408">
        <v>0.20699999999999999</v>
      </c>
      <c r="T36" s="2408">
        <v>0.20699999999999999</v>
      </c>
      <c r="U36" s="183">
        <v>0.20699999999999999</v>
      </c>
    </row>
    <row r="37" spans="2:21" ht="15.75" x14ac:dyDescent="0.25">
      <c r="B37" s="397"/>
      <c r="C37" s="144" t="s">
        <v>39</v>
      </c>
      <c r="D37" s="145" t="str">
        <f>INDEX(Vectors[Description], MATCH($C37, Vectors[Code], 0))</f>
        <v>Gaseous hydrocarbons</v>
      </c>
      <c r="E37" s="966">
        <f>$J70/$J$72</f>
        <v>0.3629576516107042</v>
      </c>
      <c r="F37" s="2408">
        <v>0.46300000000000002</v>
      </c>
      <c r="G37" s="2408">
        <v>0.46300000000000002</v>
      </c>
      <c r="H37" s="2408">
        <v>0.46300000000000002</v>
      </c>
      <c r="I37" s="183">
        <v>0.46300000000000002</v>
      </c>
      <c r="J37" s="183"/>
      <c r="K37" s="183"/>
      <c r="L37" s="2408">
        <v>0.49099999999999999</v>
      </c>
      <c r="M37" s="2408">
        <v>0.49099999999999999</v>
      </c>
      <c r="N37" s="2408">
        <v>0.49099999999999999</v>
      </c>
      <c r="O37" s="2408">
        <v>0.49099999999999999</v>
      </c>
      <c r="P37" s="183"/>
      <c r="Q37" s="183"/>
      <c r="R37" s="2407">
        <v>0.502</v>
      </c>
      <c r="S37" s="2408">
        <v>0.502</v>
      </c>
      <c r="T37" s="2408">
        <v>0.502</v>
      </c>
      <c r="U37" s="183">
        <v>0.502</v>
      </c>
    </row>
    <row r="38" spans="2:21" ht="15.75" x14ac:dyDescent="0.25">
      <c r="B38" s="397"/>
      <c r="C38" s="101" t="s">
        <v>2184</v>
      </c>
      <c r="D38" s="102" t="str">
        <f>INDEX(Vectors[Description], MATCH($C38, Vectors[Code], 0))</f>
        <v>Traditional Fuel</v>
      </c>
      <c r="E38" s="967">
        <f>$J71/$J$72</f>
        <v>0.10628452231735863</v>
      </c>
      <c r="F38" s="2409">
        <v>0.10100000000000001</v>
      </c>
      <c r="G38" s="2409">
        <v>0.10100000000000001</v>
      </c>
      <c r="H38" s="2409">
        <v>0.10100000000000001</v>
      </c>
      <c r="I38" s="184">
        <v>0.10100000000000001</v>
      </c>
      <c r="J38" s="183"/>
      <c r="K38" s="183"/>
      <c r="L38" s="2409">
        <v>6.9000000000000006E-2</v>
      </c>
      <c r="M38" s="2409">
        <v>6.9000000000000006E-2</v>
      </c>
      <c r="N38" s="2409">
        <v>6.9000000000000006E-2</v>
      </c>
      <c r="O38" s="2409">
        <v>6.9000000000000006E-2</v>
      </c>
      <c r="P38" s="183"/>
      <c r="Q38" s="183"/>
      <c r="R38" s="2410">
        <v>4.4999999999999998E-2</v>
      </c>
      <c r="S38" s="2409">
        <v>4.4999999999999998E-2</v>
      </c>
      <c r="T38" s="2409">
        <v>4.4999999999999998E-2</v>
      </c>
      <c r="U38" s="184">
        <v>4.4999999999999998E-2</v>
      </c>
    </row>
    <row r="39" spans="2:21" x14ac:dyDescent="0.2">
      <c r="B39" s="395"/>
      <c r="C39" s="178"/>
      <c r="D39" s="345"/>
      <c r="E39" s="713"/>
      <c r="F39" s="712"/>
      <c r="G39" s="722"/>
      <c r="H39" s="722"/>
      <c r="I39" s="601">
        <f>SUM(I34:I38)</f>
        <v>1</v>
      </c>
      <c r="J39" s="722"/>
      <c r="K39" s="732"/>
      <c r="L39" s="712"/>
      <c r="M39" s="173"/>
      <c r="N39" s="173"/>
      <c r="O39" s="1416"/>
      <c r="P39" s="713"/>
      <c r="Q39" s="712"/>
      <c r="R39" s="1416"/>
      <c r="S39" s="1416"/>
      <c r="T39" s="173"/>
      <c r="U39" s="173"/>
    </row>
    <row r="40" spans="2:21" x14ac:dyDescent="0.2">
      <c r="B40" s="395"/>
      <c r="C40" s="175" t="s">
        <v>771</v>
      </c>
      <c r="D40" s="173"/>
      <c r="E40" s="490"/>
      <c r="F40" s="712" t="s">
        <v>595</v>
      </c>
      <c r="G40" s="173"/>
      <c r="H40" s="1416"/>
      <c r="I40" s="176" t="s">
        <v>496</v>
      </c>
      <c r="J40" s="176"/>
      <c r="K40" s="732"/>
      <c r="L40" s="173"/>
      <c r="M40" s="173"/>
      <c r="N40" s="173"/>
      <c r="O40" s="1416"/>
      <c r="P40" s="173"/>
      <c r="Q40" s="173"/>
      <c r="R40" s="1416"/>
      <c r="S40" s="1416"/>
      <c r="T40" s="173"/>
      <c r="U40" s="396"/>
    </row>
    <row r="41" spans="2:21" ht="5.25" customHeight="1" x14ac:dyDescent="0.2">
      <c r="B41" s="395"/>
      <c r="C41" s="173"/>
      <c r="D41" s="173"/>
      <c r="E41" s="173"/>
      <c r="F41" s="712"/>
      <c r="G41" s="173"/>
      <c r="H41" s="1416"/>
      <c r="I41" s="173"/>
      <c r="J41" s="1416"/>
      <c r="K41" s="173"/>
      <c r="L41" s="173"/>
      <c r="M41" s="173"/>
      <c r="N41" s="173"/>
      <c r="O41" s="1416"/>
      <c r="P41" s="173"/>
      <c r="Q41" s="173"/>
      <c r="R41" s="1416"/>
      <c r="S41" s="1416"/>
      <c r="T41" s="173"/>
      <c r="U41" s="396"/>
    </row>
    <row r="42" spans="2:21" ht="15.75" x14ac:dyDescent="0.25">
      <c r="B42" s="397"/>
      <c r="C42" s="98" t="s">
        <v>33</v>
      </c>
      <c r="D42" s="98" t="s">
        <v>65</v>
      </c>
      <c r="E42" s="714"/>
      <c r="F42" s="715">
        <v>1</v>
      </c>
      <c r="G42" s="528">
        <v>2</v>
      </c>
      <c r="H42" s="528">
        <v>3</v>
      </c>
      <c r="I42" s="528">
        <v>4</v>
      </c>
      <c r="J42" s="719"/>
      <c r="K42" s="719"/>
      <c r="L42" s="173"/>
      <c r="M42" s="173"/>
      <c r="N42" s="173"/>
      <c r="O42" s="1416"/>
      <c r="P42" s="173"/>
      <c r="Q42" s="173"/>
      <c r="R42" s="1416"/>
      <c r="S42" s="1416"/>
      <c r="T42" s="173"/>
      <c r="U42" s="396"/>
    </row>
    <row r="43" spans="2:21" ht="15.75" x14ac:dyDescent="0.25">
      <c r="B43" s="397"/>
      <c r="C43" s="144" t="s">
        <v>504</v>
      </c>
      <c r="D43" s="1415" t="s">
        <v>2181</v>
      </c>
      <c r="E43" s="716" t="s">
        <v>101</v>
      </c>
      <c r="F43" s="743">
        <v>0</v>
      </c>
      <c r="G43" s="213">
        <v>-5.0000000000000001E-3</v>
      </c>
      <c r="H43" s="213">
        <v>-7.4999999999999997E-3</v>
      </c>
      <c r="I43" s="213">
        <v>-1.2500000000000001E-2</v>
      </c>
      <c r="J43" s="213"/>
      <c r="K43" s="213"/>
      <c r="L43" s="173"/>
      <c r="M43" s="962"/>
      <c r="N43" s="962"/>
      <c r="O43" s="962"/>
      <c r="P43" s="962"/>
      <c r="Q43" s="962"/>
      <c r="R43" s="962"/>
      <c r="S43" s="962"/>
      <c r="T43" s="173"/>
      <c r="U43" s="396"/>
    </row>
    <row r="44" spans="2:21" ht="15.75" x14ac:dyDescent="0.25">
      <c r="B44" s="397"/>
      <c r="C44" s="144" t="s">
        <v>505</v>
      </c>
      <c r="D44" s="1415" t="s">
        <v>112</v>
      </c>
      <c r="E44" s="716" t="s">
        <v>101</v>
      </c>
      <c r="F44" s="743">
        <v>0</v>
      </c>
      <c r="G44" s="213">
        <v>-5.0000000000000001E-3</v>
      </c>
      <c r="H44" s="213">
        <v>-7.4999999999999997E-3</v>
      </c>
      <c r="I44" s="213">
        <v>-1.2500000000000001E-2</v>
      </c>
      <c r="J44" s="346"/>
      <c r="K44" s="346"/>
      <c r="L44" s="173"/>
      <c r="M44" s="962"/>
      <c r="N44" s="962"/>
      <c r="O44" s="962"/>
      <c r="P44" s="962"/>
      <c r="Q44" s="962"/>
      <c r="R44" s="962"/>
      <c r="S44" s="962"/>
      <c r="T44" s="173"/>
      <c r="U44" s="396"/>
    </row>
    <row r="45" spans="2:21" ht="15.75" x14ac:dyDescent="0.25">
      <c r="B45" s="397"/>
      <c r="C45" s="144" t="s">
        <v>506</v>
      </c>
      <c r="D45" s="1415" t="s">
        <v>2183</v>
      </c>
      <c r="E45" s="716" t="s">
        <v>101</v>
      </c>
      <c r="F45" s="743">
        <v>0</v>
      </c>
      <c r="G45" s="213">
        <v>-5.0000000000000001E-3</v>
      </c>
      <c r="H45" s="213">
        <v>-7.4999999999999997E-3</v>
      </c>
      <c r="I45" s="213">
        <v>-1.2500000000000001E-2</v>
      </c>
      <c r="J45" s="346"/>
      <c r="K45" s="346"/>
      <c r="L45" s="173"/>
      <c r="M45" s="962"/>
      <c r="N45" s="962"/>
      <c r="O45" s="962"/>
      <c r="P45" s="962"/>
      <c r="Q45" s="962"/>
      <c r="R45" s="962"/>
      <c r="S45" s="962"/>
      <c r="T45" s="173"/>
      <c r="U45" s="396"/>
    </row>
    <row r="46" spans="2:21" ht="15.75" x14ac:dyDescent="0.25">
      <c r="B46" s="397"/>
      <c r="C46" s="101" t="s">
        <v>507</v>
      </c>
      <c r="D46" s="102" t="s">
        <v>102</v>
      </c>
      <c r="E46" s="744" t="s">
        <v>101</v>
      </c>
      <c r="F46" s="745">
        <v>0</v>
      </c>
      <c r="G46" s="700">
        <v>-5.0000000000000001E-3</v>
      </c>
      <c r="H46" s="700">
        <v>-7.4999999999999997E-3</v>
      </c>
      <c r="I46" s="700">
        <v>-1.2500000000000001E-2</v>
      </c>
      <c r="J46" s="346"/>
      <c r="K46" s="346"/>
      <c r="L46" s="173"/>
      <c r="M46" s="962"/>
      <c r="N46" s="962"/>
      <c r="O46" s="962"/>
      <c r="P46" s="962"/>
      <c r="Q46" s="962"/>
      <c r="R46" s="962"/>
      <c r="S46" s="962"/>
      <c r="T46" s="962"/>
      <c r="U46" s="173"/>
    </row>
    <row r="47" spans="2:21" ht="15.75" x14ac:dyDescent="0.25">
      <c r="B47" s="397"/>
      <c r="C47" s="144"/>
      <c r="D47" s="145"/>
      <c r="E47" s="746"/>
      <c r="F47" s="717"/>
      <c r="G47" s="534"/>
      <c r="H47" s="534"/>
      <c r="I47" s="534"/>
      <c r="J47" s="173"/>
      <c r="K47" s="173"/>
      <c r="L47" s="173"/>
      <c r="M47" s="173"/>
      <c r="N47" s="173"/>
      <c r="O47" s="173"/>
      <c r="P47" s="396"/>
    </row>
    <row r="48" spans="2:21" ht="14.25" x14ac:dyDescent="0.25">
      <c r="B48" s="395"/>
      <c r="C48" s="175" t="s">
        <v>898</v>
      </c>
      <c r="D48" s="173"/>
      <c r="E48" s="173"/>
      <c r="F48" s="173"/>
      <c r="G48" s="173"/>
      <c r="H48" s="173"/>
      <c r="I48" s="176"/>
      <c r="J48" s="173"/>
      <c r="K48" s="173"/>
      <c r="L48" s="173"/>
      <c r="M48" s="173"/>
      <c r="N48" s="176" t="s">
        <v>780</v>
      </c>
      <c r="P48" s="396"/>
    </row>
    <row r="49" spans="1:16" ht="5.25" customHeight="1" x14ac:dyDescent="0.2">
      <c r="B49" s="395"/>
      <c r="C49" s="173"/>
      <c r="D49" s="173"/>
      <c r="E49" s="173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396"/>
    </row>
    <row r="50" spans="1:16" ht="15.75" x14ac:dyDescent="0.25">
      <c r="B50" s="397"/>
      <c r="C50" s="98" t="s">
        <v>595</v>
      </c>
      <c r="D50" s="98" t="s">
        <v>66</v>
      </c>
      <c r="E50" s="98" t="s">
        <v>172</v>
      </c>
      <c r="F50" s="218">
        <v>2010</v>
      </c>
      <c r="G50" s="217">
        <v>2015</v>
      </c>
      <c r="H50" s="217">
        <v>2020</v>
      </c>
      <c r="I50" s="217">
        <v>2025</v>
      </c>
      <c r="J50" s="217">
        <v>2030</v>
      </c>
      <c r="K50" s="217">
        <v>2035</v>
      </c>
      <c r="L50" s="217">
        <v>2040</v>
      </c>
      <c r="M50" s="217">
        <v>2045</v>
      </c>
      <c r="N50" s="217">
        <v>2050</v>
      </c>
      <c r="O50" s="396"/>
    </row>
    <row r="51" spans="1:16" ht="15.75" x14ac:dyDescent="0.25">
      <c r="B51" s="397"/>
      <c r="C51" s="144">
        <v>1</v>
      </c>
      <c r="D51" s="145"/>
      <c r="E51" s="488"/>
      <c r="F51" s="112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0</v>
      </c>
      <c r="M51" s="174">
        <v>0</v>
      </c>
      <c r="N51" s="174">
        <v>0</v>
      </c>
      <c r="O51" s="396"/>
    </row>
    <row r="52" spans="1:16" ht="15.75" x14ac:dyDescent="0.25">
      <c r="B52" s="397"/>
      <c r="C52" s="144">
        <v>2</v>
      </c>
      <c r="D52" s="145"/>
      <c r="E52" s="488"/>
      <c r="F52" s="185">
        <v>0</v>
      </c>
      <c r="G52" s="183">
        <v>0</v>
      </c>
      <c r="H52" s="183">
        <v>0</v>
      </c>
      <c r="I52" s="183">
        <v>0</v>
      </c>
      <c r="J52" s="183">
        <v>0</v>
      </c>
      <c r="K52" s="183">
        <v>0</v>
      </c>
      <c r="L52" s="183">
        <v>0</v>
      </c>
      <c r="M52" s="183">
        <v>0</v>
      </c>
      <c r="N52" s="183">
        <v>0</v>
      </c>
      <c r="O52" s="396"/>
    </row>
    <row r="53" spans="1:16" s="2479" customFormat="1" ht="15.75" x14ac:dyDescent="0.25">
      <c r="B53" s="397"/>
      <c r="C53" s="1414">
        <v>3</v>
      </c>
      <c r="D53" s="1415"/>
      <c r="E53" s="488"/>
      <c r="F53" s="185">
        <v>0</v>
      </c>
      <c r="G53" s="183">
        <v>0</v>
      </c>
      <c r="H53" s="183">
        <v>0</v>
      </c>
      <c r="I53" s="183">
        <v>0</v>
      </c>
      <c r="J53" s="183">
        <v>0</v>
      </c>
      <c r="K53" s="183">
        <v>0</v>
      </c>
      <c r="L53" s="183">
        <v>0</v>
      </c>
      <c r="M53" s="183">
        <v>0</v>
      </c>
      <c r="N53" s="183">
        <v>0</v>
      </c>
      <c r="O53" s="1420"/>
    </row>
    <row r="54" spans="1:16" ht="15.75" x14ac:dyDescent="0.25">
      <c r="B54" s="397"/>
      <c r="C54" s="199">
        <v>4</v>
      </c>
      <c r="D54" s="200"/>
      <c r="E54" s="531"/>
      <c r="F54" s="563">
        <v>0</v>
      </c>
      <c r="G54" s="564">
        <v>0</v>
      </c>
      <c r="H54" s="564">
        <v>0</v>
      </c>
      <c r="I54" s="564">
        <v>0</v>
      </c>
      <c r="J54" s="564">
        <v>0</v>
      </c>
      <c r="K54" s="564">
        <v>0</v>
      </c>
      <c r="L54" s="564">
        <v>0</v>
      </c>
      <c r="M54" s="564">
        <v>0</v>
      </c>
      <c r="N54" s="564">
        <v>0</v>
      </c>
      <c r="O54" s="396"/>
    </row>
    <row r="55" spans="1:16" x14ac:dyDescent="0.2">
      <c r="B55" s="395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396"/>
    </row>
    <row r="56" spans="1:16" x14ac:dyDescent="0.2">
      <c r="B56" s="395"/>
      <c r="C56" s="173" t="s">
        <v>266</v>
      </c>
      <c r="D56" s="173" t="s">
        <v>501</v>
      </c>
      <c r="E56" s="173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396"/>
    </row>
    <row r="57" spans="1:16" x14ac:dyDescent="0.2">
      <c r="B57" s="395"/>
      <c r="C57" s="161" t="s">
        <v>93</v>
      </c>
      <c r="D57" s="145" t="s">
        <v>2188</v>
      </c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396"/>
    </row>
    <row r="58" spans="1:16" x14ac:dyDescent="0.2">
      <c r="B58" s="395"/>
      <c r="C58" s="176" t="s">
        <v>100</v>
      </c>
      <c r="D58" s="173" t="s">
        <v>2187</v>
      </c>
      <c r="E58" s="173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396"/>
    </row>
    <row r="59" spans="1:16" x14ac:dyDescent="0.2">
      <c r="B59" s="1419"/>
      <c r="C59" s="176" t="s">
        <v>101</v>
      </c>
      <c r="D59" s="1416" t="s">
        <v>2190</v>
      </c>
      <c r="E59" s="1416"/>
      <c r="F59" s="1416"/>
      <c r="G59" s="1416"/>
      <c r="H59" s="1416"/>
      <c r="I59" s="1416"/>
      <c r="J59" s="1416"/>
      <c r="K59" s="1416"/>
      <c r="L59" s="1416"/>
      <c r="M59" s="1416"/>
      <c r="N59" s="1416"/>
      <c r="O59" s="1416"/>
      <c r="P59" s="1420"/>
    </row>
    <row r="60" spans="1:16" x14ac:dyDescent="0.2">
      <c r="B60" s="395"/>
      <c r="C60" s="176"/>
      <c r="D60" s="173"/>
      <c r="E60" s="173"/>
      <c r="F60" s="173"/>
      <c r="G60" s="173"/>
      <c r="H60" s="173"/>
      <c r="I60" s="173"/>
      <c r="J60" s="173"/>
      <c r="K60" s="173"/>
      <c r="L60" s="173"/>
      <c r="M60" s="173"/>
      <c r="N60" s="173"/>
      <c r="O60" s="173"/>
      <c r="P60" s="396"/>
    </row>
    <row r="61" spans="1:16" s="84" customFormat="1" ht="22.5" x14ac:dyDescent="0.2">
      <c r="A61" s="408"/>
      <c r="B61" s="38"/>
      <c r="C61" s="38"/>
      <c r="D61" s="38"/>
      <c r="E61" s="38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</row>
    <row r="62" spans="1:16" ht="15.75" x14ac:dyDescent="0.2">
      <c r="B62" s="472" t="s">
        <v>315</v>
      </c>
      <c r="C62" s="405"/>
      <c r="D62" s="405"/>
      <c r="E62" s="405"/>
      <c r="F62" s="405"/>
      <c r="G62" s="405"/>
      <c r="H62" s="405"/>
      <c r="I62" s="405"/>
      <c r="J62" s="405"/>
      <c r="K62" s="405"/>
      <c r="L62" s="405"/>
      <c r="M62" s="405"/>
      <c r="N62" s="405"/>
      <c r="O62" s="405"/>
      <c r="P62" s="406"/>
    </row>
    <row r="63" spans="1:16" x14ac:dyDescent="0.2">
      <c r="B63" s="395"/>
      <c r="C63" s="173"/>
      <c r="D63" s="173"/>
      <c r="E63" s="173"/>
      <c r="F63" s="173"/>
      <c r="G63" s="173"/>
      <c r="H63" s="173"/>
      <c r="I63" s="173"/>
      <c r="J63" s="173"/>
      <c r="K63" s="173"/>
      <c r="L63" s="173"/>
      <c r="M63" s="173"/>
      <c r="N63" s="173"/>
      <c r="O63" s="173"/>
      <c r="P63" s="396"/>
    </row>
    <row r="64" spans="1:16" ht="12" customHeight="1" x14ac:dyDescent="0.2">
      <c r="B64" s="395"/>
      <c r="C64" s="175" t="s">
        <v>2189</v>
      </c>
      <c r="D64" s="173"/>
      <c r="E64" s="173"/>
      <c r="F64" s="173"/>
      <c r="G64" s="173"/>
      <c r="H64" s="173"/>
      <c r="I64" s="176" t="str">
        <f>Preferences.EnergyUnits</f>
        <v>TWh</v>
      </c>
      <c r="J64" s="176"/>
      <c r="K64" s="173"/>
      <c r="L64" s="173"/>
      <c r="M64" s="173"/>
      <c r="N64" s="173"/>
      <c r="O64" s="173"/>
      <c r="P64" s="396"/>
    </row>
    <row r="65" spans="2:16" x14ac:dyDescent="0.2">
      <c r="B65" s="395"/>
      <c r="C65" s="173"/>
      <c r="D65" s="173"/>
      <c r="E65" s="713"/>
      <c r="F65" s="712"/>
      <c r="G65" s="173"/>
      <c r="H65" s="173"/>
      <c r="I65" s="713"/>
      <c r="J65" s="712"/>
      <c r="K65" s="173"/>
      <c r="L65" s="173"/>
      <c r="M65" s="173"/>
      <c r="N65" s="173"/>
      <c r="O65" s="173"/>
      <c r="P65" s="396"/>
    </row>
    <row r="66" spans="2:16" ht="15.75" x14ac:dyDescent="0.25">
      <c r="B66" s="397"/>
      <c r="C66" s="98" t="s">
        <v>64</v>
      </c>
      <c r="D66" s="98" t="s">
        <v>65</v>
      </c>
      <c r="E66" s="714" t="s">
        <v>172</v>
      </c>
      <c r="F66" s="734" t="s">
        <v>2181</v>
      </c>
      <c r="G66" s="217" t="s">
        <v>112</v>
      </c>
      <c r="H66" s="217" t="s">
        <v>2183</v>
      </c>
      <c r="I66" s="735" t="s">
        <v>102</v>
      </c>
      <c r="J66" s="734" t="s">
        <v>105</v>
      </c>
      <c r="K66" s="173"/>
      <c r="L66" s="173"/>
      <c r="M66" s="173"/>
      <c r="N66" s="173"/>
      <c r="O66" s="173"/>
      <c r="P66" s="396"/>
    </row>
    <row r="67" spans="2:16" ht="15.75" x14ac:dyDescent="0.25">
      <c r="B67" s="397"/>
      <c r="C67" s="144" t="s">
        <v>34</v>
      </c>
      <c r="D67" s="145" t="str">
        <f>INDEX(Vectors[Description], MATCH($C67, Vectors[Code], 0))</f>
        <v>Electricity (delivered to end user)</v>
      </c>
      <c r="E67" s="716"/>
      <c r="F67" s="728">
        <f>(Unit.Mtoe)*1.98546496103732</f>
        <v>23.090957496864036</v>
      </c>
      <c r="G67" s="728">
        <f>(Unit.Mtoe)*0.111901547698543</f>
        <v>1.3014149997340552</v>
      </c>
      <c r="H67" s="728">
        <f>(Unit.Mtoe)*0.00339617892142845</f>
        <v>3.9497560856212879E-2</v>
      </c>
      <c r="I67" s="728">
        <f>(Unit.Mtoe)*0.00148707098408123</f>
        <v>1.7294635544864705E-2</v>
      </c>
      <c r="J67" s="728">
        <f>SUM($F67:$I67)</f>
        <v>24.449164692999169</v>
      </c>
      <c r="K67" s="173"/>
      <c r="L67" s="173"/>
      <c r="M67" s="173"/>
      <c r="N67" s="173"/>
      <c r="O67" s="173"/>
      <c r="P67" s="396"/>
    </row>
    <row r="68" spans="2:16" ht="15.75" x14ac:dyDescent="0.25">
      <c r="B68" s="397"/>
      <c r="C68" s="144" t="s">
        <v>36</v>
      </c>
      <c r="D68" s="145" t="str">
        <f>INDEX(Vectors[Description], MATCH($C68, Vectors[Code], 0))</f>
        <v>Solid hydrocarbons</v>
      </c>
      <c r="E68" s="716"/>
      <c r="F68" s="728">
        <f>(Unit.Mtoe)*0.129641609214484</f>
        <v>1.507731915164449</v>
      </c>
      <c r="G68" s="728">
        <f>(Unit.Mtoe)*0</f>
        <v>0</v>
      </c>
      <c r="H68" s="728">
        <f>(Unit.Mtoe)*0</f>
        <v>0</v>
      </c>
      <c r="I68" s="728">
        <f>(Unit.Mtoe)*0</f>
        <v>0</v>
      </c>
      <c r="J68" s="730">
        <f>SUM($F68:$I68)</f>
        <v>1.507731915164449</v>
      </c>
      <c r="K68" s="173"/>
      <c r="L68" s="173"/>
      <c r="M68" s="173"/>
      <c r="N68" s="173"/>
      <c r="O68" s="173"/>
      <c r="P68" s="396"/>
    </row>
    <row r="69" spans="2:16" ht="15.75" x14ac:dyDescent="0.25">
      <c r="B69" s="397"/>
      <c r="C69" s="144" t="s">
        <v>38</v>
      </c>
      <c r="D69" s="145" t="str">
        <f>INDEX(Vectors[Description], MATCH($C69, Vectors[Code], 0))</f>
        <v>Liquid hydrocarbons</v>
      </c>
      <c r="E69" s="716"/>
      <c r="F69" s="728">
        <f>(Unit.Mtoe)*0</f>
        <v>0</v>
      </c>
      <c r="G69" s="351">
        <f>(Unit.Mtoe)*0.178368180955212</f>
        <v>2.0744219445091159</v>
      </c>
      <c r="H69" s="351">
        <f>(Unit.Mtoe)*0.00561821996874183</f>
        <v>6.5339898236467478E-2</v>
      </c>
      <c r="I69" s="729">
        <f>(Unit.Mtoe)*0.0256082311511013</f>
        <v>0.29782372828730813</v>
      </c>
      <c r="J69" s="730">
        <f>SUM($F69:$I69)</f>
        <v>2.4375855710328915</v>
      </c>
      <c r="K69" s="173"/>
      <c r="L69" s="173"/>
      <c r="M69" s="173"/>
      <c r="N69" s="173"/>
      <c r="O69" s="173"/>
      <c r="P69" s="396"/>
    </row>
    <row r="70" spans="2:16" ht="15.75" x14ac:dyDescent="0.25">
      <c r="B70" s="397"/>
      <c r="C70" s="144" t="s">
        <v>39</v>
      </c>
      <c r="D70" s="145" t="str">
        <f>INDEX(Vectors[Description], MATCH($C70, Vectors[Code], 0))</f>
        <v>Gaseous hydrocarbons</v>
      </c>
      <c r="E70" s="716"/>
      <c r="F70" s="728">
        <f>(Unit.Mtoe)*1.52987752399536</f>
        <v>17.792475604066038</v>
      </c>
      <c r="G70" s="351">
        <f>(Unit.Mtoe)*0.0706102163197187</f>
        <v>0.82119681579832848</v>
      </c>
      <c r="H70" s="351">
        <f>(Unit.Mtoe)*0.0114907244197725</f>
        <v>0.13363712500195418</v>
      </c>
      <c r="I70" s="729">
        <f>(Unit.Mtoe)*0.0576267326743893</f>
        <v>0.67019890100314761</v>
      </c>
      <c r="J70" s="730">
        <f>SUM($F70:$I70)</f>
        <v>19.417508445869466</v>
      </c>
      <c r="K70" s="173"/>
      <c r="L70" s="173"/>
      <c r="M70" s="173"/>
      <c r="N70" s="173"/>
      <c r="O70" s="173"/>
      <c r="P70" s="396"/>
    </row>
    <row r="71" spans="2:16" ht="15.75" x14ac:dyDescent="0.25">
      <c r="B71" s="397"/>
      <c r="C71" s="101" t="s">
        <v>2184</v>
      </c>
      <c r="D71" s="102" t="str">
        <f>INDEX(Vectors[Description], MATCH($C71, Vectors[Code], 0))</f>
        <v>Traditional Fuel</v>
      </c>
      <c r="E71" s="718"/>
      <c r="F71" s="736">
        <f>(Unit.Mtoe)*0.48890880265985</f>
        <v>5.6860093749340557</v>
      </c>
      <c r="G71" s="736">
        <f>(Unit.Mtoe)*0</f>
        <v>0</v>
      </c>
      <c r="H71" s="736">
        <f>(Unit.Mtoe)*0</f>
        <v>0</v>
      </c>
      <c r="I71" s="736">
        <f>(Unit.Mtoe)*0</f>
        <v>0</v>
      </c>
      <c r="J71" s="731">
        <f>SUM($F71:$I71)</f>
        <v>5.6860093749340557</v>
      </c>
      <c r="K71" s="173"/>
      <c r="L71" s="173"/>
      <c r="M71" s="173"/>
      <c r="N71" s="173"/>
      <c r="O71" s="173"/>
      <c r="P71" s="396"/>
    </row>
    <row r="72" spans="2:16" ht="15.75" x14ac:dyDescent="0.25">
      <c r="B72" s="397"/>
      <c r="C72" s="178" t="s">
        <v>105</v>
      </c>
      <c r="D72" s="345"/>
      <c r="E72" s="737"/>
      <c r="F72" s="733">
        <f>SUM(F$67:F$71)</f>
        <v>48.077174391028578</v>
      </c>
      <c r="G72" s="722">
        <f>SUM(G$67:G$71)</f>
        <v>4.1970337600414993</v>
      </c>
      <c r="H72" s="722">
        <f>SUM(H$67:H$71)</f>
        <v>0.23847458409463454</v>
      </c>
      <c r="I72" s="732">
        <f>SUM(I$67:I$71)</f>
        <v>0.98531726483532045</v>
      </c>
      <c r="J72" s="733">
        <f>SUM(J$67:J$71)</f>
        <v>53.498000000000033</v>
      </c>
      <c r="K72" s="173"/>
      <c r="L72" s="173"/>
      <c r="M72" s="173"/>
      <c r="N72" s="173"/>
      <c r="O72" s="173"/>
      <c r="P72" s="396"/>
    </row>
    <row r="73" spans="2:16" ht="18" customHeight="1" x14ac:dyDescent="0.2">
      <c r="B73" s="395"/>
      <c r="C73" s="173"/>
      <c r="D73" s="173"/>
      <c r="E73" s="173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396"/>
    </row>
    <row r="74" spans="2:16" ht="16.5" customHeight="1" x14ac:dyDescent="0.25">
      <c r="B74" s="395"/>
      <c r="C74" s="175" t="s">
        <v>2191</v>
      </c>
      <c r="D74" s="173"/>
      <c r="E74" s="490"/>
      <c r="F74" s="173"/>
      <c r="G74" s="173"/>
      <c r="H74" s="173"/>
      <c r="I74" s="1255" t="s">
        <v>676</v>
      </c>
      <c r="J74" s="173"/>
      <c r="K74" s="173"/>
      <c r="L74" s="173"/>
      <c r="M74" s="173"/>
      <c r="N74" s="173"/>
      <c r="O74" s="173"/>
      <c r="P74" s="396"/>
    </row>
    <row r="75" spans="2:16" ht="8.25" customHeight="1" x14ac:dyDescent="0.2">
      <c r="B75" s="395"/>
      <c r="C75" s="173"/>
      <c r="D75" s="173"/>
      <c r="E75" s="713"/>
      <c r="F75" s="712"/>
      <c r="G75" s="173"/>
      <c r="H75" s="173"/>
      <c r="I75" s="173"/>
      <c r="J75" s="173"/>
      <c r="K75" s="173"/>
      <c r="L75" s="173"/>
      <c r="M75" s="173"/>
      <c r="N75" s="173"/>
      <c r="O75" s="173"/>
      <c r="P75" s="396"/>
    </row>
    <row r="76" spans="2:16" s="84" customFormat="1" ht="15.75" x14ac:dyDescent="0.25">
      <c r="B76" s="397"/>
      <c r="C76" s="98" t="s">
        <v>33</v>
      </c>
      <c r="D76" s="98" t="s">
        <v>65</v>
      </c>
      <c r="E76" s="714" t="s">
        <v>172</v>
      </c>
      <c r="F76" s="734" t="s">
        <v>473</v>
      </c>
      <c r="G76" s="217" t="s">
        <v>474</v>
      </c>
      <c r="H76" s="217" t="s">
        <v>475</v>
      </c>
      <c r="I76" s="217" t="s">
        <v>476</v>
      </c>
      <c r="J76" s="173"/>
      <c r="K76" s="173"/>
      <c r="L76" s="173"/>
      <c r="M76" s="173"/>
      <c r="N76" s="173"/>
      <c r="O76" s="173"/>
      <c r="P76" s="396"/>
    </row>
    <row r="77" spans="2:16" s="84" customFormat="1" ht="15.75" x14ac:dyDescent="0.2">
      <c r="B77" s="399"/>
      <c r="C77" s="144" t="s">
        <v>504</v>
      </c>
      <c r="D77" s="1415" t="s">
        <v>2181</v>
      </c>
      <c r="E77" s="716"/>
      <c r="F77" s="747">
        <v>3.0699249482245601</v>
      </c>
      <c r="G77" s="506">
        <v>7.6208894999999999E-2</v>
      </c>
      <c r="H77" s="506">
        <v>2.7531100000000004</v>
      </c>
      <c r="I77" s="506">
        <v>0</v>
      </c>
      <c r="J77" s="145"/>
      <c r="K77" s="145"/>
      <c r="L77" s="145"/>
      <c r="M77" s="145"/>
      <c r="N77" s="145"/>
      <c r="O77" s="145"/>
      <c r="P77" s="400"/>
    </row>
    <row r="78" spans="2:16" s="84" customFormat="1" ht="15.75" x14ac:dyDescent="0.2">
      <c r="B78" s="399"/>
      <c r="C78" s="145" t="s">
        <v>505</v>
      </c>
      <c r="D78" s="1415" t="s">
        <v>112</v>
      </c>
      <c r="E78" s="746"/>
      <c r="F78" s="747">
        <v>2.65796675305974</v>
      </c>
      <c r="G78" s="506">
        <v>1.8177665240937134E-2</v>
      </c>
      <c r="H78" s="506">
        <v>9.359210590723227E-3</v>
      </c>
      <c r="I78" s="506">
        <v>0</v>
      </c>
      <c r="J78" s="145"/>
      <c r="K78" s="145"/>
      <c r="L78" s="145"/>
      <c r="M78" s="145"/>
      <c r="N78" s="145"/>
      <c r="O78" s="145"/>
      <c r="P78" s="400"/>
    </row>
    <row r="79" spans="2:16" s="84" customFormat="1" ht="15.75" x14ac:dyDescent="0.2">
      <c r="B79" s="399"/>
      <c r="C79" s="145" t="s">
        <v>506</v>
      </c>
      <c r="D79" s="1415" t="s">
        <v>2183</v>
      </c>
      <c r="E79" s="746"/>
      <c r="F79" s="747">
        <v>8.6677675538343308</v>
      </c>
      <c r="G79" s="506">
        <v>1.8500882110586987E-2</v>
      </c>
      <c r="H79" s="506">
        <v>0</v>
      </c>
      <c r="I79" s="506">
        <v>0</v>
      </c>
      <c r="J79" s="145"/>
      <c r="K79" s="145"/>
      <c r="L79" s="145"/>
      <c r="M79" s="145"/>
      <c r="N79" s="145"/>
      <c r="O79" s="145"/>
      <c r="P79" s="400"/>
    </row>
    <row r="80" spans="2:16" ht="15.75" x14ac:dyDescent="0.2">
      <c r="B80" s="399"/>
      <c r="C80" s="200" t="s">
        <v>507</v>
      </c>
      <c r="D80" s="102" t="s">
        <v>102</v>
      </c>
      <c r="E80" s="748"/>
      <c r="F80" s="749">
        <v>0</v>
      </c>
      <c r="G80" s="750">
        <v>0</v>
      </c>
      <c r="H80" s="750">
        <v>0</v>
      </c>
      <c r="I80" s="750">
        <v>10.620296151887526</v>
      </c>
      <c r="J80" s="145"/>
      <c r="K80" s="145"/>
      <c r="L80" s="145"/>
      <c r="M80" s="145"/>
      <c r="N80" s="145"/>
      <c r="O80" s="145"/>
      <c r="P80" s="400"/>
    </row>
    <row r="81" spans="2:16" s="1615" customFormat="1" x14ac:dyDescent="0.2">
      <c r="B81" s="395"/>
      <c r="C81" s="173"/>
      <c r="D81" s="173"/>
      <c r="E81" s="713"/>
      <c r="F81" s="712"/>
      <c r="G81" s="173"/>
      <c r="H81" s="173"/>
      <c r="I81" s="173"/>
      <c r="J81" s="173"/>
      <c r="K81" s="173"/>
      <c r="L81" s="173"/>
      <c r="M81" s="173"/>
      <c r="N81" s="173"/>
      <c r="O81" s="173"/>
      <c r="P81" s="396"/>
    </row>
    <row r="82" spans="2:16" s="1615" customFormat="1" ht="15" customHeight="1" x14ac:dyDescent="0.2">
      <c r="B82" s="1419"/>
      <c r="C82" s="1417" t="s">
        <v>1801</v>
      </c>
      <c r="D82" s="1416"/>
      <c r="E82" s="490"/>
      <c r="F82" s="1416"/>
      <c r="G82" s="1416"/>
      <c r="H82" s="1416"/>
      <c r="I82" s="1255" t="s">
        <v>1799</v>
      </c>
      <c r="J82" s="1416"/>
      <c r="K82" s="1416"/>
      <c r="L82" s="1416"/>
      <c r="M82" s="1416"/>
      <c r="N82" s="1416"/>
      <c r="O82" s="1416"/>
      <c r="P82" s="1420"/>
    </row>
    <row r="83" spans="2:16" s="1615" customFormat="1" ht="8.25" customHeight="1" x14ac:dyDescent="0.2">
      <c r="B83" s="1419"/>
      <c r="C83" s="1416"/>
      <c r="D83" s="1416"/>
      <c r="E83" s="713"/>
      <c r="F83" s="712"/>
      <c r="G83" s="1416"/>
      <c r="H83" s="1416"/>
      <c r="I83" s="1416"/>
      <c r="J83" s="1416"/>
      <c r="K83" s="1416"/>
      <c r="L83" s="1416"/>
      <c r="M83" s="1416"/>
      <c r="N83" s="1416"/>
      <c r="O83" s="1416"/>
      <c r="P83" s="1420"/>
    </row>
    <row r="84" spans="2:16" s="84" customFormat="1" ht="15.75" x14ac:dyDescent="0.25">
      <c r="B84" s="397"/>
      <c r="C84" s="98" t="s">
        <v>33</v>
      </c>
      <c r="D84" s="98" t="s">
        <v>65</v>
      </c>
      <c r="E84" s="714" t="s">
        <v>172</v>
      </c>
      <c r="F84" s="734" t="s">
        <v>1791</v>
      </c>
      <c r="G84" s="217" t="s">
        <v>1794</v>
      </c>
      <c r="H84" s="217" t="s">
        <v>1795</v>
      </c>
      <c r="I84" s="217" t="s">
        <v>1792</v>
      </c>
      <c r="J84" s="1416"/>
      <c r="K84" s="1416"/>
      <c r="L84" s="1416"/>
      <c r="M84" s="1416"/>
      <c r="N84" s="1416"/>
      <c r="O84" s="1416"/>
      <c r="P84" s="1420"/>
    </row>
    <row r="85" spans="2:16" s="84" customFormat="1" ht="15.75" x14ac:dyDescent="0.2">
      <c r="B85" s="399"/>
      <c r="C85" s="1414" t="s">
        <v>504</v>
      </c>
      <c r="D85" s="1415" t="s">
        <v>2181</v>
      </c>
      <c r="E85" s="716"/>
      <c r="F85" s="747">
        <v>0.37444794983127005</v>
      </c>
      <c r="G85" s="506">
        <v>0.68158300000000005</v>
      </c>
      <c r="H85" s="506">
        <v>0.95481485999999993</v>
      </c>
      <c r="I85" s="506">
        <v>6.3222648504710364</v>
      </c>
      <c r="J85" s="1415"/>
      <c r="K85" s="1415"/>
      <c r="L85" s="1415"/>
      <c r="M85" s="1415"/>
      <c r="N85" s="1415"/>
      <c r="O85" s="1415"/>
      <c r="P85" s="400"/>
    </row>
    <row r="86" spans="2:16" s="84" customFormat="1" ht="15.75" x14ac:dyDescent="0.2">
      <c r="B86" s="399"/>
      <c r="C86" s="1415" t="s">
        <v>505</v>
      </c>
      <c r="D86" s="1415" t="s">
        <v>112</v>
      </c>
      <c r="E86" s="746"/>
      <c r="F86" s="747">
        <v>7.414631096391247</v>
      </c>
      <c r="G86" s="506">
        <v>6.4960955656363977</v>
      </c>
      <c r="H86" s="506">
        <v>7.5614272062406629</v>
      </c>
      <c r="I86" s="506">
        <v>6.810575740862383</v>
      </c>
      <c r="J86" s="1415"/>
      <c r="K86" s="1415"/>
      <c r="L86" s="1415"/>
      <c r="M86" s="1415"/>
      <c r="N86" s="1415"/>
      <c r="O86" s="1415"/>
      <c r="P86" s="400"/>
    </row>
    <row r="87" spans="2:16" s="84" customFormat="1" ht="15.75" x14ac:dyDescent="0.2">
      <c r="B87" s="399"/>
      <c r="C87" s="1415" t="s">
        <v>506</v>
      </c>
      <c r="D87" s="1415" t="s">
        <v>2183</v>
      </c>
      <c r="E87" s="746"/>
      <c r="F87" s="747">
        <v>27.822553562747121</v>
      </c>
      <c r="G87" s="506">
        <v>10.9222716104869</v>
      </c>
      <c r="H87" s="506">
        <v>17.8332716104869</v>
      </c>
      <c r="I87" s="506">
        <v>18.189189577153567</v>
      </c>
      <c r="J87" s="1415"/>
      <c r="K87" s="1415"/>
      <c r="L87" s="1415"/>
      <c r="M87" s="1415"/>
      <c r="N87" s="1415"/>
      <c r="O87" s="1415"/>
      <c r="P87" s="400"/>
    </row>
    <row r="88" spans="2:16" s="84" customFormat="1" ht="15.75" x14ac:dyDescent="0.2">
      <c r="B88" s="399"/>
      <c r="C88" s="200" t="s">
        <v>507</v>
      </c>
      <c r="D88" s="102" t="s">
        <v>102</v>
      </c>
      <c r="E88" s="748"/>
      <c r="F88" s="749">
        <v>38.658463318435146</v>
      </c>
      <c r="G88" s="750">
        <v>0</v>
      </c>
      <c r="H88" s="750">
        <v>0</v>
      </c>
      <c r="I88" s="750">
        <v>262.23308949972244</v>
      </c>
      <c r="J88" s="1415"/>
      <c r="K88" s="1415"/>
      <c r="L88" s="1415"/>
      <c r="M88" s="1415"/>
      <c r="N88" s="1415"/>
      <c r="O88" s="1415"/>
      <c r="P88" s="400"/>
    </row>
    <row r="89" spans="2:16" s="84" customFormat="1" ht="15.75" x14ac:dyDescent="0.2">
      <c r="B89" s="399"/>
      <c r="C89" s="1415"/>
      <c r="D89" s="1418" t="s">
        <v>105</v>
      </c>
      <c r="E89" s="746"/>
      <c r="F89" s="747">
        <f>SUM(F85:F88)</f>
        <v>74.270095927404782</v>
      </c>
      <c r="G89" s="506">
        <f>SUM(G85:G88)</f>
        <v>18.099950176123297</v>
      </c>
      <c r="H89" s="506">
        <f>SUM(H85:H88)</f>
        <v>26.349513676727561</v>
      </c>
      <c r="I89" s="506">
        <f>SUM(I85:I88)</f>
        <v>293.55511966820944</v>
      </c>
      <c r="J89" s="1415"/>
      <c r="K89" s="1415"/>
      <c r="L89" s="1415"/>
      <c r="M89" s="1415"/>
      <c r="N89" s="1415"/>
      <c r="O89" s="1415"/>
      <c r="P89" s="400"/>
    </row>
    <row r="90" spans="2:16" s="1615" customFormat="1" ht="15.75" x14ac:dyDescent="0.2">
      <c r="B90" s="399"/>
      <c r="C90" s="1415"/>
      <c r="D90" s="1415"/>
      <c r="E90" s="746"/>
      <c r="F90" s="747"/>
      <c r="G90" s="506"/>
      <c r="H90" s="506"/>
      <c r="I90" s="506"/>
      <c r="J90" s="1415"/>
      <c r="K90" s="1415"/>
      <c r="L90" s="1415"/>
      <c r="M90" s="1415"/>
      <c r="N90" s="1415"/>
      <c r="O90" s="1415"/>
      <c r="P90" s="400"/>
    </row>
    <row r="91" spans="2:16" s="1615" customFormat="1" ht="14.25" customHeight="1" x14ac:dyDescent="0.2">
      <c r="B91" s="1419"/>
      <c r="C91" s="1417" t="s">
        <v>1802</v>
      </c>
      <c r="D91" s="1416"/>
      <c r="E91" s="490"/>
      <c r="F91" s="1416"/>
      <c r="G91" s="1416"/>
      <c r="H91" s="1416"/>
      <c r="I91" s="1255" t="s">
        <v>1799</v>
      </c>
      <c r="J91" s="1416"/>
      <c r="K91" s="1416"/>
      <c r="L91" s="1416"/>
      <c r="M91" s="1416"/>
      <c r="N91" s="1416"/>
      <c r="O91" s="1416"/>
      <c r="P91" s="1420"/>
    </row>
    <row r="92" spans="2:16" s="1615" customFormat="1" x14ac:dyDescent="0.2">
      <c r="B92" s="1419"/>
      <c r="C92" s="1416"/>
      <c r="D92" s="1416"/>
      <c r="E92" s="713"/>
      <c r="F92" s="712"/>
      <c r="G92" s="1416"/>
      <c r="H92" s="1416"/>
      <c r="I92" s="1416"/>
      <c r="J92" s="1416"/>
      <c r="K92" s="1416"/>
      <c r="L92" s="1416"/>
      <c r="M92" s="1416"/>
      <c r="N92" s="1416"/>
      <c r="O92" s="1416"/>
      <c r="P92" s="1420"/>
    </row>
    <row r="93" spans="2:16" s="84" customFormat="1" ht="15.75" x14ac:dyDescent="0.25">
      <c r="B93" s="397"/>
      <c r="C93" s="98" t="s">
        <v>33</v>
      </c>
      <c r="D93" s="98" t="s">
        <v>65</v>
      </c>
      <c r="E93" s="714" t="s">
        <v>172</v>
      </c>
      <c r="F93" s="734" t="s">
        <v>1791</v>
      </c>
      <c r="G93" s="217" t="s">
        <v>1794</v>
      </c>
      <c r="H93" s="217" t="s">
        <v>1795</v>
      </c>
      <c r="I93" s="217" t="s">
        <v>1792</v>
      </c>
      <c r="J93" s="1416"/>
      <c r="K93" s="1416"/>
      <c r="L93" s="1416"/>
      <c r="M93" s="1416"/>
      <c r="N93" s="1416"/>
      <c r="O93" s="1416"/>
      <c r="P93" s="1420"/>
    </row>
    <row r="94" spans="2:16" s="84" customFormat="1" ht="15.75" x14ac:dyDescent="0.2">
      <c r="B94" s="399"/>
      <c r="C94" s="1414" t="s">
        <v>504</v>
      </c>
      <c r="D94" s="1415" t="s">
        <v>2181</v>
      </c>
      <c r="E94" s="716"/>
      <c r="F94" s="747">
        <v>0.31095814599423216</v>
      </c>
      <c r="G94" s="506">
        <v>0.67557752250222447</v>
      </c>
      <c r="H94" s="506">
        <v>0.99057903228154776</v>
      </c>
      <c r="I94" s="506">
        <v>4.1135491609978638</v>
      </c>
      <c r="J94" s="1415"/>
      <c r="K94" s="1415"/>
      <c r="L94" s="1415"/>
      <c r="M94" s="1415"/>
      <c r="N94" s="1415"/>
      <c r="O94" s="1415"/>
      <c r="P94" s="400"/>
    </row>
    <row r="95" spans="2:16" s="84" customFormat="1" ht="15.75" x14ac:dyDescent="0.2">
      <c r="B95" s="399"/>
      <c r="C95" s="1415" t="s">
        <v>505</v>
      </c>
      <c r="D95" s="1415" t="s">
        <v>112</v>
      </c>
      <c r="E95" s="746"/>
      <c r="F95" s="747">
        <v>7.5402555744317237</v>
      </c>
      <c r="G95" s="506">
        <v>11.866982852176784</v>
      </c>
      <c r="H95" s="506">
        <v>11.852651444288961</v>
      </c>
      <c r="I95" s="506">
        <v>12.029725783789372</v>
      </c>
      <c r="J95" s="1415"/>
      <c r="K95" s="1415"/>
      <c r="L95" s="1415"/>
      <c r="M95" s="1415"/>
      <c r="N95" s="1415"/>
      <c r="O95" s="1415"/>
      <c r="P95" s="400"/>
    </row>
    <row r="96" spans="2:16" s="84" customFormat="1" ht="15.75" x14ac:dyDescent="0.2">
      <c r="B96" s="399"/>
      <c r="C96" s="1415" t="s">
        <v>506</v>
      </c>
      <c r="D96" s="1415" t="s">
        <v>2183</v>
      </c>
      <c r="E96" s="746"/>
      <c r="F96" s="747">
        <v>10.323177929676259</v>
      </c>
      <c r="G96" s="506">
        <v>0.27487214578672248</v>
      </c>
      <c r="H96" s="506">
        <v>0.4693138177355225</v>
      </c>
      <c r="I96" s="506">
        <v>1.2731951695332895</v>
      </c>
      <c r="J96" s="1415"/>
      <c r="K96" s="1415"/>
      <c r="L96" s="1415"/>
      <c r="M96" s="1415"/>
      <c r="N96" s="1415"/>
      <c r="O96" s="1415"/>
      <c r="P96" s="400"/>
    </row>
    <row r="97" spans="2:16" s="84" customFormat="1" ht="15.75" x14ac:dyDescent="0.2">
      <c r="B97" s="399"/>
      <c r="C97" s="200" t="s">
        <v>507</v>
      </c>
      <c r="D97" s="102" t="s">
        <v>102</v>
      </c>
      <c r="E97" s="748"/>
      <c r="F97" s="749">
        <v>7.5503693973519699</v>
      </c>
      <c r="G97" s="750">
        <v>0</v>
      </c>
      <c r="H97" s="750">
        <v>0</v>
      </c>
      <c r="I97" s="750">
        <v>207.49193152523213</v>
      </c>
      <c r="J97" s="1415"/>
      <c r="K97" s="1415"/>
      <c r="L97" s="1415"/>
      <c r="M97" s="1415"/>
      <c r="N97" s="1415"/>
      <c r="O97" s="1415"/>
      <c r="P97" s="400"/>
    </row>
    <row r="98" spans="2:16" s="1615" customFormat="1" ht="15.75" x14ac:dyDescent="0.2">
      <c r="B98" s="399"/>
      <c r="C98" s="1415"/>
      <c r="D98" s="1418" t="s">
        <v>105</v>
      </c>
      <c r="E98" s="746"/>
      <c r="F98" s="747">
        <f>SUM(F94:F97)</f>
        <v>25.724761047454187</v>
      </c>
      <c r="G98" s="506">
        <f>SUM(G94:G97)</f>
        <v>12.817432520465733</v>
      </c>
      <c r="H98" s="506">
        <f>SUM(H94:H97)</f>
        <v>13.312544294306033</v>
      </c>
      <c r="I98" s="506">
        <f>SUM(I94:I97)</f>
        <v>224.90840163955266</v>
      </c>
      <c r="J98" s="1415"/>
      <c r="K98" s="1415"/>
      <c r="L98" s="1415"/>
      <c r="M98" s="1415"/>
      <c r="N98" s="1415"/>
      <c r="O98" s="1415"/>
      <c r="P98" s="400"/>
    </row>
    <row r="99" spans="2:16" s="1615" customFormat="1" ht="15.75" customHeight="1" x14ac:dyDescent="0.2">
      <c r="B99" s="1419"/>
      <c r="C99" s="1416"/>
      <c r="D99" s="1416"/>
      <c r="E99" s="713"/>
      <c r="F99" s="712"/>
      <c r="G99" s="1416"/>
      <c r="H99" s="1416"/>
      <c r="I99" s="1416"/>
      <c r="J99" s="1416"/>
      <c r="K99" s="1416"/>
      <c r="L99" s="1416"/>
      <c r="M99" s="1416"/>
      <c r="N99" s="1416"/>
      <c r="O99" s="1416"/>
      <c r="P99" s="1420"/>
    </row>
    <row r="100" spans="2:16" s="1615" customFormat="1" ht="11.25" customHeight="1" x14ac:dyDescent="0.2">
      <c r="B100" s="1419"/>
      <c r="C100" s="1417" t="s">
        <v>1803</v>
      </c>
      <c r="D100" s="1416"/>
      <c r="E100" s="490"/>
      <c r="F100" s="1416"/>
      <c r="G100" s="1416"/>
      <c r="H100" s="1416"/>
      <c r="I100" s="1255" t="s">
        <v>1799</v>
      </c>
      <c r="J100" s="1416"/>
      <c r="K100" s="1416"/>
      <c r="L100" s="1416"/>
      <c r="M100" s="1416"/>
      <c r="N100" s="1416"/>
      <c r="O100" s="1416"/>
      <c r="P100" s="1420"/>
    </row>
    <row r="101" spans="2:16" s="1615" customFormat="1" x14ac:dyDescent="0.2">
      <c r="B101" s="1419"/>
      <c r="C101" s="1416"/>
      <c r="D101" s="1416"/>
      <c r="E101" s="713"/>
      <c r="F101" s="712"/>
      <c r="G101" s="1416"/>
      <c r="H101" s="1416"/>
      <c r="I101" s="1416"/>
      <c r="J101" s="1416"/>
      <c r="K101" s="1416"/>
      <c r="L101" s="1416"/>
      <c r="M101" s="1416"/>
      <c r="N101" s="1416"/>
      <c r="O101" s="1416"/>
      <c r="P101" s="1420"/>
    </row>
    <row r="102" spans="2:16" s="84" customFormat="1" ht="15.75" x14ac:dyDescent="0.25">
      <c r="B102" s="397"/>
      <c r="C102" s="98" t="s">
        <v>33</v>
      </c>
      <c r="D102" s="98" t="s">
        <v>65</v>
      </c>
      <c r="E102" s="714" t="s">
        <v>172</v>
      </c>
      <c r="F102" s="734" t="s">
        <v>1791</v>
      </c>
      <c r="G102" s="217" t="s">
        <v>1794</v>
      </c>
      <c r="H102" s="217" t="s">
        <v>1795</v>
      </c>
      <c r="I102" s="217" t="s">
        <v>1792</v>
      </c>
      <c r="J102" s="1416"/>
      <c r="K102" s="1416"/>
      <c r="L102" s="1416"/>
      <c r="M102" s="1416"/>
      <c r="N102" s="1416"/>
      <c r="O102" s="1416"/>
      <c r="P102" s="1420"/>
    </row>
    <row r="103" spans="2:16" s="84" customFormat="1" ht="15.75" x14ac:dyDescent="0.2">
      <c r="B103" s="399"/>
      <c r="C103" s="1414" t="s">
        <v>504</v>
      </c>
      <c r="D103" s="1415" t="s">
        <v>2181</v>
      </c>
      <c r="E103" s="716"/>
      <c r="F103" s="747">
        <v>0.35450603115620649</v>
      </c>
      <c r="G103" s="506">
        <v>0.73679948739932755</v>
      </c>
      <c r="H103" s="506">
        <v>1.1337528116263402</v>
      </c>
      <c r="I103" s="506">
        <v>4.6915851870290615</v>
      </c>
      <c r="J103" s="1415"/>
      <c r="K103" s="1415"/>
      <c r="L103" s="1415"/>
      <c r="M103" s="1415"/>
      <c r="N103" s="1415"/>
      <c r="O103" s="1415"/>
      <c r="P103" s="400"/>
    </row>
    <row r="104" spans="2:16" s="84" customFormat="1" ht="15.75" x14ac:dyDescent="0.2">
      <c r="B104" s="399"/>
      <c r="C104" s="1415" t="s">
        <v>505</v>
      </c>
      <c r="D104" s="1415" t="s">
        <v>112</v>
      </c>
      <c r="E104" s="746"/>
      <c r="F104" s="747">
        <v>7.8165803990372602</v>
      </c>
      <c r="G104" s="506">
        <v>11.754736287263878</v>
      </c>
      <c r="H104" s="506">
        <v>11.740809660969569</v>
      </c>
      <c r="I104" s="506">
        <v>11.879839218016937</v>
      </c>
      <c r="J104" s="1415"/>
      <c r="K104" s="1415"/>
      <c r="L104" s="1415"/>
      <c r="M104" s="1415"/>
      <c r="N104" s="1415"/>
      <c r="O104" s="1415"/>
      <c r="P104" s="400"/>
    </row>
    <row r="105" spans="2:16" s="84" customFormat="1" ht="15.75" x14ac:dyDescent="0.2">
      <c r="B105" s="399"/>
      <c r="C105" s="1415" t="s">
        <v>506</v>
      </c>
      <c r="D105" s="1415" t="s">
        <v>2183</v>
      </c>
      <c r="E105" s="746"/>
      <c r="F105" s="747">
        <v>11.048955457514205</v>
      </c>
      <c r="G105" s="506">
        <v>0.27487214578672248</v>
      </c>
      <c r="H105" s="506">
        <v>0.4693138177355225</v>
      </c>
      <c r="I105" s="506">
        <v>1.3034746998597195</v>
      </c>
      <c r="J105" s="1415"/>
      <c r="K105" s="1415"/>
      <c r="L105" s="1415"/>
      <c r="M105" s="1415"/>
      <c r="N105" s="1415"/>
      <c r="O105" s="1415"/>
      <c r="P105" s="400"/>
    </row>
    <row r="106" spans="2:16" s="84" customFormat="1" ht="15.75" x14ac:dyDescent="0.2">
      <c r="B106" s="399"/>
      <c r="C106" s="200" t="s">
        <v>507</v>
      </c>
      <c r="D106" s="102" t="s">
        <v>102</v>
      </c>
      <c r="E106" s="748"/>
      <c r="F106" s="749">
        <v>7.6884566306732385</v>
      </c>
      <c r="G106" s="750">
        <v>0</v>
      </c>
      <c r="H106" s="750">
        <v>0</v>
      </c>
      <c r="I106" s="750">
        <v>211.14982470641903</v>
      </c>
      <c r="J106" s="1415"/>
      <c r="K106" s="1415"/>
      <c r="L106" s="1415"/>
      <c r="M106" s="1415"/>
      <c r="N106" s="1415"/>
      <c r="O106" s="1415"/>
      <c r="P106" s="400"/>
    </row>
    <row r="107" spans="2:16" s="84" customFormat="1" ht="15.75" x14ac:dyDescent="0.2">
      <c r="B107" s="399"/>
      <c r="C107" s="1415"/>
      <c r="D107" s="1418" t="s">
        <v>105</v>
      </c>
      <c r="E107" s="746"/>
      <c r="F107" s="747">
        <f>SUM(F103:F106)</f>
        <v>26.90849851838091</v>
      </c>
      <c r="G107" s="506">
        <f>SUM(G103:G106)</f>
        <v>12.766407920449929</v>
      </c>
      <c r="H107" s="506">
        <f>SUM(H103:H106)</f>
        <v>13.343876290331433</v>
      </c>
      <c r="I107" s="506">
        <f>SUM(I103:I106)</f>
        <v>229.02472381132475</v>
      </c>
      <c r="J107" s="1415"/>
      <c r="K107" s="1415"/>
      <c r="L107" s="1415"/>
      <c r="M107" s="1415"/>
      <c r="N107" s="1415"/>
      <c r="O107" s="1415"/>
      <c r="P107" s="400"/>
    </row>
    <row r="108" spans="2:16" s="1615" customFormat="1" ht="15.75" x14ac:dyDescent="0.2">
      <c r="B108" s="399"/>
      <c r="C108" s="1415"/>
      <c r="D108" s="1418"/>
      <c r="E108" s="1415"/>
      <c r="F108" s="506"/>
      <c r="G108" s="506"/>
      <c r="H108" s="506"/>
      <c r="I108" s="506"/>
      <c r="J108" s="1415"/>
      <c r="K108" s="1415"/>
      <c r="L108" s="1415"/>
      <c r="M108" s="1415"/>
      <c r="N108" s="1415"/>
      <c r="O108" s="1415"/>
      <c r="P108" s="400"/>
    </row>
    <row r="109" spans="2:16" s="1615" customFormat="1" ht="15" customHeight="1" x14ac:dyDescent="0.2">
      <c r="B109" s="1419"/>
      <c r="C109" s="1417" t="s">
        <v>1796</v>
      </c>
      <c r="D109" s="1416"/>
      <c r="E109" s="1416"/>
      <c r="F109" s="1416"/>
      <c r="G109" s="1416"/>
      <c r="H109" s="1416"/>
      <c r="I109" s="1416"/>
      <c r="J109" s="1416"/>
      <c r="K109" s="1416"/>
      <c r="L109" s="1416"/>
      <c r="M109" s="1416"/>
      <c r="N109" s="1255" t="str">
        <f>"kt per "&amp;Preferences.EnergyUnits</f>
        <v>kt per TWh</v>
      </c>
      <c r="P109" s="1420"/>
    </row>
    <row r="110" spans="2:16" s="1615" customFormat="1" x14ac:dyDescent="0.2">
      <c r="B110" s="1419"/>
      <c r="C110" s="1416"/>
      <c r="D110" s="1416"/>
      <c r="E110" s="713"/>
      <c r="F110" s="712"/>
      <c r="G110" s="1416"/>
      <c r="H110" s="1416"/>
      <c r="I110" s="1416"/>
      <c r="J110" s="1416"/>
      <c r="K110" s="1416"/>
      <c r="L110" s="1416"/>
      <c r="M110" s="1416"/>
      <c r="N110" s="1416"/>
      <c r="O110" s="1416"/>
      <c r="P110" s="1420"/>
    </row>
    <row r="111" spans="2:16" s="1615" customFormat="1" x14ac:dyDescent="0.2">
      <c r="B111" s="1419"/>
      <c r="C111" s="1803" t="s">
        <v>69</v>
      </c>
      <c r="D111" s="1803" t="s">
        <v>289</v>
      </c>
      <c r="E111" s="1629" t="s">
        <v>64</v>
      </c>
      <c r="F111" s="1804" t="s">
        <v>241</v>
      </c>
      <c r="G111" s="1804" t="s">
        <v>268</v>
      </c>
      <c r="H111" s="1804" t="s">
        <v>269</v>
      </c>
      <c r="I111" s="1804" t="s">
        <v>270</v>
      </c>
      <c r="J111" s="1804" t="s">
        <v>271</v>
      </c>
      <c r="K111" s="1804" t="s">
        <v>272</v>
      </c>
      <c r="L111" s="1804" t="s">
        <v>273</v>
      </c>
      <c r="M111" s="1804" t="s">
        <v>274</v>
      </c>
      <c r="N111" s="1630" t="s">
        <v>275</v>
      </c>
      <c r="O111" s="1420"/>
    </row>
    <row r="112" spans="2:16" s="1615" customFormat="1" x14ac:dyDescent="0.2">
      <c r="B112" s="1419"/>
      <c r="C112" s="1674" t="s">
        <v>360</v>
      </c>
      <c r="D112" s="1675" t="s">
        <v>176</v>
      </c>
      <c r="E112" s="1676" t="s">
        <v>36</v>
      </c>
      <c r="F112" s="1677">
        <f>0.0354889155686392*((1/Unit.TWh))</f>
        <v>3.5488915568639201E-2</v>
      </c>
      <c r="G112" s="1677">
        <f>0.039232371607233*((1/Unit.TWh))</f>
        <v>3.9232371607233002E-2</v>
      </c>
      <c r="H112" s="1677">
        <f>0.0343034933771326*((1/Unit.TWh))</f>
        <v>3.43034933771326E-2</v>
      </c>
      <c r="I112" s="1677">
        <f>0.0335913389233511*((1/Unit.TWh))</f>
        <v>3.3591338923351102E-2</v>
      </c>
      <c r="J112" s="1677">
        <f>0.0317334433826053*((1/Unit.TWh))</f>
        <v>3.1733443382605302E-2</v>
      </c>
      <c r="K112" s="1677">
        <f>0.0317334433826053*((1/Unit.TWh))</f>
        <v>3.1733443382605302E-2</v>
      </c>
      <c r="L112" s="1677">
        <f>0.0317334433826053*((1/Unit.TWh))</f>
        <v>3.1733443382605302E-2</v>
      </c>
      <c r="M112" s="1677">
        <f>0.0317334433826053*((1/Unit.TWh))</f>
        <v>3.1733443382605302E-2</v>
      </c>
      <c r="N112" s="1678">
        <f>0.0317334433826053*((1/Unit.TWh))</f>
        <v>3.1733443382605302E-2</v>
      </c>
      <c r="O112" s="1420"/>
    </row>
    <row r="113" spans="2:16" s="1615" customFormat="1" x14ac:dyDescent="0.2">
      <c r="B113" s="1419"/>
      <c r="C113" s="1832" t="s">
        <v>360</v>
      </c>
      <c r="D113" s="1675" t="s">
        <v>176</v>
      </c>
      <c r="E113" s="1832" t="s">
        <v>38</v>
      </c>
      <c r="F113" s="1833">
        <f>0.0312065378454299*((1/Unit.TWh))</f>
        <v>3.1206537845429899E-2</v>
      </c>
      <c r="G113" s="1833">
        <f>0.0404281848378382*((1/Unit.TWh))</f>
        <v>4.0428184837838201E-2</v>
      </c>
      <c r="H113" s="1833">
        <f>0.043641979312969*((1/Unit.TWh))</f>
        <v>4.3641979312969002E-2</v>
      </c>
      <c r="I113" s="1833">
        <f>0.0445525811865116*((1/Unit.TWh))</f>
        <v>4.4552581186511599E-2</v>
      </c>
      <c r="J113" s="1833">
        <f>0.045349285094027*((1/Unit.TWh))</f>
        <v>4.5349285094026998E-2</v>
      </c>
      <c r="K113" s="1833">
        <f>0.045349285094027*((1/Unit.TWh))</f>
        <v>4.5349285094026998E-2</v>
      </c>
      <c r="L113" s="1833">
        <f>0.045349285094027*((1/Unit.TWh))</f>
        <v>4.5349285094026998E-2</v>
      </c>
      <c r="M113" s="1833">
        <f>0.045349285094027*((1/Unit.TWh))</f>
        <v>4.5349285094026998E-2</v>
      </c>
      <c r="N113" s="1834">
        <f>0.045349285094027*((1/Unit.TWh))</f>
        <v>4.5349285094026998E-2</v>
      </c>
      <c r="O113" s="1420"/>
    </row>
    <row r="114" spans="2:16" s="1615" customFormat="1" x14ac:dyDescent="0.2">
      <c r="B114" s="1419"/>
      <c r="C114" s="1835" t="s">
        <v>360</v>
      </c>
      <c r="D114" s="1836" t="s">
        <v>176</v>
      </c>
      <c r="E114" s="1835" t="s">
        <v>39</v>
      </c>
      <c r="F114" s="1837">
        <f>0.00387238892224278*((1/Unit.TWh))</f>
        <v>3.87238892224278E-3</v>
      </c>
      <c r="G114" s="1837">
        <f>0.00434425023535965*((1/Unit.TWh))</f>
        <v>4.3442502353596502E-3</v>
      </c>
      <c r="H114" s="1837">
        <f>0.00408570465528237*((1/Unit.TWh))</f>
        <v>4.0857046552823699E-3</v>
      </c>
      <c r="I114" s="1837">
        <f>0.0040365947324016*((1/Unit.TWh))</f>
        <v>4.0365947324016004E-3</v>
      </c>
      <c r="J114" s="1837">
        <f>0.00403615544037582*((1/Unit.TWh))</f>
        <v>4.0361554403758196E-3</v>
      </c>
      <c r="K114" s="1837">
        <f>0.00403615544037582*((1/Unit.TWh))</f>
        <v>4.0361554403758196E-3</v>
      </c>
      <c r="L114" s="1837">
        <f>0.00403615544037582*((1/Unit.TWh))</f>
        <v>4.0361554403758196E-3</v>
      </c>
      <c r="M114" s="1837">
        <f>0.00403615544037582*((1/Unit.TWh))</f>
        <v>4.0361554403758196E-3</v>
      </c>
      <c r="N114" s="1838">
        <f>0.00403615544037582*((1/Unit.TWh))</f>
        <v>4.0361554403758196E-3</v>
      </c>
      <c r="O114" s="1420"/>
    </row>
    <row r="115" spans="2:16" s="1615" customFormat="1" x14ac:dyDescent="0.2">
      <c r="B115" s="1419"/>
      <c r="C115" s="1416"/>
      <c r="D115" s="1416"/>
      <c r="E115" s="1416"/>
      <c r="F115" s="1416"/>
      <c r="G115" s="1416"/>
      <c r="H115" s="1416"/>
      <c r="I115" s="1416"/>
      <c r="J115" s="1416"/>
      <c r="K115" s="1416"/>
      <c r="L115" s="1416"/>
      <c r="M115" s="1416"/>
      <c r="N115" s="1416"/>
      <c r="O115" s="1420"/>
    </row>
    <row r="116" spans="2:16" s="1615" customFormat="1" ht="18.75" customHeight="1" x14ac:dyDescent="0.2">
      <c r="B116" s="1419"/>
      <c r="C116" s="1417" t="s">
        <v>1797</v>
      </c>
      <c r="D116" s="1416"/>
      <c r="E116" s="1416"/>
      <c r="F116" s="1416"/>
      <c r="G116" s="1416"/>
      <c r="H116" s="1416"/>
      <c r="I116" s="1416"/>
      <c r="J116" s="1416"/>
      <c r="K116" s="1416"/>
      <c r="L116" s="1416"/>
      <c r="M116" s="1416"/>
      <c r="N116" s="1255" t="str">
        <f>"kt per "&amp;Preferences.EnergyUnits</f>
        <v>kt per TWh</v>
      </c>
      <c r="O116" s="1420"/>
    </row>
    <row r="117" spans="2:16" s="1615" customFormat="1" x14ac:dyDescent="0.2">
      <c r="B117" s="1419"/>
      <c r="C117" s="1416"/>
      <c r="D117" s="1416"/>
      <c r="E117" s="713"/>
      <c r="F117" s="1416"/>
      <c r="G117" s="1416"/>
      <c r="H117" s="1416"/>
      <c r="I117" s="1416"/>
      <c r="J117" s="1416"/>
      <c r="K117" s="1416"/>
      <c r="L117" s="1416"/>
      <c r="M117" s="1416"/>
      <c r="N117" s="1416"/>
      <c r="O117" s="1420"/>
    </row>
    <row r="118" spans="2:16" s="1615" customFormat="1" x14ac:dyDescent="0.2">
      <c r="B118" s="1419"/>
      <c r="C118" s="1803" t="s">
        <v>69</v>
      </c>
      <c r="D118" s="1803" t="s">
        <v>289</v>
      </c>
      <c r="E118" s="1629" t="s">
        <v>64</v>
      </c>
      <c r="F118" s="1804" t="s">
        <v>241</v>
      </c>
      <c r="G118" s="1804" t="s">
        <v>268</v>
      </c>
      <c r="H118" s="1804" t="s">
        <v>269</v>
      </c>
      <c r="I118" s="1804" t="s">
        <v>270</v>
      </c>
      <c r="J118" s="1804" t="s">
        <v>271</v>
      </c>
      <c r="K118" s="1804" t="s">
        <v>272</v>
      </c>
      <c r="L118" s="1804" t="s">
        <v>273</v>
      </c>
      <c r="M118" s="1804" t="s">
        <v>274</v>
      </c>
      <c r="N118" s="1630" t="s">
        <v>275</v>
      </c>
      <c r="O118" s="1420"/>
    </row>
    <row r="119" spans="2:16" s="1615" customFormat="1" x14ac:dyDescent="0.2">
      <c r="B119" s="1419"/>
      <c r="C119" s="1674" t="s">
        <v>360</v>
      </c>
      <c r="D119" s="1675" t="s">
        <v>176</v>
      </c>
      <c r="E119" s="1676" t="s">
        <v>36</v>
      </c>
      <c r="F119" s="1677">
        <f>0.437088797608031*((1/Unit.TWh))</f>
        <v>0.43708879760803099</v>
      </c>
      <c r="G119" s="1677">
        <f>0.429453068942194*((1/Unit.TWh))</f>
        <v>0.42945306894219398</v>
      </c>
      <c r="H119" s="1677">
        <f>0.401575760537987*((1/Unit.TWh))</f>
        <v>0.40157576053798699</v>
      </c>
      <c r="I119" s="1677">
        <f>0.403153612464331*((1/Unit.TWh))</f>
        <v>0.40315361246433101</v>
      </c>
      <c r="J119" s="1677">
        <f>0.407260538947283*((1/Unit.TWh))</f>
        <v>0.40726053894728298</v>
      </c>
      <c r="K119" s="1677">
        <f>0.407260538947283*((1/Unit.TWh))</f>
        <v>0.40726053894728298</v>
      </c>
      <c r="L119" s="1677">
        <f>0.407260538947283*((1/Unit.TWh))</f>
        <v>0.40726053894728298</v>
      </c>
      <c r="M119" s="1677">
        <f>0.407260538947283*((1/Unit.TWh))</f>
        <v>0.40726053894728298</v>
      </c>
      <c r="N119" s="1678">
        <f>0.407260538947283*((1/Unit.TWh))</f>
        <v>0.40726053894728298</v>
      </c>
      <c r="O119" s="1420"/>
    </row>
    <row r="120" spans="2:16" s="1615" customFormat="1" x14ac:dyDescent="0.2">
      <c r="B120" s="1419"/>
      <c r="C120" s="1832" t="s">
        <v>360</v>
      </c>
      <c r="D120" s="1675" t="s">
        <v>176</v>
      </c>
      <c r="E120" s="1832" t="s">
        <v>38</v>
      </c>
      <c r="F120" s="1833">
        <f>0.686784009344614*((1/Unit.TWh))</f>
        <v>0.68678400934461403</v>
      </c>
      <c r="G120" s="1833">
        <f>0.147921094355084*((1/Unit.TWh))</f>
        <v>0.14792109435508399</v>
      </c>
      <c r="H120" s="1833">
        <f>0.117051481585907*((1/Unit.TWh))</f>
        <v>0.117051481585907</v>
      </c>
      <c r="I120" s="1833">
        <f>0.108439524634562*((1/Unit.TWh))</f>
        <v>0.108439524634562</v>
      </c>
      <c r="J120" s="1833">
        <f>0.102312084080298*((1/Unit.TWh))</f>
        <v>0.102312084080298</v>
      </c>
      <c r="K120" s="1833">
        <f>0.102312084080298*((1/Unit.TWh))</f>
        <v>0.102312084080298</v>
      </c>
      <c r="L120" s="1833">
        <f>0.102312084080298*((1/Unit.TWh))</f>
        <v>0.102312084080298</v>
      </c>
      <c r="M120" s="1833">
        <f>0.102312084080298*((1/Unit.TWh))</f>
        <v>0.102312084080298</v>
      </c>
      <c r="N120" s="1834">
        <f>0.102312084080298*((1/Unit.TWh))</f>
        <v>0.102312084080298</v>
      </c>
      <c r="O120" s="1420"/>
    </row>
    <row r="121" spans="2:16" s="1615" customFormat="1" x14ac:dyDescent="0.2">
      <c r="B121" s="1419"/>
      <c r="C121" s="1835" t="s">
        <v>360</v>
      </c>
      <c r="D121" s="1836" t="s">
        <v>176</v>
      </c>
      <c r="E121" s="1835" t="s">
        <v>39</v>
      </c>
      <c r="F121" s="1837">
        <f>0.43502557905744*((1/Unit.TWh))</f>
        <v>0.43502557905743999</v>
      </c>
      <c r="G121" s="1837">
        <f>0.407768646036338*((1/Unit.TWh))</f>
        <v>0.407768646036338</v>
      </c>
      <c r="H121" s="1837">
        <f>0.39520339190337*((1/Unit.TWh))</f>
        <v>0.39520339190337</v>
      </c>
      <c r="I121" s="1837">
        <f>0.376579506209084*((1/Unit.TWh))</f>
        <v>0.37657950620908398</v>
      </c>
      <c r="J121" s="1837">
        <f>0.3577387044271*((1/Unit.TWh))</f>
        <v>0.35773870442709998</v>
      </c>
      <c r="K121" s="1837">
        <f>0.3577387044271*((1/Unit.TWh))</f>
        <v>0.35773870442709998</v>
      </c>
      <c r="L121" s="1837">
        <f>0.3577387044271*((1/Unit.TWh))</f>
        <v>0.35773870442709998</v>
      </c>
      <c r="M121" s="1837">
        <f>0.3577387044271*((1/Unit.TWh))</f>
        <v>0.35773870442709998</v>
      </c>
      <c r="N121" s="1838">
        <f>0.3577387044271*((1/Unit.TWh))</f>
        <v>0.35773870442709998</v>
      </c>
      <c r="O121" s="1420"/>
    </row>
    <row r="122" spans="2:16" s="1615" customFormat="1" x14ac:dyDescent="0.2">
      <c r="B122" s="1419"/>
      <c r="C122" s="1416"/>
      <c r="D122" s="1416"/>
      <c r="E122" s="1416"/>
      <c r="F122" s="1416"/>
      <c r="G122" s="1416"/>
      <c r="H122" s="1416"/>
      <c r="I122" s="1416"/>
      <c r="J122" s="1416"/>
      <c r="K122" s="1416"/>
      <c r="L122" s="1416"/>
      <c r="M122" s="1416"/>
      <c r="N122" s="1416"/>
      <c r="O122" s="1420"/>
    </row>
    <row r="123" spans="2:16" s="1615" customFormat="1" ht="13.5" customHeight="1" x14ac:dyDescent="0.2">
      <c r="B123" s="1419"/>
      <c r="C123" s="1417" t="s">
        <v>1798</v>
      </c>
      <c r="D123" s="1416"/>
      <c r="E123" s="1416"/>
      <c r="F123" s="1416"/>
      <c r="G123" s="1416"/>
      <c r="H123" s="1416"/>
      <c r="I123" s="1416"/>
      <c r="J123" s="1416"/>
      <c r="K123" s="1416"/>
      <c r="L123" s="1416"/>
      <c r="M123" s="1416"/>
      <c r="N123" s="1255" t="str">
        <f>"kt per "&amp;Preferences.EnergyUnits</f>
        <v>kt per TWh</v>
      </c>
      <c r="O123" s="1420"/>
    </row>
    <row r="124" spans="2:16" s="1615" customFormat="1" x14ac:dyDescent="0.2">
      <c r="B124" s="1419"/>
      <c r="C124" s="1416"/>
      <c r="D124" s="1416"/>
      <c r="E124" s="713"/>
      <c r="F124" s="1416"/>
      <c r="G124" s="1416"/>
      <c r="H124" s="1416"/>
      <c r="I124" s="1416"/>
      <c r="J124" s="1416"/>
      <c r="K124" s="1416"/>
      <c r="L124" s="1416"/>
      <c r="M124" s="1416"/>
      <c r="N124" s="1416"/>
      <c r="O124" s="1420"/>
    </row>
    <row r="125" spans="2:16" s="1615" customFormat="1" x14ac:dyDescent="0.2">
      <c r="B125" s="1419"/>
      <c r="C125" s="1803" t="s">
        <v>69</v>
      </c>
      <c r="D125" s="1803" t="s">
        <v>289</v>
      </c>
      <c r="E125" s="1629" t="s">
        <v>64</v>
      </c>
      <c r="F125" s="1804" t="s">
        <v>241</v>
      </c>
      <c r="G125" s="1804" t="s">
        <v>268</v>
      </c>
      <c r="H125" s="1804" t="s">
        <v>269</v>
      </c>
      <c r="I125" s="1804" t="s">
        <v>270</v>
      </c>
      <c r="J125" s="1804" t="s">
        <v>271</v>
      </c>
      <c r="K125" s="1804" t="s">
        <v>272</v>
      </c>
      <c r="L125" s="1804" t="s">
        <v>273</v>
      </c>
      <c r="M125" s="1804" t="s">
        <v>274</v>
      </c>
      <c r="N125" s="1630" t="s">
        <v>275</v>
      </c>
      <c r="O125" s="1420"/>
    </row>
    <row r="126" spans="2:16" s="1615" customFormat="1" x14ac:dyDescent="0.2">
      <c r="B126" s="1419"/>
      <c r="C126" s="1674" t="s">
        <v>360</v>
      </c>
      <c r="D126" s="1675" t="s">
        <v>176</v>
      </c>
      <c r="E126" s="1676" t="s">
        <v>36</v>
      </c>
      <c r="F126" s="1677">
        <f>1.48227153758029*((1/Unit.TWh))</f>
        <v>1.48227153758029</v>
      </c>
      <c r="G126" s="1677">
        <f>1.36697997255144*((1/Unit.TWh))</f>
        <v>1.36697997255144</v>
      </c>
      <c r="H126" s="1677">
        <f>1.2733652664094*((1/Unit.TWh))</f>
        <v>1.2733652664094</v>
      </c>
      <c r="I126" s="1677">
        <f>1.26568590681669*((1/Unit.TWh))</f>
        <v>1.2656859068166899</v>
      </c>
      <c r="J126" s="1677">
        <f>1.18457729426532*((1/Unit.TWh))</f>
        <v>1.1845772942653201</v>
      </c>
      <c r="K126" s="1677">
        <f>1.18457729426532*((1/Unit.TWh))</f>
        <v>1.1845772942653201</v>
      </c>
      <c r="L126" s="1677">
        <f>1.18457729426532*((1/Unit.TWh))</f>
        <v>1.1845772942653201</v>
      </c>
      <c r="M126" s="1677">
        <f>1.18457729426532*((1/Unit.TWh))</f>
        <v>1.1845772942653201</v>
      </c>
      <c r="N126" s="1678">
        <f>1.18457729426532*((1/Unit.TWh))</f>
        <v>1.1845772942653201</v>
      </c>
      <c r="O126" s="1420"/>
    </row>
    <row r="127" spans="2:16" s="1615" customFormat="1" x14ac:dyDescent="0.2">
      <c r="B127" s="1419"/>
      <c r="C127" s="1832" t="s">
        <v>360</v>
      </c>
      <c r="D127" s="1675" t="s">
        <v>176</v>
      </c>
      <c r="E127" s="1832" t="s">
        <v>38</v>
      </c>
      <c r="F127" s="1833">
        <f>0.185236018757782*((1/Unit.TWh))</f>
        <v>0.18523601875778201</v>
      </c>
      <c r="G127" s="1833">
        <f>0.295034642709199*((1/Unit.TWh))</f>
        <v>0.29503464270919899</v>
      </c>
      <c r="H127" s="1833">
        <f>0.315540658802812*((1/Unit.TWh))</f>
        <v>0.31554065880281201</v>
      </c>
      <c r="I127" s="1833">
        <f>0.322063176266117*((1/Unit.TWh))</f>
        <v>0.32206317626611702</v>
      </c>
      <c r="J127" s="1833">
        <f>0.327529463276718*((1/Unit.TWh))</f>
        <v>0.327529463276718</v>
      </c>
      <c r="K127" s="1833">
        <f>0.327529463276718*((1/Unit.TWh))</f>
        <v>0.327529463276718</v>
      </c>
      <c r="L127" s="1833">
        <f>0.327529463276718*((1/Unit.TWh))</f>
        <v>0.327529463276718</v>
      </c>
      <c r="M127" s="1833">
        <f>0.327529463276718*((1/Unit.TWh))</f>
        <v>0.327529463276718</v>
      </c>
      <c r="N127" s="1834">
        <f>0.327529463276718*((1/Unit.TWh))</f>
        <v>0.327529463276718</v>
      </c>
      <c r="O127" s="1420"/>
      <c r="P127" s="2334"/>
    </row>
    <row r="128" spans="2:16" s="1615" customFormat="1" x14ac:dyDescent="0.2">
      <c r="B128" s="1419"/>
      <c r="C128" s="1835" t="s">
        <v>360</v>
      </c>
      <c r="D128" s="1836" t="s">
        <v>176</v>
      </c>
      <c r="E128" s="1835" t="s">
        <v>39</v>
      </c>
      <c r="F128" s="1837">
        <f t="shared" ref="F128:N128" si="3">(0*(1/Unit.TWh))</f>
        <v>0</v>
      </c>
      <c r="G128" s="1837">
        <f t="shared" si="3"/>
        <v>0</v>
      </c>
      <c r="H128" s="1837">
        <f t="shared" si="3"/>
        <v>0</v>
      </c>
      <c r="I128" s="1837">
        <f t="shared" si="3"/>
        <v>0</v>
      </c>
      <c r="J128" s="1837">
        <f t="shared" si="3"/>
        <v>0</v>
      </c>
      <c r="K128" s="1837">
        <f t="shared" si="3"/>
        <v>0</v>
      </c>
      <c r="L128" s="1837">
        <f t="shared" si="3"/>
        <v>0</v>
      </c>
      <c r="M128" s="1837">
        <f t="shared" si="3"/>
        <v>0</v>
      </c>
      <c r="N128" s="1837">
        <f t="shared" si="3"/>
        <v>0</v>
      </c>
      <c r="O128" s="1420"/>
    </row>
    <row r="129" spans="2:16" s="1615" customFormat="1" x14ac:dyDescent="0.2">
      <c r="B129" s="1419"/>
      <c r="C129" s="1415"/>
      <c r="D129" s="1415"/>
      <c r="E129" s="1415"/>
      <c r="F129" s="1633"/>
      <c r="G129" s="1633"/>
      <c r="H129" s="1633"/>
      <c r="I129" s="1633"/>
      <c r="J129" s="1633"/>
      <c r="K129" s="1633"/>
      <c r="L129" s="1633"/>
      <c r="M129" s="1633"/>
      <c r="N129" s="1633"/>
      <c r="O129" s="1420"/>
    </row>
    <row r="130" spans="2:16" s="1615" customFormat="1" ht="18" customHeight="1" x14ac:dyDescent="0.2">
      <c r="B130" s="1419"/>
      <c r="C130" s="1417" t="s">
        <v>1800</v>
      </c>
      <c r="D130" s="1416"/>
      <c r="E130" s="1416"/>
      <c r="F130" s="1416"/>
      <c r="G130" s="1416"/>
      <c r="H130" s="1416"/>
      <c r="I130" s="1416"/>
      <c r="J130" s="1416"/>
      <c r="K130" s="1416"/>
      <c r="L130" s="1416"/>
      <c r="M130" s="1416"/>
      <c r="N130" s="1255" t="str">
        <f>"kt per "&amp;Preferences.EnergyUnits</f>
        <v>kt per TWh</v>
      </c>
      <c r="O130" s="1420"/>
    </row>
    <row r="131" spans="2:16" s="1615" customFormat="1" x14ac:dyDescent="0.2">
      <c r="B131" s="1419"/>
      <c r="C131" s="1416"/>
      <c r="D131" s="1416"/>
      <c r="E131" s="713"/>
      <c r="F131" s="1416"/>
      <c r="G131" s="1416"/>
      <c r="H131" s="1416"/>
      <c r="I131" s="1416"/>
      <c r="J131" s="1416"/>
      <c r="K131" s="1416"/>
      <c r="L131" s="1416"/>
      <c r="M131" s="1416"/>
      <c r="N131" s="1416"/>
      <c r="O131" s="1420"/>
    </row>
    <row r="132" spans="2:16" s="1615" customFormat="1" x14ac:dyDescent="0.2">
      <c r="B132" s="1419"/>
      <c r="C132" s="1803" t="s">
        <v>69</v>
      </c>
      <c r="D132" s="1803" t="s">
        <v>289</v>
      </c>
      <c r="E132" s="1629" t="s">
        <v>64</v>
      </c>
      <c r="F132" s="1804" t="s">
        <v>241</v>
      </c>
      <c r="G132" s="1804" t="s">
        <v>268</v>
      </c>
      <c r="H132" s="1804" t="s">
        <v>269</v>
      </c>
      <c r="I132" s="1804" t="s">
        <v>270</v>
      </c>
      <c r="J132" s="1804" t="s">
        <v>271</v>
      </c>
      <c r="K132" s="1804" t="s">
        <v>272</v>
      </c>
      <c r="L132" s="1804" t="s">
        <v>273</v>
      </c>
      <c r="M132" s="1804" t="s">
        <v>274</v>
      </c>
      <c r="N132" s="1630" t="s">
        <v>275</v>
      </c>
      <c r="O132" s="1420"/>
    </row>
    <row r="133" spans="2:16" s="1615" customFormat="1" x14ac:dyDescent="0.2">
      <c r="B133" s="1419"/>
      <c r="C133" s="1674" t="s">
        <v>360</v>
      </c>
      <c r="D133" s="1675" t="s">
        <v>176</v>
      </c>
      <c r="E133" s="1676" t="s">
        <v>36</v>
      </c>
      <c r="F133" s="1677">
        <f>0.011290940588605*((1/Unit.TWh))</f>
        <v>1.1290940588605001E-2</v>
      </c>
      <c r="G133" s="1677">
        <f>0.00700089959913674*((1/Unit.TWh))</f>
        <v>7.0008995991367399E-3</v>
      </c>
      <c r="H133" s="1677">
        <f>0.00705777995977223*((1/Unit.TWh))</f>
        <v>7.0577799597722297E-3</v>
      </c>
      <c r="I133" s="1677">
        <f>0.00706604503646143*((1/Unit.TWh))</f>
        <v>7.0660450364614302E-3</v>
      </c>
      <c r="J133" s="1677">
        <f>0.00708314769297058*((1/Unit.TWh))</f>
        <v>7.0831476929705799E-3</v>
      </c>
      <c r="K133" s="1677">
        <f>0.00708314769297058*((1/Unit.TWh))</f>
        <v>7.0831476929705799E-3</v>
      </c>
      <c r="L133" s="1677">
        <f>0.00708314769297058*((1/Unit.TWh))</f>
        <v>7.0831476929705799E-3</v>
      </c>
      <c r="M133" s="1677">
        <f>0.00708314769297058*((1/Unit.TWh))</f>
        <v>7.0831476929705799E-3</v>
      </c>
      <c r="N133" s="1678">
        <f>0.00708314769297058*((1/Unit.TWh))</f>
        <v>7.0831476929705799E-3</v>
      </c>
      <c r="O133" s="1420"/>
    </row>
    <row r="134" spans="2:16" s="1615" customFormat="1" x14ac:dyDescent="0.2">
      <c r="B134" s="1419"/>
      <c r="C134" s="1832" t="s">
        <v>360</v>
      </c>
      <c r="D134" s="1675" t="s">
        <v>176</v>
      </c>
      <c r="E134" s="1832" t="s">
        <v>38</v>
      </c>
      <c r="F134" s="1833">
        <f>0.00660034306663864*((1/Unit.TWh))</f>
        <v>6.6003430666386398E-3</v>
      </c>
      <c r="G134" s="1833">
        <f>0.00675735428279228*((1/Unit.TWh))</f>
        <v>6.7573542827922802E-3</v>
      </c>
      <c r="H134" s="1833">
        <f>0.00683394221884969*((1/Unit.TWh))</f>
        <v>6.8339422188496901E-3</v>
      </c>
      <c r="I134" s="1833">
        <f>0.00685333414684661*((1/Unit.TWh))</f>
        <v>6.8533341468466104E-3</v>
      </c>
      <c r="J134" s="1833">
        <f>0.0068738634161671*((1/Unit.TWh))</f>
        <v>6.8738634161670999E-3</v>
      </c>
      <c r="K134" s="1833">
        <f>0.0068738634161671*((1/Unit.TWh))</f>
        <v>6.8738634161670999E-3</v>
      </c>
      <c r="L134" s="1833">
        <f>0.0068738634161671*((1/Unit.TWh))</f>
        <v>6.8738634161670999E-3</v>
      </c>
      <c r="M134" s="1833">
        <f>0.0068738634161671*((1/Unit.TWh))</f>
        <v>6.8738634161670999E-3</v>
      </c>
      <c r="N134" s="1834">
        <f>0.0068738634161671*((1/Unit.TWh))</f>
        <v>6.8738634161670999E-3</v>
      </c>
      <c r="O134" s="1420"/>
    </row>
    <row r="135" spans="2:16" s="1615" customFormat="1" x14ac:dyDescent="0.2">
      <c r="B135" s="1419"/>
      <c r="C135" s="1835" t="s">
        <v>360</v>
      </c>
      <c r="D135" s="1836" t="s">
        <v>176</v>
      </c>
      <c r="E135" s="1835" t="s">
        <v>39</v>
      </c>
      <c r="F135" s="1837">
        <f>0.00802071964139672*((1/Unit.TWh))</f>
        <v>8.0207196413967195E-3</v>
      </c>
      <c r="G135" s="1837">
        <f>0.00801191032434729*((1/Unit.TWh))</f>
        <v>8.0119103243472892E-3</v>
      </c>
      <c r="H135" s="1837">
        <f>0.0080120858226449*((1/Unit.TWh))</f>
        <v>8.0120858226449005E-3</v>
      </c>
      <c r="I135" s="1837">
        <f>0.00801204667531666*((1/Unit.TWh))</f>
        <v>8.0120466753166603E-3</v>
      </c>
      <c r="J135" s="1837">
        <f>0.00801198983441896*((1/Unit.TWh))</f>
        <v>8.0119898344189599E-3</v>
      </c>
      <c r="K135" s="1837">
        <f>0.00801198983441896*((1/Unit.TWh))</f>
        <v>8.0119898344189599E-3</v>
      </c>
      <c r="L135" s="1837">
        <f>0.00801198983441896*((1/Unit.TWh))</f>
        <v>8.0119898344189599E-3</v>
      </c>
      <c r="M135" s="1837">
        <f>0.00801198983441896*((1/Unit.TWh))</f>
        <v>8.0119898344189599E-3</v>
      </c>
      <c r="N135" s="1838">
        <f>0.00801198983441896*((1/Unit.TWh))</f>
        <v>8.0119898344189599E-3</v>
      </c>
      <c r="O135" s="1420"/>
    </row>
    <row r="136" spans="2:16" x14ac:dyDescent="0.2">
      <c r="B136" s="1419"/>
      <c r="C136" s="1415"/>
      <c r="D136" s="1415"/>
      <c r="E136" s="746"/>
      <c r="F136" s="1633"/>
      <c r="G136" s="1633"/>
      <c r="H136" s="1633"/>
      <c r="I136" s="1633"/>
      <c r="J136" s="1633"/>
      <c r="K136" s="1633"/>
      <c r="L136" s="1633"/>
      <c r="M136" s="1633"/>
      <c r="N136" s="1633"/>
      <c r="O136" s="1420"/>
    </row>
    <row r="137" spans="2:16" x14ac:dyDescent="0.2">
      <c r="B137" s="395"/>
      <c r="C137" s="173" t="s">
        <v>266</v>
      </c>
      <c r="D137" s="173"/>
      <c r="E137" s="173"/>
      <c r="F137" s="173"/>
      <c r="G137" s="173"/>
      <c r="H137" s="173"/>
      <c r="I137" s="173"/>
      <c r="J137" s="173"/>
      <c r="K137" s="173"/>
      <c r="L137" s="173"/>
      <c r="M137" s="173"/>
      <c r="N137" s="173"/>
      <c r="O137" s="396"/>
    </row>
    <row r="138" spans="2:16" x14ac:dyDescent="0.2">
      <c r="B138" s="395"/>
      <c r="C138" s="176" t="s">
        <v>93</v>
      </c>
      <c r="D138" s="173" t="s">
        <v>500</v>
      </c>
      <c r="E138" s="173"/>
      <c r="F138" s="173"/>
      <c r="G138" s="173"/>
      <c r="H138" s="173"/>
      <c r="I138" s="173"/>
      <c r="J138" s="173"/>
      <c r="K138" s="173"/>
      <c r="L138" s="173"/>
      <c r="M138" s="173"/>
      <c r="N138" s="173"/>
      <c r="O138" s="173"/>
      <c r="P138" s="396"/>
    </row>
    <row r="139" spans="2:16" x14ac:dyDescent="0.2">
      <c r="B139" s="395"/>
      <c r="C139" s="176"/>
      <c r="D139" s="173" t="s">
        <v>497</v>
      </c>
      <c r="E139" s="173"/>
      <c r="F139" s="173"/>
      <c r="G139" s="173"/>
      <c r="H139" s="173"/>
      <c r="I139" s="173"/>
      <c r="J139" s="173"/>
      <c r="K139" s="173"/>
      <c r="L139" s="173"/>
      <c r="M139" s="173"/>
      <c r="N139" s="173"/>
      <c r="O139" s="173"/>
      <c r="P139" s="396"/>
    </row>
    <row r="140" spans="2:16" x14ac:dyDescent="0.2">
      <c r="B140" s="395"/>
      <c r="C140" s="173"/>
      <c r="D140" s="173" t="s">
        <v>498</v>
      </c>
      <c r="E140" s="173"/>
      <c r="F140" s="173"/>
      <c r="G140" s="173"/>
      <c r="H140" s="173"/>
      <c r="I140" s="173"/>
      <c r="J140" s="173"/>
      <c r="K140" s="173"/>
      <c r="L140" s="173"/>
      <c r="M140" s="173"/>
      <c r="N140" s="173"/>
      <c r="O140" s="173"/>
      <c r="P140" s="396"/>
    </row>
    <row r="141" spans="2:16" s="81" customFormat="1" x14ac:dyDescent="0.2">
      <c r="B141" s="395"/>
      <c r="C141" s="176" t="s">
        <v>100</v>
      </c>
      <c r="D141" s="173" t="s">
        <v>499</v>
      </c>
      <c r="E141" s="173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396"/>
    </row>
    <row r="142" spans="2:16" s="1411" customFormat="1" x14ac:dyDescent="0.2">
      <c r="B142" s="494"/>
      <c r="C142" s="495"/>
      <c r="D142" s="461"/>
      <c r="E142" s="496"/>
      <c r="F142" s="496"/>
      <c r="G142" s="496"/>
      <c r="H142" s="496"/>
      <c r="I142" s="496"/>
      <c r="J142" s="496"/>
      <c r="K142" s="496"/>
      <c r="L142" s="496"/>
      <c r="M142" s="496"/>
      <c r="N142" s="496"/>
      <c r="O142" s="496"/>
      <c r="P142" s="497"/>
    </row>
    <row r="143" spans="2:16" s="1411" customFormat="1" x14ac:dyDescent="0.2">
      <c r="B143" s="1469"/>
      <c r="C143" s="1470"/>
      <c r="D143" s="1399"/>
      <c r="E143" s="1469"/>
      <c r="F143" s="1469"/>
      <c r="G143" s="1469"/>
      <c r="H143" s="1469"/>
      <c r="I143" s="1469"/>
      <c r="J143" s="1469"/>
      <c r="K143" s="1469"/>
      <c r="L143" s="1469"/>
      <c r="M143" s="1469"/>
      <c r="N143" s="1469"/>
      <c r="O143" s="1469"/>
      <c r="P143" s="1469"/>
    </row>
    <row r="144" spans="2:16" s="1411" customFormat="1" ht="15.75" x14ac:dyDescent="0.2">
      <c r="B144" s="1423" t="s">
        <v>1417</v>
      </c>
      <c r="C144" s="1424"/>
      <c r="D144" s="1424"/>
      <c r="E144" s="1424"/>
      <c r="F144" s="1424"/>
      <c r="G144" s="1424"/>
      <c r="H144" s="1424"/>
      <c r="I144" s="1424"/>
      <c r="J144" s="1424"/>
      <c r="K144" s="1424"/>
      <c r="L144" s="1424"/>
      <c r="M144" s="1424"/>
      <c r="N144" s="1424"/>
      <c r="O144" s="1424"/>
      <c r="P144" s="1425"/>
    </row>
    <row r="145" spans="2:17" s="1411" customFormat="1" x14ac:dyDescent="0.2">
      <c r="B145" s="1419"/>
      <c r="C145" s="1416"/>
      <c r="D145" s="1416"/>
      <c r="E145" s="1416"/>
      <c r="F145" s="1416"/>
      <c r="G145" s="1416"/>
      <c r="H145" s="1416"/>
      <c r="I145" s="1416"/>
      <c r="J145" s="1416"/>
      <c r="K145" s="1416"/>
      <c r="L145" s="1416"/>
      <c r="M145" s="1416"/>
      <c r="N145" s="1416"/>
      <c r="O145" s="1416"/>
      <c r="P145" s="1420"/>
    </row>
    <row r="146" spans="2:17" s="1411" customFormat="1" ht="11.25" customHeight="1" x14ac:dyDescent="0.2">
      <c r="B146" s="1416"/>
      <c r="C146" s="1416"/>
      <c r="D146" s="1416"/>
      <c r="E146" s="1416"/>
      <c r="F146" s="1416"/>
      <c r="G146" s="1416"/>
      <c r="H146" s="1416" t="s">
        <v>1669</v>
      </c>
      <c r="I146" s="1416"/>
      <c r="J146" s="1416"/>
      <c r="K146" s="1416"/>
      <c r="L146" s="1416"/>
      <c r="M146" s="1416"/>
      <c r="N146" s="1416"/>
      <c r="O146" s="1416"/>
      <c r="P146" s="1416"/>
      <c r="Q146" s="1416"/>
    </row>
    <row r="147" spans="2:17" s="1411" customFormat="1" ht="12.75" customHeight="1" x14ac:dyDescent="0.2">
      <c r="B147" s="1416"/>
      <c r="C147" s="1417" t="s">
        <v>1670</v>
      </c>
      <c r="D147" s="1416"/>
      <c r="E147" s="711"/>
      <c r="F147" s="2750" t="str">
        <f>"2010 Starting point "&amp;Preferences.moneyunits</f>
        <v>2010 Starting point N</v>
      </c>
      <c r="G147" s="2751"/>
      <c r="H147" s="712"/>
      <c r="I147" s="1416"/>
      <c r="J147" s="176" t="s">
        <v>1671</v>
      </c>
      <c r="K147" s="176"/>
      <c r="L147" s="712"/>
      <c r="M147" s="1416"/>
      <c r="N147" s="176" t="s">
        <v>1672</v>
      </c>
      <c r="O147" s="1416"/>
      <c r="P147" s="1416"/>
      <c r="Q147" s="1416"/>
    </row>
    <row r="148" spans="2:17" s="1411" customFormat="1" x14ac:dyDescent="0.2">
      <c r="B148" s="1416"/>
      <c r="C148" s="1416"/>
      <c r="D148" s="1416"/>
      <c r="E148" s="713"/>
      <c r="F148" s="1416"/>
      <c r="G148" s="1416"/>
      <c r="H148" s="712"/>
      <c r="I148" s="1416"/>
      <c r="J148" s="1416"/>
      <c r="K148" s="1416"/>
      <c r="L148" s="712"/>
      <c r="M148" s="1416"/>
      <c r="N148" s="1416"/>
      <c r="O148" s="1416"/>
      <c r="P148" s="1416"/>
      <c r="Q148" s="1416"/>
    </row>
    <row r="149" spans="2:17" s="1411" customFormat="1" x14ac:dyDescent="0.2">
      <c r="B149" s="1416"/>
      <c r="C149" s="98" t="s">
        <v>33</v>
      </c>
      <c r="D149" s="98" t="s">
        <v>65</v>
      </c>
      <c r="E149" s="98" t="s">
        <v>172</v>
      </c>
      <c r="F149" s="715" t="s">
        <v>1667</v>
      </c>
      <c r="G149" s="528" t="s">
        <v>1668</v>
      </c>
      <c r="H149" s="528">
        <v>1</v>
      </c>
      <c r="I149" s="528">
        <v>2</v>
      </c>
      <c r="J149" s="528">
        <v>3</v>
      </c>
      <c r="K149" s="528">
        <v>4</v>
      </c>
      <c r="L149" s="528">
        <v>1</v>
      </c>
      <c r="M149" s="528">
        <v>2</v>
      </c>
      <c r="N149" s="528">
        <v>3</v>
      </c>
      <c r="O149" s="528">
        <v>4</v>
      </c>
      <c r="P149" s="1416"/>
      <c r="Q149" s="1416"/>
    </row>
    <row r="150" spans="2:17" s="1411" customFormat="1" x14ac:dyDescent="0.2">
      <c r="B150" s="1416"/>
      <c r="C150" s="1414" t="s">
        <v>504</v>
      </c>
      <c r="D150" s="1415" t="s">
        <v>2181</v>
      </c>
      <c r="E150" s="488"/>
      <c r="F150" s="1550">
        <f>(669+518)*NAIRA2010_*1000000</f>
        <v>1187000000</v>
      </c>
      <c r="G150" s="206">
        <f>(26209+8426)*NAIRA2010_*1000000</f>
        <v>34635000000</v>
      </c>
      <c r="H150" s="491">
        <v>0</v>
      </c>
      <c r="I150" s="533">
        <v>1.25E-3</v>
      </c>
      <c r="J150" s="213">
        <v>0.02</v>
      </c>
      <c r="K150" s="213">
        <v>0.03</v>
      </c>
      <c r="L150" s="491">
        <v>0</v>
      </c>
      <c r="M150" s="533">
        <v>2.5000000000000001E-3</v>
      </c>
      <c r="N150" s="213">
        <v>0.04</v>
      </c>
      <c r="O150" s="1416">
        <v>5</v>
      </c>
      <c r="P150" s="1416"/>
      <c r="Q150" s="1416"/>
    </row>
    <row r="151" spans="2:17" s="1411" customFormat="1" x14ac:dyDescent="0.2">
      <c r="B151" s="1416"/>
      <c r="C151" s="1414" t="s">
        <v>505</v>
      </c>
      <c r="D151" s="1415" t="s">
        <v>112</v>
      </c>
      <c r="E151" s="488"/>
      <c r="F151" s="1550">
        <f>235*NAIRA2010_*1000000</f>
        <v>235000000</v>
      </c>
      <c r="G151" s="207">
        <f>11200*NAIRA2010_*1000000</f>
        <v>11200000000</v>
      </c>
      <c r="H151" s="491">
        <v>0</v>
      </c>
      <c r="I151" s="533">
        <v>1.25E-3</v>
      </c>
      <c r="J151" s="346">
        <v>0.02</v>
      </c>
      <c r="K151" s="346">
        <v>0.03</v>
      </c>
      <c r="L151" s="491">
        <v>0</v>
      </c>
      <c r="M151" s="534">
        <v>2.5000000000000001E-3</v>
      </c>
      <c r="N151" s="346">
        <v>0.04</v>
      </c>
      <c r="O151" s="1416">
        <v>5</v>
      </c>
      <c r="P151" s="1416"/>
      <c r="Q151" s="1416"/>
    </row>
    <row r="152" spans="2:17" s="1411" customFormat="1" x14ac:dyDescent="0.2">
      <c r="B152" s="1416"/>
      <c r="C152" s="1414" t="s">
        <v>506</v>
      </c>
      <c r="D152" s="1415" t="s">
        <v>2183</v>
      </c>
      <c r="E152" s="488"/>
      <c r="F152" s="1550">
        <f>187*NAIRA2010_*1000000</f>
        <v>187000000</v>
      </c>
      <c r="G152" s="207">
        <f>8344*NAIRA2010_*1000000</f>
        <v>8344000000</v>
      </c>
      <c r="H152" s="491">
        <v>0</v>
      </c>
      <c r="I152" s="533">
        <v>1.25E-3</v>
      </c>
      <c r="J152" s="346">
        <v>0.02</v>
      </c>
      <c r="K152" s="346">
        <v>0.03</v>
      </c>
      <c r="L152" s="491">
        <v>0</v>
      </c>
      <c r="M152" s="534">
        <v>2.5000000000000001E-3</v>
      </c>
      <c r="N152" s="346">
        <v>0.04</v>
      </c>
      <c r="O152" s="1416">
        <v>5</v>
      </c>
      <c r="P152" s="1416"/>
      <c r="Q152" s="1416"/>
    </row>
    <row r="153" spans="2:17" s="1411" customFormat="1" x14ac:dyDescent="0.2">
      <c r="B153" s="1416"/>
      <c r="C153" s="1412" t="s">
        <v>507</v>
      </c>
      <c r="D153" s="102" t="s">
        <v>102</v>
      </c>
      <c r="E153" s="102"/>
      <c r="F153" s="1551">
        <f>(2553*NAIRA2010_*1000000)-SUM(F150:F152)</f>
        <v>944000000</v>
      </c>
      <c r="G153" s="1273">
        <f>(299074*90%*NAIRA2010_*1000000)-SUM(G150:G152)</f>
        <v>214987600000.00003</v>
      </c>
      <c r="H153" s="159">
        <v>0</v>
      </c>
      <c r="I153" s="535">
        <v>1.25E-3</v>
      </c>
      <c r="J153" s="532">
        <v>0.02</v>
      </c>
      <c r="K153" s="532">
        <v>0.03</v>
      </c>
      <c r="L153" s="159">
        <v>0</v>
      </c>
      <c r="M153" s="535">
        <v>2.5000000000000001E-3</v>
      </c>
      <c r="N153" s="532">
        <v>0.04</v>
      </c>
      <c r="O153" s="1416">
        <v>5</v>
      </c>
      <c r="P153" s="1416"/>
      <c r="Q153" s="1416"/>
    </row>
    <row r="154" spans="2:17" s="1411" customFormat="1" x14ac:dyDescent="0.2">
      <c r="B154" s="1416"/>
      <c r="C154" s="1412"/>
      <c r="D154" s="102" t="s">
        <v>105</v>
      </c>
      <c r="E154" s="102"/>
      <c r="F154" s="1549">
        <f>SUM(F150:F153)</f>
        <v>2553000000</v>
      </c>
      <c r="G154" s="1549">
        <f>SUM(G150:G153)</f>
        <v>269166600000.00003</v>
      </c>
      <c r="H154" s="110"/>
      <c r="I154" s="532"/>
      <c r="J154" s="532"/>
      <c r="K154" s="532"/>
      <c r="L154" s="110"/>
      <c r="M154" s="532"/>
      <c r="N154" s="532"/>
      <c r="O154" s="532"/>
      <c r="P154" s="1416"/>
      <c r="Q154" s="1416"/>
    </row>
    <row r="155" spans="2:17" s="1411" customFormat="1" x14ac:dyDescent="0.2">
      <c r="B155" s="1416"/>
      <c r="C155" s="1416"/>
      <c r="D155" s="1416"/>
      <c r="E155" s="1416"/>
      <c r="F155" s="1416"/>
      <c r="G155" s="1416"/>
      <c r="H155" s="1416"/>
      <c r="I155" s="1416"/>
      <c r="J155" s="1416"/>
      <c r="K155" s="1416"/>
      <c r="L155" s="1416"/>
      <c r="M155" s="1416"/>
      <c r="N155" s="1416"/>
      <c r="O155" s="1416"/>
      <c r="P155" s="1416"/>
    </row>
    <row r="156" spans="2:17" s="1411" customFormat="1" x14ac:dyDescent="0.2">
      <c r="B156" s="1416"/>
      <c r="C156" s="1473" t="s">
        <v>1556</v>
      </c>
      <c r="D156" s="1474"/>
      <c r="E156" s="1416"/>
      <c r="F156" s="1416"/>
      <c r="G156" s="1416"/>
      <c r="H156" s="1416"/>
      <c r="I156" s="1416"/>
      <c r="J156" s="1416"/>
      <c r="K156" s="1416"/>
      <c r="L156" s="1416"/>
      <c r="M156" s="1416"/>
      <c r="N156" s="1416"/>
      <c r="O156" s="1416"/>
      <c r="P156" s="1416"/>
    </row>
    <row r="157" spans="2:17" s="1411" customFormat="1" x14ac:dyDescent="0.2">
      <c r="B157" s="1416"/>
      <c r="C157" s="1473"/>
      <c r="D157" s="1474"/>
      <c r="E157" s="1416"/>
      <c r="F157" s="1416"/>
      <c r="G157" s="1416"/>
      <c r="H157" s="1416"/>
      <c r="I157" s="1416"/>
      <c r="J157" s="1416"/>
      <c r="K157" s="1416"/>
      <c r="L157" s="1416"/>
      <c r="M157" s="1416"/>
      <c r="N157" s="1416"/>
      <c r="O157" s="1416"/>
      <c r="P157" s="1416"/>
    </row>
    <row r="158" spans="2:17" s="1411" customFormat="1" ht="12" customHeight="1" x14ac:dyDescent="0.2">
      <c r="B158" s="1416"/>
      <c r="C158" s="1417" t="s">
        <v>1557</v>
      </c>
      <c r="D158" s="1471"/>
      <c r="E158" s="1472"/>
      <c r="F158" s="1416"/>
      <c r="G158" s="1416"/>
      <c r="H158" s="176" t="str">
        <f>Preferences.moneyunits&amp;"/"&amp;Preferences.EnergyUnits</f>
        <v>N/TWh</v>
      </c>
      <c r="I158" s="1416"/>
      <c r="J158" s="1416"/>
      <c r="K158" s="1416"/>
      <c r="L158" s="1416"/>
      <c r="M158" s="1416"/>
      <c r="N158" s="1416"/>
      <c r="O158" s="1416"/>
      <c r="P158" s="1416"/>
    </row>
    <row r="159" spans="2:17" s="1411" customFormat="1" x14ac:dyDescent="0.2">
      <c r="B159" s="1416"/>
      <c r="C159" s="1416"/>
      <c r="D159" s="1416"/>
      <c r="E159" s="1416"/>
      <c r="F159" s="1416"/>
      <c r="G159" s="1416"/>
      <c r="H159" s="1416"/>
      <c r="I159" s="1416"/>
      <c r="J159" s="1416"/>
      <c r="K159" s="1416"/>
      <c r="L159" s="1416"/>
      <c r="M159" s="1416"/>
      <c r="N159" s="1416"/>
      <c r="O159" s="1416"/>
      <c r="P159" s="1416"/>
    </row>
    <row r="160" spans="2:17" s="1411" customFormat="1" x14ac:dyDescent="0.2">
      <c r="B160" s="1416"/>
      <c r="C160" s="98"/>
      <c r="D160" s="98"/>
      <c r="E160" s="103"/>
      <c r="F160" s="217" t="s">
        <v>894</v>
      </c>
      <c r="G160" s="217" t="s">
        <v>893</v>
      </c>
      <c r="H160" s="1261"/>
      <c r="I160" s="1416"/>
      <c r="J160" s="1416"/>
      <c r="K160" s="1416"/>
      <c r="L160" s="1416"/>
      <c r="M160" s="1416"/>
      <c r="N160" s="1416"/>
      <c r="O160" s="1416"/>
      <c r="P160" s="1416"/>
    </row>
    <row r="161" spans="1:16" s="1411" customFormat="1" x14ac:dyDescent="0.2">
      <c r="B161" s="1416"/>
      <c r="C161" s="1413"/>
      <c r="D161" s="107" t="s">
        <v>1418</v>
      </c>
      <c r="E161" s="1081"/>
      <c r="F161" s="1057">
        <f>0*(MGBP/Unit.PJ)</f>
        <v>0</v>
      </c>
      <c r="G161" s="1057">
        <f>0*(MGBP/Unit.PJ)</f>
        <v>0</v>
      </c>
      <c r="H161" s="1264"/>
      <c r="I161" s="1416"/>
      <c r="J161" s="1416"/>
      <c r="K161" s="1416"/>
      <c r="L161" s="1416"/>
      <c r="M161" s="1416"/>
      <c r="N161" s="1416"/>
      <c r="O161" s="1416"/>
      <c r="P161" s="1416"/>
    </row>
    <row r="162" spans="1:16" s="1411" customFormat="1" x14ac:dyDescent="0.2">
      <c r="B162" s="1416"/>
      <c r="C162" s="199"/>
      <c r="D162" s="189" t="s">
        <v>1419</v>
      </c>
      <c r="E162" s="1366"/>
      <c r="F162" s="1058">
        <f>0*(MGBP/Unit.PJ)</f>
        <v>0</v>
      </c>
      <c r="G162" s="1058">
        <f>0*(MGBP/Unit.PJ)</f>
        <v>0</v>
      </c>
      <c r="H162" s="1263"/>
      <c r="I162" s="1416"/>
      <c r="J162" s="1416"/>
      <c r="K162" s="1416"/>
      <c r="L162" s="1416"/>
      <c r="M162" s="1416"/>
      <c r="N162" s="1416"/>
      <c r="O162" s="1416"/>
      <c r="P162" s="1416"/>
    </row>
    <row r="163" spans="1:16" s="1411" customFormat="1" x14ac:dyDescent="0.2">
      <c r="B163" s="1416"/>
      <c r="C163" s="1416"/>
      <c r="D163" s="1416"/>
      <c r="E163" s="1416"/>
      <c r="F163" s="1416"/>
      <c r="G163" s="1416"/>
      <c r="H163" s="1416"/>
      <c r="I163" s="1416"/>
      <c r="J163" s="1416"/>
      <c r="K163" s="1416"/>
      <c r="L163" s="1416"/>
      <c r="M163" s="1416"/>
      <c r="N163" s="1416"/>
      <c r="O163" s="1416"/>
      <c r="P163" s="1416"/>
    </row>
    <row r="164" spans="1:16" s="1411" customFormat="1" ht="13.5" customHeight="1" x14ac:dyDescent="0.2">
      <c r="B164" s="1416"/>
      <c r="C164" s="1417" t="s">
        <v>1558</v>
      </c>
      <c r="D164" s="1416"/>
      <c r="E164" s="1416"/>
      <c r="F164" s="1416"/>
      <c r="G164" s="1416"/>
      <c r="H164" s="176" t="str">
        <f>Preferences.moneyunits&amp;"/"&amp;Preferences.EnergyUnits</f>
        <v>N/TWh</v>
      </c>
      <c r="I164" s="1416"/>
      <c r="J164" s="1416"/>
      <c r="K164" s="1416"/>
      <c r="L164" s="1416"/>
      <c r="M164" s="1416"/>
      <c r="N164" s="1416"/>
      <c r="O164" s="1416"/>
      <c r="P164" s="1416"/>
    </row>
    <row r="165" spans="1:16" s="1411" customFormat="1" x14ac:dyDescent="0.2">
      <c r="B165" s="1416"/>
      <c r="C165" s="1416"/>
      <c r="D165" s="1416"/>
      <c r="E165" s="1416"/>
      <c r="F165" s="1416"/>
      <c r="G165" s="1416"/>
      <c r="H165" s="1416"/>
      <c r="I165" s="1416"/>
      <c r="J165" s="1416"/>
      <c r="K165" s="1416"/>
      <c r="L165" s="1416"/>
      <c r="M165" s="1416"/>
      <c r="N165" s="1416"/>
      <c r="O165" s="1416"/>
      <c r="P165" s="1416"/>
    </row>
    <row r="166" spans="1:16" s="1411" customFormat="1" x14ac:dyDescent="0.2">
      <c r="B166" s="1416"/>
      <c r="C166" s="98"/>
      <c r="D166" s="98"/>
      <c r="E166" s="103"/>
      <c r="F166" s="217" t="s">
        <v>894</v>
      </c>
      <c r="G166" s="217" t="s">
        <v>893</v>
      </c>
      <c r="H166" s="1261"/>
      <c r="I166" s="1416"/>
      <c r="J166" s="1416"/>
      <c r="K166" s="1416"/>
      <c r="L166" s="1416"/>
      <c r="M166" s="1416"/>
      <c r="N166" s="1416"/>
      <c r="O166" s="1416"/>
      <c r="P166" s="1416"/>
    </row>
    <row r="167" spans="1:16" s="1411" customFormat="1" x14ac:dyDescent="0.2">
      <c r="B167" s="1416"/>
      <c r="C167" s="1413"/>
      <c r="D167" s="107" t="s">
        <v>1559</v>
      </c>
      <c r="E167" s="1081"/>
      <c r="F167" s="1057">
        <f>0*(MGBP/Unit.PJ)</f>
        <v>0</v>
      </c>
      <c r="G167" s="1057">
        <f>0*(MGBP/Unit.PJ)</f>
        <v>0</v>
      </c>
      <c r="H167" s="1264"/>
      <c r="I167" s="1416"/>
      <c r="J167" s="1416"/>
      <c r="K167" s="1416"/>
      <c r="L167" s="1416"/>
      <c r="M167" s="1416"/>
      <c r="N167" s="1416"/>
      <c r="O167" s="1416"/>
      <c r="P167" s="1416"/>
    </row>
    <row r="168" spans="1:16" s="1411" customFormat="1" x14ac:dyDescent="0.2">
      <c r="B168" s="1416"/>
      <c r="C168" s="199"/>
      <c r="D168" s="189" t="s">
        <v>1560</v>
      </c>
      <c r="E168" s="1366"/>
      <c r="F168" s="1058">
        <f>0*(MGBP/Unit.PJ)</f>
        <v>0</v>
      </c>
      <c r="G168" s="1058">
        <f>0*(MGBP/Unit.PJ)</f>
        <v>0</v>
      </c>
      <c r="H168" s="1263"/>
      <c r="I168" s="1416"/>
      <c r="J168" s="1416"/>
      <c r="K168" s="1416"/>
      <c r="L168" s="1416"/>
      <c r="M168" s="1416"/>
      <c r="N168" s="1416"/>
      <c r="O168" s="1416"/>
      <c r="P168" s="1416"/>
    </row>
    <row r="169" spans="1:16" x14ac:dyDescent="0.2">
      <c r="B169" s="1416"/>
      <c r="C169" s="1416"/>
      <c r="D169" s="1416"/>
      <c r="E169" s="1416"/>
      <c r="F169" s="1416"/>
      <c r="G169" s="1416"/>
      <c r="H169" s="1416"/>
      <c r="I169" s="1416"/>
      <c r="J169" s="1416"/>
      <c r="K169" s="1416"/>
      <c r="L169" s="1416"/>
      <c r="M169" s="1416"/>
      <c r="N169" s="1416"/>
      <c r="O169" s="1416"/>
      <c r="P169" s="1416"/>
    </row>
    <row r="170" spans="1:16" ht="22.5" collapsed="1" x14ac:dyDescent="0.3">
      <c r="A170" s="409"/>
    </row>
    <row r="171" spans="1:16" ht="15.75" x14ac:dyDescent="0.2">
      <c r="B171" s="472" t="s">
        <v>332</v>
      </c>
      <c r="C171" s="498"/>
      <c r="D171" s="498"/>
      <c r="E171" s="498"/>
      <c r="F171" s="498"/>
      <c r="G171" s="498"/>
      <c r="H171" s="498"/>
      <c r="I171" s="498"/>
      <c r="J171" s="498"/>
      <c r="K171" s="498"/>
      <c r="L171" s="498"/>
      <c r="M171" s="498"/>
      <c r="N171" s="498"/>
      <c r="O171" s="499"/>
    </row>
    <row r="172" spans="1:16" x14ac:dyDescent="0.2">
      <c r="B172" s="395"/>
      <c r="C172" s="173"/>
      <c r="D172" s="173"/>
      <c r="E172" s="173"/>
      <c r="F172" s="173"/>
      <c r="G172" s="173"/>
      <c r="H172" s="173"/>
      <c r="I172" s="173"/>
      <c r="J172" s="173"/>
      <c r="K172" s="173"/>
      <c r="L172" s="173"/>
      <c r="M172" s="173"/>
      <c r="N172" s="173"/>
      <c r="O172" s="396"/>
    </row>
    <row r="173" spans="1:16" ht="15" customHeight="1" x14ac:dyDescent="0.2">
      <c r="B173" s="398">
        <v>1</v>
      </c>
      <c r="C173" s="175" t="s">
        <v>760</v>
      </c>
      <c r="D173" s="173"/>
      <c r="E173" s="490"/>
      <c r="F173" s="173"/>
      <c r="G173" s="173"/>
      <c r="H173" s="176"/>
      <c r="I173" s="173"/>
      <c r="J173" s="173"/>
      <c r="K173" s="173"/>
      <c r="L173" s="173"/>
      <c r="M173" s="173"/>
      <c r="N173" s="176" t="s">
        <v>2449</v>
      </c>
      <c r="O173" s="396"/>
    </row>
    <row r="174" spans="1:16" x14ac:dyDescent="0.2">
      <c r="B174" s="395"/>
      <c r="C174" s="173"/>
      <c r="D174" s="173"/>
      <c r="E174" s="173"/>
      <c r="F174" s="173"/>
      <c r="G174" s="173"/>
      <c r="H174" s="173"/>
      <c r="I174" s="173"/>
      <c r="J174" s="173"/>
      <c r="K174" s="173"/>
      <c r="L174" s="173"/>
      <c r="M174" s="173"/>
      <c r="N174" s="173"/>
      <c r="O174" s="396"/>
    </row>
    <row r="175" spans="1:16" ht="15.75" x14ac:dyDescent="0.25">
      <c r="B175" s="397"/>
      <c r="C175" s="98" t="s">
        <v>33</v>
      </c>
      <c r="D175" s="98" t="s">
        <v>65</v>
      </c>
      <c r="E175" s="98"/>
      <c r="F175" s="225">
        <v>2010</v>
      </c>
      <c r="G175" s="224">
        <v>2015</v>
      </c>
      <c r="H175" s="2337">
        <v>2020</v>
      </c>
      <c r="I175" s="225">
        <v>2025</v>
      </c>
      <c r="J175" s="224">
        <v>2030</v>
      </c>
      <c r="K175" s="224">
        <v>2035</v>
      </c>
      <c r="L175" s="224">
        <v>2040</v>
      </c>
      <c r="M175" s="224">
        <v>2045</v>
      </c>
      <c r="N175" s="224">
        <v>2050</v>
      </c>
      <c r="O175" s="396"/>
    </row>
    <row r="176" spans="1:16" ht="15.75" x14ac:dyDescent="0.25">
      <c r="B176" s="397"/>
      <c r="C176" s="144" t="s">
        <v>504</v>
      </c>
      <c r="D176" s="1415" t="s">
        <v>2181</v>
      </c>
      <c r="E176" s="720"/>
      <c r="F176" s="206">
        <v>100</v>
      </c>
      <c r="G176" s="2107">
        <f>F176*(1+INDEX($F18:$I18, ,MATCH($E$8, $F$17:$I$17, 0)))^(G$175-F$175)</f>
        <v>113.14082128906247</v>
      </c>
      <c r="H176" s="2107">
        <f t="shared" ref="H176:I176" si="4">G176*(1+INDEX($F18:$I18, ,MATCH($E$8, $F$17:$I$17, 0)))^(H$175-G$175)</f>
        <v>128.00845441963571</v>
      </c>
      <c r="I176" s="2107">
        <f t="shared" si="4"/>
        <v>144.82981664981102</v>
      </c>
      <c r="J176" s="2107">
        <f>I176*(1+INDEX($L18:$O18, ,MATCH($E$8, $L$17:$O$17, 0)))^(J$175-I$175)</f>
        <v>158.34227152108639</v>
      </c>
      <c r="K176" s="2107">
        <f t="shared" ref="K176:N176" si="5">J176*(1+INDEX($L18:$O18, ,MATCH($E$8, $L$17:$O$17, 0)))^(K$175-J$175)</f>
        <v>173.11542284887759</v>
      </c>
      <c r="L176" s="2107">
        <f t="shared" si="5"/>
        <v>189.266892158704</v>
      </c>
      <c r="M176" s="2107">
        <f t="shared" si="5"/>
        <v>206.9252749287713</v>
      </c>
      <c r="N176" s="2107">
        <f t="shared" si="5"/>
        <v>226.23116444710149</v>
      </c>
      <c r="O176" s="396"/>
    </row>
    <row r="177" spans="2:15" ht="15.75" x14ac:dyDescent="0.25">
      <c r="B177" s="397"/>
      <c r="C177" s="144" t="s">
        <v>505</v>
      </c>
      <c r="D177" s="1415" t="s">
        <v>112</v>
      </c>
      <c r="E177" s="720"/>
      <c r="F177" s="207">
        <v>100</v>
      </c>
      <c r="G177" s="2106">
        <f>F177*(1+INDEX($F19:$I19, ,MATCH($E$8, $F$17:$I$17, 0)))^(G$175-F$175)</f>
        <v>110.40808032</v>
      </c>
      <c r="H177" s="2106">
        <f t="shared" ref="H177:I177" si="6">G177*(1+INDEX($F19:$I19, ,MATCH($E$8, $F$17:$I$17, 0)))^(H$175-G$175)</f>
        <v>121.89944199947571</v>
      </c>
      <c r="I177" s="2106">
        <f t="shared" si="6"/>
        <v>134.58683383241296</v>
      </c>
      <c r="J177" s="2106">
        <f t="shared" ref="J177:N179" si="7">I177*(1+INDEX($L19:$O19, ,MATCH($E$8, $L$17:$O$17, 0)))^(J$175-I$175)</f>
        <v>141.80259080048398</v>
      </c>
      <c r="K177" s="2106">
        <f t="shared" si="7"/>
        <v>149.40521435230346</v>
      </c>
      <c r="L177" s="2106">
        <f t="shared" si="7"/>
        <v>157.41544600595236</v>
      </c>
      <c r="M177" s="2106">
        <f t="shared" si="7"/>
        <v>165.85513931810681</v>
      </c>
      <c r="N177" s="2106">
        <f t="shared" si="7"/>
        <v>174.74731950502786</v>
      </c>
      <c r="O177" s="396"/>
    </row>
    <row r="178" spans="2:15" ht="15.75" x14ac:dyDescent="0.25">
      <c r="B178" s="397"/>
      <c r="C178" s="144" t="s">
        <v>506</v>
      </c>
      <c r="D178" s="1415" t="s">
        <v>2183</v>
      </c>
      <c r="E178" s="720"/>
      <c r="F178" s="207">
        <v>100</v>
      </c>
      <c r="G178" s="2106">
        <f>F178*(1+INDEX($F20:$I20, ,MATCH($E$8, $F$17:$I$17, 0)))^(G$175-F$175)</f>
        <v>104.58173228640486</v>
      </c>
      <c r="H178" s="2106">
        <f t="shared" ref="H178:I178" si="8">G178*(1+INDEX($F20:$I20, ,MATCH($E$8, $F$17:$I$17, 0)))^(H$175-G$175)</f>
        <v>109.37338728025256</v>
      </c>
      <c r="I178" s="2106">
        <f t="shared" si="8"/>
        <v>114.38458307800651</v>
      </c>
      <c r="J178" s="2106">
        <f t="shared" si="7"/>
        <v>119.62537845156113</v>
      </c>
      <c r="K178" s="2106">
        <f t="shared" si="7"/>
        <v>125.10629303881031</v>
      </c>
      <c r="L178" s="2106">
        <f t="shared" si="7"/>
        <v>130.83832845929376</v>
      </c>
      <c r="M178" s="2106">
        <f t="shared" si="7"/>
        <v>136.83299039730565</v>
      </c>
      <c r="N178" s="2106">
        <f t="shared" si="7"/>
        <v>143.10231169679227</v>
      </c>
      <c r="O178" s="396"/>
    </row>
    <row r="179" spans="2:15" ht="15.75" x14ac:dyDescent="0.25">
      <c r="B179" s="397"/>
      <c r="C179" s="101" t="s">
        <v>507</v>
      </c>
      <c r="D179" s="102" t="s">
        <v>102</v>
      </c>
      <c r="E179" s="721"/>
      <c r="F179" s="198">
        <v>100</v>
      </c>
      <c r="G179" s="2095">
        <f>F179*(1+INDEX($F21:$I21, ,MATCH($E$8, $F$17:$I$17, 0)))^(G$175-F$175)</f>
        <v>103.0362166487776</v>
      </c>
      <c r="H179" s="2095">
        <f t="shared" ref="H179:I179" si="9">G179*(1+INDEX($F21:$I21, ,MATCH($E$8, $F$17:$I$17, 0)))^(H$175-G$175)</f>
        <v>106.16461941293834</v>
      </c>
      <c r="I179" s="2095">
        <f t="shared" si="9"/>
        <v>109.38800726266534</v>
      </c>
      <c r="J179" s="2095">
        <f t="shared" si="7"/>
        <v>111.87148840184902</v>
      </c>
      <c r="K179" s="2095">
        <f t="shared" si="7"/>
        <v>114.4113530397637</v>
      </c>
      <c r="L179" s="2095">
        <f t="shared" si="7"/>
        <v>117.00888127428448</v>
      </c>
      <c r="M179" s="2095">
        <f t="shared" si="7"/>
        <v>119.66538226587761</v>
      </c>
      <c r="N179" s="2095">
        <f t="shared" si="7"/>
        <v>122.38219489742048</v>
      </c>
      <c r="O179" s="1259"/>
    </row>
    <row r="180" spans="2:15" x14ac:dyDescent="0.2">
      <c r="B180" s="395"/>
      <c r="C180" s="173"/>
      <c r="D180" s="173"/>
      <c r="E180" s="173"/>
      <c r="F180" s="173"/>
      <c r="G180" s="173"/>
      <c r="H180" s="173"/>
      <c r="I180" s="173"/>
      <c r="J180" s="173"/>
      <c r="K180" s="173"/>
      <c r="L180" s="173"/>
      <c r="M180" s="173"/>
      <c r="N180" s="173"/>
      <c r="O180" s="396"/>
    </row>
    <row r="181" spans="2:15" ht="18.75" customHeight="1" x14ac:dyDescent="0.2">
      <c r="B181" s="398">
        <v>2</v>
      </c>
      <c r="C181" s="175" t="s">
        <v>503</v>
      </c>
      <c r="D181" s="173"/>
      <c r="E181" s="173"/>
      <c r="F181" s="173"/>
      <c r="G181" s="173"/>
      <c r="H181" s="173"/>
      <c r="I181" s="173"/>
      <c r="J181" s="173"/>
      <c r="K181" s="173"/>
      <c r="L181" s="173"/>
      <c r="M181" s="173"/>
      <c r="N181" s="176" t="str">
        <f>Preferences.EnergyUnits &amp; " / unit output index"</f>
        <v>TWh / unit output index</v>
      </c>
      <c r="O181" s="396"/>
    </row>
    <row r="182" spans="2:15" x14ac:dyDescent="0.2">
      <c r="B182" s="395"/>
      <c r="C182" s="173"/>
      <c r="D182" s="173"/>
      <c r="E182" s="173"/>
      <c r="F182" s="173"/>
      <c r="G182" s="173"/>
      <c r="H182" s="173"/>
      <c r="I182" s="173"/>
      <c r="J182" s="173"/>
      <c r="K182" s="173"/>
      <c r="L182" s="173"/>
      <c r="M182" s="173"/>
      <c r="N182" s="173"/>
      <c r="O182" s="396"/>
    </row>
    <row r="183" spans="2:15" ht="15.75" x14ac:dyDescent="0.25">
      <c r="B183" s="397"/>
      <c r="C183" s="98" t="s">
        <v>33</v>
      </c>
      <c r="D183" s="98" t="s">
        <v>65</v>
      </c>
      <c r="E183" s="98" t="s">
        <v>764</v>
      </c>
      <c r="F183" s="218">
        <v>2010</v>
      </c>
      <c r="G183" s="217">
        <v>2015</v>
      </c>
      <c r="H183" s="217">
        <v>2020</v>
      </c>
      <c r="I183" s="217">
        <v>2025</v>
      </c>
      <c r="J183" s="217">
        <v>2030</v>
      </c>
      <c r="K183" s="217">
        <v>2035</v>
      </c>
      <c r="L183" s="217">
        <v>2040</v>
      </c>
      <c r="M183" s="217">
        <v>2045</v>
      </c>
      <c r="N183" s="217">
        <v>2050</v>
      </c>
      <c r="O183" s="396"/>
    </row>
    <row r="184" spans="2:15" ht="15.75" x14ac:dyDescent="0.25">
      <c r="B184" s="397"/>
      <c r="C184" s="144" t="s">
        <v>504</v>
      </c>
      <c r="D184" s="1415" t="s">
        <v>2181</v>
      </c>
      <c r="E184" s="720">
        <f t="array" ref="E184:E187">INDEX($F$26:$I$29, ,MATCH($E$9, $F$25:$I$25, 0))</f>
        <v>1.2500000000000001E-2</v>
      </c>
      <c r="F184" s="506">
        <f>INDEX($F$72:$I$72, MATCH($D184, $F$66:$I$66, 0))/100</f>
        <v>0.48077174391028576</v>
      </c>
      <c r="G184" s="506">
        <f>$F184*(1+$E184)^(G$183-$F$183)</f>
        <v>0.51158063266233855</v>
      </c>
      <c r="H184" s="506">
        <f t="shared" ref="H184:N184" si="10">$F184*(1+$E184)^(H$183-$F$183)</f>
        <v>0.54436382135643102</v>
      </c>
      <c r="I184" s="506">
        <f t="shared" si="10"/>
        <v>0.57924782738475156</v>
      </c>
      <c r="J184" s="506">
        <f t="shared" si="10"/>
        <v>0.61636727564645155</v>
      </c>
      <c r="K184" s="506">
        <f t="shared" si="10"/>
        <v>0.65586541809415111</v>
      </c>
      <c r="L184" s="506">
        <f t="shared" si="10"/>
        <v>0.69789468657410569</v>
      </c>
      <c r="M184" s="506">
        <f t="shared" si="10"/>
        <v>0.74261728109355929</v>
      </c>
      <c r="N184" s="506">
        <f t="shared" si="10"/>
        <v>0.79020579578553918</v>
      </c>
      <c r="O184" s="396"/>
    </row>
    <row r="185" spans="2:15" ht="15.75" x14ac:dyDescent="0.25">
      <c r="B185" s="397"/>
      <c r="C185" s="144" t="s">
        <v>505</v>
      </c>
      <c r="D185" s="1415" t="s">
        <v>112</v>
      </c>
      <c r="E185" s="720">
        <v>3.0000000000000001E-3</v>
      </c>
      <c r="F185" s="724">
        <f>INDEX($F$72:$I$72, MATCH($D185, $F$66:$I$66, 0))/100</f>
        <v>4.1970337600414992E-2</v>
      </c>
      <c r="G185" s="724">
        <f t="shared" ref="G185:N187" si="11">$F185*(1+$E185)^(G$183-$F$183)</f>
        <v>4.2603681343804573E-2</v>
      </c>
      <c r="H185" s="724">
        <f t="shared" si="11"/>
        <v>4.324658241554135E-2</v>
      </c>
      <c r="I185" s="724">
        <f t="shared" si="11"/>
        <v>4.3899185038294472E-2</v>
      </c>
      <c r="J185" s="724">
        <f t="shared" si="11"/>
        <v>4.4561635611092103E-2</v>
      </c>
      <c r="K185" s="724">
        <f t="shared" si="11"/>
        <v>4.523408274216336E-2</v>
      </c>
      <c r="L185" s="724">
        <f t="shared" si="11"/>
        <v>4.5916677282275713E-2</v>
      </c>
      <c r="M185" s="724">
        <f t="shared" si="11"/>
        <v>4.6609572358575498E-2</v>
      </c>
      <c r="N185" s="724">
        <f t="shared" si="11"/>
        <v>4.7312923408939112E-2</v>
      </c>
      <c r="O185" s="396"/>
    </row>
    <row r="186" spans="2:15" ht="15.75" x14ac:dyDescent="0.25">
      <c r="B186" s="397"/>
      <c r="C186" s="144" t="s">
        <v>506</v>
      </c>
      <c r="D186" s="1415" t="s">
        <v>2183</v>
      </c>
      <c r="E186" s="720">
        <v>1.5E-3</v>
      </c>
      <c r="F186" s="724">
        <f>INDEX($F$72:$I$72, MATCH($D186, $F$66:$I$66, 0))/100</f>
        <v>2.3847458409463453E-3</v>
      </c>
      <c r="G186" s="724">
        <f t="shared" si="11"/>
        <v>2.4026851720804197E-3</v>
      </c>
      <c r="H186" s="724">
        <f t="shared" si="11"/>
        <v>2.420759452438857E-3</v>
      </c>
      <c r="I186" s="724">
        <f t="shared" si="11"/>
        <v>2.4389696971817546E-3</v>
      </c>
      <c r="J186" s="724">
        <f t="shared" si="11"/>
        <v>2.457316929105789E-3</v>
      </c>
      <c r="K186" s="724">
        <f t="shared" si="11"/>
        <v>2.4758021787016546E-3</v>
      </c>
      <c r="L186" s="724">
        <f t="shared" si="11"/>
        <v>2.4944264842119502E-3</v>
      </c>
      <c r="M186" s="724">
        <f t="shared" si="11"/>
        <v>2.5131908916894894E-3</v>
      </c>
      <c r="N186" s="724">
        <f t="shared" si="11"/>
        <v>2.532096455056052E-3</v>
      </c>
      <c r="O186" s="396"/>
    </row>
    <row r="187" spans="2:15" ht="15.75" x14ac:dyDescent="0.25">
      <c r="B187" s="397"/>
      <c r="C187" s="101" t="s">
        <v>507</v>
      </c>
      <c r="D187" s="102" t="s">
        <v>102</v>
      </c>
      <c r="E187" s="721">
        <v>1.7999999999999998E-4</v>
      </c>
      <c r="F187" s="726">
        <f>INDEX($F$72:$I$72, MATCH($D187, $F$66:$I$66, 0))/100</f>
        <v>9.8531726483532048E-3</v>
      </c>
      <c r="G187" s="726">
        <f t="shared" si="11"/>
        <v>9.8620436967393529E-3</v>
      </c>
      <c r="H187" s="726">
        <f t="shared" si="11"/>
        <v>9.8709227319437841E-3</v>
      </c>
      <c r="I187" s="726">
        <f t="shared" si="11"/>
        <v>9.8798097611572273E-3</v>
      </c>
      <c r="J187" s="726">
        <f t="shared" si="11"/>
        <v>9.8887047915768734E-3</v>
      </c>
      <c r="K187" s="726">
        <f t="shared" si="11"/>
        <v>9.8976078304064095E-3</v>
      </c>
      <c r="L187" s="726">
        <f t="shared" si="11"/>
        <v>9.9065188848559936E-3</v>
      </c>
      <c r="M187" s="726">
        <f t="shared" si="11"/>
        <v>9.9154379621422869E-3</v>
      </c>
      <c r="N187" s="726">
        <f t="shared" si="11"/>
        <v>9.9243650694884385E-3</v>
      </c>
      <c r="O187" s="396"/>
    </row>
    <row r="188" spans="2:15" x14ac:dyDescent="0.2">
      <c r="B188" s="395"/>
      <c r="C188" s="173" t="s">
        <v>105</v>
      </c>
      <c r="D188" s="173"/>
      <c r="E188" s="173"/>
      <c r="F188" s="723">
        <f t="shared" ref="F188:N188" si="12">SUM(F$184:F$187)</f>
        <v>0.53498000000000034</v>
      </c>
      <c r="G188" s="723">
        <f t="shared" si="12"/>
        <v>0.56644904287496289</v>
      </c>
      <c r="H188" s="723">
        <f t="shared" si="12"/>
        <v>0.59990208595635497</v>
      </c>
      <c r="I188" s="723">
        <f t="shared" si="12"/>
        <v>0.63546579188138497</v>
      </c>
      <c r="J188" s="723">
        <f t="shared" si="12"/>
        <v>0.67327493297822627</v>
      </c>
      <c r="K188" s="723">
        <f t="shared" si="12"/>
        <v>0.71347291084542253</v>
      </c>
      <c r="L188" s="723">
        <f t="shared" si="12"/>
        <v>0.75621230922544924</v>
      </c>
      <c r="M188" s="723">
        <f t="shared" si="12"/>
        <v>0.80165548230596662</v>
      </c>
      <c r="N188" s="723">
        <f t="shared" si="12"/>
        <v>0.84997518071902278</v>
      </c>
      <c r="O188" s="396"/>
    </row>
    <row r="189" spans="2:15" x14ac:dyDescent="0.2">
      <c r="B189" s="395"/>
      <c r="C189" s="173"/>
      <c r="D189" s="173"/>
      <c r="E189" s="173"/>
      <c r="F189" s="173"/>
      <c r="G189" s="173"/>
      <c r="H189" s="173"/>
      <c r="I189" s="173"/>
      <c r="J189" s="173"/>
      <c r="K189" s="173"/>
      <c r="L189" s="173"/>
      <c r="M189" s="173"/>
      <c r="N189" s="173"/>
      <c r="O189" s="396"/>
    </row>
    <row r="190" spans="2:15" ht="21" customHeight="1" x14ac:dyDescent="0.2">
      <c r="B190" s="398">
        <v>3</v>
      </c>
      <c r="C190" s="175" t="s">
        <v>765</v>
      </c>
      <c r="D190" s="173"/>
      <c r="E190" s="173"/>
      <c r="F190" s="173"/>
      <c r="G190" s="173"/>
      <c r="H190" s="173"/>
      <c r="I190" s="173"/>
      <c r="J190" s="173"/>
      <c r="K190" s="173"/>
      <c r="L190" s="173"/>
      <c r="M190" s="173"/>
      <c r="N190" s="173"/>
      <c r="O190" s="396"/>
    </row>
    <row r="191" spans="2:15" x14ac:dyDescent="0.2">
      <c r="B191" s="395"/>
      <c r="C191" s="173"/>
      <c r="D191" s="173"/>
      <c r="E191" s="173"/>
      <c r="F191" s="173"/>
      <c r="G191" s="173"/>
      <c r="H191" s="173"/>
      <c r="I191" s="173"/>
      <c r="J191" s="173"/>
      <c r="K191" s="173"/>
      <c r="L191" s="173"/>
      <c r="M191" s="173"/>
      <c r="N191" s="173"/>
      <c r="O191" s="396"/>
    </row>
    <row r="192" spans="2:15" ht="15.75" x14ac:dyDescent="0.25">
      <c r="B192" s="397"/>
      <c r="C192" s="98" t="s">
        <v>64</v>
      </c>
      <c r="D192" s="98" t="s">
        <v>65</v>
      </c>
      <c r="E192" s="98" t="s">
        <v>172</v>
      </c>
      <c r="F192" s="217">
        <v>2010</v>
      </c>
      <c r="G192" s="217">
        <v>2015</v>
      </c>
      <c r="H192" s="217">
        <v>2020</v>
      </c>
      <c r="I192" s="217">
        <v>2025</v>
      </c>
      <c r="J192" s="217">
        <v>2030</v>
      </c>
      <c r="K192" s="217">
        <v>2035</v>
      </c>
      <c r="L192" s="217">
        <v>2040</v>
      </c>
      <c r="M192" s="217">
        <v>2045</v>
      </c>
      <c r="N192" s="217">
        <v>2050</v>
      </c>
      <c r="O192" s="396"/>
    </row>
    <row r="193" spans="2:16" ht="15.75" x14ac:dyDescent="0.25">
      <c r="B193" s="397"/>
      <c r="C193" s="144" t="s">
        <v>34</v>
      </c>
      <c r="D193" s="145" t="str">
        <f>INDEX(Vectors[Description], MATCH($C193, Vectors[Code], 0))</f>
        <v>Electricity (delivered to end user)</v>
      </c>
      <c r="E193" s="488"/>
      <c r="F193" s="738">
        <f>INDEX($J$67:$J$71, MATCH($C193, $C$67:$C$71, 0))/$J$72</f>
        <v>0.45701081709595037</v>
      </c>
      <c r="G193" s="740">
        <f>$F193+($J193-$F193)/($J$192-$F$192)*(G$192-$F$192)</f>
        <v>0.39125811282196277</v>
      </c>
      <c r="H193" s="740">
        <f t="shared" ref="H193:I197" si="13">$F193+($J193-$F193)/($J$192-$F$192)*(H$192-$F$192)</f>
        <v>0.32550540854797516</v>
      </c>
      <c r="I193" s="740">
        <f t="shared" si="13"/>
        <v>0.25975270427398761</v>
      </c>
      <c r="J193" s="174">
        <f>INDEX($F$34:$I$38, MATCH($C193, $C$34:$C$38, 0), MATCH($E$9, $F$33:$I$33, 0))</f>
        <v>0.19400000000000001</v>
      </c>
      <c r="K193" s="740">
        <f>$J193+($L193-$J193)/($L$192-$J$192)*(K$192-$J$192)</f>
        <v>0.20150000000000001</v>
      </c>
      <c r="L193" s="174">
        <f>INDEX($L$34:$O$38, MATCH($C193, $C$34:$C$38, 0), MATCH($E$9, $L$33:$O$33, 0))</f>
        <v>0.20899999999999999</v>
      </c>
      <c r="M193" s="740">
        <f>$L193+($N193-$L193)/($N$192-$L$192)*(M$192-$L$192)</f>
        <v>0.21249999999999999</v>
      </c>
      <c r="N193" s="174">
        <f>INDEX($R$34:$U$38, MATCH($C193, $C$34:$C$38, 0), MATCH($E$9, $R$33:$U$33, 0))</f>
        <v>0.216</v>
      </c>
      <c r="O193" s="396"/>
    </row>
    <row r="194" spans="2:16" ht="15.75" x14ac:dyDescent="0.25">
      <c r="B194" s="397"/>
      <c r="C194" s="144" t="s">
        <v>36</v>
      </c>
      <c r="D194" s="145" t="str">
        <f>INDEX(Vectors[Description], MATCH($C194, Vectors[Code], 0))</f>
        <v>Solid hydrocarbons</v>
      </c>
      <c r="E194" s="488"/>
      <c r="F194" s="738">
        <f>INDEX($J$67:$J$71, MATCH($C194, $C$67:$C$71, 0))/$J$72</f>
        <v>2.8182958524887811E-2</v>
      </c>
      <c r="G194" s="741">
        <f>$F194+($J194-$F194)/($J$192-$F$192)*(G$192-$F$192)</f>
        <v>2.8137218893665859E-2</v>
      </c>
      <c r="H194" s="741">
        <f t="shared" si="13"/>
        <v>2.8091479262443906E-2</v>
      </c>
      <c r="I194" s="741">
        <f t="shared" si="13"/>
        <v>2.8045739631221953E-2</v>
      </c>
      <c r="J194" s="174">
        <f>INDEX($F$34:$I$38, MATCH($C194, $C$34:$C$38, 0), MATCH($E$9, $F$33:$I$33, 0))</f>
        <v>2.8000000000000001E-2</v>
      </c>
      <c r="K194" s="741">
        <f>$J194+($L194-$J194)/($L$192-$J$192)*(K$192-$J$192)</f>
        <v>2.8500000000000001E-2</v>
      </c>
      <c r="L194" s="174">
        <f>INDEX($L$34:$O$38, MATCH($C194, $C$34:$C$38, 0), MATCH($E$9, $L$33:$O$33, 0))</f>
        <v>2.9000000000000001E-2</v>
      </c>
      <c r="M194" s="740">
        <f t="shared" ref="M194:M197" si="14">$L194+($N194-$L194)/($N$192-$L$192)*(M$192-$L$192)</f>
        <v>2.9499999999999998E-2</v>
      </c>
      <c r="N194" s="174">
        <f>INDEX($R$34:$U$38, MATCH($C194, $C$34:$C$38, 0), MATCH($E$9, $R$33:$U$33, 0))</f>
        <v>0.03</v>
      </c>
      <c r="O194" s="396"/>
    </row>
    <row r="195" spans="2:16" ht="15.75" x14ac:dyDescent="0.25">
      <c r="B195" s="397"/>
      <c r="C195" s="144" t="s">
        <v>38</v>
      </c>
      <c r="D195" s="145" t="str">
        <f>INDEX(Vectors[Description], MATCH($C195, Vectors[Code], 0))</f>
        <v>Liquid hydrocarbons</v>
      </c>
      <c r="E195" s="488"/>
      <c r="F195" s="738">
        <f>INDEX($J$67:$J$71, MATCH($C195, $C$67:$C$71, 0))/$J$72</f>
        <v>4.5564050451098917E-2</v>
      </c>
      <c r="G195" s="741">
        <f>$F195+($J195-$F195)/($J$192-$F$192)*(G$192-$F$192)</f>
        <v>8.7673037838324183E-2</v>
      </c>
      <c r="H195" s="741">
        <f t="shared" si="13"/>
        <v>0.12978202522554944</v>
      </c>
      <c r="I195" s="741">
        <f t="shared" si="13"/>
        <v>0.17189101261277473</v>
      </c>
      <c r="J195" s="174">
        <f>INDEX($F$34:$I$38, MATCH($C195, $C$34:$C$38, 0), MATCH($E$9, $F$33:$I$33, 0))</f>
        <v>0.214</v>
      </c>
      <c r="K195" s="741">
        <f>$J195+($L195-$J195)/($L$192-$J$192)*(K$192-$J$192)</f>
        <v>0.20800000000000002</v>
      </c>
      <c r="L195" s="174">
        <f>INDEX($L$34:$O$38, MATCH($C195, $C$34:$C$38, 0), MATCH($E$9, $L$33:$O$33, 0))</f>
        <v>0.20200000000000001</v>
      </c>
      <c r="M195" s="740">
        <f t="shared" si="14"/>
        <v>0.20450000000000002</v>
      </c>
      <c r="N195" s="174">
        <f>INDEX($R$34:$U$38, MATCH($C195, $C$34:$C$38, 0), MATCH($E$9, $R$33:$U$33, 0))</f>
        <v>0.20699999999999999</v>
      </c>
      <c r="O195" s="396"/>
    </row>
    <row r="196" spans="2:16" ht="15.75" x14ac:dyDescent="0.25">
      <c r="B196" s="397"/>
      <c r="C196" s="144" t="s">
        <v>39</v>
      </c>
      <c r="D196" s="145" t="str">
        <f>INDEX(Vectors[Description], MATCH($C196, Vectors[Code], 0))</f>
        <v>Gaseous hydrocarbons</v>
      </c>
      <c r="E196" s="488"/>
      <c r="F196" s="738">
        <f>INDEX($J$67:$J$71, MATCH($C196, $C$67:$C$71, 0))/$J$72</f>
        <v>0.3629576516107042</v>
      </c>
      <c r="G196" s="741">
        <f>$F196+($J196-$F196)/($J$192-$F$192)*(G$192-$F$192)</f>
        <v>0.38796823870802816</v>
      </c>
      <c r="H196" s="741">
        <f t="shared" si="13"/>
        <v>0.41297882580535211</v>
      </c>
      <c r="I196" s="741">
        <f t="shared" si="13"/>
        <v>0.43798941290267607</v>
      </c>
      <c r="J196" s="174">
        <f>INDEX($F$34:$I$38, MATCH($C196, $C$34:$C$38, 0), MATCH($E$9, $F$33:$I$33, 0))</f>
        <v>0.46300000000000002</v>
      </c>
      <c r="K196" s="741">
        <f>$J196+($L196-$J196)/($L$192-$J$192)*(K$192-$J$192)</f>
        <v>0.47699999999999998</v>
      </c>
      <c r="L196" s="174">
        <f>INDEX($L$34:$O$38, MATCH($C196, $C$34:$C$38, 0), MATCH($E$9, $L$33:$O$33, 0))</f>
        <v>0.49099999999999999</v>
      </c>
      <c r="M196" s="740">
        <f t="shared" si="14"/>
        <v>0.4965</v>
      </c>
      <c r="N196" s="174">
        <f>INDEX($R$34:$U$38, MATCH($C196, $C$34:$C$38, 0), MATCH($E$9, $R$33:$U$33, 0))</f>
        <v>0.502</v>
      </c>
      <c r="O196" s="396"/>
    </row>
    <row r="197" spans="2:16" ht="15.75" x14ac:dyDescent="0.25">
      <c r="B197" s="397"/>
      <c r="C197" s="101" t="s">
        <v>2184</v>
      </c>
      <c r="D197" s="102" t="str">
        <f>INDEX(Vectors[Description], MATCH($C197, Vectors[Code], 0))</f>
        <v>Traditional Fuel</v>
      </c>
      <c r="E197" s="102"/>
      <c r="F197" s="739">
        <f>INDEX($J$67:$J$71, MATCH($C197, $C$67:$C$71, 0))/$J$72</f>
        <v>0.10628452231735863</v>
      </c>
      <c r="G197" s="742">
        <f>$F197+($J197-$F197)/($J$192-$F$192)*(G$192-$F$192)</f>
        <v>0.10496339173801897</v>
      </c>
      <c r="H197" s="742">
        <f t="shared" si="13"/>
        <v>0.10364226115867932</v>
      </c>
      <c r="I197" s="742">
        <f t="shared" si="13"/>
        <v>0.10232113057933967</v>
      </c>
      <c r="J197" s="210">
        <f>INDEX($F$34:$I$38, MATCH($C197, $C$34:$C$38, 0), MATCH($E$9, $F$33:$I$33, 0))</f>
        <v>0.10100000000000001</v>
      </c>
      <c r="K197" s="767">
        <f>$J197+($L197-$J197)/($L$192-$J$192)*(K$192-$J$192)</f>
        <v>8.5000000000000006E-2</v>
      </c>
      <c r="L197" s="210">
        <f>INDEX($L$34:$O$38, MATCH($C197, $C$34:$C$38, 0), MATCH($E$9, $L$33:$O$33, 0))</f>
        <v>6.9000000000000006E-2</v>
      </c>
      <c r="M197" s="210">
        <f t="shared" si="14"/>
        <v>5.7000000000000002E-2</v>
      </c>
      <c r="N197" s="210">
        <f>INDEX($R$34:$U$38, MATCH($C197, $C$34:$C$38, 0), MATCH($E$9, $R$33:$U$33, 0))</f>
        <v>4.4999999999999998E-2</v>
      </c>
      <c r="O197" s="396"/>
    </row>
    <row r="198" spans="2:16" x14ac:dyDescent="0.2">
      <c r="B198" s="395"/>
      <c r="C198" s="178"/>
      <c r="D198" s="345"/>
      <c r="E198" s="345"/>
      <c r="F198" s="722"/>
      <c r="G198" s="722"/>
      <c r="H198" s="722"/>
      <c r="I198" s="173"/>
      <c r="J198" s="173"/>
      <c r="K198" s="173"/>
      <c r="L198" s="173"/>
      <c r="M198" s="173"/>
      <c r="N198" s="173"/>
      <c r="O198" s="396"/>
    </row>
    <row r="199" spans="2:16" ht="17.25" customHeight="1" x14ac:dyDescent="0.2">
      <c r="B199" s="1829" t="s">
        <v>1861</v>
      </c>
      <c r="C199" s="175" t="s">
        <v>772</v>
      </c>
      <c r="D199" s="173"/>
      <c r="E199" s="173"/>
      <c r="F199" s="173"/>
      <c r="G199" s="173"/>
      <c r="H199" s="173"/>
      <c r="I199" s="173"/>
      <c r="J199" s="173"/>
      <c r="K199" s="173"/>
      <c r="L199" s="173"/>
      <c r="M199" s="173"/>
      <c r="N199" s="176" t="s">
        <v>2448</v>
      </c>
      <c r="P199" s="396"/>
    </row>
    <row r="200" spans="2:16" x14ac:dyDescent="0.2">
      <c r="B200" s="395"/>
      <c r="C200" s="173"/>
      <c r="D200" s="173"/>
      <c r="E200" s="173"/>
      <c r="F200" s="173"/>
      <c r="G200" s="173"/>
      <c r="H200" s="173"/>
      <c r="I200" s="173"/>
      <c r="J200" s="173"/>
      <c r="K200" s="173"/>
      <c r="L200" s="173"/>
      <c r="M200" s="173"/>
      <c r="N200" s="173"/>
      <c r="O200" s="173"/>
      <c r="P200" s="396"/>
    </row>
    <row r="201" spans="2:16" ht="15.75" x14ac:dyDescent="0.25">
      <c r="B201" s="397"/>
      <c r="C201" s="98" t="s">
        <v>33</v>
      </c>
      <c r="D201" s="98" t="s">
        <v>65</v>
      </c>
      <c r="E201" s="98" t="s">
        <v>764</v>
      </c>
      <c r="F201" s="218">
        <v>2010</v>
      </c>
      <c r="G201" s="217">
        <v>2015</v>
      </c>
      <c r="H201" s="217">
        <v>2020</v>
      </c>
      <c r="I201" s="217">
        <v>2025</v>
      </c>
      <c r="J201" s="217">
        <v>2030</v>
      </c>
      <c r="K201" s="217">
        <v>2035</v>
      </c>
      <c r="L201" s="217">
        <v>2040</v>
      </c>
      <c r="M201" s="217">
        <v>2045</v>
      </c>
      <c r="N201" s="217">
        <v>2050</v>
      </c>
      <c r="O201" s="396"/>
    </row>
    <row r="202" spans="2:16" ht="15.75" x14ac:dyDescent="0.25">
      <c r="B202" s="397"/>
      <c r="C202" s="144" t="s">
        <v>504</v>
      </c>
      <c r="D202" s="1415" t="s">
        <v>2181</v>
      </c>
      <c r="E202" s="720">
        <f t="array" ref="E202:E205">INDEX($F$43:$I$46, ,MATCH($E$9, $F$42:$I$42, 0))</f>
        <v>-1.2500000000000001E-2</v>
      </c>
      <c r="F202" s="506">
        <v>1</v>
      </c>
      <c r="G202" s="204">
        <f>$F202*(1+$E202)^(G$175-$F$175)</f>
        <v>0.9390430905151369</v>
      </c>
      <c r="H202" s="506">
        <f t="shared" ref="H202:N205" si="15">$F202*(1+$E202)^(H$175-$F$175)</f>
        <v>0.88180192584421946</v>
      </c>
      <c r="I202" s="506">
        <f t="shared" si="15"/>
        <v>0.82805000566695541</v>
      </c>
      <c r="J202" s="506">
        <f t="shared" si="15"/>
        <v>0.77757463642257441</v>
      </c>
      <c r="K202" s="506">
        <f t="shared" si="15"/>
        <v>0.73017608969243808</v>
      </c>
      <c r="L202" s="506">
        <f t="shared" si="15"/>
        <v>0.68566681188504486</v>
      </c>
      <c r="M202" s="506">
        <f t="shared" si="15"/>
        <v>0.64387068209619347</v>
      </c>
      <c r="N202" s="506">
        <f t="shared" si="15"/>
        <v>0.60462231520769871</v>
      </c>
      <c r="O202" s="396"/>
    </row>
    <row r="203" spans="2:16" ht="15.75" x14ac:dyDescent="0.25">
      <c r="B203" s="397"/>
      <c r="C203" s="144" t="s">
        <v>505</v>
      </c>
      <c r="D203" s="1415" t="s">
        <v>112</v>
      </c>
      <c r="E203" s="720">
        <v>-1.2500000000000001E-2</v>
      </c>
      <c r="F203" s="724">
        <v>1</v>
      </c>
      <c r="G203" s="725">
        <f>$F203*(1+$E203)^(G$175-$F$175)</f>
        <v>0.9390430905151369</v>
      </c>
      <c r="H203" s="724">
        <f t="shared" si="15"/>
        <v>0.88180192584421946</v>
      </c>
      <c r="I203" s="724">
        <f t="shared" si="15"/>
        <v>0.82805000566695541</v>
      </c>
      <c r="J203" s="724">
        <f t="shared" si="15"/>
        <v>0.77757463642257441</v>
      </c>
      <c r="K203" s="724">
        <f t="shared" si="15"/>
        <v>0.73017608969243808</v>
      </c>
      <c r="L203" s="724">
        <f t="shared" si="15"/>
        <v>0.68566681188504486</v>
      </c>
      <c r="M203" s="724">
        <f t="shared" si="15"/>
        <v>0.64387068209619347</v>
      </c>
      <c r="N203" s="724">
        <f t="shared" si="15"/>
        <v>0.60462231520769871</v>
      </c>
      <c r="O203" s="396"/>
    </row>
    <row r="204" spans="2:16" ht="15.75" x14ac:dyDescent="0.25">
      <c r="B204" s="397"/>
      <c r="C204" s="144" t="s">
        <v>506</v>
      </c>
      <c r="D204" s="1415" t="s">
        <v>2183</v>
      </c>
      <c r="E204" s="720">
        <v>-1.2500000000000001E-2</v>
      </c>
      <c r="F204" s="724">
        <v>1</v>
      </c>
      <c r="G204" s="725">
        <f>$F204*(1+$E204)^(G$175-$F$175)</f>
        <v>0.9390430905151369</v>
      </c>
      <c r="H204" s="724">
        <f t="shared" si="15"/>
        <v>0.88180192584421946</v>
      </c>
      <c r="I204" s="724">
        <f t="shared" si="15"/>
        <v>0.82805000566695541</v>
      </c>
      <c r="J204" s="724">
        <f t="shared" si="15"/>
        <v>0.77757463642257441</v>
      </c>
      <c r="K204" s="724">
        <f t="shared" si="15"/>
        <v>0.73017608969243808</v>
      </c>
      <c r="L204" s="724">
        <f t="shared" si="15"/>
        <v>0.68566681188504486</v>
      </c>
      <c r="M204" s="724">
        <f t="shared" si="15"/>
        <v>0.64387068209619347</v>
      </c>
      <c r="N204" s="724">
        <f t="shared" si="15"/>
        <v>0.60462231520769871</v>
      </c>
      <c r="O204" s="396"/>
    </row>
    <row r="205" spans="2:16" ht="15.75" x14ac:dyDescent="0.25">
      <c r="B205" s="397"/>
      <c r="C205" s="101" t="s">
        <v>507</v>
      </c>
      <c r="D205" s="102" t="s">
        <v>102</v>
      </c>
      <c r="E205" s="721">
        <v>-1.2500000000000001E-2</v>
      </c>
      <c r="F205" s="726">
        <v>1</v>
      </c>
      <c r="G205" s="727">
        <f>$F205*(1+$E205)^(G$175-$F$175)</f>
        <v>0.9390430905151369</v>
      </c>
      <c r="H205" s="726">
        <f t="shared" si="15"/>
        <v>0.88180192584421946</v>
      </c>
      <c r="I205" s="726">
        <f t="shared" si="15"/>
        <v>0.82805000566695541</v>
      </c>
      <c r="J205" s="726">
        <f t="shared" si="15"/>
        <v>0.77757463642257441</v>
      </c>
      <c r="K205" s="726">
        <f t="shared" si="15"/>
        <v>0.73017608969243808</v>
      </c>
      <c r="L205" s="726">
        <f t="shared" si="15"/>
        <v>0.68566681188504486</v>
      </c>
      <c r="M205" s="726">
        <f t="shared" si="15"/>
        <v>0.64387068209619347</v>
      </c>
      <c r="N205" s="726">
        <f t="shared" si="15"/>
        <v>0.60462231520769871</v>
      </c>
      <c r="O205" s="396"/>
    </row>
    <row r="206" spans="2:16" s="1792" customFormat="1" x14ac:dyDescent="0.2">
      <c r="B206" s="395"/>
      <c r="C206" s="173"/>
      <c r="D206" s="173"/>
      <c r="E206" s="173"/>
      <c r="F206" s="723"/>
      <c r="G206" s="723"/>
      <c r="H206" s="723"/>
      <c r="I206" s="723"/>
      <c r="J206" s="723"/>
      <c r="K206" s="723"/>
      <c r="L206" s="723"/>
      <c r="M206" s="723"/>
      <c r="N206" s="723"/>
      <c r="O206" s="396"/>
    </row>
    <row r="207" spans="2:16" s="1792" customFormat="1" ht="17.25" customHeight="1" x14ac:dyDescent="0.2">
      <c r="B207" s="1829" t="s">
        <v>1862</v>
      </c>
      <c r="C207" s="1417" t="s">
        <v>1863</v>
      </c>
      <c r="D207" s="1416"/>
      <c r="E207" s="1416"/>
      <c r="F207" s="1416"/>
      <c r="G207" s="1416"/>
      <c r="H207" s="1416"/>
      <c r="I207" s="1416"/>
      <c r="J207" s="1416"/>
      <c r="K207" s="1416"/>
      <c r="L207" s="1416"/>
      <c r="M207" s="1416"/>
      <c r="N207" s="176" t="s">
        <v>1864</v>
      </c>
      <c r="O207" s="1420"/>
    </row>
    <row r="208" spans="2:16" s="1792" customFormat="1" x14ac:dyDescent="0.2">
      <c r="B208" s="1419"/>
      <c r="C208" s="1416"/>
      <c r="D208" s="1416"/>
      <c r="E208" s="1416"/>
      <c r="F208" s="1416"/>
      <c r="G208" s="1416"/>
      <c r="H208" s="1416"/>
      <c r="I208" s="1416"/>
      <c r="J208" s="1416"/>
      <c r="K208" s="1416"/>
      <c r="L208" s="1416"/>
      <c r="M208" s="1416"/>
      <c r="N208" s="1416"/>
      <c r="O208" s="1420"/>
    </row>
    <row r="209" spans="2:16" s="1792" customFormat="1" ht="15.75" x14ac:dyDescent="0.25">
      <c r="B209" s="397"/>
      <c r="C209" s="98" t="s">
        <v>33</v>
      </c>
      <c r="D209" s="98" t="s">
        <v>65</v>
      </c>
      <c r="E209" s="98"/>
      <c r="F209" s="218">
        <v>2010</v>
      </c>
      <c r="G209" s="217">
        <v>2015</v>
      </c>
      <c r="H209" s="217">
        <v>2020</v>
      </c>
      <c r="I209" s="217">
        <v>2025</v>
      </c>
      <c r="J209" s="217">
        <v>2030</v>
      </c>
      <c r="K209" s="217">
        <v>2035</v>
      </c>
      <c r="L209" s="217">
        <v>2040</v>
      </c>
      <c r="M209" s="217">
        <v>2045</v>
      </c>
      <c r="N209" s="217">
        <v>2050</v>
      </c>
      <c r="O209" s="1420"/>
    </row>
    <row r="210" spans="2:16" s="1792" customFormat="1" ht="15.75" x14ac:dyDescent="0.25">
      <c r="B210" s="397"/>
      <c r="C210" s="1414" t="s">
        <v>504</v>
      </c>
      <c r="D210" s="1415" t="s">
        <v>2181</v>
      </c>
      <c r="E210" s="720"/>
      <c r="F210" s="506">
        <v>1</v>
      </c>
      <c r="G210" s="506">
        <f t="shared" ref="G210:M213" si="16">G202*G176/100</f>
        <v>1.0624410648670202</v>
      </c>
      <c r="H210" s="506">
        <f t="shared" si="16"/>
        <v>1.1287810163157674</v>
      </c>
      <c r="I210" s="506">
        <f t="shared" si="16"/>
        <v>1.1992633049762014</v>
      </c>
      <c r="J210" s="506">
        <f t="shared" si="16"/>
        <v>1.2312293420833331</v>
      </c>
      <c r="K210" s="506">
        <f t="shared" si="16"/>
        <v>1.2640474252124638</v>
      </c>
      <c r="L210" s="506">
        <f t="shared" si="16"/>
        <v>1.2977402654184917</v>
      </c>
      <c r="M210" s="506">
        <f t="shared" si="16"/>
        <v>1.3323311791133035</v>
      </c>
      <c r="N210" s="506">
        <f t="shared" ref="N210:N213" si="17">$F210*(1+$E210)^(N$175-$F$175)</f>
        <v>1</v>
      </c>
      <c r="O210" s="1420"/>
    </row>
    <row r="211" spans="2:16" s="1792" customFormat="1" ht="15.75" x14ac:dyDescent="0.25">
      <c r="B211" s="397"/>
      <c r="C211" s="1414" t="s">
        <v>505</v>
      </c>
      <c r="D211" s="1415" t="s">
        <v>112</v>
      </c>
      <c r="E211" s="720"/>
      <c r="F211" s="724">
        <v>1</v>
      </c>
      <c r="G211" s="724">
        <f t="shared" si="16"/>
        <v>1.0367794496153626</v>
      </c>
      <c r="H211" s="724">
        <f t="shared" si="16"/>
        <v>1.0749116271447341</v>
      </c>
      <c r="I211" s="724">
        <f t="shared" si="16"/>
        <v>1.1144462851762713</v>
      </c>
      <c r="J211" s="724">
        <f t="shared" si="16"/>
        <v>1.1026209798546542</v>
      </c>
      <c r="K211" s="724">
        <f t="shared" si="16"/>
        <v>1.0909211519542545</v>
      </c>
      <c r="L211" s="724">
        <f t="shared" si="16"/>
        <v>1.0793454700436378</v>
      </c>
      <c r="M211" s="724">
        <f t="shared" si="16"/>
        <v>1.0678926168190863</v>
      </c>
      <c r="N211" s="724">
        <f t="shared" si="17"/>
        <v>1</v>
      </c>
      <c r="O211" s="1420"/>
    </row>
    <row r="212" spans="2:16" s="1792" customFormat="1" ht="15.75" x14ac:dyDescent="0.25">
      <c r="B212" s="397"/>
      <c r="C212" s="1414" t="s">
        <v>506</v>
      </c>
      <c r="D212" s="1415" t="s">
        <v>2183</v>
      </c>
      <c r="E212" s="720"/>
      <c r="F212" s="724">
        <v>1</v>
      </c>
      <c r="G212" s="724">
        <f t="shared" si="16"/>
        <v>0.982067530976523</v>
      </c>
      <c r="H212" s="724">
        <f t="shared" si="16"/>
        <v>0.96445663539832371</v>
      </c>
      <c r="I212" s="724">
        <f t="shared" si="16"/>
        <v>0.94716154665955632</v>
      </c>
      <c r="J212" s="724">
        <f t="shared" si="16"/>
        <v>0.93017660156385518</v>
      </c>
      <c r="K212" s="724">
        <f t="shared" si="16"/>
        <v>0.91349623846994799</v>
      </c>
      <c r="L212" s="724">
        <f t="shared" si="16"/>
        <v>0.89711499547052287</v>
      </c>
      <c r="M212" s="724">
        <f t="shared" si="16"/>
        <v>0.88102750860375079</v>
      </c>
      <c r="N212" s="724">
        <f t="shared" si="17"/>
        <v>1</v>
      </c>
      <c r="O212" s="1420"/>
    </row>
    <row r="213" spans="2:16" s="1792" customFormat="1" ht="15.75" x14ac:dyDescent="0.25">
      <c r="B213" s="397"/>
      <c r="C213" s="1412" t="s">
        <v>507</v>
      </c>
      <c r="D213" s="102" t="s">
        <v>102</v>
      </c>
      <c r="E213" s="721"/>
      <c r="F213" s="726">
        <v>1</v>
      </c>
      <c r="G213" s="726">
        <f t="shared" si="16"/>
        <v>0.96755447316855314</v>
      </c>
      <c r="H213" s="726">
        <f t="shared" si="16"/>
        <v>0.93616165854847633</v>
      </c>
      <c r="I213" s="726">
        <f t="shared" si="16"/>
        <v>0.90578740033746996</v>
      </c>
      <c r="J213" s="726">
        <f t="shared" si="16"/>
        <v>0.86988431920120002</v>
      </c>
      <c r="K213" s="726">
        <f t="shared" si="16"/>
        <v>0.83540434378995698</v>
      </c>
      <c r="L213" s="726">
        <f t="shared" si="16"/>
        <v>0.80229106585574361</v>
      </c>
      <c r="M213" s="726">
        <f t="shared" si="16"/>
        <v>0.77049031302832349</v>
      </c>
      <c r="N213" s="726">
        <f t="shared" si="17"/>
        <v>1</v>
      </c>
      <c r="O213" s="1420"/>
    </row>
    <row r="214" spans="2:16" s="1547" customFormat="1" ht="15" customHeight="1" x14ac:dyDescent="0.2">
      <c r="B214" s="1419"/>
      <c r="C214" s="1416"/>
      <c r="D214" s="1416"/>
      <c r="E214" s="1416"/>
      <c r="F214" s="723"/>
      <c r="G214" s="723"/>
      <c r="H214" s="723"/>
      <c r="I214" s="723"/>
      <c r="J214" s="723"/>
      <c r="K214" s="723"/>
      <c r="L214" s="723"/>
      <c r="M214" s="723"/>
      <c r="N214" s="723"/>
      <c r="O214" s="723"/>
      <c r="P214" s="1420"/>
    </row>
    <row r="215" spans="2:16" s="1547" customFormat="1" ht="15" customHeight="1" x14ac:dyDescent="0.2">
      <c r="B215" s="1421">
        <v>5</v>
      </c>
      <c r="C215" s="1417" t="s">
        <v>1694</v>
      </c>
      <c r="D215" s="1416"/>
      <c r="E215" s="490"/>
      <c r="F215" s="1416"/>
      <c r="G215" s="1416"/>
      <c r="H215" s="1416"/>
      <c r="I215" s="176" t="str">
        <f>Preferences.moneyunits&amp;" per % of 2010 production"</f>
        <v>N per % of 2010 production</v>
      </c>
      <c r="J215" s="1416"/>
      <c r="K215" s="1416"/>
      <c r="L215" s="1416"/>
      <c r="M215" s="1416"/>
      <c r="N215" s="1416"/>
      <c r="O215" s="1416"/>
      <c r="P215" s="1420"/>
    </row>
    <row r="216" spans="2:16" s="1547" customFormat="1" ht="15" customHeight="1" x14ac:dyDescent="0.2">
      <c r="B216" s="1419"/>
      <c r="C216" s="1416"/>
      <c r="D216" s="1416"/>
      <c r="E216" s="1416"/>
      <c r="F216" s="2752" t="s">
        <v>893</v>
      </c>
      <c r="G216" s="2752"/>
      <c r="H216" s="2752" t="s">
        <v>894</v>
      </c>
      <c r="I216" s="2752"/>
      <c r="J216" s="1416"/>
      <c r="K216" s="1416"/>
      <c r="L216" s="1416"/>
      <c r="M216" s="1416"/>
      <c r="N216" s="1416"/>
      <c r="O216" s="1416"/>
      <c r="P216" s="1420"/>
    </row>
    <row r="217" spans="2:16" s="1547" customFormat="1" ht="15" customHeight="1" x14ac:dyDescent="0.2">
      <c r="B217" s="1419"/>
      <c r="C217" s="1416"/>
      <c r="D217" s="1416"/>
      <c r="E217" s="1416"/>
      <c r="F217" s="1416"/>
      <c r="G217" s="1416"/>
      <c r="H217" s="1416"/>
      <c r="I217" s="1416"/>
      <c r="J217" s="1416"/>
      <c r="K217" s="1416"/>
      <c r="L217" s="1416"/>
      <c r="M217" s="1416"/>
      <c r="N217" s="1416"/>
      <c r="O217" s="1416"/>
      <c r="P217" s="1420"/>
    </row>
    <row r="218" spans="2:16" s="1547" customFormat="1" ht="15" customHeight="1" x14ac:dyDescent="0.25">
      <c r="B218" s="397"/>
      <c r="C218" s="98" t="s">
        <v>33</v>
      </c>
      <c r="D218" s="98" t="s">
        <v>65</v>
      </c>
      <c r="E218" s="98"/>
      <c r="F218" s="715" t="s">
        <v>1667</v>
      </c>
      <c r="G218" s="528" t="s">
        <v>1668</v>
      </c>
      <c r="H218" s="715" t="s">
        <v>1667</v>
      </c>
      <c r="I218" s="528" t="s">
        <v>1668</v>
      </c>
      <c r="J218" s="1416"/>
      <c r="K218" s="1416"/>
      <c r="L218" s="1416"/>
      <c r="M218" s="1416"/>
      <c r="N218" s="1416"/>
      <c r="O218" s="1416"/>
      <c r="P218" s="1420"/>
    </row>
    <row r="219" spans="2:16" s="1547" customFormat="1" ht="15.75" x14ac:dyDescent="0.25">
      <c r="B219" s="397"/>
      <c r="C219" s="1414" t="s">
        <v>504</v>
      </c>
      <c r="D219" s="1415" t="s">
        <v>2181</v>
      </c>
      <c r="E219" s="720"/>
      <c r="F219" s="1550">
        <f>F150*((INDEX($H150:$K150,MATCH($E$9,$H$149:$K$149,0))))/100</f>
        <v>356100</v>
      </c>
      <c r="G219" s="206">
        <f t="shared" ref="G219" si="18">G150*((INDEX($H150:$K150,MATCH($E$9,$H$149:$K$149,0))))/100</f>
        <v>10390500</v>
      </c>
      <c r="H219" s="1550">
        <f>F150*((INDEX($L150:$O150,MATCH($E$9,$L$149:$O$149,0))))/100</f>
        <v>59350000</v>
      </c>
      <c r="I219" s="206">
        <f>G150*((INDEX($L150:$O150,MATCH($E$9,$L$149:$O$149,0))))/100</f>
        <v>1731750000</v>
      </c>
      <c r="J219" s="1416"/>
      <c r="K219" s="1416"/>
      <c r="L219" s="1416"/>
      <c r="M219" s="1416"/>
      <c r="N219" s="1416"/>
      <c r="O219" s="1416"/>
      <c r="P219" s="1420"/>
    </row>
    <row r="220" spans="2:16" s="1547" customFormat="1" ht="15.75" x14ac:dyDescent="0.25">
      <c r="B220" s="397"/>
      <c r="C220" s="1414" t="s">
        <v>505</v>
      </c>
      <c r="D220" s="1415" t="s">
        <v>112</v>
      </c>
      <c r="E220" s="720"/>
      <c r="F220" s="1550">
        <f t="shared" ref="F220:F222" si="19">F151*((INDEX($H151:$K151,MATCH($E$9,$H$149:$K$149,0))))/100</f>
        <v>70500</v>
      </c>
      <c r="G220" s="207">
        <f t="shared" ref="G220" si="20">G151*((INDEX($H151:$K151,MATCH($E$9,$H$149:$K$149,0))))/100</f>
        <v>3360000</v>
      </c>
      <c r="H220" s="1550">
        <f t="shared" ref="H220:H222" si="21">F151*((INDEX($L151:$O151,MATCH($E$9,$L$149:$O$149,0))))/100</f>
        <v>11750000</v>
      </c>
      <c r="I220" s="207">
        <f t="shared" ref="I220:I222" si="22">G151*((INDEX($L151:$O151,MATCH($E$9,$L$149:$O$149,0))))/100</f>
        <v>560000000</v>
      </c>
      <c r="J220" s="1416"/>
      <c r="K220" s="1416"/>
      <c r="L220" s="1416"/>
      <c r="M220" s="1416"/>
      <c r="N220" s="1416"/>
      <c r="O220" s="1416"/>
      <c r="P220" s="1420"/>
    </row>
    <row r="221" spans="2:16" s="1547" customFormat="1" ht="15.75" x14ac:dyDescent="0.25">
      <c r="B221" s="397"/>
      <c r="C221" s="1414" t="s">
        <v>506</v>
      </c>
      <c r="D221" s="1415" t="s">
        <v>2183</v>
      </c>
      <c r="E221" s="720"/>
      <c r="F221" s="1550">
        <f t="shared" si="19"/>
        <v>56100</v>
      </c>
      <c r="G221" s="207">
        <f t="shared" ref="G221" si="23">G152*((INDEX($H152:$K152,MATCH($E$9,$H$149:$K$149,0))))/100</f>
        <v>2503200</v>
      </c>
      <c r="H221" s="1550">
        <f t="shared" si="21"/>
        <v>9350000</v>
      </c>
      <c r="I221" s="207">
        <f t="shared" si="22"/>
        <v>417200000</v>
      </c>
      <c r="J221" s="1416"/>
      <c r="K221" s="1416"/>
      <c r="L221" s="1416"/>
      <c r="M221" s="1416"/>
      <c r="N221" s="1416"/>
      <c r="O221" s="1416"/>
      <c r="P221" s="1420"/>
    </row>
    <row r="222" spans="2:16" s="1547" customFormat="1" ht="15.75" x14ac:dyDescent="0.25">
      <c r="B222" s="397"/>
      <c r="C222" s="1412" t="s">
        <v>507</v>
      </c>
      <c r="D222" s="102" t="s">
        <v>102</v>
      </c>
      <c r="E222" s="721"/>
      <c r="F222" s="1551">
        <f t="shared" si="19"/>
        <v>283200</v>
      </c>
      <c r="G222" s="1273">
        <f t="shared" ref="G222" si="24">G153*((INDEX($H153:$K153,MATCH($E$9,$H$149:$K$149,0))))/100</f>
        <v>64496280.000000007</v>
      </c>
      <c r="H222" s="1551">
        <f t="shared" si="21"/>
        <v>47200000</v>
      </c>
      <c r="I222" s="1273">
        <f t="shared" si="22"/>
        <v>10749380000.000002</v>
      </c>
      <c r="J222" s="1416"/>
      <c r="K222" s="1416"/>
      <c r="L222" s="1416"/>
      <c r="M222" s="1416"/>
      <c r="N222" s="1416"/>
      <c r="O222" s="1416"/>
      <c r="P222" s="1259"/>
    </row>
    <row r="223" spans="2:16" x14ac:dyDescent="0.2">
      <c r="B223" s="1419"/>
      <c r="C223" s="1416"/>
      <c r="D223" s="1416"/>
      <c r="E223" s="1416"/>
      <c r="F223" s="1416"/>
      <c r="G223" s="1416"/>
      <c r="H223" s="1416"/>
      <c r="I223" s="1416"/>
      <c r="J223" s="1416"/>
      <c r="K223" s="1416"/>
      <c r="L223" s="1416"/>
      <c r="M223" s="1416"/>
      <c r="N223" s="1416"/>
      <c r="O223" s="1416"/>
      <c r="P223" s="1420"/>
    </row>
    <row r="224" spans="2:16" x14ac:dyDescent="0.2">
      <c r="B224" s="402"/>
      <c r="C224" s="403"/>
      <c r="D224" s="403"/>
      <c r="E224" s="403"/>
      <c r="F224" s="403"/>
      <c r="G224" s="403"/>
      <c r="H224" s="403"/>
      <c r="I224" s="403"/>
      <c r="J224" s="403"/>
      <c r="K224" s="403"/>
      <c r="L224" s="403"/>
      <c r="M224" s="403"/>
      <c r="N224" s="403"/>
      <c r="O224" s="403"/>
      <c r="P224" s="404"/>
    </row>
    <row r="225" spans="1:15" ht="18" collapsed="1" x14ac:dyDescent="0.25">
      <c r="A225" s="99"/>
    </row>
    <row r="226" spans="1:15" s="20" customFormat="1" ht="15.75" x14ac:dyDescent="0.25">
      <c r="B226" s="134" t="s">
        <v>279</v>
      </c>
      <c r="C226" s="38"/>
      <c r="D226" s="38"/>
      <c r="E226" s="38"/>
      <c r="F226" s="38"/>
      <c r="G226" s="38"/>
      <c r="H226" s="38"/>
      <c r="I226" s="38"/>
      <c r="J226" s="38"/>
      <c r="K226" s="38"/>
      <c r="L226" s="38"/>
      <c r="M226" s="38"/>
      <c r="N226" s="38"/>
      <c r="O226" s="38"/>
    </row>
    <row r="227" spans="1:15" s="20" customFormat="1" x14ac:dyDescent="0.2">
      <c r="B227" s="82">
        <v>1</v>
      </c>
      <c r="C227" s="38" t="s">
        <v>766</v>
      </c>
    </row>
    <row r="228" spans="1:15" s="20" customFormat="1" x14ac:dyDescent="0.2">
      <c r="B228" s="82">
        <v>2</v>
      </c>
      <c r="C228" s="38" t="s">
        <v>502</v>
      </c>
    </row>
    <row r="229" spans="1:15" s="20" customFormat="1" x14ac:dyDescent="0.2">
      <c r="B229" s="82">
        <v>3</v>
      </c>
      <c r="C229" s="38" t="s">
        <v>508</v>
      </c>
    </row>
    <row r="230" spans="1:15" s="20" customFormat="1" x14ac:dyDescent="0.2">
      <c r="B230" s="82">
        <v>4</v>
      </c>
      <c r="C230" s="38" t="s">
        <v>777</v>
      </c>
    </row>
    <row r="231" spans="1:15" s="20" customFormat="1" x14ac:dyDescent="0.2">
      <c r="B231" s="82"/>
      <c r="C231" s="38"/>
    </row>
    <row r="232" spans="1:15" s="20" customFormat="1" x14ac:dyDescent="0.2">
      <c r="B232" s="82" t="s">
        <v>767</v>
      </c>
      <c r="C232" s="38"/>
      <c r="E232" s="172"/>
    </row>
    <row r="233" spans="1:15" s="20" customFormat="1" x14ac:dyDescent="0.2">
      <c r="B233" s="82"/>
      <c r="C233" s="38"/>
      <c r="E233" s="172"/>
      <c r="F233" s="171">
        <v>2010</v>
      </c>
      <c r="G233" s="171">
        <v>2015</v>
      </c>
      <c r="H233" s="171">
        <v>2020</v>
      </c>
      <c r="I233" s="171">
        <v>2025</v>
      </c>
      <c r="J233" s="171">
        <v>2030</v>
      </c>
      <c r="K233" s="171">
        <v>2035</v>
      </c>
      <c r="L233" s="171">
        <v>2040</v>
      </c>
      <c r="M233" s="171">
        <v>2045</v>
      </c>
      <c r="N233" s="171">
        <v>2050</v>
      </c>
    </row>
    <row r="234" spans="1:15" s="20" customFormat="1" x14ac:dyDescent="0.2">
      <c r="B234" s="82"/>
      <c r="C234" s="39" t="s">
        <v>768</v>
      </c>
      <c r="E234" s="172"/>
      <c r="F234" s="171"/>
      <c r="G234" s="171"/>
      <c r="H234" s="171"/>
      <c r="I234" s="171"/>
      <c r="J234" s="171"/>
      <c r="K234" s="171"/>
      <c r="L234" s="171"/>
      <c r="M234" s="171"/>
      <c r="N234" s="171"/>
    </row>
    <row r="235" spans="1:15" s="20" customFormat="1" x14ac:dyDescent="0.2">
      <c r="B235" s="16" t="s">
        <v>504</v>
      </c>
      <c r="C235" s="38" t="s">
        <v>2181</v>
      </c>
      <c r="E235" s="526"/>
      <c r="F235" s="23">
        <f t="shared" ref="F235:N235" si="25">F176*F184</f>
        <v>48.077174391028578</v>
      </c>
      <c r="G235" s="23">
        <f t="shared" si="25"/>
        <v>57.880652934995162</v>
      </c>
      <c r="H235" s="23">
        <f t="shared" si="25"/>
        <v>69.683171413803422</v>
      </c>
      <c r="I235" s="23">
        <f t="shared" si="25"/>
        <v>83.892356634934956</v>
      </c>
      <c r="J235" s="23">
        <f t="shared" si="25"/>
        <v>97.596994517122724</v>
      </c>
      <c r="K235" s="23">
        <f t="shared" si="25"/>
        <v>113.54041918532485</v>
      </c>
      <c r="L235" s="23">
        <f t="shared" si="25"/>
        <v>132.08835838195378</v>
      </c>
      <c r="M235" s="23">
        <f t="shared" si="25"/>
        <v>153.66628505714141</v>
      </c>
      <c r="N235" s="23">
        <f t="shared" si="25"/>
        <v>178.76917733341102</v>
      </c>
    </row>
    <row r="236" spans="1:15" s="20" customFormat="1" x14ac:dyDescent="0.2">
      <c r="B236" s="16" t="s">
        <v>505</v>
      </c>
      <c r="C236" s="38" t="s">
        <v>112</v>
      </c>
      <c r="E236" s="526"/>
      <c r="F236" s="23">
        <f t="shared" ref="F236:N236" si="26">F177*F185</f>
        <v>4.1970337600414993</v>
      </c>
      <c r="G236" s="23">
        <f t="shared" si="26"/>
        <v>4.7037906717344606</v>
      </c>
      <c r="H236" s="23">
        <f t="shared" si="26"/>
        <v>5.2717342648388295</v>
      </c>
      <c r="I236" s="23">
        <f t="shared" si="26"/>
        <v>5.9082523221272876</v>
      </c>
      <c r="J236" s="23">
        <f t="shared" si="26"/>
        <v>6.3189553799599683</v>
      </c>
      <c r="K236" s="23">
        <f t="shared" si="26"/>
        <v>6.7582078281227478</v>
      </c>
      <c r="L236" s="23">
        <f t="shared" si="26"/>
        <v>7.2279942335008123</v>
      </c>
      <c r="M236" s="23">
        <f t="shared" si="26"/>
        <v>7.7304371170889192</v>
      </c>
      <c r="N236" s="23">
        <f t="shared" si="26"/>
        <v>8.2678065436587946</v>
      </c>
    </row>
    <row r="237" spans="1:15" s="20" customFormat="1" x14ac:dyDescent="0.2">
      <c r="B237" s="16" t="s">
        <v>506</v>
      </c>
      <c r="C237" s="38" t="s">
        <v>2183</v>
      </c>
      <c r="E237" s="526"/>
      <c r="F237" s="23">
        <f t="shared" ref="F237:N237" si="27">F178*F186</f>
        <v>0.23847458409463454</v>
      </c>
      <c r="G237" s="23">
        <f t="shared" si="27"/>
        <v>0.25127697743502903</v>
      </c>
      <c r="H237" s="23">
        <f t="shared" si="27"/>
        <v>0.26476666110392721</v>
      </c>
      <c r="I237" s="23">
        <f t="shared" si="27"/>
        <v>0.27898053195202682</v>
      </c>
      <c r="J237" s="23">
        <f t="shared" si="27"/>
        <v>0.29395746761970803</v>
      </c>
      <c r="K237" s="23">
        <f t="shared" si="27"/>
        <v>0.30973843287477421</v>
      </c>
      <c r="L237" s="23">
        <f t="shared" si="27"/>
        <v>0.32636659165888449</v>
      </c>
      <c r="M237" s="23">
        <f t="shared" si="27"/>
        <v>0.34388742514914394</v>
      </c>
      <c r="N237" s="23">
        <f t="shared" si="27"/>
        <v>0.3623488561577739</v>
      </c>
    </row>
    <row r="238" spans="1:15" s="18" customFormat="1" x14ac:dyDescent="0.2">
      <c r="B238" s="16" t="s">
        <v>507</v>
      </c>
      <c r="C238" s="38" t="s">
        <v>102</v>
      </c>
      <c r="D238" s="20"/>
      <c r="E238" s="526"/>
      <c r="F238" s="23">
        <f t="shared" ref="F238:N238" si="28">F179*F187</f>
        <v>0.98531726483532045</v>
      </c>
      <c r="G238" s="23">
        <f t="shared" si="28"/>
        <v>1.0161476709369475</v>
      </c>
      <c r="H238" s="23">
        <f t="shared" si="28"/>
        <v>1.0479427550913334</v>
      </c>
      <c r="I238" s="23">
        <f t="shared" si="28"/>
        <v>1.0807327019072186</v>
      </c>
      <c r="J238" s="23">
        <f t="shared" si="28"/>
        <v>1.1062641234002011</v>
      </c>
      <c r="K238" s="23">
        <f t="shared" si="28"/>
        <v>1.1323987037337573</v>
      </c>
      <c r="L238" s="23">
        <f t="shared" si="28"/>
        <v>1.159150692039572</v>
      </c>
      <c r="M238" s="23">
        <f t="shared" si="28"/>
        <v>1.1865346740733513</v>
      </c>
      <c r="N238" s="23">
        <f t="shared" si="28"/>
        <v>1.2145655801672859</v>
      </c>
      <c r="O238" s="20"/>
    </row>
    <row r="239" spans="1:15" s="20" customFormat="1" x14ac:dyDescent="0.2">
      <c r="B239" s="84"/>
      <c r="C239" s="147" t="s">
        <v>105</v>
      </c>
      <c r="D239" s="18"/>
      <c r="E239" s="585" t="str">
        <f>Preferences.EnergyUnits</f>
        <v>TWh</v>
      </c>
      <c r="F239" s="753">
        <f>SUM(F235:F238)</f>
        <v>53.498000000000033</v>
      </c>
      <c r="G239" s="753">
        <f t="shared" ref="G239:N239" si="29">SUM(G235:G238)</f>
        <v>63.851868255101593</v>
      </c>
      <c r="H239" s="753">
        <f t="shared" si="29"/>
        <v>76.26761509483751</v>
      </c>
      <c r="I239" s="753">
        <f t="shared" si="29"/>
        <v>91.160322190921491</v>
      </c>
      <c r="J239" s="753">
        <f t="shared" si="29"/>
        <v>105.3161714881026</v>
      </c>
      <c r="K239" s="753">
        <f t="shared" si="29"/>
        <v>121.74076415005614</v>
      </c>
      <c r="L239" s="753">
        <f t="shared" si="29"/>
        <v>140.80186989915305</v>
      </c>
      <c r="M239" s="753">
        <f t="shared" si="29"/>
        <v>162.92714427345283</v>
      </c>
      <c r="N239" s="753">
        <f t="shared" si="29"/>
        <v>188.61389831339488</v>
      </c>
      <c r="O239" s="18"/>
    </row>
    <row r="240" spans="1:15" s="20" customFormat="1" x14ac:dyDescent="0.2">
      <c r="A240" s="1427" t="s">
        <v>105</v>
      </c>
      <c r="B240" s="82"/>
      <c r="C240" s="38"/>
      <c r="D240" s="82"/>
      <c r="E240" s="172"/>
      <c r="F240" s="114"/>
      <c r="G240" s="114"/>
      <c r="H240" s="114"/>
      <c r="I240" s="114"/>
      <c r="J240" s="114"/>
      <c r="K240" s="114"/>
      <c r="L240" s="114"/>
      <c r="M240" s="114"/>
      <c r="N240" s="114"/>
    </row>
    <row r="241" spans="1:16" s="20" customFormat="1" x14ac:dyDescent="0.2">
      <c r="B241" s="82"/>
      <c r="C241" s="39" t="s">
        <v>769</v>
      </c>
      <c r="D241" s="82"/>
      <c r="E241" s="172"/>
      <c r="F241" s="114"/>
      <c r="G241" s="114"/>
      <c r="H241" s="114"/>
      <c r="I241" s="114"/>
      <c r="J241" s="114"/>
      <c r="K241" s="114"/>
      <c r="L241" s="114"/>
      <c r="M241" s="114"/>
      <c r="N241" s="114"/>
    </row>
    <row r="242" spans="1:16" s="20" customFormat="1" x14ac:dyDescent="0.2">
      <c r="B242" s="16" t="s">
        <v>34</v>
      </c>
      <c r="C242" s="20" t="str">
        <f>INDEX(Vectors[Description], MATCH($B242, Vectors[Code], 0))</f>
        <v>Electricity (delivered to end user)</v>
      </c>
      <c r="E242" s="583" t="str">
        <f>Preferences.EnergyUnits</f>
        <v>TWh</v>
      </c>
      <c r="F242" s="136">
        <f t="shared" ref="F242:N246" si="30">F$239*INDEX(F$193:F$197, MATCH($B242, $C$193:$C$197, 0))</f>
        <v>24.449164692999169</v>
      </c>
      <c r="G242" s="136">
        <f t="shared" si="30"/>
        <v>24.982561473647642</v>
      </c>
      <c r="H242" s="136">
        <f t="shared" si="30"/>
        <v>24.8255212104248</v>
      </c>
      <c r="I242" s="136">
        <f t="shared" si="30"/>
        <v>23.67914021157986</v>
      </c>
      <c r="J242" s="136">
        <f t="shared" si="30"/>
        <v>20.431337268691905</v>
      </c>
      <c r="K242" s="136">
        <f t="shared" si="30"/>
        <v>24.530763976236312</v>
      </c>
      <c r="L242" s="136">
        <f t="shared" si="30"/>
        <v>29.427590808922986</v>
      </c>
      <c r="M242" s="136">
        <f t="shared" si="30"/>
        <v>34.622018158108723</v>
      </c>
      <c r="N242" s="136">
        <f t="shared" si="30"/>
        <v>40.740602035693293</v>
      </c>
      <c r="P242" s="136"/>
    </row>
    <row r="243" spans="1:16" s="20" customFormat="1" x14ac:dyDescent="0.2">
      <c r="B243" s="16" t="s">
        <v>36</v>
      </c>
      <c r="C243" s="20" t="str">
        <f>INDEX(Vectors[Description], MATCH($B243, Vectors[Code], 0))</f>
        <v>Solid hydrocarbons</v>
      </c>
      <c r="E243" s="583" t="str">
        <f>Preferences.EnergyUnits</f>
        <v>TWh</v>
      </c>
      <c r="F243" s="136">
        <f t="shared" si="30"/>
        <v>1.507731915164449</v>
      </c>
      <c r="G243" s="136">
        <f t="shared" si="30"/>
        <v>1.7966139938633079</v>
      </c>
      <c r="H243" s="136">
        <f t="shared" si="30"/>
        <v>2.1424701278326816</v>
      </c>
      <c r="I243" s="136">
        <f t="shared" si="30"/>
        <v>2.5566586608648891</v>
      </c>
      <c r="J243" s="136">
        <f t="shared" si="30"/>
        <v>2.9488528016668729</v>
      </c>
      <c r="K243" s="136">
        <f t="shared" si="30"/>
        <v>3.4696117782766001</v>
      </c>
      <c r="L243" s="136">
        <f t="shared" si="30"/>
        <v>4.0832542270754386</v>
      </c>
      <c r="M243" s="136">
        <f t="shared" si="30"/>
        <v>4.8063507560668581</v>
      </c>
      <c r="N243" s="136">
        <f t="shared" si="30"/>
        <v>5.6584169494018459</v>
      </c>
      <c r="P243" s="136"/>
    </row>
    <row r="244" spans="1:16" s="20" customFormat="1" x14ac:dyDescent="0.2">
      <c r="B244" s="16" t="s">
        <v>38</v>
      </c>
      <c r="C244" s="20" t="str">
        <f>INDEX(Vectors[Description], MATCH($B244, Vectors[Code], 0))</f>
        <v>Liquid hydrocarbons</v>
      </c>
      <c r="E244" s="583" t="str">
        <f>Preferences.EnergyUnits</f>
        <v>TWh</v>
      </c>
      <c r="F244" s="136">
        <f t="shared" si="30"/>
        <v>2.4375855710328915</v>
      </c>
      <c r="G244" s="136">
        <f t="shared" si="30"/>
        <v>5.5980872615772128</v>
      </c>
      <c r="H244" s="136">
        <f t="shared" si="30"/>
        <v>9.8981655461306968</v>
      </c>
      <c r="I244" s="136">
        <f t="shared" si="30"/>
        <v>15.669640091504293</v>
      </c>
      <c r="J244" s="136">
        <f t="shared" si="30"/>
        <v>22.537660698453955</v>
      </c>
      <c r="K244" s="136">
        <f t="shared" si="30"/>
        <v>25.322078943211679</v>
      </c>
      <c r="L244" s="136">
        <f t="shared" si="30"/>
        <v>28.441977719628916</v>
      </c>
      <c r="M244" s="136">
        <f t="shared" si="30"/>
        <v>33.318601003921103</v>
      </c>
      <c r="N244" s="136">
        <f t="shared" si="30"/>
        <v>39.043076950872738</v>
      </c>
      <c r="P244" s="136"/>
    </row>
    <row r="245" spans="1:16" s="20" customFormat="1" x14ac:dyDescent="0.2">
      <c r="B245" s="16" t="s">
        <v>39</v>
      </c>
      <c r="C245" s="20" t="str">
        <f>INDEX(Vectors[Description], MATCH($B245, Vectors[Code], 0))</f>
        <v>Gaseous hydrocarbons</v>
      </c>
      <c r="E245" s="583" t="str">
        <f>Preferences.EnergyUnits</f>
        <v>TWh</v>
      </c>
      <c r="F245" s="136">
        <f t="shared" si="30"/>
        <v>19.417508445869466</v>
      </c>
      <c r="G245" s="136">
        <f t="shared" si="30"/>
        <v>24.77249686514882</v>
      </c>
      <c r="H245" s="136">
        <f t="shared" si="30"/>
        <v>31.496910128840543</v>
      </c>
      <c r="I245" s="136">
        <f t="shared" si="30"/>
        <v>39.927255996420499</v>
      </c>
      <c r="J245" s="136">
        <f t="shared" si="30"/>
        <v>48.761387398991502</v>
      </c>
      <c r="K245" s="136">
        <f t="shared" si="30"/>
        <v>58.070344499576777</v>
      </c>
      <c r="L245" s="136">
        <f t="shared" si="30"/>
        <v>69.133718120484147</v>
      </c>
      <c r="M245" s="136">
        <f t="shared" si="30"/>
        <v>80.893327131769325</v>
      </c>
      <c r="N245" s="136">
        <f t="shared" si="30"/>
        <v>94.684176953324226</v>
      </c>
    </row>
    <row r="246" spans="1:16" s="20" customFormat="1" x14ac:dyDescent="0.2">
      <c r="B246" s="16" t="s">
        <v>2184</v>
      </c>
      <c r="C246" s="20" t="str">
        <f>INDEX(Vectors[Description], MATCH($B246, Vectors[Code], 0))</f>
        <v>Traditional Fuel</v>
      </c>
      <c r="E246" s="583" t="str">
        <f>Preferences.EnergyUnits</f>
        <v>TWh</v>
      </c>
      <c r="F246" s="136">
        <f t="shared" si="30"/>
        <v>5.6860093749340557</v>
      </c>
      <c r="G246" s="136">
        <f t="shared" si="30"/>
        <v>6.7021086608646065</v>
      </c>
      <c r="H246" s="136">
        <f t="shared" si="30"/>
        <v>7.9045480816087821</v>
      </c>
      <c r="I246" s="136">
        <f t="shared" si="30"/>
        <v>9.3276272305519541</v>
      </c>
      <c r="J246" s="136">
        <f t="shared" si="30"/>
        <v>10.636933320298363</v>
      </c>
      <c r="K246" s="136">
        <f t="shared" si="30"/>
        <v>10.347964952754772</v>
      </c>
      <c r="L246" s="136">
        <f t="shared" si="30"/>
        <v>9.7153290230415603</v>
      </c>
      <c r="M246" s="136">
        <f t="shared" si="30"/>
        <v>9.2868472235868111</v>
      </c>
      <c r="N246" s="136">
        <f t="shared" si="30"/>
        <v>8.4876254241027702</v>
      </c>
    </row>
    <row r="247" spans="1:16" s="20" customFormat="1" x14ac:dyDescent="0.2">
      <c r="A247" s="1427" t="s">
        <v>102</v>
      </c>
      <c r="B247" s="16"/>
      <c r="E247" s="583"/>
      <c r="F247" s="136"/>
      <c r="G247" s="136"/>
      <c r="H247" s="136"/>
      <c r="I247" s="136"/>
      <c r="J247" s="136"/>
      <c r="K247" s="136"/>
      <c r="L247" s="136"/>
      <c r="M247" s="136"/>
      <c r="N247" s="136"/>
    </row>
    <row r="248" spans="1:16" s="20" customFormat="1" x14ac:dyDescent="0.2">
      <c r="B248" s="82"/>
      <c r="C248" s="39" t="s">
        <v>782</v>
      </c>
      <c r="D248" s="82"/>
      <c r="E248" s="172"/>
      <c r="F248" s="114"/>
      <c r="G248" s="114"/>
      <c r="H248" s="114"/>
      <c r="I248" s="114"/>
      <c r="J248" s="114"/>
      <c r="K248" s="114"/>
      <c r="L248" s="114"/>
      <c r="M248" s="114"/>
      <c r="N248" s="114"/>
    </row>
    <row r="249" spans="1:16" s="20" customFormat="1" x14ac:dyDescent="0.2">
      <c r="B249" s="16" t="s">
        <v>34</v>
      </c>
      <c r="C249" s="20" t="str">
        <f>INDEX(Vectors[Description], MATCH($B249, Vectors[Code], 0))</f>
        <v>Electricity (delivered to end user)</v>
      </c>
      <c r="E249" s="583" t="str">
        <f>Preferences.EnergyUnits</f>
        <v>TWh</v>
      </c>
      <c r="F249" s="136">
        <f t="shared" ref="F249:N253" si="31">F$238*INDEX(F$193:F$197, MATCH($B249, $C$193:$C$197, 0))</f>
        <v>0.45030064830113675</v>
      </c>
      <c r="G249" s="136">
        <f t="shared" si="31"/>
        <v>0.39757602007922288</v>
      </c>
      <c r="H249" s="136">
        <f t="shared" si="31"/>
        <v>0.34111103463089515</v>
      </c>
      <c r="I249" s="136">
        <f t="shared" si="31"/>
        <v>0.28072324191773335</v>
      </c>
      <c r="J249" s="136">
        <f t="shared" si="31"/>
        <v>0.21461523993963902</v>
      </c>
      <c r="K249" s="136">
        <f t="shared" si="31"/>
        <v>0.22817833880235211</v>
      </c>
      <c r="L249" s="136">
        <f t="shared" si="31"/>
        <v>0.24226249463627053</v>
      </c>
      <c r="M249" s="136">
        <f t="shared" si="31"/>
        <v>0.25213861824058714</v>
      </c>
      <c r="N249" s="136">
        <f t="shared" si="31"/>
        <v>0.26234616531613375</v>
      </c>
    </row>
    <row r="250" spans="1:16" s="20" customFormat="1" x14ac:dyDescent="0.2">
      <c r="B250" s="16" t="s">
        <v>36</v>
      </c>
      <c r="C250" s="20" t="str">
        <f>INDEX(Vectors[Description], MATCH($B250, Vectors[Code], 0))</f>
        <v>Solid hydrocarbons</v>
      </c>
      <c r="E250" s="583" t="str">
        <f>Preferences.EnergyUnits</f>
        <v>TWh</v>
      </c>
      <c r="F250" s="136">
        <f t="shared" si="31"/>
        <v>2.7769155608709736E-2</v>
      </c>
      <c r="G250" s="136">
        <f t="shared" si="31"/>
        <v>2.8591569445441636E-2</v>
      </c>
      <c r="H250" s="136">
        <f t="shared" si="31"/>
        <v>2.9438262172876525E-2</v>
      </c>
      <c r="I250" s="136">
        <f t="shared" si="31"/>
        <v>3.0309947968636862E-2</v>
      </c>
      <c r="J250" s="136">
        <f t="shared" si="31"/>
        <v>3.0975395455205629E-2</v>
      </c>
      <c r="K250" s="136">
        <f t="shared" si="31"/>
        <v>3.2273363056412083E-2</v>
      </c>
      <c r="L250" s="136">
        <f t="shared" si="31"/>
        <v>3.3615370069147589E-2</v>
      </c>
      <c r="M250" s="136">
        <f t="shared" si="31"/>
        <v>3.500277288516386E-2</v>
      </c>
      <c r="N250" s="136">
        <f t="shared" si="31"/>
        <v>3.6436967405018575E-2</v>
      </c>
    </row>
    <row r="251" spans="1:16" s="20" customFormat="1" x14ac:dyDescent="0.2">
      <c r="B251" s="16" t="s">
        <v>38</v>
      </c>
      <c r="C251" s="20" t="str">
        <f>INDEX(Vectors[Description], MATCH($B251, Vectors[Code], 0))</f>
        <v>Liquid hydrocarbons</v>
      </c>
      <c r="E251" s="583" t="str">
        <f>Preferences.EnergyUnits</f>
        <v>TWh</v>
      </c>
      <c r="F251" s="136">
        <f t="shared" si="31"/>
        <v>4.4895045565295333E-2</v>
      </c>
      <c r="G251" s="136">
        <f t="shared" si="31"/>
        <v>8.9088753203379986E-2</v>
      </c>
      <c r="H251" s="136">
        <f t="shared" si="31"/>
        <v>0.13600413307619522</v>
      </c>
      <c r="I251" s="136">
        <f t="shared" si="31"/>
        <v>0.18576823849457183</v>
      </c>
      <c r="J251" s="136">
        <f t="shared" si="31"/>
        <v>0.23674052240764304</v>
      </c>
      <c r="K251" s="136">
        <f t="shared" si="31"/>
        <v>0.23553893037662155</v>
      </c>
      <c r="L251" s="136">
        <f t="shared" si="31"/>
        <v>0.23414843979199357</v>
      </c>
      <c r="M251" s="136">
        <f t="shared" si="31"/>
        <v>0.24264634084800035</v>
      </c>
      <c r="N251" s="136">
        <f t="shared" si="31"/>
        <v>0.25141507509462818</v>
      </c>
    </row>
    <row r="252" spans="1:16" s="20" customFormat="1" x14ac:dyDescent="0.2">
      <c r="B252" s="16" t="s">
        <v>39</v>
      </c>
      <c r="C252" s="20" t="str">
        <f>INDEX(Vectors[Description], MATCH($B252, Vectors[Code], 0))</f>
        <v>Gaseous hydrocarbons</v>
      </c>
      <c r="E252" s="583" t="str">
        <f>Preferences.EnergyUnits</f>
        <v>TWh</v>
      </c>
      <c r="F252" s="136">
        <f t="shared" si="31"/>
        <v>0.3576284405361102</v>
      </c>
      <c r="G252" s="136">
        <f t="shared" si="31"/>
        <v>0.39423302216067246</v>
      </c>
      <c r="H252" s="136">
        <f t="shared" si="31"/>
        <v>0.43277816850884454</v>
      </c>
      <c r="I252" s="136">
        <f t="shared" si="31"/>
        <v>0.4733494816130655</v>
      </c>
      <c r="J252" s="136">
        <f t="shared" si="31"/>
        <v>0.51220028913429316</v>
      </c>
      <c r="K252" s="136">
        <f t="shared" si="31"/>
        <v>0.54015418168100215</v>
      </c>
      <c r="L252" s="136">
        <f t="shared" si="31"/>
        <v>0.56914298979142985</v>
      </c>
      <c r="M252" s="136">
        <f t="shared" si="31"/>
        <v>0.58911446567741899</v>
      </c>
      <c r="N252" s="136">
        <f t="shared" si="31"/>
        <v>0.60971192124397755</v>
      </c>
    </row>
    <row r="253" spans="1:16" s="20" customFormat="1" x14ac:dyDescent="0.2">
      <c r="B253" s="1426" t="s">
        <v>2184</v>
      </c>
      <c r="C253" s="20" t="str">
        <f>INDEX(Vectors[Description], MATCH($B253, Vectors[Code], 0))</f>
        <v>Traditional Fuel</v>
      </c>
      <c r="E253" s="583" t="str">
        <f>Preferences.EnergyUnits</f>
        <v>TWh</v>
      </c>
      <c r="F253" s="136">
        <f t="shared" si="31"/>
        <v>0.10472397482406838</v>
      </c>
      <c r="G253" s="136">
        <f t="shared" si="31"/>
        <v>0.10665830604823041</v>
      </c>
      <c r="H253" s="136">
        <f t="shared" si="31"/>
        <v>0.1086111567025219</v>
      </c>
      <c r="I253" s="136">
        <f t="shared" si="31"/>
        <v>0.11058179191321109</v>
      </c>
      <c r="J253" s="136">
        <f t="shared" si="31"/>
        <v>0.11173267646342032</v>
      </c>
      <c r="K253" s="136">
        <f t="shared" si="31"/>
        <v>9.6253889817369376E-2</v>
      </c>
      <c r="L253" s="136">
        <f t="shared" si="31"/>
        <v>7.9981397750730474E-2</v>
      </c>
      <c r="M253" s="136">
        <f t="shared" si="31"/>
        <v>6.7632476422181023E-2</v>
      </c>
      <c r="N253" s="136">
        <f t="shared" si="31"/>
        <v>5.4655451107527862E-2</v>
      </c>
    </row>
    <row r="254" spans="1:16" s="20" customFormat="1" x14ac:dyDescent="0.2">
      <c r="A254" s="1427" t="s">
        <v>2181</v>
      </c>
      <c r="B254" s="82"/>
      <c r="C254" s="38"/>
      <c r="D254" s="82"/>
      <c r="E254" s="172"/>
      <c r="F254" s="114"/>
      <c r="G254" s="114"/>
      <c r="H254" s="114"/>
      <c r="I254" s="114"/>
      <c r="J254" s="114"/>
      <c r="K254" s="114"/>
      <c r="L254" s="114"/>
      <c r="M254" s="114"/>
      <c r="N254" s="114"/>
    </row>
    <row r="255" spans="1:16" s="20" customFormat="1" x14ac:dyDescent="0.2">
      <c r="B255" s="1427"/>
      <c r="C255" s="39"/>
      <c r="D255" s="1427"/>
      <c r="E255" s="172"/>
      <c r="F255" s="114"/>
      <c r="G255" s="114"/>
      <c r="H255" s="114"/>
      <c r="I255" s="114"/>
      <c r="J255" s="114"/>
      <c r="K255" s="114"/>
      <c r="L255" s="114"/>
      <c r="M255" s="114"/>
      <c r="N255" s="114"/>
    </row>
    <row r="256" spans="1:16" s="20" customFormat="1" x14ac:dyDescent="0.2">
      <c r="B256" s="1426" t="s">
        <v>34</v>
      </c>
      <c r="C256" s="20" t="str">
        <f>INDEX(Vectors[Description], MATCH($B256, Vectors[Code], 0))</f>
        <v>Electricity (delivered to end user)</v>
      </c>
      <c r="E256" s="583" t="str">
        <f>Preferences.EnergyUnits</f>
        <v>TWh</v>
      </c>
      <c r="F256" s="136">
        <f t="shared" ref="F256:N260" si="32">F$235*INDEX(F$193:F$197, MATCH($B256, $C$193:$C$197, 0))</f>
        <v>21.97178875210847</v>
      </c>
      <c r="G256" s="136">
        <f t="shared" si="32"/>
        <v>22.646275036249207</v>
      </c>
      <c r="H256" s="136">
        <f t="shared" si="32"/>
        <v>22.682249179968668</v>
      </c>
      <c r="I256" s="136">
        <f t="shared" si="32"/>
        <v>21.791266503842163</v>
      </c>
      <c r="J256" s="136">
        <f t="shared" si="32"/>
        <v>18.933816936321808</v>
      </c>
      <c r="K256" s="136">
        <f t="shared" si="32"/>
        <v>22.878394465842959</v>
      </c>
      <c r="L256" s="136">
        <f t="shared" si="32"/>
        <v>27.606466901828338</v>
      </c>
      <c r="M256" s="136">
        <f t="shared" si="32"/>
        <v>32.654085574642551</v>
      </c>
      <c r="N256" s="136">
        <f t="shared" si="32"/>
        <v>38.614142304016781</v>
      </c>
    </row>
    <row r="257" spans="1:14" s="20" customFormat="1" x14ac:dyDescent="0.2">
      <c r="B257" s="1426" t="s">
        <v>36</v>
      </c>
      <c r="C257" s="20" t="str">
        <f>INDEX(Vectors[Description], MATCH($B257, Vectors[Code], 0))</f>
        <v>Solid hydrocarbons</v>
      </c>
      <c r="E257" s="583" t="str">
        <f>Preferences.EnergyUnits</f>
        <v>TWh</v>
      </c>
      <c r="F257" s="136">
        <f t="shared" si="32"/>
        <v>1.3549570118561569</v>
      </c>
      <c r="G257" s="136">
        <f t="shared" si="32"/>
        <v>1.6286006013402621</v>
      </c>
      <c r="H257" s="136">
        <f t="shared" si="32"/>
        <v>1.9575033647121829</v>
      </c>
      <c r="I257" s="136">
        <f t="shared" si="32"/>
        <v>2.3528231912330013</v>
      </c>
      <c r="J257" s="136">
        <f t="shared" si="32"/>
        <v>2.7327158464794361</v>
      </c>
      <c r="K257" s="136">
        <f t="shared" si="32"/>
        <v>3.2359019467817585</v>
      </c>
      <c r="L257" s="136">
        <f t="shared" si="32"/>
        <v>3.8305623930766597</v>
      </c>
      <c r="M257" s="136">
        <f t="shared" si="32"/>
        <v>4.5331554091856709</v>
      </c>
      <c r="N257" s="136">
        <f t="shared" si="32"/>
        <v>5.3630753200023307</v>
      </c>
    </row>
    <row r="258" spans="1:14" s="20" customFormat="1" x14ac:dyDescent="0.2">
      <c r="B258" s="1426" t="s">
        <v>38</v>
      </c>
      <c r="C258" s="20" t="str">
        <f>INDEX(Vectors[Description], MATCH($B258, Vectors[Code], 0))</f>
        <v>Liquid hydrocarbons</v>
      </c>
      <c r="E258" s="583" t="str">
        <f>Preferences.EnergyUnits</f>
        <v>TWh</v>
      </c>
      <c r="F258" s="136">
        <f t="shared" si="32"/>
        <v>2.1905907994991072</v>
      </c>
      <c r="G258" s="136">
        <f t="shared" si="32"/>
        <v>5.0745726748767401</v>
      </c>
      <c r="H258" s="136">
        <f t="shared" si="32"/>
        <v>9.0436231102225211</v>
      </c>
      <c r="I258" s="136">
        <f t="shared" si="32"/>
        <v>14.420342132451001</v>
      </c>
      <c r="J258" s="136">
        <f t="shared" si="32"/>
        <v>20.885756826664263</v>
      </c>
      <c r="K258" s="136">
        <f t="shared" si="32"/>
        <v>23.616407190547569</v>
      </c>
      <c r="L258" s="136">
        <f t="shared" si="32"/>
        <v>26.681848393154667</v>
      </c>
      <c r="M258" s="136">
        <f t="shared" si="32"/>
        <v>31.42475529418542</v>
      </c>
      <c r="N258" s="136">
        <f t="shared" si="32"/>
        <v>37.005219708016078</v>
      </c>
    </row>
    <row r="259" spans="1:14" s="20" customFormat="1" x14ac:dyDescent="0.2">
      <c r="B259" s="1426" t="s">
        <v>39</v>
      </c>
      <c r="C259" s="20" t="str">
        <f>INDEX(Vectors[Description], MATCH($B259, Vectors[Code], 0))</f>
        <v>Gaseous hydrocarbons</v>
      </c>
      <c r="E259" s="583" t="str">
        <f>Preferences.EnergyUnits</f>
        <v>TWh</v>
      </c>
      <c r="F259" s="136">
        <f t="shared" si="32"/>
        <v>17.449978313046021</v>
      </c>
      <c r="G259" s="136">
        <f t="shared" si="32"/>
        <v>22.455854974460735</v>
      </c>
      <c r="H259" s="136">
        <f t="shared" si="32"/>
        <v>28.777674308865617</v>
      </c>
      <c r="I259" s="136">
        <f t="shared" si="32"/>
        <v>36.743964029557084</v>
      </c>
      <c r="J259" s="136">
        <f t="shared" si="32"/>
        <v>45.187408461427822</v>
      </c>
      <c r="K259" s="136">
        <f t="shared" si="32"/>
        <v>54.15877995139995</v>
      </c>
      <c r="L259" s="136">
        <f t="shared" si="32"/>
        <v>64.855383965539303</v>
      </c>
      <c r="M259" s="136">
        <f t="shared" si="32"/>
        <v>76.295310530870708</v>
      </c>
      <c r="N259" s="136">
        <f t="shared" si="32"/>
        <v>89.74212702137234</v>
      </c>
    </row>
    <row r="260" spans="1:14" s="20" customFormat="1" x14ac:dyDescent="0.2">
      <c r="B260" s="1426" t="s">
        <v>2184</v>
      </c>
      <c r="C260" s="20" t="str">
        <f>INDEX(Vectors[Description], MATCH($B260, Vectors[Code], 0))</f>
        <v>Traditional Fuel</v>
      </c>
      <c r="E260" s="583" t="str">
        <f>Preferences.EnergyUnits</f>
        <v>TWh</v>
      </c>
      <c r="F260" s="136">
        <f t="shared" si="32"/>
        <v>5.1098595145188197</v>
      </c>
      <c r="G260" s="136">
        <f t="shared" si="32"/>
        <v>6.0753496480682143</v>
      </c>
      <c r="H260" s="136">
        <f t="shared" si="32"/>
        <v>7.2221214500344315</v>
      </c>
      <c r="I260" s="136">
        <f t="shared" si="32"/>
        <v>8.5839607778517131</v>
      </c>
      <c r="J260" s="136">
        <f t="shared" si="32"/>
        <v>9.8572964462293964</v>
      </c>
      <c r="K260" s="136">
        <f t="shared" si="32"/>
        <v>9.6509356307526133</v>
      </c>
      <c r="L260" s="136">
        <f t="shared" si="32"/>
        <v>9.1140967283548111</v>
      </c>
      <c r="M260" s="136">
        <f t="shared" si="32"/>
        <v>8.7589782482570602</v>
      </c>
      <c r="N260" s="136">
        <f t="shared" si="32"/>
        <v>8.044612980003496</v>
      </c>
    </row>
    <row r="261" spans="1:14" s="20" customFormat="1" x14ac:dyDescent="0.2">
      <c r="A261" s="1427" t="s">
        <v>112</v>
      </c>
      <c r="B261" s="1426"/>
      <c r="E261" s="583"/>
      <c r="F261" s="136"/>
      <c r="G261" s="136"/>
      <c r="H261" s="136"/>
      <c r="I261" s="136"/>
      <c r="J261" s="136"/>
      <c r="K261" s="136"/>
      <c r="L261" s="136"/>
      <c r="M261" s="136"/>
      <c r="N261" s="136"/>
    </row>
    <row r="262" spans="1:14" s="20" customFormat="1" x14ac:dyDescent="0.2">
      <c r="B262" s="1427"/>
      <c r="C262" s="39"/>
      <c r="D262" s="1427"/>
      <c r="E262" s="172"/>
      <c r="F262" s="114"/>
      <c r="G262" s="114"/>
      <c r="H262" s="114"/>
      <c r="I262" s="114"/>
      <c r="J262" s="114"/>
      <c r="K262" s="114"/>
      <c r="L262" s="114"/>
      <c r="M262" s="114"/>
      <c r="N262" s="114"/>
    </row>
    <row r="263" spans="1:14" s="20" customFormat="1" x14ac:dyDescent="0.2">
      <c r="B263" s="1426" t="s">
        <v>34</v>
      </c>
      <c r="C263" s="20" t="str">
        <f>INDEX(Vectors[Description], MATCH($B263, Vectors[Code], 0))</f>
        <v>Electricity (delivered to end user)</v>
      </c>
      <c r="E263" s="583" t="str">
        <f>Preferences.EnergyUnits</f>
        <v>TWh</v>
      </c>
      <c r="F263" s="136">
        <f t="shared" ref="F263:N267" si="33">F$236*INDEX(F$193:F$197, MATCH($B263, $C$193:$C$197, 0))</f>
        <v>1.9180898280558545</v>
      </c>
      <c r="G263" s="136">
        <f t="shared" si="33"/>
        <v>1.8403962613323777</v>
      </c>
      <c r="H263" s="136">
        <f t="shared" si="33"/>
        <v>1.7159780156327227</v>
      </c>
      <c r="I263" s="136">
        <f t="shared" si="33"/>
        <v>1.5346845182056299</v>
      </c>
      <c r="J263" s="136">
        <f t="shared" si="33"/>
        <v>1.2258773437122339</v>
      </c>
      <c r="K263" s="136">
        <f t="shared" si="33"/>
        <v>1.3617788773667339</v>
      </c>
      <c r="L263" s="136">
        <f t="shared" si="33"/>
        <v>1.5106507948016696</v>
      </c>
      <c r="M263" s="136">
        <f t="shared" si="33"/>
        <v>1.6427178873813952</v>
      </c>
      <c r="N263" s="136">
        <f t="shared" si="33"/>
        <v>1.7858462134302997</v>
      </c>
    </row>
    <row r="264" spans="1:14" s="20" customFormat="1" x14ac:dyDescent="0.2">
      <c r="B264" s="1426" t="s">
        <v>36</v>
      </c>
      <c r="C264" s="20" t="str">
        <f>INDEX(Vectors[Description], MATCH($B264, Vectors[Code], 0))</f>
        <v>Solid hydrocarbons</v>
      </c>
      <c r="E264" s="583" t="str">
        <f>Preferences.EnergyUnits</f>
        <v>TWh</v>
      </c>
      <c r="F264" s="136">
        <f t="shared" si="33"/>
        <v>0.11828482838680351</v>
      </c>
      <c r="G264" s="136">
        <f t="shared" si="33"/>
        <v>0.13235158776057609</v>
      </c>
      <c r="H264" s="136">
        <f t="shared" si="33"/>
        <v>0.14809081377783495</v>
      </c>
      <c r="I264" s="136">
        <f t="shared" si="33"/>
        <v>0.16570130630194441</v>
      </c>
      <c r="J264" s="136">
        <f t="shared" si="33"/>
        <v>0.17693075063887911</v>
      </c>
      <c r="K264" s="136">
        <f t="shared" si="33"/>
        <v>0.19260892310149832</v>
      </c>
      <c r="L264" s="136">
        <f t="shared" si="33"/>
        <v>0.20961183277152357</v>
      </c>
      <c r="M264" s="136">
        <f t="shared" si="33"/>
        <v>0.22804789495412311</v>
      </c>
      <c r="N264" s="136">
        <f t="shared" si="33"/>
        <v>0.24803419630976384</v>
      </c>
    </row>
    <row r="265" spans="1:14" s="20" customFormat="1" x14ac:dyDescent="0.2">
      <c r="B265" s="1426" t="s">
        <v>38</v>
      </c>
      <c r="C265" s="20" t="str">
        <f>INDEX(Vectors[Description], MATCH($B265, Vectors[Code], 0))</f>
        <v>Liquid hydrocarbons</v>
      </c>
      <c r="E265" s="583" t="str">
        <f>Preferences.EnergyUnits</f>
        <v>TWh</v>
      </c>
      <c r="F265" s="136">
        <f t="shared" si="33"/>
        <v>0.19123385798749626</v>
      </c>
      <c r="G265" s="136">
        <f t="shared" si="33"/>
        <v>0.4123956175465317</v>
      </c>
      <c r="H265" s="136">
        <f t="shared" si="33"/>
        <v>0.68417634934170624</v>
      </c>
      <c r="I265" s="136">
        <f t="shared" si="33"/>
        <v>1.0155754744222372</v>
      </c>
      <c r="J265" s="136">
        <f t="shared" si="33"/>
        <v>1.3522564513114332</v>
      </c>
      <c r="K265" s="136">
        <f t="shared" si="33"/>
        <v>1.4057072282495318</v>
      </c>
      <c r="L265" s="136">
        <f t="shared" si="33"/>
        <v>1.4600548351671643</v>
      </c>
      <c r="M265" s="136">
        <f t="shared" si="33"/>
        <v>1.580874390444684</v>
      </c>
      <c r="N265" s="136">
        <f t="shared" si="33"/>
        <v>1.7114359545373703</v>
      </c>
    </row>
    <row r="266" spans="1:14" s="20" customFormat="1" x14ac:dyDescent="0.2">
      <c r="B266" s="1426" t="s">
        <v>39</v>
      </c>
      <c r="C266" s="20" t="str">
        <f>INDEX(Vectors[Description], MATCH($B266, Vectors[Code], 0))</f>
        <v>Gaseous hydrocarbons</v>
      </c>
      <c r="E266" s="583" t="str">
        <f>Preferences.EnergyUnits</f>
        <v>TWh</v>
      </c>
      <c r="F266" s="136">
        <f t="shared" si="33"/>
        <v>1.5233455172755064</v>
      </c>
      <c r="G266" s="136">
        <f t="shared" si="33"/>
        <v>1.8249213821640713</v>
      </c>
      <c r="H266" s="136">
        <f t="shared" si="33"/>
        <v>2.1771146266509809</v>
      </c>
      <c r="I266" s="136">
        <f t="shared" si="33"/>
        <v>2.587751965849403</v>
      </c>
      <c r="J266" s="136">
        <f t="shared" si="33"/>
        <v>2.9256763409214654</v>
      </c>
      <c r="K266" s="136">
        <f t="shared" si="33"/>
        <v>3.2236651340145506</v>
      </c>
      <c r="L266" s="136">
        <f t="shared" si="33"/>
        <v>3.5489451686488986</v>
      </c>
      <c r="M266" s="136">
        <f t="shared" si="33"/>
        <v>3.8381620286346485</v>
      </c>
      <c r="N266" s="136">
        <f t="shared" si="33"/>
        <v>4.1504388849167153</v>
      </c>
    </row>
    <row r="267" spans="1:14" s="20" customFormat="1" x14ac:dyDescent="0.2">
      <c r="B267" s="1426" t="s">
        <v>2184</v>
      </c>
      <c r="C267" s="20" t="str">
        <f>INDEX(Vectors[Description], MATCH($B267, Vectors[Code], 0))</f>
        <v>Traditional Fuel</v>
      </c>
      <c r="E267" s="583" t="str">
        <f>Preferences.EnergyUnits</f>
        <v>TWh</v>
      </c>
      <c r="F267" s="136">
        <f t="shared" si="33"/>
        <v>0.44607972833583837</v>
      </c>
      <c r="G267" s="136">
        <f t="shared" si="33"/>
        <v>0.49372582293090356</v>
      </c>
      <c r="H267" s="136">
        <f t="shared" si="33"/>
        <v>0.54637445943558427</v>
      </c>
      <c r="I267" s="136">
        <f t="shared" si="33"/>
        <v>0.60453905734807301</v>
      </c>
      <c r="J267" s="136">
        <f t="shared" si="33"/>
        <v>0.63821449337595682</v>
      </c>
      <c r="K267" s="136">
        <f t="shared" si="33"/>
        <v>0.57444766539043357</v>
      </c>
      <c r="L267" s="136">
        <f t="shared" si="33"/>
        <v>0.49873160211155609</v>
      </c>
      <c r="M267" s="136">
        <f t="shared" si="33"/>
        <v>0.44063491567406843</v>
      </c>
      <c r="N267" s="136">
        <f t="shared" si="33"/>
        <v>0.37205129446464574</v>
      </c>
    </row>
    <row r="268" spans="1:14" s="20" customFormat="1" x14ac:dyDescent="0.2">
      <c r="A268" s="1427" t="s">
        <v>2183</v>
      </c>
      <c r="B268" s="1426"/>
      <c r="E268" s="583"/>
      <c r="F268" s="136"/>
      <c r="G268" s="136"/>
      <c r="H268" s="136"/>
      <c r="I268" s="136"/>
      <c r="J268" s="136"/>
      <c r="K268" s="136"/>
      <c r="L268" s="136"/>
      <c r="M268" s="136"/>
      <c r="N268" s="136"/>
    </row>
    <row r="269" spans="1:14" s="20" customFormat="1" x14ac:dyDescent="0.2">
      <c r="B269" s="1427"/>
      <c r="C269" s="39"/>
      <c r="D269" s="1427"/>
      <c r="E269" s="172"/>
      <c r="F269" s="114"/>
      <c r="G269" s="114"/>
      <c r="H269" s="114"/>
      <c r="I269" s="114"/>
      <c r="J269" s="114"/>
      <c r="K269" s="114"/>
      <c r="L269" s="114"/>
      <c r="M269" s="114"/>
      <c r="N269" s="114"/>
    </row>
    <row r="270" spans="1:14" s="20" customFormat="1" x14ac:dyDescent="0.2">
      <c r="B270" s="1426" t="s">
        <v>34</v>
      </c>
      <c r="C270" s="20" t="str">
        <f>INDEX(Vectors[Description], MATCH($B270, Vectors[Code], 0))</f>
        <v>Electricity (delivered to end user)</v>
      </c>
      <c r="E270" s="583" t="str">
        <f>Preferences.EnergyUnits</f>
        <v>TWh</v>
      </c>
      <c r="F270" s="136">
        <f t="shared" ref="F270:N274" si="34">F$237*INDEX(F$193:F$197, MATCH($B270, $C$193:$C$197, 0))</f>
        <v>0.10898546453370586</v>
      </c>
      <c r="G270" s="136">
        <f t="shared" si="34"/>
        <v>9.8314155986836377E-2</v>
      </c>
      <c r="H270" s="136">
        <f t="shared" si="34"/>
        <v>8.6182980192517106E-2</v>
      </c>
      <c r="I270" s="136">
        <f t="shared" si="34"/>
        <v>7.2465947614334572E-2</v>
      </c>
      <c r="J270" s="136">
        <f t="shared" si="34"/>
        <v>5.7027748718223359E-2</v>
      </c>
      <c r="K270" s="136">
        <f t="shared" si="34"/>
        <v>6.2412294224267008E-2</v>
      </c>
      <c r="L270" s="136">
        <f t="shared" si="34"/>
        <v>6.8210617656706857E-2</v>
      </c>
      <c r="M270" s="136">
        <f t="shared" si="34"/>
        <v>7.307607784419308E-2</v>
      </c>
      <c r="N270" s="136">
        <f t="shared" si="34"/>
        <v>7.8267352930079165E-2</v>
      </c>
    </row>
    <row r="271" spans="1:14" s="20" customFormat="1" x14ac:dyDescent="0.2">
      <c r="B271" s="1426" t="s">
        <v>36</v>
      </c>
      <c r="C271" s="20" t="str">
        <f>INDEX(Vectors[Description], MATCH($B271, Vectors[Code], 0))</f>
        <v>Solid hydrocarbons</v>
      </c>
      <c r="E271" s="583" t="str">
        <f>Preferences.EnergyUnits</f>
        <v>TWh</v>
      </c>
      <c r="F271" s="136">
        <f t="shared" si="34"/>
        <v>6.7209193127789561E-3</v>
      </c>
      <c r="G271" s="136">
        <f t="shared" si="34"/>
        <v>7.0702353170281479E-3</v>
      </c>
      <c r="H271" s="136">
        <f t="shared" si="34"/>
        <v>7.4376871697874845E-3</v>
      </c>
      <c r="I271" s="136">
        <f t="shared" si="34"/>
        <v>7.8242153613063414E-3</v>
      </c>
      <c r="J271" s="136">
        <f t="shared" si="34"/>
        <v>8.2308090933518249E-3</v>
      </c>
      <c r="K271" s="136">
        <f t="shared" si="34"/>
        <v>8.8275453369310655E-3</v>
      </c>
      <c r="L271" s="136">
        <f t="shared" si="34"/>
        <v>9.4646311581076514E-3</v>
      </c>
      <c r="M271" s="136">
        <f t="shared" si="34"/>
        <v>1.0144679041899746E-2</v>
      </c>
      <c r="N271" s="136">
        <f t="shared" si="34"/>
        <v>1.0870465684733217E-2</v>
      </c>
    </row>
    <row r="272" spans="1:14" s="20" customFormat="1" x14ac:dyDescent="0.2">
      <c r="B272" s="1426" t="s">
        <v>38</v>
      </c>
      <c r="C272" s="20" t="str">
        <f>INDEX(Vectors[Description], MATCH($B272, Vectors[Code], 0))</f>
        <v>Liquid hydrocarbons</v>
      </c>
      <c r="E272" s="583" t="str">
        <f>Preferences.EnergyUnits</f>
        <v>TWh</v>
      </c>
      <c r="F272" s="136">
        <f t="shared" si="34"/>
        <v>1.0865867980992759E-2</v>
      </c>
      <c r="G272" s="136">
        <f t="shared" si="34"/>
        <v>2.2030215950561031E-2</v>
      </c>
      <c r="H272" s="136">
        <f t="shared" si="34"/>
        <v>3.4361953490274377E-2</v>
      </c>
      <c r="I272" s="136">
        <f t="shared" si="34"/>
        <v>4.7954246136484448E-2</v>
      </c>
      <c r="J272" s="136">
        <f t="shared" si="34"/>
        <v>6.2906898070617515E-2</v>
      </c>
      <c r="K272" s="136">
        <f t="shared" si="34"/>
        <v>6.4425594037953046E-2</v>
      </c>
      <c r="L272" s="136">
        <f t="shared" si="34"/>
        <v>6.5926051515094675E-2</v>
      </c>
      <c r="M272" s="136">
        <f t="shared" si="34"/>
        <v>7.0324978442999939E-2</v>
      </c>
      <c r="N272" s="136">
        <f t="shared" si="34"/>
        <v>7.5006213224659196E-2</v>
      </c>
    </row>
    <row r="273" spans="2:14" s="20" customFormat="1" x14ac:dyDescent="0.2">
      <c r="B273" s="1426" t="s">
        <v>39</v>
      </c>
      <c r="C273" s="20" t="str">
        <f>INDEX(Vectors[Description], MATCH($B273, Vectors[Code], 0))</f>
        <v>Gaseous hydrocarbons</v>
      </c>
      <c r="E273" s="583" t="str">
        <f>Preferences.EnergyUnits</f>
        <v>TWh</v>
      </c>
      <c r="F273" s="136">
        <f t="shared" si="34"/>
        <v>8.655617501182794E-2</v>
      </c>
      <c r="G273" s="136">
        <f t="shared" si="34"/>
        <v>9.7487486363345144E-2</v>
      </c>
      <c r="H273" s="136">
        <f t="shared" si="34"/>
        <v>0.10934302481510345</v>
      </c>
      <c r="I273" s="136">
        <f t="shared" si="34"/>
        <v>0.12219051940094448</v>
      </c>
      <c r="J273" s="136">
        <f t="shared" si="34"/>
        <v>0.13610230750792482</v>
      </c>
      <c r="K273" s="136">
        <f t="shared" si="34"/>
        <v>0.14774523248126728</v>
      </c>
      <c r="L273" s="136">
        <f t="shared" si="34"/>
        <v>0.16024599650451227</v>
      </c>
      <c r="M273" s="136">
        <f t="shared" si="34"/>
        <v>0.17074010658654998</v>
      </c>
      <c r="N273" s="136">
        <f t="shared" si="34"/>
        <v>0.18189912579120249</v>
      </c>
    </row>
    <row r="274" spans="2:14" s="20" customFormat="1" x14ac:dyDescent="0.2">
      <c r="B274" s="1426" t="s">
        <v>2184</v>
      </c>
      <c r="C274" s="20" t="str">
        <f>INDEX(Vectors[Description], MATCH($B274, Vectors[Code], 0))</f>
        <v>Traditional Fuel</v>
      </c>
      <c r="E274" s="583" t="str">
        <f>Preferences.EnergyUnits</f>
        <v>TWh</v>
      </c>
      <c r="F274" s="136">
        <f t="shared" si="34"/>
        <v>2.5346157255329002E-2</v>
      </c>
      <c r="G274" s="136">
        <f t="shared" si="34"/>
        <v>2.6374883817258304E-2</v>
      </c>
      <c r="H274" s="136">
        <f t="shared" si="34"/>
        <v>2.7441015436244765E-2</v>
      </c>
      <c r="I274" s="136">
        <f t="shared" si="34"/>
        <v>2.8545603438956981E-2</v>
      </c>
      <c r="J274" s="136">
        <f t="shared" si="34"/>
        <v>2.9689704229590514E-2</v>
      </c>
      <c r="K274" s="136">
        <f t="shared" si="34"/>
        <v>2.6327766794355809E-2</v>
      </c>
      <c r="L274" s="136">
        <f t="shared" si="34"/>
        <v>2.2519294824463031E-2</v>
      </c>
      <c r="M274" s="136">
        <f t="shared" si="34"/>
        <v>1.9601583233501207E-2</v>
      </c>
      <c r="N274" s="136">
        <f t="shared" si="34"/>
        <v>1.6305698527099826E-2</v>
      </c>
    </row>
    <row r="275" spans="2:14" s="20" customFormat="1" x14ac:dyDescent="0.2">
      <c r="B275" s="1426"/>
      <c r="E275" s="583"/>
      <c r="F275" s="136"/>
      <c r="G275" s="136"/>
      <c r="H275" s="136"/>
      <c r="I275" s="136"/>
      <c r="J275" s="136"/>
      <c r="K275" s="136"/>
      <c r="L275" s="136"/>
      <c r="M275" s="136"/>
      <c r="N275" s="136"/>
    </row>
    <row r="276" spans="2:14" s="20" customFormat="1" x14ac:dyDescent="0.2">
      <c r="B276" s="1426" t="s">
        <v>504</v>
      </c>
      <c r="C276" s="1520" t="s">
        <v>2181</v>
      </c>
      <c r="E276" s="583"/>
      <c r="F276" s="136">
        <f>F256</f>
        <v>21.97178875210847</v>
      </c>
      <c r="G276" s="136">
        <f t="shared" ref="G276:N276" si="35">G256</f>
        <v>22.646275036249207</v>
      </c>
      <c r="H276" s="136">
        <f t="shared" si="35"/>
        <v>22.682249179968668</v>
      </c>
      <c r="I276" s="136">
        <f t="shared" si="35"/>
        <v>21.791266503842163</v>
      </c>
      <c r="J276" s="136">
        <f t="shared" si="35"/>
        <v>18.933816936321808</v>
      </c>
      <c r="K276" s="136">
        <f t="shared" si="35"/>
        <v>22.878394465842959</v>
      </c>
      <c r="L276" s="136">
        <f t="shared" si="35"/>
        <v>27.606466901828338</v>
      </c>
      <c r="M276" s="136">
        <f t="shared" si="35"/>
        <v>32.654085574642551</v>
      </c>
      <c r="N276" s="136">
        <f t="shared" si="35"/>
        <v>38.614142304016781</v>
      </c>
    </row>
    <row r="277" spans="2:14" s="20" customFormat="1" x14ac:dyDescent="0.2">
      <c r="B277" s="1426" t="s">
        <v>505</v>
      </c>
      <c r="C277" s="1520" t="s">
        <v>112</v>
      </c>
      <c r="E277" s="583"/>
      <c r="F277" s="136">
        <f>F270</f>
        <v>0.10898546453370586</v>
      </c>
      <c r="G277" s="136">
        <f t="shared" ref="G277:N277" si="36">G270</f>
        <v>9.8314155986836377E-2</v>
      </c>
      <c r="H277" s="136">
        <f t="shared" si="36"/>
        <v>8.6182980192517106E-2</v>
      </c>
      <c r="I277" s="136">
        <f t="shared" si="36"/>
        <v>7.2465947614334572E-2</v>
      </c>
      <c r="J277" s="136">
        <f t="shared" si="36"/>
        <v>5.7027748718223359E-2</v>
      </c>
      <c r="K277" s="136">
        <f t="shared" si="36"/>
        <v>6.2412294224267008E-2</v>
      </c>
      <c r="L277" s="136">
        <f t="shared" si="36"/>
        <v>6.8210617656706857E-2</v>
      </c>
      <c r="M277" s="136">
        <f t="shared" si="36"/>
        <v>7.307607784419308E-2</v>
      </c>
      <c r="N277" s="136">
        <f t="shared" si="36"/>
        <v>7.8267352930079165E-2</v>
      </c>
    </row>
    <row r="278" spans="2:14" s="20" customFormat="1" x14ac:dyDescent="0.2">
      <c r="B278" s="1426" t="s">
        <v>506</v>
      </c>
      <c r="C278" s="1520" t="s">
        <v>2183</v>
      </c>
      <c r="E278" s="583"/>
      <c r="F278" s="136">
        <f>F270</f>
        <v>0.10898546453370586</v>
      </c>
      <c r="G278" s="136">
        <f t="shared" ref="G278:N278" si="37">G270</f>
        <v>9.8314155986836377E-2</v>
      </c>
      <c r="H278" s="136">
        <f t="shared" si="37"/>
        <v>8.6182980192517106E-2</v>
      </c>
      <c r="I278" s="136">
        <f t="shared" si="37"/>
        <v>7.2465947614334572E-2</v>
      </c>
      <c r="J278" s="136">
        <f t="shared" si="37"/>
        <v>5.7027748718223359E-2</v>
      </c>
      <c r="K278" s="136">
        <f t="shared" si="37"/>
        <v>6.2412294224267008E-2</v>
      </c>
      <c r="L278" s="136">
        <f t="shared" si="37"/>
        <v>6.8210617656706857E-2</v>
      </c>
      <c r="M278" s="136">
        <f t="shared" si="37"/>
        <v>7.307607784419308E-2</v>
      </c>
      <c r="N278" s="136">
        <f t="shared" si="37"/>
        <v>7.8267352930079165E-2</v>
      </c>
    </row>
    <row r="279" spans="2:14" s="20" customFormat="1" x14ac:dyDescent="0.2">
      <c r="B279" s="1426" t="s">
        <v>507</v>
      </c>
      <c r="C279" s="1520" t="s">
        <v>102</v>
      </c>
      <c r="D279" s="1427"/>
      <c r="E279" s="172"/>
      <c r="F279" s="136">
        <f>F249</f>
        <v>0.45030064830113675</v>
      </c>
      <c r="G279" s="136">
        <f t="shared" ref="G279:N279" si="38">G249</f>
        <v>0.39757602007922288</v>
      </c>
      <c r="H279" s="136">
        <f t="shared" si="38"/>
        <v>0.34111103463089515</v>
      </c>
      <c r="I279" s="136">
        <f t="shared" si="38"/>
        <v>0.28072324191773335</v>
      </c>
      <c r="J279" s="136">
        <f t="shared" si="38"/>
        <v>0.21461523993963902</v>
      </c>
      <c r="K279" s="136">
        <f t="shared" si="38"/>
        <v>0.22817833880235211</v>
      </c>
      <c r="L279" s="136">
        <f t="shared" si="38"/>
        <v>0.24226249463627053</v>
      </c>
      <c r="M279" s="136">
        <f t="shared" si="38"/>
        <v>0.25213861824058714</v>
      </c>
      <c r="N279" s="136">
        <f t="shared" si="38"/>
        <v>0.26234616531613375</v>
      </c>
    </row>
    <row r="280" spans="2:14" s="20" customFormat="1" x14ac:dyDescent="0.2">
      <c r="B280" s="1427"/>
      <c r="C280" s="1520"/>
      <c r="D280" s="1427"/>
      <c r="E280" s="172"/>
      <c r="F280" s="114"/>
      <c r="G280" s="114"/>
      <c r="H280" s="114"/>
      <c r="I280" s="114"/>
      <c r="J280" s="114"/>
      <c r="K280" s="114"/>
      <c r="L280" s="114"/>
      <c r="M280" s="114"/>
      <c r="N280" s="114"/>
    </row>
    <row r="281" spans="2:14" s="20" customFormat="1" x14ac:dyDescent="0.2">
      <c r="B281" s="82" t="s">
        <v>770</v>
      </c>
      <c r="C281" s="38"/>
      <c r="N281" s="527"/>
    </row>
    <row r="282" spans="2:14" s="20" customFormat="1" x14ac:dyDescent="0.2">
      <c r="B282" s="82"/>
      <c r="C282" s="38"/>
      <c r="F282" s="171">
        <v>2010</v>
      </c>
      <c r="G282" s="171">
        <v>2015</v>
      </c>
      <c r="H282" s="171">
        <v>2020</v>
      </c>
      <c r="I282" s="171">
        <v>2025</v>
      </c>
      <c r="J282" s="171">
        <v>2030</v>
      </c>
      <c r="K282" s="171">
        <v>2035</v>
      </c>
      <c r="L282" s="171">
        <v>2040</v>
      </c>
      <c r="M282" s="171">
        <v>2045</v>
      </c>
      <c r="N282" s="171">
        <v>2050</v>
      </c>
    </row>
    <row r="283" spans="2:14" s="20" customFormat="1" x14ac:dyDescent="0.2">
      <c r="B283" s="172" t="s">
        <v>473</v>
      </c>
      <c r="C283" s="38" t="str">
        <f>INDEX(GHG[GHG_description], MATCH($B283, GHG[GHG_code], 0))</f>
        <v>CO_2</v>
      </c>
      <c r="E283" s="172"/>
      <c r="F283" s="171"/>
      <c r="G283" s="171"/>
      <c r="H283" s="171"/>
      <c r="I283" s="171"/>
      <c r="J283" s="171"/>
      <c r="K283" s="171"/>
      <c r="L283" s="171"/>
      <c r="M283" s="171"/>
      <c r="N283" s="171"/>
    </row>
    <row r="284" spans="2:14" s="20" customFormat="1" x14ac:dyDescent="0.2">
      <c r="B284" s="16" t="s">
        <v>504</v>
      </c>
      <c r="C284" s="38" t="s">
        <v>2181</v>
      </c>
      <c r="E284" s="526"/>
      <c r="F284" s="23">
        <f t="shared" ref="F284:N284" si="39">F210*$F77</f>
        <v>3.0699249482245601</v>
      </c>
      <c r="G284" s="23">
        <f t="shared" si="39"/>
        <v>3.2616143310535333</v>
      </c>
      <c r="H284" s="23">
        <f t="shared" si="39"/>
        <v>3.4652730030700485</v>
      </c>
      <c r="I284" s="23">
        <f t="shared" si="39"/>
        <v>3.6816483394366797</v>
      </c>
      <c r="J284" s="23">
        <f t="shared" si="39"/>
        <v>3.7797816742477357</v>
      </c>
      <c r="K284" s="23">
        <f t="shared" si="39"/>
        <v>3.8805307263987614</v>
      </c>
      <c r="L284" s="23">
        <f t="shared" si="39"/>
        <v>3.98396521712379</v>
      </c>
      <c r="M284" s="23">
        <f t="shared" si="39"/>
        <v>4.0901567260573755</v>
      </c>
      <c r="N284" s="23">
        <f t="shared" si="39"/>
        <v>3.0699249482245601</v>
      </c>
    </row>
    <row r="285" spans="2:14" s="20" customFormat="1" x14ac:dyDescent="0.2">
      <c r="B285" s="16" t="s">
        <v>505</v>
      </c>
      <c r="C285" s="38" t="s">
        <v>112</v>
      </c>
      <c r="E285" s="526"/>
      <c r="F285" s="23">
        <f t="shared" ref="F285:N285" si="40">F211*$F78</f>
        <v>2.65796675305974</v>
      </c>
      <c r="G285" s="23">
        <f t="shared" si="40"/>
        <v>2.7557253073332095</v>
      </c>
      <c r="H285" s="23">
        <f t="shared" si="40"/>
        <v>2.8570793674280508</v>
      </c>
      <c r="I285" s="23">
        <f t="shared" si="40"/>
        <v>2.9621611740694629</v>
      </c>
      <c r="J285" s="23">
        <f t="shared" si="40"/>
        <v>2.9307299056798244</v>
      </c>
      <c r="K285" s="23">
        <f t="shared" si="40"/>
        <v>2.8996321521040409</v>
      </c>
      <c r="L285" s="23">
        <f t="shared" si="40"/>
        <v>2.8688643744416269</v>
      </c>
      <c r="M285" s="23">
        <f t="shared" si="40"/>
        <v>2.838423071343096</v>
      </c>
      <c r="N285" s="23">
        <f t="shared" si="40"/>
        <v>2.65796675305974</v>
      </c>
    </row>
    <row r="286" spans="2:14" s="20" customFormat="1" x14ac:dyDescent="0.2">
      <c r="B286" s="16" t="s">
        <v>506</v>
      </c>
      <c r="C286" s="38" t="s">
        <v>2183</v>
      </c>
      <c r="E286" s="526"/>
      <c r="F286" s="23">
        <f t="shared" ref="F286:N286" si="41">F212*$F79</f>
        <v>8.6677675538343308</v>
      </c>
      <c r="G286" s="23">
        <f t="shared" si="41"/>
        <v>8.5123330806724979</v>
      </c>
      <c r="H286" s="23">
        <f t="shared" si="41"/>
        <v>8.3596859313858172</v>
      </c>
      <c r="I286" s="23">
        <f t="shared" si="41"/>
        <v>8.2097761223752439</v>
      </c>
      <c r="J286" s="23">
        <f t="shared" si="41"/>
        <v>8.0625545663710678</v>
      </c>
      <c r="K286" s="23">
        <f t="shared" si="41"/>
        <v>7.9179730563595232</v>
      </c>
      <c r="L286" s="23">
        <f t="shared" si="41"/>
        <v>7.7759842497976308</v>
      </c>
      <c r="M286" s="23">
        <f t="shared" si="41"/>
        <v>7.6365416531110881</v>
      </c>
      <c r="N286" s="23">
        <f t="shared" si="41"/>
        <v>8.6677675538343308</v>
      </c>
    </row>
    <row r="287" spans="2:14" s="20" customFormat="1" x14ac:dyDescent="0.2">
      <c r="B287" s="16" t="s">
        <v>507</v>
      </c>
      <c r="C287" s="38" t="s">
        <v>102</v>
      </c>
      <c r="E287" s="526"/>
      <c r="F287" s="23">
        <f t="shared" ref="F287:N287" si="42">F213*$F80</f>
        <v>0</v>
      </c>
      <c r="G287" s="23">
        <f t="shared" si="42"/>
        <v>0</v>
      </c>
      <c r="H287" s="23">
        <f t="shared" si="42"/>
        <v>0</v>
      </c>
      <c r="I287" s="23">
        <f t="shared" si="42"/>
        <v>0</v>
      </c>
      <c r="J287" s="23">
        <f t="shared" si="42"/>
        <v>0</v>
      </c>
      <c r="K287" s="23">
        <f t="shared" si="42"/>
        <v>0</v>
      </c>
      <c r="L287" s="23">
        <f t="shared" si="42"/>
        <v>0</v>
      </c>
      <c r="M287" s="23">
        <f t="shared" si="42"/>
        <v>0</v>
      </c>
      <c r="N287" s="23">
        <f t="shared" si="42"/>
        <v>0</v>
      </c>
    </row>
    <row r="288" spans="2:14" s="20" customFormat="1" ht="14.25" x14ac:dyDescent="0.25">
      <c r="B288" s="16"/>
      <c r="C288" s="82" t="s">
        <v>776</v>
      </c>
      <c r="E288" s="751" t="s">
        <v>676</v>
      </c>
      <c r="F288" s="752">
        <f>SUM(F284:F287)</f>
        <v>14.39565925511863</v>
      </c>
      <c r="G288" s="752">
        <f t="shared" ref="G288:N288" si="43">SUM(G284:G287)</f>
        <v>14.52967271905924</v>
      </c>
      <c r="H288" s="752">
        <f t="shared" si="43"/>
        <v>14.682038301883917</v>
      </c>
      <c r="I288" s="752">
        <f t="shared" si="43"/>
        <v>14.853585635881387</v>
      </c>
      <c r="J288" s="752">
        <f t="shared" si="43"/>
        <v>14.773066146298628</v>
      </c>
      <c r="K288" s="752">
        <f t="shared" si="43"/>
        <v>14.698135934862325</v>
      </c>
      <c r="L288" s="752">
        <f t="shared" si="43"/>
        <v>14.628813841363048</v>
      </c>
      <c r="M288" s="752">
        <f t="shared" si="43"/>
        <v>14.56512145051156</v>
      </c>
      <c r="N288" s="752">
        <f t="shared" si="43"/>
        <v>14.39565925511863</v>
      </c>
    </row>
    <row r="289" spans="2:14" s="20" customFormat="1" x14ac:dyDescent="0.2">
      <c r="B289" s="82"/>
      <c r="C289" s="38"/>
    </row>
    <row r="290" spans="2:14" s="20" customFormat="1" x14ac:dyDescent="0.2">
      <c r="B290" s="172" t="s">
        <v>474</v>
      </c>
      <c r="C290" s="38" t="str">
        <f>INDEX(GHG[GHG_description], MATCH($B290, GHG[GHG_code], 0))</f>
        <v>CH_4</v>
      </c>
      <c r="E290" s="172"/>
    </row>
    <row r="291" spans="2:14" s="20" customFormat="1" x14ac:dyDescent="0.2">
      <c r="B291" s="16" t="s">
        <v>504</v>
      </c>
      <c r="C291" s="38" t="s">
        <v>2181</v>
      </c>
      <c r="E291" s="526"/>
      <c r="F291" s="23">
        <f t="shared" ref="F291:N291" si="44">F210*$G77</f>
        <v>7.6208894999999999E-2</v>
      </c>
      <c r="G291" s="23">
        <f t="shared" si="44"/>
        <v>8.0967459556138932E-2</v>
      </c>
      <c r="H291" s="23">
        <f t="shared" si="44"/>
        <v>8.602315395040161E-2</v>
      </c>
      <c r="I291" s="23">
        <f t="shared" si="44"/>
        <v>9.1394531286284303E-2</v>
      </c>
      <c r="J291" s="23">
        <f t="shared" si="44"/>
        <v>9.3830627651747808E-2</v>
      </c>
      <c r="K291" s="23">
        <f t="shared" si="44"/>
        <v>9.6331657503037002E-2</v>
      </c>
      <c r="L291" s="23">
        <f t="shared" si="44"/>
        <v>9.8899351624549964E-2</v>
      </c>
      <c r="M291" s="23">
        <f t="shared" si="44"/>
        <v>0.10153548693427193</v>
      </c>
      <c r="N291" s="23">
        <f t="shared" si="44"/>
        <v>7.6208894999999999E-2</v>
      </c>
    </row>
    <row r="292" spans="2:14" s="20" customFormat="1" x14ac:dyDescent="0.2">
      <c r="B292" s="16" t="s">
        <v>505</v>
      </c>
      <c r="C292" s="38" t="s">
        <v>112</v>
      </c>
      <c r="E292" s="526"/>
      <c r="F292" s="23">
        <f t="shared" ref="F292:N292" si="45">F211*$G78</f>
        <v>1.8177665240937134E-2</v>
      </c>
      <c r="G292" s="23">
        <f t="shared" si="45"/>
        <v>1.8846229763791109E-2</v>
      </c>
      <c r="H292" s="23">
        <f t="shared" si="45"/>
        <v>1.9539383721828011E-2</v>
      </c>
      <c r="I292" s="23">
        <f t="shared" si="45"/>
        <v>2.0258031500940219E-2</v>
      </c>
      <c r="J292" s="23">
        <f t="shared" si="45"/>
        <v>2.0043075059431991E-2</v>
      </c>
      <c r="K292" s="23">
        <f t="shared" si="45"/>
        <v>1.9830399504481951E-2</v>
      </c>
      <c r="L292" s="23">
        <f t="shared" si="45"/>
        <v>1.9619980633775187E-2</v>
      </c>
      <c r="M292" s="23">
        <f t="shared" si="45"/>
        <v>1.9411794501805704E-2</v>
      </c>
      <c r="N292" s="23">
        <f t="shared" si="45"/>
        <v>1.8177665240937134E-2</v>
      </c>
    </row>
    <row r="293" spans="2:14" s="20" customFormat="1" x14ac:dyDescent="0.2">
      <c r="B293" s="16" t="s">
        <v>506</v>
      </c>
      <c r="C293" s="38" t="s">
        <v>2183</v>
      </c>
      <c r="E293" s="526"/>
      <c r="F293" s="23">
        <f t="shared" ref="F293:N293" si="46">F212*$G79</f>
        <v>1.8500882110586987E-2</v>
      </c>
      <c r="G293" s="23">
        <f t="shared" si="46"/>
        <v>1.8169115615231886E-2</v>
      </c>
      <c r="H293" s="23">
        <f t="shared" si="46"/>
        <v>1.7843298512277762E-2</v>
      </c>
      <c r="I293" s="23">
        <f t="shared" si="46"/>
        <v>1.7523324114429688E-2</v>
      </c>
      <c r="J293" s="23">
        <f t="shared" si="46"/>
        <v>1.7209087647559327E-2</v>
      </c>
      <c r="K293" s="23">
        <f t="shared" si="46"/>
        <v>1.6900486216397163E-2</v>
      </c>
      <c r="L293" s="23">
        <f t="shared" si="46"/>
        <v>1.6597418770839922E-2</v>
      </c>
      <c r="M293" s="23">
        <f t="shared" si="46"/>
        <v>1.6299786072862157E-2</v>
      </c>
      <c r="N293" s="23">
        <f t="shared" si="46"/>
        <v>1.8500882110586987E-2</v>
      </c>
    </row>
    <row r="294" spans="2:14" s="20" customFormat="1" x14ac:dyDescent="0.2">
      <c r="B294" s="16" t="s">
        <v>507</v>
      </c>
      <c r="C294" s="38" t="s">
        <v>102</v>
      </c>
      <c r="E294" s="526"/>
      <c r="F294" s="23">
        <f t="shared" ref="F294:N294" si="47">F213*$G80</f>
        <v>0</v>
      </c>
      <c r="G294" s="23">
        <f t="shared" si="47"/>
        <v>0</v>
      </c>
      <c r="H294" s="23">
        <f t="shared" si="47"/>
        <v>0</v>
      </c>
      <c r="I294" s="23">
        <f t="shared" si="47"/>
        <v>0</v>
      </c>
      <c r="J294" s="23">
        <f t="shared" si="47"/>
        <v>0</v>
      </c>
      <c r="K294" s="23">
        <f t="shared" si="47"/>
        <v>0</v>
      </c>
      <c r="L294" s="23">
        <f t="shared" si="47"/>
        <v>0</v>
      </c>
      <c r="M294" s="23">
        <f t="shared" si="47"/>
        <v>0</v>
      </c>
      <c r="N294" s="23">
        <f t="shared" si="47"/>
        <v>0</v>
      </c>
    </row>
    <row r="295" spans="2:14" s="20" customFormat="1" ht="14.25" x14ac:dyDescent="0.25">
      <c r="B295" s="16"/>
      <c r="C295" s="82" t="s">
        <v>775</v>
      </c>
      <c r="E295" s="751" t="s">
        <v>676</v>
      </c>
      <c r="F295" s="752">
        <f t="shared" ref="F295" si="48">SUM(F291:F294)</f>
        <v>0.11288744235152412</v>
      </c>
      <c r="G295" s="752">
        <f t="shared" ref="G295:N295" si="49">SUM(G291:G294)</f>
        <v>0.11798280493516192</v>
      </c>
      <c r="H295" s="752">
        <f t="shared" si="49"/>
        <v>0.12340583618450737</v>
      </c>
      <c r="I295" s="752">
        <f t="shared" si="49"/>
        <v>0.12917588690165421</v>
      </c>
      <c r="J295" s="752">
        <f t="shared" si="49"/>
        <v>0.13108279035873913</v>
      </c>
      <c r="K295" s="752">
        <f t="shared" si="49"/>
        <v>0.13306254322391611</v>
      </c>
      <c r="L295" s="752">
        <f t="shared" si="49"/>
        <v>0.13511675102916507</v>
      </c>
      <c r="M295" s="752">
        <f t="shared" si="49"/>
        <v>0.13724706750893978</v>
      </c>
      <c r="N295" s="752">
        <f t="shared" si="49"/>
        <v>0.11288744235152412</v>
      </c>
    </row>
    <row r="296" spans="2:14" s="20" customFormat="1" x14ac:dyDescent="0.2">
      <c r="B296" s="82"/>
      <c r="C296" s="38"/>
    </row>
    <row r="297" spans="2:14" s="20" customFormat="1" x14ac:dyDescent="0.2">
      <c r="B297" s="172" t="s">
        <v>475</v>
      </c>
      <c r="C297" s="38" t="str">
        <f>INDEX(GHG[GHG_description], MATCH($B297, GHG[GHG_code], 0))</f>
        <v>N_2O</v>
      </c>
      <c r="E297" s="172"/>
    </row>
    <row r="298" spans="2:14" s="20" customFormat="1" x14ac:dyDescent="0.2">
      <c r="B298" s="16" t="s">
        <v>504</v>
      </c>
      <c r="C298" s="38" t="s">
        <v>2181</v>
      </c>
      <c r="E298" s="526"/>
      <c r="F298" s="23">
        <f t="shared" ref="F298:N298" si="50">$H77*F210</f>
        <v>2.7531100000000004</v>
      </c>
      <c r="G298" s="23">
        <f t="shared" si="50"/>
        <v>2.9250171200960424</v>
      </c>
      <c r="H298" s="23">
        <f t="shared" si="50"/>
        <v>3.107658303829103</v>
      </c>
      <c r="I298" s="23">
        <f t="shared" si="50"/>
        <v>3.3017037975630301</v>
      </c>
      <c r="J298" s="23">
        <f t="shared" si="50"/>
        <v>3.3897098139830457</v>
      </c>
      <c r="K298" s="23">
        <f t="shared" si="50"/>
        <v>3.4800616068266867</v>
      </c>
      <c r="L298" s="23">
        <f t="shared" si="50"/>
        <v>3.5728217021263045</v>
      </c>
      <c r="M298" s="23">
        <f t="shared" si="50"/>
        <v>3.6680542925286272</v>
      </c>
      <c r="N298" s="23">
        <f t="shared" si="50"/>
        <v>2.7531100000000004</v>
      </c>
    </row>
    <row r="299" spans="2:14" s="20" customFormat="1" x14ac:dyDescent="0.2">
      <c r="B299" s="16" t="s">
        <v>505</v>
      </c>
      <c r="C299" s="38" t="s">
        <v>112</v>
      </c>
      <c r="E299" s="526"/>
      <c r="F299" s="23">
        <f t="shared" ref="F299:N299" si="51">$H78*F211</f>
        <v>9.359210590723227E-3</v>
      </c>
      <c r="G299" s="23">
        <f t="shared" si="51"/>
        <v>9.7034372050843008E-3</v>
      </c>
      <c r="H299" s="23">
        <f t="shared" si="51"/>
        <v>1.0060324284864532E-2</v>
      </c>
      <c r="I299" s="23">
        <f t="shared" si="51"/>
        <v>1.0430337475013917E-2</v>
      </c>
      <c r="J299" s="23">
        <f t="shared" si="51"/>
        <v>1.0319661952209302E-2</v>
      </c>
      <c r="K299" s="23">
        <f t="shared" si="51"/>
        <v>1.0210160799014241E-2</v>
      </c>
      <c r="L299" s="23">
        <f t="shared" si="51"/>
        <v>1.0101821554281555E-2</v>
      </c>
      <c r="M299" s="23">
        <f t="shared" si="51"/>
        <v>9.9946318890883328E-3</v>
      </c>
      <c r="N299" s="23">
        <f t="shared" si="51"/>
        <v>9.359210590723227E-3</v>
      </c>
    </row>
    <row r="300" spans="2:14" s="20" customFormat="1" x14ac:dyDescent="0.2">
      <c r="B300" s="16" t="s">
        <v>506</v>
      </c>
      <c r="C300" s="38" t="s">
        <v>2183</v>
      </c>
      <c r="E300" s="526"/>
      <c r="F300" s="23">
        <f t="shared" ref="F300:N300" si="52">$H79*F212</f>
        <v>0</v>
      </c>
      <c r="G300" s="23">
        <f t="shared" si="52"/>
        <v>0</v>
      </c>
      <c r="H300" s="23">
        <f t="shared" si="52"/>
        <v>0</v>
      </c>
      <c r="I300" s="23">
        <f t="shared" si="52"/>
        <v>0</v>
      </c>
      <c r="J300" s="23">
        <f t="shared" si="52"/>
        <v>0</v>
      </c>
      <c r="K300" s="23">
        <f t="shared" si="52"/>
        <v>0</v>
      </c>
      <c r="L300" s="23">
        <f t="shared" si="52"/>
        <v>0</v>
      </c>
      <c r="M300" s="23">
        <f t="shared" si="52"/>
        <v>0</v>
      </c>
      <c r="N300" s="23">
        <f t="shared" si="52"/>
        <v>0</v>
      </c>
    </row>
    <row r="301" spans="2:14" s="20" customFormat="1" x14ac:dyDescent="0.2">
      <c r="B301" s="16" t="s">
        <v>507</v>
      </c>
      <c r="C301" s="38" t="s">
        <v>102</v>
      </c>
      <c r="E301" s="526"/>
      <c r="F301" s="23">
        <f t="shared" ref="F301:N301" si="53">$H80*F213</f>
        <v>0</v>
      </c>
      <c r="G301" s="23">
        <f t="shared" si="53"/>
        <v>0</v>
      </c>
      <c r="H301" s="23">
        <f t="shared" si="53"/>
        <v>0</v>
      </c>
      <c r="I301" s="23">
        <f t="shared" si="53"/>
        <v>0</v>
      </c>
      <c r="J301" s="23">
        <f t="shared" si="53"/>
        <v>0</v>
      </c>
      <c r="K301" s="23">
        <f t="shared" si="53"/>
        <v>0</v>
      </c>
      <c r="L301" s="23">
        <f t="shared" si="53"/>
        <v>0</v>
      </c>
      <c r="M301" s="23">
        <f t="shared" si="53"/>
        <v>0</v>
      </c>
      <c r="N301" s="23">
        <f t="shared" si="53"/>
        <v>0</v>
      </c>
    </row>
    <row r="302" spans="2:14" s="20" customFormat="1" ht="14.25" x14ac:dyDescent="0.25">
      <c r="B302" s="16"/>
      <c r="C302" s="82" t="s">
        <v>774</v>
      </c>
      <c r="E302" s="751" t="s">
        <v>676</v>
      </c>
      <c r="F302" s="752">
        <f t="shared" ref="F302" si="54">SUM(F298:F301)</f>
        <v>2.7624692105907238</v>
      </c>
      <c r="G302" s="752">
        <f t="shared" ref="G302:N302" si="55">SUM(G298:G301)</f>
        <v>2.9347205573011266</v>
      </c>
      <c r="H302" s="752">
        <f t="shared" si="55"/>
        <v>3.1177186281139675</v>
      </c>
      <c r="I302" s="752">
        <f t="shared" si="55"/>
        <v>3.3121341350380442</v>
      </c>
      <c r="J302" s="752">
        <f t="shared" si="55"/>
        <v>3.4000294759352552</v>
      </c>
      <c r="K302" s="752">
        <f t="shared" si="55"/>
        <v>3.4902717676257011</v>
      </c>
      <c r="L302" s="752">
        <f t="shared" si="55"/>
        <v>3.5829235236805861</v>
      </c>
      <c r="M302" s="752">
        <f t="shared" si="55"/>
        <v>3.6780489244177157</v>
      </c>
      <c r="N302" s="752">
        <f t="shared" si="55"/>
        <v>2.7624692105907238</v>
      </c>
    </row>
    <row r="303" spans="2:14" s="20" customFormat="1" x14ac:dyDescent="0.2">
      <c r="B303" s="82"/>
      <c r="C303" s="38"/>
    </row>
    <row r="304" spans="2:14" s="20" customFormat="1" x14ac:dyDescent="0.2">
      <c r="B304" s="172" t="s">
        <v>476</v>
      </c>
      <c r="C304" s="38" t="str">
        <f>INDEX(GHG[GHG_description], MATCH($B304, GHG[GHG_code], 0))</f>
        <v>HFCs, PFCs, and SF_6</v>
      </c>
      <c r="E304" s="172"/>
    </row>
    <row r="305" spans="2:14" s="20" customFormat="1" x14ac:dyDescent="0.2">
      <c r="B305" s="16" t="s">
        <v>504</v>
      </c>
      <c r="C305" s="38" t="s">
        <v>2181</v>
      </c>
      <c r="E305" s="526"/>
      <c r="F305" s="23">
        <f t="shared" ref="F305:N305" si="56">F210*$I77</f>
        <v>0</v>
      </c>
      <c r="G305" s="23">
        <f t="shared" si="56"/>
        <v>0</v>
      </c>
      <c r="H305" s="23">
        <f t="shared" si="56"/>
        <v>0</v>
      </c>
      <c r="I305" s="23">
        <f t="shared" si="56"/>
        <v>0</v>
      </c>
      <c r="J305" s="23">
        <f t="shared" si="56"/>
        <v>0</v>
      </c>
      <c r="K305" s="23">
        <f t="shared" si="56"/>
        <v>0</v>
      </c>
      <c r="L305" s="23">
        <f t="shared" si="56"/>
        <v>0</v>
      </c>
      <c r="M305" s="23">
        <f t="shared" si="56"/>
        <v>0</v>
      </c>
      <c r="N305" s="23">
        <f t="shared" si="56"/>
        <v>0</v>
      </c>
    </row>
    <row r="306" spans="2:14" s="20" customFormat="1" x14ac:dyDescent="0.2">
      <c r="B306" s="16" t="s">
        <v>505</v>
      </c>
      <c r="C306" s="38" t="s">
        <v>112</v>
      </c>
      <c r="E306" s="526"/>
      <c r="F306" s="23">
        <f t="shared" ref="F306:N306" si="57">F211*$I78</f>
        <v>0</v>
      </c>
      <c r="G306" s="23">
        <f t="shared" si="57"/>
        <v>0</v>
      </c>
      <c r="H306" s="23">
        <f t="shared" si="57"/>
        <v>0</v>
      </c>
      <c r="I306" s="23">
        <f t="shared" si="57"/>
        <v>0</v>
      </c>
      <c r="J306" s="23">
        <f t="shared" si="57"/>
        <v>0</v>
      </c>
      <c r="K306" s="23">
        <f t="shared" si="57"/>
        <v>0</v>
      </c>
      <c r="L306" s="23">
        <f t="shared" si="57"/>
        <v>0</v>
      </c>
      <c r="M306" s="23">
        <f t="shared" si="57"/>
        <v>0</v>
      </c>
      <c r="N306" s="23">
        <f t="shared" si="57"/>
        <v>0</v>
      </c>
    </row>
    <row r="307" spans="2:14" s="20" customFormat="1" x14ac:dyDescent="0.2">
      <c r="B307" s="16" t="s">
        <v>506</v>
      </c>
      <c r="C307" s="38" t="s">
        <v>2183</v>
      </c>
      <c r="E307" s="526"/>
      <c r="F307" s="23">
        <f t="shared" ref="F307:N307" si="58">F212*$I79</f>
        <v>0</v>
      </c>
      <c r="G307" s="23">
        <f t="shared" si="58"/>
        <v>0</v>
      </c>
      <c r="H307" s="23">
        <f t="shared" si="58"/>
        <v>0</v>
      </c>
      <c r="I307" s="23">
        <f t="shared" si="58"/>
        <v>0</v>
      </c>
      <c r="J307" s="23">
        <f t="shared" si="58"/>
        <v>0</v>
      </c>
      <c r="K307" s="23">
        <f t="shared" si="58"/>
        <v>0</v>
      </c>
      <c r="L307" s="23">
        <f t="shared" si="58"/>
        <v>0</v>
      </c>
      <c r="M307" s="23">
        <f t="shared" si="58"/>
        <v>0</v>
      </c>
      <c r="N307" s="23">
        <f t="shared" si="58"/>
        <v>0</v>
      </c>
    </row>
    <row r="308" spans="2:14" s="20" customFormat="1" x14ac:dyDescent="0.2">
      <c r="B308" s="16" t="s">
        <v>507</v>
      </c>
      <c r="C308" s="38" t="s">
        <v>102</v>
      </c>
      <c r="E308" s="526"/>
      <c r="F308" s="23">
        <f t="shared" ref="F308:N308" si="59">F213*$I80</f>
        <v>10.620296151887526</v>
      </c>
      <c r="G308" s="23">
        <f t="shared" si="59"/>
        <v>10.275715048133547</v>
      </c>
      <c r="H308" s="23">
        <f t="shared" si="59"/>
        <v>9.9423140598270283</v>
      </c>
      <c r="I308" s="23">
        <f t="shared" si="59"/>
        <v>9.6197304422322389</v>
      </c>
      <c r="J308" s="23">
        <f t="shared" si="59"/>
        <v>9.2384290877998048</v>
      </c>
      <c r="K308" s="23">
        <f t="shared" si="59"/>
        <v>8.8722415376226049</v>
      </c>
      <c r="L308" s="23">
        <f t="shared" si="59"/>
        <v>8.5205687194014956</v>
      </c>
      <c r="M308" s="23">
        <f t="shared" si="59"/>
        <v>8.1828353065213193</v>
      </c>
      <c r="N308" s="23">
        <f t="shared" si="59"/>
        <v>10.620296151887526</v>
      </c>
    </row>
    <row r="309" spans="2:14" s="20" customFormat="1" ht="14.25" x14ac:dyDescent="0.25">
      <c r="B309" s="82"/>
      <c r="C309" s="82" t="s">
        <v>773</v>
      </c>
      <c r="E309" s="751" t="s">
        <v>676</v>
      </c>
      <c r="F309" s="752">
        <f t="shared" ref="F309" si="60">SUM(F305:F308)</f>
        <v>10.620296151887526</v>
      </c>
      <c r="G309" s="752">
        <f t="shared" ref="G309:N309" si="61">SUM(G305:G308)</f>
        <v>10.275715048133547</v>
      </c>
      <c r="H309" s="752">
        <f t="shared" si="61"/>
        <v>9.9423140598270283</v>
      </c>
      <c r="I309" s="752">
        <f t="shared" si="61"/>
        <v>9.6197304422322389</v>
      </c>
      <c r="J309" s="752">
        <f t="shared" si="61"/>
        <v>9.2384290877998048</v>
      </c>
      <c r="K309" s="752">
        <f t="shared" si="61"/>
        <v>8.8722415376226049</v>
      </c>
      <c r="L309" s="752">
        <f t="shared" si="61"/>
        <v>8.5205687194014956</v>
      </c>
      <c r="M309" s="752">
        <f t="shared" si="61"/>
        <v>8.1828353065213193</v>
      </c>
      <c r="N309" s="752">
        <f t="shared" si="61"/>
        <v>10.620296151887526</v>
      </c>
    </row>
    <row r="310" spans="2:14" s="20" customFormat="1" x14ac:dyDescent="0.2">
      <c r="B310" s="82"/>
      <c r="C310" s="38"/>
      <c r="E310" s="172"/>
    </row>
    <row r="311" spans="2:14" s="20" customFormat="1" x14ac:dyDescent="0.2">
      <c r="B311" s="1427" t="str">
        <f>INDEX(AirQualityVectors[Code],MATCH(C311,AirQualityVectors[Description],0))</f>
        <v>AQ.01</v>
      </c>
      <c r="C311" s="2022" t="s">
        <v>1791</v>
      </c>
      <c r="E311" s="172"/>
      <c r="F311" s="171"/>
      <c r="G311" s="171"/>
      <c r="H311" s="171"/>
      <c r="I311" s="171"/>
      <c r="J311" s="171"/>
      <c r="K311" s="171"/>
      <c r="L311" s="171"/>
      <c r="M311" s="171"/>
      <c r="N311" s="171"/>
    </row>
    <row r="312" spans="2:14" s="20" customFormat="1" x14ac:dyDescent="0.2">
      <c r="B312" s="1426" t="s">
        <v>504</v>
      </c>
      <c r="C312" s="1615" t="s">
        <v>2181</v>
      </c>
      <c r="E312" s="526"/>
      <c r="F312" s="23">
        <f>$F85*F210/$F210</f>
        <v>0.37444794983127005</v>
      </c>
      <c r="G312" s="23">
        <f>F94</f>
        <v>0.31095814599423216</v>
      </c>
      <c r="H312" s="23">
        <f>F103</f>
        <v>0.35450603115620649</v>
      </c>
      <c r="I312" s="1830">
        <f t="shared" ref="I312:N315" si="62">(I210/$H210)*$F103</f>
        <v>0.37664176524338111</v>
      </c>
      <c r="J312" s="1831">
        <f t="shared" si="62"/>
        <v>0.38668104902193751</v>
      </c>
      <c r="K312" s="1831">
        <f t="shared" si="62"/>
        <v>0.39698792717819453</v>
      </c>
      <c r="L312" s="1831">
        <f t="shared" si="62"/>
        <v>0.40756953236748478</v>
      </c>
      <c r="M312" s="1831">
        <f t="shared" si="62"/>
        <v>0.41843318736412782</v>
      </c>
      <c r="N312" s="1831">
        <f t="shared" si="62"/>
        <v>0.31406094364811343</v>
      </c>
    </row>
    <row r="313" spans="2:14" s="20" customFormat="1" x14ac:dyDescent="0.2">
      <c r="B313" s="1426" t="s">
        <v>505</v>
      </c>
      <c r="C313" s="1615" t="s">
        <v>112</v>
      </c>
      <c r="E313" s="526"/>
      <c r="F313" s="23">
        <f>$F86*F211/$F211</f>
        <v>7.414631096391247</v>
      </c>
      <c r="G313" s="23">
        <f>F95</f>
        <v>7.5402555744317237</v>
      </c>
      <c r="H313" s="23">
        <f>F104</f>
        <v>7.8165803990372602</v>
      </c>
      <c r="I313" s="1830">
        <f t="shared" si="62"/>
        <v>8.1040699239880816</v>
      </c>
      <c r="J313" s="1831">
        <f t="shared" si="62"/>
        <v>8.0180782503887258</v>
      </c>
      <c r="K313" s="1831">
        <f t="shared" si="62"/>
        <v>7.9329990279401823</v>
      </c>
      <c r="L313" s="1831">
        <f t="shared" si="62"/>
        <v>7.8488225746922407</v>
      </c>
      <c r="M313" s="1831">
        <f t="shared" si="62"/>
        <v>7.7655393114291238</v>
      </c>
      <c r="N313" s="1831">
        <f t="shared" si="62"/>
        <v>7.2718353785048215</v>
      </c>
    </row>
    <row r="314" spans="2:14" s="20" customFormat="1" x14ac:dyDescent="0.2">
      <c r="B314" s="1426" t="s">
        <v>506</v>
      </c>
      <c r="C314" s="1615" t="s">
        <v>2183</v>
      </c>
      <c r="E314" s="526"/>
      <c r="F314" s="23">
        <f>$F87*F212/$F212</f>
        <v>27.822553562747121</v>
      </c>
      <c r="G314" s="23">
        <f>F96</f>
        <v>10.323177929676259</v>
      </c>
      <c r="H314" s="23">
        <f>F105</f>
        <v>11.048955457514205</v>
      </c>
      <c r="I314" s="1830">
        <f t="shared" si="62"/>
        <v>10.850820406030554</v>
      </c>
      <c r="J314" s="1831">
        <f t="shared" si="62"/>
        <v>10.656238405220098</v>
      </c>
      <c r="K314" s="1831">
        <f t="shared" si="62"/>
        <v>10.4651457401117</v>
      </c>
      <c r="L314" s="1831">
        <f t="shared" si="62"/>
        <v>10.277479838300975</v>
      </c>
      <c r="M314" s="1831">
        <f t="shared" si="62"/>
        <v>10.09317924946123</v>
      </c>
      <c r="N314" s="1831">
        <f t="shared" si="62"/>
        <v>11.456145410779357</v>
      </c>
    </row>
    <row r="315" spans="2:14" s="20" customFormat="1" x14ac:dyDescent="0.2">
      <c r="B315" s="1426" t="s">
        <v>507</v>
      </c>
      <c r="C315" s="1615" t="s">
        <v>102</v>
      </c>
      <c r="E315" s="526"/>
      <c r="F315" s="23">
        <f>$F88*F213/$F213</f>
        <v>38.658463318435146</v>
      </c>
      <c r="G315" s="23">
        <f>F97</f>
        <v>7.5503693973519699</v>
      </c>
      <c r="H315" s="23">
        <f>F106</f>
        <v>7.6884566306732385</v>
      </c>
      <c r="I315" s="1830">
        <f t="shared" si="62"/>
        <v>7.4390006047703148</v>
      </c>
      <c r="J315" s="1831">
        <f t="shared" si="62"/>
        <v>7.1441377680976883</v>
      </c>
      <c r="K315" s="1831">
        <f t="shared" si="62"/>
        <v>6.8609625353210575</v>
      </c>
      <c r="L315" s="1831">
        <f t="shared" si="62"/>
        <v>6.5890116399047978</v>
      </c>
      <c r="M315" s="1831">
        <f t="shared" si="62"/>
        <v>6.3278401780063529</v>
      </c>
      <c r="N315" s="1831">
        <f t="shared" si="62"/>
        <v>8.2127446263866783</v>
      </c>
    </row>
    <row r="316" spans="2:14" s="20" customFormat="1" x14ac:dyDescent="0.2">
      <c r="B316" s="1426"/>
      <c r="C316" s="1427" t="str">
        <f>"Total "&amp;C311</f>
        <v>Total PM10</v>
      </c>
      <c r="E316" s="751" t="s">
        <v>1799</v>
      </c>
      <c r="F316" s="752">
        <f t="shared" ref="F316" si="63">SUM(F312:F315)</f>
        <v>74.270095927404782</v>
      </c>
      <c r="G316" s="752">
        <f t="shared" ref="G316:N316" si="64">SUM(G312:G315)</f>
        <v>25.724761047454187</v>
      </c>
      <c r="H316" s="752">
        <f t="shared" si="64"/>
        <v>26.90849851838091</v>
      </c>
      <c r="I316" s="752">
        <f t="shared" si="64"/>
        <v>26.77053270003233</v>
      </c>
      <c r="J316" s="752">
        <f t="shared" si="64"/>
        <v>26.20513547272845</v>
      </c>
      <c r="K316" s="752">
        <f t="shared" si="64"/>
        <v>25.656095230551134</v>
      </c>
      <c r="L316" s="752">
        <f t="shared" si="64"/>
        <v>25.122883585265498</v>
      </c>
      <c r="M316" s="752">
        <f t="shared" si="64"/>
        <v>24.604991926260837</v>
      </c>
      <c r="N316" s="752">
        <f t="shared" si="64"/>
        <v>27.25478635931897</v>
      </c>
    </row>
    <row r="317" spans="2:14" s="20" customFormat="1" x14ac:dyDescent="0.2">
      <c r="B317" s="1427"/>
      <c r="C317" s="1615"/>
    </row>
    <row r="318" spans="2:14" s="20" customFormat="1" x14ac:dyDescent="0.2">
      <c r="B318" s="1427" t="str">
        <f>INDEX(AirQualityVectors[Code],MATCH(C318,AirQualityVectors[Description],0))</f>
        <v>AQ.02</v>
      </c>
      <c r="C318" s="2022" t="s">
        <v>1794</v>
      </c>
      <c r="E318" s="172"/>
    </row>
    <row r="319" spans="2:14" s="20" customFormat="1" x14ac:dyDescent="0.2">
      <c r="B319" s="1426" t="s">
        <v>504</v>
      </c>
      <c r="C319" s="1615" t="s">
        <v>2181</v>
      </c>
      <c r="E319" s="526"/>
      <c r="F319" s="23">
        <f>H85*F210/G210</f>
        <v>0.89869912936724528</v>
      </c>
      <c r="G319" s="23">
        <f>G94</f>
        <v>0.67557752250222447</v>
      </c>
      <c r="H319" s="23">
        <f>G103</f>
        <v>0.73679948739932755</v>
      </c>
      <c r="I319" s="23">
        <f t="shared" ref="I319:N322" si="65">$G103*I210/$H210</f>
        <v>0.78280603198601628</v>
      </c>
      <c r="J319" s="23">
        <f t="shared" si="65"/>
        <v>0.80367151378832002</v>
      </c>
      <c r="K319" s="23">
        <f t="shared" si="65"/>
        <v>0.82509315933113248</v>
      </c>
      <c r="L319" s="23">
        <f t="shared" si="65"/>
        <v>0.8470857930076402</v>
      </c>
      <c r="M319" s="23">
        <f t="shared" si="65"/>
        <v>0.86966463435119634</v>
      </c>
      <c r="N319" s="23">
        <f t="shared" si="65"/>
        <v>0.65273908468461861</v>
      </c>
    </row>
    <row r="320" spans="2:14" s="20" customFormat="1" x14ac:dyDescent="0.2">
      <c r="B320" s="1426" t="s">
        <v>505</v>
      </c>
      <c r="C320" s="1615" t="s">
        <v>112</v>
      </c>
      <c r="E320" s="526"/>
      <c r="F320" s="23">
        <f>H86*F211/G211</f>
        <v>7.2931877739724644</v>
      </c>
      <c r="G320" s="23">
        <f>G95</f>
        <v>11.866982852176784</v>
      </c>
      <c r="H320" s="23">
        <f>G104</f>
        <v>11.754736287263878</v>
      </c>
      <c r="I320" s="23">
        <f t="shared" si="65"/>
        <v>12.187069018283175</v>
      </c>
      <c r="J320" s="23">
        <f t="shared" si="65"/>
        <v>12.057752949816022</v>
      </c>
      <c r="K320" s="23">
        <f t="shared" si="65"/>
        <v>11.929809044379923</v>
      </c>
      <c r="L320" s="23">
        <f t="shared" si="65"/>
        <v>11.803222742056644</v>
      </c>
      <c r="M320" s="23">
        <f t="shared" si="65"/>
        <v>11.67797963742213</v>
      </c>
      <c r="N320" s="23">
        <f t="shared" si="65"/>
        <v>10.935537387838798</v>
      </c>
    </row>
    <row r="321" spans="2:14" s="20" customFormat="1" x14ac:dyDescent="0.2">
      <c r="B321" s="1426" t="s">
        <v>506</v>
      </c>
      <c r="C321" s="1615" t="s">
        <v>2183</v>
      </c>
      <c r="E321" s="526"/>
      <c r="F321" s="23">
        <f>H87*F212/G212</f>
        <v>18.158905623072897</v>
      </c>
      <c r="G321" s="23">
        <f>G96</f>
        <v>0.27487214578672248</v>
      </c>
      <c r="H321" s="23">
        <f>G105</f>
        <v>0.27487214578672248</v>
      </c>
      <c r="I321" s="23">
        <f t="shared" si="65"/>
        <v>0.26994300954698541</v>
      </c>
      <c r="J321" s="23">
        <f t="shared" si="65"/>
        <v>0.26510226489017991</v>
      </c>
      <c r="K321" s="23">
        <f t="shared" si="65"/>
        <v>0.2603483267369831</v>
      </c>
      <c r="L321" s="23">
        <f t="shared" si="65"/>
        <v>0.25567963843245806</v>
      </c>
      <c r="M321" s="23">
        <f t="shared" si="65"/>
        <v>0.25109467123633417</v>
      </c>
      <c r="N321" s="23">
        <f t="shared" si="65"/>
        <v>0.28500207857785059</v>
      </c>
    </row>
    <row r="322" spans="2:14" s="20" customFormat="1" x14ac:dyDescent="0.2">
      <c r="B322" s="1426" t="s">
        <v>507</v>
      </c>
      <c r="C322" s="1615" t="s">
        <v>102</v>
      </c>
      <c r="E322" s="526"/>
      <c r="F322" s="23">
        <f>H88*F213/G213</f>
        <v>0</v>
      </c>
      <c r="G322" s="23">
        <f>G97</f>
        <v>0</v>
      </c>
      <c r="H322" s="23">
        <f>G106</f>
        <v>0</v>
      </c>
      <c r="I322" s="23">
        <f t="shared" si="65"/>
        <v>0</v>
      </c>
      <c r="J322" s="23">
        <f t="shared" si="65"/>
        <v>0</v>
      </c>
      <c r="K322" s="23">
        <f t="shared" si="65"/>
        <v>0</v>
      </c>
      <c r="L322" s="23">
        <f t="shared" si="65"/>
        <v>0</v>
      </c>
      <c r="M322" s="23">
        <f t="shared" si="65"/>
        <v>0</v>
      </c>
      <c r="N322" s="23">
        <f t="shared" si="65"/>
        <v>0</v>
      </c>
    </row>
    <row r="323" spans="2:14" s="20" customFormat="1" x14ac:dyDescent="0.2">
      <c r="B323" s="1426"/>
      <c r="C323" s="1427" t="str">
        <f>"Total "&amp;C318</f>
        <v>Total NOX</v>
      </c>
      <c r="E323" s="751" t="s">
        <v>1799</v>
      </c>
      <c r="F323" s="752">
        <f t="shared" ref="F323" si="66">SUM(F319:F322)</f>
        <v>26.350792526412604</v>
      </c>
      <c r="G323" s="752">
        <f t="shared" ref="G323:N323" si="67">SUM(G319:G322)</f>
        <v>12.817432520465733</v>
      </c>
      <c r="H323" s="752">
        <f t="shared" si="67"/>
        <v>12.766407920449929</v>
      </c>
      <c r="I323" s="752">
        <f t="shared" si="67"/>
        <v>13.239818059816177</v>
      </c>
      <c r="J323" s="752">
        <f t="shared" si="67"/>
        <v>13.126526728494522</v>
      </c>
      <c r="K323" s="752">
        <f t="shared" si="67"/>
        <v>13.015250530448037</v>
      </c>
      <c r="L323" s="752">
        <f t="shared" si="67"/>
        <v>12.905988173496741</v>
      </c>
      <c r="M323" s="752">
        <f t="shared" si="67"/>
        <v>12.79873894300966</v>
      </c>
      <c r="N323" s="752">
        <f t="shared" si="67"/>
        <v>11.873278551101267</v>
      </c>
    </row>
    <row r="324" spans="2:14" s="20" customFormat="1" x14ac:dyDescent="0.2">
      <c r="B324" s="1427"/>
      <c r="C324" s="1615"/>
    </row>
    <row r="325" spans="2:14" s="20" customFormat="1" x14ac:dyDescent="0.2">
      <c r="B325" s="1427" t="str">
        <f>INDEX(AirQualityVectors[Code],MATCH(C325,AirQualityVectors[Description],0))</f>
        <v>AQ.03</v>
      </c>
      <c r="C325" s="2022" t="s">
        <v>1795</v>
      </c>
      <c r="E325" s="172"/>
    </row>
    <row r="326" spans="2:14" s="20" customFormat="1" x14ac:dyDescent="0.2">
      <c r="B326" s="1426" t="s">
        <v>504</v>
      </c>
      <c r="C326" s="1615" t="s">
        <v>2181</v>
      </c>
      <c r="E326" s="526"/>
      <c r="F326" s="23">
        <f>I85*(F210/G210)</f>
        <v>5.9506969934961607</v>
      </c>
      <c r="G326" s="23">
        <f>H94</f>
        <v>0.99057903228154776</v>
      </c>
      <c r="H326" s="23">
        <f>H103</f>
        <v>1.1337528116263402</v>
      </c>
      <c r="I326" s="23">
        <f t="shared" ref="I326:N329" si="68">$H103*I210/$H210</f>
        <v>1.2045455444802673</v>
      </c>
      <c r="J326" s="23">
        <f t="shared" si="68"/>
        <v>1.2366523782442258</v>
      </c>
      <c r="K326" s="23">
        <f t="shared" si="68"/>
        <v>1.2696150109267641</v>
      </c>
      <c r="L326" s="23">
        <f t="shared" si="68"/>
        <v>1.3034562536152177</v>
      </c>
      <c r="M326" s="23">
        <f t="shared" si="68"/>
        <v>1.3381995254202477</v>
      </c>
      <c r="N326" s="23">
        <f t="shared" si="68"/>
        <v>1.0044045702742239</v>
      </c>
    </row>
    <row r="327" spans="2:14" s="20" customFormat="1" x14ac:dyDescent="0.2">
      <c r="B327" s="1426" t="s">
        <v>505</v>
      </c>
      <c r="C327" s="1615" t="s">
        <v>112</v>
      </c>
      <c r="E327" s="526"/>
      <c r="F327" s="23">
        <f>I86*(F211/G211)</f>
        <v>6.5689725460791637</v>
      </c>
      <c r="G327" s="23">
        <f>H95</f>
        <v>11.852651444288961</v>
      </c>
      <c r="H327" s="23">
        <f>H104</f>
        <v>11.740809660969569</v>
      </c>
      <c r="I327" s="23">
        <f t="shared" si="68"/>
        <v>12.172630178338762</v>
      </c>
      <c r="J327" s="23">
        <f t="shared" si="68"/>
        <v>12.043467319311224</v>
      </c>
      <c r="K327" s="23">
        <f t="shared" si="68"/>
        <v>11.915674997620952</v>
      </c>
      <c r="L327" s="23">
        <f t="shared" si="68"/>
        <v>11.789238670599827</v>
      </c>
      <c r="M327" s="23">
        <f t="shared" si="68"/>
        <v>11.664143949890871</v>
      </c>
      <c r="N327" s="23">
        <f t="shared" si="68"/>
        <v>10.922581321551469</v>
      </c>
    </row>
    <row r="328" spans="2:14" s="20" customFormat="1" x14ac:dyDescent="0.2">
      <c r="B328" s="1426" t="s">
        <v>506</v>
      </c>
      <c r="C328" s="1615" t="s">
        <v>2183</v>
      </c>
      <c r="E328" s="526"/>
      <c r="F328" s="23">
        <f>I87*(F212/G212)</f>
        <v>18.52132262133447</v>
      </c>
      <c r="G328" s="23">
        <f>H96</f>
        <v>0.4693138177355225</v>
      </c>
      <c r="H328" s="23">
        <f>H105</f>
        <v>0.4693138177355225</v>
      </c>
      <c r="I328" s="23">
        <f t="shared" si="68"/>
        <v>0.46089786223669044</v>
      </c>
      <c r="J328" s="23">
        <f t="shared" si="68"/>
        <v>0.4526328255991442</v>
      </c>
      <c r="K328" s="23">
        <f t="shared" si="68"/>
        <v>0.44451600147507853</v>
      </c>
      <c r="L328" s="23">
        <f t="shared" si="68"/>
        <v>0.43654473204818689</v>
      </c>
      <c r="M328" s="23">
        <f t="shared" si="68"/>
        <v>0.42871640716337056</v>
      </c>
      <c r="N328" s="23">
        <f t="shared" si="68"/>
        <v>0.48660955869902267</v>
      </c>
    </row>
    <row r="329" spans="2:14" s="20" customFormat="1" x14ac:dyDescent="0.2">
      <c r="B329" s="1426" t="s">
        <v>507</v>
      </c>
      <c r="C329" s="1615" t="s">
        <v>102</v>
      </c>
      <c r="E329" s="526"/>
      <c r="F329" s="23">
        <f>I88*(F213/G213)</f>
        <v>271.02669335087666</v>
      </c>
      <c r="G329" s="23">
        <f>H97</f>
        <v>0</v>
      </c>
      <c r="H329" s="23">
        <f>H106</f>
        <v>0</v>
      </c>
      <c r="I329" s="23">
        <f t="shared" si="68"/>
        <v>0</v>
      </c>
      <c r="J329" s="23">
        <f t="shared" si="68"/>
        <v>0</v>
      </c>
      <c r="K329" s="23">
        <f t="shared" si="68"/>
        <v>0</v>
      </c>
      <c r="L329" s="23">
        <f t="shared" si="68"/>
        <v>0</v>
      </c>
      <c r="M329" s="23">
        <f t="shared" si="68"/>
        <v>0</v>
      </c>
      <c r="N329" s="23">
        <f t="shared" si="68"/>
        <v>0</v>
      </c>
    </row>
    <row r="330" spans="2:14" s="20" customFormat="1" x14ac:dyDescent="0.2">
      <c r="B330" s="1426"/>
      <c r="C330" s="1427" t="str">
        <f>"Total "&amp;C325</f>
        <v>Total SO2</v>
      </c>
      <c r="E330" s="751" t="s">
        <v>1799</v>
      </c>
      <c r="F330" s="752">
        <f t="shared" ref="F330" si="69">SUM(F326:F329)</f>
        <v>302.06768551178646</v>
      </c>
      <c r="G330" s="752">
        <f t="shared" ref="G330:N330" si="70">SUM(G326:G329)</f>
        <v>13.312544294306033</v>
      </c>
      <c r="H330" s="752">
        <f t="shared" si="70"/>
        <v>13.343876290331433</v>
      </c>
      <c r="I330" s="752">
        <f t="shared" si="70"/>
        <v>13.838073585055719</v>
      </c>
      <c r="J330" s="752">
        <f t="shared" si="70"/>
        <v>13.732752523154595</v>
      </c>
      <c r="K330" s="752">
        <f t="shared" si="70"/>
        <v>13.629806010022794</v>
      </c>
      <c r="L330" s="752">
        <f t="shared" si="70"/>
        <v>13.529239656263233</v>
      </c>
      <c r="M330" s="752">
        <f t="shared" si="70"/>
        <v>13.431059882474489</v>
      </c>
      <c r="N330" s="752">
        <f t="shared" si="70"/>
        <v>12.413595450524715</v>
      </c>
    </row>
    <row r="331" spans="2:14" s="20" customFormat="1" x14ac:dyDescent="0.2">
      <c r="B331" s="1427"/>
      <c r="C331" s="1615"/>
    </row>
    <row r="332" spans="2:14" s="20" customFormat="1" x14ac:dyDescent="0.2">
      <c r="B332" s="1427" t="str">
        <f>INDEX(AirQualityVectors[Code],MATCH(C332,AirQualityVectors[Description],0))</f>
        <v>AQ.04</v>
      </c>
      <c r="C332" s="2022" t="s">
        <v>1792</v>
      </c>
      <c r="E332" s="172"/>
    </row>
    <row r="333" spans="2:14" s="20" customFormat="1" x14ac:dyDescent="0.2">
      <c r="B333" s="1426" t="s">
        <v>504</v>
      </c>
      <c r="C333" s="1615" t="s">
        <v>2181</v>
      </c>
      <c r="E333" s="526"/>
      <c r="F333" s="23">
        <f>J85*F210/G210</f>
        <v>0</v>
      </c>
      <c r="G333" s="23">
        <f>I94</f>
        <v>4.1135491609978638</v>
      </c>
      <c r="H333" s="23">
        <f>I103</f>
        <v>4.6915851870290615</v>
      </c>
      <c r="I333" s="23">
        <f t="shared" ref="I333:N336" si="71">$I103*(I210/$H210)</f>
        <v>4.9845327620214954</v>
      </c>
      <c r="J333" s="23">
        <f t="shared" si="71"/>
        <v>5.1173941266370448</v>
      </c>
      <c r="K333" s="23">
        <f t="shared" si="71"/>
        <v>5.2537968747784491</v>
      </c>
      <c r="L333" s="23">
        <f t="shared" si="71"/>
        <v>5.3938354010600769</v>
      </c>
      <c r="M333" s="23">
        <f t="shared" si="71"/>
        <v>5.5376066161590565</v>
      </c>
      <c r="N333" s="23">
        <f t="shared" si="71"/>
        <v>4.1563289240475925</v>
      </c>
    </row>
    <row r="334" spans="2:14" s="20" customFormat="1" x14ac:dyDescent="0.2">
      <c r="B334" s="1426" t="s">
        <v>505</v>
      </c>
      <c r="C334" s="1615" t="s">
        <v>112</v>
      </c>
      <c r="E334" s="526"/>
      <c r="F334" s="23">
        <f>J86*F211/G211</f>
        <v>0</v>
      </c>
      <c r="G334" s="23">
        <f>I95</f>
        <v>12.029725783789372</v>
      </c>
      <c r="H334" s="23">
        <f>I104</f>
        <v>11.879839218016937</v>
      </c>
      <c r="I334" s="23">
        <f t="shared" si="71"/>
        <v>12.316773165974599</v>
      </c>
      <c r="J334" s="23">
        <f t="shared" si="71"/>
        <v>12.186080816597068</v>
      </c>
      <c r="K334" s="23">
        <f t="shared" si="71"/>
        <v>12.056775233863334</v>
      </c>
      <c r="L334" s="23">
        <f t="shared" si="71"/>
        <v>11.928841702897333</v>
      </c>
      <c r="M334" s="23">
        <f t="shared" si="71"/>
        <v>11.802265664961427</v>
      </c>
      <c r="N334" s="23">
        <f t="shared" si="71"/>
        <v>11.051921774791024</v>
      </c>
    </row>
    <row r="335" spans="2:14" s="20" customFormat="1" x14ac:dyDescent="0.2">
      <c r="B335" s="1426" t="s">
        <v>506</v>
      </c>
      <c r="C335" s="1615" t="s">
        <v>2183</v>
      </c>
      <c r="E335" s="526"/>
      <c r="F335" s="23">
        <f>J87*F212/G212</f>
        <v>0</v>
      </c>
      <c r="G335" s="23">
        <f>I96</f>
        <v>1.2731951695332895</v>
      </c>
      <c r="H335" s="23">
        <f>I105</f>
        <v>1.3034746998597195</v>
      </c>
      <c r="I335" s="23">
        <f t="shared" si="71"/>
        <v>1.280100180181599</v>
      </c>
      <c r="J335" s="23">
        <f t="shared" si="71"/>
        <v>1.2571448233535452</v>
      </c>
      <c r="K335" s="23">
        <f t="shared" si="71"/>
        <v>1.2346011127507328</v>
      </c>
      <c r="L335" s="23">
        <f t="shared" si="71"/>
        <v>1.2124616665399801</v>
      </c>
      <c r="M335" s="23">
        <f t="shared" si="71"/>
        <v>1.1907192352625982</v>
      </c>
      <c r="N335" s="23">
        <f t="shared" si="71"/>
        <v>1.3515119830363138</v>
      </c>
    </row>
    <row r="336" spans="2:14" s="20" customFormat="1" x14ac:dyDescent="0.2">
      <c r="B336" s="1426" t="s">
        <v>507</v>
      </c>
      <c r="C336" s="1615" t="s">
        <v>102</v>
      </c>
      <c r="E336" s="526"/>
      <c r="F336" s="23">
        <f>J88*F213/G213</f>
        <v>0</v>
      </c>
      <c r="G336" s="23">
        <f>I97</f>
        <v>207.49193152523213</v>
      </c>
      <c r="H336" s="23">
        <f>I106</f>
        <v>211.14982470641903</v>
      </c>
      <c r="I336" s="23">
        <f t="shared" si="71"/>
        <v>204.2989574034516</v>
      </c>
      <c r="J336" s="23">
        <f t="shared" si="71"/>
        <v>196.20107257862551</v>
      </c>
      <c r="K336" s="23">
        <f t="shared" si="71"/>
        <v>188.4241670650479</v>
      </c>
      <c r="L336" s="23">
        <f t="shared" si="71"/>
        <v>180.95551806899201</v>
      </c>
      <c r="M336" s="23">
        <f t="shared" si="71"/>
        <v>173.78290709552712</v>
      </c>
      <c r="N336" s="23">
        <f t="shared" si="71"/>
        <v>225.548464603654</v>
      </c>
    </row>
    <row r="337" spans="2:15" s="20" customFormat="1" x14ac:dyDescent="0.2">
      <c r="B337" s="1427"/>
      <c r="C337" s="1427" t="str">
        <f>"Total "&amp;C332</f>
        <v>Total NMVOC</v>
      </c>
      <c r="E337" s="751" t="s">
        <v>1799</v>
      </c>
      <c r="F337" s="752">
        <f t="shared" ref="F337" si="72">SUM(F333:F336)</f>
        <v>0</v>
      </c>
      <c r="G337" s="752">
        <f t="shared" ref="G337:N337" si="73">SUM(G333:G336)</f>
        <v>224.90840163955266</v>
      </c>
      <c r="H337" s="752">
        <f t="shared" si="73"/>
        <v>229.02472381132475</v>
      </c>
      <c r="I337" s="752">
        <f t="shared" si="73"/>
        <v>222.8803635116293</v>
      </c>
      <c r="J337" s="752">
        <f t="shared" si="73"/>
        <v>214.76169234521316</v>
      </c>
      <c r="K337" s="752">
        <f t="shared" si="73"/>
        <v>206.9693402864404</v>
      </c>
      <c r="L337" s="752">
        <f t="shared" si="73"/>
        <v>199.49065683948939</v>
      </c>
      <c r="M337" s="752">
        <f t="shared" si="73"/>
        <v>192.31349861191021</v>
      </c>
      <c r="N337" s="752">
        <f t="shared" si="73"/>
        <v>242.10822728552893</v>
      </c>
    </row>
    <row r="338" spans="2:15" s="20" customFormat="1" x14ac:dyDescent="0.2">
      <c r="B338" s="1427"/>
      <c r="C338" s="1615"/>
      <c r="E338" s="172"/>
    </row>
    <row r="339" spans="2:15" s="20" customFormat="1" x14ac:dyDescent="0.2">
      <c r="B339" s="82"/>
      <c r="C339" s="38"/>
      <c r="E339" s="526"/>
      <c r="F339" s="23"/>
      <c r="G339" s="23"/>
      <c r="H339" s="23"/>
      <c r="I339" s="23"/>
      <c r="J339" s="23"/>
      <c r="K339" s="23"/>
      <c r="L339" s="23"/>
      <c r="M339" s="23"/>
      <c r="N339" s="23"/>
    </row>
    <row r="340" spans="2:15" s="20" customFormat="1" x14ac:dyDescent="0.2">
      <c r="B340" s="82" t="s">
        <v>509</v>
      </c>
      <c r="C340" s="82"/>
      <c r="E340" s="526"/>
      <c r="F340" s="23"/>
      <c r="G340" s="23"/>
      <c r="H340" s="23"/>
      <c r="I340" s="23"/>
      <c r="J340" s="23"/>
      <c r="K340" s="23"/>
      <c r="L340" s="23"/>
      <c r="M340" s="23"/>
    </row>
    <row r="341" spans="2:15" s="20" customFormat="1" x14ac:dyDescent="0.2">
      <c r="B341" s="82"/>
      <c r="C341" s="82"/>
      <c r="E341" s="526"/>
      <c r="F341" s="1429">
        <v>2010</v>
      </c>
      <c r="G341" s="1429">
        <v>2015</v>
      </c>
      <c r="H341" s="1429">
        <v>2020</v>
      </c>
      <c r="I341" s="1429">
        <v>2025</v>
      </c>
      <c r="J341" s="1429">
        <v>2030</v>
      </c>
      <c r="K341" s="1429">
        <v>2035</v>
      </c>
      <c r="L341" s="1429">
        <v>2040</v>
      </c>
      <c r="M341" s="1429">
        <v>2045</v>
      </c>
      <c r="N341" s="1429">
        <v>2050</v>
      </c>
    </row>
    <row r="342" spans="2:15" s="20" customFormat="1" x14ac:dyDescent="0.2">
      <c r="B342" s="82"/>
      <c r="C342" s="82"/>
      <c r="E342" s="526"/>
      <c r="F342" s="23"/>
      <c r="G342" s="23"/>
      <c r="H342" s="23"/>
      <c r="I342" s="23"/>
      <c r="J342" s="23"/>
      <c r="K342" s="23"/>
      <c r="L342" s="23"/>
      <c r="M342" s="23"/>
    </row>
    <row r="343" spans="2:15" s="20" customFormat="1" ht="14.25" x14ac:dyDescent="0.25">
      <c r="B343" s="172" t="s">
        <v>473</v>
      </c>
      <c r="C343" s="38" t="str">
        <f>INDEX(GHG[GHG_description], MATCH($B343, GHG[GHG_code], 0))</f>
        <v>CO_2</v>
      </c>
      <c r="D343" s="82"/>
      <c r="E343" s="754" t="s">
        <v>778</v>
      </c>
      <c r="F343" s="1428">
        <f t="array" ref="F343">SUM(F$242:F$246*SUMIFS(EF[CO2], EF[Vector], $B$242:$B$246))</f>
        <v>4.6465993766688545</v>
      </c>
      <c r="G343" s="153">
        <f t="array" ref="G343">SUM(G$242:G$246*SUMIFS(EF[CO2], EF[Vector], $B$242:$B$246))</f>
        <v>6.511018348691584</v>
      </c>
      <c r="H343" s="153">
        <f t="array" ref="H343">SUM(H$242:H$246*SUMIFS(EF[CO2], EF[Vector], $B$242:$B$246))</f>
        <v>8.9298536496117986</v>
      </c>
      <c r="I343" s="153">
        <f t="array" ref="I343">SUM(I$242:I$246*SUMIFS(EF[CO2], EF[Vector], $B$242:$B$246))</f>
        <v>12.05147599376383</v>
      </c>
      <c r="J343" s="153">
        <f t="array" ref="J343">SUM(J$242:J$246*SUMIFS(EF[CO2], EF[Vector], $B$242:$B$246))</f>
        <v>15.51475711894132</v>
      </c>
      <c r="K343" s="153">
        <f t="array" ref="K343">SUM(K$242:K$246*SUMIFS(EF[CO2], EF[Vector], $B$242:$B$246))</f>
        <v>18.084103551434239</v>
      </c>
      <c r="L343" s="153">
        <f t="array" ref="L343">SUM(L$242:L$246*SUMIFS(EF[CO2], EF[Vector], $B$242:$B$246))</f>
        <v>21.088740866015545</v>
      </c>
      <c r="M343" s="153">
        <f t="array" ref="M343">SUM(M$242:M$246*SUMIFS(EF[CO2], EF[Vector], $B$242:$B$246))</f>
        <v>24.694378476094421</v>
      </c>
      <c r="N343" s="153">
        <f t="array" ref="N343">SUM(N$242:N$246*SUMIFS(EF[CO2], EF[Vector], $B$242:$B$246))</f>
        <v>28.92545021754561</v>
      </c>
    </row>
    <row r="344" spans="2:15" s="20" customFormat="1" ht="14.25" x14ac:dyDescent="0.25">
      <c r="B344" s="172" t="s">
        <v>474</v>
      </c>
      <c r="C344" s="38" t="str">
        <f>INDEX(GHG[GHG_description], MATCH($B344, GHG[GHG_code], 0))</f>
        <v>CH_4</v>
      </c>
      <c r="E344" s="754" t="s">
        <v>778</v>
      </c>
      <c r="F344" s="1428">
        <f t="array" ref="F344">SUM(F$242:F$246*SUMIFS(EF[CH4], EF[Vector], $B$242:$B$246))</f>
        <v>9.2845506712788614E-3</v>
      </c>
      <c r="G344" s="153">
        <f t="array" ref="G344">SUM(G$242:G$246*SUMIFS(EF[CH4], EF[Vector], $B$242:$B$246))</f>
        <v>1.2504687684956557E-2</v>
      </c>
      <c r="H344" s="153">
        <f t="array" ref="H344">SUM(H$242:H$246*SUMIFS(EF[CH4], EF[Vector], $B$242:$B$246))</f>
        <v>1.6636145123288308E-2</v>
      </c>
      <c r="I344" s="153">
        <f t="array" ref="I344">SUM(I$242:I$246*SUMIFS(EF[CH4], EF[Vector], $B$242:$B$246))</f>
        <v>2.1916591075595349E-2</v>
      </c>
      <c r="J344" s="153">
        <f t="array" ref="J344">SUM(J$242:J$246*SUMIFS(EF[CH4], EF[Vector], $B$242:$B$246))</f>
        <v>2.7667361891376988E-2</v>
      </c>
      <c r="K344" s="153">
        <f t="array" ref="K344">SUM(K$242:K$246*SUMIFS(EF[CH4], EF[Vector], $B$242:$B$246))</f>
        <v>3.2438567790519859E-2</v>
      </c>
      <c r="L344" s="153">
        <f t="array" ref="L344">SUM(L$242:L$246*SUMIFS(EF[CH4], EF[Vector], $B$242:$B$246))</f>
        <v>3.8045305284095776E-2</v>
      </c>
      <c r="M344" s="153">
        <f t="array" ref="M344">SUM(M$242:M$246*SUMIFS(EF[CH4], EF[Vector], $B$242:$B$246))</f>
        <v>4.4554644074984703E-2</v>
      </c>
      <c r="N344" s="153">
        <f t="array" ref="N344">SUM(N$242:N$246*SUMIFS(EF[CH4], EF[Vector], $B$242:$B$246))</f>
        <v>5.2193740124750462E-2</v>
      </c>
    </row>
    <row r="345" spans="2:15" s="20" customFormat="1" ht="14.25" x14ac:dyDescent="0.25">
      <c r="B345" s="172" t="s">
        <v>475</v>
      </c>
      <c r="C345" s="38" t="str">
        <f>INDEX(GHG[GHG_description], MATCH($B345, GHG[GHG_code], 0))</f>
        <v>N_2O</v>
      </c>
      <c r="E345" s="754" t="s">
        <v>778</v>
      </c>
      <c r="F345" s="1428">
        <f t="array" ref="F345">SUM(F$242:F$246*SUMIFS(EF[N2O], EF[Vector], $B$242:$B$246))</f>
        <v>2.2780742935134775E-2</v>
      </c>
      <c r="G345" s="153">
        <f t="array" ref="G345">SUM(G$242:G$246*SUMIFS(EF[N2O], EF[Vector], $B$242:$B$246))</f>
        <v>3.9909178889935393E-2</v>
      </c>
      <c r="H345" s="153">
        <f t="array" ref="H345">SUM(H$242:H$246*SUMIFS(EF[N2O], EF[Vector], $B$242:$B$246))</f>
        <v>6.2862130240715366E-2</v>
      </c>
      <c r="I345" s="153">
        <f t="array" ref="I345">SUM(I$242:I$246*SUMIFS(EF[N2O], EF[Vector], $B$242:$B$246))</f>
        <v>9.3296605411917255E-2</v>
      </c>
      <c r="J345" s="153">
        <f t="array" ref="J345">SUM(J$242:J$246*SUMIFS(EF[N2O], EF[Vector], $B$242:$B$246))</f>
        <v>0.12876352576808422</v>
      </c>
      <c r="K345" s="153">
        <f t="array" ref="K345">SUM(K$242:K$246*SUMIFS(EF[N2O], EF[Vector], $B$242:$B$246))</f>
        <v>0.14640149015090617</v>
      </c>
      <c r="L345" s="153">
        <f t="array" ref="L345">SUM(L$242:L$246*SUMIFS(EF[N2O], EF[Vector], $B$242:$B$246))</f>
        <v>0.16649783422135445</v>
      </c>
      <c r="M345" s="153">
        <f t="array" ref="M345">SUM(M$242:M$246*SUMIFS(EF[N2O], EF[Vector], $B$242:$B$246))</f>
        <v>0.19507077297366815</v>
      </c>
      <c r="N345" s="153">
        <f t="array" ref="N345">SUM(N$242:N$246*SUMIFS(EF[N2O], EF[Vector], $B$242:$B$246))</f>
        <v>0.22861501923408484</v>
      </c>
    </row>
    <row r="346" spans="2:15" s="20" customFormat="1" x14ac:dyDescent="0.2">
      <c r="B346" s="172"/>
      <c r="C346" s="38"/>
      <c r="E346" s="754"/>
      <c r="F346" s="1428"/>
      <c r="G346" s="153"/>
      <c r="H346" s="153"/>
      <c r="I346" s="153"/>
      <c r="J346" s="153"/>
      <c r="K346" s="153"/>
      <c r="L346" s="153"/>
      <c r="M346" s="153"/>
      <c r="N346" s="153"/>
    </row>
    <row r="347" spans="2:15" s="20" customFormat="1" ht="14.25" x14ac:dyDescent="0.25">
      <c r="B347" s="172"/>
      <c r="C347" s="38" t="s">
        <v>783</v>
      </c>
      <c r="E347" s="754" t="s">
        <v>778</v>
      </c>
      <c r="F347" s="1428">
        <f t="array" ref="F347">SUM(F$249:F$253*SUMIFS(EF[CO2], EF[Vector], $B$249:$B$253))</f>
        <v>8.5580294377450697E-2</v>
      </c>
      <c r="G347" s="153">
        <f t="array" ref="G347">SUM(G$249:G$253*SUMIFS(EF[CO2], EF[Vector], $B$249:$B$253))</f>
        <v>0.10361726776760474</v>
      </c>
      <c r="H347" s="153">
        <f t="array" ref="H347">SUM(H$249:H$253*SUMIFS(EF[CO2], EF[Vector], $B$249:$B$253))</f>
        <v>0.12269920102392215</v>
      </c>
      <c r="I347" s="153">
        <f t="array" ref="I347">SUM(I$249:I$253*SUMIFS(EF[CO2], EF[Vector], $B$249:$B$253))</f>
        <v>0.14287382821478714</v>
      </c>
      <c r="J347" s="153">
        <f t="array" ref="J347">SUM(J$249:J$253*SUMIFS(EF[CO2], EF[Vector], $B$249:$B$253))</f>
        <v>0.162970405602824</v>
      </c>
      <c r="K347" s="153">
        <f t="array" ref="K347">SUM(K$249:K$253*SUMIFS(EF[CO2], EF[Vector], $B$249:$B$253))</f>
        <v>0.16821329784483469</v>
      </c>
      <c r="L347" s="153">
        <f t="array" ref="L347">SUM(L$249:L$253*SUMIFS(EF[CO2], EF[Vector], $B$249:$B$253))</f>
        <v>0.17361295405091892</v>
      </c>
      <c r="M347" s="153">
        <f t="array" ref="M347">SUM(M$249:M$253*SUMIFS(EF[CO2], EF[Vector], $B$249:$B$253))</f>
        <v>0.17983950094527562</v>
      </c>
      <c r="N347" s="153">
        <f t="array" ref="N347">SUM(N$249:N$253*SUMIFS(EF[CO2], EF[Vector], $B$249:$B$253))</f>
        <v>0.1862633482432946</v>
      </c>
    </row>
    <row r="348" spans="2:15" s="20" customFormat="1" x14ac:dyDescent="0.2">
      <c r="B348" s="82"/>
      <c r="E348" s="526"/>
      <c r="F348" s="153"/>
      <c r="G348" s="153"/>
      <c r="H348" s="153"/>
      <c r="I348" s="153"/>
      <c r="J348" s="153"/>
      <c r="K348" s="153"/>
      <c r="L348" s="153"/>
      <c r="M348" s="153"/>
      <c r="N348" s="153"/>
    </row>
    <row r="349" spans="2:15" s="2226" customFormat="1" x14ac:dyDescent="0.2">
      <c r="B349" s="2226" t="s">
        <v>1976</v>
      </c>
      <c r="C349" s="20"/>
      <c r="D349" s="20"/>
      <c r="E349" s="526"/>
      <c r="F349" s="1428"/>
      <c r="G349" s="1428"/>
      <c r="H349" s="1428"/>
      <c r="I349" s="1428"/>
      <c r="J349" s="1428"/>
      <c r="K349" s="1428"/>
      <c r="L349" s="1428"/>
      <c r="M349" s="1428"/>
      <c r="N349" s="1428"/>
      <c r="O349" s="20"/>
    </row>
    <row r="350" spans="2:15" s="2226" customFormat="1" x14ac:dyDescent="0.2">
      <c r="C350" s="2226" t="s">
        <v>104</v>
      </c>
      <c r="D350" s="1788"/>
      <c r="E350" s="1788"/>
      <c r="F350" s="2223">
        <f ca="1">F243*(1-'Intermediate output'!AX$250)</f>
        <v>1.507731915164449</v>
      </c>
      <c r="G350" s="2223">
        <f ca="1">G243*(1-'Intermediate output'!AY$250)</f>
        <v>1.7966139938633079</v>
      </c>
      <c r="H350" s="2223">
        <f ca="1">H243*(1-'Intermediate output'!AZ$250)</f>
        <v>2.1424701278326816</v>
      </c>
      <c r="I350" s="2223">
        <f ca="1">I243*(1-'Intermediate output'!BA$250)</f>
        <v>2.5566586608648891</v>
      </c>
      <c r="J350" s="2223">
        <f ca="1">J243*(1-'Intermediate output'!BB$250)</f>
        <v>2.9488528016668729</v>
      </c>
      <c r="K350" s="2223">
        <f ca="1">K243*(1-'Intermediate output'!BC$250)</f>
        <v>3.4696117782766001</v>
      </c>
      <c r="L350" s="2223">
        <f ca="1">L243*(1-'Intermediate output'!BD$250)</f>
        <v>4.0832542270754386</v>
      </c>
      <c r="M350" s="2223">
        <f ca="1">M243*(1-'Intermediate output'!BE$250)</f>
        <v>4.8063507560668581</v>
      </c>
      <c r="N350" s="2223">
        <f ca="1">N243*(1-'Intermediate output'!BF$250)</f>
        <v>5.6584169494018459</v>
      </c>
      <c r="O350" s="37"/>
    </row>
    <row r="351" spans="2:15" s="2226" customFormat="1" x14ac:dyDescent="0.2">
      <c r="C351" s="2226" t="s">
        <v>118</v>
      </c>
      <c r="D351" s="1788"/>
      <c r="E351" s="1788"/>
      <c r="F351" s="2223">
        <f ca="1">F244*(1-'Intermediate output'!AX$251)</f>
        <v>2.4161484947292431</v>
      </c>
      <c r="G351" s="2223">
        <f ca="1">G244*(1-'Intermediate output'!AY$251)</f>
        <v>5.543011108980485</v>
      </c>
      <c r="H351" s="2223">
        <f ca="1">H244*(1-'Intermediate output'!AZ$251)</f>
        <v>9.7427315560169063</v>
      </c>
      <c r="I351" s="2223">
        <f ca="1">I244*(1-'Intermediate output'!BA$251)</f>
        <v>15.332797030757472</v>
      </c>
      <c r="J351" s="2223">
        <f ca="1">J244*(1-'Intermediate output'!BB$251)</f>
        <v>21.989473266456876</v>
      </c>
      <c r="K351" s="2223">
        <f ca="1">K244*(1-'Intermediate output'!BC$251)</f>
        <v>24.642669909408003</v>
      </c>
      <c r="L351" s="2223">
        <f ca="1">L244*(1-'Intermediate output'!BD$251)</f>
        <v>27.566092651867187</v>
      </c>
      <c r="M351" s="2223">
        <f ca="1">M244*(1-'Intermediate output'!BE$251)</f>
        <v>32.135767058060352</v>
      </c>
      <c r="N351" s="2223">
        <f ca="1">N244*(1-'Intermediate output'!BF$251)</f>
        <v>37.422477988570698</v>
      </c>
      <c r="O351" s="37"/>
    </row>
    <row r="352" spans="2:15" s="2226" customFormat="1" x14ac:dyDescent="0.2">
      <c r="C352" s="2226" t="s">
        <v>130</v>
      </c>
      <c r="D352" s="1788"/>
      <c r="E352" s="1788"/>
      <c r="F352" s="2223">
        <f ca="1">F245*(1-'Intermediate output'!AX$252)</f>
        <v>2.2549062730822995</v>
      </c>
      <c r="G352" s="2223">
        <f ca="1">G245*(1-'Intermediate output'!AY$252)</f>
        <v>2.2632889485817769</v>
      </c>
      <c r="H352" s="2223">
        <f ca="1">H245*(1-'Intermediate output'!AZ$252)</f>
        <v>5.6086896025895845</v>
      </c>
      <c r="I352" s="2223">
        <f ca="1">I245*(1-'Intermediate output'!BA$252)</f>
        <v>3.6996641668693018</v>
      </c>
      <c r="J352" s="2223">
        <f ca="1">J245*(1-'Intermediate output'!BB$252)</f>
        <v>6.0151462922146104</v>
      </c>
      <c r="K352" s="2223">
        <f ca="1">K245*(1-'Intermediate output'!BC$252)</f>
        <v>10.839419525524713</v>
      </c>
      <c r="L352" s="2223">
        <f ca="1">L245*(1-'Intermediate output'!BD$252)</f>
        <v>16.045233589934746</v>
      </c>
      <c r="M352" s="2223">
        <f ca="1">M245*(1-'Intermediate output'!BE$252)</f>
        <v>21.191668573119607</v>
      </c>
      <c r="N352" s="2223">
        <f ca="1">N245*(1-'Intermediate output'!BF$252)</f>
        <v>27.118793255043308</v>
      </c>
      <c r="O352" s="37"/>
    </row>
    <row r="353" spans="2:15" s="2479" customFormat="1" x14ac:dyDescent="0.2">
      <c r="C353" s="2479" t="s">
        <v>2429</v>
      </c>
      <c r="D353" s="1788"/>
      <c r="E353" s="1788"/>
      <c r="F353" s="2223">
        <f ca="1">F244*('Intermediate output'!AX$253)</f>
        <v>1.1889939694419711</v>
      </c>
      <c r="G353" s="2223">
        <f ca="1">G244*('Intermediate output'!AY$253)</f>
        <v>2.1860066017828661</v>
      </c>
      <c r="H353" s="2223">
        <f ca="1">H244*('Intermediate output'!AZ$253)</f>
        <v>2.8650888322310428</v>
      </c>
      <c r="I353" s="2223">
        <f ca="1">I244*('Intermediate output'!BA$253)</f>
        <v>3.6824283373813405</v>
      </c>
      <c r="J353" s="2223">
        <f ca="1">J244*('Intermediate output'!BB$253)</f>
        <v>4.1053512149268458</v>
      </c>
      <c r="K353" s="2223">
        <f ca="1">K244*('Intermediate output'!BC$253)</f>
        <v>3.3573621577915507</v>
      </c>
      <c r="L353" s="2223">
        <f ca="1">L244*('Intermediate output'!BD$253)</f>
        <v>2.5458662820209801</v>
      </c>
      <c r="M353" s="2223">
        <f ca="1">M244*('Intermediate output'!BE$253)</f>
        <v>1.9304519327681384</v>
      </c>
      <c r="N353" s="2223">
        <f ca="1">N244*('Intermediate output'!BF$253)</f>
        <v>1.3657489420777424</v>
      </c>
      <c r="O353" s="37"/>
    </row>
    <row r="354" spans="2:15" s="2226" customFormat="1" x14ac:dyDescent="0.2">
      <c r="C354" s="2226" t="s">
        <v>1214</v>
      </c>
      <c r="D354" s="1788"/>
      <c r="E354" s="1788"/>
      <c r="F354" s="2223">
        <f ca="1">F243*('Intermediate output'!AX$250)</f>
        <v>0</v>
      </c>
      <c r="G354" s="2223">
        <f ca="1">G243*('Intermediate output'!AY$250)</f>
        <v>0</v>
      </c>
      <c r="H354" s="2223">
        <f ca="1">H243*('Intermediate output'!AZ$250)</f>
        <v>0</v>
      </c>
      <c r="I354" s="2223">
        <f ca="1">I243*('Intermediate output'!BA$250)</f>
        <v>0</v>
      </c>
      <c r="J354" s="2223">
        <f ca="1">J243*('Intermediate output'!BB$250)</f>
        <v>0</v>
      </c>
      <c r="K354" s="2223">
        <f ca="1">K243*('Intermediate output'!BC$250)</f>
        <v>0</v>
      </c>
      <c r="L354" s="2223">
        <f ca="1">L243*('Intermediate output'!BD$250)</f>
        <v>0</v>
      </c>
      <c r="M354" s="2223">
        <f ca="1">M243*('Intermediate output'!BE$250)</f>
        <v>0</v>
      </c>
      <c r="N354" s="2223">
        <f ca="1">N243*('Intermediate output'!BF$250)</f>
        <v>0</v>
      </c>
      <c r="O354" s="37"/>
    </row>
    <row r="355" spans="2:15" s="2226" customFormat="1" x14ac:dyDescent="0.2">
      <c r="C355" s="2226" t="s">
        <v>1975</v>
      </c>
      <c r="D355" s="1788"/>
      <c r="E355" s="1788"/>
      <c r="F355" s="2223">
        <f ca="1">F244*'Intermediate output'!AX$251</f>
        <v>2.1437076303648498E-2</v>
      </c>
      <c r="G355" s="2223">
        <f ca="1">G244*'Intermediate output'!AY$251</f>
        <v>5.5076152596727442E-2</v>
      </c>
      <c r="H355" s="2223">
        <f ca="1">H244*'Intermediate output'!AZ$251</f>
        <v>0.15543399011379047</v>
      </c>
      <c r="I355" s="2223">
        <f ca="1">I244*'Intermediate output'!BA$251</f>
        <v>0.33684306074682197</v>
      </c>
      <c r="J355" s="2223">
        <f ca="1">J244*'Intermediate output'!BB$251</f>
        <v>0.54818743199707753</v>
      </c>
      <c r="K355" s="2223">
        <f ca="1">K244*'Intermediate output'!BC$251</f>
        <v>0.67940903380367557</v>
      </c>
      <c r="L355" s="2223">
        <f ca="1">L244*'Intermediate output'!BD$251</f>
        <v>0.87588506776173047</v>
      </c>
      <c r="M355" s="2223">
        <f ca="1">M244*'Intermediate output'!BE$251</f>
        <v>1.1828339458607477</v>
      </c>
      <c r="N355" s="2223">
        <f ca="1">N244*'Intermediate output'!BF$251</f>
        <v>1.6205989623020385</v>
      </c>
      <c r="O355" s="37"/>
    </row>
    <row r="356" spans="2:15" s="20" customFormat="1" x14ac:dyDescent="0.2">
      <c r="B356" s="2226"/>
      <c r="C356" s="2226" t="s">
        <v>1966</v>
      </c>
      <c r="D356" s="1788"/>
      <c r="E356" s="1788"/>
      <c r="F356" s="2223">
        <f ca="1">F245*'Intermediate output'!AX$252</f>
        <v>17.162602172787167</v>
      </c>
      <c r="G356" s="2223">
        <f ca="1">G245*'Intermediate output'!AY$252</f>
        <v>22.509207916567043</v>
      </c>
      <c r="H356" s="2223">
        <f ca="1">H245*'Intermediate output'!AZ$252</f>
        <v>25.888220526250958</v>
      </c>
      <c r="I356" s="2223">
        <f ca="1">I245*'Intermediate output'!BA$252</f>
        <v>36.227591829551194</v>
      </c>
      <c r="J356" s="2223">
        <f ca="1">J245*'Intermediate output'!BB$252</f>
        <v>42.746241106776893</v>
      </c>
      <c r="K356" s="2223">
        <f ca="1">K245*'Intermediate output'!BC$252</f>
        <v>47.230924974052066</v>
      </c>
      <c r="L356" s="2223">
        <f ca="1">L245*'Intermediate output'!BD$252</f>
        <v>53.088484530549401</v>
      </c>
      <c r="M356" s="2223">
        <f ca="1">M245*'Intermediate output'!BE$252</f>
        <v>59.701658558649719</v>
      </c>
      <c r="N356" s="2223">
        <f ca="1">N245*'Intermediate output'!BF$252</f>
        <v>67.565383698280925</v>
      </c>
      <c r="O356" s="37"/>
    </row>
    <row r="357" spans="2:15" s="20" customFormat="1" x14ac:dyDescent="0.2">
      <c r="B357" s="2479"/>
      <c r="C357" s="2479" t="s">
        <v>2185</v>
      </c>
      <c r="D357" s="1788"/>
      <c r="E357" s="1788"/>
      <c r="F357" s="2223">
        <f ca="1">F246*'Intermediate output'!AX$253</f>
        <v>2.7734947799688463</v>
      </c>
      <c r="G357" s="2223">
        <f ca="1">G246*'Intermediate output'!AY$253</f>
        <v>2.6171177929063583</v>
      </c>
      <c r="H357" s="2223">
        <f ca="1">H246*'Intermediate output'!AZ$253</f>
        <v>2.2880232025724898</v>
      </c>
      <c r="I357" s="2223">
        <f ca="1">I246*'Intermediate output'!BA$253</f>
        <v>2.1920298509560019</v>
      </c>
      <c r="J357" s="2223">
        <f ca="1">J246*'Intermediate output'!BB$253</f>
        <v>1.9375723023720162</v>
      </c>
      <c r="K357" s="2223">
        <f ca="1">K246*'Intermediate output'!BC$253</f>
        <v>1.3719989587128931</v>
      </c>
      <c r="L357" s="2223">
        <f ca="1">L246*'Intermediate output'!BD$253</f>
        <v>0.86962759138340406</v>
      </c>
      <c r="M357" s="2223">
        <f ca="1">M246*'Intermediate output'!BE$253</f>
        <v>0.53807217685957898</v>
      </c>
      <c r="N357" s="2223">
        <f ca="1">N246*'Intermediate output'!BF$253</f>
        <v>0.29690194392994407</v>
      </c>
      <c r="O357" s="37"/>
    </row>
    <row r="358" spans="2:15" s="20" customFormat="1" x14ac:dyDescent="0.2">
      <c r="B358" s="1427"/>
      <c r="E358" s="526"/>
      <c r="F358" s="1428"/>
      <c r="G358" s="1428"/>
      <c r="H358" s="1428"/>
      <c r="I358" s="1428"/>
      <c r="J358" s="1428"/>
      <c r="K358" s="1428"/>
      <c r="L358" s="1428"/>
      <c r="M358" s="1428"/>
      <c r="N358" s="1428"/>
    </row>
    <row r="359" spans="2:15" s="20" customFormat="1" x14ac:dyDescent="0.2">
      <c r="B359" s="1427" t="str">
        <f>INDEX(AirQualityVectors[Code],MATCH(C359,AirQualityVectors[Description],0))</f>
        <v>AQ.01</v>
      </c>
      <c r="C359" s="1615" t="s">
        <v>1791</v>
      </c>
      <c r="E359" s="526" t="s">
        <v>1799</v>
      </c>
      <c r="F359" s="2629">
        <f ca="1">SUMPRODUCT(F$350:F$352,F112:F114)+SUMPRODUCT(F$354:F$356,F112:F114,Constants!$F$35:$F$37)</f>
        <v>0.80802607846814456</v>
      </c>
      <c r="G359" s="1428">
        <f ca="1">SUMPRODUCT(G$350:G$352,G112:G114)+SUMPRODUCT(G$354:G$356,G112:G114,Constants!$F$35:$F$37)</f>
        <v>1.2965979955579507</v>
      </c>
      <c r="H359" s="1428">
        <f ca="1">SUMPRODUCT(H$350:H$352,H112:H114)+SUMPRODUCT(H$354:H$356,H112:H114,Constants!$F$35:$F$37)</f>
        <v>1.615312857440782</v>
      </c>
      <c r="I359" s="1428">
        <f ca="1">SUMPRODUCT(I$350:I$352,I112:I114)+SUMPRODUCT(I$354:I$356,I112:I114,Constants!$F$35:$F$37)</f>
        <v>2.3224250520887812</v>
      </c>
      <c r="J359" s="1428">
        <f ca="1">SUMPRODUCT(J$350:J$352,J112:J114)+SUMPRODUCT(J$354:J$356,J112:J114,Constants!$F$35:$F$37)</f>
        <v>2.9637028910245977</v>
      </c>
      <c r="K359" s="1428">
        <f ca="1">SUMPRODUCT(K$350:K$352,K112:K114)+SUMPRODUCT(K$354:K$356,K112:K114,Constants!$F$35:$F$37)</f>
        <v>3.3296275364538448</v>
      </c>
      <c r="L359" s="1428">
        <f ca="1">SUMPRODUCT(L$350:L$352,L112:L114)+SUMPRODUCT(L$354:L$356,L112:L114,Constants!$F$35:$F$37)</f>
        <v>3.781789095463596</v>
      </c>
      <c r="M359" s="1428">
        <f ca="1">SUMPRODUCT(M$350:M$352,M112:M114)+SUMPRODUCT(M$354:M$356,M112:M114,Constants!$F$35:$F$37)</f>
        <v>4.3659286991215698</v>
      </c>
      <c r="N359" s="1428">
        <f ca="1">SUMPRODUCT(N$350:N$352,N112:N114)+SUMPRODUCT(N$354:N$356,N112:N114,Constants!$F$35:$F$37)</f>
        <v>5.0682948112512873</v>
      </c>
    </row>
    <row r="360" spans="2:15" s="20" customFormat="1" x14ac:dyDescent="0.2">
      <c r="B360" s="1427" t="str">
        <f>INDEX(AirQualityVectors[Code],MATCH(C360,AirQualityVectors[Description],0))</f>
        <v>AQ.02</v>
      </c>
      <c r="C360" s="1615" t="s">
        <v>1794</v>
      </c>
      <c r="E360" s="526" t="s">
        <v>1799</v>
      </c>
      <c r="F360" s="1428">
        <f ca="1">SUMPRODUCT(F$350:F$352,F119:F121)+SUMPRODUCT(F$354:F$356,F119:F121,Constants!$G$35:$G$37)</f>
        <v>7.5869326093346947</v>
      </c>
      <c r="G360" s="1428">
        <f ca="1">SUMPRODUCT(G$350:G$352,G119:G121)+SUMPRODUCT(G$354:G$356,G119:G121,Constants!$G$35:$G$37)</f>
        <v>7.7830692346894326</v>
      </c>
      <c r="H360" s="1428">
        <f ca="1">SUMPRODUCT(H$350:H$352,H119:H121)+SUMPRODUCT(H$354:H$356,H119:H121,Constants!$G$35:$G$37)</f>
        <v>10.092313536889595</v>
      </c>
      <c r="I360" s="1428">
        <f ca="1">SUMPRODUCT(I$350:I$352,I119:I121)+SUMPRODUCT(I$354:I$356,I119:I121,Constants!$G$35:$G$37)</f>
        <v>11.923375679694173</v>
      </c>
      <c r="J360" s="1428">
        <f ca="1">SUMPRODUCT(J$350:J$352,J119:J121)+SUMPRODUCT(J$354:J$356,J119:J121,Constants!$G$35:$G$37)</f>
        <v>14.390311746196211</v>
      </c>
      <c r="K360" s="1428">
        <f ca="1">SUMPRODUCT(K$350:K$352,K119:K121)+SUMPRODUCT(K$354:K$356,K119:K121,Constants!$G$35:$G$37)</f>
        <v>17.523373684818228</v>
      </c>
      <c r="L360" s="1428">
        <f ca="1">SUMPRODUCT(L$350:L$352,L119:L121)+SUMPRODUCT(L$354:L$356,L119:L121,Constants!$G$35:$G$37)</f>
        <v>21.141760425644286</v>
      </c>
      <c r="M360" s="1428">
        <f ca="1">SUMPRODUCT(M$350:M$352,M119:M121)+SUMPRODUCT(M$354:M$356,M119:M121,Constants!$G$35:$G$37)</f>
        <v>25.109627567411231</v>
      </c>
      <c r="N360" s="1428">
        <f ca="1">SUMPRODUCT(N$350:N$352,N119:N121)+SUMPRODUCT(N$354:N$356,N119:N121,Constants!$G$35:$G$37)</f>
        <v>29.742456733362072</v>
      </c>
    </row>
    <row r="361" spans="2:15" s="20" customFormat="1" x14ac:dyDescent="0.2">
      <c r="B361" s="1427" t="str">
        <f>INDEX(AirQualityVectors[Code],MATCH(C361,AirQualityVectors[Description],0))</f>
        <v>AQ.03</v>
      </c>
      <c r="C361" s="1615" t="s">
        <v>1795</v>
      </c>
      <c r="E361" s="526" t="s">
        <v>1799</v>
      </c>
      <c r="F361" s="166">
        <f ca="1">SUMPRODUCT(F$350:F$352,F126:F128)+SUMPRODUCT(F$354:F$356,F126:F128,Constants!$H$35:$H$37)</f>
        <v>2.6824777126843444</v>
      </c>
      <c r="G361" s="166">
        <f ca="1">SUMPRODUCT(G$350:G$352,G126:G128)+SUMPRODUCT(G$354:G$356,G126:G128,Constants!$H$35:$H$37)</f>
        <v>4.0915279505647195</v>
      </c>
      <c r="H361" s="166">
        <f ca="1">SUMPRODUCT(H$350:H$352,H126:H128)+SUMPRODUCT(H$354:H$356,H126:H128,Constants!$H$35:$H$37)</f>
        <v>5.8030157687667003</v>
      </c>
      <c r="I361" s="166">
        <f ca="1">SUMPRODUCT(I$350:I$352,I126:I128)+SUMPRODUCT(I$354:I$356,I126:I128,Constants!$H$35:$H$37)</f>
        <v>8.175473517720274</v>
      </c>
      <c r="J361" s="166">
        <f ca="1">SUMPRODUCT(J$350:J$352,J126:J128)+SUMPRODUCT(J$354:J$356,J126:J128,Constants!$H$35:$H$37)</f>
        <v>10.697690264958069</v>
      </c>
      <c r="K361" s="166">
        <f ca="1">SUMPRODUCT(K$350:K$352,K126:K128)+SUMPRODUCT(K$354:K$356,K126:K128,Constants!$H$35:$H$37)</f>
        <v>12.184131123126573</v>
      </c>
      <c r="L361" s="166">
        <f ca="1">SUMPRODUCT(L$350:L$352,L126:L128)+SUMPRODUCT(L$354:L$356,L126:L128,Constants!$H$35:$H$37)</f>
        <v>13.869385880946549</v>
      </c>
      <c r="M361" s="166">
        <f ca="1">SUMPRODUCT(M$350:M$352,M126:M128)+SUMPRODUCT(M$354:M$356,M126:M128,Constants!$H$35:$H$37)</f>
        <v>16.223966118503583</v>
      </c>
      <c r="N361" s="166">
        <f ca="1">SUMPRODUCT(N$350:N$352,N126:N128)+SUMPRODUCT(N$354:N$356,N126:N128,Constants!$H$35:$H$37)</f>
        <v>18.966731271240995</v>
      </c>
    </row>
    <row r="362" spans="2:15" s="20" customFormat="1" x14ac:dyDescent="0.2">
      <c r="B362" s="1427" t="str">
        <f>INDEX(AirQualityVectors[Code],MATCH(C362,AirQualityVectors[Description],0))</f>
        <v>AQ.04</v>
      </c>
      <c r="C362" s="1615" t="s">
        <v>1792</v>
      </c>
      <c r="E362" s="526" t="s">
        <v>1799</v>
      </c>
      <c r="F362" s="2227">
        <f ca="1">SUMPRODUCT(F$350:F$352,F133:F135)+SUMPRODUCT(F$354:F$356,F133:F135,Constants!$I$35:$I$37)</f>
        <v>0.27634028073150219</v>
      </c>
      <c r="G362" s="2227">
        <f ca="1">SUMPRODUCT(G$350:G$352,G133:G135)+SUMPRODUCT(G$354:G$356,G133:G135,Constants!$I$35:$I$37)</f>
        <v>0.36491238875355697</v>
      </c>
      <c r="H362" s="2227">
        <f ca="1">SUMPRODUCT(H$350:H$352,H133:H135)+SUMPRODUCT(H$354:H$356,H133:H135,Constants!$I$35:$I$37)</f>
        <v>0.47338671860931159</v>
      </c>
      <c r="I362" s="2227">
        <f ca="1">SUMPRODUCT(I$350:I$352,I133:I135)+SUMPRODUCT(I$354:I$356,I133:I135,Constants!$I$35:$I$37)</f>
        <v>0.64508033162451017</v>
      </c>
      <c r="J362" s="2227">
        <f ca="1">SUMPRODUCT(J$350:J$352,J133:J135)+SUMPRODUCT(J$354:J$356,J133:J135,Constants!$I$35:$I$37)</f>
        <v>0.81007353898437984</v>
      </c>
      <c r="K362" s="2227">
        <f ca="1">SUMPRODUCT(K$350:K$352,K133:K135)+SUMPRODUCT(K$354:K$356,K133:K135,Constants!$I$35:$I$37)</f>
        <v>0.93688706737734084</v>
      </c>
      <c r="L362" s="2227">
        <f ca="1">SUMPRODUCT(L$350:L$352,L133:L135)+SUMPRODUCT(L$354:L$356,L133:L135,Constants!$I$35:$I$37)</f>
        <v>1.0910304169960214</v>
      </c>
      <c r="M362" s="2227">
        <f ca="1">SUMPRODUCT(M$350:M$352,M133:M135)+SUMPRODUCT(M$354:M$356,M133:M135,Constants!$I$35:$I$37)</f>
        <v>1.2731671874454986</v>
      </c>
      <c r="N362" s="2227">
        <f ca="1">SUMPRODUCT(N$350:N$352,N133:N135)+SUMPRODUCT(N$354:N$356,N133:N135,Constants!$I$35:$I$37)</f>
        <v>1.4914348773700765</v>
      </c>
    </row>
    <row r="363" spans="2:15" s="20" customFormat="1" x14ac:dyDescent="0.2">
      <c r="B363" s="1427"/>
      <c r="E363" s="526"/>
      <c r="F363" s="1428"/>
      <c r="G363" s="1428"/>
      <c r="H363" s="1428"/>
      <c r="I363" s="1428"/>
      <c r="J363" s="1428"/>
      <c r="K363" s="1428"/>
      <c r="L363" s="1428"/>
      <c r="M363" s="1428"/>
      <c r="N363" s="1428"/>
    </row>
    <row r="364" spans="2:15" s="20" customFormat="1" x14ac:dyDescent="0.2">
      <c r="B364" s="82" t="s">
        <v>779</v>
      </c>
      <c r="C364" s="38"/>
      <c r="J364" s="153"/>
      <c r="N364" s="527"/>
    </row>
    <row r="365" spans="2:15" s="20" customFormat="1" x14ac:dyDescent="0.2">
      <c r="B365" s="82"/>
      <c r="C365" s="38"/>
      <c r="F365" s="1429">
        <v>2010</v>
      </c>
      <c r="G365" s="1429">
        <v>2015</v>
      </c>
      <c r="H365" s="1429">
        <v>2020</v>
      </c>
      <c r="I365" s="1429">
        <v>2025</v>
      </c>
      <c r="J365" s="1429">
        <v>2030</v>
      </c>
      <c r="K365" s="1429">
        <v>2035</v>
      </c>
      <c r="L365" s="1429">
        <v>2040</v>
      </c>
      <c r="M365" s="1429">
        <v>2045</v>
      </c>
      <c r="N365" s="1429">
        <v>2050</v>
      </c>
    </row>
    <row r="366" spans="2:15" s="20" customFormat="1" x14ac:dyDescent="0.2">
      <c r="B366" s="82"/>
      <c r="C366" s="38"/>
      <c r="E366" s="172"/>
      <c r="F366" s="171"/>
      <c r="G366" s="171"/>
      <c r="H366" s="171"/>
      <c r="I366" s="171"/>
      <c r="J366" s="171"/>
      <c r="K366" s="171"/>
      <c r="L366" s="171"/>
      <c r="M366" s="171"/>
      <c r="N366" s="527"/>
    </row>
    <row r="367" spans="2:15" s="39" customFormat="1" ht="14.25" x14ac:dyDescent="0.25">
      <c r="B367" s="82"/>
      <c r="C367" s="38" t="s">
        <v>787</v>
      </c>
      <c r="D367" s="20"/>
      <c r="E367" s="754" t="s">
        <v>778</v>
      </c>
      <c r="F367" s="23">
        <f t="shared" ref="F367:N367" si="74">F$288</f>
        <v>14.39565925511863</v>
      </c>
      <c r="G367" s="23">
        <f t="shared" si="74"/>
        <v>14.52967271905924</v>
      </c>
      <c r="H367" s="23">
        <f t="shared" si="74"/>
        <v>14.682038301883917</v>
      </c>
      <c r="I367" s="23">
        <f t="shared" si="74"/>
        <v>14.853585635881387</v>
      </c>
      <c r="J367" s="23">
        <f t="shared" si="74"/>
        <v>14.773066146298628</v>
      </c>
      <c r="K367" s="23">
        <f t="shared" si="74"/>
        <v>14.698135934862325</v>
      </c>
      <c r="L367" s="23">
        <f t="shared" si="74"/>
        <v>14.628813841363048</v>
      </c>
      <c r="M367" s="23">
        <f t="shared" si="74"/>
        <v>14.56512145051156</v>
      </c>
      <c r="N367" s="23">
        <f t="shared" si="74"/>
        <v>14.39565925511863</v>
      </c>
      <c r="O367" s="20"/>
    </row>
    <row r="368" spans="2:15" s="20" customFormat="1" x14ac:dyDescent="0.2">
      <c r="B368" s="590" t="s">
        <v>345</v>
      </c>
      <c r="C368" s="39" t="s">
        <v>781</v>
      </c>
      <c r="D368" s="39"/>
      <c r="E368" s="755"/>
      <c r="F368" s="710">
        <f t="shared" ref="F368:N368" si="75">INDEX(F$51:F$54, MATCH($E$9,$C$51:$C$54, 0))</f>
        <v>0</v>
      </c>
      <c r="G368" s="710">
        <f t="shared" si="75"/>
        <v>0</v>
      </c>
      <c r="H368" s="710">
        <f t="shared" si="75"/>
        <v>0</v>
      </c>
      <c r="I368" s="710">
        <f t="shared" si="75"/>
        <v>0</v>
      </c>
      <c r="J368" s="710">
        <f t="shared" si="75"/>
        <v>0</v>
      </c>
      <c r="K368" s="710">
        <f t="shared" si="75"/>
        <v>0</v>
      </c>
      <c r="L368" s="710">
        <f t="shared" si="75"/>
        <v>0</v>
      </c>
      <c r="M368" s="710">
        <f t="shared" si="75"/>
        <v>0</v>
      </c>
      <c r="N368" s="710">
        <f t="shared" si="75"/>
        <v>0</v>
      </c>
      <c r="O368" s="39"/>
    </row>
    <row r="369" spans="2:16" s="20" customFormat="1" ht="14.25" x14ac:dyDescent="0.25">
      <c r="B369" s="584" t="s">
        <v>346</v>
      </c>
      <c r="C369" s="82" t="s">
        <v>786</v>
      </c>
      <c r="E369" s="754" t="s">
        <v>778</v>
      </c>
      <c r="F369" s="23">
        <f t="shared" ref="F369:N369" si="76">F367*F368</f>
        <v>0</v>
      </c>
      <c r="G369" s="23">
        <f t="shared" si="76"/>
        <v>0</v>
      </c>
      <c r="H369" s="23">
        <f t="shared" si="76"/>
        <v>0</v>
      </c>
      <c r="I369" s="23">
        <f t="shared" si="76"/>
        <v>0</v>
      </c>
      <c r="J369" s="23">
        <f t="shared" si="76"/>
        <v>0</v>
      </c>
      <c r="K369" s="23">
        <f t="shared" si="76"/>
        <v>0</v>
      </c>
      <c r="L369" s="23">
        <f t="shared" si="76"/>
        <v>0</v>
      </c>
      <c r="M369" s="23">
        <f t="shared" si="76"/>
        <v>0</v>
      </c>
      <c r="N369" s="23">
        <f t="shared" si="76"/>
        <v>0</v>
      </c>
    </row>
    <row r="370" spans="2:16" s="20" customFormat="1" x14ac:dyDescent="0.2">
      <c r="B370" s="584"/>
      <c r="C370" s="38"/>
      <c r="E370" s="754"/>
      <c r="F370" s="23"/>
      <c r="G370" s="23"/>
      <c r="H370" s="23"/>
      <c r="I370" s="23"/>
      <c r="J370" s="23"/>
      <c r="K370" s="23"/>
      <c r="L370" s="23"/>
      <c r="M370" s="23"/>
      <c r="N370" s="23"/>
    </row>
    <row r="371" spans="2:16" s="20" customFormat="1" ht="14.25" x14ac:dyDescent="0.25">
      <c r="B371" s="82"/>
      <c r="C371" s="38" t="s">
        <v>784</v>
      </c>
      <c r="E371" s="754" t="s">
        <v>778</v>
      </c>
      <c r="F371" s="23">
        <f t="shared" ref="F371:N371" si="77">F$343-F$347</f>
        <v>4.5610190822914038</v>
      </c>
      <c r="G371" s="23">
        <f t="shared" si="77"/>
        <v>6.4074010809239796</v>
      </c>
      <c r="H371" s="23">
        <f t="shared" si="77"/>
        <v>8.8071544485878768</v>
      </c>
      <c r="I371" s="23">
        <f t="shared" si="77"/>
        <v>11.908602165549043</v>
      </c>
      <c r="J371" s="23">
        <f t="shared" si="77"/>
        <v>15.351786713338496</v>
      </c>
      <c r="K371" s="23">
        <f t="shared" si="77"/>
        <v>17.915890253589406</v>
      </c>
      <c r="L371" s="23">
        <f t="shared" si="77"/>
        <v>20.915127911964625</v>
      </c>
      <c r="M371" s="23">
        <f t="shared" si="77"/>
        <v>24.514538975149147</v>
      </c>
      <c r="N371" s="23">
        <f t="shared" si="77"/>
        <v>28.739186869302316</v>
      </c>
    </row>
    <row r="372" spans="2:16" s="20" customFormat="1" x14ac:dyDescent="0.2">
      <c r="B372" s="590" t="s">
        <v>345</v>
      </c>
      <c r="C372" s="39" t="s">
        <v>781</v>
      </c>
      <c r="D372" s="39"/>
      <c r="E372" s="755"/>
      <c r="F372" s="710">
        <f t="shared" ref="F372:N372" si="78">INDEX(F$51:F$54, MATCH($E$9,$C$51:$C$54, 0))</f>
        <v>0</v>
      </c>
      <c r="G372" s="710">
        <f t="shared" si="78"/>
        <v>0</v>
      </c>
      <c r="H372" s="710">
        <f t="shared" si="78"/>
        <v>0</v>
      </c>
      <c r="I372" s="710">
        <f t="shared" si="78"/>
        <v>0</v>
      </c>
      <c r="J372" s="710">
        <f t="shared" si="78"/>
        <v>0</v>
      </c>
      <c r="K372" s="710">
        <f t="shared" si="78"/>
        <v>0</v>
      </c>
      <c r="L372" s="710">
        <f t="shared" si="78"/>
        <v>0</v>
      </c>
      <c r="M372" s="710">
        <f t="shared" si="78"/>
        <v>0</v>
      </c>
      <c r="N372" s="710">
        <f t="shared" si="78"/>
        <v>0</v>
      </c>
    </row>
    <row r="373" spans="2:16" s="20" customFormat="1" ht="14.25" x14ac:dyDescent="0.25">
      <c r="B373" s="584" t="s">
        <v>346</v>
      </c>
      <c r="C373" s="82" t="s">
        <v>785</v>
      </c>
      <c r="E373" s="754" t="s">
        <v>778</v>
      </c>
      <c r="F373" s="23">
        <f t="shared" ref="F373:N373" si="79">F371*F372</f>
        <v>0</v>
      </c>
      <c r="G373" s="23">
        <f t="shared" si="79"/>
        <v>0</v>
      </c>
      <c r="H373" s="23">
        <f t="shared" si="79"/>
        <v>0</v>
      </c>
      <c r="I373" s="23">
        <f t="shared" si="79"/>
        <v>0</v>
      </c>
      <c r="J373" s="23">
        <f t="shared" si="79"/>
        <v>0</v>
      </c>
      <c r="K373" s="23">
        <f t="shared" si="79"/>
        <v>0</v>
      </c>
      <c r="L373" s="23">
        <f t="shared" si="79"/>
        <v>0</v>
      </c>
      <c r="M373" s="23">
        <f t="shared" si="79"/>
        <v>0</v>
      </c>
      <c r="N373" s="23">
        <f t="shared" si="79"/>
        <v>0</v>
      </c>
    </row>
    <row r="374" spans="2:16" s="20" customFormat="1" x14ac:dyDescent="0.2">
      <c r="B374" s="82"/>
      <c r="C374" s="38"/>
      <c r="E374" s="526"/>
      <c r="F374" s="23"/>
      <c r="G374" s="23"/>
      <c r="H374" s="23"/>
      <c r="I374" s="23"/>
      <c r="J374" s="23"/>
      <c r="K374" s="23"/>
      <c r="L374" s="23"/>
      <c r="M374" s="23"/>
      <c r="N374" s="23"/>
    </row>
    <row r="375" spans="2:16" s="20" customFormat="1" x14ac:dyDescent="0.2">
      <c r="B375" s="1427"/>
      <c r="C375" s="1468"/>
      <c r="E375" s="526"/>
      <c r="F375" s="23"/>
      <c r="G375" s="23"/>
      <c r="H375" s="23"/>
      <c r="I375" s="23"/>
      <c r="J375" s="23"/>
      <c r="K375" s="23"/>
      <c r="L375" s="23"/>
      <c r="M375" s="23"/>
      <c r="N375" s="23"/>
    </row>
    <row r="376" spans="2:16" s="20" customFormat="1" x14ac:dyDescent="0.2">
      <c r="B376" s="1427" t="s">
        <v>1482</v>
      </c>
      <c r="C376" s="1468"/>
      <c r="E376" s="526"/>
      <c r="F376" s="23"/>
      <c r="G376" s="23"/>
      <c r="H376" s="23"/>
      <c r="I376" s="23"/>
      <c r="J376" s="23"/>
      <c r="K376" s="23"/>
      <c r="L376" s="23"/>
      <c r="M376" s="23"/>
      <c r="N376" s="23"/>
    </row>
    <row r="377" spans="2:16" s="20" customFormat="1" x14ac:dyDescent="0.2">
      <c r="B377" s="1427"/>
      <c r="C377" s="1468"/>
      <c r="E377" s="526"/>
      <c r="F377" s="23"/>
      <c r="G377" s="23"/>
      <c r="H377" s="23"/>
      <c r="I377" s="23"/>
      <c r="J377" s="23"/>
      <c r="K377" s="23"/>
      <c r="L377" s="23"/>
      <c r="M377" s="23"/>
      <c r="N377" s="23"/>
    </row>
    <row r="378" spans="2:16" s="20" customFormat="1" x14ac:dyDescent="0.2">
      <c r="B378" s="1427"/>
      <c r="C378" s="1468" t="s">
        <v>1561</v>
      </c>
      <c r="E378" s="526" t="str">
        <f>Preferences.EnergyUnits</f>
        <v>TWh</v>
      </c>
      <c r="F378" s="23">
        <f t="shared" ref="F378:N378" si="80" xml:space="preserve"> (F369+F373)/EF.IndustrialCoal.CO2</f>
        <v>0</v>
      </c>
      <c r="G378" s="23">
        <f t="shared" si="80"/>
        <v>0</v>
      </c>
      <c r="H378" s="23">
        <f t="shared" si="80"/>
        <v>0</v>
      </c>
      <c r="I378" s="23">
        <f t="shared" si="80"/>
        <v>0</v>
      </c>
      <c r="J378" s="23">
        <f t="shared" si="80"/>
        <v>0</v>
      </c>
      <c r="K378" s="23">
        <f t="shared" si="80"/>
        <v>0</v>
      </c>
      <c r="L378" s="23">
        <f t="shared" si="80"/>
        <v>0</v>
      </c>
      <c r="M378" s="23">
        <f t="shared" si="80"/>
        <v>0</v>
      </c>
      <c r="N378" s="23">
        <f t="shared" si="80"/>
        <v>0</v>
      </c>
    </row>
    <row r="379" spans="2:16" s="20" customFormat="1" x14ac:dyDescent="0.2">
      <c r="B379" s="1427"/>
      <c r="C379" s="1520"/>
      <c r="E379" s="526"/>
      <c r="F379" s="23"/>
      <c r="G379" s="23"/>
      <c r="H379" s="23"/>
      <c r="I379" s="23"/>
      <c r="J379" s="23"/>
      <c r="K379" s="23"/>
      <c r="L379" s="23"/>
      <c r="M379" s="23"/>
      <c r="N379" s="23"/>
    </row>
    <row r="380" spans="2:16" s="20" customFormat="1" x14ac:dyDescent="0.2">
      <c r="B380" s="1427"/>
      <c r="C380" s="1468"/>
      <c r="E380" s="526"/>
      <c r="F380" s="23"/>
      <c r="G380" s="23"/>
      <c r="H380" s="23"/>
      <c r="I380" s="23"/>
      <c r="J380" s="23"/>
      <c r="K380" s="23"/>
      <c r="L380" s="23"/>
      <c r="M380" s="23"/>
      <c r="N380" s="23"/>
    </row>
    <row r="381" spans="2:16" s="20" customFormat="1" x14ac:dyDescent="0.2">
      <c r="B381" s="1427" t="s">
        <v>1576</v>
      </c>
      <c r="C381" s="1477"/>
      <c r="E381" s="751" t="str">
        <f>Preferences.moneyunits</f>
        <v>N</v>
      </c>
      <c r="F381" s="1429">
        <v>2010</v>
      </c>
      <c r="G381" s="1429">
        <v>2015</v>
      </c>
      <c r="H381" s="1429">
        <v>2020</v>
      </c>
      <c r="I381" s="1429">
        <v>2025</v>
      </c>
      <c r="J381" s="1429">
        <v>2030</v>
      </c>
      <c r="K381" s="1429">
        <v>2035</v>
      </c>
      <c r="L381" s="1429">
        <v>2040</v>
      </c>
      <c r="M381" s="1429">
        <v>2045</v>
      </c>
      <c r="N381" s="1429">
        <v>2050</v>
      </c>
    </row>
    <row r="382" spans="2:16" s="20" customFormat="1" x14ac:dyDescent="0.2">
      <c r="C382" s="1468"/>
      <c r="E382" s="526"/>
      <c r="F382" s="23"/>
      <c r="G382" s="23"/>
      <c r="H382" s="23"/>
      <c r="I382" s="23"/>
      <c r="J382" s="23"/>
      <c r="K382" s="23"/>
      <c r="L382" s="23"/>
      <c r="M382" s="23"/>
      <c r="N382" s="23"/>
    </row>
    <row r="383" spans="2:16" s="20" customFormat="1" x14ac:dyDescent="0.2">
      <c r="B383" s="1427" t="s">
        <v>1556</v>
      </c>
      <c r="C383" s="1468"/>
    </row>
    <row r="384" spans="2:16" s="20" customFormat="1" x14ac:dyDescent="0.2">
      <c r="B384" s="1427" t="s">
        <v>1564</v>
      </c>
      <c r="C384" s="1468" t="s">
        <v>1563</v>
      </c>
      <c r="E384" s="526"/>
      <c r="F384" s="23">
        <f t="shared" ref="F384:N384" si="81">(F378 * $F$161) + (F378 * ($F$167+$F$168))</f>
        <v>0</v>
      </c>
      <c r="G384" s="23">
        <f t="shared" si="81"/>
        <v>0</v>
      </c>
      <c r="H384" s="23">
        <f t="shared" si="81"/>
        <v>0</v>
      </c>
      <c r="I384" s="23">
        <f t="shared" si="81"/>
        <v>0</v>
      </c>
      <c r="J384" s="23">
        <f t="shared" si="81"/>
        <v>0</v>
      </c>
      <c r="K384" s="23">
        <f t="shared" si="81"/>
        <v>0</v>
      </c>
      <c r="L384" s="23">
        <f t="shared" si="81"/>
        <v>0</v>
      </c>
      <c r="M384" s="23">
        <f t="shared" si="81"/>
        <v>0</v>
      </c>
      <c r="N384" s="23">
        <f t="shared" si="81"/>
        <v>0</v>
      </c>
      <c r="P384" s="588"/>
    </row>
    <row r="385" spans="2:16" s="20" customFormat="1" x14ac:dyDescent="0.2">
      <c r="B385" s="1427" t="s">
        <v>1953</v>
      </c>
      <c r="C385" s="2124" t="s">
        <v>1563</v>
      </c>
      <c r="F385" s="23">
        <f t="shared" ref="F385:M385" si="82">F386+((F384-F386)*0.35)</f>
        <v>0</v>
      </c>
      <c r="G385" s="23">
        <f t="shared" si="82"/>
        <v>0</v>
      </c>
      <c r="H385" s="23">
        <f t="shared" si="82"/>
        <v>0</v>
      </c>
      <c r="I385" s="23">
        <f t="shared" si="82"/>
        <v>0</v>
      </c>
      <c r="J385" s="23">
        <f t="shared" si="82"/>
        <v>0</v>
      </c>
      <c r="K385" s="23">
        <f t="shared" si="82"/>
        <v>0</v>
      </c>
      <c r="L385" s="23">
        <f t="shared" si="82"/>
        <v>0</v>
      </c>
      <c r="M385" s="23">
        <f t="shared" si="82"/>
        <v>0</v>
      </c>
      <c r="N385" s="23">
        <f>N386+((N384-N386)*0.35)</f>
        <v>0</v>
      </c>
      <c r="P385" s="834"/>
    </row>
    <row r="386" spans="2:16" s="20" customFormat="1" x14ac:dyDescent="0.2">
      <c r="B386" s="1427" t="s">
        <v>1562</v>
      </c>
      <c r="C386" s="1468" t="s">
        <v>1563</v>
      </c>
      <c r="F386" s="23">
        <f t="shared" ref="F386:N386" si="83" xml:space="preserve"> (F378 * $G$161) + (F378 * ($G$167+$G$168))</f>
        <v>0</v>
      </c>
      <c r="G386" s="23">
        <f t="shared" si="83"/>
        <v>0</v>
      </c>
      <c r="H386" s="23">
        <f t="shared" si="83"/>
        <v>0</v>
      </c>
      <c r="I386" s="23">
        <f t="shared" si="83"/>
        <v>0</v>
      </c>
      <c r="J386" s="23">
        <f t="shared" si="83"/>
        <v>0</v>
      </c>
      <c r="K386" s="23">
        <f t="shared" si="83"/>
        <v>0</v>
      </c>
      <c r="L386" s="23">
        <f t="shared" si="83"/>
        <v>0</v>
      </c>
      <c r="M386" s="23">
        <f t="shared" si="83"/>
        <v>0</v>
      </c>
      <c r="N386" s="23">
        <f t="shared" si="83"/>
        <v>0</v>
      </c>
      <c r="P386" s="834"/>
    </row>
    <row r="387" spans="2:16" s="20" customFormat="1" x14ac:dyDescent="0.2">
      <c r="B387" s="1427" t="s">
        <v>1564</v>
      </c>
      <c r="C387" s="1468" t="s">
        <v>1565</v>
      </c>
      <c r="E387" s="526"/>
      <c r="F387" s="23">
        <f t="shared" ref="F387:N387" si="84">F378 * $F$162 + (F378 * ($F$167+$F$168))</f>
        <v>0</v>
      </c>
      <c r="G387" s="23">
        <f t="shared" si="84"/>
        <v>0</v>
      </c>
      <c r="H387" s="23">
        <f t="shared" si="84"/>
        <v>0</v>
      </c>
      <c r="I387" s="23">
        <f t="shared" si="84"/>
        <v>0</v>
      </c>
      <c r="J387" s="23">
        <f t="shared" si="84"/>
        <v>0</v>
      </c>
      <c r="K387" s="23">
        <f t="shared" si="84"/>
        <v>0</v>
      </c>
      <c r="L387" s="23">
        <f t="shared" si="84"/>
        <v>0</v>
      </c>
      <c r="M387" s="23">
        <f t="shared" si="84"/>
        <v>0</v>
      </c>
      <c r="N387" s="23">
        <f t="shared" si="84"/>
        <v>0</v>
      </c>
      <c r="P387" s="588"/>
    </row>
    <row r="388" spans="2:16" s="20" customFormat="1" x14ac:dyDescent="0.2">
      <c r="B388" s="1427" t="s">
        <v>1953</v>
      </c>
      <c r="C388" s="2124" t="s">
        <v>1565</v>
      </c>
      <c r="F388" s="23">
        <f>F389+((F387-F389)*0.35)</f>
        <v>0</v>
      </c>
      <c r="G388" s="23">
        <f>G389+((G387-G389)*0.35)</f>
        <v>0</v>
      </c>
      <c r="H388" s="23">
        <f t="shared" ref="H388:M388" si="85">H389+((H387-H389)*0.35)</f>
        <v>0</v>
      </c>
      <c r="I388" s="23">
        <f t="shared" si="85"/>
        <v>0</v>
      </c>
      <c r="J388" s="23">
        <f t="shared" si="85"/>
        <v>0</v>
      </c>
      <c r="K388" s="23">
        <f t="shared" si="85"/>
        <v>0</v>
      </c>
      <c r="L388" s="23">
        <f t="shared" si="85"/>
        <v>0</v>
      </c>
      <c r="M388" s="23">
        <f t="shared" si="85"/>
        <v>0</v>
      </c>
      <c r="N388" s="23">
        <f>N389+((N387-N389)*0.35)</f>
        <v>0</v>
      </c>
      <c r="P388" s="834"/>
    </row>
    <row r="389" spans="2:16" s="20" customFormat="1" x14ac:dyDescent="0.2">
      <c r="B389" s="1427" t="s">
        <v>1562</v>
      </c>
      <c r="C389" s="1468" t="s">
        <v>1565</v>
      </c>
      <c r="E389" s="526"/>
      <c r="F389" s="23">
        <f t="shared" ref="F389:N389" si="86">F378 * $G$162 + (F378 * ($G$167+$G$168))</f>
        <v>0</v>
      </c>
      <c r="G389" s="23">
        <f t="shared" si="86"/>
        <v>0</v>
      </c>
      <c r="H389" s="23">
        <f t="shared" si="86"/>
        <v>0</v>
      </c>
      <c r="I389" s="23">
        <f t="shared" si="86"/>
        <v>0</v>
      </c>
      <c r="J389" s="23">
        <f t="shared" si="86"/>
        <v>0</v>
      </c>
      <c r="K389" s="23">
        <f t="shared" si="86"/>
        <v>0</v>
      </c>
      <c r="L389" s="23">
        <f t="shared" si="86"/>
        <v>0</v>
      </c>
      <c r="M389" s="23">
        <f t="shared" si="86"/>
        <v>0</v>
      </c>
      <c r="N389" s="23">
        <f t="shared" si="86"/>
        <v>0</v>
      </c>
    </row>
    <row r="390" spans="2:16" s="20" customFormat="1" x14ac:dyDescent="0.2"/>
    <row r="391" spans="2:16" s="20" customFormat="1" x14ac:dyDescent="0.2">
      <c r="B391" s="1427" t="s">
        <v>1566</v>
      </c>
      <c r="C391" s="1468"/>
      <c r="E391" s="526"/>
      <c r="F391" s="23"/>
      <c r="G391" s="23"/>
      <c r="H391" s="23"/>
      <c r="I391" s="23"/>
      <c r="J391" s="23"/>
      <c r="K391" s="23"/>
      <c r="L391" s="23"/>
      <c r="M391" s="23"/>
      <c r="N391" s="23"/>
    </row>
    <row r="392" spans="2:16" s="20" customFormat="1" x14ac:dyDescent="0.2">
      <c r="B392" s="1427"/>
      <c r="C392" s="1468"/>
      <c r="E392" s="526"/>
      <c r="F392" s="23"/>
      <c r="G392" s="23"/>
      <c r="H392" s="23"/>
      <c r="I392" s="23"/>
      <c r="J392" s="23"/>
      <c r="K392" s="23"/>
      <c r="L392" s="23"/>
      <c r="M392" s="23"/>
      <c r="N392" s="23"/>
    </row>
    <row r="393" spans="2:16" s="20" customFormat="1" x14ac:dyDescent="0.2">
      <c r="B393" s="1427" t="s">
        <v>1564</v>
      </c>
      <c r="C393" s="1427" t="s">
        <v>1444</v>
      </c>
      <c r="E393" s="751" t="str">
        <f>Preferences.moneyunits</f>
        <v>N</v>
      </c>
      <c r="F393" s="171">
        <v>2010</v>
      </c>
      <c r="G393" s="171">
        <v>2015</v>
      </c>
      <c r="H393" s="171">
        <v>2020</v>
      </c>
      <c r="I393" s="171">
        <v>2025</v>
      </c>
      <c r="J393" s="171">
        <v>2030</v>
      </c>
      <c r="K393" s="171">
        <v>2035</v>
      </c>
      <c r="L393" s="171">
        <v>2040</v>
      </c>
      <c r="M393" s="171">
        <v>2045</v>
      </c>
      <c r="N393" s="171">
        <v>2050</v>
      </c>
    </row>
    <row r="394" spans="2:16" s="20" customFormat="1" x14ac:dyDescent="0.2">
      <c r="B394" s="1426" t="s">
        <v>504</v>
      </c>
      <c r="C394" s="1547" t="s">
        <v>2181</v>
      </c>
      <c r="E394" s="526"/>
      <c r="F394" s="23">
        <f t="shared" ref="F394:N394" si="87">F176*$H219</f>
        <v>5935000000</v>
      </c>
      <c r="G394" s="23">
        <f t="shared" si="87"/>
        <v>6714907743.5058575</v>
      </c>
      <c r="H394" s="23">
        <f t="shared" si="87"/>
        <v>7597301769.8053799</v>
      </c>
      <c r="I394" s="23">
        <f t="shared" si="87"/>
        <v>8595649618.1662846</v>
      </c>
      <c r="J394" s="23">
        <f t="shared" si="87"/>
        <v>9397613814.7764778</v>
      </c>
      <c r="K394" s="23">
        <f t="shared" si="87"/>
        <v>10274400346.080885</v>
      </c>
      <c r="L394" s="23">
        <f t="shared" si="87"/>
        <v>11232990049.619081</v>
      </c>
      <c r="M394" s="23">
        <f t="shared" si="87"/>
        <v>12281015067.022577</v>
      </c>
      <c r="N394" s="23">
        <f t="shared" si="87"/>
        <v>13426819609.935474</v>
      </c>
    </row>
    <row r="395" spans="2:16" s="20" customFormat="1" x14ac:dyDescent="0.2">
      <c r="B395" s="1426" t="s">
        <v>505</v>
      </c>
      <c r="C395" s="1547" t="s">
        <v>112</v>
      </c>
      <c r="E395" s="526"/>
      <c r="F395" s="23">
        <f t="shared" ref="F395:N395" si="88">F177*$H220</f>
        <v>1175000000</v>
      </c>
      <c r="G395" s="23">
        <f t="shared" si="88"/>
        <v>1297294943.76</v>
      </c>
      <c r="H395" s="23">
        <f t="shared" si="88"/>
        <v>1432318443.4938395</v>
      </c>
      <c r="I395" s="23">
        <f t="shared" si="88"/>
        <v>1581395297.5308523</v>
      </c>
      <c r="J395" s="23">
        <f t="shared" si="88"/>
        <v>1666180441.9056869</v>
      </c>
      <c r="K395" s="23">
        <f t="shared" si="88"/>
        <v>1755511268.6395657</v>
      </c>
      <c r="L395" s="23">
        <f t="shared" si="88"/>
        <v>1849631490.5699403</v>
      </c>
      <c r="M395" s="23">
        <f t="shared" si="88"/>
        <v>1948797886.9877551</v>
      </c>
      <c r="N395" s="23">
        <f t="shared" si="88"/>
        <v>2053281004.1840773</v>
      </c>
    </row>
    <row r="396" spans="2:16" s="20" customFormat="1" x14ac:dyDescent="0.2">
      <c r="B396" s="1426" t="s">
        <v>506</v>
      </c>
      <c r="C396" s="1547" t="s">
        <v>2183</v>
      </c>
      <c r="E396" s="526"/>
      <c r="F396" s="23">
        <f t="shared" ref="F396:N396" si="89">F178*$H221</f>
        <v>935000000</v>
      </c>
      <c r="G396" s="23">
        <f t="shared" si="89"/>
        <v>977839196.87788546</v>
      </c>
      <c r="H396" s="23">
        <f t="shared" si="89"/>
        <v>1022641171.0703614</v>
      </c>
      <c r="I396" s="23">
        <f t="shared" si="89"/>
        <v>1069495851.7793609</v>
      </c>
      <c r="J396" s="23">
        <f t="shared" si="89"/>
        <v>1118497288.5220966</v>
      </c>
      <c r="K396" s="23">
        <f t="shared" si="89"/>
        <v>1169743839.9128764</v>
      </c>
      <c r="L396" s="23">
        <f t="shared" si="89"/>
        <v>1223338371.0943966</v>
      </c>
      <c r="M396" s="23">
        <f t="shared" si="89"/>
        <v>1279388460.2148077</v>
      </c>
      <c r="N396" s="23">
        <f t="shared" si="89"/>
        <v>1338006614.3650076</v>
      </c>
    </row>
    <row r="397" spans="2:16" s="20" customFormat="1" x14ac:dyDescent="0.2">
      <c r="B397" s="1426" t="s">
        <v>507</v>
      </c>
      <c r="C397" s="1547" t="s">
        <v>102</v>
      </c>
      <c r="E397" s="526"/>
      <c r="F397" s="23">
        <f t="shared" ref="F397:N397" si="90">F179*$H222</f>
        <v>4720000000</v>
      </c>
      <c r="G397" s="23">
        <f t="shared" si="90"/>
        <v>4863309425.8223028</v>
      </c>
      <c r="H397" s="23">
        <f t="shared" si="90"/>
        <v>5010970036.2906895</v>
      </c>
      <c r="I397" s="23">
        <f t="shared" si="90"/>
        <v>5163113942.7978039</v>
      </c>
      <c r="J397" s="23">
        <f t="shared" si="90"/>
        <v>5280334252.5672741</v>
      </c>
      <c r="K397" s="23">
        <f t="shared" si="90"/>
        <v>5400215863.4768467</v>
      </c>
      <c r="L397" s="23">
        <f t="shared" si="90"/>
        <v>5522819196.1462269</v>
      </c>
      <c r="M397" s="23">
        <f t="shared" si="90"/>
        <v>5648206042.9494228</v>
      </c>
      <c r="N397" s="23">
        <f t="shared" si="90"/>
        <v>5776439599.158246</v>
      </c>
      <c r="P397" s="834"/>
    </row>
    <row r="398" spans="2:16" s="20" customFormat="1" x14ac:dyDescent="0.2">
      <c r="B398" s="1427"/>
      <c r="C398" s="1547" t="s">
        <v>105</v>
      </c>
      <c r="E398" s="526"/>
      <c r="F398" s="23">
        <f t="shared" ref="F398:N398" si="91">SUM(F394:F397)</f>
        <v>12765000000</v>
      </c>
      <c r="G398" s="23">
        <f t="shared" si="91"/>
        <v>13853351309.966045</v>
      </c>
      <c r="H398" s="23">
        <f t="shared" si="91"/>
        <v>15063231420.660271</v>
      </c>
      <c r="I398" s="23">
        <f t="shared" si="91"/>
        <v>16409654710.274302</v>
      </c>
      <c r="J398" s="23">
        <f t="shared" si="91"/>
        <v>17462625797.771538</v>
      </c>
      <c r="K398" s="23">
        <f t="shared" si="91"/>
        <v>18599871318.110176</v>
      </c>
      <c r="L398" s="23">
        <f t="shared" si="91"/>
        <v>19828779107.429646</v>
      </c>
      <c r="M398" s="23">
        <f t="shared" si="91"/>
        <v>21157407457.174561</v>
      </c>
      <c r="N398" s="23">
        <f t="shared" si="91"/>
        <v>22594546827.642807</v>
      </c>
      <c r="P398" s="834"/>
    </row>
    <row r="399" spans="2:16" s="20" customFormat="1" x14ac:dyDescent="0.2">
      <c r="B399" s="1427"/>
      <c r="C399" s="2124"/>
      <c r="E399" s="526"/>
      <c r="F399" s="23"/>
      <c r="G399" s="23"/>
      <c r="H399" s="23"/>
      <c r="I399" s="23"/>
      <c r="J399" s="23"/>
      <c r="K399" s="23"/>
      <c r="L399" s="23"/>
      <c r="M399" s="23"/>
      <c r="N399" s="23"/>
      <c r="P399" s="834"/>
    </row>
    <row r="400" spans="2:16" s="20" customFormat="1" x14ac:dyDescent="0.2">
      <c r="B400" s="1427" t="s">
        <v>1953</v>
      </c>
      <c r="C400" s="1427" t="s">
        <v>1444</v>
      </c>
      <c r="E400" s="751" t="str">
        <f>Preferences.moneyunits</f>
        <v>N</v>
      </c>
      <c r="F400" s="171">
        <v>2010</v>
      </c>
      <c r="G400" s="171">
        <v>2015</v>
      </c>
      <c r="H400" s="171">
        <v>2020</v>
      </c>
      <c r="I400" s="171">
        <v>2025</v>
      </c>
      <c r="J400" s="171">
        <v>2030</v>
      </c>
      <c r="K400" s="171">
        <v>2035</v>
      </c>
      <c r="L400" s="171">
        <v>2040</v>
      </c>
      <c r="M400" s="171">
        <v>2045</v>
      </c>
      <c r="N400" s="171">
        <v>2050</v>
      </c>
      <c r="P400" s="588"/>
    </row>
    <row r="401" spans="2:16" s="20" customFormat="1" x14ac:dyDescent="0.2">
      <c r="B401" s="1426" t="s">
        <v>504</v>
      </c>
      <c r="C401" s="2124" t="s">
        <v>2181</v>
      </c>
      <c r="E401" s="526"/>
      <c r="F401" s="23">
        <f t="shared" ref="F401:M405" si="92">F408+((F394-F408)*0.35)</f>
        <v>2100396499.9999998</v>
      </c>
      <c r="G401" s="23">
        <f t="shared" si="92"/>
        <v>2376405850.426723</v>
      </c>
      <c r="H401" s="23">
        <f t="shared" si="92"/>
        <v>2688685096.3341236</v>
      </c>
      <c r="I401" s="23">
        <f t="shared" si="92"/>
        <v>3042000399.8690481</v>
      </c>
      <c r="J401" s="23">
        <f t="shared" si="92"/>
        <v>3325815529.0493956</v>
      </c>
      <c r="K401" s="23">
        <f t="shared" si="92"/>
        <v>3636110282.478025</v>
      </c>
      <c r="L401" s="23">
        <f t="shared" si="92"/>
        <v>3975355178.5601931</v>
      </c>
      <c r="M401" s="23">
        <f t="shared" si="92"/>
        <v>4346251232.2192898</v>
      </c>
      <c r="N401" s="23">
        <f>N408+((N394-N408)*0.35)</f>
        <v>4751751459.9561644</v>
      </c>
      <c r="P401" s="834"/>
    </row>
    <row r="402" spans="2:16" s="20" customFormat="1" x14ac:dyDescent="0.2">
      <c r="B402" s="1426" t="s">
        <v>505</v>
      </c>
      <c r="C402" s="2124" t="s">
        <v>112</v>
      </c>
      <c r="E402" s="526"/>
      <c r="F402" s="23">
        <f t="shared" si="92"/>
        <v>415832500</v>
      </c>
      <c r="G402" s="23">
        <f t="shared" si="92"/>
        <v>459112680.59666395</v>
      </c>
      <c r="H402" s="23">
        <f t="shared" si="92"/>
        <v>506897497.15246975</v>
      </c>
      <c r="I402" s="23">
        <f t="shared" si="92"/>
        <v>559655795.79616857</v>
      </c>
      <c r="J402" s="23">
        <f t="shared" si="92"/>
        <v>589661258.39042246</v>
      </c>
      <c r="K402" s="23">
        <f t="shared" si="92"/>
        <v>621275437.97154224</v>
      </c>
      <c r="L402" s="23">
        <f t="shared" si="92"/>
        <v>654584584.51270187</v>
      </c>
      <c r="M402" s="23">
        <f t="shared" si="92"/>
        <v>689679572.20496643</v>
      </c>
      <c r="N402" s="23">
        <f>N409+((N395-N409)*0.35)</f>
        <v>726656147.38074493</v>
      </c>
      <c r="P402" s="834"/>
    </row>
    <row r="403" spans="2:16" s="20" customFormat="1" x14ac:dyDescent="0.2">
      <c r="B403" s="1426" t="s">
        <v>506</v>
      </c>
      <c r="C403" s="2124" t="s">
        <v>2183</v>
      </c>
      <c r="E403" s="526"/>
      <c r="F403" s="23">
        <f t="shared" si="92"/>
        <v>330896500</v>
      </c>
      <c r="G403" s="23">
        <f t="shared" si="92"/>
        <v>346057291.77508366</v>
      </c>
      <c r="H403" s="23">
        <f t="shared" si="92"/>
        <v>361912710.44180083</v>
      </c>
      <c r="I403" s="23">
        <f t="shared" si="92"/>
        <v>378494581.9447158</v>
      </c>
      <c r="J403" s="23">
        <f t="shared" si="92"/>
        <v>395836190.40797001</v>
      </c>
      <c r="K403" s="23">
        <f t="shared" si="92"/>
        <v>413972344.94516689</v>
      </c>
      <c r="L403" s="23">
        <f t="shared" si="92"/>
        <v>432939449.53030694</v>
      </c>
      <c r="M403" s="23">
        <f t="shared" si="92"/>
        <v>452775576.07002038</v>
      </c>
      <c r="N403" s="23">
        <f>N410+((N396-N410)*0.35)</f>
        <v>473520540.82377619</v>
      </c>
      <c r="P403" s="834"/>
    </row>
    <row r="404" spans="2:16" s="20" customFormat="1" x14ac:dyDescent="0.2">
      <c r="B404" s="1426" t="s">
        <v>507</v>
      </c>
      <c r="C404" s="2124" t="s">
        <v>102</v>
      </c>
      <c r="E404" s="526"/>
      <c r="F404" s="23">
        <f t="shared" si="92"/>
        <v>1670408000</v>
      </c>
      <c r="G404" s="23">
        <f t="shared" si="92"/>
        <v>1721125205.7985129</v>
      </c>
      <c r="H404" s="23">
        <f t="shared" si="92"/>
        <v>1773382295.8432751</v>
      </c>
      <c r="I404" s="23">
        <f t="shared" si="92"/>
        <v>1827226024.3561428</v>
      </c>
      <c r="J404" s="23">
        <f t="shared" si="92"/>
        <v>1868710291.9835582</v>
      </c>
      <c r="K404" s="23">
        <f t="shared" si="92"/>
        <v>1911136394.0844557</v>
      </c>
      <c r="L404" s="23">
        <f t="shared" si="92"/>
        <v>1954525713.5161495</v>
      </c>
      <c r="M404" s="23">
        <f t="shared" si="92"/>
        <v>1998900118.5998008</v>
      </c>
      <c r="N404" s="23">
        <f>N411+((N397-N411)*0.35)</f>
        <v>2044281974.142103</v>
      </c>
      <c r="P404" s="834"/>
    </row>
    <row r="405" spans="2:16" s="20" customFormat="1" x14ac:dyDescent="0.2">
      <c r="B405" s="1427"/>
      <c r="C405" s="2124" t="s">
        <v>105</v>
      </c>
      <c r="E405" s="526"/>
      <c r="F405" s="23">
        <f t="shared" si="92"/>
        <v>4517533500</v>
      </c>
      <c r="G405" s="23">
        <f t="shared" si="92"/>
        <v>4902701028.596983</v>
      </c>
      <c r="H405" s="23">
        <f t="shared" si="92"/>
        <v>5330877599.7716694</v>
      </c>
      <c r="I405" s="23">
        <f t="shared" si="92"/>
        <v>5807376801.9660749</v>
      </c>
      <c r="J405" s="23">
        <f t="shared" si="92"/>
        <v>6180023269.8313475</v>
      </c>
      <c r="K405" s="23">
        <f t="shared" si="92"/>
        <v>6582494459.4791908</v>
      </c>
      <c r="L405" s="23">
        <f t="shared" si="92"/>
        <v>7017404926.1193514</v>
      </c>
      <c r="M405" s="23">
        <f t="shared" si="92"/>
        <v>7487606499.0940771</v>
      </c>
      <c r="N405" s="23">
        <f>N412+((N398-N412)*0.35)</f>
        <v>7996210122.3027878</v>
      </c>
      <c r="P405" s="834"/>
    </row>
    <row r="406" spans="2:16" s="20" customFormat="1" x14ac:dyDescent="0.2">
      <c r="B406" s="1427"/>
      <c r="C406" s="2124"/>
      <c r="E406" s="526"/>
      <c r="F406" s="23"/>
      <c r="G406" s="23"/>
      <c r="H406" s="23"/>
      <c r="I406" s="23"/>
      <c r="J406" s="23"/>
      <c r="K406" s="23"/>
      <c r="L406" s="23"/>
      <c r="M406" s="23"/>
      <c r="N406" s="23"/>
      <c r="P406" s="834"/>
    </row>
    <row r="407" spans="2:16" s="20" customFormat="1" x14ac:dyDescent="0.2">
      <c r="B407" s="1427" t="s">
        <v>1562</v>
      </c>
      <c r="C407" s="1427" t="s">
        <v>1444</v>
      </c>
      <c r="E407" s="751" t="str">
        <f>Preferences.moneyunits</f>
        <v>N</v>
      </c>
      <c r="F407" s="171">
        <v>2010</v>
      </c>
      <c r="G407" s="171">
        <v>2015</v>
      </c>
      <c r="H407" s="171">
        <v>2020</v>
      </c>
      <c r="I407" s="171">
        <v>2025</v>
      </c>
      <c r="J407" s="171">
        <v>2030</v>
      </c>
      <c r="K407" s="171">
        <v>2035</v>
      </c>
      <c r="L407" s="171">
        <v>2040</v>
      </c>
      <c r="M407" s="171">
        <v>2045</v>
      </c>
      <c r="N407" s="171">
        <v>2050</v>
      </c>
    </row>
    <row r="408" spans="2:16" s="20" customFormat="1" x14ac:dyDescent="0.2">
      <c r="B408" s="1426" t="s">
        <v>504</v>
      </c>
      <c r="C408" s="1547" t="s">
        <v>2181</v>
      </c>
      <c r="E408" s="526"/>
      <c r="F408" s="23">
        <f t="shared" ref="F408:N408" si="93">F176*$F219</f>
        <v>35610000</v>
      </c>
      <c r="G408" s="23">
        <f t="shared" si="93"/>
        <v>40289446.461035147</v>
      </c>
      <c r="H408" s="23">
        <f t="shared" si="93"/>
        <v>45583810.618832275</v>
      </c>
      <c r="I408" s="23">
        <f t="shared" si="93"/>
        <v>51573897.708997704</v>
      </c>
      <c r="J408" s="23">
        <f t="shared" si="93"/>
        <v>56385682.888658866</v>
      </c>
      <c r="K408" s="23">
        <f t="shared" si="93"/>
        <v>61646402.076485306</v>
      </c>
      <c r="L408" s="23">
        <f t="shared" si="93"/>
        <v>67397940.297714487</v>
      </c>
      <c r="M408" s="23">
        <f t="shared" si="93"/>
        <v>73686090.402135462</v>
      </c>
      <c r="N408" s="23">
        <f t="shared" si="93"/>
        <v>80560917.659612834</v>
      </c>
    </row>
    <row r="409" spans="2:16" s="20" customFormat="1" x14ac:dyDescent="0.2">
      <c r="B409" s="1426" t="s">
        <v>505</v>
      </c>
      <c r="C409" s="1547" t="s">
        <v>112</v>
      </c>
      <c r="E409" s="526"/>
      <c r="F409" s="23">
        <f t="shared" ref="F409:N409" si="94">F177*$F220</f>
        <v>7050000</v>
      </c>
      <c r="G409" s="23">
        <f t="shared" si="94"/>
        <v>7783769.6625600001</v>
      </c>
      <c r="H409" s="23">
        <f t="shared" si="94"/>
        <v>8593910.660963038</v>
      </c>
      <c r="I409" s="23">
        <f t="shared" si="94"/>
        <v>9488371.7851851135</v>
      </c>
      <c r="J409" s="23">
        <f t="shared" si="94"/>
        <v>9997082.6514341217</v>
      </c>
      <c r="K409" s="23">
        <f t="shared" si="94"/>
        <v>10533067.611837395</v>
      </c>
      <c r="L409" s="23">
        <f t="shared" si="94"/>
        <v>11097788.943419641</v>
      </c>
      <c r="M409" s="23">
        <f t="shared" si="94"/>
        <v>11692787.32192653</v>
      </c>
      <c r="N409" s="23">
        <f t="shared" si="94"/>
        <v>12319686.025104465</v>
      </c>
    </row>
    <row r="410" spans="2:16" s="20" customFormat="1" x14ac:dyDescent="0.2">
      <c r="B410" s="1426" t="s">
        <v>506</v>
      </c>
      <c r="C410" s="1547" t="s">
        <v>2183</v>
      </c>
      <c r="E410" s="526"/>
      <c r="F410" s="23">
        <f t="shared" ref="F410:N410" si="95">F178*$F221</f>
        <v>5610000</v>
      </c>
      <c r="G410" s="23">
        <f t="shared" si="95"/>
        <v>5867035.1812673127</v>
      </c>
      <c r="H410" s="23">
        <f t="shared" si="95"/>
        <v>6135847.0264221681</v>
      </c>
      <c r="I410" s="23">
        <f t="shared" si="95"/>
        <v>6416975.1106761657</v>
      </c>
      <c r="J410" s="23">
        <f t="shared" si="95"/>
        <v>6710983.73113258</v>
      </c>
      <c r="K410" s="23">
        <f t="shared" si="95"/>
        <v>7018463.039477258</v>
      </c>
      <c r="L410" s="23">
        <f t="shared" si="95"/>
        <v>7340030.2265663799</v>
      </c>
      <c r="M410" s="23">
        <f t="shared" si="95"/>
        <v>7676330.7612888468</v>
      </c>
      <c r="N410" s="23">
        <f t="shared" si="95"/>
        <v>8028039.6861900464</v>
      </c>
    </row>
    <row r="411" spans="2:16" s="20" customFormat="1" x14ac:dyDescent="0.2">
      <c r="B411" s="1426" t="s">
        <v>507</v>
      </c>
      <c r="C411" s="1547" t="s">
        <v>102</v>
      </c>
      <c r="E411" s="526"/>
      <c r="F411" s="23">
        <f t="shared" ref="F411:N411" si="96">F179*$F222</f>
        <v>28320000</v>
      </c>
      <c r="G411" s="23">
        <f t="shared" si="96"/>
        <v>29179856.554933816</v>
      </c>
      <c r="H411" s="23">
        <f t="shared" si="96"/>
        <v>30065820.217744138</v>
      </c>
      <c r="I411" s="23">
        <f t="shared" si="96"/>
        <v>30978683.656786826</v>
      </c>
      <c r="J411" s="23">
        <f t="shared" si="96"/>
        <v>31682005.515403643</v>
      </c>
      <c r="K411" s="23">
        <f t="shared" si="96"/>
        <v>32401295.180861078</v>
      </c>
      <c r="L411" s="23">
        <f t="shared" si="96"/>
        <v>33136915.176877365</v>
      </c>
      <c r="M411" s="23">
        <f t="shared" si="96"/>
        <v>33889236.257696539</v>
      </c>
      <c r="N411" s="23">
        <f t="shared" si="96"/>
        <v>34658637.594949476</v>
      </c>
    </row>
    <row r="412" spans="2:16" s="20" customFormat="1" x14ac:dyDescent="0.2">
      <c r="B412" s="1427"/>
      <c r="C412" s="1547" t="s">
        <v>105</v>
      </c>
      <c r="E412" s="526"/>
      <c r="F412" s="23">
        <f t="shared" ref="F412:N412" si="97">SUM(F408:F411)</f>
        <v>76590000</v>
      </c>
      <c r="G412" s="23">
        <f t="shared" si="97"/>
        <v>83120107.859796286</v>
      </c>
      <c r="H412" s="23">
        <f t="shared" si="97"/>
        <v>90379388.523961619</v>
      </c>
      <c r="I412" s="23">
        <f t="shared" si="97"/>
        <v>98457928.261645809</v>
      </c>
      <c r="J412" s="23">
        <f t="shared" si="97"/>
        <v>104775754.78662921</v>
      </c>
      <c r="K412" s="23">
        <f t="shared" si="97"/>
        <v>111599227.90866104</v>
      </c>
      <c r="L412" s="23">
        <f t="shared" si="97"/>
        <v>118972674.64457786</v>
      </c>
      <c r="M412" s="23">
        <f t="shared" si="97"/>
        <v>126944444.74304739</v>
      </c>
      <c r="N412" s="23">
        <f t="shared" si="97"/>
        <v>135567280.96585682</v>
      </c>
    </row>
    <row r="413" spans="2:16" s="20" customFormat="1" x14ac:dyDescent="0.2">
      <c r="B413" s="1427"/>
      <c r="C413" s="1547"/>
      <c r="E413" s="526"/>
      <c r="F413" s="23"/>
      <c r="G413" s="23"/>
      <c r="H413" s="23"/>
      <c r="I413" s="23"/>
      <c r="J413" s="23"/>
      <c r="K413" s="23"/>
      <c r="L413" s="23"/>
      <c r="M413" s="23"/>
      <c r="N413" s="23"/>
    </row>
    <row r="414" spans="2:16" s="20" customFormat="1" x14ac:dyDescent="0.2"/>
    <row r="415" spans="2:16" s="20" customFormat="1" x14ac:dyDescent="0.2">
      <c r="B415" s="1427" t="s">
        <v>1564</v>
      </c>
      <c r="C415" s="1427" t="s">
        <v>1463</v>
      </c>
      <c r="E415" s="751" t="str">
        <f>Preferences.moneyunits</f>
        <v>N</v>
      </c>
      <c r="F415" s="171">
        <v>2010</v>
      </c>
      <c r="G415" s="171">
        <v>2015</v>
      </c>
      <c r="H415" s="171">
        <v>2020</v>
      </c>
      <c r="I415" s="171">
        <v>2025</v>
      </c>
      <c r="J415" s="171">
        <v>2030</v>
      </c>
      <c r="K415" s="171">
        <v>2035</v>
      </c>
      <c r="L415" s="171">
        <v>2040</v>
      </c>
      <c r="M415" s="171">
        <v>2045</v>
      </c>
      <c r="N415" s="171">
        <v>2050</v>
      </c>
    </row>
    <row r="416" spans="2:16" s="20" customFormat="1" x14ac:dyDescent="0.2">
      <c r="B416" s="1426" t="s">
        <v>504</v>
      </c>
      <c r="C416" s="1547" t="s">
        <v>2181</v>
      </c>
      <c r="E416" s="526"/>
      <c r="F416" s="23">
        <f t="shared" ref="F416:N416" si="98">F176*$I219</f>
        <v>173175000000</v>
      </c>
      <c r="G416" s="23">
        <f t="shared" si="98"/>
        <v>195931617267.33392</v>
      </c>
      <c r="H416" s="23">
        <f t="shared" si="98"/>
        <v>221678640941.20413</v>
      </c>
      <c r="I416" s="23">
        <f t="shared" si="98"/>
        <v>250809034983.31024</v>
      </c>
      <c r="J416" s="23">
        <f t="shared" si="98"/>
        <v>274209228706.64136</v>
      </c>
      <c r="K416" s="23">
        <f t="shared" si="98"/>
        <v>299792633518.54376</v>
      </c>
      <c r="L416" s="23">
        <f t="shared" si="98"/>
        <v>327762940495.83563</v>
      </c>
      <c r="M416" s="23">
        <f t="shared" si="98"/>
        <v>358342844857.89972</v>
      </c>
      <c r="N416" s="23">
        <f t="shared" si="98"/>
        <v>391775819031.26801</v>
      </c>
    </row>
    <row r="417" spans="2:16" s="20" customFormat="1" x14ac:dyDescent="0.2">
      <c r="B417" s="1426" t="s">
        <v>505</v>
      </c>
      <c r="C417" s="1547" t="s">
        <v>112</v>
      </c>
      <c r="E417" s="526"/>
      <c r="F417" s="23">
        <f t="shared" ref="F417:N417" si="99">F177*$I220</f>
        <v>56000000000</v>
      </c>
      <c r="G417" s="23">
        <f t="shared" si="99"/>
        <v>61828524979.199997</v>
      </c>
      <c r="H417" s="23">
        <f t="shared" si="99"/>
        <v>68263687519.706398</v>
      </c>
      <c r="I417" s="23">
        <f t="shared" si="99"/>
        <v>75368626946.15126</v>
      </c>
      <c r="J417" s="23">
        <f t="shared" si="99"/>
        <v>79409450848.271027</v>
      </c>
      <c r="K417" s="23">
        <f t="shared" si="99"/>
        <v>83666920037.289932</v>
      </c>
      <c r="L417" s="23">
        <f t="shared" si="99"/>
        <v>88152649763.333328</v>
      </c>
      <c r="M417" s="23">
        <f t="shared" si="99"/>
        <v>92878878018.139816</v>
      </c>
      <c r="N417" s="23">
        <f t="shared" si="99"/>
        <v>97858498922.815598</v>
      </c>
    </row>
    <row r="418" spans="2:16" s="20" customFormat="1" x14ac:dyDescent="0.2">
      <c r="B418" s="1426" t="s">
        <v>506</v>
      </c>
      <c r="C418" s="1547" t="s">
        <v>2183</v>
      </c>
      <c r="E418" s="526"/>
      <c r="F418" s="23">
        <f t="shared" ref="F418:N418" si="100">F178*$I221</f>
        <v>41720000000</v>
      </c>
      <c r="G418" s="23">
        <f t="shared" si="100"/>
        <v>43631498709.888107</v>
      </c>
      <c r="H418" s="23">
        <f t="shared" si="100"/>
        <v>45630577173.321365</v>
      </c>
      <c r="I418" s="23">
        <f t="shared" si="100"/>
        <v>47721248060.144318</v>
      </c>
      <c r="J418" s="23">
        <f t="shared" si="100"/>
        <v>49907707889.991302</v>
      </c>
      <c r="K418" s="23">
        <f t="shared" si="100"/>
        <v>52194345455.791656</v>
      </c>
      <c r="L418" s="23">
        <f t="shared" si="100"/>
        <v>54585750633.217361</v>
      </c>
      <c r="M418" s="23">
        <f t="shared" si="100"/>
        <v>57086723593.75592</v>
      </c>
      <c r="N418" s="23">
        <f t="shared" si="100"/>
        <v>59702284439.901733</v>
      </c>
    </row>
    <row r="419" spans="2:16" s="20" customFormat="1" x14ac:dyDescent="0.2">
      <c r="B419" s="1426" t="s">
        <v>507</v>
      </c>
      <c r="C419" s="1547" t="s">
        <v>102</v>
      </c>
      <c r="E419" s="526"/>
      <c r="F419" s="23">
        <f t="shared" ref="F419:N419" si="101">F179*$I222</f>
        <v>1074938000000.0002</v>
      </c>
      <c r="G419" s="23">
        <f t="shared" si="101"/>
        <v>1107575446520.0371</v>
      </c>
      <c r="H419" s="23">
        <f t="shared" si="101"/>
        <v>1141203836625.0513</v>
      </c>
      <c r="I419" s="23">
        <f t="shared" si="101"/>
        <v>1175853257509.1497</v>
      </c>
      <c r="J419" s="23">
        <f t="shared" si="101"/>
        <v>1202549139997.0681</v>
      </c>
      <c r="K419" s="23">
        <f t="shared" si="101"/>
        <v>1229851110138.5752</v>
      </c>
      <c r="L419" s="23">
        <f t="shared" si="101"/>
        <v>1257772928192.1682</v>
      </c>
      <c r="M419" s="23">
        <f t="shared" si="101"/>
        <v>1286328666821.1797</v>
      </c>
      <c r="N419" s="23">
        <f t="shared" si="101"/>
        <v>1315532718186.4338</v>
      </c>
      <c r="P419" s="834"/>
    </row>
    <row r="420" spans="2:16" s="20" customFormat="1" x14ac:dyDescent="0.2">
      <c r="B420" s="1427"/>
      <c r="C420" s="1547" t="s">
        <v>105</v>
      </c>
      <c r="E420" s="526"/>
      <c r="F420" s="23">
        <f t="shared" ref="F420:N420" si="102">SUM(F416:F419)</f>
        <v>1345833000000.0002</v>
      </c>
      <c r="G420" s="23">
        <f t="shared" si="102"/>
        <v>1408967087476.4592</v>
      </c>
      <c r="H420" s="23">
        <f t="shared" si="102"/>
        <v>1476776742259.2832</v>
      </c>
      <c r="I420" s="23">
        <f t="shared" si="102"/>
        <v>1549752167498.7554</v>
      </c>
      <c r="J420" s="23">
        <f t="shared" si="102"/>
        <v>1606075527441.9717</v>
      </c>
      <c r="K420" s="23">
        <f t="shared" si="102"/>
        <v>1665505009150.2007</v>
      </c>
      <c r="L420" s="23">
        <f t="shared" si="102"/>
        <v>1728274269084.5544</v>
      </c>
      <c r="M420" s="23">
        <f t="shared" si="102"/>
        <v>1794637113290.9751</v>
      </c>
      <c r="N420" s="23">
        <f t="shared" si="102"/>
        <v>1864869320580.4192</v>
      </c>
      <c r="P420" s="834"/>
    </row>
    <row r="421" spans="2:16" s="20" customFormat="1" x14ac:dyDescent="0.2">
      <c r="B421" s="1427"/>
      <c r="C421" s="1547"/>
      <c r="E421" s="526"/>
      <c r="F421" s="23"/>
      <c r="G421" s="23"/>
      <c r="H421" s="23"/>
      <c r="I421" s="23"/>
      <c r="J421" s="23"/>
      <c r="K421" s="23"/>
      <c r="L421" s="23"/>
      <c r="M421" s="23"/>
      <c r="N421" s="23"/>
      <c r="P421" s="588"/>
    </row>
    <row r="422" spans="2:16" s="20" customFormat="1" x14ac:dyDescent="0.2">
      <c r="B422" s="1427" t="s">
        <v>1953</v>
      </c>
      <c r="C422" s="1427" t="s">
        <v>1463</v>
      </c>
      <c r="E422" s="751" t="str">
        <f>Preferences.moneyunits</f>
        <v>N</v>
      </c>
      <c r="F422" s="171">
        <v>2010</v>
      </c>
      <c r="G422" s="171">
        <v>2015</v>
      </c>
      <c r="H422" s="171">
        <v>2020</v>
      </c>
      <c r="I422" s="171">
        <v>2025</v>
      </c>
      <c r="J422" s="171">
        <v>2030</v>
      </c>
      <c r="K422" s="171">
        <v>2035</v>
      </c>
      <c r="L422" s="171">
        <v>2040</v>
      </c>
      <c r="M422" s="171">
        <v>2045</v>
      </c>
      <c r="N422" s="171">
        <v>2050</v>
      </c>
      <c r="P422" s="834"/>
    </row>
    <row r="423" spans="2:16" s="20" customFormat="1" x14ac:dyDescent="0.2">
      <c r="B423" s="1426" t="s">
        <v>504</v>
      </c>
      <c r="C423" s="2124" t="s">
        <v>2181</v>
      </c>
      <c r="E423" s="526"/>
      <c r="F423" s="23">
        <f t="shared" ref="F423:M427" si="103">F430+((F416-F430)*0.35)</f>
        <v>61286632499.999992</v>
      </c>
      <c r="G423" s="23">
        <f t="shared" si="103"/>
        <v>69340199350.90947</v>
      </c>
      <c r="H423" s="23">
        <f t="shared" si="103"/>
        <v>78452071029.092148</v>
      </c>
      <c r="I423" s="23">
        <f t="shared" si="103"/>
        <v>88761317480.593475</v>
      </c>
      <c r="J423" s="23">
        <f t="shared" si="103"/>
        <v>97042646039.28038</v>
      </c>
      <c r="K423" s="23">
        <f t="shared" si="103"/>
        <v>106096613002.21263</v>
      </c>
      <c r="L423" s="23">
        <f t="shared" si="103"/>
        <v>115995304641.47623</v>
      </c>
      <c r="M423" s="23">
        <f t="shared" si="103"/>
        <v>126817532795.21071</v>
      </c>
      <c r="N423" s="23">
        <f>N430+((N416-N430)*0.35)</f>
        <v>138649462355.16574</v>
      </c>
      <c r="P423" s="834"/>
    </row>
    <row r="424" spans="2:16" s="20" customFormat="1" x14ac:dyDescent="0.2">
      <c r="B424" s="1426" t="s">
        <v>505</v>
      </c>
      <c r="C424" s="2124" t="s">
        <v>112</v>
      </c>
      <c r="E424" s="526"/>
      <c r="F424" s="23">
        <f t="shared" si="103"/>
        <v>19818400000</v>
      </c>
      <c r="G424" s="23">
        <f t="shared" si="103"/>
        <v>21881114990.138878</v>
      </c>
      <c r="H424" s="23">
        <f t="shared" si="103"/>
        <v>24158519013.224091</v>
      </c>
      <c r="I424" s="23">
        <f t="shared" si="103"/>
        <v>26672957076.242928</v>
      </c>
      <c r="J424" s="23">
        <f t="shared" si="103"/>
        <v>28103004655.203114</v>
      </c>
      <c r="K424" s="23">
        <f t="shared" si="103"/>
        <v>29609723001.196907</v>
      </c>
      <c r="L424" s="23">
        <f t="shared" si="103"/>
        <v>31197222751.24366</v>
      </c>
      <c r="M424" s="23">
        <f t="shared" si="103"/>
        <v>32869834930.619675</v>
      </c>
      <c r="N424" s="23">
        <f>N431+((N417-N431)*0.35)</f>
        <v>34632122768.784439</v>
      </c>
      <c r="P424" s="834"/>
    </row>
    <row r="425" spans="2:16" s="20" customFormat="1" x14ac:dyDescent="0.2">
      <c r="B425" s="1426" t="s">
        <v>506</v>
      </c>
      <c r="C425" s="2124" t="s">
        <v>2183</v>
      </c>
      <c r="E425" s="526"/>
      <c r="F425" s="23">
        <f t="shared" si="103"/>
        <v>14764708000</v>
      </c>
      <c r="G425" s="23">
        <f t="shared" si="103"/>
        <v>15441187393.429399</v>
      </c>
      <c r="H425" s="23">
        <f t="shared" si="103"/>
        <v>16148661261.638432</v>
      </c>
      <c r="I425" s="23">
        <f t="shared" si="103"/>
        <v>16888549688.485075</v>
      </c>
      <c r="J425" s="23">
        <f t="shared" si="103"/>
        <v>17662337822.267918</v>
      </c>
      <c r="K425" s="23">
        <f t="shared" si="103"/>
        <v>18471578856.804665</v>
      </c>
      <c r="L425" s="23">
        <f t="shared" si="103"/>
        <v>19317897149.095623</v>
      </c>
      <c r="M425" s="23">
        <f t="shared" si="103"/>
        <v>20202991479.830215</v>
      </c>
      <c r="N425" s="23">
        <f>N432+((N418-N432)*0.35)</f>
        <v>21128638463.281223</v>
      </c>
      <c r="P425" s="834"/>
    </row>
    <row r="426" spans="2:16" s="20" customFormat="1" x14ac:dyDescent="0.2">
      <c r="B426" s="1426" t="s">
        <v>507</v>
      </c>
      <c r="C426" s="2124" t="s">
        <v>102</v>
      </c>
      <c r="E426" s="526"/>
      <c r="F426" s="23">
        <f t="shared" si="103"/>
        <v>380420558200.00006</v>
      </c>
      <c r="G426" s="23">
        <f t="shared" si="103"/>
        <v>391970950523.44116</v>
      </c>
      <c r="H426" s="23">
        <f t="shared" si="103"/>
        <v>403872037781.60565</v>
      </c>
      <c r="I426" s="23">
        <f t="shared" si="103"/>
        <v>416134467832.48798</v>
      </c>
      <c r="J426" s="23">
        <f t="shared" si="103"/>
        <v>425582140644.9624</v>
      </c>
      <c r="K426" s="23">
        <f t="shared" si="103"/>
        <v>435244307878.04175</v>
      </c>
      <c r="L426" s="23">
        <f t="shared" si="103"/>
        <v>445125839287.20831</v>
      </c>
      <c r="M426" s="23">
        <f t="shared" si="103"/>
        <v>455231715188.0155</v>
      </c>
      <c r="N426" s="23">
        <f>N433+((N419-N433)*0.35)</f>
        <v>465567028966.17889</v>
      </c>
      <c r="P426" s="834"/>
    </row>
    <row r="427" spans="2:16" s="20" customFormat="1" x14ac:dyDescent="0.2">
      <c r="B427" s="1427"/>
      <c r="C427" s="2124" t="s">
        <v>105</v>
      </c>
      <c r="E427" s="526"/>
      <c r="F427" s="23">
        <f t="shared" si="103"/>
        <v>476290298700.00006</v>
      </c>
      <c r="G427" s="23">
        <f t="shared" si="103"/>
        <v>498633452257.91895</v>
      </c>
      <c r="H427" s="23">
        <f t="shared" si="103"/>
        <v>522631289085.5603</v>
      </c>
      <c r="I427" s="23">
        <f t="shared" si="103"/>
        <v>548457292077.80957</v>
      </c>
      <c r="J427" s="23">
        <f t="shared" si="103"/>
        <v>568390129161.71375</v>
      </c>
      <c r="K427" s="23">
        <f t="shared" si="103"/>
        <v>589422222738.2561</v>
      </c>
      <c r="L427" s="23">
        <f t="shared" si="103"/>
        <v>611636263829.0238</v>
      </c>
      <c r="M427" s="23">
        <f t="shared" si="103"/>
        <v>635122074393.67603</v>
      </c>
      <c r="N427" s="23">
        <f>N434+((N420-N434)*0.35)</f>
        <v>659977252553.4104</v>
      </c>
      <c r="P427" s="834"/>
    </row>
    <row r="428" spans="2:16" s="20" customFormat="1" x14ac:dyDescent="0.2"/>
    <row r="429" spans="2:16" s="20" customFormat="1" x14ac:dyDescent="0.2">
      <c r="B429" s="1427" t="s">
        <v>1562</v>
      </c>
      <c r="C429" s="1427" t="s">
        <v>1463</v>
      </c>
      <c r="E429" s="751" t="str">
        <f>Preferences.moneyunits</f>
        <v>N</v>
      </c>
      <c r="F429" s="171">
        <v>2010</v>
      </c>
      <c r="G429" s="171">
        <v>2015</v>
      </c>
      <c r="H429" s="171">
        <v>2020</v>
      </c>
      <c r="I429" s="171">
        <v>2025</v>
      </c>
      <c r="J429" s="171">
        <v>2030</v>
      </c>
      <c r="K429" s="171">
        <v>2035</v>
      </c>
      <c r="L429" s="171">
        <v>2040</v>
      </c>
      <c r="M429" s="171">
        <v>2045</v>
      </c>
      <c r="N429" s="171">
        <v>2050</v>
      </c>
    </row>
    <row r="430" spans="2:16" s="20" customFormat="1" x14ac:dyDescent="0.2">
      <c r="B430" s="1426" t="s">
        <v>504</v>
      </c>
      <c r="C430" s="1547" t="s">
        <v>2181</v>
      </c>
      <c r="E430" s="526"/>
      <c r="F430" s="23">
        <f t="shared" ref="F430:N430" si="104">F176*$G219</f>
        <v>1039050000</v>
      </c>
      <c r="G430" s="23">
        <f t="shared" si="104"/>
        <v>1175589703.6040037</v>
      </c>
      <c r="H430" s="23">
        <f t="shared" si="104"/>
        <v>1330071845.6472249</v>
      </c>
      <c r="I430" s="23">
        <f t="shared" si="104"/>
        <v>1504854209.8998613</v>
      </c>
      <c r="J430" s="23">
        <f t="shared" si="104"/>
        <v>1645255372.2398481</v>
      </c>
      <c r="K430" s="23">
        <f t="shared" si="104"/>
        <v>1798755801.1112626</v>
      </c>
      <c r="L430" s="23">
        <f t="shared" si="104"/>
        <v>1966577642.975014</v>
      </c>
      <c r="M430" s="23">
        <f t="shared" si="104"/>
        <v>2150057069.147398</v>
      </c>
      <c r="N430" s="23">
        <f t="shared" si="104"/>
        <v>2350654914.1876082</v>
      </c>
    </row>
    <row r="431" spans="2:16" s="20" customFormat="1" x14ac:dyDescent="0.2">
      <c r="B431" s="1426" t="s">
        <v>505</v>
      </c>
      <c r="C431" s="1547" t="s">
        <v>112</v>
      </c>
      <c r="E431" s="526"/>
      <c r="F431" s="23">
        <f t="shared" ref="F431:N431" si="105">F177*$G220</f>
        <v>336000000</v>
      </c>
      <c r="G431" s="23">
        <f t="shared" si="105"/>
        <v>370971149.87519997</v>
      </c>
      <c r="H431" s="23">
        <f t="shared" si="105"/>
        <v>409582125.11823839</v>
      </c>
      <c r="I431" s="23">
        <f t="shared" si="105"/>
        <v>452211761.67690754</v>
      </c>
      <c r="J431" s="23">
        <f t="shared" si="105"/>
        <v>476456705.08962619</v>
      </c>
      <c r="K431" s="23">
        <f t="shared" si="105"/>
        <v>502001520.22373962</v>
      </c>
      <c r="L431" s="23">
        <f t="shared" si="105"/>
        <v>528915898.57999992</v>
      </c>
      <c r="M431" s="23">
        <f t="shared" si="105"/>
        <v>557273268.10883892</v>
      </c>
      <c r="N431" s="23">
        <f t="shared" si="105"/>
        <v>587150993.53689361</v>
      </c>
    </row>
    <row r="432" spans="2:16" s="20" customFormat="1" x14ac:dyDescent="0.2">
      <c r="B432" s="1426" t="s">
        <v>506</v>
      </c>
      <c r="C432" s="1547" t="s">
        <v>2183</v>
      </c>
      <c r="E432" s="526"/>
      <c r="F432" s="23">
        <f t="shared" ref="F432:N432" si="106">F178*$G221</f>
        <v>250320000</v>
      </c>
      <c r="G432" s="23">
        <f t="shared" si="106"/>
        <v>261788992.25932863</v>
      </c>
      <c r="H432" s="23">
        <f t="shared" si="106"/>
        <v>273783463.0399282</v>
      </c>
      <c r="I432" s="23">
        <f t="shared" si="106"/>
        <v>286327488.36086589</v>
      </c>
      <c r="J432" s="23">
        <f t="shared" si="106"/>
        <v>299446247.33994782</v>
      </c>
      <c r="K432" s="23">
        <f t="shared" si="106"/>
        <v>313166072.73474997</v>
      </c>
      <c r="L432" s="23">
        <f t="shared" si="106"/>
        <v>327514503.79930413</v>
      </c>
      <c r="M432" s="23">
        <f t="shared" si="106"/>
        <v>342520341.56253552</v>
      </c>
      <c r="N432" s="23">
        <f t="shared" si="106"/>
        <v>358213706.63941044</v>
      </c>
    </row>
    <row r="433" spans="1:16" s="20" customFormat="1" x14ac:dyDescent="0.2">
      <c r="B433" s="1426" t="s">
        <v>507</v>
      </c>
      <c r="C433" s="1547" t="s">
        <v>102</v>
      </c>
      <c r="E433" s="526"/>
      <c r="F433" s="23">
        <f t="shared" ref="F433:N433" si="107">F179*$G222</f>
        <v>6449628000.000001</v>
      </c>
      <c r="G433" s="23">
        <f t="shared" si="107"/>
        <v>6645452679.1202221</v>
      </c>
      <c r="H433" s="23">
        <f t="shared" si="107"/>
        <v>6847223019.7503071</v>
      </c>
      <c r="I433" s="23">
        <f t="shared" si="107"/>
        <v>7055119545.0548983</v>
      </c>
      <c r="J433" s="23">
        <f t="shared" si="107"/>
        <v>7215294839.9824076</v>
      </c>
      <c r="K433" s="23">
        <f t="shared" si="107"/>
        <v>7379106660.8314514</v>
      </c>
      <c r="L433" s="23">
        <f t="shared" si="107"/>
        <v>7546637569.1530094</v>
      </c>
      <c r="M433" s="23">
        <f t="shared" si="107"/>
        <v>7717972000.9270773</v>
      </c>
      <c r="N433" s="23">
        <f t="shared" si="107"/>
        <v>7893196309.1186028</v>
      </c>
    </row>
    <row r="434" spans="1:16" s="84" customFormat="1" x14ac:dyDescent="0.2">
      <c r="B434" s="1427"/>
      <c r="C434" s="1547" t="s">
        <v>105</v>
      </c>
      <c r="D434" s="20"/>
      <c r="E434" s="526"/>
      <c r="F434" s="23">
        <f t="shared" ref="F434:N434" si="108">SUM(F430:F433)</f>
        <v>8074998000.000001</v>
      </c>
      <c r="G434" s="23">
        <f t="shared" si="108"/>
        <v>8453802524.8587542</v>
      </c>
      <c r="H434" s="23">
        <f t="shared" si="108"/>
        <v>8860660453.5556984</v>
      </c>
      <c r="I434" s="23">
        <f t="shared" si="108"/>
        <v>9298513004.9925327</v>
      </c>
      <c r="J434" s="23">
        <f t="shared" si="108"/>
        <v>9636453164.6518288</v>
      </c>
      <c r="K434" s="23">
        <f t="shared" si="108"/>
        <v>9993030054.9012032</v>
      </c>
      <c r="L434" s="23">
        <f t="shared" si="108"/>
        <v>10369645614.507328</v>
      </c>
      <c r="M434" s="23">
        <f t="shared" si="108"/>
        <v>10767822679.74585</v>
      </c>
      <c r="N434" s="23">
        <f t="shared" si="108"/>
        <v>11189215923.482515</v>
      </c>
      <c r="O434" s="20"/>
    </row>
    <row r="435" spans="1:16" ht="22.5" x14ac:dyDescent="0.3">
      <c r="A435" s="409"/>
      <c r="B435" s="84"/>
      <c r="C435" s="84"/>
      <c r="D435" s="84"/>
      <c r="E435" s="84"/>
      <c r="F435" s="23"/>
      <c r="G435" s="84"/>
      <c r="H435" s="84"/>
      <c r="I435" s="84"/>
      <c r="J435" s="84"/>
      <c r="K435" s="84"/>
      <c r="L435" s="84"/>
      <c r="M435" s="84"/>
      <c r="N435" s="84"/>
      <c r="O435" s="84"/>
      <c r="P435" s="84"/>
    </row>
    <row r="436" spans="1:16" ht="15.75" x14ac:dyDescent="0.2">
      <c r="B436" s="468" t="s">
        <v>236</v>
      </c>
      <c r="C436" s="421"/>
      <c r="D436" s="421"/>
      <c r="E436" s="421"/>
      <c r="F436" s="421"/>
      <c r="G436" s="421"/>
      <c r="H436" s="421"/>
      <c r="I436" s="421"/>
      <c r="J436" s="421"/>
      <c r="K436" s="421"/>
      <c r="L436" s="421"/>
      <c r="M436" s="421"/>
      <c r="N436" s="421"/>
      <c r="O436" s="421"/>
      <c r="P436" s="423"/>
    </row>
    <row r="437" spans="1:16" x14ac:dyDescent="0.2">
      <c r="B437" s="410"/>
      <c r="C437" s="412"/>
      <c r="D437" s="412"/>
      <c r="E437" s="412"/>
      <c r="F437" s="412"/>
      <c r="G437" s="412"/>
      <c r="H437" s="412"/>
      <c r="I437" s="412"/>
      <c r="J437" s="412"/>
      <c r="K437" s="412"/>
      <c r="L437" s="412"/>
      <c r="M437" s="412"/>
      <c r="N437" s="412"/>
      <c r="O437" s="412"/>
      <c r="P437" s="414"/>
    </row>
    <row r="438" spans="1:16" ht="13.5" customHeight="1" x14ac:dyDescent="0.2">
      <c r="B438" s="410"/>
      <c r="C438" s="424" t="s">
        <v>277</v>
      </c>
      <c r="D438" s="412"/>
      <c r="E438" s="413"/>
      <c r="F438" s="412"/>
      <c r="G438" s="413"/>
      <c r="H438" s="412"/>
      <c r="I438" s="412"/>
      <c r="J438" s="412"/>
      <c r="K438" s="412"/>
      <c r="L438" s="412"/>
      <c r="M438" s="412"/>
      <c r="N438" s="413" t="str">
        <f>Preferences.EnergyUnits</f>
        <v>TWh</v>
      </c>
      <c r="P438" s="414"/>
    </row>
    <row r="439" spans="1:16" ht="15.75" x14ac:dyDescent="0.25">
      <c r="A439" s="3"/>
      <c r="B439" s="410"/>
      <c r="C439" s="412"/>
      <c r="D439" s="412"/>
      <c r="E439" s="412"/>
      <c r="F439" s="412"/>
      <c r="G439" s="412"/>
      <c r="H439" s="412"/>
      <c r="I439" s="412"/>
      <c r="J439" s="412"/>
      <c r="K439" s="412"/>
      <c r="L439" s="412"/>
      <c r="M439" s="412"/>
      <c r="N439" s="412"/>
      <c r="O439" s="412"/>
      <c r="P439" s="414"/>
    </row>
    <row r="440" spans="1:16" ht="15.75" x14ac:dyDescent="0.25">
      <c r="A440" s="3"/>
      <c r="B440" s="415"/>
      <c r="C440" s="426" t="s">
        <v>64</v>
      </c>
      <c r="D440" s="426" t="s">
        <v>150</v>
      </c>
      <c r="E440" s="426" t="s">
        <v>172</v>
      </c>
      <c r="F440" s="426" t="s">
        <v>241</v>
      </c>
      <c r="G440" s="427" t="s">
        <v>268</v>
      </c>
      <c r="H440" s="427" t="s">
        <v>269</v>
      </c>
      <c r="I440" s="427" t="s">
        <v>270</v>
      </c>
      <c r="J440" s="427" t="s">
        <v>271</v>
      </c>
      <c r="K440" s="427" t="s">
        <v>272</v>
      </c>
      <c r="L440" s="427" t="s">
        <v>273</v>
      </c>
      <c r="M440" s="427" t="s">
        <v>274</v>
      </c>
      <c r="N440" s="427" t="s">
        <v>275</v>
      </c>
      <c r="O440" s="414"/>
    </row>
    <row r="441" spans="1:16" ht="15.75" x14ac:dyDescent="0.25">
      <c r="A441" s="3"/>
      <c r="B441" s="415"/>
      <c r="C441" s="426" t="s">
        <v>9</v>
      </c>
      <c r="D441" s="240" t="str">
        <f>INDEX(Vectors[Description], MATCH(XI.a.Outputs[Vector], Vectors[Code], 0))</f>
        <v>Industry</v>
      </c>
      <c r="E441" s="426"/>
      <c r="F441" s="500">
        <f t="shared" ref="F441:N441" si="109">F239</f>
        <v>53.498000000000033</v>
      </c>
      <c r="G441" s="500">
        <f t="shared" si="109"/>
        <v>63.851868255101593</v>
      </c>
      <c r="H441" s="500">
        <f t="shared" si="109"/>
        <v>76.26761509483751</v>
      </c>
      <c r="I441" s="500">
        <f t="shared" si="109"/>
        <v>91.160322190921491</v>
      </c>
      <c r="J441" s="500">
        <f t="shared" si="109"/>
        <v>105.3161714881026</v>
      </c>
      <c r="K441" s="500">
        <f t="shared" si="109"/>
        <v>121.74076415005614</v>
      </c>
      <c r="L441" s="500">
        <f t="shared" si="109"/>
        <v>140.80186989915305</v>
      </c>
      <c r="M441" s="500">
        <f t="shared" si="109"/>
        <v>162.92714427345283</v>
      </c>
      <c r="N441" s="500">
        <f t="shared" si="109"/>
        <v>188.61389831339488</v>
      </c>
      <c r="O441" s="414"/>
    </row>
    <row r="442" spans="1:16" ht="15.75" x14ac:dyDescent="0.25">
      <c r="A442" s="3"/>
      <c r="B442" s="415"/>
      <c r="C442" s="97" t="s">
        <v>34</v>
      </c>
      <c r="D442" s="97" t="str">
        <f>INDEX(Vectors[Description], MATCH(XI.a.Outputs[Vector], Vectors[Code], 0))</f>
        <v>Electricity (delivered to end user)</v>
      </c>
      <c r="E442" s="97"/>
      <c r="F442" s="241">
        <f t="shared" ref="F442:N442" si="110">-F242</f>
        <v>-24.449164692999169</v>
      </c>
      <c r="G442" s="241">
        <f t="shared" si="110"/>
        <v>-24.982561473647642</v>
      </c>
      <c r="H442" s="241">
        <f t="shared" si="110"/>
        <v>-24.8255212104248</v>
      </c>
      <c r="I442" s="241">
        <f t="shared" si="110"/>
        <v>-23.67914021157986</v>
      </c>
      <c r="J442" s="241">
        <f t="shared" si="110"/>
        <v>-20.431337268691905</v>
      </c>
      <c r="K442" s="241">
        <f t="shared" si="110"/>
        <v>-24.530763976236312</v>
      </c>
      <c r="L442" s="241">
        <f t="shared" si="110"/>
        <v>-29.427590808922986</v>
      </c>
      <c r="M442" s="241">
        <f t="shared" si="110"/>
        <v>-34.622018158108723</v>
      </c>
      <c r="N442" s="241">
        <f t="shared" si="110"/>
        <v>-40.740602035693293</v>
      </c>
      <c r="O442" s="414"/>
    </row>
    <row r="443" spans="1:16" ht="15.75" x14ac:dyDescent="0.25">
      <c r="A443" s="3"/>
      <c r="B443" s="415"/>
      <c r="C443" s="97" t="s">
        <v>36</v>
      </c>
      <c r="D443" s="97" t="str">
        <f>INDEX(Vectors[Description], MATCH(XI.a.Outputs[Vector], Vectors[Code], 0))</f>
        <v>Solid hydrocarbons</v>
      </c>
      <c r="E443" s="97"/>
      <c r="F443" s="241">
        <f t="shared" ref="F443:N443" si="111">-F243</f>
        <v>-1.507731915164449</v>
      </c>
      <c r="G443" s="241">
        <f t="shared" si="111"/>
        <v>-1.7966139938633079</v>
      </c>
      <c r="H443" s="241">
        <f t="shared" si="111"/>
        <v>-2.1424701278326816</v>
      </c>
      <c r="I443" s="241">
        <f t="shared" si="111"/>
        <v>-2.5566586608648891</v>
      </c>
      <c r="J443" s="241">
        <f t="shared" si="111"/>
        <v>-2.9488528016668729</v>
      </c>
      <c r="K443" s="241">
        <f t="shared" si="111"/>
        <v>-3.4696117782766001</v>
      </c>
      <c r="L443" s="241">
        <f t="shared" si="111"/>
        <v>-4.0832542270754386</v>
      </c>
      <c r="M443" s="241">
        <f t="shared" si="111"/>
        <v>-4.8063507560668581</v>
      </c>
      <c r="N443" s="241">
        <f t="shared" si="111"/>
        <v>-5.6584169494018459</v>
      </c>
      <c r="O443" s="414"/>
    </row>
    <row r="444" spans="1:16" ht="15.75" x14ac:dyDescent="0.25">
      <c r="A444" s="3"/>
      <c r="B444" s="415"/>
      <c r="C444" s="97" t="s">
        <v>38</v>
      </c>
      <c r="D444" s="97" t="str">
        <f>INDEX(Vectors[Description], MATCH(XI.a.Outputs[Vector], Vectors[Code], 0))</f>
        <v>Liquid hydrocarbons</v>
      </c>
      <c r="E444" s="97"/>
      <c r="F444" s="241">
        <f t="shared" ref="F444:N444" si="112">-F244</f>
        <v>-2.4375855710328915</v>
      </c>
      <c r="G444" s="241">
        <f t="shared" si="112"/>
        <v>-5.5980872615772128</v>
      </c>
      <c r="H444" s="241">
        <f t="shared" si="112"/>
        <v>-9.8981655461306968</v>
      </c>
      <c r="I444" s="241">
        <f t="shared" si="112"/>
        <v>-15.669640091504293</v>
      </c>
      <c r="J444" s="241">
        <f t="shared" si="112"/>
        <v>-22.537660698453955</v>
      </c>
      <c r="K444" s="241">
        <f t="shared" si="112"/>
        <v>-25.322078943211679</v>
      </c>
      <c r="L444" s="241">
        <f t="shared" si="112"/>
        <v>-28.441977719628916</v>
      </c>
      <c r="M444" s="241">
        <f t="shared" si="112"/>
        <v>-33.318601003921103</v>
      </c>
      <c r="N444" s="241">
        <f t="shared" si="112"/>
        <v>-39.043076950872738</v>
      </c>
      <c r="O444" s="414"/>
    </row>
    <row r="445" spans="1:16" ht="15.75" x14ac:dyDescent="0.25">
      <c r="A445" s="3"/>
      <c r="B445" s="415"/>
      <c r="C445" s="97" t="s">
        <v>39</v>
      </c>
      <c r="D445" s="97" t="str">
        <f>INDEX(Vectors[Description], MATCH(XI.a.Outputs[Vector], Vectors[Code], 0))</f>
        <v>Gaseous hydrocarbons</v>
      </c>
      <c r="E445" s="97"/>
      <c r="F445" s="241">
        <f t="shared" ref="F445:N445" si="113">-F245</f>
        <v>-19.417508445869466</v>
      </c>
      <c r="G445" s="241">
        <f t="shared" si="113"/>
        <v>-24.77249686514882</v>
      </c>
      <c r="H445" s="241">
        <f t="shared" si="113"/>
        <v>-31.496910128840543</v>
      </c>
      <c r="I445" s="241">
        <f t="shared" si="113"/>
        <v>-39.927255996420499</v>
      </c>
      <c r="J445" s="241">
        <f t="shared" si="113"/>
        <v>-48.761387398991502</v>
      </c>
      <c r="K445" s="241">
        <f t="shared" si="113"/>
        <v>-58.070344499576777</v>
      </c>
      <c r="L445" s="241">
        <f t="shared" si="113"/>
        <v>-69.133718120484147</v>
      </c>
      <c r="M445" s="241">
        <f t="shared" si="113"/>
        <v>-80.893327131769325</v>
      </c>
      <c r="N445" s="241">
        <f t="shared" si="113"/>
        <v>-94.684176953324226</v>
      </c>
      <c r="O445" s="414"/>
    </row>
    <row r="446" spans="1:16" ht="15.75" x14ac:dyDescent="0.25">
      <c r="A446" s="3"/>
      <c r="B446" s="415"/>
      <c r="C446" s="97" t="s">
        <v>2184</v>
      </c>
      <c r="D446" s="97" t="str">
        <f>INDEX(Vectors[Description], MATCH(XI.a.Outputs[Vector], Vectors[Code], 0))</f>
        <v>Traditional Fuel</v>
      </c>
      <c r="E446" s="97"/>
      <c r="F446" s="241">
        <f t="shared" ref="F446:N446" si="114">-F246</f>
        <v>-5.6860093749340557</v>
      </c>
      <c r="G446" s="241">
        <f t="shared" si="114"/>
        <v>-6.7021086608646065</v>
      </c>
      <c r="H446" s="241">
        <f t="shared" si="114"/>
        <v>-7.9045480816087821</v>
      </c>
      <c r="I446" s="241">
        <f t="shared" si="114"/>
        <v>-9.3276272305519541</v>
      </c>
      <c r="J446" s="241">
        <f t="shared" si="114"/>
        <v>-10.636933320298363</v>
      </c>
      <c r="K446" s="241">
        <f t="shared" si="114"/>
        <v>-10.347964952754772</v>
      </c>
      <c r="L446" s="241">
        <f t="shared" si="114"/>
        <v>-9.7153290230415603</v>
      </c>
      <c r="M446" s="241">
        <f t="shared" si="114"/>
        <v>-9.2868472235868111</v>
      </c>
      <c r="N446" s="241">
        <f t="shared" si="114"/>
        <v>-8.4876254241027702</v>
      </c>
      <c r="O446" s="414"/>
    </row>
    <row r="447" spans="1:16" ht="15.75" x14ac:dyDescent="0.25">
      <c r="A447" s="3"/>
      <c r="B447" s="415"/>
      <c r="C447" s="97" t="s">
        <v>105</v>
      </c>
      <c r="D447" s="97"/>
      <c r="E447" s="97"/>
      <c r="F447" s="529">
        <f>SUBTOTAL(109,XI.a.Outputs[2010])</f>
        <v>0</v>
      </c>
      <c r="G447" s="529">
        <f>SUBTOTAL(109,XI.a.Outputs[2015])</f>
        <v>0</v>
      </c>
      <c r="H447" s="529">
        <f>SUBTOTAL(109,XI.a.Outputs[2020])</f>
        <v>8.8817841970012523E-15</v>
      </c>
      <c r="I447" s="529">
        <f>SUBTOTAL(109,XI.a.Outputs[2025])</f>
        <v>0</v>
      </c>
      <c r="J447" s="529">
        <f>SUBTOTAL(109,XI.a.Outputs[2030])</f>
        <v>0</v>
      </c>
      <c r="K447" s="529">
        <f>SUBTOTAL(109,XI.a.Outputs[2035])</f>
        <v>0</v>
      </c>
      <c r="L447" s="529">
        <f>SUBTOTAL(109,XI.a.Outputs[2040])</f>
        <v>0</v>
      </c>
      <c r="M447" s="529">
        <f>SUBTOTAL(109,XI.a.Outputs[2045])</f>
        <v>0</v>
      </c>
      <c r="N447" s="529">
        <f>SUBTOTAL(109,XI.a.Outputs[2050])</f>
        <v>1.7763568394002505E-14</v>
      </c>
      <c r="O447" s="414"/>
    </row>
    <row r="448" spans="1:16" ht="15.75" x14ac:dyDescent="0.25">
      <c r="B448" s="416"/>
      <c r="C448" s="417"/>
      <c r="D448" s="417"/>
      <c r="E448" s="417"/>
      <c r="F448" s="417"/>
      <c r="G448" s="417"/>
      <c r="H448" s="417"/>
      <c r="I448" s="417"/>
      <c r="J448" s="417"/>
      <c r="K448" s="417"/>
      <c r="L448" s="417"/>
      <c r="M448" s="417"/>
      <c r="N448" s="417"/>
      <c r="O448" s="417"/>
      <c r="P448" s="419"/>
    </row>
    <row r="449" spans="1:16" ht="22.5" x14ac:dyDescent="0.3">
      <c r="A449" s="409"/>
    </row>
    <row r="450" spans="1:16" ht="15.75" x14ac:dyDescent="0.2">
      <c r="B450" s="484" t="s">
        <v>361</v>
      </c>
      <c r="C450" s="436"/>
      <c r="D450" s="437"/>
      <c r="E450" s="437"/>
      <c r="F450" s="437"/>
      <c r="G450" s="437"/>
      <c r="H450" s="437"/>
      <c r="I450" s="437"/>
      <c r="J450" s="437"/>
      <c r="K450" s="437"/>
      <c r="L450" s="437"/>
      <c r="M450" s="437"/>
      <c r="N450" s="437"/>
      <c r="O450" s="437"/>
      <c r="P450" s="438"/>
    </row>
    <row r="451" spans="1:16" x14ac:dyDescent="0.2">
      <c r="B451" s="444"/>
      <c r="C451" s="445"/>
      <c r="D451" s="445"/>
      <c r="E451" s="445"/>
      <c r="F451" s="445"/>
      <c r="G451" s="445"/>
      <c r="H451" s="445"/>
      <c r="I451" s="445"/>
      <c r="J451" s="445"/>
      <c r="K451" s="445"/>
      <c r="L451" s="445"/>
      <c r="M451" s="445"/>
      <c r="N451" s="445"/>
      <c r="O451" s="445"/>
      <c r="P451" s="446"/>
    </row>
    <row r="452" spans="1:16" ht="12" customHeight="1" x14ac:dyDescent="0.25">
      <c r="B452" s="447"/>
      <c r="C452" s="439" t="s">
        <v>1857</v>
      </c>
      <c r="D452" s="440"/>
      <c r="E452" s="441"/>
      <c r="F452" s="440"/>
      <c r="G452" s="441"/>
      <c r="H452" s="440"/>
      <c r="I452" s="440"/>
      <c r="J452" s="440"/>
      <c r="K452" s="440"/>
      <c r="L452" s="440"/>
      <c r="M452" s="440"/>
      <c r="N452" s="1750" t="s">
        <v>676</v>
      </c>
      <c r="P452" s="448"/>
    </row>
    <row r="453" spans="1:16" x14ac:dyDescent="0.2">
      <c r="B453" s="447"/>
      <c r="C453" s="440"/>
      <c r="D453" s="440"/>
      <c r="E453" s="440"/>
      <c r="F453" s="440"/>
      <c r="G453" s="440"/>
      <c r="H453" s="440"/>
      <c r="I453" s="440"/>
      <c r="J453" s="440"/>
      <c r="K453" s="440"/>
      <c r="L453" s="440"/>
      <c r="M453" s="440"/>
      <c r="N453" s="440"/>
      <c r="O453" s="440"/>
      <c r="P453" s="448"/>
    </row>
    <row r="454" spans="1:16" ht="15.75" x14ac:dyDescent="0.25">
      <c r="B454" s="449"/>
      <c r="C454" s="503" t="s">
        <v>490</v>
      </c>
      <c r="D454" s="503" t="s">
        <v>461</v>
      </c>
      <c r="E454" s="503" t="s">
        <v>172</v>
      </c>
      <c r="F454" s="503" t="s">
        <v>241</v>
      </c>
      <c r="G454" s="503" t="s">
        <v>268</v>
      </c>
      <c r="H454" s="503" t="s">
        <v>269</v>
      </c>
      <c r="I454" s="503" t="s">
        <v>270</v>
      </c>
      <c r="J454" s="503" t="s">
        <v>271</v>
      </c>
      <c r="K454" s="503" t="s">
        <v>272</v>
      </c>
      <c r="L454" s="503" t="s">
        <v>273</v>
      </c>
      <c r="M454" s="503" t="s">
        <v>274</v>
      </c>
      <c r="N454" s="503" t="s">
        <v>275</v>
      </c>
      <c r="O454" s="448"/>
    </row>
    <row r="455" spans="1:16" ht="15.75" x14ac:dyDescent="0.25">
      <c r="B455" s="449"/>
      <c r="C455" s="443" t="s">
        <v>473</v>
      </c>
      <c r="D455" s="453" t="s">
        <v>483</v>
      </c>
      <c r="E455" s="443" t="str">
        <f>INDEX(IPCC[Sector_description], MATCH(XI.a.Emissions[IPCC Sector], IPCC[Sector_code], 0))</f>
        <v>Fuel Combustion</v>
      </c>
      <c r="F455" s="502">
        <f t="shared" ref="F455:N455" si="115">F343</f>
        <v>4.6465993766688545</v>
      </c>
      <c r="G455" s="502">
        <f t="shared" si="115"/>
        <v>6.511018348691584</v>
      </c>
      <c r="H455" s="502">
        <f t="shared" si="115"/>
        <v>8.9298536496117986</v>
      </c>
      <c r="I455" s="502">
        <f t="shared" si="115"/>
        <v>12.05147599376383</v>
      </c>
      <c r="J455" s="502">
        <f t="shared" si="115"/>
        <v>15.51475711894132</v>
      </c>
      <c r="K455" s="502">
        <f t="shared" si="115"/>
        <v>18.084103551434239</v>
      </c>
      <c r="L455" s="502">
        <f t="shared" si="115"/>
        <v>21.088740866015545</v>
      </c>
      <c r="M455" s="502">
        <f t="shared" si="115"/>
        <v>24.694378476094421</v>
      </c>
      <c r="N455" s="502">
        <f t="shared" si="115"/>
        <v>28.92545021754561</v>
      </c>
      <c r="O455" s="448"/>
    </row>
    <row r="456" spans="1:16" ht="15.75" x14ac:dyDescent="0.25">
      <c r="B456" s="449"/>
      <c r="C456" s="443" t="s">
        <v>474</v>
      </c>
      <c r="D456" s="453" t="s">
        <v>483</v>
      </c>
      <c r="E456" s="443" t="str">
        <f>INDEX(IPCC[Sector_description], MATCH(XI.a.Emissions[IPCC Sector], IPCC[Sector_code], 0))</f>
        <v>Fuel Combustion</v>
      </c>
      <c r="F456" s="502">
        <f t="shared" ref="F456:N456" si="116">F344</f>
        <v>9.2845506712788614E-3</v>
      </c>
      <c r="G456" s="502">
        <f t="shared" si="116"/>
        <v>1.2504687684956557E-2</v>
      </c>
      <c r="H456" s="502">
        <f t="shared" si="116"/>
        <v>1.6636145123288308E-2</v>
      </c>
      <c r="I456" s="502">
        <f t="shared" si="116"/>
        <v>2.1916591075595349E-2</v>
      </c>
      <c r="J456" s="502">
        <f t="shared" si="116"/>
        <v>2.7667361891376988E-2</v>
      </c>
      <c r="K456" s="502">
        <f t="shared" si="116"/>
        <v>3.2438567790519859E-2</v>
      </c>
      <c r="L456" s="502">
        <f t="shared" si="116"/>
        <v>3.8045305284095776E-2</v>
      </c>
      <c r="M456" s="502">
        <f t="shared" si="116"/>
        <v>4.4554644074984703E-2</v>
      </c>
      <c r="N456" s="502">
        <f t="shared" si="116"/>
        <v>5.2193740124750462E-2</v>
      </c>
      <c r="O456" s="448"/>
    </row>
    <row r="457" spans="1:16" ht="15.75" x14ac:dyDescent="0.25">
      <c r="B457" s="449"/>
      <c r="C457" s="443" t="s">
        <v>475</v>
      </c>
      <c r="D457" s="453" t="s">
        <v>483</v>
      </c>
      <c r="E457" s="443" t="str">
        <f>INDEX(IPCC[Sector_description], MATCH(XI.a.Emissions[IPCC Sector], IPCC[Sector_code], 0))</f>
        <v>Fuel Combustion</v>
      </c>
      <c r="F457" s="502">
        <f t="shared" ref="F457:N457" si="117">F345</f>
        <v>2.2780742935134775E-2</v>
      </c>
      <c r="G457" s="502">
        <f t="shared" si="117"/>
        <v>3.9909178889935393E-2</v>
      </c>
      <c r="H457" s="502">
        <f t="shared" si="117"/>
        <v>6.2862130240715366E-2</v>
      </c>
      <c r="I457" s="502">
        <f t="shared" si="117"/>
        <v>9.3296605411917255E-2</v>
      </c>
      <c r="J457" s="502">
        <f t="shared" si="117"/>
        <v>0.12876352576808422</v>
      </c>
      <c r="K457" s="502">
        <f t="shared" si="117"/>
        <v>0.14640149015090617</v>
      </c>
      <c r="L457" s="502">
        <f t="shared" si="117"/>
        <v>0.16649783422135445</v>
      </c>
      <c r="M457" s="502">
        <f t="shared" si="117"/>
        <v>0.19507077297366815</v>
      </c>
      <c r="N457" s="502">
        <f t="shared" si="117"/>
        <v>0.22861501923408484</v>
      </c>
      <c r="O457" s="448"/>
    </row>
    <row r="458" spans="1:16" ht="15.75" x14ac:dyDescent="0.25">
      <c r="B458" s="449"/>
      <c r="C458" s="442" t="s">
        <v>473</v>
      </c>
      <c r="D458" s="520">
        <v>2</v>
      </c>
      <c r="E458" s="443" t="str">
        <f>INDEX(IPCC[Sector_description], MATCH(XI.a.Emissions[IPCC Sector], IPCC[Sector_code], 0))</f>
        <v>Industrial Processes</v>
      </c>
      <c r="F458" s="530">
        <f t="shared" ref="F458:N458" si="118">F288</f>
        <v>14.39565925511863</v>
      </c>
      <c r="G458" s="530">
        <f t="shared" si="118"/>
        <v>14.52967271905924</v>
      </c>
      <c r="H458" s="530">
        <f t="shared" si="118"/>
        <v>14.682038301883917</v>
      </c>
      <c r="I458" s="530">
        <f t="shared" si="118"/>
        <v>14.853585635881387</v>
      </c>
      <c r="J458" s="530">
        <f t="shared" si="118"/>
        <v>14.773066146298628</v>
      </c>
      <c r="K458" s="530">
        <f t="shared" si="118"/>
        <v>14.698135934862325</v>
      </c>
      <c r="L458" s="530">
        <f t="shared" si="118"/>
        <v>14.628813841363048</v>
      </c>
      <c r="M458" s="530">
        <f t="shared" si="118"/>
        <v>14.56512145051156</v>
      </c>
      <c r="N458" s="530">
        <f t="shared" si="118"/>
        <v>14.39565925511863</v>
      </c>
      <c r="O458" s="448"/>
    </row>
    <row r="459" spans="1:16" ht="15.75" x14ac:dyDescent="0.25">
      <c r="B459" s="449"/>
      <c r="C459" s="442" t="s">
        <v>474</v>
      </c>
      <c r="D459" s="520">
        <v>2</v>
      </c>
      <c r="E459" s="443" t="str">
        <f>INDEX(IPCC[Sector_description], MATCH(XI.a.Emissions[IPCC Sector], IPCC[Sector_code], 0))</f>
        <v>Industrial Processes</v>
      </c>
      <c r="F459" s="530">
        <f t="shared" ref="F459:N459" si="119">F295</f>
        <v>0.11288744235152412</v>
      </c>
      <c r="G459" s="530">
        <f t="shared" si="119"/>
        <v>0.11798280493516192</v>
      </c>
      <c r="H459" s="530">
        <f t="shared" si="119"/>
        <v>0.12340583618450737</v>
      </c>
      <c r="I459" s="530">
        <f t="shared" si="119"/>
        <v>0.12917588690165421</v>
      </c>
      <c r="J459" s="530">
        <f t="shared" si="119"/>
        <v>0.13108279035873913</v>
      </c>
      <c r="K459" s="530">
        <f t="shared" si="119"/>
        <v>0.13306254322391611</v>
      </c>
      <c r="L459" s="530">
        <f t="shared" si="119"/>
        <v>0.13511675102916507</v>
      </c>
      <c r="M459" s="530">
        <f t="shared" si="119"/>
        <v>0.13724706750893978</v>
      </c>
      <c r="N459" s="530">
        <f t="shared" si="119"/>
        <v>0.11288744235152412</v>
      </c>
      <c r="O459" s="448"/>
    </row>
    <row r="460" spans="1:16" ht="15.75" x14ac:dyDescent="0.25">
      <c r="B460" s="449"/>
      <c r="C460" s="442" t="s">
        <v>475</v>
      </c>
      <c r="D460" s="520">
        <v>2</v>
      </c>
      <c r="E460" s="443" t="str">
        <f>INDEX(IPCC[Sector_description], MATCH(XI.a.Emissions[IPCC Sector], IPCC[Sector_code], 0))</f>
        <v>Industrial Processes</v>
      </c>
      <c r="F460" s="530">
        <f t="shared" ref="F460:N460" si="120">F302</f>
        <v>2.7624692105907238</v>
      </c>
      <c r="G460" s="530">
        <f t="shared" si="120"/>
        <v>2.9347205573011266</v>
      </c>
      <c r="H460" s="530">
        <f t="shared" si="120"/>
        <v>3.1177186281139675</v>
      </c>
      <c r="I460" s="530">
        <f t="shared" si="120"/>
        <v>3.3121341350380442</v>
      </c>
      <c r="J460" s="530">
        <f t="shared" si="120"/>
        <v>3.4000294759352552</v>
      </c>
      <c r="K460" s="530">
        <f t="shared" si="120"/>
        <v>3.4902717676257011</v>
      </c>
      <c r="L460" s="530">
        <f t="shared" si="120"/>
        <v>3.5829235236805861</v>
      </c>
      <c r="M460" s="530">
        <f t="shared" si="120"/>
        <v>3.6780489244177157</v>
      </c>
      <c r="N460" s="530">
        <f t="shared" si="120"/>
        <v>2.7624692105907238</v>
      </c>
      <c r="O460" s="448"/>
    </row>
    <row r="461" spans="1:16" ht="15.75" x14ac:dyDescent="0.25">
      <c r="B461" s="449"/>
      <c r="C461" s="442" t="s">
        <v>476</v>
      </c>
      <c r="D461" s="520">
        <v>2</v>
      </c>
      <c r="E461" s="443" t="str">
        <f>INDEX(IPCC[Sector_description], MATCH(XI.a.Emissions[IPCC Sector], IPCC[Sector_code], 0))</f>
        <v>Industrial Processes</v>
      </c>
      <c r="F461" s="530">
        <f t="shared" ref="F461:N461" si="121">F309</f>
        <v>10.620296151887526</v>
      </c>
      <c r="G461" s="530">
        <f t="shared" si="121"/>
        <v>10.275715048133547</v>
      </c>
      <c r="H461" s="530">
        <f t="shared" si="121"/>
        <v>9.9423140598270283</v>
      </c>
      <c r="I461" s="530">
        <f t="shared" si="121"/>
        <v>9.6197304422322389</v>
      </c>
      <c r="J461" s="530">
        <f t="shared" si="121"/>
        <v>9.2384290877998048</v>
      </c>
      <c r="K461" s="530">
        <f t="shared" si="121"/>
        <v>8.8722415376226049</v>
      </c>
      <c r="L461" s="530">
        <f t="shared" si="121"/>
        <v>8.5205687194014956</v>
      </c>
      <c r="M461" s="530">
        <f t="shared" si="121"/>
        <v>8.1828353065213193</v>
      </c>
      <c r="N461" s="530">
        <f t="shared" si="121"/>
        <v>10.620296151887526</v>
      </c>
      <c r="O461" s="448"/>
    </row>
    <row r="462" spans="1:16" ht="15.75" x14ac:dyDescent="0.25">
      <c r="B462" s="449"/>
      <c r="C462" s="442" t="s">
        <v>473</v>
      </c>
      <c r="D462" s="520" t="s">
        <v>495</v>
      </c>
      <c r="E462" s="443" t="str">
        <f>INDEX(IPCC[Sector_description], MATCH(XI.a.Emissions[IPCC Sector], IPCC[Sector_code], 0))</f>
        <v>Carbon capture</v>
      </c>
      <c r="F462" s="530">
        <f t="shared" ref="F462:N462" si="122">-(F$369+F$373)</f>
        <v>0</v>
      </c>
      <c r="G462" s="530">
        <f t="shared" si="122"/>
        <v>0</v>
      </c>
      <c r="H462" s="530">
        <f t="shared" si="122"/>
        <v>0</v>
      </c>
      <c r="I462" s="530">
        <f t="shared" si="122"/>
        <v>0</v>
      </c>
      <c r="J462" s="530">
        <f t="shared" si="122"/>
        <v>0</v>
      </c>
      <c r="K462" s="530">
        <f t="shared" si="122"/>
        <v>0</v>
      </c>
      <c r="L462" s="530">
        <f t="shared" si="122"/>
        <v>0</v>
      </c>
      <c r="M462" s="530">
        <f t="shared" si="122"/>
        <v>0</v>
      </c>
      <c r="N462" s="530">
        <f t="shared" si="122"/>
        <v>0</v>
      </c>
      <c r="O462" s="448"/>
    </row>
    <row r="463" spans="1:16" s="1792" customFormat="1" ht="15.75" x14ac:dyDescent="0.25">
      <c r="B463" s="449"/>
      <c r="C463" s="443" t="s">
        <v>105</v>
      </c>
      <c r="D463" s="443"/>
      <c r="E463" s="443"/>
      <c r="F463" s="512">
        <f>SUBTOTAL(109,XI.a.Emissions[2010])</f>
        <v>32.569976730223672</v>
      </c>
      <c r="G463" s="512">
        <f>SUBTOTAL(109,XI.a.Emissions[2015])</f>
        <v>34.421523344695551</v>
      </c>
      <c r="H463" s="512">
        <f>SUBTOTAL(109,XI.a.Emissions[2020])</f>
        <v>36.874828750985216</v>
      </c>
      <c r="I463" s="512">
        <f>SUBTOTAL(109,XI.a.Emissions[2025])</f>
        <v>40.081315290304659</v>
      </c>
      <c r="J463" s="512">
        <f>SUBTOTAL(109,XI.a.Emissions[2030])</f>
        <v>43.213795506993208</v>
      </c>
      <c r="K463" s="512">
        <f>SUBTOTAL(109,XI.a.Emissions[2035])</f>
        <v>45.456655392710211</v>
      </c>
      <c r="L463" s="512">
        <f>SUBTOTAL(109,XI.a.Emissions[2040])</f>
        <v>48.160706840995289</v>
      </c>
      <c r="M463" s="512">
        <f>SUBTOTAL(109,XI.a.Emissions[2045])</f>
        <v>51.497256642102606</v>
      </c>
      <c r="N463" s="512">
        <f>SUBTOTAL(109,XI.a.Emissions[2050])</f>
        <v>57.097571036852841</v>
      </c>
      <c r="O463" s="448"/>
    </row>
    <row r="464" spans="1:16" s="1792" customFormat="1" ht="15.75" x14ac:dyDescent="0.25">
      <c r="B464" s="1793"/>
      <c r="C464" s="443"/>
      <c r="D464" s="443"/>
      <c r="E464" s="443"/>
      <c r="F464" s="512"/>
      <c r="G464" s="512"/>
      <c r="H464" s="512"/>
      <c r="I464" s="512"/>
      <c r="J464" s="512"/>
      <c r="K464" s="512"/>
      <c r="L464" s="512"/>
      <c r="M464" s="512"/>
      <c r="N464" s="512"/>
      <c r="O464" s="512"/>
      <c r="P464" s="440"/>
    </row>
    <row r="465" spans="2:16" s="1792" customFormat="1" ht="13.5" customHeight="1" x14ac:dyDescent="0.25">
      <c r="B465" s="1793"/>
      <c r="C465" s="1764" t="s">
        <v>1859</v>
      </c>
      <c r="D465" s="513"/>
      <c r="E465" s="443"/>
      <c r="F465" s="512"/>
      <c r="G465" s="512"/>
      <c r="H465" s="512"/>
      <c r="I465" s="512"/>
      <c r="J465" s="512"/>
      <c r="K465" s="512"/>
      <c r="L465" s="512"/>
      <c r="M465" s="512"/>
      <c r="N465" s="1765" t="s">
        <v>1848</v>
      </c>
      <c r="P465" s="440"/>
    </row>
    <row r="466" spans="2:16" s="1615" customFormat="1" ht="15.75" x14ac:dyDescent="0.25">
      <c r="B466" s="1793"/>
      <c r="C466" s="443"/>
      <c r="D466" s="443"/>
      <c r="E466" s="443"/>
      <c r="F466" s="512"/>
      <c r="G466" s="512"/>
      <c r="H466" s="512"/>
      <c r="I466" s="512"/>
      <c r="J466" s="512"/>
      <c r="K466" s="512"/>
      <c r="L466" s="512"/>
      <c r="M466" s="512"/>
      <c r="N466" s="512"/>
      <c r="O466" s="512"/>
      <c r="P466" s="440"/>
    </row>
    <row r="467" spans="2:16" s="1615" customFormat="1" x14ac:dyDescent="0.2">
      <c r="B467" s="1766"/>
      <c r="C467" s="1821" t="s">
        <v>64</v>
      </c>
      <c r="D467" s="1821" t="s">
        <v>150</v>
      </c>
      <c r="E467" s="1821" t="s">
        <v>461</v>
      </c>
      <c r="F467" s="1821" t="s">
        <v>241</v>
      </c>
      <c r="G467" s="1821" t="s">
        <v>268</v>
      </c>
      <c r="H467" s="1821" t="s">
        <v>269</v>
      </c>
      <c r="I467" s="1821" t="s">
        <v>270</v>
      </c>
      <c r="J467" s="1821" t="s">
        <v>271</v>
      </c>
      <c r="K467" s="1821" t="s">
        <v>272</v>
      </c>
      <c r="L467" s="1821" t="s">
        <v>273</v>
      </c>
      <c r="M467" s="1821" t="s">
        <v>274</v>
      </c>
      <c r="N467" s="1821" t="s">
        <v>275</v>
      </c>
      <c r="O467" s="1766"/>
    </row>
    <row r="468" spans="2:16" s="1615" customFormat="1" x14ac:dyDescent="0.2">
      <c r="B468" s="1766"/>
      <c r="C468" s="1797" t="str">
        <f>INDEX(AirQualityVectors[Code],MATCH(D468,AirQualityVectors[Description],0))</f>
        <v>AQ.01</v>
      </c>
      <c r="D468" s="1798" t="s">
        <v>1791</v>
      </c>
      <c r="E468" s="1797" t="s">
        <v>483</v>
      </c>
      <c r="F468" s="1799">
        <f t="shared" ref="F468:N468" ca="1" si="123">F359</f>
        <v>0.80802607846814456</v>
      </c>
      <c r="G468" s="1799">
        <f t="shared" ca="1" si="123"/>
        <v>1.2965979955579507</v>
      </c>
      <c r="H468" s="1799">
        <f t="shared" ca="1" si="123"/>
        <v>1.615312857440782</v>
      </c>
      <c r="I468" s="1799">
        <f t="shared" ca="1" si="123"/>
        <v>2.3224250520887812</v>
      </c>
      <c r="J468" s="1799">
        <f t="shared" ca="1" si="123"/>
        <v>2.9637028910245977</v>
      </c>
      <c r="K468" s="1799">
        <f t="shared" ca="1" si="123"/>
        <v>3.3296275364538448</v>
      </c>
      <c r="L468" s="1799">
        <f t="shared" ca="1" si="123"/>
        <v>3.781789095463596</v>
      </c>
      <c r="M468" s="1799">
        <f t="shared" ca="1" si="123"/>
        <v>4.3659286991215698</v>
      </c>
      <c r="N468" s="1799">
        <f t="shared" ca="1" si="123"/>
        <v>5.0682948112512873</v>
      </c>
      <c r="O468" s="1766"/>
    </row>
    <row r="469" spans="2:16" s="1615" customFormat="1" x14ac:dyDescent="0.2">
      <c r="B469" s="1766"/>
      <c r="C469" s="1794" t="str">
        <f>INDEX(AirQualityVectors[Code],MATCH(D469,AirQualityVectors[Description],0))</f>
        <v>AQ.02</v>
      </c>
      <c r="D469" s="1795" t="s">
        <v>1794</v>
      </c>
      <c r="E469" s="1794" t="s">
        <v>483</v>
      </c>
      <c r="F469" s="1796">
        <f t="shared" ref="F469:N469" ca="1" si="124">F360</f>
        <v>7.5869326093346947</v>
      </c>
      <c r="G469" s="1796">
        <f t="shared" ca="1" si="124"/>
        <v>7.7830692346894326</v>
      </c>
      <c r="H469" s="1796">
        <f t="shared" ca="1" si="124"/>
        <v>10.092313536889595</v>
      </c>
      <c r="I469" s="1796">
        <f t="shared" ca="1" si="124"/>
        <v>11.923375679694173</v>
      </c>
      <c r="J469" s="1796">
        <f t="shared" ca="1" si="124"/>
        <v>14.390311746196211</v>
      </c>
      <c r="K469" s="1796">
        <f t="shared" ca="1" si="124"/>
        <v>17.523373684818228</v>
      </c>
      <c r="L469" s="1796">
        <f t="shared" ca="1" si="124"/>
        <v>21.141760425644286</v>
      </c>
      <c r="M469" s="1796">
        <f t="shared" ca="1" si="124"/>
        <v>25.109627567411231</v>
      </c>
      <c r="N469" s="1796">
        <f t="shared" ca="1" si="124"/>
        <v>29.742456733362072</v>
      </c>
      <c r="O469" s="1766"/>
    </row>
    <row r="470" spans="2:16" s="1615" customFormat="1" x14ac:dyDescent="0.2">
      <c r="B470" s="1766"/>
      <c r="C470" s="1794" t="str">
        <f>INDEX(AirQualityVectors[Code],MATCH(D470,AirQualityVectors[Description],0))</f>
        <v>AQ.03</v>
      </c>
      <c r="D470" s="1795" t="s">
        <v>1795</v>
      </c>
      <c r="E470" s="1794" t="s">
        <v>483</v>
      </c>
      <c r="F470" s="1796">
        <f t="shared" ref="F470:N470" ca="1" si="125">F361</f>
        <v>2.6824777126843444</v>
      </c>
      <c r="G470" s="1796">
        <f t="shared" ca="1" si="125"/>
        <v>4.0915279505647195</v>
      </c>
      <c r="H470" s="1796">
        <f t="shared" ca="1" si="125"/>
        <v>5.8030157687667003</v>
      </c>
      <c r="I470" s="1796">
        <f t="shared" ca="1" si="125"/>
        <v>8.175473517720274</v>
      </c>
      <c r="J470" s="1796">
        <f t="shared" ca="1" si="125"/>
        <v>10.697690264958069</v>
      </c>
      <c r="K470" s="1796">
        <f t="shared" ca="1" si="125"/>
        <v>12.184131123126573</v>
      </c>
      <c r="L470" s="1796">
        <f t="shared" ca="1" si="125"/>
        <v>13.869385880946549</v>
      </c>
      <c r="M470" s="1796">
        <f t="shared" ca="1" si="125"/>
        <v>16.223966118503583</v>
      </c>
      <c r="N470" s="1796">
        <f t="shared" ca="1" si="125"/>
        <v>18.966731271240995</v>
      </c>
      <c r="O470" s="1766"/>
    </row>
    <row r="471" spans="2:16" s="1792" customFormat="1" x14ac:dyDescent="0.2">
      <c r="B471" s="1766"/>
      <c r="C471" s="1800" t="str">
        <f>INDEX(AirQualityVectors[Code],MATCH(D471,AirQualityVectors[Description],0))</f>
        <v>AQ.04</v>
      </c>
      <c r="D471" s="1801" t="s">
        <v>1792</v>
      </c>
      <c r="E471" s="1800" t="s">
        <v>483</v>
      </c>
      <c r="F471" s="1802">
        <f t="shared" ref="F471:N471" ca="1" si="126">F362</f>
        <v>0.27634028073150219</v>
      </c>
      <c r="G471" s="1802">
        <f t="shared" ca="1" si="126"/>
        <v>0.36491238875355697</v>
      </c>
      <c r="H471" s="1802">
        <f t="shared" ca="1" si="126"/>
        <v>0.47338671860931159</v>
      </c>
      <c r="I471" s="1802">
        <f t="shared" ca="1" si="126"/>
        <v>0.64508033162451017</v>
      </c>
      <c r="J471" s="1802">
        <f t="shared" ca="1" si="126"/>
        <v>0.81007353898437984</v>
      </c>
      <c r="K471" s="1802">
        <f t="shared" ca="1" si="126"/>
        <v>0.93688706737734084</v>
      </c>
      <c r="L471" s="1802">
        <f t="shared" ca="1" si="126"/>
        <v>1.0910304169960214</v>
      </c>
      <c r="M471" s="1802">
        <f t="shared" ca="1" si="126"/>
        <v>1.2731671874454986</v>
      </c>
      <c r="N471" s="1802">
        <f t="shared" ca="1" si="126"/>
        <v>1.4914348773700765</v>
      </c>
      <c r="O471" s="1766"/>
    </row>
    <row r="472" spans="2:16" s="1792" customFormat="1" x14ac:dyDescent="0.2">
      <c r="B472" s="1766"/>
      <c r="C472" s="1822"/>
      <c r="D472" s="1823"/>
      <c r="E472" s="1822"/>
      <c r="F472" s="1824"/>
      <c r="G472" s="1824"/>
      <c r="H472" s="1824"/>
      <c r="I472" s="1824"/>
      <c r="J472" s="1824"/>
      <c r="K472" s="1824"/>
      <c r="L472" s="1824"/>
      <c r="M472" s="1824"/>
      <c r="N472" s="1824"/>
      <c r="O472" s="1824"/>
      <c r="P472" s="1766"/>
    </row>
    <row r="473" spans="2:16" s="1616" customFormat="1" ht="13.5" customHeight="1" x14ac:dyDescent="0.2">
      <c r="B473" s="1766"/>
      <c r="C473" s="1764" t="s">
        <v>1860</v>
      </c>
      <c r="D473" s="513"/>
      <c r="E473" s="443"/>
      <c r="F473" s="512"/>
      <c r="G473" s="512"/>
      <c r="H473" s="512"/>
      <c r="I473" s="512"/>
      <c r="J473" s="512"/>
      <c r="K473" s="512"/>
      <c r="L473" s="512"/>
      <c r="M473" s="512"/>
      <c r="N473" s="1765" t="s">
        <v>1848</v>
      </c>
      <c r="P473" s="1766"/>
    </row>
    <row r="474" spans="2:16" s="1616" customFormat="1" ht="18" customHeight="1" x14ac:dyDescent="0.2">
      <c r="B474" s="1766"/>
      <c r="C474" s="1825"/>
      <c r="D474" s="1826"/>
      <c r="E474" s="1825"/>
      <c r="F474" s="1827"/>
      <c r="G474" s="1827"/>
      <c r="H474" s="1827"/>
      <c r="I474" s="1827"/>
      <c r="J474" s="1827"/>
      <c r="K474" s="1827"/>
      <c r="L474" s="1827"/>
      <c r="M474" s="1827"/>
      <c r="N474" s="1827"/>
      <c r="O474" s="1827"/>
      <c r="P474" s="1766"/>
    </row>
    <row r="475" spans="2:16" s="1615" customFormat="1" x14ac:dyDescent="0.2">
      <c r="B475" s="1766"/>
      <c r="C475" s="1828" t="s">
        <v>64</v>
      </c>
      <c r="D475" s="1828" t="s">
        <v>150</v>
      </c>
      <c r="E475" s="1828" t="s">
        <v>461</v>
      </c>
      <c r="F475" s="1828" t="s">
        <v>241</v>
      </c>
      <c r="G475" s="1828" t="s">
        <v>268</v>
      </c>
      <c r="H475" s="1828" t="s">
        <v>269</v>
      </c>
      <c r="I475" s="1828" t="s">
        <v>270</v>
      </c>
      <c r="J475" s="1828" t="s">
        <v>271</v>
      </c>
      <c r="K475" s="1828" t="s">
        <v>272</v>
      </c>
      <c r="L475" s="1828" t="s">
        <v>273</v>
      </c>
      <c r="M475" s="1828" t="s">
        <v>274</v>
      </c>
      <c r="N475" s="1828" t="s">
        <v>275</v>
      </c>
      <c r="O475" s="1766"/>
    </row>
    <row r="476" spans="2:16" s="1615" customFormat="1" x14ac:dyDescent="0.2">
      <c r="B476" s="1766"/>
      <c r="C476" s="1797" t="str">
        <f>INDEX(AirQualityVectors[Code],MATCH(D476,AirQualityVectors[Description],0))</f>
        <v>AQ.01</v>
      </c>
      <c r="D476" s="1798" t="s">
        <v>1791</v>
      </c>
      <c r="E476" s="1797">
        <v>2</v>
      </c>
      <c r="F476" s="1799">
        <f t="shared" ref="F476:N476" si="127">F316</f>
        <v>74.270095927404782</v>
      </c>
      <c r="G476" s="1799">
        <f t="shared" si="127"/>
        <v>25.724761047454187</v>
      </c>
      <c r="H476" s="1799">
        <f t="shared" si="127"/>
        <v>26.90849851838091</v>
      </c>
      <c r="I476" s="1799">
        <f t="shared" si="127"/>
        <v>26.77053270003233</v>
      </c>
      <c r="J476" s="1799">
        <f t="shared" si="127"/>
        <v>26.20513547272845</v>
      </c>
      <c r="K476" s="1799">
        <f t="shared" si="127"/>
        <v>25.656095230551134</v>
      </c>
      <c r="L476" s="1799">
        <f t="shared" si="127"/>
        <v>25.122883585265498</v>
      </c>
      <c r="M476" s="1799">
        <f t="shared" si="127"/>
        <v>24.604991926260837</v>
      </c>
      <c r="N476" s="1799">
        <f t="shared" si="127"/>
        <v>27.25478635931897</v>
      </c>
      <c r="O476" s="1766"/>
    </row>
    <row r="477" spans="2:16" s="1615" customFormat="1" x14ac:dyDescent="0.2">
      <c r="B477" s="1766"/>
      <c r="C477" s="1794" t="str">
        <f>INDEX(AirQualityVectors[Code],MATCH(D477,AirQualityVectors[Description],0))</f>
        <v>AQ.02</v>
      </c>
      <c r="D477" s="1795" t="s">
        <v>1794</v>
      </c>
      <c r="E477" s="1794">
        <v>2</v>
      </c>
      <c r="F477" s="1796">
        <f t="shared" ref="F477:N477" si="128">F323</f>
        <v>26.350792526412604</v>
      </c>
      <c r="G477" s="1796">
        <f t="shared" si="128"/>
        <v>12.817432520465733</v>
      </c>
      <c r="H477" s="1796">
        <f t="shared" si="128"/>
        <v>12.766407920449929</v>
      </c>
      <c r="I477" s="1796">
        <f t="shared" si="128"/>
        <v>13.239818059816177</v>
      </c>
      <c r="J477" s="1796">
        <f t="shared" si="128"/>
        <v>13.126526728494522</v>
      </c>
      <c r="K477" s="1796">
        <f t="shared" si="128"/>
        <v>13.015250530448037</v>
      </c>
      <c r="L477" s="1796">
        <f t="shared" si="128"/>
        <v>12.905988173496741</v>
      </c>
      <c r="M477" s="1796">
        <f t="shared" si="128"/>
        <v>12.79873894300966</v>
      </c>
      <c r="N477" s="1796">
        <f t="shared" si="128"/>
        <v>11.873278551101267</v>
      </c>
      <c r="O477" s="1766"/>
    </row>
    <row r="478" spans="2:16" s="1615" customFormat="1" x14ac:dyDescent="0.2">
      <c r="B478" s="1766"/>
      <c r="C478" s="1794" t="str">
        <f>INDEX(AirQualityVectors[Code],MATCH(D478,AirQualityVectors[Description],0))</f>
        <v>AQ.03</v>
      </c>
      <c r="D478" s="1795" t="s">
        <v>1795</v>
      </c>
      <c r="E478" s="1794">
        <v>2</v>
      </c>
      <c r="F478" s="1796">
        <f t="shared" ref="F478:N478" si="129">F330</f>
        <v>302.06768551178646</v>
      </c>
      <c r="G478" s="1796">
        <f t="shared" si="129"/>
        <v>13.312544294306033</v>
      </c>
      <c r="H478" s="1796">
        <f t="shared" si="129"/>
        <v>13.343876290331433</v>
      </c>
      <c r="I478" s="1796">
        <f t="shared" si="129"/>
        <v>13.838073585055719</v>
      </c>
      <c r="J478" s="1796">
        <f t="shared" si="129"/>
        <v>13.732752523154595</v>
      </c>
      <c r="K478" s="1796">
        <f t="shared" si="129"/>
        <v>13.629806010022794</v>
      </c>
      <c r="L478" s="1796">
        <f t="shared" si="129"/>
        <v>13.529239656263233</v>
      </c>
      <c r="M478" s="1796">
        <f t="shared" si="129"/>
        <v>13.431059882474489</v>
      </c>
      <c r="N478" s="1796">
        <f t="shared" si="129"/>
        <v>12.413595450524715</v>
      </c>
      <c r="O478" s="1766"/>
    </row>
    <row r="479" spans="2:16" x14ac:dyDescent="0.2">
      <c r="B479" s="1766"/>
      <c r="C479" s="1800" t="str">
        <f>INDEX(AirQualityVectors[Code],MATCH(D479,AirQualityVectors[Description],0))</f>
        <v>AQ.04</v>
      </c>
      <c r="D479" s="1801" t="s">
        <v>1792</v>
      </c>
      <c r="E479" s="1800">
        <v>2</v>
      </c>
      <c r="F479" s="1802">
        <f t="shared" ref="F479:N479" si="130">F337</f>
        <v>0</v>
      </c>
      <c r="G479" s="1802">
        <f t="shared" si="130"/>
        <v>224.90840163955266</v>
      </c>
      <c r="H479" s="1802">
        <f t="shared" si="130"/>
        <v>229.02472381132475</v>
      </c>
      <c r="I479" s="1802">
        <f t="shared" si="130"/>
        <v>222.8803635116293</v>
      </c>
      <c r="J479" s="1802">
        <f t="shared" si="130"/>
        <v>214.76169234521316</v>
      </c>
      <c r="K479" s="1802">
        <f t="shared" si="130"/>
        <v>206.9693402864404</v>
      </c>
      <c r="L479" s="1802">
        <f t="shared" si="130"/>
        <v>199.49065683948939</v>
      </c>
      <c r="M479" s="1802">
        <f t="shared" si="130"/>
        <v>192.31349861191021</v>
      </c>
      <c r="N479" s="1802">
        <f t="shared" si="130"/>
        <v>242.10822728552893</v>
      </c>
      <c r="O479" s="1766"/>
    </row>
    <row r="480" spans="2:16" ht="15.75" x14ac:dyDescent="0.25">
      <c r="B480" s="449"/>
      <c r="C480" s="440"/>
      <c r="D480" s="440"/>
      <c r="E480" s="440"/>
      <c r="F480" s="440"/>
      <c r="G480" s="440"/>
      <c r="H480" s="440"/>
      <c r="I480" s="440"/>
      <c r="J480" s="440"/>
      <c r="K480" s="440"/>
      <c r="L480" s="440"/>
      <c r="M480" s="440"/>
      <c r="N480" s="440"/>
      <c r="O480" s="440"/>
      <c r="P480" s="448"/>
    </row>
    <row r="481" spans="2:16" s="1225" customFormat="1" ht="21.75" customHeight="1" collapsed="1" x14ac:dyDescent="0.2"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</row>
    <row r="482" spans="2:16" s="1225" customFormat="1" ht="6" customHeight="1" x14ac:dyDescent="0.2">
      <c r="B482" s="1186" t="s">
        <v>1225</v>
      </c>
      <c r="C482" s="1218"/>
      <c r="D482" s="1187"/>
      <c r="E482" s="1187"/>
      <c r="F482" s="1187"/>
      <c r="G482" s="1187"/>
      <c r="H482" s="1187"/>
      <c r="I482" s="1187"/>
      <c r="J482" s="1187"/>
      <c r="K482" s="1187"/>
      <c r="L482" s="1187"/>
      <c r="M482" s="1187"/>
      <c r="N482" s="1187"/>
      <c r="O482" s="1187"/>
      <c r="P482" s="1188"/>
    </row>
    <row r="483" spans="2:16" s="1225" customFormat="1" x14ac:dyDescent="0.2">
      <c r="B483" s="1219"/>
      <c r="C483" s="1220"/>
      <c r="D483" s="1220"/>
      <c r="E483" s="1220"/>
      <c r="F483" s="1220"/>
      <c r="G483" s="1220"/>
      <c r="H483" s="1220"/>
      <c r="I483" s="1220"/>
      <c r="J483" s="1220"/>
      <c r="K483" s="1220"/>
      <c r="L483" s="1220"/>
      <c r="M483" s="1220"/>
      <c r="N483" s="1220"/>
      <c r="O483" s="1220"/>
      <c r="P483" s="1221"/>
    </row>
    <row r="484" spans="2:16" s="1225" customFormat="1" ht="15" customHeight="1" x14ac:dyDescent="0.2">
      <c r="B484" s="1189"/>
      <c r="C484" s="1222" t="s">
        <v>1230</v>
      </c>
      <c r="D484" s="1190"/>
      <c r="E484" s="1223"/>
      <c r="F484" s="1190"/>
      <c r="G484" s="1223"/>
      <c r="H484" s="1190"/>
      <c r="I484" s="1190"/>
      <c r="J484" s="1190"/>
      <c r="K484" s="1190"/>
      <c r="L484" s="1190"/>
      <c r="M484" s="1190"/>
      <c r="N484" s="1190"/>
      <c r="O484" s="1223"/>
      <c r="P484" s="1191"/>
    </row>
    <row r="485" spans="2:16" s="1225" customFormat="1" x14ac:dyDescent="0.2">
      <c r="B485" s="1189"/>
      <c r="C485" s="1190"/>
      <c r="D485" s="1190"/>
      <c r="E485" s="1190"/>
      <c r="F485" s="1190"/>
      <c r="G485" s="1190"/>
      <c r="H485" s="1190"/>
      <c r="I485" s="1190"/>
      <c r="J485" s="1190"/>
      <c r="K485" s="1190"/>
      <c r="L485" s="1190"/>
      <c r="M485" s="1190"/>
      <c r="N485" s="1190"/>
      <c r="O485" s="1190"/>
      <c r="P485" s="1191"/>
    </row>
    <row r="486" spans="2:16" s="1225" customFormat="1" ht="15.75" x14ac:dyDescent="0.25">
      <c r="B486" s="1192"/>
      <c r="C486" s="1193" t="s">
        <v>64</v>
      </c>
      <c r="D486" s="1193" t="s">
        <v>1226</v>
      </c>
      <c r="E486" s="1193" t="s">
        <v>172</v>
      </c>
      <c r="F486" s="1193" t="s">
        <v>241</v>
      </c>
      <c r="G486" s="1193" t="s">
        <v>268</v>
      </c>
      <c r="H486" s="1193" t="s">
        <v>269</v>
      </c>
      <c r="I486" s="1193" t="s">
        <v>270</v>
      </c>
      <c r="J486" s="1193" t="s">
        <v>271</v>
      </c>
      <c r="K486" s="1193" t="s">
        <v>272</v>
      </c>
      <c r="L486" s="1193" t="s">
        <v>273</v>
      </c>
      <c r="M486" s="1193" t="s">
        <v>274</v>
      </c>
      <c r="N486" s="1193" t="s">
        <v>275</v>
      </c>
      <c r="O486" s="1191"/>
    </row>
    <row r="487" spans="2:16" s="1225" customFormat="1" ht="15.75" x14ac:dyDescent="0.25">
      <c r="B487" s="1192"/>
      <c r="C487" s="1194"/>
      <c r="D487" s="1195"/>
      <c r="E487" s="1195"/>
      <c r="F487" s="1226"/>
      <c r="G487" s="1226"/>
      <c r="H487" s="1226"/>
      <c r="I487" s="1226"/>
      <c r="J487" s="1226"/>
      <c r="K487" s="1226"/>
      <c r="L487" s="1226"/>
      <c r="M487" s="1226"/>
      <c r="N487" s="1226"/>
      <c r="O487" s="1191"/>
    </row>
    <row r="488" spans="2:16" s="1225" customFormat="1" ht="15.75" x14ac:dyDescent="0.25">
      <c r="B488" s="1192"/>
      <c r="C488" s="1194"/>
      <c r="D488" s="1195"/>
      <c r="E488" s="1195"/>
      <c r="F488" s="1226"/>
      <c r="G488" s="1226"/>
      <c r="H488" s="1226"/>
      <c r="I488" s="1226"/>
      <c r="J488" s="1226"/>
      <c r="K488" s="1226"/>
      <c r="L488" s="1226"/>
      <c r="M488" s="1226"/>
      <c r="N488" s="1226"/>
      <c r="O488" s="1191"/>
    </row>
    <row r="489" spans="2:16" ht="15.75" x14ac:dyDescent="0.25">
      <c r="B489" s="1227"/>
      <c r="C489" s="1197"/>
      <c r="D489" s="1197"/>
      <c r="E489" s="1197"/>
      <c r="F489" s="1197"/>
      <c r="G489" s="1197"/>
      <c r="H489" s="1197"/>
      <c r="I489" s="1197"/>
      <c r="J489" s="1197"/>
      <c r="K489" s="1197"/>
      <c r="L489" s="1197"/>
      <c r="M489" s="1197"/>
      <c r="N489" s="1197"/>
      <c r="O489" s="1197"/>
      <c r="P489" s="1224"/>
    </row>
    <row r="491" spans="2:16" ht="15.75" customHeight="1" x14ac:dyDescent="0.2">
      <c r="B491" s="1430" t="s">
        <v>1424</v>
      </c>
      <c r="C491" s="1431"/>
      <c r="D491" s="1431"/>
      <c r="E491" s="1431"/>
      <c r="F491" s="1431"/>
      <c r="G491" s="1431"/>
      <c r="H491" s="1431"/>
      <c r="I491" s="1431"/>
      <c r="J491" s="1431"/>
      <c r="K491" s="1431"/>
      <c r="L491" s="1431"/>
      <c r="M491" s="1431"/>
      <c r="N491" s="1431"/>
      <c r="O491" s="1431"/>
      <c r="P491" s="1432"/>
    </row>
    <row r="492" spans="2:16" x14ac:dyDescent="0.2">
      <c r="B492" s="1433"/>
      <c r="C492" s="1434"/>
      <c r="D492" s="1434"/>
      <c r="E492" s="1434"/>
      <c r="F492" s="1434"/>
      <c r="G492" s="1434"/>
      <c r="H492" s="1434"/>
      <c r="I492" s="1434"/>
      <c r="J492" s="1434"/>
      <c r="K492" s="1434"/>
      <c r="L492" s="1434"/>
      <c r="M492" s="1434"/>
      <c r="N492" s="1434"/>
      <c r="O492" s="1434"/>
      <c r="P492" s="1435"/>
    </row>
    <row r="493" spans="2:16" ht="18" customHeight="1" x14ac:dyDescent="0.2">
      <c r="B493" s="1433"/>
      <c r="C493" s="1441" t="s">
        <v>1425</v>
      </c>
      <c r="D493" s="1442"/>
      <c r="E493" s="1442"/>
      <c r="F493" s="1442"/>
      <c r="G493" s="1442"/>
      <c r="H493" s="1442"/>
      <c r="I493" s="1442"/>
      <c r="J493" s="1442"/>
      <c r="K493" s="1442"/>
      <c r="L493" s="1442"/>
      <c r="M493" s="1442"/>
      <c r="N493" s="1442"/>
      <c r="O493" s="1442"/>
      <c r="P493" s="1435"/>
    </row>
    <row r="494" spans="2:16" x14ac:dyDescent="0.2">
      <c r="B494" s="1433"/>
      <c r="C494" s="1434"/>
      <c r="D494" s="1434"/>
      <c r="E494" s="1434"/>
      <c r="F494" s="1434"/>
      <c r="G494" s="1434"/>
      <c r="H494" s="1434"/>
      <c r="I494" s="1434"/>
      <c r="J494" s="1434"/>
      <c r="K494" s="1434"/>
      <c r="L494" s="1434"/>
      <c r="M494" s="1434"/>
      <c r="N494" s="1434"/>
      <c r="O494" s="1434"/>
      <c r="P494" s="1435"/>
    </row>
    <row r="495" spans="2:16" ht="15.75" x14ac:dyDescent="0.25">
      <c r="B495" s="1436"/>
      <c r="C495" s="1437" t="s">
        <v>64</v>
      </c>
      <c r="D495" s="1437" t="s">
        <v>150</v>
      </c>
      <c r="E495" s="1437" t="s">
        <v>172</v>
      </c>
      <c r="F495" s="1437" t="s">
        <v>241</v>
      </c>
      <c r="G495" s="1437" t="s">
        <v>268</v>
      </c>
      <c r="H495" s="1437" t="s">
        <v>269</v>
      </c>
      <c r="I495" s="1437" t="s">
        <v>270</v>
      </c>
      <c r="J495" s="1437" t="s">
        <v>271</v>
      </c>
      <c r="K495" s="1437" t="s">
        <v>272</v>
      </c>
      <c r="L495" s="1437" t="s">
        <v>273</v>
      </c>
      <c r="M495" s="1437" t="s">
        <v>274</v>
      </c>
      <c r="N495" s="1437" t="s">
        <v>275</v>
      </c>
      <c r="O495" s="1443"/>
    </row>
    <row r="496" spans="2:16" ht="15.75" x14ac:dyDescent="0.25">
      <c r="B496" s="1436"/>
      <c r="C496" s="1438" t="s">
        <v>1391</v>
      </c>
      <c r="D496" s="1439" t="str">
        <f>INDEX(CostVectors[Description], MATCH(C496, CostVectors[Code], 0))</f>
        <v>High estimate of capital costs</v>
      </c>
      <c r="E496" s="1439"/>
      <c r="F496" s="1448">
        <f t="shared" ref="F496:N496" si="131">SUM(F384,F398)</f>
        <v>12765000000</v>
      </c>
      <c r="G496" s="1448">
        <f t="shared" si="131"/>
        <v>13853351309.966045</v>
      </c>
      <c r="H496" s="1448">
        <f t="shared" si="131"/>
        <v>15063231420.660271</v>
      </c>
      <c r="I496" s="1448">
        <f t="shared" si="131"/>
        <v>16409654710.274302</v>
      </c>
      <c r="J496" s="1448">
        <f t="shared" si="131"/>
        <v>17462625797.771538</v>
      </c>
      <c r="K496" s="1448">
        <f t="shared" si="131"/>
        <v>18599871318.110176</v>
      </c>
      <c r="L496" s="1448">
        <f t="shared" si="131"/>
        <v>19828779107.429646</v>
      </c>
      <c r="M496" s="1448">
        <f t="shared" si="131"/>
        <v>21157407457.174561</v>
      </c>
      <c r="N496" s="1448">
        <f t="shared" si="131"/>
        <v>22594546827.642807</v>
      </c>
      <c r="O496" s="1443"/>
    </row>
    <row r="497" spans="2:16" s="2124" customFormat="1" ht="15.75" x14ac:dyDescent="0.25">
      <c r="B497" s="1436"/>
      <c r="C497" s="1438" t="s">
        <v>1393</v>
      </c>
      <c r="D497" s="1439" t="str">
        <f>INDEX(CostVectors[Description], MATCH(C497, CostVectors[Code], 0))</f>
        <v>High estimate of operating costs</v>
      </c>
      <c r="E497" s="1439"/>
      <c r="F497" s="1448">
        <f t="shared" ref="F497:N497" si="132">SUM(F387,F420)</f>
        <v>1345833000000.0002</v>
      </c>
      <c r="G497" s="1448">
        <f t="shared" si="132"/>
        <v>1408967087476.4592</v>
      </c>
      <c r="H497" s="1448">
        <f t="shared" si="132"/>
        <v>1476776742259.2832</v>
      </c>
      <c r="I497" s="1448">
        <f t="shared" si="132"/>
        <v>1549752167498.7554</v>
      </c>
      <c r="J497" s="1448">
        <f t="shared" si="132"/>
        <v>1606075527441.9717</v>
      </c>
      <c r="K497" s="1448">
        <f t="shared" si="132"/>
        <v>1665505009150.2007</v>
      </c>
      <c r="L497" s="1448">
        <f t="shared" si="132"/>
        <v>1728274269084.5544</v>
      </c>
      <c r="M497" s="1448">
        <f t="shared" si="132"/>
        <v>1794637113290.9751</v>
      </c>
      <c r="N497" s="1448">
        <f t="shared" si="132"/>
        <v>1864869320580.4192</v>
      </c>
      <c r="O497" s="1443"/>
    </row>
    <row r="498" spans="2:16" s="2124" customFormat="1" ht="15.75" x14ac:dyDescent="0.25">
      <c r="B498" s="1436"/>
      <c r="C498" s="1438" t="s">
        <v>1866</v>
      </c>
      <c r="D498" s="1439" t="str">
        <f>INDEX(CostVectors[Description], MATCH(C498, CostVectors[Code], 0))</f>
        <v>Point estimate of capital costs</v>
      </c>
      <c r="E498" s="1439"/>
      <c r="F498" s="1448">
        <f t="shared" ref="F498:N498" si="133">SUM(F385,F405)</f>
        <v>4517533500</v>
      </c>
      <c r="G498" s="1448">
        <f t="shared" si="133"/>
        <v>4902701028.596983</v>
      </c>
      <c r="H498" s="1448">
        <f t="shared" si="133"/>
        <v>5330877599.7716694</v>
      </c>
      <c r="I498" s="1448">
        <f t="shared" si="133"/>
        <v>5807376801.9660749</v>
      </c>
      <c r="J498" s="1448">
        <f t="shared" si="133"/>
        <v>6180023269.8313475</v>
      </c>
      <c r="K498" s="1448">
        <f t="shared" si="133"/>
        <v>6582494459.4791908</v>
      </c>
      <c r="L498" s="1448">
        <f t="shared" si="133"/>
        <v>7017404926.1193514</v>
      </c>
      <c r="M498" s="1448">
        <f t="shared" si="133"/>
        <v>7487606499.0940771</v>
      </c>
      <c r="N498" s="1448">
        <f t="shared" si="133"/>
        <v>7996210122.3027878</v>
      </c>
      <c r="O498" s="1443"/>
    </row>
    <row r="499" spans="2:16" ht="15.75" x14ac:dyDescent="0.25">
      <c r="B499" s="1436"/>
      <c r="C499" s="1438" t="s">
        <v>1868</v>
      </c>
      <c r="D499" s="1439" t="str">
        <f>INDEX(CostVectors[Description], MATCH(C499, CostVectors[Code], 0))</f>
        <v>Point estimate of operating costs</v>
      </c>
      <c r="E499" s="1439"/>
      <c r="F499" s="1448">
        <f t="shared" ref="F499:N499" si="134">SUM(F388,F427)</f>
        <v>476290298700.00006</v>
      </c>
      <c r="G499" s="1448">
        <f t="shared" si="134"/>
        <v>498633452257.91895</v>
      </c>
      <c r="H499" s="1448">
        <f t="shared" si="134"/>
        <v>522631289085.5603</v>
      </c>
      <c r="I499" s="1448">
        <f t="shared" si="134"/>
        <v>548457292077.80957</v>
      </c>
      <c r="J499" s="1448">
        <f t="shared" si="134"/>
        <v>568390129161.71375</v>
      </c>
      <c r="K499" s="1448">
        <f t="shared" si="134"/>
        <v>589422222738.2561</v>
      </c>
      <c r="L499" s="1448">
        <f t="shared" si="134"/>
        <v>611636263829.0238</v>
      </c>
      <c r="M499" s="1448">
        <f t="shared" si="134"/>
        <v>635122074393.67603</v>
      </c>
      <c r="N499" s="1448">
        <f t="shared" si="134"/>
        <v>659977252553.4104</v>
      </c>
      <c r="O499" s="1443"/>
    </row>
    <row r="500" spans="2:16" ht="14.25" x14ac:dyDescent="0.2">
      <c r="B500" s="1444"/>
      <c r="C500" s="1438" t="s">
        <v>1382</v>
      </c>
      <c r="D500" s="1439" t="str">
        <f>INDEX(CostVectors[Description], MATCH(C500, CostVectors[Code], 0))</f>
        <v>Low estimate of capital costs</v>
      </c>
      <c r="E500" s="1439"/>
      <c r="F500" s="1448">
        <f t="shared" ref="F500:N500" si="135">SUM(F386,F412)</f>
        <v>76590000</v>
      </c>
      <c r="G500" s="1448">
        <f t="shared" si="135"/>
        <v>83120107.859796286</v>
      </c>
      <c r="H500" s="1448">
        <f t="shared" si="135"/>
        <v>90379388.523961619</v>
      </c>
      <c r="I500" s="1448">
        <f t="shared" si="135"/>
        <v>98457928.261645809</v>
      </c>
      <c r="J500" s="1448">
        <f t="shared" si="135"/>
        <v>104775754.78662921</v>
      </c>
      <c r="K500" s="1448">
        <f t="shared" si="135"/>
        <v>111599227.90866104</v>
      </c>
      <c r="L500" s="1448">
        <f t="shared" si="135"/>
        <v>118972674.64457786</v>
      </c>
      <c r="M500" s="1448">
        <f t="shared" si="135"/>
        <v>126944444.74304739</v>
      </c>
      <c r="N500" s="1448">
        <f t="shared" si="135"/>
        <v>135567280.96585682</v>
      </c>
      <c r="O500" s="1445"/>
    </row>
    <row r="501" spans="2:16" ht="14.25" x14ac:dyDescent="0.2">
      <c r="B501" s="1444"/>
      <c r="C501" s="1438" t="s">
        <v>1384</v>
      </c>
      <c r="D501" s="1439" t="str">
        <f>INDEX(CostVectors[Description], MATCH(C501, CostVectors[Code], 0))</f>
        <v>Low estimate of operating costs</v>
      </c>
      <c r="E501" s="1439"/>
      <c r="F501" s="1448">
        <f t="shared" ref="F501:N501" si="136">SUM(F389,F434)</f>
        <v>8074998000.000001</v>
      </c>
      <c r="G501" s="1448">
        <f t="shared" si="136"/>
        <v>8453802524.8587542</v>
      </c>
      <c r="H501" s="1448">
        <f t="shared" si="136"/>
        <v>8860660453.5556984</v>
      </c>
      <c r="I501" s="1448">
        <f t="shared" si="136"/>
        <v>9298513004.9925327</v>
      </c>
      <c r="J501" s="1448">
        <f t="shared" si="136"/>
        <v>9636453164.6518288</v>
      </c>
      <c r="K501" s="1448">
        <f t="shared" si="136"/>
        <v>9993030054.9012032</v>
      </c>
      <c r="L501" s="1448">
        <f t="shared" si="136"/>
        <v>10369645614.507328</v>
      </c>
      <c r="M501" s="1448">
        <f t="shared" si="136"/>
        <v>10767822679.74585</v>
      </c>
      <c r="N501" s="1448">
        <f t="shared" si="136"/>
        <v>11189215923.482515</v>
      </c>
      <c r="O501" s="1445"/>
    </row>
    <row r="502" spans="2:16" ht="14.25" x14ac:dyDescent="0.2">
      <c r="B502" s="1446"/>
      <c r="C502" s="1440"/>
      <c r="D502" s="1440"/>
      <c r="E502" s="1440"/>
      <c r="F502" s="1440"/>
      <c r="G502" s="1440"/>
      <c r="H502" s="1440"/>
      <c r="I502" s="1440"/>
      <c r="J502" s="1440"/>
      <c r="K502" s="1440"/>
      <c r="L502" s="1440"/>
      <c r="M502" s="1440"/>
      <c r="N502" s="1440"/>
      <c r="O502" s="1440"/>
      <c r="P502" s="1447"/>
    </row>
  </sheetData>
  <mergeCells count="3">
    <mergeCell ref="F147:G147"/>
    <mergeCell ref="F216:G216"/>
    <mergeCell ref="H216:I216"/>
  </mergeCells>
  <pageMargins left="0.7" right="0.7" top="0.75" bottom="0.75" header="0.3" footer="0.3"/>
  <pageSetup paperSize="9" orientation="portrait"/>
  <drawing r:id="rId1"/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3" enableFormatConditionsCalculation="0">
    <tabColor theme="9"/>
    <outlinePr summaryBelow="0"/>
    <pageSetUpPr autoPageBreaks="0"/>
  </sheetPr>
  <dimension ref="A1:O1023"/>
  <sheetViews>
    <sheetView windowProtection="1" zoomScaleNormal="100" workbookViewId="0"/>
  </sheetViews>
  <sheetFormatPr defaultColWidth="8.7109375" defaultRowHeight="12.75" x14ac:dyDescent="0.2"/>
  <cols>
    <col min="1" max="1" width="7.7109375" style="38" customWidth="1"/>
    <col min="2" max="2" width="5.7109375" style="38" customWidth="1"/>
    <col min="3" max="3" width="20.42578125" style="38" customWidth="1"/>
    <col min="4" max="4" width="30.7109375" style="38" customWidth="1"/>
    <col min="5" max="5" width="20.7109375" style="38" customWidth="1"/>
    <col min="6" max="6" width="18.85546875" style="38" customWidth="1"/>
    <col min="7" max="14" width="17.7109375" style="38" customWidth="1"/>
    <col min="15" max="15" width="10.7109375" style="38" customWidth="1"/>
    <col min="16" max="16384" width="8.7109375" style="38"/>
  </cols>
  <sheetData>
    <row r="1" spans="1:14" ht="21" x14ac:dyDescent="0.35">
      <c r="A1" s="120" t="s">
        <v>232</v>
      </c>
      <c r="B1" s="120" t="str">
        <f>INDEX(Workstreams[Workstream], MATCH($A1, Workstreams[Code], 0))</f>
        <v>Transport</v>
      </c>
      <c r="C1" s="120"/>
    </row>
    <row r="2" spans="1:14" s="84" customFormat="1" ht="19.5" customHeight="1" x14ac:dyDescent="0.2">
      <c r="A2" s="6" t="s">
        <v>362</v>
      </c>
      <c r="B2" s="6" t="str">
        <f>INDEX(Modules[Module], MATCH($A2, Modules[Code], 0))</f>
        <v>Domestic passenger transport</v>
      </c>
      <c r="C2" s="6"/>
      <c r="E2" s="1380"/>
    </row>
    <row r="4" spans="1:14" ht="22.5" collapsed="1" x14ac:dyDescent="0.3">
      <c r="A4" s="409"/>
      <c r="B4" s="468" t="s">
        <v>596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</row>
    <row r="5" spans="1:14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</row>
    <row r="6" spans="1:14" ht="5.25" customHeight="1" x14ac:dyDescent="0.2">
      <c r="B6" s="410"/>
      <c r="C6" s="411"/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2"/>
    </row>
    <row r="7" spans="1:14" ht="15.75" x14ac:dyDescent="0.25">
      <c r="B7" s="415"/>
      <c r="C7" s="412"/>
      <c r="D7" s="216" t="s">
        <v>342</v>
      </c>
      <c r="E7" s="216" t="s">
        <v>595</v>
      </c>
      <c r="F7" s="412"/>
      <c r="G7" s="412"/>
      <c r="H7" s="412"/>
      <c r="I7" s="412"/>
      <c r="J7" s="412"/>
      <c r="K7" s="412"/>
      <c r="L7" s="412"/>
      <c r="M7" s="412"/>
      <c r="N7" s="412"/>
    </row>
    <row r="8" spans="1:14" ht="15.75" x14ac:dyDescent="0.25">
      <c r="B8" s="415"/>
      <c r="C8" s="412"/>
      <c r="D8" s="521" t="s">
        <v>932</v>
      </c>
      <c r="E8" s="521">
        <f>XII.a.Scenario.Demand</f>
        <v>4</v>
      </c>
      <c r="F8" s="412"/>
      <c r="G8" s="412"/>
      <c r="H8" s="412"/>
      <c r="I8" s="412"/>
      <c r="J8" s="412"/>
      <c r="K8" s="412"/>
      <c r="L8" s="412"/>
      <c r="M8" s="412"/>
      <c r="N8" s="412"/>
    </row>
    <row r="9" spans="1:14" ht="25.5" x14ac:dyDescent="0.25">
      <c r="B9" s="415"/>
      <c r="C9" s="412"/>
      <c r="D9" s="2428" t="s">
        <v>2260</v>
      </c>
      <c r="E9" s="97">
        <f>XII.a.Scenario.Technology</f>
        <v>4</v>
      </c>
      <c r="F9" s="412"/>
      <c r="G9" s="412"/>
      <c r="H9" s="412"/>
      <c r="I9" s="412"/>
      <c r="J9" s="412"/>
      <c r="K9" s="412"/>
      <c r="L9" s="412"/>
      <c r="M9" s="412"/>
      <c r="N9" s="412"/>
    </row>
    <row r="10" spans="1:14" s="1587" customFormat="1" ht="25.5" x14ac:dyDescent="0.25">
      <c r="B10" s="415"/>
      <c r="C10" s="412"/>
      <c r="D10" s="2429" t="s">
        <v>2261</v>
      </c>
      <c r="E10" s="522">
        <f>XII.a.Scenario.ElecHydrogen</f>
        <v>4</v>
      </c>
      <c r="F10" s="412"/>
      <c r="G10" s="412"/>
      <c r="H10" s="412"/>
      <c r="I10" s="412"/>
      <c r="J10" s="412"/>
      <c r="K10" s="412"/>
      <c r="L10" s="412"/>
      <c r="M10" s="412"/>
      <c r="N10" s="412"/>
    </row>
    <row r="11" spans="1:14" ht="15.75" x14ac:dyDescent="0.25">
      <c r="B11" s="415"/>
      <c r="C11" s="412"/>
      <c r="D11" s="97"/>
      <c r="E11" s="97"/>
      <c r="F11" s="412"/>
      <c r="G11" s="412"/>
      <c r="H11" s="412"/>
      <c r="I11" s="412"/>
      <c r="J11" s="412"/>
      <c r="K11" s="412"/>
      <c r="L11" s="412"/>
      <c r="M11" s="412"/>
      <c r="N11" s="412"/>
    </row>
    <row r="13" spans="1:14" s="84" customFormat="1" ht="22.5" collapsed="1" x14ac:dyDescent="0.2">
      <c r="A13" s="408"/>
      <c r="B13" s="472" t="s">
        <v>597</v>
      </c>
      <c r="C13" s="405"/>
      <c r="D13" s="405"/>
      <c r="E13" s="405"/>
      <c r="F13" s="405"/>
      <c r="G13" s="405"/>
      <c r="H13" s="405"/>
      <c r="I13" s="405"/>
      <c r="J13" s="405"/>
      <c r="K13" s="405"/>
      <c r="L13" s="405"/>
      <c r="M13" s="405"/>
      <c r="N13" s="405"/>
    </row>
    <row r="14" spans="1:14" x14ac:dyDescent="0.2">
      <c r="B14" s="395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</row>
    <row r="15" spans="1:14" x14ac:dyDescent="0.2">
      <c r="B15" s="395"/>
      <c r="C15" s="175" t="s">
        <v>618</v>
      </c>
      <c r="D15" s="173"/>
      <c r="E15" s="176"/>
      <c r="F15" s="173"/>
      <c r="G15" s="173"/>
      <c r="H15" s="173"/>
      <c r="I15" s="173"/>
      <c r="J15" s="173"/>
      <c r="K15" s="173"/>
      <c r="L15" s="173"/>
      <c r="M15" s="173"/>
      <c r="N15" s="176" t="s">
        <v>634</v>
      </c>
    </row>
    <row r="16" spans="1:14" ht="5.25" customHeight="1" x14ac:dyDescent="0.2">
      <c r="B16" s="395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</row>
    <row r="17" spans="2:14" ht="15.75" x14ac:dyDescent="0.25">
      <c r="B17" s="397"/>
      <c r="C17" s="98" t="s">
        <v>595</v>
      </c>
      <c r="D17" s="98" t="s">
        <v>66</v>
      </c>
      <c r="E17" s="98" t="s">
        <v>172</v>
      </c>
      <c r="F17" s="218">
        <v>2010</v>
      </c>
      <c r="G17" s="217">
        <v>2015</v>
      </c>
      <c r="H17" s="217">
        <v>2020</v>
      </c>
      <c r="I17" s="217">
        <v>2025</v>
      </c>
      <c r="J17" s="217">
        <v>2030</v>
      </c>
      <c r="K17" s="217">
        <v>2035</v>
      </c>
      <c r="L17" s="217">
        <v>2040</v>
      </c>
      <c r="M17" s="217">
        <v>2045</v>
      </c>
      <c r="N17" s="217">
        <v>2050</v>
      </c>
    </row>
    <row r="18" spans="2:14" ht="15.75" x14ac:dyDescent="0.25">
      <c r="B18" s="397"/>
      <c r="C18" s="144">
        <v>1</v>
      </c>
      <c r="D18" s="145"/>
      <c r="E18" s="488" t="s">
        <v>93</v>
      </c>
      <c r="F18" s="633">
        <v>6000</v>
      </c>
      <c r="G18" s="634">
        <v>6750</v>
      </c>
      <c r="H18" s="634">
        <v>7500</v>
      </c>
      <c r="I18" s="634">
        <v>8250</v>
      </c>
      <c r="J18" s="634">
        <v>9000</v>
      </c>
      <c r="K18" s="634">
        <v>9750</v>
      </c>
      <c r="L18" s="634">
        <v>10500</v>
      </c>
      <c r="M18" s="634">
        <v>11250</v>
      </c>
      <c r="N18" s="634">
        <v>12000</v>
      </c>
    </row>
    <row r="19" spans="2:14" ht="15.75" x14ac:dyDescent="0.25">
      <c r="B19" s="397"/>
      <c r="C19" s="144">
        <v>2</v>
      </c>
      <c r="D19" s="145"/>
      <c r="E19" s="488"/>
      <c r="F19" s="974">
        <v>6000</v>
      </c>
      <c r="G19" s="975">
        <v>6600</v>
      </c>
      <c r="H19" s="634">
        <v>7200</v>
      </c>
      <c r="I19" s="975">
        <v>7800</v>
      </c>
      <c r="J19" s="634">
        <v>8400</v>
      </c>
      <c r="K19" s="975">
        <v>9000</v>
      </c>
      <c r="L19" s="634">
        <v>9600</v>
      </c>
      <c r="M19" s="634">
        <v>10200</v>
      </c>
      <c r="N19" s="634">
        <v>10800</v>
      </c>
    </row>
    <row r="20" spans="2:14" ht="15.75" x14ac:dyDescent="0.25">
      <c r="B20" s="397"/>
      <c r="C20" s="144">
        <v>3</v>
      </c>
      <c r="D20" s="145"/>
      <c r="E20" s="488"/>
      <c r="F20" s="974">
        <v>6000</v>
      </c>
      <c r="G20" s="975">
        <v>6450</v>
      </c>
      <c r="H20" s="975">
        <v>6900</v>
      </c>
      <c r="I20" s="975">
        <v>7350</v>
      </c>
      <c r="J20" s="975">
        <v>7800</v>
      </c>
      <c r="K20" s="975">
        <v>8250</v>
      </c>
      <c r="L20" s="975">
        <v>8700</v>
      </c>
      <c r="M20" s="975">
        <v>9150</v>
      </c>
      <c r="N20" s="975">
        <v>9600</v>
      </c>
    </row>
    <row r="21" spans="2:14" ht="15.75" x14ac:dyDescent="0.25">
      <c r="B21" s="397"/>
      <c r="C21" s="101">
        <v>4</v>
      </c>
      <c r="D21" s="102"/>
      <c r="E21" s="102"/>
      <c r="F21" s="1237">
        <v>6000</v>
      </c>
      <c r="G21" s="1238">
        <v>6300</v>
      </c>
      <c r="H21" s="1238">
        <v>6600</v>
      </c>
      <c r="I21" s="1238">
        <v>6900</v>
      </c>
      <c r="J21" s="1238">
        <v>7200</v>
      </c>
      <c r="K21" s="1238">
        <v>7500</v>
      </c>
      <c r="L21" s="1238">
        <v>7800</v>
      </c>
      <c r="M21" s="1238">
        <v>8100</v>
      </c>
      <c r="N21" s="1238">
        <v>8400</v>
      </c>
    </row>
    <row r="22" spans="2:14" ht="15.75" x14ac:dyDescent="0.25">
      <c r="B22" s="397"/>
      <c r="C22" s="144"/>
      <c r="D22" s="145"/>
      <c r="E22" s="145"/>
      <c r="F22" s="160"/>
      <c r="G22" s="161"/>
      <c r="H22" s="161"/>
      <c r="I22" s="161"/>
      <c r="J22" s="161"/>
      <c r="K22" s="161"/>
      <c r="L22" s="161"/>
      <c r="M22" s="161"/>
      <c r="N22" s="161"/>
    </row>
    <row r="23" spans="2:14" ht="15.75" x14ac:dyDescent="0.25">
      <c r="B23" s="397"/>
      <c r="C23" s="175" t="s">
        <v>930</v>
      </c>
      <c r="D23" s="173"/>
      <c r="E23" s="176"/>
      <c r="F23" s="173"/>
      <c r="G23" s="626" t="s">
        <v>595</v>
      </c>
      <c r="H23" s="173"/>
      <c r="I23" s="173"/>
      <c r="J23" s="176" t="s">
        <v>637</v>
      </c>
      <c r="K23" s="173"/>
      <c r="L23" s="173"/>
      <c r="M23" s="173"/>
      <c r="N23" s="173"/>
    </row>
    <row r="24" spans="2:14" ht="5.25" customHeight="1" x14ac:dyDescent="0.25">
      <c r="B24" s="397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</row>
    <row r="25" spans="2:14" ht="15.75" x14ac:dyDescent="0.25">
      <c r="B25" s="397"/>
      <c r="C25" s="103" t="s">
        <v>69</v>
      </c>
      <c r="D25" s="98" t="s">
        <v>592</v>
      </c>
      <c r="E25" s="98" t="s">
        <v>172</v>
      </c>
      <c r="F25" s="217">
        <v>2010</v>
      </c>
      <c r="G25" s="218">
        <v>1</v>
      </c>
      <c r="H25" s="217">
        <v>2</v>
      </c>
      <c r="I25" s="217">
        <v>3</v>
      </c>
      <c r="J25" s="217">
        <v>4</v>
      </c>
      <c r="K25" s="523"/>
      <c r="L25" s="523"/>
      <c r="M25" s="523"/>
      <c r="N25" s="523"/>
    </row>
    <row r="26" spans="2:14" ht="15.75" x14ac:dyDescent="0.25">
      <c r="B26" s="397"/>
      <c r="C26" s="237" t="s">
        <v>607</v>
      </c>
      <c r="D26" s="145" t="s">
        <v>2262</v>
      </c>
      <c r="E26" s="488" t="s">
        <v>100</v>
      </c>
      <c r="F26" s="612">
        <v>0.5</v>
      </c>
      <c r="G26" s="629">
        <v>0.5</v>
      </c>
      <c r="H26" s="630">
        <v>0.44375000000000003</v>
      </c>
      <c r="I26" s="630">
        <v>0.40625000000000006</v>
      </c>
      <c r="J26" s="630">
        <v>0.35</v>
      </c>
      <c r="K26" s="174"/>
      <c r="L26" s="174"/>
      <c r="M26" s="174"/>
      <c r="N26" s="174"/>
    </row>
    <row r="27" spans="2:14" ht="15.75" x14ac:dyDescent="0.25">
      <c r="B27" s="397"/>
      <c r="C27" s="237" t="s">
        <v>608</v>
      </c>
      <c r="D27" s="145" t="s">
        <v>635</v>
      </c>
      <c r="E27" s="488"/>
      <c r="F27" s="612">
        <v>0.2</v>
      </c>
      <c r="G27" s="646">
        <v>0.2</v>
      </c>
      <c r="H27" s="647">
        <v>0.21875000000000003</v>
      </c>
      <c r="I27" s="630">
        <v>0.23125000000000004</v>
      </c>
      <c r="J27" s="647">
        <v>0.27</v>
      </c>
      <c r="K27" s="174"/>
      <c r="L27" s="2361"/>
      <c r="M27" s="174"/>
      <c r="N27" s="174"/>
    </row>
    <row r="28" spans="2:14" ht="15.75" x14ac:dyDescent="0.25">
      <c r="B28" s="397"/>
      <c r="C28" s="237" t="s">
        <v>610</v>
      </c>
      <c r="D28" s="145" t="s">
        <v>2263</v>
      </c>
      <c r="E28" s="488"/>
      <c r="F28" s="627">
        <v>0.01</v>
      </c>
      <c r="G28" s="646">
        <v>0.01</v>
      </c>
      <c r="H28" s="976">
        <v>8.1250000000000003E-2</v>
      </c>
      <c r="I28" s="976">
        <v>0.12875</v>
      </c>
      <c r="J28" s="976">
        <v>0.18</v>
      </c>
      <c r="K28" s="183"/>
      <c r="L28" s="183"/>
      <c r="M28" s="183"/>
      <c r="N28" s="183"/>
    </row>
    <row r="29" spans="2:14" s="2370" customFormat="1" ht="15.75" x14ac:dyDescent="0.25">
      <c r="B29" s="397"/>
      <c r="C29" s="237" t="s">
        <v>2267</v>
      </c>
      <c r="D29" s="1415" t="s">
        <v>2264</v>
      </c>
      <c r="E29" s="488"/>
      <c r="F29" s="627">
        <v>0.2</v>
      </c>
      <c r="G29" s="646">
        <v>0.2</v>
      </c>
      <c r="H29" s="976">
        <v>0.14375000000000004</v>
      </c>
      <c r="I29" s="976">
        <v>0.10625000000000005</v>
      </c>
      <c r="J29" s="976">
        <v>0.05</v>
      </c>
      <c r="K29" s="183"/>
      <c r="L29" s="183"/>
      <c r="M29" s="183"/>
      <c r="N29" s="183"/>
    </row>
    <row r="30" spans="2:14" ht="15.75" x14ac:dyDescent="0.25">
      <c r="B30" s="397"/>
      <c r="C30" s="237" t="s">
        <v>609</v>
      </c>
      <c r="D30" s="145" t="s">
        <v>2265</v>
      </c>
      <c r="E30" s="488"/>
      <c r="F30" s="612">
        <v>3.5000000000000003E-2</v>
      </c>
      <c r="G30" s="646">
        <v>3.5000000000000003E-2</v>
      </c>
      <c r="H30" s="647">
        <v>3.6875000000000005E-2</v>
      </c>
      <c r="I30" s="647">
        <v>3.8125000000000006E-2</v>
      </c>
      <c r="J30" s="647">
        <v>0.04</v>
      </c>
      <c r="K30" s="183"/>
      <c r="L30" s="183"/>
      <c r="M30" s="183"/>
      <c r="N30" s="183"/>
    </row>
    <row r="31" spans="2:14" ht="15.75" x14ac:dyDescent="0.25">
      <c r="B31" s="397"/>
      <c r="C31" s="237" t="s">
        <v>2268</v>
      </c>
      <c r="D31" s="145" t="s">
        <v>2266</v>
      </c>
      <c r="E31" s="488"/>
      <c r="F31" s="612">
        <v>5.0000000000000001E-3</v>
      </c>
      <c r="G31" s="646">
        <v>5.0000000000000001E-3</v>
      </c>
      <c r="H31" s="647">
        <v>6.8749999999999992E-3</v>
      </c>
      <c r="I31" s="647">
        <v>8.1249999999999985E-3</v>
      </c>
      <c r="J31" s="647">
        <v>0.01</v>
      </c>
      <c r="K31" s="183"/>
      <c r="L31" s="183"/>
      <c r="M31" s="183"/>
      <c r="N31" s="183"/>
    </row>
    <row r="32" spans="2:14" ht="15.75" x14ac:dyDescent="0.25">
      <c r="B32" s="397"/>
      <c r="C32" s="603" t="s">
        <v>611</v>
      </c>
      <c r="D32" s="102" t="s">
        <v>2271</v>
      </c>
      <c r="E32" s="102"/>
      <c r="F32" s="613">
        <v>0.05</v>
      </c>
      <c r="G32" s="648">
        <v>0.05</v>
      </c>
      <c r="H32" s="649">
        <v>6.8750000000000006E-2</v>
      </c>
      <c r="I32" s="649">
        <v>8.1250000000000017E-2</v>
      </c>
      <c r="J32" s="649">
        <v>0.1</v>
      </c>
      <c r="K32" s="183"/>
      <c r="L32" s="183"/>
      <c r="M32" s="183"/>
      <c r="N32" s="183"/>
    </row>
    <row r="33" spans="2:14" x14ac:dyDescent="0.2">
      <c r="B33" s="401"/>
      <c r="C33" s="144"/>
      <c r="D33" s="345" t="s">
        <v>105</v>
      </c>
      <c r="E33" s="145"/>
      <c r="F33" s="601">
        <f>SUM(F26:F32)</f>
        <v>1</v>
      </c>
      <c r="G33" s="602">
        <f>SUM(G26:G32)</f>
        <v>1</v>
      </c>
      <c r="H33" s="602">
        <f>SUM(H26:H32)</f>
        <v>1.0000000000000002</v>
      </c>
      <c r="I33" s="602">
        <f>SUM(I26:I32)</f>
        <v>1.0000000000000002</v>
      </c>
      <c r="J33" s="602">
        <f>SUM(J26:J32)</f>
        <v>1.0000000000000002</v>
      </c>
      <c r="K33" s="227"/>
      <c r="L33" s="227"/>
      <c r="M33" s="227"/>
      <c r="N33" s="227"/>
    </row>
    <row r="34" spans="2:14" s="2360" customFormat="1" ht="15.75" x14ac:dyDescent="0.25">
      <c r="B34" s="397"/>
      <c r="C34" s="1414"/>
      <c r="D34" s="1415"/>
      <c r="E34" s="1415"/>
      <c r="F34" s="160"/>
      <c r="G34" s="161"/>
      <c r="H34" s="161"/>
      <c r="I34" s="161"/>
      <c r="J34" s="161"/>
      <c r="K34" s="161"/>
      <c r="L34" s="161"/>
      <c r="M34" s="161"/>
      <c r="N34" s="161"/>
    </row>
    <row r="35" spans="2:14" s="2360" customFormat="1" ht="15.75" x14ac:dyDescent="0.25">
      <c r="B35" s="397"/>
      <c r="C35" s="1417" t="s">
        <v>2069</v>
      </c>
      <c r="D35" s="1416"/>
      <c r="E35" s="176"/>
      <c r="F35" s="1416"/>
      <c r="G35" s="626" t="s">
        <v>595</v>
      </c>
      <c r="H35" s="1416"/>
      <c r="I35" s="1416"/>
      <c r="J35" s="176" t="s">
        <v>2070</v>
      </c>
      <c r="K35" s="1416"/>
      <c r="L35" s="1416"/>
      <c r="M35" s="1416"/>
      <c r="N35" s="1416"/>
    </row>
    <row r="36" spans="2:14" s="2360" customFormat="1" ht="5.25" customHeight="1" x14ac:dyDescent="0.25">
      <c r="B36" s="397"/>
      <c r="C36" s="1416"/>
      <c r="D36" s="1416"/>
      <c r="E36" s="1416"/>
      <c r="F36" s="1416"/>
      <c r="G36" s="1416"/>
      <c r="H36" s="1416"/>
      <c r="I36" s="1416"/>
      <c r="J36" s="1416"/>
      <c r="K36" s="1416"/>
      <c r="L36" s="1416"/>
      <c r="M36" s="1416"/>
      <c r="N36" s="1416"/>
    </row>
    <row r="37" spans="2:14" s="2360" customFormat="1" ht="15.75" x14ac:dyDescent="0.25">
      <c r="B37" s="397"/>
      <c r="C37" s="103" t="s">
        <v>69</v>
      </c>
      <c r="D37" s="98" t="s">
        <v>592</v>
      </c>
      <c r="E37" s="98" t="s">
        <v>172</v>
      </c>
      <c r="F37" s="217">
        <v>2010</v>
      </c>
      <c r="G37" s="218">
        <v>1</v>
      </c>
      <c r="H37" s="217">
        <v>2</v>
      </c>
      <c r="I37" s="217">
        <v>3</v>
      </c>
      <c r="J37" s="217">
        <v>4</v>
      </c>
      <c r="K37" s="523"/>
      <c r="L37" s="523"/>
      <c r="M37" s="523"/>
      <c r="N37" s="523"/>
    </row>
    <row r="38" spans="2:14" s="2370" customFormat="1" ht="15.75" x14ac:dyDescent="0.25">
      <c r="B38" s="397"/>
      <c r="C38" s="669" t="s">
        <v>607</v>
      </c>
      <c r="D38" s="1413" t="s">
        <v>2262</v>
      </c>
      <c r="E38" s="1413"/>
      <c r="F38" s="2441">
        <v>0.04</v>
      </c>
      <c r="G38" s="2439">
        <v>0.1</v>
      </c>
      <c r="H38" s="2440">
        <v>0.08</v>
      </c>
      <c r="I38" s="2440">
        <v>0.06</v>
      </c>
      <c r="J38" s="2440">
        <v>0.04</v>
      </c>
      <c r="K38" s="523"/>
      <c r="L38" s="523"/>
      <c r="M38" s="523"/>
      <c r="N38" s="523"/>
    </row>
    <row r="39" spans="2:14" s="2370" customFormat="1" ht="15.75" x14ac:dyDescent="0.25">
      <c r="B39" s="397"/>
      <c r="C39" s="669" t="s">
        <v>608</v>
      </c>
      <c r="D39" s="1413" t="s">
        <v>635</v>
      </c>
      <c r="E39" s="1413"/>
      <c r="F39" s="2441">
        <v>3.5000000000000001E-3</v>
      </c>
      <c r="G39" s="2439">
        <v>0.01</v>
      </c>
      <c r="H39" s="2440">
        <v>8.0000000000000002E-3</v>
      </c>
      <c r="I39" s="2440">
        <v>6.0000000000000001E-3</v>
      </c>
      <c r="J39" s="2440">
        <v>4.0000000000000001E-3</v>
      </c>
      <c r="K39" s="523"/>
      <c r="L39" s="523"/>
      <c r="M39" s="523"/>
      <c r="N39" s="523"/>
    </row>
    <row r="40" spans="2:14" s="2370" customFormat="1" ht="15.75" x14ac:dyDescent="0.25">
      <c r="B40" s="397"/>
      <c r="C40" s="669" t="s">
        <v>2267</v>
      </c>
      <c r="D40" s="1413" t="s">
        <v>2279</v>
      </c>
      <c r="E40" s="1413"/>
      <c r="F40" s="2441">
        <v>1.6950384115040348E-2</v>
      </c>
      <c r="G40" s="2439">
        <v>2.5000000000000001E-2</v>
      </c>
      <c r="H40" s="2440">
        <v>2.2499999999999999E-2</v>
      </c>
      <c r="I40" s="2440">
        <v>0.02</v>
      </c>
      <c r="J40" s="2440">
        <v>1.7500000000000002E-2</v>
      </c>
      <c r="K40" s="523"/>
      <c r="L40" s="523"/>
      <c r="M40" s="523"/>
      <c r="N40" s="523"/>
    </row>
    <row r="41" spans="2:14" s="2360" customFormat="1" ht="15.75" x14ac:dyDescent="0.25">
      <c r="B41" s="397"/>
      <c r="C41" s="2362" t="s">
        <v>609</v>
      </c>
      <c r="D41" s="122" t="s">
        <v>602</v>
      </c>
      <c r="E41" s="230"/>
      <c r="F41" s="2442">
        <v>0.01</v>
      </c>
      <c r="G41" s="2443">
        <f>$F$41+((($J$41-$F$41)/($J$30-$F$30))*(G30-$F$30))</f>
        <v>0.01</v>
      </c>
      <c r="H41" s="2430">
        <f>$F$41+((($J$41-$F$41)/($J$30-$F$30))*(H30-$F$30))</f>
        <v>1.7500000000000009E-2</v>
      </c>
      <c r="I41" s="2430">
        <f>$F$41+((($J$41-$F$41)/($J$30-$F$30))*(I30-$F$30))</f>
        <v>2.2500000000000017E-2</v>
      </c>
      <c r="J41" s="2444">
        <v>0.03</v>
      </c>
      <c r="K41" s="174"/>
      <c r="L41" s="2361"/>
      <c r="M41" s="174"/>
      <c r="N41" s="174"/>
    </row>
    <row r="42" spans="2:14" s="2360" customFormat="1" ht="6" customHeight="1" x14ac:dyDescent="0.25">
      <c r="B42" s="397"/>
      <c r="C42" s="237"/>
      <c r="D42" s="1415"/>
      <c r="E42" s="488"/>
      <c r="F42" s="627"/>
      <c r="G42" s="2363"/>
      <c r="H42" s="2363"/>
      <c r="I42" s="2364"/>
      <c r="J42" s="976"/>
      <c r="K42" s="174"/>
      <c r="L42" s="2361"/>
      <c r="M42" s="174"/>
      <c r="N42" s="174"/>
    </row>
    <row r="43" spans="2:14" s="2360" customFormat="1" ht="15.75" x14ac:dyDescent="0.25">
      <c r="B43" s="397"/>
      <c r="C43" s="237" t="s">
        <v>266</v>
      </c>
      <c r="D43" s="1415" t="s">
        <v>2071</v>
      </c>
      <c r="E43" s="488"/>
      <c r="F43" s="627"/>
      <c r="G43" s="2363"/>
      <c r="H43" s="2363"/>
      <c r="I43" s="2364"/>
      <c r="J43" s="976"/>
      <c r="K43" s="174"/>
      <c r="L43" s="2361"/>
      <c r="M43" s="174"/>
      <c r="N43" s="174"/>
    </row>
    <row r="44" spans="2:14" s="2360" customFormat="1" x14ac:dyDescent="0.2">
      <c r="B44" s="401"/>
      <c r="C44" s="1414"/>
      <c r="D44" s="1418"/>
      <c r="E44" s="1415"/>
      <c r="F44" s="601"/>
      <c r="G44" s="602"/>
      <c r="H44" s="602"/>
      <c r="I44" s="602"/>
      <c r="J44" s="602"/>
      <c r="K44" s="227"/>
      <c r="L44" s="227"/>
      <c r="M44" s="227"/>
      <c r="N44" s="227"/>
    </row>
    <row r="45" spans="2:14" x14ac:dyDescent="0.2">
      <c r="B45" s="401"/>
      <c r="C45" s="144"/>
      <c r="D45" s="145"/>
      <c r="E45" s="145"/>
      <c r="F45" s="226"/>
      <c r="G45" s="227"/>
      <c r="H45" s="227"/>
      <c r="I45" s="227"/>
      <c r="J45" s="227"/>
      <c r="K45" s="227"/>
      <c r="L45" s="227"/>
      <c r="M45" s="227"/>
      <c r="N45" s="227"/>
    </row>
    <row r="46" spans="2:14" s="81" customFormat="1" ht="15.75" x14ac:dyDescent="0.25">
      <c r="B46" s="604"/>
      <c r="C46" s="175" t="s">
        <v>931</v>
      </c>
      <c r="D46" s="173"/>
      <c r="E46" s="176"/>
      <c r="F46" s="173"/>
      <c r="G46" s="632" t="s">
        <v>595</v>
      </c>
      <c r="H46" s="602"/>
      <c r="I46" s="602"/>
      <c r="J46" s="183" t="s">
        <v>928</v>
      </c>
      <c r="K46" s="227"/>
      <c r="L46" s="227"/>
      <c r="M46" s="227"/>
      <c r="N46" s="227"/>
    </row>
    <row r="47" spans="2:14" s="81" customFormat="1" ht="5.25" customHeight="1" x14ac:dyDescent="0.25">
      <c r="B47" s="604"/>
      <c r="C47" s="173"/>
      <c r="D47" s="173"/>
      <c r="E47" s="173"/>
      <c r="F47" s="173"/>
      <c r="G47" s="602"/>
      <c r="H47" s="602"/>
      <c r="I47" s="602"/>
      <c r="J47" s="602"/>
      <c r="K47" s="227"/>
      <c r="L47" s="227"/>
      <c r="M47" s="227"/>
      <c r="N47" s="227"/>
    </row>
    <row r="48" spans="2:14" s="81" customFormat="1" ht="15.75" x14ac:dyDescent="0.25">
      <c r="B48" s="604"/>
      <c r="C48" s="103" t="s">
        <v>69</v>
      </c>
      <c r="D48" s="98" t="s">
        <v>592</v>
      </c>
      <c r="E48" s="98" t="s">
        <v>172</v>
      </c>
      <c r="F48" s="217">
        <v>2010</v>
      </c>
      <c r="G48" s="218">
        <v>1</v>
      </c>
      <c r="H48" s="217">
        <v>2</v>
      </c>
      <c r="I48" s="217">
        <v>3</v>
      </c>
      <c r="J48" s="217">
        <v>4</v>
      </c>
      <c r="K48" s="227"/>
      <c r="L48" s="227"/>
      <c r="M48" s="227"/>
      <c r="N48" s="227"/>
    </row>
    <row r="49" spans="2:14" s="81" customFormat="1" ht="15.75" x14ac:dyDescent="0.25">
      <c r="B49" s="604"/>
      <c r="C49" s="237" t="s">
        <v>607</v>
      </c>
      <c r="D49" s="145" t="s">
        <v>2262</v>
      </c>
      <c r="E49" s="488"/>
      <c r="F49" s="982">
        <v>5</v>
      </c>
      <c r="G49" s="654">
        <v>3</v>
      </c>
      <c r="H49" s="651">
        <v>4</v>
      </c>
      <c r="I49" s="651">
        <v>4.5</v>
      </c>
      <c r="J49" s="651">
        <v>5</v>
      </c>
      <c r="K49" s="227"/>
      <c r="L49" s="227"/>
      <c r="M49" s="227"/>
      <c r="N49" s="227"/>
    </row>
    <row r="50" spans="2:14" s="1411" customFormat="1" ht="15.75" x14ac:dyDescent="0.25">
      <c r="B50" s="604"/>
      <c r="C50" s="237" t="s">
        <v>608</v>
      </c>
      <c r="D50" s="1415" t="s">
        <v>635</v>
      </c>
      <c r="E50" s="488"/>
      <c r="F50" s="982">
        <v>10</v>
      </c>
      <c r="G50" s="984">
        <v>10</v>
      </c>
      <c r="H50" s="651">
        <v>17.5</v>
      </c>
      <c r="I50" s="651">
        <v>21.5</v>
      </c>
      <c r="J50" s="651">
        <v>25</v>
      </c>
      <c r="K50" s="227"/>
      <c r="L50" s="227"/>
      <c r="M50" s="227"/>
      <c r="N50" s="227"/>
    </row>
    <row r="51" spans="2:14" s="1411" customFormat="1" ht="15.75" x14ac:dyDescent="0.25">
      <c r="B51" s="604"/>
      <c r="C51" s="237" t="s">
        <v>610</v>
      </c>
      <c r="D51" s="1415" t="s">
        <v>2263</v>
      </c>
      <c r="E51" s="488"/>
      <c r="F51" s="982">
        <v>0.04</v>
      </c>
      <c r="G51" s="984">
        <v>0.36</v>
      </c>
      <c r="H51" s="651">
        <v>0.38</v>
      </c>
      <c r="I51" s="651">
        <v>0.4</v>
      </c>
      <c r="J51" s="651">
        <v>0.41</v>
      </c>
      <c r="K51" s="227"/>
      <c r="L51" s="227"/>
      <c r="M51" s="227"/>
      <c r="N51" s="227"/>
    </row>
    <row r="52" spans="2:14" s="1411" customFormat="1" ht="15.75" x14ac:dyDescent="0.25">
      <c r="B52" s="604"/>
      <c r="C52" s="237" t="s">
        <v>2267</v>
      </c>
      <c r="D52" s="1415" t="s">
        <v>2264</v>
      </c>
      <c r="E52" s="488"/>
      <c r="F52" s="982">
        <v>5</v>
      </c>
      <c r="G52" s="984">
        <v>5</v>
      </c>
      <c r="H52" s="651">
        <v>5.25</v>
      </c>
      <c r="I52" s="651">
        <v>5.5</v>
      </c>
      <c r="J52" s="651">
        <v>6</v>
      </c>
      <c r="K52" s="227"/>
      <c r="L52" s="227"/>
      <c r="M52" s="227"/>
      <c r="N52" s="227"/>
    </row>
    <row r="53" spans="2:14" s="1411" customFormat="1" ht="15.75" x14ac:dyDescent="0.25">
      <c r="B53" s="604"/>
      <c r="C53" s="237" t="s">
        <v>609</v>
      </c>
      <c r="D53" s="1415" t="s">
        <v>2450</v>
      </c>
      <c r="E53" s="488"/>
      <c r="F53" s="982">
        <v>1</v>
      </c>
      <c r="G53" s="984">
        <v>1</v>
      </c>
      <c r="H53" s="651">
        <v>1</v>
      </c>
      <c r="I53" s="651">
        <v>1</v>
      </c>
      <c r="J53" s="651">
        <v>1</v>
      </c>
      <c r="K53" s="227"/>
      <c r="L53" s="227"/>
      <c r="M53" s="227"/>
      <c r="N53" s="227"/>
    </row>
    <row r="54" spans="2:14" s="81" customFormat="1" ht="15.75" x14ac:dyDescent="0.25">
      <c r="B54" s="604"/>
      <c r="C54" s="237" t="s">
        <v>2268</v>
      </c>
      <c r="D54" s="145" t="s">
        <v>2266</v>
      </c>
      <c r="E54" s="488"/>
      <c r="F54" s="982">
        <v>0.91</v>
      </c>
      <c r="G54" s="984">
        <v>0.91</v>
      </c>
      <c r="H54" s="984">
        <v>0.91</v>
      </c>
      <c r="I54" s="984">
        <v>0.91</v>
      </c>
      <c r="J54" s="984">
        <v>0.91</v>
      </c>
      <c r="K54" s="227"/>
      <c r="L54" s="227"/>
      <c r="M54" s="227"/>
      <c r="N54" s="227"/>
    </row>
    <row r="55" spans="2:14" s="81" customFormat="1" ht="15.75" x14ac:dyDescent="0.25">
      <c r="B55" s="604"/>
      <c r="C55" s="603" t="s">
        <v>611</v>
      </c>
      <c r="D55" s="102" t="s">
        <v>636</v>
      </c>
      <c r="E55" s="102" t="s">
        <v>927</v>
      </c>
      <c r="F55" s="1002">
        <f>0.651</f>
        <v>0.65100000000000002</v>
      </c>
      <c r="G55" s="1003">
        <v>0.65100000000000002</v>
      </c>
      <c r="H55" s="1004">
        <v>0.65</v>
      </c>
      <c r="I55" s="1004">
        <v>0.65</v>
      </c>
      <c r="J55" s="1004">
        <v>0.65</v>
      </c>
      <c r="K55" s="227"/>
      <c r="L55" s="227"/>
      <c r="M55" s="227"/>
      <c r="N55" s="227"/>
    </row>
    <row r="56" spans="2:14" s="81" customFormat="1" ht="16.5" thickBot="1" x14ac:dyDescent="0.3">
      <c r="B56" s="604"/>
      <c r="C56" s="144"/>
      <c r="D56" s="345"/>
      <c r="E56" s="145"/>
      <c r="F56" s="601"/>
      <c r="G56" s="602"/>
      <c r="H56" s="602"/>
      <c r="I56" s="602"/>
      <c r="J56" s="602"/>
      <c r="K56" s="227"/>
      <c r="L56" s="227"/>
      <c r="M56" s="227"/>
      <c r="N56" s="227"/>
    </row>
    <row r="57" spans="2:14" s="81" customFormat="1" ht="15.75" x14ac:dyDescent="0.25">
      <c r="B57" s="989"/>
      <c r="C57" s="990"/>
      <c r="D57" s="991"/>
      <c r="E57" s="992"/>
      <c r="F57" s="993"/>
      <c r="G57" s="994"/>
      <c r="H57" s="994"/>
      <c r="I57" s="994"/>
      <c r="J57" s="994"/>
      <c r="K57" s="995"/>
      <c r="L57" s="995"/>
      <c r="M57" s="995"/>
      <c r="N57" s="995"/>
    </row>
    <row r="58" spans="2:14" s="81" customFormat="1" ht="15.75" x14ac:dyDescent="0.25">
      <c r="B58" s="604"/>
      <c r="C58" s="178" t="s">
        <v>933</v>
      </c>
      <c r="D58" s="345"/>
      <c r="E58" s="145"/>
      <c r="F58" s="601"/>
      <c r="G58" s="602"/>
      <c r="H58" s="602"/>
      <c r="I58" s="602"/>
      <c r="J58" s="602"/>
      <c r="K58" s="227"/>
      <c r="L58" s="227"/>
      <c r="M58" s="227"/>
      <c r="N58" s="227"/>
    </row>
    <row r="59" spans="2:14" s="81" customFormat="1" ht="15.75" x14ac:dyDescent="0.25">
      <c r="B59" s="604"/>
      <c r="C59" s="144"/>
      <c r="D59" s="345"/>
      <c r="E59" s="145"/>
      <c r="F59" s="601"/>
      <c r="G59" s="602"/>
      <c r="H59" s="602"/>
      <c r="I59" s="602"/>
      <c r="J59" s="602"/>
      <c r="K59" s="227"/>
      <c r="L59" s="227"/>
      <c r="M59" s="227"/>
      <c r="N59" s="227"/>
    </row>
    <row r="60" spans="2:14" s="81" customFormat="1" ht="15.75" x14ac:dyDescent="0.25">
      <c r="B60" s="604"/>
      <c r="C60" s="178" t="s">
        <v>934</v>
      </c>
      <c r="D60" s="345"/>
      <c r="E60" s="145"/>
      <c r="F60" s="601"/>
      <c r="G60" s="602"/>
      <c r="H60" s="602"/>
      <c r="I60" s="602"/>
      <c r="J60" s="602"/>
      <c r="K60" s="227"/>
      <c r="L60" s="227"/>
      <c r="M60" s="227"/>
      <c r="N60" s="227" t="s">
        <v>646</v>
      </c>
    </row>
    <row r="61" spans="2:14" s="81" customFormat="1" ht="5.25" customHeight="1" x14ac:dyDescent="0.25">
      <c r="B61" s="604"/>
      <c r="C61" s="606"/>
      <c r="D61" s="145"/>
      <c r="E61" s="488"/>
      <c r="F61" s="601"/>
      <c r="G61" s="602"/>
      <c r="H61" s="602"/>
      <c r="I61" s="602"/>
      <c r="J61" s="602"/>
      <c r="K61" s="227"/>
      <c r="L61" s="227"/>
      <c r="M61" s="227"/>
      <c r="N61" s="227"/>
    </row>
    <row r="62" spans="2:14" s="81" customFormat="1" ht="15.75" x14ac:dyDescent="0.25">
      <c r="B62" s="604"/>
      <c r="C62" s="98" t="s">
        <v>592</v>
      </c>
      <c r="D62" s="98" t="s">
        <v>343</v>
      </c>
      <c r="E62" s="98" t="s">
        <v>172</v>
      </c>
      <c r="F62" s="218">
        <v>2010</v>
      </c>
      <c r="G62" s="217">
        <v>2015</v>
      </c>
      <c r="H62" s="217">
        <v>2020</v>
      </c>
      <c r="I62" s="217">
        <v>2025</v>
      </c>
      <c r="J62" s="217">
        <v>2030</v>
      </c>
      <c r="K62" s="217">
        <v>2035</v>
      </c>
      <c r="L62" s="217">
        <v>2040</v>
      </c>
      <c r="M62" s="217">
        <v>2045</v>
      </c>
      <c r="N62" s="217">
        <v>2050</v>
      </c>
    </row>
    <row r="63" spans="2:14" s="1411" customFormat="1" ht="15.75" x14ac:dyDescent="0.25">
      <c r="B63" s="604"/>
      <c r="C63" s="107" t="s">
        <v>609</v>
      </c>
      <c r="D63" s="107" t="s">
        <v>609</v>
      </c>
      <c r="E63" s="1413"/>
      <c r="F63" s="639">
        <v>1</v>
      </c>
      <c r="G63" s="635">
        <v>0.996</v>
      </c>
      <c r="H63" s="635">
        <v>0.996</v>
      </c>
      <c r="I63" s="635">
        <v>0.996</v>
      </c>
      <c r="J63" s="635">
        <v>0.996</v>
      </c>
      <c r="K63" s="635">
        <v>0.996</v>
      </c>
      <c r="L63" s="635">
        <v>0.996</v>
      </c>
      <c r="M63" s="635">
        <v>0.996</v>
      </c>
      <c r="N63" s="635">
        <v>0.996</v>
      </c>
    </row>
    <row r="64" spans="2:14" s="81" customFormat="1" ht="15.75" x14ac:dyDescent="0.25">
      <c r="B64" s="604"/>
      <c r="C64" s="146" t="s">
        <v>607</v>
      </c>
      <c r="D64" s="146" t="s">
        <v>2272</v>
      </c>
      <c r="E64" s="623"/>
      <c r="F64" s="639">
        <v>1</v>
      </c>
      <c r="G64" s="635">
        <v>1</v>
      </c>
      <c r="H64" s="635">
        <v>1</v>
      </c>
      <c r="I64" s="635">
        <v>1</v>
      </c>
      <c r="J64" s="635">
        <v>1</v>
      </c>
      <c r="K64" s="635">
        <v>1</v>
      </c>
      <c r="L64" s="635">
        <v>1</v>
      </c>
      <c r="M64" s="635">
        <v>1</v>
      </c>
      <c r="N64" s="635">
        <v>1</v>
      </c>
    </row>
    <row r="65" spans="2:14" s="81" customFormat="1" ht="15.75" x14ac:dyDescent="0.25">
      <c r="B65" s="604"/>
      <c r="C65" s="145" t="s">
        <v>607</v>
      </c>
      <c r="D65" s="145" t="s">
        <v>923</v>
      </c>
      <c r="E65" s="488"/>
      <c r="F65" s="640">
        <v>0</v>
      </c>
      <c r="G65" s="636">
        <v>0</v>
      </c>
      <c r="H65" s="636">
        <v>0</v>
      </c>
      <c r="I65" s="636">
        <v>0</v>
      </c>
      <c r="J65" s="636">
        <v>0</v>
      </c>
      <c r="K65" s="636">
        <v>0</v>
      </c>
      <c r="L65" s="636">
        <v>0</v>
      </c>
      <c r="M65" s="636">
        <v>0</v>
      </c>
      <c r="N65" s="636">
        <v>0</v>
      </c>
    </row>
    <row r="66" spans="2:14" s="81" customFormat="1" ht="15.75" x14ac:dyDescent="0.25">
      <c r="B66" s="604"/>
      <c r="C66" s="145" t="s">
        <v>607</v>
      </c>
      <c r="D66" s="145" t="s">
        <v>612</v>
      </c>
      <c r="E66" s="488"/>
      <c r="F66" s="640">
        <v>0</v>
      </c>
      <c r="G66" s="636">
        <v>0</v>
      </c>
      <c r="H66" s="636">
        <v>0</v>
      </c>
      <c r="I66" s="636">
        <v>0</v>
      </c>
      <c r="J66" s="636">
        <v>0</v>
      </c>
      <c r="K66" s="636">
        <v>0</v>
      </c>
      <c r="L66" s="636">
        <v>0</v>
      </c>
      <c r="M66" s="636">
        <v>0</v>
      </c>
      <c r="N66" s="636">
        <v>0</v>
      </c>
    </row>
    <row r="67" spans="2:14" s="81" customFormat="1" ht="15.75" x14ac:dyDescent="0.25">
      <c r="B67" s="604"/>
      <c r="C67" s="624" t="s">
        <v>607</v>
      </c>
      <c r="D67" s="624" t="s">
        <v>2273</v>
      </c>
      <c r="E67" s="625"/>
      <c r="F67" s="641">
        <v>0</v>
      </c>
      <c r="G67" s="637">
        <v>0</v>
      </c>
      <c r="H67" s="637">
        <v>0</v>
      </c>
      <c r="I67" s="637">
        <v>0</v>
      </c>
      <c r="J67" s="637">
        <v>0</v>
      </c>
      <c r="K67" s="637">
        <v>0</v>
      </c>
      <c r="L67" s="637">
        <v>0</v>
      </c>
      <c r="M67" s="637">
        <v>0</v>
      </c>
      <c r="N67" s="637">
        <v>0</v>
      </c>
    </row>
    <row r="68" spans="2:14" s="81" customFormat="1" ht="15.75" x14ac:dyDescent="0.25">
      <c r="B68" s="604"/>
      <c r="C68" s="146" t="s">
        <v>608</v>
      </c>
      <c r="D68" s="146" t="s">
        <v>2272</v>
      </c>
      <c r="E68" s="623"/>
      <c r="F68" s="639">
        <v>1</v>
      </c>
      <c r="G68" s="635">
        <v>1</v>
      </c>
      <c r="H68" s="635">
        <v>1</v>
      </c>
      <c r="I68" s="635">
        <v>1</v>
      </c>
      <c r="J68" s="635">
        <v>1</v>
      </c>
      <c r="K68" s="635">
        <v>1</v>
      </c>
      <c r="L68" s="635">
        <v>1</v>
      </c>
      <c r="M68" s="635">
        <v>1</v>
      </c>
      <c r="N68" s="635">
        <v>1</v>
      </c>
    </row>
    <row r="69" spans="2:14" s="81" customFormat="1" ht="15.75" x14ac:dyDescent="0.25">
      <c r="B69" s="604"/>
      <c r="C69" s="145" t="s">
        <v>608</v>
      </c>
      <c r="D69" s="145" t="s">
        <v>923</v>
      </c>
      <c r="E69" s="488"/>
      <c r="F69" s="640">
        <v>0</v>
      </c>
      <c r="G69" s="636">
        <v>0</v>
      </c>
      <c r="H69" s="636">
        <v>0</v>
      </c>
      <c r="I69" s="636">
        <v>0</v>
      </c>
      <c r="J69" s="636">
        <v>0</v>
      </c>
      <c r="K69" s="636">
        <v>0</v>
      </c>
      <c r="L69" s="636">
        <v>0</v>
      </c>
      <c r="M69" s="636">
        <v>0</v>
      </c>
      <c r="N69" s="636">
        <v>0</v>
      </c>
    </row>
    <row r="70" spans="2:14" s="81" customFormat="1" ht="15.75" x14ac:dyDescent="0.25">
      <c r="B70" s="1206"/>
      <c r="C70" s="433" t="s">
        <v>608</v>
      </c>
      <c r="D70" s="433" t="s">
        <v>612</v>
      </c>
      <c r="E70" s="1207"/>
      <c r="F70" s="1209">
        <v>0</v>
      </c>
      <c r="G70" s="1208">
        <v>0</v>
      </c>
      <c r="H70" s="1208">
        <v>0</v>
      </c>
      <c r="I70" s="1208">
        <v>0</v>
      </c>
      <c r="J70" s="1208">
        <v>0</v>
      </c>
      <c r="K70" s="1208">
        <v>0</v>
      </c>
      <c r="L70" s="1208">
        <v>0</v>
      </c>
      <c r="M70" s="1208">
        <v>0</v>
      </c>
      <c r="N70" s="1208">
        <v>0</v>
      </c>
    </row>
    <row r="71" spans="2:14" s="81" customFormat="1" ht="15.75" x14ac:dyDescent="0.25">
      <c r="B71" s="1210"/>
      <c r="C71" s="1211" t="s">
        <v>608</v>
      </c>
      <c r="D71" s="624" t="s">
        <v>2273</v>
      </c>
      <c r="E71" s="1212"/>
      <c r="F71" s="1214">
        <v>0</v>
      </c>
      <c r="G71" s="1213">
        <v>0</v>
      </c>
      <c r="H71" s="1213">
        <v>0</v>
      </c>
      <c r="I71" s="1213">
        <v>0</v>
      </c>
      <c r="J71" s="1213">
        <v>0</v>
      </c>
      <c r="K71" s="1213">
        <v>0</v>
      </c>
      <c r="L71" s="1213">
        <v>0</v>
      </c>
      <c r="M71" s="1213">
        <v>0</v>
      </c>
      <c r="N71" s="1213">
        <v>0</v>
      </c>
    </row>
    <row r="72" spans="2:14" s="81" customFormat="1" ht="15.75" x14ac:dyDescent="0.25">
      <c r="B72" s="604"/>
      <c r="C72" s="146" t="s">
        <v>610</v>
      </c>
      <c r="D72" s="146" t="s">
        <v>638</v>
      </c>
      <c r="E72" s="623"/>
      <c r="F72" s="639">
        <v>1</v>
      </c>
      <c r="G72" s="635">
        <v>1</v>
      </c>
      <c r="H72" s="635">
        <v>1</v>
      </c>
      <c r="I72" s="635">
        <v>1</v>
      </c>
      <c r="J72" s="635">
        <v>1</v>
      </c>
      <c r="K72" s="635">
        <v>1</v>
      </c>
      <c r="L72" s="635">
        <v>1</v>
      </c>
      <c r="M72" s="635">
        <v>1</v>
      </c>
      <c r="N72" s="635">
        <v>1</v>
      </c>
    </row>
    <row r="73" spans="2:14" s="81" customFormat="1" ht="15.75" x14ac:dyDescent="0.25">
      <c r="B73" s="604"/>
      <c r="C73" s="624" t="s">
        <v>610</v>
      </c>
      <c r="D73" s="624" t="s">
        <v>639</v>
      </c>
      <c r="E73" s="625"/>
      <c r="F73" s="641">
        <v>0</v>
      </c>
      <c r="G73" s="637">
        <v>0</v>
      </c>
      <c r="H73" s="637">
        <f t="shared" ref="H73:N73" si="0">1-H72</f>
        <v>0</v>
      </c>
      <c r="I73" s="637">
        <f t="shared" si="0"/>
        <v>0</v>
      </c>
      <c r="J73" s="637">
        <f t="shared" si="0"/>
        <v>0</v>
      </c>
      <c r="K73" s="637">
        <f t="shared" si="0"/>
        <v>0</v>
      </c>
      <c r="L73" s="637">
        <f t="shared" si="0"/>
        <v>0</v>
      </c>
      <c r="M73" s="637">
        <f t="shared" si="0"/>
        <v>0</v>
      </c>
      <c r="N73" s="637">
        <f t="shared" si="0"/>
        <v>0</v>
      </c>
    </row>
    <row r="74" spans="2:14" s="1411" customFormat="1" ht="15.75" x14ac:dyDescent="0.25">
      <c r="B74" s="604"/>
      <c r="C74" s="624" t="s">
        <v>2267</v>
      </c>
      <c r="D74" s="624" t="s">
        <v>2581</v>
      </c>
      <c r="E74" s="2709"/>
      <c r="F74" s="2708">
        <v>1</v>
      </c>
      <c r="G74" s="2708">
        <v>1</v>
      </c>
      <c r="H74" s="2708">
        <v>1</v>
      </c>
      <c r="I74" s="2708">
        <v>1</v>
      </c>
      <c r="J74" s="2708">
        <v>1</v>
      </c>
      <c r="K74" s="2708">
        <v>1</v>
      </c>
      <c r="L74" s="2708">
        <v>1</v>
      </c>
      <c r="M74" s="2708">
        <v>1</v>
      </c>
      <c r="N74" s="2708">
        <v>1</v>
      </c>
    </row>
    <row r="75" spans="2:14" s="1411" customFormat="1" ht="15.75" x14ac:dyDescent="0.25">
      <c r="B75" s="604"/>
      <c r="C75" s="606" t="s">
        <v>2268</v>
      </c>
      <c r="D75" s="1415" t="s">
        <v>2580</v>
      </c>
      <c r="E75" s="488"/>
      <c r="F75" s="640">
        <v>1</v>
      </c>
      <c r="G75" s="640">
        <v>1</v>
      </c>
      <c r="H75" s="640">
        <v>1</v>
      </c>
      <c r="I75" s="640">
        <v>1</v>
      </c>
      <c r="J75" s="640">
        <v>1</v>
      </c>
      <c r="K75" s="640">
        <v>1</v>
      </c>
      <c r="L75" s="640">
        <v>1</v>
      </c>
      <c r="M75" s="640">
        <v>1</v>
      </c>
      <c r="N75" s="640">
        <v>1</v>
      </c>
    </row>
    <row r="76" spans="2:14" s="81" customFormat="1" ht="15.75" x14ac:dyDescent="0.25">
      <c r="B76" s="604"/>
      <c r="C76" s="122" t="s">
        <v>611</v>
      </c>
      <c r="D76" s="122" t="s">
        <v>611</v>
      </c>
      <c r="E76" s="230"/>
      <c r="F76" s="642">
        <v>1</v>
      </c>
      <c r="G76" s="638">
        <f>F76</f>
        <v>1</v>
      </c>
      <c r="H76" s="638">
        <f t="shared" ref="H76:N76" si="1">G76</f>
        <v>1</v>
      </c>
      <c r="I76" s="638">
        <f t="shared" si="1"/>
        <v>1</v>
      </c>
      <c r="J76" s="638">
        <f t="shared" si="1"/>
        <v>1</v>
      </c>
      <c r="K76" s="638">
        <f t="shared" si="1"/>
        <v>1</v>
      </c>
      <c r="L76" s="638">
        <f t="shared" si="1"/>
        <v>1</v>
      </c>
      <c r="M76" s="638">
        <f t="shared" si="1"/>
        <v>1</v>
      </c>
      <c r="N76" s="638">
        <f t="shared" si="1"/>
        <v>1</v>
      </c>
    </row>
    <row r="77" spans="2:14" s="81" customFormat="1" ht="15.75" x14ac:dyDescent="0.25">
      <c r="B77" s="604"/>
      <c r="C77" s="144"/>
      <c r="D77" s="345"/>
      <c r="E77" s="145"/>
      <c r="F77" s="601"/>
      <c r="G77" s="602"/>
      <c r="H77" s="602"/>
      <c r="I77" s="602"/>
      <c r="J77" s="602"/>
      <c r="K77" s="227"/>
      <c r="L77" s="227"/>
      <c r="M77" s="227"/>
      <c r="N77" s="227"/>
    </row>
    <row r="78" spans="2:14" s="81" customFormat="1" ht="15.75" x14ac:dyDescent="0.25">
      <c r="B78" s="604"/>
      <c r="C78" s="178" t="s">
        <v>935</v>
      </c>
      <c r="D78" s="345"/>
      <c r="E78" s="145"/>
      <c r="F78" s="601"/>
      <c r="G78" s="602"/>
      <c r="H78" s="602"/>
      <c r="I78" s="602"/>
      <c r="J78" s="602"/>
      <c r="K78" s="227"/>
      <c r="L78" s="227"/>
      <c r="M78" s="227"/>
      <c r="N78" s="227" t="s">
        <v>646</v>
      </c>
    </row>
    <row r="79" spans="2:14" s="81" customFormat="1" ht="5.25" customHeight="1" x14ac:dyDescent="0.25">
      <c r="B79" s="604"/>
      <c r="C79" s="606"/>
      <c r="D79" s="145"/>
      <c r="E79" s="488"/>
      <c r="F79" s="601"/>
      <c r="G79" s="602"/>
      <c r="H79" s="602"/>
      <c r="I79" s="602"/>
      <c r="J79" s="602"/>
      <c r="K79" s="227"/>
      <c r="L79" s="227"/>
      <c r="M79" s="227"/>
      <c r="N79" s="227"/>
    </row>
    <row r="80" spans="2:14" s="81" customFormat="1" ht="15.75" x14ac:dyDescent="0.25">
      <c r="B80" s="604"/>
      <c r="C80" s="98" t="s">
        <v>592</v>
      </c>
      <c r="D80" s="98" t="s">
        <v>343</v>
      </c>
      <c r="E80" s="98" t="s">
        <v>172</v>
      </c>
      <c r="F80" s="218">
        <v>2010</v>
      </c>
      <c r="G80" s="217">
        <v>2015</v>
      </c>
      <c r="H80" s="217">
        <v>2020</v>
      </c>
      <c r="I80" s="217">
        <v>2025</v>
      </c>
      <c r="J80" s="217">
        <v>2030</v>
      </c>
      <c r="K80" s="217">
        <v>2035</v>
      </c>
      <c r="L80" s="217">
        <v>2040</v>
      </c>
      <c r="M80" s="217">
        <v>2045</v>
      </c>
      <c r="N80" s="217">
        <v>2050</v>
      </c>
    </row>
    <row r="81" spans="2:14" s="1411" customFormat="1" ht="15.75" x14ac:dyDescent="0.25">
      <c r="B81" s="604"/>
      <c r="C81" s="107" t="s">
        <v>609</v>
      </c>
      <c r="D81" s="107" t="s">
        <v>609</v>
      </c>
      <c r="E81" s="1413"/>
      <c r="F81" s="639">
        <v>1</v>
      </c>
      <c r="G81" s="635">
        <v>0.996</v>
      </c>
      <c r="H81" s="635">
        <v>0.996</v>
      </c>
      <c r="I81" s="635">
        <v>0.996</v>
      </c>
      <c r="J81" s="635">
        <v>0.996</v>
      </c>
      <c r="K81" s="635">
        <v>0.996</v>
      </c>
      <c r="L81" s="635">
        <v>0.996</v>
      </c>
      <c r="M81" s="635">
        <v>0.996</v>
      </c>
      <c r="N81" s="635">
        <v>0.996</v>
      </c>
    </row>
    <row r="82" spans="2:14" s="81" customFormat="1" ht="15.75" x14ac:dyDescent="0.25">
      <c r="B82" s="604"/>
      <c r="C82" s="146" t="s">
        <v>607</v>
      </c>
      <c r="D82" s="146" t="s">
        <v>2272</v>
      </c>
      <c r="E82" s="623"/>
      <c r="F82" s="639">
        <v>1</v>
      </c>
      <c r="G82" s="635">
        <v>0.96281250000000007</v>
      </c>
      <c r="H82" s="635">
        <v>0.92625000000000002</v>
      </c>
      <c r="I82" s="635">
        <v>0.89031250000000006</v>
      </c>
      <c r="J82" s="635">
        <v>0.85500000000000009</v>
      </c>
      <c r="K82" s="635">
        <v>0.82031250000000011</v>
      </c>
      <c r="L82" s="635">
        <v>0.78625000000000012</v>
      </c>
      <c r="M82" s="635">
        <v>0.75281250000000011</v>
      </c>
      <c r="N82" s="635">
        <v>0.72000000000000008</v>
      </c>
    </row>
    <row r="83" spans="2:14" s="81" customFormat="1" ht="15.75" x14ac:dyDescent="0.25">
      <c r="B83" s="604"/>
      <c r="C83" s="145" t="s">
        <v>607</v>
      </c>
      <c r="D83" s="1415" t="s">
        <v>923</v>
      </c>
      <c r="E83" s="488"/>
      <c r="F83" s="640">
        <v>0</v>
      </c>
      <c r="G83" s="636">
        <v>8.7499999999999713E-3</v>
      </c>
      <c r="H83" s="636">
        <v>1.7499999999999943E-2</v>
      </c>
      <c r="I83" s="636">
        <v>2.6249999999999912E-2</v>
      </c>
      <c r="J83" s="636">
        <v>3.4999999999999885E-2</v>
      </c>
      <c r="K83" s="636">
        <v>4.3749999999999858E-2</v>
      </c>
      <c r="L83" s="636">
        <v>5.2499999999999832E-2</v>
      </c>
      <c r="M83" s="636">
        <v>6.1249999999999805E-2</v>
      </c>
      <c r="N83" s="636">
        <v>7.0000000000000007E-2</v>
      </c>
    </row>
    <row r="84" spans="2:14" s="81" customFormat="1" ht="15.75" x14ac:dyDescent="0.25">
      <c r="B84" s="604"/>
      <c r="C84" s="145" t="s">
        <v>607</v>
      </c>
      <c r="D84" s="145" t="s">
        <v>612</v>
      </c>
      <c r="E84" s="488"/>
      <c r="F84" s="640">
        <v>0</v>
      </c>
      <c r="G84" s="636">
        <v>3.7499999999999869E-3</v>
      </c>
      <c r="H84" s="636">
        <v>7.4999999999999737E-3</v>
      </c>
      <c r="I84" s="636">
        <v>1.124999999999996E-2</v>
      </c>
      <c r="J84" s="636">
        <v>1.4999999999999947E-2</v>
      </c>
      <c r="K84" s="636">
        <v>1.8749999999999933E-2</v>
      </c>
      <c r="L84" s="636">
        <v>2.2499999999999923E-2</v>
      </c>
      <c r="M84" s="636">
        <v>2.6249999999999912E-2</v>
      </c>
      <c r="N84" s="636">
        <v>0.03</v>
      </c>
    </row>
    <row r="85" spans="2:14" s="81" customFormat="1" ht="15.75" x14ac:dyDescent="0.25">
      <c r="B85" s="604"/>
      <c r="C85" s="624" t="s">
        <v>607</v>
      </c>
      <c r="D85" s="624" t="s">
        <v>2273</v>
      </c>
      <c r="E85" s="625"/>
      <c r="F85" s="641">
        <v>0</v>
      </c>
      <c r="G85" s="637">
        <v>2.4687500000000022E-2</v>
      </c>
      <c r="H85" s="637">
        <v>4.875000000000005E-2</v>
      </c>
      <c r="I85" s="637">
        <v>7.2187500000000071E-2</v>
      </c>
      <c r="J85" s="637">
        <v>9.5000000000000098E-2</v>
      </c>
      <c r="K85" s="637">
        <v>0.11718750000000014</v>
      </c>
      <c r="L85" s="637">
        <v>0.13875000000000015</v>
      </c>
      <c r="M85" s="637">
        <v>0.1596875000000002</v>
      </c>
      <c r="N85" s="637">
        <v>0.17999999999999997</v>
      </c>
    </row>
    <row r="86" spans="2:14" s="81" customFormat="1" ht="15.75" x14ac:dyDescent="0.25">
      <c r="B86" s="604"/>
      <c r="C86" s="146" t="s">
        <v>608</v>
      </c>
      <c r="D86" s="146" t="s">
        <v>2272</v>
      </c>
      <c r="E86" s="623"/>
      <c r="F86" s="639">
        <v>1</v>
      </c>
      <c r="G86" s="635">
        <v>0.96281250000000007</v>
      </c>
      <c r="H86" s="635">
        <v>0.92625000000000002</v>
      </c>
      <c r="I86" s="635">
        <v>0.89031250000000006</v>
      </c>
      <c r="J86" s="635">
        <v>0.85500000000000009</v>
      </c>
      <c r="K86" s="635">
        <v>0.82031250000000011</v>
      </c>
      <c r="L86" s="635">
        <v>0.78625000000000012</v>
      </c>
      <c r="M86" s="635">
        <v>0.75281250000000011</v>
      </c>
      <c r="N86" s="635">
        <v>0.72000000000000008</v>
      </c>
    </row>
    <row r="87" spans="2:14" s="81" customFormat="1" ht="15.75" x14ac:dyDescent="0.25">
      <c r="B87" s="604"/>
      <c r="C87" s="145" t="s">
        <v>608</v>
      </c>
      <c r="D87" s="145" t="s">
        <v>923</v>
      </c>
      <c r="E87" s="488"/>
      <c r="F87" s="640">
        <v>0</v>
      </c>
      <c r="G87" s="636">
        <v>8.7499999999999713E-3</v>
      </c>
      <c r="H87" s="636">
        <v>1.7499999999999943E-2</v>
      </c>
      <c r="I87" s="636">
        <v>2.6249999999999912E-2</v>
      </c>
      <c r="J87" s="636">
        <v>3.4999999999999885E-2</v>
      </c>
      <c r="K87" s="636">
        <v>4.3749999999999858E-2</v>
      </c>
      <c r="L87" s="636">
        <v>5.2499999999999832E-2</v>
      </c>
      <c r="M87" s="636">
        <v>6.1249999999999805E-2</v>
      </c>
      <c r="N87" s="636">
        <v>7.0000000000000007E-2</v>
      </c>
    </row>
    <row r="88" spans="2:14" s="81" customFormat="1" ht="15.75" x14ac:dyDescent="0.25">
      <c r="B88" s="604"/>
      <c r="C88" s="145" t="s">
        <v>608</v>
      </c>
      <c r="D88" s="145" t="s">
        <v>612</v>
      </c>
      <c r="E88" s="488"/>
      <c r="F88" s="640">
        <v>0</v>
      </c>
      <c r="G88" s="636">
        <v>3.7499999999999869E-3</v>
      </c>
      <c r="H88" s="636">
        <v>7.4999999999999737E-3</v>
      </c>
      <c r="I88" s="636">
        <v>1.124999999999996E-2</v>
      </c>
      <c r="J88" s="636">
        <v>1.4999999999999947E-2</v>
      </c>
      <c r="K88" s="636">
        <v>1.8749999999999933E-2</v>
      </c>
      <c r="L88" s="636">
        <v>2.2499999999999923E-2</v>
      </c>
      <c r="M88" s="636">
        <v>2.6249999999999912E-2</v>
      </c>
      <c r="N88" s="636">
        <v>0.03</v>
      </c>
    </row>
    <row r="89" spans="2:14" s="81" customFormat="1" ht="15.75" x14ac:dyDescent="0.25">
      <c r="B89" s="1210"/>
      <c r="C89" s="624" t="s">
        <v>608</v>
      </c>
      <c r="D89" s="624" t="s">
        <v>2273</v>
      </c>
      <c r="E89" s="625"/>
      <c r="F89" s="641">
        <v>0</v>
      </c>
      <c r="G89" s="637">
        <v>2.4687500000000022E-2</v>
      </c>
      <c r="H89" s="637">
        <v>4.875000000000005E-2</v>
      </c>
      <c r="I89" s="637">
        <v>7.2187500000000071E-2</v>
      </c>
      <c r="J89" s="637">
        <v>9.5000000000000098E-2</v>
      </c>
      <c r="K89" s="637">
        <v>0.11718750000000014</v>
      </c>
      <c r="L89" s="637">
        <v>0.13875000000000015</v>
      </c>
      <c r="M89" s="637">
        <v>0.1596875000000002</v>
      </c>
      <c r="N89" s="637">
        <v>0.17999999999999997</v>
      </c>
    </row>
    <row r="90" spans="2:14" s="81" customFormat="1" ht="15.75" x14ac:dyDescent="0.25">
      <c r="B90" s="604"/>
      <c r="C90" s="146" t="s">
        <v>610</v>
      </c>
      <c r="D90" s="146" t="s">
        <v>638</v>
      </c>
      <c r="E90" s="623"/>
      <c r="F90" s="639">
        <v>1</v>
      </c>
      <c r="G90" s="635">
        <v>1</v>
      </c>
      <c r="H90" s="635">
        <v>0.97499999999999998</v>
      </c>
      <c r="I90" s="635">
        <v>0.95</v>
      </c>
      <c r="J90" s="635">
        <v>0.92500000000000004</v>
      </c>
      <c r="K90" s="635">
        <v>0.9</v>
      </c>
      <c r="L90" s="635">
        <v>0.875</v>
      </c>
      <c r="M90" s="635">
        <v>0.85</v>
      </c>
      <c r="N90" s="635">
        <v>0.82499999999999996</v>
      </c>
    </row>
    <row r="91" spans="2:14" s="81" customFormat="1" ht="15.75" x14ac:dyDescent="0.25">
      <c r="B91" s="604"/>
      <c r="C91" s="624" t="s">
        <v>610</v>
      </c>
      <c r="D91" s="624" t="s">
        <v>639</v>
      </c>
      <c r="E91" s="625"/>
      <c r="F91" s="641">
        <v>0</v>
      </c>
      <c r="G91" s="637">
        <f t="shared" ref="G91:N91" si="2">1-G90</f>
        <v>0</v>
      </c>
      <c r="H91" s="637">
        <f t="shared" si="2"/>
        <v>2.5000000000000022E-2</v>
      </c>
      <c r="I91" s="637">
        <f t="shared" si="2"/>
        <v>5.0000000000000044E-2</v>
      </c>
      <c r="J91" s="637">
        <f t="shared" si="2"/>
        <v>7.4999999999999956E-2</v>
      </c>
      <c r="K91" s="637">
        <f t="shared" si="2"/>
        <v>9.9999999999999978E-2</v>
      </c>
      <c r="L91" s="637">
        <f t="shared" si="2"/>
        <v>0.125</v>
      </c>
      <c r="M91" s="637">
        <f t="shared" si="2"/>
        <v>0.15000000000000002</v>
      </c>
      <c r="N91" s="637">
        <f t="shared" si="2"/>
        <v>0.17500000000000004</v>
      </c>
    </row>
    <row r="92" spans="2:14" s="1411" customFormat="1" ht="15.75" x14ac:dyDescent="0.25">
      <c r="B92" s="604"/>
      <c r="C92" s="624" t="s">
        <v>2267</v>
      </c>
      <c r="D92" s="624" t="s">
        <v>2581</v>
      </c>
      <c r="E92" s="625"/>
      <c r="F92" s="641">
        <v>1</v>
      </c>
      <c r="G92" s="637">
        <v>1</v>
      </c>
      <c r="H92" s="637">
        <v>1</v>
      </c>
      <c r="I92" s="637">
        <v>1</v>
      </c>
      <c r="J92" s="637">
        <v>1</v>
      </c>
      <c r="K92" s="637">
        <v>1</v>
      </c>
      <c r="L92" s="637">
        <v>1</v>
      </c>
      <c r="M92" s="637">
        <v>1</v>
      </c>
      <c r="N92" s="637">
        <v>1</v>
      </c>
    </row>
    <row r="93" spans="2:14" s="1411" customFormat="1" ht="15.75" x14ac:dyDescent="0.25">
      <c r="B93" s="604"/>
      <c r="C93" s="1415" t="s">
        <v>2268</v>
      </c>
      <c r="D93" s="1415" t="s">
        <v>2580</v>
      </c>
      <c r="E93" s="488"/>
      <c r="F93" s="640">
        <v>1</v>
      </c>
      <c r="G93" s="636">
        <v>1</v>
      </c>
      <c r="H93" s="636">
        <v>1</v>
      </c>
      <c r="I93" s="636">
        <v>1</v>
      </c>
      <c r="J93" s="636">
        <v>1</v>
      </c>
      <c r="K93" s="636">
        <v>1</v>
      </c>
      <c r="L93" s="636">
        <v>1</v>
      </c>
      <c r="M93" s="636">
        <v>1</v>
      </c>
      <c r="N93" s="636">
        <v>1</v>
      </c>
    </row>
    <row r="94" spans="2:14" s="81" customFormat="1" ht="15.75" x14ac:dyDescent="0.25">
      <c r="B94" s="604"/>
      <c r="C94" s="122" t="s">
        <v>611</v>
      </c>
      <c r="D94" s="122" t="s">
        <v>611</v>
      </c>
      <c r="E94" s="230"/>
      <c r="F94" s="642">
        <v>1</v>
      </c>
      <c r="G94" s="638">
        <f>F94</f>
        <v>1</v>
      </c>
      <c r="H94" s="638">
        <f t="shared" ref="H94:N94" si="3">G94</f>
        <v>1</v>
      </c>
      <c r="I94" s="638">
        <f t="shared" si="3"/>
        <v>1</v>
      </c>
      <c r="J94" s="638">
        <f t="shared" si="3"/>
        <v>1</v>
      </c>
      <c r="K94" s="638">
        <f t="shared" si="3"/>
        <v>1</v>
      </c>
      <c r="L94" s="638">
        <f t="shared" si="3"/>
        <v>1</v>
      </c>
      <c r="M94" s="638">
        <f t="shared" si="3"/>
        <v>1</v>
      </c>
      <c r="N94" s="638">
        <f t="shared" si="3"/>
        <v>1</v>
      </c>
    </row>
    <row r="95" spans="2:14" s="81" customFormat="1" ht="15.75" x14ac:dyDescent="0.25">
      <c r="B95" s="604"/>
      <c r="C95" s="144"/>
      <c r="D95" s="345"/>
      <c r="E95" s="145"/>
      <c r="F95" s="602"/>
      <c r="G95" s="602"/>
      <c r="H95" s="602"/>
      <c r="I95" s="602"/>
      <c r="J95" s="227"/>
      <c r="K95" s="227"/>
      <c r="L95" s="227"/>
      <c r="M95" s="227"/>
      <c r="N95" s="227"/>
    </row>
    <row r="96" spans="2:14" s="81" customFormat="1" ht="15.75" x14ac:dyDescent="0.25">
      <c r="B96" s="604"/>
      <c r="C96" s="178" t="s">
        <v>936</v>
      </c>
      <c r="D96" s="345"/>
      <c r="E96" s="145"/>
      <c r="F96" s="601"/>
      <c r="G96" s="602"/>
      <c r="H96" s="602"/>
      <c r="I96" s="602"/>
      <c r="J96" s="602"/>
      <c r="K96" s="227"/>
      <c r="L96" s="227"/>
      <c r="M96" s="227"/>
      <c r="N96" s="227" t="s">
        <v>646</v>
      </c>
    </row>
    <row r="97" spans="2:14" s="81" customFormat="1" ht="5.25" customHeight="1" x14ac:dyDescent="0.25">
      <c r="B97" s="604"/>
      <c r="C97" s="606"/>
      <c r="D97" s="145"/>
      <c r="E97" s="488"/>
      <c r="F97" s="601"/>
      <c r="G97" s="602"/>
      <c r="H97" s="602"/>
      <c r="I97" s="602"/>
      <c r="J97" s="602"/>
      <c r="K97" s="227"/>
      <c r="L97" s="227"/>
      <c r="M97" s="227"/>
      <c r="N97" s="227"/>
    </row>
    <row r="98" spans="2:14" s="81" customFormat="1" ht="15.75" x14ac:dyDescent="0.25">
      <c r="B98" s="604"/>
      <c r="C98" s="98" t="s">
        <v>592</v>
      </c>
      <c r="D98" s="98" t="s">
        <v>343</v>
      </c>
      <c r="E98" s="98" t="s">
        <v>172</v>
      </c>
      <c r="F98" s="218">
        <v>2010</v>
      </c>
      <c r="G98" s="217">
        <v>2015</v>
      </c>
      <c r="H98" s="217">
        <v>2020</v>
      </c>
      <c r="I98" s="217">
        <v>2025</v>
      </c>
      <c r="J98" s="217">
        <v>2030</v>
      </c>
      <c r="K98" s="217">
        <v>2035</v>
      </c>
      <c r="L98" s="217">
        <v>2040</v>
      </c>
      <c r="M98" s="217">
        <v>2045</v>
      </c>
      <c r="N98" s="217">
        <v>2050</v>
      </c>
    </row>
    <row r="99" spans="2:14" s="1411" customFormat="1" ht="15.75" x14ac:dyDescent="0.25">
      <c r="B99" s="604"/>
      <c r="C99" s="107" t="s">
        <v>609</v>
      </c>
      <c r="D99" s="107" t="s">
        <v>609</v>
      </c>
      <c r="E99" s="1413"/>
      <c r="F99" s="639">
        <v>1</v>
      </c>
      <c r="G99" s="635">
        <v>0.996</v>
      </c>
      <c r="H99" s="635">
        <v>0.996</v>
      </c>
      <c r="I99" s="635">
        <v>0.996</v>
      </c>
      <c r="J99" s="635">
        <v>0.996</v>
      </c>
      <c r="K99" s="635">
        <v>0.996</v>
      </c>
      <c r="L99" s="635">
        <v>0.996</v>
      </c>
      <c r="M99" s="635">
        <v>0.996</v>
      </c>
      <c r="N99" s="635">
        <v>0.996</v>
      </c>
    </row>
    <row r="100" spans="2:14" s="81" customFormat="1" ht="15.75" x14ac:dyDescent="0.25">
      <c r="B100" s="604"/>
      <c r="C100" s="146" t="s">
        <v>607</v>
      </c>
      <c r="D100" s="146" t="s">
        <v>2272</v>
      </c>
      <c r="E100" s="623"/>
      <c r="F100" s="639">
        <v>1</v>
      </c>
      <c r="G100" s="635">
        <v>0.93242187500000007</v>
      </c>
      <c r="H100" s="635">
        <v>0.8671875</v>
      </c>
      <c r="I100" s="635">
        <v>0.80429687500000002</v>
      </c>
      <c r="J100" s="635">
        <v>0.74375000000000013</v>
      </c>
      <c r="K100" s="635">
        <v>0.68554687500000011</v>
      </c>
      <c r="L100" s="635">
        <v>0.62968750000000007</v>
      </c>
      <c r="M100" s="635">
        <v>0.57617187500000011</v>
      </c>
      <c r="N100" s="635">
        <v>0.52499999999999991</v>
      </c>
    </row>
    <row r="101" spans="2:14" s="81" customFormat="1" ht="15.75" x14ac:dyDescent="0.25">
      <c r="B101" s="604"/>
      <c r="C101" s="145" t="s">
        <v>607</v>
      </c>
      <c r="D101" s="1415" t="s">
        <v>923</v>
      </c>
      <c r="E101" s="488"/>
      <c r="F101" s="640">
        <v>0</v>
      </c>
      <c r="G101" s="636">
        <v>2.1250000000000002E-2</v>
      </c>
      <c r="H101" s="636">
        <v>4.2500000000000003E-2</v>
      </c>
      <c r="I101" s="636">
        <v>6.3750000000000001E-2</v>
      </c>
      <c r="J101" s="636">
        <v>8.5000000000000006E-2</v>
      </c>
      <c r="K101" s="636">
        <v>0.10625000000000001</v>
      </c>
      <c r="L101" s="636">
        <v>0.1275</v>
      </c>
      <c r="M101" s="636">
        <v>0.14874999999999999</v>
      </c>
      <c r="N101" s="636">
        <v>0.17</v>
      </c>
    </row>
    <row r="102" spans="2:14" s="81" customFormat="1" ht="15.75" x14ac:dyDescent="0.25">
      <c r="B102" s="604"/>
      <c r="C102" s="145" t="s">
        <v>607</v>
      </c>
      <c r="D102" s="145" t="s">
        <v>612</v>
      </c>
      <c r="E102" s="488"/>
      <c r="F102" s="640">
        <v>0</v>
      </c>
      <c r="G102" s="636">
        <v>0.01</v>
      </c>
      <c r="H102" s="636">
        <v>0.02</v>
      </c>
      <c r="I102" s="636">
        <v>0.03</v>
      </c>
      <c r="J102" s="636">
        <v>0.04</v>
      </c>
      <c r="K102" s="636">
        <v>0.05</v>
      </c>
      <c r="L102" s="636">
        <v>0.06</v>
      </c>
      <c r="M102" s="636">
        <v>6.9999999999999993E-2</v>
      </c>
      <c r="N102" s="636">
        <v>0.08</v>
      </c>
    </row>
    <row r="103" spans="2:14" s="81" customFormat="1" ht="15.75" x14ac:dyDescent="0.25">
      <c r="B103" s="604"/>
      <c r="C103" s="624" t="s">
        <v>607</v>
      </c>
      <c r="D103" s="624" t="s">
        <v>2273</v>
      </c>
      <c r="E103" s="625"/>
      <c r="F103" s="641">
        <v>0</v>
      </c>
      <c r="G103" s="637">
        <v>3.6328124999999975E-2</v>
      </c>
      <c r="H103" s="637">
        <v>7.0312499999999958E-2</v>
      </c>
      <c r="I103" s="637">
        <v>0.10195312499999994</v>
      </c>
      <c r="J103" s="637">
        <v>0.13124999999999992</v>
      </c>
      <c r="K103" s="637">
        <v>0.15820312499999992</v>
      </c>
      <c r="L103" s="637">
        <v>0.18281249999999988</v>
      </c>
      <c r="M103" s="637">
        <v>0.20507812499999989</v>
      </c>
      <c r="N103" s="637">
        <v>0.22500000000000003</v>
      </c>
    </row>
    <row r="104" spans="2:14" s="81" customFormat="1" ht="15.75" x14ac:dyDescent="0.25">
      <c r="B104" s="604"/>
      <c r="C104" s="146" t="s">
        <v>608</v>
      </c>
      <c r="D104" s="146" t="s">
        <v>2272</v>
      </c>
      <c r="E104" s="623"/>
      <c r="F104" s="639">
        <v>1</v>
      </c>
      <c r="G104" s="635">
        <v>0.93242187500000007</v>
      </c>
      <c r="H104" s="635">
        <v>0.8671875</v>
      </c>
      <c r="I104" s="635">
        <v>0.80429687500000002</v>
      </c>
      <c r="J104" s="635">
        <v>0.74375000000000013</v>
      </c>
      <c r="K104" s="635">
        <v>0.68554687500000011</v>
      </c>
      <c r="L104" s="635">
        <v>0.62968750000000007</v>
      </c>
      <c r="M104" s="635">
        <v>0.57617187500000011</v>
      </c>
      <c r="N104" s="635">
        <v>0.52499999999999991</v>
      </c>
    </row>
    <row r="105" spans="2:14" s="81" customFormat="1" ht="15.75" x14ac:dyDescent="0.25">
      <c r="B105" s="604"/>
      <c r="C105" s="145" t="s">
        <v>608</v>
      </c>
      <c r="D105" s="145" t="s">
        <v>923</v>
      </c>
      <c r="E105" s="488"/>
      <c r="F105" s="640">
        <v>0</v>
      </c>
      <c r="G105" s="636">
        <v>2.1250000000000002E-2</v>
      </c>
      <c r="H105" s="636">
        <v>4.2500000000000003E-2</v>
      </c>
      <c r="I105" s="636">
        <v>6.3750000000000001E-2</v>
      </c>
      <c r="J105" s="636">
        <v>8.5000000000000006E-2</v>
      </c>
      <c r="K105" s="636">
        <v>0.10625000000000001</v>
      </c>
      <c r="L105" s="636">
        <v>0.1275</v>
      </c>
      <c r="M105" s="636">
        <v>0.14874999999999999</v>
      </c>
      <c r="N105" s="636">
        <v>0.17</v>
      </c>
    </row>
    <row r="106" spans="2:14" s="81" customFormat="1" ht="15.75" x14ac:dyDescent="0.25">
      <c r="B106" s="1206"/>
      <c r="C106" s="433" t="s">
        <v>608</v>
      </c>
      <c r="D106" s="433" t="s">
        <v>612</v>
      </c>
      <c r="E106" s="1207"/>
      <c r="F106" s="640">
        <v>0</v>
      </c>
      <c r="G106" s="636">
        <v>0.01</v>
      </c>
      <c r="H106" s="636">
        <v>0.02</v>
      </c>
      <c r="I106" s="636">
        <v>0.03</v>
      </c>
      <c r="J106" s="636">
        <v>0.04</v>
      </c>
      <c r="K106" s="636">
        <v>0.05</v>
      </c>
      <c r="L106" s="636">
        <v>0.06</v>
      </c>
      <c r="M106" s="636">
        <v>6.9999999999999993E-2</v>
      </c>
      <c r="N106" s="636">
        <v>0.08</v>
      </c>
    </row>
    <row r="107" spans="2:14" s="81" customFormat="1" ht="15.75" x14ac:dyDescent="0.25">
      <c r="B107" s="1210"/>
      <c r="C107" s="1211" t="s">
        <v>608</v>
      </c>
      <c r="D107" s="624" t="s">
        <v>2273</v>
      </c>
      <c r="E107" s="1212"/>
      <c r="F107" s="641">
        <v>0</v>
      </c>
      <c r="G107" s="637">
        <v>3.6328124999999975E-2</v>
      </c>
      <c r="H107" s="637">
        <v>7.0312499999999958E-2</v>
      </c>
      <c r="I107" s="637">
        <v>0.10195312499999994</v>
      </c>
      <c r="J107" s="637">
        <v>0.13124999999999992</v>
      </c>
      <c r="K107" s="637">
        <v>0.15820312499999992</v>
      </c>
      <c r="L107" s="637">
        <v>0.18281249999999988</v>
      </c>
      <c r="M107" s="637">
        <v>0.20507812499999989</v>
      </c>
      <c r="N107" s="637">
        <v>0.22500000000000003</v>
      </c>
    </row>
    <row r="108" spans="2:14" s="81" customFormat="1" ht="15.75" x14ac:dyDescent="0.25">
      <c r="B108" s="604"/>
      <c r="C108" s="146" t="s">
        <v>610</v>
      </c>
      <c r="D108" s="146" t="s">
        <v>638</v>
      </c>
      <c r="E108" s="623"/>
      <c r="F108" s="639">
        <v>1</v>
      </c>
      <c r="G108" s="635">
        <v>1</v>
      </c>
      <c r="H108" s="635">
        <v>0.95</v>
      </c>
      <c r="I108" s="635">
        <v>0.85</v>
      </c>
      <c r="J108" s="635">
        <v>0.75</v>
      </c>
      <c r="K108" s="635">
        <v>0.65</v>
      </c>
      <c r="L108" s="635">
        <v>0.55000000000000004</v>
      </c>
      <c r="M108" s="635">
        <v>0.45</v>
      </c>
      <c r="N108" s="635">
        <v>0.35</v>
      </c>
    </row>
    <row r="109" spans="2:14" s="81" customFormat="1" ht="15.75" x14ac:dyDescent="0.25">
      <c r="B109" s="604"/>
      <c r="C109" s="624" t="s">
        <v>610</v>
      </c>
      <c r="D109" s="624" t="s">
        <v>639</v>
      </c>
      <c r="E109" s="625"/>
      <c r="F109" s="641">
        <v>0</v>
      </c>
      <c r="G109" s="637">
        <f t="shared" ref="G109:N109" si="4">1-G108</f>
        <v>0</v>
      </c>
      <c r="H109" s="637">
        <f t="shared" si="4"/>
        <v>5.0000000000000044E-2</v>
      </c>
      <c r="I109" s="637">
        <f t="shared" si="4"/>
        <v>0.15000000000000002</v>
      </c>
      <c r="J109" s="637">
        <f t="shared" si="4"/>
        <v>0.25</v>
      </c>
      <c r="K109" s="637">
        <f t="shared" si="4"/>
        <v>0.35</v>
      </c>
      <c r="L109" s="637">
        <f t="shared" si="4"/>
        <v>0.44999999999999996</v>
      </c>
      <c r="M109" s="637">
        <f t="shared" si="4"/>
        <v>0.55000000000000004</v>
      </c>
      <c r="N109" s="637">
        <f t="shared" si="4"/>
        <v>0.65</v>
      </c>
    </row>
    <row r="110" spans="2:14" s="1411" customFormat="1" ht="15.75" x14ac:dyDescent="0.25">
      <c r="B110" s="604"/>
      <c r="C110" s="624" t="s">
        <v>2267</v>
      </c>
      <c r="D110" s="624" t="s">
        <v>2581</v>
      </c>
      <c r="E110" s="625"/>
      <c r="F110" s="641">
        <v>1</v>
      </c>
      <c r="G110" s="637">
        <v>1</v>
      </c>
      <c r="H110" s="637">
        <v>1</v>
      </c>
      <c r="I110" s="637">
        <v>1</v>
      </c>
      <c r="J110" s="637">
        <v>1</v>
      </c>
      <c r="K110" s="637">
        <v>1</v>
      </c>
      <c r="L110" s="637">
        <v>1</v>
      </c>
      <c r="M110" s="637">
        <v>1</v>
      </c>
      <c r="N110" s="637">
        <v>1</v>
      </c>
    </row>
    <row r="111" spans="2:14" s="1411" customFormat="1" ht="15.75" x14ac:dyDescent="0.25">
      <c r="B111" s="604"/>
      <c r="C111" s="1415" t="s">
        <v>2268</v>
      </c>
      <c r="D111" s="1415" t="s">
        <v>2580</v>
      </c>
      <c r="E111" s="488"/>
      <c r="F111" s="640">
        <v>1</v>
      </c>
      <c r="G111" s="636">
        <v>1</v>
      </c>
      <c r="H111" s="636">
        <v>1</v>
      </c>
      <c r="I111" s="636">
        <v>1</v>
      </c>
      <c r="J111" s="636">
        <v>1</v>
      </c>
      <c r="K111" s="636">
        <v>1</v>
      </c>
      <c r="L111" s="636">
        <v>1</v>
      </c>
      <c r="M111" s="636">
        <v>1</v>
      </c>
      <c r="N111" s="636">
        <v>1</v>
      </c>
    </row>
    <row r="112" spans="2:14" s="81" customFormat="1" ht="15.75" x14ac:dyDescent="0.25">
      <c r="B112" s="604"/>
      <c r="C112" s="122" t="s">
        <v>611</v>
      </c>
      <c r="D112" s="122" t="s">
        <v>611</v>
      </c>
      <c r="E112" s="230"/>
      <c r="F112" s="642">
        <v>1</v>
      </c>
      <c r="G112" s="638">
        <f>F112</f>
        <v>1</v>
      </c>
      <c r="H112" s="638">
        <f t="shared" ref="H112:N112" si="5">G112</f>
        <v>1</v>
      </c>
      <c r="I112" s="638">
        <f t="shared" si="5"/>
        <v>1</v>
      </c>
      <c r="J112" s="638">
        <f t="shared" si="5"/>
        <v>1</v>
      </c>
      <c r="K112" s="638">
        <f t="shared" si="5"/>
        <v>1</v>
      </c>
      <c r="L112" s="638">
        <f t="shared" si="5"/>
        <v>1</v>
      </c>
      <c r="M112" s="638">
        <f t="shared" si="5"/>
        <v>1</v>
      </c>
      <c r="N112" s="638">
        <f t="shared" si="5"/>
        <v>1</v>
      </c>
    </row>
    <row r="113" spans="2:14" s="81" customFormat="1" ht="15.75" x14ac:dyDescent="0.25">
      <c r="B113" s="604"/>
      <c r="C113" s="144"/>
      <c r="D113" s="345"/>
      <c r="E113" s="145"/>
      <c r="F113" s="602"/>
      <c r="G113" s="602"/>
      <c r="H113" s="602"/>
      <c r="I113" s="602"/>
      <c r="J113" s="227"/>
      <c r="K113" s="227"/>
      <c r="L113" s="227"/>
      <c r="M113" s="227"/>
      <c r="N113" s="227"/>
    </row>
    <row r="114" spans="2:14" s="81" customFormat="1" ht="15.75" x14ac:dyDescent="0.25">
      <c r="B114" s="604"/>
      <c r="C114" s="178" t="s">
        <v>937</v>
      </c>
      <c r="D114" s="345"/>
      <c r="E114" s="145"/>
      <c r="F114" s="602"/>
      <c r="G114" s="602"/>
      <c r="H114" s="602"/>
      <c r="I114" s="602"/>
      <c r="J114" s="227"/>
      <c r="K114" s="227"/>
      <c r="L114" s="227"/>
      <c r="M114" s="227"/>
      <c r="N114" s="227" t="s">
        <v>646</v>
      </c>
    </row>
    <row r="115" spans="2:14" s="81" customFormat="1" ht="5.25" customHeight="1" x14ac:dyDescent="0.25">
      <c r="B115" s="604"/>
      <c r="C115" s="606"/>
      <c r="D115" s="145"/>
      <c r="E115" s="488"/>
      <c r="F115" s="602"/>
      <c r="G115" s="602"/>
      <c r="H115" s="602"/>
      <c r="I115" s="602"/>
      <c r="J115" s="227"/>
      <c r="K115" s="227"/>
      <c r="L115" s="227"/>
      <c r="M115" s="227"/>
      <c r="N115" s="227"/>
    </row>
    <row r="116" spans="2:14" s="81" customFormat="1" ht="15.75" x14ac:dyDescent="0.25">
      <c r="B116" s="604"/>
      <c r="C116" s="98" t="s">
        <v>592</v>
      </c>
      <c r="D116" s="98" t="s">
        <v>343</v>
      </c>
      <c r="E116" s="98" t="s">
        <v>172</v>
      </c>
      <c r="F116" s="218">
        <v>2010</v>
      </c>
      <c r="G116" s="217">
        <v>2015</v>
      </c>
      <c r="H116" s="217">
        <v>2020</v>
      </c>
      <c r="I116" s="217">
        <v>2025</v>
      </c>
      <c r="J116" s="217">
        <v>2030</v>
      </c>
      <c r="K116" s="217">
        <v>2035</v>
      </c>
      <c r="L116" s="217">
        <v>2040</v>
      </c>
      <c r="M116" s="217">
        <v>2045</v>
      </c>
      <c r="N116" s="217">
        <v>2050</v>
      </c>
    </row>
    <row r="117" spans="2:14" s="1411" customFormat="1" ht="15.75" x14ac:dyDescent="0.25">
      <c r="B117" s="604"/>
      <c r="C117" s="107" t="s">
        <v>609</v>
      </c>
      <c r="D117" s="107" t="s">
        <v>609</v>
      </c>
      <c r="E117" s="1413"/>
      <c r="F117" s="639">
        <f>F119</f>
        <v>0</v>
      </c>
      <c r="G117" s="635">
        <v>0.996</v>
      </c>
      <c r="H117" s="635">
        <v>0.996</v>
      </c>
      <c r="I117" s="635">
        <v>0.996</v>
      </c>
      <c r="J117" s="635">
        <v>0.996</v>
      </c>
      <c r="K117" s="635">
        <v>0.996</v>
      </c>
      <c r="L117" s="635">
        <v>0.996</v>
      </c>
      <c r="M117" s="635">
        <v>0.996</v>
      </c>
      <c r="N117" s="635">
        <v>0.996</v>
      </c>
    </row>
    <row r="118" spans="2:14" s="81" customFormat="1" ht="15.75" x14ac:dyDescent="0.25">
      <c r="B118" s="604"/>
      <c r="C118" s="146" t="s">
        <v>607</v>
      </c>
      <c r="D118" s="146" t="s">
        <v>2272</v>
      </c>
      <c r="E118" s="623"/>
      <c r="F118" s="639">
        <v>1</v>
      </c>
      <c r="G118" s="635">
        <v>0.90249999999999997</v>
      </c>
      <c r="H118" s="635">
        <v>0.80999999999999983</v>
      </c>
      <c r="I118" s="635">
        <v>0.72249999999999981</v>
      </c>
      <c r="J118" s="635">
        <v>0.63999999999999968</v>
      </c>
      <c r="K118" s="635">
        <v>0.56249999999999967</v>
      </c>
      <c r="L118" s="635">
        <v>0.4899999999999996</v>
      </c>
      <c r="M118" s="635">
        <v>0.4224999999999996</v>
      </c>
      <c r="N118" s="635">
        <v>0.36</v>
      </c>
    </row>
    <row r="119" spans="2:14" s="81" customFormat="1" ht="15.75" x14ac:dyDescent="0.25">
      <c r="B119" s="604"/>
      <c r="C119" s="145" t="s">
        <v>607</v>
      </c>
      <c r="D119" s="1415" t="s">
        <v>923</v>
      </c>
      <c r="E119" s="488"/>
      <c r="F119" s="640">
        <v>0</v>
      </c>
      <c r="G119" s="636">
        <v>4.3750000000000032E-2</v>
      </c>
      <c r="H119" s="636">
        <v>8.7500000000000064E-2</v>
      </c>
      <c r="I119" s="636">
        <v>0.13125000000000009</v>
      </c>
      <c r="J119" s="636">
        <v>0.17500000000000013</v>
      </c>
      <c r="K119" s="636">
        <v>0.21875000000000017</v>
      </c>
      <c r="L119" s="636">
        <v>0.26250000000000018</v>
      </c>
      <c r="M119" s="636">
        <v>0.30625000000000019</v>
      </c>
      <c r="N119" s="636">
        <v>0.35</v>
      </c>
    </row>
    <row r="120" spans="2:14" s="81" customFormat="1" ht="15.75" x14ac:dyDescent="0.25">
      <c r="B120" s="604"/>
      <c r="C120" s="145" t="s">
        <v>607</v>
      </c>
      <c r="D120" s="145" t="s">
        <v>612</v>
      </c>
      <c r="E120" s="488"/>
      <c r="F120" s="640">
        <v>0</v>
      </c>
      <c r="G120" s="636">
        <v>6.2500000000000056E-3</v>
      </c>
      <c r="H120" s="636">
        <v>1.2500000000000011E-2</v>
      </c>
      <c r="I120" s="636">
        <v>1.8750000000000017E-2</v>
      </c>
      <c r="J120" s="636">
        <v>2.5000000000000022E-2</v>
      </c>
      <c r="K120" s="636">
        <v>3.1250000000000028E-2</v>
      </c>
      <c r="L120" s="636">
        <v>3.7500000000000033E-2</v>
      </c>
      <c r="M120" s="636">
        <v>4.3750000000000039E-2</v>
      </c>
      <c r="N120" s="636">
        <v>0.05</v>
      </c>
    </row>
    <row r="121" spans="2:14" s="81" customFormat="1" ht="15.75" x14ac:dyDescent="0.25">
      <c r="B121" s="604"/>
      <c r="C121" s="624" t="s">
        <v>607</v>
      </c>
      <c r="D121" s="624" t="s">
        <v>2273</v>
      </c>
      <c r="E121" s="625"/>
      <c r="F121" s="641">
        <v>0</v>
      </c>
      <c r="G121" s="637">
        <v>4.7500000000000042E-2</v>
      </c>
      <c r="H121" s="637">
        <v>9.0000000000000066E-2</v>
      </c>
      <c r="I121" s="637">
        <v>0.12750000000000009</v>
      </c>
      <c r="J121" s="637">
        <v>0.16000000000000011</v>
      </c>
      <c r="K121" s="637">
        <v>0.18750000000000011</v>
      </c>
      <c r="L121" s="637">
        <v>0.2100000000000001</v>
      </c>
      <c r="M121" s="637">
        <v>0.22750000000000009</v>
      </c>
      <c r="N121" s="637">
        <v>0.24</v>
      </c>
    </row>
    <row r="122" spans="2:14" s="81" customFormat="1" ht="15.75" x14ac:dyDescent="0.25">
      <c r="B122" s="604"/>
      <c r="C122" s="146" t="s">
        <v>608</v>
      </c>
      <c r="D122" s="146" t="s">
        <v>2272</v>
      </c>
      <c r="E122" s="623"/>
      <c r="F122" s="639">
        <v>1</v>
      </c>
      <c r="G122" s="635">
        <v>0.90249999999999997</v>
      </c>
      <c r="H122" s="635">
        <v>0.80999999999999983</v>
      </c>
      <c r="I122" s="636">
        <v>0.72249999999999981</v>
      </c>
      <c r="J122" s="636">
        <v>0.63999999999999968</v>
      </c>
      <c r="K122" s="635">
        <v>0.56249999999999967</v>
      </c>
      <c r="L122" s="635">
        <v>0.4899999999999996</v>
      </c>
      <c r="M122" s="635">
        <v>0.4224999999999996</v>
      </c>
      <c r="N122" s="635">
        <v>0.36</v>
      </c>
    </row>
    <row r="123" spans="2:14" s="81" customFormat="1" ht="15.75" x14ac:dyDescent="0.25">
      <c r="B123" s="604"/>
      <c r="C123" s="145" t="s">
        <v>608</v>
      </c>
      <c r="D123" s="145" t="s">
        <v>923</v>
      </c>
      <c r="E123" s="488"/>
      <c r="F123" s="640">
        <v>0</v>
      </c>
      <c r="G123" s="636">
        <v>4.3750000000000032E-2</v>
      </c>
      <c r="H123" s="636">
        <v>8.7500000000000064E-2</v>
      </c>
      <c r="I123" s="636">
        <v>0.13125000000000009</v>
      </c>
      <c r="J123" s="636">
        <v>0.17500000000000013</v>
      </c>
      <c r="K123" s="636">
        <v>0.21875000000000017</v>
      </c>
      <c r="L123" s="636">
        <v>0.26250000000000018</v>
      </c>
      <c r="M123" s="636">
        <v>0.30625000000000019</v>
      </c>
      <c r="N123" s="636">
        <v>0.35</v>
      </c>
    </row>
    <row r="124" spans="2:14" s="81" customFormat="1" ht="15.75" x14ac:dyDescent="0.25">
      <c r="B124" s="604"/>
      <c r="C124" s="145" t="s">
        <v>608</v>
      </c>
      <c r="D124" s="145" t="s">
        <v>612</v>
      </c>
      <c r="E124" s="488"/>
      <c r="F124" s="1209">
        <v>0</v>
      </c>
      <c r="G124" s="1208">
        <v>6.2500000000000056E-3</v>
      </c>
      <c r="H124" s="1208">
        <v>1.2500000000000011E-2</v>
      </c>
      <c r="I124" s="1208">
        <v>1.8750000000000017E-2</v>
      </c>
      <c r="J124" s="1208">
        <v>2.5000000000000022E-2</v>
      </c>
      <c r="K124" s="1208">
        <v>3.1250000000000028E-2</v>
      </c>
      <c r="L124" s="1208">
        <v>3.7500000000000033E-2</v>
      </c>
      <c r="M124" s="1208">
        <v>4.3750000000000039E-2</v>
      </c>
      <c r="N124" s="1208">
        <v>0.05</v>
      </c>
    </row>
    <row r="125" spans="2:14" s="81" customFormat="1" ht="15.75" x14ac:dyDescent="0.25">
      <c r="B125" s="1210"/>
      <c r="C125" s="624" t="s">
        <v>608</v>
      </c>
      <c r="D125" s="624" t="s">
        <v>2273</v>
      </c>
      <c r="E125" s="625"/>
      <c r="F125" s="1214">
        <v>0</v>
      </c>
      <c r="G125" s="1213">
        <v>4.7500000000000042E-2</v>
      </c>
      <c r="H125" s="1213">
        <v>9.0000000000000066E-2</v>
      </c>
      <c r="I125" s="1215">
        <v>0.12750000000000009</v>
      </c>
      <c r="J125" s="1215">
        <v>0.16000000000000011</v>
      </c>
      <c r="K125" s="1215">
        <v>0.18750000000000011</v>
      </c>
      <c r="L125" s="1213">
        <v>0.2100000000000001</v>
      </c>
      <c r="M125" s="1213">
        <v>0.22750000000000009</v>
      </c>
      <c r="N125" s="1213">
        <v>0.24</v>
      </c>
    </row>
    <row r="126" spans="2:14" s="81" customFormat="1" ht="15.75" x14ac:dyDescent="0.25">
      <c r="B126" s="604"/>
      <c r="C126" s="146" t="s">
        <v>610</v>
      </c>
      <c r="D126" s="146" t="s">
        <v>638</v>
      </c>
      <c r="E126" s="623"/>
      <c r="F126" s="639">
        <v>1</v>
      </c>
      <c r="G126" s="635">
        <v>1</v>
      </c>
      <c r="H126" s="635">
        <v>0.9</v>
      </c>
      <c r="I126" s="635">
        <v>0.8</v>
      </c>
      <c r="J126" s="635">
        <v>0.7</v>
      </c>
      <c r="K126" s="635">
        <v>0.6</v>
      </c>
      <c r="L126" s="635">
        <v>0.5</v>
      </c>
      <c r="M126" s="635">
        <v>0.4</v>
      </c>
      <c r="N126" s="635">
        <v>0.3</v>
      </c>
    </row>
    <row r="127" spans="2:14" s="81" customFormat="1" ht="15.75" x14ac:dyDescent="0.25">
      <c r="B127" s="604"/>
      <c r="C127" s="624" t="s">
        <v>610</v>
      </c>
      <c r="D127" s="624" t="s">
        <v>639</v>
      </c>
      <c r="E127" s="625"/>
      <c r="F127" s="641">
        <f t="shared" ref="F127:N127" si="6">1-F126</f>
        <v>0</v>
      </c>
      <c r="G127" s="637">
        <f t="shared" si="6"/>
        <v>0</v>
      </c>
      <c r="H127" s="637">
        <f t="shared" si="6"/>
        <v>9.9999999999999978E-2</v>
      </c>
      <c r="I127" s="637">
        <f t="shared" si="6"/>
        <v>0.19999999999999996</v>
      </c>
      <c r="J127" s="637">
        <f t="shared" si="6"/>
        <v>0.30000000000000004</v>
      </c>
      <c r="K127" s="637">
        <f t="shared" si="6"/>
        <v>0.4</v>
      </c>
      <c r="L127" s="637">
        <f t="shared" si="6"/>
        <v>0.5</v>
      </c>
      <c r="M127" s="637">
        <f t="shared" si="6"/>
        <v>0.6</v>
      </c>
      <c r="N127" s="637">
        <f t="shared" si="6"/>
        <v>0.7</v>
      </c>
    </row>
    <row r="128" spans="2:14" s="1411" customFormat="1" ht="15.75" x14ac:dyDescent="0.25">
      <c r="B128" s="604"/>
      <c r="C128" s="624" t="s">
        <v>2267</v>
      </c>
      <c r="D128" s="624" t="s">
        <v>2581</v>
      </c>
      <c r="E128" s="625"/>
      <c r="F128" s="1214">
        <v>1</v>
      </c>
      <c r="G128" s="1213">
        <v>1</v>
      </c>
      <c r="H128" s="1213">
        <v>1</v>
      </c>
      <c r="I128" s="1215">
        <v>1</v>
      </c>
      <c r="J128" s="1215">
        <v>1</v>
      </c>
      <c r="K128" s="1215">
        <v>1</v>
      </c>
      <c r="L128" s="1213">
        <v>1</v>
      </c>
      <c r="M128" s="1213">
        <v>1</v>
      </c>
      <c r="N128" s="1213">
        <v>1</v>
      </c>
    </row>
    <row r="129" spans="2:14" s="1411" customFormat="1" ht="15.75" x14ac:dyDescent="0.25">
      <c r="B129" s="604"/>
      <c r="C129" s="1415" t="s">
        <v>2268</v>
      </c>
      <c r="D129" s="1415" t="s">
        <v>2580</v>
      </c>
      <c r="E129" s="488"/>
      <c r="F129" s="640">
        <v>1</v>
      </c>
      <c r="G129" s="636">
        <v>1</v>
      </c>
      <c r="H129" s="636">
        <v>1</v>
      </c>
      <c r="I129" s="636">
        <v>1</v>
      </c>
      <c r="J129" s="636">
        <v>1</v>
      </c>
      <c r="K129" s="636">
        <v>1</v>
      </c>
      <c r="L129" s="636">
        <v>1</v>
      </c>
      <c r="M129" s="636">
        <v>1</v>
      </c>
      <c r="N129" s="636">
        <v>1</v>
      </c>
    </row>
    <row r="130" spans="2:14" s="81" customFormat="1" ht="15.75" x14ac:dyDescent="0.25">
      <c r="B130" s="604"/>
      <c r="C130" s="122" t="s">
        <v>611</v>
      </c>
      <c r="D130" s="122" t="s">
        <v>611</v>
      </c>
      <c r="E130" s="230"/>
      <c r="F130" s="642">
        <v>1</v>
      </c>
      <c r="G130" s="642">
        <v>1</v>
      </c>
      <c r="H130" s="642">
        <v>1</v>
      </c>
      <c r="I130" s="642">
        <v>1</v>
      </c>
      <c r="J130" s="642">
        <v>1</v>
      </c>
      <c r="K130" s="642">
        <v>1</v>
      </c>
      <c r="L130" s="642">
        <v>1</v>
      </c>
      <c r="M130" s="642">
        <v>1</v>
      </c>
      <c r="N130" s="642">
        <v>1</v>
      </c>
    </row>
    <row r="131" spans="2:14" s="81" customFormat="1" ht="15.75" x14ac:dyDescent="0.25">
      <c r="B131" s="604"/>
      <c r="C131" s="144"/>
      <c r="D131" s="345" t="s">
        <v>2274</v>
      </c>
      <c r="E131" s="145"/>
      <c r="F131" s="601"/>
      <c r="G131" s="602"/>
      <c r="H131" s="602"/>
      <c r="I131" s="602"/>
      <c r="J131" s="602"/>
      <c r="K131" s="227"/>
      <c r="L131" s="227"/>
      <c r="M131" s="227"/>
      <c r="N131" s="227"/>
    </row>
    <row r="132" spans="2:14" s="1411" customFormat="1" ht="15.75" x14ac:dyDescent="0.25">
      <c r="B132" s="604"/>
      <c r="C132" s="1414"/>
      <c r="D132" s="1418"/>
      <c r="E132" s="1415"/>
      <c r="F132" s="601"/>
      <c r="G132" s="602"/>
      <c r="H132" s="602"/>
      <c r="I132" s="602"/>
      <c r="J132" s="602"/>
      <c r="K132" s="227"/>
      <c r="L132" s="227"/>
      <c r="M132" s="227"/>
      <c r="N132" s="227"/>
    </row>
    <row r="133" spans="2:14" s="1411" customFormat="1" ht="15.75" x14ac:dyDescent="0.25">
      <c r="B133" s="604"/>
      <c r="C133" s="1738" t="s">
        <v>2287</v>
      </c>
      <c r="D133" s="1505"/>
      <c r="E133" s="1505"/>
      <c r="F133" s="2446"/>
      <c r="G133" s="2447"/>
      <c r="H133" s="2431"/>
      <c r="I133" s="602"/>
      <c r="J133" s="602"/>
      <c r="K133" s="227"/>
      <c r="L133" s="227"/>
      <c r="M133" s="227"/>
      <c r="N133" s="227"/>
    </row>
    <row r="134" spans="2:14" s="1411" customFormat="1" x14ac:dyDescent="0.2">
      <c r="B134" s="2448"/>
      <c r="C134" s="2449"/>
      <c r="D134" s="1504"/>
      <c r="E134" s="1504"/>
      <c r="F134" s="1504"/>
      <c r="G134" s="1504"/>
      <c r="H134" s="2433"/>
      <c r="I134" s="1416"/>
      <c r="J134" s="1416"/>
      <c r="K134" s="1416"/>
      <c r="L134" s="1416"/>
      <c r="M134" s="1416"/>
      <c r="N134" s="1416"/>
    </row>
    <row r="135" spans="2:14" s="1587" customFormat="1" ht="15.75" x14ac:dyDescent="0.25">
      <c r="B135" s="2450"/>
      <c r="C135" s="1628" t="s">
        <v>595</v>
      </c>
      <c r="D135" s="1628" t="s">
        <v>66</v>
      </c>
      <c r="E135" s="1628" t="s">
        <v>172</v>
      </c>
      <c r="F135" s="1630" t="s">
        <v>2272</v>
      </c>
      <c r="G135" s="2451" t="s">
        <v>2273</v>
      </c>
      <c r="H135" s="2434"/>
      <c r="I135" s="523"/>
      <c r="J135" s="523"/>
      <c r="K135" s="523"/>
      <c r="L135" s="523"/>
      <c r="M135" s="523"/>
      <c r="N135" s="523"/>
    </row>
    <row r="136" spans="2:14" s="1587" customFormat="1" ht="15.75" x14ac:dyDescent="0.25">
      <c r="B136" s="2450"/>
      <c r="C136" s="1631">
        <v>1</v>
      </c>
      <c r="D136" s="1505"/>
      <c r="E136" s="1663" t="s">
        <v>93</v>
      </c>
      <c r="F136" s="651">
        <v>1</v>
      </c>
      <c r="G136" s="654">
        <v>0</v>
      </c>
      <c r="H136" s="2435"/>
      <c r="I136" s="634"/>
      <c r="J136" s="634"/>
      <c r="K136" s="634"/>
      <c r="L136" s="634"/>
      <c r="M136" s="634"/>
      <c r="N136" s="634"/>
    </row>
    <row r="137" spans="2:14" s="1587" customFormat="1" ht="15.75" x14ac:dyDescent="0.25">
      <c r="B137" s="2450"/>
      <c r="C137" s="1631">
        <v>2</v>
      </c>
      <c r="D137" s="1505"/>
      <c r="E137" s="1663"/>
      <c r="F137" s="651">
        <v>0.9</v>
      </c>
      <c r="G137" s="984">
        <v>0.1</v>
      </c>
      <c r="H137" s="2436"/>
      <c r="I137" s="634"/>
      <c r="J137" s="975"/>
      <c r="K137" s="634"/>
      <c r="L137" s="975"/>
      <c r="M137" s="634"/>
      <c r="N137" s="634"/>
    </row>
    <row r="138" spans="2:14" s="1587" customFormat="1" ht="15.75" x14ac:dyDescent="0.25">
      <c r="B138" s="2450"/>
      <c r="C138" s="1631">
        <v>3</v>
      </c>
      <c r="D138" s="1505"/>
      <c r="E138" s="1663"/>
      <c r="F138" s="651">
        <v>0.75</v>
      </c>
      <c r="G138" s="984">
        <v>0.25</v>
      </c>
      <c r="H138" s="2436"/>
      <c r="I138" s="975"/>
      <c r="J138" s="975"/>
      <c r="K138" s="975"/>
      <c r="L138" s="975"/>
      <c r="M138" s="975"/>
      <c r="N138" s="975"/>
    </row>
    <row r="139" spans="2:14" s="1587" customFormat="1" ht="15.75" x14ac:dyDescent="0.25">
      <c r="B139" s="2450"/>
      <c r="C139" s="2452">
        <v>4</v>
      </c>
      <c r="D139" s="2453"/>
      <c r="E139" s="2453"/>
      <c r="F139" s="2454">
        <v>0.6</v>
      </c>
      <c r="G139" s="2455">
        <v>0.4</v>
      </c>
      <c r="H139" s="2436"/>
      <c r="I139" s="975"/>
      <c r="J139" s="975"/>
      <c r="K139" s="975"/>
      <c r="L139" s="975"/>
      <c r="M139" s="975"/>
      <c r="N139" s="975"/>
    </row>
    <row r="140" spans="2:14" s="1411" customFormat="1" x14ac:dyDescent="0.2">
      <c r="B140" s="1421"/>
      <c r="C140" s="2432"/>
      <c r="D140" s="2433"/>
      <c r="E140" s="2433"/>
      <c r="F140" s="2433"/>
      <c r="G140" s="2433"/>
      <c r="H140" s="2433"/>
      <c r="I140" s="1416"/>
      <c r="J140" s="1416"/>
      <c r="K140" s="1416"/>
      <c r="L140" s="1416"/>
      <c r="M140" s="1416"/>
      <c r="N140" s="1416"/>
    </row>
    <row r="141" spans="2:14" s="81" customFormat="1" ht="15.75" x14ac:dyDescent="0.25">
      <c r="B141" s="604"/>
      <c r="C141" s="144"/>
      <c r="D141" s="345"/>
      <c r="E141" s="145"/>
      <c r="F141" s="601"/>
      <c r="G141" s="602"/>
      <c r="H141" s="602"/>
      <c r="I141" s="602"/>
      <c r="J141" s="602"/>
      <c r="K141" s="227"/>
      <c r="L141" s="227"/>
      <c r="M141" s="227"/>
      <c r="N141" s="227"/>
    </row>
    <row r="142" spans="2:14" x14ac:dyDescent="0.2">
      <c r="B142" s="401"/>
      <c r="C142" s="464" t="s">
        <v>266</v>
      </c>
      <c r="D142" s="177"/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</row>
    <row r="143" spans="2:14" x14ac:dyDescent="0.2">
      <c r="B143" s="401"/>
      <c r="C143" s="463" t="s">
        <v>93</v>
      </c>
      <c r="D143" s="177" t="s">
        <v>2269</v>
      </c>
      <c r="E143" s="173"/>
      <c r="F143" s="173"/>
      <c r="G143" s="173"/>
      <c r="H143" s="173"/>
      <c r="I143" s="173"/>
      <c r="J143" s="173"/>
      <c r="K143" s="173"/>
      <c r="L143" s="173"/>
      <c r="M143" s="173"/>
      <c r="N143" s="173"/>
    </row>
    <row r="144" spans="2:14" x14ac:dyDescent="0.2">
      <c r="B144" s="401"/>
      <c r="C144" s="463" t="s">
        <v>100</v>
      </c>
      <c r="D144" s="177" t="s">
        <v>2270</v>
      </c>
      <c r="E144" s="173"/>
      <c r="F144" s="173"/>
      <c r="G144" s="173"/>
      <c r="H144" s="173"/>
      <c r="I144" s="173"/>
      <c r="J144" s="173"/>
      <c r="K144" s="173"/>
      <c r="L144" s="173"/>
      <c r="M144" s="173"/>
      <c r="N144" s="173"/>
    </row>
    <row r="145" spans="1:14" x14ac:dyDescent="0.2">
      <c r="B145" s="401"/>
      <c r="C145" s="237" t="s">
        <v>101</v>
      </c>
      <c r="D145" s="145" t="s">
        <v>2275</v>
      </c>
      <c r="E145" s="173"/>
      <c r="F145" s="173"/>
      <c r="G145" s="173"/>
      <c r="H145" s="173"/>
      <c r="I145" s="173"/>
      <c r="J145" s="173"/>
      <c r="K145" s="173"/>
      <c r="L145" s="173"/>
      <c r="M145" s="173"/>
      <c r="N145" s="173"/>
    </row>
    <row r="146" spans="1:14" x14ac:dyDescent="0.2">
      <c r="B146" s="401"/>
      <c r="C146" s="237"/>
      <c r="D146" s="145" t="s">
        <v>2276</v>
      </c>
      <c r="E146" s="173"/>
      <c r="F146" s="173"/>
      <c r="G146" s="173"/>
      <c r="H146" s="173"/>
      <c r="I146" s="173"/>
      <c r="J146" s="173"/>
      <c r="K146" s="173"/>
      <c r="L146" s="173"/>
      <c r="M146" s="173"/>
      <c r="N146" s="173"/>
    </row>
    <row r="147" spans="1:14" x14ac:dyDescent="0.2">
      <c r="B147" s="401"/>
      <c r="C147" s="237" t="s">
        <v>927</v>
      </c>
      <c r="D147" s="145" t="s">
        <v>939</v>
      </c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</row>
    <row r="148" spans="1:14" x14ac:dyDescent="0.2">
      <c r="B148" s="401"/>
      <c r="C148" s="237"/>
      <c r="D148" s="145" t="s">
        <v>2277</v>
      </c>
      <c r="E148" s="173"/>
      <c r="F148" s="173"/>
      <c r="G148" s="173"/>
      <c r="H148" s="173"/>
      <c r="I148" s="173"/>
      <c r="J148" s="173"/>
      <c r="K148" s="173"/>
      <c r="L148" s="173"/>
      <c r="M148" s="173"/>
      <c r="N148" s="173"/>
    </row>
    <row r="149" spans="1:14" ht="15.75" x14ac:dyDescent="0.25">
      <c r="B149" s="431"/>
      <c r="C149" s="1561" t="s">
        <v>1683</v>
      </c>
      <c r="D149" s="433" t="s">
        <v>1684</v>
      </c>
      <c r="E149" s="433"/>
      <c r="F149" s="434"/>
      <c r="G149" s="435"/>
      <c r="H149" s="435"/>
      <c r="I149" s="435"/>
      <c r="J149" s="435"/>
      <c r="K149" s="435"/>
      <c r="L149" s="435"/>
      <c r="M149" s="435"/>
      <c r="N149" s="435"/>
    </row>
    <row r="151" spans="1:14" s="84" customFormat="1" ht="22.5" collapsed="1" x14ac:dyDescent="0.2">
      <c r="A151" s="408"/>
      <c r="B151" s="472" t="s">
        <v>315</v>
      </c>
      <c r="C151" s="405"/>
      <c r="D151" s="405"/>
      <c r="E151" s="405"/>
      <c r="F151" s="405"/>
      <c r="G151" s="405"/>
      <c r="H151" s="405"/>
      <c r="I151" s="405"/>
      <c r="J151" s="405"/>
      <c r="K151" s="405"/>
      <c r="L151" s="405"/>
      <c r="M151" s="405"/>
      <c r="N151" s="405"/>
    </row>
    <row r="152" spans="1:14" x14ac:dyDescent="0.2">
      <c r="B152" s="395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</row>
    <row r="153" spans="1:14" s="1411" customFormat="1" x14ac:dyDescent="0.2">
      <c r="B153" s="1421"/>
      <c r="C153" s="1417" t="s">
        <v>1657</v>
      </c>
      <c r="D153" s="1416"/>
      <c r="E153" s="176"/>
      <c r="F153" s="1416"/>
      <c r="G153" s="632"/>
      <c r="H153" s="602"/>
      <c r="I153" s="602"/>
      <c r="J153" s="183"/>
      <c r="K153" s="636"/>
      <c r="L153" s="636"/>
      <c r="M153" s="636"/>
      <c r="N153" s="183" t="s">
        <v>1656</v>
      </c>
    </row>
    <row r="154" spans="1:14" s="1411" customFormat="1" ht="6" customHeight="1" x14ac:dyDescent="0.25">
      <c r="B154" s="397"/>
      <c r="C154" s="1416"/>
      <c r="D154" s="1416"/>
      <c r="E154" s="1416"/>
      <c r="F154" s="1416"/>
      <c r="G154" s="602"/>
      <c r="H154" s="602"/>
      <c r="I154" s="602"/>
      <c r="J154" s="602"/>
      <c r="K154" s="636"/>
      <c r="L154" s="636"/>
      <c r="M154" s="636"/>
      <c r="N154" s="636"/>
    </row>
    <row r="155" spans="1:14" s="1411" customFormat="1" ht="15.75" x14ac:dyDescent="0.25">
      <c r="B155" s="397"/>
      <c r="C155" s="103" t="s">
        <v>69</v>
      </c>
      <c r="D155" s="98" t="s">
        <v>592</v>
      </c>
      <c r="E155" s="98" t="s">
        <v>172</v>
      </c>
      <c r="F155" s="218">
        <v>2010</v>
      </c>
      <c r="G155" s="217">
        <v>2015</v>
      </c>
      <c r="H155" s="217">
        <v>2020</v>
      </c>
      <c r="I155" s="217">
        <v>2025</v>
      </c>
      <c r="J155" s="217">
        <v>2030</v>
      </c>
      <c r="K155" s="217">
        <v>2035</v>
      </c>
      <c r="L155" s="217">
        <v>2040</v>
      </c>
      <c r="M155" s="217">
        <v>2045</v>
      </c>
      <c r="N155" s="217">
        <v>2050</v>
      </c>
    </row>
    <row r="156" spans="1:14" s="1411" customFormat="1" ht="15.75" x14ac:dyDescent="0.25">
      <c r="B156" s="397"/>
      <c r="C156" s="1081" t="s">
        <v>607</v>
      </c>
      <c r="D156" s="1415" t="s">
        <v>2262</v>
      </c>
      <c r="E156" s="1413"/>
      <c r="F156" s="1528">
        <f t="shared" ref="F156:F162" si="7">$F$18*G26</f>
        <v>3000</v>
      </c>
      <c r="G156" s="1529">
        <f>$F156+($N156-$F156)/($N$155-$F$155)*(G$155-$F$155)</f>
        <v>3150</v>
      </c>
      <c r="H156" s="1529">
        <f>$F156+($N156-$F156)/($N$155-$F$155)*(H$155-$F$155)</f>
        <v>3300</v>
      </c>
      <c r="I156" s="1529">
        <f t="shared" ref="I156:M162" si="8">$F156+($N156-$F156)/($N$155-$F$155)*(I$155-$F$155)</f>
        <v>3450</v>
      </c>
      <c r="J156" s="1529">
        <f t="shared" si="8"/>
        <v>3600</v>
      </c>
      <c r="K156" s="1529">
        <f t="shared" si="8"/>
        <v>3750</v>
      </c>
      <c r="L156" s="1529">
        <f t="shared" si="8"/>
        <v>3900</v>
      </c>
      <c r="M156" s="1529">
        <f t="shared" si="8"/>
        <v>4050</v>
      </c>
      <c r="N156" s="634">
        <f t="shared" ref="N156:N162" si="9">$N$18*J26</f>
        <v>4200</v>
      </c>
    </row>
    <row r="157" spans="1:14" s="1411" customFormat="1" ht="15.75" x14ac:dyDescent="0.25">
      <c r="B157" s="397"/>
      <c r="C157" s="237" t="s">
        <v>608</v>
      </c>
      <c r="D157" s="1415" t="s">
        <v>635</v>
      </c>
      <c r="E157" s="488"/>
      <c r="F157" s="1528">
        <f t="shared" si="7"/>
        <v>1200</v>
      </c>
      <c r="G157" s="1529">
        <f t="shared" ref="G157:H162" si="10">$F157+($N157-$F157)/($N$155-$F$155)*(G$155-$F$155)</f>
        <v>1455</v>
      </c>
      <c r="H157" s="1529">
        <f t="shared" si="10"/>
        <v>1710</v>
      </c>
      <c r="I157" s="1529">
        <f t="shared" si="8"/>
        <v>1965</v>
      </c>
      <c r="J157" s="1529">
        <f t="shared" si="8"/>
        <v>2220</v>
      </c>
      <c r="K157" s="1529">
        <f t="shared" si="8"/>
        <v>2475</v>
      </c>
      <c r="L157" s="1529">
        <f t="shared" si="8"/>
        <v>2730</v>
      </c>
      <c r="M157" s="1529">
        <f t="shared" si="8"/>
        <v>2985</v>
      </c>
      <c r="N157" s="634">
        <f t="shared" si="9"/>
        <v>3240</v>
      </c>
    </row>
    <row r="158" spans="1:14" s="1411" customFormat="1" ht="15.75" x14ac:dyDescent="0.25">
      <c r="B158" s="397"/>
      <c r="C158" s="237" t="s">
        <v>610</v>
      </c>
      <c r="D158" s="1415" t="s">
        <v>2263</v>
      </c>
      <c r="E158" s="488"/>
      <c r="F158" s="1528">
        <f t="shared" si="7"/>
        <v>60</v>
      </c>
      <c r="G158" s="1529">
        <f t="shared" si="10"/>
        <v>322.5</v>
      </c>
      <c r="H158" s="1529">
        <f t="shared" si="10"/>
        <v>585</v>
      </c>
      <c r="I158" s="1529">
        <f t="shared" si="8"/>
        <v>847.5</v>
      </c>
      <c r="J158" s="1529">
        <f t="shared" si="8"/>
        <v>1110</v>
      </c>
      <c r="K158" s="1529">
        <f t="shared" si="8"/>
        <v>1372.5</v>
      </c>
      <c r="L158" s="1529">
        <f t="shared" si="8"/>
        <v>1635</v>
      </c>
      <c r="M158" s="1529">
        <f t="shared" si="8"/>
        <v>1897.5</v>
      </c>
      <c r="N158" s="634">
        <f t="shared" si="9"/>
        <v>2160</v>
      </c>
    </row>
    <row r="159" spans="1:14" s="1411" customFormat="1" ht="15.75" x14ac:dyDescent="0.25">
      <c r="B159" s="397"/>
      <c r="C159" s="237" t="s">
        <v>2267</v>
      </c>
      <c r="D159" s="1415" t="s">
        <v>2264</v>
      </c>
      <c r="E159" s="488"/>
      <c r="F159" s="1528">
        <f t="shared" si="7"/>
        <v>1200</v>
      </c>
      <c r="G159" s="1529">
        <f t="shared" si="10"/>
        <v>1125</v>
      </c>
      <c r="H159" s="1529">
        <f t="shared" si="10"/>
        <v>1050</v>
      </c>
      <c r="I159" s="1529">
        <f t="shared" si="8"/>
        <v>975</v>
      </c>
      <c r="J159" s="1529">
        <f t="shared" si="8"/>
        <v>900</v>
      </c>
      <c r="K159" s="1529">
        <f t="shared" si="8"/>
        <v>825</v>
      </c>
      <c r="L159" s="1529">
        <f t="shared" si="8"/>
        <v>750</v>
      </c>
      <c r="M159" s="1529">
        <f t="shared" si="8"/>
        <v>675</v>
      </c>
      <c r="N159" s="634">
        <f t="shared" si="9"/>
        <v>600</v>
      </c>
    </row>
    <row r="160" spans="1:14" s="1411" customFormat="1" ht="15.75" x14ac:dyDescent="0.25">
      <c r="B160" s="397"/>
      <c r="C160" s="237" t="s">
        <v>609</v>
      </c>
      <c r="D160" s="1415" t="s">
        <v>2265</v>
      </c>
      <c r="E160" s="488"/>
      <c r="F160" s="1528">
        <f t="shared" si="7"/>
        <v>210.00000000000003</v>
      </c>
      <c r="G160" s="1529">
        <f t="shared" si="10"/>
        <v>243.75000000000003</v>
      </c>
      <c r="H160" s="1529">
        <f t="shared" si="10"/>
        <v>277.5</v>
      </c>
      <c r="I160" s="1529">
        <f t="shared" si="8"/>
        <v>311.25</v>
      </c>
      <c r="J160" s="1529">
        <f t="shared" si="8"/>
        <v>345</v>
      </c>
      <c r="K160" s="1529">
        <f t="shared" si="8"/>
        <v>378.75</v>
      </c>
      <c r="L160" s="1529">
        <f t="shared" si="8"/>
        <v>412.5</v>
      </c>
      <c r="M160" s="1529">
        <f t="shared" si="8"/>
        <v>446.25</v>
      </c>
      <c r="N160" s="634">
        <f t="shared" si="9"/>
        <v>480</v>
      </c>
    </row>
    <row r="161" spans="2:15" s="1411" customFormat="1" ht="15.75" x14ac:dyDescent="0.25">
      <c r="B161" s="397"/>
      <c r="C161" s="237" t="s">
        <v>2268</v>
      </c>
      <c r="D161" s="1415" t="s">
        <v>2266</v>
      </c>
      <c r="E161" s="488"/>
      <c r="F161" s="1528">
        <f t="shared" si="7"/>
        <v>30</v>
      </c>
      <c r="G161" s="1529">
        <f t="shared" si="10"/>
        <v>41.25</v>
      </c>
      <c r="H161" s="1529">
        <f t="shared" si="10"/>
        <v>52.5</v>
      </c>
      <c r="I161" s="1529">
        <f t="shared" si="8"/>
        <v>63.75</v>
      </c>
      <c r="J161" s="1529">
        <f t="shared" si="8"/>
        <v>75</v>
      </c>
      <c r="K161" s="1529">
        <f t="shared" si="8"/>
        <v>86.25</v>
      </c>
      <c r="L161" s="1529">
        <f t="shared" si="8"/>
        <v>97.5</v>
      </c>
      <c r="M161" s="1529">
        <f t="shared" si="8"/>
        <v>108.75</v>
      </c>
      <c r="N161" s="1530">
        <f t="shared" si="9"/>
        <v>120</v>
      </c>
    </row>
    <row r="162" spans="2:15" s="1411" customFormat="1" ht="15.75" x14ac:dyDescent="0.25">
      <c r="B162" s="397"/>
      <c r="C162" s="603" t="s">
        <v>611</v>
      </c>
      <c r="D162" s="102" t="s">
        <v>2271</v>
      </c>
      <c r="E162" s="102"/>
      <c r="F162" s="1530">
        <f t="shared" si="7"/>
        <v>300</v>
      </c>
      <c r="G162" s="1529">
        <f t="shared" si="10"/>
        <v>412.5</v>
      </c>
      <c r="H162" s="1529">
        <f t="shared" si="10"/>
        <v>525</v>
      </c>
      <c r="I162" s="1529">
        <f t="shared" si="8"/>
        <v>637.5</v>
      </c>
      <c r="J162" s="1529">
        <f t="shared" si="8"/>
        <v>750</v>
      </c>
      <c r="K162" s="1529">
        <f t="shared" si="8"/>
        <v>862.5</v>
      </c>
      <c r="L162" s="1529">
        <f t="shared" si="8"/>
        <v>975</v>
      </c>
      <c r="M162" s="1529">
        <f t="shared" si="8"/>
        <v>1087.5</v>
      </c>
      <c r="N162" s="1530">
        <f t="shared" si="9"/>
        <v>1200</v>
      </c>
    </row>
    <row r="163" spans="2:15" s="81" customFormat="1" ht="15.75" x14ac:dyDescent="0.25">
      <c r="B163" s="604"/>
      <c r="C163" s="606"/>
      <c r="D163" s="145"/>
      <c r="E163" s="488"/>
      <c r="F163" s="601"/>
      <c r="G163" s="602"/>
      <c r="H163" s="602"/>
      <c r="I163" s="602"/>
      <c r="J163" s="602"/>
      <c r="K163" s="227"/>
      <c r="L163" s="227"/>
      <c r="M163" s="227"/>
      <c r="N163" s="227"/>
    </row>
    <row r="164" spans="2:15" s="81" customFormat="1" ht="15.75" x14ac:dyDescent="0.25">
      <c r="B164" s="604"/>
      <c r="C164" s="175" t="s">
        <v>926</v>
      </c>
      <c r="D164" s="173"/>
      <c r="E164" s="176"/>
      <c r="F164" s="173"/>
      <c r="G164" s="626" t="s">
        <v>50</v>
      </c>
      <c r="H164" s="173"/>
      <c r="I164" s="173"/>
      <c r="J164" s="176"/>
      <c r="K164" s="227"/>
      <c r="L164" s="227"/>
      <c r="M164" s="227"/>
      <c r="N164" s="227" t="str">
        <f>Preferences.EnergyUnits &amp; " / bn vehicle-km"</f>
        <v>TWh / bn vehicle-km</v>
      </c>
    </row>
    <row r="165" spans="2:15" s="81" customFormat="1" ht="5.25" customHeight="1" x14ac:dyDescent="0.25">
      <c r="B165" s="604"/>
      <c r="C165" s="173"/>
      <c r="D165" s="173"/>
      <c r="E165" s="173"/>
      <c r="F165" s="173"/>
      <c r="G165" s="173"/>
      <c r="H165" s="173"/>
      <c r="I165" s="173"/>
      <c r="J165" s="173"/>
      <c r="K165" s="227"/>
      <c r="L165" s="227"/>
      <c r="M165" s="227"/>
      <c r="N165" s="227"/>
    </row>
    <row r="166" spans="2:15" s="81" customFormat="1" ht="15.75" x14ac:dyDescent="0.25">
      <c r="B166" s="604"/>
      <c r="C166" s="98" t="s">
        <v>592</v>
      </c>
      <c r="D166" s="98" t="s">
        <v>343</v>
      </c>
      <c r="E166" s="98" t="s">
        <v>172</v>
      </c>
      <c r="F166" s="218">
        <v>2010</v>
      </c>
      <c r="G166" s="217">
        <v>2015</v>
      </c>
      <c r="H166" s="217">
        <v>2020</v>
      </c>
      <c r="I166" s="217">
        <v>2025</v>
      </c>
      <c r="J166" s="217">
        <v>2030</v>
      </c>
      <c r="K166" s="217">
        <v>2035</v>
      </c>
      <c r="L166" s="217">
        <v>2040</v>
      </c>
      <c r="M166" s="217">
        <v>2045</v>
      </c>
      <c r="N166" s="217">
        <v>2050</v>
      </c>
    </row>
    <row r="167" spans="2:15" s="81" customFormat="1" ht="15.75" x14ac:dyDescent="0.25">
      <c r="B167" s="604"/>
      <c r="C167" s="146" t="s">
        <v>607</v>
      </c>
      <c r="D167" s="146" t="s">
        <v>2272</v>
      </c>
      <c r="E167" s="623"/>
      <c r="F167" s="653">
        <f>(Unit.TJ)*2520</f>
        <v>0.7</v>
      </c>
      <c r="G167" s="650">
        <f>(Unit.TJ)*2246</f>
        <v>0.62388888888888894</v>
      </c>
      <c r="H167" s="650">
        <f>(Unit.TJ)*1973</f>
        <v>0.54805555555555552</v>
      </c>
      <c r="I167" s="650">
        <f>(Unit.TJ)*1696</f>
        <v>0.47111111111111109</v>
      </c>
      <c r="J167" s="650">
        <f>(Unit.TJ)*1419</f>
        <v>0.39416666666666667</v>
      </c>
      <c r="K167" s="650">
        <f>(Unit.TJ)*1340</f>
        <v>0.37222222222222223</v>
      </c>
      <c r="L167" s="650">
        <f>(Unit.TJ)*1261</f>
        <v>0.3502777777777778</v>
      </c>
      <c r="M167" s="650">
        <f>(Unit.TJ)*1206</f>
        <v>0.33500000000000002</v>
      </c>
      <c r="N167" s="650">
        <f>(Unit.TJ)*1152</f>
        <v>0.32</v>
      </c>
    </row>
    <row r="168" spans="2:15" s="81" customFormat="1" ht="15.75" x14ac:dyDescent="0.25">
      <c r="B168" s="604"/>
      <c r="C168" s="145" t="s">
        <v>607</v>
      </c>
      <c r="D168" s="145" t="s">
        <v>923</v>
      </c>
      <c r="E168" s="488"/>
      <c r="F168" s="654">
        <f>(Unit.TJ)*508</f>
        <v>0.1411111111111111</v>
      </c>
      <c r="G168" s="651">
        <f>(Unit.TJ)*508</f>
        <v>0.1411111111111111</v>
      </c>
      <c r="H168" s="651">
        <f>(Unit.TJ)*454</f>
        <v>0.12611111111111112</v>
      </c>
      <c r="I168" s="651">
        <f>(Unit.TJ)*346</f>
        <v>9.6111111111111105E-2</v>
      </c>
      <c r="J168" s="651">
        <f>(Unit.TJ)*277</f>
        <v>7.694444444444444E-2</v>
      </c>
      <c r="K168" s="651">
        <f>(Unit.TJ)*247</f>
        <v>6.8611111111111109E-2</v>
      </c>
      <c r="L168" s="651">
        <f>(Unit.TJ)*214</f>
        <v>5.9444444444444446E-2</v>
      </c>
      <c r="M168" s="651">
        <f>(Unit.TJ)*177</f>
        <v>4.9166666666666664E-2</v>
      </c>
      <c r="N168" s="651">
        <f>(Unit.TJ)*142</f>
        <v>3.9444444444444442E-2</v>
      </c>
    </row>
    <row r="169" spans="2:15" s="81" customFormat="1" ht="15.75" x14ac:dyDescent="0.25">
      <c r="B169" s="604"/>
      <c r="C169" s="146" t="s">
        <v>608</v>
      </c>
      <c r="D169" s="146" t="s">
        <v>2272</v>
      </c>
      <c r="E169" s="623"/>
      <c r="F169" s="653">
        <f>(Unit.TJ)*14121</f>
        <v>3.9224999999999999</v>
      </c>
      <c r="G169" s="980">
        <f>F169+(H169-F169)/(H$166-F$166)*(G$166-F$166)</f>
        <v>3.6413888888888888</v>
      </c>
      <c r="H169" s="650">
        <f>(Unit.TJ)*12097</f>
        <v>3.3602777777777777</v>
      </c>
      <c r="I169" s="980">
        <f>H169+(J169-H169)/(J$166-H$166)*(I$166-H$166)</f>
        <v>3.0791666666666666</v>
      </c>
      <c r="J169" s="650">
        <f>(Unit.TJ)*10073</f>
        <v>2.7980555555555555</v>
      </c>
      <c r="K169" s="980">
        <f>J169+(L169-J169)/(L$166-J$166)*(K$166-J$166)</f>
        <v>2.777222222222222</v>
      </c>
      <c r="L169" s="650">
        <f>(Unit.TJ)*9923</f>
        <v>2.756388888888889</v>
      </c>
      <c r="M169" s="980">
        <f>L169+(N169-L169)/(N$166-L$166)*(M$166-L$166)</f>
        <v>2.7355555555555555</v>
      </c>
      <c r="N169" s="650">
        <f>(Unit.TJ)*9773</f>
        <v>2.714722222222222</v>
      </c>
    </row>
    <row r="170" spans="2:15" s="81" customFormat="1" ht="15.75" x14ac:dyDescent="0.25">
      <c r="B170" s="604"/>
      <c r="C170" s="145" t="s">
        <v>608</v>
      </c>
      <c r="D170" s="145" t="s">
        <v>923</v>
      </c>
      <c r="E170" s="488"/>
      <c r="F170" s="654">
        <f>(Unit.TJ)*9885</f>
        <v>2.7458333333333331</v>
      </c>
      <c r="G170" s="981">
        <f>F170+(H170-F170)/(H$166-F$166)*(G$166-F$166)</f>
        <v>2.5490277777777779</v>
      </c>
      <c r="H170" s="651">
        <f>(Unit.TJ)*8468</f>
        <v>2.3522222222222222</v>
      </c>
      <c r="I170" s="981">
        <f>H170+(J170-H170)/(J$166-H$166)*(I$166-H$166)</f>
        <v>2.1554166666666665</v>
      </c>
      <c r="J170" s="651">
        <f>(Unit.TJ)*7051</f>
        <v>1.9586111111111111</v>
      </c>
      <c r="K170" s="981">
        <f>J170+(L170-J170)/(L$166-J$166)*(K$166-J$166)</f>
        <v>1.9440277777777779</v>
      </c>
      <c r="L170" s="651">
        <f>(Unit.TJ)*6946</f>
        <v>1.9294444444444445</v>
      </c>
      <c r="M170" s="981">
        <f>L170+(N170-L170)/(N$166-L$166)*(M$166-L$166)</f>
        <v>1.9148611111111111</v>
      </c>
      <c r="N170" s="651">
        <f>(Unit.TJ)*6841</f>
        <v>1.9002777777777777</v>
      </c>
    </row>
    <row r="171" spans="2:15" s="81" customFormat="1" ht="15.75" x14ac:dyDescent="0.25">
      <c r="B171" s="604"/>
      <c r="C171" s="146" t="s">
        <v>610</v>
      </c>
      <c r="D171" s="146" t="s">
        <v>638</v>
      </c>
      <c r="E171" s="623" t="s">
        <v>170</v>
      </c>
      <c r="F171" s="653">
        <f>(Constants.Density.Diesel*Constants.GCV.Diesel*1000000000)*0.0100314692759734</f>
        <v>0.1059406157140987</v>
      </c>
      <c r="G171" s="650">
        <f>(Constants.Density.Diesel*Constants.GCV.Diesel*1000000000)*0.00952989581217476</f>
        <v>0.10064358492839408</v>
      </c>
      <c r="H171" s="650">
        <f>(Constants.Density.Diesel*Constants.GCV.Diesel*1000000000)*0.00902832234837609</f>
        <v>9.5346554142689152E-2</v>
      </c>
      <c r="I171" s="650">
        <f>(Constants.Density.Diesel*Constants.GCV.Diesel*1000000000)*0.00852674888457742</f>
        <v>9.0049523356984212E-2</v>
      </c>
      <c r="J171" s="650">
        <f>(Constants.Density.Diesel*Constants.GCV.Diesel*1000000000)*0.00802517542077875</f>
        <v>8.4752492571279273E-2</v>
      </c>
      <c r="K171" s="650">
        <f>(Constants.Density.Diesel*Constants.GCV.Diesel*1000000000)*0.00752360195698008</f>
        <v>7.9455461785574333E-2</v>
      </c>
      <c r="L171" s="650">
        <f>(Constants.Density.Diesel*Constants.GCV.Diesel*1000000000)*0.00702202849318141</f>
        <v>7.4158430999869407E-2</v>
      </c>
      <c r="M171" s="650">
        <f>(Constants.Density.Diesel*Constants.GCV.Diesel*1000000000)*0.00652045502938273</f>
        <v>6.886140021416437E-2</v>
      </c>
      <c r="N171" s="650">
        <f>(Constants.Density.Diesel*Constants.GCV.Diesel*1000000000)*0.00601888156558406</f>
        <v>6.356436942845943E-2</v>
      </c>
    </row>
    <row r="172" spans="2:15" s="1411" customFormat="1" ht="15.75" x14ac:dyDescent="0.25">
      <c r="B172" s="604"/>
      <c r="C172" s="146" t="s">
        <v>2267</v>
      </c>
      <c r="D172" s="146" t="s">
        <v>2581</v>
      </c>
      <c r="E172" s="623"/>
      <c r="F172" s="650">
        <v>0.7</v>
      </c>
      <c r="G172" s="650">
        <v>0.7</v>
      </c>
      <c r="H172" s="650">
        <v>0.7</v>
      </c>
      <c r="I172" s="650">
        <v>0.7</v>
      </c>
      <c r="J172" s="650">
        <v>0.7</v>
      </c>
      <c r="K172" s="650">
        <v>0.7</v>
      </c>
      <c r="L172" s="650">
        <v>0.7</v>
      </c>
      <c r="M172" s="650">
        <v>0.7</v>
      </c>
      <c r="N172" s="650">
        <v>0.7</v>
      </c>
    </row>
    <row r="173" spans="2:15" s="1411" customFormat="1" ht="15.75" x14ac:dyDescent="0.25">
      <c r="B173" s="604"/>
      <c r="C173" s="146" t="s">
        <v>2268</v>
      </c>
      <c r="D173" s="146" t="s">
        <v>2580</v>
      </c>
      <c r="E173" s="623"/>
      <c r="F173" s="650">
        <v>3.93</v>
      </c>
      <c r="G173" s="650">
        <v>3.93</v>
      </c>
      <c r="H173" s="650">
        <v>3.93</v>
      </c>
      <c r="I173" s="650">
        <v>3.93</v>
      </c>
      <c r="J173" s="650">
        <v>3.93</v>
      </c>
      <c r="K173" s="650">
        <v>3.93</v>
      </c>
      <c r="L173" s="650">
        <v>3.93</v>
      </c>
      <c r="M173" s="650">
        <v>3.93</v>
      </c>
      <c r="N173" s="650">
        <v>3.93</v>
      </c>
    </row>
    <row r="174" spans="2:15" s="81" customFormat="1" ht="15.75" x14ac:dyDescent="0.25">
      <c r="B174" s="604"/>
      <c r="C174" s="122" t="s">
        <v>611</v>
      </c>
      <c r="D174" s="122" t="s">
        <v>611</v>
      </c>
      <c r="E174" s="230" t="s">
        <v>170</v>
      </c>
      <c r="F174" s="986">
        <f>(2.14/0.245)*Unit.TWh/(9.5/0.651)</f>
        <v>0.59855639097744362</v>
      </c>
      <c r="G174" s="652">
        <f t="shared" ref="G174:N174" si="11">$F174*(1-0.01)^(G$166-$F$166)</f>
        <v>0.56922117212360301</v>
      </c>
      <c r="H174" s="652">
        <f t="shared" si="11"/>
        <v>0.54132367088196165</v>
      </c>
      <c r="I174" s="652">
        <f t="shared" si="11"/>
        <v>0.51479342478408785</v>
      </c>
      <c r="J174" s="652">
        <f t="shared" si="11"/>
        <v>0.48956342472361158</v>
      </c>
      <c r="K174" s="652">
        <f t="shared" si="11"/>
        <v>0.46556994570712218</v>
      </c>
      <c r="L174" s="652">
        <f t="shared" si="11"/>
        <v>0.44275238589995641</v>
      </c>
      <c r="M174" s="652">
        <f t="shared" si="11"/>
        <v>0.42105311356034358</v>
      </c>
      <c r="N174" s="652">
        <f t="shared" si="11"/>
        <v>0.40041732147530146</v>
      </c>
    </row>
    <row r="175" spans="2:15" s="81" customFormat="1" ht="15.75" x14ac:dyDescent="0.25">
      <c r="B175" s="604"/>
      <c r="C175" s="145"/>
      <c r="D175" s="145"/>
      <c r="E175" s="488"/>
      <c r="F175" s="628"/>
      <c r="G175" s="612"/>
      <c r="H175" s="612"/>
      <c r="I175" s="612"/>
      <c r="J175" s="612"/>
      <c r="K175" s="227"/>
      <c r="L175" s="227"/>
      <c r="M175" s="227"/>
      <c r="N175" s="227"/>
      <c r="O175" s="83"/>
    </row>
    <row r="176" spans="2:15" s="81" customFormat="1" ht="15.75" x14ac:dyDescent="0.25">
      <c r="B176" s="604"/>
      <c r="C176" s="175" t="s">
        <v>925</v>
      </c>
      <c r="D176" s="173"/>
      <c r="E176" s="176"/>
      <c r="F176" s="173"/>
      <c r="G176" s="626" t="s">
        <v>4</v>
      </c>
      <c r="H176" s="173"/>
      <c r="I176" s="173"/>
      <c r="J176" s="176"/>
      <c r="K176" s="227"/>
      <c r="L176" s="227"/>
      <c r="M176" s="227"/>
      <c r="N176" s="227" t="str">
        <f>Preferences.EnergyUnits &amp; " / bn vehicle-km"</f>
        <v>TWh / bn vehicle-km</v>
      </c>
      <c r="O176" s="616"/>
    </row>
    <row r="177" spans="2:14" s="81" customFormat="1" ht="5.25" customHeight="1" x14ac:dyDescent="0.25">
      <c r="B177" s="604"/>
      <c r="C177" s="173"/>
      <c r="D177" s="173"/>
      <c r="E177" s="173"/>
      <c r="F177" s="173"/>
      <c r="G177" s="173"/>
      <c r="H177" s="173"/>
      <c r="I177" s="173"/>
      <c r="J177" s="173"/>
      <c r="K177" s="227"/>
      <c r="L177" s="227"/>
      <c r="M177" s="227"/>
      <c r="N177" s="227"/>
    </row>
    <row r="178" spans="2:14" s="81" customFormat="1" ht="15.75" x14ac:dyDescent="0.25">
      <c r="B178" s="604"/>
      <c r="C178" s="98" t="s">
        <v>592</v>
      </c>
      <c r="D178" s="98" t="s">
        <v>343</v>
      </c>
      <c r="E178" s="98" t="s">
        <v>172</v>
      </c>
      <c r="F178" s="218">
        <v>2010</v>
      </c>
      <c r="G178" s="217">
        <v>2015</v>
      </c>
      <c r="H178" s="217">
        <v>2020</v>
      </c>
      <c r="I178" s="217">
        <v>2025</v>
      </c>
      <c r="J178" s="217">
        <v>2030</v>
      </c>
      <c r="K178" s="217">
        <v>2035</v>
      </c>
      <c r="L178" s="217">
        <v>2040</v>
      </c>
      <c r="M178" s="217">
        <v>2045</v>
      </c>
      <c r="N178" s="217">
        <v>2050</v>
      </c>
    </row>
    <row r="179" spans="2:14" s="81" customFormat="1" ht="15.75" x14ac:dyDescent="0.25">
      <c r="B179" s="604"/>
      <c r="C179" s="145" t="s">
        <v>607</v>
      </c>
      <c r="D179" s="145" t="s">
        <v>923</v>
      </c>
      <c r="E179" s="488"/>
      <c r="F179" s="654">
        <f>(Unit.TJ)*417</f>
        <v>0.11583333333333333</v>
      </c>
      <c r="G179" s="651">
        <f>(Unit.TJ)*417</f>
        <v>0.11583333333333333</v>
      </c>
      <c r="H179" s="651">
        <f>(Unit.TJ)*404</f>
        <v>0.11222222222222222</v>
      </c>
      <c r="I179" s="651">
        <f>(Unit.TJ)*377</f>
        <v>0.10472222222222222</v>
      </c>
      <c r="J179" s="651">
        <f>(Unit.TJ)*355</f>
        <v>9.8611111111111108E-2</v>
      </c>
      <c r="K179" s="651">
        <f>(Unit.TJ)*338</f>
        <v>9.3888888888888883E-2</v>
      </c>
      <c r="L179" s="651">
        <f>(Unit.TJ)*327</f>
        <v>9.0833333333333335E-2</v>
      </c>
      <c r="M179" s="651">
        <f>(Unit.TJ)*324</f>
        <v>0.09</v>
      </c>
      <c r="N179" s="651">
        <f>(Unit.TJ)*325</f>
        <v>9.0277777777777776E-2</v>
      </c>
    </row>
    <row r="180" spans="2:14" s="81" customFormat="1" ht="15.75" x14ac:dyDescent="0.25">
      <c r="B180" s="604"/>
      <c r="C180" s="145" t="s">
        <v>607</v>
      </c>
      <c r="D180" s="145" t="s">
        <v>612</v>
      </c>
      <c r="E180" s="488"/>
      <c r="F180" s="654">
        <f>(Unit.TJ)*600</f>
        <v>0.16666666666666666</v>
      </c>
      <c r="G180" s="651">
        <f>(Unit.TJ)*600</f>
        <v>0.16666666666666666</v>
      </c>
      <c r="H180" s="651">
        <f>(Unit.TJ)*572</f>
        <v>0.15888888888888889</v>
      </c>
      <c r="I180" s="651">
        <f>(Unit.TJ)*516</f>
        <v>0.14333333333333334</v>
      </c>
      <c r="J180" s="651">
        <f>(Unit.TJ)*470</f>
        <v>0.13055555555555556</v>
      </c>
      <c r="K180" s="651">
        <f>(Unit.TJ)*433</f>
        <v>0.12027777777777778</v>
      </c>
      <c r="L180" s="651">
        <f>(Unit.TJ)*406</f>
        <v>0.11277777777777778</v>
      </c>
      <c r="M180" s="651">
        <f>(Unit.TJ)*389</f>
        <v>0.10805555555555556</v>
      </c>
      <c r="N180" s="651">
        <f>(Unit.TJ)*379</f>
        <v>0.10527777777777778</v>
      </c>
    </row>
    <row r="181" spans="2:14" s="81" customFormat="1" ht="15.75" x14ac:dyDescent="0.25">
      <c r="B181" s="604"/>
      <c r="C181" s="146" t="s">
        <v>608</v>
      </c>
      <c r="D181" s="146" t="s">
        <v>612</v>
      </c>
      <c r="E181" s="623"/>
      <c r="F181" s="653">
        <f>(Unit.TJ)*3361</f>
        <v>0.93361111111111106</v>
      </c>
      <c r="G181" s="980">
        <f>F181+(H181-F181)/(H$178-F$178)*(G$178-F$178)</f>
        <v>0.8666666666666667</v>
      </c>
      <c r="H181" s="650">
        <f>(Unit.TJ)*2879</f>
        <v>0.79972222222222222</v>
      </c>
      <c r="I181" s="980">
        <f>H181+(J181-H181)/(J$178-H$178)*(I$178-H$178)</f>
        <v>0.73277777777777775</v>
      </c>
      <c r="J181" s="650">
        <f>(Unit.TJ)*2397</f>
        <v>0.66583333333333339</v>
      </c>
      <c r="K181" s="980">
        <f>J181+(L181-J181)/(L$178-J$178)*(K$178-J$178)</f>
        <v>0.66097222222222229</v>
      </c>
      <c r="L181" s="650">
        <f>(Unit.TJ)*2362</f>
        <v>0.65611111111111109</v>
      </c>
      <c r="M181" s="980">
        <f>L181+(N181-L181)/(N$178-L$178)*(M$178-L$178)</f>
        <v>0.65111111111111108</v>
      </c>
      <c r="N181" s="650">
        <f>(Unit.TJ)*2326</f>
        <v>0.64611111111111108</v>
      </c>
    </row>
    <row r="182" spans="2:14" s="81" customFormat="1" ht="15.75" x14ac:dyDescent="0.25">
      <c r="B182" s="604"/>
      <c r="C182" s="122" t="s">
        <v>610</v>
      </c>
      <c r="D182" s="122" t="s">
        <v>639</v>
      </c>
      <c r="E182" s="230" t="s">
        <v>170</v>
      </c>
      <c r="F182" s="987">
        <f>(1000000000*Unit.kWh)*0.0318579183353621</f>
        <v>3.1857918335362098E-2</v>
      </c>
      <c r="G182" s="988">
        <f>(1000000000*Unit.kWh)*0.030663246397786</f>
        <v>3.0663246397786E-2</v>
      </c>
      <c r="H182" s="988">
        <f>(1000000000*Unit.kWh)*0.02946857446021</f>
        <v>2.9468574460209999E-2</v>
      </c>
      <c r="I182" s="988">
        <f>(1000000000*Unit.kWh)*0.0282739025226339</f>
        <v>2.8273902522633901E-2</v>
      </c>
      <c r="J182" s="988">
        <f>(1000000000*Unit.kWh)*0.0270792305850578</f>
        <v>2.70792305850578E-2</v>
      </c>
      <c r="K182" s="988">
        <f>(1000000000*Unit.kWh)*0.0258845586474817</f>
        <v>2.5884558647481699E-2</v>
      </c>
      <c r="L182" s="988">
        <f>(1000000000*Unit.kWh)*0.0246898867099056</f>
        <v>2.4689886709905601E-2</v>
      </c>
      <c r="M182" s="988">
        <f>(1000000000*Unit.kWh)*0.0234952147723296</f>
        <v>2.34952147723296E-2</v>
      </c>
      <c r="N182" s="988">
        <f>(1000000000*Unit.kWh)*0.0223005428347535</f>
        <v>2.2300542834753499E-2</v>
      </c>
    </row>
    <row r="183" spans="2:14" s="81" customFormat="1" ht="15.75" x14ac:dyDescent="0.25">
      <c r="B183" s="604"/>
      <c r="C183" s="145"/>
      <c r="D183" s="145"/>
      <c r="E183" s="488"/>
      <c r="F183" s="628"/>
      <c r="G183" s="612"/>
      <c r="H183" s="612"/>
      <c r="I183" s="612"/>
      <c r="J183" s="612"/>
      <c r="K183" s="227"/>
      <c r="L183" s="227"/>
      <c r="M183" s="227"/>
      <c r="N183" s="227"/>
    </row>
    <row r="184" spans="2:14" s="81" customFormat="1" ht="15.75" x14ac:dyDescent="0.25">
      <c r="B184" s="604"/>
      <c r="C184" s="175" t="s">
        <v>2278</v>
      </c>
      <c r="D184" s="173"/>
      <c r="E184" s="176"/>
      <c r="F184" s="173"/>
      <c r="G184" s="626" t="s">
        <v>1216</v>
      </c>
      <c r="H184" s="173"/>
      <c r="I184" s="173"/>
      <c r="J184" s="176"/>
      <c r="K184" s="227"/>
      <c r="L184" s="227"/>
      <c r="M184" s="227"/>
      <c r="N184" s="227" t="str">
        <f>Preferences.EnergyUnits &amp; " / bn vehicle-km"</f>
        <v>TWh / bn vehicle-km</v>
      </c>
    </row>
    <row r="185" spans="2:14" s="81" customFormat="1" ht="5.25" customHeight="1" x14ac:dyDescent="0.25">
      <c r="B185" s="604"/>
      <c r="C185" s="173"/>
      <c r="D185" s="173"/>
      <c r="E185" s="173"/>
      <c r="F185" s="173"/>
      <c r="G185" s="173"/>
      <c r="H185" s="173"/>
      <c r="I185" s="173"/>
      <c r="J185" s="173"/>
      <c r="K185" s="227"/>
      <c r="L185" s="227"/>
      <c r="M185" s="227"/>
      <c r="N185" s="227"/>
    </row>
    <row r="186" spans="2:14" s="81" customFormat="1" ht="15.75" x14ac:dyDescent="0.25">
      <c r="B186" s="604"/>
      <c r="C186" s="98" t="s">
        <v>592</v>
      </c>
      <c r="D186" s="98" t="s">
        <v>343</v>
      </c>
      <c r="E186" s="98" t="s">
        <v>172</v>
      </c>
      <c r="F186" s="218">
        <v>2010</v>
      </c>
      <c r="G186" s="217">
        <v>2015</v>
      </c>
      <c r="H186" s="217">
        <v>2020</v>
      </c>
      <c r="I186" s="217">
        <v>2025</v>
      </c>
      <c r="J186" s="217">
        <v>2030</v>
      </c>
      <c r="K186" s="217">
        <v>2035</v>
      </c>
      <c r="L186" s="217">
        <v>2040</v>
      </c>
      <c r="M186" s="217">
        <v>2045</v>
      </c>
      <c r="N186" s="217">
        <v>2050</v>
      </c>
    </row>
    <row r="187" spans="2:14" s="81" customFormat="1" ht="15.75" x14ac:dyDescent="0.25">
      <c r="B187" s="604"/>
      <c r="C187" s="146" t="s">
        <v>607</v>
      </c>
      <c r="D187" s="146" t="s">
        <v>2273</v>
      </c>
      <c r="E187" s="623"/>
      <c r="F187" s="653">
        <f>(Unit.TJ)*2520</f>
        <v>0.7</v>
      </c>
      <c r="G187" s="650">
        <f>(Unit.TJ)*2246</f>
        <v>0.62388888888888894</v>
      </c>
      <c r="H187" s="650">
        <f>(Unit.TJ)*1973</f>
        <v>0.54805555555555552</v>
      </c>
      <c r="I187" s="650">
        <f>(Unit.TJ)*1696</f>
        <v>0.47111111111111109</v>
      </c>
      <c r="J187" s="650">
        <f>(Unit.TJ)*1419</f>
        <v>0.39416666666666667</v>
      </c>
      <c r="K187" s="650">
        <f>(Unit.TJ)*1340</f>
        <v>0.37222222222222223</v>
      </c>
      <c r="L187" s="650">
        <f>(Unit.TJ)*1261</f>
        <v>0.3502777777777778</v>
      </c>
      <c r="M187" s="650">
        <f>(Unit.TJ)*1206</f>
        <v>0.33500000000000002</v>
      </c>
      <c r="N187" s="650">
        <f>(Unit.TJ)*1152</f>
        <v>0.32</v>
      </c>
    </row>
    <row r="188" spans="2:14" s="81" customFormat="1" ht="15.75" x14ac:dyDescent="0.25">
      <c r="B188" s="604"/>
      <c r="C188" s="200" t="s">
        <v>608</v>
      </c>
      <c r="D188" s="200" t="s">
        <v>2273</v>
      </c>
      <c r="E188" s="531"/>
      <c r="F188" s="1086">
        <f>(Unit.TJ)*14121</f>
        <v>3.9224999999999999</v>
      </c>
      <c r="G188" s="1086">
        <f>F188+(H188-F188)/(H$166-F$166)*(G$166-F$166)</f>
        <v>3.6413888888888888</v>
      </c>
      <c r="H188" s="1086">
        <f>(Unit.TJ)*12097</f>
        <v>3.3602777777777777</v>
      </c>
      <c r="I188" s="1086">
        <f>H188+(J188-H188)/(J$166-H$166)*(I$166-H$166)</f>
        <v>3.0791666666666666</v>
      </c>
      <c r="J188" s="1086">
        <f>(Unit.TJ)*10073</f>
        <v>2.7980555555555555</v>
      </c>
      <c r="K188" s="1086">
        <f>J188+(L188-J188)/(L$166-J$166)*(K$166-J$166)</f>
        <v>2.777222222222222</v>
      </c>
      <c r="L188" s="1086">
        <f>(Unit.TJ)*9923</f>
        <v>2.756388888888889</v>
      </c>
      <c r="M188" s="1086">
        <f>L188+(N188-L188)/(N$166-L$166)*(M$166-L$166)</f>
        <v>2.7355555555555555</v>
      </c>
      <c r="N188" s="1086">
        <f>(Unit.TJ)*9773</f>
        <v>2.714722222222222</v>
      </c>
    </row>
    <row r="189" spans="2:14" s="81" customFormat="1" ht="15.75" x14ac:dyDescent="0.25">
      <c r="B189" s="604"/>
      <c r="C189" s="145"/>
      <c r="D189" s="145"/>
      <c r="E189" s="488"/>
      <c r="F189" s="66"/>
      <c r="G189" s="66"/>
      <c r="H189" s="66"/>
      <c r="I189" s="66"/>
      <c r="J189" s="66"/>
      <c r="K189" s="66"/>
      <c r="L189" s="66"/>
      <c r="M189" s="66"/>
      <c r="N189" s="66"/>
    </row>
    <row r="190" spans="2:14" s="81" customFormat="1" ht="15.75" x14ac:dyDescent="0.25">
      <c r="B190" s="604"/>
      <c r="C190" s="631" t="s">
        <v>2290</v>
      </c>
      <c r="D190" s="145"/>
      <c r="E190" s="488"/>
      <c r="F190" s="602"/>
      <c r="G190" s="602"/>
      <c r="H190" s="602"/>
      <c r="I190" s="602"/>
      <c r="J190" s="227"/>
      <c r="K190" s="227"/>
      <c r="L190" s="227"/>
      <c r="M190" s="227"/>
      <c r="N190" s="227" t="str">
        <f>Preferences.EnergyUnits</f>
        <v>TWh</v>
      </c>
    </row>
    <row r="191" spans="2:14" s="81" customFormat="1" ht="5.25" customHeight="1" x14ac:dyDescent="0.25">
      <c r="B191" s="604"/>
      <c r="C191" s="606"/>
      <c r="D191" s="145"/>
      <c r="E191" s="488"/>
      <c r="F191" s="602"/>
      <c r="G191" s="602"/>
      <c r="H191" s="602"/>
      <c r="I191" s="602"/>
      <c r="J191" s="227"/>
      <c r="K191" s="227"/>
      <c r="L191" s="227"/>
      <c r="M191" s="227"/>
      <c r="N191" s="227"/>
    </row>
    <row r="192" spans="2:14" s="81" customFormat="1" ht="15.75" x14ac:dyDescent="0.25">
      <c r="B192" s="604"/>
      <c r="C192" s="98" t="s">
        <v>592</v>
      </c>
      <c r="D192" s="98" t="s">
        <v>65</v>
      </c>
      <c r="E192" s="98" t="s">
        <v>172</v>
      </c>
      <c r="F192" s="218">
        <v>2010</v>
      </c>
      <c r="G192" s="217">
        <v>2015</v>
      </c>
      <c r="H192" s="217">
        <v>2020</v>
      </c>
      <c r="I192" s="217">
        <v>2025</v>
      </c>
      <c r="J192" s="217">
        <v>2030</v>
      </c>
      <c r="K192" s="217">
        <v>2035</v>
      </c>
      <c r="L192" s="217">
        <v>2040</v>
      </c>
      <c r="M192" s="217">
        <v>2045</v>
      </c>
      <c r="N192" s="217">
        <v>2050</v>
      </c>
    </row>
    <row r="193" spans="2:14" s="81" customFormat="1" ht="15.75" x14ac:dyDescent="0.25">
      <c r="B193" s="604"/>
      <c r="C193" s="122" t="s">
        <v>610</v>
      </c>
      <c r="D193" s="122" t="s">
        <v>649</v>
      </c>
      <c r="E193" s="230"/>
      <c r="F193" s="658">
        <v>0</v>
      </c>
      <c r="G193" s="657">
        <f t="shared" ref="G193:N193" si="12">F$193</f>
        <v>0</v>
      </c>
      <c r="H193" s="657">
        <f t="shared" si="12"/>
        <v>0</v>
      </c>
      <c r="I193" s="657">
        <f t="shared" si="12"/>
        <v>0</v>
      </c>
      <c r="J193" s="657">
        <f t="shared" si="12"/>
        <v>0</v>
      </c>
      <c r="K193" s="657">
        <f t="shared" si="12"/>
        <v>0</v>
      </c>
      <c r="L193" s="657">
        <f t="shared" si="12"/>
        <v>0</v>
      </c>
      <c r="M193" s="657">
        <f t="shared" si="12"/>
        <v>0</v>
      </c>
      <c r="N193" s="657">
        <f t="shared" si="12"/>
        <v>0</v>
      </c>
    </row>
    <row r="194" spans="2:14" s="81" customFormat="1" ht="15.75" x14ac:dyDescent="0.25">
      <c r="B194" s="604"/>
      <c r="C194" s="606"/>
      <c r="D194" s="145"/>
      <c r="E194" s="488"/>
      <c r="F194" s="601"/>
      <c r="G194" s="602"/>
      <c r="H194" s="602"/>
      <c r="I194" s="602"/>
      <c r="J194" s="602"/>
      <c r="K194" s="227"/>
      <c r="L194" s="227"/>
      <c r="M194" s="227"/>
      <c r="N194" s="227"/>
    </row>
    <row r="195" spans="2:14" s="1615" customFormat="1" x14ac:dyDescent="0.2">
      <c r="B195" s="1419"/>
      <c r="C195" s="1417" t="s">
        <v>1796</v>
      </c>
      <c r="D195" s="1416"/>
      <c r="E195" s="1416"/>
      <c r="F195" s="1416"/>
      <c r="G195" s="1416"/>
      <c r="H195" s="1416"/>
      <c r="I195" s="1416"/>
      <c r="J195" s="1416"/>
      <c r="K195" s="1416"/>
      <c r="L195" s="1416"/>
      <c r="M195" s="1416"/>
      <c r="N195" s="1416" t="str">
        <f>"kt per "&amp;Preferences.EnergyUnits</f>
        <v>kt per TWh</v>
      </c>
    </row>
    <row r="196" spans="2:14" s="1615" customFormat="1" ht="5.25" customHeight="1" x14ac:dyDescent="0.2">
      <c r="B196" s="1419"/>
      <c r="C196" s="1416"/>
      <c r="D196" s="1416"/>
      <c r="E196" s="713"/>
      <c r="F196" s="712"/>
      <c r="G196" s="1416"/>
      <c r="H196" s="1416"/>
      <c r="I196" s="1416"/>
      <c r="J196" s="1416"/>
      <c r="K196" s="1416"/>
      <c r="L196" s="1416"/>
      <c r="M196" s="1416"/>
      <c r="N196" s="1416"/>
    </row>
    <row r="197" spans="2:14" s="1615" customFormat="1" x14ac:dyDescent="0.2">
      <c r="B197" s="1419"/>
      <c r="C197" s="1634" t="s">
        <v>69</v>
      </c>
      <c r="D197" s="1634" t="s">
        <v>592</v>
      </c>
      <c r="E197" s="1635" t="s">
        <v>343</v>
      </c>
      <c r="F197" s="1636" t="s">
        <v>241</v>
      </c>
      <c r="G197" s="1636" t="s">
        <v>268</v>
      </c>
      <c r="H197" s="1636" t="s">
        <v>269</v>
      </c>
      <c r="I197" s="1636" t="s">
        <v>270</v>
      </c>
      <c r="J197" s="1636" t="s">
        <v>271</v>
      </c>
      <c r="K197" s="1636" t="s">
        <v>272</v>
      </c>
      <c r="L197" s="1636" t="s">
        <v>273</v>
      </c>
      <c r="M197" s="1636" t="s">
        <v>274</v>
      </c>
      <c r="N197" s="1636" t="s">
        <v>275</v>
      </c>
    </row>
    <row r="198" spans="2:14" s="1615" customFormat="1" x14ac:dyDescent="0.2">
      <c r="B198" s="1419"/>
      <c r="C198" s="1631" t="s">
        <v>362</v>
      </c>
      <c r="D198" s="1505" t="s">
        <v>607</v>
      </c>
      <c r="E198" s="1632" t="s">
        <v>2272</v>
      </c>
      <c r="F198" s="983">
        <f>0.0594226845459515*(1/Unit.TWh)</f>
        <v>5.9422684545951503E-2</v>
      </c>
      <c r="G198" s="983">
        <f>0.0496639509577809*(1/Unit.TWh)</f>
        <v>4.9663950957780902E-2</v>
      </c>
      <c r="H198" s="983">
        <f>0.0450905905549193*(1/Unit.TWh)</f>
        <v>4.5090590554919298E-2</v>
      </c>
      <c r="I198" s="983">
        <f>0.0444077640642367*(1/Unit.TWh)</f>
        <v>4.4407764064236702E-2</v>
      </c>
      <c r="J198" s="983">
        <f>0.0452883081948361*(1/Unit.TWh)</f>
        <v>4.5288308194836098E-2</v>
      </c>
      <c r="K198" s="983">
        <f>0.046245722834379*(1/Unit.TWh)</f>
        <v>4.6245722834378999E-2</v>
      </c>
      <c r="L198" s="983">
        <f>0.046245722834379*(1/Unit.TWh)</f>
        <v>4.6245722834378999E-2</v>
      </c>
      <c r="M198" s="983">
        <f>0.046245722834379*(1/Unit.TWh)</f>
        <v>4.6245722834378999E-2</v>
      </c>
      <c r="N198" s="983">
        <f>0.046245722834379*(1/Unit.TWh)</f>
        <v>4.6245722834378999E-2</v>
      </c>
    </row>
    <row r="199" spans="2:14" s="1615" customFormat="1" x14ac:dyDescent="0.2">
      <c r="B199" s="1419"/>
      <c r="C199" s="1631" t="s">
        <v>362</v>
      </c>
      <c r="D199" s="1504" t="s">
        <v>607</v>
      </c>
      <c r="E199" s="1504" t="s">
        <v>923</v>
      </c>
      <c r="F199" s="1633">
        <f>0.0426483970333216*(1/Unit.TWh)</f>
        <v>4.26483970333216E-2</v>
      </c>
      <c r="G199" s="1633">
        <f>0.0394479791863108*(1/Unit.TWh)</f>
        <v>3.9447979186310801E-2</v>
      </c>
      <c r="H199" s="1633">
        <f>0.0425573946349243*(1/Unit.TWh)</f>
        <v>4.2557394634924299E-2</v>
      </c>
      <c r="I199" s="1633">
        <f>0.0448744802549032*(1/Unit.TWh)</f>
        <v>4.4874480254903197E-2</v>
      </c>
      <c r="J199" s="1633">
        <f>0.046174109413232*(1/Unit.TWh)</f>
        <v>4.6174109413232002E-2</v>
      </c>
      <c r="K199" s="1633">
        <f>0.0471490234292686*(1/Unit.TWh)</f>
        <v>4.7149023429268598E-2</v>
      </c>
      <c r="L199" s="1633">
        <f>0.0471490234292686*(1/Unit.TWh)</f>
        <v>4.7149023429268598E-2</v>
      </c>
      <c r="M199" s="1633">
        <f>0.0471490234292686*(1/Unit.TWh)</f>
        <v>4.7149023429268598E-2</v>
      </c>
      <c r="N199" s="1633">
        <f>0.0471490234292686*(1/Unit.TWh)</f>
        <v>4.7149023429268598E-2</v>
      </c>
    </row>
    <row r="200" spans="2:14" s="1615" customFormat="1" x14ac:dyDescent="0.2">
      <c r="B200" s="1419"/>
      <c r="C200" s="1631" t="s">
        <v>362</v>
      </c>
      <c r="D200" s="1504" t="s">
        <v>607</v>
      </c>
      <c r="E200" s="1504" t="s">
        <v>612</v>
      </c>
      <c r="F200" s="1633">
        <f>0.0326383260826338*(1/Unit.TWh)</f>
        <v>3.2638326082633798E-2</v>
      </c>
      <c r="G200" s="1633">
        <f>0.0361729097931799*(1/Unit.TWh)</f>
        <v>3.61729097931799E-2</v>
      </c>
      <c r="H200" s="1633">
        <f>0.0399151574378942*(1/Unit.TWh)</f>
        <v>3.99151574378942E-2</v>
      </c>
      <c r="I200" s="1633">
        <f>0.0421654392577175*(1/Unit.TWh)</f>
        <v>4.2165439257717499E-2</v>
      </c>
      <c r="J200" s="1633">
        <f>0.0434404677996377*(1/Unit.TWh)</f>
        <v>4.34404677996377E-2</v>
      </c>
      <c r="K200" s="1633">
        <f>0.0444303753425222*(1/Unit.TWh)</f>
        <v>4.4430375342522199E-2</v>
      </c>
      <c r="L200" s="1633">
        <f>0.0444303753425222*(1/Unit.TWh)</f>
        <v>4.4430375342522199E-2</v>
      </c>
      <c r="M200" s="1633">
        <f>0.0444303753425222*(1/Unit.TWh)</f>
        <v>4.4430375342522199E-2</v>
      </c>
      <c r="N200" s="1633">
        <f>0.0444303753425222*(1/Unit.TWh)</f>
        <v>4.4430375342522199E-2</v>
      </c>
    </row>
    <row r="201" spans="2:14" s="1615" customFormat="1" x14ac:dyDescent="0.2">
      <c r="B201" s="1419"/>
      <c r="C201" s="1631" t="s">
        <v>362</v>
      </c>
      <c r="D201" s="1504" t="s">
        <v>607</v>
      </c>
      <c r="E201" s="1504" t="s">
        <v>2273</v>
      </c>
      <c r="F201" s="1633">
        <f>0.00278035848453654*(1/Unit.TWh)</f>
        <v>2.7803584845365399E-3</v>
      </c>
      <c r="G201" s="1633">
        <f>0.00309728804586587*(1/Unit.TWh)</f>
        <v>3.0972880458658698E-3</v>
      </c>
      <c r="H201" s="1633">
        <f>0.00309726437565347*(1/Unit.TWh)</f>
        <v>3.0972643756534699E-3</v>
      </c>
      <c r="I201" s="1633">
        <f>0.00309723515657493*(1/Unit.TWh)</f>
        <v>3.0972351565749299E-3</v>
      </c>
      <c r="J201" s="1633">
        <f>0.00309727451363559*(1/Unit.TWh)</f>
        <v>3.0972745136355899E-3</v>
      </c>
      <c r="K201" s="1633">
        <f>0.00309727451363559*(1/Unit.TWh)</f>
        <v>3.0972745136355899E-3</v>
      </c>
      <c r="L201" s="1633">
        <f>0.00309727451363559*(1/Unit.TWh)</f>
        <v>3.0972745136355899E-3</v>
      </c>
      <c r="M201" s="1633">
        <f>0.00309727451363559*(1/Unit.TWh)</f>
        <v>3.0972745136355899E-3</v>
      </c>
      <c r="N201" s="1633">
        <f>0.00309727451363559*(1/Unit.TWh)</f>
        <v>3.0972745136355899E-3</v>
      </c>
    </row>
    <row r="202" spans="2:14" s="1615" customFormat="1" x14ac:dyDescent="0.2">
      <c r="B202" s="1419"/>
      <c r="C202" s="1631" t="s">
        <v>362</v>
      </c>
      <c r="D202" s="1504" t="s">
        <v>608</v>
      </c>
      <c r="E202" s="1504" t="s">
        <v>2272</v>
      </c>
      <c r="F202" s="1633">
        <f>0.058729000603314*(1/Unit.TWh)</f>
        <v>5.8729000603313999E-2</v>
      </c>
      <c r="G202" s="1633">
        <f>0.0451259630104065*(1/Unit.TWh)</f>
        <v>4.51259630104065E-2</v>
      </c>
      <c r="H202" s="1633">
        <f>0.0358272572392975*(1/Unit.TWh)</f>
        <v>3.58272572392975E-2</v>
      </c>
      <c r="I202" s="1633">
        <f>0.0318174500132027*(1/Unit.TWh)</f>
        <v>3.18174500132027E-2</v>
      </c>
      <c r="J202" s="1633">
        <f>0.0308406506395764*(1/Unit.TWh)</f>
        <v>3.0840650639576399E-2</v>
      </c>
      <c r="K202" s="1633">
        <f>0.0306723503673605*(1/Unit.TWh)</f>
        <v>3.0672350367360501E-2</v>
      </c>
      <c r="L202" s="1633">
        <f>0.0306723503673605*(1/Unit.TWh)</f>
        <v>3.0672350367360501E-2</v>
      </c>
      <c r="M202" s="1633">
        <f>0.0306723503673605*(1/Unit.TWh)</f>
        <v>3.0672350367360501E-2</v>
      </c>
      <c r="N202" s="1633">
        <f>0.0306723503673605*(1/Unit.TWh)</f>
        <v>3.0672350367360501E-2</v>
      </c>
    </row>
    <row r="203" spans="2:14" s="1615" customFormat="1" x14ac:dyDescent="0.2">
      <c r="B203" s="1419"/>
      <c r="C203" s="1631" t="s">
        <v>362</v>
      </c>
      <c r="D203" s="1504" t="s">
        <v>608</v>
      </c>
      <c r="E203" s="1504" t="s">
        <v>923</v>
      </c>
      <c r="F203" s="983">
        <f>0.0450903892090839*(1/Unit.TWh)</f>
        <v>4.5090389209083898E-2</v>
      </c>
      <c r="G203" s="983">
        <f>0.0401050493097796*(1/Unit.TWh)</f>
        <v>4.0105049309779602E-2</v>
      </c>
      <c r="H203" s="983">
        <f>0.0346064317465931*(1/Unit.TWh)</f>
        <v>3.46064317465931E-2</v>
      </c>
      <c r="I203" s="983">
        <f>0.0320298287012547*(1/Unit.TWh)</f>
        <v>3.2029828701254703E-2</v>
      </c>
      <c r="J203" s="983">
        <f>0.0313541033899796*(1/Unit.TWh)</f>
        <v>3.1354103389979598E-2</v>
      </c>
      <c r="K203" s="983">
        <f>0.0311140141881936*(1/Unit.TWh)</f>
        <v>3.1114014188193598E-2</v>
      </c>
      <c r="L203" s="983">
        <f>0.0311140141881936*(1/Unit.TWh)</f>
        <v>3.1114014188193598E-2</v>
      </c>
      <c r="M203" s="983">
        <f>0.0311140141881936*(1/Unit.TWh)</f>
        <v>3.1114014188193598E-2</v>
      </c>
      <c r="N203" s="983">
        <f>0.0311140141881936*(1/Unit.TWh)</f>
        <v>3.1114014188193598E-2</v>
      </c>
    </row>
    <row r="204" spans="2:14" s="1615" customFormat="1" x14ac:dyDescent="0.2">
      <c r="B204" s="1419"/>
      <c r="C204" s="1631" t="s">
        <v>362</v>
      </c>
      <c r="D204" s="1504" t="s">
        <v>608</v>
      </c>
      <c r="E204" s="1504" t="s">
        <v>612</v>
      </c>
      <c r="F204" s="983">
        <f>0.0292739651674529*(1/Unit.TWh)</f>
        <v>2.9273965167452901E-2</v>
      </c>
      <c r="G204" s="983">
        <f>0.0295128908657225*(1/Unit.TWh)</f>
        <v>2.9512890865722501E-2</v>
      </c>
      <c r="H204" s="983">
        <f>0.0295533602478891*(1/Unit.TWh)</f>
        <v>2.9553360247889099E-2</v>
      </c>
      <c r="I204" s="983">
        <f>0.0295755455523542*(1/Unit.TWh)</f>
        <v>2.9575545552354199E-2</v>
      </c>
      <c r="J204" s="983">
        <f>0.0295687376985729*(1/Unit.TWh)</f>
        <v>2.9568737698572899E-2</v>
      </c>
      <c r="K204" s="983">
        <f>0.0295651339439959*(1/Unit.TWh)</f>
        <v>2.9565133943995899E-2</v>
      </c>
      <c r="L204" s="983">
        <f>0.0295651339439959*(1/Unit.TWh)</f>
        <v>2.9565133943995899E-2</v>
      </c>
      <c r="M204" s="983">
        <f>0.0295651339439959*(1/Unit.TWh)</f>
        <v>2.9565133943995899E-2</v>
      </c>
      <c r="N204" s="983">
        <f>0.0295651339439959*(1/Unit.TWh)</f>
        <v>2.9565133943995899E-2</v>
      </c>
    </row>
    <row r="205" spans="2:14" s="1615" customFormat="1" x14ac:dyDescent="0.2">
      <c r="B205" s="1419"/>
      <c r="C205" s="1631" t="s">
        <v>362</v>
      </c>
      <c r="D205" s="1504" t="s">
        <v>608</v>
      </c>
      <c r="E205" s="1504" t="s">
        <v>2273</v>
      </c>
      <c r="F205" s="983">
        <f>0.00278035848453654*(1/Unit.TWh)</f>
        <v>2.7803584845365399E-3</v>
      </c>
      <c r="G205" s="983">
        <f>0.00309728804586587*(1/Unit.TWh)</f>
        <v>3.0972880458658698E-3</v>
      </c>
      <c r="H205" s="983">
        <f>0.00309726437565347*(1/Unit.TWh)</f>
        <v>3.0972643756534699E-3</v>
      </c>
      <c r="I205" s="983">
        <f>0.00309723515657493*(1/Unit.TWh)</f>
        <v>3.0972351565749299E-3</v>
      </c>
      <c r="J205" s="983">
        <f>0.00309727451363559*(1/Unit.TWh)</f>
        <v>3.0972745136355899E-3</v>
      </c>
      <c r="K205" s="983">
        <f>0.00309727451363559*(1/Unit.TWh)</f>
        <v>3.0972745136355899E-3</v>
      </c>
      <c r="L205" s="983">
        <f>0.00309727451363559*(1/Unit.TWh)</f>
        <v>3.0972745136355899E-3</v>
      </c>
      <c r="M205" s="983">
        <f>0.00309727451363559*(1/Unit.TWh)</f>
        <v>3.0972745136355899E-3</v>
      </c>
      <c r="N205" s="983">
        <f>0.00309727451363559*(1/Unit.TWh)</f>
        <v>3.0972745136355899E-3</v>
      </c>
    </row>
    <row r="206" spans="2:14" s="1615" customFormat="1" x14ac:dyDescent="0.2">
      <c r="B206" s="1419"/>
      <c r="C206" s="1631" t="s">
        <v>362</v>
      </c>
      <c r="D206" s="1504" t="s">
        <v>610</v>
      </c>
      <c r="E206" s="1504" t="s">
        <v>638</v>
      </c>
      <c r="F206" s="983">
        <f>0.201345243167017*(1/Unit.TWh)</f>
        <v>0.20134524316701699</v>
      </c>
      <c r="G206" s="983">
        <f>0.175072255211859*(1/Unit.TWh)</f>
        <v>0.17507225521185901</v>
      </c>
      <c r="H206" s="983">
        <f>0.144420425903167*(1/Unit.TWh)</f>
        <v>0.144420425903167</v>
      </c>
      <c r="I206" s="983">
        <f>0.113768596594475*(1/Unit.TWh)</f>
        <v>0.113768596594475</v>
      </c>
      <c r="J206" s="983">
        <f>0.0831167672857836*(1/Unit.TWh)</f>
        <v>8.3116767285783599E-2</v>
      </c>
      <c r="K206" s="983">
        <f>0.0524649379770917*(1/Unit.TWh)</f>
        <v>5.2464937977091702E-2</v>
      </c>
      <c r="L206" s="983">
        <f>0.0293788413535335*(1/Unit.TWh)</f>
        <v>2.93788413535335E-2</v>
      </c>
      <c r="M206" s="983">
        <f>0.025*(1/Unit.TWh)</f>
        <v>2.5000000000000001E-2</v>
      </c>
      <c r="N206" s="983">
        <f>0.025*(1/Unit.TWh)</f>
        <v>2.5000000000000001E-2</v>
      </c>
    </row>
    <row r="207" spans="2:14" s="1615" customFormat="1" x14ac:dyDescent="0.2">
      <c r="B207" s="1419"/>
      <c r="C207" s="1631" t="s">
        <v>362</v>
      </c>
      <c r="D207" s="1504" t="s">
        <v>610</v>
      </c>
      <c r="E207" s="1504" t="s">
        <v>639</v>
      </c>
      <c r="F207" s="983">
        <f t="shared" ref="F207:N207" si="13">0*(1/Unit.TWh)</f>
        <v>0</v>
      </c>
      <c r="G207" s="983">
        <f t="shared" si="13"/>
        <v>0</v>
      </c>
      <c r="H207" s="983">
        <f t="shared" si="13"/>
        <v>0</v>
      </c>
      <c r="I207" s="983">
        <f t="shared" si="13"/>
        <v>0</v>
      </c>
      <c r="J207" s="983">
        <f t="shared" si="13"/>
        <v>0</v>
      </c>
      <c r="K207" s="983">
        <f t="shared" si="13"/>
        <v>0</v>
      </c>
      <c r="L207" s="983">
        <f t="shared" si="13"/>
        <v>0</v>
      </c>
      <c r="M207" s="983">
        <f t="shared" si="13"/>
        <v>0</v>
      </c>
      <c r="N207" s="983">
        <f t="shared" si="13"/>
        <v>0</v>
      </c>
    </row>
    <row r="208" spans="2:14" s="1615" customFormat="1" x14ac:dyDescent="0.2">
      <c r="B208" s="1419"/>
      <c r="C208" s="1631" t="s">
        <v>362</v>
      </c>
      <c r="D208" s="1504" t="s">
        <v>611</v>
      </c>
      <c r="E208" s="1504" t="s">
        <v>611</v>
      </c>
      <c r="F208" s="983">
        <f t="shared" ref="F208:N208" si="14">0.00902990680754686*(1/Unit.TWh)</f>
        <v>9.02990680754686E-3</v>
      </c>
      <c r="G208" s="983">
        <f t="shared" si="14"/>
        <v>9.02990680754686E-3</v>
      </c>
      <c r="H208" s="983">
        <f t="shared" si="14"/>
        <v>9.02990680754686E-3</v>
      </c>
      <c r="I208" s="983">
        <f t="shared" si="14"/>
        <v>9.02990680754686E-3</v>
      </c>
      <c r="J208" s="983">
        <f t="shared" si="14"/>
        <v>9.02990680754686E-3</v>
      </c>
      <c r="K208" s="983">
        <f t="shared" si="14"/>
        <v>9.02990680754686E-3</v>
      </c>
      <c r="L208" s="983">
        <f t="shared" si="14"/>
        <v>9.02990680754686E-3</v>
      </c>
      <c r="M208" s="983">
        <f t="shared" si="14"/>
        <v>9.02990680754686E-3</v>
      </c>
      <c r="N208" s="983">
        <f t="shared" si="14"/>
        <v>9.02990680754686E-3</v>
      </c>
    </row>
    <row r="209" spans="2:14" s="1411" customFormat="1" ht="15.75" x14ac:dyDescent="0.25">
      <c r="B209" s="604"/>
      <c r="C209" s="606"/>
      <c r="D209" s="1415"/>
      <c r="E209" s="488"/>
      <c r="F209" s="601"/>
      <c r="G209" s="602"/>
      <c r="H209" s="602"/>
      <c r="I209" s="602"/>
      <c r="J209" s="602"/>
      <c r="K209" s="227"/>
      <c r="L209" s="227"/>
      <c r="M209" s="227"/>
      <c r="N209" s="227"/>
    </row>
    <row r="210" spans="2:14" s="1615" customFormat="1" x14ac:dyDescent="0.2">
      <c r="B210" s="1419"/>
      <c r="C210" s="1417" t="s">
        <v>1797</v>
      </c>
      <c r="D210" s="1416"/>
      <c r="E210" s="1416"/>
      <c r="F210" s="1416"/>
      <c r="G210" s="1416"/>
      <c r="H210" s="1416"/>
      <c r="I210" s="1416"/>
      <c r="J210" s="1416"/>
      <c r="K210" s="1416"/>
      <c r="L210" s="1416"/>
      <c r="M210" s="1416"/>
      <c r="N210" s="1416" t="str">
        <f>"kt per "&amp;Preferences.EnergyUnits</f>
        <v>kt per TWh</v>
      </c>
    </row>
    <row r="211" spans="2:14" s="1615" customFormat="1" ht="5.25" customHeight="1" x14ac:dyDescent="0.2">
      <c r="B211" s="1419"/>
      <c r="C211" s="1416"/>
      <c r="D211" s="1416"/>
      <c r="E211" s="713"/>
      <c r="F211" s="712"/>
      <c r="G211" s="1416"/>
      <c r="H211" s="1416"/>
      <c r="I211" s="1416"/>
      <c r="J211" s="1416"/>
      <c r="K211" s="1416"/>
      <c r="L211" s="1416"/>
      <c r="M211" s="1416"/>
      <c r="N211" s="1416"/>
    </row>
    <row r="212" spans="2:14" s="1615" customFormat="1" x14ac:dyDescent="0.2">
      <c r="B212" s="1419"/>
      <c r="C212" s="1634" t="s">
        <v>69</v>
      </c>
      <c r="D212" s="1634" t="s">
        <v>592</v>
      </c>
      <c r="E212" s="1635" t="s">
        <v>343</v>
      </c>
      <c r="F212" s="1636" t="s">
        <v>241</v>
      </c>
      <c r="G212" s="1636" t="s">
        <v>268</v>
      </c>
      <c r="H212" s="1636" t="s">
        <v>269</v>
      </c>
      <c r="I212" s="1636" t="s">
        <v>270</v>
      </c>
      <c r="J212" s="1636" t="s">
        <v>271</v>
      </c>
      <c r="K212" s="1636" t="s">
        <v>272</v>
      </c>
      <c r="L212" s="1636" t="s">
        <v>273</v>
      </c>
      <c r="M212" s="1636" t="s">
        <v>274</v>
      </c>
      <c r="N212" s="1636" t="s">
        <v>275</v>
      </c>
    </row>
    <row r="213" spans="2:14" s="1615" customFormat="1" x14ac:dyDescent="0.2">
      <c r="B213" s="1419"/>
      <c r="C213" s="1631" t="s">
        <v>362</v>
      </c>
      <c r="D213" s="1505" t="s">
        <v>607</v>
      </c>
      <c r="E213" s="1632" t="s">
        <v>2272</v>
      </c>
      <c r="F213" s="983">
        <f>0.679430247622142*(1/Unit.TWh)</f>
        <v>0.67943024762214199</v>
      </c>
      <c r="G213" s="983">
        <f>0.581403202262897*(1/Unit.TWh)</f>
        <v>0.58140320226289699</v>
      </c>
      <c r="H213" s="983">
        <f>0.471184921382374*(1/Unit.TWh)</f>
        <v>0.471184921382374</v>
      </c>
      <c r="I213" s="983">
        <f>0.406040992892532*(1/Unit.TWh)</f>
        <v>0.40604099289253198</v>
      </c>
      <c r="J213" s="983">
        <f>0.379890156091861*(1/Unit.TWh)</f>
        <v>0.379890156091861</v>
      </c>
      <c r="K213" s="983">
        <f>0.373909117293539*(1/Unit.TWh)</f>
        <v>0.37390911729353898</v>
      </c>
      <c r="L213" s="983">
        <f>0.373909117293539*(1/Unit.TWh)</f>
        <v>0.37390911729353898</v>
      </c>
      <c r="M213" s="983">
        <f>0.373909117293539*(1/Unit.TWh)</f>
        <v>0.37390911729353898</v>
      </c>
      <c r="N213" s="983">
        <f>0.373909117293539*(1/Unit.TWh)</f>
        <v>0.37390911729353898</v>
      </c>
    </row>
    <row r="214" spans="2:14" s="1615" customFormat="1" x14ac:dyDescent="0.2">
      <c r="B214" s="1419"/>
      <c r="C214" s="1631" t="s">
        <v>362</v>
      </c>
      <c r="D214" s="1504" t="s">
        <v>607</v>
      </c>
      <c r="E214" s="1504" t="s">
        <v>923</v>
      </c>
      <c r="F214" s="1633">
        <f>0.631249283292206*(1/Unit.TWh)</f>
        <v>0.63124928329220598</v>
      </c>
      <c r="G214" s="1633">
        <f>0.762191485532249*(1/Unit.TWh)</f>
        <v>0.76219148553224902</v>
      </c>
      <c r="H214" s="1633">
        <f>0.630334737611711*(1/Unit.TWh)</f>
        <v>0.63033473761171099</v>
      </c>
      <c r="I214" s="1633">
        <f>0.567077355155007*(1/Unit.TWh)</f>
        <v>0.56707735515500701</v>
      </c>
      <c r="J214" s="1633">
        <f>0.533406777464307*(1/Unit.TWh)</f>
        <v>0.53340677746430698</v>
      </c>
      <c r="K214" s="1633">
        <f>0.524968567115822*(1/Unit.TWh)</f>
        <v>0.52496856711582196</v>
      </c>
      <c r="L214" s="1633">
        <f>0.524968567115822*(1/Unit.TWh)</f>
        <v>0.52496856711582196</v>
      </c>
      <c r="M214" s="1633">
        <f>0.524968567115822*(1/Unit.TWh)</f>
        <v>0.52496856711582196</v>
      </c>
      <c r="N214" s="1633">
        <f>0.524968567115822*(1/Unit.TWh)</f>
        <v>0.52496856711582196</v>
      </c>
    </row>
    <row r="215" spans="2:14" s="1615" customFormat="1" x14ac:dyDescent="0.2">
      <c r="B215" s="1419"/>
      <c r="C215" s="1631" t="s">
        <v>362</v>
      </c>
      <c r="D215" s="1504" t="s">
        <v>607</v>
      </c>
      <c r="E215" s="1504" t="s">
        <v>612</v>
      </c>
      <c r="F215" s="1633">
        <f t="shared" ref="F215:N215" si="15">0*(1/Unit.TWh)</f>
        <v>0</v>
      </c>
      <c r="G215" s="1633">
        <f t="shared" si="15"/>
        <v>0</v>
      </c>
      <c r="H215" s="1633">
        <f t="shared" si="15"/>
        <v>0</v>
      </c>
      <c r="I215" s="1633">
        <f t="shared" si="15"/>
        <v>0</v>
      </c>
      <c r="J215" s="1633">
        <f t="shared" si="15"/>
        <v>0</v>
      </c>
      <c r="K215" s="1633">
        <f t="shared" si="15"/>
        <v>0</v>
      </c>
      <c r="L215" s="1633">
        <f t="shared" si="15"/>
        <v>0</v>
      </c>
      <c r="M215" s="1633">
        <f t="shared" si="15"/>
        <v>0</v>
      </c>
      <c r="N215" s="1633">
        <f t="shared" si="15"/>
        <v>0</v>
      </c>
    </row>
    <row r="216" spans="2:14" s="1615" customFormat="1" x14ac:dyDescent="0.2">
      <c r="B216" s="1419"/>
      <c r="C216" s="1631" t="s">
        <v>362</v>
      </c>
      <c r="D216" s="1504" t="s">
        <v>607</v>
      </c>
      <c r="E216" s="1504" t="s">
        <v>2273</v>
      </c>
      <c r="F216" s="1633">
        <f>0.123050674970797*(1/Unit.TWh)</f>
        <v>0.123050674970797</v>
      </c>
      <c r="G216" s="1633">
        <f>0.127930570228309*(1/Unit.TWh)</f>
        <v>0.127930570228309</v>
      </c>
      <c r="H216" s="1633">
        <f>0.115766100034766*(1/Unit.TWh)</f>
        <v>0.11576610003476601</v>
      </c>
      <c r="I216" s="1633">
        <f>0.126726412997109*(1/Unit.TWh)</f>
        <v>0.12672641299710899</v>
      </c>
      <c r="J216" s="1633">
        <f>0.126179432674123*(1/Unit.TWh)</f>
        <v>0.12617943267412299</v>
      </c>
      <c r="K216" s="1633">
        <f>0.126179432674123*(1/Unit.TWh)</f>
        <v>0.12617943267412299</v>
      </c>
      <c r="L216" s="1633">
        <f>0.126179432674123*(1/Unit.TWh)</f>
        <v>0.12617943267412299</v>
      </c>
      <c r="M216" s="1633">
        <f>0.126179432674123*(1/Unit.TWh)</f>
        <v>0.12617943267412299</v>
      </c>
      <c r="N216" s="1633">
        <f>0.126179432674123*(1/Unit.TWh)</f>
        <v>0.12617943267412299</v>
      </c>
    </row>
    <row r="217" spans="2:14" s="1615" customFormat="1" x14ac:dyDescent="0.2">
      <c r="B217" s="1419"/>
      <c r="C217" s="1631" t="s">
        <v>362</v>
      </c>
      <c r="D217" s="1504" t="s">
        <v>608</v>
      </c>
      <c r="E217" s="1504" t="s">
        <v>2272</v>
      </c>
      <c r="F217" s="1633">
        <f>2.06945509688998*(1/Unit.TWh)</f>
        <v>2.0694550968899801</v>
      </c>
      <c r="G217" s="1633">
        <f>1.46924536451353*(1/Unit.TWh)</f>
        <v>1.4692453645135299</v>
      </c>
      <c r="H217" s="1633">
        <f>0.706747923588064*(1/Unit.TWh)</f>
        <v>0.70674792358806404</v>
      </c>
      <c r="I217" s="1633">
        <f>0.303301044701916*(1/Unit.TWh)</f>
        <v>0.30330104470191599</v>
      </c>
      <c r="J217" s="1633">
        <f>0.19375703518048*(1/Unit.TWh)</f>
        <v>0.19375703518047999</v>
      </c>
      <c r="K217" s="1633">
        <f>0.170738987641718*(1/Unit.TWh)</f>
        <v>0.17073898764171799</v>
      </c>
      <c r="L217" s="1633">
        <f>0.170738987641718*(1/Unit.TWh)</f>
        <v>0.17073898764171799</v>
      </c>
      <c r="M217" s="1633">
        <f>0.170738987641718*(1/Unit.TWh)</f>
        <v>0.17073898764171799</v>
      </c>
      <c r="N217" s="1633">
        <f>0.170738987641718*(1/Unit.TWh)</f>
        <v>0.17073898764171799</v>
      </c>
    </row>
    <row r="218" spans="2:14" s="1615" customFormat="1" x14ac:dyDescent="0.2">
      <c r="B218" s="1419"/>
      <c r="C218" s="1631" t="s">
        <v>362</v>
      </c>
      <c r="D218" s="1504" t="s">
        <v>608</v>
      </c>
      <c r="E218" s="1504" t="s">
        <v>923</v>
      </c>
      <c r="F218" s="983">
        <f>1.70599682563443*(1/Unit.TWh)</f>
        <v>1.70599682563443</v>
      </c>
      <c r="G218" s="983">
        <f>1.15583334209536*(1/Unit.TWh)</f>
        <v>1.1558333420953599</v>
      </c>
      <c r="H218" s="983">
        <f>0.574506962617491*(1/Unit.TWh)</f>
        <v>0.57450696261749101</v>
      </c>
      <c r="I218" s="983">
        <f>0.288281897149846*(1/Unit.TWh)</f>
        <v>0.28828189714984598</v>
      </c>
      <c r="J218" s="983">
        <f>0.214355024239144*(1/Unit.TWh)</f>
        <v>0.21435502423914399</v>
      </c>
      <c r="K218" s="983">
        <f>0.188233721746317*(1/Unit.TWh)</f>
        <v>0.188233721746317</v>
      </c>
      <c r="L218" s="983">
        <f>0.188233721746317*(1/Unit.TWh)</f>
        <v>0.188233721746317</v>
      </c>
      <c r="M218" s="983">
        <f>0.188233721746317*(1/Unit.TWh)</f>
        <v>0.188233721746317</v>
      </c>
      <c r="N218" s="983">
        <f>0.188233721746317*(1/Unit.TWh)</f>
        <v>0.188233721746317</v>
      </c>
    </row>
    <row r="219" spans="2:14" s="1615" customFormat="1" x14ac:dyDescent="0.2">
      <c r="B219" s="1419"/>
      <c r="C219" s="1631" t="s">
        <v>362</v>
      </c>
      <c r="D219" s="1504" t="s">
        <v>608</v>
      </c>
      <c r="E219" s="1504" t="s">
        <v>612</v>
      </c>
      <c r="F219" s="983">
        <f t="shared" ref="F219:N219" si="16">0*(1/Unit.TWh)</f>
        <v>0</v>
      </c>
      <c r="G219" s="983">
        <f t="shared" si="16"/>
        <v>0</v>
      </c>
      <c r="H219" s="983">
        <f t="shared" si="16"/>
        <v>0</v>
      </c>
      <c r="I219" s="983">
        <f t="shared" si="16"/>
        <v>0</v>
      </c>
      <c r="J219" s="983">
        <f t="shared" si="16"/>
        <v>0</v>
      </c>
      <c r="K219" s="983">
        <f t="shared" si="16"/>
        <v>0</v>
      </c>
      <c r="L219" s="983">
        <f t="shared" si="16"/>
        <v>0</v>
      </c>
      <c r="M219" s="983">
        <f t="shared" si="16"/>
        <v>0</v>
      </c>
      <c r="N219" s="983">
        <f t="shared" si="16"/>
        <v>0</v>
      </c>
    </row>
    <row r="220" spans="2:14" s="1615" customFormat="1" x14ac:dyDescent="0.2">
      <c r="B220" s="1419"/>
      <c r="C220" s="1631" t="s">
        <v>362</v>
      </c>
      <c r="D220" s="1504" t="s">
        <v>608</v>
      </c>
      <c r="E220" s="1504" t="s">
        <v>2273</v>
      </c>
      <c r="F220" s="983">
        <f>0.123050674970797*(1/Unit.TWh)</f>
        <v>0.123050674970797</v>
      </c>
      <c r="G220" s="983">
        <f>0.127930570228309*(1/Unit.TWh)</f>
        <v>0.127930570228309</v>
      </c>
      <c r="H220" s="983">
        <f>0.115766100034766*(1/Unit.TWh)</f>
        <v>0.11576610003476601</v>
      </c>
      <c r="I220" s="983">
        <f>0.126726412997109*(1/Unit.TWh)</f>
        <v>0.12672641299710899</v>
      </c>
      <c r="J220" s="983">
        <f>0.126179432674123*(1/Unit.TWh)</f>
        <v>0.12617943267412299</v>
      </c>
      <c r="K220" s="983">
        <f>0.126179432674123*(1/Unit.TWh)</f>
        <v>0.12617943267412299</v>
      </c>
      <c r="L220" s="983">
        <f>0.126179432674123*(1/Unit.TWh)</f>
        <v>0.12617943267412299</v>
      </c>
      <c r="M220" s="983">
        <f>0.126179432674123*(1/Unit.TWh)</f>
        <v>0.12617943267412299</v>
      </c>
      <c r="N220" s="983">
        <f>0.126179432674123*(1/Unit.TWh)</f>
        <v>0.12617943267412299</v>
      </c>
    </row>
    <row r="221" spans="2:14" s="1615" customFormat="1" x14ac:dyDescent="0.2">
      <c r="B221" s="1419"/>
      <c r="C221" s="1631" t="s">
        <v>362</v>
      </c>
      <c r="D221" s="1504" t="s">
        <v>610</v>
      </c>
      <c r="E221" s="1504" t="s">
        <v>638</v>
      </c>
      <c r="F221" s="983">
        <f>7.61663010572919*(1/Unit.TWh)</f>
        <v>7.6166301057291896</v>
      </c>
      <c r="G221" s="983">
        <f>6.66748910438281*(1/Unit.TWh)</f>
        <v>6.6674891043828097</v>
      </c>
      <c r="H221" s="983">
        <f>5.66148324420416*(1/Unit.TWh)</f>
        <v>5.6614832442041596</v>
      </c>
      <c r="I221" s="983">
        <f>4.65547738402551*(1/Unit.TWh)</f>
        <v>4.6554773840255104</v>
      </c>
      <c r="J221" s="983">
        <f>3.64947152384686*(1/Unit.TWh)</f>
        <v>3.6494715238468598</v>
      </c>
      <c r="K221" s="983">
        <f>2.64346566366821*(1/Unit.TWh)</f>
        <v>2.6434656636682101</v>
      </c>
      <c r="L221" s="983">
        <f>2.26875638876845*(1/Unit.TWh)</f>
        <v>2.2687563887684501</v>
      </c>
      <c r="M221" s="983">
        <f>2.21189152993618*(1/Unit.TWh)</f>
        <v>2.2118915299361799</v>
      </c>
      <c r="N221" s="983">
        <f>2.21189152993618*(1/Unit.TWh)</f>
        <v>2.2118915299361799</v>
      </c>
    </row>
    <row r="222" spans="2:14" s="1615" customFormat="1" x14ac:dyDescent="0.2">
      <c r="B222" s="1419"/>
      <c r="C222" s="1631" t="s">
        <v>362</v>
      </c>
      <c r="D222" s="1504" t="s">
        <v>610</v>
      </c>
      <c r="E222" s="1504" t="s">
        <v>639</v>
      </c>
      <c r="F222" s="983">
        <f t="shared" ref="F222:N222" si="17">0*(1/Unit.TWh)</f>
        <v>0</v>
      </c>
      <c r="G222" s="983">
        <f t="shared" si="17"/>
        <v>0</v>
      </c>
      <c r="H222" s="983">
        <f t="shared" si="17"/>
        <v>0</v>
      </c>
      <c r="I222" s="983">
        <f t="shared" si="17"/>
        <v>0</v>
      </c>
      <c r="J222" s="983">
        <f t="shared" si="17"/>
        <v>0</v>
      </c>
      <c r="K222" s="983">
        <f t="shared" si="17"/>
        <v>0</v>
      </c>
      <c r="L222" s="983">
        <f t="shared" si="17"/>
        <v>0</v>
      </c>
      <c r="M222" s="983">
        <f t="shared" si="17"/>
        <v>0</v>
      </c>
      <c r="N222" s="983">
        <f t="shared" si="17"/>
        <v>0</v>
      </c>
    </row>
    <row r="223" spans="2:14" s="1615" customFormat="1" x14ac:dyDescent="0.2">
      <c r="B223" s="1419"/>
      <c r="C223" s="1631" t="s">
        <v>362</v>
      </c>
      <c r="D223" s="1504" t="s">
        <v>611</v>
      </c>
      <c r="E223" s="1504" t="s">
        <v>611</v>
      </c>
      <c r="F223" s="983">
        <f t="shared" ref="F223:N223" si="18">0.845811895914052*(1/Unit.TWh)</f>
        <v>0.84581189591405204</v>
      </c>
      <c r="G223" s="983">
        <f t="shared" si="18"/>
        <v>0.84581189591405204</v>
      </c>
      <c r="H223" s="983">
        <f t="shared" si="18"/>
        <v>0.84581189591405204</v>
      </c>
      <c r="I223" s="983">
        <f t="shared" si="18"/>
        <v>0.84581189591405204</v>
      </c>
      <c r="J223" s="983">
        <f t="shared" si="18"/>
        <v>0.84581189591405204</v>
      </c>
      <c r="K223" s="983">
        <f t="shared" si="18"/>
        <v>0.84581189591405204</v>
      </c>
      <c r="L223" s="983">
        <f t="shared" si="18"/>
        <v>0.84581189591405204</v>
      </c>
      <c r="M223" s="983">
        <f t="shared" si="18"/>
        <v>0.84581189591405204</v>
      </c>
      <c r="N223" s="983">
        <f t="shared" si="18"/>
        <v>0.84581189591405204</v>
      </c>
    </row>
    <row r="224" spans="2:14" s="1615" customFormat="1" x14ac:dyDescent="0.2">
      <c r="B224" s="1419"/>
      <c r="C224" s="1631"/>
      <c r="D224" s="1504"/>
      <c r="E224" s="1504"/>
      <c r="F224" s="1633"/>
      <c r="G224" s="983"/>
      <c r="H224" s="983"/>
      <c r="I224" s="983"/>
      <c r="J224" s="983"/>
      <c r="K224" s="983"/>
      <c r="L224" s="983"/>
      <c r="M224" s="983"/>
      <c r="N224" s="983"/>
    </row>
    <row r="225" spans="2:14" s="1615" customFormat="1" x14ac:dyDescent="0.2">
      <c r="B225" s="1419"/>
      <c r="C225" s="1417" t="s">
        <v>1798</v>
      </c>
      <c r="D225" s="1416"/>
      <c r="E225" s="1416"/>
      <c r="F225" s="1416"/>
      <c r="G225" s="1416"/>
      <c r="H225" s="1416"/>
      <c r="I225" s="1416"/>
      <c r="J225" s="1416"/>
      <c r="K225" s="1416"/>
      <c r="L225" s="1416"/>
      <c r="M225" s="1416"/>
      <c r="N225" s="1416" t="str">
        <f>"kt per "&amp;Preferences.EnergyUnits</f>
        <v>kt per TWh</v>
      </c>
    </row>
    <row r="226" spans="2:14" s="1615" customFormat="1" ht="5.25" customHeight="1" x14ac:dyDescent="0.2">
      <c r="B226" s="1419"/>
      <c r="C226" s="1416"/>
      <c r="D226" s="1416"/>
      <c r="E226" s="713"/>
      <c r="F226" s="712"/>
      <c r="G226" s="1416"/>
      <c r="H226" s="1416"/>
      <c r="I226" s="1416"/>
      <c r="J226" s="1416"/>
      <c r="K226" s="1416"/>
      <c r="L226" s="1416"/>
      <c r="M226" s="1416"/>
      <c r="N226" s="1416"/>
    </row>
    <row r="227" spans="2:14" s="1615" customFormat="1" x14ac:dyDescent="0.2">
      <c r="B227" s="1419"/>
      <c r="C227" s="1634" t="s">
        <v>69</v>
      </c>
      <c r="D227" s="1634" t="s">
        <v>592</v>
      </c>
      <c r="E227" s="1635" t="s">
        <v>343</v>
      </c>
      <c r="F227" s="1636" t="s">
        <v>241</v>
      </c>
      <c r="G227" s="1636" t="s">
        <v>268</v>
      </c>
      <c r="H227" s="1636" t="s">
        <v>269</v>
      </c>
      <c r="I227" s="1636" t="s">
        <v>270</v>
      </c>
      <c r="J227" s="1636" t="s">
        <v>271</v>
      </c>
      <c r="K227" s="1636" t="s">
        <v>272</v>
      </c>
      <c r="L227" s="1636" t="s">
        <v>273</v>
      </c>
      <c r="M227" s="1636" t="s">
        <v>274</v>
      </c>
      <c r="N227" s="1636" t="s">
        <v>275</v>
      </c>
    </row>
    <row r="228" spans="2:14" s="1615" customFormat="1" x14ac:dyDescent="0.2">
      <c r="B228" s="1419"/>
      <c r="C228" s="1631" t="s">
        <v>362</v>
      </c>
      <c r="D228" s="1505" t="s">
        <v>607</v>
      </c>
      <c r="E228" s="1632" t="s">
        <v>2272</v>
      </c>
      <c r="F228" s="983">
        <f>0.00103575535045395*(1/Unit.TWh)</f>
        <v>1.0357553504539499E-3</v>
      </c>
      <c r="G228" s="983">
        <f>0.00108387045813274*(1/Unit.TWh)</f>
        <v>1.0838704581327401E-3</v>
      </c>
      <c r="H228" s="983">
        <f>0.00108807120923228*(1/Unit.TWh)</f>
        <v>1.0880712092322801E-3</v>
      </c>
      <c r="I228" s="983">
        <f>0.00105465050362138*(1/Unit.TWh)</f>
        <v>1.0546505036213799E-3</v>
      </c>
      <c r="J228" s="983">
        <f>0.00102013469233904*(1/Unit.TWh)</f>
        <v>1.0201346923390401E-3</v>
      </c>
      <c r="K228" s="983">
        <f t="shared" ref="K228:N229" si="19">0.000985496257463946*(1/Unit.TWh)</f>
        <v>9.8549625746394598E-4</v>
      </c>
      <c r="L228" s="983">
        <f t="shared" si="19"/>
        <v>9.8549625746394598E-4</v>
      </c>
      <c r="M228" s="983">
        <f t="shared" si="19"/>
        <v>9.8549625746394598E-4</v>
      </c>
      <c r="N228" s="983">
        <f t="shared" si="19"/>
        <v>9.8549625746394598E-4</v>
      </c>
    </row>
    <row r="229" spans="2:14" s="1615" customFormat="1" x14ac:dyDescent="0.2">
      <c r="B229" s="1419"/>
      <c r="C229" s="1631" t="s">
        <v>362</v>
      </c>
      <c r="D229" s="1504" t="s">
        <v>607</v>
      </c>
      <c r="E229" s="1504" t="s">
        <v>923</v>
      </c>
      <c r="F229" s="1633">
        <f>0.00103575535045395*(1/Unit.TWh)</f>
        <v>1.0357553504539499E-3</v>
      </c>
      <c r="G229" s="1633">
        <f>0.00108387045813274*(1/Unit.TWh)</f>
        <v>1.0838704581327401E-3</v>
      </c>
      <c r="H229" s="1633">
        <f>0.00108807120923228*(1/Unit.TWh)</f>
        <v>1.0880712092322801E-3</v>
      </c>
      <c r="I229" s="1633">
        <f>0.00105465050362138*(1/Unit.TWh)</f>
        <v>1.0546505036213799E-3</v>
      </c>
      <c r="J229" s="1633">
        <f>0.00102013469233904*(1/Unit.TWh)</f>
        <v>1.0201346923390401E-3</v>
      </c>
      <c r="K229" s="1633">
        <f t="shared" si="19"/>
        <v>9.8549625746394598E-4</v>
      </c>
      <c r="L229" s="1633">
        <f t="shared" si="19"/>
        <v>9.8549625746394598E-4</v>
      </c>
      <c r="M229" s="1633">
        <f t="shared" si="19"/>
        <v>9.8549625746394598E-4</v>
      </c>
      <c r="N229" s="1633">
        <f t="shared" si="19"/>
        <v>9.8549625746394598E-4</v>
      </c>
    </row>
    <row r="230" spans="2:14" s="1615" customFormat="1" x14ac:dyDescent="0.2">
      <c r="B230" s="1419"/>
      <c r="C230" s="1631" t="s">
        <v>362</v>
      </c>
      <c r="D230" s="1504" t="s">
        <v>607</v>
      </c>
      <c r="E230" s="1504" t="s">
        <v>612</v>
      </c>
      <c r="F230" s="1633">
        <f t="shared" ref="F230:N230" si="20">0*(1/Unit.TWh)</f>
        <v>0</v>
      </c>
      <c r="G230" s="1633">
        <f t="shared" si="20"/>
        <v>0</v>
      </c>
      <c r="H230" s="1633">
        <f t="shared" si="20"/>
        <v>0</v>
      </c>
      <c r="I230" s="1633">
        <f t="shared" si="20"/>
        <v>0</v>
      </c>
      <c r="J230" s="1633">
        <f t="shared" si="20"/>
        <v>0</v>
      </c>
      <c r="K230" s="1633">
        <f t="shared" si="20"/>
        <v>0</v>
      </c>
      <c r="L230" s="1633">
        <f t="shared" si="20"/>
        <v>0</v>
      </c>
      <c r="M230" s="1633">
        <f t="shared" si="20"/>
        <v>0</v>
      </c>
      <c r="N230" s="1633">
        <f t="shared" si="20"/>
        <v>0</v>
      </c>
    </row>
    <row r="231" spans="2:14" s="1615" customFormat="1" x14ac:dyDescent="0.2">
      <c r="B231" s="1419"/>
      <c r="C231" s="1631" t="s">
        <v>362</v>
      </c>
      <c r="D231" s="1504" t="s">
        <v>607</v>
      </c>
      <c r="E231" s="1504" t="s">
        <v>2273</v>
      </c>
      <c r="F231" s="1633">
        <f>0.00181607897153511*(1/Unit.TWh)</f>
        <v>1.81607897153511E-3</v>
      </c>
      <c r="G231" s="1633">
        <f>0.0023443095515625*(1/Unit.TWh)</f>
        <v>2.3443095515624998E-3</v>
      </c>
      <c r="H231" s="1633">
        <f>0.00234138971705812*(1/Unit.TWh)</f>
        <v>2.3413897170581201E-3</v>
      </c>
      <c r="I231" s="1633">
        <f>0.00233778540323651*(1/Unit.TWh)</f>
        <v>2.3377854032365099E-3</v>
      </c>
      <c r="J231" s="1633">
        <f>0.00234264028589595*(1/Unit.TWh)</f>
        <v>2.3426402858959501E-3</v>
      </c>
      <c r="K231" s="1633">
        <f>0.00234264028589595*(1/Unit.TWh)</f>
        <v>2.3426402858959501E-3</v>
      </c>
      <c r="L231" s="1633">
        <f>0.00234264028589595*(1/Unit.TWh)</f>
        <v>2.3426402858959501E-3</v>
      </c>
      <c r="M231" s="1633">
        <f>0.00234264028589595*(1/Unit.TWh)</f>
        <v>2.3426402858959501E-3</v>
      </c>
      <c r="N231" s="1633">
        <f>0.00234264028589595*(1/Unit.TWh)</f>
        <v>2.3426402858959501E-3</v>
      </c>
    </row>
    <row r="232" spans="2:14" s="1615" customFormat="1" x14ac:dyDescent="0.2">
      <c r="B232" s="1419"/>
      <c r="C232" s="1631" t="s">
        <v>362</v>
      </c>
      <c r="D232" s="1504" t="s">
        <v>608</v>
      </c>
      <c r="E232" s="1504" t="s">
        <v>2272</v>
      </c>
      <c r="F232" s="1633">
        <f>0.00116842105263158*(1/Unit.TWh)</f>
        <v>1.1684210526315801E-3</v>
      </c>
      <c r="G232" s="1633">
        <f>0.0012237150060623*(1/Unit.TWh)</f>
        <v>1.2237150060623E-3</v>
      </c>
      <c r="H232" s="1633">
        <f>0.00123656600366703*(1/Unit.TWh)</f>
        <v>1.2365660036670299E-3</v>
      </c>
      <c r="I232" s="1633">
        <f>0.00125850555931653*(1/Unit.TWh)</f>
        <v>1.25850555931653E-3</v>
      </c>
      <c r="J232" s="1633">
        <f>0.00127874031997871*(1/Unit.TWh)</f>
        <v>1.27874031997871E-3</v>
      </c>
      <c r="K232" s="1633">
        <f t="shared" ref="K232:N233" si="21">0.00130002180217232*(1/Unit.TWh)</f>
        <v>1.3000218021723201E-3</v>
      </c>
      <c r="L232" s="1633">
        <f t="shared" si="21"/>
        <v>1.3000218021723201E-3</v>
      </c>
      <c r="M232" s="1633">
        <f t="shared" si="21"/>
        <v>1.3000218021723201E-3</v>
      </c>
      <c r="N232" s="1633">
        <f t="shared" si="21"/>
        <v>1.3000218021723201E-3</v>
      </c>
    </row>
    <row r="233" spans="2:14" s="1615" customFormat="1" x14ac:dyDescent="0.2">
      <c r="B233" s="1419"/>
      <c r="C233" s="1631" t="s">
        <v>362</v>
      </c>
      <c r="D233" s="1504" t="s">
        <v>608</v>
      </c>
      <c r="E233" s="1504" t="s">
        <v>923</v>
      </c>
      <c r="F233" s="983">
        <f>0.00116842105263158*(1/Unit.TWh)</f>
        <v>1.1684210526315801E-3</v>
      </c>
      <c r="G233" s="983">
        <f>0.0012237150060623*(1/Unit.TWh)</f>
        <v>1.2237150060623E-3</v>
      </c>
      <c r="H233" s="983">
        <f>0.00123656600366703*(1/Unit.TWh)</f>
        <v>1.2365660036670299E-3</v>
      </c>
      <c r="I233" s="983">
        <f>0.00125850555931653*(1/Unit.TWh)</f>
        <v>1.25850555931653E-3</v>
      </c>
      <c r="J233" s="983">
        <f>0.00127874031997871*(1/Unit.TWh)</f>
        <v>1.27874031997871E-3</v>
      </c>
      <c r="K233" s="983">
        <f t="shared" si="21"/>
        <v>1.3000218021723201E-3</v>
      </c>
      <c r="L233" s="983">
        <f t="shared" si="21"/>
        <v>1.3000218021723201E-3</v>
      </c>
      <c r="M233" s="983">
        <f t="shared" si="21"/>
        <v>1.3000218021723201E-3</v>
      </c>
      <c r="N233" s="983">
        <f t="shared" si="21"/>
        <v>1.3000218021723201E-3</v>
      </c>
    </row>
    <row r="234" spans="2:14" s="1615" customFormat="1" x14ac:dyDescent="0.2">
      <c r="B234" s="1419"/>
      <c r="C234" s="1631" t="s">
        <v>362</v>
      </c>
      <c r="D234" s="1504" t="s">
        <v>608</v>
      </c>
      <c r="E234" s="1504" t="s">
        <v>612</v>
      </c>
      <c r="F234" s="983">
        <f t="shared" ref="F234:N234" si="22">0*(1/Unit.TWh)</f>
        <v>0</v>
      </c>
      <c r="G234" s="983">
        <f t="shared" si="22"/>
        <v>0</v>
      </c>
      <c r="H234" s="983">
        <f t="shared" si="22"/>
        <v>0</v>
      </c>
      <c r="I234" s="983">
        <f t="shared" si="22"/>
        <v>0</v>
      </c>
      <c r="J234" s="983">
        <f t="shared" si="22"/>
        <v>0</v>
      </c>
      <c r="K234" s="983">
        <f t="shared" si="22"/>
        <v>0</v>
      </c>
      <c r="L234" s="983">
        <f t="shared" si="22"/>
        <v>0</v>
      </c>
      <c r="M234" s="983">
        <f t="shared" si="22"/>
        <v>0</v>
      </c>
      <c r="N234" s="983">
        <f t="shared" si="22"/>
        <v>0</v>
      </c>
    </row>
    <row r="235" spans="2:14" s="1615" customFormat="1" x14ac:dyDescent="0.2">
      <c r="B235" s="1419"/>
      <c r="C235" s="1631" t="s">
        <v>362</v>
      </c>
      <c r="D235" s="1504" t="s">
        <v>608</v>
      </c>
      <c r="E235" s="1504" t="s">
        <v>2273</v>
      </c>
      <c r="F235" s="983">
        <f>0.00181607897153511*(1/Unit.TWh)</f>
        <v>1.81607897153511E-3</v>
      </c>
      <c r="G235" s="983">
        <f>0.0023443095515625*(1/Unit.TWh)</f>
        <v>2.3443095515624998E-3</v>
      </c>
      <c r="H235" s="983">
        <f>0.00234138971705812*(1/Unit.TWh)</f>
        <v>2.3413897170581201E-3</v>
      </c>
      <c r="I235" s="983">
        <f>0.00233778540323651*(1/Unit.TWh)</f>
        <v>2.3377854032365099E-3</v>
      </c>
      <c r="J235" s="983">
        <f>0.00234264028589595*(1/Unit.TWh)</f>
        <v>2.3426402858959501E-3</v>
      </c>
      <c r="K235" s="983">
        <f>0.00234264028589595*(1/Unit.TWh)</f>
        <v>2.3426402858959501E-3</v>
      </c>
      <c r="L235" s="983">
        <f>0.00234264028589595*(1/Unit.TWh)</f>
        <v>2.3426402858959501E-3</v>
      </c>
      <c r="M235" s="983">
        <f>0.00234264028589595*(1/Unit.TWh)</f>
        <v>2.3426402858959501E-3</v>
      </c>
      <c r="N235" s="983">
        <f>0.00234264028589595*(1/Unit.TWh)</f>
        <v>2.3426402858959501E-3</v>
      </c>
    </row>
    <row r="236" spans="2:14" s="1615" customFormat="1" x14ac:dyDescent="0.2">
      <c r="B236" s="1419"/>
      <c r="C236" s="1631" t="s">
        <v>362</v>
      </c>
      <c r="D236" s="1504" t="s">
        <v>610</v>
      </c>
      <c r="E236" s="1504" t="s">
        <v>638</v>
      </c>
      <c r="F236" s="983">
        <f>0.0889473684210526*(1/Unit.TWh)</f>
        <v>8.8947368421052594E-2</v>
      </c>
      <c r="G236" s="983">
        <f t="shared" ref="G236:N236" si="23">0.00157894736842105*(1/Unit.TWh)</f>
        <v>1.57894736842105E-3</v>
      </c>
      <c r="H236" s="983">
        <f t="shared" si="23"/>
        <v>1.57894736842105E-3</v>
      </c>
      <c r="I236" s="983">
        <f t="shared" si="23"/>
        <v>1.57894736842105E-3</v>
      </c>
      <c r="J236" s="983">
        <f t="shared" si="23"/>
        <v>1.57894736842105E-3</v>
      </c>
      <c r="K236" s="983">
        <f t="shared" si="23"/>
        <v>1.57894736842105E-3</v>
      </c>
      <c r="L236" s="983">
        <f t="shared" si="23"/>
        <v>1.57894736842105E-3</v>
      </c>
      <c r="M236" s="983">
        <f t="shared" si="23"/>
        <v>1.57894736842105E-3</v>
      </c>
      <c r="N236" s="983">
        <f t="shared" si="23"/>
        <v>1.57894736842105E-3</v>
      </c>
    </row>
    <row r="237" spans="2:14" s="1615" customFormat="1" x14ac:dyDescent="0.2">
      <c r="B237" s="1419"/>
      <c r="C237" s="1631" t="s">
        <v>362</v>
      </c>
      <c r="D237" s="1504" t="s">
        <v>610</v>
      </c>
      <c r="E237" s="1504" t="s">
        <v>639</v>
      </c>
      <c r="F237" s="983">
        <f t="shared" ref="F237:N237" si="24">0*(1/Unit.TWh)</f>
        <v>0</v>
      </c>
      <c r="G237" s="983">
        <f t="shared" si="24"/>
        <v>0</v>
      </c>
      <c r="H237" s="983">
        <f t="shared" si="24"/>
        <v>0</v>
      </c>
      <c r="I237" s="983">
        <f t="shared" si="24"/>
        <v>0</v>
      </c>
      <c r="J237" s="983">
        <f t="shared" si="24"/>
        <v>0</v>
      </c>
      <c r="K237" s="983">
        <f t="shared" si="24"/>
        <v>0</v>
      </c>
      <c r="L237" s="983">
        <f t="shared" si="24"/>
        <v>0</v>
      </c>
      <c r="M237" s="983">
        <f t="shared" si="24"/>
        <v>0</v>
      </c>
      <c r="N237" s="983">
        <f t="shared" si="24"/>
        <v>0</v>
      </c>
    </row>
    <row r="238" spans="2:14" s="1615" customFormat="1" x14ac:dyDescent="0.2">
      <c r="B238" s="1419"/>
      <c r="C238" s="1631" t="s">
        <v>362</v>
      </c>
      <c r="D238" s="1504" t="s">
        <v>611</v>
      </c>
      <c r="E238" s="1504" t="s">
        <v>611</v>
      </c>
      <c r="F238" s="983">
        <f t="shared" ref="F238:N238" si="25">0.0636888078778714*(1/Unit.TWh)</f>
        <v>6.3688807877871401E-2</v>
      </c>
      <c r="G238" s="983">
        <f t="shared" si="25"/>
        <v>6.3688807877871401E-2</v>
      </c>
      <c r="H238" s="983">
        <f t="shared" si="25"/>
        <v>6.3688807877871401E-2</v>
      </c>
      <c r="I238" s="983">
        <f t="shared" si="25"/>
        <v>6.3688807877871401E-2</v>
      </c>
      <c r="J238" s="983">
        <f t="shared" si="25"/>
        <v>6.3688807877871401E-2</v>
      </c>
      <c r="K238" s="983">
        <f t="shared" si="25"/>
        <v>6.3688807877871401E-2</v>
      </c>
      <c r="L238" s="983">
        <f t="shared" si="25"/>
        <v>6.3688807877871401E-2</v>
      </c>
      <c r="M238" s="983">
        <f t="shared" si="25"/>
        <v>6.3688807877871401E-2</v>
      </c>
      <c r="N238" s="983">
        <f t="shared" si="25"/>
        <v>6.3688807877871401E-2</v>
      </c>
    </row>
    <row r="239" spans="2:14" s="1411" customFormat="1" ht="15.75" x14ac:dyDescent="0.25">
      <c r="B239" s="604"/>
      <c r="C239" s="606"/>
      <c r="D239" s="1415"/>
      <c r="E239" s="488"/>
      <c r="F239" s="601"/>
      <c r="G239" s="602"/>
      <c r="H239" s="602"/>
      <c r="I239" s="602"/>
      <c r="J239" s="602"/>
      <c r="K239" s="227"/>
      <c r="L239" s="227"/>
      <c r="M239" s="227"/>
      <c r="N239" s="227"/>
    </row>
    <row r="240" spans="2:14" s="1615" customFormat="1" x14ac:dyDescent="0.2">
      <c r="B240" s="1419"/>
      <c r="C240" s="1417" t="s">
        <v>1800</v>
      </c>
      <c r="D240" s="1416"/>
      <c r="E240" s="1416"/>
      <c r="F240" s="1416"/>
      <c r="G240" s="1416"/>
      <c r="H240" s="1416"/>
      <c r="I240" s="1416"/>
      <c r="J240" s="1416"/>
      <c r="K240" s="1416"/>
      <c r="L240" s="1416"/>
      <c r="M240" s="1416"/>
      <c r="N240" s="1416" t="str">
        <f>"kt per "&amp;Preferences.EnergyUnits</f>
        <v>kt per TWh</v>
      </c>
    </row>
    <row r="241" spans="2:14" s="1615" customFormat="1" ht="5.25" customHeight="1" x14ac:dyDescent="0.2">
      <c r="B241" s="1419"/>
      <c r="C241" s="1416"/>
      <c r="D241" s="1416"/>
      <c r="E241" s="713"/>
      <c r="F241" s="712"/>
      <c r="G241" s="1416"/>
      <c r="H241" s="1416"/>
      <c r="I241" s="1416"/>
      <c r="J241" s="1416"/>
      <c r="K241" s="1416"/>
      <c r="L241" s="1416"/>
      <c r="M241" s="1416"/>
      <c r="N241" s="1416"/>
    </row>
    <row r="242" spans="2:14" s="1615" customFormat="1" x14ac:dyDescent="0.2">
      <c r="B242" s="1419"/>
      <c r="C242" s="1634" t="s">
        <v>69</v>
      </c>
      <c r="D242" s="1634" t="s">
        <v>592</v>
      </c>
      <c r="E242" s="1635" t="s">
        <v>343</v>
      </c>
      <c r="F242" s="1636" t="s">
        <v>241</v>
      </c>
      <c r="G242" s="1636" t="s">
        <v>268</v>
      </c>
      <c r="H242" s="1636" t="s">
        <v>269</v>
      </c>
      <c r="I242" s="1636" t="s">
        <v>270</v>
      </c>
      <c r="J242" s="1636" t="s">
        <v>271</v>
      </c>
      <c r="K242" s="1636" t="s">
        <v>272</v>
      </c>
      <c r="L242" s="1636" t="s">
        <v>273</v>
      </c>
      <c r="M242" s="1636" t="s">
        <v>274</v>
      </c>
      <c r="N242" s="1636" t="s">
        <v>275</v>
      </c>
    </row>
    <row r="243" spans="2:14" s="1615" customFormat="1" x14ac:dyDescent="0.2">
      <c r="B243" s="1419"/>
      <c r="C243" s="1631" t="s">
        <v>362</v>
      </c>
      <c r="D243" s="1505" t="s">
        <v>607</v>
      </c>
      <c r="E243" s="1632" t="s">
        <v>2272</v>
      </c>
      <c r="F243" s="983">
        <f>0.181296600733908*(1/Unit.TWh)</f>
        <v>0.18129660073390799</v>
      </c>
      <c r="G243" s="983">
        <f>0.0945292521903705*(1/Unit.TWh)</f>
        <v>9.4529252190370505E-2</v>
      </c>
      <c r="H243" s="983">
        <f>0.0850375686331767*(1/Unit.TWh)</f>
        <v>8.5037568633176699E-2</v>
      </c>
      <c r="I243" s="983">
        <f>0.094191138945187*(1/Unit.TWh)</f>
        <v>9.4191138945187006E-2</v>
      </c>
      <c r="J243" s="983">
        <f>0.10328721110497*(1/Unit.TWh)</f>
        <v>0.10328721110496999</v>
      </c>
      <c r="K243" s="983">
        <f>0.104417552656862*(1/Unit.TWh)</f>
        <v>0.10441755265686201</v>
      </c>
      <c r="L243" s="983">
        <f>0.104417552656862*(1/Unit.TWh)</f>
        <v>0.10441755265686201</v>
      </c>
      <c r="M243" s="983">
        <f>0.104417552656862*(1/Unit.TWh)</f>
        <v>0.10441755265686201</v>
      </c>
      <c r="N243" s="983">
        <f>0.104417552656862*(1/Unit.TWh)</f>
        <v>0.10441755265686201</v>
      </c>
    </row>
    <row r="244" spans="2:14" s="1615" customFormat="1" x14ac:dyDescent="0.2">
      <c r="B244" s="1419"/>
      <c r="C244" s="1631" t="s">
        <v>362</v>
      </c>
      <c r="D244" s="1504" t="s">
        <v>607</v>
      </c>
      <c r="E244" s="1504" t="s">
        <v>923</v>
      </c>
      <c r="F244" s="1633">
        <f>0.512086079872255*(1/Unit.TWh)</f>
        <v>0.51208607987225496</v>
      </c>
      <c r="G244" s="1633">
        <f>0.0739200626000864*(1/Unit.TWh)</f>
        <v>7.3920062600086406E-2</v>
      </c>
      <c r="H244" s="1633">
        <f>0.0795676596126434*(1/Unit.TWh)</f>
        <v>7.9567659612643393E-2</v>
      </c>
      <c r="I244" s="1633">
        <f>0.0948271493238094*(1/Unit.TWh)</f>
        <v>9.4827149323809395E-2</v>
      </c>
      <c r="J244" s="1633">
        <f>0.105685788104865*(1/Unit.TWh)</f>
        <v>0.10568578810486499</v>
      </c>
      <c r="K244" s="1633">
        <f>0.1076037190493*(1/Unit.TWh)</f>
        <v>0.1076037190493</v>
      </c>
      <c r="L244" s="1633">
        <f>0.1076037190493*(1/Unit.TWh)</f>
        <v>0.1076037190493</v>
      </c>
      <c r="M244" s="1633">
        <f>0.1076037190493*(1/Unit.TWh)</f>
        <v>0.1076037190493</v>
      </c>
      <c r="N244" s="1633">
        <f>0.1076037190493*(1/Unit.TWh)</f>
        <v>0.1076037190493</v>
      </c>
    </row>
    <row r="245" spans="2:14" s="1615" customFormat="1" x14ac:dyDescent="0.2">
      <c r="B245" s="1419"/>
      <c r="C245" s="1631" t="s">
        <v>362</v>
      </c>
      <c r="D245" s="1504" t="s">
        <v>607</v>
      </c>
      <c r="E245" s="1504" t="s">
        <v>612</v>
      </c>
      <c r="F245" s="1633">
        <f t="shared" ref="F245:N245" si="26">0*(1/Unit.TWh)</f>
        <v>0</v>
      </c>
      <c r="G245" s="1633">
        <f t="shared" si="26"/>
        <v>0</v>
      </c>
      <c r="H245" s="1633">
        <f t="shared" si="26"/>
        <v>0</v>
      </c>
      <c r="I245" s="1633">
        <f t="shared" si="26"/>
        <v>0</v>
      </c>
      <c r="J245" s="1633">
        <f t="shared" si="26"/>
        <v>0</v>
      </c>
      <c r="K245" s="1633">
        <f t="shared" si="26"/>
        <v>0</v>
      </c>
      <c r="L245" s="1633">
        <f t="shared" si="26"/>
        <v>0</v>
      </c>
      <c r="M245" s="1633">
        <f t="shared" si="26"/>
        <v>0</v>
      </c>
      <c r="N245" s="1633">
        <f t="shared" si="26"/>
        <v>0</v>
      </c>
    </row>
    <row r="246" spans="2:14" s="1615" customFormat="1" x14ac:dyDescent="0.2">
      <c r="B246" s="1419"/>
      <c r="C246" s="1631" t="s">
        <v>362</v>
      </c>
      <c r="D246" s="1504" t="s">
        <v>607</v>
      </c>
      <c r="E246" s="1504" t="s">
        <v>2273</v>
      </c>
      <c r="F246" s="983">
        <f>0.00419060073008392*(1/Unit.TWh)</f>
        <v>4.1906007300839196E-3</v>
      </c>
      <c r="G246" s="983">
        <f>0.00422133980427538*(1/Unit.TWh)</f>
        <v>4.22133980427538E-3</v>
      </c>
      <c r="H246" s="983">
        <f>0.00422141672632296*(1/Unit.TWh)</f>
        <v>4.2214167263229596E-3</v>
      </c>
      <c r="I246" s="983">
        <f>0.00422151168074551*(1/Unit.TWh)</f>
        <v>4.2215116807455101E-3</v>
      </c>
      <c r="J246" s="983">
        <f>0.00422138378051199*(1/Unit.TWh)</f>
        <v>4.2213837805119897E-3</v>
      </c>
      <c r="K246" s="983">
        <f>0.00422138378051199*(1/Unit.TWh)</f>
        <v>4.2213837805119897E-3</v>
      </c>
      <c r="L246" s="983">
        <f>0.00422138378051199*(1/Unit.TWh)</f>
        <v>4.2213837805119897E-3</v>
      </c>
      <c r="M246" s="983">
        <f>0.00422138378051199*(1/Unit.TWh)</f>
        <v>4.2213837805119897E-3</v>
      </c>
      <c r="N246" s="983">
        <f>0.00422138378051199*(1/Unit.TWh)</f>
        <v>4.2213837805119897E-3</v>
      </c>
    </row>
    <row r="247" spans="2:14" s="1615" customFormat="1" x14ac:dyDescent="0.2">
      <c r="B247" s="1419"/>
      <c r="C247" s="1631" t="s">
        <v>362</v>
      </c>
      <c r="D247" s="1504" t="s">
        <v>608</v>
      </c>
      <c r="E247" s="1504" t="s">
        <v>2272</v>
      </c>
      <c r="F247" s="1633">
        <f>0.0626530846063083*(1/Unit.TWh)</f>
        <v>6.2653084606308307E-2</v>
      </c>
      <c r="G247" s="1633">
        <f>0.02664553291965*(1/Unit.TWh)</f>
        <v>2.6645532919650002E-2</v>
      </c>
      <c r="H247" s="1633">
        <f>0.00855895278162065*(1/Unit.TWh)</f>
        <v>8.55895278162065E-3</v>
      </c>
      <c r="I247" s="1633">
        <f>0.00253299067775509*(1/Unit.TWh)</f>
        <v>2.5329906777550901E-3</v>
      </c>
      <c r="J247" s="1633">
        <f>0.00144201810245964*(1/Unit.TWh)</f>
        <v>1.4420181024596399E-3</v>
      </c>
      <c r="K247" s="1633">
        <f>0.00138284728854744*(1/Unit.TWh)</f>
        <v>1.38284728854744E-3</v>
      </c>
      <c r="L247" s="1633">
        <f>0.00138284728854744*(1/Unit.TWh)</f>
        <v>1.38284728854744E-3</v>
      </c>
      <c r="M247" s="1633">
        <f>0.00138284728854744*(1/Unit.TWh)</f>
        <v>1.38284728854744E-3</v>
      </c>
      <c r="N247" s="1633">
        <f>0.00138284728854744*(1/Unit.TWh)</f>
        <v>1.38284728854744E-3</v>
      </c>
    </row>
    <row r="248" spans="2:14" s="1615" customFormat="1" x14ac:dyDescent="0.2">
      <c r="B248" s="1419"/>
      <c r="C248" s="1631" t="s">
        <v>362</v>
      </c>
      <c r="D248" s="1504" t="s">
        <v>608</v>
      </c>
      <c r="E248" s="1504" t="s">
        <v>923</v>
      </c>
      <c r="F248" s="983">
        <f>0.0075994981919464*(1/Unit.TWh)</f>
        <v>7.5994981919464003E-3</v>
      </c>
      <c r="G248" s="983">
        <f>0.0053889828787517*(1/Unit.TWh)</f>
        <v>5.3889828787517004E-3</v>
      </c>
      <c r="H248" s="983">
        <f>0.00325356899833647*(1/Unit.TWh)</f>
        <v>3.25356899833647E-3</v>
      </c>
      <c r="I248" s="983">
        <f>0.00230602269131357*(1/Unit.TWh)</f>
        <v>2.3060226913135702E-3</v>
      </c>
      <c r="J248" s="983">
        <f>0.00206324453467557*(1/Unit.TWh)</f>
        <v>2.06324453467557E-3</v>
      </c>
      <c r="K248" s="983">
        <f>0.00197860821101618*(1/Unit.TWh)</f>
        <v>1.97860821101618E-3</v>
      </c>
      <c r="L248" s="983">
        <f>0.00197860821101618*(1/Unit.TWh)</f>
        <v>1.97860821101618E-3</v>
      </c>
      <c r="M248" s="983">
        <f>0.00197860821101618*(1/Unit.TWh)</f>
        <v>1.97860821101618E-3</v>
      </c>
      <c r="N248" s="983">
        <f>0.00197860821101618*(1/Unit.TWh)</f>
        <v>1.97860821101618E-3</v>
      </c>
    </row>
    <row r="249" spans="2:14" s="1615" customFormat="1" x14ac:dyDescent="0.2">
      <c r="B249" s="1419"/>
      <c r="C249" s="1631" t="s">
        <v>362</v>
      </c>
      <c r="D249" s="1504" t="s">
        <v>608</v>
      </c>
      <c r="E249" s="1504" t="s">
        <v>612</v>
      </c>
      <c r="F249" s="983">
        <f t="shared" ref="F249:N249" si="27">0*(1/Unit.TWh)</f>
        <v>0</v>
      </c>
      <c r="G249" s="983">
        <f t="shared" si="27"/>
        <v>0</v>
      </c>
      <c r="H249" s="983">
        <f t="shared" si="27"/>
        <v>0</v>
      </c>
      <c r="I249" s="983">
        <f t="shared" si="27"/>
        <v>0</v>
      </c>
      <c r="J249" s="983">
        <f t="shared" si="27"/>
        <v>0</v>
      </c>
      <c r="K249" s="983">
        <f t="shared" si="27"/>
        <v>0</v>
      </c>
      <c r="L249" s="983">
        <f t="shared" si="27"/>
        <v>0</v>
      </c>
      <c r="M249" s="983">
        <f t="shared" si="27"/>
        <v>0</v>
      </c>
      <c r="N249" s="983">
        <f t="shared" si="27"/>
        <v>0</v>
      </c>
    </row>
    <row r="250" spans="2:14" s="1615" customFormat="1" x14ac:dyDescent="0.2">
      <c r="B250" s="1419"/>
      <c r="C250" s="1631" t="s">
        <v>362</v>
      </c>
      <c r="D250" s="1504" t="s">
        <v>608</v>
      </c>
      <c r="E250" s="1504" t="s">
        <v>2273</v>
      </c>
      <c r="F250" s="983">
        <f>0.00419060073008392*(1/Unit.TWh)</f>
        <v>4.1906007300839196E-3</v>
      </c>
      <c r="G250" s="983">
        <f>0.00422133980427538*(1/Unit.TWh)</f>
        <v>4.22133980427538E-3</v>
      </c>
      <c r="H250" s="983">
        <f>0.00422141672632296*(1/Unit.TWh)</f>
        <v>4.2214167263229596E-3</v>
      </c>
      <c r="I250" s="983">
        <f>0.00422151168074551*(1/Unit.TWh)</f>
        <v>4.2215116807455101E-3</v>
      </c>
      <c r="J250" s="983">
        <f>0.00422138378051199*(1/Unit.TWh)</f>
        <v>4.2213837805119897E-3</v>
      </c>
      <c r="K250" s="983">
        <f>0.00422138378051199*(1/Unit.TWh)</f>
        <v>4.2213837805119897E-3</v>
      </c>
      <c r="L250" s="983">
        <f>0.00422138378051199*(1/Unit.TWh)</f>
        <v>4.2213837805119897E-3</v>
      </c>
      <c r="M250" s="983">
        <f>0.00422138378051199*(1/Unit.TWh)</f>
        <v>4.2213837805119897E-3</v>
      </c>
      <c r="N250" s="983">
        <f>0.00422138378051199*(1/Unit.TWh)</f>
        <v>4.2213837805119897E-3</v>
      </c>
    </row>
    <row r="251" spans="2:14" s="1615" customFormat="1" x14ac:dyDescent="0.2">
      <c r="B251" s="1419"/>
      <c r="C251" s="1631" t="s">
        <v>362</v>
      </c>
      <c r="D251" s="1504" t="s">
        <v>610</v>
      </c>
      <c r="E251" s="1504" t="s">
        <v>638</v>
      </c>
      <c r="F251" s="983">
        <f>0.766563914490118*(1/Unit.TWh)</f>
        <v>0.76656391449011796</v>
      </c>
      <c r="G251" s="983">
        <f>0.6719146787679*(1/Unit.TWh)</f>
        <v>0.67191467876790001</v>
      </c>
      <c r="H251" s="983">
        <f>0.570751027801786*(1/Unit.TWh)</f>
        <v>0.57075102780178599</v>
      </c>
      <c r="I251" s="983">
        <f>0.469587376835671*(1/Unit.TWh)</f>
        <v>0.46958737683567098</v>
      </c>
      <c r="J251" s="983">
        <f>0.368423725869557*(1/Unit.TWh)</f>
        <v>0.36842372586955702</v>
      </c>
      <c r="K251" s="983">
        <f>0.267260074903443*(1/Unit.TWh)</f>
        <v>0.267260074903443</v>
      </c>
      <c r="L251" s="983">
        <f>0.22432517854802*(1/Unit.TWh)</f>
        <v>0.22432517854802</v>
      </c>
      <c r="M251" s="983">
        <f>0.217810763304124*(1/Unit.TWh)</f>
        <v>0.21781076330412399</v>
      </c>
      <c r="N251" s="983">
        <f>0.217810763304124*(1/Unit.TWh)</f>
        <v>0.21781076330412399</v>
      </c>
    </row>
    <row r="252" spans="2:14" s="1615" customFormat="1" x14ac:dyDescent="0.2">
      <c r="B252" s="1419"/>
      <c r="C252" s="1631" t="s">
        <v>362</v>
      </c>
      <c r="D252" s="1504" t="s">
        <v>610</v>
      </c>
      <c r="E252" s="1504" t="s">
        <v>639</v>
      </c>
      <c r="F252" s="983">
        <f t="shared" ref="F252:N252" si="28">0*(1/Unit.TWh)</f>
        <v>0</v>
      </c>
      <c r="G252" s="983">
        <f t="shared" si="28"/>
        <v>0</v>
      </c>
      <c r="H252" s="983">
        <f t="shared" si="28"/>
        <v>0</v>
      </c>
      <c r="I252" s="983">
        <f t="shared" si="28"/>
        <v>0</v>
      </c>
      <c r="J252" s="983">
        <f t="shared" si="28"/>
        <v>0</v>
      </c>
      <c r="K252" s="983">
        <f t="shared" si="28"/>
        <v>0</v>
      </c>
      <c r="L252" s="983">
        <f t="shared" si="28"/>
        <v>0</v>
      </c>
      <c r="M252" s="983">
        <f t="shared" si="28"/>
        <v>0</v>
      </c>
      <c r="N252" s="983">
        <f t="shared" si="28"/>
        <v>0</v>
      </c>
    </row>
    <row r="253" spans="2:14" s="1615" customFormat="1" x14ac:dyDescent="0.2">
      <c r="B253" s="1419"/>
      <c r="C253" s="1631" t="s">
        <v>362</v>
      </c>
      <c r="D253" s="1504" t="s">
        <v>611</v>
      </c>
      <c r="E253" s="1504" t="s">
        <v>611</v>
      </c>
      <c r="F253" s="983">
        <f t="shared" ref="F253:N253" si="29">0.241314479349626*(1/Unit.TWh)</f>
        <v>0.24131447934962599</v>
      </c>
      <c r="G253" s="983">
        <f t="shared" si="29"/>
        <v>0.24131447934962599</v>
      </c>
      <c r="H253" s="983">
        <f t="shared" si="29"/>
        <v>0.24131447934962599</v>
      </c>
      <c r="I253" s="983">
        <f t="shared" si="29"/>
        <v>0.24131447934962599</v>
      </c>
      <c r="J253" s="983">
        <f t="shared" si="29"/>
        <v>0.24131447934962599</v>
      </c>
      <c r="K253" s="983">
        <f t="shared" si="29"/>
        <v>0.24131447934962599</v>
      </c>
      <c r="L253" s="983">
        <f t="shared" si="29"/>
        <v>0.24131447934962599</v>
      </c>
      <c r="M253" s="983">
        <f t="shared" si="29"/>
        <v>0.24131447934962599</v>
      </c>
      <c r="N253" s="983">
        <f t="shared" si="29"/>
        <v>0.24131447934962599</v>
      </c>
    </row>
    <row r="254" spans="2:14" s="1615" customFormat="1" x14ac:dyDescent="0.2">
      <c r="B254" s="1419"/>
      <c r="C254" s="1631"/>
      <c r="D254" s="1504"/>
      <c r="E254" s="1504"/>
      <c r="F254" s="1633"/>
      <c r="G254" s="983"/>
      <c r="H254" s="983"/>
      <c r="I254" s="983"/>
      <c r="J254" s="983"/>
      <c r="K254" s="983"/>
      <c r="L254" s="983"/>
      <c r="M254" s="983"/>
      <c r="N254" s="983"/>
    </row>
    <row r="255" spans="2:14" s="2022" customFormat="1" x14ac:dyDescent="0.2">
      <c r="B255" s="1419"/>
      <c r="C255" s="1417" t="s">
        <v>1909</v>
      </c>
      <c r="D255" s="1416"/>
      <c r="E255" s="1416"/>
      <c r="F255" s="1416"/>
      <c r="G255" s="1416"/>
      <c r="H255" s="1416"/>
      <c r="I255" s="1416"/>
      <c r="J255" s="1416"/>
      <c r="K255" s="1416"/>
      <c r="L255" s="1416"/>
      <c r="M255" s="1416"/>
      <c r="N255" s="1416" t="s">
        <v>1910</v>
      </c>
    </row>
    <row r="256" spans="2:14" s="2022" customFormat="1" ht="7.5" customHeight="1" x14ac:dyDescent="0.2">
      <c r="B256" s="1419"/>
      <c r="C256" s="1416"/>
      <c r="D256" s="1416"/>
      <c r="E256" s="713"/>
      <c r="F256" s="712"/>
      <c r="G256" s="1416"/>
      <c r="H256" s="1416"/>
      <c r="I256" s="1416"/>
      <c r="J256" s="1416"/>
      <c r="K256" s="1416"/>
      <c r="L256" s="1416"/>
      <c r="M256" s="1416"/>
      <c r="N256" s="1416"/>
    </row>
    <row r="257" spans="2:14" s="2022" customFormat="1" x14ac:dyDescent="0.2">
      <c r="B257" s="1419"/>
      <c r="C257" s="1803" t="s">
        <v>69</v>
      </c>
      <c r="D257" s="1803" t="s">
        <v>592</v>
      </c>
      <c r="E257" s="1629" t="s">
        <v>343</v>
      </c>
      <c r="F257" s="1804" t="s">
        <v>241</v>
      </c>
      <c r="G257" s="1804" t="s">
        <v>268</v>
      </c>
      <c r="H257" s="1804" t="s">
        <v>269</v>
      </c>
      <c r="I257" s="1804" t="s">
        <v>270</v>
      </c>
      <c r="J257" s="1804" t="s">
        <v>271</v>
      </c>
      <c r="K257" s="1804" t="s">
        <v>272</v>
      </c>
      <c r="L257" s="1804" t="s">
        <v>273</v>
      </c>
      <c r="M257" s="1804" t="s">
        <v>274</v>
      </c>
      <c r="N257" s="1630" t="s">
        <v>275</v>
      </c>
    </row>
    <row r="258" spans="2:14" s="2022" customFormat="1" x14ac:dyDescent="0.2">
      <c r="B258" s="1419"/>
      <c r="C258" s="1805" t="s">
        <v>362</v>
      </c>
      <c r="D258" s="2153" t="s">
        <v>611</v>
      </c>
      <c r="E258" s="2153" t="s">
        <v>611</v>
      </c>
      <c r="F258" s="2154">
        <v>0.27388000000000001</v>
      </c>
      <c r="G258" s="2154">
        <f>F258</f>
        <v>0.27388000000000001</v>
      </c>
      <c r="H258" s="2154">
        <f t="shared" ref="H258:N258" si="30">G258</f>
        <v>0.27388000000000001</v>
      </c>
      <c r="I258" s="2154">
        <f t="shared" si="30"/>
        <v>0.27388000000000001</v>
      </c>
      <c r="J258" s="2154">
        <f t="shared" si="30"/>
        <v>0.27388000000000001</v>
      </c>
      <c r="K258" s="2154">
        <f t="shared" si="30"/>
        <v>0.27388000000000001</v>
      </c>
      <c r="L258" s="2154">
        <f t="shared" si="30"/>
        <v>0.27388000000000001</v>
      </c>
      <c r="M258" s="2154">
        <f t="shared" si="30"/>
        <v>0.27388000000000001</v>
      </c>
      <c r="N258" s="2154">
        <f t="shared" si="30"/>
        <v>0.27388000000000001</v>
      </c>
    </row>
    <row r="259" spans="2:14" s="2022" customFormat="1" x14ac:dyDescent="0.2">
      <c r="B259" s="1419"/>
      <c r="C259" s="1631"/>
      <c r="D259" s="1504"/>
      <c r="E259" s="1504"/>
      <c r="F259" s="1633"/>
      <c r="G259" s="983"/>
      <c r="H259" s="983"/>
      <c r="I259" s="983"/>
      <c r="J259" s="983"/>
      <c r="K259" s="983"/>
      <c r="L259" s="983"/>
      <c r="M259" s="983"/>
      <c r="N259" s="983"/>
    </row>
    <row r="260" spans="2:14" s="2022" customFormat="1" x14ac:dyDescent="0.2">
      <c r="B260" s="1419"/>
      <c r="C260" s="1631"/>
      <c r="D260" s="1504"/>
      <c r="E260" s="1504"/>
      <c r="F260" s="1633"/>
      <c r="G260" s="983"/>
      <c r="H260" s="983"/>
      <c r="I260" s="983"/>
      <c r="J260" s="983"/>
      <c r="K260" s="983"/>
      <c r="L260" s="983"/>
      <c r="M260" s="983"/>
      <c r="N260" s="983"/>
    </row>
    <row r="261" spans="2:14" s="81" customFormat="1" ht="15.75" x14ac:dyDescent="0.25">
      <c r="B261" s="604"/>
      <c r="C261" s="144" t="s">
        <v>266</v>
      </c>
      <c r="D261" s="345"/>
      <c r="E261" s="145"/>
      <c r="F261" s="601"/>
      <c r="G261" s="602"/>
      <c r="H261" s="602"/>
      <c r="I261" s="602"/>
      <c r="J261" s="602"/>
      <c r="K261" s="227"/>
      <c r="L261" s="227"/>
      <c r="M261" s="227"/>
      <c r="N261" s="227"/>
    </row>
    <row r="262" spans="2:14" s="81" customFormat="1" ht="15.75" x14ac:dyDescent="0.25">
      <c r="B262" s="604"/>
      <c r="C262" s="237" t="s">
        <v>93</v>
      </c>
      <c r="D262" s="145" t="s">
        <v>2288</v>
      </c>
      <c r="E262" s="145"/>
      <c r="F262" s="601"/>
      <c r="G262" s="602"/>
      <c r="H262" s="602"/>
      <c r="I262" s="602"/>
      <c r="J262" s="602"/>
      <c r="K262" s="227"/>
      <c r="L262" s="227"/>
      <c r="M262" s="227"/>
      <c r="N262" s="227"/>
    </row>
    <row r="263" spans="2:14" s="81" customFormat="1" ht="15.75" x14ac:dyDescent="0.25">
      <c r="B263" s="604"/>
      <c r="C263" s="237"/>
      <c r="D263" s="145" t="s">
        <v>2289</v>
      </c>
      <c r="E263" s="145"/>
      <c r="F263" s="601"/>
      <c r="G263" s="602"/>
      <c r="H263" s="602"/>
      <c r="I263" s="602"/>
      <c r="J263" s="602"/>
      <c r="K263" s="227"/>
      <c r="L263" s="227"/>
      <c r="M263" s="227"/>
      <c r="N263" s="227"/>
    </row>
    <row r="264" spans="2:14" s="81" customFormat="1" ht="15.75" x14ac:dyDescent="0.25">
      <c r="B264" s="604"/>
      <c r="C264" s="237" t="s">
        <v>170</v>
      </c>
      <c r="D264" s="145" t="s">
        <v>929</v>
      </c>
      <c r="E264" s="145"/>
      <c r="F264" s="601"/>
      <c r="G264" s="602"/>
      <c r="H264" s="602"/>
      <c r="I264" s="602"/>
      <c r="J264" s="602"/>
      <c r="K264" s="227"/>
      <c r="L264" s="227"/>
      <c r="M264" s="227"/>
      <c r="N264" s="227"/>
    </row>
    <row r="265" spans="2:14" s="81" customFormat="1" ht="15.75" x14ac:dyDescent="0.25">
      <c r="B265" s="604"/>
      <c r="C265" s="237"/>
      <c r="D265" s="145"/>
      <c r="E265" s="145"/>
      <c r="F265" s="601"/>
      <c r="G265" s="602"/>
      <c r="H265" s="602"/>
      <c r="I265" s="602"/>
      <c r="J265" s="602"/>
      <c r="K265" s="227"/>
      <c r="L265" s="227"/>
      <c r="M265" s="227"/>
      <c r="N265" s="227"/>
    </row>
    <row r="266" spans="2:14" s="81" customFormat="1" ht="15.75" x14ac:dyDescent="0.25">
      <c r="B266" s="604"/>
      <c r="C266" s="237"/>
      <c r="D266" s="145"/>
      <c r="E266" s="145"/>
      <c r="F266" s="601"/>
      <c r="G266" s="602"/>
      <c r="H266" s="602"/>
      <c r="I266" s="602"/>
      <c r="J266" s="602"/>
      <c r="K266" s="227"/>
      <c r="L266" s="227"/>
      <c r="M266" s="227"/>
      <c r="N266" s="227"/>
    </row>
    <row r="267" spans="2:14" s="1411" customFormat="1" ht="15.75" x14ac:dyDescent="0.25">
      <c r="B267" s="604"/>
      <c r="C267" s="237"/>
      <c r="D267" s="1415"/>
      <c r="E267" s="1415"/>
      <c r="F267" s="601"/>
      <c r="G267" s="602"/>
      <c r="H267" s="602"/>
      <c r="I267" s="602"/>
      <c r="J267" s="602"/>
      <c r="K267" s="227"/>
      <c r="L267" s="227"/>
      <c r="M267" s="227"/>
      <c r="N267" s="227"/>
    </row>
    <row r="268" spans="2:14" s="1411" customFormat="1" ht="15.75" x14ac:dyDescent="0.25">
      <c r="B268" s="604"/>
      <c r="C268" s="1255" t="s">
        <v>1466</v>
      </c>
      <c r="D268" s="1871"/>
      <c r="E268" s="1871"/>
      <c r="F268" s="601"/>
      <c r="G268" s="602"/>
      <c r="H268" s="602"/>
      <c r="I268" s="602"/>
      <c r="J268" s="602"/>
      <c r="K268" s="227"/>
      <c r="L268" s="227"/>
      <c r="M268" s="227"/>
      <c r="N268" s="227"/>
    </row>
    <row r="269" spans="2:14" s="1411" customFormat="1" x14ac:dyDescent="0.2">
      <c r="B269" s="465"/>
      <c r="C269" s="176"/>
      <c r="D269" s="1416"/>
      <c r="E269" s="465"/>
      <c r="F269" s="601"/>
      <c r="G269" s="176"/>
      <c r="H269" s="602"/>
      <c r="I269" s="602"/>
      <c r="J269" s="602"/>
      <c r="K269" s="227"/>
      <c r="L269" s="227"/>
      <c r="M269" s="227"/>
      <c r="N269" s="227"/>
    </row>
    <row r="270" spans="2:14" s="1411" customFormat="1" ht="15.75" x14ac:dyDescent="0.25">
      <c r="B270" s="604"/>
      <c r="C270" s="1905" t="s">
        <v>592</v>
      </c>
      <c r="D270" s="1905" t="s">
        <v>343</v>
      </c>
      <c r="E270" s="2252" t="s">
        <v>1472</v>
      </c>
      <c r="F270" s="601"/>
      <c r="G270" s="465"/>
      <c r="H270" s="602"/>
      <c r="I270" s="602"/>
      <c r="J270" s="602"/>
      <c r="K270" s="227"/>
      <c r="L270" s="227"/>
      <c r="M270" s="227"/>
      <c r="N270" s="227"/>
    </row>
    <row r="271" spans="2:14" s="1411" customFormat="1" ht="15.75" x14ac:dyDescent="0.25">
      <c r="B271" s="604"/>
      <c r="C271" s="1926" t="s">
        <v>609</v>
      </c>
      <c r="D271" s="1993" t="s">
        <v>609</v>
      </c>
      <c r="E271" s="2253">
        <v>7</v>
      </c>
      <c r="F271" s="601"/>
      <c r="G271" s="465"/>
      <c r="H271" s="602"/>
      <c r="I271" s="602"/>
      <c r="J271" s="602"/>
      <c r="K271" s="227"/>
      <c r="L271" s="227"/>
      <c r="M271" s="227"/>
      <c r="N271" s="227"/>
    </row>
    <row r="272" spans="2:14" s="1411" customFormat="1" ht="15.75" x14ac:dyDescent="0.25">
      <c r="B272" s="604"/>
      <c r="C272" s="1415" t="s">
        <v>607</v>
      </c>
      <c r="D272" s="1560" t="s">
        <v>2272</v>
      </c>
      <c r="E272" s="1272">
        <v>12</v>
      </c>
      <c r="F272" s="601"/>
      <c r="G272" s="465"/>
      <c r="H272" s="602"/>
      <c r="I272" s="602"/>
      <c r="J272" s="602"/>
      <c r="K272" s="227"/>
      <c r="L272" s="227"/>
      <c r="M272" s="227"/>
      <c r="N272" s="227"/>
    </row>
    <row r="273" spans="1:14" s="1411" customFormat="1" ht="15.75" x14ac:dyDescent="0.25">
      <c r="B273" s="604"/>
      <c r="C273" s="1415" t="s">
        <v>607</v>
      </c>
      <c r="D273" s="1560" t="s">
        <v>923</v>
      </c>
      <c r="E273" s="206">
        <v>12</v>
      </c>
      <c r="F273" s="601"/>
      <c r="G273" s="465"/>
      <c r="H273" s="602"/>
      <c r="I273" s="602"/>
      <c r="J273" s="602"/>
      <c r="K273" s="227"/>
      <c r="L273" s="227"/>
      <c r="M273" s="227"/>
      <c r="N273" s="227"/>
    </row>
    <row r="274" spans="1:14" s="1411" customFormat="1" ht="15.75" x14ac:dyDescent="0.25">
      <c r="B274" s="604"/>
      <c r="C274" s="1415" t="s">
        <v>607</v>
      </c>
      <c r="D274" s="1560" t="s">
        <v>612</v>
      </c>
      <c r="E274" s="206">
        <v>12</v>
      </c>
      <c r="F274" s="601"/>
      <c r="G274" s="465"/>
      <c r="H274" s="602"/>
      <c r="I274" s="602"/>
      <c r="J274" s="602"/>
      <c r="K274" s="227"/>
      <c r="L274" s="227"/>
      <c r="M274" s="227"/>
      <c r="N274" s="227"/>
    </row>
    <row r="275" spans="1:14" s="1411" customFormat="1" ht="15.75" x14ac:dyDescent="0.25">
      <c r="B275" s="604"/>
      <c r="C275" s="200" t="s">
        <v>607</v>
      </c>
      <c r="D275" s="1989" t="s">
        <v>2273</v>
      </c>
      <c r="E275" s="686">
        <v>12</v>
      </c>
      <c r="F275" s="601"/>
      <c r="G275" s="465"/>
      <c r="H275" s="602"/>
      <c r="I275" s="602"/>
      <c r="J275" s="602"/>
      <c r="K275" s="227"/>
      <c r="L275" s="227"/>
      <c r="M275" s="227"/>
      <c r="N275" s="227"/>
    </row>
    <row r="276" spans="1:14" s="1411" customFormat="1" ht="15.75" x14ac:dyDescent="0.25">
      <c r="B276" s="604"/>
      <c r="C276" s="1102" t="s">
        <v>608</v>
      </c>
      <c r="D276" s="1560" t="s">
        <v>2272</v>
      </c>
      <c r="E276" s="1272">
        <v>15</v>
      </c>
      <c r="F276" s="601"/>
      <c r="G276" s="465"/>
      <c r="H276" s="602"/>
      <c r="I276" s="602"/>
      <c r="J276" s="602"/>
      <c r="K276" s="227"/>
      <c r="L276" s="227"/>
      <c r="M276" s="227"/>
      <c r="N276" s="227"/>
    </row>
    <row r="277" spans="1:14" s="1411" customFormat="1" ht="15.75" x14ac:dyDescent="0.25">
      <c r="B277" s="604"/>
      <c r="C277" s="1415" t="s">
        <v>608</v>
      </c>
      <c r="D277" s="1560" t="s">
        <v>923</v>
      </c>
      <c r="E277" s="206">
        <v>15</v>
      </c>
      <c r="F277" s="601"/>
      <c r="G277" s="465"/>
      <c r="H277" s="602"/>
      <c r="I277" s="602"/>
      <c r="J277" s="602"/>
      <c r="K277" s="227"/>
      <c r="L277" s="227"/>
      <c r="M277" s="227"/>
      <c r="N277" s="227"/>
    </row>
    <row r="278" spans="1:14" s="1411" customFormat="1" ht="15.75" x14ac:dyDescent="0.25">
      <c r="B278" s="604"/>
      <c r="C278" s="1415" t="s">
        <v>608</v>
      </c>
      <c r="D278" s="1560" t="s">
        <v>612</v>
      </c>
      <c r="E278" s="206">
        <v>15</v>
      </c>
      <c r="F278" s="601"/>
      <c r="G278" s="465"/>
      <c r="H278" s="602"/>
      <c r="I278" s="602"/>
      <c r="J278" s="602"/>
      <c r="K278" s="227"/>
      <c r="L278" s="227"/>
      <c r="M278" s="227"/>
      <c r="N278" s="227"/>
    </row>
    <row r="279" spans="1:14" s="1411" customFormat="1" ht="15.75" x14ac:dyDescent="0.25">
      <c r="B279" s="604"/>
      <c r="C279" s="200" t="s">
        <v>608</v>
      </c>
      <c r="D279" s="1989" t="s">
        <v>2273</v>
      </c>
      <c r="E279" s="686">
        <v>15</v>
      </c>
      <c r="F279" s="601"/>
      <c r="G279" s="465"/>
      <c r="H279" s="602"/>
      <c r="I279" s="602"/>
      <c r="J279" s="602"/>
      <c r="K279" s="227"/>
      <c r="L279" s="227"/>
      <c r="M279" s="227"/>
      <c r="N279" s="227"/>
    </row>
    <row r="280" spans="1:14" s="1411" customFormat="1" ht="15.75" x14ac:dyDescent="0.25">
      <c r="B280" s="604"/>
      <c r="C280" s="1102" t="s">
        <v>610</v>
      </c>
      <c r="D280" s="1991" t="s">
        <v>638</v>
      </c>
      <c r="E280" s="1272">
        <v>40</v>
      </c>
      <c r="F280" s="601"/>
      <c r="G280" s="465"/>
      <c r="H280" s="602"/>
      <c r="I280" s="602"/>
      <c r="J280" s="602"/>
      <c r="K280" s="227"/>
      <c r="L280" s="227"/>
      <c r="M280" s="227"/>
      <c r="N280" s="227"/>
    </row>
    <row r="281" spans="1:14" s="1411" customFormat="1" ht="15.75" x14ac:dyDescent="0.25">
      <c r="B281" s="604"/>
      <c r="C281" s="200" t="s">
        <v>610</v>
      </c>
      <c r="D281" s="1989" t="s">
        <v>639</v>
      </c>
      <c r="E281" s="686">
        <v>40</v>
      </c>
      <c r="F281" s="601"/>
      <c r="G281" s="465"/>
      <c r="H281" s="602"/>
      <c r="I281" s="602"/>
      <c r="J281" s="602"/>
      <c r="K281" s="227"/>
      <c r="L281" s="227"/>
      <c r="M281" s="227"/>
      <c r="N281" s="227"/>
    </row>
    <row r="282" spans="1:14" s="1411" customFormat="1" ht="15.75" x14ac:dyDescent="0.25">
      <c r="B282" s="604"/>
      <c r="C282" s="200" t="s">
        <v>2267</v>
      </c>
      <c r="D282" s="1989" t="s">
        <v>2581</v>
      </c>
      <c r="E282" s="686">
        <v>5</v>
      </c>
      <c r="F282" s="601"/>
      <c r="G282" s="465"/>
      <c r="H282" s="602"/>
      <c r="I282" s="602"/>
      <c r="J282" s="602"/>
      <c r="K282" s="227"/>
      <c r="L282" s="227"/>
      <c r="M282" s="227"/>
      <c r="N282" s="227"/>
    </row>
    <row r="283" spans="1:14" s="1411" customFormat="1" ht="15.75" x14ac:dyDescent="0.25">
      <c r="B283" s="604"/>
      <c r="C283" s="200" t="s">
        <v>2268</v>
      </c>
      <c r="D283" s="1989" t="s">
        <v>2580</v>
      </c>
      <c r="E283" s="686">
        <v>20</v>
      </c>
      <c r="F283" s="601"/>
      <c r="G283" s="465"/>
      <c r="H283" s="602"/>
      <c r="I283" s="602"/>
      <c r="J283" s="602"/>
      <c r="K283" s="227"/>
      <c r="L283" s="227"/>
      <c r="M283" s="227"/>
      <c r="N283" s="227"/>
    </row>
    <row r="284" spans="1:14" s="1411" customFormat="1" ht="15.75" x14ac:dyDescent="0.25">
      <c r="B284" s="604"/>
      <c r="C284" s="1926" t="s">
        <v>611</v>
      </c>
      <c r="D284" s="1993" t="s">
        <v>611</v>
      </c>
      <c r="E284" s="2253">
        <v>30</v>
      </c>
      <c r="F284" s="601"/>
      <c r="G284" s="465"/>
      <c r="H284" s="602"/>
      <c r="I284" s="602"/>
      <c r="J284" s="602"/>
      <c r="K284" s="227"/>
      <c r="L284" s="227"/>
      <c r="M284" s="227"/>
      <c r="N284" s="227"/>
    </row>
    <row r="285" spans="1:14" s="1411" customFormat="1" ht="15.75" x14ac:dyDescent="0.25">
      <c r="B285" s="604"/>
      <c r="C285" s="237"/>
      <c r="D285" s="1415"/>
      <c r="E285" s="1415"/>
      <c r="F285" s="601"/>
      <c r="G285" s="602"/>
      <c r="H285" s="602"/>
      <c r="I285" s="602"/>
      <c r="J285" s="602"/>
      <c r="K285" s="227"/>
      <c r="L285" s="227"/>
      <c r="M285" s="227"/>
      <c r="N285" s="227"/>
    </row>
    <row r="286" spans="1:14" s="81" customFormat="1" x14ac:dyDescent="0.2">
      <c r="B286" s="38"/>
      <c r="C286" s="38"/>
      <c r="D286" s="38"/>
      <c r="E286" s="38"/>
      <c r="F286" s="38"/>
      <c r="G286" s="38"/>
      <c r="H286" s="38"/>
      <c r="I286" s="38"/>
      <c r="J286" s="38"/>
      <c r="K286" s="38"/>
      <c r="L286" s="38"/>
      <c r="M286" s="38"/>
      <c r="N286" s="38"/>
    </row>
    <row r="287" spans="1:14" s="81" customFormat="1" ht="22.5" x14ac:dyDescent="0.3">
      <c r="A287" s="643"/>
      <c r="B287" s="472" t="s">
        <v>332</v>
      </c>
      <c r="C287" s="498"/>
      <c r="D287" s="498"/>
      <c r="E287" s="498"/>
      <c r="F287" s="498"/>
      <c r="G287" s="498"/>
      <c r="H287" s="498"/>
      <c r="I287" s="498"/>
      <c r="J287" s="498"/>
      <c r="K287" s="498"/>
      <c r="L287" s="498"/>
      <c r="M287" s="498"/>
      <c r="N287" s="498"/>
    </row>
    <row r="288" spans="1:14" s="81" customFormat="1" x14ac:dyDescent="0.2">
      <c r="B288" s="395"/>
      <c r="C288" s="173"/>
      <c r="D288" s="173"/>
      <c r="E288" s="173"/>
      <c r="F288" s="173"/>
      <c r="G288" s="173"/>
      <c r="H288" s="173"/>
      <c r="I288" s="173"/>
      <c r="J288" s="173"/>
      <c r="K288" s="173"/>
      <c r="L288" s="173"/>
      <c r="M288" s="173"/>
      <c r="N288" s="173"/>
    </row>
    <row r="289" spans="1:14" s="81" customFormat="1" x14ac:dyDescent="0.2">
      <c r="B289" s="398">
        <v>1</v>
      </c>
      <c r="C289" s="175" t="s">
        <v>640</v>
      </c>
      <c r="D289" s="173"/>
      <c r="E289" s="176"/>
      <c r="F289" s="173"/>
      <c r="G289" s="626"/>
      <c r="H289" s="173"/>
      <c r="I289" s="173"/>
      <c r="J289" s="176"/>
      <c r="K289" s="173"/>
      <c r="L289" s="173"/>
      <c r="M289" s="173"/>
      <c r="N289" s="176" t="s">
        <v>637</v>
      </c>
    </row>
    <row r="290" spans="1:14" s="81" customFormat="1" ht="5.25" customHeight="1" x14ac:dyDescent="0.2">
      <c r="B290" s="398"/>
      <c r="C290" s="173"/>
      <c r="D290" s="173"/>
      <c r="E290" s="173"/>
      <c r="F290" s="173"/>
      <c r="G290" s="173"/>
      <c r="H290" s="173"/>
      <c r="I290" s="173"/>
      <c r="J290" s="173"/>
      <c r="K290" s="173"/>
      <c r="L290" s="173"/>
      <c r="M290" s="173"/>
      <c r="N290" s="173"/>
    </row>
    <row r="291" spans="1:14" s="81" customFormat="1" ht="15.75" x14ac:dyDescent="0.25">
      <c r="B291" s="644"/>
      <c r="C291" s="103" t="s">
        <v>69</v>
      </c>
      <c r="D291" s="98" t="s">
        <v>592</v>
      </c>
      <c r="E291" s="98" t="s">
        <v>172</v>
      </c>
      <c r="F291" s="218">
        <v>2010</v>
      </c>
      <c r="G291" s="217">
        <v>2015</v>
      </c>
      <c r="H291" s="217">
        <v>2020</v>
      </c>
      <c r="I291" s="217">
        <v>2025</v>
      </c>
      <c r="J291" s="217">
        <v>2030</v>
      </c>
      <c r="K291" s="217">
        <v>2035</v>
      </c>
      <c r="L291" s="217">
        <v>2040</v>
      </c>
      <c r="M291" s="217">
        <v>2045</v>
      </c>
      <c r="N291" s="217">
        <v>2050</v>
      </c>
    </row>
    <row r="292" spans="1:14" s="81" customFormat="1" ht="15.75" x14ac:dyDescent="0.25">
      <c r="B292" s="644"/>
      <c r="C292" s="237" t="s">
        <v>607</v>
      </c>
      <c r="D292" s="145" t="s">
        <v>2262</v>
      </c>
      <c r="E292" s="488"/>
      <c r="F292" s="2437">
        <f t="shared" ref="F292:F298" si="31">G26</f>
        <v>0.5</v>
      </c>
      <c r="G292" s="996">
        <f t="shared" ref="G292:M298" si="32">$F292+($N292-$F292)/($N$291-$F$291)*(G$291-$F$291)</f>
        <v>0.48125000000000001</v>
      </c>
      <c r="H292" s="996">
        <f t="shared" si="32"/>
        <v>0.46250000000000002</v>
      </c>
      <c r="I292" s="996">
        <f t="shared" si="32"/>
        <v>0.44374999999999998</v>
      </c>
      <c r="J292" s="996">
        <f t="shared" si="32"/>
        <v>0.42499999999999999</v>
      </c>
      <c r="K292" s="996">
        <f t="shared" si="32"/>
        <v>0.40625</v>
      </c>
      <c r="L292" s="996">
        <f t="shared" si="32"/>
        <v>0.38749999999999996</v>
      </c>
      <c r="M292" s="996">
        <f t="shared" si="32"/>
        <v>0.36874999999999997</v>
      </c>
      <c r="N292" s="645">
        <f t="shared" ref="N292:N298" si="33">INDEX($G26:$J26, MATCH($E$8, $G$25:$J$25, 0))</f>
        <v>0.35</v>
      </c>
    </row>
    <row r="293" spans="1:14" s="81" customFormat="1" ht="15.75" x14ac:dyDescent="0.25">
      <c r="B293" s="644"/>
      <c r="C293" s="237" t="s">
        <v>608</v>
      </c>
      <c r="D293" s="145" t="s">
        <v>635</v>
      </c>
      <c r="E293" s="488"/>
      <c r="F293" s="2437">
        <f t="shared" si="31"/>
        <v>0.2</v>
      </c>
      <c r="G293" s="996">
        <f t="shared" si="32"/>
        <v>0.20875000000000002</v>
      </c>
      <c r="H293" s="996">
        <f t="shared" si="32"/>
        <v>0.21750000000000003</v>
      </c>
      <c r="I293" s="996">
        <f t="shared" si="32"/>
        <v>0.22625000000000001</v>
      </c>
      <c r="J293" s="996">
        <f t="shared" si="32"/>
        <v>0.23500000000000001</v>
      </c>
      <c r="K293" s="996">
        <f t="shared" si="32"/>
        <v>0.24375000000000002</v>
      </c>
      <c r="L293" s="996">
        <f t="shared" si="32"/>
        <v>0.2525</v>
      </c>
      <c r="M293" s="996">
        <f t="shared" si="32"/>
        <v>0.26125000000000004</v>
      </c>
      <c r="N293" s="645">
        <f t="shared" si="33"/>
        <v>0.27</v>
      </c>
    </row>
    <row r="294" spans="1:14" s="1411" customFormat="1" ht="15.75" x14ac:dyDescent="0.25">
      <c r="B294" s="644"/>
      <c r="C294" s="237" t="s">
        <v>610</v>
      </c>
      <c r="D294" s="1415" t="s">
        <v>2263</v>
      </c>
      <c r="E294" s="488"/>
      <c r="F294" s="2437">
        <f t="shared" si="31"/>
        <v>0.01</v>
      </c>
      <c r="G294" s="996">
        <f t="shared" si="32"/>
        <v>3.125E-2</v>
      </c>
      <c r="H294" s="996">
        <f t="shared" si="32"/>
        <v>5.2499999999999998E-2</v>
      </c>
      <c r="I294" s="996">
        <f t="shared" si="32"/>
        <v>7.3749999999999982E-2</v>
      </c>
      <c r="J294" s="996">
        <f t="shared" si="32"/>
        <v>9.4999999999999987E-2</v>
      </c>
      <c r="K294" s="996">
        <f t="shared" si="32"/>
        <v>0.11624999999999998</v>
      </c>
      <c r="L294" s="996">
        <f t="shared" si="32"/>
        <v>0.13749999999999998</v>
      </c>
      <c r="M294" s="996">
        <f t="shared" si="32"/>
        <v>0.15875</v>
      </c>
      <c r="N294" s="645">
        <f t="shared" si="33"/>
        <v>0.18</v>
      </c>
    </row>
    <row r="295" spans="1:14" s="1411" customFormat="1" ht="15.75" x14ac:dyDescent="0.25">
      <c r="B295" s="644"/>
      <c r="C295" s="237" t="s">
        <v>2267</v>
      </c>
      <c r="D295" s="1415" t="s">
        <v>2264</v>
      </c>
      <c r="E295" s="488"/>
      <c r="F295" s="2437">
        <f t="shared" si="31"/>
        <v>0.2</v>
      </c>
      <c r="G295" s="996">
        <f t="shared" si="32"/>
        <v>0.18125000000000002</v>
      </c>
      <c r="H295" s="996">
        <f t="shared" si="32"/>
        <v>0.16250000000000001</v>
      </c>
      <c r="I295" s="996">
        <f t="shared" si="32"/>
        <v>0.14374999999999999</v>
      </c>
      <c r="J295" s="996">
        <f t="shared" si="32"/>
        <v>0.125</v>
      </c>
      <c r="K295" s="996">
        <f t="shared" si="32"/>
        <v>0.10625</v>
      </c>
      <c r="L295" s="996">
        <f t="shared" si="32"/>
        <v>8.7499999999999994E-2</v>
      </c>
      <c r="M295" s="996">
        <f t="shared" si="32"/>
        <v>6.8749999999999978E-2</v>
      </c>
      <c r="N295" s="645">
        <f t="shared" si="33"/>
        <v>0.05</v>
      </c>
    </row>
    <row r="296" spans="1:14" s="81" customFormat="1" ht="15.75" x14ac:dyDescent="0.25">
      <c r="B296" s="644"/>
      <c r="C296" s="237" t="s">
        <v>609</v>
      </c>
      <c r="D296" s="145" t="s">
        <v>2265</v>
      </c>
      <c r="E296" s="488"/>
      <c r="F296" s="2437">
        <f t="shared" si="31"/>
        <v>3.5000000000000003E-2</v>
      </c>
      <c r="G296" s="996">
        <f t="shared" si="32"/>
        <v>3.5625000000000004E-2</v>
      </c>
      <c r="H296" s="996">
        <f t="shared" si="32"/>
        <v>3.6250000000000004E-2</v>
      </c>
      <c r="I296" s="996">
        <f t="shared" si="32"/>
        <v>3.6875000000000005E-2</v>
      </c>
      <c r="J296" s="996">
        <f t="shared" si="32"/>
        <v>3.7500000000000006E-2</v>
      </c>
      <c r="K296" s="996">
        <f t="shared" si="32"/>
        <v>3.8124999999999999E-2</v>
      </c>
      <c r="L296" s="996">
        <f t="shared" si="32"/>
        <v>3.875E-2</v>
      </c>
      <c r="M296" s="996">
        <f t="shared" si="32"/>
        <v>3.9375E-2</v>
      </c>
      <c r="N296" s="645">
        <f t="shared" si="33"/>
        <v>0.04</v>
      </c>
    </row>
    <row r="297" spans="1:14" s="81" customFormat="1" ht="15.75" x14ac:dyDescent="0.25">
      <c r="B297" s="644"/>
      <c r="C297" s="237" t="s">
        <v>2268</v>
      </c>
      <c r="D297" s="145" t="s">
        <v>2266</v>
      </c>
      <c r="E297" s="488"/>
      <c r="F297" s="2437">
        <f t="shared" si="31"/>
        <v>5.0000000000000001E-3</v>
      </c>
      <c r="G297" s="996">
        <f t="shared" si="32"/>
        <v>5.6249999999999998E-3</v>
      </c>
      <c r="H297" s="996">
        <f t="shared" si="32"/>
        <v>6.2500000000000003E-3</v>
      </c>
      <c r="I297" s="996">
        <f t="shared" si="32"/>
        <v>6.875E-3</v>
      </c>
      <c r="J297" s="996">
        <f t="shared" si="32"/>
        <v>7.4999999999999997E-3</v>
      </c>
      <c r="K297" s="996">
        <f t="shared" si="32"/>
        <v>8.1250000000000003E-3</v>
      </c>
      <c r="L297" s="996">
        <f t="shared" si="32"/>
        <v>8.7500000000000008E-3</v>
      </c>
      <c r="M297" s="996">
        <f t="shared" si="32"/>
        <v>9.3750000000000014E-3</v>
      </c>
      <c r="N297" s="645">
        <f t="shared" si="33"/>
        <v>0.01</v>
      </c>
    </row>
    <row r="298" spans="1:14" s="81" customFormat="1" ht="15.75" x14ac:dyDescent="0.25">
      <c r="B298" s="644"/>
      <c r="C298" s="603" t="s">
        <v>611</v>
      </c>
      <c r="D298" s="102" t="s">
        <v>636</v>
      </c>
      <c r="E298" s="102"/>
      <c r="F298" s="2438">
        <f t="shared" si="31"/>
        <v>0.05</v>
      </c>
      <c r="G298" s="996">
        <f t="shared" si="32"/>
        <v>5.6250000000000001E-2</v>
      </c>
      <c r="H298" s="996">
        <f t="shared" si="32"/>
        <v>6.25E-2</v>
      </c>
      <c r="I298" s="996">
        <f t="shared" si="32"/>
        <v>6.8750000000000006E-2</v>
      </c>
      <c r="J298" s="996">
        <f t="shared" si="32"/>
        <v>7.5000000000000011E-2</v>
      </c>
      <c r="K298" s="996">
        <f t="shared" si="32"/>
        <v>8.1250000000000003E-2</v>
      </c>
      <c r="L298" s="996">
        <f t="shared" si="32"/>
        <v>8.7499999999999994E-2</v>
      </c>
      <c r="M298" s="996">
        <f t="shared" si="32"/>
        <v>9.375E-2</v>
      </c>
      <c r="N298" s="649">
        <f t="shared" si="33"/>
        <v>0.1</v>
      </c>
    </row>
    <row r="299" spans="1:14" s="81" customFormat="1" x14ac:dyDescent="0.2">
      <c r="B299" s="398"/>
      <c r="C299" s="144"/>
      <c r="D299" s="345" t="s">
        <v>105</v>
      </c>
      <c r="E299" s="145"/>
      <c r="F299" s="602">
        <f t="shared" ref="F299:N299" si="34">SUM(F292:F298)</f>
        <v>1</v>
      </c>
      <c r="G299" s="602">
        <f t="shared" si="34"/>
        <v>1</v>
      </c>
      <c r="H299" s="602">
        <f t="shared" si="34"/>
        <v>1</v>
      </c>
      <c r="I299" s="602">
        <f t="shared" si="34"/>
        <v>0.99999999999999989</v>
      </c>
      <c r="J299" s="602">
        <f t="shared" si="34"/>
        <v>1</v>
      </c>
      <c r="K299" s="602">
        <f t="shared" si="34"/>
        <v>1</v>
      </c>
      <c r="L299" s="602">
        <f t="shared" si="34"/>
        <v>0.99999999999999989</v>
      </c>
      <c r="M299" s="602">
        <f t="shared" si="34"/>
        <v>1</v>
      </c>
      <c r="N299" s="602">
        <f t="shared" si="34"/>
        <v>1.0000000000000002</v>
      </c>
    </row>
    <row r="300" spans="1:14" s="1411" customFormat="1" x14ac:dyDescent="0.2">
      <c r="B300" s="1421"/>
      <c r="C300" s="1414"/>
      <c r="D300" s="1418"/>
      <c r="E300" s="1415"/>
      <c r="F300" s="601"/>
      <c r="G300" s="602"/>
      <c r="H300" s="602"/>
      <c r="I300" s="602"/>
      <c r="J300" s="602"/>
      <c r="K300" s="602"/>
      <c r="L300" s="602"/>
      <c r="M300" s="602"/>
      <c r="N300" s="602"/>
    </row>
    <row r="301" spans="1:14" s="81" customFormat="1" x14ac:dyDescent="0.2">
      <c r="B301" s="398">
        <v>2</v>
      </c>
      <c r="C301" s="175" t="s">
        <v>641</v>
      </c>
      <c r="D301" s="173"/>
      <c r="E301" s="173"/>
      <c r="F301" s="173"/>
      <c r="G301" s="173"/>
      <c r="H301" s="173"/>
      <c r="I301" s="173"/>
      <c r="J301" s="173"/>
      <c r="K301" s="173"/>
      <c r="L301" s="173"/>
      <c r="M301" s="173"/>
      <c r="N301" s="173"/>
    </row>
    <row r="302" spans="1:14" s="81" customFormat="1" ht="6.75" customHeight="1" x14ac:dyDescent="0.2">
      <c r="B302" s="395"/>
      <c r="C302" s="606"/>
      <c r="D302" s="145"/>
      <c r="E302" s="488"/>
      <c r="G302" s="602"/>
      <c r="H302" s="602"/>
      <c r="I302" s="602"/>
      <c r="J302" s="602"/>
      <c r="K302" s="227"/>
      <c r="L302" s="227"/>
      <c r="M302" s="227"/>
    </row>
    <row r="303" spans="1:14" s="81" customFormat="1" x14ac:dyDescent="0.2">
      <c r="B303" s="395"/>
      <c r="C303" s="631" t="s">
        <v>1756</v>
      </c>
      <c r="D303" s="145"/>
      <c r="E303" s="488"/>
      <c r="F303" s="601"/>
      <c r="H303" s="602"/>
      <c r="I303" s="602"/>
      <c r="J303" s="602"/>
      <c r="K303" s="227"/>
      <c r="L303" s="227"/>
      <c r="M303" s="227"/>
      <c r="N303" s="227" t="s">
        <v>646</v>
      </c>
    </row>
    <row r="304" spans="1:14" s="81" customFormat="1" ht="5.25" customHeight="1" x14ac:dyDescent="0.3">
      <c r="A304" s="643"/>
      <c r="B304" s="395"/>
      <c r="C304" s="606"/>
      <c r="D304" s="145"/>
      <c r="E304" s="488"/>
      <c r="F304" s="601"/>
      <c r="G304" s="602"/>
      <c r="H304" s="602"/>
      <c r="I304" s="602"/>
      <c r="J304" s="602"/>
      <c r="K304" s="227"/>
      <c r="L304" s="227"/>
      <c r="M304" s="227"/>
      <c r="N304" s="227"/>
    </row>
    <row r="305" spans="2:14" s="81" customFormat="1" ht="15.75" x14ac:dyDescent="0.25">
      <c r="B305" s="397"/>
      <c r="C305" s="98" t="s">
        <v>592</v>
      </c>
      <c r="D305" s="98" t="s">
        <v>343</v>
      </c>
      <c r="E305" s="98" t="s">
        <v>172</v>
      </c>
      <c r="F305" s="218">
        <v>2010</v>
      </c>
      <c r="G305" s="217">
        <v>2015</v>
      </c>
      <c r="H305" s="217">
        <v>2020</v>
      </c>
      <c r="I305" s="217">
        <v>2025</v>
      </c>
      <c r="J305" s="217">
        <v>2030</v>
      </c>
      <c r="K305" s="217">
        <v>2035</v>
      </c>
      <c r="L305" s="217">
        <v>2040</v>
      </c>
      <c r="M305" s="217">
        <v>2045</v>
      </c>
      <c r="N305" s="217">
        <v>2050</v>
      </c>
    </row>
    <row r="306" spans="2:14" s="1411" customFormat="1" ht="15.75" x14ac:dyDescent="0.25">
      <c r="B306" s="397"/>
      <c r="C306" s="1415" t="s">
        <v>609</v>
      </c>
      <c r="D306" s="1415" t="s">
        <v>609</v>
      </c>
      <c r="E306" s="488"/>
      <c r="F306" s="636">
        <f t="array" ref="F306:N317">CHOOSE($E$9, $F$63:$N$76, $F$81:$N$94, $F$99:$N$112, $F$117:$N$130)</f>
        <v>0</v>
      </c>
      <c r="G306" s="636">
        <v>0.996</v>
      </c>
      <c r="H306" s="636">
        <v>0.996</v>
      </c>
      <c r="I306" s="636">
        <v>0.996</v>
      </c>
      <c r="J306" s="636">
        <v>0.996</v>
      </c>
      <c r="K306" s="636">
        <v>0.996</v>
      </c>
      <c r="L306" s="636">
        <v>0.996</v>
      </c>
      <c r="M306" s="636">
        <v>0.996</v>
      </c>
      <c r="N306" s="636">
        <v>0.996</v>
      </c>
    </row>
    <row r="307" spans="2:14" s="81" customFormat="1" ht="15.75" x14ac:dyDescent="0.25">
      <c r="B307" s="397"/>
      <c r="C307" s="146" t="s">
        <v>607</v>
      </c>
      <c r="D307" s="146" t="s">
        <v>2272</v>
      </c>
      <c r="E307" s="623"/>
      <c r="F307" s="636">
        <v>1</v>
      </c>
      <c r="G307" s="636">
        <v>0.90249999999999997</v>
      </c>
      <c r="H307" s="636">
        <v>0.80999999999999983</v>
      </c>
      <c r="I307" s="636">
        <v>0.72249999999999981</v>
      </c>
      <c r="J307" s="636">
        <v>0.63999999999999968</v>
      </c>
      <c r="K307" s="636">
        <v>0.56249999999999967</v>
      </c>
      <c r="L307" s="636">
        <v>0.4899999999999996</v>
      </c>
      <c r="M307" s="636">
        <v>0.4224999999999996</v>
      </c>
      <c r="N307" s="636">
        <v>0.36</v>
      </c>
    </row>
    <row r="308" spans="2:14" s="81" customFormat="1" ht="15.75" x14ac:dyDescent="0.25">
      <c r="B308" s="397"/>
      <c r="C308" s="145" t="s">
        <v>607</v>
      </c>
      <c r="D308" s="145" t="s">
        <v>923</v>
      </c>
      <c r="E308" s="488"/>
      <c r="F308" s="636">
        <v>0</v>
      </c>
      <c r="G308" s="636">
        <v>4.3750000000000032E-2</v>
      </c>
      <c r="H308" s="636">
        <v>8.7500000000000064E-2</v>
      </c>
      <c r="I308" s="636">
        <v>0.13125000000000009</v>
      </c>
      <c r="J308" s="636">
        <v>0.17500000000000013</v>
      </c>
      <c r="K308" s="636">
        <v>0.21875000000000017</v>
      </c>
      <c r="L308" s="636">
        <v>0.26250000000000018</v>
      </c>
      <c r="M308" s="636">
        <v>0.30625000000000019</v>
      </c>
      <c r="N308" s="636">
        <v>0.35</v>
      </c>
    </row>
    <row r="309" spans="2:14" s="81" customFormat="1" ht="15.75" x14ac:dyDescent="0.25">
      <c r="B309" s="397"/>
      <c r="C309" s="145" t="s">
        <v>607</v>
      </c>
      <c r="D309" s="145" t="s">
        <v>612</v>
      </c>
      <c r="E309" s="488"/>
      <c r="F309" s="636">
        <v>0</v>
      </c>
      <c r="G309" s="636">
        <v>6.2500000000000056E-3</v>
      </c>
      <c r="H309" s="636">
        <v>1.2500000000000011E-2</v>
      </c>
      <c r="I309" s="636">
        <v>1.8750000000000017E-2</v>
      </c>
      <c r="J309" s="636">
        <v>2.5000000000000022E-2</v>
      </c>
      <c r="K309" s="636">
        <v>3.1250000000000028E-2</v>
      </c>
      <c r="L309" s="636">
        <v>3.7500000000000033E-2</v>
      </c>
      <c r="M309" s="636">
        <v>4.3750000000000039E-2</v>
      </c>
      <c r="N309" s="636">
        <v>0.05</v>
      </c>
    </row>
    <row r="310" spans="2:14" s="81" customFormat="1" ht="15.75" x14ac:dyDescent="0.25">
      <c r="B310" s="397"/>
      <c r="C310" s="624" t="s">
        <v>607</v>
      </c>
      <c r="D310" s="624" t="s">
        <v>2273</v>
      </c>
      <c r="E310" s="625"/>
      <c r="F310" s="636">
        <v>0</v>
      </c>
      <c r="G310" s="636">
        <v>4.7500000000000042E-2</v>
      </c>
      <c r="H310" s="636">
        <v>9.0000000000000066E-2</v>
      </c>
      <c r="I310" s="636">
        <v>0.12750000000000009</v>
      </c>
      <c r="J310" s="636">
        <v>0.16000000000000011</v>
      </c>
      <c r="K310" s="636">
        <v>0.18750000000000011</v>
      </c>
      <c r="L310" s="636">
        <v>0.2100000000000001</v>
      </c>
      <c r="M310" s="636">
        <v>0.22750000000000009</v>
      </c>
      <c r="N310" s="636">
        <v>0.24</v>
      </c>
    </row>
    <row r="311" spans="2:14" s="81" customFormat="1" ht="15.75" x14ac:dyDescent="0.25">
      <c r="B311" s="397"/>
      <c r="C311" s="146" t="s">
        <v>608</v>
      </c>
      <c r="D311" s="146" t="s">
        <v>2272</v>
      </c>
      <c r="E311" s="623"/>
      <c r="F311" s="636">
        <v>1</v>
      </c>
      <c r="G311" s="636">
        <v>0.90249999999999997</v>
      </c>
      <c r="H311" s="636">
        <v>0.80999999999999983</v>
      </c>
      <c r="I311" s="636">
        <v>0.72249999999999981</v>
      </c>
      <c r="J311" s="636">
        <v>0.63999999999999968</v>
      </c>
      <c r="K311" s="636">
        <v>0.56249999999999967</v>
      </c>
      <c r="L311" s="636">
        <v>0.4899999999999996</v>
      </c>
      <c r="M311" s="636">
        <v>0.4224999999999996</v>
      </c>
      <c r="N311" s="636">
        <v>0.36</v>
      </c>
    </row>
    <row r="312" spans="2:14" s="81" customFormat="1" ht="15.75" x14ac:dyDescent="0.25">
      <c r="B312" s="397"/>
      <c r="C312" s="145" t="s">
        <v>608</v>
      </c>
      <c r="D312" s="1415" t="s">
        <v>923</v>
      </c>
      <c r="E312" s="488"/>
      <c r="F312" s="636">
        <v>0</v>
      </c>
      <c r="G312" s="636">
        <v>4.3750000000000032E-2</v>
      </c>
      <c r="H312" s="636">
        <v>8.7500000000000064E-2</v>
      </c>
      <c r="I312" s="636">
        <v>0.13125000000000009</v>
      </c>
      <c r="J312" s="636">
        <v>0.17500000000000013</v>
      </c>
      <c r="K312" s="636">
        <v>0.21875000000000017</v>
      </c>
      <c r="L312" s="636">
        <v>0.26250000000000018</v>
      </c>
      <c r="M312" s="636">
        <v>0.30625000000000019</v>
      </c>
      <c r="N312" s="636">
        <v>0.35</v>
      </c>
    </row>
    <row r="313" spans="2:14" s="81" customFormat="1" ht="15.75" x14ac:dyDescent="0.25">
      <c r="B313" s="397"/>
      <c r="C313" s="145" t="s">
        <v>608</v>
      </c>
      <c r="D313" s="1415" t="s">
        <v>612</v>
      </c>
      <c r="E313" s="488"/>
      <c r="F313" s="636">
        <v>0</v>
      </c>
      <c r="G313" s="636">
        <v>6.2500000000000056E-3</v>
      </c>
      <c r="H313" s="636">
        <v>1.2500000000000011E-2</v>
      </c>
      <c r="I313" s="636">
        <v>1.8750000000000017E-2</v>
      </c>
      <c r="J313" s="636">
        <v>2.5000000000000022E-2</v>
      </c>
      <c r="K313" s="636">
        <v>3.1250000000000028E-2</v>
      </c>
      <c r="L313" s="636">
        <v>3.7500000000000033E-2</v>
      </c>
      <c r="M313" s="636">
        <v>4.3750000000000039E-2</v>
      </c>
      <c r="N313" s="636">
        <v>0.05</v>
      </c>
    </row>
    <row r="314" spans="2:14" s="81" customFormat="1" ht="15.75" x14ac:dyDescent="0.25">
      <c r="B314" s="397"/>
      <c r="C314" s="624" t="s">
        <v>608</v>
      </c>
      <c r="D314" s="624" t="s">
        <v>2273</v>
      </c>
      <c r="E314" s="625"/>
      <c r="F314" s="636">
        <v>0</v>
      </c>
      <c r="G314" s="636">
        <v>4.7500000000000042E-2</v>
      </c>
      <c r="H314" s="636">
        <v>9.0000000000000066E-2</v>
      </c>
      <c r="I314" s="636">
        <v>0.12750000000000009</v>
      </c>
      <c r="J314" s="636">
        <v>0.16000000000000011</v>
      </c>
      <c r="K314" s="636">
        <v>0.18750000000000011</v>
      </c>
      <c r="L314" s="636">
        <v>0.2100000000000001</v>
      </c>
      <c r="M314" s="636">
        <v>0.22750000000000009</v>
      </c>
      <c r="N314" s="636">
        <v>0.24</v>
      </c>
    </row>
    <row r="315" spans="2:14" s="81" customFormat="1" ht="15.75" x14ac:dyDescent="0.25">
      <c r="B315" s="397"/>
      <c r="C315" s="146" t="s">
        <v>610</v>
      </c>
      <c r="D315" s="146" t="s">
        <v>638</v>
      </c>
      <c r="E315" s="623"/>
      <c r="F315" s="636">
        <v>1</v>
      </c>
      <c r="G315" s="636">
        <v>1</v>
      </c>
      <c r="H315" s="636">
        <v>0.9</v>
      </c>
      <c r="I315" s="636">
        <v>0.8</v>
      </c>
      <c r="J315" s="636">
        <v>0.7</v>
      </c>
      <c r="K315" s="636">
        <v>0.6</v>
      </c>
      <c r="L315" s="636">
        <v>0.5</v>
      </c>
      <c r="M315" s="636">
        <v>0.4</v>
      </c>
      <c r="N315" s="636">
        <v>0.3</v>
      </c>
    </row>
    <row r="316" spans="2:14" s="81" customFormat="1" ht="15.75" x14ac:dyDescent="0.25">
      <c r="B316" s="397"/>
      <c r="C316" s="145" t="s">
        <v>610</v>
      </c>
      <c r="D316" s="145" t="s">
        <v>639</v>
      </c>
      <c r="E316" s="488"/>
      <c r="F316" s="636">
        <v>0</v>
      </c>
      <c r="G316" s="636">
        <v>0</v>
      </c>
      <c r="H316" s="636">
        <v>9.9999999999999978E-2</v>
      </c>
      <c r="I316" s="636">
        <v>0.19999999999999996</v>
      </c>
      <c r="J316" s="636">
        <v>0.30000000000000004</v>
      </c>
      <c r="K316" s="636">
        <v>0.4</v>
      </c>
      <c r="L316" s="636">
        <v>0.5</v>
      </c>
      <c r="M316" s="636">
        <v>0.6</v>
      </c>
      <c r="N316" s="636">
        <v>0.7</v>
      </c>
    </row>
    <row r="317" spans="2:14" s="81" customFormat="1" ht="15.75" x14ac:dyDescent="0.25">
      <c r="B317" s="397"/>
      <c r="C317" s="200" t="s">
        <v>2267</v>
      </c>
      <c r="D317" s="200" t="s">
        <v>2581</v>
      </c>
      <c r="E317" s="531"/>
      <c r="F317" s="636">
        <v>1</v>
      </c>
      <c r="G317" s="636">
        <v>1</v>
      </c>
      <c r="H317" s="636">
        <v>1</v>
      </c>
      <c r="I317" s="636">
        <v>1</v>
      </c>
      <c r="J317" s="636">
        <v>1</v>
      </c>
      <c r="K317" s="636">
        <v>1</v>
      </c>
      <c r="L317" s="636">
        <v>1</v>
      </c>
      <c r="M317" s="636">
        <v>1</v>
      </c>
      <c r="N317" s="636">
        <v>1</v>
      </c>
    </row>
    <row r="318" spans="2:14" s="1411" customFormat="1" ht="15.75" x14ac:dyDescent="0.25">
      <c r="B318" s="397"/>
      <c r="C318" s="200" t="s">
        <v>2268</v>
      </c>
      <c r="D318" s="200" t="s">
        <v>2580</v>
      </c>
      <c r="E318" s="531"/>
      <c r="F318" s="636">
        <f t="array" ref="F318">CHOOSE($E$9, $F$63:$N$76, $F$81:$N$94, $F$99:$N$112, $F$117:$N$130)</f>
        <v>0</v>
      </c>
      <c r="G318" s="636">
        <f t="array" ref="G318">CHOOSE($E$9, $F$63:$N$76, $F$81:$N$94, $F$99:$N$112, $F$117:$N$130)</f>
        <v>0</v>
      </c>
      <c r="H318" s="636">
        <f t="array" ref="H318">CHOOSE($E$9, $F$63:$N$76, $F$81:$N$94, $F$99:$N$112, $F$117:$N$130)</f>
        <v>0</v>
      </c>
      <c r="I318" s="636">
        <f t="array" ref="I318">CHOOSE($E$9, $F$63:$N$76, $F$81:$N$94, $F$99:$N$112, $F$117:$N$130)</f>
        <v>0</v>
      </c>
      <c r="J318" s="636">
        <f t="array" ref="J318">CHOOSE($E$9, $F$63:$N$76, $F$81:$N$94, $F$99:$N$112, $F$117:$N$130)</f>
        <v>0</v>
      </c>
      <c r="K318" s="636">
        <f t="array" ref="K318">CHOOSE($E$9, $F$63:$N$76, $F$81:$N$94, $F$99:$N$112, $F$117:$N$130)</f>
        <v>0</v>
      </c>
      <c r="L318" s="636">
        <f t="array" ref="L318">CHOOSE($E$9, $F$63:$N$76, $F$81:$N$94, $F$99:$N$112, $F$117:$N$130)</f>
        <v>0</v>
      </c>
      <c r="M318" s="636">
        <f t="array" ref="M318">CHOOSE($E$9, $F$63:$N$76, $F$81:$N$94, $F$99:$N$112, $F$117:$N$130)</f>
        <v>0</v>
      </c>
      <c r="N318" s="636">
        <f t="array" ref="N318">CHOOSE($E$9, $F$63:$N$76, $F$81:$N$94, $F$99:$N$112, $F$117:$N$130)</f>
        <v>0</v>
      </c>
    </row>
    <row r="319" spans="2:14" s="1411" customFormat="1" ht="15.75" x14ac:dyDescent="0.25">
      <c r="B319" s="397"/>
      <c r="C319" s="200" t="s">
        <v>611</v>
      </c>
      <c r="D319" s="200" t="s">
        <v>611</v>
      </c>
      <c r="E319" s="531"/>
      <c r="F319" s="636">
        <f t="array" ref="F319">CHOOSE($E$9, $F$63:$N$76, $F$81:$N$94, $F$99:$N$112, $F$117:$N$130)</f>
        <v>0</v>
      </c>
      <c r="G319" s="636">
        <f t="array" ref="G319">CHOOSE($E$9, $F$63:$N$76, $F$81:$N$94, $F$99:$N$112, $F$117:$N$130)</f>
        <v>0</v>
      </c>
      <c r="H319" s="636">
        <f t="array" ref="H319">CHOOSE($E$9, $F$63:$N$76, $F$81:$N$94, $F$99:$N$112, $F$117:$N$130)</f>
        <v>0</v>
      </c>
      <c r="I319" s="636">
        <f t="array" ref="I319">CHOOSE($E$9, $F$63:$N$76, $F$81:$N$94, $F$99:$N$112, $F$117:$N$130)</f>
        <v>0</v>
      </c>
      <c r="J319" s="636">
        <f t="array" ref="J319">CHOOSE($E$9, $F$63:$N$76, $F$81:$N$94, $F$99:$N$112, $F$117:$N$130)</f>
        <v>0</v>
      </c>
      <c r="K319" s="636">
        <f t="array" ref="K319">CHOOSE($E$9, $F$63:$N$76, $F$81:$N$94, $F$99:$N$112, $F$117:$N$130)</f>
        <v>0</v>
      </c>
      <c r="L319" s="636">
        <f t="array" ref="L319">CHOOSE($E$9, $F$63:$N$76, $F$81:$N$94, $F$99:$N$112, $F$117:$N$130)</f>
        <v>0</v>
      </c>
      <c r="M319" s="636">
        <f t="array" ref="M319">CHOOSE($E$9, $F$63:$N$76, $F$81:$N$94, $F$99:$N$112, $F$117:$N$130)</f>
        <v>0</v>
      </c>
      <c r="N319" s="636">
        <f t="array" ref="N319">CHOOSE($E$9, $F$63:$N$76, $F$81:$N$94, $F$99:$N$112, $F$117:$N$130)</f>
        <v>0</v>
      </c>
    </row>
    <row r="320" spans="2:14" s="1411" customFormat="1" ht="15.75" x14ac:dyDescent="0.25">
      <c r="B320" s="397"/>
      <c r="C320" s="1415"/>
      <c r="D320" s="1415"/>
      <c r="E320" s="488"/>
      <c r="F320" s="636"/>
      <c r="G320" s="636"/>
      <c r="H320" s="636"/>
      <c r="I320" s="636"/>
      <c r="J320" s="636"/>
      <c r="K320" s="636"/>
      <c r="L320" s="636"/>
      <c r="M320" s="636"/>
      <c r="N320" s="636"/>
    </row>
    <row r="321" spans="1:14" s="1411" customFormat="1" x14ac:dyDescent="0.2">
      <c r="B321" s="1419"/>
      <c r="C321" s="631" t="s">
        <v>1757</v>
      </c>
      <c r="D321" s="1415"/>
      <c r="E321" s="488"/>
      <c r="F321" s="601"/>
      <c r="G321" s="602"/>
      <c r="H321" s="602"/>
      <c r="I321" s="602"/>
      <c r="J321" s="602"/>
      <c r="K321" s="227"/>
      <c r="L321" s="227"/>
      <c r="M321" s="227"/>
      <c r="N321" s="227" t="s">
        <v>646</v>
      </c>
    </row>
    <row r="322" spans="1:14" s="1411" customFormat="1" ht="5.25" customHeight="1" x14ac:dyDescent="0.3">
      <c r="A322" s="643"/>
      <c r="B322" s="1419"/>
      <c r="C322" s="606"/>
      <c r="D322" s="1415"/>
      <c r="E322" s="488"/>
      <c r="F322" s="601"/>
      <c r="G322" s="602"/>
      <c r="H322" s="602"/>
      <c r="I322" s="602"/>
      <c r="J322" s="602"/>
      <c r="K322" s="227"/>
      <c r="L322" s="227"/>
      <c r="M322" s="227"/>
      <c r="N322" s="227"/>
    </row>
    <row r="323" spans="1:14" s="1411" customFormat="1" ht="15.75" x14ac:dyDescent="0.25">
      <c r="B323" s="397"/>
      <c r="C323" s="98" t="s">
        <v>592</v>
      </c>
      <c r="D323" s="98" t="s">
        <v>343</v>
      </c>
      <c r="E323" s="98" t="s">
        <v>172</v>
      </c>
      <c r="F323" s="218">
        <v>2010</v>
      </c>
      <c r="G323" s="217">
        <v>2015</v>
      </c>
      <c r="H323" s="217">
        <v>2020</v>
      </c>
      <c r="I323" s="217">
        <v>2025</v>
      </c>
      <c r="J323" s="217">
        <v>2030</v>
      </c>
      <c r="K323" s="217">
        <v>2035</v>
      </c>
      <c r="L323" s="217">
        <v>2040</v>
      </c>
      <c r="M323" s="217">
        <v>2045</v>
      </c>
      <c r="N323" s="217">
        <v>2050</v>
      </c>
    </row>
    <row r="324" spans="1:14" s="1411" customFormat="1" ht="15.75" x14ac:dyDescent="0.25">
      <c r="B324" s="397"/>
      <c r="C324" s="1415" t="s">
        <v>609</v>
      </c>
      <c r="D324" s="1415" t="s">
        <v>609</v>
      </c>
      <c r="E324" s="488"/>
      <c r="F324" s="636">
        <f t="shared" ref="F324:N324" si="35">F306</f>
        <v>0</v>
      </c>
      <c r="G324" s="636">
        <f t="shared" si="35"/>
        <v>0.996</v>
      </c>
      <c r="H324" s="636">
        <f t="shared" si="35"/>
        <v>0.996</v>
      </c>
      <c r="I324" s="636">
        <f t="shared" si="35"/>
        <v>0.996</v>
      </c>
      <c r="J324" s="636">
        <f t="shared" si="35"/>
        <v>0.996</v>
      </c>
      <c r="K324" s="636">
        <f t="shared" si="35"/>
        <v>0.996</v>
      </c>
      <c r="L324" s="636">
        <f t="shared" si="35"/>
        <v>0.996</v>
      </c>
      <c r="M324" s="636">
        <f t="shared" si="35"/>
        <v>0.996</v>
      </c>
      <c r="N324" s="636">
        <f t="shared" si="35"/>
        <v>0.996</v>
      </c>
    </row>
    <row r="325" spans="1:14" s="1411" customFormat="1" ht="15.75" x14ac:dyDescent="0.25">
      <c r="B325" s="397"/>
      <c r="C325" s="146" t="s">
        <v>607</v>
      </c>
      <c r="D325" s="146" t="s">
        <v>2272</v>
      </c>
      <c r="E325" s="623"/>
      <c r="F325" s="636">
        <f t="shared" ref="F325:N325" si="36">(SUM(F307:F308))*(INDEX($F$136:$F$139,MATCH($E$10,$C$136:$C$139)))</f>
        <v>0.6</v>
      </c>
      <c r="G325" s="636">
        <f t="shared" si="36"/>
        <v>0.56774999999999998</v>
      </c>
      <c r="H325" s="636">
        <f t="shared" si="36"/>
        <v>0.53849999999999987</v>
      </c>
      <c r="I325" s="636">
        <f t="shared" si="36"/>
        <v>0.51224999999999987</v>
      </c>
      <c r="J325" s="636">
        <f t="shared" si="36"/>
        <v>0.48899999999999988</v>
      </c>
      <c r="K325" s="636">
        <f t="shared" si="36"/>
        <v>0.46874999999999983</v>
      </c>
      <c r="L325" s="636">
        <f t="shared" si="36"/>
        <v>0.45149999999999979</v>
      </c>
      <c r="M325" s="636">
        <f t="shared" si="36"/>
        <v>0.43724999999999986</v>
      </c>
      <c r="N325" s="636">
        <f t="shared" si="36"/>
        <v>0.42599999999999999</v>
      </c>
    </row>
    <row r="326" spans="1:14" s="1411" customFormat="1" ht="15.75" x14ac:dyDescent="0.25">
      <c r="B326" s="397"/>
      <c r="C326" s="1415" t="s">
        <v>607</v>
      </c>
      <c r="D326" s="1415" t="s">
        <v>923</v>
      </c>
      <c r="E326" s="488"/>
      <c r="F326" s="636">
        <f t="shared" ref="F326:N326" si="37">F308</f>
        <v>0</v>
      </c>
      <c r="G326" s="636">
        <f t="shared" si="37"/>
        <v>4.3750000000000032E-2</v>
      </c>
      <c r="H326" s="636">
        <f t="shared" si="37"/>
        <v>8.7500000000000064E-2</v>
      </c>
      <c r="I326" s="636">
        <f t="shared" si="37"/>
        <v>0.13125000000000009</v>
      </c>
      <c r="J326" s="636">
        <f t="shared" si="37"/>
        <v>0.17500000000000013</v>
      </c>
      <c r="K326" s="636">
        <f t="shared" si="37"/>
        <v>0.21875000000000017</v>
      </c>
      <c r="L326" s="636">
        <f t="shared" si="37"/>
        <v>0.26250000000000018</v>
      </c>
      <c r="M326" s="636">
        <f t="shared" si="37"/>
        <v>0.30625000000000019</v>
      </c>
      <c r="N326" s="636">
        <f t="shared" si="37"/>
        <v>0.35</v>
      </c>
    </row>
    <row r="327" spans="1:14" s="1411" customFormat="1" ht="15.75" x14ac:dyDescent="0.25">
      <c r="B327" s="397"/>
      <c r="C327" s="1415" t="s">
        <v>607</v>
      </c>
      <c r="D327" s="1415" t="s">
        <v>612</v>
      </c>
      <c r="E327" s="488"/>
      <c r="F327" s="636">
        <f t="shared" ref="F327:N327" si="38">F309</f>
        <v>0</v>
      </c>
      <c r="G327" s="636">
        <f t="shared" si="38"/>
        <v>6.2500000000000056E-3</v>
      </c>
      <c r="H327" s="636">
        <f t="shared" si="38"/>
        <v>1.2500000000000011E-2</v>
      </c>
      <c r="I327" s="636">
        <f t="shared" si="38"/>
        <v>1.8750000000000017E-2</v>
      </c>
      <c r="J327" s="636">
        <f t="shared" si="38"/>
        <v>2.5000000000000022E-2</v>
      </c>
      <c r="K327" s="636">
        <f t="shared" si="38"/>
        <v>3.1250000000000028E-2</v>
      </c>
      <c r="L327" s="636">
        <f t="shared" si="38"/>
        <v>3.7500000000000033E-2</v>
      </c>
      <c r="M327" s="636">
        <f t="shared" si="38"/>
        <v>4.3750000000000039E-2</v>
      </c>
      <c r="N327" s="636">
        <f t="shared" si="38"/>
        <v>0.05</v>
      </c>
    </row>
    <row r="328" spans="1:14" s="1411" customFormat="1" ht="15.75" x14ac:dyDescent="0.25">
      <c r="B328" s="397"/>
      <c r="C328" s="624" t="s">
        <v>607</v>
      </c>
      <c r="D328" s="624" t="s">
        <v>2273</v>
      </c>
      <c r="E328" s="625"/>
      <c r="F328" s="637">
        <f t="shared" ref="F328:N328" si="39">(SUM(F309:F310))*(INDEX($G$136:$G$139,MATCH($E$10,$C$136:$C$139)))</f>
        <v>0</v>
      </c>
      <c r="G328" s="637">
        <f t="shared" si="39"/>
        <v>2.1500000000000019E-2</v>
      </c>
      <c r="H328" s="637">
        <f t="shared" si="39"/>
        <v>4.1000000000000036E-2</v>
      </c>
      <c r="I328" s="637">
        <f t="shared" si="39"/>
        <v>5.8500000000000045E-2</v>
      </c>
      <c r="J328" s="637">
        <f t="shared" si="39"/>
        <v>7.4000000000000052E-2</v>
      </c>
      <c r="K328" s="637">
        <f t="shared" si="39"/>
        <v>8.7500000000000064E-2</v>
      </c>
      <c r="L328" s="637">
        <f t="shared" si="39"/>
        <v>9.900000000000006E-2</v>
      </c>
      <c r="M328" s="637">
        <f t="shared" si="39"/>
        <v>0.10850000000000004</v>
      </c>
      <c r="N328" s="637">
        <f t="shared" si="39"/>
        <v>0.11599999999999999</v>
      </c>
    </row>
    <row r="329" spans="1:14" s="1411" customFormat="1" ht="15.75" x14ac:dyDescent="0.25">
      <c r="B329" s="397"/>
      <c r="C329" s="146" t="s">
        <v>608</v>
      </c>
      <c r="D329" s="146" t="s">
        <v>2272</v>
      </c>
      <c r="E329" s="623"/>
      <c r="F329" s="636">
        <f t="shared" ref="F329:N329" si="40">(SUM(F311:F312))*(INDEX($F$136:$F$139,MATCH($E$10,$C$136:$C$139)))</f>
        <v>0.6</v>
      </c>
      <c r="G329" s="636">
        <f t="shared" si="40"/>
        <v>0.56774999999999998</v>
      </c>
      <c r="H329" s="636">
        <f t="shared" si="40"/>
        <v>0.53849999999999987</v>
      </c>
      <c r="I329" s="636">
        <f t="shared" si="40"/>
        <v>0.51224999999999987</v>
      </c>
      <c r="J329" s="636">
        <f t="shared" si="40"/>
        <v>0.48899999999999988</v>
      </c>
      <c r="K329" s="636">
        <f t="shared" si="40"/>
        <v>0.46874999999999983</v>
      </c>
      <c r="L329" s="636">
        <f t="shared" si="40"/>
        <v>0.45149999999999979</v>
      </c>
      <c r="M329" s="636">
        <f t="shared" si="40"/>
        <v>0.43724999999999986</v>
      </c>
      <c r="N329" s="636">
        <f t="shared" si="40"/>
        <v>0.42599999999999999</v>
      </c>
    </row>
    <row r="330" spans="1:14" s="1411" customFormat="1" ht="15.75" x14ac:dyDescent="0.25">
      <c r="B330" s="397"/>
      <c r="C330" s="1415" t="s">
        <v>608</v>
      </c>
      <c r="D330" s="1415" t="s">
        <v>923</v>
      </c>
      <c r="E330" s="488"/>
      <c r="F330" s="636">
        <f t="shared" ref="F330:N330" si="41">F312</f>
        <v>0</v>
      </c>
      <c r="G330" s="636">
        <f t="shared" si="41"/>
        <v>4.3750000000000032E-2</v>
      </c>
      <c r="H330" s="636">
        <f t="shared" si="41"/>
        <v>8.7500000000000064E-2</v>
      </c>
      <c r="I330" s="636">
        <f t="shared" si="41"/>
        <v>0.13125000000000009</v>
      </c>
      <c r="J330" s="636">
        <f t="shared" si="41"/>
        <v>0.17500000000000013</v>
      </c>
      <c r="K330" s="636">
        <f t="shared" si="41"/>
        <v>0.21875000000000017</v>
      </c>
      <c r="L330" s="636">
        <f t="shared" si="41"/>
        <v>0.26250000000000018</v>
      </c>
      <c r="M330" s="636">
        <f t="shared" si="41"/>
        <v>0.30625000000000019</v>
      </c>
      <c r="N330" s="636">
        <f t="shared" si="41"/>
        <v>0.35</v>
      </c>
    </row>
    <row r="331" spans="1:14" s="1411" customFormat="1" ht="15.75" x14ac:dyDescent="0.25">
      <c r="B331" s="397"/>
      <c r="C331" s="1415" t="s">
        <v>608</v>
      </c>
      <c r="D331" s="1415" t="s">
        <v>612</v>
      </c>
      <c r="E331" s="488"/>
      <c r="F331" s="636">
        <f t="shared" ref="F331:N331" si="42">F313</f>
        <v>0</v>
      </c>
      <c r="G331" s="636">
        <f t="shared" si="42"/>
        <v>6.2500000000000056E-3</v>
      </c>
      <c r="H331" s="636">
        <f t="shared" si="42"/>
        <v>1.2500000000000011E-2</v>
      </c>
      <c r="I331" s="636">
        <f t="shared" si="42"/>
        <v>1.8750000000000017E-2</v>
      </c>
      <c r="J331" s="636">
        <f t="shared" si="42"/>
        <v>2.5000000000000022E-2</v>
      </c>
      <c r="K331" s="636">
        <f t="shared" si="42"/>
        <v>3.1250000000000028E-2</v>
      </c>
      <c r="L331" s="636">
        <f t="shared" si="42"/>
        <v>3.7500000000000033E-2</v>
      </c>
      <c r="M331" s="636">
        <f t="shared" si="42"/>
        <v>4.3750000000000039E-2</v>
      </c>
      <c r="N331" s="636">
        <f t="shared" si="42"/>
        <v>0.05</v>
      </c>
    </row>
    <row r="332" spans="1:14" s="1411" customFormat="1" ht="15.75" x14ac:dyDescent="0.25">
      <c r="B332" s="397"/>
      <c r="C332" s="624" t="s">
        <v>608</v>
      </c>
      <c r="D332" s="624" t="s">
        <v>2273</v>
      </c>
      <c r="E332" s="625"/>
      <c r="F332" s="636">
        <f t="shared" ref="F332:N332" si="43">(SUM(F313:F314))*(INDEX($G$136:$G$139,MATCH($E$10,$C$136:$C$139)))</f>
        <v>0</v>
      </c>
      <c r="G332" s="636">
        <f t="shared" si="43"/>
        <v>2.1500000000000019E-2</v>
      </c>
      <c r="H332" s="636">
        <f t="shared" si="43"/>
        <v>4.1000000000000036E-2</v>
      </c>
      <c r="I332" s="636">
        <f t="shared" si="43"/>
        <v>5.8500000000000045E-2</v>
      </c>
      <c r="J332" s="636">
        <f t="shared" si="43"/>
        <v>7.4000000000000052E-2</v>
      </c>
      <c r="K332" s="636">
        <f t="shared" si="43"/>
        <v>8.7500000000000064E-2</v>
      </c>
      <c r="L332" s="636">
        <f t="shared" si="43"/>
        <v>9.900000000000006E-2</v>
      </c>
      <c r="M332" s="636">
        <f t="shared" si="43"/>
        <v>0.10850000000000004</v>
      </c>
      <c r="N332" s="636">
        <f t="shared" si="43"/>
        <v>0.11599999999999999</v>
      </c>
    </row>
    <row r="333" spans="1:14" s="1411" customFormat="1" ht="15.75" x14ac:dyDescent="0.25">
      <c r="B333" s="397"/>
      <c r="C333" s="146" t="s">
        <v>610</v>
      </c>
      <c r="D333" s="146" t="s">
        <v>638</v>
      </c>
      <c r="E333" s="623"/>
      <c r="F333" s="635">
        <f t="shared" ref="F333:N333" si="44">F315</f>
        <v>1</v>
      </c>
      <c r="G333" s="635">
        <f t="shared" si="44"/>
        <v>1</v>
      </c>
      <c r="H333" s="635">
        <f t="shared" si="44"/>
        <v>0.9</v>
      </c>
      <c r="I333" s="635">
        <f t="shared" si="44"/>
        <v>0.8</v>
      </c>
      <c r="J333" s="635">
        <f t="shared" si="44"/>
        <v>0.7</v>
      </c>
      <c r="K333" s="635">
        <f t="shared" si="44"/>
        <v>0.6</v>
      </c>
      <c r="L333" s="635">
        <f t="shared" si="44"/>
        <v>0.5</v>
      </c>
      <c r="M333" s="635">
        <f t="shared" si="44"/>
        <v>0.4</v>
      </c>
      <c r="N333" s="635">
        <f t="shared" si="44"/>
        <v>0.3</v>
      </c>
    </row>
    <row r="334" spans="1:14" s="1411" customFormat="1" ht="15.75" x14ac:dyDescent="0.25">
      <c r="B334" s="397"/>
      <c r="C334" s="1415" t="s">
        <v>610</v>
      </c>
      <c r="D334" s="1415" t="s">
        <v>639</v>
      </c>
      <c r="E334" s="488"/>
      <c r="F334" s="636">
        <f t="shared" ref="F334:N334" si="45">F316</f>
        <v>0</v>
      </c>
      <c r="G334" s="636">
        <f t="shared" si="45"/>
        <v>0</v>
      </c>
      <c r="H334" s="636">
        <f t="shared" si="45"/>
        <v>9.9999999999999978E-2</v>
      </c>
      <c r="I334" s="636">
        <f t="shared" si="45"/>
        <v>0.19999999999999996</v>
      </c>
      <c r="J334" s="636">
        <f t="shared" si="45"/>
        <v>0.30000000000000004</v>
      </c>
      <c r="K334" s="636">
        <f t="shared" si="45"/>
        <v>0.4</v>
      </c>
      <c r="L334" s="636">
        <f t="shared" si="45"/>
        <v>0.5</v>
      </c>
      <c r="M334" s="636">
        <f t="shared" si="45"/>
        <v>0.6</v>
      </c>
      <c r="N334" s="636">
        <f t="shared" si="45"/>
        <v>0.7</v>
      </c>
    </row>
    <row r="335" spans="1:14" s="1411" customFormat="1" ht="15.75" x14ac:dyDescent="0.25">
      <c r="B335" s="397"/>
      <c r="C335" s="200" t="s">
        <v>2267</v>
      </c>
      <c r="D335" s="200" t="s">
        <v>2581</v>
      </c>
      <c r="E335" s="531"/>
      <c r="F335" s="761">
        <f t="shared" ref="F335" si="46">F317</f>
        <v>1</v>
      </c>
      <c r="G335" s="761">
        <f t="shared" ref="G335:N335" si="47">G317</f>
        <v>1</v>
      </c>
      <c r="H335" s="761">
        <f t="shared" si="47"/>
        <v>1</v>
      </c>
      <c r="I335" s="761">
        <f t="shared" si="47"/>
        <v>1</v>
      </c>
      <c r="J335" s="761">
        <f t="shared" si="47"/>
        <v>1</v>
      </c>
      <c r="K335" s="761">
        <f t="shared" si="47"/>
        <v>1</v>
      </c>
      <c r="L335" s="761">
        <f t="shared" si="47"/>
        <v>1</v>
      </c>
      <c r="M335" s="761">
        <f t="shared" si="47"/>
        <v>1</v>
      </c>
      <c r="N335" s="761">
        <f t="shared" si="47"/>
        <v>1</v>
      </c>
    </row>
    <row r="336" spans="1:14" s="1411" customFormat="1" ht="15.75" x14ac:dyDescent="0.25">
      <c r="B336" s="397"/>
      <c r="C336" s="200" t="s">
        <v>2268</v>
      </c>
      <c r="D336" s="200" t="s">
        <v>2580</v>
      </c>
      <c r="E336" s="531"/>
      <c r="F336" s="761">
        <f t="shared" ref="F336:N336" si="48">F318</f>
        <v>0</v>
      </c>
      <c r="G336" s="761">
        <f t="shared" si="48"/>
        <v>0</v>
      </c>
      <c r="H336" s="761">
        <f t="shared" si="48"/>
        <v>0</v>
      </c>
      <c r="I336" s="761">
        <f t="shared" si="48"/>
        <v>0</v>
      </c>
      <c r="J336" s="761">
        <f t="shared" si="48"/>
        <v>0</v>
      </c>
      <c r="K336" s="761">
        <f t="shared" si="48"/>
        <v>0</v>
      </c>
      <c r="L336" s="761">
        <f t="shared" si="48"/>
        <v>0</v>
      </c>
      <c r="M336" s="761">
        <f t="shared" si="48"/>
        <v>0</v>
      </c>
      <c r="N336" s="761">
        <f t="shared" si="48"/>
        <v>0</v>
      </c>
    </row>
    <row r="337" spans="2:14" s="1411" customFormat="1" ht="15.75" x14ac:dyDescent="0.25">
      <c r="B337" s="397"/>
      <c r="C337" s="200" t="s">
        <v>611</v>
      </c>
      <c r="D337" s="200" t="s">
        <v>611</v>
      </c>
      <c r="E337" s="531"/>
      <c r="F337" s="761">
        <f t="shared" ref="F337:N337" si="49">F319</f>
        <v>0</v>
      </c>
      <c r="G337" s="761">
        <f t="shared" si="49"/>
        <v>0</v>
      </c>
      <c r="H337" s="761">
        <f t="shared" si="49"/>
        <v>0</v>
      </c>
      <c r="I337" s="761">
        <f t="shared" si="49"/>
        <v>0</v>
      </c>
      <c r="J337" s="761">
        <f t="shared" si="49"/>
        <v>0</v>
      </c>
      <c r="K337" s="761">
        <f t="shared" si="49"/>
        <v>0</v>
      </c>
      <c r="L337" s="761">
        <f t="shared" si="49"/>
        <v>0</v>
      </c>
      <c r="M337" s="761">
        <f t="shared" si="49"/>
        <v>0</v>
      </c>
      <c r="N337" s="761">
        <f t="shared" si="49"/>
        <v>0</v>
      </c>
    </row>
    <row r="338" spans="2:14" s="81" customFormat="1" ht="15.75" x14ac:dyDescent="0.25">
      <c r="B338" s="397"/>
      <c r="C338" s="145"/>
      <c r="D338" s="145"/>
      <c r="E338" s="488"/>
      <c r="F338" s="636"/>
      <c r="G338" s="636"/>
      <c r="H338" s="636"/>
      <c r="I338" s="636"/>
      <c r="J338" s="636"/>
      <c r="K338" s="636"/>
      <c r="L338" s="636"/>
      <c r="M338" s="636"/>
      <c r="N338" s="636"/>
    </row>
    <row r="339" spans="2:14" s="81" customFormat="1" x14ac:dyDescent="0.2">
      <c r="B339" s="1421" t="s">
        <v>1654</v>
      </c>
      <c r="C339" s="175" t="s">
        <v>924</v>
      </c>
      <c r="D339" s="173"/>
      <c r="E339" s="176"/>
      <c r="G339" s="632"/>
      <c r="H339" s="602"/>
      <c r="I339" s="602"/>
      <c r="J339" s="183"/>
      <c r="K339" s="636"/>
      <c r="L339" s="636"/>
      <c r="M339" s="636"/>
      <c r="N339" s="183" t="s">
        <v>928</v>
      </c>
    </row>
    <row r="340" spans="2:14" s="81" customFormat="1" ht="6" customHeight="1" x14ac:dyDescent="0.25">
      <c r="B340" s="397"/>
      <c r="C340" s="173"/>
      <c r="D340" s="173"/>
      <c r="E340" s="173"/>
      <c r="F340" s="173"/>
      <c r="G340" s="602"/>
      <c r="H340" s="602"/>
      <c r="I340" s="602"/>
      <c r="J340" s="602"/>
      <c r="K340" s="636"/>
      <c r="L340" s="636"/>
      <c r="M340" s="636"/>
      <c r="N340" s="636"/>
    </row>
    <row r="341" spans="2:14" s="81" customFormat="1" ht="15.75" x14ac:dyDescent="0.25">
      <c r="B341" s="397"/>
      <c r="C341" s="103" t="s">
        <v>69</v>
      </c>
      <c r="D341" s="98" t="s">
        <v>592</v>
      </c>
      <c r="E341" s="98" t="s">
        <v>172</v>
      </c>
      <c r="F341" s="218">
        <v>2010</v>
      </c>
      <c r="G341" s="217">
        <v>2015</v>
      </c>
      <c r="H341" s="217">
        <v>2020</v>
      </c>
      <c r="I341" s="217">
        <v>2025</v>
      </c>
      <c r="J341" s="217">
        <v>2030</v>
      </c>
      <c r="K341" s="217">
        <v>2035</v>
      </c>
      <c r="L341" s="217">
        <v>2040</v>
      </c>
      <c r="M341" s="217">
        <v>2045</v>
      </c>
      <c r="N341" s="217">
        <v>2050</v>
      </c>
    </row>
    <row r="342" spans="2:14" s="1411" customFormat="1" ht="15.75" x14ac:dyDescent="0.25">
      <c r="B342" s="397"/>
      <c r="C342" s="237" t="s">
        <v>607</v>
      </c>
      <c r="D342" s="1415" t="s">
        <v>2262</v>
      </c>
      <c r="E342" s="1413"/>
      <c r="F342" s="651">
        <f t="array" ref="F342:F348">$F$49:$F$55</f>
        <v>5</v>
      </c>
      <c r="G342" s="981">
        <f t="shared" ref="G342:G348" si="50">$F342+($N342-$F342)/($N$291-$F$291)*(G$291-$F$291)</f>
        <v>5</v>
      </c>
      <c r="H342" s="981">
        <f t="shared" ref="H342:M348" si="51">$F342+($N342-$F342)/($N$291-$F$291)*(H$291-$F$291)</f>
        <v>5</v>
      </c>
      <c r="I342" s="981">
        <f t="shared" si="51"/>
        <v>5</v>
      </c>
      <c r="J342" s="981">
        <f t="shared" si="51"/>
        <v>5</v>
      </c>
      <c r="K342" s="981">
        <f t="shared" si="51"/>
        <v>5</v>
      </c>
      <c r="L342" s="981">
        <f t="shared" si="51"/>
        <v>5</v>
      </c>
      <c r="M342" s="981">
        <f t="shared" si="51"/>
        <v>5</v>
      </c>
      <c r="N342" s="651">
        <f t="array" ref="N342:N348">INDEX($G$49:$J$55, ,MATCH($E$8, $G$48:$J$48, 0))</f>
        <v>5</v>
      </c>
    </row>
    <row r="343" spans="2:14" s="1411" customFormat="1" ht="15.75" x14ac:dyDescent="0.25">
      <c r="B343" s="397"/>
      <c r="C343" s="237" t="s">
        <v>608</v>
      </c>
      <c r="D343" s="1415" t="s">
        <v>635</v>
      </c>
      <c r="E343" s="1413"/>
      <c r="F343" s="651">
        <v>10</v>
      </c>
      <c r="G343" s="981">
        <f t="shared" si="50"/>
        <v>11.875</v>
      </c>
      <c r="H343" s="981">
        <f t="shared" si="51"/>
        <v>13.75</v>
      </c>
      <c r="I343" s="981">
        <f t="shared" si="51"/>
        <v>15.625</v>
      </c>
      <c r="J343" s="981">
        <f t="shared" si="51"/>
        <v>17.5</v>
      </c>
      <c r="K343" s="981">
        <f t="shared" si="51"/>
        <v>19.375</v>
      </c>
      <c r="L343" s="981">
        <f t="shared" si="51"/>
        <v>21.25</v>
      </c>
      <c r="M343" s="981">
        <f t="shared" si="51"/>
        <v>23.125</v>
      </c>
      <c r="N343" s="651">
        <v>25</v>
      </c>
    </row>
    <row r="344" spans="2:14" s="1411" customFormat="1" ht="15.75" x14ac:dyDescent="0.25">
      <c r="B344" s="397"/>
      <c r="C344" s="237" t="s">
        <v>610</v>
      </c>
      <c r="D344" s="1415" t="s">
        <v>2263</v>
      </c>
      <c r="E344" s="1413"/>
      <c r="F344" s="651">
        <v>0.04</v>
      </c>
      <c r="G344" s="981">
        <f t="shared" si="50"/>
        <v>8.6249999999999993E-2</v>
      </c>
      <c r="H344" s="981">
        <f t="shared" si="51"/>
        <v>0.13250000000000001</v>
      </c>
      <c r="I344" s="981">
        <f t="shared" si="51"/>
        <v>0.17874999999999999</v>
      </c>
      <c r="J344" s="981">
        <f t="shared" si="51"/>
        <v>0.22500000000000001</v>
      </c>
      <c r="K344" s="981">
        <f t="shared" si="51"/>
        <v>0.27124999999999999</v>
      </c>
      <c r="L344" s="981">
        <f t="shared" si="51"/>
        <v>0.31749999999999995</v>
      </c>
      <c r="M344" s="981">
        <f t="shared" si="51"/>
        <v>0.36374999999999996</v>
      </c>
      <c r="N344" s="651">
        <v>0.41</v>
      </c>
    </row>
    <row r="345" spans="2:14" s="81" customFormat="1" ht="15.75" x14ac:dyDescent="0.25">
      <c r="B345" s="397"/>
      <c r="C345" s="237" t="s">
        <v>2267</v>
      </c>
      <c r="D345" s="145" t="s">
        <v>2264</v>
      </c>
      <c r="E345" s="488"/>
      <c r="F345" s="651">
        <v>5</v>
      </c>
      <c r="G345" s="981">
        <f t="shared" si="50"/>
        <v>5.125</v>
      </c>
      <c r="H345" s="981">
        <f t="shared" si="51"/>
        <v>5.25</v>
      </c>
      <c r="I345" s="981">
        <f t="shared" si="51"/>
        <v>5.375</v>
      </c>
      <c r="J345" s="981">
        <f t="shared" si="51"/>
        <v>5.5</v>
      </c>
      <c r="K345" s="981">
        <f t="shared" si="51"/>
        <v>5.625</v>
      </c>
      <c r="L345" s="981">
        <f t="shared" si="51"/>
        <v>5.75</v>
      </c>
      <c r="M345" s="981">
        <f t="shared" si="51"/>
        <v>5.875</v>
      </c>
      <c r="N345" s="651">
        <v>6</v>
      </c>
    </row>
    <row r="346" spans="2:14" s="81" customFormat="1" ht="15.75" x14ac:dyDescent="0.25">
      <c r="B346" s="397"/>
      <c r="C346" s="237" t="s">
        <v>609</v>
      </c>
      <c r="D346" s="145" t="s">
        <v>2265</v>
      </c>
      <c r="E346" s="488"/>
      <c r="F346" s="651">
        <v>1</v>
      </c>
      <c r="G346" s="981">
        <f t="shared" si="50"/>
        <v>1</v>
      </c>
      <c r="H346" s="981">
        <f t="shared" si="51"/>
        <v>1</v>
      </c>
      <c r="I346" s="981">
        <f t="shared" si="51"/>
        <v>1</v>
      </c>
      <c r="J346" s="981">
        <f t="shared" si="51"/>
        <v>1</v>
      </c>
      <c r="K346" s="981">
        <f t="shared" si="51"/>
        <v>1</v>
      </c>
      <c r="L346" s="981">
        <f t="shared" si="51"/>
        <v>1</v>
      </c>
      <c r="M346" s="981">
        <f t="shared" si="51"/>
        <v>1</v>
      </c>
      <c r="N346" s="651">
        <v>1</v>
      </c>
    </row>
    <row r="347" spans="2:14" s="81" customFormat="1" ht="15.75" x14ac:dyDescent="0.25">
      <c r="B347" s="397"/>
      <c r="C347" s="237" t="s">
        <v>2268</v>
      </c>
      <c r="D347" s="145" t="s">
        <v>2266</v>
      </c>
      <c r="E347" s="488"/>
      <c r="F347" s="651">
        <v>0.91</v>
      </c>
      <c r="G347" s="981">
        <f t="shared" si="50"/>
        <v>0.91</v>
      </c>
      <c r="H347" s="981">
        <f t="shared" si="51"/>
        <v>0.91</v>
      </c>
      <c r="I347" s="981">
        <f t="shared" si="51"/>
        <v>0.91</v>
      </c>
      <c r="J347" s="981">
        <f t="shared" si="51"/>
        <v>0.91</v>
      </c>
      <c r="K347" s="981">
        <f t="shared" si="51"/>
        <v>0.91</v>
      </c>
      <c r="L347" s="981">
        <f t="shared" si="51"/>
        <v>0.91</v>
      </c>
      <c r="M347" s="981">
        <f t="shared" si="51"/>
        <v>0.91</v>
      </c>
      <c r="N347" s="651">
        <v>0.91</v>
      </c>
    </row>
    <row r="348" spans="2:14" s="81" customFormat="1" ht="15.75" x14ac:dyDescent="0.25">
      <c r="B348" s="397"/>
      <c r="C348" s="603" t="s">
        <v>611</v>
      </c>
      <c r="D348" s="102" t="s">
        <v>636</v>
      </c>
      <c r="E348" s="102"/>
      <c r="F348" s="102">
        <v>0.65100000000000002</v>
      </c>
      <c r="G348" s="999">
        <f t="shared" si="50"/>
        <v>0.65087499999999998</v>
      </c>
      <c r="H348" s="999">
        <f t="shared" si="51"/>
        <v>0.65075000000000005</v>
      </c>
      <c r="I348" s="999">
        <f t="shared" si="51"/>
        <v>0.65062500000000001</v>
      </c>
      <c r="J348" s="999">
        <f t="shared" si="51"/>
        <v>0.65050000000000008</v>
      </c>
      <c r="K348" s="999">
        <f t="shared" si="51"/>
        <v>0.65037500000000004</v>
      </c>
      <c r="L348" s="999">
        <f t="shared" si="51"/>
        <v>0.65024999999999999</v>
      </c>
      <c r="M348" s="999">
        <f t="shared" si="51"/>
        <v>0.65012500000000006</v>
      </c>
      <c r="N348" s="999">
        <v>0.65</v>
      </c>
    </row>
    <row r="349" spans="2:14" s="1411" customFormat="1" ht="15.75" x14ac:dyDescent="0.25">
      <c r="B349" s="397"/>
      <c r="C349" s="237"/>
      <c r="D349" s="1415"/>
      <c r="E349" s="1415"/>
      <c r="F349" s="2365"/>
      <c r="G349" s="2365"/>
      <c r="H349" s="2365"/>
      <c r="I349" s="2365"/>
      <c r="J349" s="2365"/>
      <c r="K349" s="2365"/>
      <c r="L349" s="2365"/>
      <c r="M349" s="2365"/>
      <c r="N349" s="66"/>
    </row>
    <row r="350" spans="2:14" s="1411" customFormat="1" ht="15.75" x14ac:dyDescent="0.25">
      <c r="B350" s="397"/>
      <c r="C350" s="606" t="s">
        <v>2280</v>
      </c>
      <c r="D350" s="1415"/>
      <c r="E350" s="1415"/>
      <c r="F350" s="66"/>
      <c r="G350" s="2365"/>
      <c r="H350" s="2365"/>
      <c r="I350" s="2365"/>
      <c r="J350" s="2365"/>
      <c r="K350" s="2365"/>
      <c r="L350" s="2365"/>
      <c r="M350" s="2365"/>
      <c r="N350" s="2365"/>
    </row>
    <row r="351" spans="2:14" s="1411" customFormat="1" ht="15.75" x14ac:dyDescent="0.25">
      <c r="B351" s="397"/>
      <c r="C351" s="103"/>
      <c r="D351" s="98"/>
      <c r="E351" s="98"/>
      <c r="F351" s="218">
        <v>2010</v>
      </c>
      <c r="G351" s="217">
        <v>2015</v>
      </c>
      <c r="H351" s="217">
        <v>2020</v>
      </c>
      <c r="I351" s="217">
        <v>2025</v>
      </c>
      <c r="J351" s="217">
        <v>2030</v>
      </c>
      <c r="K351" s="217">
        <v>2035</v>
      </c>
      <c r="L351" s="217">
        <v>2040</v>
      </c>
      <c r="M351" s="217">
        <v>2045</v>
      </c>
      <c r="N351" s="217">
        <v>2050</v>
      </c>
    </row>
    <row r="352" spans="2:14" s="1411" customFormat="1" ht="15.75" x14ac:dyDescent="0.25">
      <c r="B352" s="397"/>
      <c r="C352" s="669"/>
      <c r="D352" s="1413" t="s">
        <v>2262</v>
      </c>
      <c r="E352" s="1413"/>
      <c r="F352" s="1274">
        <f>$F$38</f>
        <v>0.04</v>
      </c>
      <c r="G352" s="740">
        <f t="shared" ref="G352:M352" si="52">$F$352+((($N$352-$F$352)/($N$351-$F$351))*(G351-$F$351))</f>
        <v>0.04</v>
      </c>
      <c r="H352" s="740">
        <f t="shared" si="52"/>
        <v>0.04</v>
      </c>
      <c r="I352" s="740">
        <f t="shared" si="52"/>
        <v>0.04</v>
      </c>
      <c r="J352" s="740">
        <f t="shared" si="52"/>
        <v>0.04</v>
      </c>
      <c r="K352" s="740">
        <f t="shared" si="52"/>
        <v>0.04</v>
      </c>
      <c r="L352" s="740">
        <f t="shared" si="52"/>
        <v>0.04</v>
      </c>
      <c r="M352" s="740">
        <f t="shared" si="52"/>
        <v>0.04</v>
      </c>
      <c r="N352" s="636">
        <f>INDEX($G$38:$J$38,MATCH($E$8,$G$37:$J$37))</f>
        <v>0.04</v>
      </c>
    </row>
    <row r="353" spans="2:14" s="1411" customFormat="1" ht="15.75" x14ac:dyDescent="0.25">
      <c r="B353" s="397"/>
      <c r="C353" s="669"/>
      <c r="D353" s="1413" t="s">
        <v>635</v>
      </c>
      <c r="E353" s="1413"/>
      <c r="F353" s="1274">
        <f>$F$39</f>
        <v>3.5000000000000001E-3</v>
      </c>
      <c r="G353" s="740">
        <f t="shared" ref="G353:M353" si="53">$F$353+((($N$353-$F$353)/($N$351-$F$351))*(G351-$F$351))</f>
        <v>3.5625000000000001E-3</v>
      </c>
      <c r="H353" s="740">
        <f t="shared" si="53"/>
        <v>3.6250000000000002E-3</v>
      </c>
      <c r="I353" s="740">
        <f t="shared" si="53"/>
        <v>3.6875000000000002E-3</v>
      </c>
      <c r="J353" s="740">
        <f t="shared" si="53"/>
        <v>3.7499999999999999E-3</v>
      </c>
      <c r="K353" s="740">
        <f t="shared" si="53"/>
        <v>3.8124999999999999E-3</v>
      </c>
      <c r="L353" s="740">
        <f t="shared" si="53"/>
        <v>3.875E-3</v>
      </c>
      <c r="M353" s="740">
        <f t="shared" si="53"/>
        <v>3.9375E-3</v>
      </c>
      <c r="N353" s="636">
        <f>INDEX($G$39:$J$39,MATCH($E$8,$G$37:$J$37))</f>
        <v>4.0000000000000001E-3</v>
      </c>
    </row>
    <row r="354" spans="2:14" s="1411" customFormat="1" ht="15.75" x14ac:dyDescent="0.25">
      <c r="B354" s="397"/>
      <c r="C354" s="669"/>
      <c r="D354" s="1413" t="s">
        <v>2279</v>
      </c>
      <c r="E354" s="1413"/>
      <c r="F354" s="1274">
        <f>$F$40</f>
        <v>1.6950384115040348E-2</v>
      </c>
      <c r="G354" s="740">
        <f t="shared" ref="G354:M354" si="54">$F$354+((($N$354-$F$354)/($N$351-$F$351))*(G351-$F$351))</f>
        <v>1.7019086100660306E-2</v>
      </c>
      <c r="H354" s="740">
        <f t="shared" si="54"/>
        <v>1.708778808628026E-2</v>
      </c>
      <c r="I354" s="740">
        <f t="shared" si="54"/>
        <v>1.7156490071900218E-2</v>
      </c>
      <c r="J354" s="740">
        <f t="shared" si="54"/>
        <v>1.7225192057520176E-2</v>
      </c>
      <c r="K354" s="740">
        <f t="shared" si="54"/>
        <v>1.7293894043140131E-2</v>
      </c>
      <c r="L354" s="740">
        <f t="shared" si="54"/>
        <v>1.7362596028760089E-2</v>
      </c>
      <c r="M354" s="740">
        <f t="shared" si="54"/>
        <v>1.7431298014380044E-2</v>
      </c>
      <c r="N354" s="636">
        <f>INDEX($G$40:$J$40,MATCH($E$8,$G$37:$J$37))</f>
        <v>1.7500000000000002E-2</v>
      </c>
    </row>
    <row r="355" spans="2:14" s="1411" customFormat="1" ht="15.75" x14ac:dyDescent="0.25">
      <c r="B355" s="397"/>
      <c r="C355" s="237"/>
      <c r="D355" s="1415" t="s">
        <v>2281</v>
      </c>
      <c r="E355" s="1413"/>
      <c r="F355" s="1274">
        <f>$F$41</f>
        <v>0.01</v>
      </c>
      <c r="G355" s="740">
        <f>$F355+($N355-$F$355)/($N$351-$F$351)*(G$351-$F$351)</f>
        <v>1.2500000000000001E-2</v>
      </c>
      <c r="H355" s="740">
        <f t="shared" ref="H355:M355" si="55">$F355+($N355-$F$355)/($N$351-$F$351)*(H$351-$F$351)</f>
        <v>1.4999999999999999E-2</v>
      </c>
      <c r="I355" s="740">
        <f t="shared" si="55"/>
        <v>1.7499999999999998E-2</v>
      </c>
      <c r="J355" s="740">
        <f t="shared" si="55"/>
        <v>1.9999999999999997E-2</v>
      </c>
      <c r="K355" s="740">
        <f t="shared" si="55"/>
        <v>2.2499999999999999E-2</v>
      </c>
      <c r="L355" s="740">
        <f t="shared" si="55"/>
        <v>2.4999999999999998E-2</v>
      </c>
      <c r="M355" s="740">
        <f t="shared" si="55"/>
        <v>2.7499999999999997E-2</v>
      </c>
      <c r="N355" s="636">
        <f>INDEX($G$41:$J$41,MATCH($E$8,$G$37:$J$37))</f>
        <v>0.03</v>
      </c>
    </row>
    <row r="356" spans="2:14" s="1411" customFormat="1" ht="15.75" x14ac:dyDescent="0.25">
      <c r="B356" s="397"/>
      <c r="C356" s="1096"/>
      <c r="D356" s="200" t="s">
        <v>2072</v>
      </c>
      <c r="E356" s="200"/>
      <c r="F356" s="1524">
        <f>INDEX(Global.Assumptions[Population],MATCH(F351,Global.Assumptions[Year]))</f>
        <v>156069027.50073436</v>
      </c>
      <c r="G356" s="2366">
        <f>INDEX(Global.Assumptions[Population],MATCH(G351,Global.Assumptions[Year]))</f>
        <v>176577779.49218363</v>
      </c>
      <c r="H356" s="2366">
        <f>INDEX(Global.Assumptions[Population],MATCH(H351,Global.Assumptions[Year]))</f>
        <v>199781549.93144625</v>
      </c>
      <c r="I356" s="2366">
        <f>INDEX(Global.Assumptions[Population],MATCH(I351,Global.Assumptions[Year]))</f>
        <v>226034486.37645671</v>
      </c>
      <c r="J356" s="2366">
        <f>INDEX(Global.Assumptions[Population],MATCH(J351,Global.Assumptions[Year]))</f>
        <v>255737274.28283712</v>
      </c>
      <c r="K356" s="2366">
        <f>INDEX(Global.Assumptions[Population],MATCH(K351,Global.Assumptions[Year]))</f>
        <v>289343252.46586424</v>
      </c>
      <c r="L356" s="2366">
        <f>INDEX(Global.Assumptions[Population],MATCH(L351,Global.Assumptions[Year]))</f>
        <v>319458330.58301181</v>
      </c>
      <c r="M356" s="2366">
        <f>INDEX(Global.Assumptions[Population],MATCH(M351,Global.Assumptions[Year]))</f>
        <v>352707810.21902281</v>
      </c>
      <c r="N356" s="1524">
        <f>INDEX(Global.Assumptions[Population],MATCH(N351,Global.Assumptions[Year]))</f>
        <v>389417922.40153188</v>
      </c>
    </row>
    <row r="357" spans="2:14" s="1411" customFormat="1" ht="15.75" x14ac:dyDescent="0.25">
      <c r="B357" s="397"/>
      <c r="C357" s="237"/>
      <c r="D357" s="1415" t="s">
        <v>2282</v>
      </c>
      <c r="E357" s="1415"/>
      <c r="F357" s="1253">
        <f>F352*F356</f>
        <v>6242761.1000293745</v>
      </c>
      <c r="G357" s="975">
        <f>G352*G356</f>
        <v>7063111.1796873454</v>
      </c>
      <c r="H357" s="975">
        <f t="shared" ref="H357:N357" si="56">H352*H356</f>
        <v>7991261.9972578501</v>
      </c>
      <c r="I357" s="975">
        <f t="shared" si="56"/>
        <v>9041379.4550582692</v>
      </c>
      <c r="J357" s="975">
        <f t="shared" si="56"/>
        <v>10229490.971313486</v>
      </c>
      <c r="K357" s="975">
        <f t="shared" si="56"/>
        <v>11573730.098634569</v>
      </c>
      <c r="L357" s="975">
        <f t="shared" si="56"/>
        <v>12778333.223320473</v>
      </c>
      <c r="M357" s="975">
        <f t="shared" si="56"/>
        <v>14108312.408760913</v>
      </c>
      <c r="N357" s="975">
        <f t="shared" si="56"/>
        <v>15576716.896061275</v>
      </c>
    </row>
    <row r="358" spans="2:14" s="1411" customFormat="1" ht="15.75" x14ac:dyDescent="0.25">
      <c r="B358" s="397"/>
      <c r="C358" s="237"/>
      <c r="D358" s="1415" t="s">
        <v>2283</v>
      </c>
      <c r="E358" s="1415"/>
      <c r="F358" s="1253">
        <f>F353*F356</f>
        <v>546241.59625257028</v>
      </c>
      <c r="G358" s="975">
        <f>G353*G356</f>
        <v>629058.33944090421</v>
      </c>
      <c r="H358" s="975">
        <f t="shared" ref="H358:M358" si="57">H353*H356</f>
        <v>724208.11850149266</v>
      </c>
      <c r="I358" s="975">
        <f t="shared" si="57"/>
        <v>833502.16851318418</v>
      </c>
      <c r="J358" s="975">
        <f t="shared" si="57"/>
        <v>959014.77856063913</v>
      </c>
      <c r="K358" s="975">
        <f t="shared" si="57"/>
        <v>1103121.1500261074</v>
      </c>
      <c r="L358" s="975">
        <f t="shared" si="57"/>
        <v>1237901.0310091707</v>
      </c>
      <c r="M358" s="975">
        <f t="shared" si="57"/>
        <v>1388787.0027374022</v>
      </c>
      <c r="N358" s="975">
        <f>N353*N356</f>
        <v>1557671.6896061276</v>
      </c>
    </row>
    <row r="359" spans="2:14" s="1411" customFormat="1" ht="15.75" x14ac:dyDescent="0.25">
      <c r="B359" s="397"/>
      <c r="C359" s="1096"/>
      <c r="D359" s="200" t="s">
        <v>2284</v>
      </c>
      <c r="E359" s="200"/>
      <c r="F359" s="1253">
        <f>F354*F356</f>
        <v>2645429.9645982427</v>
      </c>
      <c r="G359" s="2445">
        <f>G354*G356</f>
        <v>3005192.4326408827</v>
      </c>
      <c r="H359" s="2445">
        <f t="shared" ref="H359:M359" si="58">H354*H356</f>
        <v>3413824.7887771721</v>
      </c>
      <c r="I359" s="2445">
        <f t="shared" si="58"/>
        <v>3877958.4214247447</v>
      </c>
      <c r="J359" s="2445">
        <f t="shared" si="58"/>
        <v>4405123.6657885853</v>
      </c>
      <c r="K359" s="2445">
        <f t="shared" si="58"/>
        <v>5003871.5502422005</v>
      </c>
      <c r="L359" s="2445">
        <f t="shared" si="58"/>
        <v>5546625.9419349283</v>
      </c>
      <c r="M359" s="2445">
        <f t="shared" si="58"/>
        <v>6148154.951927186</v>
      </c>
      <c r="N359" s="2445">
        <f>N354*N356</f>
        <v>6814813.6420268081</v>
      </c>
    </row>
    <row r="360" spans="2:14" s="1411" customFormat="1" ht="15.75" x14ac:dyDescent="0.25">
      <c r="B360" s="397"/>
      <c r="C360" s="2367"/>
      <c r="D360" s="1926" t="s">
        <v>2285</v>
      </c>
      <c r="E360" s="1926"/>
      <c r="F360" s="2006">
        <f t="shared" ref="F360" si="59">F355*F356</f>
        <v>1560690.2750073436</v>
      </c>
      <c r="G360" s="2006">
        <f t="shared" ref="G360:N360" si="60">G355*G356</f>
        <v>2207222.2436522953</v>
      </c>
      <c r="H360" s="2006">
        <f t="shared" si="60"/>
        <v>2996723.2489716937</v>
      </c>
      <c r="I360" s="2006">
        <f t="shared" si="60"/>
        <v>3955603.5115879918</v>
      </c>
      <c r="J360" s="2006">
        <f t="shared" si="60"/>
        <v>5114745.485656742</v>
      </c>
      <c r="K360" s="2006">
        <f t="shared" si="60"/>
        <v>6510223.1804819452</v>
      </c>
      <c r="L360" s="2006">
        <f t="shared" si="60"/>
        <v>7986458.2645752942</v>
      </c>
      <c r="M360" s="2006">
        <f t="shared" si="60"/>
        <v>9699464.7810231261</v>
      </c>
      <c r="N360" s="2006">
        <f t="shared" si="60"/>
        <v>11682537.672045955</v>
      </c>
    </row>
    <row r="361" spans="2:14" s="81" customFormat="1" ht="15.75" x14ac:dyDescent="0.25">
      <c r="B361" s="397"/>
      <c r="C361" s="145"/>
      <c r="D361" s="145"/>
      <c r="E361" s="488"/>
      <c r="F361" s="636"/>
      <c r="G361" s="636"/>
      <c r="H361" s="636"/>
      <c r="I361" s="636"/>
      <c r="J361" s="636"/>
      <c r="K361" s="636"/>
      <c r="L361" s="636"/>
      <c r="M361" s="636"/>
      <c r="N361" s="636"/>
    </row>
    <row r="362" spans="2:14" s="81" customFormat="1" x14ac:dyDescent="0.2">
      <c r="B362" s="398">
        <v>4</v>
      </c>
      <c r="C362" s="175" t="s">
        <v>926</v>
      </c>
      <c r="D362" s="173"/>
      <c r="E362" s="176"/>
      <c r="F362" s="173"/>
      <c r="G362" s="626" t="s">
        <v>50</v>
      </c>
      <c r="H362" s="173"/>
      <c r="I362" s="173"/>
      <c r="J362" s="176"/>
      <c r="K362" s="227"/>
      <c r="L362" s="227"/>
      <c r="M362" s="227"/>
      <c r="N362" s="227" t="str">
        <f>Preferences.EnergyUnits &amp; " / bn passenger-km"</f>
        <v>TWh / bn passenger-km</v>
      </c>
    </row>
    <row r="363" spans="2:14" s="81" customFormat="1" ht="6" customHeight="1" x14ac:dyDescent="0.25">
      <c r="B363" s="397"/>
      <c r="C363" s="173"/>
      <c r="D363" s="173"/>
      <c r="E363" s="173"/>
      <c r="F363" s="173"/>
      <c r="G363" s="173"/>
      <c r="H363" s="173"/>
      <c r="I363" s="173"/>
      <c r="J363" s="173"/>
      <c r="K363" s="227"/>
      <c r="L363" s="227"/>
      <c r="M363" s="227"/>
      <c r="N363" s="227"/>
    </row>
    <row r="364" spans="2:14" s="81" customFormat="1" ht="15.75" x14ac:dyDescent="0.25">
      <c r="B364" s="397"/>
      <c r="C364" s="98" t="s">
        <v>592</v>
      </c>
      <c r="D364" s="98" t="s">
        <v>343</v>
      </c>
      <c r="E364" s="98" t="s">
        <v>172</v>
      </c>
      <c r="F364" s="218">
        <v>2010</v>
      </c>
      <c r="G364" s="217">
        <v>2015</v>
      </c>
      <c r="H364" s="217">
        <v>2020</v>
      </c>
      <c r="I364" s="217">
        <v>2025</v>
      </c>
      <c r="J364" s="217">
        <v>2030</v>
      </c>
      <c r="K364" s="217">
        <v>2035</v>
      </c>
      <c r="L364" s="217">
        <v>2040</v>
      </c>
      <c r="M364" s="217">
        <v>2045</v>
      </c>
      <c r="N364" s="217">
        <v>2050</v>
      </c>
    </row>
    <row r="365" spans="2:14" s="81" customFormat="1" ht="15.75" x14ac:dyDescent="0.25">
      <c r="B365" s="397"/>
      <c r="C365" s="146" t="s">
        <v>607</v>
      </c>
      <c r="D365" s="146" t="s">
        <v>2272</v>
      </c>
      <c r="E365" s="623"/>
      <c r="F365" s="653">
        <f t="shared" ref="F365:N365" si="61">F167/INDEX(F$342:F$348, MATCH($C365, $C$342:$C$348, 0))</f>
        <v>0.13999999999999999</v>
      </c>
      <c r="G365" s="650">
        <f t="shared" si="61"/>
        <v>0.12477777777777779</v>
      </c>
      <c r="H365" s="650">
        <f t="shared" si="61"/>
        <v>0.1096111111111111</v>
      </c>
      <c r="I365" s="650">
        <f t="shared" si="61"/>
        <v>9.4222222222222221E-2</v>
      </c>
      <c r="J365" s="650">
        <f t="shared" si="61"/>
        <v>7.8833333333333339E-2</v>
      </c>
      <c r="K365" s="650">
        <f t="shared" si="61"/>
        <v>7.4444444444444452E-2</v>
      </c>
      <c r="L365" s="650">
        <f t="shared" si="61"/>
        <v>7.0055555555555565E-2</v>
      </c>
      <c r="M365" s="650">
        <f t="shared" si="61"/>
        <v>6.7000000000000004E-2</v>
      </c>
      <c r="N365" s="650">
        <f t="shared" si="61"/>
        <v>6.4000000000000001E-2</v>
      </c>
    </row>
    <row r="366" spans="2:14" s="81" customFormat="1" ht="15.75" x14ac:dyDescent="0.25">
      <c r="B366" s="397"/>
      <c r="C366" s="145" t="s">
        <v>607</v>
      </c>
      <c r="D366" s="145" t="s">
        <v>923</v>
      </c>
      <c r="E366" s="488"/>
      <c r="F366" s="654"/>
      <c r="G366" s="651"/>
      <c r="H366" s="651"/>
      <c r="I366" s="651"/>
      <c r="J366" s="651"/>
      <c r="K366" s="651"/>
      <c r="L366" s="651"/>
      <c r="M366" s="651"/>
      <c r="N366" s="651"/>
    </row>
    <row r="367" spans="2:14" s="81" customFormat="1" ht="15.75" x14ac:dyDescent="0.25">
      <c r="B367" s="397"/>
      <c r="C367" s="146" t="s">
        <v>608</v>
      </c>
      <c r="D367" s="146" t="s">
        <v>2272</v>
      </c>
      <c r="E367" s="623"/>
      <c r="F367" s="653">
        <f t="shared" ref="F367:N367" si="62">F169/INDEX(F$342:F$348, MATCH($C367, $C$342:$C$348, 0))</f>
        <v>0.39224999999999999</v>
      </c>
      <c r="G367" s="650">
        <f t="shared" si="62"/>
        <v>0.30664327485380116</v>
      </c>
      <c r="H367" s="650">
        <f t="shared" si="62"/>
        <v>0.24438383838383837</v>
      </c>
      <c r="I367" s="650">
        <f t="shared" si="62"/>
        <v>0.19706666666666667</v>
      </c>
      <c r="J367" s="650">
        <f t="shared" si="62"/>
        <v>0.15988888888888889</v>
      </c>
      <c r="K367" s="650">
        <f t="shared" si="62"/>
        <v>0.14334050179211469</v>
      </c>
      <c r="L367" s="650">
        <f t="shared" si="62"/>
        <v>0.12971241830065361</v>
      </c>
      <c r="M367" s="650">
        <f t="shared" si="62"/>
        <v>0.11829429429429429</v>
      </c>
      <c r="N367" s="650">
        <f t="shared" si="62"/>
        <v>0.10858888888888889</v>
      </c>
    </row>
    <row r="368" spans="2:14" s="81" customFormat="1" ht="15.75" x14ac:dyDescent="0.25">
      <c r="B368" s="397"/>
      <c r="C368" s="145" t="s">
        <v>608</v>
      </c>
      <c r="D368" s="145" t="s">
        <v>923</v>
      </c>
      <c r="E368" s="488"/>
      <c r="F368" s="654"/>
      <c r="G368" s="651"/>
      <c r="H368" s="651"/>
      <c r="I368" s="651"/>
      <c r="J368" s="651"/>
      <c r="K368" s="651"/>
      <c r="L368" s="651"/>
      <c r="M368" s="651"/>
      <c r="N368" s="651"/>
    </row>
    <row r="369" spans="2:14" s="81" customFormat="1" ht="15.75" x14ac:dyDescent="0.25">
      <c r="B369" s="397"/>
      <c r="C369" s="146" t="s">
        <v>610</v>
      </c>
      <c r="D369" s="146" t="s">
        <v>638</v>
      </c>
      <c r="E369" s="623" t="s">
        <v>170</v>
      </c>
      <c r="F369" s="653">
        <f t="shared" ref="F369:N369" si="63">F171/INDEX(F$342:F$348, MATCH($C369, $C$342:$C$348, 0))</f>
        <v>2.6485153928524676</v>
      </c>
      <c r="G369" s="650">
        <f t="shared" si="63"/>
        <v>1.1668821440973227</v>
      </c>
      <c r="H369" s="650">
        <f t="shared" si="63"/>
        <v>0.71959663503916338</v>
      </c>
      <c r="I369" s="650">
        <f t="shared" si="63"/>
        <v>0.50377355724186978</v>
      </c>
      <c r="J369" s="650">
        <f t="shared" si="63"/>
        <v>0.37667774476124122</v>
      </c>
      <c r="K369" s="650">
        <f t="shared" si="63"/>
        <v>0.29292336142147218</v>
      </c>
      <c r="L369" s="650">
        <f t="shared" si="63"/>
        <v>0.23356986141691155</v>
      </c>
      <c r="M369" s="650">
        <f t="shared" si="63"/>
        <v>0.18930969131041753</v>
      </c>
      <c r="N369" s="650">
        <f t="shared" si="63"/>
        <v>0.15503504738648644</v>
      </c>
    </row>
    <row r="370" spans="2:14" s="81" customFormat="1" ht="15.75" x14ac:dyDescent="0.25">
      <c r="B370" s="397"/>
      <c r="C370" s="122" t="s">
        <v>2267</v>
      </c>
      <c r="D370" s="122" t="s">
        <v>2581</v>
      </c>
      <c r="E370" s="230" t="s">
        <v>170</v>
      </c>
      <c r="F370" s="655">
        <f>F172/INDEX(F$342:F$348, MATCH($C370, $C$342:$C$348, 0))</f>
        <v>0.13999999999999999</v>
      </c>
      <c r="G370" s="655">
        <f t="shared" ref="G370:N370" si="64">G172/INDEX(G$342:G$348, MATCH($C370, $C$342:$C$348, 0))</f>
        <v>0.13658536585365852</v>
      </c>
      <c r="H370" s="655">
        <f t="shared" si="64"/>
        <v>0.13333333333333333</v>
      </c>
      <c r="I370" s="655">
        <f t="shared" si="64"/>
        <v>0.13023255813953488</v>
      </c>
      <c r="J370" s="655">
        <f t="shared" si="64"/>
        <v>0.12727272727272726</v>
      </c>
      <c r="K370" s="655">
        <f t="shared" si="64"/>
        <v>0.12444444444444444</v>
      </c>
      <c r="L370" s="655">
        <f t="shared" si="64"/>
        <v>0.1217391304347826</v>
      </c>
      <c r="M370" s="655">
        <f t="shared" si="64"/>
        <v>0.11914893617021276</v>
      </c>
      <c r="N370" s="655">
        <f t="shared" si="64"/>
        <v>0.11666666666666665</v>
      </c>
    </row>
    <row r="371" spans="2:14" s="1411" customFormat="1" ht="15.75" x14ac:dyDescent="0.25">
      <c r="B371" s="397"/>
      <c r="C371" s="122" t="s">
        <v>2268</v>
      </c>
      <c r="D371" s="122" t="s">
        <v>2580</v>
      </c>
      <c r="E371" s="230"/>
      <c r="F371" s="655">
        <f>F173/INDEX(F$342:F$348, MATCH($C371, $C$342:$C$348, 0))</f>
        <v>4.3186813186813184</v>
      </c>
      <c r="G371" s="655">
        <f t="shared" ref="G371:N371" si="65">G173/INDEX(G$342:G$348, MATCH($C371, $C$342:$C$348, 0))</f>
        <v>4.3186813186813184</v>
      </c>
      <c r="H371" s="655">
        <f t="shared" si="65"/>
        <v>4.3186813186813184</v>
      </c>
      <c r="I371" s="655">
        <f t="shared" si="65"/>
        <v>4.3186813186813184</v>
      </c>
      <c r="J371" s="655">
        <f t="shared" si="65"/>
        <v>4.3186813186813184</v>
      </c>
      <c r="K371" s="655">
        <f t="shared" si="65"/>
        <v>4.3186813186813184</v>
      </c>
      <c r="L371" s="655">
        <f t="shared" si="65"/>
        <v>4.3186813186813184</v>
      </c>
      <c r="M371" s="655">
        <f t="shared" si="65"/>
        <v>4.3186813186813184</v>
      </c>
      <c r="N371" s="655">
        <f t="shared" si="65"/>
        <v>4.3186813186813184</v>
      </c>
    </row>
    <row r="372" spans="2:14" s="1411" customFormat="1" ht="15.75" x14ac:dyDescent="0.25">
      <c r="B372" s="397"/>
      <c r="C372" s="122" t="s">
        <v>611</v>
      </c>
      <c r="D372" s="122" t="s">
        <v>611</v>
      </c>
      <c r="E372" s="230"/>
      <c r="F372" s="655">
        <f>F174/INDEX(F$342:F$348, MATCH($C372, $C$342:$C$348, 0))</f>
        <v>0.91944146079484423</v>
      </c>
      <c r="G372" s="655">
        <f t="shared" ref="G372:N372" si="66">G174/INDEX(G$342:G$348, MATCH($C372, $C$342:$C$348, 0))</f>
        <v>0.87454760456862379</v>
      </c>
      <c r="H372" s="655">
        <f t="shared" si="66"/>
        <v>0.83184582540447427</v>
      </c>
      <c r="I372" s="655">
        <f t="shared" si="66"/>
        <v>0.79122908708409279</v>
      </c>
      <c r="J372" s="655">
        <f t="shared" si="66"/>
        <v>0.75259557989794235</v>
      </c>
      <c r="K372" s="655">
        <f t="shared" si="66"/>
        <v>0.71584846543474479</v>
      </c>
      <c r="L372" s="655">
        <f t="shared" si="66"/>
        <v>0.68089563383307405</v>
      </c>
      <c r="M372" s="655">
        <f t="shared" si="66"/>
        <v>0.64764947288651187</v>
      </c>
      <c r="N372" s="655">
        <f t="shared" si="66"/>
        <v>0.61602664842354071</v>
      </c>
    </row>
    <row r="373" spans="2:14" s="81" customFormat="1" ht="15.75" x14ac:dyDescent="0.25">
      <c r="B373" s="397"/>
      <c r="C373" s="145"/>
      <c r="D373" s="145"/>
      <c r="E373" s="488"/>
      <c r="F373" s="628"/>
      <c r="G373" s="612"/>
      <c r="H373" s="612"/>
      <c r="I373" s="612"/>
      <c r="J373" s="612"/>
      <c r="K373" s="227"/>
      <c r="L373" s="227"/>
      <c r="M373" s="227"/>
      <c r="N373" s="227"/>
    </row>
    <row r="374" spans="2:14" s="81" customFormat="1" ht="15.75" x14ac:dyDescent="0.25">
      <c r="B374" s="397"/>
      <c r="C374" s="175" t="s">
        <v>925</v>
      </c>
      <c r="D374" s="173"/>
      <c r="E374" s="176"/>
      <c r="F374" s="173"/>
      <c r="G374" s="626" t="s">
        <v>4</v>
      </c>
      <c r="H374" s="173"/>
      <c r="I374" s="173"/>
      <c r="J374" s="176"/>
      <c r="K374" s="227"/>
      <c r="L374" s="227"/>
      <c r="M374" s="227"/>
      <c r="N374" s="227" t="str">
        <f>Preferences.EnergyUnits &amp; " / bn passenger-km"</f>
        <v>TWh / bn passenger-km</v>
      </c>
    </row>
    <row r="375" spans="2:14" s="81" customFormat="1" ht="16.5" customHeight="1" x14ac:dyDescent="0.25">
      <c r="B375" s="397"/>
      <c r="C375" s="173"/>
      <c r="D375" s="173"/>
      <c r="E375" s="173"/>
      <c r="F375" s="173"/>
      <c r="G375" s="173"/>
      <c r="H375" s="173"/>
      <c r="I375" s="173"/>
      <c r="J375" s="173"/>
      <c r="K375" s="227"/>
      <c r="L375" s="227"/>
      <c r="M375" s="227"/>
      <c r="N375" s="227"/>
    </row>
    <row r="376" spans="2:14" s="81" customFormat="1" ht="15.75" x14ac:dyDescent="0.25">
      <c r="B376" s="397"/>
      <c r="C376" s="98" t="s">
        <v>592</v>
      </c>
      <c r="D376" s="98" t="s">
        <v>343</v>
      </c>
      <c r="E376" s="98" t="s">
        <v>172</v>
      </c>
      <c r="F376" s="218">
        <v>2010</v>
      </c>
      <c r="G376" s="217">
        <v>2015</v>
      </c>
      <c r="H376" s="217">
        <v>2020</v>
      </c>
      <c r="I376" s="217">
        <v>2025</v>
      </c>
      <c r="J376" s="217">
        <v>2030</v>
      </c>
      <c r="K376" s="217">
        <v>2035</v>
      </c>
      <c r="L376" s="217">
        <v>2040</v>
      </c>
      <c r="M376" s="217">
        <v>2045</v>
      </c>
      <c r="N376" s="217">
        <v>2050</v>
      </c>
    </row>
    <row r="377" spans="2:14" s="81" customFormat="1" ht="15.75" x14ac:dyDescent="0.25">
      <c r="B377" s="397"/>
      <c r="C377" s="145" t="s">
        <v>607</v>
      </c>
      <c r="D377" s="145" t="s">
        <v>923</v>
      </c>
      <c r="E377" s="488"/>
      <c r="F377" s="654">
        <f t="shared" ref="F377:N377" si="67">F179/INDEX(F$342:F$348, MATCH($C377, $C$342:$C$348, 0))</f>
        <v>2.3166666666666665E-2</v>
      </c>
      <c r="G377" s="651">
        <f t="shared" si="67"/>
        <v>2.3166666666666665E-2</v>
      </c>
      <c r="H377" s="651">
        <f t="shared" si="67"/>
        <v>2.2444444444444444E-2</v>
      </c>
      <c r="I377" s="651">
        <f t="shared" si="67"/>
        <v>2.0944444444444443E-2</v>
      </c>
      <c r="J377" s="651">
        <f t="shared" si="67"/>
        <v>1.9722222222222221E-2</v>
      </c>
      <c r="K377" s="651">
        <f t="shared" si="67"/>
        <v>1.8777777777777775E-2</v>
      </c>
      <c r="L377" s="651">
        <f t="shared" si="67"/>
        <v>1.8166666666666668E-2</v>
      </c>
      <c r="M377" s="651">
        <f t="shared" si="67"/>
        <v>1.7999999999999999E-2</v>
      </c>
      <c r="N377" s="651">
        <f t="shared" si="67"/>
        <v>1.8055555555555554E-2</v>
      </c>
    </row>
    <row r="378" spans="2:14" s="81" customFormat="1" ht="15.75" x14ac:dyDescent="0.25">
      <c r="B378" s="397"/>
      <c r="C378" s="145" t="s">
        <v>607</v>
      </c>
      <c r="D378" s="145" t="s">
        <v>612</v>
      </c>
      <c r="E378" s="488"/>
      <c r="F378" s="654">
        <f t="shared" ref="F378:N378" si="68">F180/INDEX(F$342:F$348, MATCH($C378, $C$342:$C$348, 0))</f>
        <v>3.3333333333333333E-2</v>
      </c>
      <c r="G378" s="651">
        <f t="shared" si="68"/>
        <v>3.3333333333333333E-2</v>
      </c>
      <c r="H378" s="651">
        <f t="shared" si="68"/>
        <v>3.177777777777778E-2</v>
      </c>
      <c r="I378" s="651">
        <f t="shared" si="68"/>
        <v>2.8666666666666667E-2</v>
      </c>
      <c r="J378" s="651">
        <f t="shared" si="68"/>
        <v>2.6111111111111113E-2</v>
      </c>
      <c r="K378" s="651">
        <f t="shared" si="68"/>
        <v>2.4055555555555556E-2</v>
      </c>
      <c r="L378" s="651">
        <f t="shared" si="68"/>
        <v>2.2555555555555558E-2</v>
      </c>
      <c r="M378" s="651">
        <f t="shared" si="68"/>
        <v>2.1611111111111112E-2</v>
      </c>
      <c r="N378" s="651">
        <f t="shared" si="68"/>
        <v>2.1055555555555557E-2</v>
      </c>
    </row>
    <row r="379" spans="2:14" s="81" customFormat="1" ht="15.75" x14ac:dyDescent="0.25">
      <c r="B379" s="397"/>
      <c r="C379" s="146" t="s">
        <v>608</v>
      </c>
      <c r="D379" s="146" t="s">
        <v>612</v>
      </c>
      <c r="E379" s="623"/>
      <c r="F379" s="653">
        <f t="shared" ref="F379:N379" si="69">F181/INDEX(F$342:F$348, MATCH($C379, $C$342:$C$348, 0))</f>
        <v>9.3361111111111103E-2</v>
      </c>
      <c r="G379" s="650">
        <f t="shared" si="69"/>
        <v>7.2982456140350885E-2</v>
      </c>
      <c r="H379" s="650">
        <f t="shared" si="69"/>
        <v>5.8161616161616164E-2</v>
      </c>
      <c r="I379" s="650">
        <f t="shared" si="69"/>
        <v>4.6897777777777774E-2</v>
      </c>
      <c r="J379" s="650">
        <f t="shared" si="69"/>
        <v>3.8047619047619052E-2</v>
      </c>
      <c r="K379" s="650">
        <f t="shared" si="69"/>
        <v>3.4114695340501794E-2</v>
      </c>
      <c r="L379" s="650">
        <f t="shared" si="69"/>
        <v>3.0875816993464051E-2</v>
      </c>
      <c r="M379" s="650">
        <f t="shared" si="69"/>
        <v>2.8156156156156156E-2</v>
      </c>
      <c r="N379" s="650">
        <f t="shared" si="69"/>
        <v>2.5844444444444444E-2</v>
      </c>
    </row>
    <row r="380" spans="2:14" s="81" customFormat="1" ht="15.75" x14ac:dyDescent="0.25">
      <c r="B380" s="397"/>
      <c r="C380" s="122" t="s">
        <v>610</v>
      </c>
      <c r="D380" s="122" t="s">
        <v>639</v>
      </c>
      <c r="E380" s="230" t="s">
        <v>170</v>
      </c>
      <c r="F380" s="655">
        <f t="shared" ref="F380:N380" si="70">F182/INDEX(F$342:F$348, MATCH($C380, $C$342:$C$348, 0))</f>
        <v>0.79644795838405247</v>
      </c>
      <c r="G380" s="652">
        <f t="shared" si="70"/>
        <v>0.35551590026418556</v>
      </c>
      <c r="H380" s="652">
        <f t="shared" si="70"/>
        <v>0.22240433554875469</v>
      </c>
      <c r="I380" s="652">
        <f t="shared" si="70"/>
        <v>0.15817567844830155</v>
      </c>
      <c r="J380" s="652">
        <f t="shared" si="70"/>
        <v>0.12035213593359022</v>
      </c>
      <c r="K380" s="652">
        <f t="shared" si="70"/>
        <v>9.5426944322513182E-2</v>
      </c>
      <c r="L380" s="652">
        <f t="shared" si="70"/>
        <v>7.7763422708364116E-2</v>
      </c>
      <c r="M380" s="652">
        <f t="shared" si="70"/>
        <v>6.4591655731490311E-2</v>
      </c>
      <c r="N380" s="652">
        <f t="shared" si="70"/>
        <v>5.4391567889642681E-2</v>
      </c>
    </row>
    <row r="381" spans="2:14" s="81" customFormat="1" ht="15.75" x14ac:dyDescent="0.25">
      <c r="B381" s="397"/>
      <c r="C381" s="145"/>
      <c r="D381" s="145"/>
      <c r="E381" s="488"/>
      <c r="F381" s="628"/>
      <c r="G381" s="612"/>
      <c r="H381" s="612"/>
      <c r="I381" s="612"/>
      <c r="J381" s="612"/>
      <c r="K381" s="227"/>
      <c r="L381" s="227"/>
      <c r="M381" s="227"/>
      <c r="N381" s="227"/>
    </row>
    <row r="382" spans="2:14" s="81" customFormat="1" ht="15.75" x14ac:dyDescent="0.25">
      <c r="B382" s="397"/>
      <c r="C382" s="175" t="s">
        <v>2278</v>
      </c>
      <c r="D382" s="173"/>
      <c r="E382" s="176"/>
      <c r="F382" s="173"/>
      <c r="G382" s="626" t="s">
        <v>1216</v>
      </c>
      <c r="H382" s="173"/>
      <c r="I382" s="173"/>
      <c r="J382" s="176"/>
      <c r="K382" s="227"/>
      <c r="L382" s="227"/>
      <c r="M382" s="227"/>
      <c r="N382" s="227" t="str">
        <f>Preferences.EnergyUnits &amp; " / bn passenger-km"</f>
        <v>TWh / bn passenger-km</v>
      </c>
    </row>
    <row r="383" spans="2:14" s="81" customFormat="1" ht="13.5" customHeight="1" x14ac:dyDescent="0.25">
      <c r="B383" s="397"/>
      <c r="C383" s="173"/>
      <c r="D383" s="173"/>
      <c r="E383" s="173"/>
      <c r="F383" s="173"/>
      <c r="G383" s="173"/>
      <c r="H383" s="173"/>
      <c r="I383" s="173"/>
      <c r="J383" s="173"/>
      <c r="K383" s="227"/>
      <c r="L383" s="227"/>
      <c r="M383" s="227"/>
      <c r="N383" s="227"/>
    </row>
    <row r="384" spans="2:14" s="81" customFormat="1" ht="15.75" x14ac:dyDescent="0.25">
      <c r="B384" s="397"/>
      <c r="C384" s="98" t="s">
        <v>592</v>
      </c>
      <c r="D384" s="98" t="s">
        <v>343</v>
      </c>
      <c r="E384" s="98" t="s">
        <v>172</v>
      </c>
      <c r="F384" s="218">
        <v>2010</v>
      </c>
      <c r="G384" s="217">
        <v>2015</v>
      </c>
      <c r="H384" s="217">
        <v>2020</v>
      </c>
      <c r="I384" s="217">
        <v>2025</v>
      </c>
      <c r="J384" s="217">
        <v>2030</v>
      </c>
      <c r="K384" s="217">
        <v>2035</v>
      </c>
      <c r="L384" s="217">
        <v>2040</v>
      </c>
      <c r="M384" s="217">
        <v>2045</v>
      </c>
      <c r="N384" s="217">
        <v>2050</v>
      </c>
    </row>
    <row r="385" spans="1:15" s="81" customFormat="1" ht="15.75" x14ac:dyDescent="0.25">
      <c r="B385" s="397"/>
      <c r="C385" s="146" t="s">
        <v>607</v>
      </c>
      <c r="D385" s="146" t="s">
        <v>2273</v>
      </c>
      <c r="E385" s="623"/>
      <c r="F385" s="653">
        <f t="shared" ref="F385:N385" si="71">F187/INDEX(F$342:F$348, MATCH($C385, $C$342:$C$348, 0))</f>
        <v>0.13999999999999999</v>
      </c>
      <c r="G385" s="650">
        <f t="shared" si="71"/>
        <v>0.12477777777777779</v>
      </c>
      <c r="H385" s="650">
        <f t="shared" si="71"/>
        <v>0.1096111111111111</v>
      </c>
      <c r="I385" s="650">
        <f t="shared" si="71"/>
        <v>9.4222222222222221E-2</v>
      </c>
      <c r="J385" s="650">
        <f t="shared" si="71"/>
        <v>7.8833333333333339E-2</v>
      </c>
      <c r="K385" s="650">
        <f t="shared" si="71"/>
        <v>7.4444444444444452E-2</v>
      </c>
      <c r="L385" s="650">
        <f t="shared" si="71"/>
        <v>7.0055555555555565E-2</v>
      </c>
      <c r="M385" s="650">
        <f t="shared" si="71"/>
        <v>6.7000000000000004E-2</v>
      </c>
      <c r="N385" s="650">
        <f t="shared" si="71"/>
        <v>6.4000000000000001E-2</v>
      </c>
    </row>
    <row r="386" spans="1:15" s="81" customFormat="1" ht="15.75" x14ac:dyDescent="0.25">
      <c r="B386" s="397"/>
      <c r="C386" s="200" t="s">
        <v>608</v>
      </c>
      <c r="D386" s="200" t="s">
        <v>2273</v>
      </c>
      <c r="E386" s="531"/>
      <c r="F386" s="1085">
        <f t="shared" ref="F386:N386" si="72">F188/INDEX(F$342:F$348, MATCH($C386, $C$342:$C$348, 0))</f>
        <v>0.39224999999999999</v>
      </c>
      <c r="G386" s="1086">
        <f t="shared" si="72"/>
        <v>0.30664327485380116</v>
      </c>
      <c r="H386" s="1086">
        <f t="shared" si="72"/>
        <v>0.24438383838383837</v>
      </c>
      <c r="I386" s="1086">
        <f t="shared" si="72"/>
        <v>0.19706666666666667</v>
      </c>
      <c r="J386" s="1086">
        <f t="shared" si="72"/>
        <v>0.15988888888888889</v>
      </c>
      <c r="K386" s="1086">
        <f t="shared" si="72"/>
        <v>0.14334050179211469</v>
      </c>
      <c r="L386" s="1086">
        <f t="shared" si="72"/>
        <v>0.12971241830065361</v>
      </c>
      <c r="M386" s="1086">
        <f t="shared" si="72"/>
        <v>0.11829429429429429</v>
      </c>
      <c r="N386" s="1086">
        <f t="shared" si="72"/>
        <v>0.10858888888888889</v>
      </c>
    </row>
    <row r="387" spans="1:15" s="81" customFormat="1" ht="15.75" x14ac:dyDescent="0.25">
      <c r="B387" s="397"/>
      <c r="C387" s="145"/>
      <c r="D387" s="145"/>
      <c r="E387" s="488"/>
      <c r="F387" s="628"/>
      <c r="G387" s="66"/>
      <c r="H387" s="66"/>
      <c r="I387" s="66"/>
      <c r="J387" s="66"/>
      <c r="K387" s="66"/>
      <c r="L387" s="66"/>
      <c r="M387" s="66"/>
      <c r="N387" s="66"/>
    </row>
    <row r="388" spans="1:15" s="81" customFormat="1" ht="15.75" x14ac:dyDescent="0.25">
      <c r="B388" s="397"/>
      <c r="C388" s="144"/>
      <c r="D388" s="345"/>
      <c r="E388" s="145"/>
      <c r="F388" s="601"/>
      <c r="G388" s="602"/>
      <c r="H388" s="602"/>
      <c r="I388" s="602"/>
      <c r="J388" s="602"/>
      <c r="K388" s="227"/>
      <c r="L388" s="227"/>
      <c r="M388" s="227"/>
      <c r="N388" s="227"/>
    </row>
    <row r="389" spans="1:15" s="1375" customFormat="1" x14ac:dyDescent="0.2">
      <c r="B389" s="471"/>
    </row>
    <row r="390" spans="1:15" s="84" customFormat="1" ht="22.5" collapsed="1" x14ac:dyDescent="0.2">
      <c r="A390" s="408"/>
      <c r="B390" s="472" t="s">
        <v>1417</v>
      </c>
      <c r="C390" s="405"/>
      <c r="D390" s="405"/>
      <c r="E390" s="405"/>
      <c r="F390" s="405"/>
      <c r="G390" s="405"/>
      <c r="H390" s="405"/>
      <c r="I390" s="405"/>
      <c r="J390" s="405"/>
      <c r="K390" s="405"/>
      <c r="L390" s="405"/>
      <c r="M390" s="405"/>
      <c r="N390" s="405"/>
      <c r="O390" s="946"/>
    </row>
    <row r="391" spans="1:15" s="1375" customFormat="1" ht="15.75" customHeight="1" x14ac:dyDescent="0.2">
      <c r="B391" s="395"/>
      <c r="C391" s="173"/>
      <c r="D391" s="173"/>
      <c r="E391" s="173"/>
      <c r="F391" s="173"/>
      <c r="G391" s="173"/>
      <c r="H391" s="173"/>
      <c r="I391" s="173"/>
      <c r="J391" s="173"/>
      <c r="K391" s="173"/>
      <c r="L391" s="173"/>
      <c r="M391" s="173"/>
      <c r="N391" s="173"/>
      <c r="O391" s="588"/>
    </row>
    <row r="392" spans="1:15" s="1521" customFormat="1" ht="14.25" customHeight="1" x14ac:dyDescent="0.2">
      <c r="B392" s="1416"/>
      <c r="C392" s="1417" t="s">
        <v>1418</v>
      </c>
      <c r="D392" s="1416"/>
      <c r="E392" s="1416"/>
      <c r="F392" s="1416"/>
      <c r="G392" s="1416"/>
      <c r="H392" s="1416"/>
      <c r="I392" s="1416"/>
      <c r="J392" s="1416"/>
      <c r="K392" s="1416"/>
      <c r="L392" s="1416"/>
      <c r="M392" s="1416"/>
      <c r="N392" s="1385" t="str">
        <f>Preferences.moneyunits&amp;" per thousand vehicle units"</f>
        <v>N per thousand vehicle units</v>
      </c>
      <c r="O392" s="588"/>
    </row>
    <row r="393" spans="1:15" s="1521" customFormat="1" ht="16.5" customHeight="1" x14ac:dyDescent="0.2">
      <c r="B393" s="1377"/>
      <c r="C393" s="1999" t="s">
        <v>1889</v>
      </c>
      <c r="D393" s="2000"/>
      <c r="E393" s="2001" t="s">
        <v>1321</v>
      </c>
      <c r="F393" s="2002">
        <v>2010</v>
      </c>
      <c r="G393" s="2002">
        <v>2015</v>
      </c>
      <c r="H393" s="2002">
        <v>2020</v>
      </c>
      <c r="I393" s="2002">
        <v>2025</v>
      </c>
      <c r="J393" s="2002">
        <v>2030</v>
      </c>
      <c r="K393" s="2002">
        <v>2035</v>
      </c>
      <c r="L393" s="2002">
        <v>2040</v>
      </c>
      <c r="M393" s="2002">
        <v>2045</v>
      </c>
      <c r="N393" s="2002">
        <v>2050</v>
      </c>
    </row>
    <row r="394" spans="1:15" s="1395" customFormat="1" x14ac:dyDescent="0.2">
      <c r="B394" s="1377"/>
      <c r="C394" s="1926" t="s">
        <v>609</v>
      </c>
      <c r="D394" s="1926" t="s">
        <v>609</v>
      </c>
      <c r="E394" s="1252">
        <f t="shared" ref="E394:E407" si="73">(N394-F394)/(N$393-F$393)</f>
        <v>0</v>
      </c>
      <c r="F394" s="1998">
        <f>20000*NAIRA2010_*1000</f>
        <v>20000000</v>
      </c>
      <c r="G394" s="1998">
        <f>F394+$E394*(G$393-F$393)</f>
        <v>20000000</v>
      </c>
      <c r="H394" s="1998">
        <f t="shared" ref="H394:M394" si="74">G394+$E394*(H$393-G$393)</f>
        <v>20000000</v>
      </c>
      <c r="I394" s="1998">
        <f t="shared" si="74"/>
        <v>20000000</v>
      </c>
      <c r="J394" s="1998">
        <f t="shared" si="74"/>
        <v>20000000</v>
      </c>
      <c r="K394" s="1998">
        <f t="shared" si="74"/>
        <v>20000000</v>
      </c>
      <c r="L394" s="1998">
        <f t="shared" si="74"/>
        <v>20000000</v>
      </c>
      <c r="M394" s="1998">
        <f t="shared" si="74"/>
        <v>20000000</v>
      </c>
      <c r="N394" s="2718">
        <f>20000*NAIRA2010_*1000</f>
        <v>20000000</v>
      </c>
    </row>
    <row r="395" spans="1:15" s="1395" customFormat="1" x14ac:dyDescent="0.2">
      <c r="B395" s="1377"/>
      <c r="C395" s="1102" t="s">
        <v>607</v>
      </c>
      <c r="D395" s="146" t="s">
        <v>2272</v>
      </c>
      <c r="E395" s="1904">
        <f t="shared" si="73"/>
        <v>0</v>
      </c>
      <c r="F395" s="1997">
        <f>1500000*NAIRA2010_*1000</f>
        <v>1500000000</v>
      </c>
      <c r="G395" s="2004">
        <f t="shared" ref="G395:M395" si="75">F395+$E395*(G$393-F$393)</f>
        <v>1500000000</v>
      </c>
      <c r="H395" s="2004">
        <f t="shared" si="75"/>
        <v>1500000000</v>
      </c>
      <c r="I395" s="2004">
        <f t="shared" si="75"/>
        <v>1500000000</v>
      </c>
      <c r="J395" s="2004">
        <f t="shared" si="75"/>
        <v>1500000000</v>
      </c>
      <c r="K395" s="2004">
        <f t="shared" si="75"/>
        <v>1500000000</v>
      </c>
      <c r="L395" s="2004">
        <f t="shared" si="75"/>
        <v>1500000000</v>
      </c>
      <c r="M395" s="2004">
        <f t="shared" si="75"/>
        <v>1500000000</v>
      </c>
      <c r="N395" s="2719">
        <f>1500000*NAIRA2010_*1000</f>
        <v>1500000000</v>
      </c>
    </row>
    <row r="396" spans="1:15" s="1395" customFormat="1" x14ac:dyDescent="0.2">
      <c r="B396" s="1377"/>
      <c r="C396" s="1415" t="s">
        <v>607</v>
      </c>
      <c r="D396" s="1415" t="s">
        <v>923</v>
      </c>
      <c r="E396" s="1416">
        <f t="shared" si="73"/>
        <v>0</v>
      </c>
      <c r="F396" s="634">
        <f>(4000000)*NAIRA2010_*1000</f>
        <v>4000000000</v>
      </c>
      <c r="G396" s="1531">
        <f t="shared" ref="G396:M396" si="76">F396+$E396*(G$393-F$393)</f>
        <v>4000000000</v>
      </c>
      <c r="H396" s="1531">
        <f t="shared" si="76"/>
        <v>4000000000</v>
      </c>
      <c r="I396" s="1531">
        <f t="shared" si="76"/>
        <v>4000000000</v>
      </c>
      <c r="J396" s="1531">
        <f t="shared" si="76"/>
        <v>4000000000</v>
      </c>
      <c r="K396" s="1531">
        <f t="shared" si="76"/>
        <v>4000000000</v>
      </c>
      <c r="L396" s="1531">
        <f t="shared" si="76"/>
        <v>4000000000</v>
      </c>
      <c r="M396" s="1531">
        <f t="shared" si="76"/>
        <v>4000000000</v>
      </c>
      <c r="N396" s="66">
        <f>(4000000)*NAIRA2010_*1000</f>
        <v>4000000000</v>
      </c>
    </row>
    <row r="397" spans="1:15" s="1521" customFormat="1" x14ac:dyDescent="0.2">
      <c r="B397" s="1377"/>
      <c r="C397" s="1415" t="s">
        <v>607</v>
      </c>
      <c r="D397" s="1415" t="s">
        <v>612</v>
      </c>
      <c r="E397" s="1416">
        <f t="shared" si="73"/>
        <v>0</v>
      </c>
      <c r="F397" s="634">
        <f>10000000*NAIRA2010_*1000</f>
        <v>10000000000</v>
      </c>
      <c r="G397" s="1531">
        <f t="shared" ref="G397:M397" si="77">F397+$E397*(G$393-F$393)</f>
        <v>10000000000</v>
      </c>
      <c r="H397" s="1531">
        <f t="shared" si="77"/>
        <v>10000000000</v>
      </c>
      <c r="I397" s="1531">
        <f t="shared" si="77"/>
        <v>10000000000</v>
      </c>
      <c r="J397" s="1531">
        <f t="shared" si="77"/>
        <v>10000000000</v>
      </c>
      <c r="K397" s="1531">
        <f t="shared" si="77"/>
        <v>10000000000</v>
      </c>
      <c r="L397" s="1531">
        <f t="shared" si="77"/>
        <v>10000000000</v>
      </c>
      <c r="M397" s="1531">
        <f t="shared" si="77"/>
        <v>10000000000</v>
      </c>
      <c r="N397" s="66">
        <f>10000000*NAIRA2010_*1000</f>
        <v>10000000000</v>
      </c>
    </row>
    <row r="398" spans="1:15" s="1395" customFormat="1" x14ac:dyDescent="0.2">
      <c r="B398" s="1377"/>
      <c r="C398" s="200" t="s">
        <v>607</v>
      </c>
      <c r="D398" s="524" t="s">
        <v>2273</v>
      </c>
      <c r="E398" s="524">
        <f t="shared" si="73"/>
        <v>0</v>
      </c>
      <c r="F398" s="1524">
        <f>1500000*NAIRA2010_*1000</f>
        <v>1500000000</v>
      </c>
      <c r="G398" s="2003">
        <f t="shared" ref="G398:M398" si="78">F398+$E398*(G$393-F$393)</f>
        <v>1500000000</v>
      </c>
      <c r="H398" s="2003">
        <f t="shared" si="78"/>
        <v>1500000000</v>
      </c>
      <c r="I398" s="2003">
        <f t="shared" si="78"/>
        <v>1500000000</v>
      </c>
      <c r="J398" s="2003">
        <f t="shared" si="78"/>
        <v>1500000000</v>
      </c>
      <c r="K398" s="2003">
        <f t="shared" si="78"/>
        <v>1500000000</v>
      </c>
      <c r="L398" s="2003">
        <f t="shared" si="78"/>
        <v>1500000000</v>
      </c>
      <c r="M398" s="2003">
        <f t="shared" si="78"/>
        <v>1500000000</v>
      </c>
      <c r="N398" s="999">
        <f>1500000*NAIRA2010_*1000</f>
        <v>1500000000</v>
      </c>
    </row>
    <row r="399" spans="1:15" s="1395" customFormat="1" x14ac:dyDescent="0.2">
      <c r="B399" s="1377"/>
      <c r="C399" s="1102" t="s">
        <v>608</v>
      </c>
      <c r="D399" s="146" t="s">
        <v>2272</v>
      </c>
      <c r="E399" s="1904">
        <f t="shared" si="73"/>
        <v>0</v>
      </c>
      <c r="F399" s="1997">
        <f>3000000*NAIRA2010_*1000</f>
        <v>3000000000</v>
      </c>
      <c r="G399" s="2004">
        <f t="shared" ref="G399:M399" si="79">F399+$E399*(G$393-F$393)</f>
        <v>3000000000</v>
      </c>
      <c r="H399" s="2004">
        <f t="shared" si="79"/>
        <v>3000000000</v>
      </c>
      <c r="I399" s="2004">
        <f t="shared" si="79"/>
        <v>3000000000</v>
      </c>
      <c r="J399" s="2004">
        <f t="shared" si="79"/>
        <v>3000000000</v>
      </c>
      <c r="K399" s="2004">
        <f t="shared" si="79"/>
        <v>3000000000</v>
      </c>
      <c r="L399" s="2004">
        <f t="shared" si="79"/>
        <v>3000000000</v>
      </c>
      <c r="M399" s="2004">
        <f t="shared" si="79"/>
        <v>3000000000</v>
      </c>
      <c r="N399" s="2719">
        <f>3000000*NAIRA2010_*1000</f>
        <v>3000000000</v>
      </c>
    </row>
    <row r="400" spans="1:15" s="1395" customFormat="1" x14ac:dyDescent="0.2">
      <c r="B400" s="1377"/>
      <c r="C400" s="1415" t="s">
        <v>608</v>
      </c>
      <c r="D400" s="1415" t="s">
        <v>923</v>
      </c>
      <c r="E400" s="1416">
        <f t="shared" si="73"/>
        <v>0</v>
      </c>
      <c r="F400" s="634">
        <f>7000000*NAIRA2010_*1000</f>
        <v>7000000000</v>
      </c>
      <c r="G400" s="1531">
        <f t="shared" ref="G400:M400" si="80">F400+$E400*(G$393-F$393)</f>
        <v>7000000000</v>
      </c>
      <c r="H400" s="1531">
        <f t="shared" si="80"/>
        <v>7000000000</v>
      </c>
      <c r="I400" s="1531">
        <f t="shared" si="80"/>
        <v>7000000000</v>
      </c>
      <c r="J400" s="1531">
        <f t="shared" si="80"/>
        <v>7000000000</v>
      </c>
      <c r="K400" s="1531">
        <f t="shared" si="80"/>
        <v>7000000000</v>
      </c>
      <c r="L400" s="1531">
        <f t="shared" si="80"/>
        <v>7000000000</v>
      </c>
      <c r="M400" s="1531">
        <f t="shared" si="80"/>
        <v>7000000000</v>
      </c>
      <c r="N400" s="66">
        <f>7000000*NAIRA2010_*1000</f>
        <v>7000000000</v>
      </c>
    </row>
    <row r="401" spans="2:14" s="1395" customFormat="1" x14ac:dyDescent="0.2">
      <c r="B401" s="1377"/>
      <c r="C401" s="1415" t="s">
        <v>608</v>
      </c>
      <c r="D401" s="1415" t="s">
        <v>612</v>
      </c>
      <c r="E401" s="1416">
        <f t="shared" si="73"/>
        <v>0</v>
      </c>
      <c r="F401" s="634">
        <f>10000000*NAIRA2010_*1000</f>
        <v>10000000000</v>
      </c>
      <c r="G401" s="1531">
        <f t="shared" ref="G401:M401" si="81">F401+$E401*(G$393-F$393)</f>
        <v>10000000000</v>
      </c>
      <c r="H401" s="1531">
        <f t="shared" si="81"/>
        <v>10000000000</v>
      </c>
      <c r="I401" s="1531">
        <f t="shared" si="81"/>
        <v>10000000000</v>
      </c>
      <c r="J401" s="1531">
        <f t="shared" si="81"/>
        <v>10000000000</v>
      </c>
      <c r="K401" s="1531">
        <f t="shared" si="81"/>
        <v>10000000000</v>
      </c>
      <c r="L401" s="1531">
        <f t="shared" si="81"/>
        <v>10000000000</v>
      </c>
      <c r="M401" s="1531">
        <f t="shared" si="81"/>
        <v>10000000000</v>
      </c>
      <c r="N401" s="66">
        <f>10000000*NAIRA2010_*1000</f>
        <v>10000000000</v>
      </c>
    </row>
    <row r="402" spans="2:14" s="1395" customFormat="1" x14ac:dyDescent="0.2">
      <c r="B402" s="1377"/>
      <c r="C402" s="200" t="s">
        <v>608</v>
      </c>
      <c r="D402" s="624" t="s">
        <v>2273</v>
      </c>
      <c r="E402" s="524">
        <f t="shared" si="73"/>
        <v>0</v>
      </c>
      <c r="F402" s="1524">
        <f>3000000*NAIRA2010_*1000</f>
        <v>3000000000</v>
      </c>
      <c r="G402" s="2003">
        <f t="shared" ref="G402:M402" si="82">F402+$E402*(G$393-F$393)</f>
        <v>3000000000</v>
      </c>
      <c r="H402" s="2003">
        <f t="shared" si="82"/>
        <v>3000000000</v>
      </c>
      <c r="I402" s="2003">
        <f t="shared" si="82"/>
        <v>3000000000</v>
      </c>
      <c r="J402" s="2003">
        <f t="shared" si="82"/>
        <v>3000000000</v>
      </c>
      <c r="K402" s="2003">
        <f t="shared" si="82"/>
        <v>3000000000</v>
      </c>
      <c r="L402" s="2003">
        <f t="shared" si="82"/>
        <v>3000000000</v>
      </c>
      <c r="M402" s="2003">
        <f t="shared" si="82"/>
        <v>3000000000</v>
      </c>
      <c r="N402" s="999">
        <f>3000000*NAIRA2010_*1000</f>
        <v>3000000000</v>
      </c>
    </row>
    <row r="403" spans="2:14" s="1395" customFormat="1" x14ac:dyDescent="0.2">
      <c r="B403" s="1377"/>
      <c r="C403" s="1102" t="s">
        <v>610</v>
      </c>
      <c r="D403" s="1102" t="s">
        <v>638</v>
      </c>
      <c r="E403" s="1904">
        <f t="shared" si="73"/>
        <v>0</v>
      </c>
      <c r="F403" s="1997">
        <f>250*124097*NAIRA2010_</f>
        <v>31024250</v>
      </c>
      <c r="G403" s="2004">
        <f t="shared" ref="G403:M406" si="83">F403+$E403*(G$393-F$393)</f>
        <v>31024250</v>
      </c>
      <c r="H403" s="2004">
        <f t="shared" si="83"/>
        <v>31024250</v>
      </c>
      <c r="I403" s="2004">
        <f t="shared" si="83"/>
        <v>31024250</v>
      </c>
      <c r="J403" s="2004">
        <f>I403+$E403*(J$393-I$393)</f>
        <v>31024250</v>
      </c>
      <c r="K403" s="2004">
        <f t="shared" si="83"/>
        <v>31024250</v>
      </c>
      <c r="L403" s="2004">
        <f t="shared" si="83"/>
        <v>31024250</v>
      </c>
      <c r="M403" s="2004">
        <f t="shared" si="83"/>
        <v>31024250</v>
      </c>
      <c r="N403" s="2719">
        <f>250*124097*NAIRA2010_</f>
        <v>31024250</v>
      </c>
    </row>
    <row r="404" spans="2:14" s="1395" customFormat="1" x14ac:dyDescent="0.2">
      <c r="B404" s="1377"/>
      <c r="C404" s="200" t="s">
        <v>610</v>
      </c>
      <c r="D404" s="200" t="s">
        <v>639</v>
      </c>
      <c r="E404" s="524">
        <f t="shared" si="73"/>
        <v>0</v>
      </c>
      <c r="F404" s="1524">
        <f>250*333396*NAIRA2010_</f>
        <v>83349000</v>
      </c>
      <c r="G404" s="2004">
        <f t="shared" si="83"/>
        <v>83349000</v>
      </c>
      <c r="H404" s="2004">
        <f t="shared" si="83"/>
        <v>83349000</v>
      </c>
      <c r="I404" s="2004">
        <f t="shared" ref="I404:I406" si="84">H404+$E404*(I$393-H$393)</f>
        <v>83349000</v>
      </c>
      <c r="J404" s="2004">
        <f t="shared" ref="J404:J406" si="85">I404+$E404*(J$393-I$393)</f>
        <v>83349000</v>
      </c>
      <c r="K404" s="2004">
        <f t="shared" ref="K404:K406" si="86">J404+$E404*(K$393-J$393)</f>
        <v>83349000</v>
      </c>
      <c r="L404" s="2004">
        <f t="shared" si="83"/>
        <v>83349000</v>
      </c>
      <c r="M404" s="2004">
        <f t="shared" si="83"/>
        <v>83349000</v>
      </c>
      <c r="N404" s="2719">
        <f>250*333396*NAIRA2010_</f>
        <v>83349000</v>
      </c>
    </row>
    <row r="405" spans="2:14" s="2479" customFormat="1" x14ac:dyDescent="0.2">
      <c r="B405" s="1377"/>
      <c r="C405" s="122" t="s">
        <v>2267</v>
      </c>
      <c r="D405" s="122" t="s">
        <v>2581</v>
      </c>
      <c r="E405" s="524">
        <f t="shared" si="73"/>
        <v>0</v>
      </c>
      <c r="F405" s="1524">
        <f>400000*NAIRA2010_*1000</f>
        <v>400000000</v>
      </c>
      <c r="G405" s="2004">
        <f t="shared" si="83"/>
        <v>400000000</v>
      </c>
      <c r="H405" s="2004">
        <f t="shared" si="83"/>
        <v>400000000</v>
      </c>
      <c r="I405" s="2004">
        <f t="shared" si="84"/>
        <v>400000000</v>
      </c>
      <c r="J405" s="2004">
        <f t="shared" si="85"/>
        <v>400000000</v>
      </c>
      <c r="K405" s="2004">
        <f t="shared" si="86"/>
        <v>400000000</v>
      </c>
      <c r="L405" s="2004">
        <f t="shared" si="83"/>
        <v>400000000</v>
      </c>
      <c r="M405" s="2004">
        <f t="shared" si="83"/>
        <v>400000000</v>
      </c>
      <c r="N405" s="2719">
        <f>400000*NAIRA2010_*1000</f>
        <v>400000000</v>
      </c>
    </row>
    <row r="406" spans="2:14" s="2479" customFormat="1" x14ac:dyDescent="0.2">
      <c r="B406" s="1377"/>
      <c r="C406" s="122" t="s">
        <v>2268</v>
      </c>
      <c r="D406" s="122" t="s">
        <v>2580</v>
      </c>
      <c r="E406" s="524">
        <f t="shared" si="73"/>
        <v>0</v>
      </c>
      <c r="F406" s="1524">
        <f>250*333396*NAIRA2010_</f>
        <v>83349000</v>
      </c>
      <c r="G406" s="2004">
        <f t="shared" si="83"/>
        <v>83349000</v>
      </c>
      <c r="H406" s="2004">
        <f t="shared" si="83"/>
        <v>83349000</v>
      </c>
      <c r="I406" s="2004">
        <f t="shared" si="84"/>
        <v>83349000</v>
      </c>
      <c r="J406" s="2004">
        <f t="shared" si="85"/>
        <v>83349000</v>
      </c>
      <c r="K406" s="2004">
        <f t="shared" si="86"/>
        <v>83349000</v>
      </c>
      <c r="L406" s="2004">
        <f t="shared" si="83"/>
        <v>83349000</v>
      </c>
      <c r="M406" s="2004">
        <f t="shared" si="83"/>
        <v>83349000</v>
      </c>
      <c r="N406" s="2719">
        <f>250*333396*NAIRA2010_</f>
        <v>83349000</v>
      </c>
    </row>
    <row r="407" spans="2:14" s="1395" customFormat="1" x14ac:dyDescent="0.2">
      <c r="B407" s="1377"/>
      <c r="C407" s="1926" t="s">
        <v>611</v>
      </c>
      <c r="D407" s="1926" t="s">
        <v>611</v>
      </c>
      <c r="E407" s="1252">
        <f t="shared" si="73"/>
        <v>0</v>
      </c>
      <c r="F407" s="2006">
        <f>250*57337603.7457258*NAIRA2010_</f>
        <v>14334400936.43145</v>
      </c>
      <c r="G407" s="1998">
        <f t="shared" ref="G407:M407" si="87">F407+$E407*(G$393-F$393)</f>
        <v>14334400936.43145</v>
      </c>
      <c r="H407" s="1998">
        <f t="shared" si="87"/>
        <v>14334400936.43145</v>
      </c>
      <c r="I407" s="1998">
        <f t="shared" si="87"/>
        <v>14334400936.43145</v>
      </c>
      <c r="J407" s="1998">
        <f t="shared" si="87"/>
        <v>14334400936.43145</v>
      </c>
      <c r="K407" s="1998">
        <f t="shared" si="87"/>
        <v>14334400936.43145</v>
      </c>
      <c r="L407" s="1998">
        <f t="shared" si="87"/>
        <v>14334400936.43145</v>
      </c>
      <c r="M407" s="1998">
        <f t="shared" si="87"/>
        <v>14334400936.43145</v>
      </c>
      <c r="N407" s="2720">
        <f>250*57337603.7457258*NAIRA2010_</f>
        <v>14334400936.43145</v>
      </c>
    </row>
    <row r="408" spans="2:14" s="1395" customFormat="1" x14ac:dyDescent="0.2">
      <c r="B408" s="691"/>
      <c r="C408" s="1377"/>
      <c r="D408" s="1377"/>
      <c r="E408" s="1377"/>
      <c r="F408" s="1377"/>
      <c r="G408" s="1377"/>
      <c r="H408" s="1377"/>
      <c r="I408" s="1377"/>
      <c r="J408" s="1377"/>
      <c r="K408" s="1377"/>
      <c r="L408" s="1377"/>
      <c r="M408" s="1377"/>
      <c r="N408" s="1377"/>
    </row>
    <row r="409" spans="2:14" s="1395" customFormat="1" x14ac:dyDescent="0.2">
      <c r="B409" s="691"/>
      <c r="C409" s="1416"/>
      <c r="D409" s="1416"/>
      <c r="E409" s="1416"/>
      <c r="F409" s="1416"/>
      <c r="G409" s="1416"/>
      <c r="H409" s="1416"/>
      <c r="I409" s="1416"/>
      <c r="J409" s="1416"/>
      <c r="K409" s="1416"/>
      <c r="L409" s="1416"/>
      <c r="M409" s="1416"/>
      <c r="N409" s="2120" t="str">
        <f>Preferences.moneyunits&amp;" per thousand vehicle units"</f>
        <v>N per thousand vehicle units</v>
      </c>
    </row>
    <row r="410" spans="2:14" s="1395" customFormat="1" x14ac:dyDescent="0.2">
      <c r="B410" s="691"/>
      <c r="C410" s="1995" t="s">
        <v>1888</v>
      </c>
      <c r="D410" s="1926"/>
      <c r="E410" s="1994" t="s">
        <v>1321</v>
      </c>
      <c r="F410" s="1996">
        <v>2010</v>
      </c>
      <c r="G410" s="1996">
        <v>2015</v>
      </c>
      <c r="H410" s="1996">
        <v>2020</v>
      </c>
      <c r="I410" s="1996">
        <v>2025</v>
      </c>
      <c r="J410" s="1996">
        <v>2030</v>
      </c>
      <c r="K410" s="1996">
        <v>2035</v>
      </c>
      <c r="L410" s="1996">
        <v>2040</v>
      </c>
      <c r="M410" s="1996">
        <v>2045</v>
      </c>
      <c r="N410" s="2156">
        <v>2050</v>
      </c>
    </row>
    <row r="411" spans="2:14" s="1985" customFormat="1" x14ac:dyDescent="0.2">
      <c r="B411" s="691"/>
      <c r="C411" s="1102" t="s">
        <v>609</v>
      </c>
      <c r="D411" s="2095" t="s">
        <v>609</v>
      </c>
      <c r="E411" s="2110">
        <f t="shared" ref="E411:E424" si="88">(N411-F411)/(N$410-F$410)</f>
        <v>0</v>
      </c>
      <c r="F411" s="2721">
        <f>18000*NAIRA2010_*1000</f>
        <v>18000000</v>
      </c>
      <c r="G411" s="2368">
        <f>F411+$E411*(G$410-F$410)</f>
        <v>18000000</v>
      </c>
      <c r="H411" s="2368">
        <f t="shared" ref="H411:M411" si="89">G411+$E411*(H$410-G$410)</f>
        <v>18000000</v>
      </c>
      <c r="I411" s="2368">
        <f t="shared" si="89"/>
        <v>18000000</v>
      </c>
      <c r="J411" s="2368">
        <f t="shared" si="89"/>
        <v>18000000</v>
      </c>
      <c r="K411" s="2368">
        <f t="shared" si="89"/>
        <v>18000000</v>
      </c>
      <c r="L411" s="2368">
        <f t="shared" si="89"/>
        <v>18000000</v>
      </c>
      <c r="M411" s="2368">
        <f t="shared" si="89"/>
        <v>18000000</v>
      </c>
      <c r="N411" s="2721">
        <f>18000*NAIRA2010_*1000</f>
        <v>18000000</v>
      </c>
    </row>
    <row r="412" spans="2:14" s="1985" customFormat="1" x14ac:dyDescent="0.2">
      <c r="B412" s="691"/>
      <c r="C412" s="1102" t="s">
        <v>607</v>
      </c>
      <c r="D412" s="146" t="s">
        <v>2272</v>
      </c>
      <c r="E412" s="2107">
        <f t="shared" si="88"/>
        <v>0</v>
      </c>
      <c r="F412" s="2719">
        <f>1200000*NAIRA2010_*1000</f>
        <v>1200000000</v>
      </c>
      <c r="G412" s="2004">
        <f t="shared" ref="G412:M412" si="90">F412+$E412*(G$410-F$410)</f>
        <v>1200000000</v>
      </c>
      <c r="H412" s="2004">
        <f t="shared" si="90"/>
        <v>1200000000</v>
      </c>
      <c r="I412" s="2004">
        <f t="shared" si="90"/>
        <v>1200000000</v>
      </c>
      <c r="J412" s="2004">
        <f t="shared" si="90"/>
        <v>1200000000</v>
      </c>
      <c r="K412" s="2004">
        <f t="shared" si="90"/>
        <v>1200000000</v>
      </c>
      <c r="L412" s="2004">
        <f t="shared" si="90"/>
        <v>1200000000</v>
      </c>
      <c r="M412" s="2004">
        <f t="shared" si="90"/>
        <v>1200000000</v>
      </c>
      <c r="N412" s="2719">
        <f>1200000*NAIRA2010_*1000</f>
        <v>1200000000</v>
      </c>
    </row>
    <row r="413" spans="2:14" s="1985" customFormat="1" x14ac:dyDescent="0.2">
      <c r="B413" s="691"/>
      <c r="C413" s="1415" t="s">
        <v>607</v>
      </c>
      <c r="D413" s="1415" t="s">
        <v>923</v>
      </c>
      <c r="E413" s="2106">
        <f t="shared" si="88"/>
        <v>0</v>
      </c>
      <c r="F413" s="66">
        <f>(3000000)*NAIRA2010_*1000</f>
        <v>3000000000</v>
      </c>
      <c r="G413" s="1531">
        <f t="shared" ref="G413:M413" si="91">F413+$E413*(G$410-F$410)</f>
        <v>3000000000</v>
      </c>
      <c r="H413" s="1531">
        <f t="shared" si="91"/>
        <v>3000000000</v>
      </c>
      <c r="I413" s="1531">
        <f t="shared" si="91"/>
        <v>3000000000</v>
      </c>
      <c r="J413" s="1531">
        <f t="shared" si="91"/>
        <v>3000000000</v>
      </c>
      <c r="K413" s="1531">
        <f t="shared" si="91"/>
        <v>3000000000</v>
      </c>
      <c r="L413" s="1531">
        <f t="shared" si="91"/>
        <v>3000000000</v>
      </c>
      <c r="M413" s="1531">
        <f t="shared" si="91"/>
        <v>3000000000</v>
      </c>
      <c r="N413" s="66">
        <f>(3000000)*NAIRA2010_*1000</f>
        <v>3000000000</v>
      </c>
    </row>
    <row r="414" spans="2:14" s="1985" customFormat="1" x14ac:dyDescent="0.2">
      <c r="B414" s="691"/>
      <c r="C414" s="1415" t="s">
        <v>607</v>
      </c>
      <c r="D414" s="1415" t="s">
        <v>612</v>
      </c>
      <c r="E414" s="2106">
        <f t="shared" si="88"/>
        <v>0</v>
      </c>
      <c r="F414" s="66">
        <f>8000000*NAIRA2010_*1000</f>
        <v>8000000000</v>
      </c>
      <c r="G414" s="1531">
        <f t="shared" ref="G414:M414" si="92">F414+$E414*(G$410-F$410)</f>
        <v>8000000000</v>
      </c>
      <c r="H414" s="1531">
        <f t="shared" si="92"/>
        <v>8000000000</v>
      </c>
      <c r="I414" s="1531">
        <f t="shared" si="92"/>
        <v>8000000000</v>
      </c>
      <c r="J414" s="1531">
        <f t="shared" si="92"/>
        <v>8000000000</v>
      </c>
      <c r="K414" s="1531">
        <f t="shared" si="92"/>
        <v>8000000000</v>
      </c>
      <c r="L414" s="1531">
        <f t="shared" si="92"/>
        <v>8000000000</v>
      </c>
      <c r="M414" s="1531">
        <f t="shared" si="92"/>
        <v>8000000000</v>
      </c>
      <c r="N414" s="66">
        <f>8000000*NAIRA2010_*1000</f>
        <v>8000000000</v>
      </c>
    </row>
    <row r="415" spans="2:14" s="1985" customFormat="1" x14ac:dyDescent="0.2">
      <c r="B415" s="691"/>
      <c r="C415" s="200" t="s">
        <v>607</v>
      </c>
      <c r="D415" s="2095" t="s">
        <v>2273</v>
      </c>
      <c r="E415" s="2095">
        <f t="shared" si="88"/>
        <v>0</v>
      </c>
      <c r="F415" s="999">
        <f>1200000*NAIRA2010_*1000</f>
        <v>1200000000</v>
      </c>
      <c r="G415" s="2003">
        <f t="shared" ref="G415:M415" si="93">F415+$E415*(G$410-F$410)</f>
        <v>1200000000</v>
      </c>
      <c r="H415" s="2003">
        <f t="shared" si="93"/>
        <v>1200000000</v>
      </c>
      <c r="I415" s="2003">
        <f t="shared" si="93"/>
        <v>1200000000</v>
      </c>
      <c r="J415" s="2003">
        <f t="shared" si="93"/>
        <v>1200000000</v>
      </c>
      <c r="K415" s="2003">
        <f t="shared" si="93"/>
        <v>1200000000</v>
      </c>
      <c r="L415" s="2003">
        <f t="shared" si="93"/>
        <v>1200000000</v>
      </c>
      <c r="M415" s="2003">
        <f t="shared" si="93"/>
        <v>1200000000</v>
      </c>
      <c r="N415" s="66">
        <f>1200000*NAIRA2010_*1000</f>
        <v>1200000000</v>
      </c>
    </row>
    <row r="416" spans="2:14" s="1985" customFormat="1" x14ac:dyDescent="0.2">
      <c r="B416" s="691"/>
      <c r="C416" s="1102" t="s">
        <v>608</v>
      </c>
      <c r="D416" s="146" t="s">
        <v>2272</v>
      </c>
      <c r="E416" s="2107">
        <f t="shared" si="88"/>
        <v>0</v>
      </c>
      <c r="F416" s="2719">
        <f>2500000*NAIRA2010_*1000</f>
        <v>2500000000</v>
      </c>
      <c r="G416" s="2004">
        <f t="shared" ref="G416:M416" si="94">F416+$E416*(G$410-F$410)</f>
        <v>2500000000</v>
      </c>
      <c r="H416" s="2004">
        <f t="shared" si="94"/>
        <v>2500000000</v>
      </c>
      <c r="I416" s="2004">
        <f t="shared" si="94"/>
        <v>2500000000</v>
      </c>
      <c r="J416" s="2004">
        <f t="shared" si="94"/>
        <v>2500000000</v>
      </c>
      <c r="K416" s="2004">
        <f t="shared" si="94"/>
        <v>2500000000</v>
      </c>
      <c r="L416" s="2004">
        <f t="shared" si="94"/>
        <v>2500000000</v>
      </c>
      <c r="M416" s="2004">
        <f t="shared" si="94"/>
        <v>2500000000</v>
      </c>
      <c r="N416" s="2719">
        <f>2500000*NAIRA2010_*1000</f>
        <v>2500000000</v>
      </c>
    </row>
    <row r="417" spans="2:14" s="1985" customFormat="1" x14ac:dyDescent="0.2">
      <c r="B417" s="691"/>
      <c r="C417" s="1415" t="s">
        <v>608</v>
      </c>
      <c r="D417" s="1415" t="s">
        <v>923</v>
      </c>
      <c r="E417" s="2106">
        <f t="shared" si="88"/>
        <v>0</v>
      </c>
      <c r="F417" s="66">
        <f>5000000*NAIRA2010_*1000</f>
        <v>5000000000</v>
      </c>
      <c r="G417" s="1531">
        <f t="shared" ref="G417:M417" si="95">F417+$E417*(G$410-F$410)</f>
        <v>5000000000</v>
      </c>
      <c r="H417" s="1531">
        <f t="shared" si="95"/>
        <v>5000000000</v>
      </c>
      <c r="I417" s="1531">
        <f t="shared" si="95"/>
        <v>5000000000</v>
      </c>
      <c r="J417" s="1531">
        <f t="shared" si="95"/>
        <v>5000000000</v>
      </c>
      <c r="K417" s="1531">
        <f t="shared" si="95"/>
        <v>5000000000</v>
      </c>
      <c r="L417" s="1531">
        <f t="shared" si="95"/>
        <v>5000000000</v>
      </c>
      <c r="M417" s="1531">
        <f t="shared" si="95"/>
        <v>5000000000</v>
      </c>
      <c r="N417" s="66">
        <f>5000000*NAIRA2010_*1000</f>
        <v>5000000000</v>
      </c>
    </row>
    <row r="418" spans="2:14" s="1985" customFormat="1" x14ac:dyDescent="0.2">
      <c r="B418" s="691"/>
      <c r="C418" s="1415" t="s">
        <v>608</v>
      </c>
      <c r="D418" s="1415" t="s">
        <v>612</v>
      </c>
      <c r="E418" s="2106">
        <f t="shared" si="88"/>
        <v>0</v>
      </c>
      <c r="F418" s="66">
        <f>8000000*NAIRA2010_*1000</f>
        <v>8000000000</v>
      </c>
      <c r="G418" s="1531">
        <f t="shared" ref="G418:M418" si="96">F418+$E418*(G$410-F$410)</f>
        <v>8000000000</v>
      </c>
      <c r="H418" s="1531">
        <f t="shared" si="96"/>
        <v>8000000000</v>
      </c>
      <c r="I418" s="1531">
        <f t="shared" si="96"/>
        <v>8000000000</v>
      </c>
      <c r="J418" s="1531">
        <f t="shared" si="96"/>
        <v>8000000000</v>
      </c>
      <c r="K418" s="1531">
        <f t="shared" si="96"/>
        <v>8000000000</v>
      </c>
      <c r="L418" s="1531">
        <f t="shared" si="96"/>
        <v>8000000000</v>
      </c>
      <c r="M418" s="1531">
        <f t="shared" si="96"/>
        <v>8000000000</v>
      </c>
      <c r="N418" s="66">
        <f>8000000*NAIRA2010_*1000</f>
        <v>8000000000</v>
      </c>
    </row>
    <row r="419" spans="2:14" s="1985" customFormat="1" x14ac:dyDescent="0.2">
      <c r="B419" s="691"/>
      <c r="C419" s="1415" t="s">
        <v>608</v>
      </c>
      <c r="D419" s="624" t="s">
        <v>2273</v>
      </c>
      <c r="E419" s="2106">
        <f t="shared" si="88"/>
        <v>0</v>
      </c>
      <c r="F419" s="66">
        <f>2500000*NAIRA2010_*1000</f>
        <v>2500000000</v>
      </c>
      <c r="G419" s="1531">
        <f t="shared" ref="G419:M419" si="97">F419+$E419*(G$410-F$410)</f>
        <v>2500000000</v>
      </c>
      <c r="H419" s="1531">
        <f t="shared" si="97"/>
        <v>2500000000</v>
      </c>
      <c r="I419" s="1531">
        <f t="shared" si="97"/>
        <v>2500000000</v>
      </c>
      <c r="J419" s="1531">
        <f t="shared" si="97"/>
        <v>2500000000</v>
      </c>
      <c r="K419" s="1531">
        <f t="shared" si="97"/>
        <v>2500000000</v>
      </c>
      <c r="L419" s="1531">
        <f t="shared" si="97"/>
        <v>2500000000</v>
      </c>
      <c r="M419" s="1531">
        <f t="shared" si="97"/>
        <v>2500000000</v>
      </c>
      <c r="N419" s="999">
        <f>2500000*NAIRA2010_*1000</f>
        <v>2500000000</v>
      </c>
    </row>
    <row r="420" spans="2:14" s="1985" customFormat="1" x14ac:dyDescent="0.2">
      <c r="B420" s="691"/>
      <c r="C420" s="1102" t="s">
        <v>610</v>
      </c>
      <c r="D420" s="1102" t="s">
        <v>638</v>
      </c>
      <c r="E420" s="2107">
        <f t="shared" si="88"/>
        <v>0</v>
      </c>
      <c r="F420" s="2719">
        <f>250*124097*NAIRA2010_</f>
        <v>31024250</v>
      </c>
      <c r="G420" s="2166">
        <f>F420+$E420*(G$410-F$410)</f>
        <v>31024250</v>
      </c>
      <c r="H420" s="2166">
        <f t="shared" ref="H420:L420" si="98">G420+$E420*(H$410-G$410)</f>
        <v>31024250</v>
      </c>
      <c r="I420" s="2166">
        <f t="shared" si="98"/>
        <v>31024250</v>
      </c>
      <c r="J420" s="2166">
        <f t="shared" si="98"/>
        <v>31024250</v>
      </c>
      <c r="K420" s="2166">
        <f t="shared" si="98"/>
        <v>31024250</v>
      </c>
      <c r="L420" s="2166">
        <f t="shared" si="98"/>
        <v>31024250</v>
      </c>
      <c r="M420" s="2166">
        <f>L420+$E420*(M$410-L$410)</f>
        <v>31024250</v>
      </c>
      <c r="N420" s="66">
        <f>250*124097*NAIRA2010_</f>
        <v>31024250</v>
      </c>
    </row>
    <row r="421" spans="2:14" s="1985" customFormat="1" x14ac:dyDescent="0.2">
      <c r="B421" s="691"/>
      <c r="C421" s="1415" t="s">
        <v>610</v>
      </c>
      <c r="D421" s="1415" t="s">
        <v>639</v>
      </c>
      <c r="E421" s="2106">
        <f t="shared" si="88"/>
        <v>0</v>
      </c>
      <c r="F421" s="66">
        <f>250*333396*NAIRA2010_</f>
        <v>83349000</v>
      </c>
      <c r="G421" s="634">
        <f t="shared" ref="G421:M421" si="99">(G438+((G404-G438)*0.35))</f>
        <v>83349000</v>
      </c>
      <c r="H421" s="634">
        <f t="shared" si="99"/>
        <v>83349000</v>
      </c>
      <c r="I421" s="634">
        <f t="shared" si="99"/>
        <v>83349000</v>
      </c>
      <c r="J421" s="634">
        <f t="shared" si="99"/>
        <v>83349000</v>
      </c>
      <c r="K421" s="634">
        <f t="shared" si="99"/>
        <v>83349000</v>
      </c>
      <c r="L421" s="634">
        <f t="shared" si="99"/>
        <v>83349000</v>
      </c>
      <c r="M421" s="634">
        <f t="shared" si="99"/>
        <v>83349000</v>
      </c>
      <c r="N421" s="66">
        <f>250*333396*NAIRA2010_</f>
        <v>83349000</v>
      </c>
    </row>
    <row r="422" spans="2:14" s="2479" customFormat="1" x14ac:dyDescent="0.2">
      <c r="B422" s="691"/>
      <c r="C422" s="122" t="s">
        <v>2267</v>
      </c>
      <c r="D422" s="122" t="s">
        <v>2581</v>
      </c>
      <c r="E422" s="2106">
        <f t="shared" si="88"/>
        <v>0</v>
      </c>
      <c r="F422" s="66">
        <f>350000*NAIRA2010_*1000</f>
        <v>350000000</v>
      </c>
      <c r="G422" s="634">
        <f t="shared" ref="G422" si="100">F422+$E422*(G$410-F$410)</f>
        <v>350000000</v>
      </c>
      <c r="H422" s="634">
        <f t="shared" ref="G422:M423" si="101">(H439+((H405-H439)*0.35))</f>
        <v>335000000</v>
      </c>
      <c r="I422" s="634">
        <f t="shared" si="101"/>
        <v>335000000</v>
      </c>
      <c r="J422" s="634">
        <f t="shared" si="101"/>
        <v>335000000</v>
      </c>
      <c r="K422" s="634">
        <f t="shared" si="101"/>
        <v>335000000</v>
      </c>
      <c r="L422" s="634">
        <f t="shared" si="101"/>
        <v>335000000</v>
      </c>
      <c r="M422" s="634">
        <f t="shared" si="101"/>
        <v>335000000</v>
      </c>
      <c r="N422" s="66">
        <f>350000*NAIRA2010_*1000</f>
        <v>350000000</v>
      </c>
    </row>
    <row r="423" spans="2:14" s="2479" customFormat="1" x14ac:dyDescent="0.2">
      <c r="B423" s="691"/>
      <c r="C423" s="122" t="s">
        <v>2268</v>
      </c>
      <c r="D423" s="122" t="s">
        <v>2580</v>
      </c>
      <c r="E423" s="2106">
        <f t="shared" si="88"/>
        <v>0</v>
      </c>
      <c r="F423" s="66">
        <f>250*333396*NAIRA2010_</f>
        <v>83349000</v>
      </c>
      <c r="G423" s="634">
        <f t="shared" si="101"/>
        <v>83349000</v>
      </c>
      <c r="H423" s="634">
        <f t="shared" si="101"/>
        <v>83349000</v>
      </c>
      <c r="I423" s="634">
        <f t="shared" si="101"/>
        <v>83349000</v>
      </c>
      <c r="J423" s="634">
        <f t="shared" si="101"/>
        <v>83349000</v>
      </c>
      <c r="K423" s="634">
        <f t="shared" si="101"/>
        <v>83349000</v>
      </c>
      <c r="L423" s="634">
        <f t="shared" si="101"/>
        <v>83349000</v>
      </c>
      <c r="M423" s="634">
        <f t="shared" si="101"/>
        <v>83349000</v>
      </c>
      <c r="N423" s="66">
        <f>250*333396*NAIRA2010_</f>
        <v>83349000</v>
      </c>
    </row>
    <row r="424" spans="2:14" s="1985" customFormat="1" x14ac:dyDescent="0.2">
      <c r="B424" s="691"/>
      <c r="C424" s="122" t="s">
        <v>611</v>
      </c>
      <c r="D424" s="122" t="s">
        <v>611</v>
      </c>
      <c r="E424" s="2108">
        <f t="shared" si="88"/>
        <v>0</v>
      </c>
      <c r="F424" s="2720">
        <f>250*57337603.7457258*NAIRA2010_</f>
        <v>14334400936.43145</v>
      </c>
      <c r="G424" s="2167">
        <f t="shared" ref="G424:M424" si="102">F424+$E424*(G$410-F$410)</f>
        <v>14334400936.43145</v>
      </c>
      <c r="H424" s="2167">
        <f>G424+$E424*(H$410-G$410)</f>
        <v>14334400936.43145</v>
      </c>
      <c r="I424" s="2167">
        <f t="shared" si="102"/>
        <v>14334400936.43145</v>
      </c>
      <c r="J424" s="2167">
        <f t="shared" si="102"/>
        <v>14334400936.43145</v>
      </c>
      <c r="K424" s="2167">
        <f t="shared" si="102"/>
        <v>14334400936.43145</v>
      </c>
      <c r="L424" s="2167">
        <f t="shared" si="102"/>
        <v>14334400936.43145</v>
      </c>
      <c r="M424" s="2167">
        <f t="shared" si="102"/>
        <v>14334400936.43145</v>
      </c>
      <c r="N424" s="2720">
        <f>250*57337603.7457258*NAIRA2010_</f>
        <v>14334400936.43145</v>
      </c>
    </row>
    <row r="425" spans="2:14" s="1985" customFormat="1" x14ac:dyDescent="0.2">
      <c r="B425" s="691"/>
      <c r="C425" s="691"/>
      <c r="D425" s="691"/>
      <c r="E425" s="691"/>
      <c r="F425" s="1522"/>
      <c r="G425" s="1522"/>
      <c r="H425" s="1522"/>
      <c r="I425" s="1522"/>
      <c r="J425" s="691"/>
      <c r="K425" s="1523"/>
      <c r="L425" s="691"/>
      <c r="M425" s="1523"/>
      <c r="N425" s="691"/>
    </row>
    <row r="426" spans="2:14" s="1985" customFormat="1" x14ac:dyDescent="0.2">
      <c r="B426" s="691"/>
      <c r="C426" s="691"/>
      <c r="D426" s="691"/>
      <c r="E426" s="691"/>
      <c r="F426" s="1522"/>
      <c r="G426" s="1522"/>
      <c r="H426" s="1522"/>
      <c r="I426" s="1522"/>
      <c r="J426" s="691"/>
      <c r="K426" s="1523"/>
      <c r="L426" s="691"/>
      <c r="M426" s="1523"/>
      <c r="N426" s="2120" t="str">
        <f>Preferences.moneyunits&amp;" per thousand vehicle units"</f>
        <v>N per thousand vehicle units</v>
      </c>
    </row>
    <row r="427" spans="2:14" s="1985" customFormat="1" x14ac:dyDescent="0.2">
      <c r="B427" s="691"/>
      <c r="C427" s="1999" t="s">
        <v>1890</v>
      </c>
      <c r="D427" s="2000"/>
      <c r="E427" s="2001" t="s">
        <v>1321</v>
      </c>
      <c r="F427" s="2002">
        <v>2010</v>
      </c>
      <c r="G427" s="2002">
        <v>2015</v>
      </c>
      <c r="H427" s="2002">
        <v>2020</v>
      </c>
      <c r="I427" s="2002">
        <v>2025</v>
      </c>
      <c r="J427" s="2002">
        <v>2030</v>
      </c>
      <c r="K427" s="2002">
        <v>2035</v>
      </c>
      <c r="L427" s="2002">
        <v>2040</v>
      </c>
      <c r="M427" s="2002">
        <v>2045</v>
      </c>
      <c r="N427" s="2157">
        <v>2050</v>
      </c>
    </row>
    <row r="428" spans="2:14" s="1985" customFormat="1" x14ac:dyDescent="0.2">
      <c r="B428" s="691"/>
      <c r="C428" s="1102" t="s">
        <v>609</v>
      </c>
      <c r="D428" s="2095" t="s">
        <v>609</v>
      </c>
      <c r="E428" s="1416">
        <f t="shared" ref="E428:E441" si="103">(N428-F428)/(N$427-F$427)</f>
        <v>0</v>
      </c>
      <c r="F428" s="2004">
        <f>15000*NAIRA2010_*1000</f>
        <v>15000000</v>
      </c>
      <c r="G428" s="2004">
        <f>F428+$E428*(G$427-F$427)</f>
        <v>15000000</v>
      </c>
      <c r="H428" s="2004">
        <f t="shared" ref="H428:M428" si="104">G428+$E428*(H$427-G$427)</f>
        <v>15000000</v>
      </c>
      <c r="I428" s="2004">
        <f t="shared" si="104"/>
        <v>15000000</v>
      </c>
      <c r="J428" s="2004">
        <f t="shared" si="104"/>
        <v>15000000</v>
      </c>
      <c r="K428" s="2004">
        <f t="shared" si="104"/>
        <v>15000000</v>
      </c>
      <c r="L428" s="2004">
        <f t="shared" si="104"/>
        <v>15000000</v>
      </c>
      <c r="M428" s="2004">
        <f t="shared" si="104"/>
        <v>15000000</v>
      </c>
      <c r="N428" s="2721">
        <f>15000*NAIRA2010_*1000</f>
        <v>15000000</v>
      </c>
    </row>
    <row r="429" spans="2:14" s="1985" customFormat="1" x14ac:dyDescent="0.2">
      <c r="B429" s="691"/>
      <c r="C429" s="1102" t="s">
        <v>607</v>
      </c>
      <c r="D429" s="146" t="s">
        <v>2272</v>
      </c>
      <c r="E429" s="2008">
        <f t="shared" si="103"/>
        <v>0</v>
      </c>
      <c r="F429" s="1997">
        <f>1000000*NAIRA2010_*1000</f>
        <v>1000000000</v>
      </c>
      <c r="G429" s="2004">
        <f t="shared" ref="G429:M429" si="105">F429+$E429*(G$427-F$427)</f>
        <v>1000000000</v>
      </c>
      <c r="H429" s="2004">
        <f t="shared" si="105"/>
        <v>1000000000</v>
      </c>
      <c r="I429" s="2004">
        <f t="shared" si="105"/>
        <v>1000000000</v>
      </c>
      <c r="J429" s="2004">
        <f t="shared" si="105"/>
        <v>1000000000</v>
      </c>
      <c r="K429" s="2004">
        <f t="shared" si="105"/>
        <v>1000000000</v>
      </c>
      <c r="L429" s="2004">
        <f t="shared" si="105"/>
        <v>1000000000</v>
      </c>
      <c r="M429" s="2004">
        <f t="shared" si="105"/>
        <v>1000000000</v>
      </c>
      <c r="N429" s="2719">
        <f>1000000*NAIRA2010_*1000</f>
        <v>1000000000</v>
      </c>
    </row>
    <row r="430" spans="2:14" s="1985" customFormat="1" x14ac:dyDescent="0.2">
      <c r="B430" s="691"/>
      <c r="C430" s="1415" t="s">
        <v>607</v>
      </c>
      <c r="D430" s="1415" t="s">
        <v>923</v>
      </c>
      <c r="E430" s="2007">
        <f t="shared" si="103"/>
        <v>0</v>
      </c>
      <c r="F430" s="634">
        <f>(2000000)*NAIRA2010_*1000</f>
        <v>2000000000</v>
      </c>
      <c r="G430" s="1531">
        <f t="shared" ref="G430:M430" si="106">F430+$E430*(G$427-F$427)</f>
        <v>2000000000</v>
      </c>
      <c r="H430" s="1531">
        <f t="shared" si="106"/>
        <v>2000000000</v>
      </c>
      <c r="I430" s="1531">
        <f t="shared" si="106"/>
        <v>2000000000</v>
      </c>
      <c r="J430" s="1531">
        <f t="shared" si="106"/>
        <v>2000000000</v>
      </c>
      <c r="K430" s="1531">
        <f t="shared" si="106"/>
        <v>2000000000</v>
      </c>
      <c r="L430" s="1531">
        <f t="shared" si="106"/>
        <v>2000000000</v>
      </c>
      <c r="M430" s="1531">
        <f t="shared" si="106"/>
        <v>2000000000</v>
      </c>
      <c r="N430" s="66">
        <f>(2000000)*NAIRA2010_*1000</f>
        <v>2000000000</v>
      </c>
    </row>
    <row r="431" spans="2:14" s="1985" customFormat="1" x14ac:dyDescent="0.2">
      <c r="B431" s="691"/>
      <c r="C431" s="1415" t="s">
        <v>607</v>
      </c>
      <c r="D431" s="1415" t="s">
        <v>612</v>
      </c>
      <c r="E431" s="2007">
        <f t="shared" si="103"/>
        <v>0</v>
      </c>
      <c r="F431" s="634">
        <f>6000000*NAIRA2010_*1000</f>
        <v>6000000000</v>
      </c>
      <c r="G431" s="1531">
        <f t="shared" ref="G431:M431" si="107">F431+$E431*(G$427-F$427)</f>
        <v>6000000000</v>
      </c>
      <c r="H431" s="1531">
        <f t="shared" si="107"/>
        <v>6000000000</v>
      </c>
      <c r="I431" s="1531">
        <f t="shared" si="107"/>
        <v>6000000000</v>
      </c>
      <c r="J431" s="1531">
        <f t="shared" si="107"/>
        <v>6000000000</v>
      </c>
      <c r="K431" s="1531">
        <f t="shared" si="107"/>
        <v>6000000000</v>
      </c>
      <c r="L431" s="1531">
        <f t="shared" si="107"/>
        <v>6000000000</v>
      </c>
      <c r="M431" s="1531">
        <f t="shared" si="107"/>
        <v>6000000000</v>
      </c>
      <c r="N431" s="66">
        <f>6000000*NAIRA2010_*1000</f>
        <v>6000000000</v>
      </c>
    </row>
    <row r="432" spans="2:14" s="1985" customFormat="1" x14ac:dyDescent="0.2">
      <c r="B432" s="691"/>
      <c r="C432" s="200" t="s">
        <v>607</v>
      </c>
      <c r="D432" s="2095" t="s">
        <v>2273</v>
      </c>
      <c r="E432" s="2009">
        <f t="shared" si="103"/>
        <v>0</v>
      </c>
      <c r="F432" s="1524">
        <f>1000000*NAIRA2010_*1000</f>
        <v>1000000000</v>
      </c>
      <c r="G432" s="2003">
        <f t="shared" ref="G432:M432" si="108">F432+$E432*(G$427-F$427)</f>
        <v>1000000000</v>
      </c>
      <c r="H432" s="2003">
        <f t="shared" si="108"/>
        <v>1000000000</v>
      </c>
      <c r="I432" s="2003">
        <f t="shared" si="108"/>
        <v>1000000000</v>
      </c>
      <c r="J432" s="2003">
        <f t="shared" si="108"/>
        <v>1000000000</v>
      </c>
      <c r="K432" s="2003">
        <f t="shared" si="108"/>
        <v>1000000000</v>
      </c>
      <c r="L432" s="2003">
        <f t="shared" si="108"/>
        <v>1000000000</v>
      </c>
      <c r="M432" s="2003">
        <f t="shared" si="108"/>
        <v>1000000000</v>
      </c>
      <c r="N432" s="999">
        <f>1000000*NAIRA2010_*1000</f>
        <v>1000000000</v>
      </c>
    </row>
    <row r="433" spans="1:14" s="1985" customFormat="1" x14ac:dyDescent="0.2">
      <c r="B433" s="691"/>
      <c r="C433" s="1102" t="s">
        <v>608</v>
      </c>
      <c r="D433" s="146" t="s">
        <v>2272</v>
      </c>
      <c r="E433" s="2008">
        <f t="shared" si="103"/>
        <v>0</v>
      </c>
      <c r="F433" s="1997">
        <f>2000000*NAIRA2010_*1000</f>
        <v>2000000000</v>
      </c>
      <c r="G433" s="2004">
        <f t="shared" ref="G433:M433" si="109">F433+$E433*(G$427-F$427)</f>
        <v>2000000000</v>
      </c>
      <c r="H433" s="2004">
        <f t="shared" si="109"/>
        <v>2000000000</v>
      </c>
      <c r="I433" s="2004">
        <f t="shared" si="109"/>
        <v>2000000000</v>
      </c>
      <c r="J433" s="2004">
        <f t="shared" si="109"/>
        <v>2000000000</v>
      </c>
      <c r="K433" s="2004">
        <f t="shared" si="109"/>
        <v>2000000000</v>
      </c>
      <c r="L433" s="2004">
        <f t="shared" si="109"/>
        <v>2000000000</v>
      </c>
      <c r="M433" s="2004">
        <f t="shared" si="109"/>
        <v>2000000000</v>
      </c>
      <c r="N433" s="2719">
        <f>2000000*NAIRA2010_*1000</f>
        <v>2000000000</v>
      </c>
    </row>
    <row r="434" spans="1:14" s="1985" customFormat="1" x14ac:dyDescent="0.2">
      <c r="B434" s="691"/>
      <c r="C434" s="1415" t="s">
        <v>608</v>
      </c>
      <c r="D434" s="1415" t="s">
        <v>923</v>
      </c>
      <c r="E434" s="2007">
        <f t="shared" si="103"/>
        <v>0</v>
      </c>
      <c r="F434" s="634">
        <f>4000000*NAIRA2010_*1000</f>
        <v>4000000000</v>
      </c>
      <c r="G434" s="1531">
        <f t="shared" ref="G434:M434" si="110">F434+$E434*(G$427-F$427)</f>
        <v>4000000000</v>
      </c>
      <c r="H434" s="1531">
        <f t="shared" si="110"/>
        <v>4000000000</v>
      </c>
      <c r="I434" s="1531">
        <f t="shared" si="110"/>
        <v>4000000000</v>
      </c>
      <c r="J434" s="1531">
        <f t="shared" si="110"/>
        <v>4000000000</v>
      </c>
      <c r="K434" s="1531">
        <f t="shared" si="110"/>
        <v>4000000000</v>
      </c>
      <c r="L434" s="1531">
        <f t="shared" si="110"/>
        <v>4000000000</v>
      </c>
      <c r="M434" s="1531">
        <f t="shared" si="110"/>
        <v>4000000000</v>
      </c>
      <c r="N434" s="66">
        <f>4000000*NAIRA2010_*1000</f>
        <v>4000000000</v>
      </c>
    </row>
    <row r="435" spans="1:14" s="1985" customFormat="1" x14ac:dyDescent="0.2">
      <c r="B435" s="691"/>
      <c r="C435" s="1415" t="s">
        <v>608</v>
      </c>
      <c r="D435" s="1415" t="s">
        <v>612</v>
      </c>
      <c r="E435" s="2007">
        <f t="shared" si="103"/>
        <v>0</v>
      </c>
      <c r="F435" s="634">
        <f>6000000*NAIRA2010_*1000</f>
        <v>6000000000</v>
      </c>
      <c r="G435" s="1531">
        <f t="shared" ref="G435:M435" si="111">F435+$E435*(G$427-F$427)</f>
        <v>6000000000</v>
      </c>
      <c r="H435" s="1531">
        <f t="shared" si="111"/>
        <v>6000000000</v>
      </c>
      <c r="I435" s="1531">
        <f t="shared" si="111"/>
        <v>6000000000</v>
      </c>
      <c r="J435" s="1531">
        <f t="shared" si="111"/>
        <v>6000000000</v>
      </c>
      <c r="K435" s="1531">
        <f t="shared" si="111"/>
        <v>6000000000</v>
      </c>
      <c r="L435" s="1531">
        <f t="shared" si="111"/>
        <v>6000000000</v>
      </c>
      <c r="M435" s="1531">
        <f t="shared" si="111"/>
        <v>6000000000</v>
      </c>
      <c r="N435" s="66">
        <f>6000000*NAIRA2010_*1000</f>
        <v>6000000000</v>
      </c>
    </row>
    <row r="436" spans="1:14" s="1985" customFormat="1" x14ac:dyDescent="0.2">
      <c r="B436" s="691"/>
      <c r="C436" s="200" t="s">
        <v>608</v>
      </c>
      <c r="D436" s="624" t="s">
        <v>2273</v>
      </c>
      <c r="E436" s="2009">
        <f t="shared" si="103"/>
        <v>0</v>
      </c>
      <c r="F436" s="1524">
        <f>2000000*NAIRA2010_*1000</f>
        <v>2000000000</v>
      </c>
      <c r="G436" s="2003">
        <f t="shared" ref="G436:M436" si="112">F436+$E436*(G$427-F$427)</f>
        <v>2000000000</v>
      </c>
      <c r="H436" s="2003">
        <f t="shared" si="112"/>
        <v>2000000000</v>
      </c>
      <c r="I436" s="2003">
        <f t="shared" si="112"/>
        <v>2000000000</v>
      </c>
      <c r="J436" s="2003">
        <f t="shared" si="112"/>
        <v>2000000000</v>
      </c>
      <c r="K436" s="2003">
        <f t="shared" si="112"/>
        <v>2000000000</v>
      </c>
      <c r="L436" s="2003">
        <f t="shared" si="112"/>
        <v>2000000000</v>
      </c>
      <c r="M436" s="2003">
        <f t="shared" si="112"/>
        <v>2000000000</v>
      </c>
      <c r="N436" s="999">
        <f>2000000*NAIRA2010_*1000</f>
        <v>2000000000</v>
      </c>
    </row>
    <row r="437" spans="1:14" s="1985" customFormat="1" x14ac:dyDescent="0.2">
      <c r="B437" s="691"/>
      <c r="C437" s="1102" t="s">
        <v>610</v>
      </c>
      <c r="D437" s="1102" t="s">
        <v>638</v>
      </c>
      <c r="E437" s="2008">
        <f t="shared" si="103"/>
        <v>0</v>
      </c>
      <c r="F437" s="1997">
        <f>250*124097*NAIRA2010_</f>
        <v>31024250</v>
      </c>
      <c r="G437" s="2004">
        <f t="shared" ref="G437:M440" si="113">F437+$E437*(G$427-F$427)</f>
        <v>31024250</v>
      </c>
      <c r="H437" s="2004">
        <f t="shared" si="113"/>
        <v>31024250</v>
      </c>
      <c r="I437" s="2004">
        <f t="shared" si="113"/>
        <v>31024250</v>
      </c>
      <c r="J437" s="2004">
        <f t="shared" si="113"/>
        <v>31024250</v>
      </c>
      <c r="K437" s="2004">
        <f t="shared" si="113"/>
        <v>31024250</v>
      </c>
      <c r="L437" s="2004">
        <f t="shared" si="113"/>
        <v>31024250</v>
      </c>
      <c r="M437" s="2004">
        <f t="shared" si="113"/>
        <v>31024250</v>
      </c>
      <c r="N437" s="2719">
        <f>250*124097*NAIRA2010_</f>
        <v>31024250</v>
      </c>
    </row>
    <row r="438" spans="1:14" s="1985" customFormat="1" x14ac:dyDescent="0.2">
      <c r="B438" s="691"/>
      <c r="C438" s="200" t="s">
        <v>610</v>
      </c>
      <c r="D438" s="200" t="s">
        <v>639</v>
      </c>
      <c r="E438" s="2009">
        <f t="shared" si="103"/>
        <v>0</v>
      </c>
      <c r="F438" s="1524">
        <f>250*333396*NAIRA2010_</f>
        <v>83349000</v>
      </c>
      <c r="G438" s="2004">
        <f t="shared" si="113"/>
        <v>83349000</v>
      </c>
      <c r="H438" s="2004">
        <f t="shared" si="113"/>
        <v>83349000</v>
      </c>
      <c r="I438" s="2004">
        <f t="shared" si="113"/>
        <v>83349000</v>
      </c>
      <c r="J438" s="2004">
        <f t="shared" si="113"/>
        <v>83349000</v>
      </c>
      <c r="K438" s="2004">
        <f t="shared" si="113"/>
        <v>83349000</v>
      </c>
      <c r="L438" s="2004">
        <f t="shared" si="113"/>
        <v>83349000</v>
      </c>
      <c r="M438" s="2004">
        <f t="shared" si="113"/>
        <v>83349000</v>
      </c>
      <c r="N438" s="999">
        <f>250*333396*NAIRA2010_</f>
        <v>83349000</v>
      </c>
    </row>
    <row r="439" spans="1:14" s="2479" customFormat="1" x14ac:dyDescent="0.2">
      <c r="B439" s="691"/>
      <c r="C439" s="122" t="s">
        <v>2267</v>
      </c>
      <c r="D439" s="122" t="s">
        <v>2581</v>
      </c>
      <c r="E439" s="2009">
        <f t="shared" si="103"/>
        <v>0</v>
      </c>
      <c r="F439" s="1524">
        <f>300000*NAIRA2010_*1000</f>
        <v>300000000</v>
      </c>
      <c r="G439" s="2004">
        <f t="shared" si="113"/>
        <v>300000000</v>
      </c>
      <c r="H439" s="2004">
        <f t="shared" si="113"/>
        <v>300000000</v>
      </c>
      <c r="I439" s="2004">
        <f t="shared" si="113"/>
        <v>300000000</v>
      </c>
      <c r="J439" s="2004">
        <f t="shared" si="113"/>
        <v>300000000</v>
      </c>
      <c r="K439" s="2004">
        <f t="shared" si="113"/>
        <v>300000000</v>
      </c>
      <c r="L439" s="2004">
        <f t="shared" si="113"/>
        <v>300000000</v>
      </c>
      <c r="M439" s="2004">
        <f t="shared" si="113"/>
        <v>300000000</v>
      </c>
      <c r="N439" s="999">
        <f>300000*NAIRA2010_*1000</f>
        <v>300000000</v>
      </c>
    </row>
    <row r="440" spans="1:14" s="2479" customFormat="1" x14ac:dyDescent="0.2">
      <c r="B440" s="691"/>
      <c r="C440" s="122" t="s">
        <v>2268</v>
      </c>
      <c r="D440" s="122" t="s">
        <v>2580</v>
      </c>
      <c r="E440" s="2009">
        <f t="shared" si="103"/>
        <v>0</v>
      </c>
      <c r="F440" s="1524">
        <f>250*333396*NAIRA2010_</f>
        <v>83349000</v>
      </c>
      <c r="G440" s="2004">
        <f t="shared" si="113"/>
        <v>83349000</v>
      </c>
      <c r="H440" s="2004">
        <f t="shared" si="113"/>
        <v>83349000</v>
      </c>
      <c r="I440" s="2004">
        <f t="shared" si="113"/>
        <v>83349000</v>
      </c>
      <c r="J440" s="2004">
        <f t="shared" si="113"/>
        <v>83349000</v>
      </c>
      <c r="K440" s="2004">
        <f t="shared" si="113"/>
        <v>83349000</v>
      </c>
      <c r="L440" s="2004">
        <f t="shared" si="113"/>
        <v>83349000</v>
      </c>
      <c r="M440" s="2004">
        <f t="shared" si="113"/>
        <v>83349000</v>
      </c>
      <c r="N440" s="999">
        <f>250*333396*NAIRA2010_</f>
        <v>83349000</v>
      </c>
    </row>
    <row r="441" spans="1:14" s="1985" customFormat="1" x14ac:dyDescent="0.2">
      <c r="B441" s="691"/>
      <c r="C441" s="122" t="s">
        <v>611</v>
      </c>
      <c r="D441" s="122" t="s">
        <v>611</v>
      </c>
      <c r="E441" s="2114">
        <f t="shared" si="103"/>
        <v>0</v>
      </c>
      <c r="F441" s="1524">
        <f>250*57337603.7457258*NAIRA2010_</f>
        <v>14334400936.43145</v>
      </c>
      <c r="G441" s="2003">
        <f t="shared" ref="G441:M441" si="114">F441+$E441*(G$427-F$427)</f>
        <v>14334400936.43145</v>
      </c>
      <c r="H441" s="2003">
        <f t="shared" si="114"/>
        <v>14334400936.43145</v>
      </c>
      <c r="I441" s="2003">
        <f t="shared" si="114"/>
        <v>14334400936.43145</v>
      </c>
      <c r="J441" s="2003">
        <f t="shared" si="114"/>
        <v>14334400936.43145</v>
      </c>
      <c r="K441" s="2003">
        <f t="shared" si="114"/>
        <v>14334400936.43145</v>
      </c>
      <c r="L441" s="2003">
        <f t="shared" si="114"/>
        <v>14334400936.43145</v>
      </c>
      <c r="M441" s="2003">
        <f t="shared" si="114"/>
        <v>14334400936.43145</v>
      </c>
      <c r="N441" s="999">
        <f>250*57337603.7457258*NAIRA2010_</f>
        <v>14334400936.43145</v>
      </c>
    </row>
    <row r="442" spans="1:14" s="1985" customFormat="1" x14ac:dyDescent="0.2">
      <c r="B442" s="691"/>
      <c r="C442" s="1385"/>
      <c r="D442" s="691"/>
      <c r="E442" s="691"/>
      <c r="F442" s="691"/>
      <c r="G442" s="691"/>
      <c r="H442" s="691"/>
      <c r="I442" s="691"/>
      <c r="J442" s="691"/>
      <c r="K442" s="691"/>
      <c r="L442" s="691"/>
      <c r="M442" s="691"/>
      <c r="N442" s="691"/>
    </row>
    <row r="443" spans="1:14" s="1985" customFormat="1" x14ac:dyDescent="0.2">
      <c r="A443" s="1987"/>
      <c r="B443" s="1377"/>
      <c r="C443" s="2005" t="s">
        <v>1419</v>
      </c>
      <c r="D443" s="691"/>
      <c r="E443" s="691"/>
      <c r="F443" s="1522"/>
      <c r="G443" s="1522"/>
      <c r="H443" s="1522"/>
      <c r="I443" s="1522"/>
      <c r="J443" s="691"/>
      <c r="K443" s="1523"/>
      <c r="L443" s="691"/>
      <c r="M443" s="1523"/>
      <c r="N443" s="1385" t="str">
        <f>Preferences.moneyunits&amp;" per thousand vehicle units"</f>
        <v>N per thousand vehicle units</v>
      </c>
    </row>
    <row r="444" spans="1:14" s="1985" customFormat="1" x14ac:dyDescent="0.2">
      <c r="A444" s="1987"/>
      <c r="B444" s="1377"/>
      <c r="C444" s="1995" t="s">
        <v>1892</v>
      </c>
      <c r="D444" s="1960"/>
      <c r="E444" s="1994" t="s">
        <v>1321</v>
      </c>
      <c r="F444" s="1996">
        <v>2010</v>
      </c>
      <c r="G444" s="1996">
        <v>2015</v>
      </c>
      <c r="H444" s="1996">
        <v>2020</v>
      </c>
      <c r="I444" s="1996">
        <v>2025</v>
      </c>
      <c r="J444" s="1996">
        <v>2030</v>
      </c>
      <c r="K444" s="1996">
        <v>2035</v>
      </c>
      <c r="L444" s="1996">
        <v>2040</v>
      </c>
      <c r="M444" s="1996">
        <v>2045</v>
      </c>
      <c r="N444" s="1996">
        <v>2050</v>
      </c>
    </row>
    <row r="445" spans="1:14" s="1985" customFormat="1" x14ac:dyDescent="0.2">
      <c r="A445" s="1987"/>
      <c r="B445" s="1377"/>
      <c r="C445" s="1926" t="s">
        <v>609</v>
      </c>
      <c r="D445" s="1926" t="s">
        <v>609</v>
      </c>
      <c r="E445" s="1252">
        <f t="shared" ref="E445:E458" si="115">(N445-F445)/(N$444-F$444)</f>
        <v>0</v>
      </c>
      <c r="F445" s="1998">
        <f>250*30*NAIRA2010_*1000</f>
        <v>7500000</v>
      </c>
      <c r="G445" s="1998">
        <f>F445+$E445*(G$444-F$444)</f>
        <v>7500000</v>
      </c>
      <c r="H445" s="1998">
        <f t="shared" ref="H445:M445" si="116">G445+$E445*(H$444-G$444)</f>
        <v>7500000</v>
      </c>
      <c r="I445" s="1998">
        <f t="shared" si="116"/>
        <v>7500000</v>
      </c>
      <c r="J445" s="1998">
        <f t="shared" si="116"/>
        <v>7500000</v>
      </c>
      <c r="K445" s="1998">
        <f t="shared" si="116"/>
        <v>7500000</v>
      </c>
      <c r="L445" s="1998">
        <f t="shared" si="116"/>
        <v>7500000</v>
      </c>
      <c r="M445" s="1998">
        <f t="shared" si="116"/>
        <v>7500000</v>
      </c>
      <c r="N445" s="2718">
        <f>250*30*NAIRA2010_*1000</f>
        <v>7500000</v>
      </c>
    </row>
    <row r="446" spans="1:14" s="1985" customFormat="1" x14ac:dyDescent="0.2">
      <c r="A446" s="1987"/>
      <c r="B446" s="1377"/>
      <c r="C446" s="1102" t="s">
        <v>607</v>
      </c>
      <c r="D446" s="146" t="s">
        <v>2272</v>
      </c>
      <c r="E446" s="2107">
        <f t="shared" si="115"/>
        <v>0</v>
      </c>
      <c r="F446" s="1997">
        <f>250*1545.3921087193*NAIRA2010_*1000</f>
        <v>386348027.17982501</v>
      </c>
      <c r="G446" s="2004">
        <f t="shared" ref="G446:M458" si="117">F446+$E446*(G$444-F$444)</f>
        <v>386348027.17982501</v>
      </c>
      <c r="H446" s="2004">
        <f t="shared" si="117"/>
        <v>386348027.17982501</v>
      </c>
      <c r="I446" s="2004">
        <f t="shared" si="117"/>
        <v>386348027.17982501</v>
      </c>
      <c r="J446" s="2004">
        <f t="shared" si="117"/>
        <v>386348027.17982501</v>
      </c>
      <c r="K446" s="2004">
        <f t="shared" si="117"/>
        <v>386348027.17982501</v>
      </c>
      <c r="L446" s="2004">
        <f t="shared" si="117"/>
        <v>386348027.17982501</v>
      </c>
      <c r="M446" s="2004">
        <f t="shared" si="117"/>
        <v>386348027.17982501</v>
      </c>
      <c r="N446" s="2719">
        <f>250*1545.3921087193*NAIRA2010_*1000</f>
        <v>386348027.17982501</v>
      </c>
    </row>
    <row r="447" spans="1:14" s="1985" customFormat="1" x14ac:dyDescent="0.2">
      <c r="A447" s="1987"/>
      <c r="B447" s="1377"/>
      <c r="C447" s="1415" t="s">
        <v>607</v>
      </c>
      <c r="D447" s="1415" t="s">
        <v>923</v>
      </c>
      <c r="E447" s="1416">
        <f t="shared" si="115"/>
        <v>0</v>
      </c>
      <c r="F447" s="634">
        <f>250*2830.61086804476*NAIRA2010_*1000</f>
        <v>707652717.01119006</v>
      </c>
      <c r="G447" s="1531">
        <f t="shared" si="117"/>
        <v>707652717.01119006</v>
      </c>
      <c r="H447" s="1531">
        <f t="shared" si="117"/>
        <v>707652717.01119006</v>
      </c>
      <c r="I447" s="1531">
        <f t="shared" si="117"/>
        <v>707652717.01119006</v>
      </c>
      <c r="J447" s="1531">
        <f t="shared" si="117"/>
        <v>707652717.01119006</v>
      </c>
      <c r="K447" s="1531">
        <f t="shared" si="117"/>
        <v>707652717.01119006</v>
      </c>
      <c r="L447" s="1531">
        <f t="shared" si="117"/>
        <v>707652717.01119006</v>
      </c>
      <c r="M447" s="1531">
        <f t="shared" si="117"/>
        <v>707652717.01119006</v>
      </c>
      <c r="N447" s="66">
        <f>250*2830.61086804476*NAIRA2010_*1000</f>
        <v>707652717.01119006</v>
      </c>
    </row>
    <row r="448" spans="1:14" s="1985" customFormat="1" x14ac:dyDescent="0.2">
      <c r="A448" s="1987"/>
      <c r="B448" s="1377"/>
      <c r="C448" s="1415" t="s">
        <v>607</v>
      </c>
      <c r="D448" s="1415" t="s">
        <v>612</v>
      </c>
      <c r="E448" s="1416">
        <f t="shared" si="115"/>
        <v>0</v>
      </c>
      <c r="F448" s="634">
        <f>250*2091.5374494871*NAIRA2010_*1000</f>
        <v>522884362.37177497</v>
      </c>
      <c r="G448" s="1531">
        <f t="shared" si="117"/>
        <v>522884362.37177497</v>
      </c>
      <c r="H448" s="1531">
        <f t="shared" si="117"/>
        <v>522884362.37177497</v>
      </c>
      <c r="I448" s="1531">
        <f t="shared" si="117"/>
        <v>522884362.37177497</v>
      </c>
      <c r="J448" s="1531">
        <f t="shared" si="117"/>
        <v>522884362.37177497</v>
      </c>
      <c r="K448" s="1531">
        <f t="shared" si="117"/>
        <v>522884362.37177497</v>
      </c>
      <c r="L448" s="1531">
        <f t="shared" si="117"/>
        <v>522884362.37177497</v>
      </c>
      <c r="M448" s="1531">
        <f t="shared" si="117"/>
        <v>522884362.37177497</v>
      </c>
      <c r="N448" s="66">
        <f>250*2091.5374494871*NAIRA2010_*1000</f>
        <v>522884362.37177497</v>
      </c>
    </row>
    <row r="449" spans="1:14" s="1985" customFormat="1" x14ac:dyDescent="0.2">
      <c r="A449" s="1987"/>
      <c r="B449" s="1377"/>
      <c r="C449" s="200" t="s">
        <v>607</v>
      </c>
      <c r="D449" s="524" t="s">
        <v>2273</v>
      </c>
      <c r="E449" s="524">
        <f t="shared" si="115"/>
        <v>0</v>
      </c>
      <c r="F449" s="1524">
        <f>250*20546.4285941871*NAIRA2010_*1000</f>
        <v>5136607148.5467749</v>
      </c>
      <c r="G449" s="2003">
        <f t="shared" si="117"/>
        <v>5136607148.5467749</v>
      </c>
      <c r="H449" s="2003">
        <f t="shared" si="117"/>
        <v>5136607148.5467749</v>
      </c>
      <c r="I449" s="2003">
        <f t="shared" si="117"/>
        <v>5136607148.5467749</v>
      </c>
      <c r="J449" s="2003">
        <f t="shared" si="117"/>
        <v>5136607148.5467749</v>
      </c>
      <c r="K449" s="2003">
        <f t="shared" si="117"/>
        <v>5136607148.5467749</v>
      </c>
      <c r="L449" s="2003">
        <f t="shared" si="117"/>
        <v>5136607148.5467749</v>
      </c>
      <c r="M449" s="2003">
        <f t="shared" si="117"/>
        <v>5136607148.5467749</v>
      </c>
      <c r="N449" s="999">
        <f>250*20546.4285941871*NAIRA2010_*1000</f>
        <v>5136607148.5467749</v>
      </c>
    </row>
    <row r="450" spans="1:14" s="1985" customFormat="1" x14ac:dyDescent="0.2">
      <c r="A450" s="1987"/>
      <c r="B450" s="1377"/>
      <c r="C450" s="1102" t="s">
        <v>608</v>
      </c>
      <c r="D450" s="146" t="s">
        <v>2272</v>
      </c>
      <c r="E450" s="1904">
        <f t="shared" si="115"/>
        <v>0</v>
      </c>
      <c r="F450" s="1997">
        <f>250*24970.6549079111*NAIRA2010_*1000</f>
        <v>6242663726.9777746</v>
      </c>
      <c r="G450" s="2004">
        <f t="shared" si="117"/>
        <v>6242663726.9777746</v>
      </c>
      <c r="H450" s="2004">
        <f t="shared" si="117"/>
        <v>6242663726.9777746</v>
      </c>
      <c r="I450" s="2004">
        <f t="shared" si="117"/>
        <v>6242663726.9777746</v>
      </c>
      <c r="J450" s="2004">
        <f t="shared" si="117"/>
        <v>6242663726.9777746</v>
      </c>
      <c r="K450" s="2004">
        <f t="shared" si="117"/>
        <v>6242663726.9777746</v>
      </c>
      <c r="L450" s="2004">
        <f t="shared" si="117"/>
        <v>6242663726.9777746</v>
      </c>
      <c r="M450" s="2004">
        <f t="shared" si="117"/>
        <v>6242663726.9777746</v>
      </c>
      <c r="N450" s="2719">
        <f>250*24970.6549079111*NAIRA2010_*1000</f>
        <v>6242663726.9777746</v>
      </c>
    </row>
    <row r="451" spans="1:14" s="1985" customFormat="1" x14ac:dyDescent="0.2">
      <c r="A451" s="1987"/>
      <c r="B451" s="1377"/>
      <c r="C451" s="1415" t="s">
        <v>608</v>
      </c>
      <c r="D451" s="1415" t="s">
        <v>923</v>
      </c>
      <c r="E451" s="1416">
        <f t="shared" si="115"/>
        <v>0</v>
      </c>
      <c r="F451" s="634">
        <f>250*25064.2799790177*NAIRA2010_*1000</f>
        <v>6266069994.754425</v>
      </c>
      <c r="G451" s="1531">
        <f t="shared" si="117"/>
        <v>6266069994.754425</v>
      </c>
      <c r="H451" s="1531">
        <f t="shared" si="117"/>
        <v>6266069994.754425</v>
      </c>
      <c r="I451" s="1531">
        <f t="shared" si="117"/>
        <v>6266069994.754425</v>
      </c>
      <c r="J451" s="1531">
        <f t="shared" si="117"/>
        <v>6266069994.754425</v>
      </c>
      <c r="K451" s="1531">
        <f t="shared" si="117"/>
        <v>6266069994.754425</v>
      </c>
      <c r="L451" s="1531">
        <f t="shared" si="117"/>
        <v>6266069994.754425</v>
      </c>
      <c r="M451" s="1531">
        <f t="shared" si="117"/>
        <v>6266069994.754425</v>
      </c>
      <c r="N451" s="66">
        <f>250*25064.2799790177*NAIRA2010_*1000</f>
        <v>6266069994.754425</v>
      </c>
    </row>
    <row r="452" spans="1:14" s="1985" customFormat="1" x14ac:dyDescent="0.2">
      <c r="A452" s="1987"/>
      <c r="B452" s="1377"/>
      <c r="C452" s="1415" t="s">
        <v>608</v>
      </c>
      <c r="D452" s="1415" t="s">
        <v>612</v>
      </c>
      <c r="E452" s="1416">
        <f t="shared" si="115"/>
        <v>0</v>
      </c>
      <c r="F452" s="634">
        <f>250*37932.7361684022*NAIRA2010_*1000</f>
        <v>9483184042.1005497</v>
      </c>
      <c r="G452" s="1531">
        <f t="shared" si="117"/>
        <v>9483184042.1005497</v>
      </c>
      <c r="H452" s="1531">
        <f t="shared" si="117"/>
        <v>9483184042.1005497</v>
      </c>
      <c r="I452" s="1531">
        <f t="shared" si="117"/>
        <v>9483184042.1005497</v>
      </c>
      <c r="J452" s="1531">
        <f t="shared" si="117"/>
        <v>9483184042.1005497</v>
      </c>
      <c r="K452" s="1531">
        <f t="shared" si="117"/>
        <v>9483184042.1005497</v>
      </c>
      <c r="L452" s="1531">
        <f t="shared" si="117"/>
        <v>9483184042.1005497</v>
      </c>
      <c r="M452" s="1531">
        <f t="shared" si="117"/>
        <v>9483184042.1005497</v>
      </c>
      <c r="N452" s="66">
        <f>250*37932.7361684022*NAIRA2010_*1000</f>
        <v>9483184042.1005497</v>
      </c>
    </row>
    <row r="453" spans="1:14" s="1985" customFormat="1" x14ac:dyDescent="0.2">
      <c r="A453" s="1987"/>
      <c r="B453" s="1377"/>
      <c r="C453" s="200" t="s">
        <v>608</v>
      </c>
      <c r="D453" s="624" t="s">
        <v>2273</v>
      </c>
      <c r="E453" s="524">
        <f t="shared" si="115"/>
        <v>0</v>
      </c>
      <c r="F453" s="1524">
        <f>250*93722.2594769972*NAIRA2010_*1000</f>
        <v>23430564869.249302</v>
      </c>
      <c r="G453" s="2003">
        <f t="shared" si="117"/>
        <v>23430564869.249302</v>
      </c>
      <c r="H453" s="2003">
        <f t="shared" si="117"/>
        <v>23430564869.249302</v>
      </c>
      <c r="I453" s="2003">
        <f t="shared" si="117"/>
        <v>23430564869.249302</v>
      </c>
      <c r="J453" s="2003">
        <f t="shared" si="117"/>
        <v>23430564869.249302</v>
      </c>
      <c r="K453" s="2003">
        <f t="shared" si="117"/>
        <v>23430564869.249302</v>
      </c>
      <c r="L453" s="2003">
        <f t="shared" si="117"/>
        <v>23430564869.249302</v>
      </c>
      <c r="M453" s="2003">
        <f t="shared" si="117"/>
        <v>23430564869.249302</v>
      </c>
      <c r="N453" s="999">
        <f>250*93722.2594769972*NAIRA2010_*1000</f>
        <v>23430564869.249302</v>
      </c>
    </row>
    <row r="454" spans="1:14" s="1985" customFormat="1" x14ac:dyDescent="0.2">
      <c r="A454" s="1987"/>
      <c r="B454" s="1377"/>
      <c r="C454" s="1102" t="s">
        <v>610</v>
      </c>
      <c r="D454" s="1102" t="s">
        <v>638</v>
      </c>
      <c r="E454" s="1904">
        <f t="shared" si="115"/>
        <v>0</v>
      </c>
      <c r="F454" s="1997">
        <f>250*730590*NAIRA2010_</f>
        <v>182647500</v>
      </c>
      <c r="G454" s="2004">
        <f t="shared" si="117"/>
        <v>182647500</v>
      </c>
      <c r="H454" s="2004">
        <f t="shared" si="117"/>
        <v>182647500</v>
      </c>
      <c r="I454" s="2004">
        <f t="shared" si="117"/>
        <v>182647500</v>
      </c>
      <c r="J454" s="2004">
        <f t="shared" si="117"/>
        <v>182647500</v>
      </c>
      <c r="K454" s="2004">
        <f t="shared" si="117"/>
        <v>182647500</v>
      </c>
      <c r="L454" s="2004">
        <f t="shared" si="117"/>
        <v>182647500</v>
      </c>
      <c r="M454" s="2004">
        <f t="shared" si="117"/>
        <v>182647500</v>
      </c>
      <c r="N454" s="2719">
        <f>250*730590*NAIRA2010_</f>
        <v>182647500</v>
      </c>
    </row>
    <row r="455" spans="1:14" s="1985" customFormat="1" x14ac:dyDescent="0.2">
      <c r="A455" s="1987"/>
      <c r="B455" s="1377"/>
      <c r="C455" s="1415" t="s">
        <v>610</v>
      </c>
      <c r="D455" s="1415" t="s">
        <v>639</v>
      </c>
      <c r="E455" s="1416">
        <f t="shared" si="115"/>
        <v>0</v>
      </c>
      <c r="F455" s="634">
        <f>250*730590*NAIRA2010_</f>
        <v>182647500</v>
      </c>
      <c r="G455" s="1531">
        <f t="shared" si="117"/>
        <v>182647500</v>
      </c>
      <c r="H455" s="1531">
        <f t="shared" si="117"/>
        <v>182647500</v>
      </c>
      <c r="I455" s="1531">
        <f t="shared" si="117"/>
        <v>182647500</v>
      </c>
      <c r="J455" s="1531">
        <f t="shared" si="117"/>
        <v>182647500</v>
      </c>
      <c r="K455" s="1531">
        <f t="shared" si="117"/>
        <v>182647500</v>
      </c>
      <c r="L455" s="1531">
        <f t="shared" si="117"/>
        <v>182647500</v>
      </c>
      <c r="M455" s="1531">
        <f t="shared" si="117"/>
        <v>182647500</v>
      </c>
      <c r="N455" s="66">
        <f>250*730590*NAIRA2010_</f>
        <v>182647500</v>
      </c>
    </row>
    <row r="456" spans="1:14" s="2479" customFormat="1" x14ac:dyDescent="0.2">
      <c r="B456" s="1377"/>
      <c r="C456" s="122" t="s">
        <v>2267</v>
      </c>
      <c r="D456" s="122" t="s">
        <v>2581</v>
      </c>
      <c r="E456" s="1416">
        <f t="shared" si="115"/>
        <v>0</v>
      </c>
      <c r="F456" s="634">
        <f>250*1545.3921087193*NAIRA2010_*1000</f>
        <v>386348027.17982501</v>
      </c>
      <c r="G456" s="1531">
        <f t="shared" si="117"/>
        <v>386348027.17982501</v>
      </c>
      <c r="H456" s="1531">
        <f t="shared" si="117"/>
        <v>386348027.17982501</v>
      </c>
      <c r="I456" s="1531">
        <f t="shared" si="117"/>
        <v>386348027.17982501</v>
      </c>
      <c r="J456" s="1531">
        <f t="shared" si="117"/>
        <v>386348027.17982501</v>
      </c>
      <c r="K456" s="1531">
        <f t="shared" si="117"/>
        <v>386348027.17982501</v>
      </c>
      <c r="L456" s="1531">
        <f t="shared" si="117"/>
        <v>386348027.17982501</v>
      </c>
      <c r="M456" s="1531">
        <f t="shared" si="117"/>
        <v>386348027.17982501</v>
      </c>
      <c r="N456" s="66">
        <f>250*1545.3921087193*NAIRA2010_*1000</f>
        <v>386348027.17982501</v>
      </c>
    </row>
    <row r="457" spans="1:14" s="2479" customFormat="1" x14ac:dyDescent="0.2">
      <c r="B457" s="1377"/>
      <c r="C457" s="122" t="s">
        <v>2268</v>
      </c>
      <c r="D457" s="122" t="s">
        <v>2580</v>
      </c>
      <c r="E457" s="1416">
        <f t="shared" si="115"/>
        <v>0</v>
      </c>
      <c r="F457" s="1997">
        <f>250*24970.6549079111*NAIRA2010_</f>
        <v>6242663.7269777749</v>
      </c>
      <c r="G457" s="1531">
        <f t="shared" si="117"/>
        <v>6242663.7269777749</v>
      </c>
      <c r="H457" s="1531">
        <f t="shared" si="117"/>
        <v>6242663.7269777749</v>
      </c>
      <c r="I457" s="1531">
        <f t="shared" si="117"/>
        <v>6242663.7269777749</v>
      </c>
      <c r="J457" s="1531">
        <f t="shared" si="117"/>
        <v>6242663.7269777749</v>
      </c>
      <c r="K457" s="1531">
        <f t="shared" si="117"/>
        <v>6242663.7269777749</v>
      </c>
      <c r="L457" s="1531">
        <f t="shared" si="117"/>
        <v>6242663.7269777749</v>
      </c>
      <c r="M457" s="1531">
        <f t="shared" si="117"/>
        <v>6242663.7269777749</v>
      </c>
      <c r="N457" s="66">
        <f>250*24970.6549079111*NAIRA2010_</f>
        <v>6242663.7269777749</v>
      </c>
    </row>
    <row r="458" spans="1:14" s="1985" customFormat="1" x14ac:dyDescent="0.2">
      <c r="A458" s="1987"/>
      <c r="B458" s="1377"/>
      <c r="C458" s="122" t="s">
        <v>611</v>
      </c>
      <c r="D458" s="122" t="s">
        <v>611</v>
      </c>
      <c r="E458" s="1252">
        <f t="shared" si="115"/>
        <v>0</v>
      </c>
      <c r="F458" s="2006">
        <f>250*1504958.03543674*NAIRA2010_</f>
        <v>376239508.85918498</v>
      </c>
      <c r="G458" s="1998">
        <f t="shared" si="117"/>
        <v>376239508.85918498</v>
      </c>
      <c r="H458" s="1998">
        <f t="shared" si="117"/>
        <v>376239508.85918498</v>
      </c>
      <c r="I458" s="1998">
        <f t="shared" si="117"/>
        <v>376239508.85918498</v>
      </c>
      <c r="J458" s="1998">
        <f t="shared" si="117"/>
        <v>376239508.85918498</v>
      </c>
      <c r="K458" s="1998">
        <f t="shared" si="117"/>
        <v>376239508.85918498</v>
      </c>
      <c r="L458" s="1998">
        <f t="shared" si="117"/>
        <v>376239508.85918498</v>
      </c>
      <c r="M458" s="1998">
        <f t="shared" si="117"/>
        <v>376239508.85918498</v>
      </c>
      <c r="N458" s="2718">
        <f>250*1504958.03543674*NAIRA2010_</f>
        <v>376239508.85918498</v>
      </c>
    </row>
    <row r="459" spans="1:14" s="1985" customFormat="1" x14ac:dyDescent="0.2">
      <c r="A459" s="1987"/>
      <c r="B459" s="1377"/>
      <c r="C459" s="691"/>
      <c r="D459" s="691"/>
      <c r="E459" s="691"/>
      <c r="F459" s="1385"/>
      <c r="G459" s="691"/>
      <c r="H459" s="691"/>
      <c r="I459" s="1385"/>
      <c r="J459" s="691"/>
      <c r="K459" s="691"/>
      <c r="L459" s="691"/>
      <c r="M459" s="691"/>
      <c r="N459" s="691"/>
    </row>
    <row r="460" spans="1:14" s="1985" customFormat="1" x14ac:dyDescent="0.2">
      <c r="A460" s="1987"/>
      <c r="B460" s="691"/>
      <c r="C460" s="691"/>
      <c r="D460" s="691"/>
      <c r="E460" s="691"/>
      <c r="F460" s="1522"/>
      <c r="G460" s="1522"/>
      <c r="H460" s="1522"/>
      <c r="I460" s="1522"/>
      <c r="J460" s="691"/>
      <c r="K460" s="1523"/>
      <c r="L460" s="691"/>
      <c r="M460" s="1523"/>
      <c r="N460" s="2116" t="str">
        <f>Preferences.moneyunits&amp;" per thousand vehicle units"</f>
        <v>N per thousand vehicle units</v>
      </c>
    </row>
    <row r="461" spans="1:14" s="1985" customFormat="1" x14ac:dyDescent="0.2">
      <c r="A461" s="1987"/>
      <c r="B461" s="691"/>
      <c r="C461" s="1995" t="s">
        <v>1891</v>
      </c>
      <c r="D461" s="1960"/>
      <c r="E461" s="1994" t="s">
        <v>1321</v>
      </c>
      <c r="F461" s="1996">
        <v>2010</v>
      </c>
      <c r="G461" s="1996">
        <v>2015</v>
      </c>
      <c r="H461" s="1996">
        <v>2020</v>
      </c>
      <c r="I461" s="1996">
        <v>2025</v>
      </c>
      <c r="J461" s="1996">
        <v>2030</v>
      </c>
      <c r="K461" s="1996">
        <v>2035</v>
      </c>
      <c r="L461" s="1996">
        <v>2040</v>
      </c>
      <c r="M461" s="1996">
        <v>2045</v>
      </c>
      <c r="N461" s="2117">
        <v>2050</v>
      </c>
    </row>
    <row r="462" spans="1:14" s="1985" customFormat="1" x14ac:dyDescent="0.2">
      <c r="A462" s="1987"/>
      <c r="B462" s="691"/>
      <c r="C462" s="1926" t="s">
        <v>609</v>
      </c>
      <c r="D462" s="1926" t="s">
        <v>609</v>
      </c>
      <c r="E462" s="2109">
        <f t="shared" ref="E462:E475" si="118">(N462-F462)/(N$461-F$461)</f>
        <v>0</v>
      </c>
      <c r="F462" s="1998">
        <f>250*25*NAIRA2010_*1000</f>
        <v>6250000</v>
      </c>
      <c r="G462" s="1998">
        <f>F462+$E462*(G$461-F$461)</f>
        <v>6250000</v>
      </c>
      <c r="H462" s="1998">
        <f t="shared" ref="H462:M462" si="119">G462+$E462*(H$461-G$461)</f>
        <v>6250000</v>
      </c>
      <c r="I462" s="1998">
        <f t="shared" si="119"/>
        <v>6250000</v>
      </c>
      <c r="J462" s="1998">
        <f t="shared" si="119"/>
        <v>6250000</v>
      </c>
      <c r="K462" s="1998">
        <f t="shared" si="119"/>
        <v>6250000</v>
      </c>
      <c r="L462" s="1998">
        <f t="shared" si="119"/>
        <v>6250000</v>
      </c>
      <c r="M462" s="1998">
        <f t="shared" si="119"/>
        <v>6250000</v>
      </c>
      <c r="N462" s="2718">
        <f>250*25*NAIRA2010_*1000</f>
        <v>6250000</v>
      </c>
    </row>
    <row r="463" spans="1:14" s="1985" customFormat="1" x14ac:dyDescent="0.2">
      <c r="A463" s="1987"/>
      <c r="B463" s="691"/>
      <c r="C463" s="1102" t="s">
        <v>607</v>
      </c>
      <c r="D463" s="146" t="s">
        <v>2272</v>
      </c>
      <c r="E463" s="2110">
        <f t="shared" si="118"/>
        <v>0</v>
      </c>
      <c r="F463" s="1997">
        <f>250*1545.3921087193*NAIRA2010_*1000</f>
        <v>386348027.17982501</v>
      </c>
      <c r="G463" s="2004">
        <f t="shared" ref="G463:M475" si="120">F463+$E463*(G$461-F$461)</f>
        <v>386348027.17982501</v>
      </c>
      <c r="H463" s="2004">
        <f t="shared" si="120"/>
        <v>386348027.17982501</v>
      </c>
      <c r="I463" s="2004">
        <f t="shared" si="120"/>
        <v>386348027.17982501</v>
      </c>
      <c r="J463" s="2004">
        <f t="shared" si="120"/>
        <v>386348027.17982501</v>
      </c>
      <c r="K463" s="2004">
        <f t="shared" si="120"/>
        <v>386348027.17982501</v>
      </c>
      <c r="L463" s="2004">
        <f t="shared" si="120"/>
        <v>386348027.17982501</v>
      </c>
      <c r="M463" s="2004">
        <f t="shared" si="120"/>
        <v>386348027.17982501</v>
      </c>
      <c r="N463" s="2719">
        <f>250*1545.3921087193*NAIRA2010_*1000</f>
        <v>386348027.17982501</v>
      </c>
    </row>
    <row r="464" spans="1:14" s="1985" customFormat="1" x14ac:dyDescent="0.2">
      <c r="A464" s="1987"/>
      <c r="B464" s="691"/>
      <c r="C464" s="1415" t="s">
        <v>607</v>
      </c>
      <c r="D464" s="1415" t="s">
        <v>923</v>
      </c>
      <c r="E464" s="1563">
        <f t="shared" si="118"/>
        <v>0</v>
      </c>
      <c r="F464" s="634">
        <f>250*2830.61086804476*NAIRA2010_*1000</f>
        <v>707652717.01119006</v>
      </c>
      <c r="G464" s="1531">
        <f t="shared" si="120"/>
        <v>707652717.01119006</v>
      </c>
      <c r="H464" s="1531">
        <f t="shared" si="120"/>
        <v>707652717.01119006</v>
      </c>
      <c r="I464" s="1531">
        <f t="shared" si="120"/>
        <v>707652717.01119006</v>
      </c>
      <c r="J464" s="1531">
        <f t="shared" si="120"/>
        <v>707652717.01119006</v>
      </c>
      <c r="K464" s="1531">
        <f t="shared" si="120"/>
        <v>707652717.01119006</v>
      </c>
      <c r="L464" s="1531">
        <f t="shared" si="120"/>
        <v>707652717.01119006</v>
      </c>
      <c r="M464" s="1531">
        <f t="shared" si="120"/>
        <v>707652717.01119006</v>
      </c>
      <c r="N464" s="66">
        <f>250*2830.61086804476*NAIRA2010_*1000</f>
        <v>707652717.01119006</v>
      </c>
    </row>
    <row r="465" spans="1:14" s="1985" customFormat="1" x14ac:dyDescent="0.2">
      <c r="A465" s="1987"/>
      <c r="B465" s="691"/>
      <c r="C465" s="1415" t="s">
        <v>607</v>
      </c>
      <c r="D465" s="1415" t="s">
        <v>612</v>
      </c>
      <c r="E465" s="1563">
        <f t="shared" si="118"/>
        <v>0</v>
      </c>
      <c r="F465" s="634">
        <f>250*2091.5374494871*NAIRA2010_*1000</f>
        <v>522884362.37177497</v>
      </c>
      <c r="G465" s="1531">
        <f t="shared" si="120"/>
        <v>522884362.37177497</v>
      </c>
      <c r="H465" s="1531">
        <f t="shared" si="120"/>
        <v>522884362.37177497</v>
      </c>
      <c r="I465" s="1531">
        <f t="shared" si="120"/>
        <v>522884362.37177497</v>
      </c>
      <c r="J465" s="1531">
        <f t="shared" si="120"/>
        <v>522884362.37177497</v>
      </c>
      <c r="K465" s="1531">
        <f t="shared" si="120"/>
        <v>522884362.37177497</v>
      </c>
      <c r="L465" s="1531">
        <f t="shared" si="120"/>
        <v>522884362.37177497</v>
      </c>
      <c r="M465" s="1531">
        <f t="shared" si="120"/>
        <v>522884362.37177497</v>
      </c>
      <c r="N465" s="66">
        <f>250*2091.5374494871*NAIRA2010_*1000</f>
        <v>522884362.37177497</v>
      </c>
    </row>
    <row r="466" spans="1:14" s="1985" customFormat="1" x14ac:dyDescent="0.2">
      <c r="A466" s="1987"/>
      <c r="B466" s="691"/>
      <c r="C466" s="200" t="s">
        <v>607</v>
      </c>
      <c r="D466" s="524" t="s">
        <v>2273</v>
      </c>
      <c r="E466" s="2111">
        <f t="shared" si="118"/>
        <v>0</v>
      </c>
      <c r="F466" s="1524">
        <f>250*20546.4285941871*NAIRA2010_*1000</f>
        <v>5136607148.5467749</v>
      </c>
      <c r="G466" s="2003">
        <f t="shared" si="120"/>
        <v>5136607148.5467749</v>
      </c>
      <c r="H466" s="2003">
        <f t="shared" si="120"/>
        <v>5136607148.5467749</v>
      </c>
      <c r="I466" s="2003">
        <f t="shared" si="120"/>
        <v>5136607148.5467749</v>
      </c>
      <c r="J466" s="2003">
        <f t="shared" si="120"/>
        <v>5136607148.5467749</v>
      </c>
      <c r="K466" s="2003">
        <f t="shared" si="120"/>
        <v>5136607148.5467749</v>
      </c>
      <c r="L466" s="2003">
        <f t="shared" si="120"/>
        <v>5136607148.5467749</v>
      </c>
      <c r="M466" s="2003">
        <f t="shared" si="120"/>
        <v>5136607148.5467749</v>
      </c>
      <c r="N466" s="999">
        <f>250*20546.4285941871*NAIRA2010_*1000</f>
        <v>5136607148.5467749</v>
      </c>
    </row>
    <row r="467" spans="1:14" s="1985" customFormat="1" x14ac:dyDescent="0.2">
      <c r="A467" s="1987"/>
      <c r="B467" s="691"/>
      <c r="C467" s="1102" t="s">
        <v>608</v>
      </c>
      <c r="D467" s="146" t="s">
        <v>2272</v>
      </c>
      <c r="E467" s="2110">
        <f t="shared" si="118"/>
        <v>0</v>
      </c>
      <c r="F467" s="1997">
        <f>250*24970.6549079111*NAIRA2010_*1000</f>
        <v>6242663726.9777746</v>
      </c>
      <c r="G467" s="2004">
        <f t="shared" si="120"/>
        <v>6242663726.9777746</v>
      </c>
      <c r="H467" s="2004">
        <f t="shared" si="120"/>
        <v>6242663726.9777746</v>
      </c>
      <c r="I467" s="2004">
        <f t="shared" si="120"/>
        <v>6242663726.9777746</v>
      </c>
      <c r="J467" s="2004">
        <f t="shared" si="120"/>
        <v>6242663726.9777746</v>
      </c>
      <c r="K467" s="2004">
        <f t="shared" si="120"/>
        <v>6242663726.9777746</v>
      </c>
      <c r="L467" s="2004">
        <f t="shared" si="120"/>
        <v>6242663726.9777746</v>
      </c>
      <c r="M467" s="2004">
        <f t="shared" si="120"/>
        <v>6242663726.9777746</v>
      </c>
      <c r="N467" s="2719">
        <f>250*24970.6549079111*NAIRA2010_*1000</f>
        <v>6242663726.9777746</v>
      </c>
    </row>
    <row r="468" spans="1:14" s="1985" customFormat="1" x14ac:dyDescent="0.2">
      <c r="A468" s="1987"/>
      <c r="B468" s="691"/>
      <c r="C468" s="1415" t="s">
        <v>608</v>
      </c>
      <c r="D468" s="1415" t="s">
        <v>923</v>
      </c>
      <c r="E468" s="1563">
        <f t="shared" si="118"/>
        <v>0</v>
      </c>
      <c r="F468" s="634">
        <f>250*25064.2799790177*NAIRA2010_*1000</f>
        <v>6266069994.754425</v>
      </c>
      <c r="G468" s="1531">
        <f t="shared" si="120"/>
        <v>6266069994.754425</v>
      </c>
      <c r="H468" s="1531">
        <f t="shared" si="120"/>
        <v>6266069994.754425</v>
      </c>
      <c r="I468" s="1531">
        <f t="shared" si="120"/>
        <v>6266069994.754425</v>
      </c>
      <c r="J468" s="1531">
        <f t="shared" si="120"/>
        <v>6266069994.754425</v>
      </c>
      <c r="K468" s="1531">
        <f t="shared" si="120"/>
        <v>6266069994.754425</v>
      </c>
      <c r="L468" s="1531">
        <f t="shared" si="120"/>
        <v>6266069994.754425</v>
      </c>
      <c r="M468" s="1531">
        <f t="shared" si="120"/>
        <v>6266069994.754425</v>
      </c>
      <c r="N468" s="66">
        <f>250*25064.2799790177*NAIRA2010_*1000</f>
        <v>6266069994.754425</v>
      </c>
    </row>
    <row r="469" spans="1:14" s="1985" customFormat="1" x14ac:dyDescent="0.2">
      <c r="A469" s="1987"/>
      <c r="B469" s="691"/>
      <c r="C469" s="1415" t="s">
        <v>608</v>
      </c>
      <c r="D469" s="1415" t="s">
        <v>612</v>
      </c>
      <c r="E469" s="1563">
        <f t="shared" si="118"/>
        <v>0</v>
      </c>
      <c r="F469" s="634">
        <f>250*37932.7361684022*NAIRA2010_*1000</f>
        <v>9483184042.1005497</v>
      </c>
      <c r="G469" s="1531">
        <f t="shared" si="120"/>
        <v>9483184042.1005497</v>
      </c>
      <c r="H469" s="1531">
        <f t="shared" si="120"/>
        <v>9483184042.1005497</v>
      </c>
      <c r="I469" s="1531">
        <f t="shared" si="120"/>
        <v>9483184042.1005497</v>
      </c>
      <c r="J469" s="1531">
        <f t="shared" si="120"/>
        <v>9483184042.1005497</v>
      </c>
      <c r="K469" s="1531">
        <f t="shared" si="120"/>
        <v>9483184042.1005497</v>
      </c>
      <c r="L469" s="1531">
        <f t="shared" si="120"/>
        <v>9483184042.1005497</v>
      </c>
      <c r="M469" s="1531">
        <f t="shared" si="120"/>
        <v>9483184042.1005497</v>
      </c>
      <c r="N469" s="66">
        <f>250*37932.7361684022*NAIRA2010_*1000</f>
        <v>9483184042.1005497</v>
      </c>
    </row>
    <row r="470" spans="1:14" s="1985" customFormat="1" x14ac:dyDescent="0.2">
      <c r="A470" s="1987"/>
      <c r="B470" s="691"/>
      <c r="C470" s="200" t="s">
        <v>608</v>
      </c>
      <c r="D470" s="624" t="s">
        <v>2273</v>
      </c>
      <c r="E470" s="2111">
        <f t="shared" si="118"/>
        <v>0</v>
      </c>
      <c r="F470" s="634">
        <f>250*93722.2594769972*NAIRA2010_*1000</f>
        <v>23430564869.249302</v>
      </c>
      <c r="G470" s="1531">
        <f t="shared" si="120"/>
        <v>23430564869.249302</v>
      </c>
      <c r="H470" s="1531">
        <f t="shared" si="120"/>
        <v>23430564869.249302</v>
      </c>
      <c r="I470" s="1531">
        <f t="shared" si="120"/>
        <v>23430564869.249302</v>
      </c>
      <c r="J470" s="1531">
        <f t="shared" si="120"/>
        <v>23430564869.249302</v>
      </c>
      <c r="K470" s="1531">
        <f t="shared" si="120"/>
        <v>23430564869.249302</v>
      </c>
      <c r="L470" s="1531">
        <f t="shared" si="120"/>
        <v>23430564869.249302</v>
      </c>
      <c r="M470" s="1531">
        <f t="shared" si="120"/>
        <v>23430564869.249302</v>
      </c>
      <c r="N470" s="66">
        <f>250*93722.2594769972*NAIRA2010_*1000</f>
        <v>23430564869.249302</v>
      </c>
    </row>
    <row r="471" spans="1:14" s="1985" customFormat="1" x14ac:dyDescent="0.2">
      <c r="A471" s="1987"/>
      <c r="B471" s="691"/>
      <c r="C471" s="1102" t="s">
        <v>610</v>
      </c>
      <c r="D471" s="1102" t="s">
        <v>638</v>
      </c>
      <c r="E471" s="2110">
        <f t="shared" si="118"/>
        <v>0</v>
      </c>
      <c r="F471" s="1997">
        <f>250*730590*NAIRA2010_</f>
        <v>182647500</v>
      </c>
      <c r="G471" s="2004">
        <f t="shared" si="120"/>
        <v>182647500</v>
      </c>
      <c r="H471" s="2004">
        <f t="shared" si="120"/>
        <v>182647500</v>
      </c>
      <c r="I471" s="2004">
        <f t="shared" si="120"/>
        <v>182647500</v>
      </c>
      <c r="J471" s="2004">
        <f t="shared" si="120"/>
        <v>182647500</v>
      </c>
      <c r="K471" s="2004">
        <f t="shared" si="120"/>
        <v>182647500</v>
      </c>
      <c r="L471" s="2004">
        <f t="shared" si="120"/>
        <v>182647500</v>
      </c>
      <c r="M471" s="2004">
        <f t="shared" si="120"/>
        <v>182647500</v>
      </c>
      <c r="N471" s="2719">
        <f>250*730590*NAIRA2010_</f>
        <v>182647500</v>
      </c>
    </row>
    <row r="472" spans="1:14" s="1985" customFormat="1" x14ac:dyDescent="0.2">
      <c r="A472" s="1987"/>
      <c r="B472" s="691"/>
      <c r="C472" s="1415" t="s">
        <v>610</v>
      </c>
      <c r="D472" s="1415" t="s">
        <v>639</v>
      </c>
      <c r="E472" s="1563">
        <f t="shared" si="118"/>
        <v>0</v>
      </c>
      <c r="F472" s="1524">
        <f>250*730590*NAIRA2010_</f>
        <v>182647500</v>
      </c>
      <c r="G472" s="2003">
        <f t="shared" si="120"/>
        <v>182647500</v>
      </c>
      <c r="H472" s="2003">
        <f t="shared" si="120"/>
        <v>182647500</v>
      </c>
      <c r="I472" s="2003">
        <f t="shared" si="120"/>
        <v>182647500</v>
      </c>
      <c r="J472" s="2003">
        <f t="shared" si="120"/>
        <v>182647500</v>
      </c>
      <c r="K472" s="2003">
        <f>J472+$E472*(K$461-J$461)</f>
        <v>182647500</v>
      </c>
      <c r="L472" s="2003">
        <f t="shared" si="120"/>
        <v>182647500</v>
      </c>
      <c r="M472" s="2003">
        <f t="shared" si="120"/>
        <v>182647500</v>
      </c>
      <c r="N472" s="999">
        <f>250*730590*NAIRA2010_</f>
        <v>182647500</v>
      </c>
    </row>
    <row r="473" spans="1:14" s="2479" customFormat="1" x14ac:dyDescent="0.2">
      <c r="B473" s="691"/>
      <c r="C473" s="122" t="s">
        <v>2267</v>
      </c>
      <c r="D473" s="122" t="s">
        <v>2581</v>
      </c>
      <c r="E473" s="1563">
        <f t="shared" si="118"/>
        <v>0</v>
      </c>
      <c r="F473" s="634">
        <f>250*1545.3921087193*NAIRA2010_*1000</f>
        <v>386348027.17982501</v>
      </c>
      <c r="G473" s="2003">
        <f t="shared" si="120"/>
        <v>386348027.17982501</v>
      </c>
      <c r="H473" s="2003">
        <f t="shared" si="120"/>
        <v>386348027.17982501</v>
      </c>
      <c r="I473" s="2003">
        <f t="shared" si="120"/>
        <v>386348027.17982501</v>
      </c>
      <c r="J473" s="2003">
        <f t="shared" si="120"/>
        <v>386348027.17982501</v>
      </c>
      <c r="K473" s="2003">
        <f t="shared" ref="K473:K474" si="121">J473+$E473*(K$461-J$461)</f>
        <v>386348027.17982501</v>
      </c>
      <c r="L473" s="2003">
        <f t="shared" si="120"/>
        <v>386348027.17982501</v>
      </c>
      <c r="M473" s="2003">
        <f t="shared" si="120"/>
        <v>386348027.17982501</v>
      </c>
      <c r="N473" s="999">
        <f>250*1545.3921087193*NAIRA2010_*1000</f>
        <v>386348027.17982501</v>
      </c>
    </row>
    <row r="474" spans="1:14" s="2479" customFormat="1" x14ac:dyDescent="0.2">
      <c r="B474" s="691"/>
      <c r="C474" s="122" t="s">
        <v>2268</v>
      </c>
      <c r="D474" s="122" t="s">
        <v>2580</v>
      </c>
      <c r="E474" s="1563">
        <f t="shared" si="118"/>
        <v>0</v>
      </c>
      <c r="F474" s="634">
        <f>250*24970.6549079111*NAIRA2010_</f>
        <v>6242663.7269777749</v>
      </c>
      <c r="G474" s="2003">
        <f t="shared" si="120"/>
        <v>6242663.7269777749</v>
      </c>
      <c r="H474" s="2003">
        <f t="shared" si="120"/>
        <v>6242663.7269777749</v>
      </c>
      <c r="I474" s="2003">
        <f t="shared" si="120"/>
        <v>6242663.7269777749</v>
      </c>
      <c r="J474" s="2003">
        <f t="shared" si="120"/>
        <v>6242663.7269777749</v>
      </c>
      <c r="K474" s="2003">
        <f t="shared" si="121"/>
        <v>6242663.7269777749</v>
      </c>
      <c r="L474" s="2003">
        <f t="shared" si="120"/>
        <v>6242663.7269777749</v>
      </c>
      <c r="M474" s="2003">
        <f t="shared" si="120"/>
        <v>6242663.7269777749</v>
      </c>
      <c r="N474" s="999">
        <f>250*24970.6549079111*NAIRA2010_</f>
        <v>6242663.7269777749</v>
      </c>
    </row>
    <row r="475" spans="1:14" s="1985" customFormat="1" x14ac:dyDescent="0.2">
      <c r="A475" s="1987"/>
      <c r="B475" s="691"/>
      <c r="C475" s="122" t="s">
        <v>611</v>
      </c>
      <c r="D475" s="122" t="s">
        <v>611</v>
      </c>
      <c r="E475" s="2109">
        <f t="shared" si="118"/>
        <v>0</v>
      </c>
      <c r="F475" s="2006">
        <f>250*1504958.03543674*NAIRA2010_</f>
        <v>376239508.85918498</v>
      </c>
      <c r="G475" s="1998">
        <f t="shared" si="120"/>
        <v>376239508.85918498</v>
      </c>
      <c r="H475" s="1998">
        <f t="shared" si="120"/>
        <v>376239508.85918498</v>
      </c>
      <c r="I475" s="1998">
        <f t="shared" si="120"/>
        <v>376239508.85918498</v>
      </c>
      <c r="J475" s="1998">
        <f t="shared" si="120"/>
        <v>376239508.85918498</v>
      </c>
      <c r="K475" s="1998">
        <f t="shared" si="120"/>
        <v>376239508.85918498</v>
      </c>
      <c r="L475" s="1998">
        <f t="shared" si="120"/>
        <v>376239508.85918498</v>
      </c>
      <c r="M475" s="1998">
        <f t="shared" si="120"/>
        <v>376239508.85918498</v>
      </c>
      <c r="N475" s="2720">
        <f>250*1504958.03543674*NAIRA2010_</f>
        <v>376239508.85918498</v>
      </c>
    </row>
    <row r="476" spans="1:14" s="1985" customFormat="1" x14ac:dyDescent="0.2">
      <c r="A476" s="1987"/>
      <c r="B476" s="691"/>
      <c r="C476" s="1377"/>
      <c r="D476" s="1377"/>
      <c r="E476" s="1377"/>
      <c r="F476" s="1377"/>
      <c r="G476" s="1377"/>
      <c r="H476" s="1377"/>
      <c r="I476" s="1377"/>
      <c r="J476" s="1377"/>
      <c r="K476" s="1377"/>
      <c r="L476" s="1377"/>
      <c r="M476" s="1377"/>
      <c r="N476" s="1377"/>
    </row>
    <row r="477" spans="1:14" s="1985" customFormat="1" x14ac:dyDescent="0.2">
      <c r="A477" s="1987"/>
      <c r="B477" s="691"/>
      <c r="C477" s="691"/>
      <c r="D477" s="691"/>
      <c r="E477" s="691"/>
      <c r="F477" s="1385"/>
      <c r="G477" s="691"/>
      <c r="H477" s="691"/>
      <c r="I477" s="1385"/>
      <c r="J477" s="691"/>
      <c r="K477" s="691"/>
      <c r="L477" s="691"/>
      <c r="M477" s="691"/>
      <c r="N477" s="2116" t="str">
        <f>Preferences.moneyunits&amp;" per thousand vehicle units"</f>
        <v>N per thousand vehicle units</v>
      </c>
    </row>
    <row r="478" spans="1:14" s="1985" customFormat="1" x14ac:dyDescent="0.2">
      <c r="A478" s="1987"/>
      <c r="B478" s="691"/>
      <c r="C478" s="1995" t="s">
        <v>1893</v>
      </c>
      <c r="D478" s="1960"/>
      <c r="E478" s="1994" t="s">
        <v>1321</v>
      </c>
      <c r="F478" s="1996">
        <v>2010</v>
      </c>
      <c r="G478" s="1996">
        <v>2015</v>
      </c>
      <c r="H478" s="1996">
        <v>2020</v>
      </c>
      <c r="I478" s="1996">
        <v>2025</v>
      </c>
      <c r="J478" s="1996">
        <v>2030</v>
      </c>
      <c r="K478" s="1996">
        <v>2035</v>
      </c>
      <c r="L478" s="1996">
        <v>2040</v>
      </c>
      <c r="M478" s="1996">
        <v>2045</v>
      </c>
      <c r="N478" s="2156">
        <v>2050</v>
      </c>
    </row>
    <row r="479" spans="1:14" s="1985" customFormat="1" x14ac:dyDescent="0.2">
      <c r="A479" s="1987"/>
      <c r="B479" s="691"/>
      <c r="C479" s="1926" t="s">
        <v>609</v>
      </c>
      <c r="D479" s="1926" t="s">
        <v>609</v>
      </c>
      <c r="E479" s="2108">
        <f t="shared" ref="E479:E492" si="122">(N479-F479)/(N$478-F$478)</f>
        <v>0</v>
      </c>
      <c r="F479" s="1998">
        <f>250*20*NAIRA2010_*1000</f>
        <v>5000000</v>
      </c>
      <c r="G479" s="1998">
        <f>F479+$E479*(G$478-F$478)</f>
        <v>5000000</v>
      </c>
      <c r="H479" s="1998">
        <f t="shared" ref="H479:M479" si="123">G479+$E479*(H$478-G$478)</f>
        <v>5000000</v>
      </c>
      <c r="I479" s="1998">
        <f t="shared" si="123"/>
        <v>5000000</v>
      </c>
      <c r="J479" s="1998">
        <f t="shared" si="123"/>
        <v>5000000</v>
      </c>
      <c r="K479" s="1998">
        <f t="shared" si="123"/>
        <v>5000000</v>
      </c>
      <c r="L479" s="1998">
        <f t="shared" si="123"/>
        <v>5000000</v>
      </c>
      <c r="M479" s="1998">
        <f t="shared" si="123"/>
        <v>5000000</v>
      </c>
      <c r="N479" s="2722">
        <f>250*20*NAIRA2010_*1000</f>
        <v>5000000</v>
      </c>
    </row>
    <row r="480" spans="1:14" s="1985" customFormat="1" x14ac:dyDescent="0.2">
      <c r="A480" s="1987"/>
      <c r="B480" s="691"/>
      <c r="C480" s="1102" t="s">
        <v>607</v>
      </c>
      <c r="D480" s="146" t="s">
        <v>2272</v>
      </c>
      <c r="E480" s="2107">
        <f t="shared" si="122"/>
        <v>0</v>
      </c>
      <c r="F480" s="1997">
        <f>250*1545.3921087193*NAIRA2010_*1000</f>
        <v>386348027.17982501</v>
      </c>
      <c r="G480" s="2004">
        <f t="shared" ref="G480:M492" si="124">F480+$E480*(G$478-F$478)</f>
        <v>386348027.17982501</v>
      </c>
      <c r="H480" s="2004">
        <f t="shared" si="124"/>
        <v>386348027.17982501</v>
      </c>
      <c r="I480" s="2004">
        <f t="shared" si="124"/>
        <v>386348027.17982501</v>
      </c>
      <c r="J480" s="2004">
        <f t="shared" si="124"/>
        <v>386348027.17982501</v>
      </c>
      <c r="K480" s="2004">
        <f t="shared" si="124"/>
        <v>386348027.17982501</v>
      </c>
      <c r="L480" s="2004">
        <f t="shared" si="124"/>
        <v>386348027.17982501</v>
      </c>
      <c r="M480" s="2004">
        <f t="shared" si="124"/>
        <v>386348027.17982501</v>
      </c>
      <c r="N480" s="2723">
        <f>250*1545.3921087193*NAIRA2010_*1000</f>
        <v>386348027.17982501</v>
      </c>
    </row>
    <row r="481" spans="1:15" s="1985" customFormat="1" x14ac:dyDescent="0.2">
      <c r="A481" s="1987"/>
      <c r="B481" s="691"/>
      <c r="C481" s="1415" t="s">
        <v>607</v>
      </c>
      <c r="D481" s="1415" t="s">
        <v>923</v>
      </c>
      <c r="E481" s="2106">
        <f t="shared" si="122"/>
        <v>0</v>
      </c>
      <c r="F481" s="634">
        <f>250*2830.61086804476*NAIRA2010_*1000</f>
        <v>707652717.01119006</v>
      </c>
      <c r="G481" s="1531">
        <f t="shared" si="124"/>
        <v>707652717.01119006</v>
      </c>
      <c r="H481" s="1531">
        <f t="shared" si="124"/>
        <v>707652717.01119006</v>
      </c>
      <c r="I481" s="1531">
        <f t="shared" si="124"/>
        <v>707652717.01119006</v>
      </c>
      <c r="J481" s="1531">
        <f t="shared" si="124"/>
        <v>707652717.01119006</v>
      </c>
      <c r="K481" s="1531">
        <f t="shared" si="124"/>
        <v>707652717.01119006</v>
      </c>
      <c r="L481" s="1531">
        <f t="shared" si="124"/>
        <v>707652717.01119006</v>
      </c>
      <c r="M481" s="1531">
        <f t="shared" si="124"/>
        <v>707652717.01119006</v>
      </c>
      <c r="N481" s="2724">
        <f>250*2830.61086804476*NAIRA2010_*1000</f>
        <v>707652717.01119006</v>
      </c>
    </row>
    <row r="482" spans="1:15" s="1985" customFormat="1" x14ac:dyDescent="0.2">
      <c r="A482" s="1987"/>
      <c r="B482" s="691"/>
      <c r="C482" s="1415" t="s">
        <v>607</v>
      </c>
      <c r="D482" s="1415" t="s">
        <v>612</v>
      </c>
      <c r="E482" s="2106">
        <f t="shared" si="122"/>
        <v>0</v>
      </c>
      <c r="F482" s="634">
        <f>250*2091.5374494871*NAIRA2010_*1000</f>
        <v>522884362.37177497</v>
      </c>
      <c r="G482" s="1531">
        <f t="shared" si="124"/>
        <v>522884362.37177497</v>
      </c>
      <c r="H482" s="1531">
        <f t="shared" si="124"/>
        <v>522884362.37177497</v>
      </c>
      <c r="I482" s="1531">
        <f t="shared" si="124"/>
        <v>522884362.37177497</v>
      </c>
      <c r="J482" s="1531">
        <f t="shared" si="124"/>
        <v>522884362.37177497</v>
      </c>
      <c r="K482" s="1531">
        <f t="shared" si="124"/>
        <v>522884362.37177497</v>
      </c>
      <c r="L482" s="1531">
        <f t="shared" si="124"/>
        <v>522884362.37177497</v>
      </c>
      <c r="M482" s="1531">
        <f t="shared" si="124"/>
        <v>522884362.37177497</v>
      </c>
      <c r="N482" s="2724">
        <f>250*2091.5374494871*NAIRA2010_*1000</f>
        <v>522884362.37177497</v>
      </c>
    </row>
    <row r="483" spans="1:15" s="1985" customFormat="1" x14ac:dyDescent="0.2">
      <c r="A483" s="1987"/>
      <c r="B483" s="691"/>
      <c r="C483" s="200" t="s">
        <v>607</v>
      </c>
      <c r="D483" s="524" t="s">
        <v>2273</v>
      </c>
      <c r="E483" s="2095">
        <f t="shared" si="122"/>
        <v>0</v>
      </c>
      <c r="F483" s="1524">
        <f>250*20546.4285941871*NAIRA2010_*1000</f>
        <v>5136607148.5467749</v>
      </c>
      <c r="G483" s="2003">
        <f t="shared" si="124"/>
        <v>5136607148.5467749</v>
      </c>
      <c r="H483" s="2003">
        <f t="shared" si="124"/>
        <v>5136607148.5467749</v>
      </c>
      <c r="I483" s="2003">
        <f t="shared" si="124"/>
        <v>5136607148.5467749</v>
      </c>
      <c r="J483" s="2003">
        <f t="shared" si="124"/>
        <v>5136607148.5467749</v>
      </c>
      <c r="K483" s="2003">
        <f t="shared" si="124"/>
        <v>5136607148.5467749</v>
      </c>
      <c r="L483" s="2003">
        <f t="shared" si="124"/>
        <v>5136607148.5467749</v>
      </c>
      <c r="M483" s="2003">
        <f t="shared" si="124"/>
        <v>5136607148.5467749</v>
      </c>
      <c r="N483" s="2725">
        <f>250*20546.4285941871*NAIRA2010_*1000</f>
        <v>5136607148.5467749</v>
      </c>
    </row>
    <row r="484" spans="1:15" s="1985" customFormat="1" x14ac:dyDescent="0.2">
      <c r="A484" s="1987"/>
      <c r="B484" s="691"/>
      <c r="C484" s="1102" t="s">
        <v>608</v>
      </c>
      <c r="D484" s="146" t="s">
        <v>2272</v>
      </c>
      <c r="E484" s="2107">
        <f t="shared" si="122"/>
        <v>0</v>
      </c>
      <c r="F484" s="1997">
        <f>250*24970.6549079111*NAIRA2010_*1000</f>
        <v>6242663726.9777746</v>
      </c>
      <c r="G484" s="2004">
        <f t="shared" si="124"/>
        <v>6242663726.9777746</v>
      </c>
      <c r="H484" s="2004">
        <f t="shared" si="124"/>
        <v>6242663726.9777746</v>
      </c>
      <c r="I484" s="2004">
        <f t="shared" si="124"/>
        <v>6242663726.9777746</v>
      </c>
      <c r="J484" s="2004">
        <f t="shared" si="124"/>
        <v>6242663726.9777746</v>
      </c>
      <c r="K484" s="2004">
        <f t="shared" si="124"/>
        <v>6242663726.9777746</v>
      </c>
      <c r="L484" s="2004">
        <f t="shared" si="124"/>
        <v>6242663726.9777746</v>
      </c>
      <c r="M484" s="2004">
        <f t="shared" si="124"/>
        <v>6242663726.9777746</v>
      </c>
      <c r="N484" s="2723">
        <f>250*24970.6549079111*NAIRA2010_*1000</f>
        <v>6242663726.9777746</v>
      </c>
    </row>
    <row r="485" spans="1:15" s="1985" customFormat="1" x14ac:dyDescent="0.2">
      <c r="A485" s="1987"/>
      <c r="B485" s="691"/>
      <c r="C485" s="1415" t="s">
        <v>608</v>
      </c>
      <c r="D485" s="1415" t="s">
        <v>923</v>
      </c>
      <c r="E485" s="2106">
        <f t="shared" si="122"/>
        <v>0</v>
      </c>
      <c r="F485" s="634">
        <f>250*25064.2799790177*NAIRA2010_*1000</f>
        <v>6266069994.754425</v>
      </c>
      <c r="G485" s="1531">
        <f t="shared" si="124"/>
        <v>6266069994.754425</v>
      </c>
      <c r="H485" s="1531">
        <f t="shared" si="124"/>
        <v>6266069994.754425</v>
      </c>
      <c r="I485" s="1531">
        <f t="shared" si="124"/>
        <v>6266069994.754425</v>
      </c>
      <c r="J485" s="1531">
        <f t="shared" si="124"/>
        <v>6266069994.754425</v>
      </c>
      <c r="K485" s="1531">
        <f t="shared" si="124"/>
        <v>6266069994.754425</v>
      </c>
      <c r="L485" s="1531">
        <f t="shared" si="124"/>
        <v>6266069994.754425</v>
      </c>
      <c r="M485" s="1531">
        <f t="shared" si="124"/>
        <v>6266069994.754425</v>
      </c>
      <c r="N485" s="2724">
        <f>250*25064.2799790177*NAIRA2010_*1000</f>
        <v>6266069994.754425</v>
      </c>
    </row>
    <row r="486" spans="1:15" s="1985" customFormat="1" x14ac:dyDescent="0.2">
      <c r="A486" s="1987"/>
      <c r="B486" s="691"/>
      <c r="C486" s="1415" t="s">
        <v>608</v>
      </c>
      <c r="D486" s="1415" t="s">
        <v>612</v>
      </c>
      <c r="E486" s="2106">
        <f t="shared" si="122"/>
        <v>0</v>
      </c>
      <c r="F486" s="634">
        <f>250*37932.7361684022*NAIRA2010_*1000</f>
        <v>9483184042.1005497</v>
      </c>
      <c r="G486" s="1531">
        <f t="shared" si="124"/>
        <v>9483184042.1005497</v>
      </c>
      <c r="H486" s="1531">
        <f t="shared" si="124"/>
        <v>9483184042.1005497</v>
      </c>
      <c r="I486" s="1531">
        <f t="shared" si="124"/>
        <v>9483184042.1005497</v>
      </c>
      <c r="J486" s="1531">
        <f t="shared" si="124"/>
        <v>9483184042.1005497</v>
      </c>
      <c r="K486" s="1531">
        <f t="shared" si="124"/>
        <v>9483184042.1005497</v>
      </c>
      <c r="L486" s="1531">
        <f t="shared" si="124"/>
        <v>9483184042.1005497</v>
      </c>
      <c r="M486" s="1531">
        <f t="shared" si="124"/>
        <v>9483184042.1005497</v>
      </c>
      <c r="N486" s="2724">
        <f>250*37932.7361684022*NAIRA2010_*1000</f>
        <v>9483184042.1005497</v>
      </c>
    </row>
    <row r="487" spans="1:15" s="1985" customFormat="1" x14ac:dyDescent="0.2">
      <c r="A487" s="1987"/>
      <c r="B487" s="691"/>
      <c r="C487" s="200" t="s">
        <v>608</v>
      </c>
      <c r="D487" s="624" t="s">
        <v>2273</v>
      </c>
      <c r="E487" s="2095">
        <f t="shared" si="122"/>
        <v>0</v>
      </c>
      <c r="F487" s="1524">
        <f>250*93722.2594769972*NAIRA2010_*1000</f>
        <v>23430564869.249302</v>
      </c>
      <c r="G487" s="2003">
        <f t="shared" si="124"/>
        <v>23430564869.249302</v>
      </c>
      <c r="H487" s="2003">
        <f t="shared" si="124"/>
        <v>23430564869.249302</v>
      </c>
      <c r="I487" s="2003">
        <f t="shared" si="124"/>
        <v>23430564869.249302</v>
      </c>
      <c r="J487" s="2003">
        <f t="shared" si="124"/>
        <v>23430564869.249302</v>
      </c>
      <c r="K487" s="2003">
        <f t="shared" si="124"/>
        <v>23430564869.249302</v>
      </c>
      <c r="L487" s="2003">
        <f t="shared" si="124"/>
        <v>23430564869.249302</v>
      </c>
      <c r="M487" s="2003">
        <f t="shared" si="124"/>
        <v>23430564869.249302</v>
      </c>
      <c r="N487" s="2725">
        <f>250*93722.2594769972*NAIRA2010_*1000</f>
        <v>23430564869.249302</v>
      </c>
    </row>
    <row r="488" spans="1:15" s="1985" customFormat="1" x14ac:dyDescent="0.2">
      <c r="A488" s="1987"/>
      <c r="B488" s="691"/>
      <c r="C488" s="1102" t="s">
        <v>610</v>
      </c>
      <c r="D488" s="1102" t="s">
        <v>638</v>
      </c>
      <c r="E488" s="2107">
        <f t="shared" si="122"/>
        <v>0</v>
      </c>
      <c r="F488" s="1997">
        <f>250*730590*NAIRA2010_</f>
        <v>182647500</v>
      </c>
      <c r="G488" s="2004">
        <f t="shared" si="124"/>
        <v>182647500</v>
      </c>
      <c r="H488" s="2004">
        <f t="shared" si="124"/>
        <v>182647500</v>
      </c>
      <c r="I488" s="2004">
        <f t="shared" si="124"/>
        <v>182647500</v>
      </c>
      <c r="J488" s="2004">
        <f t="shared" si="124"/>
        <v>182647500</v>
      </c>
      <c r="K488" s="2004">
        <f t="shared" si="124"/>
        <v>182647500</v>
      </c>
      <c r="L488" s="2004">
        <f t="shared" si="124"/>
        <v>182647500</v>
      </c>
      <c r="M488" s="2004">
        <f t="shared" si="124"/>
        <v>182647500</v>
      </c>
      <c r="N488" s="2723">
        <f>250*730590*NAIRA2010_</f>
        <v>182647500</v>
      </c>
    </row>
    <row r="489" spans="1:15" s="1985" customFormat="1" x14ac:dyDescent="0.2">
      <c r="A489" s="1987"/>
      <c r="B489" s="691"/>
      <c r="C489" s="200" t="s">
        <v>610</v>
      </c>
      <c r="D489" s="200" t="s">
        <v>639</v>
      </c>
      <c r="E489" s="2095">
        <f t="shared" si="122"/>
        <v>0</v>
      </c>
      <c r="F489" s="1524">
        <f>250*730590*NAIRA2010_</f>
        <v>182647500</v>
      </c>
      <c r="G489" s="2003">
        <f t="shared" si="124"/>
        <v>182647500</v>
      </c>
      <c r="H489" s="2003">
        <f t="shared" si="124"/>
        <v>182647500</v>
      </c>
      <c r="I489" s="2003">
        <f t="shared" si="124"/>
        <v>182647500</v>
      </c>
      <c r="J489" s="2003">
        <f t="shared" si="124"/>
        <v>182647500</v>
      </c>
      <c r="K489" s="2003">
        <f>J489+$E489*(K$478-J$478)</f>
        <v>182647500</v>
      </c>
      <c r="L489" s="2003">
        <f t="shared" si="124"/>
        <v>182647500</v>
      </c>
      <c r="M489" s="2003">
        <f t="shared" si="124"/>
        <v>182647500</v>
      </c>
      <c r="N489" s="2725">
        <f>250*730590*NAIRA2010_</f>
        <v>182647500</v>
      </c>
    </row>
    <row r="490" spans="1:15" s="2479" customFormat="1" x14ac:dyDescent="0.2">
      <c r="B490" s="691"/>
      <c r="C490" s="122" t="s">
        <v>2267</v>
      </c>
      <c r="D490" s="122" t="s">
        <v>2581</v>
      </c>
      <c r="E490" s="2095">
        <f t="shared" si="122"/>
        <v>0</v>
      </c>
      <c r="F490" s="634">
        <f>250*1545.3921087193*NAIRA2010_*1000</f>
        <v>386348027.17982501</v>
      </c>
      <c r="G490" s="2003">
        <f t="shared" si="124"/>
        <v>386348027.17982501</v>
      </c>
      <c r="H490" s="2003">
        <f t="shared" si="124"/>
        <v>386348027.17982501</v>
      </c>
      <c r="I490" s="2003">
        <f t="shared" si="124"/>
        <v>386348027.17982501</v>
      </c>
      <c r="J490" s="2003">
        <f t="shared" si="124"/>
        <v>386348027.17982501</v>
      </c>
      <c r="K490" s="2003">
        <f t="shared" ref="K490:K491" si="125">J490+$E490*(K$478-J$478)</f>
        <v>386348027.17982501</v>
      </c>
      <c r="L490" s="2003">
        <f t="shared" si="124"/>
        <v>386348027.17982501</v>
      </c>
      <c r="M490" s="2003">
        <f t="shared" si="124"/>
        <v>386348027.17982501</v>
      </c>
      <c r="N490" s="2725">
        <f>250*1545.3921087193*NAIRA2010_*1000</f>
        <v>386348027.17982501</v>
      </c>
    </row>
    <row r="491" spans="1:15" s="2479" customFormat="1" x14ac:dyDescent="0.2">
      <c r="B491" s="691"/>
      <c r="C491" s="122" t="s">
        <v>2268</v>
      </c>
      <c r="D491" s="122" t="s">
        <v>2580</v>
      </c>
      <c r="E491" s="2095">
        <f t="shared" si="122"/>
        <v>0</v>
      </c>
      <c r="F491" s="634">
        <f>250*24970.6549079111*NAIRA2010_</f>
        <v>6242663.7269777749</v>
      </c>
      <c r="G491" s="2003">
        <f t="shared" si="124"/>
        <v>6242663.7269777749</v>
      </c>
      <c r="H491" s="2003">
        <f t="shared" si="124"/>
        <v>6242663.7269777749</v>
      </c>
      <c r="I491" s="2003">
        <f t="shared" si="124"/>
        <v>6242663.7269777749</v>
      </c>
      <c r="J491" s="2003">
        <f t="shared" si="124"/>
        <v>6242663.7269777749</v>
      </c>
      <c r="K491" s="2003">
        <f t="shared" si="125"/>
        <v>6242663.7269777749</v>
      </c>
      <c r="L491" s="2003">
        <f t="shared" si="124"/>
        <v>6242663.7269777749</v>
      </c>
      <c r="M491" s="2003">
        <f t="shared" si="124"/>
        <v>6242663.7269777749</v>
      </c>
      <c r="N491" s="2725">
        <f>250*24970.6549079111*NAIRA2010_</f>
        <v>6242663.7269777749</v>
      </c>
    </row>
    <row r="492" spans="1:15" s="1985" customFormat="1" x14ac:dyDescent="0.2">
      <c r="A492" s="1987"/>
      <c r="B492" s="691"/>
      <c r="C492" s="122" t="s">
        <v>611</v>
      </c>
      <c r="D492" s="122" t="s">
        <v>611</v>
      </c>
      <c r="E492" s="1252">
        <f t="shared" si="122"/>
        <v>0</v>
      </c>
      <c r="F492" s="2006">
        <f>250*1504958.03543674*NAIRA2010_</f>
        <v>376239508.85918498</v>
      </c>
      <c r="G492" s="1998">
        <f t="shared" si="124"/>
        <v>376239508.85918498</v>
      </c>
      <c r="H492" s="1998">
        <f t="shared" si="124"/>
        <v>376239508.85918498</v>
      </c>
      <c r="I492" s="1998">
        <f t="shared" si="124"/>
        <v>376239508.85918498</v>
      </c>
      <c r="J492" s="1998">
        <f t="shared" si="124"/>
        <v>376239508.85918498</v>
      </c>
      <c r="K492" s="1998">
        <f t="shared" si="124"/>
        <v>376239508.85918498</v>
      </c>
      <c r="L492" s="1998">
        <f t="shared" si="124"/>
        <v>376239508.85918498</v>
      </c>
      <c r="M492" s="1998">
        <f t="shared" si="124"/>
        <v>376239508.85918498</v>
      </c>
      <c r="N492" s="2726">
        <f>250*1504958.03543674*NAIRA2010_</f>
        <v>376239508.85918498</v>
      </c>
    </row>
    <row r="493" spans="1:15" s="1985" customFormat="1" x14ac:dyDescent="0.2">
      <c r="A493" s="1987"/>
      <c r="B493" s="691"/>
      <c r="C493" s="1385"/>
      <c r="D493" s="691"/>
      <c r="E493" s="691"/>
      <c r="F493" s="691"/>
      <c r="G493" s="691"/>
      <c r="H493" s="691"/>
      <c r="I493" s="691"/>
      <c r="J493" s="691"/>
      <c r="K493" s="691"/>
      <c r="L493" s="691"/>
      <c r="M493" s="691"/>
      <c r="N493" s="691"/>
      <c r="O493" s="1987"/>
    </row>
    <row r="494" spans="1:15" s="1985" customFormat="1" x14ac:dyDescent="0.2">
      <c r="A494" s="1987"/>
      <c r="B494" s="691"/>
      <c r="C494" s="1416" t="s">
        <v>172</v>
      </c>
      <c r="D494" s="1416" t="s">
        <v>2291</v>
      </c>
      <c r="E494" s="1416"/>
      <c r="F494" s="1416"/>
      <c r="G494" s="1416"/>
      <c r="H494" s="1416"/>
      <c r="I494" s="1416"/>
      <c r="J494" s="1416"/>
      <c r="K494" s="1416"/>
      <c r="L494" s="1416"/>
      <c r="M494" s="1416"/>
      <c r="N494" s="1416"/>
      <c r="O494" s="1987"/>
    </row>
    <row r="495" spans="1:15" s="1985" customFormat="1" x14ac:dyDescent="0.2">
      <c r="A495" s="1987"/>
      <c r="B495" s="1416"/>
      <c r="C495" s="2456" t="s">
        <v>93</v>
      </c>
      <c r="D495" s="2457" t="s">
        <v>2045</v>
      </c>
      <c r="E495" s="1416"/>
      <c r="F495" s="1416"/>
      <c r="G495" s="1416"/>
      <c r="H495" s="1416"/>
      <c r="I495" s="1416"/>
      <c r="J495" s="1416"/>
      <c r="K495" s="1416"/>
      <c r="L495" s="1416"/>
      <c r="M495" s="1416"/>
      <c r="N495" s="1416"/>
      <c r="O495" s="1986"/>
    </row>
    <row r="496" spans="1:15" s="1985" customFormat="1" x14ac:dyDescent="0.2">
      <c r="A496" s="1987"/>
      <c r="B496" s="1416"/>
      <c r="C496" s="2456" t="s">
        <v>100</v>
      </c>
      <c r="D496" s="2458" t="s">
        <v>1476</v>
      </c>
      <c r="E496" s="1416"/>
      <c r="F496" s="1416"/>
      <c r="G496" s="1416"/>
      <c r="H496" s="1416"/>
      <c r="I496" s="1416"/>
      <c r="J496" s="1416"/>
      <c r="K496" s="1416"/>
      <c r="L496" s="1416"/>
      <c r="M496" s="1416"/>
      <c r="N496" s="1416"/>
      <c r="O496" s="1986"/>
    </row>
    <row r="497" spans="1:15" s="1985" customFormat="1" x14ac:dyDescent="0.2">
      <c r="A497" s="1987"/>
      <c r="B497" s="1416"/>
      <c r="C497" s="2456" t="s">
        <v>101</v>
      </c>
      <c r="D497" s="2458" t="s">
        <v>1673</v>
      </c>
      <c r="E497" s="1416"/>
      <c r="F497" s="1416"/>
      <c r="G497" s="1416"/>
      <c r="H497" s="1416"/>
      <c r="I497" s="1416"/>
      <c r="J497" s="1416"/>
      <c r="K497" s="1416"/>
      <c r="L497" s="1416"/>
      <c r="M497" s="1416"/>
      <c r="N497" s="1416"/>
      <c r="O497" s="1986"/>
    </row>
    <row r="498" spans="1:15" s="1985" customFormat="1" x14ac:dyDescent="0.2">
      <c r="A498" s="1987"/>
      <c r="B498" s="1416"/>
      <c r="C498" s="2456" t="s">
        <v>171</v>
      </c>
      <c r="D498" s="2458" t="s">
        <v>1680</v>
      </c>
      <c r="E498" s="1416"/>
      <c r="F498" s="1416"/>
      <c r="G498" s="1416"/>
      <c r="H498" s="1416"/>
      <c r="I498" s="1416"/>
      <c r="J498" s="1416"/>
      <c r="K498" s="1416"/>
      <c r="L498" s="1416"/>
      <c r="M498" s="1416"/>
      <c r="N498" s="1416"/>
      <c r="O498" s="1986"/>
    </row>
    <row r="499" spans="1:15" s="1985" customFormat="1" x14ac:dyDescent="0.2">
      <c r="A499" s="1987"/>
      <c r="B499" s="1416"/>
      <c r="C499" s="2456" t="s">
        <v>175</v>
      </c>
      <c r="D499" s="2458" t="s">
        <v>1681</v>
      </c>
      <c r="E499" s="1416"/>
      <c r="F499" s="1416"/>
      <c r="G499" s="1416"/>
      <c r="H499" s="1416"/>
      <c r="I499" s="1416"/>
      <c r="J499" s="1416"/>
      <c r="K499" s="1416"/>
      <c r="L499" s="1416"/>
      <c r="M499" s="1416"/>
      <c r="N499" s="1416"/>
      <c r="O499" s="1986"/>
    </row>
    <row r="500" spans="1:15" s="1985" customFormat="1" x14ac:dyDescent="0.2">
      <c r="A500" s="1987"/>
      <c r="B500" s="1416"/>
      <c r="C500" s="2456" t="s">
        <v>177</v>
      </c>
      <c r="D500" s="2458" t="s">
        <v>1685</v>
      </c>
      <c r="E500" s="1416"/>
      <c r="F500" s="1416"/>
      <c r="G500" s="1416"/>
      <c r="H500" s="1416"/>
      <c r="I500" s="1416"/>
      <c r="J500" s="1416"/>
      <c r="K500" s="1416"/>
      <c r="L500" s="1416"/>
      <c r="M500" s="1416"/>
      <c r="N500" s="1416"/>
      <c r="O500" s="1987"/>
    </row>
    <row r="501" spans="1:15" s="1985" customFormat="1" x14ac:dyDescent="0.2">
      <c r="A501" s="1987"/>
      <c r="B501" s="1416"/>
      <c r="C501" s="2456" t="s">
        <v>178</v>
      </c>
      <c r="D501" s="2458" t="s">
        <v>1691</v>
      </c>
      <c r="E501" s="1416"/>
      <c r="F501" s="1416"/>
      <c r="G501" s="1416"/>
      <c r="H501" s="1416"/>
      <c r="I501" s="1416"/>
      <c r="J501" s="1416"/>
      <c r="K501" s="1416"/>
      <c r="L501" s="1416"/>
      <c r="M501" s="1416"/>
      <c r="N501" s="1416"/>
      <c r="O501" s="1987"/>
    </row>
    <row r="502" spans="1:15" s="1985" customFormat="1" x14ac:dyDescent="0.2">
      <c r="A502" s="1987"/>
      <c r="B502" s="1416"/>
      <c r="C502" s="2456" t="s">
        <v>182</v>
      </c>
      <c r="D502" s="2458" t="s">
        <v>1690</v>
      </c>
      <c r="E502" s="1416"/>
      <c r="F502" s="1416"/>
      <c r="G502" s="1416"/>
      <c r="H502" s="1416"/>
      <c r="I502" s="1416"/>
      <c r="J502" s="1416"/>
      <c r="K502" s="1416"/>
      <c r="L502" s="1416"/>
      <c r="M502" s="1416"/>
      <c r="N502" s="1416"/>
      <c r="O502" s="1987"/>
    </row>
    <row r="503" spans="1:15" s="1985" customFormat="1" x14ac:dyDescent="0.2">
      <c r="A503" s="1987"/>
      <c r="B503" s="1416"/>
      <c r="C503" s="1415"/>
      <c r="D503" s="1415"/>
      <c r="E503" s="206"/>
      <c r="F503" s="206"/>
      <c r="G503" s="206"/>
      <c r="H503" s="206"/>
      <c r="I503" s="206"/>
      <c r="J503" s="206"/>
      <c r="K503" s="206"/>
      <c r="L503" s="206"/>
      <c r="M503" s="1416"/>
      <c r="N503" s="206"/>
      <c r="O503" s="1987"/>
    </row>
    <row r="504" spans="1:15" s="1985" customFormat="1" x14ac:dyDescent="0.2">
      <c r="A504" s="1987"/>
      <c r="B504" s="1416"/>
      <c r="C504" s="1415"/>
      <c r="D504" s="1415"/>
      <c r="E504" s="206"/>
      <c r="F504" s="206"/>
      <c r="G504" s="206"/>
      <c r="H504" s="206"/>
      <c r="I504" s="206"/>
      <c r="J504" s="206"/>
      <c r="K504" s="206"/>
      <c r="L504" s="206"/>
      <c r="M504" s="1416"/>
      <c r="N504" s="206"/>
      <c r="O504" s="1987"/>
    </row>
    <row r="505" spans="1:15" s="1985" customFormat="1" x14ac:dyDescent="0.2">
      <c r="A505" s="1987"/>
      <c r="B505" s="1987"/>
      <c r="C505" s="1987"/>
      <c r="D505" s="1987"/>
      <c r="E505" s="1987"/>
      <c r="F505" s="1987"/>
      <c r="G505" s="1987"/>
      <c r="H505" s="1987"/>
      <c r="I505" s="1987"/>
      <c r="J505" s="1987"/>
      <c r="K505" s="1987"/>
      <c r="L505" s="1987"/>
      <c r="M505" s="1987"/>
      <c r="N505" s="1987"/>
      <c r="O505" s="1987"/>
    </row>
    <row r="506" spans="1:15" s="1985" customFormat="1" ht="15.75" x14ac:dyDescent="0.25">
      <c r="A506" s="1987"/>
      <c r="B506" s="134" t="s">
        <v>279</v>
      </c>
      <c r="C506" s="1987"/>
      <c r="D506" s="1987"/>
      <c r="E506" s="1987"/>
      <c r="F506" s="1987"/>
      <c r="G506" s="1987"/>
      <c r="H506" s="1987"/>
      <c r="I506" s="1987"/>
      <c r="J506" s="1987"/>
      <c r="K506" s="1987"/>
      <c r="L506" s="1987"/>
      <c r="M506" s="1987"/>
      <c r="N506" s="1987"/>
      <c r="O506" s="1987"/>
    </row>
    <row r="507" spans="1:15" s="1985" customFormat="1" x14ac:dyDescent="0.2">
      <c r="A507" s="1987"/>
      <c r="B507" s="1427">
        <v>1</v>
      </c>
      <c r="C507" s="1987" t="s">
        <v>642</v>
      </c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1987"/>
    </row>
    <row r="508" spans="1:15" s="1985" customFormat="1" x14ac:dyDescent="0.2">
      <c r="A508" s="1987"/>
      <c r="B508" s="1427">
        <v>2</v>
      </c>
      <c r="C508" s="1987" t="s">
        <v>643</v>
      </c>
      <c r="D508" s="1987"/>
      <c r="E508" s="1987"/>
      <c r="F508" s="1987"/>
      <c r="G508" s="1987"/>
      <c r="H508" s="1987"/>
      <c r="I508" s="1987"/>
      <c r="J508" s="1987"/>
      <c r="K508" s="1987"/>
      <c r="L508" s="1987"/>
      <c r="M508" s="1987"/>
      <c r="N508" s="1987"/>
      <c r="O508" s="1987"/>
    </row>
    <row r="509" spans="1:15" s="1985" customFormat="1" x14ac:dyDescent="0.2">
      <c r="A509" s="1987"/>
      <c r="B509" s="1427">
        <v>3</v>
      </c>
      <c r="C509" s="1987" t="s">
        <v>1653</v>
      </c>
      <c r="D509" s="1987"/>
      <c r="E509" s="1987"/>
      <c r="F509" s="1987"/>
      <c r="G509" s="1987"/>
      <c r="H509" s="1987"/>
      <c r="I509" s="1987"/>
      <c r="J509" s="1987"/>
      <c r="K509" s="1987"/>
      <c r="L509" s="1987"/>
      <c r="M509" s="1987"/>
      <c r="N509" s="1987"/>
      <c r="O509" s="1987"/>
    </row>
    <row r="510" spans="1:15" s="1985" customFormat="1" x14ac:dyDescent="0.2">
      <c r="A510" s="1987"/>
      <c r="B510" s="1427">
        <v>4</v>
      </c>
      <c r="C510" s="1987" t="s">
        <v>644</v>
      </c>
      <c r="D510" s="1987"/>
      <c r="E510" s="1987"/>
      <c r="F510" s="1987"/>
      <c r="G510" s="1987"/>
      <c r="H510" s="1987"/>
      <c r="I510" s="1987"/>
      <c r="J510" s="1987"/>
      <c r="K510" s="1987"/>
      <c r="L510" s="1987"/>
      <c r="M510" s="1987"/>
      <c r="N510" s="1987"/>
      <c r="O510" s="1987"/>
    </row>
    <row r="511" spans="1:15" s="1985" customFormat="1" x14ac:dyDescent="0.2">
      <c r="A511" s="1987"/>
      <c r="B511" s="1427">
        <v>5</v>
      </c>
      <c r="C511" s="1987" t="s">
        <v>648</v>
      </c>
      <c r="D511" s="1987"/>
      <c r="E511" s="1987"/>
      <c r="F511" s="1987"/>
      <c r="G511" s="1987"/>
      <c r="H511" s="1987"/>
      <c r="I511" s="1987"/>
      <c r="J511" s="1987"/>
      <c r="K511" s="1987"/>
      <c r="L511" s="1987"/>
      <c r="M511" s="1987"/>
      <c r="N511" s="1987"/>
      <c r="O511" s="1987"/>
    </row>
    <row r="512" spans="1:15" s="1985" customFormat="1" x14ac:dyDescent="0.2">
      <c r="A512" s="1987"/>
      <c r="B512" s="1987"/>
      <c r="C512" s="1987"/>
      <c r="D512" s="1987"/>
      <c r="E512" s="1987"/>
      <c r="F512" s="1987"/>
      <c r="G512" s="1987"/>
      <c r="H512" s="1987"/>
      <c r="I512" s="1987"/>
      <c r="J512" s="1987"/>
      <c r="K512" s="1987"/>
      <c r="L512" s="1987"/>
      <c r="M512" s="1987"/>
      <c r="N512" s="1987"/>
      <c r="O512" s="1987"/>
    </row>
    <row r="513" spans="1:14" s="1985" customFormat="1" x14ac:dyDescent="0.2">
      <c r="A513" s="1987"/>
      <c r="B513" s="1987"/>
      <c r="C513" s="1987"/>
      <c r="D513" s="1987"/>
      <c r="E513" s="1987"/>
      <c r="F513" s="171">
        <v>2010</v>
      </c>
      <c r="G513" s="171">
        <v>2015</v>
      </c>
      <c r="H513" s="171">
        <v>2020</v>
      </c>
      <c r="I513" s="171">
        <v>2025</v>
      </c>
      <c r="J513" s="171">
        <v>2030</v>
      </c>
      <c r="K513" s="171">
        <v>2035</v>
      </c>
      <c r="L513" s="171">
        <v>2040</v>
      </c>
      <c r="M513" s="171">
        <v>2045</v>
      </c>
      <c r="N513" s="171">
        <v>2050</v>
      </c>
    </row>
    <row r="514" spans="1:14" s="1985" customFormat="1" x14ac:dyDescent="0.2">
      <c r="A514" s="1987"/>
      <c r="B514" s="1427">
        <v>1</v>
      </c>
      <c r="C514" s="1427" t="s">
        <v>970</v>
      </c>
      <c r="D514" s="1987"/>
      <c r="E514" s="1987"/>
      <c r="F514" s="171"/>
      <c r="G514" s="171"/>
      <c r="H514" s="171"/>
      <c r="I514" s="171"/>
      <c r="J514" s="171"/>
      <c r="K514" s="171"/>
      <c r="L514" s="171"/>
      <c r="M514" s="171"/>
      <c r="N514" s="171"/>
    </row>
    <row r="515" spans="1:14" s="1985" customFormat="1" x14ac:dyDescent="0.2">
      <c r="A515" s="1987"/>
      <c r="B515" s="1427"/>
      <c r="C515" s="1987"/>
      <c r="D515" s="1987"/>
      <c r="E515" s="1987"/>
      <c r="F515" s="171"/>
      <c r="G515" s="171"/>
      <c r="H515" s="171"/>
      <c r="I515" s="171"/>
      <c r="J515" s="171"/>
      <c r="K515" s="171"/>
      <c r="L515" s="171"/>
      <c r="M515" s="171"/>
      <c r="N515" s="172"/>
    </row>
    <row r="516" spans="1:14" s="1985" customFormat="1" x14ac:dyDescent="0.2">
      <c r="A516" s="1987"/>
      <c r="B516" s="1427"/>
      <c r="C516" s="1987" t="s">
        <v>617</v>
      </c>
      <c r="D516" s="1987"/>
      <c r="E516" s="1426" t="s">
        <v>619</v>
      </c>
      <c r="F516" s="231">
        <f t="shared" ref="F516:N516" si="126">INDEX(F$18:F$21, MATCH($E$8, $C$18:$C$21, 0))</f>
        <v>6000</v>
      </c>
      <c r="G516" s="231">
        <f t="shared" si="126"/>
        <v>6300</v>
      </c>
      <c r="H516" s="231">
        <f t="shared" si="126"/>
        <v>6600</v>
      </c>
      <c r="I516" s="231">
        <f t="shared" si="126"/>
        <v>6900</v>
      </c>
      <c r="J516" s="231">
        <f t="shared" si="126"/>
        <v>7200</v>
      </c>
      <c r="K516" s="231">
        <f t="shared" si="126"/>
        <v>7500</v>
      </c>
      <c r="L516" s="231">
        <f t="shared" si="126"/>
        <v>7800</v>
      </c>
      <c r="M516" s="231">
        <f t="shared" si="126"/>
        <v>8100</v>
      </c>
      <c r="N516" s="231">
        <f t="shared" si="126"/>
        <v>8400</v>
      </c>
    </row>
    <row r="517" spans="1:14" s="1985" customFormat="1" x14ac:dyDescent="0.2">
      <c r="A517" s="1987"/>
      <c r="B517" s="20" t="s">
        <v>345</v>
      </c>
      <c r="C517" s="1987" t="s">
        <v>333</v>
      </c>
      <c r="D517" s="1987"/>
      <c r="E517" s="1426" t="s">
        <v>938</v>
      </c>
      <c r="F517" s="219">
        <f>INDEX(Global.Assumptions[Population], MATCH(F$513,Global.Assumptions[Year], 0))/1000000</f>
        <v>156.06902750073436</v>
      </c>
      <c r="G517" s="219">
        <f>INDEX(Global.Assumptions[Population], MATCH(G$513,Global.Assumptions[Year], 0))/1000000</f>
        <v>176.57777949218362</v>
      </c>
      <c r="H517" s="219">
        <f>INDEX(Global.Assumptions[Population], MATCH(H$513,Global.Assumptions[Year], 0))/1000000</f>
        <v>199.78154993144625</v>
      </c>
      <c r="I517" s="219">
        <f>INDEX(Global.Assumptions[Population], MATCH(I$513,Global.Assumptions[Year], 0))/1000000</f>
        <v>226.0344863764567</v>
      </c>
      <c r="J517" s="219">
        <f>INDEX(Global.Assumptions[Population], MATCH(J$513,Global.Assumptions[Year], 0))/1000000</f>
        <v>255.73727428283712</v>
      </c>
      <c r="K517" s="219">
        <f>INDEX(Global.Assumptions[Population], MATCH(K$513,Global.Assumptions[Year], 0))/1000000</f>
        <v>289.34325246586423</v>
      </c>
      <c r="L517" s="219">
        <f>INDEX(Global.Assumptions[Population], MATCH(L$513,Global.Assumptions[Year], 0))/1000000</f>
        <v>319.45833058301179</v>
      </c>
      <c r="M517" s="219">
        <f>INDEX(Global.Assumptions[Population], MATCH(M$513,Global.Assumptions[Year], 0))/1000000</f>
        <v>352.7078102190228</v>
      </c>
      <c r="N517" s="219">
        <f>INDEX(Global.Assumptions[Population], MATCH(N$513,Global.Assumptions[Year], 0))/1000000</f>
        <v>389.41792240153188</v>
      </c>
    </row>
    <row r="518" spans="1:14" s="1985" customFormat="1" x14ac:dyDescent="0.2">
      <c r="A518" s="1987"/>
      <c r="B518" s="131" t="s">
        <v>346</v>
      </c>
      <c r="C518" s="1427" t="s">
        <v>603</v>
      </c>
      <c r="D518" s="1427"/>
      <c r="E518" s="172" t="s">
        <v>620</v>
      </c>
      <c r="F518" s="608">
        <f t="shared" ref="F518:N518" si="127">F516*F517/1000</f>
        <v>936.41416500440619</v>
      </c>
      <c r="G518" s="608">
        <f t="shared" si="127"/>
        <v>1112.4400108007567</v>
      </c>
      <c r="H518" s="608">
        <f t="shared" si="127"/>
        <v>1318.5582295475454</v>
      </c>
      <c r="I518" s="608">
        <f t="shared" si="127"/>
        <v>1559.6379559975512</v>
      </c>
      <c r="J518" s="608">
        <f t="shared" si="127"/>
        <v>1841.3083748364272</v>
      </c>
      <c r="K518" s="608">
        <f t="shared" si="127"/>
        <v>2170.0743934939815</v>
      </c>
      <c r="L518" s="608">
        <f t="shared" si="127"/>
        <v>2491.7749785474921</v>
      </c>
      <c r="M518" s="608">
        <f t="shared" si="127"/>
        <v>2856.9332627740846</v>
      </c>
      <c r="N518" s="608">
        <f t="shared" si="127"/>
        <v>3271.1105481728678</v>
      </c>
    </row>
    <row r="519" spans="1:14" s="1985" customFormat="1" x14ac:dyDescent="0.2">
      <c r="A519" s="1987"/>
      <c r="B519" s="1987"/>
      <c r="C519" s="1427"/>
      <c r="D519" s="1427"/>
      <c r="E519" s="172"/>
      <c r="F519" s="608"/>
      <c r="G519" s="608"/>
      <c r="H519" s="608"/>
      <c r="I519" s="608"/>
      <c r="J519" s="608"/>
      <c r="K519" s="608"/>
      <c r="L519" s="608"/>
      <c r="M519" s="608"/>
      <c r="N519" s="608"/>
    </row>
    <row r="520" spans="1:14" s="1985" customFormat="1" x14ac:dyDescent="0.2">
      <c r="A520" s="1987"/>
      <c r="B520" s="20" t="s">
        <v>345</v>
      </c>
      <c r="C520" s="1987" t="s">
        <v>613</v>
      </c>
      <c r="D520" s="1987"/>
      <c r="E520" s="1426"/>
      <c r="F520" s="219"/>
      <c r="G520" s="219"/>
      <c r="H520" s="219"/>
      <c r="I520" s="219"/>
      <c r="J520" s="219"/>
      <c r="K520" s="219"/>
      <c r="L520" s="219"/>
      <c r="M520" s="219"/>
      <c r="N520" s="219"/>
    </row>
    <row r="521" spans="1:14" s="1985" customFormat="1" x14ac:dyDescent="0.2">
      <c r="A521" s="1987"/>
      <c r="B521" s="20"/>
      <c r="C521" s="1426" t="s">
        <v>607</v>
      </c>
      <c r="D521" s="1987" t="s">
        <v>2262</v>
      </c>
      <c r="E521" s="1426"/>
      <c r="F521" s="15">
        <f t="shared" ref="F521:N527" si="128">INDEX(F$292:F$298, MATCH($C521, $C$292:$C$298, 0))</f>
        <v>0.5</v>
      </c>
      <c r="G521" s="15">
        <f t="shared" si="128"/>
        <v>0.48125000000000001</v>
      </c>
      <c r="H521" s="15">
        <f t="shared" si="128"/>
        <v>0.46250000000000002</v>
      </c>
      <c r="I521" s="15">
        <f t="shared" si="128"/>
        <v>0.44374999999999998</v>
      </c>
      <c r="J521" s="15">
        <f t="shared" si="128"/>
        <v>0.42499999999999999</v>
      </c>
      <c r="K521" s="15">
        <f t="shared" si="128"/>
        <v>0.40625</v>
      </c>
      <c r="L521" s="15">
        <f t="shared" si="128"/>
        <v>0.38749999999999996</v>
      </c>
      <c r="M521" s="15">
        <f t="shared" si="128"/>
        <v>0.36874999999999997</v>
      </c>
      <c r="N521" s="15">
        <f t="shared" si="128"/>
        <v>0.35</v>
      </c>
    </row>
    <row r="522" spans="1:14" s="1985" customFormat="1" x14ac:dyDescent="0.2">
      <c r="A522" s="1987"/>
      <c r="B522" s="132"/>
      <c r="C522" s="1426" t="s">
        <v>608</v>
      </c>
      <c r="D522" s="1987" t="s">
        <v>635</v>
      </c>
      <c r="E522" s="172"/>
      <c r="F522" s="15">
        <f t="shared" si="128"/>
        <v>0.2</v>
      </c>
      <c r="G522" s="15">
        <f t="shared" si="128"/>
        <v>0.20875000000000002</v>
      </c>
      <c r="H522" s="15">
        <f t="shared" si="128"/>
        <v>0.21750000000000003</v>
      </c>
      <c r="I522" s="15">
        <f t="shared" si="128"/>
        <v>0.22625000000000001</v>
      </c>
      <c r="J522" s="15">
        <f t="shared" si="128"/>
        <v>0.23500000000000001</v>
      </c>
      <c r="K522" s="15">
        <f t="shared" si="128"/>
        <v>0.24375000000000002</v>
      </c>
      <c r="L522" s="15">
        <f t="shared" si="128"/>
        <v>0.2525</v>
      </c>
      <c r="M522" s="15">
        <f t="shared" si="128"/>
        <v>0.26125000000000004</v>
      </c>
      <c r="N522" s="15">
        <f t="shared" si="128"/>
        <v>0.27</v>
      </c>
    </row>
    <row r="523" spans="1:14" s="1985" customFormat="1" x14ac:dyDescent="0.2">
      <c r="A523" s="1427"/>
      <c r="B523" s="132"/>
      <c r="C523" s="1426" t="s">
        <v>610</v>
      </c>
      <c r="D523" s="1987" t="s">
        <v>2263</v>
      </c>
      <c r="E523" s="172"/>
      <c r="F523" s="15">
        <f t="shared" si="128"/>
        <v>0.01</v>
      </c>
      <c r="G523" s="15">
        <f t="shared" si="128"/>
        <v>3.125E-2</v>
      </c>
      <c r="H523" s="15">
        <f t="shared" si="128"/>
        <v>5.2499999999999998E-2</v>
      </c>
      <c r="I523" s="15">
        <f t="shared" si="128"/>
        <v>7.3749999999999982E-2</v>
      </c>
      <c r="J523" s="15">
        <f t="shared" si="128"/>
        <v>9.4999999999999987E-2</v>
      </c>
      <c r="K523" s="15">
        <f t="shared" si="128"/>
        <v>0.11624999999999998</v>
      </c>
      <c r="L523" s="15">
        <f t="shared" si="128"/>
        <v>0.13749999999999998</v>
      </c>
      <c r="M523" s="15">
        <f t="shared" si="128"/>
        <v>0.15875</v>
      </c>
      <c r="N523" s="15">
        <f t="shared" si="128"/>
        <v>0.18</v>
      </c>
    </row>
    <row r="524" spans="1:14" s="2370" customFormat="1" x14ac:dyDescent="0.2">
      <c r="A524" s="1427"/>
      <c r="B524" s="132"/>
      <c r="C524" s="1426" t="s">
        <v>2267</v>
      </c>
      <c r="D524" s="2370" t="s">
        <v>2264</v>
      </c>
      <c r="E524" s="172"/>
      <c r="F524" s="15">
        <f t="shared" si="128"/>
        <v>0.2</v>
      </c>
      <c r="G524" s="15">
        <f t="shared" si="128"/>
        <v>0.18125000000000002</v>
      </c>
      <c r="H524" s="15">
        <f t="shared" si="128"/>
        <v>0.16250000000000001</v>
      </c>
      <c r="I524" s="15">
        <f t="shared" si="128"/>
        <v>0.14374999999999999</v>
      </c>
      <c r="J524" s="15">
        <f t="shared" si="128"/>
        <v>0.125</v>
      </c>
      <c r="K524" s="15">
        <f t="shared" si="128"/>
        <v>0.10625</v>
      </c>
      <c r="L524" s="15">
        <f t="shared" si="128"/>
        <v>8.7499999999999994E-2</v>
      </c>
      <c r="M524" s="15">
        <f t="shared" si="128"/>
        <v>6.8749999999999978E-2</v>
      </c>
      <c r="N524" s="15">
        <f t="shared" si="128"/>
        <v>0.05</v>
      </c>
    </row>
    <row r="525" spans="1:14" s="2370" customFormat="1" x14ac:dyDescent="0.2">
      <c r="A525" s="1427"/>
      <c r="B525" s="132"/>
      <c r="C525" s="1426" t="s">
        <v>609</v>
      </c>
      <c r="D525" s="2370" t="s">
        <v>2265</v>
      </c>
      <c r="E525" s="172"/>
      <c r="F525" s="15">
        <f t="shared" si="128"/>
        <v>3.5000000000000003E-2</v>
      </c>
      <c r="G525" s="15">
        <f t="shared" si="128"/>
        <v>3.5625000000000004E-2</v>
      </c>
      <c r="H525" s="15">
        <f t="shared" si="128"/>
        <v>3.6250000000000004E-2</v>
      </c>
      <c r="I525" s="15">
        <f t="shared" si="128"/>
        <v>3.6875000000000005E-2</v>
      </c>
      <c r="J525" s="15">
        <f t="shared" si="128"/>
        <v>3.7500000000000006E-2</v>
      </c>
      <c r="K525" s="15">
        <f t="shared" si="128"/>
        <v>3.8124999999999999E-2</v>
      </c>
      <c r="L525" s="15">
        <f t="shared" si="128"/>
        <v>3.875E-2</v>
      </c>
      <c r="M525" s="15">
        <f t="shared" si="128"/>
        <v>3.9375E-2</v>
      </c>
      <c r="N525" s="15">
        <f t="shared" si="128"/>
        <v>0.04</v>
      </c>
    </row>
    <row r="526" spans="1:14" s="2370" customFormat="1" x14ac:dyDescent="0.2">
      <c r="A526" s="1427"/>
      <c r="B526" s="132"/>
      <c r="C526" s="1426" t="s">
        <v>2268</v>
      </c>
      <c r="D526" s="2370" t="s">
        <v>2266</v>
      </c>
      <c r="E526" s="172"/>
      <c r="F526" s="15">
        <f t="shared" si="128"/>
        <v>5.0000000000000001E-3</v>
      </c>
      <c r="G526" s="15">
        <f t="shared" si="128"/>
        <v>5.6249999999999998E-3</v>
      </c>
      <c r="H526" s="15">
        <f t="shared" si="128"/>
        <v>6.2500000000000003E-3</v>
      </c>
      <c r="I526" s="15">
        <f t="shared" si="128"/>
        <v>6.875E-3</v>
      </c>
      <c r="J526" s="15">
        <f t="shared" si="128"/>
        <v>7.4999999999999997E-3</v>
      </c>
      <c r="K526" s="15">
        <f t="shared" si="128"/>
        <v>8.1250000000000003E-3</v>
      </c>
      <c r="L526" s="15">
        <f t="shared" si="128"/>
        <v>8.7500000000000008E-3</v>
      </c>
      <c r="M526" s="15">
        <f t="shared" si="128"/>
        <v>9.3750000000000014E-3</v>
      </c>
      <c r="N526" s="15">
        <f t="shared" si="128"/>
        <v>0.01</v>
      </c>
    </row>
    <row r="527" spans="1:14" s="1985" customFormat="1" x14ac:dyDescent="0.2">
      <c r="A527" s="1427"/>
      <c r="B527" s="132"/>
      <c r="C527" s="1426" t="s">
        <v>611</v>
      </c>
      <c r="D527" s="1987" t="s">
        <v>636</v>
      </c>
      <c r="E527" s="172"/>
      <c r="F527" s="15">
        <f t="shared" si="128"/>
        <v>0.05</v>
      </c>
      <c r="G527" s="15">
        <f t="shared" si="128"/>
        <v>5.6250000000000001E-2</v>
      </c>
      <c r="H527" s="15">
        <f t="shared" si="128"/>
        <v>6.25E-2</v>
      </c>
      <c r="I527" s="15">
        <f t="shared" si="128"/>
        <v>6.8750000000000006E-2</v>
      </c>
      <c r="J527" s="15">
        <f t="shared" si="128"/>
        <v>7.5000000000000011E-2</v>
      </c>
      <c r="K527" s="15">
        <f t="shared" si="128"/>
        <v>8.1250000000000003E-2</v>
      </c>
      <c r="L527" s="15">
        <f t="shared" si="128"/>
        <v>8.7499999999999994E-2</v>
      </c>
      <c r="M527" s="15">
        <f t="shared" si="128"/>
        <v>9.375E-2</v>
      </c>
      <c r="N527" s="15">
        <f t="shared" si="128"/>
        <v>0.1</v>
      </c>
    </row>
    <row r="528" spans="1:14" s="1985" customFormat="1" x14ac:dyDescent="0.2">
      <c r="A528" s="1427"/>
      <c r="B528" s="132"/>
      <c r="C528" s="607"/>
      <c r="D528" s="20"/>
      <c r="E528" s="172"/>
      <c r="F528" s="605"/>
      <c r="G528" s="605"/>
      <c r="H528" s="605"/>
      <c r="I528" s="605"/>
      <c r="J528" s="605"/>
      <c r="K528" s="605"/>
      <c r="L528" s="605"/>
      <c r="M528" s="605"/>
      <c r="N528" s="15"/>
    </row>
    <row r="529" spans="1:14" s="1985" customFormat="1" x14ac:dyDescent="0.2">
      <c r="A529" s="1427"/>
      <c r="B529" s="196" t="s">
        <v>346</v>
      </c>
      <c r="C529" s="1987" t="s">
        <v>604</v>
      </c>
      <c r="D529" s="1427"/>
      <c r="E529" s="1427"/>
      <c r="F529" s="234"/>
      <c r="G529" s="234"/>
      <c r="H529" s="234"/>
      <c r="I529" s="234"/>
      <c r="J529" s="234"/>
      <c r="K529" s="234"/>
      <c r="L529" s="234"/>
      <c r="M529" s="234"/>
      <c r="N529" s="1426" t="s">
        <v>593</v>
      </c>
    </row>
    <row r="530" spans="1:14" s="1985" customFormat="1" x14ac:dyDescent="0.2">
      <c r="A530" s="1427"/>
      <c r="B530" s="196"/>
      <c r="C530" s="1426" t="s">
        <v>607</v>
      </c>
      <c r="D530" s="1987" t="s">
        <v>2262</v>
      </c>
      <c r="E530" s="1427"/>
      <c r="F530" s="231">
        <f t="shared" ref="F530:N530" si="129">F521*F$518</f>
        <v>468.20708250220309</v>
      </c>
      <c r="G530" s="231">
        <f t="shared" si="129"/>
        <v>535.36175519786411</v>
      </c>
      <c r="H530" s="231">
        <f t="shared" si="129"/>
        <v>609.8331811657398</v>
      </c>
      <c r="I530" s="231">
        <f t="shared" si="129"/>
        <v>692.08934297391329</v>
      </c>
      <c r="J530" s="231">
        <f t="shared" si="129"/>
        <v>782.55605930548154</v>
      </c>
      <c r="K530" s="231">
        <f t="shared" si="129"/>
        <v>881.59272235692993</v>
      </c>
      <c r="L530" s="231">
        <f t="shared" si="129"/>
        <v>965.56280418715312</v>
      </c>
      <c r="M530" s="231">
        <f t="shared" si="129"/>
        <v>1053.4941406479436</v>
      </c>
      <c r="N530" s="231">
        <f t="shared" si="129"/>
        <v>1144.8886918605037</v>
      </c>
    </row>
    <row r="531" spans="1:14" s="1985" customFormat="1" x14ac:dyDescent="0.2">
      <c r="A531" s="1427"/>
      <c r="B531" s="132"/>
      <c r="C531" s="1426" t="s">
        <v>608</v>
      </c>
      <c r="D531" s="1987" t="s">
        <v>635</v>
      </c>
      <c r="E531" s="172"/>
      <c r="F531" s="231">
        <f t="shared" ref="F531:N531" si="130">F522*F$518</f>
        <v>187.28283300088125</v>
      </c>
      <c r="G531" s="231">
        <f t="shared" si="130"/>
        <v>232.22185225465799</v>
      </c>
      <c r="H531" s="231">
        <f t="shared" si="130"/>
        <v>286.78641492659114</v>
      </c>
      <c r="I531" s="231">
        <f t="shared" si="130"/>
        <v>352.86808754444598</v>
      </c>
      <c r="J531" s="231">
        <f t="shared" si="130"/>
        <v>432.70746808656043</v>
      </c>
      <c r="K531" s="231">
        <f t="shared" si="130"/>
        <v>528.955633414158</v>
      </c>
      <c r="L531" s="231">
        <f t="shared" si="130"/>
        <v>629.17318208324173</v>
      </c>
      <c r="M531" s="231">
        <f t="shared" si="130"/>
        <v>746.37381489972972</v>
      </c>
      <c r="N531" s="231">
        <f t="shared" si="130"/>
        <v>883.1998480066743</v>
      </c>
    </row>
    <row r="532" spans="1:14" s="2370" customFormat="1" x14ac:dyDescent="0.2">
      <c r="A532" s="1427"/>
      <c r="B532" s="132"/>
      <c r="C532" s="1426" t="s">
        <v>610</v>
      </c>
      <c r="D532" s="2370" t="s">
        <v>2263</v>
      </c>
      <c r="E532" s="172"/>
      <c r="F532" s="231">
        <f t="shared" ref="F532:N532" si="131">F523*F$518</f>
        <v>9.3641416500440613</v>
      </c>
      <c r="G532" s="231">
        <f t="shared" si="131"/>
        <v>34.763750337523646</v>
      </c>
      <c r="H532" s="231">
        <f t="shared" si="131"/>
        <v>69.224307051246129</v>
      </c>
      <c r="I532" s="231">
        <f t="shared" si="131"/>
        <v>115.02329925481938</v>
      </c>
      <c r="J532" s="231">
        <f t="shared" si="131"/>
        <v>174.92429560946056</v>
      </c>
      <c r="K532" s="231">
        <f t="shared" si="131"/>
        <v>252.2711482436753</v>
      </c>
      <c r="L532" s="231">
        <f t="shared" si="131"/>
        <v>342.6190595502801</v>
      </c>
      <c r="M532" s="231">
        <f t="shared" si="131"/>
        <v>453.53815546538596</v>
      </c>
      <c r="N532" s="231">
        <f t="shared" si="131"/>
        <v>588.79989867111613</v>
      </c>
    </row>
    <row r="533" spans="1:14" s="2370" customFormat="1" x14ac:dyDescent="0.2">
      <c r="A533" s="1427"/>
      <c r="B533" s="132"/>
      <c r="C533" s="1426" t="s">
        <v>2267</v>
      </c>
      <c r="D533" s="2370" t="s">
        <v>2264</v>
      </c>
      <c r="E533" s="172"/>
      <c r="F533" s="231">
        <f t="shared" ref="F533:N533" si="132">F524*F$518</f>
        <v>187.28283300088125</v>
      </c>
      <c r="G533" s="231">
        <f t="shared" si="132"/>
        <v>201.62975195763718</v>
      </c>
      <c r="H533" s="231">
        <f t="shared" si="132"/>
        <v>214.26571230147613</v>
      </c>
      <c r="I533" s="231">
        <f t="shared" si="132"/>
        <v>224.19795617464797</v>
      </c>
      <c r="J533" s="231">
        <f t="shared" si="132"/>
        <v>230.1635468545534</v>
      </c>
      <c r="K533" s="231">
        <f t="shared" si="132"/>
        <v>230.57040430873553</v>
      </c>
      <c r="L533" s="231">
        <f t="shared" si="132"/>
        <v>218.03031062290555</v>
      </c>
      <c r="M533" s="231">
        <f t="shared" si="132"/>
        <v>196.41416181571824</v>
      </c>
      <c r="N533" s="231">
        <f t="shared" si="132"/>
        <v>163.5555274086434</v>
      </c>
    </row>
    <row r="534" spans="1:14" s="2370" customFormat="1" x14ac:dyDescent="0.2">
      <c r="A534" s="1427"/>
      <c r="B534" s="132"/>
      <c r="C534" s="1426" t="s">
        <v>609</v>
      </c>
      <c r="D534" s="2370" t="s">
        <v>2265</v>
      </c>
      <c r="E534" s="172"/>
      <c r="F534" s="231">
        <f t="shared" ref="F534:N534" si="133">F525*F$518</f>
        <v>32.774495775154222</v>
      </c>
      <c r="G534" s="231">
        <f t="shared" si="133"/>
        <v>39.630675384776964</v>
      </c>
      <c r="H534" s="231">
        <f t="shared" si="133"/>
        <v>47.797735821098527</v>
      </c>
      <c r="I534" s="231">
        <f t="shared" si="133"/>
        <v>57.51164962740971</v>
      </c>
      <c r="J534" s="231">
        <f t="shared" si="133"/>
        <v>69.049064056366035</v>
      </c>
      <c r="K534" s="231">
        <f t="shared" si="133"/>
        <v>82.734086251958047</v>
      </c>
      <c r="L534" s="231">
        <f t="shared" si="133"/>
        <v>96.556280418715318</v>
      </c>
      <c r="M534" s="231">
        <f t="shared" si="133"/>
        <v>112.49174722172958</v>
      </c>
      <c r="N534" s="231">
        <f t="shared" si="133"/>
        <v>130.84442192691472</v>
      </c>
    </row>
    <row r="535" spans="1:14" s="1985" customFormat="1" x14ac:dyDescent="0.2">
      <c r="A535" s="1427"/>
      <c r="B535" s="132"/>
      <c r="C535" s="1426" t="s">
        <v>2268</v>
      </c>
      <c r="D535" s="1987" t="s">
        <v>2266</v>
      </c>
      <c r="E535" s="172"/>
      <c r="F535" s="231">
        <f t="shared" ref="F535:N535" si="134">F526*F$518</f>
        <v>4.6820708250220306</v>
      </c>
      <c r="G535" s="231">
        <f t="shared" si="134"/>
        <v>6.2574750607542562</v>
      </c>
      <c r="H535" s="231">
        <f t="shared" si="134"/>
        <v>8.2409889346721581</v>
      </c>
      <c r="I535" s="231">
        <f t="shared" si="134"/>
        <v>10.722510947483165</v>
      </c>
      <c r="J535" s="231">
        <f t="shared" si="134"/>
        <v>13.809812811273204</v>
      </c>
      <c r="K535" s="231">
        <f t="shared" si="134"/>
        <v>17.631854447138601</v>
      </c>
      <c r="L535" s="231">
        <f t="shared" si="134"/>
        <v>21.803031062290557</v>
      </c>
      <c r="M535" s="231">
        <f t="shared" si="134"/>
        <v>26.783749338507047</v>
      </c>
      <c r="N535" s="231">
        <f t="shared" si="134"/>
        <v>32.71110548172868</v>
      </c>
    </row>
    <row r="536" spans="1:14" s="1985" customFormat="1" x14ac:dyDescent="0.2">
      <c r="A536" s="1427"/>
      <c r="B536" s="132"/>
      <c r="C536" s="1426" t="s">
        <v>611</v>
      </c>
      <c r="D536" s="1987" t="s">
        <v>636</v>
      </c>
      <c r="E536" s="172"/>
      <c r="F536" s="231">
        <f t="shared" ref="F536:N536" si="135">F527*F$518</f>
        <v>46.820708250220314</v>
      </c>
      <c r="G536" s="231">
        <f t="shared" si="135"/>
        <v>62.574750607542562</v>
      </c>
      <c r="H536" s="231">
        <f t="shared" si="135"/>
        <v>82.409889346721585</v>
      </c>
      <c r="I536" s="231">
        <f t="shared" si="135"/>
        <v>107.22510947483165</v>
      </c>
      <c r="J536" s="231">
        <f t="shared" si="135"/>
        <v>138.09812811273207</v>
      </c>
      <c r="K536" s="231">
        <f t="shared" si="135"/>
        <v>176.31854447138599</v>
      </c>
      <c r="L536" s="231">
        <f t="shared" si="135"/>
        <v>218.03031062290555</v>
      </c>
      <c r="M536" s="231">
        <f t="shared" si="135"/>
        <v>267.83749338507045</v>
      </c>
      <c r="N536" s="231">
        <f t="shared" si="135"/>
        <v>327.1110548172868</v>
      </c>
    </row>
    <row r="537" spans="1:14" s="1985" customFormat="1" x14ac:dyDescent="0.2">
      <c r="A537" s="1427"/>
      <c r="B537" s="132"/>
      <c r="C537" s="1426"/>
      <c r="D537" s="1987"/>
      <c r="E537" s="172"/>
      <c r="F537" s="1001">
        <f t="shared" ref="F537:N537" si="136">SUM(F530:F536)</f>
        <v>936.4141650044063</v>
      </c>
      <c r="G537" s="1001">
        <f t="shared" si="136"/>
        <v>1112.4400108007567</v>
      </c>
      <c r="H537" s="1001">
        <f t="shared" si="136"/>
        <v>1318.5582295475458</v>
      </c>
      <c r="I537" s="1001">
        <f t="shared" si="136"/>
        <v>1559.6379559975512</v>
      </c>
      <c r="J537" s="1001">
        <f t="shared" si="136"/>
        <v>1841.308374836427</v>
      </c>
      <c r="K537" s="1001">
        <f t="shared" si="136"/>
        <v>2170.0743934939815</v>
      </c>
      <c r="L537" s="1001">
        <f t="shared" si="136"/>
        <v>2491.7749785474921</v>
      </c>
      <c r="M537" s="1001">
        <f t="shared" si="136"/>
        <v>2856.9332627740841</v>
      </c>
      <c r="N537" s="1001">
        <f t="shared" si="136"/>
        <v>3271.1105481728678</v>
      </c>
    </row>
    <row r="538" spans="1:14" s="1985" customFormat="1" x14ac:dyDescent="0.2">
      <c r="A538" s="1427"/>
      <c r="B538" s="132"/>
      <c r="C538" s="1427"/>
      <c r="D538" s="1427"/>
      <c r="E538" s="1427"/>
      <c r="F538" s="234"/>
      <c r="G538" s="234"/>
      <c r="H538" s="234"/>
      <c r="I538" s="234"/>
      <c r="J538" s="234"/>
      <c r="K538" s="234"/>
      <c r="L538" s="234"/>
      <c r="M538" s="234"/>
      <c r="N538" s="234"/>
    </row>
    <row r="539" spans="1:14" s="1985" customFormat="1" x14ac:dyDescent="0.2">
      <c r="A539" s="1427"/>
      <c r="B539" s="1427" t="s">
        <v>1451</v>
      </c>
      <c r="C539" s="1427" t="s">
        <v>971</v>
      </c>
      <c r="D539" s="1427"/>
      <c r="E539" s="1427"/>
      <c r="F539" s="234"/>
      <c r="G539" s="234"/>
      <c r="H539" s="234"/>
      <c r="I539" s="234"/>
      <c r="J539" s="234"/>
      <c r="K539" s="234"/>
      <c r="L539" s="234"/>
      <c r="M539" s="234"/>
      <c r="N539" s="234"/>
    </row>
    <row r="540" spans="1:14" s="1985" customFormat="1" x14ac:dyDescent="0.2">
      <c r="A540" s="1427"/>
      <c r="B540" s="132"/>
      <c r="C540" s="1427"/>
      <c r="D540" s="1427"/>
      <c r="E540" s="1427"/>
      <c r="F540" s="234"/>
      <c r="G540" s="234"/>
      <c r="H540" s="234"/>
      <c r="I540" s="234"/>
      <c r="J540" s="234"/>
      <c r="K540" s="234"/>
      <c r="L540" s="234"/>
      <c r="M540" s="234"/>
      <c r="N540" s="234"/>
    </row>
    <row r="541" spans="1:14" s="1985" customFormat="1" x14ac:dyDescent="0.2">
      <c r="A541" s="1427"/>
      <c r="B541" s="583"/>
      <c r="C541" s="17" t="s">
        <v>645</v>
      </c>
      <c r="D541" s="20"/>
      <c r="E541" s="1427"/>
      <c r="F541" s="234"/>
      <c r="G541" s="234"/>
      <c r="H541" s="234"/>
      <c r="I541" s="234"/>
      <c r="J541" s="234"/>
      <c r="K541" s="234"/>
      <c r="L541" s="234"/>
      <c r="M541" s="234"/>
      <c r="N541" s="1426" t="s">
        <v>593</v>
      </c>
    </row>
    <row r="542" spans="1:14" s="1985" customFormat="1" x14ac:dyDescent="0.2">
      <c r="A542" s="1427"/>
      <c r="B542" s="132"/>
      <c r="C542" s="583" t="s">
        <v>592</v>
      </c>
      <c r="D542" s="1987" t="s">
        <v>343</v>
      </c>
      <c r="E542" s="1427"/>
      <c r="F542" s="234"/>
      <c r="G542" s="234"/>
      <c r="H542" s="234"/>
      <c r="I542" s="234"/>
      <c r="J542" s="234"/>
      <c r="K542" s="234"/>
      <c r="L542" s="234"/>
      <c r="M542" s="234"/>
      <c r="N542" s="234"/>
    </row>
    <row r="543" spans="1:14" s="1985" customFormat="1" x14ac:dyDescent="0.2">
      <c r="A543" s="1427"/>
      <c r="B543" s="132"/>
      <c r="C543" s="1426" t="s">
        <v>609</v>
      </c>
      <c r="D543" s="17" t="s">
        <v>609</v>
      </c>
      <c r="E543" s="1427"/>
      <c r="F543" s="231">
        <f t="shared" ref="F543:N556" si="137">SUMIFS(F$530:F$536, $C$530:$C$536, $C543)*SUMIFS(F$324:F$335, $C$324:$C$335, $C543, $D$324:$D$335, $D543)</f>
        <v>0</v>
      </c>
      <c r="G543" s="231">
        <f t="shared" si="137"/>
        <v>39.472152683237859</v>
      </c>
      <c r="H543" s="231">
        <f t="shared" si="137"/>
        <v>47.60654487781413</v>
      </c>
      <c r="I543" s="231">
        <f t="shared" si="137"/>
        <v>57.281603028900072</v>
      </c>
      <c r="J543" s="231">
        <f t="shared" si="137"/>
        <v>68.772867800140574</v>
      </c>
      <c r="K543" s="231">
        <f t="shared" si="137"/>
        <v>82.403149906950219</v>
      </c>
      <c r="L543" s="231">
        <f t="shared" si="137"/>
        <v>96.170055297040463</v>
      </c>
      <c r="M543" s="231">
        <f t="shared" si="137"/>
        <v>112.04178023284267</v>
      </c>
      <c r="N543" s="231">
        <f t="shared" si="137"/>
        <v>130.32104423920705</v>
      </c>
    </row>
    <row r="544" spans="1:14" s="1985" customFormat="1" x14ac:dyDescent="0.2">
      <c r="A544" s="1427"/>
      <c r="B544" s="132"/>
      <c r="C544" s="583" t="s">
        <v>607</v>
      </c>
      <c r="D544" s="610" t="s">
        <v>2272</v>
      </c>
      <c r="E544" s="1427"/>
      <c r="F544" s="231">
        <f t="shared" si="137"/>
        <v>280.92424950132187</v>
      </c>
      <c r="G544" s="231">
        <f t="shared" si="137"/>
        <v>303.95163651358735</v>
      </c>
      <c r="H544" s="231">
        <f t="shared" si="137"/>
        <v>328.39516805775082</v>
      </c>
      <c r="I544" s="231">
        <f t="shared" si="137"/>
        <v>354.52276593838701</v>
      </c>
      <c r="J544" s="231">
        <f t="shared" si="137"/>
        <v>382.6699130003804</v>
      </c>
      <c r="K544" s="231">
        <f t="shared" si="137"/>
        <v>413.24658860481077</v>
      </c>
      <c r="L544" s="231">
        <f t="shared" si="137"/>
        <v>435.95160609049941</v>
      </c>
      <c r="M544" s="231">
        <f t="shared" si="137"/>
        <v>460.64031299831316</v>
      </c>
      <c r="N544" s="231">
        <f t="shared" si="137"/>
        <v>487.72258273257461</v>
      </c>
    </row>
    <row r="545" spans="1:14" s="1985" customFormat="1" x14ac:dyDescent="0.2">
      <c r="A545" s="1427"/>
      <c r="B545" s="132"/>
      <c r="C545" s="583" t="s">
        <v>607</v>
      </c>
      <c r="D545" s="17" t="s">
        <v>923</v>
      </c>
      <c r="E545" s="1427"/>
      <c r="F545" s="231">
        <f t="shared" si="137"/>
        <v>0</v>
      </c>
      <c r="G545" s="231">
        <f t="shared" si="137"/>
        <v>23.422076789906573</v>
      </c>
      <c r="H545" s="231">
        <f t="shared" si="137"/>
        <v>53.360403352002272</v>
      </c>
      <c r="I545" s="231">
        <f t="shared" si="137"/>
        <v>90.836726265326178</v>
      </c>
      <c r="J545" s="231">
        <f t="shared" si="137"/>
        <v>136.94731037845938</v>
      </c>
      <c r="K545" s="231">
        <f t="shared" si="137"/>
        <v>192.84840801557857</v>
      </c>
      <c r="L545" s="231">
        <f t="shared" si="137"/>
        <v>253.46023609912785</v>
      </c>
      <c r="M545" s="231">
        <f t="shared" si="137"/>
        <v>322.6325805734329</v>
      </c>
      <c r="N545" s="231">
        <f t="shared" si="137"/>
        <v>400.71104215117629</v>
      </c>
    </row>
    <row r="546" spans="1:14" s="1985" customFormat="1" x14ac:dyDescent="0.2">
      <c r="A546" s="1427"/>
      <c r="B546" s="132"/>
      <c r="C546" s="583" t="s">
        <v>607</v>
      </c>
      <c r="D546" s="610" t="s">
        <v>612</v>
      </c>
      <c r="E546" s="1427"/>
      <c r="F546" s="231">
        <f t="shared" si="137"/>
        <v>0</v>
      </c>
      <c r="G546" s="231">
        <f t="shared" si="137"/>
        <v>3.3460109699866538</v>
      </c>
      <c r="H546" s="231">
        <f t="shared" si="137"/>
        <v>7.6229147645717541</v>
      </c>
      <c r="I546" s="231">
        <f t="shared" si="137"/>
        <v>12.976675180760886</v>
      </c>
      <c r="J546" s="231">
        <f t="shared" si="137"/>
        <v>19.563901482637057</v>
      </c>
      <c r="K546" s="231">
        <f t="shared" si="137"/>
        <v>27.549772573654085</v>
      </c>
      <c r="L546" s="231">
        <f t="shared" si="137"/>
        <v>36.208605157018276</v>
      </c>
      <c r="M546" s="231">
        <f t="shared" si="137"/>
        <v>46.090368653347575</v>
      </c>
      <c r="N546" s="231">
        <f t="shared" si="137"/>
        <v>57.24443459302519</v>
      </c>
    </row>
    <row r="547" spans="1:14" s="1985" customFormat="1" x14ac:dyDescent="0.2">
      <c r="A547" s="1427"/>
      <c r="B547" s="132"/>
      <c r="C547" s="583" t="s">
        <v>607</v>
      </c>
      <c r="D547" s="610" t="s">
        <v>2273</v>
      </c>
      <c r="E547" s="1427"/>
      <c r="F547" s="231">
        <f t="shared" si="137"/>
        <v>0</v>
      </c>
      <c r="G547" s="231">
        <f t="shared" si="137"/>
        <v>11.510277736754089</v>
      </c>
      <c r="H547" s="231">
        <f t="shared" si="137"/>
        <v>25.003160427795354</v>
      </c>
      <c r="I547" s="231">
        <f t="shared" si="137"/>
        <v>40.487226563973955</v>
      </c>
      <c r="J547" s="231">
        <f t="shared" si="137"/>
        <v>57.909148388605672</v>
      </c>
      <c r="K547" s="231">
        <f t="shared" si="137"/>
        <v>77.139363206231423</v>
      </c>
      <c r="L547" s="231">
        <f t="shared" si="137"/>
        <v>95.590717614528216</v>
      </c>
      <c r="M547" s="231">
        <f t="shared" si="137"/>
        <v>114.30411426030193</v>
      </c>
      <c r="N547" s="231">
        <f t="shared" si="137"/>
        <v>132.80708825581843</v>
      </c>
    </row>
    <row r="548" spans="1:14" s="1985" customFormat="1" x14ac:dyDescent="0.2">
      <c r="A548" s="1427"/>
      <c r="B548" s="132"/>
      <c r="C548" s="583" t="s">
        <v>608</v>
      </c>
      <c r="D548" s="610" t="s">
        <v>2272</v>
      </c>
      <c r="E548" s="1427"/>
      <c r="F548" s="231">
        <f t="shared" si="137"/>
        <v>112.36969980052875</v>
      </c>
      <c r="G548" s="231">
        <f t="shared" si="137"/>
        <v>131.84395661758208</v>
      </c>
      <c r="H548" s="231">
        <f t="shared" si="137"/>
        <v>154.43448443796927</v>
      </c>
      <c r="I548" s="231">
        <f t="shared" si="137"/>
        <v>180.75667784464241</v>
      </c>
      <c r="J548" s="231">
        <f t="shared" si="137"/>
        <v>211.593951894328</v>
      </c>
      <c r="K548" s="231">
        <f t="shared" si="137"/>
        <v>247.94795316288648</v>
      </c>
      <c r="L548" s="231">
        <f t="shared" si="137"/>
        <v>284.07169171058348</v>
      </c>
      <c r="M548" s="231">
        <f t="shared" si="137"/>
        <v>326.3519505649067</v>
      </c>
      <c r="N548" s="231">
        <f t="shared" si="137"/>
        <v>376.24313525084324</v>
      </c>
    </row>
    <row r="549" spans="1:14" s="1985" customFormat="1" x14ac:dyDescent="0.2">
      <c r="A549" s="1427"/>
      <c r="B549" s="132"/>
      <c r="C549" s="583" t="s">
        <v>608</v>
      </c>
      <c r="D549" s="17" t="s">
        <v>923</v>
      </c>
      <c r="E549" s="1427"/>
      <c r="F549" s="231">
        <f t="shared" si="137"/>
        <v>0</v>
      </c>
      <c r="G549" s="231">
        <f t="shared" si="137"/>
        <v>10.159706036141294</v>
      </c>
      <c r="H549" s="231">
        <f t="shared" si="137"/>
        <v>25.093811306076741</v>
      </c>
      <c r="I549" s="231">
        <f t="shared" si="137"/>
        <v>46.313936490208569</v>
      </c>
      <c r="J549" s="231">
        <f t="shared" si="137"/>
        <v>75.723806915148131</v>
      </c>
      <c r="K549" s="231">
        <f t="shared" si="137"/>
        <v>115.70904480934715</v>
      </c>
      <c r="L549" s="231">
        <f t="shared" si="137"/>
        <v>165.15796029685106</v>
      </c>
      <c r="M549" s="231">
        <f t="shared" si="137"/>
        <v>228.57698081304238</v>
      </c>
      <c r="N549" s="231">
        <f t="shared" si="137"/>
        <v>309.11994680233596</v>
      </c>
    </row>
    <row r="550" spans="1:14" s="1985" customFormat="1" x14ac:dyDescent="0.2">
      <c r="A550" s="1427"/>
      <c r="B550" s="132"/>
      <c r="C550" s="583" t="s">
        <v>608</v>
      </c>
      <c r="D550" s="610" t="s">
        <v>612</v>
      </c>
      <c r="E550" s="1427"/>
      <c r="F550" s="231">
        <f t="shared" si="137"/>
        <v>0</v>
      </c>
      <c r="G550" s="231">
        <f t="shared" si="137"/>
        <v>1.4513865765916136</v>
      </c>
      <c r="H550" s="231">
        <f t="shared" si="137"/>
        <v>3.5848301865823924</v>
      </c>
      <c r="I550" s="231">
        <f t="shared" si="137"/>
        <v>6.6162766414583682</v>
      </c>
      <c r="J550" s="231">
        <f t="shared" si="137"/>
        <v>10.81768670216402</v>
      </c>
      <c r="K550" s="231">
        <f t="shared" si="137"/>
        <v>16.529863544192452</v>
      </c>
      <c r="L550" s="231">
        <f t="shared" si="137"/>
        <v>23.593994328121585</v>
      </c>
      <c r="M550" s="231">
        <f t="shared" si="137"/>
        <v>32.653854401863207</v>
      </c>
      <c r="N550" s="231">
        <f t="shared" si="137"/>
        <v>44.159992400333721</v>
      </c>
    </row>
    <row r="551" spans="1:14" s="1985" customFormat="1" x14ac:dyDescent="0.2">
      <c r="A551" s="1427"/>
      <c r="B551" s="132"/>
      <c r="C551" s="583" t="s">
        <v>608</v>
      </c>
      <c r="D551" s="17" t="s">
        <v>2273</v>
      </c>
      <c r="E551" s="1427"/>
      <c r="F551" s="231">
        <f t="shared" si="137"/>
        <v>0</v>
      </c>
      <c r="G551" s="231">
        <f t="shared" si="137"/>
        <v>4.9927698234751512</v>
      </c>
      <c r="H551" s="231">
        <f t="shared" si="137"/>
        <v>11.758243011990247</v>
      </c>
      <c r="I551" s="231">
        <f t="shared" si="137"/>
        <v>20.642783121350107</v>
      </c>
      <c r="J551" s="231">
        <f t="shared" si="137"/>
        <v>32.020352638405491</v>
      </c>
      <c r="K551" s="231">
        <f t="shared" si="137"/>
        <v>46.283617923738859</v>
      </c>
      <c r="L551" s="231">
        <f t="shared" si="137"/>
        <v>62.288145026240969</v>
      </c>
      <c r="M551" s="231">
        <f t="shared" si="137"/>
        <v>80.981558916620699</v>
      </c>
      <c r="N551" s="231">
        <f t="shared" si="137"/>
        <v>102.45118236877421</v>
      </c>
    </row>
    <row r="552" spans="1:14" s="1985" customFormat="1" x14ac:dyDescent="0.2">
      <c r="A552" s="1427"/>
      <c r="B552" s="132"/>
      <c r="C552" s="583" t="s">
        <v>610</v>
      </c>
      <c r="D552" s="610" t="s">
        <v>638</v>
      </c>
      <c r="E552" s="1427"/>
      <c r="F552" s="231">
        <f t="shared" si="137"/>
        <v>9.3641416500440613</v>
      </c>
      <c r="G552" s="231">
        <f t="shared" si="137"/>
        <v>34.763750337523646</v>
      </c>
      <c r="H552" s="231">
        <f t="shared" si="137"/>
        <v>62.301876346121517</v>
      </c>
      <c r="I552" s="231">
        <f t="shared" si="137"/>
        <v>92.018639403855502</v>
      </c>
      <c r="J552" s="231">
        <f t="shared" si="137"/>
        <v>122.44700692662238</v>
      </c>
      <c r="K552" s="231">
        <f t="shared" si="137"/>
        <v>151.36268894620517</v>
      </c>
      <c r="L552" s="231">
        <f t="shared" si="137"/>
        <v>171.30952977514005</v>
      </c>
      <c r="M552" s="231">
        <f t="shared" si="137"/>
        <v>181.41526218615439</v>
      </c>
      <c r="N552" s="231">
        <f t="shared" si="137"/>
        <v>176.63996960133483</v>
      </c>
    </row>
    <row r="553" spans="1:14" s="1985" customFormat="1" x14ac:dyDescent="0.2">
      <c r="A553" s="1427"/>
      <c r="B553" s="132"/>
      <c r="C553" s="1426" t="s">
        <v>610</v>
      </c>
      <c r="D553" s="610" t="s">
        <v>639</v>
      </c>
      <c r="E553" s="1427"/>
      <c r="F553" s="231">
        <f t="shared" si="137"/>
        <v>0</v>
      </c>
      <c r="G553" s="231">
        <f t="shared" si="137"/>
        <v>0</v>
      </c>
      <c r="H553" s="231">
        <f t="shared" si="137"/>
        <v>6.9224307051246114</v>
      </c>
      <c r="I553" s="231">
        <f t="shared" si="137"/>
        <v>23.004659850963872</v>
      </c>
      <c r="J553" s="231">
        <f t="shared" si="137"/>
        <v>52.477288682838171</v>
      </c>
      <c r="K553" s="231">
        <f t="shared" si="137"/>
        <v>100.90845929747013</v>
      </c>
      <c r="L553" s="231">
        <f t="shared" si="137"/>
        <v>171.30952977514005</v>
      </c>
      <c r="M553" s="231">
        <f t="shared" si="137"/>
        <v>272.12289327923156</v>
      </c>
      <c r="N553" s="231">
        <f t="shared" si="137"/>
        <v>412.15992906978124</v>
      </c>
    </row>
    <row r="554" spans="1:14" s="2479" customFormat="1" x14ac:dyDescent="0.2">
      <c r="A554" s="1427"/>
      <c r="B554" s="132"/>
      <c r="C554" s="1426" t="s">
        <v>2267</v>
      </c>
      <c r="D554" s="2479" t="s">
        <v>2264</v>
      </c>
      <c r="E554" s="1427"/>
      <c r="F554" s="231">
        <f t="shared" si="137"/>
        <v>0</v>
      </c>
      <c r="G554" s="231">
        <f t="shared" si="137"/>
        <v>0</v>
      </c>
      <c r="H554" s="231">
        <f t="shared" si="137"/>
        <v>0</v>
      </c>
      <c r="I554" s="231">
        <f t="shared" si="137"/>
        <v>0</v>
      </c>
      <c r="J554" s="231">
        <f t="shared" si="137"/>
        <v>0</v>
      </c>
      <c r="K554" s="231">
        <f t="shared" si="137"/>
        <v>0</v>
      </c>
      <c r="L554" s="231">
        <f t="shared" si="137"/>
        <v>0</v>
      </c>
      <c r="M554" s="231">
        <f t="shared" si="137"/>
        <v>0</v>
      </c>
      <c r="N554" s="231">
        <f t="shared" si="137"/>
        <v>0</v>
      </c>
    </row>
    <row r="555" spans="1:14" s="2479" customFormat="1" x14ac:dyDescent="0.2">
      <c r="A555" s="1427"/>
      <c r="B555" s="132"/>
      <c r="C555" s="1426" t="s">
        <v>2268</v>
      </c>
      <c r="D555" s="2479" t="s">
        <v>2266</v>
      </c>
      <c r="E555" s="1427"/>
      <c r="F555" s="231">
        <f t="shared" si="137"/>
        <v>0</v>
      </c>
      <c r="G555" s="231">
        <f t="shared" si="137"/>
        <v>0</v>
      </c>
      <c r="H555" s="231">
        <f t="shared" si="137"/>
        <v>0</v>
      </c>
      <c r="I555" s="231">
        <f t="shared" si="137"/>
        <v>0</v>
      </c>
      <c r="J555" s="231">
        <f t="shared" si="137"/>
        <v>0</v>
      </c>
      <c r="K555" s="231">
        <f t="shared" si="137"/>
        <v>0</v>
      </c>
      <c r="L555" s="231">
        <f t="shared" si="137"/>
        <v>0</v>
      </c>
      <c r="M555" s="231">
        <f t="shared" si="137"/>
        <v>0</v>
      </c>
      <c r="N555" s="231">
        <f t="shared" si="137"/>
        <v>0</v>
      </c>
    </row>
    <row r="556" spans="1:14" s="1985" customFormat="1" x14ac:dyDescent="0.2">
      <c r="A556" s="1427"/>
      <c r="B556" s="132"/>
      <c r="C556" s="1426" t="s">
        <v>611</v>
      </c>
      <c r="D556" s="610" t="s">
        <v>611</v>
      </c>
      <c r="E556" s="1427"/>
      <c r="F556" s="231">
        <f t="shared" si="137"/>
        <v>0</v>
      </c>
      <c r="G556" s="231">
        <f t="shared" si="137"/>
        <v>0</v>
      </c>
      <c r="H556" s="231">
        <f t="shared" si="137"/>
        <v>0</v>
      </c>
      <c r="I556" s="231">
        <f t="shared" si="137"/>
        <v>0</v>
      </c>
      <c r="J556" s="231">
        <f t="shared" si="137"/>
        <v>0</v>
      </c>
      <c r="K556" s="231">
        <f t="shared" si="137"/>
        <v>0</v>
      </c>
      <c r="L556" s="231">
        <f t="shared" si="137"/>
        <v>0</v>
      </c>
      <c r="M556" s="231">
        <f t="shared" si="137"/>
        <v>0</v>
      </c>
      <c r="N556" s="231">
        <f t="shared" si="137"/>
        <v>0</v>
      </c>
    </row>
    <row r="557" spans="1:14" s="1985" customFormat="1" x14ac:dyDescent="0.2">
      <c r="A557" s="1427"/>
      <c r="B557" s="132"/>
      <c r="C557" s="1426"/>
      <c r="D557" s="610"/>
      <c r="E557" s="1427"/>
      <c r="F557" s="231"/>
      <c r="G557" s="231"/>
      <c r="H557" s="231"/>
      <c r="I557" s="231"/>
      <c r="J557" s="231"/>
      <c r="K557" s="231"/>
      <c r="L557" s="231"/>
      <c r="M557" s="231"/>
      <c r="N557" s="231"/>
    </row>
    <row r="558" spans="1:14" s="1985" customFormat="1" x14ac:dyDescent="0.2">
      <c r="A558" s="1427"/>
      <c r="B558" s="1427" t="s">
        <v>1452</v>
      </c>
      <c r="C558" s="1427" t="s">
        <v>1454</v>
      </c>
      <c r="D558" s="1427"/>
      <c r="E558" s="1427"/>
      <c r="F558" s="234"/>
      <c r="G558" s="234"/>
      <c r="H558" s="234"/>
      <c r="I558" s="234"/>
      <c r="J558" s="234"/>
      <c r="K558" s="234"/>
      <c r="L558" s="234"/>
      <c r="M558" s="234"/>
      <c r="N558" s="234"/>
    </row>
    <row r="559" spans="1:14" s="1985" customFormat="1" x14ac:dyDescent="0.2">
      <c r="A559" s="1427"/>
      <c r="B559" s="132"/>
      <c r="C559" s="1427"/>
      <c r="D559" s="1427"/>
      <c r="E559" s="1427"/>
      <c r="F559" s="234"/>
      <c r="G559" s="234"/>
      <c r="H559" s="234"/>
      <c r="I559" s="234"/>
      <c r="J559" s="234"/>
      <c r="K559" s="234"/>
      <c r="L559" s="234"/>
      <c r="M559" s="234"/>
      <c r="N559" s="234"/>
    </row>
    <row r="560" spans="1:14" s="1985" customFormat="1" x14ac:dyDescent="0.2">
      <c r="A560" s="1427"/>
      <c r="B560" s="583"/>
      <c r="C560" s="17" t="s">
        <v>645</v>
      </c>
      <c r="D560" s="20"/>
      <c r="E560" s="1427"/>
      <c r="F560" s="234"/>
      <c r="G560" s="234"/>
      <c r="H560" s="234"/>
      <c r="I560" s="234"/>
      <c r="J560" s="234"/>
      <c r="K560" s="234"/>
      <c r="L560" s="234"/>
      <c r="M560" s="234"/>
      <c r="N560" s="1426" t="s">
        <v>1455</v>
      </c>
    </row>
    <row r="561" spans="1:14" s="1985" customFormat="1" x14ac:dyDescent="0.2">
      <c r="A561" s="1427"/>
      <c r="B561" s="132"/>
      <c r="C561" s="583" t="s">
        <v>592</v>
      </c>
      <c r="D561" s="1987" t="s">
        <v>343</v>
      </c>
      <c r="E561" s="1427"/>
      <c r="F561" s="234"/>
      <c r="G561" s="234"/>
      <c r="H561" s="234"/>
      <c r="I561" s="234"/>
      <c r="J561" s="234"/>
      <c r="K561" s="234"/>
      <c r="L561" s="234"/>
      <c r="M561" s="234"/>
      <c r="N561" s="234"/>
    </row>
    <row r="562" spans="1:14" s="1985" customFormat="1" x14ac:dyDescent="0.2">
      <c r="A562" s="1427"/>
      <c r="B562" s="132"/>
      <c r="C562" s="1426" t="s">
        <v>609</v>
      </c>
      <c r="D562" s="17" t="s">
        <v>609</v>
      </c>
      <c r="E562" s="1427"/>
      <c r="F562" s="231">
        <f>F543/F346</f>
        <v>0</v>
      </c>
      <c r="G562" s="231">
        <f t="shared" ref="G562:N562" si="138">G543/G$342</f>
        <v>7.8944305366475716</v>
      </c>
      <c r="H562" s="231">
        <f t="shared" si="138"/>
        <v>9.5213089755628264</v>
      </c>
      <c r="I562" s="231">
        <f t="shared" si="138"/>
        <v>11.456320605780014</v>
      </c>
      <c r="J562" s="231">
        <f t="shared" si="138"/>
        <v>13.754573560028115</v>
      </c>
      <c r="K562" s="231">
        <f t="shared" si="138"/>
        <v>16.480629981390045</v>
      </c>
      <c r="L562" s="231">
        <f t="shared" si="138"/>
        <v>19.234011059408093</v>
      </c>
      <c r="M562" s="231">
        <f t="shared" si="138"/>
        <v>22.408356046568535</v>
      </c>
      <c r="N562" s="231">
        <f t="shared" si="138"/>
        <v>26.06420884784141</v>
      </c>
    </row>
    <row r="563" spans="1:14" s="1985" customFormat="1" x14ac:dyDescent="0.2">
      <c r="A563" s="1427"/>
      <c r="B563" s="132"/>
      <c r="C563" s="583" t="s">
        <v>607</v>
      </c>
      <c r="D563" s="610" t="s">
        <v>2272</v>
      </c>
      <c r="E563" s="1427"/>
      <c r="F563" s="231">
        <f>F544/F$342</f>
        <v>56.184849900264375</v>
      </c>
      <c r="G563" s="231">
        <f t="shared" ref="G563:N563" si="139">G544/G$342</f>
        <v>60.790327302717472</v>
      </c>
      <c r="H563" s="231">
        <f t="shared" si="139"/>
        <v>65.679033611550167</v>
      </c>
      <c r="I563" s="231">
        <f t="shared" si="139"/>
        <v>70.904553187677408</v>
      </c>
      <c r="J563" s="231">
        <f t="shared" si="139"/>
        <v>76.533982600076087</v>
      </c>
      <c r="K563" s="231">
        <f t="shared" si="139"/>
        <v>82.649317720962159</v>
      </c>
      <c r="L563" s="231">
        <f t="shared" si="139"/>
        <v>87.190321218099882</v>
      </c>
      <c r="M563" s="231">
        <f t="shared" si="139"/>
        <v>92.128062599662627</v>
      </c>
      <c r="N563" s="231">
        <f t="shared" si="139"/>
        <v>97.544516546514927</v>
      </c>
    </row>
    <row r="564" spans="1:14" s="1985" customFormat="1" x14ac:dyDescent="0.2">
      <c r="A564" s="1427"/>
      <c r="B564" s="132"/>
      <c r="C564" s="583" t="s">
        <v>607</v>
      </c>
      <c r="D564" s="17" t="s">
        <v>923</v>
      </c>
      <c r="E564" s="1427"/>
      <c r="F564" s="231">
        <f t="shared" ref="F564:F566" si="140">F545/F$342</f>
        <v>0</v>
      </c>
      <c r="G564" s="231">
        <f t="shared" ref="G564:N564" si="141">G545/G$345</f>
        <v>4.5701613248598187</v>
      </c>
      <c r="H564" s="231">
        <f t="shared" si="141"/>
        <v>10.163886352762338</v>
      </c>
      <c r="I564" s="231">
        <f t="shared" si="141"/>
        <v>16.899856049363009</v>
      </c>
      <c r="J564" s="231">
        <f t="shared" si="141"/>
        <v>24.899510977901706</v>
      </c>
      <c r="K564" s="231">
        <f t="shared" si="141"/>
        <v>34.284161424991744</v>
      </c>
      <c r="L564" s="231">
        <f t="shared" si="141"/>
        <v>44.080041060717889</v>
      </c>
      <c r="M564" s="231">
        <f t="shared" si="141"/>
        <v>54.916183927392836</v>
      </c>
      <c r="N564" s="231">
        <f t="shared" si="141"/>
        <v>66.78517369186271</v>
      </c>
    </row>
    <row r="565" spans="1:14" s="1985" customFormat="1" x14ac:dyDescent="0.2">
      <c r="A565" s="1427"/>
      <c r="B565" s="132"/>
      <c r="C565" s="583" t="s">
        <v>607</v>
      </c>
      <c r="D565" s="610" t="s">
        <v>612</v>
      </c>
      <c r="E565" s="1427"/>
      <c r="F565" s="231">
        <f t="shared" si="140"/>
        <v>0</v>
      </c>
      <c r="G565" s="231">
        <f t="shared" ref="G565:N565" si="142">G546/G$345</f>
        <v>0.65288018926568858</v>
      </c>
      <c r="H565" s="231">
        <f t="shared" si="142"/>
        <v>1.4519837646803342</v>
      </c>
      <c r="I565" s="231">
        <f t="shared" si="142"/>
        <v>2.414265149909002</v>
      </c>
      <c r="J565" s="231">
        <f t="shared" si="142"/>
        <v>3.5570729968431012</v>
      </c>
      <c r="K565" s="231">
        <f t="shared" si="142"/>
        <v>4.8977373464273928</v>
      </c>
      <c r="L565" s="231">
        <f t="shared" si="142"/>
        <v>6.2971487229597001</v>
      </c>
      <c r="M565" s="231">
        <f t="shared" si="142"/>
        <v>7.8451691324846937</v>
      </c>
      <c r="N565" s="231">
        <f t="shared" si="142"/>
        <v>9.5407390988375322</v>
      </c>
    </row>
    <row r="566" spans="1:14" s="1985" customFormat="1" x14ac:dyDescent="0.2">
      <c r="A566" s="1427"/>
      <c r="B566" s="132"/>
      <c r="C566" s="583" t="s">
        <v>607</v>
      </c>
      <c r="D566" s="610" t="s">
        <v>2273</v>
      </c>
      <c r="E566" s="1427"/>
      <c r="F566" s="231">
        <f t="shared" si="140"/>
        <v>0</v>
      </c>
      <c r="G566" s="231">
        <f t="shared" ref="G566:N566" si="143">G547/G$345</f>
        <v>2.2459078510739685</v>
      </c>
      <c r="H566" s="231">
        <f t="shared" si="143"/>
        <v>4.7625067481514964</v>
      </c>
      <c r="I566" s="231">
        <f t="shared" si="143"/>
        <v>7.5325072677160847</v>
      </c>
      <c r="J566" s="231">
        <f t="shared" si="143"/>
        <v>10.528936070655577</v>
      </c>
      <c r="K566" s="231">
        <f t="shared" si="143"/>
        <v>13.713664569996697</v>
      </c>
      <c r="L566" s="231">
        <f t="shared" si="143"/>
        <v>16.624472628613603</v>
      </c>
      <c r="M566" s="231">
        <f t="shared" si="143"/>
        <v>19.456019448562031</v>
      </c>
      <c r="N566" s="231">
        <f t="shared" si="143"/>
        <v>22.134514709303073</v>
      </c>
    </row>
    <row r="567" spans="1:14" s="1985" customFormat="1" x14ac:dyDescent="0.2">
      <c r="A567" s="1427"/>
      <c r="B567" s="132"/>
      <c r="C567" s="583" t="s">
        <v>608</v>
      </c>
      <c r="D567" s="610" t="s">
        <v>2272</v>
      </c>
      <c r="E567" s="1427"/>
      <c r="F567" s="231">
        <f>F548/F$343</f>
        <v>11.236969980052875</v>
      </c>
      <c r="G567" s="231">
        <f t="shared" ref="G567:N567" si="144">G548/G$346</f>
        <v>131.84395661758208</v>
      </c>
      <c r="H567" s="231">
        <f t="shared" si="144"/>
        <v>154.43448443796927</v>
      </c>
      <c r="I567" s="231">
        <f t="shared" si="144"/>
        <v>180.75667784464241</v>
      </c>
      <c r="J567" s="231">
        <f t="shared" si="144"/>
        <v>211.593951894328</v>
      </c>
      <c r="K567" s="231">
        <f t="shared" si="144"/>
        <v>247.94795316288648</v>
      </c>
      <c r="L567" s="231">
        <f t="shared" si="144"/>
        <v>284.07169171058348</v>
      </c>
      <c r="M567" s="231">
        <f t="shared" si="144"/>
        <v>326.3519505649067</v>
      </c>
      <c r="N567" s="231">
        <f t="shared" si="144"/>
        <v>376.24313525084324</v>
      </c>
    </row>
    <row r="568" spans="1:14" s="1985" customFormat="1" x14ac:dyDescent="0.2">
      <c r="A568" s="1427"/>
      <c r="B568" s="132"/>
      <c r="C568" s="583" t="s">
        <v>608</v>
      </c>
      <c r="D568" s="17" t="s">
        <v>923</v>
      </c>
      <c r="E568" s="1427"/>
      <c r="F568" s="231">
        <f t="shared" ref="F568:F570" si="145">F549/F$343</f>
        <v>0</v>
      </c>
      <c r="G568" s="231">
        <f t="shared" ref="G568:N568" si="146">G549/G$346</f>
        <v>10.159706036141294</v>
      </c>
      <c r="H568" s="231">
        <f t="shared" si="146"/>
        <v>25.093811306076741</v>
      </c>
      <c r="I568" s="231">
        <f t="shared" si="146"/>
        <v>46.313936490208569</v>
      </c>
      <c r="J568" s="231">
        <f t="shared" si="146"/>
        <v>75.723806915148131</v>
      </c>
      <c r="K568" s="231">
        <f t="shared" si="146"/>
        <v>115.70904480934715</v>
      </c>
      <c r="L568" s="231">
        <f t="shared" si="146"/>
        <v>165.15796029685106</v>
      </c>
      <c r="M568" s="231">
        <f t="shared" si="146"/>
        <v>228.57698081304238</v>
      </c>
      <c r="N568" s="231">
        <f t="shared" si="146"/>
        <v>309.11994680233596</v>
      </c>
    </row>
    <row r="569" spans="1:14" s="1985" customFormat="1" x14ac:dyDescent="0.2">
      <c r="A569" s="1427"/>
      <c r="B569" s="132"/>
      <c r="C569" s="583" t="s">
        <v>608</v>
      </c>
      <c r="D569" s="610" t="s">
        <v>612</v>
      </c>
      <c r="E569" s="1427"/>
      <c r="F569" s="231">
        <f t="shared" si="145"/>
        <v>0</v>
      </c>
      <c r="G569" s="231">
        <f t="shared" ref="G569:N569" si="147">G550/G$346</f>
        <v>1.4513865765916136</v>
      </c>
      <c r="H569" s="231">
        <f t="shared" si="147"/>
        <v>3.5848301865823924</v>
      </c>
      <c r="I569" s="231">
        <f t="shared" si="147"/>
        <v>6.6162766414583682</v>
      </c>
      <c r="J569" s="231">
        <f t="shared" si="147"/>
        <v>10.81768670216402</v>
      </c>
      <c r="K569" s="231">
        <f t="shared" si="147"/>
        <v>16.529863544192452</v>
      </c>
      <c r="L569" s="231">
        <f t="shared" si="147"/>
        <v>23.593994328121585</v>
      </c>
      <c r="M569" s="231">
        <f t="shared" si="147"/>
        <v>32.653854401863207</v>
      </c>
      <c r="N569" s="231">
        <f t="shared" si="147"/>
        <v>44.159992400333721</v>
      </c>
    </row>
    <row r="570" spans="1:14" s="1985" customFormat="1" x14ac:dyDescent="0.2">
      <c r="A570" s="1427"/>
      <c r="B570" s="132"/>
      <c r="C570" s="583" t="s">
        <v>608</v>
      </c>
      <c r="D570" s="17" t="s">
        <v>2273</v>
      </c>
      <c r="E570" s="1427"/>
      <c r="F570" s="231">
        <f t="shared" si="145"/>
        <v>0</v>
      </c>
      <c r="G570" s="231">
        <f t="shared" ref="G570:N570" si="148">G551/G$346</f>
        <v>4.9927698234751512</v>
      </c>
      <c r="H570" s="231">
        <f t="shared" si="148"/>
        <v>11.758243011990247</v>
      </c>
      <c r="I570" s="231">
        <f t="shared" si="148"/>
        <v>20.642783121350107</v>
      </c>
      <c r="J570" s="231">
        <f t="shared" si="148"/>
        <v>32.020352638405491</v>
      </c>
      <c r="K570" s="231">
        <f t="shared" si="148"/>
        <v>46.283617923738859</v>
      </c>
      <c r="L570" s="231">
        <f t="shared" si="148"/>
        <v>62.288145026240969</v>
      </c>
      <c r="M570" s="231">
        <f t="shared" si="148"/>
        <v>80.981558916620699</v>
      </c>
      <c r="N570" s="231">
        <f t="shared" si="148"/>
        <v>102.45118236877421</v>
      </c>
    </row>
    <row r="571" spans="1:14" s="1985" customFormat="1" x14ac:dyDescent="0.2">
      <c r="A571" s="1427"/>
      <c r="B571" s="132"/>
      <c r="C571" s="583" t="s">
        <v>610</v>
      </c>
      <c r="D571" s="610" t="s">
        <v>638</v>
      </c>
      <c r="E571" s="1427"/>
      <c r="F571" s="231">
        <f t="shared" ref="F571:N571" si="149">F552/20</f>
        <v>0.46820708250220305</v>
      </c>
      <c r="G571" s="231">
        <f t="shared" si="149"/>
        <v>1.7381875168761822</v>
      </c>
      <c r="H571" s="231">
        <f t="shared" si="149"/>
        <v>3.115093817306076</v>
      </c>
      <c r="I571" s="231">
        <f t="shared" si="149"/>
        <v>4.6009319701927751</v>
      </c>
      <c r="J571" s="231">
        <f t="shared" si="149"/>
        <v>6.1223503463311193</v>
      </c>
      <c r="K571" s="231">
        <f t="shared" si="149"/>
        <v>7.5681344473102588</v>
      </c>
      <c r="L571" s="231">
        <f t="shared" si="149"/>
        <v>8.5654764887570032</v>
      </c>
      <c r="M571" s="231">
        <f t="shared" si="149"/>
        <v>9.0707631093077197</v>
      </c>
      <c r="N571" s="231">
        <f t="shared" si="149"/>
        <v>8.8319984800667406</v>
      </c>
    </row>
    <row r="572" spans="1:14" s="1985" customFormat="1" x14ac:dyDescent="0.2">
      <c r="A572" s="1427"/>
      <c r="B572" s="132"/>
      <c r="C572" s="1426" t="s">
        <v>610</v>
      </c>
      <c r="D572" s="610" t="s">
        <v>639</v>
      </c>
      <c r="E572" s="1427"/>
      <c r="F572" s="231">
        <f t="shared" ref="F572:N572" si="150">F553/20</f>
        <v>0</v>
      </c>
      <c r="G572" s="231">
        <f t="shared" si="150"/>
        <v>0</v>
      </c>
      <c r="H572" s="231">
        <f t="shared" si="150"/>
        <v>0.34612153525623057</v>
      </c>
      <c r="I572" s="231">
        <f t="shared" si="150"/>
        <v>1.1502329925481936</v>
      </c>
      <c r="J572" s="231">
        <f t="shared" si="150"/>
        <v>2.6238644341419084</v>
      </c>
      <c r="K572" s="231">
        <f t="shared" si="150"/>
        <v>5.0454229648735067</v>
      </c>
      <c r="L572" s="231">
        <f t="shared" si="150"/>
        <v>8.5654764887570032</v>
      </c>
      <c r="M572" s="231">
        <f t="shared" si="150"/>
        <v>13.606144663961578</v>
      </c>
      <c r="N572" s="231">
        <f t="shared" si="150"/>
        <v>20.607996453489061</v>
      </c>
    </row>
    <row r="573" spans="1:14" s="2479" customFormat="1" x14ac:dyDescent="0.2">
      <c r="A573" s="1427"/>
      <c r="B573" s="132"/>
      <c r="C573" s="1426" t="s">
        <v>2267</v>
      </c>
      <c r="D573" s="2479" t="s">
        <v>2264</v>
      </c>
      <c r="E573" s="1427"/>
      <c r="F573" s="231">
        <f>F554/F$343</f>
        <v>0</v>
      </c>
      <c r="G573" s="231">
        <f t="shared" ref="G573:N573" si="151">G554/G$343</f>
        <v>0</v>
      </c>
      <c r="H573" s="231">
        <f t="shared" si="151"/>
        <v>0</v>
      </c>
      <c r="I573" s="231">
        <f t="shared" si="151"/>
        <v>0</v>
      </c>
      <c r="J573" s="231">
        <f t="shared" si="151"/>
        <v>0</v>
      </c>
      <c r="K573" s="231">
        <f t="shared" si="151"/>
        <v>0</v>
      </c>
      <c r="L573" s="231">
        <f t="shared" si="151"/>
        <v>0</v>
      </c>
      <c r="M573" s="231">
        <f t="shared" si="151"/>
        <v>0</v>
      </c>
      <c r="N573" s="231">
        <f t="shared" si="151"/>
        <v>0</v>
      </c>
    </row>
    <row r="574" spans="1:14" s="2479" customFormat="1" x14ac:dyDescent="0.2">
      <c r="A574" s="1427"/>
      <c r="B574" s="132"/>
      <c r="C574" s="1426" t="s">
        <v>2268</v>
      </c>
      <c r="D574" s="2479" t="s">
        <v>2266</v>
      </c>
      <c r="E574" s="1427"/>
      <c r="F574" s="231">
        <f>F555/F$343</f>
        <v>0</v>
      </c>
      <c r="G574" s="231">
        <f t="shared" ref="G574:N574" si="152">G555/G$343</f>
        <v>0</v>
      </c>
      <c r="H574" s="231">
        <f t="shared" si="152"/>
        <v>0</v>
      </c>
      <c r="I574" s="231">
        <f t="shared" si="152"/>
        <v>0</v>
      </c>
      <c r="J574" s="231">
        <f t="shared" si="152"/>
        <v>0</v>
      </c>
      <c r="K574" s="231">
        <f t="shared" si="152"/>
        <v>0</v>
      </c>
      <c r="L574" s="231">
        <f t="shared" si="152"/>
        <v>0</v>
      </c>
      <c r="M574" s="231">
        <f t="shared" si="152"/>
        <v>0</v>
      </c>
      <c r="N574" s="231">
        <f t="shared" si="152"/>
        <v>0</v>
      </c>
    </row>
    <row r="575" spans="1:14" s="1985" customFormat="1" x14ac:dyDescent="0.2">
      <c r="A575" s="1427"/>
      <c r="B575" s="132"/>
      <c r="C575" s="1426" t="s">
        <v>611</v>
      </c>
      <c r="D575" s="610" t="s">
        <v>611</v>
      </c>
      <c r="E575" s="1427"/>
      <c r="F575" s="231">
        <f>F556/64.8</f>
        <v>0</v>
      </c>
      <c r="G575" s="231">
        <f t="shared" ref="G575:N575" si="153">G556/64.8</f>
        <v>0</v>
      </c>
      <c r="H575" s="231">
        <f t="shared" si="153"/>
        <v>0</v>
      </c>
      <c r="I575" s="231">
        <f t="shared" si="153"/>
        <v>0</v>
      </c>
      <c r="J575" s="231">
        <f t="shared" si="153"/>
        <v>0</v>
      </c>
      <c r="K575" s="231">
        <f t="shared" si="153"/>
        <v>0</v>
      </c>
      <c r="L575" s="231">
        <f t="shared" si="153"/>
        <v>0</v>
      </c>
      <c r="M575" s="231">
        <f t="shared" si="153"/>
        <v>0</v>
      </c>
      <c r="N575" s="231">
        <f t="shared" si="153"/>
        <v>0</v>
      </c>
    </row>
    <row r="576" spans="1:14" s="1985" customFormat="1" x14ac:dyDescent="0.2">
      <c r="A576" s="1427"/>
      <c r="B576" s="132"/>
      <c r="C576" s="1426"/>
      <c r="D576" s="610"/>
      <c r="E576" s="1427"/>
      <c r="F576" s="231"/>
      <c r="G576" s="231"/>
      <c r="H576" s="231"/>
      <c r="I576" s="231"/>
      <c r="J576" s="231"/>
      <c r="K576" s="231"/>
      <c r="L576" s="231"/>
      <c r="M576" s="231"/>
      <c r="N576" s="231"/>
    </row>
    <row r="577" spans="1:14" s="1985" customFormat="1" x14ac:dyDescent="0.2">
      <c r="A577" s="1427"/>
      <c r="B577" s="1427" t="s">
        <v>1453</v>
      </c>
      <c r="C577" s="1427" t="s">
        <v>1650</v>
      </c>
      <c r="D577" s="1427"/>
      <c r="E577" s="1427"/>
      <c r="F577" s="234"/>
      <c r="G577" s="234"/>
      <c r="H577" s="234"/>
      <c r="I577" s="234"/>
      <c r="J577" s="234"/>
      <c r="K577" s="234"/>
      <c r="L577" s="234"/>
      <c r="M577" s="234"/>
      <c r="N577" s="234"/>
    </row>
    <row r="578" spans="1:14" s="1985" customFormat="1" x14ac:dyDescent="0.2">
      <c r="A578" s="1427"/>
      <c r="B578" s="132"/>
      <c r="C578" s="1427"/>
      <c r="D578" s="1427"/>
      <c r="E578" s="1427"/>
      <c r="F578" s="234"/>
      <c r="G578" s="234"/>
      <c r="H578" s="234"/>
      <c r="I578" s="234"/>
      <c r="J578" s="234"/>
      <c r="K578" s="234"/>
      <c r="L578" s="234"/>
      <c r="M578" s="234"/>
      <c r="N578" s="234"/>
    </row>
    <row r="579" spans="1:14" s="1985" customFormat="1" x14ac:dyDescent="0.2">
      <c r="A579" s="1427"/>
      <c r="B579" s="583"/>
      <c r="C579" s="17" t="s">
        <v>645</v>
      </c>
      <c r="D579" s="20"/>
      <c r="E579" s="1427"/>
      <c r="F579" s="234"/>
      <c r="G579" s="234"/>
      <c r="H579" s="234"/>
      <c r="I579" s="234"/>
      <c r="J579" s="234"/>
      <c r="K579" s="234"/>
      <c r="L579" s="234"/>
      <c r="M579" s="234"/>
      <c r="N579" s="1426" t="s">
        <v>1457</v>
      </c>
    </row>
    <row r="580" spans="1:14" s="1985" customFormat="1" x14ac:dyDescent="0.2">
      <c r="A580" s="1427"/>
      <c r="B580" s="132"/>
      <c r="C580" s="583" t="s">
        <v>592</v>
      </c>
      <c r="D580" s="1987" t="s">
        <v>343</v>
      </c>
      <c r="E580" s="1427"/>
      <c r="F580" s="1535">
        <v>2010</v>
      </c>
      <c r="G580" s="1535">
        <v>2015</v>
      </c>
      <c r="H580" s="1535">
        <v>2020</v>
      </c>
      <c r="I580" s="1535">
        <v>2025</v>
      </c>
      <c r="J580" s="1535">
        <v>2030</v>
      </c>
      <c r="K580" s="1535">
        <v>2035</v>
      </c>
      <c r="L580" s="1535">
        <v>2040</v>
      </c>
      <c r="M580" s="1535">
        <v>2045</v>
      </c>
      <c r="N580" s="1535">
        <v>2050</v>
      </c>
    </row>
    <row r="581" spans="1:14" s="1985" customFormat="1" x14ac:dyDescent="0.2">
      <c r="A581" s="1427"/>
      <c r="B581" s="132"/>
      <c r="C581" s="1426" t="s">
        <v>609</v>
      </c>
      <c r="D581" s="17" t="s">
        <v>609</v>
      </c>
      <c r="E581" s="1427"/>
      <c r="F581" s="231">
        <f t="shared" ref="F581:N581" si="154">F360/1000</f>
        <v>1560.6902750073436</v>
      </c>
      <c r="G581" s="231">
        <f t="shared" si="154"/>
        <v>2207.2222436522952</v>
      </c>
      <c r="H581" s="231">
        <f t="shared" si="154"/>
        <v>2996.7232489716935</v>
      </c>
      <c r="I581" s="231">
        <f t="shared" si="154"/>
        <v>3955.6035115879918</v>
      </c>
      <c r="J581" s="231">
        <f t="shared" si="154"/>
        <v>5114.7454856567419</v>
      </c>
      <c r="K581" s="231">
        <f t="shared" si="154"/>
        <v>6510.2231804819448</v>
      </c>
      <c r="L581" s="231">
        <f t="shared" si="154"/>
        <v>7986.4582645752944</v>
      </c>
      <c r="M581" s="231">
        <f t="shared" si="154"/>
        <v>9699.4647810231254</v>
      </c>
      <c r="N581" s="231">
        <f t="shared" si="154"/>
        <v>11682.537672045955</v>
      </c>
    </row>
    <row r="582" spans="1:14" s="1985" customFormat="1" x14ac:dyDescent="0.2">
      <c r="A582" s="1427"/>
      <c r="B582" s="132"/>
      <c r="C582" s="583" t="s">
        <v>607</v>
      </c>
      <c r="D582" s="610" t="s">
        <v>2272</v>
      </c>
      <c r="E582" s="1427"/>
      <c r="F582" s="231">
        <f t="shared" ref="F582:N582" si="155">F563*1000000/INDEX(F$156:F$162,MATCH($C582,$C$156:$C$162,0))</f>
        <v>18728.283300088126</v>
      </c>
      <c r="G582" s="231">
        <f t="shared" si="155"/>
        <v>19298.516604037293</v>
      </c>
      <c r="H582" s="231">
        <f t="shared" si="155"/>
        <v>19902.737458045503</v>
      </c>
      <c r="I582" s="231">
        <f t="shared" si="155"/>
        <v>20552.044402225336</v>
      </c>
      <c r="J582" s="231">
        <f t="shared" si="155"/>
        <v>21259.439611132246</v>
      </c>
      <c r="K582" s="231">
        <f t="shared" si="155"/>
        <v>22039.81805892324</v>
      </c>
      <c r="L582" s="231">
        <f t="shared" si="155"/>
        <v>22356.492620025609</v>
      </c>
      <c r="M582" s="231">
        <f t="shared" si="155"/>
        <v>22747.669777694478</v>
      </c>
      <c r="N582" s="231">
        <f t="shared" si="155"/>
        <v>23224.884892027363</v>
      </c>
    </row>
    <row r="583" spans="1:14" s="1520" customFormat="1" x14ac:dyDescent="0.2">
      <c r="A583" s="1427"/>
      <c r="B583" s="132"/>
      <c r="C583" s="583" t="s">
        <v>607</v>
      </c>
      <c r="D583" s="17" t="s">
        <v>923</v>
      </c>
      <c r="E583" s="1427"/>
      <c r="F583" s="231">
        <f t="shared" ref="F583:N583" si="156">F564*1000000/INDEX(F$156:F$162,MATCH($C583,$C$156:$C$162,0))</f>
        <v>0</v>
      </c>
      <c r="G583" s="231">
        <f t="shared" si="156"/>
        <v>1450.844865034863</v>
      </c>
      <c r="H583" s="231">
        <f t="shared" si="156"/>
        <v>3079.9655614431326</v>
      </c>
      <c r="I583" s="231">
        <f t="shared" si="156"/>
        <v>4898.5089998153653</v>
      </c>
      <c r="J583" s="231">
        <f t="shared" si="156"/>
        <v>6916.5308271949179</v>
      </c>
      <c r="K583" s="231">
        <f t="shared" si="156"/>
        <v>9142.4430466644644</v>
      </c>
      <c r="L583" s="231">
        <f t="shared" si="156"/>
        <v>11302.574630953304</v>
      </c>
      <c r="M583" s="231">
        <f t="shared" si="156"/>
        <v>13559.551587010576</v>
      </c>
      <c r="N583" s="231">
        <f t="shared" si="156"/>
        <v>15901.231831395884</v>
      </c>
    </row>
    <row r="584" spans="1:14" s="1390" customFormat="1" x14ac:dyDescent="0.2">
      <c r="A584" s="1427"/>
      <c r="B584" s="132"/>
      <c r="C584" s="583" t="s">
        <v>607</v>
      </c>
      <c r="D584" s="610" t="s">
        <v>612</v>
      </c>
      <c r="E584" s="1427"/>
      <c r="F584" s="231">
        <f t="shared" ref="F584:N584" si="157">F565*1000000/INDEX(F$156:F$162,MATCH($C584,$C$156:$C$162,0))</f>
        <v>0</v>
      </c>
      <c r="G584" s="231">
        <f t="shared" si="157"/>
        <v>207.26355214783763</v>
      </c>
      <c r="H584" s="231">
        <f t="shared" si="157"/>
        <v>439.99508020616184</v>
      </c>
      <c r="I584" s="231">
        <f t="shared" si="157"/>
        <v>699.78699997362367</v>
      </c>
      <c r="J584" s="231">
        <f t="shared" si="157"/>
        <v>988.07583245641695</v>
      </c>
      <c r="K584" s="231">
        <f t="shared" si="157"/>
        <v>1306.0632923806381</v>
      </c>
      <c r="L584" s="231">
        <f t="shared" si="157"/>
        <v>1614.6535187076154</v>
      </c>
      <c r="M584" s="231">
        <f t="shared" si="157"/>
        <v>1937.0787981443689</v>
      </c>
      <c r="N584" s="231">
        <f t="shared" si="157"/>
        <v>2271.6045473422696</v>
      </c>
    </row>
    <row r="585" spans="1:14" s="1390" customFormat="1" x14ac:dyDescent="0.2">
      <c r="A585" s="1427"/>
      <c r="B585" s="132"/>
      <c r="C585" s="583" t="s">
        <v>607</v>
      </c>
      <c r="D585" s="610" t="s">
        <v>2273</v>
      </c>
      <c r="E585" s="1427"/>
      <c r="F585" s="231">
        <f t="shared" ref="F585:N585" si="158">F566*1000000/INDEX(F$156:F$162,MATCH($C585,$C$156:$C$162,0))</f>
        <v>0</v>
      </c>
      <c r="G585" s="231">
        <f t="shared" si="158"/>
        <v>712.98661938856151</v>
      </c>
      <c r="H585" s="231">
        <f t="shared" si="158"/>
        <v>1443.1838630762109</v>
      </c>
      <c r="I585" s="231">
        <f t="shared" si="158"/>
        <v>2183.3354399177056</v>
      </c>
      <c r="J585" s="231">
        <f t="shared" si="158"/>
        <v>2924.7044640709937</v>
      </c>
      <c r="K585" s="231">
        <f t="shared" si="158"/>
        <v>3656.9772186657856</v>
      </c>
      <c r="L585" s="231">
        <f t="shared" si="158"/>
        <v>4262.6852893881032</v>
      </c>
      <c r="M585" s="231">
        <f t="shared" si="158"/>
        <v>4803.9554193980321</v>
      </c>
      <c r="N585" s="231">
        <f t="shared" si="158"/>
        <v>5270.1225498340655</v>
      </c>
    </row>
    <row r="586" spans="1:14" s="1521" customFormat="1" x14ac:dyDescent="0.2">
      <c r="A586" s="1427"/>
      <c r="B586" s="132"/>
      <c r="C586" s="583" t="s">
        <v>608</v>
      </c>
      <c r="D586" s="610" t="s">
        <v>2272</v>
      </c>
      <c r="E586" s="1427"/>
      <c r="F586" s="231">
        <f t="shared" ref="F586:N586" si="159">F567*1000000/INDEX(F$156:F$162,MATCH($C586,$C$156:$C$162,0))</f>
        <v>9364.1416500440628</v>
      </c>
      <c r="G586" s="231">
        <f t="shared" si="159"/>
        <v>90614.403173595929</v>
      </c>
      <c r="H586" s="231">
        <f t="shared" si="159"/>
        <v>90312.563998812431</v>
      </c>
      <c r="I586" s="231">
        <f t="shared" si="159"/>
        <v>91988.131218647526</v>
      </c>
      <c r="J586" s="231">
        <f t="shared" si="159"/>
        <v>95312.590943390984</v>
      </c>
      <c r="K586" s="231">
        <f t="shared" si="159"/>
        <v>100180.99117692382</v>
      </c>
      <c r="L586" s="231">
        <f t="shared" si="159"/>
        <v>104055.56472915146</v>
      </c>
      <c r="M586" s="231">
        <f t="shared" si="159"/>
        <v>109330.63670516138</v>
      </c>
      <c r="N586" s="231">
        <f t="shared" si="159"/>
        <v>116124.4244601368</v>
      </c>
    </row>
    <row r="587" spans="1:14" s="1556" customFormat="1" x14ac:dyDescent="0.2">
      <c r="A587" s="1427"/>
      <c r="B587" s="132"/>
      <c r="C587" s="583" t="s">
        <v>608</v>
      </c>
      <c r="D587" s="17" t="s">
        <v>923</v>
      </c>
      <c r="E587" s="1427"/>
      <c r="F587" s="231">
        <f t="shared" ref="F587:N587" si="160">F568*1000000/INDEX(F$156:F$162,MATCH($C587,$C$156:$C$162,0))</f>
        <v>0</v>
      </c>
      <c r="G587" s="231">
        <f t="shared" si="160"/>
        <v>6982.6158323995151</v>
      </c>
      <c r="H587" s="231">
        <f t="shared" si="160"/>
        <v>14674.743453846047</v>
      </c>
      <c r="I587" s="231">
        <f t="shared" si="160"/>
        <v>23569.433328350417</v>
      </c>
      <c r="J587" s="231">
        <f t="shared" si="160"/>
        <v>34109.822934751406</v>
      </c>
      <c r="K587" s="231">
        <f t="shared" si="160"/>
        <v>46751.129215897839</v>
      </c>
      <c r="L587" s="231">
        <f t="shared" si="160"/>
        <v>60497.421354157901</v>
      </c>
      <c r="M587" s="231">
        <f t="shared" si="160"/>
        <v>76575.202952443011</v>
      </c>
      <c r="N587" s="231">
        <f t="shared" si="160"/>
        <v>95407.390988375308</v>
      </c>
    </row>
    <row r="588" spans="1:14" s="1556" customFormat="1" x14ac:dyDescent="0.2">
      <c r="A588" s="1427"/>
      <c r="B588" s="132"/>
      <c r="C588" s="583" t="s">
        <v>608</v>
      </c>
      <c r="D588" s="610" t="s">
        <v>612</v>
      </c>
      <c r="E588" s="1427"/>
      <c r="F588" s="231">
        <f t="shared" ref="F588:N588" si="161">F569*1000000/INDEX(F$156:F$162,MATCH($C588,$C$156:$C$162,0))</f>
        <v>0</v>
      </c>
      <c r="G588" s="231">
        <f t="shared" si="161"/>
        <v>997.51654748564511</v>
      </c>
      <c r="H588" s="231">
        <f t="shared" si="161"/>
        <v>2096.3919219780073</v>
      </c>
      <c r="I588" s="231">
        <f t="shared" si="161"/>
        <v>3367.0619040500601</v>
      </c>
      <c r="J588" s="231">
        <f t="shared" si="161"/>
        <v>4872.8318478216306</v>
      </c>
      <c r="K588" s="231">
        <f t="shared" si="161"/>
        <v>6678.7327451282636</v>
      </c>
      <c r="L588" s="231">
        <f t="shared" si="161"/>
        <v>8642.4887648797012</v>
      </c>
      <c r="M588" s="231">
        <f t="shared" si="161"/>
        <v>10939.314707491862</v>
      </c>
      <c r="N588" s="231">
        <f t="shared" si="161"/>
        <v>13629.627284053617</v>
      </c>
    </row>
    <row r="589" spans="1:14" s="1558" customFormat="1" x14ac:dyDescent="0.2">
      <c r="A589" s="1427"/>
      <c r="B589" s="132"/>
      <c r="C589" s="583" t="s">
        <v>608</v>
      </c>
      <c r="D589" s="17" t="s">
        <v>2273</v>
      </c>
      <c r="E589" s="1427"/>
      <c r="F589" s="231">
        <f t="shared" ref="F589:N589" si="162">F570*1000000/INDEX(F$156:F$162,MATCH($C589,$C$156:$C$162,0))</f>
        <v>0</v>
      </c>
      <c r="G589" s="231">
        <f t="shared" si="162"/>
        <v>3431.4569233506195</v>
      </c>
      <c r="H589" s="231">
        <f t="shared" si="162"/>
        <v>6876.1655040878641</v>
      </c>
      <c r="I589" s="231">
        <f t="shared" si="162"/>
        <v>10505.233140636186</v>
      </c>
      <c r="J589" s="231">
        <f t="shared" si="162"/>
        <v>14423.582269552024</v>
      </c>
      <c r="K589" s="231">
        <f t="shared" si="162"/>
        <v>18700.451686359134</v>
      </c>
      <c r="L589" s="231">
        <f t="shared" si="162"/>
        <v>22816.170339282406</v>
      </c>
      <c r="M589" s="231">
        <f t="shared" si="162"/>
        <v>27129.5004745798</v>
      </c>
      <c r="N589" s="231">
        <f t="shared" si="162"/>
        <v>31620.735299004384</v>
      </c>
    </row>
    <row r="590" spans="1:14" s="1564" customFormat="1" x14ac:dyDescent="0.2">
      <c r="A590" s="1427"/>
      <c r="B590" s="132"/>
      <c r="C590" s="583" t="s">
        <v>610</v>
      </c>
      <c r="D590" s="610" t="s">
        <v>638</v>
      </c>
      <c r="E590" s="1427"/>
      <c r="F590" s="231">
        <f t="shared" ref="F590:N590" si="163">F571*1000000/INDEX(F$156:F$162,MATCH($C590,$C$156:$C$162,0))*0.8</f>
        <v>6242.7611000293746</v>
      </c>
      <c r="G590" s="231">
        <f t="shared" si="163"/>
        <v>4311.7829875998323</v>
      </c>
      <c r="H590" s="231">
        <f t="shared" si="163"/>
        <v>4259.9573569997619</v>
      </c>
      <c r="I590" s="231">
        <f t="shared" si="163"/>
        <v>4343.0626267306434</v>
      </c>
      <c r="J590" s="231">
        <f t="shared" si="163"/>
        <v>4412.5047541125186</v>
      </c>
      <c r="K590" s="231">
        <f t="shared" si="163"/>
        <v>4411.2987671025185</v>
      </c>
      <c r="L590" s="231">
        <f t="shared" si="163"/>
        <v>4191.0588324193295</v>
      </c>
      <c r="M590" s="231">
        <f t="shared" si="163"/>
        <v>3824.3006521455472</v>
      </c>
      <c r="N590" s="231">
        <f t="shared" si="163"/>
        <v>3271.1105481728673</v>
      </c>
    </row>
    <row r="591" spans="1:14" s="1564" customFormat="1" x14ac:dyDescent="0.2">
      <c r="A591" s="1427"/>
      <c r="B591" s="132"/>
      <c r="C591" s="1426" t="s">
        <v>610</v>
      </c>
      <c r="D591" s="610" t="s">
        <v>639</v>
      </c>
      <c r="E591" s="1427"/>
      <c r="F591" s="231">
        <f t="shared" ref="F591:N591" si="164">F572*1000000/INDEX(F$156:F$162,MATCH($C591,$C$156:$C$162,0))*0.8</f>
        <v>0</v>
      </c>
      <c r="G591" s="231">
        <f t="shared" si="164"/>
        <v>0</v>
      </c>
      <c r="H591" s="231">
        <f t="shared" si="164"/>
        <v>473.32859522219564</v>
      </c>
      <c r="I591" s="231">
        <f t="shared" si="164"/>
        <v>1085.7656566826606</v>
      </c>
      <c r="J591" s="231">
        <f t="shared" si="164"/>
        <v>1891.0734660482224</v>
      </c>
      <c r="K591" s="231">
        <f t="shared" si="164"/>
        <v>2940.8658447350135</v>
      </c>
      <c r="L591" s="231">
        <f t="shared" si="164"/>
        <v>4191.0588324193295</v>
      </c>
      <c r="M591" s="231">
        <f t="shared" si="164"/>
        <v>5736.4509782183204</v>
      </c>
      <c r="N591" s="231">
        <f t="shared" si="164"/>
        <v>7632.5912790700231</v>
      </c>
    </row>
    <row r="592" spans="1:14" s="2479" customFormat="1" x14ac:dyDescent="0.2">
      <c r="A592" s="1427"/>
      <c r="B592" s="132"/>
      <c r="C592" s="1426" t="s">
        <v>2267</v>
      </c>
      <c r="D592" s="2479" t="s">
        <v>2264</v>
      </c>
      <c r="E592" s="1427"/>
      <c r="F592" s="231">
        <f t="shared" ref="F592:N592" si="165">F573*1000000/INDEX(F$156:F$162,MATCH($C592,$C$156:$C$162,0))*0.8</f>
        <v>0</v>
      </c>
      <c r="G592" s="231">
        <f t="shared" si="165"/>
        <v>0</v>
      </c>
      <c r="H592" s="231">
        <f t="shared" si="165"/>
        <v>0</v>
      </c>
      <c r="I592" s="231">
        <f t="shared" si="165"/>
        <v>0</v>
      </c>
      <c r="J592" s="231">
        <f t="shared" si="165"/>
        <v>0</v>
      </c>
      <c r="K592" s="231">
        <f t="shared" si="165"/>
        <v>0</v>
      </c>
      <c r="L592" s="231">
        <f t="shared" si="165"/>
        <v>0</v>
      </c>
      <c r="M592" s="231">
        <f t="shared" si="165"/>
        <v>0</v>
      </c>
      <c r="N592" s="231">
        <f t="shared" si="165"/>
        <v>0</v>
      </c>
    </row>
    <row r="593" spans="1:14" s="2479" customFormat="1" x14ac:dyDescent="0.2">
      <c r="A593" s="1427"/>
      <c r="B593" s="132"/>
      <c r="C593" s="1426" t="s">
        <v>2268</v>
      </c>
      <c r="D593" s="2479" t="s">
        <v>2266</v>
      </c>
      <c r="E593" s="1427"/>
      <c r="F593" s="231">
        <f t="shared" ref="F593:N593" si="166">F574*1000000/INDEX(F$156:F$162,MATCH($C593,$C$156:$C$162,0))*0.8</f>
        <v>0</v>
      </c>
      <c r="G593" s="231">
        <f t="shared" si="166"/>
        <v>0</v>
      </c>
      <c r="H593" s="231">
        <f t="shared" si="166"/>
        <v>0</v>
      </c>
      <c r="I593" s="231">
        <f t="shared" si="166"/>
        <v>0</v>
      </c>
      <c r="J593" s="231">
        <f t="shared" si="166"/>
        <v>0</v>
      </c>
      <c r="K593" s="231">
        <f t="shared" si="166"/>
        <v>0</v>
      </c>
      <c r="L593" s="231">
        <f t="shared" si="166"/>
        <v>0</v>
      </c>
      <c r="M593" s="231">
        <f t="shared" si="166"/>
        <v>0</v>
      </c>
      <c r="N593" s="231">
        <f t="shared" si="166"/>
        <v>0</v>
      </c>
    </row>
    <row r="594" spans="1:14" x14ac:dyDescent="0.2">
      <c r="A594" s="1427"/>
      <c r="B594" s="132"/>
      <c r="C594" s="1426" t="s">
        <v>611</v>
      </c>
      <c r="D594" s="610" t="s">
        <v>611</v>
      </c>
      <c r="E594" s="1427"/>
      <c r="F594" s="231">
        <f t="shared" ref="F594:N594" si="167">F575*1000000/INDEX(F$156:F$162,MATCH($C594,$C$156:$C$162,0))</f>
        <v>0</v>
      </c>
      <c r="G594" s="231">
        <f t="shared" si="167"/>
        <v>0</v>
      </c>
      <c r="H594" s="231">
        <f t="shared" si="167"/>
        <v>0</v>
      </c>
      <c r="I594" s="231">
        <f t="shared" si="167"/>
        <v>0</v>
      </c>
      <c r="J594" s="231">
        <f t="shared" si="167"/>
        <v>0</v>
      </c>
      <c r="K594" s="231">
        <f t="shared" si="167"/>
        <v>0</v>
      </c>
      <c r="L594" s="231">
        <f t="shared" si="167"/>
        <v>0</v>
      </c>
      <c r="M594" s="231">
        <f t="shared" si="167"/>
        <v>0</v>
      </c>
      <c r="N594" s="231">
        <f t="shared" si="167"/>
        <v>0</v>
      </c>
    </row>
    <row r="595" spans="1:14" collapsed="1" x14ac:dyDescent="0.2">
      <c r="A595" s="1427"/>
      <c r="B595" s="132"/>
      <c r="C595" s="1426"/>
      <c r="D595" s="610"/>
      <c r="E595" s="1427"/>
      <c r="F595" s="231"/>
      <c r="G595" s="231"/>
      <c r="H595" s="231"/>
      <c r="I595" s="231"/>
      <c r="J595" s="231"/>
      <c r="K595" s="231"/>
      <c r="L595" s="231"/>
      <c r="M595" s="231"/>
      <c r="N595" s="231"/>
    </row>
    <row r="596" spans="1:14" s="1390" customFormat="1" x14ac:dyDescent="0.2">
      <c r="A596" s="1532"/>
      <c r="B596" s="1532" t="s">
        <v>1458</v>
      </c>
      <c r="C596" s="1532" t="s">
        <v>1651</v>
      </c>
      <c r="D596" s="1532"/>
      <c r="E596" s="1532"/>
      <c r="F596" s="1532"/>
      <c r="G596" s="1532"/>
      <c r="H596" s="1532"/>
      <c r="I596" s="1532"/>
      <c r="J596" s="1532"/>
      <c r="K596" s="1532"/>
      <c r="L596" s="1532"/>
      <c r="M596" s="1532"/>
      <c r="N596" s="1532"/>
    </row>
    <row r="597" spans="1:14" s="1390" customFormat="1" x14ac:dyDescent="0.2">
      <c r="A597" s="1532"/>
      <c r="B597" s="1534"/>
      <c r="C597" s="1532"/>
      <c r="D597" s="1532"/>
      <c r="E597" s="1532"/>
      <c r="F597" s="1532"/>
      <c r="G597" s="1532"/>
      <c r="H597" s="1532"/>
      <c r="I597" s="1532"/>
      <c r="J597" s="1532"/>
      <c r="K597" s="1532"/>
      <c r="L597" s="1532"/>
      <c r="M597" s="1532"/>
      <c r="N597" s="1532"/>
    </row>
    <row r="598" spans="1:14" s="1390" customFormat="1" x14ac:dyDescent="0.2">
      <c r="A598" s="1532"/>
      <c r="B598" s="1536"/>
      <c r="C598" s="1537" t="s">
        <v>645</v>
      </c>
      <c r="D598" s="834"/>
      <c r="E598" s="1532"/>
      <c r="F598" s="1533"/>
      <c r="G598" s="1533"/>
      <c r="H598" s="1533"/>
      <c r="I598" s="1533"/>
      <c r="J598" s="1533"/>
      <c r="K598" s="1533"/>
      <c r="L598" s="1533"/>
      <c r="M598" s="1533"/>
      <c r="N598" s="1185" t="s">
        <v>1658</v>
      </c>
    </row>
    <row r="599" spans="1:14" s="1521" customFormat="1" x14ac:dyDescent="0.2">
      <c r="A599" s="1532"/>
      <c r="B599" s="1534"/>
      <c r="C599" s="1536" t="s">
        <v>592</v>
      </c>
      <c r="D599" s="588" t="s">
        <v>343</v>
      </c>
      <c r="E599" s="1532"/>
      <c r="F599" s="1535">
        <v>2010</v>
      </c>
      <c r="G599" s="1535">
        <v>2015</v>
      </c>
      <c r="H599" s="1535">
        <v>2020</v>
      </c>
      <c r="I599" s="1535">
        <v>2025</v>
      </c>
      <c r="J599" s="1535">
        <v>2030</v>
      </c>
      <c r="K599" s="1535">
        <v>2035</v>
      </c>
      <c r="L599" s="1535">
        <v>2040</v>
      </c>
      <c r="M599" s="1535">
        <v>2045</v>
      </c>
      <c r="N599" s="1535">
        <v>2050</v>
      </c>
    </row>
    <row r="600" spans="1:14" s="1520" customFormat="1" x14ac:dyDescent="0.2">
      <c r="A600" s="1427"/>
      <c r="B600" s="132"/>
      <c r="C600" s="1426" t="s">
        <v>609</v>
      </c>
      <c r="D600" s="17" t="s">
        <v>609</v>
      </c>
      <c r="E600" s="1427"/>
      <c r="F600" s="231"/>
      <c r="G600" s="231">
        <f t="shared" ref="G600:N609" si="168">F581/$E271</f>
        <v>222.95575357247768</v>
      </c>
      <c r="H600" s="231">
        <f t="shared" si="168"/>
        <v>315.31746337889933</v>
      </c>
      <c r="I600" s="231">
        <f t="shared" si="168"/>
        <v>428.1033212816705</v>
      </c>
      <c r="J600" s="231">
        <f t="shared" si="168"/>
        <v>565.08621594114163</v>
      </c>
      <c r="K600" s="231">
        <f t="shared" si="168"/>
        <v>730.67792652239166</v>
      </c>
      <c r="L600" s="231">
        <f t="shared" si="168"/>
        <v>930.03188292599214</v>
      </c>
      <c r="M600" s="231">
        <f t="shared" si="168"/>
        <v>1140.9226092250422</v>
      </c>
      <c r="N600" s="231">
        <f t="shared" si="168"/>
        <v>1385.6378258604466</v>
      </c>
    </row>
    <row r="601" spans="1:14" s="1521" customFormat="1" x14ac:dyDescent="0.2">
      <c r="A601" s="1532"/>
      <c r="B601" s="1534"/>
      <c r="C601" s="1536" t="s">
        <v>607</v>
      </c>
      <c r="D601" s="610" t="s">
        <v>2272</v>
      </c>
      <c r="E601" s="1532"/>
      <c r="F601" s="231"/>
      <c r="G601" s="231">
        <f t="shared" si="168"/>
        <v>1560.6902750073439</v>
      </c>
      <c r="H601" s="231">
        <f t="shared" si="168"/>
        <v>1608.2097170031077</v>
      </c>
      <c r="I601" s="231">
        <f t="shared" si="168"/>
        <v>1658.5614548371252</v>
      </c>
      <c r="J601" s="231">
        <f t="shared" si="168"/>
        <v>1712.6703668521113</v>
      </c>
      <c r="K601" s="231">
        <f t="shared" si="168"/>
        <v>1771.6199675943537</v>
      </c>
      <c r="L601" s="231">
        <f t="shared" si="168"/>
        <v>1836.65150491027</v>
      </c>
      <c r="M601" s="231">
        <f t="shared" si="168"/>
        <v>1863.0410516688007</v>
      </c>
      <c r="N601" s="231">
        <f t="shared" si="168"/>
        <v>1895.6391481412065</v>
      </c>
    </row>
    <row r="602" spans="1:14" s="1520" customFormat="1" x14ac:dyDescent="0.2">
      <c r="A602" s="1532"/>
      <c r="B602" s="1534"/>
      <c r="C602" s="1536" t="s">
        <v>607</v>
      </c>
      <c r="D602" s="17" t="s">
        <v>923</v>
      </c>
      <c r="E602" s="1532"/>
      <c r="F602" s="231"/>
      <c r="G602" s="231">
        <f t="shared" si="168"/>
        <v>0</v>
      </c>
      <c r="H602" s="231">
        <f t="shared" si="168"/>
        <v>120.90373875290526</v>
      </c>
      <c r="I602" s="231">
        <f t="shared" si="168"/>
        <v>256.66379678692772</v>
      </c>
      <c r="J602" s="231">
        <f t="shared" si="168"/>
        <v>408.20908331794709</v>
      </c>
      <c r="K602" s="231">
        <f t="shared" si="168"/>
        <v>576.37756893290987</v>
      </c>
      <c r="L602" s="231">
        <f t="shared" si="168"/>
        <v>761.87025388870541</v>
      </c>
      <c r="M602" s="231">
        <f t="shared" si="168"/>
        <v>941.88121924610869</v>
      </c>
      <c r="N602" s="231">
        <f t="shared" si="168"/>
        <v>1129.9626322508814</v>
      </c>
    </row>
    <row r="603" spans="1:14" s="1520" customFormat="1" x14ac:dyDescent="0.2">
      <c r="A603" s="1532"/>
      <c r="B603" s="1534"/>
      <c r="C603" s="1536" t="s">
        <v>607</v>
      </c>
      <c r="D603" s="610" t="s">
        <v>612</v>
      </c>
      <c r="E603" s="1532"/>
      <c r="F603" s="231"/>
      <c r="G603" s="231">
        <f t="shared" si="168"/>
        <v>0</v>
      </c>
      <c r="H603" s="231">
        <f t="shared" si="168"/>
        <v>17.271962678986469</v>
      </c>
      <c r="I603" s="231">
        <f t="shared" si="168"/>
        <v>36.666256683846818</v>
      </c>
      <c r="J603" s="231">
        <f t="shared" si="168"/>
        <v>58.315583331135308</v>
      </c>
      <c r="K603" s="231">
        <f t="shared" si="168"/>
        <v>82.339652704701408</v>
      </c>
      <c r="L603" s="231">
        <f t="shared" si="168"/>
        <v>108.83860769838651</v>
      </c>
      <c r="M603" s="231">
        <f t="shared" si="168"/>
        <v>134.55445989230128</v>
      </c>
      <c r="N603" s="231">
        <f t="shared" si="168"/>
        <v>161.42323317869742</v>
      </c>
    </row>
    <row r="604" spans="1:14" s="1520" customFormat="1" x14ac:dyDescent="0.2">
      <c r="A604" s="1532"/>
      <c r="B604" s="1534"/>
      <c r="C604" s="1536" t="s">
        <v>607</v>
      </c>
      <c r="D604" s="610" t="s">
        <v>2273</v>
      </c>
      <c r="E604" s="1532"/>
      <c r="F604" s="231"/>
      <c r="G604" s="231">
        <f t="shared" si="168"/>
        <v>0</v>
      </c>
      <c r="H604" s="231">
        <f t="shared" si="168"/>
        <v>59.415551615713461</v>
      </c>
      <c r="I604" s="231">
        <f t="shared" si="168"/>
        <v>120.26532192301757</v>
      </c>
      <c r="J604" s="231">
        <f t="shared" si="168"/>
        <v>181.94461999314214</v>
      </c>
      <c r="K604" s="231">
        <f t="shared" si="168"/>
        <v>243.72537200591614</v>
      </c>
      <c r="L604" s="231">
        <f t="shared" si="168"/>
        <v>304.74810155548215</v>
      </c>
      <c r="M604" s="231">
        <f t="shared" si="168"/>
        <v>355.22377411567527</v>
      </c>
      <c r="N604" s="231">
        <f t="shared" si="168"/>
        <v>400.32961828316934</v>
      </c>
    </row>
    <row r="605" spans="1:14" s="1520" customFormat="1" x14ac:dyDescent="0.2">
      <c r="A605" s="1532"/>
      <c r="B605" s="1534"/>
      <c r="C605" s="1536" t="s">
        <v>608</v>
      </c>
      <c r="D605" s="610" t="s">
        <v>2272</v>
      </c>
      <c r="E605" s="1532"/>
      <c r="F605" s="231"/>
      <c r="G605" s="231">
        <f t="shared" si="168"/>
        <v>624.27611000293757</v>
      </c>
      <c r="H605" s="231">
        <f t="shared" si="168"/>
        <v>6040.9602115730622</v>
      </c>
      <c r="I605" s="231">
        <f t="shared" si="168"/>
        <v>6020.8375999208283</v>
      </c>
      <c r="J605" s="231">
        <f t="shared" si="168"/>
        <v>6132.5420812431685</v>
      </c>
      <c r="K605" s="231">
        <f t="shared" si="168"/>
        <v>6354.1727295593992</v>
      </c>
      <c r="L605" s="231">
        <f t="shared" si="168"/>
        <v>6678.7327451282554</v>
      </c>
      <c r="M605" s="231">
        <f t="shared" si="168"/>
        <v>6937.0376486100977</v>
      </c>
      <c r="N605" s="231">
        <f t="shared" si="168"/>
        <v>7288.7091136774252</v>
      </c>
    </row>
    <row r="606" spans="1:14" s="1520" customFormat="1" x14ac:dyDescent="0.2">
      <c r="A606" s="1532"/>
      <c r="B606" s="1534"/>
      <c r="C606" s="1536" t="s">
        <v>608</v>
      </c>
      <c r="D606" s="17" t="s">
        <v>923</v>
      </c>
      <c r="E606" s="1532"/>
      <c r="F606" s="231"/>
      <c r="G606" s="231">
        <f t="shared" si="168"/>
        <v>0</v>
      </c>
      <c r="H606" s="231">
        <f t="shared" si="168"/>
        <v>465.50772215996767</v>
      </c>
      <c r="I606" s="231">
        <f t="shared" si="168"/>
        <v>978.31623025640317</v>
      </c>
      <c r="J606" s="231">
        <f t="shared" si="168"/>
        <v>1571.2955552233611</v>
      </c>
      <c r="K606" s="231">
        <f t="shared" si="168"/>
        <v>2273.9881956500935</v>
      </c>
      <c r="L606" s="231">
        <f t="shared" si="168"/>
        <v>3116.7419477265225</v>
      </c>
      <c r="M606" s="231">
        <f t="shared" si="168"/>
        <v>4033.1614236105265</v>
      </c>
      <c r="N606" s="231">
        <f t="shared" si="168"/>
        <v>5105.013530162867</v>
      </c>
    </row>
    <row r="607" spans="1:14" s="1520" customFormat="1" x14ac:dyDescent="0.2">
      <c r="A607" s="1532"/>
      <c r="B607" s="1534"/>
      <c r="C607" s="1536" t="s">
        <v>608</v>
      </c>
      <c r="D607" s="610" t="s">
        <v>612</v>
      </c>
      <c r="E607" s="1532"/>
      <c r="F607" s="231"/>
      <c r="G607" s="231">
        <f t="shared" si="168"/>
        <v>0</v>
      </c>
      <c r="H607" s="231">
        <f t="shared" si="168"/>
        <v>66.501103165709679</v>
      </c>
      <c r="I607" s="231">
        <f t="shared" si="168"/>
        <v>139.75946146520047</v>
      </c>
      <c r="J607" s="231">
        <f t="shared" si="168"/>
        <v>224.47079360333734</v>
      </c>
      <c r="K607" s="231">
        <f t="shared" si="168"/>
        <v>324.85545652144202</v>
      </c>
      <c r="L607" s="231">
        <f t="shared" si="168"/>
        <v>445.24884967521757</v>
      </c>
      <c r="M607" s="231">
        <f t="shared" si="168"/>
        <v>576.16591765864678</v>
      </c>
      <c r="N607" s="231">
        <f t="shared" si="168"/>
        <v>729.28764716612409</v>
      </c>
    </row>
    <row r="608" spans="1:14" s="1520" customFormat="1" x14ac:dyDescent="0.2">
      <c r="A608" s="1532"/>
      <c r="B608" s="1534"/>
      <c r="C608" s="1536" t="s">
        <v>608</v>
      </c>
      <c r="D608" s="17" t="s">
        <v>2273</v>
      </c>
      <c r="E608" s="1532"/>
      <c r="F608" s="231"/>
      <c r="G608" s="231">
        <f t="shared" si="168"/>
        <v>0</v>
      </c>
      <c r="H608" s="231">
        <f t="shared" si="168"/>
        <v>228.76379489004131</v>
      </c>
      <c r="I608" s="231">
        <f t="shared" si="168"/>
        <v>458.4110336058576</v>
      </c>
      <c r="J608" s="231">
        <f t="shared" si="168"/>
        <v>700.34887604241237</v>
      </c>
      <c r="K608" s="231">
        <f t="shared" si="168"/>
        <v>961.57215130346822</v>
      </c>
      <c r="L608" s="231">
        <f t="shared" si="168"/>
        <v>1246.696779090609</v>
      </c>
      <c r="M608" s="231">
        <f t="shared" si="168"/>
        <v>1521.0780226188269</v>
      </c>
      <c r="N608" s="231">
        <f t="shared" si="168"/>
        <v>1808.6333649719866</v>
      </c>
    </row>
    <row r="609" spans="1:14" s="1520" customFormat="1" x14ac:dyDescent="0.2">
      <c r="A609" s="1532"/>
      <c r="B609" s="1534"/>
      <c r="C609" s="1536" t="s">
        <v>610</v>
      </c>
      <c r="D609" s="610" t="s">
        <v>638</v>
      </c>
      <c r="E609" s="1532"/>
      <c r="F609" s="231"/>
      <c r="G609" s="231">
        <f t="shared" si="168"/>
        <v>156.06902750073436</v>
      </c>
      <c r="H609" s="231">
        <f t="shared" si="168"/>
        <v>107.79457468999581</v>
      </c>
      <c r="I609" s="231">
        <f t="shared" si="168"/>
        <v>106.49893392499405</v>
      </c>
      <c r="J609" s="231">
        <f t="shared" si="168"/>
        <v>108.57656566826608</v>
      </c>
      <c r="K609" s="231">
        <f t="shared" si="168"/>
        <v>110.31261885281296</v>
      </c>
      <c r="L609" s="231">
        <f t="shared" si="168"/>
        <v>110.28246917756296</v>
      </c>
      <c r="M609" s="231">
        <f t="shared" si="168"/>
        <v>104.77647081048323</v>
      </c>
      <c r="N609" s="231">
        <f t="shared" si="168"/>
        <v>95.607516303638675</v>
      </c>
    </row>
    <row r="610" spans="1:14" s="1520" customFormat="1" x14ac:dyDescent="0.2">
      <c r="A610" s="1532"/>
      <c r="B610" s="1534"/>
      <c r="C610" s="1185" t="s">
        <v>610</v>
      </c>
      <c r="D610" s="610" t="s">
        <v>639</v>
      </c>
      <c r="E610" s="1532"/>
      <c r="F610" s="231"/>
      <c r="G610" s="231">
        <f t="shared" ref="G610:N612" si="169">F591/$E281</f>
        <v>0</v>
      </c>
      <c r="H610" s="231">
        <f t="shared" si="169"/>
        <v>0</v>
      </c>
      <c r="I610" s="231">
        <f t="shared" si="169"/>
        <v>11.833214880554891</v>
      </c>
      <c r="J610" s="231">
        <f t="shared" si="169"/>
        <v>27.144141417066514</v>
      </c>
      <c r="K610" s="231">
        <f t="shared" si="169"/>
        <v>47.276836651205556</v>
      </c>
      <c r="L610" s="231">
        <f t="shared" si="169"/>
        <v>73.521646118375344</v>
      </c>
      <c r="M610" s="231">
        <f t="shared" si="169"/>
        <v>104.77647081048323</v>
      </c>
      <c r="N610" s="231">
        <f t="shared" si="169"/>
        <v>143.411274455458</v>
      </c>
    </row>
    <row r="611" spans="1:14" s="2479" customFormat="1" x14ac:dyDescent="0.2">
      <c r="A611" s="1532"/>
      <c r="B611" s="1534"/>
      <c r="C611" s="1426" t="s">
        <v>2267</v>
      </c>
      <c r="D611" s="2479" t="s">
        <v>2264</v>
      </c>
      <c r="E611" s="1532"/>
      <c r="F611" s="231"/>
      <c r="G611" s="231">
        <f t="shared" si="169"/>
        <v>0</v>
      </c>
      <c r="H611" s="231">
        <f t="shared" ref="H611:H612" si="170">G592/$E282</f>
        <v>0</v>
      </c>
      <c r="I611" s="231">
        <f t="shared" ref="I611:I612" si="171">H592/$E282</f>
        <v>0</v>
      </c>
      <c r="J611" s="231">
        <f t="shared" ref="J611:J612" si="172">I592/$E282</f>
        <v>0</v>
      </c>
      <c r="K611" s="231">
        <f t="shared" ref="K611:K612" si="173">J592/$E282</f>
        <v>0</v>
      </c>
      <c r="L611" s="231">
        <f t="shared" ref="L611:L612" si="174">K592/$E282</f>
        <v>0</v>
      </c>
      <c r="M611" s="231">
        <f t="shared" ref="M611:M612" si="175">L592/$E282</f>
        <v>0</v>
      </c>
      <c r="N611" s="231">
        <f t="shared" ref="N611:N612" si="176">M592/$E282</f>
        <v>0</v>
      </c>
    </row>
    <row r="612" spans="1:14" s="2479" customFormat="1" x14ac:dyDescent="0.2">
      <c r="A612" s="1532"/>
      <c r="B612" s="1534"/>
      <c r="C612" s="1426" t="s">
        <v>2268</v>
      </c>
      <c r="D612" s="2479" t="s">
        <v>2266</v>
      </c>
      <c r="E612" s="1532"/>
      <c r="F612" s="231"/>
      <c r="G612" s="231">
        <f t="shared" si="169"/>
        <v>0</v>
      </c>
      <c r="H612" s="231">
        <f t="shared" si="170"/>
        <v>0</v>
      </c>
      <c r="I612" s="231">
        <f t="shared" si="171"/>
        <v>0</v>
      </c>
      <c r="J612" s="231">
        <f t="shared" si="172"/>
        <v>0</v>
      </c>
      <c r="K612" s="231">
        <f t="shared" si="173"/>
        <v>0</v>
      </c>
      <c r="L612" s="231">
        <f t="shared" si="174"/>
        <v>0</v>
      </c>
      <c r="M612" s="231">
        <f t="shared" si="175"/>
        <v>0</v>
      </c>
      <c r="N612" s="231">
        <f t="shared" si="176"/>
        <v>0</v>
      </c>
    </row>
    <row r="613" spans="1:14" s="1520" customFormat="1" x14ac:dyDescent="0.2">
      <c r="A613" s="1532"/>
      <c r="B613" s="1534"/>
      <c r="C613" s="1185" t="s">
        <v>611</v>
      </c>
      <c r="D613" s="610" t="s">
        <v>611</v>
      </c>
      <c r="E613" s="1532"/>
      <c r="F613" s="231"/>
      <c r="G613" s="231">
        <f t="shared" ref="G613:N613" si="177">F594/$E284</f>
        <v>0</v>
      </c>
      <c r="H613" s="231">
        <f t="shared" si="177"/>
        <v>0</v>
      </c>
      <c r="I613" s="231">
        <f t="shared" si="177"/>
        <v>0</v>
      </c>
      <c r="J613" s="231">
        <f t="shared" si="177"/>
        <v>0</v>
      </c>
      <c r="K613" s="231">
        <f t="shared" si="177"/>
        <v>0</v>
      </c>
      <c r="L613" s="231">
        <f t="shared" si="177"/>
        <v>0</v>
      </c>
      <c r="M613" s="231">
        <f t="shared" si="177"/>
        <v>0</v>
      </c>
      <c r="N613" s="231">
        <f t="shared" si="177"/>
        <v>0</v>
      </c>
    </row>
    <row r="614" spans="1:14" s="1520" customFormat="1" x14ac:dyDescent="0.2">
      <c r="A614" s="1532"/>
      <c r="B614" s="1534"/>
      <c r="C614" s="1185"/>
      <c r="D614" s="1538"/>
      <c r="E614" s="1532"/>
      <c r="F614" s="1539"/>
      <c r="G614" s="1539"/>
      <c r="H614" s="1539"/>
      <c r="I614" s="1539"/>
      <c r="J614" s="1539"/>
      <c r="K614" s="1539"/>
      <c r="L614" s="1539"/>
      <c r="M614" s="1539"/>
      <c r="N614" s="1539"/>
    </row>
    <row r="615" spans="1:14" s="1521" customFormat="1" x14ac:dyDescent="0.2">
      <c r="A615" s="1532"/>
      <c r="B615" s="1532" t="s">
        <v>1459</v>
      </c>
      <c r="C615" s="1532" t="s">
        <v>1652</v>
      </c>
      <c r="D615" s="1532"/>
      <c r="E615" s="1532"/>
      <c r="F615" s="1533"/>
      <c r="G615" s="1533"/>
      <c r="H615" s="1533"/>
      <c r="I615" s="1533"/>
      <c r="J615" s="1533"/>
      <c r="K615" s="1533"/>
      <c r="L615" s="1533"/>
      <c r="M615" s="1533"/>
      <c r="N615" s="1533"/>
    </row>
    <row r="616" spans="1:14" s="1521" customFormat="1" x14ac:dyDescent="0.2">
      <c r="A616" s="1532"/>
      <c r="B616" s="1534"/>
      <c r="C616" s="1532"/>
      <c r="D616" s="1532"/>
      <c r="E616" s="1532"/>
      <c r="F616" s="1532"/>
      <c r="G616" s="1532"/>
      <c r="H616" s="1532"/>
      <c r="I616" s="1532"/>
      <c r="J616" s="1532"/>
      <c r="K616" s="1532"/>
      <c r="L616" s="1532"/>
      <c r="M616" s="1532"/>
      <c r="N616" s="1532"/>
    </row>
    <row r="617" spans="1:14" s="1521" customFormat="1" x14ac:dyDescent="0.2">
      <c r="A617" s="1532"/>
      <c r="B617" s="1536"/>
      <c r="C617" s="1537" t="s">
        <v>645</v>
      </c>
      <c r="D617" s="834"/>
      <c r="E617" s="1532"/>
      <c r="F617" s="1533"/>
      <c r="G617" s="1533"/>
      <c r="H617" s="1533"/>
      <c r="I617" s="1533"/>
      <c r="J617" s="1533"/>
      <c r="K617" s="1533"/>
      <c r="L617" s="1533"/>
      <c r="M617" s="1533"/>
      <c r="N617" s="1185" t="s">
        <v>1660</v>
      </c>
    </row>
    <row r="618" spans="1:14" s="1521" customFormat="1" x14ac:dyDescent="0.2">
      <c r="A618" s="1532"/>
      <c r="B618" s="1534"/>
      <c r="C618" s="1536" t="s">
        <v>592</v>
      </c>
      <c r="D618" s="588" t="s">
        <v>343</v>
      </c>
      <c r="E618" s="1532"/>
      <c r="F618" s="1535">
        <v>2010</v>
      </c>
      <c r="G618" s="1535">
        <v>2015</v>
      </c>
      <c r="H618" s="1535">
        <v>2020</v>
      </c>
      <c r="I618" s="1535">
        <v>2025</v>
      </c>
      <c r="J618" s="1535">
        <v>2030</v>
      </c>
      <c r="K618" s="1535">
        <v>2035</v>
      </c>
      <c r="L618" s="1535">
        <v>2040</v>
      </c>
      <c r="M618" s="1535">
        <v>2045</v>
      </c>
      <c r="N618" s="1535">
        <v>2050</v>
      </c>
    </row>
    <row r="619" spans="1:14" s="1521" customFormat="1" x14ac:dyDescent="0.2">
      <c r="A619" s="1427"/>
      <c r="B619" s="132"/>
      <c r="C619" s="1426" t="s">
        <v>609</v>
      </c>
      <c r="D619" s="17" t="s">
        <v>609</v>
      </c>
      <c r="E619" s="1427"/>
      <c r="F619" s="231"/>
      <c r="G619" s="231">
        <f t="shared" ref="G619:N629" si="178">MAX(((G581-F581)/(G$580-F$580))+G600,0)</f>
        <v>352.26214730146796</v>
      </c>
      <c r="H619" s="231">
        <f t="shared" si="178"/>
        <v>473.21766444277898</v>
      </c>
      <c r="I619" s="231">
        <f t="shared" si="178"/>
        <v>619.8793738049302</v>
      </c>
      <c r="J619" s="231">
        <f t="shared" si="178"/>
        <v>796.91461075489167</v>
      </c>
      <c r="K619" s="231">
        <f t="shared" si="178"/>
        <v>1009.7734654874323</v>
      </c>
      <c r="L619" s="231">
        <f t="shared" si="178"/>
        <v>1225.2788997446621</v>
      </c>
      <c r="M619" s="231">
        <f t="shared" si="178"/>
        <v>1483.5239125146084</v>
      </c>
      <c r="N619" s="231">
        <f t="shared" si="178"/>
        <v>1782.2524040650126</v>
      </c>
    </row>
    <row r="620" spans="1:14" s="1521" customFormat="1" x14ac:dyDescent="0.2">
      <c r="A620" s="1532"/>
      <c r="B620" s="1534"/>
      <c r="C620" s="1536" t="s">
        <v>607</v>
      </c>
      <c r="D620" s="610" t="s">
        <v>2272</v>
      </c>
      <c r="E620" s="1532"/>
      <c r="F620" s="231"/>
      <c r="G620" s="231">
        <f t="shared" si="178"/>
        <v>1674.7369357971775</v>
      </c>
      <c r="H620" s="231">
        <f t="shared" si="178"/>
        <v>1729.0538878047498</v>
      </c>
      <c r="I620" s="231">
        <f t="shared" si="178"/>
        <v>1788.4228436730916</v>
      </c>
      <c r="J620" s="231">
        <f t="shared" si="178"/>
        <v>1854.1494086334933</v>
      </c>
      <c r="K620" s="231">
        <f t="shared" si="178"/>
        <v>1927.6956571525525</v>
      </c>
      <c r="L620" s="231">
        <f t="shared" si="178"/>
        <v>1899.9864171307438</v>
      </c>
      <c r="M620" s="231">
        <f t="shared" si="178"/>
        <v>1941.2764832025746</v>
      </c>
      <c r="N620" s="231">
        <f t="shared" si="178"/>
        <v>1991.0821710077835</v>
      </c>
    </row>
    <row r="621" spans="1:14" s="1521" customFormat="1" x14ac:dyDescent="0.2">
      <c r="A621" s="1532"/>
      <c r="B621" s="1534"/>
      <c r="C621" s="1536" t="s">
        <v>607</v>
      </c>
      <c r="D621" s="17" t="s">
        <v>923</v>
      </c>
      <c r="E621" s="1532"/>
      <c r="F621" s="231"/>
      <c r="G621" s="231">
        <f t="shared" si="178"/>
        <v>290.16897300697258</v>
      </c>
      <c r="H621" s="231">
        <f t="shared" si="178"/>
        <v>446.72787803455918</v>
      </c>
      <c r="I621" s="231">
        <f t="shared" si="178"/>
        <v>620.37248446137426</v>
      </c>
      <c r="J621" s="231">
        <f t="shared" si="178"/>
        <v>811.81344879385756</v>
      </c>
      <c r="K621" s="231">
        <f t="shared" si="178"/>
        <v>1021.5600128268192</v>
      </c>
      <c r="L621" s="231">
        <f t="shared" si="178"/>
        <v>1193.8965707464733</v>
      </c>
      <c r="M621" s="231">
        <f t="shared" si="178"/>
        <v>1393.276610457563</v>
      </c>
      <c r="N621" s="231">
        <f t="shared" si="178"/>
        <v>1598.2986811279429</v>
      </c>
    </row>
    <row r="622" spans="1:14" s="1521" customFormat="1" x14ac:dyDescent="0.2">
      <c r="A622" s="1532"/>
      <c r="B622" s="1534"/>
      <c r="C622" s="1536" t="s">
        <v>607</v>
      </c>
      <c r="D622" s="610" t="s">
        <v>612</v>
      </c>
      <c r="E622" s="1532"/>
      <c r="F622" s="231"/>
      <c r="G622" s="231">
        <f t="shared" si="178"/>
        <v>41.452710429567524</v>
      </c>
      <c r="H622" s="231">
        <f t="shared" si="178"/>
        <v>63.818268290651311</v>
      </c>
      <c r="I622" s="231">
        <f t="shared" si="178"/>
        <v>88.624640637339184</v>
      </c>
      <c r="J622" s="231">
        <f t="shared" si="178"/>
        <v>115.97334982769397</v>
      </c>
      <c r="K622" s="231">
        <f t="shared" si="178"/>
        <v>145.93714468954565</v>
      </c>
      <c r="L622" s="231">
        <f t="shared" si="178"/>
        <v>170.55665296378197</v>
      </c>
      <c r="M622" s="231">
        <f t="shared" si="178"/>
        <v>199.03951577965199</v>
      </c>
      <c r="N622" s="231">
        <f t="shared" si="178"/>
        <v>228.32838301827758</v>
      </c>
    </row>
    <row r="623" spans="1:14" s="1521" customFormat="1" x14ac:dyDescent="0.2">
      <c r="A623" s="1532"/>
      <c r="B623" s="1534"/>
      <c r="C623" s="1536" t="s">
        <v>607</v>
      </c>
      <c r="D623" s="610" t="s">
        <v>2273</v>
      </c>
      <c r="E623" s="1532"/>
      <c r="F623" s="231"/>
      <c r="G623" s="231">
        <f t="shared" si="178"/>
        <v>142.59732387771231</v>
      </c>
      <c r="H623" s="231">
        <f t="shared" si="178"/>
        <v>205.45500035324335</v>
      </c>
      <c r="I623" s="231">
        <f t="shared" si="178"/>
        <v>268.2956372913165</v>
      </c>
      <c r="J623" s="231">
        <f t="shared" si="178"/>
        <v>330.21842482379975</v>
      </c>
      <c r="K623" s="231">
        <f t="shared" si="178"/>
        <v>390.17992292487452</v>
      </c>
      <c r="L623" s="231">
        <f t="shared" si="178"/>
        <v>425.88971569994567</v>
      </c>
      <c r="M623" s="231">
        <f t="shared" si="178"/>
        <v>463.47780011766105</v>
      </c>
      <c r="N623" s="231">
        <f t="shared" si="178"/>
        <v>493.56304437037602</v>
      </c>
    </row>
    <row r="624" spans="1:14" s="1521" customFormat="1" x14ac:dyDescent="0.2">
      <c r="A624" s="1532"/>
      <c r="B624" s="1534"/>
      <c r="C624" s="1536" t="s">
        <v>608</v>
      </c>
      <c r="D624" s="610" t="s">
        <v>2272</v>
      </c>
      <c r="E624" s="1532"/>
      <c r="F624" s="231"/>
      <c r="G624" s="231">
        <f t="shared" si="178"/>
        <v>16874.328414713309</v>
      </c>
      <c r="H624" s="231">
        <f t="shared" si="178"/>
        <v>5980.5923766163623</v>
      </c>
      <c r="I624" s="231">
        <f t="shared" si="178"/>
        <v>6355.9510438878469</v>
      </c>
      <c r="J624" s="231">
        <f t="shared" si="178"/>
        <v>6797.4340261918596</v>
      </c>
      <c r="K624" s="231">
        <f t="shared" si="178"/>
        <v>7327.8527762659669</v>
      </c>
      <c r="L624" s="231">
        <f t="shared" si="178"/>
        <v>7453.6474555737832</v>
      </c>
      <c r="M624" s="231">
        <f t="shared" si="178"/>
        <v>7992.0520438120811</v>
      </c>
      <c r="N624" s="231">
        <f t="shared" si="178"/>
        <v>8647.4666646725091</v>
      </c>
    </row>
    <row r="625" spans="1:14" s="1521" customFormat="1" x14ac:dyDescent="0.2">
      <c r="A625" s="1532"/>
      <c r="B625" s="1534"/>
      <c r="C625" s="1536" t="s">
        <v>608</v>
      </c>
      <c r="D625" s="17" t="s">
        <v>923</v>
      </c>
      <c r="E625" s="1532"/>
      <c r="F625" s="231"/>
      <c r="G625" s="231">
        <f t="shared" si="178"/>
        <v>1396.523166479903</v>
      </c>
      <c r="H625" s="231">
        <f t="shared" si="178"/>
        <v>2003.9332464492741</v>
      </c>
      <c r="I625" s="231">
        <f t="shared" si="178"/>
        <v>2757.2542051572768</v>
      </c>
      <c r="J625" s="231">
        <f t="shared" si="178"/>
        <v>3679.3734765035592</v>
      </c>
      <c r="K625" s="231">
        <f t="shared" si="178"/>
        <v>4802.2494518793801</v>
      </c>
      <c r="L625" s="231">
        <f t="shared" si="178"/>
        <v>5866.000375378535</v>
      </c>
      <c r="M625" s="231">
        <f t="shared" si="178"/>
        <v>7248.7177432675489</v>
      </c>
      <c r="N625" s="231">
        <f t="shared" si="178"/>
        <v>8871.451137349326</v>
      </c>
    </row>
    <row r="626" spans="1:14" s="1521" customFormat="1" x14ac:dyDescent="0.2">
      <c r="A626" s="1532"/>
      <c r="B626" s="1534"/>
      <c r="C626" s="1536" t="s">
        <v>608</v>
      </c>
      <c r="D626" s="610" t="s">
        <v>612</v>
      </c>
      <c r="E626" s="1532"/>
      <c r="F626" s="231"/>
      <c r="G626" s="231">
        <f t="shared" si="178"/>
        <v>199.50330949712901</v>
      </c>
      <c r="H626" s="231">
        <f t="shared" si="178"/>
        <v>286.27617806418209</v>
      </c>
      <c r="I626" s="231">
        <f t="shared" si="178"/>
        <v>393.89345787961099</v>
      </c>
      <c r="J626" s="231">
        <f t="shared" si="178"/>
        <v>525.6247823576515</v>
      </c>
      <c r="K626" s="231">
        <f t="shared" si="178"/>
        <v>686.03563598276855</v>
      </c>
      <c r="L626" s="231">
        <f t="shared" si="178"/>
        <v>838.00005362550507</v>
      </c>
      <c r="M626" s="231">
        <f t="shared" si="178"/>
        <v>1035.5311061810789</v>
      </c>
      <c r="N626" s="231">
        <f t="shared" si="178"/>
        <v>1267.3501624784751</v>
      </c>
    </row>
    <row r="627" spans="1:14" s="1521" customFormat="1" x14ac:dyDescent="0.2">
      <c r="A627" s="1532"/>
      <c r="B627" s="1534"/>
      <c r="C627" s="1536" t="s">
        <v>608</v>
      </c>
      <c r="D627" s="17" t="s">
        <v>2273</v>
      </c>
      <c r="E627" s="1532"/>
      <c r="F627" s="231"/>
      <c r="G627" s="231">
        <f t="shared" si="178"/>
        <v>686.29138467012388</v>
      </c>
      <c r="H627" s="231">
        <f t="shared" si="178"/>
        <v>917.70551103749017</v>
      </c>
      <c r="I627" s="231">
        <f t="shared" si="178"/>
        <v>1184.224560915522</v>
      </c>
      <c r="J627" s="231">
        <f t="shared" si="178"/>
        <v>1484.0187018255797</v>
      </c>
      <c r="K627" s="231">
        <f t="shared" si="178"/>
        <v>1816.9460346648902</v>
      </c>
      <c r="L627" s="231">
        <f t="shared" si="178"/>
        <v>2069.8405096752631</v>
      </c>
      <c r="M627" s="231">
        <f t="shared" si="178"/>
        <v>2383.7440496783056</v>
      </c>
      <c r="N627" s="231">
        <f t="shared" si="178"/>
        <v>2706.8803298569032</v>
      </c>
    </row>
    <row r="628" spans="1:14" s="1521" customFormat="1" x14ac:dyDescent="0.2">
      <c r="A628" s="1532"/>
      <c r="B628" s="1534"/>
      <c r="C628" s="1536" t="s">
        <v>610</v>
      </c>
      <c r="D628" s="610" t="s">
        <v>638</v>
      </c>
      <c r="E628" s="1532"/>
      <c r="F628" s="231"/>
      <c r="G628" s="231">
        <f t="shared" si="178"/>
        <v>0</v>
      </c>
      <c r="H628" s="231">
        <f t="shared" si="178"/>
        <v>97.429448569981744</v>
      </c>
      <c r="I628" s="231">
        <f t="shared" si="178"/>
        <v>123.11998787117034</v>
      </c>
      <c r="J628" s="231">
        <f t="shared" si="178"/>
        <v>122.46499114464113</v>
      </c>
      <c r="K628" s="231">
        <f t="shared" si="178"/>
        <v>110.07142145081292</v>
      </c>
      <c r="L628" s="231">
        <f t="shared" si="178"/>
        <v>66.234482240925161</v>
      </c>
      <c r="M628" s="231">
        <f t="shared" si="178"/>
        <v>31.424834755726778</v>
      </c>
      <c r="N628" s="231">
        <f t="shared" si="178"/>
        <v>0</v>
      </c>
    </row>
    <row r="629" spans="1:14" s="1521" customFormat="1" x14ac:dyDescent="0.2">
      <c r="A629" s="1532"/>
      <c r="B629" s="1534"/>
      <c r="C629" s="1185" t="s">
        <v>610</v>
      </c>
      <c r="D629" s="610" t="s">
        <v>639</v>
      </c>
      <c r="E629" s="1532"/>
      <c r="F629" s="231"/>
      <c r="G629" s="231">
        <f t="shared" si="178"/>
        <v>0</v>
      </c>
      <c r="H629" s="231">
        <f t="shared" si="178"/>
        <v>94.665719044439129</v>
      </c>
      <c r="I629" s="231">
        <f t="shared" si="178"/>
        <v>134.3206271726479</v>
      </c>
      <c r="J629" s="231">
        <f t="shared" si="178"/>
        <v>188.20570329017886</v>
      </c>
      <c r="K629" s="231">
        <f t="shared" si="178"/>
        <v>257.23531238856378</v>
      </c>
      <c r="L629" s="231">
        <f t="shared" si="178"/>
        <v>323.56024365523854</v>
      </c>
      <c r="M629" s="231">
        <f t="shared" si="178"/>
        <v>413.85489997028139</v>
      </c>
      <c r="N629" s="231">
        <f t="shared" si="178"/>
        <v>522.63933462579848</v>
      </c>
    </row>
    <row r="630" spans="1:14" s="2479" customFormat="1" x14ac:dyDescent="0.2">
      <c r="A630" s="1532"/>
      <c r="B630" s="1534"/>
      <c r="C630" s="1426" t="s">
        <v>2267</v>
      </c>
      <c r="D630" s="2479" t="s">
        <v>2264</v>
      </c>
      <c r="E630" s="1532"/>
      <c r="F630" s="231"/>
      <c r="G630" s="231">
        <f t="shared" ref="G630:N630" si="179">MAX(((G592-F592)/(G$580-F$580))+G611,0)</f>
        <v>0</v>
      </c>
      <c r="H630" s="231">
        <f t="shared" si="179"/>
        <v>0</v>
      </c>
      <c r="I630" s="231">
        <f t="shared" si="179"/>
        <v>0</v>
      </c>
      <c r="J630" s="231">
        <f t="shared" si="179"/>
        <v>0</v>
      </c>
      <c r="K630" s="231">
        <f t="shared" si="179"/>
        <v>0</v>
      </c>
      <c r="L630" s="231">
        <f t="shared" si="179"/>
        <v>0</v>
      </c>
      <c r="M630" s="231">
        <f t="shared" si="179"/>
        <v>0</v>
      </c>
      <c r="N630" s="231">
        <f t="shared" si="179"/>
        <v>0</v>
      </c>
    </row>
    <row r="631" spans="1:14" s="2479" customFormat="1" x14ac:dyDescent="0.2">
      <c r="A631" s="1532"/>
      <c r="B631" s="1534"/>
      <c r="C631" s="1426" t="s">
        <v>2268</v>
      </c>
      <c r="D631" s="2479" t="s">
        <v>2266</v>
      </c>
      <c r="E631" s="1532"/>
      <c r="F631" s="231"/>
      <c r="G631" s="231">
        <f t="shared" ref="G631:N631" si="180">MAX(((G593-F593)/(G$580-F$580))+G612,0)</f>
        <v>0</v>
      </c>
      <c r="H631" s="231">
        <f t="shared" si="180"/>
        <v>0</v>
      </c>
      <c r="I631" s="231">
        <f t="shared" si="180"/>
        <v>0</v>
      </c>
      <c r="J631" s="231">
        <f t="shared" si="180"/>
        <v>0</v>
      </c>
      <c r="K631" s="231">
        <f t="shared" si="180"/>
        <v>0</v>
      </c>
      <c r="L631" s="231">
        <f t="shared" si="180"/>
        <v>0</v>
      </c>
      <c r="M631" s="231">
        <f t="shared" si="180"/>
        <v>0</v>
      </c>
      <c r="N631" s="231">
        <f t="shared" si="180"/>
        <v>0</v>
      </c>
    </row>
    <row r="632" spans="1:14" s="1395" customFormat="1" x14ac:dyDescent="0.2">
      <c r="A632" s="1532"/>
      <c r="B632" s="1534"/>
      <c r="C632" s="1185" t="s">
        <v>611</v>
      </c>
      <c r="D632" s="610" t="s">
        <v>611</v>
      </c>
      <c r="E632" s="1532"/>
      <c r="F632" s="231"/>
      <c r="G632" s="231">
        <f t="shared" ref="G632:N632" si="181">MAX(((G594-F594)/(G$580-F$580))+G613,0)</f>
        <v>0</v>
      </c>
      <c r="H632" s="231">
        <f t="shared" si="181"/>
        <v>0</v>
      </c>
      <c r="I632" s="231">
        <f t="shared" si="181"/>
        <v>0</v>
      </c>
      <c r="J632" s="231">
        <f t="shared" si="181"/>
        <v>0</v>
      </c>
      <c r="K632" s="231">
        <f t="shared" si="181"/>
        <v>0</v>
      </c>
      <c r="L632" s="231">
        <f t="shared" si="181"/>
        <v>0</v>
      </c>
      <c r="M632" s="231">
        <f t="shared" si="181"/>
        <v>0</v>
      </c>
      <c r="N632" s="231">
        <f t="shared" si="181"/>
        <v>0</v>
      </c>
    </row>
    <row r="633" spans="1:14" s="1521" customFormat="1" x14ac:dyDescent="0.2">
      <c r="A633" s="1532"/>
      <c r="B633" s="1534"/>
      <c r="C633" s="1185"/>
      <c r="D633" s="1538"/>
      <c r="E633" s="1532"/>
      <c r="F633" s="231"/>
      <c r="G633" s="231"/>
      <c r="H633" s="231"/>
      <c r="I633" s="231"/>
      <c r="J633" s="231"/>
      <c r="K633" s="231"/>
      <c r="L633" s="231"/>
      <c r="M633" s="231"/>
      <c r="N633" s="231"/>
    </row>
    <row r="634" spans="1:14" s="1521" customFormat="1" x14ac:dyDescent="0.2">
      <c r="A634" s="1427"/>
      <c r="B634" s="1427" t="s">
        <v>1654</v>
      </c>
      <c r="C634" s="1427" t="s">
        <v>1661</v>
      </c>
      <c r="D634" s="1427"/>
      <c r="E634" s="1427"/>
      <c r="F634" s="234"/>
      <c r="G634" s="234"/>
      <c r="H634" s="234"/>
      <c r="I634" s="234"/>
      <c r="J634" s="234"/>
      <c r="K634" s="234"/>
      <c r="L634" s="234"/>
      <c r="M634" s="234"/>
      <c r="N634" s="234"/>
    </row>
    <row r="635" spans="1:14" s="1521" customFormat="1" x14ac:dyDescent="0.2">
      <c r="A635" s="1427"/>
      <c r="B635" s="132"/>
      <c r="C635" s="1427"/>
      <c r="D635" s="1427"/>
      <c r="E635" s="1427"/>
      <c r="F635" s="234"/>
      <c r="G635" s="234"/>
      <c r="H635" s="234"/>
      <c r="I635" s="234"/>
      <c r="J635" s="234"/>
      <c r="K635" s="234"/>
      <c r="L635" s="234"/>
      <c r="M635" s="234"/>
      <c r="N635" s="234"/>
    </row>
    <row r="636" spans="1:14" s="1521" customFormat="1" x14ac:dyDescent="0.2">
      <c r="A636" s="1427"/>
      <c r="B636" s="583"/>
      <c r="C636" s="17" t="s">
        <v>645</v>
      </c>
      <c r="D636" s="20"/>
      <c r="E636" s="1427"/>
      <c r="F636" s="234"/>
      <c r="G636" s="234"/>
      <c r="H636" s="234"/>
      <c r="I636" s="234"/>
      <c r="J636" s="234"/>
      <c r="K636" s="234"/>
      <c r="L636" s="234"/>
      <c r="M636" s="234"/>
      <c r="N636" s="1426" t="str">
        <f>Preferences.moneyunits&amp;"/yr, preceeding 5 years"</f>
        <v>N/yr, preceeding 5 years</v>
      </c>
    </row>
    <row r="637" spans="1:14" s="1521" customFormat="1" x14ac:dyDescent="0.2">
      <c r="A637" s="1427"/>
      <c r="B637" s="132"/>
      <c r="C637" s="583" t="s">
        <v>592</v>
      </c>
      <c r="D637" s="1987" t="s">
        <v>343</v>
      </c>
      <c r="E637" s="1427"/>
      <c r="F637" s="1535">
        <v>2010</v>
      </c>
      <c r="G637" s="1535">
        <v>2015</v>
      </c>
      <c r="H637" s="1535">
        <v>2020</v>
      </c>
      <c r="I637" s="1535">
        <v>2025</v>
      </c>
      <c r="J637" s="1535">
        <v>2030</v>
      </c>
      <c r="K637" s="1535">
        <v>2035</v>
      </c>
      <c r="L637" s="1535">
        <v>2040</v>
      </c>
      <c r="M637" s="1535">
        <v>2045</v>
      </c>
      <c r="N637" s="1535">
        <v>2050</v>
      </c>
    </row>
    <row r="638" spans="1:14" s="1521" customFormat="1" x14ac:dyDescent="0.2">
      <c r="A638" s="1427"/>
      <c r="B638" s="132"/>
      <c r="C638" s="1426" t="s">
        <v>609</v>
      </c>
      <c r="D638" s="17" t="s">
        <v>609</v>
      </c>
      <c r="E638" s="1427"/>
      <c r="F638" s="1539"/>
      <c r="G638" s="1539">
        <f t="shared" ref="G638:N648" si="182">G619*G394</f>
        <v>7045242946.0293589</v>
      </c>
      <c r="H638" s="1539">
        <f t="shared" si="182"/>
        <v>9464353288.8555794</v>
      </c>
      <c r="I638" s="1539">
        <f t="shared" si="182"/>
        <v>12397587476.098604</v>
      </c>
      <c r="J638" s="1539">
        <f t="shared" si="182"/>
        <v>15938292215.097834</v>
      </c>
      <c r="K638" s="1539">
        <f t="shared" si="182"/>
        <v>20195469309.748646</v>
      </c>
      <c r="L638" s="1539">
        <f t="shared" si="182"/>
        <v>24505577994.893242</v>
      </c>
      <c r="M638" s="1539">
        <f t="shared" si="182"/>
        <v>29670478250.292168</v>
      </c>
      <c r="N638" s="1539">
        <f t="shared" si="182"/>
        <v>35645048081.300255</v>
      </c>
    </row>
    <row r="639" spans="1:14" s="1521" customFormat="1" x14ac:dyDescent="0.2">
      <c r="A639" s="1427"/>
      <c r="B639" s="132"/>
      <c r="C639" s="583" t="s">
        <v>607</v>
      </c>
      <c r="D639" s="610" t="s">
        <v>2272</v>
      </c>
      <c r="E639" s="1427"/>
      <c r="F639" s="1539"/>
      <c r="G639" s="1539">
        <f t="shared" si="182"/>
        <v>2512105403695.7661</v>
      </c>
      <c r="H639" s="1539">
        <f t="shared" si="182"/>
        <v>2593580831707.1245</v>
      </c>
      <c r="I639" s="1539">
        <f t="shared" si="182"/>
        <v>2682634265509.6372</v>
      </c>
      <c r="J639" s="1539">
        <f t="shared" si="182"/>
        <v>2781224112950.2397</v>
      </c>
      <c r="K639" s="1539">
        <f t="shared" si="182"/>
        <v>2891543485728.8286</v>
      </c>
      <c r="L639" s="1539">
        <f t="shared" si="182"/>
        <v>2849979625696.1157</v>
      </c>
      <c r="M639" s="1539">
        <f t="shared" si="182"/>
        <v>2911914724803.8618</v>
      </c>
      <c r="N639" s="1539">
        <f t="shared" si="182"/>
        <v>2986623256511.6753</v>
      </c>
    </row>
    <row r="640" spans="1:14" s="1521" customFormat="1" x14ac:dyDescent="0.2">
      <c r="A640" s="1427"/>
      <c r="B640" s="132"/>
      <c r="C640" s="583" t="s">
        <v>607</v>
      </c>
      <c r="D640" s="17" t="s">
        <v>923</v>
      </c>
      <c r="E640" s="1427"/>
      <c r="F640" s="1539"/>
      <c r="G640" s="1539">
        <f t="shared" si="182"/>
        <v>1160675892027.8904</v>
      </c>
      <c r="H640" s="1539">
        <f t="shared" si="182"/>
        <v>1786911512138.2368</v>
      </c>
      <c r="I640" s="1539">
        <f t="shared" si="182"/>
        <v>2481489937845.4971</v>
      </c>
      <c r="J640" s="1539">
        <f t="shared" si="182"/>
        <v>3247253795175.4302</v>
      </c>
      <c r="K640" s="1539">
        <f t="shared" si="182"/>
        <v>4086240051307.2769</v>
      </c>
      <c r="L640" s="1539">
        <f t="shared" si="182"/>
        <v>4775586282985.8936</v>
      </c>
      <c r="M640" s="1539">
        <f t="shared" si="182"/>
        <v>5573106441830.252</v>
      </c>
      <c r="N640" s="1539">
        <f t="shared" si="182"/>
        <v>6393194724511.7715</v>
      </c>
    </row>
    <row r="641" spans="1:14" s="1521" customFormat="1" x14ac:dyDescent="0.2">
      <c r="A641" s="1427"/>
      <c r="B641" s="132"/>
      <c r="C641" s="583" t="s">
        <v>607</v>
      </c>
      <c r="D641" s="610" t="s">
        <v>612</v>
      </c>
      <c r="E641" s="1427"/>
      <c r="F641" s="1539"/>
      <c r="G641" s="1539">
        <f t="shared" si="182"/>
        <v>414527104295.67523</v>
      </c>
      <c r="H641" s="1539">
        <f t="shared" si="182"/>
        <v>638182682906.51306</v>
      </c>
      <c r="I641" s="1539">
        <f t="shared" si="182"/>
        <v>886246406373.39185</v>
      </c>
      <c r="J641" s="1539">
        <f t="shared" si="182"/>
        <v>1159733498276.9397</v>
      </c>
      <c r="K641" s="1539">
        <f t="shared" si="182"/>
        <v>1459371446895.4565</v>
      </c>
      <c r="L641" s="1539">
        <f t="shared" si="182"/>
        <v>1705566529637.8198</v>
      </c>
      <c r="M641" s="1539">
        <f t="shared" si="182"/>
        <v>1990395157796.52</v>
      </c>
      <c r="N641" s="1539">
        <f t="shared" si="182"/>
        <v>2283283830182.7759</v>
      </c>
    </row>
    <row r="642" spans="1:14" s="1521" customFormat="1" x14ac:dyDescent="0.2">
      <c r="A642" s="1427"/>
      <c r="B642" s="132"/>
      <c r="C642" s="583" t="s">
        <v>607</v>
      </c>
      <c r="D642" s="610" t="s">
        <v>2273</v>
      </c>
      <c r="E642" s="1427"/>
      <c r="F642" s="1539"/>
      <c r="G642" s="1539">
        <f t="shared" si="182"/>
        <v>213895985816.56848</v>
      </c>
      <c r="H642" s="1539">
        <f t="shared" si="182"/>
        <v>308182500529.86505</v>
      </c>
      <c r="I642" s="1539">
        <f t="shared" si="182"/>
        <v>402443455936.97473</v>
      </c>
      <c r="J642" s="1539">
        <f t="shared" si="182"/>
        <v>495327637235.69965</v>
      </c>
      <c r="K642" s="1539">
        <f t="shared" si="182"/>
        <v>585269884387.31177</v>
      </c>
      <c r="L642" s="1539">
        <f t="shared" si="182"/>
        <v>638834573549.91846</v>
      </c>
      <c r="M642" s="1539">
        <f t="shared" si="182"/>
        <v>695216700176.49158</v>
      </c>
      <c r="N642" s="1539">
        <f t="shared" si="182"/>
        <v>740344566555.56409</v>
      </c>
    </row>
    <row r="643" spans="1:14" s="1521" customFormat="1" x14ac:dyDescent="0.2">
      <c r="A643" s="1427"/>
      <c r="B643" s="132"/>
      <c r="C643" s="583" t="s">
        <v>608</v>
      </c>
      <c r="D643" s="610" t="s">
        <v>2272</v>
      </c>
      <c r="E643" s="1427"/>
      <c r="F643" s="1539"/>
      <c r="G643" s="1539">
        <f t="shared" si="182"/>
        <v>50622985244139.93</v>
      </c>
      <c r="H643" s="1539">
        <f t="shared" si="182"/>
        <v>17941777129849.086</v>
      </c>
      <c r="I643" s="1539">
        <f t="shared" si="182"/>
        <v>19067853131663.539</v>
      </c>
      <c r="J643" s="1539">
        <f t="shared" si="182"/>
        <v>20392302078575.578</v>
      </c>
      <c r="K643" s="1539">
        <f t="shared" si="182"/>
        <v>21983558328797.902</v>
      </c>
      <c r="L643" s="1539">
        <f t="shared" si="182"/>
        <v>22360942366721.348</v>
      </c>
      <c r="M643" s="1539">
        <f t="shared" si="182"/>
        <v>23976156131436.242</v>
      </c>
      <c r="N643" s="1539">
        <f t="shared" si="182"/>
        <v>25942399994017.527</v>
      </c>
    </row>
    <row r="644" spans="1:14" s="1521" customFormat="1" x14ac:dyDescent="0.2">
      <c r="A644" s="1427"/>
      <c r="B644" s="132"/>
      <c r="C644" s="583" t="s">
        <v>608</v>
      </c>
      <c r="D644" s="17" t="s">
        <v>923</v>
      </c>
      <c r="E644" s="1427"/>
      <c r="F644" s="1539"/>
      <c r="G644" s="1539">
        <f t="shared" si="182"/>
        <v>9775662165359.3203</v>
      </c>
      <c r="H644" s="1539">
        <f t="shared" si="182"/>
        <v>14027532725144.918</v>
      </c>
      <c r="I644" s="1539">
        <f t="shared" si="182"/>
        <v>19300779436100.937</v>
      </c>
      <c r="J644" s="1539">
        <f t="shared" si="182"/>
        <v>25755614335524.914</v>
      </c>
      <c r="K644" s="1539">
        <f t="shared" si="182"/>
        <v>33615746163155.66</v>
      </c>
      <c r="L644" s="1539">
        <f t="shared" si="182"/>
        <v>41062002627649.742</v>
      </c>
      <c r="M644" s="1539">
        <f t="shared" si="182"/>
        <v>50741024202872.844</v>
      </c>
      <c r="N644" s="1539">
        <f t="shared" si="182"/>
        <v>62100157961445.281</v>
      </c>
    </row>
    <row r="645" spans="1:14" s="1521" customFormat="1" x14ac:dyDescent="0.2">
      <c r="A645" s="1427"/>
      <c r="B645" s="132"/>
      <c r="C645" s="583" t="s">
        <v>608</v>
      </c>
      <c r="D645" s="610" t="s">
        <v>612</v>
      </c>
      <c r="E645" s="1427"/>
      <c r="F645" s="1539"/>
      <c r="G645" s="1539">
        <f t="shared" si="182"/>
        <v>1995033094971.29</v>
      </c>
      <c r="H645" s="1539">
        <f t="shared" si="182"/>
        <v>2862761780641.8208</v>
      </c>
      <c r="I645" s="1539">
        <f t="shared" si="182"/>
        <v>3938934578796.1099</v>
      </c>
      <c r="J645" s="1539">
        <f t="shared" si="182"/>
        <v>5256247823576.5146</v>
      </c>
      <c r="K645" s="1539">
        <f t="shared" si="182"/>
        <v>6860356359827.6855</v>
      </c>
      <c r="L645" s="1539">
        <f t="shared" si="182"/>
        <v>8380000536255.0508</v>
      </c>
      <c r="M645" s="1539">
        <f t="shared" si="182"/>
        <v>10355311061810.789</v>
      </c>
      <c r="N645" s="1539">
        <f t="shared" si="182"/>
        <v>12673501624784.752</v>
      </c>
    </row>
    <row r="646" spans="1:14" s="1521" customFormat="1" x14ac:dyDescent="0.2">
      <c r="A646" s="1427"/>
      <c r="B646" s="132"/>
      <c r="C646" s="583" t="s">
        <v>608</v>
      </c>
      <c r="D646" s="17" t="s">
        <v>2273</v>
      </c>
      <c r="E646" s="1427"/>
      <c r="F646" s="1539"/>
      <c r="G646" s="1539">
        <f t="shared" si="182"/>
        <v>2058874154010.3716</v>
      </c>
      <c r="H646" s="1539">
        <f t="shared" si="182"/>
        <v>2753116533112.4707</v>
      </c>
      <c r="I646" s="1539">
        <f t="shared" si="182"/>
        <v>3552673682746.5659</v>
      </c>
      <c r="J646" s="1539">
        <f t="shared" si="182"/>
        <v>4452056105476.7393</v>
      </c>
      <c r="K646" s="1539">
        <f t="shared" si="182"/>
        <v>5450838103994.6709</v>
      </c>
      <c r="L646" s="1539">
        <f t="shared" si="182"/>
        <v>6209521529025.7891</v>
      </c>
      <c r="M646" s="1539">
        <f t="shared" si="182"/>
        <v>7151232149034.917</v>
      </c>
      <c r="N646" s="1539">
        <f t="shared" si="182"/>
        <v>8120640989570.71</v>
      </c>
    </row>
    <row r="647" spans="1:14" s="1521" customFormat="1" x14ac:dyDescent="0.2">
      <c r="A647" s="1427"/>
      <c r="B647" s="132"/>
      <c r="C647" s="583" t="s">
        <v>610</v>
      </c>
      <c r="D647" s="610" t="s">
        <v>638</v>
      </c>
      <c r="E647" s="1427"/>
      <c r="F647" s="1539"/>
      <c r="G647" s="1539">
        <f t="shared" si="182"/>
        <v>0</v>
      </c>
      <c r="H647" s="1539">
        <f t="shared" si="182"/>
        <v>3022675569.797256</v>
      </c>
      <c r="I647" s="1539">
        <f t="shared" si="182"/>
        <v>3819705283.7121563</v>
      </c>
      <c r="J647" s="1539">
        <f t="shared" si="182"/>
        <v>3799384501.5191326</v>
      </c>
      <c r="K647" s="1539">
        <f t="shared" si="182"/>
        <v>3414883296.9453826</v>
      </c>
      <c r="L647" s="1539">
        <f t="shared" si="182"/>
        <v>2054875135.6630225</v>
      </c>
      <c r="M647" s="1539">
        <f t="shared" si="182"/>
        <v>974931929.67035651</v>
      </c>
      <c r="N647" s="1539">
        <f t="shared" si="182"/>
        <v>0</v>
      </c>
    </row>
    <row r="648" spans="1:14" s="1521" customFormat="1" x14ac:dyDescent="0.2">
      <c r="A648" s="1427"/>
      <c r="B648" s="132"/>
      <c r="C648" s="1426" t="s">
        <v>610</v>
      </c>
      <c r="D648" s="610" t="s">
        <v>639</v>
      </c>
      <c r="E648" s="1427"/>
      <c r="F648" s="1539"/>
      <c r="G648" s="1539">
        <f t="shared" si="182"/>
        <v>0</v>
      </c>
      <c r="H648" s="1539">
        <f t="shared" si="182"/>
        <v>7890293016.6349573</v>
      </c>
      <c r="I648" s="1539">
        <f t="shared" si="182"/>
        <v>11195489954.21303</v>
      </c>
      <c r="J648" s="1539">
        <f t="shared" si="182"/>
        <v>15686757163.533117</v>
      </c>
      <c r="K648" s="1539">
        <f t="shared" si="182"/>
        <v>21440306052.274403</v>
      </c>
      <c r="L648" s="1539">
        <f t="shared" si="182"/>
        <v>26968422748.420475</v>
      </c>
      <c r="M648" s="1539">
        <f t="shared" si="182"/>
        <v>34494392057.622986</v>
      </c>
      <c r="N648" s="1539">
        <f t="shared" si="182"/>
        <v>43561465901.725677</v>
      </c>
    </row>
    <row r="649" spans="1:14" s="2479" customFormat="1" x14ac:dyDescent="0.2">
      <c r="A649" s="1427"/>
      <c r="B649" s="132"/>
      <c r="C649" s="1426" t="s">
        <v>2267</v>
      </c>
      <c r="D649" s="2479" t="s">
        <v>2264</v>
      </c>
      <c r="E649" s="1427"/>
      <c r="F649" s="1539"/>
      <c r="G649" s="1539">
        <f t="shared" ref="G649:G650" si="183">G630*G405</f>
        <v>0</v>
      </c>
      <c r="H649" s="1539">
        <f t="shared" ref="H649:N649" si="184">H630*H405</f>
        <v>0</v>
      </c>
      <c r="I649" s="1539">
        <f t="shared" si="184"/>
        <v>0</v>
      </c>
      <c r="J649" s="1539">
        <f t="shared" si="184"/>
        <v>0</v>
      </c>
      <c r="K649" s="1539">
        <f t="shared" si="184"/>
        <v>0</v>
      </c>
      <c r="L649" s="1539">
        <f t="shared" si="184"/>
        <v>0</v>
      </c>
      <c r="M649" s="1539">
        <f t="shared" si="184"/>
        <v>0</v>
      </c>
      <c r="N649" s="1539">
        <f t="shared" si="184"/>
        <v>0</v>
      </c>
    </row>
    <row r="650" spans="1:14" s="2479" customFormat="1" x14ac:dyDescent="0.2">
      <c r="A650" s="1427"/>
      <c r="B650" s="132"/>
      <c r="C650" s="1426" t="s">
        <v>2268</v>
      </c>
      <c r="D650" s="2479" t="s">
        <v>2266</v>
      </c>
      <c r="E650" s="1427"/>
      <c r="F650" s="1539"/>
      <c r="G650" s="1539">
        <f t="shared" si="183"/>
        <v>0</v>
      </c>
      <c r="H650" s="1539">
        <f t="shared" ref="H650:N650" si="185">H631*H406</f>
        <v>0</v>
      </c>
      <c r="I650" s="1539">
        <f t="shared" si="185"/>
        <v>0</v>
      </c>
      <c r="J650" s="1539">
        <f t="shared" si="185"/>
        <v>0</v>
      </c>
      <c r="K650" s="1539">
        <f t="shared" si="185"/>
        <v>0</v>
      </c>
      <c r="L650" s="1539">
        <f t="shared" si="185"/>
        <v>0</v>
      </c>
      <c r="M650" s="1539">
        <f t="shared" si="185"/>
        <v>0</v>
      </c>
      <c r="N650" s="1539">
        <f t="shared" si="185"/>
        <v>0</v>
      </c>
    </row>
    <row r="651" spans="1:14" s="1521" customFormat="1" x14ac:dyDescent="0.2">
      <c r="A651" s="1427"/>
      <c r="B651" s="132"/>
      <c r="C651" s="1426" t="s">
        <v>611</v>
      </c>
      <c r="D651" s="610" t="s">
        <v>611</v>
      </c>
      <c r="E651" s="1427"/>
      <c r="F651" s="1539"/>
      <c r="G651" s="1539">
        <f t="shared" ref="G651:N651" si="186">G632*G407</f>
        <v>0</v>
      </c>
      <c r="H651" s="1539">
        <f t="shared" si="186"/>
        <v>0</v>
      </c>
      <c r="I651" s="1539">
        <f t="shared" si="186"/>
        <v>0</v>
      </c>
      <c r="J651" s="1539">
        <f t="shared" si="186"/>
        <v>0</v>
      </c>
      <c r="K651" s="1539">
        <f t="shared" si="186"/>
        <v>0</v>
      </c>
      <c r="L651" s="1539">
        <f t="shared" si="186"/>
        <v>0</v>
      </c>
      <c r="M651" s="1539">
        <f t="shared" si="186"/>
        <v>0</v>
      </c>
      <c r="N651" s="1539">
        <f t="shared" si="186"/>
        <v>0</v>
      </c>
    </row>
    <row r="652" spans="1:14" s="1521" customFormat="1" x14ac:dyDescent="0.2">
      <c r="A652" s="1427"/>
      <c r="B652" s="132"/>
      <c r="C652" s="1426" t="s">
        <v>1662</v>
      </c>
      <c r="D652" s="17" t="s">
        <v>1662</v>
      </c>
      <c r="E652" s="1427"/>
      <c r="F652" s="1539"/>
      <c r="G652" s="1539">
        <f t="shared" ref="G652:N652" si="187">SUM(G638:G651)</f>
        <v>68760804287262.844</v>
      </c>
      <c r="H652" s="1539">
        <f t="shared" si="187"/>
        <v>42932423017905.312</v>
      </c>
      <c r="I652" s="1539">
        <f t="shared" si="187"/>
        <v>52340467677686.672</v>
      </c>
      <c r="J652" s="1539">
        <f t="shared" si="187"/>
        <v>63575183820672.203</v>
      </c>
      <c r="K652" s="1539">
        <f t="shared" si="187"/>
        <v>76977974482753.781</v>
      </c>
      <c r="L652" s="1539">
        <f t="shared" si="187"/>
        <v>88035962947400.641</v>
      </c>
      <c r="M652" s="1539">
        <f t="shared" si="187"/>
        <v>103459496371999.5</v>
      </c>
      <c r="N652" s="1539">
        <f t="shared" si="187"/>
        <v>121319353461563.06</v>
      </c>
    </row>
    <row r="653" spans="1:14" s="1521" customFormat="1" x14ac:dyDescent="0.2">
      <c r="A653" s="1427"/>
      <c r="B653" s="132"/>
      <c r="C653" s="1426"/>
      <c r="D653" s="17"/>
      <c r="E653" s="1427"/>
      <c r="F653" s="1539"/>
      <c r="G653" s="1539"/>
      <c r="H653" s="1539"/>
      <c r="I653" s="1539"/>
      <c r="J653" s="1539"/>
      <c r="K653" s="1539"/>
      <c r="L653" s="1539"/>
      <c r="M653" s="1539"/>
      <c r="N653" s="1539"/>
    </row>
    <row r="654" spans="1:14" s="1521" customFormat="1" x14ac:dyDescent="0.2">
      <c r="A654" s="1427"/>
      <c r="B654" s="132"/>
      <c r="C654" s="1426"/>
      <c r="D654" s="17"/>
      <c r="E654" s="1427"/>
      <c r="F654" s="1539"/>
      <c r="G654" s="1539"/>
      <c r="H654" s="1539"/>
      <c r="I654" s="1539"/>
      <c r="J654" s="1539"/>
      <c r="K654" s="1539"/>
      <c r="L654" s="1539"/>
      <c r="M654" s="1539"/>
      <c r="N654" s="1539"/>
    </row>
    <row r="655" spans="1:14" s="1521" customFormat="1" x14ac:dyDescent="0.2">
      <c r="A655" s="1427"/>
      <c r="B655" s="1427" t="s">
        <v>1655</v>
      </c>
      <c r="C655" s="1427" t="s">
        <v>1894</v>
      </c>
      <c r="D655" s="1427"/>
      <c r="E655" s="1427"/>
      <c r="F655" s="234"/>
      <c r="G655" s="234"/>
      <c r="H655" s="234"/>
      <c r="I655" s="234"/>
      <c r="J655" s="234"/>
      <c r="K655" s="234"/>
      <c r="L655" s="234"/>
      <c r="M655" s="234"/>
      <c r="N655" s="234"/>
    </row>
    <row r="656" spans="1:14" s="1521" customFormat="1" x14ac:dyDescent="0.2">
      <c r="A656" s="1427"/>
      <c r="B656" s="132"/>
      <c r="C656" s="1427"/>
      <c r="D656" s="1427"/>
      <c r="E656" s="1427"/>
      <c r="F656" s="234"/>
      <c r="G656" s="234"/>
      <c r="H656" s="234"/>
      <c r="I656" s="234"/>
      <c r="J656" s="234"/>
      <c r="K656" s="234"/>
      <c r="L656" s="234"/>
      <c r="M656" s="234"/>
      <c r="N656" s="234"/>
    </row>
    <row r="657" spans="1:14" s="1521" customFormat="1" x14ac:dyDescent="0.2">
      <c r="A657" s="1427"/>
      <c r="B657" s="132"/>
      <c r="C657" s="17" t="s">
        <v>645</v>
      </c>
      <c r="D657" s="20"/>
      <c r="E657" s="1427"/>
      <c r="F657" s="234"/>
      <c r="G657" s="234"/>
      <c r="H657" s="234"/>
      <c r="I657" s="234"/>
      <c r="J657" s="234"/>
      <c r="K657" s="234"/>
      <c r="L657" s="234"/>
      <c r="M657" s="234"/>
      <c r="N657" s="1426" t="str">
        <f>Preferences.moneyunits&amp;"/yr, preceeding 5 years"</f>
        <v>N/yr, preceeding 5 years</v>
      </c>
    </row>
    <row r="658" spans="1:14" s="1521" customFormat="1" x14ac:dyDescent="0.2">
      <c r="A658" s="1427"/>
      <c r="B658" s="132"/>
      <c r="C658" s="583" t="s">
        <v>592</v>
      </c>
      <c r="D658" s="1987" t="s">
        <v>343</v>
      </c>
      <c r="E658" s="1427"/>
      <c r="F658" s="1535">
        <v>2010</v>
      </c>
      <c r="G658" s="1535">
        <v>2015</v>
      </c>
      <c r="H658" s="1535">
        <v>2020</v>
      </c>
      <c r="I658" s="1535">
        <v>2025</v>
      </c>
      <c r="J658" s="1535">
        <v>2030</v>
      </c>
      <c r="K658" s="1535">
        <v>2035</v>
      </c>
      <c r="L658" s="1535">
        <v>2040</v>
      </c>
      <c r="M658" s="1535">
        <v>2045</v>
      </c>
      <c r="N658" s="1535">
        <v>2050</v>
      </c>
    </row>
    <row r="659" spans="1:14" s="1521" customFormat="1" x14ac:dyDescent="0.2">
      <c r="A659" s="1427"/>
      <c r="B659" s="132"/>
      <c r="C659" s="1426" t="s">
        <v>609</v>
      </c>
      <c r="D659" s="17" t="s">
        <v>609</v>
      </c>
      <c r="E659" s="1427"/>
      <c r="F659" s="1539"/>
      <c r="G659" s="1539">
        <f t="shared" ref="G659:N665" si="188">G619*G411</f>
        <v>6340718651.4264231</v>
      </c>
      <c r="H659" s="1539">
        <f t="shared" si="188"/>
        <v>8517917959.9700212</v>
      </c>
      <c r="I659" s="1539">
        <f t="shared" si="188"/>
        <v>11157828728.488743</v>
      </c>
      <c r="J659" s="1539">
        <f t="shared" si="188"/>
        <v>14344462993.588051</v>
      </c>
      <c r="K659" s="1539">
        <f t="shared" si="188"/>
        <v>18175922378.773781</v>
      </c>
      <c r="L659" s="1539">
        <f t="shared" si="188"/>
        <v>22055020195.403919</v>
      </c>
      <c r="M659" s="1539">
        <f t="shared" si="188"/>
        <v>26703430425.262951</v>
      </c>
      <c r="N659" s="1539">
        <f t="shared" si="188"/>
        <v>32080543273.170227</v>
      </c>
    </row>
    <row r="660" spans="1:14" s="1521" customFormat="1" x14ac:dyDescent="0.2">
      <c r="A660" s="1427"/>
      <c r="B660" s="132"/>
      <c r="C660" s="583" t="s">
        <v>607</v>
      </c>
      <c r="D660" s="610" t="s">
        <v>2272</v>
      </c>
      <c r="E660" s="1427"/>
      <c r="F660" s="1539"/>
      <c r="G660" s="1539">
        <f t="shared" si="188"/>
        <v>2009684322956.613</v>
      </c>
      <c r="H660" s="1539">
        <f t="shared" si="188"/>
        <v>2074864665365.6997</v>
      </c>
      <c r="I660" s="1539">
        <f t="shared" si="188"/>
        <v>2146107412407.71</v>
      </c>
      <c r="J660" s="1539">
        <f t="shared" si="188"/>
        <v>2224979290360.1919</v>
      </c>
      <c r="K660" s="1539">
        <f t="shared" si="188"/>
        <v>2313234788583.063</v>
      </c>
      <c r="L660" s="1539">
        <f t="shared" si="188"/>
        <v>2279983700556.8926</v>
      </c>
      <c r="M660" s="1539">
        <f t="shared" si="188"/>
        <v>2329531779843.0894</v>
      </c>
      <c r="N660" s="1539">
        <f t="shared" si="188"/>
        <v>2389298605209.3403</v>
      </c>
    </row>
    <row r="661" spans="1:14" s="1521" customFormat="1" x14ac:dyDescent="0.2">
      <c r="A661" s="1427"/>
      <c r="B661" s="132"/>
      <c r="C661" s="583" t="s">
        <v>607</v>
      </c>
      <c r="D661" s="17" t="s">
        <v>923</v>
      </c>
      <c r="E661" s="1427"/>
      <c r="F661" s="1539"/>
      <c r="G661" s="1539">
        <f t="shared" si="188"/>
        <v>870506919020.91772</v>
      </c>
      <c r="H661" s="1539">
        <f t="shared" si="188"/>
        <v>1340183634103.6775</v>
      </c>
      <c r="I661" s="1539">
        <f t="shared" si="188"/>
        <v>1861117453384.1228</v>
      </c>
      <c r="J661" s="1539">
        <f t="shared" si="188"/>
        <v>2435440346381.5728</v>
      </c>
      <c r="K661" s="1539">
        <f t="shared" si="188"/>
        <v>3064680038480.4575</v>
      </c>
      <c r="L661" s="1539">
        <f t="shared" si="188"/>
        <v>3581689712239.4199</v>
      </c>
      <c r="M661" s="1539">
        <f t="shared" si="188"/>
        <v>4179829831372.689</v>
      </c>
      <c r="N661" s="1539">
        <f t="shared" si="188"/>
        <v>4794896043383.8291</v>
      </c>
    </row>
    <row r="662" spans="1:14" s="1521" customFormat="1" x14ac:dyDescent="0.2">
      <c r="A662" s="1427"/>
      <c r="B662" s="132"/>
      <c r="C662" s="583" t="s">
        <v>607</v>
      </c>
      <c r="D662" s="610" t="s">
        <v>612</v>
      </c>
      <c r="E662" s="1427"/>
      <c r="F662" s="1539"/>
      <c r="G662" s="1539">
        <f t="shared" si="188"/>
        <v>331621683436.54022</v>
      </c>
      <c r="H662" s="1539">
        <f t="shared" si="188"/>
        <v>510546146325.21051</v>
      </c>
      <c r="I662" s="1539">
        <f t="shared" si="188"/>
        <v>708997125098.7135</v>
      </c>
      <c r="J662" s="1539">
        <f t="shared" si="188"/>
        <v>927786798621.55176</v>
      </c>
      <c r="K662" s="1539">
        <f t="shared" si="188"/>
        <v>1167497157516.3652</v>
      </c>
      <c r="L662" s="1539">
        <f t="shared" si="188"/>
        <v>1364453223710.2559</v>
      </c>
      <c r="M662" s="1539">
        <f t="shared" si="188"/>
        <v>1592316126237.2158</v>
      </c>
      <c r="N662" s="1539">
        <f t="shared" si="188"/>
        <v>1826627064146.2207</v>
      </c>
    </row>
    <row r="663" spans="1:14" s="1521" customFormat="1" x14ac:dyDescent="0.2">
      <c r="A663" s="1427"/>
      <c r="B663" s="132"/>
      <c r="C663" s="583" t="s">
        <v>607</v>
      </c>
      <c r="D663" s="610" t="s">
        <v>2273</v>
      </c>
      <c r="E663" s="1427"/>
      <c r="F663" s="1539"/>
      <c r="G663" s="1539">
        <f t="shared" si="188"/>
        <v>171116788653.25476</v>
      </c>
      <c r="H663" s="1539">
        <f t="shared" si="188"/>
        <v>246546000423.89203</v>
      </c>
      <c r="I663" s="1539">
        <f t="shared" si="188"/>
        <v>321954764749.57977</v>
      </c>
      <c r="J663" s="1539">
        <f t="shared" si="188"/>
        <v>396262109788.55969</v>
      </c>
      <c r="K663" s="1539">
        <f t="shared" si="188"/>
        <v>468215907509.84943</v>
      </c>
      <c r="L663" s="1539">
        <f t="shared" si="188"/>
        <v>511067658839.93481</v>
      </c>
      <c r="M663" s="1539">
        <f t="shared" si="188"/>
        <v>556173360141.19324</v>
      </c>
      <c r="N663" s="1539">
        <f t="shared" si="188"/>
        <v>592275653244.45117</v>
      </c>
    </row>
    <row r="664" spans="1:14" s="1521" customFormat="1" x14ac:dyDescent="0.2">
      <c r="A664" s="1427"/>
      <c r="B664" s="132"/>
      <c r="C664" s="583" t="s">
        <v>608</v>
      </c>
      <c r="D664" s="610" t="s">
        <v>2272</v>
      </c>
      <c r="E664" s="1427"/>
      <c r="F664" s="1539"/>
      <c r="G664" s="1539">
        <f t="shared" si="188"/>
        <v>42185821036783.273</v>
      </c>
      <c r="H664" s="1539">
        <f t="shared" si="188"/>
        <v>14951480941540.906</v>
      </c>
      <c r="I664" s="1539">
        <f t="shared" si="188"/>
        <v>15889877609719.617</v>
      </c>
      <c r="J664" s="1539">
        <f t="shared" si="188"/>
        <v>16993585065479.648</v>
      </c>
      <c r="K664" s="1539">
        <f t="shared" si="188"/>
        <v>18319631940664.918</v>
      </c>
      <c r="L664" s="1539">
        <f t="shared" si="188"/>
        <v>18634118638934.457</v>
      </c>
      <c r="M664" s="1539">
        <f t="shared" si="188"/>
        <v>19980130109530.203</v>
      </c>
      <c r="N664" s="1539">
        <f t="shared" si="188"/>
        <v>21618666661681.273</v>
      </c>
    </row>
    <row r="665" spans="1:14" s="1390" customFormat="1" x14ac:dyDescent="0.2">
      <c r="A665" s="1427"/>
      <c r="B665" s="132"/>
      <c r="C665" s="583" t="s">
        <v>608</v>
      </c>
      <c r="D665" s="17" t="s">
        <v>923</v>
      </c>
      <c r="E665" s="1427"/>
      <c r="F665" s="1539"/>
      <c r="G665" s="1539">
        <f t="shared" si="188"/>
        <v>6982615832399.5146</v>
      </c>
      <c r="H665" s="1539">
        <f t="shared" si="188"/>
        <v>10019666232246.371</v>
      </c>
      <c r="I665" s="1539">
        <f t="shared" si="188"/>
        <v>13786271025786.385</v>
      </c>
      <c r="J665" s="1539">
        <f t="shared" si="188"/>
        <v>18396867382517.797</v>
      </c>
      <c r="K665" s="1539">
        <f t="shared" si="188"/>
        <v>24011247259396.902</v>
      </c>
      <c r="L665" s="1539">
        <f t="shared" si="188"/>
        <v>29330001876892.676</v>
      </c>
      <c r="M665" s="1539">
        <f t="shared" si="188"/>
        <v>36243588716337.742</v>
      </c>
      <c r="N665" s="1539">
        <f t="shared" si="188"/>
        <v>44357255686746.633</v>
      </c>
    </row>
    <row r="666" spans="1:14" s="1390" customFormat="1" x14ac:dyDescent="0.2">
      <c r="A666" s="1427"/>
      <c r="B666" s="132"/>
      <c r="C666" s="583" t="s">
        <v>608</v>
      </c>
      <c r="D666" s="610" t="s">
        <v>612</v>
      </c>
      <c r="E666" s="1427"/>
      <c r="F666" s="1539"/>
      <c r="G666" s="1539">
        <f t="shared" ref="G666:M669" si="189">G626*G418</f>
        <v>1596026475977.032</v>
      </c>
      <c r="H666" s="1539">
        <f t="shared" si="189"/>
        <v>2290209424513.4565</v>
      </c>
      <c r="I666" s="1539">
        <f t="shared" si="189"/>
        <v>3151147663036.8877</v>
      </c>
      <c r="J666" s="1539">
        <f t="shared" si="189"/>
        <v>4204998258861.2119</v>
      </c>
      <c r="K666" s="1539">
        <f t="shared" si="189"/>
        <v>5488285087862.1484</v>
      </c>
      <c r="L666" s="1539">
        <f t="shared" si="189"/>
        <v>6704000429004.041</v>
      </c>
      <c r="M666" s="1539">
        <f t="shared" si="189"/>
        <v>8284248849448.6318</v>
      </c>
      <c r="N666" s="1539">
        <f>N626*N417</f>
        <v>6336750812392.376</v>
      </c>
    </row>
    <row r="667" spans="1:14" s="1390" customFormat="1" x14ac:dyDescent="0.2">
      <c r="A667" s="1427"/>
      <c r="B667" s="132"/>
      <c r="C667" s="583" t="s">
        <v>608</v>
      </c>
      <c r="D667" s="17" t="s">
        <v>2273</v>
      </c>
      <c r="E667" s="1427"/>
      <c r="F667" s="1539"/>
      <c r="G667" s="1539">
        <f t="shared" si="189"/>
        <v>1715728461675.3096</v>
      </c>
      <c r="H667" s="1539">
        <f t="shared" si="189"/>
        <v>2294263777593.7256</v>
      </c>
      <c r="I667" s="1539">
        <f t="shared" si="189"/>
        <v>2960561402288.8052</v>
      </c>
      <c r="J667" s="1539">
        <f t="shared" si="189"/>
        <v>3710046754563.9492</v>
      </c>
      <c r="K667" s="1539">
        <f t="shared" si="189"/>
        <v>4542365086662.2256</v>
      </c>
      <c r="L667" s="1539">
        <f t="shared" si="189"/>
        <v>5174601274188.1582</v>
      </c>
      <c r="M667" s="1539">
        <f t="shared" si="189"/>
        <v>5959360124195.7637</v>
      </c>
      <c r="N667" s="1539">
        <f>N627*N419</f>
        <v>6767200824642.2578</v>
      </c>
    </row>
    <row r="668" spans="1:14" x14ac:dyDescent="0.2">
      <c r="A668" s="1427"/>
      <c r="B668" s="132"/>
      <c r="C668" s="583" t="s">
        <v>610</v>
      </c>
      <c r="D668" s="610" t="s">
        <v>638</v>
      </c>
      <c r="E668" s="1427"/>
      <c r="F668" s="1539"/>
      <c r="G668" s="1539">
        <f t="shared" si="189"/>
        <v>0</v>
      </c>
      <c r="H668" s="1539">
        <f t="shared" si="189"/>
        <v>3022675569.797256</v>
      </c>
      <c r="I668" s="1539">
        <f t="shared" si="189"/>
        <v>3819705283.7121563</v>
      </c>
      <c r="J668" s="1539">
        <f t="shared" si="189"/>
        <v>3799384501.5191326</v>
      </c>
      <c r="K668" s="1539">
        <f t="shared" si="189"/>
        <v>3414883296.9453826</v>
      </c>
      <c r="L668" s="1539">
        <f t="shared" si="189"/>
        <v>2054875135.6630225</v>
      </c>
      <c r="M668" s="1539">
        <f t="shared" si="189"/>
        <v>974931929.67035651</v>
      </c>
      <c r="N668" s="1539">
        <f>N628*N421</f>
        <v>0</v>
      </c>
    </row>
    <row r="669" spans="1:14" x14ac:dyDescent="0.2">
      <c r="A669" s="1427"/>
      <c r="B669" s="132"/>
      <c r="C669" s="1426" t="s">
        <v>610</v>
      </c>
      <c r="D669" s="610" t="s">
        <v>639</v>
      </c>
      <c r="E669" s="1427"/>
      <c r="F669" s="1539"/>
      <c r="G669" s="1539">
        <f t="shared" si="189"/>
        <v>0</v>
      </c>
      <c r="H669" s="1539">
        <f t="shared" si="189"/>
        <v>7890293016.6349573</v>
      </c>
      <c r="I669" s="1539">
        <f t="shared" si="189"/>
        <v>11195489954.21303</v>
      </c>
      <c r="J669" s="1539">
        <f t="shared" si="189"/>
        <v>15686757163.533117</v>
      </c>
      <c r="K669" s="1539">
        <f t="shared" si="189"/>
        <v>21440306052.274403</v>
      </c>
      <c r="L669" s="1539">
        <f t="shared" si="189"/>
        <v>26968422748.420475</v>
      </c>
      <c r="M669" s="1539">
        <f t="shared" si="189"/>
        <v>34494392057.622986</v>
      </c>
      <c r="N669" s="1539">
        <f>N629*N421</f>
        <v>43561465901.725677</v>
      </c>
    </row>
    <row r="670" spans="1:14" s="2479" customFormat="1" x14ac:dyDescent="0.2">
      <c r="A670" s="1427"/>
      <c r="B670" s="132"/>
      <c r="C670" s="1426" t="s">
        <v>2267</v>
      </c>
      <c r="D670" s="2479" t="s">
        <v>2264</v>
      </c>
      <c r="E670" s="1427"/>
      <c r="F670" s="1539"/>
      <c r="G670" s="1539">
        <f t="shared" ref="G670:N671" si="190">G630*G422</f>
        <v>0</v>
      </c>
      <c r="H670" s="1539">
        <f t="shared" si="190"/>
        <v>0</v>
      </c>
      <c r="I670" s="1539">
        <f t="shared" si="190"/>
        <v>0</v>
      </c>
      <c r="J670" s="1539">
        <f t="shared" si="190"/>
        <v>0</v>
      </c>
      <c r="K670" s="1539">
        <f t="shared" si="190"/>
        <v>0</v>
      </c>
      <c r="L670" s="1539">
        <f t="shared" si="190"/>
        <v>0</v>
      </c>
      <c r="M670" s="1539">
        <f t="shared" si="190"/>
        <v>0</v>
      </c>
      <c r="N670" s="1539">
        <f t="shared" si="190"/>
        <v>0</v>
      </c>
    </row>
    <row r="671" spans="1:14" s="2479" customFormat="1" x14ac:dyDescent="0.2">
      <c r="A671" s="1427"/>
      <c r="B671" s="132"/>
      <c r="C671" s="1426" t="s">
        <v>2268</v>
      </c>
      <c r="D671" s="2479" t="s">
        <v>2266</v>
      </c>
      <c r="E671" s="1427"/>
      <c r="F671" s="1539"/>
      <c r="G671" s="1539">
        <f t="shared" si="190"/>
        <v>0</v>
      </c>
      <c r="H671" s="1539">
        <f t="shared" si="190"/>
        <v>0</v>
      </c>
      <c r="I671" s="1539">
        <f t="shared" si="190"/>
        <v>0</v>
      </c>
      <c r="J671" s="1539">
        <f t="shared" si="190"/>
        <v>0</v>
      </c>
      <c r="K671" s="1539">
        <f t="shared" si="190"/>
        <v>0</v>
      </c>
      <c r="L671" s="1539">
        <f t="shared" si="190"/>
        <v>0</v>
      </c>
      <c r="M671" s="1539">
        <f t="shared" si="190"/>
        <v>0</v>
      </c>
      <c r="N671" s="1539">
        <f t="shared" si="190"/>
        <v>0</v>
      </c>
    </row>
    <row r="672" spans="1:14" s="1521" customFormat="1" x14ac:dyDescent="0.2">
      <c r="A672" s="1427"/>
      <c r="B672" s="132"/>
      <c r="C672" s="1426" t="s">
        <v>611</v>
      </c>
      <c r="D672" s="610" t="s">
        <v>611</v>
      </c>
      <c r="E672" s="1427"/>
      <c r="F672" s="1539"/>
      <c r="G672" s="1539">
        <f t="shared" ref="G672:N672" si="191">G632*G424</f>
        <v>0</v>
      </c>
      <c r="H672" s="1539">
        <f t="shared" si="191"/>
        <v>0</v>
      </c>
      <c r="I672" s="1539">
        <f t="shared" si="191"/>
        <v>0</v>
      </c>
      <c r="J672" s="1539">
        <f t="shared" si="191"/>
        <v>0</v>
      </c>
      <c r="K672" s="1539">
        <f t="shared" si="191"/>
        <v>0</v>
      </c>
      <c r="L672" s="1539">
        <f t="shared" si="191"/>
        <v>0</v>
      </c>
      <c r="M672" s="1539">
        <f t="shared" si="191"/>
        <v>0</v>
      </c>
      <c r="N672" s="1539">
        <f t="shared" si="191"/>
        <v>0</v>
      </c>
    </row>
    <row r="673" spans="1:14" x14ac:dyDescent="0.2">
      <c r="A673" s="1427"/>
      <c r="B673" s="132"/>
      <c r="C673" s="1426" t="s">
        <v>1662</v>
      </c>
      <c r="D673" s="17" t="s">
        <v>1662</v>
      </c>
      <c r="E673" s="1427"/>
      <c r="F673" s="1539"/>
      <c r="G673" s="1539">
        <f t="shared" ref="G673:N673" si="192">SUM(G659:G672)</f>
        <v>55869462239553.883</v>
      </c>
      <c r="H673" s="1539">
        <f t="shared" si="192"/>
        <v>33747191708659.344</v>
      </c>
      <c r="I673" s="1539">
        <f t="shared" si="192"/>
        <v>40852207480438.234</v>
      </c>
      <c r="J673" s="1539">
        <f t="shared" si="192"/>
        <v>49323796611233.109</v>
      </c>
      <c r="K673" s="1539">
        <f t="shared" si="192"/>
        <v>59418188378403.922</v>
      </c>
      <c r="L673" s="1539">
        <f t="shared" si="192"/>
        <v>67630994832445.32</v>
      </c>
      <c r="M673" s="1539">
        <f t="shared" si="192"/>
        <v>79187351651519.078</v>
      </c>
      <c r="N673" s="1539">
        <f t="shared" si="192"/>
        <v>88758613360621.281</v>
      </c>
    </row>
    <row r="674" spans="1:14" x14ac:dyDescent="0.2">
      <c r="A674" s="1427"/>
      <c r="B674" s="132"/>
      <c r="C674" s="1426"/>
      <c r="D674" s="17"/>
      <c r="E674" s="1427"/>
      <c r="F674" s="1539"/>
      <c r="G674" s="1539"/>
      <c r="H674" s="1539"/>
      <c r="I674" s="1539"/>
      <c r="J674" s="1539"/>
      <c r="K674" s="1539"/>
      <c r="L674" s="1539"/>
      <c r="M674" s="1539"/>
      <c r="N674" s="1539"/>
    </row>
    <row r="675" spans="1:14" x14ac:dyDescent="0.2">
      <c r="A675" s="1427"/>
      <c r="B675" s="1987"/>
      <c r="C675" s="1987"/>
      <c r="D675" s="1987"/>
      <c r="E675" s="1987"/>
      <c r="F675" s="1987"/>
      <c r="G675" s="1987"/>
      <c r="H675" s="1987"/>
      <c r="I675" s="1987"/>
      <c r="J675" s="1987"/>
      <c r="K675" s="1987"/>
      <c r="L675" s="1987"/>
      <c r="M675" s="1987"/>
      <c r="N675" s="1987"/>
    </row>
    <row r="676" spans="1:14" x14ac:dyDescent="0.2">
      <c r="A676" s="1427"/>
      <c r="B676" s="1427" t="s">
        <v>1664</v>
      </c>
      <c r="C676" s="1427" t="s">
        <v>1659</v>
      </c>
      <c r="D676" s="1427"/>
      <c r="E676" s="1427"/>
      <c r="F676" s="234"/>
      <c r="G676" s="234"/>
      <c r="H676" s="234"/>
      <c r="I676" s="234"/>
      <c r="J676" s="234"/>
      <c r="K676" s="234"/>
      <c r="L676" s="234"/>
      <c r="M676" s="234"/>
      <c r="N676" s="234"/>
    </row>
    <row r="677" spans="1:14" x14ac:dyDescent="0.2">
      <c r="A677" s="1427"/>
      <c r="B677" s="1987"/>
      <c r="C677" s="1427"/>
      <c r="D677" s="1427"/>
      <c r="E677" s="1427"/>
      <c r="F677" s="234"/>
      <c r="G677" s="234"/>
      <c r="H677" s="234"/>
      <c r="I677" s="234"/>
      <c r="J677" s="234"/>
      <c r="K677" s="234"/>
      <c r="L677" s="234"/>
      <c r="M677" s="234"/>
      <c r="N677" s="234"/>
    </row>
    <row r="678" spans="1:14" x14ac:dyDescent="0.2">
      <c r="A678" s="1427"/>
      <c r="B678" s="1987"/>
      <c r="C678" s="17" t="s">
        <v>645</v>
      </c>
      <c r="D678" s="20"/>
      <c r="E678" s="1427"/>
      <c r="F678" s="234"/>
      <c r="G678" s="234"/>
      <c r="H678" s="234"/>
      <c r="I678" s="234"/>
      <c r="J678" s="234"/>
      <c r="K678" s="234"/>
      <c r="L678" s="234"/>
      <c r="M678" s="234"/>
      <c r="N678" s="1426" t="str">
        <f>Preferences.moneyunits&amp;"/yr, preceeding 5 years"</f>
        <v>N/yr, preceeding 5 years</v>
      </c>
    </row>
    <row r="679" spans="1:14" x14ac:dyDescent="0.2">
      <c r="A679" s="1427"/>
      <c r="B679" s="1987"/>
      <c r="C679" s="583" t="s">
        <v>592</v>
      </c>
      <c r="D679" s="1987" t="s">
        <v>343</v>
      </c>
      <c r="E679" s="1427"/>
      <c r="F679" s="1535">
        <v>2010</v>
      </c>
      <c r="G679" s="1535">
        <v>2015</v>
      </c>
      <c r="H679" s="1535">
        <v>2020</v>
      </c>
      <c r="I679" s="1535">
        <v>2025</v>
      </c>
      <c r="J679" s="1535">
        <v>2030</v>
      </c>
      <c r="K679" s="1535">
        <v>2035</v>
      </c>
      <c r="L679" s="1535">
        <v>2040</v>
      </c>
      <c r="M679" s="1535">
        <v>2045</v>
      </c>
      <c r="N679" s="1535">
        <v>2050</v>
      </c>
    </row>
    <row r="680" spans="1:14" x14ac:dyDescent="0.2">
      <c r="A680" s="1427"/>
      <c r="B680" s="1987"/>
      <c r="C680" s="1426" t="s">
        <v>609</v>
      </c>
      <c r="D680" s="17" t="s">
        <v>609</v>
      </c>
      <c r="E680" s="1427"/>
      <c r="F680" s="1539"/>
      <c r="G680" s="1539">
        <f t="shared" ref="G680:N690" si="193">G619*G428</f>
        <v>5283932209.5220194</v>
      </c>
      <c r="H680" s="1539">
        <f t="shared" si="193"/>
        <v>7098264966.6416845</v>
      </c>
      <c r="I680" s="1539">
        <f t="shared" si="193"/>
        <v>9298190607.0739536</v>
      </c>
      <c r="J680" s="1539">
        <f t="shared" si="193"/>
        <v>11953719161.323376</v>
      </c>
      <c r="K680" s="1539">
        <f t="shared" si="193"/>
        <v>15146601982.311485</v>
      </c>
      <c r="L680" s="1539">
        <f t="shared" si="193"/>
        <v>18379183496.169933</v>
      </c>
      <c r="M680" s="1539">
        <f t="shared" si="193"/>
        <v>22252858687.719124</v>
      </c>
      <c r="N680" s="1539">
        <f t="shared" si="193"/>
        <v>26733786060.975189</v>
      </c>
    </row>
    <row r="681" spans="1:14" x14ac:dyDescent="0.2">
      <c r="A681" s="1427"/>
      <c r="B681" s="1987"/>
      <c r="C681" s="583" t="s">
        <v>607</v>
      </c>
      <c r="D681" s="610" t="s">
        <v>2272</v>
      </c>
      <c r="E681" s="1427"/>
      <c r="F681" s="1539"/>
      <c r="G681" s="1539">
        <f t="shared" si="193"/>
        <v>1674736935797.1775</v>
      </c>
      <c r="H681" s="1539">
        <f t="shared" si="193"/>
        <v>1729053887804.7498</v>
      </c>
      <c r="I681" s="1539">
        <f t="shared" si="193"/>
        <v>1788422843673.0916</v>
      </c>
      <c r="J681" s="1539">
        <f t="shared" si="193"/>
        <v>1854149408633.4934</v>
      </c>
      <c r="K681" s="1539">
        <f t="shared" si="193"/>
        <v>1927695657152.5525</v>
      </c>
      <c r="L681" s="1539">
        <f t="shared" si="193"/>
        <v>1899986417130.7439</v>
      </c>
      <c r="M681" s="1539">
        <f t="shared" si="193"/>
        <v>1941276483202.5745</v>
      </c>
      <c r="N681" s="1539">
        <f t="shared" si="193"/>
        <v>1991082171007.7834</v>
      </c>
    </row>
    <row r="682" spans="1:14" x14ac:dyDescent="0.2">
      <c r="A682" s="1427"/>
      <c r="B682" s="1987"/>
      <c r="C682" s="583" t="s">
        <v>607</v>
      </c>
      <c r="D682" s="17" t="s">
        <v>923</v>
      </c>
      <c r="E682" s="1427"/>
      <c r="F682" s="1539"/>
      <c r="G682" s="1539">
        <f t="shared" si="193"/>
        <v>580337946013.94519</v>
      </c>
      <c r="H682" s="1539">
        <f t="shared" si="193"/>
        <v>893455756069.11841</v>
      </c>
      <c r="I682" s="1539">
        <f t="shared" si="193"/>
        <v>1240744968922.7485</v>
      </c>
      <c r="J682" s="1539">
        <f t="shared" si="193"/>
        <v>1623626897587.7151</v>
      </c>
      <c r="K682" s="1539">
        <f t="shared" si="193"/>
        <v>2043120025653.6384</v>
      </c>
      <c r="L682" s="1539">
        <f t="shared" si="193"/>
        <v>2387793141492.9468</v>
      </c>
      <c r="M682" s="1539">
        <f t="shared" si="193"/>
        <v>2786553220915.126</v>
      </c>
      <c r="N682" s="1539">
        <f t="shared" si="193"/>
        <v>3196597362255.8857</v>
      </c>
    </row>
    <row r="683" spans="1:14" x14ac:dyDescent="0.2">
      <c r="A683" s="1427"/>
      <c r="B683" s="1987"/>
      <c r="C683" s="583" t="s">
        <v>607</v>
      </c>
      <c r="D683" s="610" t="s">
        <v>612</v>
      </c>
      <c r="E683" s="1427"/>
      <c r="F683" s="1539"/>
      <c r="G683" s="1539">
        <f t="shared" si="193"/>
        <v>248716262577.40515</v>
      </c>
      <c r="H683" s="1539">
        <f t="shared" si="193"/>
        <v>382909609743.90784</v>
      </c>
      <c r="I683" s="1539">
        <f t="shared" si="193"/>
        <v>531747843824.0351</v>
      </c>
      <c r="J683" s="1539">
        <f t="shared" si="193"/>
        <v>695840098966.16382</v>
      </c>
      <c r="K683" s="1539">
        <f t="shared" si="193"/>
        <v>875622868137.27393</v>
      </c>
      <c r="L683" s="1539">
        <f t="shared" si="193"/>
        <v>1023339917782.6918</v>
      </c>
      <c r="M683" s="1539">
        <f t="shared" si="193"/>
        <v>1194237094677.9119</v>
      </c>
      <c r="N683" s="1539">
        <f t="shared" si="193"/>
        <v>1369970298109.6655</v>
      </c>
    </row>
    <row r="684" spans="1:14" x14ac:dyDescent="0.2">
      <c r="A684" s="1427"/>
      <c r="B684" s="1987"/>
      <c r="C684" s="583" t="s">
        <v>607</v>
      </c>
      <c r="D684" s="610" t="s">
        <v>2273</v>
      </c>
      <c r="E684" s="1427"/>
      <c r="F684" s="1539"/>
      <c r="G684" s="1539">
        <f t="shared" si="193"/>
        <v>142597323877.71231</v>
      </c>
      <c r="H684" s="1539">
        <f t="shared" si="193"/>
        <v>205455000353.24335</v>
      </c>
      <c r="I684" s="1539">
        <f t="shared" si="193"/>
        <v>268295637291.3165</v>
      </c>
      <c r="J684" s="1539">
        <f t="shared" si="193"/>
        <v>330218424823.79974</v>
      </c>
      <c r="K684" s="1539">
        <f t="shared" si="193"/>
        <v>390179922924.87451</v>
      </c>
      <c r="L684" s="1539">
        <f t="shared" si="193"/>
        <v>425889715699.94568</v>
      </c>
      <c r="M684" s="1539">
        <f t="shared" si="193"/>
        <v>463477800117.66107</v>
      </c>
      <c r="N684" s="1539">
        <f t="shared" si="193"/>
        <v>493563044370.37604</v>
      </c>
    </row>
    <row r="685" spans="1:14" x14ac:dyDescent="0.2">
      <c r="A685" s="1427"/>
      <c r="B685" s="1987"/>
      <c r="C685" s="583" t="s">
        <v>608</v>
      </c>
      <c r="D685" s="610" t="s">
        <v>2272</v>
      </c>
      <c r="E685" s="1427"/>
      <c r="F685" s="1539"/>
      <c r="G685" s="1539">
        <f t="shared" si="193"/>
        <v>33748656829426.617</v>
      </c>
      <c r="H685" s="1539">
        <f t="shared" si="193"/>
        <v>11961184753232.725</v>
      </c>
      <c r="I685" s="1539">
        <f t="shared" si="193"/>
        <v>12711902087775.693</v>
      </c>
      <c r="J685" s="1539">
        <f t="shared" si="193"/>
        <v>13594868052383.719</v>
      </c>
      <c r="K685" s="1539">
        <f t="shared" si="193"/>
        <v>14655705552531.934</v>
      </c>
      <c r="L685" s="1539">
        <f t="shared" si="193"/>
        <v>14907294911147.566</v>
      </c>
      <c r="M685" s="1539">
        <f t="shared" si="193"/>
        <v>15984104087624.162</v>
      </c>
      <c r="N685" s="1539">
        <f t="shared" si="193"/>
        <v>17294933329345.018</v>
      </c>
    </row>
    <row r="686" spans="1:14" x14ac:dyDescent="0.2">
      <c r="A686" s="1427"/>
      <c r="B686" s="1987"/>
      <c r="C686" s="583" t="s">
        <v>608</v>
      </c>
      <c r="D686" s="17" t="s">
        <v>923</v>
      </c>
      <c r="E686" s="1427"/>
      <c r="F686" s="1539"/>
      <c r="G686" s="1539">
        <f t="shared" si="193"/>
        <v>5586092665919.6123</v>
      </c>
      <c r="H686" s="1539">
        <f t="shared" si="193"/>
        <v>8015732985797.0967</v>
      </c>
      <c r="I686" s="1539">
        <f t="shared" si="193"/>
        <v>11029016820629.107</v>
      </c>
      <c r="J686" s="1539">
        <f t="shared" si="193"/>
        <v>14717493906014.236</v>
      </c>
      <c r="K686" s="1539">
        <f t="shared" si="193"/>
        <v>19208997807517.52</v>
      </c>
      <c r="L686" s="1539">
        <f t="shared" si="193"/>
        <v>23464001501514.141</v>
      </c>
      <c r="M686" s="1539">
        <f t="shared" si="193"/>
        <v>28994870973070.195</v>
      </c>
      <c r="N686" s="1539">
        <f t="shared" si="193"/>
        <v>35485804549397.305</v>
      </c>
    </row>
    <row r="687" spans="1:14" x14ac:dyDescent="0.2">
      <c r="A687" s="1427"/>
      <c r="B687" s="1987"/>
      <c r="C687" s="583" t="s">
        <v>608</v>
      </c>
      <c r="D687" s="610" t="s">
        <v>612</v>
      </c>
      <c r="E687" s="1427"/>
      <c r="F687" s="1539"/>
      <c r="G687" s="1539">
        <f t="shared" si="193"/>
        <v>1197019856982.7742</v>
      </c>
      <c r="H687" s="1539">
        <f t="shared" si="193"/>
        <v>1717657068385.0925</v>
      </c>
      <c r="I687" s="1539">
        <f t="shared" si="193"/>
        <v>2363360747277.666</v>
      </c>
      <c r="J687" s="1539">
        <f t="shared" si="193"/>
        <v>3153748694145.9092</v>
      </c>
      <c r="K687" s="1539">
        <f t="shared" si="193"/>
        <v>4116213815896.6113</v>
      </c>
      <c r="L687" s="1539">
        <f t="shared" si="193"/>
        <v>5028000321753.0303</v>
      </c>
      <c r="M687" s="1539">
        <f t="shared" si="193"/>
        <v>6213186637086.4736</v>
      </c>
      <c r="N687" s="1539">
        <f t="shared" si="193"/>
        <v>7604100974870.8506</v>
      </c>
    </row>
    <row r="688" spans="1:14" x14ac:dyDescent="0.2">
      <c r="A688" s="1427"/>
      <c r="B688" s="1987"/>
      <c r="C688" s="583" t="s">
        <v>608</v>
      </c>
      <c r="D688" s="17" t="s">
        <v>2273</v>
      </c>
      <c r="E688" s="1427"/>
      <c r="F688" s="1539"/>
      <c r="G688" s="1539">
        <f t="shared" si="193"/>
        <v>1372582769340.2478</v>
      </c>
      <c r="H688" s="1539">
        <f t="shared" si="193"/>
        <v>1835411022074.9802</v>
      </c>
      <c r="I688" s="1539">
        <f t="shared" si="193"/>
        <v>2368449121831.0439</v>
      </c>
      <c r="J688" s="1539">
        <f t="shared" si="193"/>
        <v>2968037403651.1592</v>
      </c>
      <c r="K688" s="1539">
        <f t="shared" si="193"/>
        <v>3633892069329.7803</v>
      </c>
      <c r="L688" s="1539">
        <f t="shared" si="193"/>
        <v>4139681019350.5264</v>
      </c>
      <c r="M688" s="1539">
        <f t="shared" si="193"/>
        <v>4767488099356.6113</v>
      </c>
      <c r="N688" s="1539">
        <f t="shared" si="193"/>
        <v>5413760659713.8066</v>
      </c>
    </row>
    <row r="689" spans="1:14" x14ac:dyDescent="0.2">
      <c r="A689" s="1427"/>
      <c r="B689" s="1987"/>
      <c r="C689" s="583" t="s">
        <v>610</v>
      </c>
      <c r="D689" s="610" t="s">
        <v>638</v>
      </c>
      <c r="E689" s="1427"/>
      <c r="F689" s="1539"/>
      <c r="G689" s="1539">
        <f t="shared" si="193"/>
        <v>0</v>
      </c>
      <c r="H689" s="1539">
        <f t="shared" si="193"/>
        <v>3022675569.797256</v>
      </c>
      <c r="I689" s="1539">
        <f t="shared" si="193"/>
        <v>3819705283.7121563</v>
      </c>
      <c r="J689" s="1539">
        <f t="shared" si="193"/>
        <v>3799384501.5191326</v>
      </c>
      <c r="K689" s="1539">
        <f t="shared" si="193"/>
        <v>3414883296.9453826</v>
      </c>
      <c r="L689" s="1539">
        <f t="shared" si="193"/>
        <v>2054875135.6630225</v>
      </c>
      <c r="M689" s="1539">
        <f t="shared" si="193"/>
        <v>974931929.67035651</v>
      </c>
      <c r="N689" s="1539">
        <f t="shared" si="193"/>
        <v>0</v>
      </c>
    </row>
    <row r="690" spans="1:14" x14ac:dyDescent="0.2">
      <c r="A690" s="1427"/>
      <c r="B690" s="1987"/>
      <c r="C690" s="1426" t="s">
        <v>610</v>
      </c>
      <c r="D690" s="610" t="s">
        <v>639</v>
      </c>
      <c r="E690" s="1427"/>
      <c r="F690" s="1539"/>
      <c r="G690" s="1539">
        <f t="shared" si="193"/>
        <v>0</v>
      </c>
      <c r="H690" s="1539">
        <f t="shared" si="193"/>
        <v>7890293016.6349573</v>
      </c>
      <c r="I690" s="1539">
        <f t="shared" si="193"/>
        <v>11195489954.21303</v>
      </c>
      <c r="J690" s="1539">
        <f t="shared" si="193"/>
        <v>15686757163.533117</v>
      </c>
      <c r="K690" s="1539">
        <f t="shared" si="193"/>
        <v>21440306052.274403</v>
      </c>
      <c r="L690" s="1539">
        <f t="shared" si="193"/>
        <v>26968422748.420475</v>
      </c>
      <c r="M690" s="1539">
        <f t="shared" si="193"/>
        <v>34494392057.622986</v>
      </c>
      <c r="N690" s="1539">
        <f t="shared" si="193"/>
        <v>43561465901.725677</v>
      </c>
    </row>
    <row r="691" spans="1:14" s="2479" customFormat="1" x14ac:dyDescent="0.2">
      <c r="A691" s="1427"/>
      <c r="C691" s="1426" t="s">
        <v>2267</v>
      </c>
      <c r="D691" s="2479" t="s">
        <v>2264</v>
      </c>
      <c r="E691" s="1427"/>
      <c r="F691" s="1539"/>
      <c r="G691" s="1539">
        <f t="shared" ref="G691:G692" si="194">G630*G439</f>
        <v>0</v>
      </c>
      <c r="H691" s="1539">
        <f t="shared" ref="H691:N691" si="195">H630*H439</f>
        <v>0</v>
      </c>
      <c r="I691" s="1539">
        <f t="shared" si="195"/>
        <v>0</v>
      </c>
      <c r="J691" s="1539">
        <f t="shared" si="195"/>
        <v>0</v>
      </c>
      <c r="K691" s="1539">
        <f t="shared" si="195"/>
        <v>0</v>
      </c>
      <c r="L691" s="1539">
        <f t="shared" si="195"/>
        <v>0</v>
      </c>
      <c r="M691" s="1539">
        <f t="shared" si="195"/>
        <v>0</v>
      </c>
      <c r="N691" s="1539">
        <f t="shared" si="195"/>
        <v>0</v>
      </c>
    </row>
    <row r="692" spans="1:14" s="2479" customFormat="1" x14ac:dyDescent="0.2">
      <c r="A692" s="1427"/>
      <c r="C692" s="1426" t="s">
        <v>2268</v>
      </c>
      <c r="D692" s="2479" t="s">
        <v>2266</v>
      </c>
      <c r="E692" s="1427"/>
      <c r="F692" s="1539"/>
      <c r="G692" s="1539">
        <f t="shared" si="194"/>
        <v>0</v>
      </c>
      <c r="H692" s="1539">
        <f t="shared" ref="H692:N692" si="196">H631*H440</f>
        <v>0</v>
      </c>
      <c r="I692" s="1539">
        <f t="shared" si="196"/>
        <v>0</v>
      </c>
      <c r="J692" s="1539">
        <f t="shared" si="196"/>
        <v>0</v>
      </c>
      <c r="K692" s="1539">
        <f t="shared" si="196"/>
        <v>0</v>
      </c>
      <c r="L692" s="1539">
        <f t="shared" si="196"/>
        <v>0</v>
      </c>
      <c r="M692" s="1539">
        <f t="shared" si="196"/>
        <v>0</v>
      </c>
      <c r="N692" s="1539">
        <f t="shared" si="196"/>
        <v>0</v>
      </c>
    </row>
    <row r="693" spans="1:14" x14ac:dyDescent="0.2">
      <c r="A693" s="1427"/>
      <c r="B693" s="1987"/>
      <c r="C693" s="1426" t="s">
        <v>611</v>
      </c>
      <c r="D693" s="610" t="s">
        <v>611</v>
      </c>
      <c r="E693" s="1427"/>
      <c r="F693" s="1539"/>
      <c r="G693" s="1539">
        <f t="shared" ref="G693:N693" si="197">G632*G441</f>
        <v>0</v>
      </c>
      <c r="H693" s="1539">
        <f t="shared" si="197"/>
        <v>0</v>
      </c>
      <c r="I693" s="1539">
        <f t="shared" si="197"/>
        <v>0</v>
      </c>
      <c r="J693" s="1539">
        <f t="shared" si="197"/>
        <v>0</v>
      </c>
      <c r="K693" s="1539">
        <f t="shared" si="197"/>
        <v>0</v>
      </c>
      <c r="L693" s="1539">
        <f t="shared" si="197"/>
        <v>0</v>
      </c>
      <c r="M693" s="1539">
        <f t="shared" si="197"/>
        <v>0</v>
      </c>
      <c r="N693" s="1539">
        <f t="shared" si="197"/>
        <v>0</v>
      </c>
    </row>
    <row r="694" spans="1:14" x14ac:dyDescent="0.2">
      <c r="A694" s="1427"/>
      <c r="B694" s="1987"/>
      <c r="C694" s="1426" t="s">
        <v>1662</v>
      </c>
      <c r="D694" s="17" t="s">
        <v>1662</v>
      </c>
      <c r="E694" s="1427"/>
      <c r="F694" s="1539"/>
      <c r="G694" s="1539">
        <f t="shared" ref="G694:N694" si="198">SUM(G680:G693)</f>
        <v>44556024522145.016</v>
      </c>
      <c r="H694" s="1539">
        <f t="shared" si="198"/>
        <v>26758871317013.988</v>
      </c>
      <c r="I694" s="1539">
        <f t="shared" si="198"/>
        <v>32326253457069.703</v>
      </c>
      <c r="J694" s="1539">
        <f t="shared" si="198"/>
        <v>38969422747032.562</v>
      </c>
      <c r="K694" s="1539">
        <f t="shared" si="198"/>
        <v>46891429510475.719</v>
      </c>
      <c r="L694" s="1539">
        <f t="shared" si="198"/>
        <v>53323389427251.844</v>
      </c>
      <c r="M694" s="1539">
        <f t="shared" si="198"/>
        <v>62402916578725.734</v>
      </c>
      <c r="N694" s="1539">
        <f t="shared" si="198"/>
        <v>72920107641033.391</v>
      </c>
    </row>
    <row r="695" spans="1:14" x14ac:dyDescent="0.2">
      <c r="A695" s="1427"/>
      <c r="B695" s="1987"/>
      <c r="C695" s="1987"/>
      <c r="D695" s="1987"/>
      <c r="E695" s="1987"/>
      <c r="F695" s="1987"/>
      <c r="G695" s="1987"/>
      <c r="H695" s="1987"/>
      <c r="I695" s="1987"/>
      <c r="J695" s="1987"/>
      <c r="K695" s="1987"/>
      <c r="L695" s="1987"/>
      <c r="M695" s="1987"/>
      <c r="N695" s="1987"/>
    </row>
    <row r="696" spans="1:14" x14ac:dyDescent="0.2">
      <c r="A696" s="1427"/>
      <c r="B696" s="1427" t="s">
        <v>1665</v>
      </c>
      <c r="C696" s="1427" t="s">
        <v>1666</v>
      </c>
      <c r="D696" s="1427"/>
      <c r="E696" s="1427"/>
      <c r="F696" s="234"/>
      <c r="G696" s="234"/>
      <c r="H696" s="234"/>
      <c r="I696" s="234"/>
      <c r="J696" s="234"/>
      <c r="K696" s="234"/>
      <c r="L696" s="234"/>
      <c r="M696" s="234"/>
      <c r="N696" s="234"/>
    </row>
    <row r="697" spans="1:14" x14ac:dyDescent="0.2">
      <c r="A697" s="1427"/>
      <c r="B697" s="132"/>
      <c r="C697" s="1427"/>
      <c r="D697" s="1427"/>
      <c r="E697" s="1427"/>
      <c r="F697" s="234"/>
      <c r="G697" s="234"/>
      <c r="H697" s="234"/>
      <c r="I697" s="234"/>
      <c r="J697" s="234"/>
      <c r="K697" s="234"/>
      <c r="L697" s="234"/>
      <c r="M697" s="234"/>
      <c r="N697" s="234"/>
    </row>
    <row r="698" spans="1:14" x14ac:dyDescent="0.2">
      <c r="A698" s="1427"/>
      <c r="B698" s="583"/>
      <c r="C698" s="17" t="s">
        <v>645</v>
      </c>
      <c r="D698" s="20"/>
      <c r="E698" s="1427"/>
      <c r="F698" s="234"/>
      <c r="G698" s="234"/>
      <c r="H698" s="234"/>
      <c r="I698" s="234"/>
      <c r="J698" s="234"/>
      <c r="K698" s="234"/>
      <c r="L698" s="234"/>
      <c r="M698" s="234"/>
      <c r="N698" s="1426" t="str">
        <f>Preferences.moneyunits&amp;"/yr"</f>
        <v>N/yr</v>
      </c>
    </row>
    <row r="699" spans="1:14" x14ac:dyDescent="0.2">
      <c r="A699" s="1427"/>
      <c r="B699" s="132"/>
      <c r="C699" s="583" t="s">
        <v>592</v>
      </c>
      <c r="D699" s="1987" t="s">
        <v>343</v>
      </c>
      <c r="E699" s="1427"/>
      <c r="F699" s="1535">
        <v>2010</v>
      </c>
      <c r="G699" s="1535">
        <v>2015</v>
      </c>
      <c r="H699" s="1535">
        <v>2020</v>
      </c>
      <c r="I699" s="1535">
        <v>2025</v>
      </c>
      <c r="J699" s="1535">
        <v>2030</v>
      </c>
      <c r="K699" s="1535">
        <v>2035</v>
      </c>
      <c r="L699" s="1535">
        <v>2040</v>
      </c>
      <c r="M699" s="1535">
        <v>2045</v>
      </c>
      <c r="N699" s="1535">
        <v>2050</v>
      </c>
    </row>
    <row r="700" spans="1:14" x14ac:dyDescent="0.2">
      <c r="A700" s="1427"/>
      <c r="B700" s="132"/>
      <c r="C700" s="1426" t="s">
        <v>609</v>
      </c>
      <c r="D700" s="17" t="s">
        <v>609</v>
      </c>
      <c r="E700" s="1427"/>
      <c r="F700" s="231">
        <f t="shared" ref="F700:N700" si="199">F581*F445</f>
        <v>11705177062.555077</v>
      </c>
      <c r="G700" s="231">
        <f t="shared" si="199"/>
        <v>16554166827.392214</v>
      </c>
      <c r="H700" s="231">
        <f t="shared" si="199"/>
        <v>22475424367.287701</v>
      </c>
      <c r="I700" s="231">
        <f t="shared" si="199"/>
        <v>29667026336.909939</v>
      </c>
      <c r="J700" s="231">
        <f t="shared" si="199"/>
        <v>38360591142.425568</v>
      </c>
      <c r="K700" s="231">
        <f t="shared" si="199"/>
        <v>48826673853.614586</v>
      </c>
      <c r="L700" s="231">
        <f t="shared" si="199"/>
        <v>59898436984.314705</v>
      </c>
      <c r="M700" s="231">
        <f t="shared" si="199"/>
        <v>72745985857.673447</v>
      </c>
      <c r="N700" s="231">
        <f t="shared" si="199"/>
        <v>87619032540.344666</v>
      </c>
    </row>
    <row r="701" spans="1:14" x14ac:dyDescent="0.2">
      <c r="A701" s="1427"/>
      <c r="B701" s="132"/>
      <c r="C701" s="583" t="s">
        <v>607</v>
      </c>
      <c r="D701" s="610" t="s">
        <v>2272</v>
      </c>
      <c r="E701" s="1427"/>
      <c r="F701" s="231">
        <f>F582+F446+F704+F708</f>
        <v>386366755.46312511</v>
      </c>
      <c r="G701" s="231">
        <f t="shared" ref="G701:N701" si="200">G582*G446</f>
        <v>7455943817466.9043</v>
      </c>
      <c r="H701" s="231">
        <f t="shared" si="200"/>
        <v>7689383352393.8857</v>
      </c>
      <c r="I701" s="231">
        <f t="shared" si="200"/>
        <v>7940241809311.9248</v>
      </c>
      <c r="J701" s="231">
        <f t="shared" si="200"/>
        <v>8213542552709.5693</v>
      </c>
      <c r="K701" s="231">
        <f t="shared" si="200"/>
        <v>8515040226467.2734</v>
      </c>
      <c r="L701" s="231">
        <f t="shared" si="200"/>
        <v>8637386818407.2109</v>
      </c>
      <c r="M701" s="231">
        <f t="shared" si="200"/>
        <v>8788517341550.3906</v>
      </c>
      <c r="N701" s="231">
        <f t="shared" si="200"/>
        <v>8972888459513.2949</v>
      </c>
    </row>
    <row r="702" spans="1:14" x14ac:dyDescent="0.2">
      <c r="A702" s="1427"/>
      <c r="B702" s="132"/>
      <c r="C702" s="583" t="s">
        <v>607</v>
      </c>
      <c r="D702" s="17" t="s">
        <v>923</v>
      </c>
      <c r="E702" s="1427"/>
      <c r="F702" s="231">
        <f t="shared" ref="F702:N702" si="201">F583*F447</f>
        <v>0</v>
      </c>
      <c r="G702" s="231">
        <f t="shared" si="201"/>
        <v>1026694310703.6542</v>
      </c>
      <c r="H702" s="231">
        <f t="shared" si="201"/>
        <v>2179545997856.1282</v>
      </c>
      <c r="I702" s="231">
        <f t="shared" si="201"/>
        <v>3466443203023.1104</v>
      </c>
      <c r="J702" s="231">
        <f t="shared" si="201"/>
        <v>4894501832156.1377</v>
      </c>
      <c r="K702" s="231">
        <f t="shared" si="201"/>
        <v>6469674662092.1709</v>
      </c>
      <c r="L702" s="231">
        <f t="shared" si="201"/>
        <v>7998297646815.8545</v>
      </c>
      <c r="M702" s="231">
        <f t="shared" si="201"/>
        <v>9595453522001.4277</v>
      </c>
      <c r="N702" s="231">
        <f t="shared" si="201"/>
        <v>11252549909312.119</v>
      </c>
    </row>
    <row r="703" spans="1:14" s="82" customFormat="1" x14ac:dyDescent="0.2">
      <c r="A703" s="1427"/>
      <c r="B703" s="132"/>
      <c r="C703" s="583" t="s">
        <v>607</v>
      </c>
      <c r="D703" s="610" t="s">
        <v>612</v>
      </c>
      <c r="E703" s="1427"/>
      <c r="F703" s="231">
        <f t="shared" ref="F703:N703" si="202">F584*F448</f>
        <v>0</v>
      </c>
      <c r="G703" s="231">
        <f t="shared" si="202"/>
        <v>108374870307.73122</v>
      </c>
      <c r="H703" s="231">
        <f t="shared" si="202"/>
        <v>230066546960.31693</v>
      </c>
      <c r="I703" s="231">
        <f t="shared" si="202"/>
        <v>365907679277.2655</v>
      </c>
      <c r="J703" s="231">
        <f t="shared" si="202"/>
        <v>516649401628.93433</v>
      </c>
      <c r="K703" s="231">
        <f t="shared" si="202"/>
        <v>682920071853.6311</v>
      </c>
      <c r="L703" s="231">
        <f t="shared" si="202"/>
        <v>844277075580.77429</v>
      </c>
      <c r="M703" s="231">
        <f t="shared" si="202"/>
        <v>1012868212231.6025</v>
      </c>
      <c r="N703" s="231">
        <f t="shared" si="202"/>
        <v>1187786495297.8872</v>
      </c>
    </row>
    <row r="704" spans="1:14" s="82" customFormat="1" x14ac:dyDescent="0.2">
      <c r="A704" s="1427"/>
      <c r="B704" s="132"/>
      <c r="C704" s="583" t="s">
        <v>607</v>
      </c>
      <c r="D704" s="610" t="s">
        <v>2273</v>
      </c>
      <c r="E704" s="1427"/>
      <c r="F704" s="231">
        <f t="shared" ref="F704:N704" si="203">F585*F449</f>
        <v>0</v>
      </c>
      <c r="G704" s="231">
        <f t="shared" si="203"/>
        <v>3662332165969.4834</v>
      </c>
      <c r="H704" s="231">
        <f t="shared" si="203"/>
        <v>7413068547744.6143</v>
      </c>
      <c r="I704" s="231">
        <f t="shared" si="203"/>
        <v>11214936428356.805</v>
      </c>
      <c r="J704" s="231">
        <f t="shared" si="203"/>
        <v>15023057857533.73</v>
      </c>
      <c r="K704" s="231">
        <f t="shared" si="203"/>
        <v>18784455323471.375</v>
      </c>
      <c r="L704" s="231">
        <f t="shared" si="203"/>
        <v>21895739729476.109</v>
      </c>
      <c r="M704" s="231">
        <f t="shared" si="203"/>
        <v>24676031748579.953</v>
      </c>
      <c r="N704" s="231">
        <f t="shared" si="203"/>
        <v>27070549163195.219</v>
      </c>
    </row>
    <row r="705" spans="1:14" s="82" customFormat="1" x14ac:dyDescent="0.2">
      <c r="A705" s="1427"/>
      <c r="B705" s="132"/>
      <c r="C705" s="583" t="s">
        <v>608</v>
      </c>
      <c r="D705" s="610" t="s">
        <v>2272</v>
      </c>
      <c r="E705" s="1427"/>
      <c r="F705" s="231">
        <f t="shared" ref="F705:N705" si="204">F586*F450</f>
        <v>58457187413011.875</v>
      </c>
      <c r="G705" s="231">
        <f t="shared" si="204"/>
        <v>565675247833547</v>
      </c>
      <c r="H705" s="231">
        <f t="shared" si="204"/>
        <v>563790967365745.25</v>
      </c>
      <c r="I705" s="231">
        <f t="shared" si="204"/>
        <v>574250970071122.75</v>
      </c>
      <c r="J705" s="231">
        <f t="shared" si="204"/>
        <v>595004454206577.25</v>
      </c>
      <c r="K705" s="231">
        <f t="shared" si="204"/>
        <v>625396239752862.87</v>
      </c>
      <c r="L705" s="231">
        <f t="shared" si="204"/>
        <v>649583899524861.75</v>
      </c>
      <c r="M705" s="231">
        <f t="shared" si="204"/>
        <v>682514400006695.87</v>
      </c>
      <c r="N705" s="231">
        <f t="shared" si="204"/>
        <v>724925732393466.62</v>
      </c>
    </row>
    <row r="706" spans="1:14" s="1427" customFormat="1" x14ac:dyDescent="0.2">
      <c r="B706" s="132"/>
      <c r="C706" s="583" t="s">
        <v>608</v>
      </c>
      <c r="D706" s="17" t="s">
        <v>923</v>
      </c>
      <c r="F706" s="231">
        <f t="shared" ref="F706:N706" si="205">F587*F451</f>
        <v>0</v>
      </c>
      <c r="G706" s="231">
        <f t="shared" si="205"/>
        <v>43753559552295.797</v>
      </c>
      <c r="H706" s="231">
        <f t="shared" si="205"/>
        <v>91952969636863.641</v>
      </c>
      <c r="I706" s="231">
        <f t="shared" si="205"/>
        <v>147687718972141.47</v>
      </c>
      <c r="J706" s="231">
        <f t="shared" si="205"/>
        <v>213734538017832.12</v>
      </c>
      <c r="K706" s="231">
        <f t="shared" si="205"/>
        <v>292945848000624.44</v>
      </c>
      <c r="L706" s="231">
        <f t="shared" si="205"/>
        <v>379081076707304.44</v>
      </c>
      <c r="M706" s="231">
        <f t="shared" si="205"/>
        <v>479825581562533.62</v>
      </c>
      <c r="N706" s="231">
        <f t="shared" si="205"/>
        <v>597829389950062.25</v>
      </c>
    </row>
    <row r="707" spans="1:14" s="82" customFormat="1" x14ac:dyDescent="0.2">
      <c r="A707" s="1427"/>
      <c r="B707" s="132"/>
      <c r="C707" s="583" t="s">
        <v>608</v>
      </c>
      <c r="D707" s="610" t="s">
        <v>612</v>
      </c>
      <c r="E707" s="1427"/>
      <c r="F707" s="231">
        <f t="shared" ref="F707:N707" si="206">F588*F452</f>
        <v>0</v>
      </c>
      <c r="G707" s="231">
        <f t="shared" si="206"/>
        <v>9459633004847.1055</v>
      </c>
      <c r="H707" s="231">
        <f t="shared" si="206"/>
        <v>19880470420490.34</v>
      </c>
      <c r="I707" s="231">
        <f t="shared" si="206"/>
        <v>31930467717252.223</v>
      </c>
      <c r="J707" s="231">
        <f t="shared" si="206"/>
        <v>46209961219101.422</v>
      </c>
      <c r="K707" s="231">
        <f t="shared" si="206"/>
        <v>63335651790054.75</v>
      </c>
      <c r="L707" s="231">
        <f t="shared" si="206"/>
        <v>81958311539140.469</v>
      </c>
      <c r="M707" s="231">
        <f t="shared" si="206"/>
        <v>103739534665602.67</v>
      </c>
      <c r="N707" s="231">
        <f t="shared" si="206"/>
        <v>129252263959915.52</v>
      </c>
    </row>
    <row r="708" spans="1:14" s="82" customFormat="1" x14ac:dyDescent="0.2">
      <c r="A708" s="1427"/>
      <c r="B708" s="132"/>
      <c r="C708" s="583" t="s">
        <v>608</v>
      </c>
      <c r="D708" s="17" t="s">
        <v>2273</v>
      </c>
      <c r="E708" s="1427"/>
      <c r="F708" s="231">
        <f t="shared" ref="F708:N708" si="207">F589*F453</f>
        <v>0</v>
      </c>
      <c r="G708" s="231">
        <f t="shared" si="207"/>
        <v>80400974038601.312</v>
      </c>
      <c r="H708" s="231">
        <f t="shared" si="207"/>
        <v>161112441895225.03</v>
      </c>
      <c r="I708" s="231">
        <f t="shared" si="207"/>
        <v>246143546568263.75</v>
      </c>
      <c r="J708" s="231">
        <f t="shared" si="207"/>
        <v>337952680013692.75</v>
      </c>
      <c r="K708" s="231">
        <f t="shared" si="207"/>
        <v>438162146321500.19</v>
      </c>
      <c r="L708" s="231">
        <f t="shared" si="207"/>
        <v>534595759202398.25</v>
      </c>
      <c r="M708" s="231">
        <f t="shared" si="207"/>
        <v>635659520739971.75</v>
      </c>
      <c r="N708" s="231">
        <f t="shared" si="207"/>
        <v>740891689636683.37</v>
      </c>
    </row>
    <row r="709" spans="1:14" s="82" customFormat="1" x14ac:dyDescent="0.2">
      <c r="A709" s="1427"/>
      <c r="B709" s="132"/>
      <c r="C709" s="583" t="s">
        <v>610</v>
      </c>
      <c r="D709" s="610" t="s">
        <v>638</v>
      </c>
      <c r="E709" s="1427"/>
      <c r="F709" s="231">
        <f t="shared" ref="F709:N709" si="208">F590*F454</f>
        <v>1140224708017.6152</v>
      </c>
      <c r="G709" s="231">
        <f t="shared" si="208"/>
        <v>787536383227.64038</v>
      </c>
      <c r="H709" s="231">
        <f t="shared" si="208"/>
        <v>778070561362.61401</v>
      </c>
      <c r="I709" s="231">
        <f t="shared" si="208"/>
        <v>793249531115.78516</v>
      </c>
      <c r="J709" s="231">
        <f t="shared" si="208"/>
        <v>805932962076.76624</v>
      </c>
      <c r="K709" s="231">
        <f t="shared" si="208"/>
        <v>805712691564.3573</v>
      </c>
      <c r="L709" s="231">
        <f t="shared" si="208"/>
        <v>765486418094.30945</v>
      </c>
      <c r="M709" s="231">
        <f t="shared" si="208"/>
        <v>698498953362.75378</v>
      </c>
      <c r="N709" s="231">
        <f t="shared" si="208"/>
        <v>597460163847.40381</v>
      </c>
    </row>
    <row r="710" spans="1:14" s="82" customFormat="1" x14ac:dyDescent="0.2">
      <c r="A710" s="1427"/>
      <c r="B710" s="132"/>
      <c r="C710" s="1426" t="s">
        <v>610</v>
      </c>
      <c r="D710" s="610" t="s">
        <v>639</v>
      </c>
      <c r="E710" s="1427"/>
      <c r="F710" s="231">
        <f t="shared" ref="F710:N710" si="209">F591*F455</f>
        <v>0</v>
      </c>
      <c r="G710" s="231">
        <f t="shared" si="209"/>
        <v>0</v>
      </c>
      <c r="H710" s="231">
        <f t="shared" si="209"/>
        <v>86452284595.845978</v>
      </c>
      <c r="I710" s="231">
        <f t="shared" si="209"/>
        <v>198312382778.94626</v>
      </c>
      <c r="J710" s="231">
        <f t="shared" si="209"/>
        <v>345399840890.04272</v>
      </c>
      <c r="K710" s="231">
        <f t="shared" si="209"/>
        <v>537141794376.2384</v>
      </c>
      <c r="L710" s="231">
        <f t="shared" si="209"/>
        <v>765486418094.30945</v>
      </c>
      <c r="M710" s="231">
        <f t="shared" si="209"/>
        <v>1047748430044.1307</v>
      </c>
      <c r="N710" s="231">
        <f t="shared" si="209"/>
        <v>1394073715643.9421</v>
      </c>
    </row>
    <row r="711" spans="1:14" s="1427" customFormat="1" x14ac:dyDescent="0.2">
      <c r="B711" s="132"/>
      <c r="C711" s="1426" t="s">
        <v>2267</v>
      </c>
      <c r="D711" s="2479" t="s">
        <v>2264</v>
      </c>
      <c r="F711" s="231">
        <f t="shared" ref="F711:N711" si="210">F592*F456</f>
        <v>0</v>
      </c>
      <c r="G711" s="231">
        <f t="shared" si="210"/>
        <v>0</v>
      </c>
      <c r="H711" s="231">
        <f t="shared" si="210"/>
        <v>0</v>
      </c>
      <c r="I711" s="231">
        <f t="shared" si="210"/>
        <v>0</v>
      </c>
      <c r="J711" s="231">
        <f t="shared" si="210"/>
        <v>0</v>
      </c>
      <c r="K711" s="231">
        <f t="shared" si="210"/>
        <v>0</v>
      </c>
      <c r="L711" s="231">
        <f t="shared" si="210"/>
        <v>0</v>
      </c>
      <c r="M711" s="231">
        <f t="shared" si="210"/>
        <v>0</v>
      </c>
      <c r="N711" s="231">
        <f t="shared" si="210"/>
        <v>0</v>
      </c>
    </row>
    <row r="712" spans="1:14" s="1427" customFormat="1" x14ac:dyDescent="0.2">
      <c r="B712" s="132"/>
      <c r="C712" s="1426" t="s">
        <v>2268</v>
      </c>
      <c r="D712" s="2479" t="s">
        <v>2266</v>
      </c>
      <c r="F712" s="231">
        <f t="shared" ref="F712:N712" si="211">F593*F457</f>
        <v>0</v>
      </c>
      <c r="G712" s="231">
        <f t="shared" si="211"/>
        <v>0</v>
      </c>
      <c r="H712" s="231">
        <f t="shared" si="211"/>
        <v>0</v>
      </c>
      <c r="I712" s="231">
        <f t="shared" si="211"/>
        <v>0</v>
      </c>
      <c r="J712" s="231">
        <f t="shared" si="211"/>
        <v>0</v>
      </c>
      <c r="K712" s="231">
        <f t="shared" si="211"/>
        <v>0</v>
      </c>
      <c r="L712" s="231">
        <f t="shared" si="211"/>
        <v>0</v>
      </c>
      <c r="M712" s="231">
        <f t="shared" si="211"/>
        <v>0</v>
      </c>
      <c r="N712" s="231">
        <f t="shared" si="211"/>
        <v>0</v>
      </c>
    </row>
    <row r="713" spans="1:14" s="82" customFormat="1" x14ac:dyDescent="0.2">
      <c r="A713" s="1427"/>
      <c r="B713" s="132"/>
      <c r="C713" s="1426" t="s">
        <v>611</v>
      </c>
      <c r="D713" s="610" t="s">
        <v>611</v>
      </c>
      <c r="E713" s="1427"/>
      <c r="F713" s="231">
        <f t="shared" ref="F713:N713" si="212">F594*F458</f>
        <v>0</v>
      </c>
      <c r="G713" s="231">
        <f t="shared" si="212"/>
        <v>0</v>
      </c>
      <c r="H713" s="231">
        <f t="shared" si="212"/>
        <v>0</v>
      </c>
      <c r="I713" s="231">
        <f t="shared" si="212"/>
        <v>0</v>
      </c>
      <c r="J713" s="231">
        <f t="shared" si="212"/>
        <v>0</v>
      </c>
      <c r="K713" s="231">
        <f t="shared" si="212"/>
        <v>0</v>
      </c>
      <c r="L713" s="231">
        <f t="shared" si="212"/>
        <v>0</v>
      </c>
      <c r="M713" s="231">
        <f t="shared" si="212"/>
        <v>0</v>
      </c>
      <c r="N713" s="231">
        <f t="shared" si="212"/>
        <v>0</v>
      </c>
    </row>
    <row r="714" spans="1:14" s="82" customFormat="1" x14ac:dyDescent="0.2">
      <c r="A714" s="1427"/>
      <c r="B714" s="132"/>
      <c r="C714" s="1426" t="s">
        <v>1662</v>
      </c>
      <c r="D714" s="17" t="s">
        <v>1662</v>
      </c>
      <c r="E714" s="1427"/>
      <c r="F714" s="1539">
        <f t="shared" ref="F714:N714" si="213">SUM(F700:F713)</f>
        <v>59609503664847.508</v>
      </c>
      <c r="G714" s="1539">
        <f t="shared" si="213"/>
        <v>712346850143793.87</v>
      </c>
      <c r="H714" s="1539">
        <f t="shared" si="213"/>
        <v>855135912033605</v>
      </c>
      <c r="I714" s="1539">
        <f t="shared" si="213"/>
        <v>1024021461388981</v>
      </c>
      <c r="J714" s="1539">
        <f t="shared" si="213"/>
        <v>1222739078495341</v>
      </c>
      <c r="K714" s="1539">
        <f t="shared" si="213"/>
        <v>1455683657308721</v>
      </c>
      <c r="L714" s="1539">
        <f t="shared" si="213"/>
        <v>1686185619517157.7</v>
      </c>
      <c r="M714" s="1539">
        <f t="shared" si="213"/>
        <v>1947630901168432</v>
      </c>
      <c r="N714" s="1539">
        <f t="shared" si="213"/>
        <v>2243462002879478</v>
      </c>
    </row>
    <row r="715" spans="1:14" s="82" customFormat="1" x14ac:dyDescent="0.2">
      <c r="A715" s="1427"/>
      <c r="B715" s="132"/>
      <c r="C715" s="1426"/>
      <c r="D715" s="610"/>
      <c r="E715" s="1427"/>
      <c r="F715" s="231"/>
      <c r="G715" s="231"/>
      <c r="H715" s="231"/>
      <c r="I715" s="231"/>
      <c r="J715" s="231"/>
      <c r="K715" s="231"/>
      <c r="L715" s="231"/>
      <c r="M715" s="231"/>
      <c r="N715" s="231"/>
    </row>
    <row r="716" spans="1:14" s="82" customFormat="1" x14ac:dyDescent="0.2">
      <c r="A716" s="1427"/>
      <c r="B716" s="1427" t="s">
        <v>1895</v>
      </c>
      <c r="C716" s="1427" t="s">
        <v>1896</v>
      </c>
      <c r="D716" s="1427"/>
      <c r="E716" s="1427"/>
      <c r="F716" s="234"/>
      <c r="G716" s="234"/>
      <c r="H716" s="234"/>
      <c r="I716" s="234"/>
      <c r="J716" s="234"/>
      <c r="K716" s="234"/>
      <c r="L716" s="234"/>
      <c r="M716" s="234"/>
      <c r="N716" s="234"/>
    </row>
    <row r="717" spans="1:14" s="82" customFormat="1" x14ac:dyDescent="0.2">
      <c r="A717" s="1427"/>
      <c r="B717" s="132"/>
      <c r="C717" s="1427"/>
      <c r="D717" s="1427"/>
      <c r="E717" s="1427"/>
      <c r="F717" s="234"/>
      <c r="G717" s="234"/>
      <c r="H717" s="234"/>
      <c r="I717" s="234"/>
      <c r="J717" s="234"/>
      <c r="K717" s="234"/>
      <c r="L717" s="234"/>
      <c r="M717" s="234"/>
      <c r="N717" s="234"/>
    </row>
    <row r="718" spans="1:14" s="82" customFormat="1" x14ac:dyDescent="0.2">
      <c r="A718" s="1427"/>
      <c r="B718" s="583"/>
      <c r="C718" s="17" t="s">
        <v>645</v>
      </c>
      <c r="D718" s="20"/>
      <c r="E718" s="1427"/>
      <c r="F718" s="234"/>
      <c r="G718" s="234"/>
      <c r="H718" s="234"/>
      <c r="I718" s="234"/>
      <c r="J718" s="234"/>
      <c r="K718" s="234"/>
      <c r="L718" s="234"/>
      <c r="M718" s="234"/>
      <c r="N718" s="1426" t="str">
        <f>Preferences.moneyunits&amp;"/yr"</f>
        <v>N/yr</v>
      </c>
    </row>
    <row r="719" spans="1:14" s="82" customFormat="1" x14ac:dyDescent="0.2">
      <c r="A719" s="1427"/>
      <c r="B719" s="132"/>
      <c r="C719" s="583" t="s">
        <v>592</v>
      </c>
      <c r="D719" s="1987" t="s">
        <v>343</v>
      </c>
      <c r="E719" s="1427"/>
      <c r="F719" s="1535">
        <v>2010</v>
      </c>
      <c r="G719" s="1535">
        <v>2015</v>
      </c>
      <c r="H719" s="1535">
        <v>2020</v>
      </c>
      <c r="I719" s="1535">
        <v>2025</v>
      </c>
      <c r="J719" s="1535">
        <v>2030</v>
      </c>
      <c r="K719" s="1535">
        <v>2035</v>
      </c>
      <c r="L719" s="1535">
        <v>2040</v>
      </c>
      <c r="M719" s="1535">
        <v>2045</v>
      </c>
      <c r="N719" s="1535">
        <v>2050</v>
      </c>
    </row>
    <row r="720" spans="1:14" s="82" customFormat="1" x14ac:dyDescent="0.2">
      <c r="A720" s="1427"/>
      <c r="B720" s="132"/>
      <c r="C720" s="1426" t="s">
        <v>609</v>
      </c>
      <c r="D720" s="17" t="s">
        <v>609</v>
      </c>
      <c r="E720" s="1427"/>
      <c r="F720" s="231">
        <f t="shared" ref="F720:N720" si="214">F581*F462</f>
        <v>9754314218.7958984</v>
      </c>
      <c r="G720" s="231">
        <f t="shared" si="214"/>
        <v>13795139022.826845</v>
      </c>
      <c r="H720" s="231">
        <f t="shared" si="214"/>
        <v>18729520306.073086</v>
      </c>
      <c r="I720" s="231">
        <f t="shared" si="214"/>
        <v>24722521947.42495</v>
      </c>
      <c r="J720" s="231">
        <f t="shared" si="214"/>
        <v>31967159285.354637</v>
      </c>
      <c r="K720" s="231">
        <f t="shared" si="214"/>
        <v>40688894878.012154</v>
      </c>
      <c r="L720" s="231">
        <f t="shared" si="214"/>
        <v>49915364153.595589</v>
      </c>
      <c r="M720" s="231">
        <f t="shared" si="214"/>
        <v>60621654881.394531</v>
      </c>
      <c r="N720" s="231">
        <f t="shared" si="214"/>
        <v>73015860450.287216</v>
      </c>
    </row>
    <row r="721" spans="1:14" s="82" customFormat="1" x14ac:dyDescent="0.2">
      <c r="A721" s="1427"/>
      <c r="B721" s="132"/>
      <c r="C721" s="583" t="s">
        <v>607</v>
      </c>
      <c r="D721" s="610" t="s">
        <v>2272</v>
      </c>
      <c r="E721" s="1427"/>
      <c r="F721" s="231">
        <f t="shared" ref="F721:N721" si="215">F582*F463</f>
        <v>7235635305453.9102</v>
      </c>
      <c r="G721" s="231">
        <f t="shared" si="215"/>
        <v>7455943817466.9043</v>
      </c>
      <c r="H721" s="231">
        <f t="shared" si="215"/>
        <v>7689383352393.8857</v>
      </c>
      <c r="I721" s="231">
        <f t="shared" si="215"/>
        <v>7940241809311.9248</v>
      </c>
      <c r="J721" s="231">
        <f t="shared" si="215"/>
        <v>8213542552709.5693</v>
      </c>
      <c r="K721" s="231">
        <f t="shared" si="215"/>
        <v>8515040226467.2734</v>
      </c>
      <c r="L721" s="231">
        <f t="shared" si="215"/>
        <v>8637386818407.2109</v>
      </c>
      <c r="M721" s="231">
        <f t="shared" si="215"/>
        <v>8788517341550.3906</v>
      </c>
      <c r="N721" s="231">
        <f t="shared" si="215"/>
        <v>8972888459513.2949</v>
      </c>
    </row>
    <row r="722" spans="1:14" s="82" customFormat="1" x14ac:dyDescent="0.2">
      <c r="A722" s="1427"/>
      <c r="B722" s="132"/>
      <c r="C722" s="583" t="s">
        <v>607</v>
      </c>
      <c r="D722" s="17" t="s">
        <v>923</v>
      </c>
      <c r="E722" s="1427"/>
      <c r="F722" s="231">
        <f t="shared" ref="F722:N722" si="216">F583*F464</f>
        <v>0</v>
      </c>
      <c r="G722" s="231">
        <f t="shared" si="216"/>
        <v>1026694310703.6542</v>
      </c>
      <c r="H722" s="231">
        <f t="shared" si="216"/>
        <v>2179545997856.1282</v>
      </c>
      <c r="I722" s="231">
        <f t="shared" si="216"/>
        <v>3466443203023.1104</v>
      </c>
      <c r="J722" s="231">
        <f t="shared" si="216"/>
        <v>4894501832156.1377</v>
      </c>
      <c r="K722" s="231">
        <f t="shared" si="216"/>
        <v>6469674662092.1709</v>
      </c>
      <c r="L722" s="231">
        <f t="shared" si="216"/>
        <v>7998297646815.8545</v>
      </c>
      <c r="M722" s="231">
        <f t="shared" si="216"/>
        <v>9595453522001.4277</v>
      </c>
      <c r="N722" s="231">
        <f t="shared" si="216"/>
        <v>11252549909312.119</v>
      </c>
    </row>
    <row r="723" spans="1:14" s="82" customFormat="1" x14ac:dyDescent="0.2">
      <c r="A723" s="1427"/>
      <c r="B723" s="132"/>
      <c r="C723" s="583" t="s">
        <v>607</v>
      </c>
      <c r="D723" s="610" t="s">
        <v>612</v>
      </c>
      <c r="E723" s="1427"/>
      <c r="F723" s="231">
        <f t="shared" ref="F723:N723" si="217">F584*F465</f>
        <v>0</v>
      </c>
      <c r="G723" s="231">
        <f t="shared" si="217"/>
        <v>108374870307.73122</v>
      </c>
      <c r="H723" s="231">
        <f t="shared" si="217"/>
        <v>230066546960.31693</v>
      </c>
      <c r="I723" s="231">
        <f t="shared" si="217"/>
        <v>365907679277.2655</v>
      </c>
      <c r="J723" s="231">
        <f t="shared" si="217"/>
        <v>516649401628.93433</v>
      </c>
      <c r="K723" s="231">
        <f t="shared" si="217"/>
        <v>682920071853.6311</v>
      </c>
      <c r="L723" s="231">
        <f t="shared" si="217"/>
        <v>844277075580.77429</v>
      </c>
      <c r="M723" s="231">
        <f t="shared" si="217"/>
        <v>1012868212231.6025</v>
      </c>
      <c r="N723" s="231">
        <f t="shared" si="217"/>
        <v>1187786495297.8872</v>
      </c>
    </row>
    <row r="724" spans="1:14" s="82" customFormat="1" x14ac:dyDescent="0.2">
      <c r="A724" s="1427"/>
      <c r="B724" s="132"/>
      <c r="C724" s="583" t="s">
        <v>607</v>
      </c>
      <c r="D724" s="610" t="s">
        <v>2273</v>
      </c>
      <c r="E724" s="1427"/>
      <c r="F724" s="231">
        <f t="shared" ref="F724:N724" si="218">F585*F466</f>
        <v>0</v>
      </c>
      <c r="G724" s="231">
        <f t="shared" si="218"/>
        <v>3662332165969.4834</v>
      </c>
      <c r="H724" s="231">
        <f t="shared" si="218"/>
        <v>7413068547744.6143</v>
      </c>
      <c r="I724" s="231">
        <f t="shared" si="218"/>
        <v>11214936428356.805</v>
      </c>
      <c r="J724" s="231">
        <f t="shared" si="218"/>
        <v>15023057857533.73</v>
      </c>
      <c r="K724" s="231">
        <f t="shared" si="218"/>
        <v>18784455323471.375</v>
      </c>
      <c r="L724" s="231">
        <f t="shared" si="218"/>
        <v>21895739729476.109</v>
      </c>
      <c r="M724" s="231">
        <f t="shared" si="218"/>
        <v>24676031748579.953</v>
      </c>
      <c r="N724" s="231">
        <f t="shared" si="218"/>
        <v>27070549163195.219</v>
      </c>
    </row>
    <row r="725" spans="1:14" s="1427" customFormat="1" x14ac:dyDescent="0.2">
      <c r="B725" s="132"/>
      <c r="C725" s="583" t="s">
        <v>608</v>
      </c>
      <c r="D725" s="610" t="s">
        <v>2272</v>
      </c>
      <c r="F725" s="231">
        <f t="shared" ref="F725:N725" si="219">F586*F467</f>
        <v>58457187413011.875</v>
      </c>
      <c r="G725" s="231">
        <f t="shared" si="219"/>
        <v>565675247833547</v>
      </c>
      <c r="H725" s="231">
        <f t="shared" si="219"/>
        <v>563790967365745.25</v>
      </c>
      <c r="I725" s="231">
        <f t="shared" si="219"/>
        <v>574250970071122.75</v>
      </c>
      <c r="J725" s="231">
        <f t="shared" si="219"/>
        <v>595004454206577.25</v>
      </c>
      <c r="K725" s="231">
        <f t="shared" si="219"/>
        <v>625396239752862.87</v>
      </c>
      <c r="L725" s="231">
        <f t="shared" si="219"/>
        <v>649583899524861.75</v>
      </c>
      <c r="M725" s="231">
        <f t="shared" si="219"/>
        <v>682514400006695.87</v>
      </c>
      <c r="N725" s="231">
        <f t="shared" si="219"/>
        <v>724925732393466.62</v>
      </c>
    </row>
    <row r="726" spans="1:14" s="82" customFormat="1" x14ac:dyDescent="0.2">
      <c r="A726" s="1427"/>
      <c r="B726" s="132"/>
      <c r="C726" s="583" t="s">
        <v>608</v>
      </c>
      <c r="D726" s="17" t="s">
        <v>923</v>
      </c>
      <c r="E726" s="1427"/>
      <c r="F726" s="231">
        <f t="shared" ref="F726:N726" si="220">F587*F468</f>
        <v>0</v>
      </c>
      <c r="G726" s="231">
        <f t="shared" si="220"/>
        <v>43753559552295.797</v>
      </c>
      <c r="H726" s="231">
        <f t="shared" si="220"/>
        <v>91952969636863.641</v>
      </c>
      <c r="I726" s="231">
        <f t="shared" si="220"/>
        <v>147687718972141.47</v>
      </c>
      <c r="J726" s="231">
        <f t="shared" si="220"/>
        <v>213734538017832.12</v>
      </c>
      <c r="K726" s="231">
        <f t="shared" si="220"/>
        <v>292945848000624.44</v>
      </c>
      <c r="L726" s="231">
        <f t="shared" si="220"/>
        <v>379081076707304.44</v>
      </c>
      <c r="M726" s="231">
        <f t="shared" si="220"/>
        <v>479825581562533.62</v>
      </c>
      <c r="N726" s="231">
        <f t="shared" si="220"/>
        <v>597829389950062.25</v>
      </c>
    </row>
    <row r="727" spans="1:14" s="82" customFormat="1" x14ac:dyDescent="0.2">
      <c r="A727" s="1427"/>
      <c r="B727" s="132"/>
      <c r="C727" s="583" t="s">
        <v>608</v>
      </c>
      <c r="D727" s="610" t="s">
        <v>612</v>
      </c>
      <c r="E727" s="1427"/>
      <c r="F727" s="231">
        <f t="shared" ref="F727:N727" si="221">F588*F469</f>
        <v>0</v>
      </c>
      <c r="G727" s="231">
        <f t="shared" si="221"/>
        <v>9459633004847.1055</v>
      </c>
      <c r="H727" s="231">
        <f t="shared" si="221"/>
        <v>19880470420490.34</v>
      </c>
      <c r="I727" s="231">
        <f t="shared" si="221"/>
        <v>31930467717252.223</v>
      </c>
      <c r="J727" s="231">
        <f t="shared" si="221"/>
        <v>46209961219101.422</v>
      </c>
      <c r="K727" s="231">
        <f t="shared" si="221"/>
        <v>63335651790054.75</v>
      </c>
      <c r="L727" s="231">
        <f t="shared" si="221"/>
        <v>81958311539140.469</v>
      </c>
      <c r="M727" s="231">
        <f t="shared" si="221"/>
        <v>103739534665602.67</v>
      </c>
      <c r="N727" s="231">
        <f t="shared" si="221"/>
        <v>129252263959915.52</v>
      </c>
    </row>
    <row r="728" spans="1:14" s="82" customFormat="1" x14ac:dyDescent="0.2">
      <c r="A728" s="1427"/>
      <c r="B728" s="132"/>
      <c r="C728" s="583" t="s">
        <v>608</v>
      </c>
      <c r="D728" s="17" t="s">
        <v>2273</v>
      </c>
      <c r="E728" s="1427"/>
      <c r="F728" s="231">
        <f t="shared" ref="F728:N728" si="222">F589*F470</f>
        <v>0</v>
      </c>
      <c r="G728" s="231">
        <f t="shared" si="222"/>
        <v>80400974038601.312</v>
      </c>
      <c r="H728" s="231">
        <f t="shared" si="222"/>
        <v>161112441895225.03</v>
      </c>
      <c r="I728" s="231">
        <f t="shared" si="222"/>
        <v>246143546568263.75</v>
      </c>
      <c r="J728" s="231">
        <f t="shared" si="222"/>
        <v>337952680013692.75</v>
      </c>
      <c r="K728" s="231">
        <f t="shared" si="222"/>
        <v>438162146321500.19</v>
      </c>
      <c r="L728" s="231">
        <f t="shared" si="222"/>
        <v>534595759202398.25</v>
      </c>
      <c r="M728" s="231">
        <f t="shared" si="222"/>
        <v>635659520739971.75</v>
      </c>
      <c r="N728" s="231">
        <f t="shared" si="222"/>
        <v>740891689636683.37</v>
      </c>
    </row>
    <row r="729" spans="1:14" s="82" customFormat="1" x14ac:dyDescent="0.2">
      <c r="A729" s="1427"/>
      <c r="B729" s="132"/>
      <c r="C729" s="583" t="s">
        <v>610</v>
      </c>
      <c r="D729" s="610" t="s">
        <v>638</v>
      </c>
      <c r="E729" s="1427"/>
      <c r="F729" s="231">
        <f t="shared" ref="F729:N729" si="223">F590*F471</f>
        <v>1140224708017.6152</v>
      </c>
      <c r="G729" s="231">
        <f t="shared" si="223"/>
        <v>787536383227.64038</v>
      </c>
      <c r="H729" s="231">
        <f t="shared" si="223"/>
        <v>778070561362.61401</v>
      </c>
      <c r="I729" s="231">
        <f t="shared" si="223"/>
        <v>793249531115.78516</v>
      </c>
      <c r="J729" s="231">
        <f t="shared" si="223"/>
        <v>805932962076.76624</v>
      </c>
      <c r="K729" s="231">
        <f t="shared" si="223"/>
        <v>805712691564.3573</v>
      </c>
      <c r="L729" s="231">
        <f t="shared" si="223"/>
        <v>765486418094.30945</v>
      </c>
      <c r="M729" s="231">
        <f t="shared" si="223"/>
        <v>698498953362.75378</v>
      </c>
      <c r="N729" s="231">
        <f t="shared" si="223"/>
        <v>597460163847.40381</v>
      </c>
    </row>
    <row r="730" spans="1:14" s="82" customFormat="1" x14ac:dyDescent="0.2">
      <c r="A730" s="1427"/>
      <c r="B730" s="132"/>
      <c r="C730" s="1426" t="s">
        <v>610</v>
      </c>
      <c r="D730" s="610" t="s">
        <v>639</v>
      </c>
      <c r="E730" s="1427"/>
      <c r="F730" s="231">
        <f t="shared" ref="F730:N730" si="224">F591*F472</f>
        <v>0</v>
      </c>
      <c r="G730" s="231">
        <f t="shared" si="224"/>
        <v>0</v>
      </c>
      <c r="H730" s="231">
        <f t="shared" si="224"/>
        <v>86452284595.845978</v>
      </c>
      <c r="I730" s="231">
        <f t="shared" si="224"/>
        <v>198312382778.94626</v>
      </c>
      <c r="J730" s="231">
        <f t="shared" si="224"/>
        <v>345399840890.04272</v>
      </c>
      <c r="K730" s="231">
        <f t="shared" si="224"/>
        <v>537141794376.2384</v>
      </c>
      <c r="L730" s="231">
        <f t="shared" si="224"/>
        <v>765486418094.30945</v>
      </c>
      <c r="M730" s="231">
        <f t="shared" si="224"/>
        <v>1047748430044.1307</v>
      </c>
      <c r="N730" s="231">
        <f t="shared" si="224"/>
        <v>1394073715643.9421</v>
      </c>
    </row>
    <row r="731" spans="1:14" s="1427" customFormat="1" x14ac:dyDescent="0.2">
      <c r="B731" s="132"/>
      <c r="C731" s="1426" t="s">
        <v>2267</v>
      </c>
      <c r="D731" s="2479" t="s">
        <v>2264</v>
      </c>
      <c r="F731" s="231">
        <f t="shared" ref="F731:N731" si="225">F592*F473</f>
        <v>0</v>
      </c>
      <c r="G731" s="231">
        <f t="shared" si="225"/>
        <v>0</v>
      </c>
      <c r="H731" s="231">
        <f t="shared" si="225"/>
        <v>0</v>
      </c>
      <c r="I731" s="231">
        <f t="shared" si="225"/>
        <v>0</v>
      </c>
      <c r="J731" s="231">
        <f t="shared" si="225"/>
        <v>0</v>
      </c>
      <c r="K731" s="231">
        <f t="shared" si="225"/>
        <v>0</v>
      </c>
      <c r="L731" s="231">
        <f t="shared" si="225"/>
        <v>0</v>
      </c>
      <c r="M731" s="231">
        <f t="shared" si="225"/>
        <v>0</v>
      </c>
      <c r="N731" s="231">
        <f t="shared" si="225"/>
        <v>0</v>
      </c>
    </row>
    <row r="732" spans="1:14" s="1427" customFormat="1" x14ac:dyDescent="0.2">
      <c r="B732" s="132"/>
      <c r="C732" s="1426" t="s">
        <v>2268</v>
      </c>
      <c r="D732" s="2479" t="s">
        <v>2266</v>
      </c>
      <c r="F732" s="231">
        <f t="shared" ref="F732:N732" si="226">F593*F474</f>
        <v>0</v>
      </c>
      <c r="G732" s="231">
        <f t="shared" si="226"/>
        <v>0</v>
      </c>
      <c r="H732" s="231">
        <f t="shared" si="226"/>
        <v>0</v>
      </c>
      <c r="I732" s="231">
        <f t="shared" si="226"/>
        <v>0</v>
      </c>
      <c r="J732" s="231">
        <f t="shared" si="226"/>
        <v>0</v>
      </c>
      <c r="K732" s="231">
        <f t="shared" si="226"/>
        <v>0</v>
      </c>
      <c r="L732" s="231">
        <f t="shared" si="226"/>
        <v>0</v>
      </c>
      <c r="M732" s="231">
        <f t="shared" si="226"/>
        <v>0</v>
      </c>
      <c r="N732" s="231">
        <f t="shared" si="226"/>
        <v>0</v>
      </c>
    </row>
    <row r="733" spans="1:14" s="82" customFormat="1" x14ac:dyDescent="0.2">
      <c r="A733" s="1427"/>
      <c r="B733" s="132"/>
      <c r="C733" s="1426" t="s">
        <v>611</v>
      </c>
      <c r="D733" s="610" t="s">
        <v>611</v>
      </c>
      <c r="E733" s="1427"/>
      <c r="F733" s="231">
        <f t="shared" ref="F733:N733" si="227">F594*F475</f>
        <v>0</v>
      </c>
      <c r="G733" s="231">
        <f t="shared" si="227"/>
        <v>0</v>
      </c>
      <c r="H733" s="231">
        <f t="shared" si="227"/>
        <v>0</v>
      </c>
      <c r="I733" s="231">
        <f t="shared" si="227"/>
        <v>0</v>
      </c>
      <c r="J733" s="231">
        <f t="shared" si="227"/>
        <v>0</v>
      </c>
      <c r="K733" s="231">
        <f t="shared" si="227"/>
        <v>0</v>
      </c>
      <c r="L733" s="231">
        <f t="shared" si="227"/>
        <v>0</v>
      </c>
      <c r="M733" s="231">
        <f t="shared" si="227"/>
        <v>0</v>
      </c>
      <c r="N733" s="231">
        <f t="shared" si="227"/>
        <v>0</v>
      </c>
    </row>
    <row r="734" spans="1:14" s="82" customFormat="1" x14ac:dyDescent="0.2">
      <c r="A734" s="1427"/>
      <c r="B734" s="132"/>
      <c r="C734" s="1426" t="s">
        <v>1662</v>
      </c>
      <c r="D734" s="17" t="s">
        <v>1662</v>
      </c>
      <c r="E734" s="1427"/>
      <c r="F734" s="1539">
        <f t="shared" ref="F734:N734" si="228">SUM(F720:F733)</f>
        <v>66842801740702.195</v>
      </c>
      <c r="G734" s="1539">
        <f t="shared" si="228"/>
        <v>712344091115989.37</v>
      </c>
      <c r="H734" s="1539">
        <f t="shared" si="228"/>
        <v>855132166129543.75</v>
      </c>
      <c r="I734" s="1539">
        <f t="shared" si="228"/>
        <v>1024016516884591.5</v>
      </c>
      <c r="J734" s="1539">
        <f t="shared" si="228"/>
        <v>1222732685063484</v>
      </c>
      <c r="K734" s="1539">
        <f t="shared" si="228"/>
        <v>1455675519529745.2</v>
      </c>
      <c r="L734" s="1539">
        <f t="shared" si="228"/>
        <v>1686175636444327</v>
      </c>
      <c r="M734" s="1539">
        <f t="shared" si="228"/>
        <v>1947618776837455.7</v>
      </c>
      <c r="N734" s="1539">
        <f t="shared" si="228"/>
        <v>2243447399707388</v>
      </c>
    </row>
    <row r="735" spans="1:14" s="82" customFormat="1" x14ac:dyDescent="0.2">
      <c r="A735" s="1427"/>
      <c r="B735" s="132"/>
      <c r="C735" s="1426"/>
      <c r="D735" s="610"/>
      <c r="E735" s="1427"/>
      <c r="F735" s="231"/>
      <c r="G735" s="231"/>
      <c r="H735" s="231"/>
      <c r="I735" s="231"/>
      <c r="J735" s="231"/>
      <c r="K735" s="231"/>
      <c r="L735" s="231"/>
      <c r="M735" s="231"/>
      <c r="N735" s="231"/>
    </row>
    <row r="736" spans="1:14" s="82" customFormat="1" x14ac:dyDescent="0.2">
      <c r="A736" s="1427"/>
      <c r="B736" s="1427" t="s">
        <v>1897</v>
      </c>
      <c r="C736" s="1427" t="s">
        <v>1663</v>
      </c>
      <c r="D736" s="1427"/>
      <c r="E736" s="1427"/>
      <c r="F736" s="234"/>
      <c r="G736" s="234"/>
      <c r="H736" s="234"/>
      <c r="I736" s="234"/>
      <c r="J736" s="234"/>
      <c r="K736" s="234"/>
      <c r="L736" s="234"/>
      <c r="M736" s="234"/>
      <c r="N736" s="234"/>
    </row>
    <row r="737" spans="1:14" s="82" customFormat="1" x14ac:dyDescent="0.2">
      <c r="A737" s="1427"/>
      <c r="B737" s="132"/>
      <c r="C737" s="1427"/>
      <c r="D737" s="1427"/>
      <c r="E737" s="1427"/>
      <c r="F737" s="234"/>
      <c r="G737" s="234"/>
      <c r="H737" s="234"/>
      <c r="I737" s="234"/>
      <c r="J737" s="234"/>
      <c r="K737" s="234"/>
      <c r="L737" s="234"/>
      <c r="M737" s="234"/>
      <c r="N737" s="234"/>
    </row>
    <row r="738" spans="1:14" s="82" customFormat="1" x14ac:dyDescent="0.2">
      <c r="A738" s="1427"/>
      <c r="B738" s="583"/>
      <c r="C738" s="17" t="s">
        <v>645</v>
      </c>
      <c r="D738" s="20"/>
      <c r="E738" s="1427"/>
      <c r="F738" s="234"/>
      <c r="G738" s="234"/>
      <c r="H738" s="234"/>
      <c r="I738" s="234"/>
      <c r="J738" s="234"/>
      <c r="K738" s="234"/>
      <c r="L738" s="234"/>
      <c r="M738" s="234"/>
      <c r="N738" s="1426" t="str">
        <f>Preferences.moneyunits&amp;"/yr"</f>
        <v>N/yr</v>
      </c>
    </row>
    <row r="739" spans="1:14" s="82" customFormat="1" x14ac:dyDescent="0.2">
      <c r="A739" s="1427"/>
      <c r="B739" s="132"/>
      <c r="C739" s="583" t="s">
        <v>592</v>
      </c>
      <c r="D739" s="1987" t="s">
        <v>343</v>
      </c>
      <c r="E739" s="1427"/>
      <c r="F739" s="1535">
        <v>2010</v>
      </c>
      <c r="G739" s="1535">
        <v>2015</v>
      </c>
      <c r="H739" s="1535">
        <v>2020</v>
      </c>
      <c r="I739" s="1535">
        <v>2025</v>
      </c>
      <c r="J739" s="1535">
        <v>2030</v>
      </c>
      <c r="K739" s="1535">
        <v>2035</v>
      </c>
      <c r="L739" s="1535">
        <v>2040</v>
      </c>
      <c r="M739" s="1535">
        <v>2045</v>
      </c>
      <c r="N739" s="1535">
        <v>2050</v>
      </c>
    </row>
    <row r="740" spans="1:14" s="82" customFormat="1" x14ac:dyDescent="0.2">
      <c r="A740" s="1427"/>
      <c r="B740" s="132"/>
      <c r="C740" s="1426" t="s">
        <v>609</v>
      </c>
      <c r="D740" s="17" t="s">
        <v>609</v>
      </c>
      <c r="E740" s="1427"/>
      <c r="F740" s="1539">
        <f t="shared" ref="F740:N740" si="229">F581*F479</f>
        <v>7803451375.0367184</v>
      </c>
      <c r="G740" s="1539">
        <f t="shared" si="229"/>
        <v>11036111218.261477</v>
      </c>
      <c r="H740" s="1539">
        <f t="shared" si="229"/>
        <v>14983616244.858467</v>
      </c>
      <c r="I740" s="1539">
        <f t="shared" si="229"/>
        <v>19778017557.93996</v>
      </c>
      <c r="J740" s="1539">
        <f t="shared" si="229"/>
        <v>25573727428.28371</v>
      </c>
      <c r="K740" s="1539">
        <f t="shared" si="229"/>
        <v>32551115902.409725</v>
      </c>
      <c r="L740" s="1539">
        <f t="shared" si="229"/>
        <v>39932291322.876472</v>
      </c>
      <c r="M740" s="1539">
        <f t="shared" si="229"/>
        <v>48497323905.115623</v>
      </c>
      <c r="N740" s="1539">
        <f t="shared" si="229"/>
        <v>58412688360.229774</v>
      </c>
    </row>
    <row r="741" spans="1:14" s="82" customFormat="1" x14ac:dyDescent="0.2">
      <c r="A741" s="1427"/>
      <c r="B741" s="132"/>
      <c r="C741" s="583" t="s">
        <v>607</v>
      </c>
      <c r="D741" s="610" t="s">
        <v>2272</v>
      </c>
      <c r="E741" s="1427"/>
      <c r="F741" s="1539">
        <f t="shared" ref="F741:N741" si="230">F582*F480</f>
        <v>7235635305453.9102</v>
      </c>
      <c r="G741" s="1539">
        <f t="shared" si="230"/>
        <v>7455943817466.9043</v>
      </c>
      <c r="H741" s="1539">
        <f t="shared" si="230"/>
        <v>7689383352393.8857</v>
      </c>
      <c r="I741" s="1539">
        <f t="shared" si="230"/>
        <v>7940241809311.9248</v>
      </c>
      <c r="J741" s="1539">
        <f t="shared" si="230"/>
        <v>8213542552709.5693</v>
      </c>
      <c r="K741" s="1539">
        <f t="shared" si="230"/>
        <v>8515040226467.2734</v>
      </c>
      <c r="L741" s="1539">
        <f t="shared" si="230"/>
        <v>8637386818407.2109</v>
      </c>
      <c r="M741" s="1539">
        <f t="shared" si="230"/>
        <v>8788517341550.3906</v>
      </c>
      <c r="N741" s="1539">
        <f t="shared" si="230"/>
        <v>8972888459513.2949</v>
      </c>
    </row>
    <row r="742" spans="1:14" s="82" customFormat="1" x14ac:dyDescent="0.2">
      <c r="A742" s="1427"/>
      <c r="B742" s="132"/>
      <c r="C742" s="583" t="s">
        <v>607</v>
      </c>
      <c r="D742" s="17" t="s">
        <v>923</v>
      </c>
      <c r="E742" s="1427"/>
      <c r="F742" s="1539">
        <f t="shared" ref="F742:N742" si="231">F583*F481</f>
        <v>0</v>
      </c>
      <c r="G742" s="1539">
        <f t="shared" si="231"/>
        <v>1026694310703.6542</v>
      </c>
      <c r="H742" s="1539">
        <f t="shared" si="231"/>
        <v>2179545997856.1282</v>
      </c>
      <c r="I742" s="1539">
        <f t="shared" si="231"/>
        <v>3466443203023.1104</v>
      </c>
      <c r="J742" s="1539">
        <f t="shared" si="231"/>
        <v>4894501832156.1377</v>
      </c>
      <c r="K742" s="1539">
        <f t="shared" si="231"/>
        <v>6469674662092.1709</v>
      </c>
      <c r="L742" s="1539">
        <f t="shared" si="231"/>
        <v>7998297646815.8545</v>
      </c>
      <c r="M742" s="1539">
        <f t="shared" si="231"/>
        <v>9595453522001.4277</v>
      </c>
      <c r="N742" s="1539">
        <f t="shared" si="231"/>
        <v>11252549909312.119</v>
      </c>
    </row>
    <row r="743" spans="1:14" s="82" customFormat="1" x14ac:dyDescent="0.2">
      <c r="A743" s="1427"/>
      <c r="B743" s="132"/>
      <c r="C743" s="583" t="s">
        <v>607</v>
      </c>
      <c r="D743" s="610" t="s">
        <v>612</v>
      </c>
      <c r="E743" s="1427"/>
      <c r="F743" s="1539">
        <f t="shared" ref="F743:N743" si="232">F584*F482</f>
        <v>0</v>
      </c>
      <c r="G743" s="1539">
        <f t="shared" si="232"/>
        <v>108374870307.73122</v>
      </c>
      <c r="H743" s="1539">
        <f t="shared" si="232"/>
        <v>230066546960.31693</v>
      </c>
      <c r="I743" s="1539">
        <f t="shared" si="232"/>
        <v>365907679277.2655</v>
      </c>
      <c r="J743" s="1539">
        <f t="shared" si="232"/>
        <v>516649401628.93433</v>
      </c>
      <c r="K743" s="1539">
        <f t="shared" si="232"/>
        <v>682920071853.6311</v>
      </c>
      <c r="L743" s="1539">
        <f t="shared" si="232"/>
        <v>844277075580.77429</v>
      </c>
      <c r="M743" s="1539">
        <f t="shared" si="232"/>
        <v>1012868212231.6025</v>
      </c>
      <c r="N743" s="1539">
        <f t="shared" si="232"/>
        <v>1187786495297.8872</v>
      </c>
    </row>
    <row r="744" spans="1:14" s="1427" customFormat="1" x14ac:dyDescent="0.2">
      <c r="B744" s="132"/>
      <c r="C744" s="583" t="s">
        <v>607</v>
      </c>
      <c r="D744" s="610" t="s">
        <v>2273</v>
      </c>
      <c r="F744" s="1539">
        <f t="shared" ref="F744:N744" si="233">F585*F483</f>
        <v>0</v>
      </c>
      <c r="G744" s="1539">
        <f t="shared" si="233"/>
        <v>3662332165969.4834</v>
      </c>
      <c r="H744" s="1539">
        <f t="shared" si="233"/>
        <v>7413068547744.6143</v>
      </c>
      <c r="I744" s="1539">
        <f t="shared" si="233"/>
        <v>11214936428356.805</v>
      </c>
      <c r="J744" s="1539">
        <f t="shared" si="233"/>
        <v>15023057857533.73</v>
      </c>
      <c r="K744" s="1539">
        <f t="shared" si="233"/>
        <v>18784455323471.375</v>
      </c>
      <c r="L744" s="1539">
        <f t="shared" si="233"/>
        <v>21895739729476.109</v>
      </c>
      <c r="M744" s="1539">
        <f t="shared" si="233"/>
        <v>24676031748579.953</v>
      </c>
      <c r="N744" s="1539">
        <f t="shared" si="233"/>
        <v>27070549163195.219</v>
      </c>
    </row>
    <row r="745" spans="1:14" s="82" customFormat="1" x14ac:dyDescent="0.2">
      <c r="A745" s="1427"/>
      <c r="B745" s="132"/>
      <c r="C745" s="583" t="s">
        <v>608</v>
      </c>
      <c r="D745" s="610" t="s">
        <v>2272</v>
      </c>
      <c r="E745" s="1427"/>
      <c r="F745" s="1539">
        <f t="shared" ref="F745:N745" si="234">F586*F484</f>
        <v>58457187413011.875</v>
      </c>
      <c r="G745" s="1539">
        <f t="shared" si="234"/>
        <v>565675247833547</v>
      </c>
      <c r="H745" s="1539">
        <f t="shared" si="234"/>
        <v>563790967365745.25</v>
      </c>
      <c r="I745" s="1539">
        <f t="shared" si="234"/>
        <v>574250970071122.75</v>
      </c>
      <c r="J745" s="1539">
        <f t="shared" si="234"/>
        <v>595004454206577.25</v>
      </c>
      <c r="K745" s="1539">
        <f t="shared" si="234"/>
        <v>625396239752862.87</v>
      </c>
      <c r="L745" s="1539">
        <f t="shared" si="234"/>
        <v>649583899524861.75</v>
      </c>
      <c r="M745" s="1539">
        <f t="shared" si="234"/>
        <v>682514400006695.87</v>
      </c>
      <c r="N745" s="1539">
        <f t="shared" si="234"/>
        <v>724925732393466.62</v>
      </c>
    </row>
    <row r="746" spans="1:14" s="82" customFormat="1" x14ac:dyDescent="0.2">
      <c r="A746" s="1427"/>
      <c r="B746" s="132"/>
      <c r="C746" s="583" t="s">
        <v>608</v>
      </c>
      <c r="D746" s="17" t="s">
        <v>923</v>
      </c>
      <c r="E746" s="1427"/>
      <c r="F746" s="1539">
        <f t="shared" ref="F746:N746" si="235">F587*F485</f>
        <v>0</v>
      </c>
      <c r="G746" s="1539">
        <f t="shared" si="235"/>
        <v>43753559552295.797</v>
      </c>
      <c r="H746" s="1539">
        <f t="shared" si="235"/>
        <v>91952969636863.641</v>
      </c>
      <c r="I746" s="1539">
        <f t="shared" si="235"/>
        <v>147687718972141.47</v>
      </c>
      <c r="J746" s="1539">
        <f t="shared" si="235"/>
        <v>213734538017832.12</v>
      </c>
      <c r="K746" s="1539">
        <f t="shared" si="235"/>
        <v>292945848000624.44</v>
      </c>
      <c r="L746" s="1539">
        <f t="shared" si="235"/>
        <v>379081076707304.44</v>
      </c>
      <c r="M746" s="1539">
        <f t="shared" si="235"/>
        <v>479825581562533.62</v>
      </c>
      <c r="N746" s="1539">
        <f t="shared" si="235"/>
        <v>597829389950062.25</v>
      </c>
    </row>
    <row r="747" spans="1:14" s="82" customFormat="1" x14ac:dyDescent="0.2">
      <c r="A747" s="1427"/>
      <c r="B747" s="132"/>
      <c r="C747" s="583" t="s">
        <v>608</v>
      </c>
      <c r="D747" s="610" t="s">
        <v>612</v>
      </c>
      <c r="E747" s="1427"/>
      <c r="F747" s="1539">
        <f t="shared" ref="F747:N747" si="236">F588*F486</f>
        <v>0</v>
      </c>
      <c r="G747" s="1539">
        <f t="shared" si="236"/>
        <v>9459633004847.1055</v>
      </c>
      <c r="H747" s="1539">
        <f t="shared" si="236"/>
        <v>19880470420490.34</v>
      </c>
      <c r="I747" s="1539">
        <f t="shared" si="236"/>
        <v>31930467717252.223</v>
      </c>
      <c r="J747" s="1539">
        <f t="shared" si="236"/>
        <v>46209961219101.422</v>
      </c>
      <c r="K747" s="1539">
        <f t="shared" si="236"/>
        <v>63335651790054.75</v>
      </c>
      <c r="L747" s="1539">
        <f t="shared" si="236"/>
        <v>81958311539140.469</v>
      </c>
      <c r="M747" s="1539">
        <f t="shared" si="236"/>
        <v>103739534665602.67</v>
      </c>
      <c r="N747" s="1539">
        <f t="shared" si="236"/>
        <v>129252263959915.52</v>
      </c>
    </row>
    <row r="748" spans="1:14" s="82" customFormat="1" x14ac:dyDescent="0.2">
      <c r="A748" s="1427"/>
      <c r="B748" s="132"/>
      <c r="C748" s="583" t="s">
        <v>608</v>
      </c>
      <c r="D748" s="17" t="s">
        <v>2273</v>
      </c>
      <c r="E748" s="1427"/>
      <c r="F748" s="1539">
        <f t="shared" ref="F748:N748" si="237">F589*F487</f>
        <v>0</v>
      </c>
      <c r="G748" s="1539">
        <f t="shared" si="237"/>
        <v>80400974038601.312</v>
      </c>
      <c r="H748" s="1539">
        <f t="shared" si="237"/>
        <v>161112441895225.03</v>
      </c>
      <c r="I748" s="1539">
        <f t="shared" si="237"/>
        <v>246143546568263.75</v>
      </c>
      <c r="J748" s="1539">
        <f t="shared" si="237"/>
        <v>337952680013692.75</v>
      </c>
      <c r="K748" s="1539">
        <f t="shared" si="237"/>
        <v>438162146321500.19</v>
      </c>
      <c r="L748" s="1539">
        <f t="shared" si="237"/>
        <v>534595759202398.25</v>
      </c>
      <c r="M748" s="1539">
        <f t="shared" si="237"/>
        <v>635659520739971.75</v>
      </c>
      <c r="N748" s="1539">
        <f t="shared" si="237"/>
        <v>740891689636683.37</v>
      </c>
    </row>
    <row r="749" spans="1:14" s="82" customFormat="1" x14ac:dyDescent="0.2">
      <c r="A749" s="1427"/>
      <c r="B749" s="132"/>
      <c r="C749" s="583" t="s">
        <v>610</v>
      </c>
      <c r="D749" s="610" t="s">
        <v>638</v>
      </c>
      <c r="E749" s="1427"/>
      <c r="F749" s="1539">
        <f t="shared" ref="F749:N749" si="238">F590*F488</f>
        <v>1140224708017.6152</v>
      </c>
      <c r="G749" s="1539">
        <f t="shared" si="238"/>
        <v>787536383227.64038</v>
      </c>
      <c r="H749" s="1539">
        <f t="shared" si="238"/>
        <v>778070561362.61401</v>
      </c>
      <c r="I749" s="1539">
        <f t="shared" si="238"/>
        <v>793249531115.78516</v>
      </c>
      <c r="J749" s="1539">
        <f t="shared" si="238"/>
        <v>805932962076.76624</v>
      </c>
      <c r="K749" s="1539">
        <f t="shared" si="238"/>
        <v>805712691564.3573</v>
      </c>
      <c r="L749" s="1539">
        <f t="shared" si="238"/>
        <v>765486418094.30945</v>
      </c>
      <c r="M749" s="1539">
        <f t="shared" si="238"/>
        <v>698498953362.75378</v>
      </c>
      <c r="N749" s="1539">
        <f t="shared" si="238"/>
        <v>597460163847.40381</v>
      </c>
    </row>
    <row r="750" spans="1:14" s="82" customFormat="1" x14ac:dyDescent="0.2">
      <c r="A750" s="1427"/>
      <c r="B750" s="132"/>
      <c r="C750" s="1426" t="s">
        <v>610</v>
      </c>
      <c r="D750" s="610" t="s">
        <v>639</v>
      </c>
      <c r="E750" s="1427"/>
      <c r="F750" s="1539">
        <f t="shared" ref="F750:N750" si="239">F591*F489</f>
        <v>0</v>
      </c>
      <c r="G750" s="1539">
        <f t="shared" si="239"/>
        <v>0</v>
      </c>
      <c r="H750" s="1539">
        <f t="shared" si="239"/>
        <v>86452284595.845978</v>
      </c>
      <c r="I750" s="1539">
        <f t="shared" si="239"/>
        <v>198312382778.94626</v>
      </c>
      <c r="J750" s="1539">
        <f t="shared" si="239"/>
        <v>345399840890.04272</v>
      </c>
      <c r="K750" s="1539">
        <f t="shared" si="239"/>
        <v>537141794376.2384</v>
      </c>
      <c r="L750" s="1539">
        <f t="shared" si="239"/>
        <v>765486418094.30945</v>
      </c>
      <c r="M750" s="1539">
        <f t="shared" si="239"/>
        <v>1047748430044.1307</v>
      </c>
      <c r="N750" s="1539">
        <f t="shared" si="239"/>
        <v>1394073715643.9421</v>
      </c>
    </row>
    <row r="751" spans="1:14" s="1427" customFormat="1" x14ac:dyDescent="0.2">
      <c r="B751" s="132"/>
      <c r="C751" s="1426" t="s">
        <v>2267</v>
      </c>
      <c r="D751" s="2479" t="s">
        <v>2264</v>
      </c>
      <c r="F751" s="1539">
        <f t="shared" ref="F751:N751" si="240">F592*F490</f>
        <v>0</v>
      </c>
      <c r="G751" s="1539">
        <f t="shared" si="240"/>
        <v>0</v>
      </c>
      <c r="H751" s="1539">
        <f t="shared" si="240"/>
        <v>0</v>
      </c>
      <c r="I751" s="1539">
        <f t="shared" si="240"/>
        <v>0</v>
      </c>
      <c r="J751" s="1539">
        <f t="shared" si="240"/>
        <v>0</v>
      </c>
      <c r="K751" s="1539">
        <f t="shared" si="240"/>
        <v>0</v>
      </c>
      <c r="L751" s="1539">
        <f t="shared" si="240"/>
        <v>0</v>
      </c>
      <c r="M751" s="1539">
        <f t="shared" si="240"/>
        <v>0</v>
      </c>
      <c r="N751" s="1539">
        <f t="shared" si="240"/>
        <v>0</v>
      </c>
    </row>
    <row r="752" spans="1:14" s="1427" customFormat="1" x14ac:dyDescent="0.2">
      <c r="B752" s="132"/>
      <c r="C752" s="1426" t="s">
        <v>2268</v>
      </c>
      <c r="D752" s="2479" t="s">
        <v>2266</v>
      </c>
      <c r="F752" s="1539">
        <f t="shared" ref="F752:N752" si="241">F593*F491</f>
        <v>0</v>
      </c>
      <c r="G752" s="1539">
        <f t="shared" si="241"/>
        <v>0</v>
      </c>
      <c r="H752" s="1539">
        <f t="shared" si="241"/>
        <v>0</v>
      </c>
      <c r="I752" s="1539">
        <f t="shared" si="241"/>
        <v>0</v>
      </c>
      <c r="J752" s="1539">
        <f t="shared" si="241"/>
        <v>0</v>
      </c>
      <c r="K752" s="1539">
        <f t="shared" si="241"/>
        <v>0</v>
      </c>
      <c r="L752" s="1539">
        <f t="shared" si="241"/>
        <v>0</v>
      </c>
      <c r="M752" s="1539">
        <f t="shared" si="241"/>
        <v>0</v>
      </c>
      <c r="N752" s="1539">
        <f t="shared" si="241"/>
        <v>0</v>
      </c>
    </row>
    <row r="753" spans="1:15" s="82" customFormat="1" x14ac:dyDescent="0.2">
      <c r="A753" s="1427"/>
      <c r="B753" s="132"/>
      <c r="C753" s="1426" t="s">
        <v>611</v>
      </c>
      <c r="D753" s="610" t="s">
        <v>611</v>
      </c>
      <c r="E753" s="1427"/>
      <c r="F753" s="1539">
        <f t="shared" ref="F753:N753" si="242">F594*F492</f>
        <v>0</v>
      </c>
      <c r="G753" s="1539">
        <f t="shared" si="242"/>
        <v>0</v>
      </c>
      <c r="H753" s="1539">
        <f t="shared" si="242"/>
        <v>0</v>
      </c>
      <c r="I753" s="1539">
        <f t="shared" si="242"/>
        <v>0</v>
      </c>
      <c r="J753" s="1539">
        <f t="shared" si="242"/>
        <v>0</v>
      </c>
      <c r="K753" s="1539">
        <f t="shared" si="242"/>
        <v>0</v>
      </c>
      <c r="L753" s="1539">
        <f t="shared" si="242"/>
        <v>0</v>
      </c>
      <c r="M753" s="1539">
        <f t="shared" si="242"/>
        <v>0</v>
      </c>
      <c r="N753" s="1539">
        <f t="shared" si="242"/>
        <v>0</v>
      </c>
    </row>
    <row r="754" spans="1:15" s="82" customFormat="1" x14ac:dyDescent="0.2">
      <c r="A754" s="1427"/>
      <c r="B754" s="132"/>
      <c r="C754" s="1426" t="s">
        <v>1662</v>
      </c>
      <c r="D754" s="17" t="s">
        <v>1662</v>
      </c>
      <c r="E754" s="1427"/>
      <c r="F754" s="1539">
        <f t="shared" ref="F754:N754" si="243">SUM(F740:F753)</f>
        <v>66840850877858.437</v>
      </c>
      <c r="G754" s="1539">
        <f t="shared" si="243"/>
        <v>712341332088184.87</v>
      </c>
      <c r="H754" s="1539">
        <f t="shared" si="243"/>
        <v>855128420225482.5</v>
      </c>
      <c r="I754" s="1539">
        <f t="shared" si="243"/>
        <v>1024011572380202</v>
      </c>
      <c r="J754" s="1539">
        <f t="shared" si="243"/>
        <v>1222726291631626.7</v>
      </c>
      <c r="K754" s="1539">
        <f t="shared" si="243"/>
        <v>1455667381750769.7</v>
      </c>
      <c r="L754" s="1539">
        <f t="shared" si="243"/>
        <v>1686165653371496.2</v>
      </c>
      <c r="M754" s="1539">
        <f t="shared" si="243"/>
        <v>1947606652506479.5</v>
      </c>
      <c r="N754" s="1539">
        <f t="shared" si="243"/>
        <v>2243432796535298</v>
      </c>
    </row>
    <row r="755" spans="1:15" s="82" customFormat="1" x14ac:dyDescent="0.2">
      <c r="A755" s="1427"/>
      <c r="B755" s="1427"/>
      <c r="C755" s="1427"/>
      <c r="D755" s="1427"/>
      <c r="E755" s="1427"/>
      <c r="F755" s="1427"/>
      <c r="G755" s="1427"/>
      <c r="H755" s="1427"/>
      <c r="I755" s="1427"/>
      <c r="J755" s="1427"/>
      <c r="K755" s="1427"/>
      <c r="L755" s="1427"/>
      <c r="M755" s="1427"/>
      <c r="N755" s="1427"/>
      <c r="O755" s="1427"/>
    </row>
    <row r="756" spans="1:15" s="82" customFormat="1" x14ac:dyDescent="0.2">
      <c r="A756" s="1427"/>
      <c r="B756" s="132">
        <v>4</v>
      </c>
      <c r="C756" s="1427" t="s">
        <v>972</v>
      </c>
      <c r="D756" s="1427"/>
      <c r="E756" s="1427"/>
      <c r="F756" s="234"/>
      <c r="G756" s="234"/>
      <c r="H756" s="234"/>
      <c r="I756" s="234"/>
      <c r="J756" s="234"/>
      <c r="K756" s="234"/>
      <c r="L756" s="234"/>
      <c r="M756" s="234"/>
      <c r="N756" s="234"/>
      <c r="O756" s="1427"/>
    </row>
    <row r="757" spans="1:15" s="82" customFormat="1" x14ac:dyDescent="0.2">
      <c r="A757" s="1427"/>
      <c r="B757" s="132"/>
      <c r="C757" s="1427"/>
      <c r="D757" s="1427"/>
      <c r="E757" s="1427"/>
      <c r="G757" s="234"/>
      <c r="H757" s="234"/>
      <c r="I757" s="234"/>
      <c r="J757" s="234"/>
      <c r="K757" s="234"/>
      <c r="L757" s="234"/>
      <c r="M757" s="234"/>
      <c r="N757" s="234"/>
      <c r="O757" s="1427"/>
    </row>
    <row r="758" spans="1:15" s="1427" customFormat="1" x14ac:dyDescent="0.2">
      <c r="B758" s="132"/>
      <c r="C758" s="1427" t="s">
        <v>647</v>
      </c>
      <c r="F758" s="234" t="s">
        <v>38</v>
      </c>
      <c r="G758" s="656" t="str">
        <f>INDEX(Vectors[Description], MATCH(F758, Vectors[Code], 0))</f>
        <v>Liquid hydrocarbons</v>
      </c>
      <c r="H758" s="234"/>
      <c r="I758" s="234"/>
      <c r="J758" s="234"/>
      <c r="K758" s="234"/>
      <c r="L758" s="234"/>
      <c r="M758" s="234"/>
      <c r="N758" s="234"/>
    </row>
    <row r="759" spans="1:15" s="1532" customFormat="1" x14ac:dyDescent="0.2">
      <c r="A759" s="1427"/>
      <c r="B759" s="132"/>
      <c r="C759" s="583" t="s">
        <v>592</v>
      </c>
      <c r="D759" s="1987" t="s">
        <v>343</v>
      </c>
      <c r="E759" s="1427"/>
      <c r="G759" s="234"/>
      <c r="H759" s="234"/>
      <c r="I759" s="234"/>
      <c r="J759" s="234"/>
      <c r="K759" s="234"/>
      <c r="L759" s="234"/>
      <c r="M759" s="234"/>
      <c r="N759" s="1426" t="str">
        <f>Preferences.EnergyUnits</f>
        <v>TWh</v>
      </c>
      <c r="O759" s="1427"/>
    </row>
    <row r="760" spans="1:15" s="1532" customFormat="1" x14ac:dyDescent="0.2">
      <c r="A760" s="1427"/>
      <c r="B760" s="132"/>
      <c r="C760" s="583" t="s">
        <v>607</v>
      </c>
      <c r="D760" s="610" t="s">
        <v>2272</v>
      </c>
      <c r="E760" s="219"/>
      <c r="F760" s="219">
        <f t="array" ref="F760:F770">F$544:F$556*SUMIFS(F$365:F$370, $C$365:$C$370, $C760:$C770, $D$365:$D$370, $D760:$D770)</f>
        <v>39.32939493018506</v>
      </c>
      <c r="G760" s="219">
        <f t="array" ref="G760:G770">G$544:G$556*SUMIFS(G$365:G$370, $C$365:$C$370, $C760:$C770, $D$365:$D$370, $D760:$D770)</f>
        <v>37.92640975608429</v>
      </c>
      <c r="H760" s="219">
        <f t="array" ref="H760:H770">H$544:H$556*SUMIFS(H$365:H$370, $C$365:$C$370, $C760:$C770, $D$365:$D$370, $D760:$D770)</f>
        <v>35.995759254330132</v>
      </c>
      <c r="I760" s="219">
        <f t="array" ref="I760:I770">I$544:I$556*SUMIFS(I$365:I$370, $C$365:$C$370, $C760:$C770, $D$365:$D$370, $D760:$D770)</f>
        <v>33.403922835083577</v>
      </c>
      <c r="J760" s="219">
        <f t="array" ref="J760:J770">J$544:J$556*SUMIFS(J$365:J$370, $C$365:$C$370, $C760:$C770, $D$365:$D$370, $D760:$D770)</f>
        <v>30.167144808196657</v>
      </c>
      <c r="K760" s="219">
        <f t="array" ref="K760:K770">K$544:K$556*SUMIFS(K$365:K$370, $C$365:$C$370, $C760:$C770, $D$365:$D$370, $D760:$D770)</f>
        <v>30.763912707247027</v>
      </c>
      <c r="L760" s="219">
        <f t="array" ref="L760:L770">L$544:L$556*SUMIFS(L$365:L$370, $C$365:$C$370, $C760:$C770, $D$365:$D$370, $D760:$D770)</f>
        <v>30.540831960006656</v>
      </c>
      <c r="M760" s="219">
        <f t="array" ref="M760:M770">M$544:M$556*SUMIFS(M$365:M$370, $C$365:$C$370, $C760:$C770, $D$365:$D$370, $D760:$D770)</f>
        <v>30.862900970886983</v>
      </c>
      <c r="N760" s="219">
        <f t="array" ref="N760:N770">N$544:N$556*SUMIFS(N$365:N$370, $C$365:$C$370, $C760:$C770, $D$365:$D$370, $D760:$D770)</f>
        <v>31.214245294884776</v>
      </c>
    </row>
    <row r="761" spans="1:15" s="1532" customFormat="1" x14ac:dyDescent="0.2">
      <c r="A761" s="1427"/>
      <c r="B761" s="132"/>
      <c r="C761" s="583" t="s">
        <v>607</v>
      </c>
      <c r="D761" s="17" t="s">
        <v>923</v>
      </c>
      <c r="E761" s="1427"/>
      <c r="F761" s="219">
        <v>0</v>
      </c>
      <c r="G761" s="219">
        <v>0</v>
      </c>
      <c r="H761" s="219">
        <v>0</v>
      </c>
      <c r="I761" s="219">
        <v>0</v>
      </c>
      <c r="J761" s="219">
        <v>0</v>
      </c>
      <c r="K761" s="219">
        <v>0</v>
      </c>
      <c r="L761" s="219">
        <v>0</v>
      </c>
      <c r="M761" s="219">
        <v>0</v>
      </c>
      <c r="N761" s="219">
        <v>0</v>
      </c>
    </row>
    <row r="762" spans="1:15" s="1532" customFormat="1" x14ac:dyDescent="0.2">
      <c r="A762" s="1427"/>
      <c r="B762" s="132"/>
      <c r="C762" s="583" t="s">
        <v>607</v>
      </c>
      <c r="D762" s="610" t="s">
        <v>612</v>
      </c>
      <c r="E762" s="1427"/>
      <c r="F762" s="219">
        <v>0</v>
      </c>
      <c r="G762" s="219">
        <v>0</v>
      </c>
      <c r="H762" s="219">
        <v>0</v>
      </c>
      <c r="I762" s="219">
        <v>0</v>
      </c>
      <c r="J762" s="219">
        <v>0</v>
      </c>
      <c r="K762" s="219">
        <v>0</v>
      </c>
      <c r="L762" s="219">
        <v>0</v>
      </c>
      <c r="M762" s="219">
        <v>0</v>
      </c>
      <c r="N762" s="219">
        <v>0</v>
      </c>
    </row>
    <row r="763" spans="1:15" s="1427" customFormat="1" x14ac:dyDescent="0.2">
      <c r="B763" s="132"/>
      <c r="C763" s="583" t="s">
        <v>607</v>
      </c>
      <c r="D763" s="610" t="s">
        <v>2273</v>
      </c>
      <c r="F763" s="219">
        <v>0</v>
      </c>
      <c r="G763" s="219">
        <v>0</v>
      </c>
      <c r="H763" s="219">
        <v>0</v>
      </c>
      <c r="I763" s="219">
        <v>0</v>
      </c>
      <c r="J763" s="219">
        <v>0</v>
      </c>
      <c r="K763" s="219">
        <v>0</v>
      </c>
      <c r="L763" s="219">
        <v>0</v>
      </c>
      <c r="M763" s="219">
        <v>0</v>
      </c>
      <c r="N763" s="219">
        <v>0</v>
      </c>
    </row>
    <row r="764" spans="1:15" s="1532" customFormat="1" x14ac:dyDescent="0.2">
      <c r="A764" s="1427"/>
      <c r="B764" s="132"/>
      <c r="C764" s="583" t="s">
        <v>608</v>
      </c>
      <c r="D764" s="610" t="s">
        <v>2272</v>
      </c>
      <c r="E764" s="1427"/>
      <c r="F764" s="219">
        <v>44.077014746757399</v>
      </c>
      <c r="G764" s="219">
        <v>40.42906262689786</v>
      </c>
      <c r="H764" s="219">
        <v>37.741292085780088</v>
      </c>
      <c r="I764" s="219">
        <v>35.6211159805842</v>
      </c>
      <c r="J764" s="219">
        <v>33.83152186399311</v>
      </c>
      <c r="K764" s="219">
        <v>35.540984024695895</v>
      </c>
      <c r="L764" s="219">
        <v>36.847626102537518</v>
      </c>
      <c r="M764" s="219">
        <v>38.605573683642056</v>
      </c>
      <c r="N764" s="219">
        <v>40.855824008961008</v>
      </c>
    </row>
    <row r="765" spans="1:15" s="1532" customFormat="1" x14ac:dyDescent="0.2">
      <c r="A765" s="1427"/>
      <c r="B765" s="132"/>
      <c r="C765" s="583" t="s">
        <v>608</v>
      </c>
      <c r="D765" s="17" t="s">
        <v>923</v>
      </c>
      <c r="E765" s="1427"/>
      <c r="F765" s="219">
        <v>0</v>
      </c>
      <c r="G765" s="219">
        <v>0</v>
      </c>
      <c r="H765" s="219">
        <v>0</v>
      </c>
      <c r="I765" s="219">
        <v>0</v>
      </c>
      <c r="J765" s="219">
        <v>0</v>
      </c>
      <c r="K765" s="219">
        <v>0</v>
      </c>
      <c r="L765" s="219">
        <v>0</v>
      </c>
      <c r="M765" s="219">
        <v>0</v>
      </c>
      <c r="N765" s="219">
        <v>0</v>
      </c>
    </row>
    <row r="766" spans="1:15" s="1532" customFormat="1" x14ac:dyDescent="0.2">
      <c r="A766" s="1427"/>
      <c r="B766" s="132"/>
      <c r="C766" s="583" t="s">
        <v>608</v>
      </c>
      <c r="D766" s="610" t="s">
        <v>612</v>
      </c>
      <c r="E766" s="1427"/>
      <c r="F766" s="219">
        <v>0</v>
      </c>
      <c r="G766" s="219">
        <v>0</v>
      </c>
      <c r="H766" s="219">
        <v>0</v>
      </c>
      <c r="I766" s="219">
        <v>0</v>
      </c>
      <c r="J766" s="219">
        <v>0</v>
      </c>
      <c r="K766" s="219">
        <v>0</v>
      </c>
      <c r="L766" s="219">
        <v>0</v>
      </c>
      <c r="M766" s="219">
        <v>0</v>
      </c>
      <c r="N766" s="219">
        <v>0</v>
      </c>
    </row>
    <row r="767" spans="1:15" s="1532" customFormat="1" x14ac:dyDescent="0.2">
      <c r="A767" s="1427"/>
      <c r="B767" s="132"/>
      <c r="C767" s="1426" t="s">
        <v>608</v>
      </c>
      <c r="D767" s="17" t="s">
        <v>2273</v>
      </c>
      <c r="E767" s="1427"/>
      <c r="F767" s="219">
        <v>0</v>
      </c>
      <c r="G767" s="219">
        <v>0</v>
      </c>
      <c r="H767" s="219">
        <v>0</v>
      </c>
      <c r="I767" s="219">
        <v>0</v>
      </c>
      <c r="J767" s="219">
        <v>0</v>
      </c>
      <c r="K767" s="219">
        <v>0</v>
      </c>
      <c r="L767" s="219">
        <v>0</v>
      </c>
      <c r="M767" s="219">
        <v>0</v>
      </c>
      <c r="N767" s="219">
        <v>0</v>
      </c>
    </row>
    <row r="768" spans="1:15" s="1532" customFormat="1" x14ac:dyDescent="0.2">
      <c r="A768" s="1427"/>
      <c r="B768" s="132"/>
      <c r="C768" s="583" t="s">
        <v>610</v>
      </c>
      <c r="D768" s="610" t="s">
        <v>638</v>
      </c>
      <c r="E768" s="1427"/>
      <c r="F768" s="219">
        <v>24.801073300992602</v>
      </c>
      <c r="G768" s="219">
        <v>40.56519953071362</v>
      </c>
      <c r="H768" s="219">
        <v>44.832220575295089</v>
      </c>
      <c r="I768" s="219">
        <v>46.356557305037171</v>
      </c>
      <c r="J768" s="219">
        <v>46.1230624218842</v>
      </c>
      <c r="K768" s="219">
        <v>44.337667639915132</v>
      </c>
      <c r="L768" s="219">
        <v>40.012743128975742</v>
      </c>
      <c r="M768" s="219">
        <v>34.343667283459347</v>
      </c>
      <c r="N768" s="219">
        <v>27.385386057490468</v>
      </c>
    </row>
    <row r="769" spans="1:15" s="1532" customFormat="1" x14ac:dyDescent="0.2">
      <c r="A769" s="1427"/>
      <c r="B769" s="132"/>
      <c r="C769" s="1426" t="s">
        <v>610</v>
      </c>
      <c r="D769" s="610" t="s">
        <v>639</v>
      </c>
      <c r="E769" s="1427"/>
      <c r="F769" s="219">
        <v>0</v>
      </c>
      <c r="G769" s="219">
        <v>0</v>
      </c>
      <c r="H769" s="219">
        <v>0</v>
      </c>
      <c r="I769" s="219">
        <v>0</v>
      </c>
      <c r="J769" s="219">
        <v>0</v>
      </c>
      <c r="K769" s="219">
        <v>0</v>
      </c>
      <c r="L769" s="219">
        <v>0</v>
      </c>
      <c r="M769" s="219">
        <v>0</v>
      </c>
      <c r="N769" s="219">
        <v>0</v>
      </c>
    </row>
    <row r="770" spans="1:15" s="1532" customFormat="1" x14ac:dyDescent="0.2">
      <c r="A770" s="1427"/>
      <c r="B770" s="132"/>
      <c r="C770" s="1426" t="s">
        <v>2267</v>
      </c>
      <c r="D770" s="2479" t="s">
        <v>2264</v>
      </c>
      <c r="E770" s="1427"/>
      <c r="F770" s="219">
        <v>0</v>
      </c>
      <c r="G770" s="219">
        <v>0</v>
      </c>
      <c r="H770" s="219">
        <v>0</v>
      </c>
      <c r="I770" s="219">
        <v>0</v>
      </c>
      <c r="J770" s="219">
        <v>0</v>
      </c>
      <c r="K770" s="219">
        <v>0</v>
      </c>
      <c r="L770" s="219">
        <v>0</v>
      </c>
      <c r="M770" s="219">
        <v>0</v>
      </c>
      <c r="N770" s="219">
        <v>0</v>
      </c>
    </row>
    <row r="771" spans="1:15" s="1532" customFormat="1" x14ac:dyDescent="0.2">
      <c r="A771" s="1427"/>
      <c r="B771" s="132"/>
      <c r="C771" s="1426" t="s">
        <v>2268</v>
      </c>
      <c r="D771" s="2479" t="s">
        <v>2266</v>
      </c>
      <c r="E771" s="1427"/>
      <c r="F771" s="219">
        <f t="array" ref="F771">F$544:F$556*SUMIFS(F$365:F$370, $C$365:$C$370, $C771:$C781, $D$365:$D$370, $D771:$D781)</f>
        <v>0</v>
      </c>
      <c r="G771" s="219">
        <f t="array" ref="G771">G$544:G$556*SUMIFS(G$365:G$370, $C$365:$C$370, $C771:$C781, $D$365:$D$370, $D771:$D781)</f>
        <v>0</v>
      </c>
      <c r="H771" s="219">
        <f t="array" ref="H771">H$544:H$556*SUMIFS(H$365:H$370, $C$365:$C$370, $C771:$C781, $D$365:$D$370, $D771:$D781)</f>
        <v>0</v>
      </c>
      <c r="I771" s="219">
        <f t="array" ref="I771">I$544:I$556*SUMIFS(I$365:I$370, $C$365:$C$370, $C771:$C781, $D$365:$D$370, $D771:$D781)</f>
        <v>0</v>
      </c>
      <c r="J771" s="219">
        <f t="array" ref="J771">J$544:J$556*SUMIFS(J$365:J$370, $C$365:$C$370, $C771:$C781, $D$365:$D$370, $D771:$D781)</f>
        <v>0</v>
      </c>
      <c r="K771" s="219">
        <f t="array" ref="K771">K$544:K$556*SUMIFS(K$365:K$370, $C$365:$C$370, $C771:$C781, $D$365:$D$370, $D771:$D781)</f>
        <v>0</v>
      </c>
      <c r="L771" s="219">
        <f t="array" ref="L771">L$544:L$556*SUMIFS(L$365:L$370, $C$365:$C$370, $C771:$C781, $D$365:$D$370, $D771:$D781)</f>
        <v>0</v>
      </c>
      <c r="M771" s="219">
        <f t="array" ref="M771">M$544:M$556*SUMIFS(M$365:M$370, $C$365:$C$370, $C771:$C781, $D$365:$D$370, $D771:$D781)</f>
        <v>0</v>
      </c>
      <c r="N771" s="219">
        <f t="array" ref="N771">N$544:N$556*SUMIFS(N$365:N$370, $C$365:$C$370, $C771:$C781, $D$365:$D$370, $D771:$D781)</f>
        <v>0</v>
      </c>
    </row>
    <row r="772" spans="1:15" s="1532" customFormat="1" x14ac:dyDescent="0.2">
      <c r="A772" s="1427"/>
      <c r="B772" s="132"/>
      <c r="C772" s="1426" t="s">
        <v>611</v>
      </c>
      <c r="D772" s="610" t="s">
        <v>611</v>
      </c>
      <c r="E772" s="1427"/>
      <c r="F772" s="219">
        <f t="array" ref="F772">F$544:F$556*SUMIFS(F$365:F$370, $C$365:$C$370, $C772:$C782, $D$365:$D$370, $D772:$D782)</f>
        <v>0</v>
      </c>
      <c r="G772" s="219">
        <f t="array" ref="G772">G$544:G$556*SUMIFS(G$365:G$370, $C$365:$C$370, $C772:$C782, $D$365:$D$370, $D772:$D782)</f>
        <v>0</v>
      </c>
      <c r="H772" s="219">
        <f t="array" ref="H772">H$544:H$556*SUMIFS(H$365:H$370, $C$365:$C$370, $C772:$C782, $D$365:$D$370, $D772:$D782)</f>
        <v>0</v>
      </c>
      <c r="I772" s="219">
        <f t="array" ref="I772">I$544:I$556*SUMIFS(I$365:I$370, $C$365:$C$370, $C772:$C782, $D$365:$D$370, $D772:$D782)</f>
        <v>0</v>
      </c>
      <c r="J772" s="219">
        <f t="array" ref="J772">J$544:J$556*SUMIFS(J$365:J$370, $C$365:$C$370, $C772:$C782, $D$365:$D$370, $D772:$D782)</f>
        <v>0</v>
      </c>
      <c r="K772" s="219">
        <f t="array" ref="K772">K$544:K$556*SUMIFS(K$365:K$370, $C$365:$C$370, $C772:$C782, $D$365:$D$370, $D772:$D782)</f>
        <v>0</v>
      </c>
      <c r="L772" s="219">
        <f t="array" ref="L772">L$544:L$556*SUMIFS(L$365:L$370, $C$365:$C$370, $C772:$C782, $D$365:$D$370, $D772:$D782)</f>
        <v>0</v>
      </c>
      <c r="M772" s="219">
        <f t="array" ref="M772">M$544:M$556*SUMIFS(M$365:M$370, $C$365:$C$370, $C772:$C782, $D$365:$D$370, $D772:$D782)</f>
        <v>0</v>
      </c>
      <c r="N772" s="219">
        <f t="array" ref="N772">N$544:N$556*SUMIFS(N$365:N$370, $C$365:$C$370, $C772:$C782, $D$365:$D$370, $D772:$D782)</f>
        <v>0</v>
      </c>
    </row>
    <row r="773" spans="1:15" s="1532" customFormat="1" ht="13.5" customHeight="1" x14ac:dyDescent="0.2">
      <c r="A773" s="1427"/>
      <c r="B773" s="132"/>
      <c r="C773" s="1426"/>
      <c r="D773" s="610"/>
      <c r="E773" s="1427"/>
      <c r="F773" s="1001">
        <f>SUM(F760:F772)</f>
        <v>108.20748297793506</v>
      </c>
      <c r="G773" s="1001">
        <f t="shared" ref="G773:N773" si="244">SUM(G760:G772)</f>
        <v>118.92067191369577</v>
      </c>
      <c r="H773" s="1001">
        <f t="shared" si="244"/>
        <v>118.5692719154053</v>
      </c>
      <c r="I773" s="1001">
        <f t="shared" si="244"/>
        <v>115.38159612070496</v>
      </c>
      <c r="J773" s="1001">
        <f t="shared" si="244"/>
        <v>110.12172909407397</v>
      </c>
      <c r="K773" s="1001">
        <f t="shared" si="244"/>
        <v>110.64256437185804</v>
      </c>
      <c r="L773" s="1001">
        <f t="shared" si="244"/>
        <v>107.40120119151992</v>
      </c>
      <c r="M773" s="1001">
        <f t="shared" si="244"/>
        <v>103.8121419379884</v>
      </c>
      <c r="N773" s="1001">
        <f t="shared" si="244"/>
        <v>99.455455361336249</v>
      </c>
    </row>
    <row r="774" spans="1:15" s="1532" customFormat="1" x14ac:dyDescent="0.2">
      <c r="A774" s="1427"/>
      <c r="B774" s="132"/>
      <c r="C774" s="1427"/>
      <c r="D774" s="1427"/>
      <c r="E774" s="1427"/>
      <c r="F774" s="234"/>
      <c r="G774" s="234"/>
      <c r="H774" s="234"/>
      <c r="I774" s="234"/>
      <c r="J774" s="234"/>
      <c r="K774" s="234"/>
      <c r="L774" s="234"/>
      <c r="M774" s="234"/>
      <c r="N774" s="234"/>
      <c r="O774" s="1427"/>
    </row>
    <row r="775" spans="1:15" s="1532" customFormat="1" x14ac:dyDescent="0.2">
      <c r="A775" s="1427"/>
      <c r="B775" s="132"/>
      <c r="C775" s="1427" t="s">
        <v>4</v>
      </c>
      <c r="D775" s="1427"/>
      <c r="E775" s="1427"/>
      <c r="F775" s="234" t="s">
        <v>34</v>
      </c>
      <c r="G775" s="656" t="str">
        <f>INDEX(Vectors[Description], MATCH(F775, Vectors[Code], 0))</f>
        <v>Electricity (delivered to end user)</v>
      </c>
      <c r="H775" s="234"/>
      <c r="I775" s="234"/>
      <c r="J775" s="234"/>
      <c r="K775" s="234"/>
      <c r="L775" s="234"/>
      <c r="M775" s="234"/>
      <c r="N775" s="234"/>
      <c r="O775" s="1427"/>
    </row>
    <row r="776" spans="1:15" s="1532" customFormat="1" x14ac:dyDescent="0.2">
      <c r="A776" s="1427"/>
      <c r="B776" s="611"/>
      <c r="C776" s="583" t="s">
        <v>592</v>
      </c>
      <c r="D776" s="1987"/>
      <c r="E776" s="1427"/>
      <c r="F776" s="234"/>
      <c r="G776" s="234"/>
      <c r="H776" s="234"/>
      <c r="I776" s="234"/>
      <c r="J776" s="234"/>
      <c r="K776" s="234"/>
      <c r="L776" s="234"/>
      <c r="M776" s="234"/>
      <c r="N776" s="1426" t="str">
        <f>Preferences.EnergyUnits</f>
        <v>TWh</v>
      </c>
      <c r="O776" s="1427"/>
    </row>
    <row r="777" spans="1:15" s="1532" customFormat="1" x14ac:dyDescent="0.2">
      <c r="A777" s="1427"/>
      <c r="B777" s="611"/>
      <c r="C777" s="583" t="s">
        <v>607</v>
      </c>
      <c r="D777" s="610" t="s">
        <v>2272</v>
      </c>
      <c r="E777" s="1427"/>
      <c r="F777" s="219">
        <f t="array" ref="F777:F787">F$544:F$556*SUMIFS(F$377:F$380, $C$377:$C$380, $C777:$C787, $D$377:$D$380, $D777:$D787)</f>
        <v>0</v>
      </c>
      <c r="G777" s="219">
        <f t="array" ref="G777:G787">G$544:G$556*SUMIFS(G$377:G$380, $C$377:$C$380, $C777:$C787, $D$377:$D$380, $D777:$D787)</f>
        <v>0</v>
      </c>
      <c r="H777" s="219">
        <f t="array" ref="H777:H787">H$544:H$556*SUMIFS(H$377:H$380, $C$377:$C$380, $C777:$C787, $D$377:$D$380, $D777:$D787)</f>
        <v>0</v>
      </c>
      <c r="I777" s="219">
        <f t="array" ref="I777:I787">I$544:I$556*SUMIFS(I$377:I$380, $C$377:$C$380, $C777:$C787, $D$377:$D$380, $D777:$D787)</f>
        <v>0</v>
      </c>
      <c r="J777" s="219">
        <f t="array" ref="J777:J787">J$544:J$556*SUMIFS(J$377:J$380, $C$377:$C$380, $C777:$C787, $D$377:$D$380, $D777:$D787)</f>
        <v>0</v>
      </c>
      <c r="K777" s="219">
        <f t="array" ref="K777:K787">K$544:K$556*SUMIFS(K$377:K$380, $C$377:$C$380, $C777:$C787, $D$377:$D$380, $D777:$D787)</f>
        <v>0</v>
      </c>
      <c r="L777" s="219">
        <f t="array" ref="L777:L787">L$544:L$556*SUMIFS(L$377:L$380, $C$377:$C$380, $C777:$C787, $D$377:$D$380, $D777:$D787)</f>
        <v>0</v>
      </c>
      <c r="M777" s="219">
        <f t="array" ref="M777:M787">M$544:M$556*SUMIFS(M$377:M$380, $C$377:$C$380, $C777:$C787, $D$377:$D$380, $D777:$D787)</f>
        <v>0</v>
      </c>
      <c r="N777" s="219">
        <f t="array" ref="N777:N787">N$544:N$556*SUMIFS(N$377:N$380, $C$377:$C$380, $C777:$C787, $D$377:$D$380, $D777:$D787)</f>
        <v>0</v>
      </c>
    </row>
    <row r="778" spans="1:15" s="1532" customFormat="1" x14ac:dyDescent="0.2">
      <c r="A778" s="1427"/>
      <c r="B778" s="132"/>
      <c r="C778" s="583" t="s">
        <v>607</v>
      </c>
      <c r="D778" s="17" t="s">
        <v>923</v>
      </c>
      <c r="E778" s="1427"/>
      <c r="F778" s="219">
        <v>0</v>
      </c>
      <c r="G778" s="219">
        <v>0.54261144563283559</v>
      </c>
      <c r="H778" s="219">
        <v>1.1976446085671621</v>
      </c>
      <c r="I778" s="219">
        <v>1.9025247667793315</v>
      </c>
      <c r="J778" s="219">
        <v>2.7009052880196154</v>
      </c>
      <c r="K778" s="219">
        <v>3.6212645505147525</v>
      </c>
      <c r="L778" s="219">
        <v>4.60452762246749</v>
      </c>
      <c r="M778" s="219">
        <v>5.8073864503217916</v>
      </c>
      <c r="N778" s="219">
        <v>7.2350604832851264</v>
      </c>
    </row>
    <row r="779" spans="1:15" s="1532" customFormat="1" x14ac:dyDescent="0.2">
      <c r="A779" s="1427"/>
      <c r="B779" s="132"/>
      <c r="C779" s="583" t="s">
        <v>607</v>
      </c>
      <c r="D779" s="610" t="s">
        <v>612</v>
      </c>
      <c r="E779" s="1427"/>
      <c r="F779" s="219">
        <v>0</v>
      </c>
      <c r="G779" s="219">
        <v>0.11153369899955512</v>
      </c>
      <c r="H779" s="219">
        <v>0.24223929140750242</v>
      </c>
      <c r="I779" s="219">
        <v>0.37199802184847874</v>
      </c>
      <c r="J779" s="219">
        <v>0.51083520537996763</v>
      </c>
      <c r="K779" s="219">
        <v>0.66272508468845659</v>
      </c>
      <c r="L779" s="219">
        <v>0.81670520520830125</v>
      </c>
      <c r="M779" s="219">
        <v>0.9960640781195671</v>
      </c>
      <c r="N779" s="219">
        <v>1.2053133728198082</v>
      </c>
    </row>
    <row r="780" spans="1:15" s="1532" customFormat="1" x14ac:dyDescent="0.2">
      <c r="A780" s="1427"/>
      <c r="B780" s="132"/>
      <c r="C780" s="583" t="s">
        <v>607</v>
      </c>
      <c r="D780" s="610" t="s">
        <v>2273</v>
      </c>
      <c r="E780" s="1427"/>
      <c r="F780" s="219">
        <v>0</v>
      </c>
      <c r="G780" s="219">
        <v>0</v>
      </c>
      <c r="H780" s="219">
        <v>0</v>
      </c>
      <c r="I780" s="219">
        <v>0</v>
      </c>
      <c r="J780" s="219">
        <v>0</v>
      </c>
      <c r="K780" s="219">
        <v>0</v>
      </c>
      <c r="L780" s="219">
        <v>0</v>
      </c>
      <c r="M780" s="219">
        <v>0</v>
      </c>
      <c r="N780" s="219">
        <v>0</v>
      </c>
    </row>
    <row r="781" spans="1:15" s="1532" customFormat="1" x14ac:dyDescent="0.2">
      <c r="A781" s="1427"/>
      <c r="B781" s="132"/>
      <c r="C781" s="583" t="s">
        <v>608</v>
      </c>
      <c r="D781" s="610" t="s">
        <v>2272</v>
      </c>
      <c r="E781" s="1427"/>
      <c r="F781" s="219">
        <v>0</v>
      </c>
      <c r="G781" s="219">
        <v>0</v>
      </c>
      <c r="H781" s="219">
        <v>0</v>
      </c>
      <c r="I781" s="219">
        <v>0</v>
      </c>
      <c r="J781" s="219">
        <v>0</v>
      </c>
      <c r="K781" s="219">
        <v>0</v>
      </c>
      <c r="L781" s="219">
        <v>0</v>
      </c>
      <c r="M781" s="219">
        <v>0</v>
      </c>
      <c r="N781" s="219">
        <v>0</v>
      </c>
    </row>
    <row r="782" spans="1:15" s="1427" customFormat="1" x14ac:dyDescent="0.2">
      <c r="B782" s="132"/>
      <c r="C782" s="583" t="s">
        <v>608</v>
      </c>
      <c r="D782" s="17" t="s">
        <v>923</v>
      </c>
      <c r="F782" s="219">
        <v>0</v>
      </c>
      <c r="G782" s="219">
        <v>0</v>
      </c>
      <c r="H782" s="219">
        <v>0</v>
      </c>
      <c r="I782" s="219">
        <v>0</v>
      </c>
      <c r="J782" s="219">
        <v>0</v>
      </c>
      <c r="K782" s="219">
        <v>0</v>
      </c>
      <c r="L782" s="219">
        <v>0</v>
      </c>
      <c r="M782" s="219">
        <v>0</v>
      </c>
      <c r="N782" s="219">
        <v>0</v>
      </c>
    </row>
    <row r="783" spans="1:15" s="1532" customFormat="1" x14ac:dyDescent="0.2">
      <c r="A783" s="1987"/>
      <c r="B783" s="1987"/>
      <c r="C783" s="583" t="s">
        <v>608</v>
      </c>
      <c r="D783" s="610" t="s">
        <v>612</v>
      </c>
      <c r="E783" s="1427"/>
      <c r="F783" s="219">
        <v>0</v>
      </c>
      <c r="G783" s="219">
        <v>0.10592575716879146</v>
      </c>
      <c r="H783" s="219">
        <v>0.20849951731657995</v>
      </c>
      <c r="I783" s="219">
        <v>0.31028867164741641</v>
      </c>
      <c r="J783" s="219">
        <v>0.41158722262043107</v>
      </c>
      <c r="K783" s="219">
        <v>0.56391125883019266</v>
      </c>
      <c r="L783" s="219">
        <v>0.72848385101991087</v>
      </c>
      <c r="M783" s="219">
        <v>0.91940702363924753</v>
      </c>
      <c r="N783" s="219">
        <v>1.1412904702575137</v>
      </c>
    </row>
    <row r="784" spans="1:15" s="1532" customFormat="1" x14ac:dyDescent="0.2">
      <c r="A784" s="1987"/>
      <c r="B784" s="1987"/>
      <c r="C784" s="1426" t="s">
        <v>608</v>
      </c>
      <c r="D784" s="17" t="s">
        <v>2273</v>
      </c>
      <c r="E784" s="1427"/>
      <c r="F784" s="219">
        <v>0</v>
      </c>
      <c r="G784" s="219">
        <v>0</v>
      </c>
      <c r="H784" s="219">
        <v>0</v>
      </c>
      <c r="I784" s="219">
        <v>0</v>
      </c>
      <c r="J784" s="219">
        <v>0</v>
      </c>
      <c r="K784" s="219">
        <v>0</v>
      </c>
      <c r="L784" s="219">
        <v>0</v>
      </c>
      <c r="M784" s="219">
        <v>0</v>
      </c>
      <c r="N784" s="219">
        <v>0</v>
      </c>
    </row>
    <row r="785" spans="1:15" s="1532" customFormat="1" x14ac:dyDescent="0.2">
      <c r="A785" s="1987"/>
      <c r="B785" s="1987"/>
      <c r="C785" s="583" t="s">
        <v>610</v>
      </c>
      <c r="D785" s="610" t="s">
        <v>638</v>
      </c>
      <c r="E785" s="1427"/>
      <c r="F785" s="219">
        <v>0</v>
      </c>
      <c r="G785" s="219">
        <v>0</v>
      </c>
      <c r="H785" s="219">
        <v>0</v>
      </c>
      <c r="I785" s="219">
        <v>0</v>
      </c>
      <c r="J785" s="219">
        <v>0</v>
      </c>
      <c r="K785" s="219">
        <v>0</v>
      </c>
      <c r="L785" s="219">
        <v>0</v>
      </c>
      <c r="M785" s="219">
        <v>0</v>
      </c>
      <c r="N785" s="219">
        <v>0</v>
      </c>
    </row>
    <row r="786" spans="1:15" s="1532" customFormat="1" x14ac:dyDescent="0.2">
      <c r="A786" s="1987"/>
      <c r="B786" s="1987"/>
      <c r="C786" s="1426" t="s">
        <v>610</v>
      </c>
      <c r="D786" s="610" t="s">
        <v>639</v>
      </c>
      <c r="E786" s="1427"/>
      <c r="F786" s="219">
        <v>0</v>
      </c>
      <c r="G786" s="219">
        <v>0</v>
      </c>
      <c r="H786" s="219">
        <v>1.5395786013555366</v>
      </c>
      <c r="I786" s="219">
        <v>3.638777679398614</v>
      </c>
      <c r="J786" s="219">
        <v>6.3157537809831954</v>
      </c>
      <c r="K786" s="219">
        <v>9.6293859270502704</v>
      </c>
      <c r="L786" s="219">
        <v>13.321615377875304</v>
      </c>
      <c r="M786" s="219">
        <v>17.576868239349203</v>
      </c>
      <c r="N786" s="219">
        <v>22.418024763389319</v>
      </c>
    </row>
    <row r="787" spans="1:15" s="1532" customFormat="1" x14ac:dyDescent="0.2">
      <c r="A787" s="1987"/>
      <c r="B787" s="1987"/>
      <c r="C787" s="1426" t="s">
        <v>611</v>
      </c>
      <c r="D787" s="610" t="s">
        <v>611</v>
      </c>
      <c r="E787" s="1427"/>
      <c r="F787" s="219">
        <v>0</v>
      </c>
      <c r="G787" s="219">
        <v>0</v>
      </c>
      <c r="H787" s="219">
        <v>0</v>
      </c>
      <c r="I787" s="219">
        <v>0</v>
      </c>
      <c r="J787" s="219">
        <v>0</v>
      </c>
      <c r="K787" s="219">
        <v>0</v>
      </c>
      <c r="L787" s="219">
        <v>0</v>
      </c>
      <c r="M787" s="219">
        <v>0</v>
      </c>
      <c r="N787" s="219">
        <v>0</v>
      </c>
    </row>
    <row r="788" spans="1:15" s="1532" customFormat="1" x14ac:dyDescent="0.2">
      <c r="A788" s="1987"/>
      <c r="B788" s="1987"/>
      <c r="C788" s="1426"/>
      <c r="D788" s="610"/>
      <c r="E788" s="1427"/>
      <c r="F788" s="1001">
        <f t="shared" ref="F788:N788" si="245">SUM(F777:F787)</f>
        <v>0</v>
      </c>
      <c r="G788" s="1001">
        <f t="shared" si="245"/>
        <v>0.7600709018011822</v>
      </c>
      <c r="H788" s="1001">
        <f t="shared" si="245"/>
        <v>3.1879620186467812</v>
      </c>
      <c r="I788" s="1001">
        <f t="shared" si="245"/>
        <v>6.223589139673841</v>
      </c>
      <c r="J788" s="1001">
        <f t="shared" si="245"/>
        <v>9.93908149700321</v>
      </c>
      <c r="K788" s="1001">
        <f t="shared" si="245"/>
        <v>14.477286821083673</v>
      </c>
      <c r="L788" s="1001">
        <f t="shared" si="245"/>
        <v>19.471332056571008</v>
      </c>
      <c r="M788" s="1001">
        <f t="shared" si="245"/>
        <v>25.299725791429807</v>
      </c>
      <c r="N788" s="1001">
        <f t="shared" si="245"/>
        <v>31.999689089751769</v>
      </c>
    </row>
    <row r="789" spans="1:15" s="1532" customFormat="1" x14ac:dyDescent="0.2">
      <c r="A789" s="1987"/>
      <c r="B789" s="1987"/>
      <c r="C789" s="1987"/>
      <c r="D789" s="1987"/>
      <c r="E789" s="1987"/>
      <c r="G789" s="1987"/>
      <c r="H789" s="1987"/>
      <c r="I789" s="1987"/>
      <c r="J789" s="1987"/>
      <c r="K789" s="1987"/>
      <c r="L789" s="1987"/>
      <c r="M789" s="1987"/>
      <c r="N789" s="1987"/>
      <c r="O789" s="1987"/>
    </row>
    <row r="790" spans="1:15" s="1532" customFormat="1" x14ac:dyDescent="0.2">
      <c r="A790" s="1987"/>
      <c r="B790" s="1987"/>
      <c r="C790" s="1427" t="s">
        <v>2286</v>
      </c>
      <c r="D790" s="1427"/>
      <c r="E790" s="1427"/>
      <c r="F790" s="234" t="s">
        <v>39</v>
      </c>
      <c r="G790" s="656" t="str">
        <f>INDEX(Vectors[Description], MATCH(F790, Vectors[Code], 0))</f>
        <v>Gaseous hydrocarbons</v>
      </c>
      <c r="H790" s="234"/>
      <c r="I790" s="234"/>
      <c r="J790" s="234"/>
      <c r="K790" s="234"/>
      <c r="L790" s="234"/>
      <c r="M790" s="234"/>
      <c r="N790" s="234"/>
      <c r="O790" s="1987"/>
    </row>
    <row r="791" spans="1:15" s="1532" customFormat="1" x14ac:dyDescent="0.2">
      <c r="A791" s="1427"/>
      <c r="B791" s="132"/>
      <c r="C791" s="583" t="s">
        <v>592</v>
      </c>
      <c r="D791" s="1987"/>
      <c r="E791" s="1427"/>
      <c r="G791" s="234"/>
      <c r="H791" s="234"/>
      <c r="I791" s="234"/>
      <c r="J791" s="234"/>
      <c r="K791" s="234"/>
      <c r="L791" s="234"/>
      <c r="M791" s="234"/>
      <c r="N791" s="1426" t="str">
        <f>Preferences.EnergyUnits</f>
        <v>TWh</v>
      </c>
    </row>
    <row r="792" spans="1:15" s="1532" customFormat="1" x14ac:dyDescent="0.2">
      <c r="A792" s="1427"/>
      <c r="B792" s="132"/>
      <c r="C792" s="583" t="s">
        <v>607</v>
      </c>
      <c r="D792" s="610" t="s">
        <v>2272</v>
      </c>
      <c r="E792" s="1427"/>
      <c r="F792" s="219">
        <f t="array" ref="F792:N802">F$544:N$556*SUMIFS(N$385:N$386, $C$385:$C$386, $C792:$C802, $D$385:$D$386, $D792:$D802)</f>
        <v>0</v>
      </c>
      <c r="G792" s="219">
        <v>0</v>
      </c>
      <c r="H792" s="219">
        <v>0</v>
      </c>
      <c r="I792" s="219">
        <v>0</v>
      </c>
      <c r="J792" s="219">
        <v>0</v>
      </c>
      <c r="K792" s="219">
        <v>0</v>
      </c>
      <c r="L792" s="219">
        <v>0</v>
      </c>
      <c r="M792" s="219">
        <v>0</v>
      </c>
      <c r="N792" s="219">
        <v>0</v>
      </c>
    </row>
    <row r="793" spans="1:15" s="1532" customFormat="1" x14ac:dyDescent="0.2">
      <c r="A793" s="1987"/>
      <c r="B793" s="132"/>
      <c r="C793" s="583" t="s">
        <v>607</v>
      </c>
      <c r="D793" s="17" t="s">
        <v>923</v>
      </c>
      <c r="E793" s="1427"/>
      <c r="F793" s="219">
        <v>0</v>
      </c>
      <c r="G793" s="219">
        <v>0</v>
      </c>
      <c r="H793" s="219">
        <v>0</v>
      </c>
      <c r="I793" s="219">
        <v>0</v>
      </c>
      <c r="J793" s="219">
        <v>0</v>
      </c>
      <c r="K793" s="219">
        <v>0</v>
      </c>
      <c r="L793" s="219">
        <v>0</v>
      </c>
      <c r="M793" s="219">
        <v>0</v>
      </c>
      <c r="N793" s="219">
        <v>0</v>
      </c>
    </row>
    <row r="794" spans="1:15" s="1532" customFormat="1" x14ac:dyDescent="0.2">
      <c r="A794" s="1987"/>
      <c r="B794" s="132"/>
      <c r="C794" s="583" t="s">
        <v>607</v>
      </c>
      <c r="D794" s="610" t="s">
        <v>612</v>
      </c>
      <c r="E794" s="1427"/>
      <c r="F794" s="219">
        <v>0</v>
      </c>
      <c r="G794" s="219">
        <v>0</v>
      </c>
      <c r="H794" s="219">
        <v>0</v>
      </c>
      <c r="I794" s="219">
        <v>0</v>
      </c>
      <c r="J794" s="219">
        <v>0</v>
      </c>
      <c r="K794" s="219">
        <v>0</v>
      </c>
      <c r="L794" s="219">
        <v>0</v>
      </c>
      <c r="M794" s="219">
        <v>0</v>
      </c>
      <c r="N794" s="219">
        <v>0</v>
      </c>
    </row>
    <row r="795" spans="1:15" s="82" customFormat="1" x14ac:dyDescent="0.2">
      <c r="A795" s="1987"/>
      <c r="B795" s="132"/>
      <c r="C795" s="583" t="s">
        <v>607</v>
      </c>
      <c r="D795" s="610" t="s">
        <v>2273</v>
      </c>
      <c r="E795" s="1427"/>
      <c r="F795" s="219">
        <v>0</v>
      </c>
      <c r="G795" s="219">
        <v>0.73665777515226172</v>
      </c>
      <c r="H795" s="219">
        <v>1.6002022673789027</v>
      </c>
      <c r="I795" s="219">
        <v>2.5911825000943334</v>
      </c>
      <c r="J795" s="219">
        <v>3.7061854968707633</v>
      </c>
      <c r="K795" s="219">
        <v>4.9369192451988111</v>
      </c>
      <c r="L795" s="219">
        <v>6.1178059273298055</v>
      </c>
      <c r="M795" s="219">
        <v>7.3154633126593236</v>
      </c>
      <c r="N795" s="219">
        <v>8.4996536483723801</v>
      </c>
    </row>
    <row r="796" spans="1:15" s="82" customFormat="1" x14ac:dyDescent="0.2">
      <c r="A796" s="1987"/>
      <c r="B796" s="132"/>
      <c r="C796" s="583" t="s">
        <v>608</v>
      </c>
      <c r="D796" s="610" t="s">
        <v>2272</v>
      </c>
      <c r="E796" s="1427"/>
      <c r="F796" s="219">
        <v>0</v>
      </c>
      <c r="G796" s="219">
        <v>0</v>
      </c>
      <c r="H796" s="219">
        <v>0</v>
      </c>
      <c r="I796" s="219">
        <v>0</v>
      </c>
      <c r="J796" s="219">
        <v>0</v>
      </c>
      <c r="K796" s="219">
        <v>0</v>
      </c>
      <c r="L796" s="219">
        <v>0</v>
      </c>
      <c r="M796" s="219">
        <v>0</v>
      </c>
      <c r="N796" s="219">
        <v>0</v>
      </c>
    </row>
    <row r="797" spans="1:15" s="82" customFormat="1" x14ac:dyDescent="0.2">
      <c r="A797" s="1987"/>
      <c r="B797" s="132"/>
      <c r="C797" s="583" t="s">
        <v>608</v>
      </c>
      <c r="D797" s="17" t="s">
        <v>923</v>
      </c>
      <c r="E797" s="1427"/>
      <c r="F797" s="219">
        <v>0</v>
      </c>
      <c r="G797" s="219">
        <v>0</v>
      </c>
      <c r="H797" s="219">
        <v>0</v>
      </c>
      <c r="I797" s="219">
        <v>0</v>
      </c>
      <c r="J797" s="219">
        <v>0</v>
      </c>
      <c r="K797" s="219">
        <v>0</v>
      </c>
      <c r="L797" s="219">
        <v>0</v>
      </c>
      <c r="M797" s="219">
        <v>0</v>
      </c>
      <c r="N797" s="219">
        <v>0</v>
      </c>
    </row>
    <row r="798" spans="1:15" s="82" customFormat="1" x14ac:dyDescent="0.2">
      <c r="A798" s="1987"/>
      <c r="B798" s="132"/>
      <c r="C798" s="583" t="s">
        <v>608</v>
      </c>
      <c r="D798" s="610" t="s">
        <v>612</v>
      </c>
      <c r="E798" s="1427"/>
      <c r="F798" s="219">
        <v>0</v>
      </c>
      <c r="G798" s="219">
        <v>0</v>
      </c>
      <c r="H798" s="219">
        <v>0</v>
      </c>
      <c r="I798" s="219">
        <v>0</v>
      </c>
      <c r="J798" s="219">
        <v>0</v>
      </c>
      <c r="K798" s="219">
        <v>0</v>
      </c>
      <c r="L798" s="219">
        <v>0</v>
      </c>
      <c r="M798" s="219">
        <v>0</v>
      </c>
      <c r="N798" s="219">
        <v>0</v>
      </c>
    </row>
    <row r="799" spans="1:15" s="1427" customFormat="1" x14ac:dyDescent="0.2">
      <c r="A799" s="1987"/>
      <c r="B799" s="132"/>
      <c r="C799" s="1426" t="s">
        <v>608</v>
      </c>
      <c r="D799" s="17" t="s">
        <v>2273</v>
      </c>
      <c r="F799" s="219">
        <v>0</v>
      </c>
      <c r="G799" s="219">
        <v>0.54215932760914054</v>
      </c>
      <c r="H799" s="219">
        <v>1.2768145439575631</v>
      </c>
      <c r="I799" s="219">
        <v>2.2415768827217177</v>
      </c>
      <c r="J799" s="219">
        <v>3.4770545148348542</v>
      </c>
      <c r="K799" s="219">
        <v>5.0258866440966647</v>
      </c>
      <c r="L799" s="219">
        <v>6.7638004593494774</v>
      </c>
      <c r="M799" s="219">
        <v>8.7936975032459337</v>
      </c>
      <c r="N799" s="219">
        <v>11.125060058778114</v>
      </c>
    </row>
    <row r="800" spans="1:15" s="82" customFormat="1" x14ac:dyDescent="0.2">
      <c r="A800" s="1987"/>
      <c r="B800" s="132"/>
      <c r="C800" s="583" t="s">
        <v>610</v>
      </c>
      <c r="D800" s="610" t="s">
        <v>638</v>
      </c>
      <c r="E800" s="1427"/>
      <c r="F800" s="219">
        <v>0</v>
      </c>
      <c r="G800" s="219">
        <v>0</v>
      </c>
      <c r="H800" s="219">
        <v>0</v>
      </c>
      <c r="I800" s="219">
        <v>0</v>
      </c>
      <c r="J800" s="219">
        <v>0</v>
      </c>
      <c r="K800" s="219">
        <v>0</v>
      </c>
      <c r="L800" s="219">
        <v>0</v>
      </c>
      <c r="M800" s="219">
        <v>0</v>
      </c>
      <c r="N800" s="219">
        <v>0</v>
      </c>
    </row>
    <row r="801" spans="1:15" s="82" customFormat="1" x14ac:dyDescent="0.2">
      <c r="A801" s="1987"/>
      <c r="B801" s="132"/>
      <c r="C801" s="1426" t="s">
        <v>610</v>
      </c>
      <c r="D801" s="610" t="s">
        <v>639</v>
      </c>
      <c r="E801" s="1427"/>
      <c r="F801" s="219">
        <v>0</v>
      </c>
      <c r="G801" s="219">
        <v>0</v>
      </c>
      <c r="H801" s="219">
        <v>0</v>
      </c>
      <c r="I801" s="219">
        <v>0</v>
      </c>
      <c r="J801" s="219">
        <v>0</v>
      </c>
      <c r="K801" s="219">
        <v>0</v>
      </c>
      <c r="L801" s="219">
        <v>0</v>
      </c>
      <c r="M801" s="219">
        <v>0</v>
      </c>
      <c r="N801" s="219">
        <v>0</v>
      </c>
    </row>
    <row r="802" spans="1:15" s="82" customFormat="1" x14ac:dyDescent="0.2">
      <c r="A802" s="1987"/>
      <c r="B802" s="132"/>
      <c r="C802" s="1426" t="s">
        <v>611</v>
      </c>
      <c r="D802" s="610" t="s">
        <v>611</v>
      </c>
      <c r="E802" s="1427"/>
      <c r="F802" s="219">
        <v>0</v>
      </c>
      <c r="G802" s="219">
        <v>0</v>
      </c>
      <c r="H802" s="219">
        <v>0</v>
      </c>
      <c r="I802" s="219">
        <v>0</v>
      </c>
      <c r="J802" s="219">
        <v>0</v>
      </c>
      <c r="K802" s="219">
        <v>0</v>
      </c>
      <c r="L802" s="219">
        <v>0</v>
      </c>
      <c r="M802" s="219">
        <v>0</v>
      </c>
      <c r="N802" s="219">
        <v>0</v>
      </c>
    </row>
    <row r="803" spans="1:15" s="82" customFormat="1" x14ac:dyDescent="0.2">
      <c r="A803" s="1987"/>
      <c r="B803" s="132"/>
      <c r="C803" s="1426"/>
      <c r="D803" s="610"/>
      <c r="E803" s="1427"/>
      <c r="F803" s="1001"/>
      <c r="G803" s="1001"/>
      <c r="H803" s="1001"/>
      <c r="I803" s="1001"/>
      <c r="J803" s="1001"/>
      <c r="K803" s="1001"/>
      <c r="L803" s="1001"/>
      <c r="M803" s="1001"/>
      <c r="N803" s="1001"/>
      <c r="O803" s="1987"/>
    </row>
    <row r="804" spans="1:15" s="82" customFormat="1" x14ac:dyDescent="0.2">
      <c r="A804" s="1987"/>
      <c r="B804" s="132"/>
      <c r="C804" s="1426"/>
      <c r="D804" s="610"/>
      <c r="E804" s="1427"/>
      <c r="F804" s="997"/>
      <c r="G804" s="997"/>
      <c r="H804" s="997"/>
      <c r="I804" s="997"/>
      <c r="J804" s="997"/>
      <c r="K804" s="997"/>
      <c r="L804" s="997"/>
      <c r="M804" s="997"/>
      <c r="N804" s="997"/>
      <c r="O804" s="1987"/>
    </row>
    <row r="805" spans="1:15" s="82" customFormat="1" x14ac:dyDescent="0.2">
      <c r="A805" s="1987"/>
      <c r="B805" s="132">
        <v>5</v>
      </c>
      <c r="C805" s="518" t="s">
        <v>973</v>
      </c>
      <c r="D805" s="610"/>
      <c r="E805" s="1427"/>
      <c r="F805" s="608"/>
      <c r="G805" s="608"/>
      <c r="H805" s="608"/>
      <c r="I805" s="608"/>
      <c r="J805" s="608"/>
      <c r="K805" s="608"/>
      <c r="L805" s="608"/>
      <c r="M805" s="608"/>
      <c r="N805" s="608"/>
      <c r="O805" s="1987"/>
    </row>
    <row r="806" spans="1:15" s="82" customFormat="1" x14ac:dyDescent="0.2">
      <c r="A806" s="1987"/>
      <c r="B806" s="132"/>
      <c r="C806" s="583"/>
      <c r="D806" s="610"/>
      <c r="E806" s="1427"/>
      <c r="F806" s="608"/>
      <c r="G806" s="608"/>
      <c r="H806" s="608"/>
      <c r="I806" s="608"/>
      <c r="J806" s="608"/>
      <c r="K806" s="608"/>
      <c r="L806" s="608"/>
      <c r="M806" s="608"/>
      <c r="N806" s="1426" t="str">
        <f>Preferences.EnergyUnits</f>
        <v>TWh</v>
      </c>
      <c r="O806" s="1987"/>
    </row>
    <row r="807" spans="1:15" s="82" customFormat="1" x14ac:dyDescent="0.2">
      <c r="A807" s="1987"/>
      <c r="B807" s="132"/>
      <c r="C807" s="1987" t="s">
        <v>18</v>
      </c>
      <c r="D807" s="20"/>
      <c r="E807" s="1427"/>
      <c r="F807" s="219">
        <f t="shared" ref="F807:N807" si="246">SUM(F$760:F$767)+SUM(F$777:F$784)+SUM(F$792:F$799)</f>
        <v>83.406409676942459</v>
      </c>
      <c r="G807" s="219">
        <f t="shared" si="246"/>
        <v>80.394360387544751</v>
      </c>
      <c r="H807" s="219">
        <f t="shared" si="246"/>
        <v>78.262451568737916</v>
      </c>
      <c r="I807" s="219">
        <f t="shared" si="246"/>
        <v>76.442609658759068</v>
      </c>
      <c r="J807" s="219">
        <f t="shared" si="246"/>
        <v>74.805234399915406</v>
      </c>
      <c r="K807" s="219">
        <f t="shared" si="246"/>
        <v>81.1156035152718</v>
      </c>
      <c r="L807" s="219">
        <f t="shared" si="246"/>
        <v>86.419781127919151</v>
      </c>
      <c r="M807" s="219">
        <f t="shared" si="246"/>
        <v>93.300493022514914</v>
      </c>
      <c r="N807" s="219">
        <f t="shared" si="246"/>
        <v>101.27644733735872</v>
      </c>
    </row>
    <row r="808" spans="1:15" s="82" customFormat="1" x14ac:dyDescent="0.2">
      <c r="A808" s="1987"/>
      <c r="B808" s="132"/>
      <c r="C808" s="1987" t="s">
        <v>19</v>
      </c>
      <c r="D808" s="20"/>
      <c r="E808" s="1427"/>
      <c r="F808" s="219">
        <f t="shared" ref="F808:N808" si="247">SUM(F$768:F$769)+SUM(F$785:F$786)+SUM(F$800:F$801)</f>
        <v>24.801073300992602</v>
      </c>
      <c r="G808" s="219">
        <f t="shared" si="247"/>
        <v>40.56519953071362</v>
      </c>
      <c r="H808" s="219">
        <f t="shared" si="247"/>
        <v>46.371799176650626</v>
      </c>
      <c r="I808" s="219">
        <f t="shared" si="247"/>
        <v>49.995334984435786</v>
      </c>
      <c r="J808" s="219">
        <f t="shared" si="247"/>
        <v>52.438816202867393</v>
      </c>
      <c r="K808" s="219">
        <f t="shared" si="247"/>
        <v>53.967053566965404</v>
      </c>
      <c r="L808" s="219">
        <f t="shared" si="247"/>
        <v>53.334358506851046</v>
      </c>
      <c r="M808" s="219">
        <f t="shared" si="247"/>
        <v>51.920535522808549</v>
      </c>
      <c r="N808" s="219">
        <f t="shared" si="247"/>
        <v>49.80341082087979</v>
      </c>
    </row>
    <row r="809" spans="1:15" s="82" customFormat="1" x14ac:dyDescent="0.2">
      <c r="A809" s="1987"/>
      <c r="B809" s="132"/>
      <c r="C809" s="1987" t="s">
        <v>113</v>
      </c>
      <c r="D809" s="20"/>
      <c r="E809" s="1427"/>
      <c r="F809" s="219">
        <f t="shared" ref="F809:N809" si="248">F$770+F$787+F$802</f>
        <v>0</v>
      </c>
      <c r="G809" s="219">
        <f t="shared" si="248"/>
        <v>0</v>
      </c>
      <c r="H809" s="219">
        <f t="shared" si="248"/>
        <v>0</v>
      </c>
      <c r="I809" s="219">
        <f t="shared" si="248"/>
        <v>0</v>
      </c>
      <c r="J809" s="219">
        <f t="shared" si="248"/>
        <v>0</v>
      </c>
      <c r="K809" s="219">
        <f t="shared" si="248"/>
        <v>0</v>
      </c>
      <c r="L809" s="219">
        <f t="shared" si="248"/>
        <v>0</v>
      </c>
      <c r="M809" s="219">
        <f t="shared" si="248"/>
        <v>0</v>
      </c>
      <c r="N809" s="219">
        <f t="shared" si="248"/>
        <v>0</v>
      </c>
    </row>
    <row r="810" spans="1:15" s="82" customFormat="1" x14ac:dyDescent="0.2">
      <c r="A810" s="1987"/>
      <c r="B810" s="1987"/>
      <c r="C810" s="20"/>
      <c r="D810" s="20"/>
      <c r="E810" s="1426"/>
      <c r="F810" s="234">
        <f t="shared" ref="F810:N810" si="249">SUM(F807:F809)</f>
        <v>108.20748297793506</v>
      </c>
      <c r="G810" s="234">
        <f t="shared" si="249"/>
        <v>120.95955991825838</v>
      </c>
      <c r="H810" s="234">
        <f t="shared" si="249"/>
        <v>124.63425074538854</v>
      </c>
      <c r="I810" s="234">
        <f t="shared" si="249"/>
        <v>126.43794464319485</v>
      </c>
      <c r="J810" s="234">
        <f t="shared" si="249"/>
        <v>127.24405060278281</v>
      </c>
      <c r="K810" s="234">
        <f t="shared" si="249"/>
        <v>135.0826570822372</v>
      </c>
      <c r="L810" s="234">
        <f t="shared" si="249"/>
        <v>139.75413963477018</v>
      </c>
      <c r="M810" s="234">
        <f t="shared" si="249"/>
        <v>145.22102854532346</v>
      </c>
      <c r="N810" s="234">
        <f t="shared" si="249"/>
        <v>151.07985815823849</v>
      </c>
    </row>
    <row r="811" spans="1:15" s="1427" customFormat="1" x14ac:dyDescent="0.2">
      <c r="A811" s="1987"/>
      <c r="B811" s="1987"/>
      <c r="C811" s="20"/>
      <c r="D811" s="20"/>
      <c r="E811" s="1426"/>
      <c r="F811" s="608"/>
      <c r="G811" s="608"/>
      <c r="H811" s="608"/>
      <c r="I811" s="608"/>
      <c r="J811" s="608"/>
      <c r="K811" s="608"/>
      <c r="L811" s="608"/>
      <c r="M811" s="608"/>
      <c r="N811" s="608"/>
    </row>
    <row r="812" spans="1:15" s="82" customFormat="1" x14ac:dyDescent="0.2">
      <c r="A812" s="1987"/>
      <c r="B812" s="1987"/>
      <c r="C812" s="1427" t="s">
        <v>494</v>
      </c>
      <c r="D812" s="84"/>
      <c r="E812" s="84"/>
      <c r="F812" s="114"/>
      <c r="G812" s="114"/>
      <c r="H812" s="114"/>
      <c r="I812" s="114"/>
      <c r="J812" s="114"/>
      <c r="K812" s="114"/>
      <c r="L812" s="114"/>
      <c r="M812" s="114"/>
      <c r="N812" s="114"/>
    </row>
    <row r="813" spans="1:15" s="82" customFormat="1" ht="14.25" x14ac:dyDescent="0.2">
      <c r="A813" s="1987"/>
      <c r="B813" s="1427"/>
      <c r="C813" s="1987" t="s">
        <v>473</v>
      </c>
      <c r="D813" s="84"/>
      <c r="E813" s="84" t="s">
        <v>493</v>
      </c>
      <c r="F813" s="136">
        <f>F$773*INDEX(EF[CO2], MATCH("V.04", EF[Vector], 0))</f>
        <v>27.051870744483764</v>
      </c>
      <c r="G813" s="136">
        <f>G$773*INDEX(EF[CO2], MATCH("V.04", EF[Vector], 0))</f>
        <v>29.730167978423943</v>
      </c>
      <c r="H813" s="136">
        <f>H$773*INDEX(EF[CO2], MATCH("V.04", EF[Vector], 0))</f>
        <v>29.642317978851324</v>
      </c>
      <c r="I813" s="136">
        <f>I$773*INDEX(EF[CO2], MATCH("V.04", EF[Vector], 0))</f>
        <v>28.845399030176239</v>
      </c>
      <c r="J813" s="136">
        <f>J$773*INDEX(EF[CO2], MATCH("V.04", EF[Vector], 0))</f>
        <v>27.530432273518493</v>
      </c>
      <c r="K813" s="136">
        <f>K$773*INDEX(EF[CO2], MATCH("V.04", EF[Vector], 0))</f>
        <v>27.660641092964511</v>
      </c>
      <c r="L813" s="136">
        <f>L$773*INDEX(EF[CO2], MATCH("V.04", EF[Vector], 0))</f>
        <v>26.850300297879979</v>
      </c>
      <c r="M813" s="136">
        <f>M$773*INDEX(EF[CO2], MATCH("V.04", EF[Vector], 0))</f>
        <v>25.9530354844971</v>
      </c>
      <c r="N813" s="136">
        <f>N$773*INDEX(EF[CO2], MATCH("V.04", EF[Vector], 0))</f>
        <v>24.863863840334062</v>
      </c>
    </row>
    <row r="814" spans="1:15" s="82" customFormat="1" ht="14.25" x14ac:dyDescent="0.2">
      <c r="A814" s="1987"/>
      <c r="B814" s="1427"/>
      <c r="C814" s="1987" t="s">
        <v>474</v>
      </c>
      <c r="D814" s="84"/>
      <c r="E814" s="84" t="s">
        <v>493</v>
      </c>
      <c r="F814" s="136">
        <f>F$773*INDEX(EF[CH4], MATCH("V.04", EF[Vector], 0))</f>
        <v>3.3679472282827985E-2</v>
      </c>
      <c r="G814" s="136">
        <f>G$773*INDEX(EF[CH4], MATCH("V.04", EF[Vector], 0))</f>
        <v>3.7013941765832475E-2</v>
      </c>
      <c r="H814" s="136">
        <f>H$773*INDEX(EF[CH4], MATCH("V.04", EF[Vector], 0))</f>
        <v>3.6904568863174503E-2</v>
      </c>
      <c r="I814" s="136">
        <f>I$773*INDEX(EF[CH4], MATCH("V.04", EF[Vector], 0))</f>
        <v>3.5912407918111733E-2</v>
      </c>
      <c r="J814" s="136">
        <f>J$773*INDEX(EF[CH4], MATCH("V.04", EF[Vector], 0))</f>
        <v>3.4275279497234391E-2</v>
      </c>
      <c r="K814" s="136">
        <f>K$773*INDEX(EF[CH4], MATCH("V.04", EF[Vector], 0))</f>
        <v>3.4437388963412661E-2</v>
      </c>
      <c r="L814" s="136">
        <f>L$773*INDEX(EF[CH4], MATCH("V.04", EF[Vector], 0))</f>
        <v>3.342851787255624E-2</v>
      </c>
      <c r="M814" s="136">
        <f>M$773*INDEX(EF[CH4], MATCH("V.04", EF[Vector], 0))</f>
        <v>3.2311426722072767E-2</v>
      </c>
      <c r="N814" s="136">
        <f>N$773*INDEX(EF[CH4], MATCH("V.04", EF[Vector], 0))</f>
        <v>3.0955412324868415E-2</v>
      </c>
    </row>
    <row r="815" spans="1:15" s="82" customFormat="1" ht="14.25" x14ac:dyDescent="0.2">
      <c r="A815" s="1987"/>
      <c r="B815" s="1427"/>
      <c r="C815" s="1987" t="s">
        <v>475</v>
      </c>
      <c r="D815" s="84"/>
      <c r="E815" s="84" t="s">
        <v>493</v>
      </c>
      <c r="F815" s="136">
        <f>F$773*INDEX(EF[N2O], MATCH("V.04", EF[Vector], 0))</f>
        <v>0.48671858642818505</v>
      </c>
      <c r="G815" s="136">
        <f>G$773*INDEX(EF[N2O], MATCH("V.04", EF[Vector], 0))</f>
        <v>0.53490664174054081</v>
      </c>
      <c r="H815" s="136">
        <f>H$773*INDEX(EF[N2O], MATCH("V.04", EF[Vector], 0))</f>
        <v>0.53332604023561825</v>
      </c>
      <c r="I815" s="136">
        <f>I$773*INDEX(EF[N2O], MATCH("V.04", EF[Vector], 0))</f>
        <v>0.5189878353898012</v>
      </c>
      <c r="J815" s="136">
        <f>J$773*INDEX(EF[N2O], MATCH("V.04", EF[Vector], 0))</f>
        <v>0.49532888895146582</v>
      </c>
      <c r="K815" s="136">
        <f>K$773*INDEX(EF[N2O], MATCH("V.04", EF[Vector], 0))</f>
        <v>0.49767161242297181</v>
      </c>
      <c r="L815" s="136">
        <f>L$773*INDEX(EF[N2O], MATCH("V.04", EF[Vector], 0))</f>
        <v>0.48309192105766913</v>
      </c>
      <c r="M815" s="136">
        <f>M$773*INDEX(EF[N2O], MATCH("V.04", EF[Vector], 0))</f>
        <v>0.46694828848798753</v>
      </c>
      <c r="N815" s="136">
        <f>N$773*INDEX(EF[N2O], MATCH("V.04", EF[Vector], 0))</f>
        <v>0.44735185879808176</v>
      </c>
    </row>
    <row r="816" spans="1:15" s="82" customFormat="1" x14ac:dyDescent="0.2">
      <c r="A816" s="1987"/>
      <c r="B816" s="1987"/>
      <c r="C816" s="1987"/>
      <c r="D816" s="1987"/>
      <c r="E816" s="1987"/>
      <c r="F816" s="1987"/>
      <c r="G816" s="1987"/>
      <c r="H816" s="1987"/>
      <c r="I816" s="1987"/>
      <c r="J816" s="1987"/>
      <c r="K816" s="1987"/>
      <c r="L816" s="1987"/>
      <c r="M816" s="1987"/>
      <c r="N816" s="1987"/>
      <c r="O816" s="1987"/>
    </row>
    <row r="817" spans="1:15" s="1427" customFormat="1" ht="22.5" x14ac:dyDescent="0.3">
      <c r="A817" s="1422"/>
      <c r="B817" s="468" t="s">
        <v>236</v>
      </c>
      <c r="C817" s="421"/>
      <c r="D817" s="421"/>
      <c r="E817" s="421"/>
      <c r="F817" s="421"/>
      <c r="G817" s="421"/>
      <c r="H817" s="421"/>
      <c r="I817" s="421"/>
      <c r="J817" s="421"/>
      <c r="K817" s="421"/>
      <c r="L817" s="421"/>
      <c r="M817" s="421"/>
      <c r="N817" s="421"/>
      <c r="O817" s="1987"/>
    </row>
    <row r="818" spans="1:15" s="82" customFormat="1" x14ac:dyDescent="0.2">
      <c r="A818" s="1987"/>
      <c r="B818" s="410"/>
      <c r="C818" s="412"/>
      <c r="D818" s="412"/>
      <c r="E818" s="412"/>
      <c r="F818" s="412"/>
      <c r="G818" s="412"/>
      <c r="H818" s="412"/>
      <c r="I818" s="412"/>
      <c r="J818" s="412"/>
      <c r="K818" s="412"/>
      <c r="L818" s="412"/>
      <c r="M818" s="412"/>
      <c r="N818" s="412"/>
      <c r="O818" s="1987"/>
    </row>
    <row r="819" spans="1:15" s="82" customFormat="1" x14ac:dyDescent="0.2">
      <c r="A819" s="1987"/>
      <c r="B819" s="410"/>
      <c r="C819" s="424" t="s">
        <v>1234</v>
      </c>
      <c r="D819" s="412"/>
      <c r="E819" s="413"/>
      <c r="F819" s="412"/>
      <c r="G819" s="413"/>
      <c r="H819" s="412"/>
      <c r="I819" s="412"/>
      <c r="J819" s="412"/>
      <c r="K819" s="412"/>
      <c r="L819" s="412"/>
      <c r="M819" s="412"/>
      <c r="N819" s="413" t="str">
        <f>Preferences.EnergyUnits</f>
        <v>TWh</v>
      </c>
      <c r="O819" s="1987"/>
    </row>
    <row r="820" spans="1:15" s="82" customFormat="1" ht="6" customHeight="1" x14ac:dyDescent="0.2">
      <c r="A820" s="1987"/>
      <c r="B820" s="410"/>
      <c r="C820" s="412"/>
      <c r="D820" s="412"/>
      <c r="E820" s="412"/>
      <c r="F820" s="412"/>
      <c r="G820" s="412"/>
      <c r="H820" s="412"/>
      <c r="I820" s="412"/>
      <c r="J820" s="412"/>
      <c r="K820" s="412"/>
      <c r="L820" s="412"/>
      <c r="M820" s="412"/>
      <c r="N820" s="412"/>
      <c r="O820" s="1987"/>
    </row>
    <row r="821" spans="1:15" s="82" customFormat="1" ht="15.75" x14ac:dyDescent="0.25">
      <c r="A821" s="1987"/>
      <c r="B821" s="415"/>
      <c r="C821" s="426" t="s">
        <v>64</v>
      </c>
      <c r="D821" s="426" t="s">
        <v>150</v>
      </c>
      <c r="E821" s="426" t="s">
        <v>172</v>
      </c>
      <c r="F821" s="426" t="s">
        <v>241</v>
      </c>
      <c r="G821" s="426" t="s">
        <v>268</v>
      </c>
      <c r="H821" s="426" t="s">
        <v>269</v>
      </c>
      <c r="I821" s="426" t="s">
        <v>270</v>
      </c>
      <c r="J821" s="426" t="s">
        <v>271</v>
      </c>
      <c r="K821" s="426" t="s">
        <v>272</v>
      </c>
      <c r="L821" s="426" t="s">
        <v>273</v>
      </c>
      <c r="M821" s="426" t="s">
        <v>274</v>
      </c>
      <c r="N821" s="426" t="s">
        <v>275</v>
      </c>
    </row>
    <row r="822" spans="1:15" s="82" customFormat="1" ht="15.75" x14ac:dyDescent="0.25">
      <c r="A822" s="1987"/>
      <c r="B822" s="415"/>
      <c r="C822" s="97" t="s">
        <v>28</v>
      </c>
      <c r="D822" s="97" t="str">
        <f>INDEX(Vectors[Description], MATCH(XII.a.Outputs[Vector], Vectors[Code], 0))</f>
        <v>Road transport</v>
      </c>
      <c r="E822" s="97"/>
      <c r="F822" s="241">
        <f t="shared" ref="F822:N822" si="250">F807</f>
        <v>83.406409676942459</v>
      </c>
      <c r="G822" s="241">
        <f t="shared" si="250"/>
        <v>80.394360387544751</v>
      </c>
      <c r="H822" s="241">
        <f t="shared" si="250"/>
        <v>78.262451568737916</v>
      </c>
      <c r="I822" s="241">
        <f t="shared" si="250"/>
        <v>76.442609658759068</v>
      </c>
      <c r="J822" s="241">
        <f t="shared" si="250"/>
        <v>74.805234399915406</v>
      </c>
      <c r="K822" s="241">
        <f t="shared" si="250"/>
        <v>81.1156035152718</v>
      </c>
      <c r="L822" s="241">
        <f t="shared" si="250"/>
        <v>86.419781127919151</v>
      </c>
      <c r="M822" s="241">
        <f t="shared" si="250"/>
        <v>93.300493022514914</v>
      </c>
      <c r="N822" s="241">
        <f t="shared" si="250"/>
        <v>101.27644733735872</v>
      </c>
    </row>
    <row r="823" spans="1:15" s="82" customFormat="1" ht="15.75" x14ac:dyDescent="0.25">
      <c r="A823" s="1987"/>
      <c r="B823" s="415"/>
      <c r="C823" s="97" t="s">
        <v>29</v>
      </c>
      <c r="D823" s="97" t="str">
        <f>INDEX(Vectors[Description], MATCH(XII.a.Outputs[Vector], Vectors[Code], 0))</f>
        <v>Rail transport</v>
      </c>
      <c r="E823" s="97"/>
      <c r="F823" s="241">
        <f t="shared" ref="F823:N823" si="251">F808+F$193</f>
        <v>24.801073300992602</v>
      </c>
      <c r="G823" s="241">
        <f t="shared" si="251"/>
        <v>40.56519953071362</v>
      </c>
      <c r="H823" s="241">
        <f t="shared" si="251"/>
        <v>46.371799176650626</v>
      </c>
      <c r="I823" s="241">
        <f t="shared" si="251"/>
        <v>49.995334984435786</v>
      </c>
      <c r="J823" s="241">
        <f t="shared" si="251"/>
        <v>52.438816202867393</v>
      </c>
      <c r="K823" s="241">
        <f t="shared" si="251"/>
        <v>53.967053566965404</v>
      </c>
      <c r="L823" s="241">
        <f t="shared" si="251"/>
        <v>53.334358506851046</v>
      </c>
      <c r="M823" s="241">
        <f t="shared" si="251"/>
        <v>51.920535522808549</v>
      </c>
      <c r="N823" s="241">
        <f t="shared" si="251"/>
        <v>49.80341082087979</v>
      </c>
    </row>
    <row r="824" spans="1:15" s="82" customFormat="1" ht="15.75" x14ac:dyDescent="0.25">
      <c r="A824" s="1987"/>
      <c r="B824" s="415"/>
      <c r="C824" s="97" t="s">
        <v>30</v>
      </c>
      <c r="D824" s="97" t="str">
        <f>INDEX(Vectors[Description], MATCH(XII.a.Outputs[Vector], Vectors[Code], 0))</f>
        <v>Domestic aviation</v>
      </c>
      <c r="E824" s="97"/>
      <c r="F824" s="241">
        <f t="shared" ref="F824:N824" si="252">F809</f>
        <v>0</v>
      </c>
      <c r="G824" s="241">
        <f t="shared" si="252"/>
        <v>0</v>
      </c>
      <c r="H824" s="241">
        <f t="shared" si="252"/>
        <v>0</v>
      </c>
      <c r="I824" s="241">
        <f t="shared" si="252"/>
        <v>0</v>
      </c>
      <c r="J824" s="241">
        <f t="shared" si="252"/>
        <v>0</v>
      </c>
      <c r="K824" s="241">
        <f t="shared" si="252"/>
        <v>0</v>
      </c>
      <c r="L824" s="241">
        <f t="shared" si="252"/>
        <v>0</v>
      </c>
      <c r="M824" s="241">
        <f t="shared" si="252"/>
        <v>0</v>
      </c>
      <c r="N824" s="241">
        <f t="shared" si="252"/>
        <v>0</v>
      </c>
    </row>
    <row r="825" spans="1:15" s="82" customFormat="1" ht="15.75" x14ac:dyDescent="0.25">
      <c r="A825" s="1987"/>
      <c r="B825" s="415"/>
      <c r="C825" s="97" t="s">
        <v>38</v>
      </c>
      <c r="D825" s="97" t="str">
        <f>INDEX(Vectors[Description], MATCH(XII.a.Outputs[Vector], Vectors[Code], 0))</f>
        <v>Liquid hydrocarbons</v>
      </c>
      <c r="E825" s="97"/>
      <c r="F825" s="241">
        <f t="shared" ref="F825:N825" si="253">-F773</f>
        <v>-108.20748297793506</v>
      </c>
      <c r="G825" s="241">
        <f t="shared" si="253"/>
        <v>-118.92067191369577</v>
      </c>
      <c r="H825" s="241">
        <f t="shared" si="253"/>
        <v>-118.5692719154053</v>
      </c>
      <c r="I825" s="241">
        <f t="shared" si="253"/>
        <v>-115.38159612070496</v>
      </c>
      <c r="J825" s="241">
        <f t="shared" si="253"/>
        <v>-110.12172909407397</v>
      </c>
      <c r="K825" s="241">
        <f t="shared" si="253"/>
        <v>-110.64256437185804</v>
      </c>
      <c r="L825" s="241">
        <f t="shared" si="253"/>
        <v>-107.40120119151992</v>
      </c>
      <c r="M825" s="241">
        <f t="shared" si="253"/>
        <v>-103.8121419379884</v>
      </c>
      <c r="N825" s="241">
        <f t="shared" si="253"/>
        <v>-99.455455361336249</v>
      </c>
    </row>
    <row r="826" spans="1:15" s="82" customFormat="1" ht="15.75" x14ac:dyDescent="0.25">
      <c r="A826" s="1987"/>
      <c r="B826" s="415"/>
      <c r="C826" s="97" t="s">
        <v>34</v>
      </c>
      <c r="D826" s="97" t="str">
        <f>INDEX(Vectors[Description], MATCH(XII.a.Outputs[Vector], Vectors[Code], 0))</f>
        <v>Electricity (delivered to end user)</v>
      </c>
      <c r="E826" s="97"/>
      <c r="F826" s="241">
        <f t="shared" ref="F826:N826" si="254">-F788-F$193</f>
        <v>0</v>
      </c>
      <c r="G826" s="241">
        <f t="shared" si="254"/>
        <v>-0.7600709018011822</v>
      </c>
      <c r="H826" s="241">
        <f t="shared" si="254"/>
        <v>-3.1879620186467812</v>
      </c>
      <c r="I826" s="241">
        <f t="shared" si="254"/>
        <v>-6.223589139673841</v>
      </c>
      <c r="J826" s="241">
        <f t="shared" si="254"/>
        <v>-9.93908149700321</v>
      </c>
      <c r="K826" s="241">
        <f t="shared" si="254"/>
        <v>-14.477286821083673</v>
      </c>
      <c r="L826" s="241">
        <f t="shared" si="254"/>
        <v>-19.471332056571008</v>
      </c>
      <c r="M826" s="241">
        <f t="shared" si="254"/>
        <v>-25.299725791429807</v>
      </c>
      <c r="N826" s="241">
        <f t="shared" si="254"/>
        <v>-31.999689089751769</v>
      </c>
    </row>
    <row r="827" spans="1:15" s="82" customFormat="1" ht="15.75" x14ac:dyDescent="0.25">
      <c r="A827" s="1987"/>
      <c r="B827" s="415"/>
      <c r="C827" s="97" t="s">
        <v>39</v>
      </c>
      <c r="D827" s="97" t="str">
        <f>INDEX(Vectors[Description], MATCH(XII.a.Outputs[Vector], Vectors[Code], 0))</f>
        <v>Gaseous hydrocarbons</v>
      </c>
      <c r="E827" s="97"/>
      <c r="F827" s="241">
        <f>-SUM(F792:F802)</f>
        <v>0</v>
      </c>
      <c r="G827" s="241">
        <f t="shared" ref="G827:N827" si="255">-SUM(G792:G802)</f>
        <v>-1.2788171027614021</v>
      </c>
      <c r="H827" s="241">
        <f t="shared" si="255"/>
        <v>-2.8770168113364658</v>
      </c>
      <c r="I827" s="241">
        <f t="shared" si="255"/>
        <v>-4.8327593828160511</v>
      </c>
      <c r="J827" s="241">
        <f t="shared" si="255"/>
        <v>-7.1832400117056174</v>
      </c>
      <c r="K827" s="241">
        <f t="shared" si="255"/>
        <v>-9.9628058892954758</v>
      </c>
      <c r="L827" s="241">
        <f t="shared" si="255"/>
        <v>-12.881606386679284</v>
      </c>
      <c r="M827" s="241">
        <f t="shared" si="255"/>
        <v>-16.109160815905256</v>
      </c>
      <c r="N827" s="241">
        <f t="shared" si="255"/>
        <v>-19.624713707150494</v>
      </c>
    </row>
    <row r="828" spans="1:15" s="82" customFormat="1" ht="15.75" x14ac:dyDescent="0.25">
      <c r="A828" s="1987"/>
      <c r="B828" s="415"/>
      <c r="C828" s="97" t="s">
        <v>105</v>
      </c>
      <c r="D828" s="97"/>
      <c r="E828" s="97"/>
      <c r="F828" s="2627">
        <f>SUBTOTAL(109,XII.a.Outputs[2010])</f>
        <v>0</v>
      </c>
      <c r="G828" s="2627">
        <f>SUBTOTAL(109,XII.a.Outputs[2015])</f>
        <v>2.375877272697835E-14</v>
      </c>
      <c r="H828" s="2627">
        <f>SUBTOTAL(109,XII.a.Outputs[2020])</f>
        <v>0</v>
      </c>
      <c r="I828" s="2627">
        <f>SUBTOTAL(109,XII.a.Outputs[2025])</f>
        <v>0</v>
      </c>
      <c r="J828" s="2627">
        <f>SUBTOTAL(109,XII.a.Outputs[2030])</f>
        <v>8.8817841970012523E-15</v>
      </c>
      <c r="K828" s="2627">
        <f>SUBTOTAL(109,XII.a.Outputs[2035])</f>
        <v>0</v>
      </c>
      <c r="L828" s="2627">
        <f>SUBTOTAL(109,XII.a.Outputs[2040])</f>
        <v>-2.4868995751603507E-14</v>
      </c>
      <c r="M828" s="2627">
        <f>SUBTOTAL(109,XII.a.Outputs[2045])</f>
        <v>0</v>
      </c>
      <c r="N828" s="2627">
        <f>SUBTOTAL(109,XII.a.Outputs[2050])</f>
        <v>0</v>
      </c>
    </row>
    <row r="829" spans="1:15" s="1427" customFormat="1" ht="15.75" x14ac:dyDescent="0.25">
      <c r="A829" s="1987"/>
      <c r="B829" s="415"/>
      <c r="C829" s="97"/>
      <c r="D829" s="97"/>
      <c r="E829" s="97"/>
      <c r="F829" s="529"/>
      <c r="G829" s="529"/>
      <c r="H829" s="529"/>
      <c r="I829" s="529"/>
      <c r="J829" s="529"/>
      <c r="K829" s="529"/>
      <c r="L829" s="529"/>
      <c r="M829" s="529"/>
      <c r="N829" s="529"/>
      <c r="O829" s="1987"/>
    </row>
    <row r="830" spans="1:15" s="82" customFormat="1" ht="15.75" x14ac:dyDescent="0.25">
      <c r="A830" s="1987"/>
      <c r="B830" s="415"/>
      <c r="C830" s="424" t="s">
        <v>1235</v>
      </c>
      <c r="D830" s="412"/>
      <c r="E830" s="413"/>
      <c r="F830" s="412"/>
      <c r="G830" s="413"/>
      <c r="H830" s="412"/>
      <c r="I830" s="412"/>
      <c r="J830" s="412"/>
      <c r="K830" s="412"/>
      <c r="L830" s="412"/>
      <c r="M830" s="412"/>
      <c r="N830" s="413" t="str">
        <f>Preferences.EnergyUnits</f>
        <v>TWh</v>
      </c>
      <c r="O830" s="1987"/>
    </row>
    <row r="831" spans="1:15" s="82" customFormat="1" ht="3" customHeight="1" x14ac:dyDescent="0.25">
      <c r="A831" s="1987"/>
      <c r="B831" s="415"/>
      <c r="C831" s="412"/>
      <c r="D831" s="412"/>
      <c r="E831" s="412"/>
      <c r="F831" s="412"/>
      <c r="G831" s="412"/>
      <c r="H831" s="412"/>
      <c r="I831" s="412"/>
      <c r="J831" s="412"/>
      <c r="K831" s="412"/>
      <c r="L831" s="412"/>
      <c r="M831" s="412"/>
      <c r="N831" s="412"/>
      <c r="O831" s="1987"/>
    </row>
    <row r="832" spans="1:15" s="82" customFormat="1" ht="15.75" x14ac:dyDescent="0.25">
      <c r="A832" s="1987"/>
      <c r="B832" s="415"/>
      <c r="C832" s="426" t="s">
        <v>64</v>
      </c>
      <c r="D832" s="426" t="s">
        <v>150</v>
      </c>
      <c r="E832" s="426" t="s">
        <v>172</v>
      </c>
      <c r="F832" s="426" t="s">
        <v>241</v>
      </c>
      <c r="G832" s="426" t="s">
        <v>268</v>
      </c>
      <c r="H832" s="426" t="s">
        <v>269</v>
      </c>
      <c r="I832" s="426" t="s">
        <v>270</v>
      </c>
      <c r="J832" s="426" t="s">
        <v>271</v>
      </c>
      <c r="K832" s="426" t="s">
        <v>272</v>
      </c>
      <c r="L832" s="426" t="s">
        <v>273</v>
      </c>
      <c r="M832" s="426" t="s">
        <v>274</v>
      </c>
      <c r="N832" s="426" t="s">
        <v>275</v>
      </c>
    </row>
    <row r="833" spans="1:15" s="82" customFormat="1" ht="15.75" x14ac:dyDescent="0.25">
      <c r="A833" s="1987"/>
      <c r="B833" s="415"/>
      <c r="C833" s="97" t="s">
        <v>28</v>
      </c>
      <c r="D833" s="97" t="str">
        <f>INDEX(Vectors[Description], MATCH(XII.a.Road.Outputs[Vector], Vectors[Code], 0))</f>
        <v>Road transport</v>
      </c>
      <c r="E833" s="97"/>
      <c r="F833" s="241">
        <f t="shared" ref="F833:N833" si="256">F807</f>
        <v>83.406409676942459</v>
      </c>
      <c r="G833" s="241">
        <f t="shared" si="256"/>
        <v>80.394360387544751</v>
      </c>
      <c r="H833" s="241">
        <f t="shared" si="256"/>
        <v>78.262451568737916</v>
      </c>
      <c r="I833" s="241">
        <f t="shared" si="256"/>
        <v>76.442609658759068</v>
      </c>
      <c r="J833" s="241">
        <f t="shared" si="256"/>
        <v>74.805234399915406</v>
      </c>
      <c r="K833" s="241">
        <f t="shared" si="256"/>
        <v>81.1156035152718</v>
      </c>
      <c r="L833" s="241">
        <f t="shared" si="256"/>
        <v>86.419781127919151</v>
      </c>
      <c r="M833" s="241">
        <f t="shared" si="256"/>
        <v>93.300493022514914</v>
      </c>
      <c r="N833" s="241">
        <f t="shared" si="256"/>
        <v>101.27644733735872</v>
      </c>
    </row>
    <row r="834" spans="1:15" s="82" customFormat="1" ht="15.75" x14ac:dyDescent="0.25">
      <c r="A834" s="1987"/>
      <c r="B834" s="415"/>
      <c r="C834" s="97" t="s">
        <v>38</v>
      </c>
      <c r="D834" s="97" t="str">
        <f>INDEX(Vectors[Description], MATCH(XII.a.Road.Outputs[Vector], Vectors[Code], 0))</f>
        <v>Liquid hydrocarbons</v>
      </c>
      <c r="E834" s="97"/>
      <c r="F834" s="241">
        <f t="shared" ref="F834:N834" si="257">-SUM(F760:F767)</f>
        <v>-83.406409676942459</v>
      </c>
      <c r="G834" s="241">
        <f t="shared" si="257"/>
        <v>-78.355472382982157</v>
      </c>
      <c r="H834" s="241">
        <f t="shared" si="257"/>
        <v>-73.737051340110213</v>
      </c>
      <c r="I834" s="241">
        <f t="shared" si="257"/>
        <v>-69.025038815667784</v>
      </c>
      <c r="J834" s="241">
        <f t="shared" si="257"/>
        <v>-63.998666672189771</v>
      </c>
      <c r="K834" s="241">
        <f t="shared" si="257"/>
        <v>-66.304896731942918</v>
      </c>
      <c r="L834" s="241">
        <f t="shared" si="257"/>
        <v>-67.388458062544174</v>
      </c>
      <c r="M834" s="241">
        <f t="shared" si="257"/>
        <v>-69.468474654529047</v>
      </c>
      <c r="N834" s="241">
        <f t="shared" si="257"/>
        <v>-72.070069303845784</v>
      </c>
    </row>
    <row r="835" spans="1:15" s="1427" customFormat="1" ht="15.75" x14ac:dyDescent="0.25">
      <c r="A835" s="1987"/>
      <c r="B835" s="415"/>
      <c r="C835" s="97" t="s">
        <v>34</v>
      </c>
      <c r="D835" s="97" t="str">
        <f>INDEX(Vectors[Description], MATCH(XII.a.Road.Outputs[Vector], Vectors[Code], 0))</f>
        <v>Electricity (delivered to end user)</v>
      </c>
      <c r="E835" s="97"/>
      <c r="F835" s="241">
        <f t="shared" ref="F835:N835" si="258">-SUM(F777:F784)</f>
        <v>0</v>
      </c>
      <c r="G835" s="241">
        <f t="shared" si="258"/>
        <v>-0.7600709018011822</v>
      </c>
      <c r="H835" s="241">
        <f t="shared" si="258"/>
        <v>-1.6483834172912446</v>
      </c>
      <c r="I835" s="241">
        <f t="shared" si="258"/>
        <v>-2.5848114602752266</v>
      </c>
      <c r="J835" s="241">
        <f t="shared" si="258"/>
        <v>-3.6233277160200141</v>
      </c>
      <c r="K835" s="241">
        <f t="shared" si="258"/>
        <v>-4.8479008940334021</v>
      </c>
      <c r="L835" s="241">
        <f t="shared" si="258"/>
        <v>-6.149716678695702</v>
      </c>
      <c r="M835" s="241">
        <f t="shared" si="258"/>
        <v>-7.7228575520806064</v>
      </c>
      <c r="N835" s="241">
        <f t="shared" si="258"/>
        <v>-9.5816643263624481</v>
      </c>
    </row>
    <row r="836" spans="1:15" s="82" customFormat="1" ht="15.75" x14ac:dyDescent="0.25">
      <c r="A836" s="1987"/>
      <c r="B836" s="415"/>
      <c r="C836" s="97" t="s">
        <v>39</v>
      </c>
      <c r="D836" s="97" t="str">
        <f>INDEX(Vectors[Description], MATCH(XII.a.Road.Outputs[Vector], Vectors[Code], 0))</f>
        <v>Gaseous hydrocarbons</v>
      </c>
      <c r="E836" s="97"/>
      <c r="F836" s="241">
        <f t="shared" ref="F836:N836" si="259">-SUM(F792:F799)</f>
        <v>0</v>
      </c>
      <c r="G836" s="241">
        <f t="shared" si="259"/>
        <v>-1.2788171027614021</v>
      </c>
      <c r="H836" s="241">
        <f t="shared" si="259"/>
        <v>-2.8770168113364658</v>
      </c>
      <c r="I836" s="241">
        <f t="shared" si="259"/>
        <v>-4.8327593828160511</v>
      </c>
      <c r="J836" s="241">
        <f t="shared" si="259"/>
        <v>-7.1832400117056174</v>
      </c>
      <c r="K836" s="241">
        <f t="shared" si="259"/>
        <v>-9.9628058892954758</v>
      </c>
      <c r="L836" s="241">
        <f t="shared" si="259"/>
        <v>-12.881606386679284</v>
      </c>
      <c r="M836" s="241">
        <f t="shared" si="259"/>
        <v>-16.109160815905256</v>
      </c>
      <c r="N836" s="241">
        <f t="shared" si="259"/>
        <v>-19.624713707150494</v>
      </c>
    </row>
    <row r="837" spans="1:15" s="82" customFormat="1" ht="15.75" x14ac:dyDescent="0.25">
      <c r="A837" s="1987"/>
      <c r="B837" s="415"/>
      <c r="C837" s="97" t="s">
        <v>105</v>
      </c>
      <c r="D837" s="97"/>
      <c r="E837" s="97"/>
      <c r="F837" s="2085">
        <f>SUBTOTAL(109,XII.a.Road.Outputs[2010])</f>
        <v>0</v>
      </c>
      <c r="G837" s="2085">
        <f>SUBTOTAL(109,XII.a.Road.Outputs[2015])</f>
        <v>9.5479180117763462E-15</v>
      </c>
      <c r="H837" s="2085">
        <f>SUBTOTAL(109,XII.a.Road.Outputs[2020])</f>
        <v>-7.5495165674510645E-15</v>
      </c>
      <c r="I837" s="2085">
        <f>SUBTOTAL(109,XII.a.Road.Outputs[2025])</f>
        <v>0</v>
      </c>
      <c r="J837" s="2085">
        <f>SUBTOTAL(109,XII.a.Road.Outputs[2030])</f>
        <v>0</v>
      </c>
      <c r="K837" s="2085">
        <f>SUBTOTAL(109,XII.a.Road.Outputs[2035])</f>
        <v>0</v>
      </c>
      <c r="L837" s="2085">
        <f>SUBTOTAL(109,XII.a.Road.Outputs[2040])</f>
        <v>0</v>
      </c>
      <c r="M837" s="2085">
        <f>SUBTOTAL(109,XII.a.Road.Outputs[2045])</f>
        <v>0</v>
      </c>
      <c r="N837" s="2085">
        <f>SUBTOTAL(109,XII.a.Road.Outputs[2050])</f>
        <v>0</v>
      </c>
    </row>
    <row r="838" spans="1:15" s="82" customFormat="1" ht="15.75" x14ac:dyDescent="0.25">
      <c r="A838" s="1987"/>
      <c r="B838" s="415"/>
      <c r="C838" s="97"/>
      <c r="D838" s="97"/>
      <c r="E838" s="97"/>
      <c r="F838" s="529"/>
      <c r="G838" s="529"/>
      <c r="H838" s="529"/>
      <c r="I838" s="529"/>
      <c r="J838" s="529"/>
      <c r="K838" s="529"/>
      <c r="L838" s="529"/>
      <c r="M838" s="529"/>
      <c r="N838" s="529"/>
      <c r="O838" s="1987"/>
    </row>
    <row r="839" spans="1:15" s="82" customFormat="1" ht="15.75" x14ac:dyDescent="0.25">
      <c r="A839" s="1987"/>
      <c r="B839" s="415"/>
      <c r="C839" s="424" t="s">
        <v>1236</v>
      </c>
      <c r="D839" s="412"/>
      <c r="E839" s="413"/>
      <c r="F839" s="412"/>
      <c r="G839" s="413"/>
      <c r="H839" s="412"/>
      <c r="I839" s="412"/>
      <c r="J839" s="412"/>
      <c r="K839" s="412"/>
      <c r="L839" s="412"/>
      <c r="M839" s="412"/>
      <c r="N839" s="413" t="str">
        <f>Preferences.EnergyUnits</f>
        <v>TWh</v>
      </c>
      <c r="O839" s="1987"/>
    </row>
    <row r="840" spans="1:15" s="82" customFormat="1" ht="3" customHeight="1" x14ac:dyDescent="0.25">
      <c r="A840" s="1987"/>
      <c r="B840" s="415"/>
      <c r="C840" s="412"/>
      <c r="D840" s="412"/>
      <c r="E840" s="412"/>
      <c r="F840" s="412"/>
      <c r="G840" s="412"/>
      <c r="H840" s="412"/>
      <c r="I840" s="412"/>
      <c r="J840" s="412"/>
      <c r="K840" s="412"/>
      <c r="L840" s="412"/>
      <c r="M840" s="412"/>
      <c r="N840" s="412"/>
      <c r="O840" s="1987"/>
    </row>
    <row r="841" spans="1:15" s="82" customFormat="1" ht="15.75" x14ac:dyDescent="0.25">
      <c r="A841" s="1987"/>
      <c r="B841" s="415"/>
      <c r="C841" s="426" t="s">
        <v>64</v>
      </c>
      <c r="D841" s="426" t="s">
        <v>150</v>
      </c>
      <c r="E841" s="426" t="s">
        <v>172</v>
      </c>
      <c r="F841" s="426" t="s">
        <v>241</v>
      </c>
      <c r="G841" s="426" t="s">
        <v>268</v>
      </c>
      <c r="H841" s="426" t="s">
        <v>269</v>
      </c>
      <c r="I841" s="426" t="s">
        <v>270</v>
      </c>
      <c r="J841" s="426" t="s">
        <v>271</v>
      </c>
      <c r="K841" s="426" t="s">
        <v>272</v>
      </c>
      <c r="L841" s="426" t="s">
        <v>273</v>
      </c>
      <c r="M841" s="426" t="s">
        <v>274</v>
      </c>
      <c r="N841" s="426" t="s">
        <v>275</v>
      </c>
    </row>
    <row r="842" spans="1:15" s="82" customFormat="1" ht="15.75" x14ac:dyDescent="0.25">
      <c r="A842" s="1987"/>
      <c r="B842" s="415"/>
      <c r="C842" s="97" t="s">
        <v>29</v>
      </c>
      <c r="D842" s="97" t="str">
        <f>INDEX(Vectors[Description], MATCH(XII.a.Rail.Outputs[Vector], Vectors[Code], 0))</f>
        <v>Rail transport</v>
      </c>
      <c r="E842" s="97"/>
      <c r="F842" s="241">
        <f t="shared" ref="F842:N842" si="260">F808+F$193</f>
        <v>24.801073300992602</v>
      </c>
      <c r="G842" s="241">
        <f t="shared" si="260"/>
        <v>40.56519953071362</v>
      </c>
      <c r="H842" s="241">
        <f t="shared" si="260"/>
        <v>46.371799176650626</v>
      </c>
      <c r="I842" s="241">
        <f t="shared" si="260"/>
        <v>49.995334984435786</v>
      </c>
      <c r="J842" s="241">
        <f t="shared" si="260"/>
        <v>52.438816202867393</v>
      </c>
      <c r="K842" s="241">
        <f t="shared" si="260"/>
        <v>53.967053566965404</v>
      </c>
      <c r="L842" s="241">
        <f t="shared" si="260"/>
        <v>53.334358506851046</v>
      </c>
      <c r="M842" s="241">
        <f t="shared" si="260"/>
        <v>51.920535522808549</v>
      </c>
      <c r="N842" s="241">
        <f t="shared" si="260"/>
        <v>49.80341082087979</v>
      </c>
    </row>
    <row r="843" spans="1:15" s="82" customFormat="1" ht="15.75" x14ac:dyDescent="0.25">
      <c r="A843" s="1987"/>
      <c r="B843" s="415"/>
      <c r="C843" s="97" t="s">
        <v>38</v>
      </c>
      <c r="D843" s="97" t="str">
        <f>INDEX(Vectors[Description], MATCH(XII.a.Rail.Outputs[Vector], Vectors[Code], 0))</f>
        <v>Liquid hydrocarbons</v>
      </c>
      <c r="E843" s="97"/>
      <c r="F843" s="241">
        <f t="shared" ref="F843:N843" si="261">-SUM(F768:F769)</f>
        <v>-24.801073300992602</v>
      </c>
      <c r="G843" s="241">
        <f t="shared" si="261"/>
        <v>-40.56519953071362</v>
      </c>
      <c r="H843" s="241">
        <f t="shared" si="261"/>
        <v>-44.832220575295089</v>
      </c>
      <c r="I843" s="241">
        <f t="shared" si="261"/>
        <v>-46.356557305037171</v>
      </c>
      <c r="J843" s="241">
        <f t="shared" si="261"/>
        <v>-46.1230624218842</v>
      </c>
      <c r="K843" s="241">
        <f t="shared" si="261"/>
        <v>-44.337667639915132</v>
      </c>
      <c r="L843" s="241">
        <f t="shared" si="261"/>
        <v>-40.012743128975742</v>
      </c>
      <c r="M843" s="241">
        <f t="shared" si="261"/>
        <v>-34.343667283459347</v>
      </c>
      <c r="N843" s="241">
        <f t="shared" si="261"/>
        <v>-27.385386057490468</v>
      </c>
    </row>
    <row r="844" spans="1:15" s="82" customFormat="1" ht="15.75" x14ac:dyDescent="0.25">
      <c r="A844" s="1987"/>
      <c r="B844" s="415"/>
      <c r="C844" s="97" t="s">
        <v>34</v>
      </c>
      <c r="D844" s="97" t="str">
        <f>INDEX(Vectors[Description], MATCH(XII.a.Rail.Outputs[Vector], Vectors[Code], 0))</f>
        <v>Electricity (delivered to end user)</v>
      </c>
      <c r="E844" s="97"/>
      <c r="F844" s="241">
        <f t="shared" ref="F844:N844" si="262">-(SUM(F785:F786)+F193)</f>
        <v>0</v>
      </c>
      <c r="G844" s="241">
        <f t="shared" si="262"/>
        <v>0</v>
      </c>
      <c r="H844" s="241">
        <f t="shared" si="262"/>
        <v>-1.5395786013555366</v>
      </c>
      <c r="I844" s="241">
        <f t="shared" si="262"/>
        <v>-3.638777679398614</v>
      </c>
      <c r="J844" s="241">
        <f t="shared" si="262"/>
        <v>-6.3157537809831954</v>
      </c>
      <c r="K844" s="241">
        <f t="shared" si="262"/>
        <v>-9.6293859270502704</v>
      </c>
      <c r="L844" s="241">
        <f t="shared" si="262"/>
        <v>-13.321615377875304</v>
      </c>
      <c r="M844" s="241">
        <f t="shared" si="262"/>
        <v>-17.576868239349203</v>
      </c>
      <c r="N844" s="241">
        <f t="shared" si="262"/>
        <v>-22.418024763389319</v>
      </c>
    </row>
    <row r="845" spans="1:15" s="82" customFormat="1" ht="15.75" x14ac:dyDescent="0.25">
      <c r="A845" s="1987"/>
      <c r="B845" s="415"/>
      <c r="C845" s="97" t="s">
        <v>39</v>
      </c>
      <c r="D845" s="97" t="str">
        <f>INDEX(Vectors[Description], MATCH(XII.a.Rail.Outputs[Vector], Vectors[Code], 0))</f>
        <v>Gaseous hydrocarbons</v>
      </c>
      <c r="E845" s="97"/>
      <c r="F845" s="241">
        <v>0</v>
      </c>
      <c r="G845" s="241">
        <v>0</v>
      </c>
      <c r="H845" s="241">
        <v>0</v>
      </c>
      <c r="I845" s="241">
        <v>0</v>
      </c>
      <c r="J845" s="241">
        <v>0</v>
      </c>
      <c r="K845" s="241">
        <v>0</v>
      </c>
      <c r="L845" s="241">
        <v>0</v>
      </c>
      <c r="M845" s="241">
        <v>0</v>
      </c>
      <c r="N845" s="241">
        <v>0</v>
      </c>
    </row>
    <row r="846" spans="1:15" s="82" customFormat="1" ht="15.75" x14ac:dyDescent="0.25">
      <c r="A846" s="1987"/>
      <c r="B846" s="415"/>
      <c r="C846" s="97" t="s">
        <v>105</v>
      </c>
      <c r="D846" s="97"/>
      <c r="E846" s="97"/>
      <c r="F846" s="2085">
        <f>SUBTOTAL(109,XII.a.Rail.Outputs[2010])</f>
        <v>0</v>
      </c>
      <c r="G846" s="2085">
        <f>SUBTOTAL(109,XII.a.Rail.Outputs[2015])</f>
        <v>0</v>
      </c>
      <c r="H846" s="2085">
        <f>SUBTOTAL(109,XII.a.Rail.Outputs[2020])</f>
        <v>0</v>
      </c>
      <c r="I846" s="2085">
        <f>SUBTOTAL(109,XII.a.Rail.Outputs[2025])</f>
        <v>8.8817841970012523E-16</v>
      </c>
      <c r="J846" s="2085">
        <f>SUBTOTAL(109,XII.a.Rail.Outputs[2030])</f>
        <v>-1.7763568394002505E-15</v>
      </c>
      <c r="K846" s="2085">
        <f>SUBTOTAL(109,XII.a.Rail.Outputs[2035])</f>
        <v>1.7763568394002505E-15</v>
      </c>
      <c r="L846" s="2085">
        <f>SUBTOTAL(109,XII.a.Rail.Outputs[2040])</f>
        <v>0</v>
      </c>
      <c r="M846" s="2085">
        <f>SUBTOTAL(109,XII.a.Rail.Outputs[2045])</f>
        <v>0</v>
      </c>
      <c r="N846" s="2085">
        <f>SUBTOTAL(109,XII.a.Rail.Outputs[2050])</f>
        <v>3.5527136788005009E-15</v>
      </c>
    </row>
    <row r="847" spans="1:15" s="1427" customFormat="1" ht="15.75" x14ac:dyDescent="0.25">
      <c r="A847" s="1987"/>
      <c r="B847" s="415"/>
      <c r="C847" s="97"/>
      <c r="D847" s="97"/>
      <c r="E847" s="97"/>
      <c r="F847" s="529"/>
      <c r="G847" s="529"/>
      <c r="H847" s="529"/>
      <c r="I847" s="529"/>
      <c r="J847" s="529"/>
      <c r="K847" s="529"/>
      <c r="L847" s="529"/>
      <c r="M847" s="529"/>
      <c r="N847" s="529"/>
      <c r="O847" s="1987"/>
    </row>
    <row r="848" spans="1:15" s="82" customFormat="1" ht="15.75" x14ac:dyDescent="0.25">
      <c r="A848" s="1987"/>
      <c r="B848" s="415"/>
      <c r="C848" s="424" t="s">
        <v>1237</v>
      </c>
      <c r="D848" s="412"/>
      <c r="E848" s="413"/>
      <c r="F848" s="412"/>
      <c r="G848" s="413"/>
      <c r="H848" s="412"/>
      <c r="I848" s="412"/>
      <c r="J848" s="412"/>
      <c r="K848" s="412"/>
      <c r="L848" s="412"/>
      <c r="M848" s="412"/>
      <c r="N848" s="413" t="str">
        <f>Preferences.EnergyUnits</f>
        <v>TWh</v>
      </c>
      <c r="O848" s="1987"/>
    </row>
    <row r="849" spans="1:15" s="82" customFormat="1" ht="4.5" customHeight="1" x14ac:dyDescent="0.25">
      <c r="A849" s="1987"/>
      <c r="B849" s="415"/>
      <c r="C849" s="412"/>
      <c r="D849" s="412"/>
      <c r="E849" s="412"/>
      <c r="F849" s="412"/>
      <c r="G849" s="412"/>
      <c r="H849" s="412"/>
      <c r="I849" s="412"/>
      <c r="J849" s="412"/>
      <c r="K849" s="412"/>
      <c r="L849" s="412"/>
      <c r="M849" s="412"/>
      <c r="N849" s="412"/>
      <c r="O849" s="1987"/>
    </row>
    <row r="850" spans="1:15" s="82" customFormat="1" ht="15.75" x14ac:dyDescent="0.25">
      <c r="A850" s="1987"/>
      <c r="B850" s="415"/>
      <c r="C850" s="426" t="s">
        <v>64</v>
      </c>
      <c r="D850" s="426" t="s">
        <v>150</v>
      </c>
      <c r="E850" s="426" t="s">
        <v>172</v>
      </c>
      <c r="F850" s="426" t="s">
        <v>241</v>
      </c>
      <c r="G850" s="426" t="s">
        <v>268</v>
      </c>
      <c r="H850" s="426" t="s">
        <v>269</v>
      </c>
      <c r="I850" s="426" t="s">
        <v>270</v>
      </c>
      <c r="J850" s="426" t="s">
        <v>271</v>
      </c>
      <c r="K850" s="426" t="s">
        <v>272</v>
      </c>
      <c r="L850" s="426" t="s">
        <v>273</v>
      </c>
      <c r="M850" s="426" t="s">
        <v>274</v>
      </c>
      <c r="N850" s="426" t="s">
        <v>275</v>
      </c>
    </row>
    <row r="851" spans="1:15" s="82" customFormat="1" ht="15.75" x14ac:dyDescent="0.25">
      <c r="A851" s="1987"/>
      <c r="B851" s="415"/>
      <c r="C851" s="97" t="s">
        <v>30</v>
      </c>
      <c r="D851" s="97" t="str">
        <f>INDEX(Vectors[Description], MATCH(XII.a.Aviation.Outputs[Vector], Vectors[Code], 0))</f>
        <v>Domestic aviation</v>
      </c>
      <c r="E851" s="97"/>
      <c r="F851" s="1010">
        <f t="shared" ref="F851:N851" si="263">F809</f>
        <v>0</v>
      </c>
      <c r="G851" s="241">
        <f t="shared" si="263"/>
        <v>0</v>
      </c>
      <c r="H851" s="241">
        <f t="shared" si="263"/>
        <v>0</v>
      </c>
      <c r="I851" s="241">
        <f t="shared" si="263"/>
        <v>0</v>
      </c>
      <c r="J851" s="241">
        <f t="shared" si="263"/>
        <v>0</v>
      </c>
      <c r="K851" s="241">
        <f t="shared" si="263"/>
        <v>0</v>
      </c>
      <c r="L851" s="241">
        <f t="shared" si="263"/>
        <v>0</v>
      </c>
      <c r="M851" s="241">
        <f t="shared" si="263"/>
        <v>0</v>
      </c>
      <c r="N851" s="241">
        <f t="shared" si="263"/>
        <v>0</v>
      </c>
    </row>
    <row r="852" spans="1:15" s="82" customFormat="1" ht="15.75" x14ac:dyDescent="0.25">
      <c r="A852" s="1987"/>
      <c r="B852" s="415"/>
      <c r="C852" s="97" t="s">
        <v>38</v>
      </c>
      <c r="D852" s="97" t="str">
        <f>INDEX(Vectors[Description], MATCH(XII.a.Aviation.Outputs[Vector], Vectors[Code], 0))</f>
        <v>Liquid hydrocarbons</v>
      </c>
      <c r="E852" s="97"/>
      <c r="F852" s="241">
        <f t="shared" ref="F852:N852" si="264">-F770</f>
        <v>0</v>
      </c>
      <c r="G852" s="241">
        <f t="shared" si="264"/>
        <v>0</v>
      </c>
      <c r="H852" s="241">
        <f t="shared" si="264"/>
        <v>0</v>
      </c>
      <c r="I852" s="241">
        <f t="shared" si="264"/>
        <v>0</v>
      </c>
      <c r="J852" s="241">
        <f t="shared" si="264"/>
        <v>0</v>
      </c>
      <c r="K852" s="241">
        <f t="shared" si="264"/>
        <v>0</v>
      </c>
      <c r="L852" s="241">
        <f t="shared" si="264"/>
        <v>0</v>
      </c>
      <c r="M852" s="241">
        <f t="shared" si="264"/>
        <v>0</v>
      </c>
      <c r="N852" s="241">
        <f t="shared" si="264"/>
        <v>0</v>
      </c>
    </row>
    <row r="853" spans="1:15" s="1427" customFormat="1" ht="15.75" x14ac:dyDescent="0.25">
      <c r="A853" s="1987"/>
      <c r="B853" s="415"/>
      <c r="C853" s="97" t="s">
        <v>34</v>
      </c>
      <c r="D853" s="97" t="str">
        <f>INDEX(Vectors[Description], MATCH(XII.a.Aviation.Outputs[Vector], Vectors[Code], 0))</f>
        <v>Electricity (delivered to end user)</v>
      </c>
      <c r="E853" s="97"/>
      <c r="F853" s="241">
        <v>0</v>
      </c>
      <c r="G853" s="241">
        <v>0</v>
      </c>
      <c r="H853" s="241">
        <v>0</v>
      </c>
      <c r="I853" s="241">
        <v>0</v>
      </c>
      <c r="J853" s="241">
        <v>0</v>
      </c>
      <c r="K853" s="241">
        <v>0</v>
      </c>
      <c r="L853" s="241">
        <v>0</v>
      </c>
      <c r="M853" s="241">
        <v>0</v>
      </c>
      <c r="N853" s="241">
        <v>0</v>
      </c>
    </row>
    <row r="854" spans="1:15" s="82" customFormat="1" ht="15.75" x14ac:dyDescent="0.25">
      <c r="A854" s="1987"/>
      <c r="B854" s="415"/>
      <c r="C854" s="97" t="s">
        <v>39</v>
      </c>
      <c r="D854" s="97" t="str">
        <f>INDEX(Vectors[Description], MATCH(XII.a.Aviation.Outputs[Vector], Vectors[Code], 0))</f>
        <v>Gaseous hydrocarbons</v>
      </c>
      <c r="E854" s="97"/>
      <c r="F854" s="241">
        <v>0</v>
      </c>
      <c r="G854" s="241">
        <v>0</v>
      </c>
      <c r="H854" s="241">
        <v>0</v>
      </c>
      <c r="I854" s="241">
        <v>0</v>
      </c>
      <c r="J854" s="241">
        <v>0</v>
      </c>
      <c r="K854" s="241">
        <v>0</v>
      </c>
      <c r="L854" s="241">
        <v>0</v>
      </c>
      <c r="M854" s="241">
        <v>0</v>
      </c>
      <c r="N854" s="241">
        <v>0</v>
      </c>
    </row>
    <row r="855" spans="1:15" s="82" customFormat="1" ht="15.75" x14ac:dyDescent="0.25">
      <c r="A855" s="1987"/>
      <c r="B855" s="415"/>
      <c r="C855" s="97" t="s">
        <v>105</v>
      </c>
      <c r="D855" s="97"/>
      <c r="E855" s="97"/>
      <c r="F855" s="2085">
        <f>SUBTOTAL(109,XII.a.Aviation.Outputs[2010])</f>
        <v>0</v>
      </c>
      <c r="G855" s="2085">
        <f>SUBTOTAL(109,XII.a.Aviation.Outputs[2015])</f>
        <v>0</v>
      </c>
      <c r="H855" s="2085">
        <f>SUBTOTAL(109,XII.a.Aviation.Outputs[2020])</f>
        <v>0</v>
      </c>
      <c r="I855" s="2085">
        <f>SUBTOTAL(109,XII.a.Aviation.Outputs[2025])</f>
        <v>0</v>
      </c>
      <c r="J855" s="2085">
        <f>SUBTOTAL(109,XII.a.Aviation.Outputs[2030])</f>
        <v>0</v>
      </c>
      <c r="K855" s="2085">
        <f>SUBTOTAL(109,XII.a.Aviation.Outputs[2035])</f>
        <v>0</v>
      </c>
      <c r="L855" s="2085">
        <f>SUBTOTAL(109,XII.a.Aviation.Outputs[2040])</f>
        <v>0</v>
      </c>
      <c r="M855" s="2085">
        <f>SUBTOTAL(109,XII.a.Aviation.Outputs[2045])</f>
        <v>0</v>
      </c>
      <c r="N855" s="2085">
        <f>SUBTOTAL(109,XII.a.Aviation.Outputs[2050])</f>
        <v>0</v>
      </c>
    </row>
    <row r="856" spans="1:15" s="82" customFormat="1" ht="15.75" x14ac:dyDescent="0.25">
      <c r="A856" s="3"/>
      <c r="B856" s="416"/>
      <c r="C856" s="417"/>
      <c r="D856" s="417"/>
      <c r="E856" s="417"/>
      <c r="F856" s="417"/>
      <c r="G856" s="417"/>
      <c r="H856" s="417"/>
      <c r="I856" s="417"/>
      <c r="J856" s="417"/>
      <c r="K856" s="417"/>
      <c r="L856" s="417"/>
      <c r="M856" s="417"/>
      <c r="N856" s="417"/>
      <c r="O856" s="1987"/>
    </row>
    <row r="857" spans="1:15" s="82" customFormat="1" ht="16.5" customHeight="1" x14ac:dyDescent="0.25">
      <c r="A857" s="3"/>
      <c r="B857" s="1987"/>
      <c r="C857" s="1987"/>
      <c r="D857" s="1987"/>
      <c r="E857" s="1987"/>
      <c r="F857" s="1987"/>
      <c r="G857" s="1987"/>
      <c r="H857" s="1987"/>
      <c r="I857" s="1987"/>
      <c r="J857" s="1987"/>
      <c r="K857" s="1987"/>
      <c r="L857" s="1987"/>
      <c r="M857" s="1987"/>
      <c r="N857" s="1987"/>
      <c r="O857" s="1987"/>
    </row>
    <row r="858" spans="1:15" s="82" customFormat="1" ht="15.75" x14ac:dyDescent="0.2">
      <c r="A858" s="1987"/>
      <c r="B858" s="484" t="s">
        <v>361</v>
      </c>
      <c r="C858" s="436"/>
      <c r="D858" s="437"/>
      <c r="E858" s="437"/>
      <c r="F858" s="437"/>
      <c r="G858" s="437"/>
      <c r="H858" s="437"/>
      <c r="I858" s="437"/>
      <c r="J858" s="437"/>
      <c r="K858" s="437"/>
      <c r="L858" s="437"/>
      <c r="M858" s="437"/>
      <c r="N858" s="437"/>
      <c r="O858" s="1987"/>
    </row>
    <row r="859" spans="1:15" s="82" customFormat="1" x14ac:dyDescent="0.2">
      <c r="A859" s="20"/>
      <c r="B859" s="444"/>
      <c r="C859" s="445"/>
      <c r="D859" s="445"/>
      <c r="E859" s="445"/>
      <c r="F859" s="445"/>
      <c r="G859" s="445"/>
      <c r="H859" s="445"/>
      <c r="I859" s="445"/>
      <c r="J859" s="445"/>
      <c r="K859" s="445"/>
      <c r="L859" s="445"/>
      <c r="M859" s="445"/>
      <c r="N859" s="445"/>
      <c r="O859" s="1987"/>
    </row>
    <row r="860" spans="1:15" s="82" customFormat="1" ht="14.25" x14ac:dyDescent="0.25">
      <c r="A860" s="1987"/>
      <c r="B860" s="447"/>
      <c r="C860" s="439" t="s">
        <v>1238</v>
      </c>
      <c r="D860" s="440"/>
      <c r="E860" s="441"/>
      <c r="F860" s="440"/>
      <c r="G860" s="441"/>
      <c r="H860" s="440"/>
      <c r="I860" s="440"/>
      <c r="J860" s="440"/>
      <c r="K860" s="440"/>
      <c r="L860" s="440"/>
      <c r="M860" s="440"/>
      <c r="N860" s="441" t="s">
        <v>493</v>
      </c>
      <c r="O860" s="1987"/>
    </row>
    <row r="861" spans="1:15" s="82" customFormat="1" x14ac:dyDescent="0.2">
      <c r="A861" s="1987"/>
      <c r="B861" s="447"/>
      <c r="C861" s="440"/>
      <c r="D861" s="440"/>
      <c r="E861" s="440"/>
      <c r="F861" s="440"/>
      <c r="G861" s="440"/>
      <c r="H861" s="440"/>
      <c r="I861" s="440"/>
      <c r="J861" s="440"/>
      <c r="K861" s="440"/>
      <c r="L861" s="440"/>
      <c r="M861" s="440"/>
      <c r="N861" s="440"/>
      <c r="O861" s="1987"/>
    </row>
    <row r="862" spans="1:15" s="82" customFormat="1" ht="22.5" x14ac:dyDescent="0.3">
      <c r="A862" s="1422"/>
      <c r="B862" s="449"/>
      <c r="C862" s="503" t="s">
        <v>490</v>
      </c>
      <c r="D862" s="503" t="s">
        <v>461</v>
      </c>
      <c r="E862" s="503" t="s">
        <v>172</v>
      </c>
      <c r="F862" s="503" t="s">
        <v>241</v>
      </c>
      <c r="G862" s="503" t="s">
        <v>268</v>
      </c>
      <c r="H862" s="503" t="s">
        <v>269</v>
      </c>
      <c r="I862" s="503" t="s">
        <v>270</v>
      </c>
      <c r="J862" s="503" t="s">
        <v>271</v>
      </c>
      <c r="K862" s="503" t="s">
        <v>272</v>
      </c>
      <c r="L862" s="503" t="s">
        <v>273</v>
      </c>
      <c r="M862" s="503" t="s">
        <v>274</v>
      </c>
      <c r="N862" s="503" t="s">
        <v>275</v>
      </c>
    </row>
    <row r="863" spans="1:15" s="82" customFormat="1" ht="15.75" x14ac:dyDescent="0.25">
      <c r="A863" s="1987"/>
      <c r="B863" s="449"/>
      <c r="C863" s="443" t="s">
        <v>473</v>
      </c>
      <c r="D863" s="453" t="s">
        <v>483</v>
      </c>
      <c r="E863" s="443" t="str">
        <f>INDEX(IPCC[Sector_description], MATCH(XII.a.Emissions[IPCC Sector], IPCC[Sector_code], 0))</f>
        <v>Fuel Combustion</v>
      </c>
      <c r="F863" s="502">
        <f t="shared" ref="F863:N863" si="265">F$813</f>
        <v>27.051870744483764</v>
      </c>
      <c r="G863" s="502">
        <f t="shared" si="265"/>
        <v>29.730167978423943</v>
      </c>
      <c r="H863" s="502">
        <f t="shared" si="265"/>
        <v>29.642317978851324</v>
      </c>
      <c r="I863" s="502">
        <f t="shared" si="265"/>
        <v>28.845399030176239</v>
      </c>
      <c r="J863" s="502">
        <f t="shared" si="265"/>
        <v>27.530432273518493</v>
      </c>
      <c r="K863" s="502">
        <f t="shared" si="265"/>
        <v>27.660641092964511</v>
      </c>
      <c r="L863" s="502">
        <f t="shared" si="265"/>
        <v>26.850300297879979</v>
      </c>
      <c r="M863" s="502">
        <f t="shared" si="265"/>
        <v>25.9530354844971</v>
      </c>
      <c r="N863" s="502">
        <f t="shared" si="265"/>
        <v>24.863863840334062</v>
      </c>
    </row>
    <row r="864" spans="1:15" s="82" customFormat="1" ht="15.75" x14ac:dyDescent="0.25">
      <c r="A864" s="1987"/>
      <c r="B864" s="449"/>
      <c r="C864" s="443" t="s">
        <v>474</v>
      </c>
      <c r="D864" s="453" t="s">
        <v>483</v>
      </c>
      <c r="E864" s="443" t="str">
        <f>INDEX(IPCC[Sector_description], MATCH(XII.a.Emissions[IPCC Sector], IPCC[Sector_code], 0))</f>
        <v>Fuel Combustion</v>
      </c>
      <c r="F864" s="502">
        <f t="shared" ref="F864:N864" si="266">F$814</f>
        <v>3.3679472282827985E-2</v>
      </c>
      <c r="G864" s="502">
        <f t="shared" si="266"/>
        <v>3.7013941765832475E-2</v>
      </c>
      <c r="H864" s="502">
        <f t="shared" si="266"/>
        <v>3.6904568863174503E-2</v>
      </c>
      <c r="I864" s="502">
        <f t="shared" si="266"/>
        <v>3.5912407918111733E-2</v>
      </c>
      <c r="J864" s="502">
        <f t="shared" si="266"/>
        <v>3.4275279497234391E-2</v>
      </c>
      <c r="K864" s="502">
        <f t="shared" si="266"/>
        <v>3.4437388963412661E-2</v>
      </c>
      <c r="L864" s="502">
        <f t="shared" si="266"/>
        <v>3.342851787255624E-2</v>
      </c>
      <c r="M864" s="502">
        <f t="shared" si="266"/>
        <v>3.2311426722072767E-2</v>
      </c>
      <c r="N864" s="502">
        <f t="shared" si="266"/>
        <v>3.0955412324868415E-2</v>
      </c>
    </row>
    <row r="865" spans="1:15" s="1427" customFormat="1" ht="15.75" x14ac:dyDescent="0.25">
      <c r="A865" s="1987"/>
      <c r="B865" s="449"/>
      <c r="C865" s="443" t="s">
        <v>475</v>
      </c>
      <c r="D865" s="453" t="s">
        <v>483</v>
      </c>
      <c r="E865" s="443" t="str">
        <f>INDEX(IPCC[Sector_description], MATCH(XII.a.Emissions[IPCC Sector], IPCC[Sector_code], 0))</f>
        <v>Fuel Combustion</v>
      </c>
      <c r="F865" s="502">
        <f t="shared" ref="F865:N865" si="267">F$815</f>
        <v>0.48671858642818505</v>
      </c>
      <c r="G865" s="502">
        <f t="shared" si="267"/>
        <v>0.53490664174054081</v>
      </c>
      <c r="H865" s="502">
        <f t="shared" si="267"/>
        <v>0.53332604023561825</v>
      </c>
      <c r="I865" s="502">
        <f t="shared" si="267"/>
        <v>0.5189878353898012</v>
      </c>
      <c r="J865" s="502">
        <f t="shared" si="267"/>
        <v>0.49532888895146582</v>
      </c>
      <c r="K865" s="502">
        <f t="shared" si="267"/>
        <v>0.49767161242297181</v>
      </c>
      <c r="L865" s="502">
        <f t="shared" si="267"/>
        <v>0.48309192105766913</v>
      </c>
      <c r="M865" s="502">
        <f t="shared" si="267"/>
        <v>0.46694828848798753</v>
      </c>
      <c r="N865" s="502">
        <f t="shared" si="267"/>
        <v>0.44735185879808176</v>
      </c>
    </row>
    <row r="866" spans="1:15" s="82" customFormat="1" ht="15.75" x14ac:dyDescent="0.25">
      <c r="A866" s="1987"/>
      <c r="B866" s="449"/>
      <c r="C866" s="443" t="s">
        <v>105</v>
      </c>
      <c r="D866" s="443"/>
      <c r="E866" s="443"/>
      <c r="F866" s="2097">
        <f>SUBTOTAL(109,XII.a.Emissions[2010])</f>
        <v>27.572268803194778</v>
      </c>
      <c r="G866" s="2097">
        <f>SUBTOTAL(109,XII.a.Emissions[2015])</f>
        <v>30.302088561930315</v>
      </c>
      <c r="H866" s="2097">
        <f>SUBTOTAL(109,XII.a.Emissions[2020])</f>
        <v>30.212548587950117</v>
      </c>
      <c r="I866" s="2097">
        <f>SUBTOTAL(109,XII.a.Emissions[2025])</f>
        <v>29.400299273484151</v>
      </c>
      <c r="J866" s="2097">
        <f>SUBTOTAL(109,XII.a.Emissions[2030])</f>
        <v>28.060036441967192</v>
      </c>
      <c r="K866" s="2097">
        <f>SUBTOTAL(109,XII.a.Emissions[2035])</f>
        <v>28.192750094350895</v>
      </c>
      <c r="L866" s="2097">
        <f>SUBTOTAL(109,XII.a.Emissions[2040])</f>
        <v>27.366820736810205</v>
      </c>
      <c r="M866" s="2097">
        <f>SUBTOTAL(109,XII.a.Emissions[2045])</f>
        <v>26.452295199707162</v>
      </c>
      <c r="N866" s="2097">
        <f>SUBTOTAL(109,XII.a.Emissions[2050])</f>
        <v>25.342171111457013</v>
      </c>
    </row>
    <row r="867" spans="1:15" s="82" customFormat="1" ht="15.75" x14ac:dyDescent="0.25">
      <c r="A867" s="1987"/>
      <c r="B867" s="449"/>
      <c r="C867" s="443"/>
      <c r="D867" s="443"/>
      <c r="E867" s="443"/>
      <c r="F867" s="512"/>
      <c r="G867" s="512"/>
      <c r="H867" s="512"/>
      <c r="I867" s="512"/>
      <c r="J867" s="512"/>
      <c r="K867" s="512"/>
      <c r="L867" s="512"/>
      <c r="M867" s="512"/>
      <c r="N867" s="512"/>
      <c r="O867" s="1987"/>
    </row>
    <row r="868" spans="1:15" s="82" customFormat="1" ht="15.75" x14ac:dyDescent="0.25">
      <c r="A868" s="1987"/>
      <c r="B868" s="449"/>
      <c r="C868" s="439" t="s">
        <v>1240</v>
      </c>
      <c r="D868" s="440"/>
      <c r="E868" s="441"/>
      <c r="F868" s="440"/>
      <c r="G868" s="441"/>
      <c r="H868" s="440"/>
      <c r="I868" s="440"/>
      <c r="J868" s="440"/>
      <c r="K868" s="440"/>
      <c r="L868" s="440"/>
      <c r="M868" s="440"/>
      <c r="N868" s="441" t="s">
        <v>493</v>
      </c>
      <c r="O868" s="1987"/>
    </row>
    <row r="869" spans="1:15" s="82" customFormat="1" ht="15.75" x14ac:dyDescent="0.25">
      <c r="A869" s="1987"/>
      <c r="B869" s="449"/>
      <c r="C869" s="440"/>
      <c r="D869" s="440"/>
      <c r="E869" s="440"/>
      <c r="F869" s="440"/>
      <c r="G869" s="440"/>
      <c r="H869" s="440"/>
      <c r="I869" s="440"/>
      <c r="J869" s="440"/>
      <c r="K869" s="440"/>
      <c r="L869" s="440"/>
      <c r="M869" s="440"/>
      <c r="N869" s="440"/>
      <c r="O869" s="1987"/>
    </row>
    <row r="870" spans="1:15" s="82" customFormat="1" ht="15.75" x14ac:dyDescent="0.25">
      <c r="A870" s="1987"/>
      <c r="B870" s="449"/>
      <c r="C870" s="503" t="s">
        <v>490</v>
      </c>
      <c r="D870" s="503" t="s">
        <v>461</v>
      </c>
      <c r="E870" s="503" t="s">
        <v>172</v>
      </c>
      <c r="F870" s="503" t="s">
        <v>241</v>
      </c>
      <c r="G870" s="503" t="s">
        <v>268</v>
      </c>
      <c r="H870" s="503" t="s">
        <v>269</v>
      </c>
      <c r="I870" s="503" t="s">
        <v>270</v>
      </c>
      <c r="J870" s="503" t="s">
        <v>271</v>
      </c>
      <c r="K870" s="503" t="s">
        <v>272</v>
      </c>
      <c r="L870" s="503" t="s">
        <v>273</v>
      </c>
      <c r="M870" s="503" t="s">
        <v>274</v>
      </c>
      <c r="N870" s="503" t="s">
        <v>275</v>
      </c>
    </row>
    <row r="871" spans="1:15" s="82" customFormat="1" ht="15.75" x14ac:dyDescent="0.25">
      <c r="A871" s="1987"/>
      <c r="B871" s="449"/>
      <c r="C871" s="443" t="s">
        <v>473</v>
      </c>
      <c r="D871" s="453" t="s">
        <v>483</v>
      </c>
      <c r="E871" s="443" t="str">
        <f>INDEX(IPCC[Sector_description], MATCH(XII.a.road.Emissions[IPCC Sector], IPCC[Sector_code], 0))</f>
        <v>Fuel Combustion</v>
      </c>
      <c r="F871" s="502">
        <f t="shared" ref="F871:N871" si="268">F$863*(F834/F825)</f>
        <v>20.851602419235615</v>
      </c>
      <c r="G871" s="502">
        <f t="shared" si="268"/>
        <v>19.588868095745539</v>
      </c>
      <c r="H871" s="502">
        <f t="shared" si="268"/>
        <v>18.434262835027553</v>
      </c>
      <c r="I871" s="502">
        <f t="shared" si="268"/>
        <v>17.256259703916946</v>
      </c>
      <c r="J871" s="502">
        <f t="shared" si="268"/>
        <v>15.999666668047443</v>
      </c>
      <c r="K871" s="502">
        <f t="shared" si="268"/>
        <v>16.57622418298573</v>
      </c>
      <c r="L871" s="502">
        <f t="shared" si="268"/>
        <v>16.847114515636044</v>
      </c>
      <c r="M871" s="502">
        <f t="shared" si="268"/>
        <v>17.367118663632262</v>
      </c>
      <c r="N871" s="502">
        <f t="shared" si="268"/>
        <v>18.017517325961446</v>
      </c>
    </row>
    <row r="872" spans="1:15" s="82" customFormat="1" ht="15.75" x14ac:dyDescent="0.25">
      <c r="A872" s="1987"/>
      <c r="B872" s="449"/>
      <c r="C872" s="443" t="s">
        <v>474</v>
      </c>
      <c r="D872" s="453" t="s">
        <v>483</v>
      </c>
      <c r="E872" s="443" t="str">
        <f>INDEX(IPCC[Sector_description], MATCH(XII.a.road.Emissions[IPCC Sector], IPCC[Sector_code], 0))</f>
        <v>Fuel Combustion</v>
      </c>
      <c r="F872" s="502">
        <f t="shared" ref="F872:N872" si="269">F864*(F$834/F$825)</f>
        <v>2.5960162695010558E-2</v>
      </c>
      <c r="G872" s="502">
        <f t="shared" si="269"/>
        <v>2.438806344722631E-2</v>
      </c>
      <c r="H872" s="502">
        <f t="shared" si="269"/>
        <v>2.2950584455726682E-2</v>
      </c>
      <c r="I872" s="502">
        <f t="shared" si="269"/>
        <v>2.1483975207957213E-2</v>
      </c>
      <c r="J872" s="502">
        <f t="shared" si="269"/>
        <v>1.991952183901631E-2</v>
      </c>
      <c r="K872" s="502">
        <f t="shared" si="269"/>
        <v>2.0637333669008873E-2</v>
      </c>
      <c r="L872" s="502">
        <f t="shared" si="269"/>
        <v>2.0974591063750884E-2</v>
      </c>
      <c r="M872" s="502">
        <f t="shared" si="269"/>
        <v>2.1621994175159195E-2</v>
      </c>
      <c r="N872" s="502">
        <f t="shared" si="269"/>
        <v>2.2431737942146951E-2</v>
      </c>
    </row>
    <row r="873" spans="1:15" s="82" customFormat="1" ht="15.75" x14ac:dyDescent="0.25">
      <c r="A873" s="1987"/>
      <c r="B873" s="449"/>
      <c r="C873" s="443" t="s">
        <v>475</v>
      </c>
      <c r="D873" s="453" t="s">
        <v>483</v>
      </c>
      <c r="E873" s="443" t="str">
        <f>INDEX(IPCC[Sector_description], MATCH(XII.a.road.Emissions[IPCC Sector], IPCC[Sector_code], 0))</f>
        <v>Fuel Combustion</v>
      </c>
      <c r="F873" s="502">
        <f t="shared" ref="F873:N873" si="270">F865*(F$834/F$825)</f>
        <v>0.37516305434522934</v>
      </c>
      <c r="G873" s="502">
        <f t="shared" si="270"/>
        <v>0.35244387640856983</v>
      </c>
      <c r="H873" s="502">
        <f t="shared" si="270"/>
        <v>0.33167016187742981</v>
      </c>
      <c r="I873" s="502">
        <f t="shared" si="270"/>
        <v>0.31047547171356948</v>
      </c>
      <c r="J873" s="502">
        <f t="shared" si="270"/>
        <v>0.28786678812525901</v>
      </c>
      <c r="K873" s="502">
        <f t="shared" si="270"/>
        <v>0.29824023923760151</v>
      </c>
      <c r="L873" s="502">
        <f t="shared" si="270"/>
        <v>0.30311411140082356</v>
      </c>
      <c r="M873" s="502">
        <f t="shared" si="270"/>
        <v>0.31247005155890384</v>
      </c>
      <c r="N873" s="502">
        <f t="shared" si="270"/>
        <v>0.32417205622001199</v>
      </c>
    </row>
    <row r="874" spans="1:15" s="82" customFormat="1" ht="15.75" x14ac:dyDescent="0.25">
      <c r="A874" s="1987"/>
      <c r="B874" s="449"/>
      <c r="C874" s="443" t="s">
        <v>105</v>
      </c>
      <c r="D874" s="443"/>
      <c r="E874" s="443"/>
      <c r="F874" s="2097">
        <f>SUBTOTAL(109,XII.a.road.Emissions[2010])</f>
        <v>21.252725636275855</v>
      </c>
      <c r="G874" s="2097">
        <f>SUBTOTAL(109,XII.a.road.Emissions[2015])</f>
        <v>19.965700035601337</v>
      </c>
      <c r="H874" s="2097">
        <f>SUBTOTAL(109,XII.a.road.Emissions[2020])</f>
        <v>18.788883581360711</v>
      </c>
      <c r="I874" s="2097">
        <f>SUBTOTAL(109,XII.a.road.Emissions[2025])</f>
        <v>17.588219150838473</v>
      </c>
      <c r="J874" s="2097">
        <f>SUBTOTAL(109,XII.a.road.Emissions[2030])</f>
        <v>16.307452978011721</v>
      </c>
      <c r="K874" s="2097">
        <f>SUBTOTAL(109,XII.a.road.Emissions[2035])</f>
        <v>16.895101755892338</v>
      </c>
      <c r="L874" s="2097">
        <f>SUBTOTAL(109,XII.a.road.Emissions[2040])</f>
        <v>17.171203218100619</v>
      </c>
      <c r="M874" s="2097">
        <f>SUBTOTAL(109,XII.a.road.Emissions[2045])</f>
        <v>17.701210709366325</v>
      </c>
      <c r="N874" s="2097">
        <f>SUBTOTAL(109,XII.a.road.Emissions[2050])</f>
        <v>18.364121120123603</v>
      </c>
    </row>
    <row r="875" spans="1:15" s="82" customFormat="1" ht="15.75" x14ac:dyDescent="0.25">
      <c r="A875" s="1987"/>
      <c r="B875" s="449"/>
      <c r="C875" s="443"/>
      <c r="D875" s="443"/>
      <c r="E875" s="443"/>
      <c r="F875" s="512"/>
      <c r="G875" s="512"/>
      <c r="H875" s="512"/>
      <c r="I875" s="512"/>
      <c r="J875" s="512"/>
      <c r="K875" s="512"/>
      <c r="L875" s="512"/>
      <c r="M875" s="512"/>
      <c r="N875" s="512"/>
      <c r="O875" s="1987"/>
    </row>
    <row r="876" spans="1:15" s="82" customFormat="1" ht="15.75" x14ac:dyDescent="0.25">
      <c r="A876" s="1987"/>
      <c r="B876" s="449"/>
      <c r="C876" s="439" t="s">
        <v>1239</v>
      </c>
      <c r="D876" s="440"/>
      <c r="E876" s="441"/>
      <c r="F876" s="440"/>
      <c r="G876" s="441"/>
      <c r="H876" s="440"/>
      <c r="I876" s="440"/>
      <c r="J876" s="440"/>
      <c r="K876" s="440"/>
      <c r="L876" s="440"/>
      <c r="M876" s="440"/>
      <c r="N876" s="441" t="s">
        <v>493</v>
      </c>
      <c r="O876" s="1987"/>
    </row>
    <row r="877" spans="1:15" s="82" customFormat="1" ht="15.75" x14ac:dyDescent="0.25">
      <c r="A877" s="1987"/>
      <c r="B877" s="449"/>
      <c r="C877" s="440"/>
      <c r="D877" s="440"/>
      <c r="E877" s="440"/>
      <c r="F877" s="440"/>
      <c r="G877" s="440"/>
      <c r="H877" s="440"/>
      <c r="I877" s="440"/>
      <c r="J877" s="440"/>
      <c r="K877" s="440"/>
      <c r="L877" s="440"/>
      <c r="M877" s="440"/>
      <c r="N877" s="440"/>
      <c r="O877" s="1987"/>
    </row>
    <row r="878" spans="1:15" s="82" customFormat="1" ht="15.75" x14ac:dyDescent="0.25">
      <c r="A878" s="1987"/>
      <c r="B878" s="449"/>
      <c r="C878" s="503" t="s">
        <v>490</v>
      </c>
      <c r="D878" s="503" t="s">
        <v>461</v>
      </c>
      <c r="E878" s="503" t="s">
        <v>172</v>
      </c>
      <c r="F878" s="503" t="s">
        <v>241</v>
      </c>
      <c r="G878" s="503" t="s">
        <v>268</v>
      </c>
      <c r="H878" s="503" t="s">
        <v>269</v>
      </c>
      <c r="I878" s="503" t="s">
        <v>270</v>
      </c>
      <c r="J878" s="503" t="s">
        <v>271</v>
      </c>
      <c r="K878" s="503" t="s">
        <v>272</v>
      </c>
      <c r="L878" s="503" t="s">
        <v>273</v>
      </c>
      <c r="M878" s="503" t="s">
        <v>274</v>
      </c>
      <c r="N878" s="503" t="s">
        <v>275</v>
      </c>
    </row>
    <row r="879" spans="1:15" s="82" customFormat="1" ht="15.75" x14ac:dyDescent="0.25">
      <c r="A879" s="1987"/>
      <c r="B879" s="449"/>
      <c r="C879" s="443" t="s">
        <v>473</v>
      </c>
      <c r="D879" s="453" t="s">
        <v>483</v>
      </c>
      <c r="E879" s="443" t="str">
        <f>INDEX(IPCC[Sector_description], MATCH(XII.a.Rail.Emissions[IPCC Sector], IPCC[Sector_code], 0))</f>
        <v>Fuel Combustion</v>
      </c>
      <c r="F879" s="502">
        <f t="shared" ref="F879:N879" si="271">F863*(F$843/F$825)</f>
        <v>6.2002683252481505</v>
      </c>
      <c r="G879" s="502">
        <f t="shared" si="271"/>
        <v>10.141299882678405</v>
      </c>
      <c r="H879" s="502">
        <f t="shared" si="271"/>
        <v>11.208055143823772</v>
      </c>
      <c r="I879" s="502">
        <f t="shared" si="271"/>
        <v>11.589139326259293</v>
      </c>
      <c r="J879" s="502">
        <f t="shared" si="271"/>
        <v>11.53076560547105</v>
      </c>
      <c r="K879" s="502">
        <f t="shared" si="271"/>
        <v>11.084416909978783</v>
      </c>
      <c r="L879" s="502">
        <f t="shared" si="271"/>
        <v>10.003185782243936</v>
      </c>
      <c r="M879" s="502">
        <f t="shared" si="271"/>
        <v>8.5859168208648367</v>
      </c>
      <c r="N879" s="502">
        <f t="shared" si="271"/>
        <v>6.846346514372617</v>
      </c>
    </row>
    <row r="880" spans="1:15" s="82" customFormat="1" ht="15.75" x14ac:dyDescent="0.25">
      <c r="A880" s="1987"/>
      <c r="B880" s="449"/>
      <c r="C880" s="443" t="s">
        <v>474</v>
      </c>
      <c r="D880" s="453" t="s">
        <v>483</v>
      </c>
      <c r="E880" s="443" t="str">
        <f>INDEX(IPCC[Sector_description], MATCH(XII.a.Rail.Emissions[IPCC Sector], IPCC[Sector_code], 0))</f>
        <v>Fuel Combustion</v>
      </c>
      <c r="F880" s="502">
        <f t="shared" ref="F880:N880" si="272">F864*(F$843/F$825)</f>
        <v>7.7193095878174307E-3</v>
      </c>
      <c r="G880" s="502">
        <f t="shared" si="272"/>
        <v>1.2625878318606168E-2</v>
      </c>
      <c r="H880" s="502">
        <f t="shared" si="272"/>
        <v>1.3953984407447821E-2</v>
      </c>
      <c r="I880" s="502">
        <f t="shared" si="272"/>
        <v>1.442843271015452E-2</v>
      </c>
      <c r="J880" s="502">
        <f t="shared" si="272"/>
        <v>1.4355757658218083E-2</v>
      </c>
      <c r="K880" s="502">
        <f t="shared" si="272"/>
        <v>1.3800055294403793E-2</v>
      </c>
      <c r="L880" s="502">
        <f t="shared" si="272"/>
        <v>1.2453926808805355E-2</v>
      </c>
      <c r="M880" s="502">
        <f t="shared" si="272"/>
        <v>1.0689432546913572E-2</v>
      </c>
      <c r="N880" s="502">
        <f t="shared" si="272"/>
        <v>8.5236743827214658E-3</v>
      </c>
    </row>
    <row r="881" spans="1:15" s="82" customFormat="1" ht="15.75" x14ac:dyDescent="0.25">
      <c r="A881" s="1987"/>
      <c r="B881" s="449"/>
      <c r="C881" s="443" t="s">
        <v>475</v>
      </c>
      <c r="D881" s="453" t="s">
        <v>483</v>
      </c>
      <c r="E881" s="443" t="str">
        <f>INDEX(IPCC[Sector_description], MATCH(XII.a.Rail.Emissions[IPCC Sector], IPCC[Sector_code], 0))</f>
        <v>Fuel Combustion</v>
      </c>
      <c r="F881" s="502">
        <f t="shared" ref="F881:N881" si="273">F865*(F$843/F$825)</f>
        <v>0.11155553208295572</v>
      </c>
      <c r="G881" s="502">
        <f t="shared" si="273"/>
        <v>0.18246276533197101</v>
      </c>
      <c r="H881" s="502">
        <f t="shared" si="273"/>
        <v>0.20165587835818843</v>
      </c>
      <c r="I881" s="502">
        <f t="shared" si="273"/>
        <v>0.20851236367623172</v>
      </c>
      <c r="J881" s="502">
        <f t="shared" si="273"/>
        <v>0.20746210082620678</v>
      </c>
      <c r="K881" s="502">
        <f t="shared" si="273"/>
        <v>0.19943137318537035</v>
      </c>
      <c r="L881" s="502">
        <f t="shared" si="273"/>
        <v>0.17997780965684551</v>
      </c>
      <c r="M881" s="502">
        <f t="shared" si="273"/>
        <v>0.15447823692908366</v>
      </c>
      <c r="N881" s="502">
        <f t="shared" si="273"/>
        <v>0.12317980257806981</v>
      </c>
    </row>
    <row r="882" spans="1:15" s="82" customFormat="1" ht="15.75" x14ac:dyDescent="0.25">
      <c r="A882" s="1987"/>
      <c r="B882" s="449"/>
      <c r="C882" s="443" t="s">
        <v>105</v>
      </c>
      <c r="D882" s="443"/>
      <c r="E882" s="443"/>
      <c r="F882" s="2097">
        <f>SUBTOTAL(109,XII.a.Rail.Emissions[2010])</f>
        <v>6.3195431669189235</v>
      </c>
      <c r="G882" s="2097">
        <f>SUBTOTAL(109,XII.a.Rail.Emissions[2015])</f>
        <v>10.336388526328982</v>
      </c>
      <c r="H882" s="2097">
        <f>SUBTOTAL(109,XII.a.Rail.Emissions[2020])</f>
        <v>11.423665006589408</v>
      </c>
      <c r="I882" s="2097">
        <f>SUBTOTAL(109,XII.a.Rail.Emissions[2025])</f>
        <v>11.812080122645678</v>
      </c>
      <c r="J882" s="2097">
        <f>SUBTOTAL(109,XII.a.Rail.Emissions[2030])</f>
        <v>11.752583463955476</v>
      </c>
      <c r="K882" s="2097">
        <f>SUBTOTAL(109,XII.a.Rail.Emissions[2035])</f>
        <v>11.297648338458558</v>
      </c>
      <c r="L882" s="2097">
        <f>SUBTOTAL(109,XII.a.Rail.Emissions[2040])</f>
        <v>10.195617518709586</v>
      </c>
      <c r="M882" s="2097">
        <f>SUBTOTAL(109,XII.a.Rail.Emissions[2045])</f>
        <v>8.7510844903408334</v>
      </c>
      <c r="N882" s="2097">
        <f>SUBTOTAL(109,XII.a.Rail.Emissions[2050])</f>
        <v>6.9780499913334086</v>
      </c>
    </row>
    <row r="883" spans="1:15" s="82" customFormat="1" ht="15.75" x14ac:dyDescent="0.25">
      <c r="A883" s="1987"/>
      <c r="B883" s="449"/>
      <c r="C883" s="443"/>
      <c r="D883" s="443"/>
      <c r="E883" s="443"/>
      <c r="F883" s="512"/>
      <c r="G883" s="512"/>
      <c r="H883" s="512"/>
      <c r="I883" s="512"/>
      <c r="J883" s="512"/>
      <c r="K883" s="512"/>
      <c r="L883" s="512"/>
      <c r="M883" s="512"/>
      <c r="N883" s="512"/>
      <c r="O883" s="1987"/>
    </row>
    <row r="884" spans="1:15" s="82" customFormat="1" ht="15.75" x14ac:dyDescent="0.25">
      <c r="A884" s="1987"/>
      <c r="B884" s="449"/>
      <c r="C884" s="439" t="s">
        <v>1241</v>
      </c>
      <c r="D884" s="440"/>
      <c r="E884" s="441"/>
      <c r="F884" s="440"/>
      <c r="G884" s="441"/>
      <c r="H884" s="440"/>
      <c r="I884" s="440"/>
      <c r="J884" s="440"/>
      <c r="K884" s="440"/>
      <c r="L884" s="440"/>
      <c r="M884" s="440"/>
      <c r="N884" s="441" t="s">
        <v>493</v>
      </c>
      <c r="O884" s="1987"/>
    </row>
    <row r="885" spans="1:15" s="82" customFormat="1" ht="15.75" x14ac:dyDescent="0.25">
      <c r="A885" s="1987"/>
      <c r="B885" s="449"/>
      <c r="C885" s="440"/>
      <c r="D885" s="440"/>
      <c r="E885" s="440"/>
      <c r="F885" s="440"/>
      <c r="G885" s="440"/>
      <c r="H885" s="440"/>
      <c r="I885" s="440"/>
      <c r="J885" s="440"/>
      <c r="K885" s="440"/>
      <c r="L885" s="440"/>
      <c r="M885" s="440"/>
      <c r="N885" s="440"/>
      <c r="O885" s="1987"/>
    </row>
    <row r="886" spans="1:15" s="82" customFormat="1" ht="15.75" x14ac:dyDescent="0.25">
      <c r="A886" s="1987"/>
      <c r="B886" s="449"/>
      <c r="C886" s="503" t="s">
        <v>490</v>
      </c>
      <c r="D886" s="503" t="s">
        <v>461</v>
      </c>
      <c r="E886" s="503" t="s">
        <v>172</v>
      </c>
      <c r="F886" s="503" t="s">
        <v>241</v>
      </c>
      <c r="G886" s="503" t="s">
        <v>268</v>
      </c>
      <c r="H886" s="503" t="s">
        <v>269</v>
      </c>
      <c r="I886" s="503" t="s">
        <v>270</v>
      </c>
      <c r="J886" s="503" t="s">
        <v>271</v>
      </c>
      <c r="K886" s="503" t="s">
        <v>272</v>
      </c>
      <c r="L886" s="503" t="s">
        <v>273</v>
      </c>
      <c r="M886" s="503" t="s">
        <v>274</v>
      </c>
      <c r="N886" s="503" t="s">
        <v>275</v>
      </c>
    </row>
    <row r="887" spans="1:15" s="82" customFormat="1" ht="15.75" x14ac:dyDescent="0.25">
      <c r="A887" s="1987"/>
      <c r="B887" s="449"/>
      <c r="C887" s="443" t="s">
        <v>473</v>
      </c>
      <c r="D887" s="453" t="s">
        <v>483</v>
      </c>
      <c r="E887" s="443" t="str">
        <f>INDEX(IPCC[Sector_description], MATCH(XII.a.Aviation.Emissions[IPCC Sector], IPCC[Sector_code], 0))</f>
        <v>Fuel Combustion</v>
      </c>
      <c r="F887" s="502">
        <f t="shared" ref="F887:N887" si="274">F863*(F$852/F$825)</f>
        <v>0</v>
      </c>
      <c r="G887" s="502">
        <f t="shared" si="274"/>
        <v>0</v>
      </c>
      <c r="H887" s="502">
        <f t="shared" si="274"/>
        <v>0</v>
      </c>
      <c r="I887" s="502">
        <f t="shared" si="274"/>
        <v>0</v>
      </c>
      <c r="J887" s="502">
        <f t="shared" si="274"/>
        <v>0</v>
      </c>
      <c r="K887" s="502">
        <f t="shared" si="274"/>
        <v>0</v>
      </c>
      <c r="L887" s="502">
        <f t="shared" si="274"/>
        <v>0</v>
      </c>
      <c r="M887" s="502">
        <f t="shared" si="274"/>
        <v>0</v>
      </c>
      <c r="N887" s="502">
        <f t="shared" si="274"/>
        <v>0</v>
      </c>
    </row>
    <row r="888" spans="1:15" s="82" customFormat="1" ht="15.75" x14ac:dyDescent="0.25">
      <c r="A888" s="1987"/>
      <c r="B888" s="449"/>
      <c r="C888" s="443" t="s">
        <v>474</v>
      </c>
      <c r="D888" s="453" t="s">
        <v>483</v>
      </c>
      <c r="E888" s="443" t="str">
        <f>INDEX(IPCC[Sector_description], MATCH(XII.a.Aviation.Emissions[IPCC Sector], IPCC[Sector_code], 0))</f>
        <v>Fuel Combustion</v>
      </c>
      <c r="F888" s="502">
        <f t="shared" ref="F888:N888" si="275">F864*(F$852/F$825)</f>
        <v>0</v>
      </c>
      <c r="G888" s="502">
        <f t="shared" si="275"/>
        <v>0</v>
      </c>
      <c r="H888" s="502">
        <f t="shared" si="275"/>
        <v>0</v>
      </c>
      <c r="I888" s="502">
        <f t="shared" si="275"/>
        <v>0</v>
      </c>
      <c r="J888" s="502">
        <f t="shared" si="275"/>
        <v>0</v>
      </c>
      <c r="K888" s="502">
        <f t="shared" si="275"/>
        <v>0</v>
      </c>
      <c r="L888" s="502">
        <f t="shared" si="275"/>
        <v>0</v>
      </c>
      <c r="M888" s="502">
        <f t="shared" si="275"/>
        <v>0</v>
      </c>
      <c r="N888" s="502">
        <f t="shared" si="275"/>
        <v>0</v>
      </c>
    </row>
    <row r="889" spans="1:15" s="82" customFormat="1" ht="15.75" x14ac:dyDescent="0.25">
      <c r="A889" s="1987"/>
      <c r="B889" s="449"/>
      <c r="C889" s="443" t="s">
        <v>475</v>
      </c>
      <c r="D889" s="453" t="s">
        <v>483</v>
      </c>
      <c r="E889" s="443" t="str">
        <f>INDEX(IPCC[Sector_description], MATCH(XII.a.Aviation.Emissions[IPCC Sector], IPCC[Sector_code], 0))</f>
        <v>Fuel Combustion</v>
      </c>
      <c r="F889" s="502">
        <f t="shared" ref="F889:N889" si="276">F865*(F$852/F$825)</f>
        <v>0</v>
      </c>
      <c r="G889" s="502">
        <f t="shared" si="276"/>
        <v>0</v>
      </c>
      <c r="H889" s="502">
        <f t="shared" si="276"/>
        <v>0</v>
      </c>
      <c r="I889" s="502">
        <f t="shared" si="276"/>
        <v>0</v>
      </c>
      <c r="J889" s="502">
        <f t="shared" si="276"/>
        <v>0</v>
      </c>
      <c r="K889" s="502">
        <f t="shared" si="276"/>
        <v>0</v>
      </c>
      <c r="L889" s="502">
        <f t="shared" si="276"/>
        <v>0</v>
      </c>
      <c r="M889" s="502">
        <f t="shared" si="276"/>
        <v>0</v>
      </c>
      <c r="N889" s="502">
        <f t="shared" si="276"/>
        <v>0</v>
      </c>
    </row>
    <row r="890" spans="1:15" s="82" customFormat="1" ht="15.75" x14ac:dyDescent="0.25">
      <c r="A890" s="1987"/>
      <c r="B890" s="449"/>
      <c r="C890" s="443" t="s">
        <v>105</v>
      </c>
      <c r="D890" s="443"/>
      <c r="E890" s="443"/>
      <c r="F890" s="2097">
        <f>SUBTOTAL(109,XII.a.Aviation.Emissions[2010])</f>
        <v>0</v>
      </c>
      <c r="G890" s="2097">
        <f>SUBTOTAL(109,XII.a.Aviation.Emissions[2015])</f>
        <v>0</v>
      </c>
      <c r="H890" s="2097">
        <f>SUBTOTAL(109,XII.a.Aviation.Emissions[2020])</f>
        <v>0</v>
      </c>
      <c r="I890" s="2097">
        <f>SUBTOTAL(109,XII.a.Aviation.Emissions[2025])</f>
        <v>0</v>
      </c>
      <c r="J890" s="2097">
        <f>SUBTOTAL(109,XII.a.Aviation.Emissions[2030])</f>
        <v>0</v>
      </c>
      <c r="K890" s="2097">
        <f>SUBTOTAL(109,XII.a.Aviation.Emissions[2035])</f>
        <v>0</v>
      </c>
      <c r="L890" s="2097">
        <f>SUBTOTAL(109,XII.a.Aviation.Emissions[2040])</f>
        <v>0</v>
      </c>
      <c r="M890" s="2097">
        <f>SUBTOTAL(109,XII.a.Aviation.Emissions[2045])</f>
        <v>0</v>
      </c>
      <c r="N890" s="2097">
        <f>SUBTOTAL(109,XII.a.Aviation.Emissions[2050])</f>
        <v>0</v>
      </c>
    </row>
    <row r="891" spans="1:15" s="82" customFormat="1" ht="15.75" x14ac:dyDescent="0.25">
      <c r="A891" s="1987"/>
      <c r="B891" s="449"/>
      <c r="C891" s="440"/>
      <c r="D891" s="440"/>
      <c r="E891" s="440"/>
      <c r="F891" s="440"/>
      <c r="G891" s="440"/>
      <c r="H891" s="440"/>
      <c r="I891" s="440"/>
      <c r="J891" s="440"/>
      <c r="K891" s="440"/>
      <c r="L891" s="440"/>
      <c r="M891" s="440"/>
      <c r="N891" s="440"/>
      <c r="O891" s="1987"/>
    </row>
    <row r="892" spans="1:15" x14ac:dyDescent="0.2">
      <c r="A892" s="1987"/>
      <c r="B892" s="1987"/>
      <c r="C892" s="1987"/>
      <c r="D892" s="1987"/>
      <c r="E892" s="1987"/>
      <c r="F892" s="1987"/>
      <c r="G892" s="1987"/>
      <c r="H892" s="1987"/>
      <c r="I892" s="1987"/>
      <c r="J892" s="1987"/>
      <c r="K892" s="1987"/>
      <c r="L892" s="1987"/>
      <c r="M892" s="1987"/>
      <c r="N892" s="1987"/>
      <c r="O892" s="1987"/>
    </row>
    <row r="893" spans="1:15" s="1216" customFormat="1" ht="15.75" x14ac:dyDescent="0.2">
      <c r="A893" s="1987"/>
      <c r="B893" s="1430" t="s">
        <v>1225</v>
      </c>
      <c r="C893" s="1218"/>
      <c r="D893" s="1431"/>
      <c r="E893" s="1431"/>
      <c r="F893" s="1431"/>
      <c r="G893" s="1431"/>
      <c r="H893" s="1431"/>
      <c r="I893" s="1431"/>
      <c r="J893" s="1431"/>
      <c r="K893" s="1431"/>
      <c r="L893" s="1431"/>
      <c r="M893" s="1431"/>
      <c r="N893" s="1431"/>
      <c r="O893" s="1987"/>
    </row>
    <row r="894" spans="1:15" x14ac:dyDescent="0.2">
      <c r="A894" s="1987"/>
      <c r="B894" s="1219"/>
      <c r="C894" s="1220"/>
      <c r="D894" s="1220"/>
      <c r="E894" s="1220"/>
      <c r="F894" s="1220"/>
      <c r="G894" s="1220"/>
      <c r="H894" s="1220"/>
      <c r="I894" s="1220"/>
      <c r="J894" s="1220"/>
      <c r="K894" s="1220"/>
      <c r="L894" s="1220"/>
      <c r="M894" s="1220"/>
      <c r="N894" s="1220"/>
      <c r="O894" s="1987"/>
    </row>
    <row r="895" spans="1:15" x14ac:dyDescent="0.2">
      <c r="A895" s="1987"/>
      <c r="B895" s="1433"/>
      <c r="C895" s="1222" t="s">
        <v>2413</v>
      </c>
      <c r="D895" s="1434"/>
      <c r="E895" s="1223"/>
      <c r="F895" s="1434"/>
      <c r="G895" s="1223"/>
      <c r="H895" s="1434"/>
      <c r="I895" s="1434"/>
      <c r="J895" s="1434"/>
      <c r="K895" s="1434"/>
      <c r="L895" s="1434"/>
      <c r="M895" s="1434"/>
      <c r="N895" s="1434"/>
      <c r="O895" s="1987"/>
    </row>
    <row r="896" spans="1:15" x14ac:dyDescent="0.2">
      <c r="A896" s="1987"/>
      <c r="B896" s="1433"/>
      <c r="C896" s="1434"/>
      <c r="D896" s="1434"/>
      <c r="E896" s="1434"/>
      <c r="F896" s="1434"/>
      <c r="G896" s="1434"/>
      <c r="H896" s="1434"/>
      <c r="I896" s="1434"/>
      <c r="J896" s="1434"/>
      <c r="K896" s="1434"/>
      <c r="L896" s="1434"/>
      <c r="M896" s="1434"/>
      <c r="N896" s="1434"/>
      <c r="O896" s="1987"/>
    </row>
    <row r="897" spans="1:15" ht="15.75" x14ac:dyDescent="0.25">
      <c r="A897" s="1987"/>
      <c r="B897" s="1436"/>
      <c r="C897" s="1437" t="s">
        <v>64</v>
      </c>
      <c r="D897" s="1437" t="s">
        <v>1226</v>
      </c>
      <c r="E897" s="1437" t="s">
        <v>172</v>
      </c>
      <c r="F897" s="1437" t="s">
        <v>241</v>
      </c>
      <c r="G897" s="1437" t="s">
        <v>268</v>
      </c>
      <c r="H897" s="1437" t="s">
        <v>269</v>
      </c>
      <c r="I897" s="1437" t="s">
        <v>270</v>
      </c>
      <c r="J897" s="1437" t="s">
        <v>271</v>
      </c>
      <c r="K897" s="1437" t="s">
        <v>272</v>
      </c>
      <c r="L897" s="1437" t="s">
        <v>273</v>
      </c>
      <c r="M897" s="1437" t="s">
        <v>274</v>
      </c>
      <c r="N897" s="1437" t="s">
        <v>275</v>
      </c>
    </row>
    <row r="898" spans="1:15" ht="15.75" x14ac:dyDescent="0.25">
      <c r="A898" s="1987"/>
      <c r="B898" s="1436"/>
      <c r="C898" s="1438" t="s">
        <v>1583</v>
      </c>
      <c r="D898" s="1439" t="str">
        <f>INDEX(Vectors[Description], MATCH(XII.a.Car.PHEV.Info[Vector], Vectors[Code], 0))</f>
        <v>Shiftable electricity demand</v>
      </c>
      <c r="E898" s="1439" t="str">
        <f>Preferences.PowerUnits</f>
        <v>GW</v>
      </c>
      <c r="F898" s="1226">
        <f t="shared" ref="F898:N898" si="277">F778*Conversion.to.average.power</f>
        <v>0</v>
      </c>
      <c r="G898" s="1226">
        <f t="shared" si="277"/>
        <v>6.1899548897197752E-2</v>
      </c>
      <c r="H898" s="1226">
        <f t="shared" si="277"/>
        <v>0.13662384309458839</v>
      </c>
      <c r="I898" s="1226">
        <f t="shared" si="277"/>
        <v>0.2170345387610462</v>
      </c>
      <c r="J898" s="1226">
        <f t="shared" si="277"/>
        <v>0.30811148619890655</v>
      </c>
      <c r="K898" s="1226">
        <f t="shared" si="277"/>
        <v>0.41310341666834949</v>
      </c>
      <c r="L898" s="1226">
        <f t="shared" si="277"/>
        <v>0.52527123231433825</v>
      </c>
      <c r="M898" s="1226">
        <f t="shared" si="277"/>
        <v>0.6624898985080756</v>
      </c>
      <c r="N898" s="1226">
        <f t="shared" si="277"/>
        <v>0.82535483496293915</v>
      </c>
    </row>
    <row r="899" spans="1:15" ht="15.75" x14ac:dyDescent="0.25">
      <c r="A899" s="1987"/>
      <c r="B899" s="1436"/>
      <c r="C899" s="1438"/>
      <c r="D899" s="1439"/>
      <c r="E899" s="1438"/>
      <c r="F899" s="1196"/>
      <c r="G899" s="1196"/>
      <c r="H899" s="1196"/>
      <c r="I899" s="1196"/>
      <c r="J899" s="1196"/>
      <c r="K899" s="1196"/>
      <c r="L899" s="1196"/>
      <c r="M899" s="1196"/>
      <c r="N899" s="1196"/>
      <c r="O899" s="1987"/>
    </row>
    <row r="900" spans="1:15" s="82" customFormat="1" x14ac:dyDescent="0.2">
      <c r="A900" s="1987"/>
      <c r="B900" s="1433"/>
      <c r="C900" s="1222" t="s">
        <v>948</v>
      </c>
      <c r="D900" s="1434"/>
      <c r="E900" s="1223"/>
      <c r="F900" s="1434"/>
      <c r="G900" s="1223"/>
      <c r="H900" s="1434"/>
      <c r="I900" s="1434"/>
      <c r="J900" s="1434"/>
      <c r="K900" s="1434"/>
      <c r="L900" s="1434"/>
      <c r="M900" s="1434"/>
      <c r="N900" s="1434"/>
      <c r="O900" s="1987"/>
    </row>
    <row r="901" spans="1:15" s="82" customFormat="1" x14ac:dyDescent="0.2">
      <c r="A901" s="1987"/>
      <c r="B901" s="1433"/>
      <c r="C901" s="1434"/>
      <c r="D901" s="1434"/>
      <c r="E901" s="1434"/>
      <c r="F901" s="1434"/>
      <c r="G901" s="1434"/>
      <c r="H901" s="1434"/>
      <c r="I901" s="1434"/>
      <c r="J901" s="1434"/>
      <c r="K901" s="1434"/>
      <c r="L901" s="1434"/>
      <c r="M901" s="1434"/>
      <c r="N901" s="1434"/>
      <c r="O901" s="1987"/>
    </row>
    <row r="902" spans="1:15" s="82" customFormat="1" ht="15.75" x14ac:dyDescent="0.25">
      <c r="A902" s="1987"/>
      <c r="B902" s="1436"/>
      <c r="C902" s="1437" t="s">
        <v>64</v>
      </c>
      <c r="D902" s="1437" t="s">
        <v>1226</v>
      </c>
      <c r="E902" s="1437" t="s">
        <v>172</v>
      </c>
      <c r="F902" s="1437" t="s">
        <v>241</v>
      </c>
      <c r="G902" s="1437" t="s">
        <v>268</v>
      </c>
      <c r="H902" s="1437" t="s">
        <v>269</v>
      </c>
      <c r="I902" s="1437" t="s">
        <v>270</v>
      </c>
      <c r="J902" s="1437" t="s">
        <v>271</v>
      </c>
      <c r="K902" s="1437" t="s">
        <v>272</v>
      </c>
      <c r="L902" s="1437" t="s">
        <v>273</v>
      </c>
      <c r="M902" s="1437" t="s">
        <v>274</v>
      </c>
      <c r="N902" s="1437" t="s">
        <v>275</v>
      </c>
    </row>
    <row r="903" spans="1:15" s="82" customFormat="1" ht="15.75" x14ac:dyDescent="0.25">
      <c r="A903" s="1987"/>
      <c r="B903" s="1436"/>
      <c r="C903" s="1438" t="s">
        <v>1583</v>
      </c>
      <c r="D903" s="1439" t="str">
        <f>INDEX(Vectors[Description], MATCH(XII.a.Car.EV.Info[Vector], Vectors[Code], 0))</f>
        <v>Shiftable electricity demand</v>
      </c>
      <c r="E903" s="1439" t="str">
        <f>Preferences.PowerUnits</f>
        <v>GW</v>
      </c>
      <c r="F903" s="1226">
        <f t="shared" ref="F903:N903" si="278">F779*Conversion.to.average.power</f>
        <v>0</v>
      </c>
      <c r="G903" s="1226">
        <f t="shared" si="278"/>
        <v>1.2723442733236948E-2</v>
      </c>
      <c r="H903" s="1226">
        <f t="shared" si="278"/>
        <v>2.76339597772647E-2</v>
      </c>
      <c r="I903" s="1226">
        <f t="shared" si="278"/>
        <v>4.2436461538726745E-2</v>
      </c>
      <c r="J903" s="1226">
        <f t="shared" si="278"/>
        <v>5.8274607047680532E-2</v>
      </c>
      <c r="K903" s="1226">
        <f t="shared" si="278"/>
        <v>7.5601766448603294E-2</v>
      </c>
      <c r="L903" s="1226">
        <f t="shared" si="278"/>
        <v>9.3167374538934644E-2</v>
      </c>
      <c r="M903" s="1226">
        <f t="shared" si="278"/>
        <v>0.11362811751306946</v>
      </c>
      <c r="N903" s="1226">
        <f t="shared" si="278"/>
        <v>0.13749867360481496</v>
      </c>
    </row>
    <row r="904" spans="1:15" s="82" customFormat="1" ht="15.75" x14ac:dyDescent="0.25">
      <c r="A904" s="1987"/>
      <c r="B904" s="1436"/>
      <c r="C904" s="1438"/>
      <c r="D904" s="1439"/>
      <c r="E904" s="1438"/>
      <c r="F904" s="1196"/>
      <c r="G904" s="1196"/>
      <c r="H904" s="1196"/>
      <c r="I904" s="1196"/>
      <c r="J904" s="1196"/>
      <c r="K904" s="1196"/>
      <c r="L904" s="1196"/>
      <c r="M904" s="1196"/>
      <c r="N904" s="1196"/>
      <c r="O904" s="1987"/>
    </row>
    <row r="905" spans="1:15" s="82" customFormat="1" x14ac:dyDescent="0.2">
      <c r="A905" s="1987"/>
      <c r="B905" s="1433"/>
      <c r="C905" s="1222" t="s">
        <v>1230</v>
      </c>
      <c r="D905" s="1434"/>
      <c r="E905" s="1223"/>
      <c r="F905" s="1434"/>
      <c r="G905" s="1223"/>
      <c r="H905" s="1434"/>
      <c r="I905" s="1434"/>
      <c r="J905" s="1434"/>
      <c r="K905" s="1434"/>
      <c r="L905" s="1434"/>
      <c r="M905" s="1434"/>
      <c r="N905" s="1434"/>
      <c r="O905" s="1987"/>
    </row>
    <row r="906" spans="1:15" s="82" customFormat="1" x14ac:dyDescent="0.2">
      <c r="A906" s="1987"/>
      <c r="B906" s="1433"/>
      <c r="C906" s="1434"/>
      <c r="D906" s="1434"/>
      <c r="E906" s="1434"/>
      <c r="F906" s="1434"/>
      <c r="G906" s="1434"/>
      <c r="H906" s="1434"/>
      <c r="I906" s="1434"/>
      <c r="J906" s="1434"/>
      <c r="K906" s="1434"/>
      <c r="L906" s="1434"/>
      <c r="M906" s="1434"/>
      <c r="N906" s="1434"/>
      <c r="O906" s="1987"/>
    </row>
    <row r="907" spans="1:15" s="82" customFormat="1" ht="15.75" x14ac:dyDescent="0.25">
      <c r="A907" s="1987"/>
      <c r="B907" s="1436"/>
      <c r="C907" s="1437" t="s">
        <v>64</v>
      </c>
      <c r="D907" s="1437" t="s">
        <v>1226</v>
      </c>
      <c r="E907" s="1437" t="s">
        <v>172</v>
      </c>
      <c r="F907" s="1437" t="s">
        <v>241</v>
      </c>
      <c r="G907" s="1437" t="s">
        <v>268</v>
      </c>
      <c r="H907" s="1437" t="s">
        <v>269</v>
      </c>
      <c r="I907" s="1437" t="s">
        <v>270</v>
      </c>
      <c r="J907" s="1437" t="s">
        <v>271</v>
      </c>
      <c r="K907" s="1437" t="s">
        <v>272</v>
      </c>
      <c r="L907" s="1437" t="s">
        <v>273</v>
      </c>
      <c r="M907" s="1437" t="s">
        <v>274</v>
      </c>
      <c r="N907" s="1437" t="s">
        <v>275</v>
      </c>
    </row>
    <row r="908" spans="1:15" s="82" customFormat="1" ht="15.75" x14ac:dyDescent="0.25">
      <c r="A908" s="1987"/>
      <c r="B908" s="1436"/>
      <c r="C908" s="1438" t="s">
        <v>1227</v>
      </c>
      <c r="D908" s="1439" t="str">
        <f>INDEX(Vectors[Description], MATCH(XII.a.info[Vector], Vectors[Code], 0))</f>
        <v>Nigeria Land area</v>
      </c>
      <c r="E908" s="1439">
        <f>INDEX(Vectors[Comment], MATCH(XII.a.info[Information type], Vectors[Description], 0))</f>
        <v>0</v>
      </c>
      <c r="F908" s="1226"/>
      <c r="G908" s="1226"/>
      <c r="H908" s="1226"/>
      <c r="I908" s="1226"/>
      <c r="J908" s="1226"/>
      <c r="K908" s="1226"/>
      <c r="L908" s="1226"/>
      <c r="M908" s="1226"/>
      <c r="N908" s="1226"/>
    </row>
    <row r="909" spans="1:15" s="82" customFormat="1" ht="15.75" x14ac:dyDescent="0.25">
      <c r="A909" s="1987"/>
      <c r="B909" s="1436"/>
      <c r="C909" s="1438" t="s">
        <v>1233</v>
      </c>
      <c r="D909" s="1439" t="str">
        <f>INDEX(Vectors[Description], MATCH(XII.a.info[Vector], Vectors[Code], 0))</f>
        <v>Number of units</v>
      </c>
      <c r="E909" s="1439"/>
      <c r="F909" s="1226"/>
      <c r="G909" s="1226"/>
      <c r="H909" s="1226"/>
      <c r="I909" s="1226"/>
      <c r="J909" s="1226"/>
      <c r="K909" s="1226"/>
      <c r="L909" s="1226"/>
      <c r="M909" s="1226"/>
      <c r="N909" s="1226"/>
    </row>
    <row r="910" spans="1:15" s="82" customFormat="1" ht="15.75" x14ac:dyDescent="0.25">
      <c r="A910" s="1987"/>
      <c r="B910" s="1227"/>
      <c r="C910" s="1440"/>
      <c r="D910" s="1440"/>
      <c r="E910" s="1440"/>
      <c r="F910" s="1440"/>
      <c r="G910" s="1440"/>
      <c r="H910" s="1440"/>
      <c r="I910" s="1440"/>
      <c r="J910" s="1440"/>
      <c r="K910" s="1440"/>
      <c r="L910" s="1440"/>
      <c r="M910" s="1440"/>
      <c r="N910" s="1440"/>
      <c r="O910" s="1987"/>
    </row>
    <row r="911" spans="1:15" s="82" customFormat="1" x14ac:dyDescent="0.2">
      <c r="A911" s="1987"/>
      <c r="B911" s="1987"/>
      <c r="C911" s="1987"/>
      <c r="D911" s="1987"/>
      <c r="E911" s="1987"/>
      <c r="F911" s="1987"/>
      <c r="G911" s="1987"/>
      <c r="H911" s="1987"/>
      <c r="I911" s="1987"/>
      <c r="J911" s="1987"/>
      <c r="K911" s="1987"/>
      <c r="L911" s="1987"/>
      <c r="M911" s="1987"/>
      <c r="N911" s="1987"/>
      <c r="O911" s="1987"/>
    </row>
    <row r="912" spans="1:15" s="82" customFormat="1" x14ac:dyDescent="0.2">
      <c r="A912" s="1987"/>
      <c r="B912" s="1987"/>
      <c r="C912" s="1987"/>
      <c r="D912" s="1987"/>
      <c r="E912" s="1987"/>
      <c r="F912" s="1987"/>
      <c r="G912" s="1987"/>
      <c r="H912" s="1987"/>
      <c r="I912" s="1987"/>
      <c r="J912" s="1987"/>
      <c r="K912" s="1987"/>
      <c r="L912" s="1987"/>
      <c r="M912" s="1987"/>
      <c r="N912" s="1987"/>
      <c r="O912" s="1987"/>
    </row>
    <row r="913" spans="1:15" s="82" customFormat="1" ht="15.75" x14ac:dyDescent="0.2">
      <c r="A913" s="1987"/>
      <c r="B913" s="1430" t="s">
        <v>1424</v>
      </c>
      <c r="C913" s="1431"/>
      <c r="D913" s="1431"/>
      <c r="E913" s="1431"/>
      <c r="F913" s="1431"/>
      <c r="G913" s="1431"/>
      <c r="H913" s="1431"/>
      <c r="I913" s="1431"/>
      <c r="J913" s="1431"/>
      <c r="K913" s="1431"/>
      <c r="L913" s="1431"/>
      <c r="M913" s="1431"/>
      <c r="N913" s="1431"/>
      <c r="O913" s="1987"/>
    </row>
    <row r="914" spans="1:15" s="82" customFormat="1" x14ac:dyDescent="0.2">
      <c r="A914" s="1987"/>
      <c r="B914" s="1433"/>
      <c r="C914" s="1434"/>
      <c r="D914" s="1434"/>
      <c r="E914" s="1434"/>
      <c r="F914" s="1434"/>
      <c r="G914" s="1434"/>
      <c r="H914" s="1434"/>
      <c r="I914" s="1434"/>
      <c r="J914" s="1434"/>
      <c r="K914" s="1434"/>
      <c r="L914" s="1434"/>
      <c r="M914" s="1434"/>
      <c r="N914" s="1434"/>
      <c r="O914" s="1987"/>
    </row>
    <row r="915" spans="1:15" s="82" customFormat="1" x14ac:dyDescent="0.2">
      <c r="A915" s="1987"/>
      <c r="B915" s="1433"/>
      <c r="C915" s="1441" t="s">
        <v>2587</v>
      </c>
      <c r="D915" s="1442"/>
      <c r="E915" s="1442"/>
      <c r="F915" s="1442"/>
      <c r="G915" s="1442"/>
      <c r="H915" s="1442"/>
      <c r="I915" s="1442"/>
      <c r="J915" s="1442"/>
      <c r="K915" s="1442"/>
      <c r="L915" s="1442"/>
      <c r="M915" s="1442"/>
      <c r="N915" s="1442"/>
      <c r="O915" s="1987"/>
    </row>
    <row r="916" spans="1:15" s="82" customFormat="1" ht="6" customHeight="1" x14ac:dyDescent="0.2">
      <c r="A916" s="1987"/>
      <c r="B916" s="1433"/>
      <c r="C916" s="1434"/>
      <c r="D916" s="1434"/>
      <c r="E916" s="1434"/>
      <c r="F916" s="1434"/>
      <c r="G916" s="1434"/>
      <c r="H916" s="1434"/>
      <c r="I916" s="1434"/>
      <c r="J916" s="1434"/>
      <c r="K916" s="1434"/>
      <c r="L916" s="1434"/>
      <c r="M916" s="1434"/>
      <c r="N916" s="1434"/>
      <c r="O916" s="1987"/>
    </row>
    <row r="917" spans="1:15" s="82" customFormat="1" ht="15.75" x14ac:dyDescent="0.25">
      <c r="A917" s="1987"/>
      <c r="B917" s="1436"/>
      <c r="C917" s="1727" t="s">
        <v>64</v>
      </c>
      <c r="D917" s="1727" t="s">
        <v>150</v>
      </c>
      <c r="E917" s="1727" t="s">
        <v>172</v>
      </c>
      <c r="F917" s="1727" t="s">
        <v>241</v>
      </c>
      <c r="G917" s="1727" t="s">
        <v>268</v>
      </c>
      <c r="H917" s="1727" t="s">
        <v>269</v>
      </c>
      <c r="I917" s="1727" t="s">
        <v>270</v>
      </c>
      <c r="J917" s="1727" t="s">
        <v>271</v>
      </c>
      <c r="K917" s="1727" t="s">
        <v>272</v>
      </c>
      <c r="L917" s="1727" t="s">
        <v>273</v>
      </c>
      <c r="M917" s="1727" t="s">
        <v>274</v>
      </c>
      <c r="N917" s="1727" t="s">
        <v>275</v>
      </c>
    </row>
    <row r="918" spans="1:15" s="82" customFormat="1" ht="15.75" x14ac:dyDescent="0.25">
      <c r="A918" s="1987"/>
      <c r="B918" s="1436"/>
      <c r="C918" s="2011" t="s">
        <v>1391</v>
      </c>
      <c r="D918" s="2012" t="str">
        <f>INDEX(CostVectors[Description], MATCH(C918,CostVectors[Code], 0))</f>
        <v>High estimate of capital costs</v>
      </c>
      <c r="E918" s="2012"/>
      <c r="F918" s="2013">
        <f>F643+F639</f>
        <v>0</v>
      </c>
      <c r="G918" s="2013">
        <f t="shared" ref="G918:N918" si="279">G643+G639</f>
        <v>53135090647835.695</v>
      </c>
      <c r="H918" s="2013">
        <f t="shared" si="279"/>
        <v>20535357961556.211</v>
      </c>
      <c r="I918" s="2013">
        <f t="shared" si="279"/>
        <v>21750487397173.176</v>
      </c>
      <c r="J918" s="2013">
        <f t="shared" si="279"/>
        <v>23173526191525.816</v>
      </c>
      <c r="K918" s="2013">
        <f t="shared" si="279"/>
        <v>24875101814526.73</v>
      </c>
      <c r="L918" s="2013">
        <f t="shared" si="279"/>
        <v>25210921992417.465</v>
      </c>
      <c r="M918" s="2013">
        <f t="shared" si="279"/>
        <v>26888070856240.105</v>
      </c>
      <c r="N918" s="2013">
        <f t="shared" si="279"/>
        <v>28929023250529.203</v>
      </c>
    </row>
    <row r="919" spans="1:15" s="82" customFormat="1" ht="15.75" x14ac:dyDescent="0.25">
      <c r="A919" s="1987"/>
      <c r="B919" s="1436"/>
      <c r="C919" s="1438" t="s">
        <v>1393</v>
      </c>
      <c r="D919" s="1439" t="str">
        <f>INDEX(CostVectors[Description], MATCH(C919,CostVectors[Code], 0))</f>
        <v>High estimate of operating costs</v>
      </c>
      <c r="E919" s="1439"/>
      <c r="F919" s="1196">
        <f>F705+F701</f>
        <v>58457573779767.336</v>
      </c>
      <c r="G919" s="2481">
        <f t="shared" ref="G919:N919" si="280">G705+G701</f>
        <v>573131191651013.87</v>
      </c>
      <c r="H919" s="2481">
        <f t="shared" si="280"/>
        <v>571480350718139.12</v>
      </c>
      <c r="I919" s="2481">
        <f t="shared" si="280"/>
        <v>582191211880434.62</v>
      </c>
      <c r="J919" s="2481">
        <f t="shared" si="280"/>
        <v>603217996759286.87</v>
      </c>
      <c r="K919" s="2481">
        <f t="shared" si="280"/>
        <v>633911279979330.12</v>
      </c>
      <c r="L919" s="2481">
        <f t="shared" si="280"/>
        <v>658221286343269</v>
      </c>
      <c r="M919" s="2481">
        <f t="shared" si="280"/>
        <v>691302917348246.25</v>
      </c>
      <c r="N919" s="2481">
        <f t="shared" si="280"/>
        <v>733898620852979.87</v>
      </c>
    </row>
    <row r="920" spans="1:15" ht="14.25" x14ac:dyDescent="0.2">
      <c r="A920" s="1987"/>
      <c r="B920" s="1444"/>
      <c r="C920" s="1438" t="s">
        <v>1866</v>
      </c>
      <c r="D920" s="1439" t="str">
        <f>INDEX(CostVectors[Description], MATCH(C920,CostVectors[Code], 0))</f>
        <v>Point estimate of capital costs</v>
      </c>
      <c r="E920" s="1439"/>
      <c r="F920" s="1196">
        <f>F664+F660</f>
        <v>0</v>
      </c>
      <c r="G920" s="2481">
        <f t="shared" ref="G920:N920" si="281">G664+G660</f>
        <v>44195505359739.883</v>
      </c>
      <c r="H920" s="2481">
        <f t="shared" si="281"/>
        <v>17026345606906.605</v>
      </c>
      <c r="I920" s="2481">
        <f t="shared" si="281"/>
        <v>18035985022127.328</v>
      </c>
      <c r="J920" s="2481">
        <f t="shared" si="281"/>
        <v>19218564355839.84</v>
      </c>
      <c r="K920" s="2481">
        <f t="shared" si="281"/>
        <v>20632866729247.98</v>
      </c>
      <c r="L920" s="2481">
        <f t="shared" si="281"/>
        <v>20914102339491.352</v>
      </c>
      <c r="M920" s="2481">
        <f t="shared" si="281"/>
        <v>22309661889373.293</v>
      </c>
      <c r="N920" s="2481">
        <f t="shared" si="281"/>
        <v>24007965266890.613</v>
      </c>
    </row>
    <row r="921" spans="1:15" ht="14.25" x14ac:dyDescent="0.2">
      <c r="A921" s="1987"/>
      <c r="B921" s="1444"/>
      <c r="C921" s="1438" t="s">
        <v>1868</v>
      </c>
      <c r="D921" s="1439" t="str">
        <f>INDEX(CostVectors[Description], MATCH(C921,CostVectors[Code], 0))</f>
        <v>Point estimate of operating costs</v>
      </c>
      <c r="E921" s="1439"/>
      <c r="F921" s="1196">
        <f>F725+F721</f>
        <v>65692822718465.781</v>
      </c>
      <c r="G921" s="2481">
        <f t="shared" ref="G921:N921" si="282">G725+G721</f>
        <v>573131191651013.87</v>
      </c>
      <c r="H921" s="2481">
        <f t="shared" si="282"/>
        <v>571480350718139.12</v>
      </c>
      <c r="I921" s="2481">
        <f t="shared" si="282"/>
        <v>582191211880434.62</v>
      </c>
      <c r="J921" s="2481">
        <f t="shared" si="282"/>
        <v>603217996759286.87</v>
      </c>
      <c r="K921" s="2481">
        <f t="shared" si="282"/>
        <v>633911279979330.12</v>
      </c>
      <c r="L921" s="2481">
        <f t="shared" si="282"/>
        <v>658221286343269</v>
      </c>
      <c r="M921" s="2481">
        <f t="shared" si="282"/>
        <v>691302917348246.25</v>
      </c>
      <c r="N921" s="2481">
        <f t="shared" si="282"/>
        <v>733898620852979.87</v>
      </c>
    </row>
    <row r="922" spans="1:15" ht="14.25" x14ac:dyDescent="0.2">
      <c r="A922" s="1987"/>
      <c r="B922" s="1444"/>
      <c r="C922" s="1438" t="s">
        <v>1382</v>
      </c>
      <c r="D922" s="1439" t="str">
        <f>INDEX(CostVectors[Description], MATCH(C922,CostVectors[Code], 0))</f>
        <v>Low estimate of capital costs</v>
      </c>
      <c r="E922" s="1439"/>
      <c r="F922" s="1196">
        <f>F681+F685</f>
        <v>0</v>
      </c>
      <c r="G922" s="2481">
        <f t="shared" ref="G922:N922" si="283">G681+G685</f>
        <v>35423393765223.797</v>
      </c>
      <c r="H922" s="2481">
        <f t="shared" si="283"/>
        <v>13690238641037.475</v>
      </c>
      <c r="I922" s="2481">
        <f t="shared" si="283"/>
        <v>14500324931448.785</v>
      </c>
      <c r="J922" s="2481">
        <f t="shared" si="283"/>
        <v>15449017461017.213</v>
      </c>
      <c r="K922" s="2481">
        <f t="shared" si="283"/>
        <v>16583401209684.486</v>
      </c>
      <c r="L922" s="2481">
        <f t="shared" si="283"/>
        <v>16807281328278.311</v>
      </c>
      <c r="M922" s="2481">
        <f t="shared" si="283"/>
        <v>17925380570826.738</v>
      </c>
      <c r="N922" s="2481">
        <f t="shared" si="283"/>
        <v>19286015500352.801</v>
      </c>
    </row>
    <row r="923" spans="1:15" ht="14.25" x14ac:dyDescent="0.2">
      <c r="A923" s="1987"/>
      <c r="B923" s="1444"/>
      <c r="C923" s="1889" t="s">
        <v>1384</v>
      </c>
      <c r="D923" s="1891" t="str">
        <f>INDEX(CostVectors[Description], MATCH(C923,CostVectors[Code], 0))</f>
        <v>Low estimate of operating costs</v>
      </c>
      <c r="E923" s="1891"/>
      <c r="F923" s="2014">
        <f>F741+F745</f>
        <v>65692822718465.781</v>
      </c>
      <c r="G923" s="2014">
        <f t="shared" ref="G923:N923" si="284">G741+G745</f>
        <v>573131191651013.87</v>
      </c>
      <c r="H923" s="2014">
        <f t="shared" si="284"/>
        <v>571480350718139.12</v>
      </c>
      <c r="I923" s="2014">
        <f t="shared" si="284"/>
        <v>582191211880434.62</v>
      </c>
      <c r="J923" s="2014">
        <f t="shared" si="284"/>
        <v>603217996759286.87</v>
      </c>
      <c r="K923" s="2014">
        <f t="shared" si="284"/>
        <v>633911279979330.12</v>
      </c>
      <c r="L923" s="2014">
        <f t="shared" si="284"/>
        <v>658221286343269</v>
      </c>
      <c r="M923" s="2014">
        <f t="shared" si="284"/>
        <v>691302917348246.25</v>
      </c>
      <c r="N923" s="2014">
        <f t="shared" si="284"/>
        <v>733898620852979.87</v>
      </c>
    </row>
    <row r="924" spans="1:15" x14ac:dyDescent="0.2">
      <c r="A924" s="1987"/>
      <c r="B924" s="1433"/>
      <c r="C924" s="1434"/>
      <c r="D924" s="1434"/>
      <c r="E924" s="1434"/>
      <c r="F924" s="1434"/>
      <c r="G924" s="1434"/>
      <c r="H924" s="1434"/>
      <c r="I924" s="1434"/>
      <c r="J924" s="1434"/>
      <c r="K924" s="1434"/>
      <c r="L924" s="1434"/>
      <c r="M924" s="1434"/>
      <c r="N924" s="1434"/>
      <c r="O924" s="1987"/>
    </row>
    <row r="925" spans="1:15" x14ac:dyDescent="0.2">
      <c r="A925" s="1987"/>
      <c r="B925" s="1433"/>
      <c r="C925" s="1441" t="s">
        <v>2586</v>
      </c>
      <c r="D925" s="1442"/>
      <c r="E925" s="1442"/>
      <c r="F925" s="1442"/>
      <c r="G925" s="1442"/>
      <c r="H925" s="1442"/>
      <c r="I925" s="1442"/>
      <c r="J925" s="1442"/>
      <c r="K925" s="1442"/>
      <c r="L925" s="1442"/>
      <c r="M925" s="1442"/>
      <c r="N925" s="1442"/>
      <c r="O925" s="1987"/>
    </row>
    <row r="926" spans="1:15" ht="6" customHeight="1" collapsed="1" x14ac:dyDescent="0.2">
      <c r="A926" s="1987"/>
      <c r="B926" s="1433"/>
      <c r="C926" s="1434"/>
      <c r="D926" s="1434"/>
      <c r="E926" s="1434"/>
      <c r="F926" s="1434"/>
      <c r="G926" s="1434"/>
      <c r="H926" s="1434"/>
      <c r="I926" s="1434"/>
      <c r="J926" s="1434"/>
      <c r="K926" s="1434"/>
      <c r="L926" s="1434"/>
      <c r="M926" s="1434"/>
      <c r="N926" s="1434"/>
      <c r="O926" s="1987"/>
    </row>
    <row r="927" spans="1:15" ht="15.75" x14ac:dyDescent="0.25">
      <c r="A927" s="1987"/>
      <c r="B927" s="1436"/>
      <c r="C927" s="1727" t="s">
        <v>64</v>
      </c>
      <c r="D927" s="1727" t="s">
        <v>150</v>
      </c>
      <c r="E927" s="1727" t="s">
        <v>172</v>
      </c>
      <c r="F927" s="1727" t="s">
        <v>241</v>
      </c>
      <c r="G927" s="1727" t="s">
        <v>268</v>
      </c>
      <c r="H927" s="1727" t="s">
        <v>269</v>
      </c>
      <c r="I927" s="1727" t="s">
        <v>270</v>
      </c>
      <c r="J927" s="1727" t="s">
        <v>271</v>
      </c>
      <c r="K927" s="1727" t="s">
        <v>272</v>
      </c>
      <c r="L927" s="1727" t="s">
        <v>273</v>
      </c>
      <c r="M927" s="1727" t="s">
        <v>274</v>
      </c>
      <c r="N927" s="1727" t="s">
        <v>275</v>
      </c>
    </row>
    <row r="928" spans="1:15" ht="15.75" x14ac:dyDescent="0.25">
      <c r="A928" s="1987"/>
      <c r="B928" s="1436"/>
      <c r="C928" s="2011" t="s">
        <v>1391</v>
      </c>
      <c r="D928" s="2012" t="str">
        <f>INDEX(CostVectors[Description], MATCH(C928,CostVectors[Code], 0))</f>
        <v>High estimate of capital costs</v>
      </c>
      <c r="E928" s="2012"/>
      <c r="F928" s="2013">
        <f t="shared" ref="F928:N928" si="285">F644+F640</f>
        <v>0</v>
      </c>
      <c r="G928" s="2013">
        <f t="shared" si="285"/>
        <v>10936338057387.211</v>
      </c>
      <c r="H928" s="2013">
        <f t="shared" si="285"/>
        <v>15814444237283.154</v>
      </c>
      <c r="I928" s="2013">
        <f t="shared" si="285"/>
        <v>21782269373946.434</v>
      </c>
      <c r="J928" s="2013">
        <f t="shared" si="285"/>
        <v>29002868130700.344</v>
      </c>
      <c r="K928" s="2013">
        <f t="shared" si="285"/>
        <v>37701986214462.937</v>
      </c>
      <c r="L928" s="2013">
        <f t="shared" si="285"/>
        <v>45837588910635.633</v>
      </c>
      <c r="M928" s="2013">
        <f t="shared" si="285"/>
        <v>56314130644703.094</v>
      </c>
      <c r="N928" s="2013">
        <f t="shared" si="285"/>
        <v>68493352685957.055</v>
      </c>
    </row>
    <row r="929" spans="1:15" ht="15.75" x14ac:dyDescent="0.25">
      <c r="A929" s="1987"/>
      <c r="B929" s="1436"/>
      <c r="C929" s="1438" t="s">
        <v>1393</v>
      </c>
      <c r="D929" s="1439" t="str">
        <f>INDEX(CostVectors[Description], MATCH(C929,CostVectors[Code], 0))</f>
        <v>High estimate of operating costs</v>
      </c>
      <c r="E929" s="1439"/>
      <c r="F929" s="1196">
        <f t="shared" ref="F929:N929" si="286">F706+F702</f>
        <v>0</v>
      </c>
      <c r="G929" s="1196">
        <f t="shared" si="286"/>
        <v>44780253862999.453</v>
      </c>
      <c r="H929" s="1196">
        <f t="shared" si="286"/>
        <v>94132515634719.766</v>
      </c>
      <c r="I929" s="1196">
        <f t="shared" si="286"/>
        <v>151154162175164.59</v>
      </c>
      <c r="J929" s="1196">
        <f t="shared" si="286"/>
        <v>218629039849988.25</v>
      </c>
      <c r="K929" s="1196">
        <f t="shared" si="286"/>
        <v>299415522662716.62</v>
      </c>
      <c r="L929" s="1196">
        <f t="shared" si="286"/>
        <v>387079374354120.31</v>
      </c>
      <c r="M929" s="1196">
        <f t="shared" si="286"/>
        <v>489421035084535.06</v>
      </c>
      <c r="N929" s="1196">
        <f t="shared" si="286"/>
        <v>609081939859374.37</v>
      </c>
    </row>
    <row r="930" spans="1:15" ht="15.75" x14ac:dyDescent="0.25">
      <c r="A930" s="1987"/>
      <c r="B930" s="1436"/>
      <c r="C930" s="1438" t="s">
        <v>1866</v>
      </c>
      <c r="D930" s="1439" t="str">
        <f>INDEX(CostVectors[Description], MATCH(C930,CostVectors[Code], 0))</f>
        <v>Point estimate of capital costs</v>
      </c>
      <c r="E930" s="1439"/>
      <c r="F930" s="1196">
        <f>F661+F665</f>
        <v>0</v>
      </c>
      <c r="G930" s="1196">
        <f t="shared" ref="G930:N930" si="287">G661+G665</f>
        <v>7853122751420.4326</v>
      </c>
      <c r="H930" s="1196">
        <f t="shared" si="287"/>
        <v>11359849866350.049</v>
      </c>
      <c r="I930" s="1196">
        <f t="shared" si="287"/>
        <v>15647388479170.508</v>
      </c>
      <c r="J930" s="1196">
        <f t="shared" si="287"/>
        <v>20832307728899.371</v>
      </c>
      <c r="K930" s="1196">
        <f t="shared" si="287"/>
        <v>27075927297877.359</v>
      </c>
      <c r="L930" s="1196">
        <f t="shared" si="287"/>
        <v>32911691589132.094</v>
      </c>
      <c r="M930" s="1196">
        <f t="shared" si="287"/>
        <v>40423418547710.43</v>
      </c>
      <c r="N930" s="1196">
        <f t="shared" si="287"/>
        <v>49152151730130.461</v>
      </c>
    </row>
    <row r="931" spans="1:15" ht="15.75" x14ac:dyDescent="0.25">
      <c r="A931" s="1987"/>
      <c r="B931" s="1436"/>
      <c r="C931" s="1438" t="s">
        <v>1868</v>
      </c>
      <c r="D931" s="1439" t="str">
        <f>INDEX(CostVectors[Description], MATCH(C931,CostVectors[Code], 0))</f>
        <v>Point estimate of operating costs</v>
      </c>
      <c r="E931" s="1439"/>
      <c r="F931" s="1196">
        <f>F722+F726</f>
        <v>0</v>
      </c>
      <c r="G931" s="1196">
        <f t="shared" ref="G931:N931" si="288">G722+G726</f>
        <v>44780253862999.453</v>
      </c>
      <c r="H931" s="1196">
        <f t="shared" si="288"/>
        <v>94132515634719.766</v>
      </c>
      <c r="I931" s="1196">
        <f t="shared" si="288"/>
        <v>151154162175164.59</v>
      </c>
      <c r="J931" s="1196">
        <f t="shared" si="288"/>
        <v>218629039849988.25</v>
      </c>
      <c r="K931" s="1196">
        <f t="shared" si="288"/>
        <v>299415522662716.62</v>
      </c>
      <c r="L931" s="1196">
        <f t="shared" si="288"/>
        <v>387079374354120.31</v>
      </c>
      <c r="M931" s="1196">
        <f t="shared" si="288"/>
        <v>489421035084535.06</v>
      </c>
      <c r="N931" s="1196">
        <f t="shared" si="288"/>
        <v>609081939859374.37</v>
      </c>
    </row>
    <row r="932" spans="1:15" ht="14.25" x14ac:dyDescent="0.2">
      <c r="A932" s="1987"/>
      <c r="B932" s="1444"/>
      <c r="C932" s="1438" t="s">
        <v>1382</v>
      </c>
      <c r="D932" s="1439" t="str">
        <f>INDEX(CostVectors[Description], MATCH(C932,CostVectors[Code], 0))</f>
        <v>Low estimate of capital costs</v>
      </c>
      <c r="E932" s="1439"/>
      <c r="F932" s="1196">
        <f t="shared" ref="F932:N932" si="289">F682+F686</f>
        <v>0</v>
      </c>
      <c r="G932" s="1196">
        <f t="shared" si="289"/>
        <v>6166430611933.5576</v>
      </c>
      <c r="H932" s="1196">
        <f t="shared" si="289"/>
        <v>8909188741866.2148</v>
      </c>
      <c r="I932" s="1196">
        <f t="shared" si="289"/>
        <v>12269761789551.855</v>
      </c>
      <c r="J932" s="1196">
        <f t="shared" si="289"/>
        <v>16341120803601.951</v>
      </c>
      <c r="K932" s="1196">
        <f t="shared" si="289"/>
        <v>21252117833171.156</v>
      </c>
      <c r="L932" s="1196">
        <f t="shared" si="289"/>
        <v>25851794643007.086</v>
      </c>
      <c r="M932" s="1196">
        <f t="shared" si="289"/>
        <v>31781424193985.32</v>
      </c>
      <c r="N932" s="1196">
        <f t="shared" si="289"/>
        <v>38682401911653.187</v>
      </c>
    </row>
    <row r="933" spans="1:15" ht="14.25" x14ac:dyDescent="0.2">
      <c r="A933" s="1987"/>
      <c r="B933" s="1444"/>
      <c r="C933" s="1889" t="s">
        <v>1384</v>
      </c>
      <c r="D933" s="1891" t="str">
        <f>INDEX(CostVectors[Description], MATCH(C933,CostVectors[Code], 0))</f>
        <v>Low estimate of operating costs</v>
      </c>
      <c r="E933" s="1891"/>
      <c r="F933" s="2014">
        <f t="shared" ref="F933:N933" si="290">F742+F746</f>
        <v>0</v>
      </c>
      <c r="G933" s="2014">
        <f t="shared" si="290"/>
        <v>44780253862999.453</v>
      </c>
      <c r="H933" s="2014">
        <f t="shared" si="290"/>
        <v>94132515634719.766</v>
      </c>
      <c r="I933" s="2014">
        <f t="shared" si="290"/>
        <v>151154162175164.59</v>
      </c>
      <c r="J933" s="2014">
        <f t="shared" si="290"/>
        <v>218629039849988.25</v>
      </c>
      <c r="K933" s="2014">
        <f t="shared" si="290"/>
        <v>299415522662716.62</v>
      </c>
      <c r="L933" s="2014">
        <f t="shared" si="290"/>
        <v>387079374354120.31</v>
      </c>
      <c r="M933" s="2014">
        <f t="shared" si="290"/>
        <v>489421035084535.06</v>
      </c>
      <c r="N933" s="2014">
        <f t="shared" si="290"/>
        <v>609081939859374.37</v>
      </c>
    </row>
    <row r="934" spans="1:15" x14ac:dyDescent="0.2">
      <c r="A934" s="1987"/>
      <c r="B934" s="1433"/>
      <c r="C934" s="1434"/>
      <c r="D934" s="1434"/>
      <c r="E934" s="1434"/>
      <c r="F934" s="1434"/>
      <c r="G934" s="1434"/>
      <c r="H934" s="1434"/>
      <c r="I934" s="1434"/>
      <c r="J934" s="1434"/>
      <c r="K934" s="1434"/>
      <c r="L934" s="1434"/>
      <c r="M934" s="1434"/>
      <c r="N934" s="1434"/>
      <c r="O934" s="1987"/>
    </row>
    <row r="935" spans="1:15" x14ac:dyDescent="0.2">
      <c r="A935" s="1987"/>
      <c r="B935" s="1433"/>
      <c r="C935" s="1441" t="s">
        <v>1716</v>
      </c>
      <c r="D935" s="1442"/>
      <c r="E935" s="1442"/>
      <c r="F935" s="1442"/>
      <c r="G935" s="1442"/>
      <c r="H935" s="1442"/>
      <c r="I935" s="1442"/>
      <c r="J935" s="1442"/>
      <c r="K935" s="1442"/>
      <c r="L935" s="1442"/>
      <c r="M935" s="1442"/>
      <c r="N935" s="1442"/>
      <c r="O935" s="1987"/>
    </row>
    <row r="936" spans="1:15" ht="6" customHeight="1" x14ac:dyDescent="0.2">
      <c r="A936" s="1987"/>
      <c r="B936" s="1433"/>
      <c r="C936" s="1434"/>
      <c r="D936" s="1434"/>
      <c r="E936" s="1434"/>
      <c r="F936" s="1434"/>
      <c r="G936" s="1434"/>
      <c r="H936" s="1434"/>
      <c r="I936" s="1434"/>
      <c r="J936" s="1434"/>
      <c r="K936" s="1434"/>
      <c r="L936" s="1434"/>
      <c r="M936" s="1434"/>
      <c r="N936" s="1434"/>
      <c r="O936" s="1987"/>
    </row>
    <row r="937" spans="1:15" ht="15.75" x14ac:dyDescent="0.25">
      <c r="A937" s="1987"/>
      <c r="B937" s="1436"/>
      <c r="C937" s="1727" t="s">
        <v>64</v>
      </c>
      <c r="D937" s="1727" t="s">
        <v>150</v>
      </c>
      <c r="E937" s="1727" t="s">
        <v>172</v>
      </c>
      <c r="F937" s="1727" t="s">
        <v>241</v>
      </c>
      <c r="G937" s="1727" t="s">
        <v>268</v>
      </c>
      <c r="H937" s="1727" t="s">
        <v>269</v>
      </c>
      <c r="I937" s="1727" t="s">
        <v>270</v>
      </c>
      <c r="J937" s="1727" t="s">
        <v>271</v>
      </c>
      <c r="K937" s="1727" t="s">
        <v>272</v>
      </c>
      <c r="L937" s="1727" t="s">
        <v>273</v>
      </c>
      <c r="M937" s="1727" t="s">
        <v>274</v>
      </c>
      <c r="N937" s="1727" t="s">
        <v>275</v>
      </c>
    </row>
    <row r="938" spans="1:15" s="1231" customFormat="1" ht="15.75" x14ac:dyDescent="0.25">
      <c r="A938" s="1987"/>
      <c r="B938" s="1436"/>
      <c r="C938" s="2011" t="s">
        <v>1391</v>
      </c>
      <c r="D938" s="2012" t="str">
        <f>INDEX(CostVectors[Description], MATCH(C938,CostVectors[Code], 0))</f>
        <v>High estimate of capital costs</v>
      </c>
      <c r="E938" s="2012"/>
      <c r="F938" s="2013">
        <f t="shared" ref="F938:N938" si="291">F645+F641</f>
        <v>0</v>
      </c>
      <c r="G938" s="2013">
        <f t="shared" si="291"/>
        <v>2409560199266.9653</v>
      </c>
      <c r="H938" s="2013">
        <f t="shared" si="291"/>
        <v>3500944463548.334</v>
      </c>
      <c r="I938" s="2013">
        <f t="shared" si="291"/>
        <v>4825180985169.502</v>
      </c>
      <c r="J938" s="2013">
        <f t="shared" si="291"/>
        <v>6415981321853.4541</v>
      </c>
      <c r="K938" s="2013">
        <f t="shared" si="291"/>
        <v>8319727806723.1426</v>
      </c>
      <c r="L938" s="2013">
        <f t="shared" si="291"/>
        <v>10085567065892.871</v>
      </c>
      <c r="M938" s="2013">
        <f t="shared" si="291"/>
        <v>12345706219607.309</v>
      </c>
      <c r="N938" s="2013">
        <f t="shared" si="291"/>
        <v>14956785454967.527</v>
      </c>
    </row>
    <row r="939" spans="1:15" s="1231" customFormat="1" ht="15.75" x14ac:dyDescent="0.25">
      <c r="A939" s="1987"/>
      <c r="B939" s="1436"/>
      <c r="C939" s="1438" t="s">
        <v>1393</v>
      </c>
      <c r="D939" s="1439" t="str">
        <f>INDEX(CostVectors[Description], MATCH(C939,CostVectors[Code], 0))</f>
        <v>High estimate of operating costs</v>
      </c>
      <c r="E939" s="1439"/>
      <c r="F939" s="1196">
        <f t="shared" ref="F939:N939" si="292">F707+F703</f>
        <v>0</v>
      </c>
      <c r="G939" s="1196">
        <f t="shared" si="292"/>
        <v>9568007875154.8359</v>
      </c>
      <c r="H939" s="1196">
        <f t="shared" si="292"/>
        <v>20110536967450.656</v>
      </c>
      <c r="I939" s="1196">
        <f t="shared" si="292"/>
        <v>32296375396529.488</v>
      </c>
      <c r="J939" s="1196">
        <f t="shared" si="292"/>
        <v>46726610620730.359</v>
      </c>
      <c r="K939" s="1196">
        <f t="shared" si="292"/>
        <v>64018571861908.383</v>
      </c>
      <c r="L939" s="1196">
        <f t="shared" si="292"/>
        <v>82802588614721.25</v>
      </c>
      <c r="M939" s="1196">
        <f t="shared" si="292"/>
        <v>104752402877834.28</v>
      </c>
      <c r="N939" s="1196">
        <f t="shared" si="292"/>
        <v>130440050455213.41</v>
      </c>
    </row>
    <row r="940" spans="1:15" s="1231" customFormat="1" ht="15.75" x14ac:dyDescent="0.25">
      <c r="A940" s="1987"/>
      <c r="B940" s="1436"/>
      <c r="C940" s="1438" t="s">
        <v>1866</v>
      </c>
      <c r="D940" s="1439" t="str">
        <f>INDEX(CostVectors[Description], MATCH(C940,CostVectors[Code], 0))</f>
        <v>Point estimate of capital costs</v>
      </c>
      <c r="E940" s="1439"/>
      <c r="F940" s="1196">
        <f>F723+F727</f>
        <v>0</v>
      </c>
      <c r="G940" s="1196">
        <f>G662+G666</f>
        <v>1927648159413.5723</v>
      </c>
      <c r="H940" s="1196">
        <f t="shared" ref="H940:N940" si="293">H662+H666</f>
        <v>2800755570838.667</v>
      </c>
      <c r="I940" s="1196">
        <f t="shared" si="293"/>
        <v>3860144788135.6011</v>
      </c>
      <c r="J940" s="1196">
        <f t="shared" si="293"/>
        <v>5132785057482.7637</v>
      </c>
      <c r="K940" s="1196">
        <f t="shared" si="293"/>
        <v>6655782245378.5137</v>
      </c>
      <c r="L940" s="1196">
        <f t="shared" si="293"/>
        <v>8068453652714.2969</v>
      </c>
      <c r="M940" s="1196">
        <f t="shared" si="293"/>
        <v>9876564975685.8477</v>
      </c>
      <c r="N940" s="1196">
        <f t="shared" si="293"/>
        <v>8163377876538.5967</v>
      </c>
    </row>
    <row r="941" spans="1:15" s="1231" customFormat="1" ht="15.75" x14ac:dyDescent="0.25">
      <c r="A941" s="1987"/>
      <c r="B941" s="1436"/>
      <c r="C941" s="1438" t="s">
        <v>1868</v>
      </c>
      <c r="D941" s="1439" t="str">
        <f>INDEX(CostVectors[Description], MATCH(C941,CostVectors[Code], 0))</f>
        <v>Point estimate of operating costs</v>
      </c>
      <c r="E941" s="1439"/>
      <c r="F941" s="1196">
        <f>F723+F727</f>
        <v>0</v>
      </c>
      <c r="G941" s="1196">
        <f t="shared" ref="G941:N941" si="294">G723+G727</f>
        <v>9568007875154.8359</v>
      </c>
      <c r="H941" s="1196">
        <f t="shared" si="294"/>
        <v>20110536967450.656</v>
      </c>
      <c r="I941" s="1196">
        <f t="shared" si="294"/>
        <v>32296375396529.488</v>
      </c>
      <c r="J941" s="1196">
        <f t="shared" si="294"/>
        <v>46726610620730.359</v>
      </c>
      <c r="K941" s="1196">
        <f t="shared" si="294"/>
        <v>64018571861908.383</v>
      </c>
      <c r="L941" s="1196">
        <f t="shared" si="294"/>
        <v>82802588614721.25</v>
      </c>
      <c r="M941" s="1196">
        <f t="shared" si="294"/>
        <v>104752402877834.28</v>
      </c>
      <c r="N941" s="1196">
        <f t="shared" si="294"/>
        <v>130440050455213.41</v>
      </c>
    </row>
    <row r="942" spans="1:15" s="1231" customFormat="1" ht="14.25" x14ac:dyDescent="0.2">
      <c r="A942" s="1987"/>
      <c r="B942" s="1444"/>
      <c r="C942" s="1438" t="s">
        <v>1382</v>
      </c>
      <c r="D942" s="1439" t="str">
        <f>INDEX(CostVectors[Description], MATCH(C942,CostVectors[Code], 0))</f>
        <v>Low estimate of capital costs</v>
      </c>
      <c r="E942" s="1439"/>
      <c r="F942" s="1196">
        <f t="shared" ref="F942:N942" si="295">F683+F687</f>
        <v>0</v>
      </c>
      <c r="G942" s="1196">
        <f t="shared" si="295"/>
        <v>1445736119560.1792</v>
      </c>
      <c r="H942" s="1196">
        <f t="shared" si="295"/>
        <v>2100566678129.0005</v>
      </c>
      <c r="I942" s="1196">
        <f t="shared" si="295"/>
        <v>2895108591101.7012</v>
      </c>
      <c r="J942" s="1196">
        <f t="shared" si="295"/>
        <v>3849588793112.0732</v>
      </c>
      <c r="K942" s="1196">
        <f t="shared" si="295"/>
        <v>4991836684033.8848</v>
      </c>
      <c r="L942" s="1196">
        <f t="shared" si="295"/>
        <v>6051340239535.7217</v>
      </c>
      <c r="M942" s="1196">
        <f t="shared" si="295"/>
        <v>7407423731764.3857</v>
      </c>
      <c r="N942" s="1196">
        <f t="shared" si="295"/>
        <v>8974071272980.5156</v>
      </c>
    </row>
    <row r="943" spans="1:15" s="1231" customFormat="1" ht="14.25" x14ac:dyDescent="0.2">
      <c r="A943" s="1987"/>
      <c r="B943" s="1444"/>
      <c r="C943" s="1889" t="s">
        <v>1384</v>
      </c>
      <c r="D943" s="1891" t="str">
        <f>INDEX(CostVectors[Description], MATCH(C943,CostVectors[Code], 0))</f>
        <v>Low estimate of operating costs</v>
      </c>
      <c r="E943" s="1891"/>
      <c r="F943" s="2014">
        <f t="shared" ref="F943:N943" si="296">F743+F747</f>
        <v>0</v>
      </c>
      <c r="G943" s="2014">
        <f t="shared" si="296"/>
        <v>9568007875154.8359</v>
      </c>
      <c r="H943" s="2014">
        <f t="shared" si="296"/>
        <v>20110536967450.656</v>
      </c>
      <c r="I943" s="2014">
        <f t="shared" si="296"/>
        <v>32296375396529.488</v>
      </c>
      <c r="J943" s="2014">
        <f t="shared" si="296"/>
        <v>46726610620730.359</v>
      </c>
      <c r="K943" s="2014">
        <f t="shared" si="296"/>
        <v>64018571861908.383</v>
      </c>
      <c r="L943" s="2014">
        <f t="shared" si="296"/>
        <v>82802588614721.25</v>
      </c>
      <c r="M943" s="2014">
        <f t="shared" si="296"/>
        <v>104752402877834.28</v>
      </c>
      <c r="N943" s="2014">
        <f t="shared" si="296"/>
        <v>130440050455213.41</v>
      </c>
    </row>
    <row r="944" spans="1:15" s="1231" customFormat="1" x14ac:dyDescent="0.2">
      <c r="A944" s="1987"/>
      <c r="B944" s="1433"/>
      <c r="C944" s="1434"/>
      <c r="D944" s="1434"/>
      <c r="E944" s="1434"/>
      <c r="F944" s="1434"/>
      <c r="G944" s="1434"/>
      <c r="H944" s="1434"/>
      <c r="I944" s="1434"/>
      <c r="J944" s="1434"/>
      <c r="K944" s="1434"/>
      <c r="L944" s="1434"/>
      <c r="M944" s="1434"/>
      <c r="N944" s="1434"/>
      <c r="O944" s="1987"/>
    </row>
    <row r="945" spans="1:15" s="1231" customFormat="1" x14ac:dyDescent="0.2">
      <c r="A945" s="1987"/>
      <c r="B945" s="1433"/>
      <c r="C945" s="1441" t="s">
        <v>2588</v>
      </c>
      <c r="D945" s="1442"/>
      <c r="E945" s="1442"/>
      <c r="F945" s="1442"/>
      <c r="G945" s="1442"/>
      <c r="H945" s="1442"/>
      <c r="I945" s="1442"/>
      <c r="J945" s="1442"/>
      <c r="K945" s="1442"/>
      <c r="L945" s="1442"/>
      <c r="M945" s="1442"/>
      <c r="N945" s="1442"/>
      <c r="O945" s="1987"/>
    </row>
    <row r="946" spans="1:15" s="1231" customFormat="1" ht="6" customHeight="1" x14ac:dyDescent="0.2">
      <c r="A946" s="1987"/>
      <c r="B946" s="1433"/>
      <c r="C946" s="1434"/>
      <c r="D946" s="1434"/>
      <c r="E946" s="1434"/>
      <c r="F946" s="1434"/>
      <c r="G946" s="1434"/>
      <c r="H946" s="1434"/>
      <c r="I946" s="1434"/>
      <c r="J946" s="1434"/>
      <c r="K946" s="1434"/>
      <c r="L946" s="1434"/>
      <c r="M946" s="1434"/>
      <c r="N946" s="1434"/>
      <c r="O946" s="1987"/>
    </row>
    <row r="947" spans="1:15" s="1231" customFormat="1" ht="15.75" x14ac:dyDescent="0.25">
      <c r="A947" s="1987"/>
      <c r="B947" s="1436"/>
      <c r="C947" s="1727" t="s">
        <v>64</v>
      </c>
      <c r="D947" s="1727" t="s">
        <v>150</v>
      </c>
      <c r="E947" s="1727" t="s">
        <v>172</v>
      </c>
      <c r="F947" s="1727" t="s">
        <v>241</v>
      </c>
      <c r="G947" s="1727" t="s">
        <v>268</v>
      </c>
      <c r="H947" s="1727" t="s">
        <v>269</v>
      </c>
      <c r="I947" s="1727" t="s">
        <v>270</v>
      </c>
      <c r="J947" s="1727" t="s">
        <v>271</v>
      </c>
      <c r="K947" s="1727" t="s">
        <v>272</v>
      </c>
      <c r="L947" s="1727" t="s">
        <v>273</v>
      </c>
      <c r="M947" s="1727" t="s">
        <v>274</v>
      </c>
      <c r="N947" s="1727" t="s">
        <v>275</v>
      </c>
    </row>
    <row r="948" spans="1:15" s="1231" customFormat="1" ht="15.75" x14ac:dyDescent="0.25">
      <c r="A948" s="1987"/>
      <c r="B948" s="1436"/>
      <c r="C948" s="2011" t="s">
        <v>1391</v>
      </c>
      <c r="D948" s="2012" t="str">
        <f>INDEX(CostVectors[Description], MATCH(C948,CostVectors[Code], 0))</f>
        <v>High estimate of capital costs</v>
      </c>
      <c r="E948" s="2012"/>
      <c r="F948" s="2013">
        <f t="shared" ref="F948:N948" si="297">F646+F642</f>
        <v>0</v>
      </c>
      <c r="G948" s="2013">
        <f t="shared" si="297"/>
        <v>2272770139826.9399</v>
      </c>
      <c r="H948" s="2013">
        <f t="shared" si="297"/>
        <v>3061299033642.3359</v>
      </c>
      <c r="I948" s="2013">
        <f t="shared" si="297"/>
        <v>3955117138683.5405</v>
      </c>
      <c r="J948" s="2013">
        <f t="shared" si="297"/>
        <v>4947383742712.4385</v>
      </c>
      <c r="K948" s="2013">
        <f t="shared" si="297"/>
        <v>6036107988381.9824</v>
      </c>
      <c r="L948" s="2013">
        <f t="shared" si="297"/>
        <v>6848356102575.707</v>
      </c>
      <c r="M948" s="2013">
        <f t="shared" si="297"/>
        <v>7846448849211.4082</v>
      </c>
      <c r="N948" s="2013">
        <f t="shared" si="297"/>
        <v>8860985556126.2734</v>
      </c>
    </row>
    <row r="949" spans="1:15" s="1231" customFormat="1" ht="15.75" x14ac:dyDescent="0.25">
      <c r="A949" s="1987"/>
      <c r="B949" s="1436"/>
      <c r="C949" s="1438" t="s">
        <v>1393</v>
      </c>
      <c r="D949" s="1439" t="str">
        <f>INDEX(CostVectors[Description], MATCH(C949,CostVectors[Code], 0))</f>
        <v>High estimate of operating costs</v>
      </c>
      <c r="E949" s="1439"/>
      <c r="F949" s="1196">
        <f t="shared" ref="F949:N949" si="298">F708+F704</f>
        <v>0</v>
      </c>
      <c r="G949" s="1196">
        <f>G708+G704</f>
        <v>84063306204570.797</v>
      </c>
      <c r="H949" s="1196">
        <f t="shared" si="298"/>
        <v>168525510442969.66</v>
      </c>
      <c r="I949" s="1196">
        <f t="shared" si="298"/>
        <v>257358482996620.56</v>
      </c>
      <c r="J949" s="1196">
        <f t="shared" si="298"/>
        <v>352975737871226.5</v>
      </c>
      <c r="K949" s="1196">
        <f t="shared" si="298"/>
        <v>456946601644971.56</v>
      </c>
      <c r="L949" s="1196">
        <f t="shared" si="298"/>
        <v>556491498931874.37</v>
      </c>
      <c r="M949" s="1196">
        <f t="shared" si="298"/>
        <v>660335552488551.75</v>
      </c>
      <c r="N949" s="1196">
        <f t="shared" si="298"/>
        <v>767962238799878.62</v>
      </c>
    </row>
    <row r="950" spans="1:15" s="1231" customFormat="1" ht="15.75" x14ac:dyDescent="0.25">
      <c r="A950" s="1987"/>
      <c r="B950" s="1436"/>
      <c r="C950" s="1438" t="s">
        <v>1866</v>
      </c>
      <c r="D950" s="1439" t="str">
        <f>INDEX(CostVectors[Description], MATCH(C950,CostVectors[Code], 0))</f>
        <v>Point estimate of capital costs</v>
      </c>
      <c r="E950" s="1439"/>
      <c r="F950" s="1196">
        <f>F663+F667</f>
        <v>0</v>
      </c>
      <c r="G950" s="1196">
        <f>G663+G667</f>
        <v>1886845250328.5645</v>
      </c>
      <c r="H950" s="1196">
        <f t="shared" ref="H950:M950" si="299">H663+H667</f>
        <v>2540809778017.6177</v>
      </c>
      <c r="I950" s="1196">
        <f t="shared" si="299"/>
        <v>3282516167038.3848</v>
      </c>
      <c r="J950" s="1196">
        <f t="shared" si="299"/>
        <v>4106308864352.5088</v>
      </c>
      <c r="K950" s="1196">
        <f t="shared" si="299"/>
        <v>5010580994172.0752</v>
      </c>
      <c r="L950" s="1196">
        <f t="shared" si="299"/>
        <v>5685668933028.0928</v>
      </c>
      <c r="M950" s="1196">
        <f t="shared" si="299"/>
        <v>6515533484336.957</v>
      </c>
      <c r="N950" s="1196">
        <f>N663+N667</f>
        <v>7359476477886.709</v>
      </c>
    </row>
    <row r="951" spans="1:15" s="1231" customFormat="1" ht="15.75" x14ac:dyDescent="0.25">
      <c r="A951" s="1987"/>
      <c r="B951" s="1436"/>
      <c r="C951" s="1438" t="s">
        <v>1868</v>
      </c>
      <c r="D951" s="1439" t="str">
        <f>INDEX(CostVectors[Description], MATCH(C951,CostVectors[Code], 0))</f>
        <v>Point estimate of operating costs</v>
      </c>
      <c r="E951" s="1439"/>
      <c r="F951" s="1196">
        <f>F724+F728</f>
        <v>0</v>
      </c>
      <c r="G951" s="1196">
        <f t="shared" ref="G951:N951" si="300">G724+G728</f>
        <v>84063306204570.797</v>
      </c>
      <c r="H951" s="1196">
        <f t="shared" si="300"/>
        <v>168525510442969.66</v>
      </c>
      <c r="I951" s="1196">
        <f t="shared" si="300"/>
        <v>257358482996620.56</v>
      </c>
      <c r="J951" s="1196">
        <f t="shared" si="300"/>
        <v>352975737871226.5</v>
      </c>
      <c r="K951" s="1196">
        <f t="shared" si="300"/>
        <v>456946601644971.56</v>
      </c>
      <c r="L951" s="1196">
        <f t="shared" si="300"/>
        <v>556491498931874.37</v>
      </c>
      <c r="M951" s="1196">
        <f t="shared" si="300"/>
        <v>660335552488551.75</v>
      </c>
      <c r="N951" s="1196">
        <f t="shared" si="300"/>
        <v>767962238799878.62</v>
      </c>
    </row>
    <row r="952" spans="1:15" s="1231" customFormat="1" ht="14.25" x14ac:dyDescent="0.2">
      <c r="A952" s="1987"/>
      <c r="B952" s="1444"/>
      <c r="C952" s="1438" t="s">
        <v>1382</v>
      </c>
      <c r="D952" s="1439" t="str">
        <f>INDEX(CostVectors[Description], MATCH(C952,CostVectors[Code], 0))</f>
        <v>Low estimate of capital costs</v>
      </c>
      <c r="E952" s="1439"/>
      <c r="F952" s="1196">
        <f t="shared" ref="F952:N952" si="301">F684+F688</f>
        <v>0</v>
      </c>
      <c r="G952" s="1196">
        <f t="shared" si="301"/>
        <v>1515180093217.9602</v>
      </c>
      <c r="H952" s="1196">
        <f t="shared" si="301"/>
        <v>2040866022428.2236</v>
      </c>
      <c r="I952" s="1196">
        <f t="shared" si="301"/>
        <v>2636744759122.3604</v>
      </c>
      <c r="J952" s="1196">
        <f t="shared" si="301"/>
        <v>3298255828474.959</v>
      </c>
      <c r="K952" s="1196">
        <f t="shared" si="301"/>
        <v>4024071992254.6548</v>
      </c>
      <c r="L952" s="1196">
        <f t="shared" si="301"/>
        <v>4565570735050.4717</v>
      </c>
      <c r="M952" s="1196">
        <f t="shared" si="301"/>
        <v>5230965899474.2725</v>
      </c>
      <c r="N952" s="1196">
        <f t="shared" si="301"/>
        <v>5907323704084.1826</v>
      </c>
    </row>
    <row r="953" spans="1:15" s="1231" customFormat="1" ht="14.25" x14ac:dyDescent="0.2">
      <c r="A953" s="1987"/>
      <c r="B953" s="1444"/>
      <c r="C953" s="1889" t="s">
        <v>1384</v>
      </c>
      <c r="D953" s="1891" t="str">
        <f>INDEX(CostVectors[Description], MATCH(C953,CostVectors[Code], 0))</f>
        <v>Low estimate of operating costs</v>
      </c>
      <c r="E953" s="1891"/>
      <c r="F953" s="2014">
        <f t="shared" ref="F953:N953" si="302">F744+F748</f>
        <v>0</v>
      </c>
      <c r="G953" s="2014">
        <f t="shared" si="302"/>
        <v>84063306204570.797</v>
      </c>
      <c r="H953" s="2014">
        <f t="shared" si="302"/>
        <v>168525510442969.66</v>
      </c>
      <c r="I953" s="2014">
        <f t="shared" si="302"/>
        <v>257358482996620.56</v>
      </c>
      <c r="J953" s="2014">
        <f t="shared" si="302"/>
        <v>352975737871226.5</v>
      </c>
      <c r="K953" s="2014">
        <f t="shared" si="302"/>
        <v>456946601644971.56</v>
      </c>
      <c r="L953" s="2014">
        <f t="shared" si="302"/>
        <v>556491498931874.37</v>
      </c>
      <c r="M953" s="2014">
        <f t="shared" si="302"/>
        <v>660335552488551.75</v>
      </c>
      <c r="N953" s="2014">
        <f t="shared" si="302"/>
        <v>767962238799878.62</v>
      </c>
    </row>
    <row r="954" spans="1:15" s="1231" customFormat="1" x14ac:dyDescent="0.2">
      <c r="A954" s="1987"/>
      <c r="B954" s="1433"/>
      <c r="C954" s="1434"/>
      <c r="D954" s="1434"/>
      <c r="E954" s="1434"/>
      <c r="F954" s="1434"/>
      <c r="G954" s="1434"/>
      <c r="H954" s="1434"/>
      <c r="I954" s="1434"/>
      <c r="J954" s="1434"/>
      <c r="K954" s="1434"/>
      <c r="L954" s="1434"/>
      <c r="M954" s="1434"/>
      <c r="N954" s="1434"/>
      <c r="O954" s="1987"/>
    </row>
    <row r="955" spans="1:15" s="1231" customFormat="1" x14ac:dyDescent="0.2">
      <c r="A955" s="1987"/>
      <c r="B955" s="1433"/>
      <c r="C955" s="1441" t="s">
        <v>1718</v>
      </c>
      <c r="D955" s="1442"/>
      <c r="E955" s="1442"/>
      <c r="F955" s="1442"/>
      <c r="G955" s="1442"/>
      <c r="H955" s="1442"/>
      <c r="I955" s="1442"/>
      <c r="J955" s="1442"/>
      <c r="K955" s="1442"/>
      <c r="L955" s="1442"/>
      <c r="M955" s="1442"/>
      <c r="N955" s="1442"/>
      <c r="O955" s="1987"/>
    </row>
    <row r="956" spans="1:15" s="1231" customFormat="1" ht="6" customHeight="1" x14ac:dyDescent="0.2">
      <c r="A956" s="1987"/>
      <c r="B956" s="1433"/>
      <c r="C956" s="1434"/>
      <c r="D956" s="1434"/>
      <c r="E956" s="1434"/>
      <c r="F956" s="1434"/>
      <c r="G956" s="1434"/>
      <c r="H956" s="1434"/>
      <c r="I956" s="1434"/>
      <c r="J956" s="1434"/>
      <c r="K956" s="1434"/>
      <c r="L956" s="1434"/>
      <c r="M956" s="1434"/>
      <c r="N956" s="1434"/>
      <c r="O956" s="1987"/>
    </row>
    <row r="957" spans="1:15" s="1231" customFormat="1" ht="15.75" x14ac:dyDescent="0.25">
      <c r="A957" s="1987"/>
      <c r="B957" s="1436"/>
      <c r="C957" s="1727" t="s">
        <v>64</v>
      </c>
      <c r="D957" s="1727" t="s">
        <v>150</v>
      </c>
      <c r="E957" s="1727" t="s">
        <v>172</v>
      </c>
      <c r="F957" s="1727" t="s">
        <v>241</v>
      </c>
      <c r="G957" s="1727" t="s">
        <v>268</v>
      </c>
      <c r="H957" s="1727" t="s">
        <v>269</v>
      </c>
      <c r="I957" s="1727" t="s">
        <v>270</v>
      </c>
      <c r="J957" s="1727" t="s">
        <v>271</v>
      </c>
      <c r="K957" s="1727" t="s">
        <v>272</v>
      </c>
      <c r="L957" s="1727" t="s">
        <v>273</v>
      </c>
      <c r="M957" s="1727" t="s">
        <v>274</v>
      </c>
      <c r="N957" s="1727" t="s">
        <v>275</v>
      </c>
    </row>
    <row r="958" spans="1:15" s="1231" customFormat="1" ht="15.75" x14ac:dyDescent="0.25">
      <c r="A958" s="1987"/>
      <c r="B958" s="1436"/>
      <c r="C958" s="2011" t="s">
        <v>1391</v>
      </c>
      <c r="D958" s="2012" t="str">
        <f>INDEX(CostVectors[Description], MATCH(C958,CostVectors[Code], 0))</f>
        <v>High estimate of capital costs</v>
      </c>
      <c r="E958" s="2012"/>
      <c r="F958" s="2013">
        <f t="shared" ref="F958:N958" si="303">F638</f>
        <v>0</v>
      </c>
      <c r="G958" s="2013">
        <f t="shared" si="303"/>
        <v>7045242946.0293589</v>
      </c>
      <c r="H958" s="2013">
        <f t="shared" si="303"/>
        <v>9464353288.8555794</v>
      </c>
      <c r="I958" s="2013">
        <f t="shared" si="303"/>
        <v>12397587476.098604</v>
      </c>
      <c r="J958" s="2013">
        <f t="shared" si="303"/>
        <v>15938292215.097834</v>
      </c>
      <c r="K958" s="2013">
        <f t="shared" si="303"/>
        <v>20195469309.748646</v>
      </c>
      <c r="L958" s="2013">
        <f t="shared" si="303"/>
        <v>24505577994.893242</v>
      </c>
      <c r="M958" s="2013">
        <f t="shared" si="303"/>
        <v>29670478250.292168</v>
      </c>
      <c r="N958" s="2013">
        <f t="shared" si="303"/>
        <v>35645048081.300255</v>
      </c>
    </row>
    <row r="959" spans="1:15" s="1231" customFormat="1" ht="15.75" x14ac:dyDescent="0.25">
      <c r="A959" s="1987"/>
      <c r="B959" s="1436"/>
      <c r="C959" s="1438" t="s">
        <v>1393</v>
      </c>
      <c r="D959" s="1439" t="str">
        <f>INDEX(CostVectors[Description], MATCH(C959,CostVectors[Code], 0))</f>
        <v>High estimate of operating costs</v>
      </c>
      <c r="E959" s="1439"/>
      <c r="F959" s="1196">
        <f t="shared" ref="F959:N959" si="304">F700</f>
        <v>11705177062.555077</v>
      </c>
      <c r="G959" s="1196">
        <f t="shared" si="304"/>
        <v>16554166827.392214</v>
      </c>
      <c r="H959" s="1196">
        <f t="shared" si="304"/>
        <v>22475424367.287701</v>
      </c>
      <c r="I959" s="1196">
        <f t="shared" si="304"/>
        <v>29667026336.909939</v>
      </c>
      <c r="J959" s="1196">
        <f t="shared" si="304"/>
        <v>38360591142.425568</v>
      </c>
      <c r="K959" s="1196">
        <f t="shared" si="304"/>
        <v>48826673853.614586</v>
      </c>
      <c r="L959" s="1196">
        <f t="shared" si="304"/>
        <v>59898436984.314705</v>
      </c>
      <c r="M959" s="1196">
        <f t="shared" si="304"/>
        <v>72745985857.673447</v>
      </c>
      <c r="N959" s="1196">
        <f t="shared" si="304"/>
        <v>87619032540.344666</v>
      </c>
    </row>
    <row r="960" spans="1:15" s="1231" customFormat="1" ht="15.75" x14ac:dyDescent="0.25">
      <c r="A960" s="1987"/>
      <c r="B960" s="1436"/>
      <c r="C960" s="1438" t="s">
        <v>1866</v>
      </c>
      <c r="D960" s="1439" t="str">
        <f>INDEX(CostVectors[Description], MATCH(C960,CostVectors[Code], 0))</f>
        <v>Point estimate of capital costs</v>
      </c>
      <c r="E960" s="1439"/>
      <c r="F960" s="1196">
        <f>F659</f>
        <v>0</v>
      </c>
      <c r="G960" s="1196">
        <f t="shared" ref="G960:N960" si="305">G659</f>
        <v>6340718651.4264231</v>
      </c>
      <c r="H960" s="1196">
        <f t="shared" si="305"/>
        <v>8517917959.9700212</v>
      </c>
      <c r="I960" s="1196">
        <f t="shared" si="305"/>
        <v>11157828728.488743</v>
      </c>
      <c r="J960" s="1196">
        <f t="shared" si="305"/>
        <v>14344462993.588051</v>
      </c>
      <c r="K960" s="1196">
        <f t="shared" si="305"/>
        <v>18175922378.773781</v>
      </c>
      <c r="L960" s="1196">
        <f t="shared" si="305"/>
        <v>22055020195.403919</v>
      </c>
      <c r="M960" s="1196">
        <f t="shared" si="305"/>
        <v>26703430425.262951</v>
      </c>
      <c r="N960" s="1196">
        <f t="shared" si="305"/>
        <v>32080543273.170227</v>
      </c>
    </row>
    <row r="961" spans="1:15" s="1231" customFormat="1" ht="15.75" x14ac:dyDescent="0.25">
      <c r="A961" s="1987"/>
      <c r="B961" s="1436"/>
      <c r="C961" s="1438" t="s">
        <v>1868</v>
      </c>
      <c r="D961" s="1439" t="str">
        <f>INDEX(CostVectors[Description], MATCH(C961,CostVectors[Code], 0))</f>
        <v>Point estimate of operating costs</v>
      </c>
      <c r="E961" s="1439"/>
      <c r="F961" s="1196">
        <f>F720</f>
        <v>9754314218.7958984</v>
      </c>
      <c r="G961" s="1196">
        <f t="shared" ref="G961:N961" si="306">G720</f>
        <v>13795139022.826845</v>
      </c>
      <c r="H961" s="1196">
        <f t="shared" si="306"/>
        <v>18729520306.073086</v>
      </c>
      <c r="I961" s="1196">
        <f t="shared" si="306"/>
        <v>24722521947.42495</v>
      </c>
      <c r="J961" s="1196">
        <f t="shared" si="306"/>
        <v>31967159285.354637</v>
      </c>
      <c r="K961" s="1196">
        <f t="shared" si="306"/>
        <v>40688894878.012154</v>
      </c>
      <c r="L961" s="1196">
        <f t="shared" si="306"/>
        <v>49915364153.595589</v>
      </c>
      <c r="M961" s="1196">
        <f t="shared" si="306"/>
        <v>60621654881.394531</v>
      </c>
      <c r="N961" s="1196">
        <f t="shared" si="306"/>
        <v>73015860450.287216</v>
      </c>
    </row>
    <row r="962" spans="1:15" s="1231" customFormat="1" ht="14.25" x14ac:dyDescent="0.2">
      <c r="A962" s="1987"/>
      <c r="B962" s="1444"/>
      <c r="C962" s="1438" t="s">
        <v>1382</v>
      </c>
      <c r="D962" s="1439" t="str">
        <f>INDEX(CostVectors[Description], MATCH(C962,CostVectors[Code], 0))</f>
        <v>Low estimate of capital costs</v>
      </c>
      <c r="E962" s="1439"/>
      <c r="F962" s="1196">
        <f t="shared" ref="F962:N962" si="307">F680</f>
        <v>0</v>
      </c>
      <c r="G962" s="1196">
        <f t="shared" si="307"/>
        <v>5283932209.5220194</v>
      </c>
      <c r="H962" s="1196">
        <f t="shared" si="307"/>
        <v>7098264966.6416845</v>
      </c>
      <c r="I962" s="1196">
        <f t="shared" si="307"/>
        <v>9298190607.0739536</v>
      </c>
      <c r="J962" s="1196">
        <f t="shared" si="307"/>
        <v>11953719161.323376</v>
      </c>
      <c r="K962" s="1196">
        <f t="shared" si="307"/>
        <v>15146601982.311485</v>
      </c>
      <c r="L962" s="1196">
        <f t="shared" si="307"/>
        <v>18379183496.169933</v>
      </c>
      <c r="M962" s="1196">
        <f t="shared" si="307"/>
        <v>22252858687.719124</v>
      </c>
      <c r="N962" s="1196">
        <f t="shared" si="307"/>
        <v>26733786060.975189</v>
      </c>
    </row>
    <row r="963" spans="1:15" s="1231" customFormat="1" ht="14.25" x14ac:dyDescent="0.2">
      <c r="A963" s="1987"/>
      <c r="B963" s="1444"/>
      <c r="C963" s="1889" t="s">
        <v>1384</v>
      </c>
      <c r="D963" s="1891" t="str">
        <f>INDEX(CostVectors[Description], MATCH(C963,CostVectors[Code], 0))</f>
        <v>Low estimate of operating costs</v>
      </c>
      <c r="E963" s="1891"/>
      <c r="F963" s="2014">
        <f t="shared" ref="F963:N963" si="308">F740</f>
        <v>7803451375.0367184</v>
      </c>
      <c r="G963" s="2014">
        <f t="shared" si="308"/>
        <v>11036111218.261477</v>
      </c>
      <c r="H963" s="2014">
        <f t="shared" si="308"/>
        <v>14983616244.858467</v>
      </c>
      <c r="I963" s="2014">
        <f t="shared" si="308"/>
        <v>19778017557.93996</v>
      </c>
      <c r="J963" s="2014">
        <f t="shared" si="308"/>
        <v>25573727428.28371</v>
      </c>
      <c r="K963" s="2014">
        <f t="shared" si="308"/>
        <v>32551115902.409725</v>
      </c>
      <c r="L963" s="2014">
        <f t="shared" si="308"/>
        <v>39932291322.876472</v>
      </c>
      <c r="M963" s="2014">
        <f t="shared" si="308"/>
        <v>48497323905.115623</v>
      </c>
      <c r="N963" s="2014">
        <f t="shared" si="308"/>
        <v>58412688360.229774</v>
      </c>
    </row>
    <row r="964" spans="1:15" s="1231" customFormat="1" x14ac:dyDescent="0.2">
      <c r="A964" s="1987"/>
      <c r="B964" s="1433"/>
      <c r="C964" s="1434"/>
      <c r="D964" s="1434"/>
      <c r="E964" s="1434"/>
      <c r="F964" s="1434"/>
      <c r="G964" s="1434"/>
      <c r="H964" s="1434"/>
      <c r="I964" s="1434"/>
      <c r="J964" s="1434"/>
      <c r="K964" s="1434"/>
      <c r="L964" s="1434"/>
      <c r="M964" s="1434"/>
      <c r="N964" s="1434"/>
      <c r="O964" s="1987"/>
    </row>
    <row r="965" spans="1:15" x14ac:dyDescent="0.2">
      <c r="A965" s="1987"/>
      <c r="B965" s="1433"/>
      <c r="C965" s="1441" t="s">
        <v>1717</v>
      </c>
      <c r="D965" s="1442"/>
      <c r="E965" s="1442"/>
      <c r="F965" s="1442"/>
      <c r="G965" s="1442"/>
      <c r="H965" s="1442"/>
      <c r="I965" s="1442"/>
      <c r="J965" s="1442"/>
      <c r="K965" s="1442"/>
      <c r="L965" s="1442"/>
      <c r="M965" s="1442"/>
      <c r="N965" s="1442"/>
      <c r="O965" s="1987"/>
    </row>
    <row r="966" spans="1:15" ht="6" customHeight="1" x14ac:dyDescent="0.2">
      <c r="A966" s="1987"/>
      <c r="B966" s="1433"/>
      <c r="C966" s="1434"/>
      <c r="D966" s="1434"/>
      <c r="E966" s="1434"/>
      <c r="F966" s="1434"/>
      <c r="G966" s="1434"/>
      <c r="H966" s="1434"/>
      <c r="I966" s="1434"/>
      <c r="J966" s="1434"/>
      <c r="K966" s="1434"/>
      <c r="L966" s="1434"/>
      <c r="M966" s="1434"/>
      <c r="N966" s="1434"/>
      <c r="O966" s="1987"/>
    </row>
    <row r="967" spans="1:15" ht="22.5" customHeight="1" collapsed="1" x14ac:dyDescent="0.25">
      <c r="A967" s="1987"/>
      <c r="B967" s="1436"/>
      <c r="C967" s="1727" t="s">
        <v>64</v>
      </c>
      <c r="D967" s="1727" t="s">
        <v>150</v>
      </c>
      <c r="E967" s="1727" t="s">
        <v>172</v>
      </c>
      <c r="F967" s="1727" t="s">
        <v>241</v>
      </c>
      <c r="G967" s="1727" t="s">
        <v>268</v>
      </c>
      <c r="H967" s="1727" t="s">
        <v>269</v>
      </c>
      <c r="I967" s="1727" t="s">
        <v>270</v>
      </c>
      <c r="J967" s="1727" t="s">
        <v>271</v>
      </c>
      <c r="K967" s="1727" t="s">
        <v>272</v>
      </c>
      <c r="L967" s="1727" t="s">
        <v>273</v>
      </c>
      <c r="M967" s="1727" t="s">
        <v>274</v>
      </c>
      <c r="N967" s="1727" t="s">
        <v>275</v>
      </c>
    </row>
    <row r="968" spans="1:15" ht="15.75" x14ac:dyDescent="0.25">
      <c r="A968" s="1987"/>
      <c r="B968" s="1436"/>
      <c r="C968" s="2011" t="s">
        <v>1391</v>
      </c>
      <c r="D968" s="2012" t="str">
        <f>INDEX(CostVectors[Description], MATCH(C968,CostVectors[Code], 0))</f>
        <v>High estimate of capital costs</v>
      </c>
      <c r="E968" s="2012"/>
      <c r="F968" s="2013">
        <f t="shared" ref="F968:N968" si="309">F647+F648</f>
        <v>0</v>
      </c>
      <c r="G968" s="2013">
        <f t="shared" si="309"/>
        <v>0</v>
      </c>
      <c r="H968" s="2013">
        <f t="shared" si="309"/>
        <v>10912968586.432213</v>
      </c>
      <c r="I968" s="2013">
        <f t="shared" si="309"/>
        <v>15015195237.925186</v>
      </c>
      <c r="J968" s="2013">
        <f t="shared" si="309"/>
        <v>19486141665.05225</v>
      </c>
      <c r="K968" s="2013">
        <f t="shared" si="309"/>
        <v>24855189349.219784</v>
      </c>
      <c r="L968" s="2013">
        <f t="shared" si="309"/>
        <v>29023297884.083496</v>
      </c>
      <c r="M968" s="2013">
        <f t="shared" si="309"/>
        <v>35469323987.293343</v>
      </c>
      <c r="N968" s="2013">
        <f t="shared" si="309"/>
        <v>43561465901.725677</v>
      </c>
    </row>
    <row r="969" spans="1:15" ht="15.75" x14ac:dyDescent="0.25">
      <c r="A969" s="1987"/>
      <c r="B969" s="1436"/>
      <c r="C969" s="1438" t="s">
        <v>1393</v>
      </c>
      <c r="D969" s="1439" t="str">
        <f>INDEX(CostVectors[Description], MATCH(C969,CostVectors[Code], 0))</f>
        <v>High estimate of operating costs</v>
      </c>
      <c r="E969" s="1439"/>
      <c r="F969" s="1196">
        <f t="shared" ref="F969:N969" si="310">F710+F709</f>
        <v>1140224708017.6152</v>
      </c>
      <c r="G969" s="1196">
        <f t="shared" si="310"/>
        <v>787536383227.64038</v>
      </c>
      <c r="H969" s="1196">
        <f t="shared" si="310"/>
        <v>864522845958.45996</v>
      </c>
      <c r="I969" s="1196">
        <f t="shared" si="310"/>
        <v>991561913894.73145</v>
      </c>
      <c r="J969" s="1196">
        <f t="shared" si="310"/>
        <v>1151332802966.8091</v>
      </c>
      <c r="K969" s="1196">
        <f t="shared" si="310"/>
        <v>1342854485940.5957</v>
      </c>
      <c r="L969" s="1196">
        <f t="shared" si="310"/>
        <v>1530972836188.6189</v>
      </c>
      <c r="M969" s="1196">
        <f t="shared" si="310"/>
        <v>1746247383406.8845</v>
      </c>
      <c r="N969" s="1196">
        <f t="shared" si="310"/>
        <v>1991533879491.3459</v>
      </c>
    </row>
    <row r="970" spans="1:15" ht="15.75" customHeight="1" x14ac:dyDescent="0.25">
      <c r="A970" s="1987"/>
      <c r="B970" s="1436"/>
      <c r="C970" s="1438" t="s">
        <v>1866</v>
      </c>
      <c r="D970" s="1439" t="str">
        <f>INDEX(CostVectors[Description], MATCH(C970,CostVectors[Code], 0))</f>
        <v>Point estimate of capital costs</v>
      </c>
      <c r="E970" s="1439"/>
      <c r="F970" s="1196">
        <f>F668+F669</f>
        <v>0</v>
      </c>
      <c r="G970" s="1196">
        <f t="shared" ref="G970:N970" si="311">G668+G669</f>
        <v>0</v>
      </c>
      <c r="H970" s="1196">
        <f t="shared" si="311"/>
        <v>10912968586.432213</v>
      </c>
      <c r="I970" s="1196">
        <f t="shared" si="311"/>
        <v>15015195237.925186</v>
      </c>
      <c r="J970" s="1196">
        <f t="shared" si="311"/>
        <v>19486141665.05225</v>
      </c>
      <c r="K970" s="1196">
        <f t="shared" si="311"/>
        <v>24855189349.219784</v>
      </c>
      <c r="L970" s="1196">
        <f t="shared" si="311"/>
        <v>29023297884.083496</v>
      </c>
      <c r="M970" s="1196">
        <f t="shared" si="311"/>
        <v>35469323987.293343</v>
      </c>
      <c r="N970" s="1196">
        <f t="shared" si="311"/>
        <v>43561465901.725677</v>
      </c>
    </row>
    <row r="971" spans="1:15" ht="15.75" x14ac:dyDescent="0.25">
      <c r="A971" s="1987"/>
      <c r="B971" s="1436"/>
      <c r="C971" s="1438" t="s">
        <v>1868</v>
      </c>
      <c r="D971" s="1439" t="str">
        <f>INDEX(CostVectors[Description], MATCH(C971,CostVectors[Code], 0))</f>
        <v>Point estimate of operating costs</v>
      </c>
      <c r="E971" s="1439"/>
      <c r="F971" s="1196">
        <f>F729+F730</f>
        <v>1140224708017.6152</v>
      </c>
      <c r="G971" s="1196">
        <f t="shared" ref="G971:N971" si="312">G729+G730</f>
        <v>787536383227.64038</v>
      </c>
      <c r="H971" s="1196">
        <f t="shared" si="312"/>
        <v>864522845958.45996</v>
      </c>
      <c r="I971" s="1196">
        <f t="shared" si="312"/>
        <v>991561913894.73145</v>
      </c>
      <c r="J971" s="1196">
        <f t="shared" si="312"/>
        <v>1151332802966.8091</v>
      </c>
      <c r="K971" s="1196">
        <f t="shared" si="312"/>
        <v>1342854485940.5957</v>
      </c>
      <c r="L971" s="1196">
        <f t="shared" si="312"/>
        <v>1530972836188.6189</v>
      </c>
      <c r="M971" s="1196">
        <f t="shared" si="312"/>
        <v>1746247383406.8845</v>
      </c>
      <c r="N971" s="1196">
        <f t="shared" si="312"/>
        <v>1991533879491.3459</v>
      </c>
    </row>
    <row r="972" spans="1:15" ht="14.25" x14ac:dyDescent="0.2">
      <c r="A972" s="1987"/>
      <c r="B972" s="1444"/>
      <c r="C972" s="1438" t="s">
        <v>1382</v>
      </c>
      <c r="D972" s="1439" t="str">
        <f>INDEX(CostVectors[Description], MATCH(C972,CostVectors[Code], 0))</f>
        <v>Low estimate of capital costs</v>
      </c>
      <c r="E972" s="1439"/>
      <c r="F972" s="1196">
        <f t="shared" ref="F972:N972" si="313">F689+F690</f>
        <v>0</v>
      </c>
      <c r="G972" s="1196">
        <f t="shared" si="313"/>
        <v>0</v>
      </c>
      <c r="H972" s="1196">
        <f t="shared" si="313"/>
        <v>10912968586.432213</v>
      </c>
      <c r="I972" s="1196">
        <f t="shared" si="313"/>
        <v>15015195237.925186</v>
      </c>
      <c r="J972" s="1196">
        <f t="shared" si="313"/>
        <v>19486141665.05225</v>
      </c>
      <c r="K972" s="1196">
        <f t="shared" si="313"/>
        <v>24855189349.219784</v>
      </c>
      <c r="L972" s="1196">
        <f t="shared" si="313"/>
        <v>29023297884.083496</v>
      </c>
      <c r="M972" s="1196">
        <f t="shared" si="313"/>
        <v>35469323987.293343</v>
      </c>
      <c r="N972" s="1196">
        <f t="shared" si="313"/>
        <v>43561465901.725677</v>
      </c>
    </row>
    <row r="973" spans="1:15" ht="14.25" x14ac:dyDescent="0.2">
      <c r="A973" s="1987"/>
      <c r="B973" s="1444"/>
      <c r="C973" s="1889" t="s">
        <v>1384</v>
      </c>
      <c r="D973" s="1891" t="str">
        <f>INDEX(CostVectors[Description], MATCH(C973,CostVectors[Code], 0))</f>
        <v>Low estimate of operating costs</v>
      </c>
      <c r="E973" s="1891"/>
      <c r="F973" s="2014">
        <f t="shared" ref="F973:N973" si="314">F749+F750</f>
        <v>1140224708017.6152</v>
      </c>
      <c r="G973" s="2014">
        <f t="shared" si="314"/>
        <v>787536383227.64038</v>
      </c>
      <c r="H973" s="2014">
        <f t="shared" si="314"/>
        <v>864522845958.45996</v>
      </c>
      <c r="I973" s="2014">
        <f t="shared" si="314"/>
        <v>991561913894.73145</v>
      </c>
      <c r="J973" s="2014">
        <f t="shared" si="314"/>
        <v>1151332802966.8091</v>
      </c>
      <c r="K973" s="2014">
        <f t="shared" si="314"/>
        <v>1342854485940.5957</v>
      </c>
      <c r="L973" s="2014">
        <f t="shared" si="314"/>
        <v>1530972836188.6189</v>
      </c>
      <c r="M973" s="2014">
        <f t="shared" si="314"/>
        <v>1746247383406.8845</v>
      </c>
      <c r="N973" s="2014">
        <f t="shared" si="314"/>
        <v>1991533879491.3459</v>
      </c>
    </row>
    <row r="974" spans="1:15" ht="14.25" x14ac:dyDescent="0.2">
      <c r="A974" s="1987"/>
      <c r="B974" s="1444"/>
      <c r="C974" s="1438"/>
      <c r="D974" s="1439"/>
      <c r="E974" s="1439"/>
      <c r="F974" s="1196"/>
      <c r="G974" s="1196"/>
      <c r="H974" s="1196"/>
      <c r="I974" s="1196"/>
      <c r="J974" s="1196"/>
      <c r="K974" s="1196"/>
      <c r="L974" s="1196"/>
      <c r="M974" s="1196"/>
      <c r="N974" s="1196"/>
      <c r="O974" s="1987"/>
    </row>
    <row r="975" spans="1:15" x14ac:dyDescent="0.2">
      <c r="A975" s="1987"/>
      <c r="B975" s="1433"/>
      <c r="C975" s="1441" t="s">
        <v>1719</v>
      </c>
      <c r="D975" s="1442"/>
      <c r="E975" s="1442"/>
      <c r="F975" s="1442"/>
      <c r="G975" s="1442"/>
      <c r="H975" s="1442"/>
      <c r="I975" s="1442"/>
      <c r="J975" s="1442"/>
      <c r="K975" s="1442"/>
      <c r="L975" s="1442"/>
      <c r="M975" s="1442"/>
      <c r="N975" s="1442"/>
      <c r="O975" s="1987"/>
    </row>
    <row r="976" spans="1:15" s="1231" customFormat="1" ht="6" customHeight="1" x14ac:dyDescent="0.2">
      <c r="A976" s="1987"/>
      <c r="B976" s="1433"/>
      <c r="C976" s="1434"/>
      <c r="D976" s="1434"/>
      <c r="E976" s="1434"/>
      <c r="F976" s="1434"/>
      <c r="G976" s="1434"/>
      <c r="H976" s="1434"/>
      <c r="I976" s="1434"/>
      <c r="J976" s="1434"/>
      <c r="K976" s="1434"/>
      <c r="L976" s="1434"/>
      <c r="M976" s="1434"/>
      <c r="N976" s="1434"/>
      <c r="O976" s="1987"/>
    </row>
    <row r="977" spans="1:15" s="1231" customFormat="1" ht="15.75" x14ac:dyDescent="0.25">
      <c r="A977" s="1987"/>
      <c r="B977" s="1436"/>
      <c r="C977" s="1727" t="s">
        <v>64</v>
      </c>
      <c r="D977" s="1727" t="s">
        <v>150</v>
      </c>
      <c r="E977" s="1727" t="s">
        <v>172</v>
      </c>
      <c r="F977" s="1727" t="s">
        <v>241</v>
      </c>
      <c r="G977" s="1727" t="s">
        <v>268</v>
      </c>
      <c r="H977" s="1727" t="s">
        <v>269</v>
      </c>
      <c r="I977" s="1727" t="s">
        <v>270</v>
      </c>
      <c r="J977" s="1727" t="s">
        <v>271</v>
      </c>
      <c r="K977" s="1727" t="s">
        <v>272</v>
      </c>
      <c r="L977" s="1727" t="s">
        <v>273</v>
      </c>
      <c r="M977" s="1727" t="s">
        <v>274</v>
      </c>
      <c r="N977" s="1727" t="s">
        <v>275</v>
      </c>
    </row>
    <row r="978" spans="1:15" s="1231" customFormat="1" ht="15.75" customHeight="1" x14ac:dyDescent="0.25">
      <c r="A978" s="1987"/>
      <c r="B978" s="1436"/>
      <c r="C978" s="2011" t="s">
        <v>1391</v>
      </c>
      <c r="D978" s="2012" t="str">
        <f>INDEX(CostVectors[Description], MATCH(C978,CostVectors[Code], 0))</f>
        <v>High estimate of capital costs</v>
      </c>
      <c r="E978" s="2012"/>
      <c r="F978" s="2013">
        <f t="shared" ref="F978:N978" si="315">F651</f>
        <v>0</v>
      </c>
      <c r="G978" s="2013">
        <f t="shared" si="315"/>
        <v>0</v>
      </c>
      <c r="H978" s="2013">
        <f t="shared" si="315"/>
        <v>0</v>
      </c>
      <c r="I978" s="2013">
        <f t="shared" si="315"/>
        <v>0</v>
      </c>
      <c r="J978" s="2013">
        <f t="shared" si="315"/>
        <v>0</v>
      </c>
      <c r="K978" s="2013">
        <f t="shared" si="315"/>
        <v>0</v>
      </c>
      <c r="L978" s="2013">
        <f t="shared" si="315"/>
        <v>0</v>
      </c>
      <c r="M978" s="2013">
        <f t="shared" si="315"/>
        <v>0</v>
      </c>
      <c r="N978" s="2013">
        <f t="shared" si="315"/>
        <v>0</v>
      </c>
    </row>
    <row r="979" spans="1:15" s="1231" customFormat="1" ht="15.75" x14ac:dyDescent="0.25">
      <c r="A979" s="1987"/>
      <c r="B979" s="1436"/>
      <c r="C979" s="1438" t="s">
        <v>1393</v>
      </c>
      <c r="D979" s="1439" t="str">
        <f>INDEX(CostVectors[Description], MATCH(C979,CostVectors[Code], 0))</f>
        <v>High estimate of operating costs</v>
      </c>
      <c r="E979" s="1439"/>
      <c r="F979" s="1196">
        <f t="shared" ref="F979:N979" si="316">F713</f>
        <v>0</v>
      </c>
      <c r="G979" s="1196">
        <f t="shared" si="316"/>
        <v>0</v>
      </c>
      <c r="H979" s="1196">
        <f t="shared" si="316"/>
        <v>0</v>
      </c>
      <c r="I979" s="1196">
        <f t="shared" si="316"/>
        <v>0</v>
      </c>
      <c r="J979" s="1196">
        <f t="shared" si="316"/>
        <v>0</v>
      </c>
      <c r="K979" s="1196">
        <f t="shared" si="316"/>
        <v>0</v>
      </c>
      <c r="L979" s="1196">
        <f t="shared" si="316"/>
        <v>0</v>
      </c>
      <c r="M979" s="1196">
        <f t="shared" si="316"/>
        <v>0</v>
      </c>
      <c r="N979" s="1196">
        <f t="shared" si="316"/>
        <v>0</v>
      </c>
    </row>
    <row r="980" spans="1:15" s="1231" customFormat="1" ht="15.75" x14ac:dyDescent="0.25">
      <c r="A980" s="1987"/>
      <c r="B980" s="1436"/>
      <c r="C980" s="1438" t="s">
        <v>1866</v>
      </c>
      <c r="D980" s="1439" t="str">
        <f>INDEX(CostVectors[Description], MATCH(C980,CostVectors[Code], 0))</f>
        <v>Point estimate of capital costs</v>
      </c>
      <c r="E980" s="1439"/>
      <c r="F980" s="1196">
        <f>F672</f>
        <v>0</v>
      </c>
      <c r="G980" s="1196">
        <f t="shared" ref="G980:N980" si="317">G672</f>
        <v>0</v>
      </c>
      <c r="H980" s="1196">
        <f t="shared" si="317"/>
        <v>0</v>
      </c>
      <c r="I980" s="1196">
        <f t="shared" si="317"/>
        <v>0</v>
      </c>
      <c r="J980" s="1196">
        <f t="shared" si="317"/>
        <v>0</v>
      </c>
      <c r="K980" s="1196">
        <f t="shared" si="317"/>
        <v>0</v>
      </c>
      <c r="L980" s="1196">
        <f t="shared" si="317"/>
        <v>0</v>
      </c>
      <c r="M980" s="1196">
        <f t="shared" si="317"/>
        <v>0</v>
      </c>
      <c r="N980" s="1196">
        <f t="shared" si="317"/>
        <v>0</v>
      </c>
    </row>
    <row r="981" spans="1:15" s="1231" customFormat="1" ht="15.75" x14ac:dyDescent="0.25">
      <c r="A981" s="1987"/>
      <c r="B981" s="1436"/>
      <c r="C981" s="1438" t="s">
        <v>1868</v>
      </c>
      <c r="D981" s="1439" t="str">
        <f>INDEX(CostVectors[Description], MATCH(C981,CostVectors[Code], 0))</f>
        <v>Point estimate of operating costs</v>
      </c>
      <c r="E981" s="1439"/>
      <c r="F981" s="1196">
        <f>F733</f>
        <v>0</v>
      </c>
      <c r="G981" s="1196">
        <f t="shared" ref="G981:N981" si="318">G733</f>
        <v>0</v>
      </c>
      <c r="H981" s="1196">
        <f t="shared" si="318"/>
        <v>0</v>
      </c>
      <c r="I981" s="1196">
        <f t="shared" si="318"/>
        <v>0</v>
      </c>
      <c r="J981" s="1196">
        <f t="shared" si="318"/>
        <v>0</v>
      </c>
      <c r="K981" s="1196">
        <f t="shared" si="318"/>
        <v>0</v>
      </c>
      <c r="L981" s="1196">
        <f t="shared" si="318"/>
        <v>0</v>
      </c>
      <c r="M981" s="1196">
        <f t="shared" si="318"/>
        <v>0</v>
      </c>
      <c r="N981" s="1196">
        <f t="shared" si="318"/>
        <v>0</v>
      </c>
    </row>
    <row r="982" spans="1:15" s="1231" customFormat="1" ht="14.25" x14ac:dyDescent="0.2">
      <c r="A982" s="1987"/>
      <c r="B982" s="1444"/>
      <c r="C982" s="1438" t="s">
        <v>1382</v>
      </c>
      <c r="D982" s="1439" t="str">
        <f>INDEX(CostVectors[Description], MATCH(C982,CostVectors[Code], 0))</f>
        <v>Low estimate of capital costs</v>
      </c>
      <c r="E982" s="1439"/>
      <c r="F982" s="1196">
        <f t="shared" ref="F982:N982" si="319">F693</f>
        <v>0</v>
      </c>
      <c r="G982" s="1196">
        <f t="shared" si="319"/>
        <v>0</v>
      </c>
      <c r="H982" s="1196">
        <f t="shared" si="319"/>
        <v>0</v>
      </c>
      <c r="I982" s="1196">
        <f t="shared" si="319"/>
        <v>0</v>
      </c>
      <c r="J982" s="1196">
        <f t="shared" si="319"/>
        <v>0</v>
      </c>
      <c r="K982" s="1196">
        <f t="shared" si="319"/>
        <v>0</v>
      </c>
      <c r="L982" s="1196">
        <f t="shared" si="319"/>
        <v>0</v>
      </c>
      <c r="M982" s="1196">
        <f t="shared" si="319"/>
        <v>0</v>
      </c>
      <c r="N982" s="1196">
        <f t="shared" si="319"/>
        <v>0</v>
      </c>
    </row>
    <row r="983" spans="1:15" s="1231" customFormat="1" ht="14.25" x14ac:dyDescent="0.2">
      <c r="A983" s="1987"/>
      <c r="B983" s="1444"/>
      <c r="C983" s="1889" t="s">
        <v>1384</v>
      </c>
      <c r="D983" s="1891" t="str">
        <f>INDEX(CostVectors[Description], MATCH(C983,CostVectors[Code], 0))</f>
        <v>Low estimate of operating costs</v>
      </c>
      <c r="E983" s="1891"/>
      <c r="F983" s="2014">
        <f t="shared" ref="F983:N983" si="320">F753</f>
        <v>0</v>
      </c>
      <c r="G983" s="2014">
        <f t="shared" si="320"/>
        <v>0</v>
      </c>
      <c r="H983" s="2014">
        <f t="shared" si="320"/>
        <v>0</v>
      </c>
      <c r="I983" s="2014">
        <f t="shared" si="320"/>
        <v>0</v>
      </c>
      <c r="J983" s="2014">
        <f t="shared" si="320"/>
        <v>0</v>
      </c>
      <c r="K983" s="2014">
        <f t="shared" si="320"/>
        <v>0</v>
      </c>
      <c r="L983" s="2014">
        <f t="shared" si="320"/>
        <v>0</v>
      </c>
      <c r="M983" s="2014">
        <f t="shared" si="320"/>
        <v>0</v>
      </c>
      <c r="N983" s="2014">
        <f t="shared" si="320"/>
        <v>0</v>
      </c>
    </row>
    <row r="984" spans="1:15" s="1231" customFormat="1" x14ac:dyDescent="0.2">
      <c r="A984" s="1987"/>
      <c r="B984" s="1433"/>
      <c r="C984" s="1434"/>
      <c r="D984" s="1434"/>
      <c r="E984" s="1434"/>
      <c r="F984" s="1434"/>
      <c r="G984" s="1434"/>
      <c r="H984" s="1434"/>
      <c r="I984" s="1434"/>
      <c r="J984" s="1434"/>
      <c r="K984" s="1434"/>
      <c r="L984" s="1434"/>
      <c r="M984" s="1434"/>
      <c r="N984" s="1434"/>
      <c r="O984" s="1987"/>
    </row>
    <row r="985" spans="1:15" s="1231" customFormat="1" x14ac:dyDescent="0.2">
      <c r="A985" s="1987"/>
      <c r="B985" s="1987"/>
      <c r="C985" s="1987"/>
      <c r="D985" s="1987"/>
      <c r="E985" s="1987"/>
      <c r="F985" s="1987"/>
      <c r="G985" s="1987"/>
      <c r="H985" s="1987"/>
      <c r="I985" s="1987"/>
      <c r="J985" s="1987"/>
      <c r="K985" s="1987"/>
      <c r="L985" s="1987"/>
      <c r="M985" s="1987"/>
      <c r="N985" s="1987"/>
      <c r="O985" s="1987"/>
    </row>
    <row r="986" spans="1:15" s="1231" customFormat="1" ht="12.75" customHeight="1" x14ac:dyDescent="0.25">
      <c r="A986" s="1987"/>
      <c r="B986" s="1618" t="s">
        <v>1793</v>
      </c>
      <c r="C986" s="1619"/>
      <c r="D986" s="1619"/>
      <c r="E986" s="1619"/>
      <c r="F986" s="1619"/>
      <c r="G986" s="1619"/>
      <c r="H986" s="1619"/>
      <c r="I986" s="1619"/>
      <c r="J986" s="1619"/>
      <c r="K986" s="1619"/>
      <c r="L986" s="1619"/>
      <c r="M986" s="1619"/>
      <c r="N986" s="1619"/>
      <c r="O986" s="1987"/>
    </row>
    <row r="987" spans="1:15" s="1231" customFormat="1" ht="12.75" customHeight="1" x14ac:dyDescent="0.2">
      <c r="A987" s="1987"/>
      <c r="B987" s="1617"/>
      <c r="C987" s="1617"/>
      <c r="D987" s="1617"/>
      <c r="E987" s="1617"/>
      <c r="F987" s="1617"/>
      <c r="G987" s="1617"/>
      <c r="H987" s="1617"/>
      <c r="I987" s="1617"/>
      <c r="J987" s="1617"/>
      <c r="K987" s="1617"/>
      <c r="L987" s="1617"/>
      <c r="M987" s="1617"/>
      <c r="N987" s="1617"/>
      <c r="O987" s="1987"/>
    </row>
    <row r="988" spans="1:15" s="1231" customFormat="1" ht="12.75" customHeight="1" x14ac:dyDescent="0.2">
      <c r="A988" s="1987"/>
      <c r="B988" s="1617"/>
      <c r="C988" s="1639" t="s">
        <v>1238</v>
      </c>
      <c r="D988" s="1617"/>
      <c r="E988" s="1617"/>
      <c r="F988" s="1617"/>
      <c r="G988" s="1617"/>
      <c r="H988" s="1617"/>
      <c r="I988" s="1617"/>
      <c r="J988" s="1617"/>
      <c r="K988" s="1617"/>
      <c r="L988" s="1617"/>
      <c r="M988" s="1617"/>
      <c r="N988" s="1617"/>
      <c r="O988" s="1987"/>
    </row>
    <row r="989" spans="1:15" s="1231" customFormat="1" ht="12.75" customHeight="1" x14ac:dyDescent="0.2">
      <c r="A989" s="1987"/>
      <c r="B989" s="1617"/>
      <c r="C989" s="1617"/>
      <c r="D989" s="1617"/>
      <c r="E989" s="1617"/>
      <c r="F989" s="1617"/>
      <c r="G989" s="1617"/>
      <c r="H989" s="1617"/>
      <c r="I989" s="1617"/>
      <c r="J989" s="1617"/>
      <c r="K989" s="1617"/>
      <c r="L989" s="1617"/>
      <c r="M989" s="1617"/>
      <c r="N989" s="1617"/>
      <c r="O989" s="1987"/>
    </row>
    <row r="990" spans="1:15" s="1231" customFormat="1" ht="12.75" customHeight="1" x14ac:dyDescent="0.2">
      <c r="A990" s="1987"/>
      <c r="B990" s="1617"/>
      <c r="C990" s="1625" t="s">
        <v>64</v>
      </c>
      <c r="D990" s="1626" t="s">
        <v>150</v>
      </c>
      <c r="E990" s="1626" t="s">
        <v>461</v>
      </c>
      <c r="F990" s="1626" t="s">
        <v>241</v>
      </c>
      <c r="G990" s="1626" t="s">
        <v>268</v>
      </c>
      <c r="H990" s="1626" t="s">
        <v>269</v>
      </c>
      <c r="I990" s="1626" t="s">
        <v>270</v>
      </c>
      <c r="J990" s="1626" t="s">
        <v>271</v>
      </c>
      <c r="K990" s="1626" t="s">
        <v>272</v>
      </c>
      <c r="L990" s="1626" t="s">
        <v>273</v>
      </c>
      <c r="M990" s="1626" t="s">
        <v>274</v>
      </c>
      <c r="N990" s="1627" t="s">
        <v>275</v>
      </c>
    </row>
    <row r="991" spans="1:15" s="1231" customFormat="1" ht="12.75" customHeight="1" x14ac:dyDescent="0.2">
      <c r="A991" s="1987"/>
      <c r="B991" s="1617"/>
      <c r="C991" s="1620" t="str">
        <f>INDEX(AirQualityVectors[Code],MATCH(D991,AirQualityVectors[Description],0))</f>
        <v>AQ.01</v>
      </c>
      <c r="D991" s="1621" t="s">
        <v>1791</v>
      </c>
      <c r="E991" s="1622" t="s">
        <v>483</v>
      </c>
      <c r="F991" s="1647">
        <f t="shared" ref="F991:N991" si="321">SUMPRODUCT(F$760:F$770,F$198:F$208)-F$770*(1-F$258)*F$208</f>
        <v>9.9192353885654949</v>
      </c>
      <c r="G991" s="1647">
        <f t="shared" si="321"/>
        <v>10.809816703738752</v>
      </c>
      <c r="H991" s="1647">
        <f t="shared" si="321"/>
        <v>9.4499254120199971</v>
      </c>
      <c r="I991" s="1647">
        <f t="shared" si="321"/>
        <v>7.8906870687525306</v>
      </c>
      <c r="J991" s="1647">
        <f t="shared" si="321"/>
        <v>6.2432049436718815</v>
      </c>
      <c r="K991" s="1647">
        <f t="shared" si="321"/>
        <v>4.8389978775436635</v>
      </c>
      <c r="L991" s="1647">
        <f t="shared" si="321"/>
        <v>3.7181141804822064</v>
      </c>
      <c r="M991" s="1647">
        <f t="shared" si="321"/>
        <v>3.469992528408631</v>
      </c>
      <c r="N991" s="1647">
        <f t="shared" si="321"/>
        <v>3.3813041363788932</v>
      </c>
    </row>
    <row r="992" spans="1:15" s="1231" customFormat="1" ht="12.75" customHeight="1" x14ac:dyDescent="0.2">
      <c r="A992" s="1987"/>
      <c r="B992" s="1617"/>
      <c r="C992" s="1620" t="str">
        <f>INDEX(AirQualityVectors[Code],MATCH(D992,AirQualityVectors[Description],0))</f>
        <v>AQ.02</v>
      </c>
      <c r="D992" s="1621" t="s">
        <v>1794</v>
      </c>
      <c r="E992" s="1622" t="s">
        <v>483</v>
      </c>
      <c r="F992" s="1647">
        <f t="shared" ref="F992:N992" si="322">SUMPRODUCT(F$760:F$770,F$213:F$223)-F$770*(1-F$258)*F$223</f>
        <v>306.83758491835323</v>
      </c>
      <c r="G992" s="1647">
        <f t="shared" si="322"/>
        <v>351.91877482686681</v>
      </c>
      <c r="H992" s="1647">
        <f t="shared" si="322"/>
        <v>297.4511043970042</v>
      </c>
      <c r="I992" s="1647">
        <f t="shared" si="322"/>
        <v>240.17918781970528</v>
      </c>
      <c r="J992" s="1647">
        <f t="shared" si="322"/>
        <v>186.34009962332004</v>
      </c>
      <c r="K992" s="1647">
        <f t="shared" si="322"/>
        <v>134.77624109027806</v>
      </c>
      <c r="L992" s="1647">
        <f t="shared" si="322"/>
        <v>108.48998850333882</v>
      </c>
      <c r="M992" s="1647">
        <f t="shared" si="322"/>
        <v>94.095863398445076</v>
      </c>
      <c r="N992" s="1647">
        <f t="shared" si="322"/>
        <v>79.220476400348076</v>
      </c>
    </row>
    <row r="993" spans="1:15" s="1231" customFormat="1" ht="12.75" customHeight="1" x14ac:dyDescent="0.2">
      <c r="A993" s="1987"/>
      <c r="B993" s="1617"/>
      <c r="C993" s="1620" t="str">
        <f>INDEX(AirQualityVectors[Code],MATCH(D993,AirQualityVectors[Description],0))</f>
        <v>AQ.03</v>
      </c>
      <c r="D993" s="1621" t="s">
        <v>1795</v>
      </c>
      <c r="E993" s="1622" t="s">
        <v>483</v>
      </c>
      <c r="F993" s="1647">
        <f t="shared" ref="F993:N993" si="323">SUMPRODUCT(F$760:F$770,F$228:F$238)-F$770*(1-F$258)*F$238</f>
        <v>2.2982263473372395</v>
      </c>
      <c r="G993" s="1647">
        <f t="shared" si="323"/>
        <v>0.15463128078371963</v>
      </c>
      <c r="H993" s="1647">
        <f t="shared" si="323"/>
        <v>0.15662326472467045</v>
      </c>
      <c r="I993" s="1647">
        <f t="shared" si="323"/>
        <v>0.15325340069742277</v>
      </c>
      <c r="J993" s="1647">
        <f t="shared" si="323"/>
        <v>0.1468621701159401</v>
      </c>
      <c r="K993" s="1647">
        <f t="shared" si="323"/>
        <v>0.14652861858267341</v>
      </c>
      <c r="L993" s="1647">
        <f t="shared" si="323"/>
        <v>0.14117860835481816</v>
      </c>
      <c r="M993" s="1647">
        <f t="shared" si="323"/>
        <v>0.1348302039545404</v>
      </c>
      <c r="N993" s="1647">
        <f t="shared" si="323"/>
        <v>0.12711506712370427</v>
      </c>
    </row>
    <row r="994" spans="1:15" s="1231" customFormat="1" ht="12.75" customHeight="1" x14ac:dyDescent="0.2">
      <c r="A994" s="1987"/>
      <c r="B994" s="1617"/>
      <c r="C994" s="1623" t="str">
        <f>INDEX(AirQualityVectors[Code],MATCH(D994,AirQualityVectors[Description],0))</f>
        <v>AQ.04</v>
      </c>
      <c r="D994" s="1624" t="s">
        <v>1792</v>
      </c>
      <c r="E994" s="1622" t="s">
        <v>483</v>
      </c>
      <c r="F994" s="1642">
        <f t="shared" ref="F994:N994" si="324">SUMPRODUCT(F$760:F$770,F$243:F$253)-F$770*(1-F$258)*F$253</f>
        <v>28.903454377051276</v>
      </c>
      <c r="G994" s="1642">
        <f t="shared" si="324"/>
        <v>31.918762083479027</v>
      </c>
      <c r="H994" s="1642">
        <f t="shared" si="324"/>
        <v>28.972053756958999</v>
      </c>
      <c r="I994" s="1642">
        <f t="shared" si="324"/>
        <v>25.00503563578858</v>
      </c>
      <c r="J994" s="1642">
        <f t="shared" si="324"/>
        <v>20.157496427184775</v>
      </c>
      <c r="K994" s="1642">
        <f t="shared" si="324"/>
        <v>15.11112860291861</v>
      </c>
      <c r="L994" s="1642">
        <f t="shared" si="324"/>
        <v>12.215819315817217</v>
      </c>
      <c r="M994" s="1642">
        <f t="shared" si="324"/>
        <v>10.756434585835503</v>
      </c>
      <c r="N994" s="1642">
        <f t="shared" si="324"/>
        <v>9.2806443077351144</v>
      </c>
    </row>
    <row r="995" spans="1:15" s="1231" customFormat="1" ht="12.75" customHeight="1" x14ac:dyDescent="0.2">
      <c r="A995" s="1987"/>
      <c r="B995" s="1640"/>
      <c r="C995" s="1640"/>
      <c r="D995" s="1640"/>
      <c r="E995" s="1640"/>
      <c r="F995" s="1640"/>
      <c r="G995" s="1640"/>
      <c r="H995" s="1640"/>
      <c r="I995" s="1640"/>
      <c r="J995" s="1640"/>
      <c r="K995" s="1640"/>
      <c r="L995" s="1640"/>
      <c r="M995" s="1640"/>
      <c r="N995" s="1640"/>
      <c r="O995" s="1987"/>
    </row>
    <row r="996" spans="1:15" s="1231" customFormat="1" ht="12.75" customHeight="1" x14ac:dyDescent="0.2">
      <c r="A996" s="1987"/>
      <c r="B996" s="1640"/>
      <c r="C996" s="1640"/>
      <c r="D996" s="1640"/>
      <c r="E996" s="1640"/>
      <c r="F996" s="1640"/>
      <c r="G996" s="1640"/>
      <c r="H996" s="1640"/>
      <c r="I996" s="1640"/>
      <c r="J996" s="1640"/>
      <c r="K996" s="1640"/>
      <c r="L996" s="1640"/>
      <c r="M996" s="1640"/>
      <c r="N996" s="1640"/>
      <c r="O996" s="1987"/>
    </row>
    <row r="997" spans="1:15" s="1231" customFormat="1" ht="12.75" customHeight="1" x14ac:dyDescent="0.2">
      <c r="A997" s="1987"/>
      <c r="B997" s="1640"/>
      <c r="C997" s="1643" t="s">
        <v>1240</v>
      </c>
      <c r="D997" s="1640"/>
      <c r="E997" s="1640"/>
      <c r="F997" s="1640"/>
      <c r="G997" s="1640"/>
      <c r="H997" s="1640"/>
      <c r="I997" s="1640"/>
      <c r="J997" s="1640"/>
      <c r="K997" s="1640"/>
      <c r="L997" s="1640"/>
      <c r="M997" s="1640"/>
      <c r="N997" s="1640"/>
      <c r="O997" s="1987"/>
    </row>
    <row r="998" spans="1:15" s="1231" customFormat="1" ht="12.75" customHeight="1" x14ac:dyDescent="0.2">
      <c r="A998" s="1987"/>
      <c r="B998" s="1640"/>
      <c r="C998" s="1640"/>
      <c r="D998" s="1640"/>
      <c r="E998" s="1640"/>
      <c r="F998" s="1640"/>
      <c r="G998" s="1640"/>
      <c r="H998" s="1640"/>
      <c r="I998" s="1640"/>
      <c r="J998" s="1640"/>
      <c r="K998" s="1640"/>
      <c r="L998" s="1640"/>
      <c r="M998" s="1640"/>
      <c r="N998" s="1640"/>
      <c r="O998" s="1987"/>
    </row>
    <row r="999" spans="1:15" s="1231" customFormat="1" ht="12.75" customHeight="1" x14ac:dyDescent="0.2">
      <c r="A999" s="1987"/>
      <c r="B999" s="1640"/>
      <c r="C999" s="1625" t="s">
        <v>64</v>
      </c>
      <c r="D999" s="1626" t="s">
        <v>150</v>
      </c>
      <c r="E999" s="1626" t="s">
        <v>461</v>
      </c>
      <c r="F999" s="1626" t="s">
        <v>241</v>
      </c>
      <c r="G999" s="1626" t="s">
        <v>268</v>
      </c>
      <c r="H999" s="1626" t="s">
        <v>269</v>
      </c>
      <c r="I999" s="1626" t="s">
        <v>270</v>
      </c>
      <c r="J999" s="1626" t="s">
        <v>271</v>
      </c>
      <c r="K999" s="1626" t="s">
        <v>272</v>
      </c>
      <c r="L999" s="1626" t="s">
        <v>273</v>
      </c>
      <c r="M999" s="1626" t="s">
        <v>274</v>
      </c>
      <c r="N999" s="1627" t="s">
        <v>275</v>
      </c>
    </row>
    <row r="1000" spans="1:15" ht="12.75" customHeight="1" x14ac:dyDescent="0.2">
      <c r="A1000" s="1987"/>
      <c r="B1000" s="1640"/>
      <c r="C1000" s="1644" t="str">
        <f>INDEX(AirQualityVectors[Code],MATCH(D1000,AirQualityVectors[Description],0))</f>
        <v>AQ.01</v>
      </c>
      <c r="D1000" s="1645" t="s">
        <v>1791</v>
      </c>
      <c r="E1000" s="1622" t="s">
        <v>483</v>
      </c>
      <c r="F1000" s="1647">
        <f t="shared" ref="F1000:N1000" si="325">SUMPRODUCT(F$760:F$767,F$198:F$205)</f>
        <v>4.9256572539741263</v>
      </c>
      <c r="G1000" s="1647">
        <f t="shared" si="325"/>
        <v>3.7079757387776739</v>
      </c>
      <c r="H1000" s="1647">
        <f t="shared" si="325"/>
        <v>2.9752370223511533</v>
      </c>
      <c r="I1000" s="1647">
        <f t="shared" si="325"/>
        <v>2.616766601207094</v>
      </c>
      <c r="J1000" s="1647">
        <f t="shared" si="325"/>
        <v>2.4096050978444619</v>
      </c>
      <c r="K1000" s="1647">
        <f t="shared" si="325"/>
        <v>2.5128248947666108</v>
      </c>
      <c r="L1000" s="1647">
        <f t="shared" si="325"/>
        <v>2.5425861479763405</v>
      </c>
      <c r="M1000" s="1647">
        <f t="shared" si="325"/>
        <v>2.6114008463221472</v>
      </c>
      <c r="N1000" s="1647">
        <f t="shared" si="325"/>
        <v>2.6966694849416313</v>
      </c>
    </row>
    <row r="1001" spans="1:15" ht="12.75" customHeight="1" x14ac:dyDescent="0.2">
      <c r="A1001" s="1987"/>
      <c r="B1001" s="1640"/>
      <c r="C1001" s="1644" t="str">
        <f>INDEX(AirQualityVectors[Code],MATCH(D1001,AirQualityVectors[Description],0))</f>
        <v>AQ.02</v>
      </c>
      <c r="D1001" s="1645" t="s">
        <v>1794</v>
      </c>
      <c r="E1001" s="1622" t="s">
        <v>483</v>
      </c>
      <c r="F1001" s="1647">
        <f t="shared" ref="F1001:N1001" si="326">SUMPRODUCT(F$760:F$767,F$213:F$220)</f>
        <v>117.93698335961656</v>
      </c>
      <c r="G1001" s="1647">
        <f t="shared" si="326"/>
        <v>81.450748938719059</v>
      </c>
      <c r="H1001" s="1647">
        <f t="shared" si="326"/>
        <v>43.634238809506115</v>
      </c>
      <c r="I1001" s="1647">
        <f t="shared" si="326"/>
        <v>24.367283684822162</v>
      </c>
      <c r="J1001" s="1647">
        <f t="shared" si="326"/>
        <v>18.015296722042493</v>
      </c>
      <c r="K1001" s="1647">
        <f t="shared" si="326"/>
        <v>17.571139077029272</v>
      </c>
      <c r="L1001" s="1647">
        <f t="shared" si="326"/>
        <v>17.710821897324191</v>
      </c>
      <c r="M1001" s="1647">
        <f t="shared" si="326"/>
        <v>18.131396627215054</v>
      </c>
      <c r="N1001" s="1647">
        <f t="shared" si="326"/>
        <v>18.646972935752565</v>
      </c>
    </row>
    <row r="1002" spans="1:15" s="1225" customFormat="1" ht="12.75" customHeight="1" collapsed="1" x14ac:dyDescent="0.2">
      <c r="A1002" s="1987"/>
      <c r="B1002" s="1640"/>
      <c r="C1002" s="1644" t="str">
        <f>INDEX(AirQualityVectors[Code],MATCH(D1002,AirQualityVectors[Description],0))</f>
        <v>AQ.03</v>
      </c>
      <c r="D1002" s="1645" t="s">
        <v>1795</v>
      </c>
      <c r="E1002" s="1622" t="s">
        <v>483</v>
      </c>
      <c r="F1002" s="1647">
        <f t="shared" ref="F1002:N1002" si="327">SUMPRODUCT(F$760:F$767,F$228:F$235)</f>
        <v>9.2236143196319592E-2</v>
      </c>
      <c r="G1002" s="1647">
        <f t="shared" si="327"/>
        <v>9.0580965735224533E-2</v>
      </c>
      <c r="H1002" s="1647">
        <f t="shared" si="327"/>
        <v>8.5835548026836211E-2</v>
      </c>
      <c r="I1002" s="1647">
        <f t="shared" si="327"/>
        <v>8.0058836531574709E-2</v>
      </c>
      <c r="J1002" s="1647">
        <f t="shared" si="327"/>
        <v>7.403628208138624E-2</v>
      </c>
      <c r="K1002" s="1647">
        <f t="shared" si="327"/>
        <v>7.6521774940702267E-2</v>
      </c>
      <c r="L1002" s="1647">
        <f t="shared" si="327"/>
        <v>7.8000592888014475E-2</v>
      </c>
      <c r="M1002" s="1647">
        <f t="shared" si="327"/>
        <v>8.0603360875394145E-2</v>
      </c>
      <c r="N1002" s="1647">
        <f t="shared" si="327"/>
        <v>8.387498387503517E-2</v>
      </c>
    </row>
    <row r="1003" spans="1:15" s="1225" customFormat="1" ht="12.75" customHeight="1" x14ac:dyDescent="0.2">
      <c r="A1003" s="1987"/>
      <c r="B1003" s="1640"/>
      <c r="C1003" s="1641" t="str">
        <f>INDEX(AirQualityVectors[Code],MATCH(D1003,AirQualityVectors[Description],0))</f>
        <v>AQ.04</v>
      </c>
      <c r="D1003" s="1648" t="s">
        <v>1792</v>
      </c>
      <c r="E1003" s="1622" t="s">
        <v>483</v>
      </c>
      <c r="F1003" s="1642">
        <f t="shared" ref="F1003:N1003" si="328">SUMPRODUCT(F$760:F$767,F$243:F$250)</f>
        <v>9.8918465438860359</v>
      </c>
      <c r="G1003" s="1642">
        <f t="shared" si="328"/>
        <v>4.6624090716438182</v>
      </c>
      <c r="H1003" s="1642">
        <f t="shared" si="328"/>
        <v>3.3840177849729489</v>
      </c>
      <c r="I1003" s="1642">
        <f t="shared" si="328"/>
        <v>3.2365814917837152</v>
      </c>
      <c r="J1003" s="1642">
        <f t="shared" si="328"/>
        <v>3.1646659212000445</v>
      </c>
      <c r="K1003" s="1642">
        <f t="shared" si="328"/>
        <v>3.2614402284309314</v>
      </c>
      <c r="L1003" s="1642">
        <f t="shared" si="328"/>
        <v>3.2399535692136729</v>
      </c>
      <c r="M1003" s="1642">
        <f t="shared" si="328"/>
        <v>3.2760142001623516</v>
      </c>
      <c r="N1003" s="1642">
        <f t="shared" si="328"/>
        <v>3.3158124671750011</v>
      </c>
    </row>
    <row r="1004" spans="1:15" s="1480" customFormat="1" ht="12.75" customHeight="1" x14ac:dyDescent="0.2">
      <c r="A1004" s="1987"/>
      <c r="B1004" s="1640"/>
      <c r="C1004" s="1640"/>
      <c r="D1004" s="1640"/>
      <c r="E1004" s="1640"/>
      <c r="F1004" s="1640"/>
      <c r="G1004" s="1640"/>
      <c r="H1004" s="1640"/>
      <c r="I1004" s="1640"/>
      <c r="J1004" s="1640"/>
      <c r="K1004" s="1640"/>
      <c r="L1004" s="1640"/>
      <c r="M1004" s="1640"/>
      <c r="N1004" s="1640"/>
      <c r="O1004" s="1987"/>
    </row>
    <row r="1005" spans="1:15" s="1480" customFormat="1" ht="12.75" customHeight="1" x14ac:dyDescent="0.2">
      <c r="A1005" s="1987"/>
      <c r="B1005" s="1640"/>
      <c r="C1005" s="1640"/>
      <c r="D1005" s="1640"/>
      <c r="E1005" s="1640"/>
      <c r="F1005" s="1640"/>
      <c r="G1005" s="1640"/>
      <c r="H1005" s="1640"/>
      <c r="I1005" s="1640"/>
      <c r="J1005" s="1640"/>
      <c r="K1005" s="1640"/>
      <c r="L1005" s="1640"/>
      <c r="M1005" s="1640"/>
      <c r="N1005" s="1640"/>
      <c r="O1005" s="1987"/>
    </row>
    <row r="1006" spans="1:15" s="1480" customFormat="1" ht="12.75" customHeight="1" x14ac:dyDescent="0.2">
      <c r="A1006" s="1987"/>
      <c r="B1006" s="1640"/>
      <c r="C1006" s="1643" t="s">
        <v>1239</v>
      </c>
      <c r="D1006" s="1640"/>
      <c r="E1006" s="1640"/>
      <c r="F1006" s="1640"/>
      <c r="G1006" s="1640"/>
      <c r="H1006" s="1640"/>
      <c r="I1006" s="1640"/>
      <c r="J1006" s="1640"/>
      <c r="K1006" s="1640"/>
      <c r="L1006" s="1640"/>
      <c r="M1006" s="1640"/>
      <c r="N1006" s="1640"/>
      <c r="O1006" s="1987"/>
    </row>
    <row r="1007" spans="1:15" s="1480" customFormat="1" ht="12.75" customHeight="1" x14ac:dyDescent="0.2">
      <c r="A1007" s="1987"/>
      <c r="B1007" s="1640"/>
      <c r="C1007" s="1640"/>
      <c r="D1007" s="1640"/>
      <c r="E1007" s="1640"/>
      <c r="F1007" s="1640"/>
      <c r="G1007" s="1640"/>
      <c r="H1007" s="1640"/>
      <c r="I1007" s="1640"/>
      <c r="J1007" s="1640"/>
      <c r="K1007" s="1640"/>
      <c r="L1007" s="1640"/>
      <c r="M1007" s="1640"/>
      <c r="N1007" s="1640"/>
      <c r="O1007" s="1987"/>
    </row>
    <row r="1008" spans="1:15" s="1480" customFormat="1" ht="12.75" customHeight="1" x14ac:dyDescent="0.2">
      <c r="A1008" s="1987"/>
      <c r="B1008" s="1640"/>
      <c r="C1008" s="1625" t="s">
        <v>64</v>
      </c>
      <c r="D1008" s="1626" t="s">
        <v>150</v>
      </c>
      <c r="E1008" s="1626" t="s">
        <v>461</v>
      </c>
      <c r="F1008" s="1626" t="s">
        <v>241</v>
      </c>
      <c r="G1008" s="1626" t="s">
        <v>268</v>
      </c>
      <c r="H1008" s="1626" t="s">
        <v>269</v>
      </c>
      <c r="I1008" s="1626" t="s">
        <v>270</v>
      </c>
      <c r="J1008" s="1626" t="s">
        <v>271</v>
      </c>
      <c r="K1008" s="1626" t="s">
        <v>272</v>
      </c>
      <c r="L1008" s="1626" t="s">
        <v>273</v>
      </c>
      <c r="M1008" s="1626" t="s">
        <v>274</v>
      </c>
      <c r="N1008" s="1627" t="s">
        <v>275</v>
      </c>
    </row>
    <row r="1009" spans="1:15" s="1480" customFormat="1" ht="12.75" customHeight="1" x14ac:dyDescent="0.2">
      <c r="A1009" s="1987"/>
      <c r="B1009" s="1640"/>
      <c r="C1009" s="1644" t="str">
        <f>INDEX(AirQualityVectors[Code],MATCH(D1009,AirQualityVectors[Description],0))</f>
        <v>AQ.01</v>
      </c>
      <c r="D1009" s="1645" t="s">
        <v>1791</v>
      </c>
      <c r="E1009" s="1646" t="s">
        <v>483</v>
      </c>
      <c r="F1009" s="1647">
        <f t="shared" ref="F1009:N1009" si="329">SUMPRODUCT(F$768:F$769,F$206:F$207)</f>
        <v>4.9935781345913686</v>
      </c>
      <c r="G1009" s="1647">
        <f t="shared" si="329"/>
        <v>7.1018409649610783</v>
      </c>
      <c r="H1009" s="1647">
        <f t="shared" si="329"/>
        <v>6.4746883896688434</v>
      </c>
      <c r="I1009" s="1647">
        <f t="shared" si="329"/>
        <v>5.2739204675454365</v>
      </c>
      <c r="J1009" s="1647">
        <f t="shared" si="329"/>
        <v>3.8335998458274196</v>
      </c>
      <c r="K1009" s="1647">
        <f t="shared" si="329"/>
        <v>2.3261729827770532</v>
      </c>
      <c r="L1009" s="1647">
        <f t="shared" si="329"/>
        <v>1.1755280325058659</v>
      </c>
      <c r="M1009" s="1647">
        <f t="shared" si="329"/>
        <v>0.85859168208648373</v>
      </c>
      <c r="N1009" s="1647">
        <f t="shared" si="329"/>
        <v>0.68463465143726177</v>
      </c>
    </row>
    <row r="1010" spans="1:15" s="1480" customFormat="1" ht="12.75" customHeight="1" x14ac:dyDescent="0.2">
      <c r="A1010" s="1987"/>
      <c r="B1010" s="1640"/>
      <c r="C1010" s="1644" t="str">
        <f>INDEX(AirQualityVectors[Code],MATCH(D1010,AirQualityVectors[Description],0))</f>
        <v>AQ.02</v>
      </c>
      <c r="D1010" s="1645" t="s">
        <v>1794</v>
      </c>
      <c r="E1010" s="1646" t="s">
        <v>483</v>
      </c>
      <c r="F1010" s="1647">
        <f t="shared" ref="F1010:N1010" si="330">SUMPRODUCT(F$768:F$769,F$221:F$222)</f>
        <v>188.90060155873667</v>
      </c>
      <c r="G1010" s="1647">
        <f t="shared" si="330"/>
        <v>270.46802588814774</v>
      </c>
      <c r="H1010" s="1647">
        <f t="shared" si="330"/>
        <v>253.81686558749811</v>
      </c>
      <c r="I1010" s="1647">
        <f t="shared" si="330"/>
        <v>215.81190413488312</v>
      </c>
      <c r="J1010" s="1647">
        <f t="shared" si="330"/>
        <v>168.32480290127756</v>
      </c>
      <c r="K1010" s="1647">
        <f t="shared" si="330"/>
        <v>117.20510201324878</v>
      </c>
      <c r="L1010" s="1647">
        <f t="shared" si="330"/>
        <v>90.779166606014627</v>
      </c>
      <c r="M1010" s="1647">
        <f t="shared" si="330"/>
        <v>75.964466771230022</v>
      </c>
      <c r="N1010" s="1647">
        <f t="shared" si="330"/>
        <v>60.573503464595518</v>
      </c>
    </row>
    <row r="1011" spans="1:15" s="1480" customFormat="1" ht="12.75" customHeight="1" x14ac:dyDescent="0.2">
      <c r="A1011" s="1987"/>
      <c r="B1011" s="1640"/>
      <c r="C1011" s="1644" t="str">
        <f>INDEX(AirQualityVectors[Code],MATCH(D1011,AirQualityVectors[Description],0))</f>
        <v>AQ.03</v>
      </c>
      <c r="D1011" s="1645" t="s">
        <v>1795</v>
      </c>
      <c r="E1011" s="1646" t="s">
        <v>483</v>
      </c>
      <c r="F1011" s="1647">
        <f t="shared" ref="F1011:N1011" si="331">SUMPRODUCT(F$768:F$769,F$236:F$237)</f>
        <v>2.2059902041409201</v>
      </c>
      <c r="G1011" s="1647">
        <f t="shared" si="331"/>
        <v>6.405031504849508E-2</v>
      </c>
      <c r="H1011" s="1647">
        <f t="shared" si="331"/>
        <v>7.0787716697834235E-2</v>
      </c>
      <c r="I1011" s="1647">
        <f t="shared" si="331"/>
        <v>7.3194564165848047E-2</v>
      </c>
      <c r="J1011" s="1647">
        <f t="shared" si="331"/>
        <v>7.2825888034553879E-2</v>
      </c>
      <c r="K1011" s="1647">
        <f t="shared" si="331"/>
        <v>7.0006843641971142E-2</v>
      </c>
      <c r="L1011" s="1647">
        <f t="shared" si="331"/>
        <v>6.3178015466803697E-2</v>
      </c>
      <c r="M1011" s="1647">
        <f t="shared" si="331"/>
        <v>5.4226843079146249E-2</v>
      </c>
      <c r="N1011" s="1647">
        <f t="shared" si="331"/>
        <v>4.3240083248669091E-2</v>
      </c>
    </row>
    <row r="1012" spans="1:15" s="1480" customFormat="1" ht="12.75" customHeight="1" x14ac:dyDescent="0.2">
      <c r="A1012" s="1987"/>
      <c r="B1012" s="1640"/>
      <c r="C1012" s="1641" t="str">
        <f>INDEX(AirQualityVectors[Code],MATCH(D1012,AirQualityVectors[Description],0))</f>
        <v>AQ.04</v>
      </c>
      <c r="D1012" s="1648" t="s">
        <v>1792</v>
      </c>
      <c r="E1012" s="1646" t="s">
        <v>483</v>
      </c>
      <c r="F1012" s="1642">
        <f t="shared" ref="F1012:N1012" si="332">SUMPRODUCT(F$768:F$769,F$251:F$252)</f>
        <v>19.01160783316524</v>
      </c>
      <c r="G1012" s="1642">
        <f t="shared" si="332"/>
        <v>27.256353011835209</v>
      </c>
      <c r="H1012" s="1642">
        <f t="shared" si="332"/>
        <v>25.588035971986049</v>
      </c>
      <c r="I1012" s="1642">
        <f t="shared" si="332"/>
        <v>21.768454144004867</v>
      </c>
      <c r="J1012" s="1642">
        <f t="shared" si="332"/>
        <v>16.992830505984731</v>
      </c>
      <c r="K1012" s="1642">
        <f t="shared" si="332"/>
        <v>11.849688374487679</v>
      </c>
      <c r="L1012" s="1642">
        <f t="shared" si="332"/>
        <v>8.9758657466035441</v>
      </c>
      <c r="M1012" s="1642">
        <f t="shared" si="332"/>
        <v>7.4804203856731508</v>
      </c>
      <c r="N1012" s="1642">
        <f t="shared" si="332"/>
        <v>5.9648318405601133</v>
      </c>
    </row>
    <row r="1013" spans="1:15" s="1480" customFormat="1" ht="12.75" customHeight="1" x14ac:dyDescent="0.2">
      <c r="A1013" s="1987"/>
      <c r="B1013" s="1640"/>
      <c r="C1013" s="1640"/>
      <c r="D1013" s="1640"/>
      <c r="E1013" s="1640"/>
      <c r="F1013" s="1640"/>
      <c r="G1013" s="1640"/>
      <c r="H1013" s="1640"/>
      <c r="I1013" s="1640"/>
      <c r="J1013" s="1640"/>
      <c r="K1013" s="1640"/>
      <c r="L1013" s="1640"/>
      <c r="M1013" s="1640"/>
      <c r="N1013" s="1640"/>
      <c r="O1013" s="1987"/>
    </row>
    <row r="1014" spans="1:15" s="1225" customFormat="1" ht="12.75" customHeight="1" x14ac:dyDescent="0.2">
      <c r="A1014" s="1987"/>
      <c r="B1014" s="1640"/>
      <c r="C1014" s="1640"/>
      <c r="D1014" s="1640"/>
      <c r="E1014" s="1640"/>
      <c r="F1014" s="1640"/>
      <c r="G1014" s="1640"/>
      <c r="H1014" s="1640"/>
      <c r="I1014" s="1640"/>
      <c r="J1014" s="1640"/>
      <c r="K1014" s="1640"/>
      <c r="L1014" s="1640"/>
      <c r="M1014" s="1640"/>
      <c r="N1014" s="1640"/>
      <c r="O1014" s="1987"/>
    </row>
    <row r="1015" spans="1:15" s="1225" customFormat="1" ht="12.75" customHeight="1" x14ac:dyDescent="0.2">
      <c r="A1015" s="1987"/>
      <c r="B1015" s="1640"/>
      <c r="C1015" s="1643" t="s">
        <v>1241</v>
      </c>
      <c r="D1015" s="1640"/>
      <c r="E1015" s="1640"/>
      <c r="F1015" s="1640"/>
      <c r="G1015" s="1640"/>
      <c r="H1015" s="1640"/>
      <c r="I1015" s="1640"/>
      <c r="J1015" s="1640"/>
      <c r="K1015" s="1640"/>
      <c r="L1015" s="1640"/>
      <c r="M1015" s="1640"/>
      <c r="N1015" s="1640"/>
      <c r="O1015" s="1987"/>
    </row>
    <row r="1016" spans="1:15" s="1225" customFormat="1" ht="12.75" customHeight="1" x14ac:dyDescent="0.2">
      <c r="A1016" s="1987"/>
      <c r="B1016" s="1640"/>
      <c r="C1016" s="1640"/>
      <c r="D1016" s="1640"/>
      <c r="E1016" s="1640"/>
      <c r="F1016" s="1640"/>
      <c r="G1016" s="1640"/>
      <c r="H1016" s="1640"/>
      <c r="I1016" s="1640"/>
      <c r="J1016" s="1640"/>
      <c r="K1016" s="1640"/>
      <c r="L1016" s="1640"/>
      <c r="M1016" s="1640"/>
      <c r="N1016" s="1640"/>
      <c r="O1016" s="1987"/>
    </row>
    <row r="1017" spans="1:15" s="1225" customFormat="1" ht="12.75" customHeight="1" x14ac:dyDescent="0.2">
      <c r="A1017" s="1987"/>
      <c r="B1017" s="1640"/>
      <c r="C1017" s="1625" t="s">
        <v>64</v>
      </c>
      <c r="D1017" s="1626" t="s">
        <v>150</v>
      </c>
      <c r="E1017" s="1626" t="s">
        <v>461</v>
      </c>
      <c r="F1017" s="1626" t="s">
        <v>241</v>
      </c>
      <c r="G1017" s="1626" t="s">
        <v>268</v>
      </c>
      <c r="H1017" s="1626" t="s">
        <v>269</v>
      </c>
      <c r="I1017" s="1626" t="s">
        <v>270</v>
      </c>
      <c r="J1017" s="1626" t="s">
        <v>271</v>
      </c>
      <c r="K1017" s="1626" t="s">
        <v>272</v>
      </c>
      <c r="L1017" s="1626" t="s">
        <v>273</v>
      </c>
      <c r="M1017" s="1626" t="s">
        <v>274</v>
      </c>
      <c r="N1017" s="1627" t="s">
        <v>275</v>
      </c>
    </row>
    <row r="1018" spans="1:15" s="1225" customFormat="1" ht="12.75" customHeight="1" x14ac:dyDescent="0.2">
      <c r="A1018" s="1987"/>
      <c r="B1018" s="1640"/>
      <c r="C1018" s="1644" t="str">
        <f>INDEX(AirQualityVectors[Code],MATCH(D1018,AirQualityVectors[Description],0))</f>
        <v>AQ.01</v>
      </c>
      <c r="D1018" s="1645" t="s">
        <v>1791</v>
      </c>
      <c r="E1018" s="1646" t="s">
        <v>483</v>
      </c>
      <c r="F1018" s="1647">
        <f t="shared" ref="F1018:N1018" si="333">F$770*F$258*F$208</f>
        <v>0</v>
      </c>
      <c r="G1018" s="1647">
        <f t="shared" si="333"/>
        <v>0</v>
      </c>
      <c r="H1018" s="1647">
        <f t="shared" si="333"/>
        <v>0</v>
      </c>
      <c r="I1018" s="1647">
        <f t="shared" si="333"/>
        <v>0</v>
      </c>
      <c r="J1018" s="1647">
        <f t="shared" si="333"/>
        <v>0</v>
      </c>
      <c r="K1018" s="1647">
        <f t="shared" si="333"/>
        <v>0</v>
      </c>
      <c r="L1018" s="1647">
        <f t="shared" si="333"/>
        <v>0</v>
      </c>
      <c r="M1018" s="1647">
        <f t="shared" si="333"/>
        <v>0</v>
      </c>
      <c r="N1018" s="1647">
        <f t="shared" si="333"/>
        <v>0</v>
      </c>
    </row>
    <row r="1019" spans="1:15" s="1225" customFormat="1" ht="12.75" customHeight="1" x14ac:dyDescent="0.2">
      <c r="A1019" s="1987"/>
      <c r="B1019" s="1640"/>
      <c r="C1019" s="1644" t="str">
        <f>INDEX(AirQualityVectors[Code],MATCH(D1019,AirQualityVectors[Description],0))</f>
        <v>AQ.02</v>
      </c>
      <c r="D1019" s="1645" t="s">
        <v>1794</v>
      </c>
      <c r="E1019" s="1646" t="s">
        <v>483</v>
      </c>
      <c r="F1019" s="1647">
        <f t="shared" ref="F1019:N1019" si="334">F$770*F$258*F$223</f>
        <v>0</v>
      </c>
      <c r="G1019" s="1647">
        <f t="shared" si="334"/>
        <v>0</v>
      </c>
      <c r="H1019" s="1647">
        <f t="shared" si="334"/>
        <v>0</v>
      </c>
      <c r="I1019" s="1647">
        <f t="shared" si="334"/>
        <v>0</v>
      </c>
      <c r="J1019" s="1647">
        <f t="shared" si="334"/>
        <v>0</v>
      </c>
      <c r="K1019" s="1647">
        <f t="shared" si="334"/>
        <v>0</v>
      </c>
      <c r="L1019" s="1647">
        <f t="shared" si="334"/>
        <v>0</v>
      </c>
      <c r="M1019" s="1647">
        <f t="shared" si="334"/>
        <v>0</v>
      </c>
      <c r="N1019" s="1647">
        <f t="shared" si="334"/>
        <v>0</v>
      </c>
    </row>
    <row r="1020" spans="1:15" ht="12.75" customHeight="1" x14ac:dyDescent="0.2">
      <c r="A1020" s="1987"/>
      <c r="B1020" s="1640"/>
      <c r="C1020" s="1644" t="str">
        <f>INDEX(AirQualityVectors[Code],MATCH(D1020,AirQualityVectors[Description],0))</f>
        <v>AQ.03</v>
      </c>
      <c r="D1020" s="1645" t="s">
        <v>1795</v>
      </c>
      <c r="E1020" s="1646" t="s">
        <v>483</v>
      </c>
      <c r="F1020" s="1647">
        <f t="shared" ref="F1020:N1020" si="335">F$770*F$258*F$238</f>
        <v>0</v>
      </c>
      <c r="G1020" s="1647">
        <f t="shared" si="335"/>
        <v>0</v>
      </c>
      <c r="H1020" s="1647">
        <f t="shared" si="335"/>
        <v>0</v>
      </c>
      <c r="I1020" s="1647">
        <f t="shared" si="335"/>
        <v>0</v>
      </c>
      <c r="J1020" s="1647">
        <f t="shared" si="335"/>
        <v>0</v>
      </c>
      <c r="K1020" s="1647">
        <f t="shared" si="335"/>
        <v>0</v>
      </c>
      <c r="L1020" s="1647">
        <f t="shared" si="335"/>
        <v>0</v>
      </c>
      <c r="M1020" s="1647">
        <f t="shared" si="335"/>
        <v>0</v>
      </c>
      <c r="N1020" s="1647">
        <f t="shared" si="335"/>
        <v>0</v>
      </c>
    </row>
    <row r="1021" spans="1:15" s="1375" customFormat="1" ht="12.75" customHeight="1" x14ac:dyDescent="0.2">
      <c r="A1021" s="1987"/>
      <c r="B1021" s="1640"/>
      <c r="C1021" s="1641" t="str">
        <f>INDEX(AirQualityVectors[Code],MATCH(D1021,AirQualityVectors[Description],0))</f>
        <v>AQ.04</v>
      </c>
      <c r="D1021" s="1648" t="s">
        <v>1792</v>
      </c>
      <c r="E1021" s="1646" t="s">
        <v>483</v>
      </c>
      <c r="F1021" s="1642">
        <f t="shared" ref="F1021:N1021" si="336">F$770*F$258*F$253</f>
        <v>0</v>
      </c>
      <c r="G1021" s="1642">
        <f t="shared" si="336"/>
        <v>0</v>
      </c>
      <c r="H1021" s="1642">
        <f t="shared" si="336"/>
        <v>0</v>
      </c>
      <c r="I1021" s="1642">
        <f t="shared" si="336"/>
        <v>0</v>
      </c>
      <c r="J1021" s="1642">
        <f t="shared" si="336"/>
        <v>0</v>
      </c>
      <c r="K1021" s="1642">
        <f t="shared" si="336"/>
        <v>0</v>
      </c>
      <c r="L1021" s="1642">
        <f t="shared" si="336"/>
        <v>0</v>
      </c>
      <c r="M1021" s="1642">
        <f t="shared" si="336"/>
        <v>0</v>
      </c>
      <c r="N1021" s="1642">
        <f t="shared" si="336"/>
        <v>0</v>
      </c>
    </row>
    <row r="1022" spans="1:15" s="1375" customFormat="1" ht="12.75" customHeight="1" x14ac:dyDescent="0.2">
      <c r="A1022" s="1987"/>
      <c r="B1022" s="1640"/>
      <c r="C1022" s="1640"/>
      <c r="D1022" s="1640"/>
      <c r="E1022" s="1640"/>
      <c r="F1022" s="1640"/>
      <c r="G1022" s="1640"/>
      <c r="H1022" s="1640"/>
      <c r="I1022" s="1640"/>
      <c r="J1022" s="1640"/>
      <c r="K1022" s="1640"/>
      <c r="L1022" s="1640"/>
      <c r="M1022" s="1640"/>
      <c r="N1022" s="1640"/>
      <c r="O1022" s="1987"/>
    </row>
    <row r="1023" spans="1:15" customFormat="1" ht="12.75" customHeight="1" x14ac:dyDescent="0.2"/>
  </sheetData>
  <conditionalFormatting sqref="F365:N366 F377:N377 F179:N180 F189:N189 F167:N168 F187:N187 G378:N378 F193:N193 G387:N387 F385:N386">
    <cfRule type="cellIs" dxfId="1817" priority="32" operator="equal">
      <formula>TRUE</formula>
    </cfRule>
  </conditionalFormatting>
  <conditionalFormatting sqref="F378">
    <cfRule type="cellIs" dxfId="1816" priority="1" operator="equal">
      <formula>TRUE</formula>
    </cfRule>
  </conditionalFormatting>
  <pageMargins left="0.7" right="0.7" top="0.75" bottom="0.75" header="0.3" footer="0.3"/>
  <pageSetup paperSize="9" orientation="portrait" r:id="rId1"/>
  <ignoredErrors>
    <ignoredError sqref="F33:J33" formulaRange="1"/>
    <ignoredError sqref="H181 J181 L181 H169:H170 J169:J170 L169:L170" formula="1"/>
  </ignoredErrors>
  <legacyDrawing r:id="rId2"/>
  <tableParts count="26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A1:AB62"/>
  <sheetViews>
    <sheetView windowProtection="1" topLeftCell="A22" workbookViewId="0">
      <selection activeCell="D47" sqref="D47:M57"/>
    </sheetView>
  </sheetViews>
  <sheetFormatPr defaultColWidth="11.5703125" defaultRowHeight="12.75" x14ac:dyDescent="0.2"/>
  <cols>
    <col min="3" max="3" width="5.42578125" customWidth="1"/>
    <col min="4" max="4" width="21.140625" customWidth="1"/>
    <col min="7" max="7" width="12.140625" bestFit="1" customWidth="1"/>
  </cols>
  <sheetData>
    <row r="1" spans="1:28" s="2370" customFormat="1" x14ac:dyDescent="0.2"/>
    <row r="2" spans="1:28" s="2370" customFormat="1" ht="22.5" x14ac:dyDescent="0.3">
      <c r="A2" s="1422"/>
      <c r="B2" s="468" t="s">
        <v>2127</v>
      </c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3"/>
    </row>
    <row r="3" spans="1:28" s="84" customFormat="1" ht="18" customHeight="1" x14ac:dyDescent="0.2">
      <c r="B3" s="410"/>
      <c r="C3" s="412"/>
      <c r="D3" s="412"/>
      <c r="E3" s="412"/>
      <c r="F3" s="412"/>
      <c r="G3" s="412"/>
      <c r="H3" s="412"/>
      <c r="I3" s="412"/>
      <c r="J3" s="412"/>
      <c r="K3" s="412"/>
      <c r="L3" s="2387"/>
      <c r="M3" s="2388"/>
      <c r="N3" s="429"/>
      <c r="P3" s="2370"/>
      <c r="Q3" s="2370"/>
      <c r="R3" s="2370"/>
      <c r="S3" s="2370"/>
      <c r="T3" s="2370"/>
      <c r="U3" s="2370"/>
      <c r="V3" s="2370"/>
      <c r="W3" s="2370"/>
      <c r="X3" s="2370"/>
      <c r="Y3" s="2370"/>
      <c r="Z3" s="2370"/>
      <c r="AA3" s="2370"/>
      <c r="AB3" s="2370"/>
    </row>
    <row r="4" spans="1:28" s="84" customFormat="1" ht="18" customHeight="1" x14ac:dyDescent="0.2">
      <c r="B4" s="410"/>
      <c r="C4" s="794" t="s">
        <v>2129</v>
      </c>
      <c r="D4" s="412"/>
      <c r="E4" s="412"/>
      <c r="F4" s="412"/>
      <c r="G4" s="412"/>
      <c r="H4" s="412"/>
      <c r="I4" s="412"/>
      <c r="J4" s="412"/>
      <c r="K4" s="412"/>
      <c r="L4" s="412"/>
      <c r="M4" s="97"/>
      <c r="N4" s="429"/>
      <c r="P4" s="2370"/>
      <c r="Q4" s="2370"/>
      <c r="R4" s="2370"/>
      <c r="S4" s="2370"/>
      <c r="T4" s="2370"/>
      <c r="U4" s="2370"/>
      <c r="V4" s="2370"/>
      <c r="W4" s="2370"/>
      <c r="X4" s="2370"/>
      <c r="Y4" s="2370"/>
      <c r="Z4" s="2370"/>
      <c r="AA4" s="2370"/>
      <c r="AB4" s="2370"/>
    </row>
    <row r="5" spans="1:28" s="84" customFormat="1" ht="18" customHeight="1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97"/>
      <c r="N5" s="429"/>
      <c r="P5" s="2370"/>
      <c r="Q5" s="2370"/>
      <c r="R5" s="2370"/>
      <c r="S5" s="2370"/>
      <c r="T5" s="2370"/>
      <c r="U5" s="2370"/>
      <c r="V5" s="2370"/>
      <c r="W5" s="2370"/>
      <c r="X5" s="2370"/>
      <c r="Y5" s="2370"/>
      <c r="Z5" s="2370"/>
      <c r="AA5" s="2370"/>
      <c r="AB5" s="2370"/>
    </row>
    <row r="6" spans="1:28" s="1411" customFormat="1" ht="18" customHeight="1" x14ac:dyDescent="0.2">
      <c r="B6" s="782"/>
      <c r="C6" s="803"/>
      <c r="D6" s="2396" t="str">
        <f>Preferences.EnergyUnits &amp; " / year"</f>
        <v>TWh / year</v>
      </c>
      <c r="E6" s="775">
        <v>2010</v>
      </c>
      <c r="F6" s="775">
        <v>2015</v>
      </c>
      <c r="G6" s="775">
        <v>2020</v>
      </c>
      <c r="H6" s="775">
        <v>2025</v>
      </c>
      <c r="I6" s="775">
        <v>2030</v>
      </c>
      <c r="J6" s="775">
        <v>2035</v>
      </c>
      <c r="K6" s="775">
        <v>2040</v>
      </c>
      <c r="L6" s="775">
        <v>2045</v>
      </c>
      <c r="M6" s="775">
        <v>2050</v>
      </c>
      <c r="N6" s="785"/>
      <c r="O6" s="367"/>
    </row>
    <row r="7" spans="1:28" s="1411" customFormat="1" ht="18" customHeight="1" x14ac:dyDescent="0.2">
      <c r="B7" s="782"/>
      <c r="C7" s="2391" t="s">
        <v>28</v>
      </c>
      <c r="D7" s="2391" t="str">
        <f>INDEX(Vectors[Description], MATCH($C7, Vectors[Code], 0))</f>
        <v>Road transport</v>
      </c>
      <c r="E7" s="2392">
        <f ca="1">INDEX(INDIRECT("'"&amp;E$6&amp;"'!Year.NetBalance"), MATCH($C7, INDIRECT("'"&amp;E$6&amp;"'!Year.Vectors"), 0))</f>
        <v>102.3149280766313</v>
      </c>
      <c r="F7" s="2392">
        <f t="shared" ref="F7:M11" ca="1" si="0">INDEX(INDIRECT("'"&amp;F$6&amp;"'!Year.NetBalance"), MATCH($C7, INDIRECT("'"&amp;F$6&amp;"'!Year.Vectors"), 0))</f>
        <v>98.573713532137731</v>
      </c>
      <c r="G7" s="2392">
        <f t="shared" ca="1" si="0"/>
        <v>95.196935864243045</v>
      </c>
      <c r="H7" s="2392">
        <f t="shared" ca="1" si="0"/>
        <v>91.616521511184374</v>
      </c>
      <c r="I7" s="2392">
        <f t="shared" ca="1" si="0"/>
        <v>87.702870215268888</v>
      </c>
      <c r="J7" s="2392">
        <f t="shared" ca="1" si="0"/>
        <v>94.494594530868937</v>
      </c>
      <c r="K7" s="2392">
        <f t="shared" ca="1" si="0"/>
        <v>100.21442697127782</v>
      </c>
      <c r="L7" s="2392">
        <f t="shared" ca="1" si="0"/>
        <v>107.4464981999182</v>
      </c>
      <c r="M7" s="2392">
        <f t="shared" ca="1" si="0"/>
        <v>115.70828124472884</v>
      </c>
      <c r="N7" s="785"/>
      <c r="O7" s="367"/>
    </row>
    <row r="8" spans="1:28" s="1411" customFormat="1" ht="18" customHeight="1" x14ac:dyDescent="0.2">
      <c r="B8" s="782"/>
      <c r="C8" s="2391" t="s">
        <v>29</v>
      </c>
      <c r="D8" s="2391" t="str">
        <f>INDEX(Vectors[Description], MATCH($C8, Vectors[Code], 0))</f>
        <v>Rail transport</v>
      </c>
      <c r="E8" s="2392">
        <f ca="1">INDEX(INDIRECT("'"&amp;E$6&amp;"'!Year.NetBalance"), MATCH($C8, INDIRECT("'"&amp;E$6&amp;"'!Year.Vectors"), 0))</f>
        <v>25.076957917110953</v>
      </c>
      <c r="F8" s="2392">
        <f t="shared" ca="1" si="0"/>
        <v>42.475937245436782</v>
      </c>
      <c r="G8" s="2392">
        <f t="shared" ca="1" si="0"/>
        <v>49.917389989978602</v>
      </c>
      <c r="H8" s="2392">
        <f t="shared" ca="1" si="0"/>
        <v>55.17577889636857</v>
      </c>
      <c r="I8" s="2392">
        <f t="shared" ca="1" si="0"/>
        <v>59.254113213404999</v>
      </c>
      <c r="J8" s="2392">
        <f t="shared" ca="1" si="0"/>
        <v>62.417203676107818</v>
      </c>
      <c r="K8" s="2392">
        <f t="shared" ca="1" si="0"/>
        <v>63.419361714598281</v>
      </c>
      <c r="L8" s="2392">
        <f t="shared" ca="1" si="0"/>
        <v>63.640391829160592</v>
      </c>
      <c r="M8" s="2392">
        <f t="shared" ca="1" si="0"/>
        <v>63.15812022583664</v>
      </c>
      <c r="N8" s="785"/>
      <c r="O8" s="367"/>
    </row>
    <row r="9" spans="1:28" s="1411" customFormat="1" ht="18" customHeight="1" x14ac:dyDescent="0.2">
      <c r="B9" s="782"/>
      <c r="C9" s="2391" t="s">
        <v>30</v>
      </c>
      <c r="D9" s="2391" t="str">
        <f>INDEX(Vectors[Description], MATCH($C9, Vectors[Code], 0))</f>
        <v>Domestic aviation</v>
      </c>
      <c r="E9" s="2392">
        <f ca="1">INDEX(INDIRECT("'"&amp;E$6&amp;"'!Year.NetBalance"), MATCH($C9, INDIRECT("'"&amp;E$6&amp;"'!Year.Vectors"), 0))</f>
        <v>0</v>
      </c>
      <c r="F9" s="2392">
        <f t="shared" ca="1" si="0"/>
        <v>0</v>
      </c>
      <c r="G9" s="2392">
        <f t="shared" ca="1" si="0"/>
        <v>0</v>
      </c>
      <c r="H9" s="2392">
        <f t="shared" ca="1" si="0"/>
        <v>0</v>
      </c>
      <c r="I9" s="2392">
        <f t="shared" ca="1" si="0"/>
        <v>0</v>
      </c>
      <c r="J9" s="2392">
        <f t="shared" ca="1" si="0"/>
        <v>0</v>
      </c>
      <c r="K9" s="2392">
        <f t="shared" ca="1" si="0"/>
        <v>0</v>
      </c>
      <c r="L9" s="2392">
        <f t="shared" ca="1" si="0"/>
        <v>0</v>
      </c>
      <c r="M9" s="2392">
        <f t="shared" ca="1" si="0"/>
        <v>0</v>
      </c>
      <c r="N9" s="785"/>
      <c r="O9" s="367"/>
    </row>
    <row r="10" spans="1:28" s="1411" customFormat="1" ht="18" customHeight="1" x14ac:dyDescent="0.2">
      <c r="B10" s="782"/>
      <c r="C10" s="2391" t="s">
        <v>31</v>
      </c>
      <c r="D10" s="2391" t="str">
        <f>INDEX(Vectors[Description], MATCH($C10, Vectors[Code], 0))</f>
        <v>Berge</v>
      </c>
      <c r="E10" s="2392">
        <f ca="1">INDEX(INDIRECT("'"&amp;E$6&amp;"'!Year.NetBalance"), MATCH($C10, INDIRECT("'"&amp;E$6&amp;"'!Year.Vectors"), 0))</f>
        <v>0</v>
      </c>
      <c r="F10" s="2392">
        <f t="shared" ca="1" si="0"/>
        <v>1.2059144801278183E-13</v>
      </c>
      <c r="G10" s="2392">
        <f t="shared" ca="1" si="0"/>
        <v>2.4118289602556366E-13</v>
      </c>
      <c r="H10" s="2392">
        <f t="shared" ca="1" si="0"/>
        <v>3.6177434403834546E-13</v>
      </c>
      <c r="I10" s="2392">
        <f t="shared" ca="1" si="0"/>
        <v>4.8236579205112732E-13</v>
      </c>
      <c r="J10" s="2392">
        <f t="shared" ca="1" si="0"/>
        <v>6.0295724006390912E-13</v>
      </c>
      <c r="K10" s="2392">
        <f t="shared" ca="1" si="0"/>
        <v>7.2354868807669103E-13</v>
      </c>
      <c r="L10" s="2392">
        <f t="shared" ca="1" si="0"/>
        <v>8.4414013608947293E-13</v>
      </c>
      <c r="M10" s="2392">
        <f t="shared" ca="1" si="0"/>
        <v>9.6473158410225464E-13</v>
      </c>
      <c r="N10" s="785"/>
      <c r="O10" s="367"/>
    </row>
    <row r="11" spans="1:28" s="1411" customFormat="1" ht="18" customHeight="1" x14ac:dyDescent="0.2">
      <c r="B11" s="782"/>
      <c r="C11" s="2391" t="s">
        <v>2336</v>
      </c>
      <c r="D11" s="2391" t="str">
        <f>INDEX(Vectors[Description], MATCH($C11, Vectors[Code], 0))</f>
        <v>Pipeline</v>
      </c>
      <c r="E11" s="2392">
        <f ca="1">INDEX(INDIRECT("'"&amp;E$6&amp;"'!Year.NetBalance"), MATCH($C11, INDIRECT("'"&amp;E$6&amp;"'!Year.Vectors"), 0))</f>
        <v>1.0449356110119832</v>
      </c>
      <c r="F11" s="2392">
        <f t="shared" ca="1" si="0"/>
        <v>2.2204881734004642</v>
      </c>
      <c r="G11" s="2392">
        <f t="shared" ca="1" si="0"/>
        <v>3.3960407357889455</v>
      </c>
      <c r="H11" s="2392">
        <f t="shared" ca="1" si="0"/>
        <v>4.5715932981774268</v>
      </c>
      <c r="I11" s="2392">
        <f t="shared" ca="1" si="0"/>
        <v>5.747145860565908</v>
      </c>
      <c r="J11" s="2392">
        <f t="shared" ca="1" si="0"/>
        <v>6.9226984229543893</v>
      </c>
      <c r="K11" s="2392">
        <f t="shared" ca="1" si="0"/>
        <v>8.0982509853428706</v>
      </c>
      <c r="L11" s="2392">
        <f t="shared" ca="1" si="0"/>
        <v>9.273803547731351</v>
      </c>
      <c r="M11" s="2392">
        <f t="shared" ca="1" si="0"/>
        <v>10.449356110119831</v>
      </c>
      <c r="N11" s="785"/>
      <c r="O11" s="367"/>
    </row>
    <row r="12" spans="1:28" s="1411" customFormat="1" ht="18" customHeight="1" x14ac:dyDescent="0.2">
      <c r="B12" s="782"/>
      <c r="C12" s="2391"/>
      <c r="D12" s="2391" t="s">
        <v>2128</v>
      </c>
      <c r="E12" s="2392">
        <f t="shared" ref="E12:M12" ca="1" si="1">SUM(E7:E11)</f>
        <v>128.43682160475424</v>
      </c>
      <c r="F12" s="2392">
        <f t="shared" ca="1" si="1"/>
        <v>143.27013895097511</v>
      </c>
      <c r="G12" s="2392">
        <f t="shared" ca="1" si="1"/>
        <v>148.51036659001082</v>
      </c>
      <c r="H12" s="2392">
        <f t="shared" ca="1" si="1"/>
        <v>151.36389370573073</v>
      </c>
      <c r="I12" s="2392">
        <f t="shared" ca="1" si="1"/>
        <v>152.70412928924026</v>
      </c>
      <c r="J12" s="2392">
        <f t="shared" ca="1" si="1"/>
        <v>163.83449662993175</v>
      </c>
      <c r="K12" s="2392">
        <f t="shared" ca="1" si="1"/>
        <v>171.73203967121967</v>
      </c>
      <c r="L12" s="2392">
        <f t="shared" ca="1" si="1"/>
        <v>180.360693576811</v>
      </c>
      <c r="M12" s="2392">
        <f t="shared" ca="1" si="1"/>
        <v>189.31575758068627</v>
      </c>
      <c r="N12" s="785"/>
      <c r="O12" s="367"/>
    </row>
    <row r="13" spans="1:28" s="1411" customFormat="1" ht="18" customHeight="1" x14ac:dyDescent="0.15">
      <c r="B13" s="782"/>
      <c r="C13" s="783"/>
      <c r="D13" s="783"/>
      <c r="E13" s="2389"/>
      <c r="F13" s="2389"/>
      <c r="G13" s="2389"/>
      <c r="H13" s="2389"/>
      <c r="I13" s="2389"/>
      <c r="J13" s="2389"/>
      <c r="K13" s="2389"/>
      <c r="L13" s="2389"/>
      <c r="M13" s="2389"/>
      <c r="N13" s="785"/>
      <c r="O13" s="367"/>
    </row>
    <row r="14" spans="1:28" s="1411" customFormat="1" ht="18" customHeight="1" x14ac:dyDescent="0.2">
      <c r="B14" s="782"/>
      <c r="C14" s="2397" t="s">
        <v>2130</v>
      </c>
      <c r="D14" s="783"/>
      <c r="E14" s="2389"/>
      <c r="F14" s="2389"/>
      <c r="G14" s="2389"/>
      <c r="H14" s="2389"/>
      <c r="I14" s="2389"/>
      <c r="J14" s="2389"/>
      <c r="K14" s="2389"/>
      <c r="L14" s="2389"/>
      <c r="M14" s="2389"/>
      <c r="N14" s="785"/>
      <c r="O14" s="367"/>
    </row>
    <row r="15" spans="1:28" s="1411" customFormat="1" ht="18" customHeight="1" x14ac:dyDescent="0.2">
      <c r="B15" s="782"/>
      <c r="C15" s="803"/>
      <c r="D15" s="803"/>
      <c r="E15" s="2395"/>
      <c r="F15" s="2395"/>
      <c r="G15" s="2395"/>
      <c r="H15" s="2395"/>
      <c r="I15" s="2395"/>
      <c r="J15" s="2395"/>
      <c r="K15" s="2395"/>
      <c r="L15" s="2395"/>
      <c r="M15" s="2395" t="str">
        <f>Preferences.EnergyUnits</f>
        <v>TWh</v>
      </c>
      <c r="N15" s="785"/>
      <c r="O15" s="367"/>
    </row>
    <row r="16" spans="1:28" s="1411" customFormat="1" ht="18" customHeight="1" x14ac:dyDescent="0.2">
      <c r="B16" s="782"/>
      <c r="C16" s="803" t="s">
        <v>69</v>
      </c>
      <c r="D16" s="803" t="s">
        <v>64</v>
      </c>
      <c r="E16" s="2395">
        <v>2010</v>
      </c>
      <c r="F16" s="2395">
        <v>2015</v>
      </c>
      <c r="G16" s="2395">
        <v>2020</v>
      </c>
      <c r="H16" s="2395">
        <v>2025</v>
      </c>
      <c r="I16" s="2395">
        <v>2030</v>
      </c>
      <c r="J16" s="2395">
        <v>2035</v>
      </c>
      <c r="K16" s="2395">
        <v>2040</v>
      </c>
      <c r="L16" s="2395">
        <v>2045</v>
      </c>
      <c r="M16" s="2395">
        <v>2050</v>
      </c>
      <c r="N16" s="785"/>
      <c r="O16" s="367"/>
    </row>
    <row r="17" spans="2:18" s="2370" customFormat="1" ht="18" customHeight="1" x14ac:dyDescent="0.2">
      <c r="B17" s="410"/>
      <c r="C17" s="2393"/>
      <c r="D17" s="2393" t="s">
        <v>125</v>
      </c>
      <c r="E17" s="2394">
        <f t="shared" ref="E17:L17" ca="1" si="2">E12</f>
        <v>128.43682160475424</v>
      </c>
      <c r="F17" s="2394">
        <f t="shared" ca="1" si="2"/>
        <v>143.27013895097511</v>
      </c>
      <c r="G17" s="2394">
        <f t="shared" ca="1" si="2"/>
        <v>148.51036659001082</v>
      </c>
      <c r="H17" s="2394">
        <f t="shared" ca="1" si="2"/>
        <v>151.36389370573073</v>
      </c>
      <c r="I17" s="2394">
        <f t="shared" ca="1" si="2"/>
        <v>152.70412928924026</v>
      </c>
      <c r="J17" s="2394">
        <f t="shared" ca="1" si="2"/>
        <v>163.83449662993175</v>
      </c>
      <c r="K17" s="2394">
        <f t="shared" ca="1" si="2"/>
        <v>171.73203967121967</v>
      </c>
      <c r="L17" s="2394">
        <f t="shared" ca="1" si="2"/>
        <v>180.360693576811</v>
      </c>
      <c r="M17" s="2394">
        <f ca="1">M12</f>
        <v>189.31575758068627</v>
      </c>
      <c r="N17" s="785"/>
      <c r="O17" s="23"/>
      <c r="Q17" s="23"/>
      <c r="R17" s="23"/>
    </row>
    <row r="18" spans="2:18" s="2370" customFormat="1" ht="18" customHeight="1" x14ac:dyDescent="0.2">
      <c r="B18" s="410"/>
      <c r="C18" s="2393" t="s">
        <v>9</v>
      </c>
      <c r="D18" s="2393" t="str">
        <f>INDEX(Vectors[Description], MATCH($C18, Vectors[Code], 0))</f>
        <v>Industry</v>
      </c>
      <c r="E18" s="2392">
        <f ca="1">INDEX(INDIRECT("'"&amp;E$16&amp;"'!Year.NetBalance"), MATCH($C18, INDIRECT("'"&amp;E$16&amp;"'!Year.Vectors"), 0))</f>
        <v>419.34528169394542</v>
      </c>
      <c r="F18" s="2394">
        <f t="shared" ref="F18:M21" ca="1" si="3">INDEX(INDIRECT("'"&amp;F$16&amp;"'!Year.NetBalance"), MATCH($C18, INDIRECT("'"&amp;F$16&amp;"'!Year.Vectors"), 0))</f>
        <v>394.98215312294013</v>
      </c>
      <c r="G18" s="2394">
        <f t="shared" ca="1" si="3"/>
        <v>370.71748563692677</v>
      </c>
      <c r="H18" s="2394">
        <f t="shared" ca="1" si="3"/>
        <v>349.58782518850057</v>
      </c>
      <c r="I18" s="2394">
        <f t="shared" ca="1" si="3"/>
        <v>328.36034930214595</v>
      </c>
      <c r="J18" s="2394">
        <f t="shared" ca="1" si="3"/>
        <v>309.99575906391863</v>
      </c>
      <c r="K18" s="2394">
        <f t="shared" ca="1" si="3"/>
        <v>294.87382567799034</v>
      </c>
      <c r="L18" s="2394">
        <f t="shared" ca="1" si="3"/>
        <v>283.43578325749672</v>
      </c>
      <c r="M18" s="2394">
        <f t="shared" ca="1" si="3"/>
        <v>276.1943057542378</v>
      </c>
      <c r="N18" s="787"/>
      <c r="O18" s="23"/>
    </row>
    <row r="19" spans="2:18" s="2370" customFormat="1" ht="18" customHeight="1" x14ac:dyDescent="0.2">
      <c r="B19" s="410"/>
      <c r="C19" s="2393" t="s">
        <v>5</v>
      </c>
      <c r="D19" s="2393" t="str">
        <f>INDEX(Vectors[Description], MATCH($C19, Vectors[Code], 0))</f>
        <v>Cooling</v>
      </c>
      <c r="E19" s="2394">
        <f ca="1">INDEX(INDIRECT("'"&amp;E$16&amp;"'!Year.NetBalance"), MATCH($C19, INDIRECT("'"&amp;E$16&amp;"'!Year.Vectors"), 0))</f>
        <v>46.191013019682934</v>
      </c>
      <c r="F19" s="2394">
        <f t="shared" ca="1" si="3"/>
        <v>53.519847980518854</v>
      </c>
      <c r="G19" s="2394">
        <f t="shared" ca="1" si="3"/>
        <v>65.109017777829635</v>
      </c>
      <c r="H19" s="2394">
        <f t="shared" ca="1" si="3"/>
        <v>77.828245025810716</v>
      </c>
      <c r="I19" s="2394">
        <f t="shared" ca="1" si="3"/>
        <v>89.131279635070655</v>
      </c>
      <c r="J19" s="2394">
        <f t="shared" ca="1" si="3"/>
        <v>104.15840897030208</v>
      </c>
      <c r="K19" s="2394">
        <f t="shared" ca="1" si="3"/>
        <v>114.82360568835084</v>
      </c>
      <c r="L19" s="2394">
        <f t="shared" ca="1" si="3"/>
        <v>125.64327023914129</v>
      </c>
      <c r="M19" s="2394">
        <f t="shared" ca="1" si="3"/>
        <v>136.57044448493946</v>
      </c>
      <c r="N19" s="787"/>
      <c r="O19" s="23"/>
    </row>
    <row r="20" spans="2:18" s="2370" customFormat="1" ht="18" customHeight="1" x14ac:dyDescent="0.2">
      <c r="B20" s="410"/>
      <c r="C20" s="2393" t="s">
        <v>44</v>
      </c>
      <c r="D20" s="2393" t="str">
        <f>INDEX(Vectors[Description], MATCH($C20, Vectors[Code], 0))</f>
        <v>Lighting &amp; appliances</v>
      </c>
      <c r="E20" s="2394">
        <f ca="1">INDEX(INDIRECT("'"&amp;E$16&amp;"'!Year.NetBalance"), MATCH($C20, INDIRECT("'"&amp;E$16&amp;"'!Year.Vectors"), 0))</f>
        <v>31.295223413352669</v>
      </c>
      <c r="F20" s="2394">
        <f t="shared" ca="1" si="3"/>
        <v>36.686116203690624</v>
      </c>
      <c r="G20" s="2394">
        <f t="shared" ca="1" si="3"/>
        <v>69.119383751249117</v>
      </c>
      <c r="H20" s="2394">
        <f t="shared" ca="1" si="3"/>
        <v>143.64019818412442</v>
      </c>
      <c r="I20" s="2394">
        <f t="shared" ca="1" si="3"/>
        <v>224.74473101896561</v>
      </c>
      <c r="J20" s="2394">
        <f t="shared" ca="1" si="3"/>
        <v>334.68229252873908</v>
      </c>
      <c r="K20" s="2394">
        <f t="shared" ca="1" si="3"/>
        <v>439.09796990378345</v>
      </c>
      <c r="L20" s="2394">
        <f t="shared" ca="1" si="3"/>
        <v>552.9641205990697</v>
      </c>
      <c r="M20" s="2394">
        <f t="shared" ca="1" si="3"/>
        <v>678.71617088874098</v>
      </c>
      <c r="N20" s="787"/>
      <c r="O20" s="23"/>
    </row>
    <row r="21" spans="2:18" s="2479" customFormat="1" ht="18" customHeight="1" x14ac:dyDescent="0.2">
      <c r="B21" s="410"/>
      <c r="C21" s="411" t="s">
        <v>2205</v>
      </c>
      <c r="D21" s="2393" t="str">
        <f>INDEX(Vectors[Description], MATCH($C21, Vectors[Code], 0))</f>
        <v>Cooking</v>
      </c>
      <c r="E21" s="2394">
        <f ca="1">INDEX(INDIRECT("'"&amp;E$16&amp;"'!Year.NetBalance"), MATCH($C21, INDIRECT("'"&amp;E$16&amp;"'!Year.Vectors"), 0))</f>
        <v>244.94029459261003</v>
      </c>
      <c r="F21" s="2394">
        <f t="shared" ca="1" si="3"/>
        <v>237.93519496128644</v>
      </c>
      <c r="G21" s="2394">
        <f t="shared" ca="1" si="3"/>
        <v>249.1957189496236</v>
      </c>
      <c r="H21" s="2394">
        <f t="shared" ca="1" si="3"/>
        <v>257.93373420427446</v>
      </c>
      <c r="I21" s="2394">
        <f t="shared" ca="1" si="3"/>
        <v>253.21809995124116</v>
      </c>
      <c r="J21" s="2394">
        <f t="shared" ca="1" si="3"/>
        <v>253.51908831090404</v>
      </c>
      <c r="K21" s="2394">
        <f t="shared" ca="1" si="3"/>
        <v>232.49054882061384</v>
      </c>
      <c r="L21" s="2394">
        <f t="shared" ca="1" si="3"/>
        <v>204.16202861606214</v>
      </c>
      <c r="M21" s="2394">
        <f t="shared" ca="1" si="3"/>
        <v>167.26510658441217</v>
      </c>
      <c r="N21" s="787"/>
      <c r="O21" s="23"/>
    </row>
    <row r="22" spans="2:18" s="147" customFormat="1" ht="18" customHeight="1" x14ac:dyDescent="0.2">
      <c r="B22" s="788"/>
      <c r="C22" s="805"/>
      <c r="D22" s="776" t="s">
        <v>105</v>
      </c>
      <c r="E22" s="2390">
        <f ca="1">SUM(E17:E21)</f>
        <v>870.20863432434533</v>
      </c>
      <c r="F22" s="2390">
        <f t="shared" ref="F22:M22" ca="1" si="4">SUM(F17:F21)</f>
        <v>866.39345121941119</v>
      </c>
      <c r="G22" s="2390">
        <f t="shared" ca="1" si="4"/>
        <v>902.65197270563988</v>
      </c>
      <c r="H22" s="2390">
        <f t="shared" ca="1" si="4"/>
        <v>980.35389630844088</v>
      </c>
      <c r="I22" s="2390">
        <f t="shared" ca="1" si="4"/>
        <v>1048.1585891966636</v>
      </c>
      <c r="J22" s="2390">
        <f t="shared" ca="1" si="4"/>
        <v>1166.1900455037955</v>
      </c>
      <c r="K22" s="2390">
        <f t="shared" ca="1" si="4"/>
        <v>1253.0179897619582</v>
      </c>
      <c r="L22" s="2390">
        <f t="shared" ca="1" si="4"/>
        <v>1346.5658962885807</v>
      </c>
      <c r="M22" s="2390">
        <f t="shared" ca="1" si="4"/>
        <v>1448.0617852930168</v>
      </c>
      <c r="N22" s="789"/>
      <c r="O22" s="152"/>
    </row>
    <row r="24" spans="2:18" ht="15.75" x14ac:dyDescent="0.2">
      <c r="B24" s="468" t="s">
        <v>2131</v>
      </c>
      <c r="C24" s="421"/>
      <c r="D24" s="421"/>
      <c r="E24" s="421"/>
      <c r="F24" s="421"/>
      <c r="G24" s="421"/>
      <c r="H24" s="421"/>
      <c r="I24" s="421"/>
      <c r="J24" s="421"/>
      <c r="K24" s="421"/>
      <c r="L24" s="421"/>
      <c r="M24" s="421"/>
      <c r="N24" s="423"/>
    </row>
    <row r="25" spans="2:18" x14ac:dyDescent="0.2">
      <c r="B25" s="410"/>
      <c r="C25" s="412"/>
      <c r="D25" s="412"/>
      <c r="E25" s="412"/>
      <c r="F25" s="412"/>
      <c r="G25" s="412"/>
      <c r="H25" s="412"/>
      <c r="I25" s="412"/>
      <c r="J25" s="412"/>
      <c r="K25" s="412"/>
      <c r="L25" s="2387"/>
      <c r="M25" s="2388"/>
      <c r="N25" s="429"/>
    </row>
    <row r="26" spans="2:18" s="2370" customFormat="1" ht="15.75" x14ac:dyDescent="0.2">
      <c r="B26" s="2398"/>
      <c r="C26" s="794" t="s">
        <v>2132</v>
      </c>
      <c r="D26" s="794"/>
      <c r="E26" s="794"/>
      <c r="F26" s="794"/>
      <c r="G26" s="794"/>
      <c r="H26" s="795"/>
      <c r="I26" s="795"/>
      <c r="J26" s="795"/>
      <c r="K26" s="795"/>
      <c r="L26" s="795"/>
      <c r="M26" s="795"/>
      <c r="N26" s="429"/>
    </row>
    <row r="27" spans="2:18" s="2370" customFormat="1" ht="15.75" x14ac:dyDescent="0.2">
      <c r="B27" s="2398"/>
      <c r="C27" s="794"/>
      <c r="D27" s="794"/>
      <c r="E27" s="794"/>
      <c r="F27" s="794"/>
      <c r="G27" s="795"/>
      <c r="H27" s="795"/>
      <c r="I27" s="795"/>
      <c r="J27" s="795"/>
      <c r="K27" s="795"/>
      <c r="L27" s="795"/>
      <c r="M27" s="2399" t="str">
        <f>Preferences.EnergyUnits</f>
        <v>TWh</v>
      </c>
      <c r="N27" s="429"/>
    </row>
    <row r="28" spans="2:18" s="2370" customFormat="1" x14ac:dyDescent="0.2">
      <c r="B28" s="793"/>
      <c r="C28" s="2400" t="s">
        <v>69</v>
      </c>
      <c r="D28" s="2401" t="s">
        <v>64</v>
      </c>
      <c r="E28" s="424">
        <v>2010</v>
      </c>
      <c r="F28" s="424">
        <v>2015</v>
      </c>
      <c r="G28" s="424">
        <v>2020</v>
      </c>
      <c r="H28" s="424">
        <v>2025</v>
      </c>
      <c r="I28" s="424">
        <v>2030</v>
      </c>
      <c r="J28" s="424">
        <v>2035</v>
      </c>
      <c r="K28" s="424">
        <v>2040</v>
      </c>
      <c r="L28" s="424">
        <v>2045</v>
      </c>
      <c r="M28" s="1749">
        <v>2050</v>
      </c>
      <c r="N28" s="429"/>
    </row>
    <row r="29" spans="2:18" s="2370" customFormat="1" x14ac:dyDescent="0.2">
      <c r="B29" s="793"/>
      <c r="C29" s="2402" t="s">
        <v>6</v>
      </c>
      <c r="D29" s="2403" t="str">
        <f>INDEX(Vectors[Description], MATCH($C29, Vectors[Code], 0))</f>
        <v>Nuclear fission</v>
      </c>
      <c r="E29" s="2404">
        <f t="shared" ref="E29:E41" ca="1" si="5">-INDEX(INDIRECT("'"&amp;E$28&amp;"'!Year.NetBalance"),MATCH($C29,INDIRECT("'"&amp;E$28&amp;"'!Year.Vectors"),0))</f>
        <v>0</v>
      </c>
      <c r="F29" s="2404">
        <f t="shared" ref="F29:M40" ca="1" si="6">-INDEX(INDIRECT("'"&amp;F$28&amp;"'!Year.NetBalance"),MATCH($C29,INDIRECT("'"&amp;F$28&amp;"'!Year.Vectors"),0))</f>
        <v>0</v>
      </c>
      <c r="G29" s="2404">
        <f t="shared" ca="1" si="6"/>
        <v>0</v>
      </c>
      <c r="H29" s="2404">
        <f t="shared" ca="1" si="6"/>
        <v>21.428000000000004</v>
      </c>
      <c r="I29" s="2404">
        <f t="shared" ca="1" si="6"/>
        <v>40.713200000000001</v>
      </c>
      <c r="J29" s="2404">
        <f t="shared" ca="1" si="6"/>
        <v>79.283600000000021</v>
      </c>
      <c r="K29" s="2404">
        <f t="shared" ca="1" si="6"/>
        <v>152.13880000000003</v>
      </c>
      <c r="L29" s="2404">
        <f t="shared" ca="1" si="6"/>
        <v>293.56360000000006</v>
      </c>
      <c r="M29" s="2404">
        <f t="shared" ca="1" si="6"/>
        <v>567.8420000000001</v>
      </c>
      <c r="N29" s="429"/>
    </row>
    <row r="30" spans="2:18" s="2370" customFormat="1" x14ac:dyDescent="0.2">
      <c r="B30" s="793"/>
      <c r="C30" s="2402" t="s">
        <v>25</v>
      </c>
      <c r="D30" s="2403" t="str">
        <f>INDEX(Vectors[Description], MATCH($C30, Vectors[Code], 0))</f>
        <v>Solar</v>
      </c>
      <c r="E30" s="2404">
        <f t="shared" ca="1" si="5"/>
        <v>2.7612899999999996E-2</v>
      </c>
      <c r="F30" s="2404">
        <f t="shared" ca="1" si="6"/>
        <v>0.92042999999999997</v>
      </c>
      <c r="G30" s="2404">
        <f t="shared" ca="1" si="6"/>
        <v>48.334847400000001</v>
      </c>
      <c r="H30" s="2404">
        <f t="shared" ca="1" si="6"/>
        <v>96.663558599999988</v>
      </c>
      <c r="I30" s="2404">
        <f t="shared" ca="1" si="6"/>
        <v>154.12907159999997</v>
      </c>
      <c r="J30" s="2404">
        <f t="shared" ca="1" si="6"/>
        <v>228.21141419999998</v>
      </c>
      <c r="K30" s="2404">
        <f t="shared" ca="1" si="6"/>
        <v>285.16148640000006</v>
      </c>
      <c r="L30" s="2404">
        <f t="shared" ca="1" si="6"/>
        <v>354.25509839999995</v>
      </c>
      <c r="M30" s="2404">
        <f t="shared" ca="1" si="6"/>
        <v>435.67019999999997</v>
      </c>
      <c r="N30" s="429"/>
    </row>
    <row r="31" spans="2:18" s="2370" customFormat="1" x14ac:dyDescent="0.2">
      <c r="B31" s="793"/>
      <c r="C31" s="2402" t="s">
        <v>7</v>
      </c>
      <c r="D31" s="2403" t="str">
        <f>INDEX(Vectors[Description], MATCH($C31, Vectors[Code], 0))</f>
        <v>Wind</v>
      </c>
      <c r="E31" s="2404">
        <f t="shared" ca="1" si="5"/>
        <v>0</v>
      </c>
      <c r="F31" s="2404">
        <f t="shared" ca="1" si="6"/>
        <v>0</v>
      </c>
      <c r="G31" s="2404">
        <f t="shared" ca="1" si="6"/>
        <v>3.6817200000000003</v>
      </c>
      <c r="H31" s="2404">
        <f t="shared" ca="1" si="6"/>
        <v>7.3634400000000007</v>
      </c>
      <c r="I31" s="2404">
        <f t="shared" ca="1" si="6"/>
        <v>11.045159999999999</v>
      </c>
      <c r="J31" s="2404">
        <f t="shared" ca="1" si="6"/>
        <v>14.726880000000001</v>
      </c>
      <c r="K31" s="2404">
        <f t="shared" ca="1" si="6"/>
        <v>14.726880000000001</v>
      </c>
      <c r="L31" s="2404">
        <f t="shared" ca="1" si="6"/>
        <v>18.4086</v>
      </c>
      <c r="M31" s="2404">
        <f t="shared" ca="1" si="6"/>
        <v>22.090319999999998</v>
      </c>
      <c r="N31" s="429"/>
    </row>
    <row r="32" spans="2:18" s="2370" customFormat="1" x14ac:dyDescent="0.2">
      <c r="B32" s="793"/>
      <c r="C32" s="2402" t="s">
        <v>8</v>
      </c>
      <c r="D32" s="2403" t="str">
        <f>INDEX(Vectors[Description], MATCH($C32, Vectors[Code], 0))</f>
        <v>Hydro</v>
      </c>
      <c r="E32" s="2404">
        <f t="shared" ca="1" si="5"/>
        <v>10.273751999999998</v>
      </c>
      <c r="F32" s="2404">
        <f t="shared" ca="1" si="6"/>
        <v>10.273751999999998</v>
      </c>
      <c r="G32" s="2404">
        <f t="shared" ca="1" si="6"/>
        <v>17.321616000000002</v>
      </c>
      <c r="H32" s="2404">
        <f t="shared" ca="1" si="6"/>
        <v>28.620363857142845</v>
      </c>
      <c r="I32" s="2404">
        <f t="shared" ca="1" si="6"/>
        <v>37.81952948571427</v>
      </c>
      <c r="J32" s="2404">
        <f t="shared" ca="1" si="6"/>
        <v>46.96609911428574</v>
      </c>
      <c r="K32" s="2404">
        <f t="shared" ca="1" si="6"/>
        <v>56.165264742857154</v>
      </c>
      <c r="L32" s="2404">
        <f t="shared" ca="1" si="6"/>
        <v>65.311834371428574</v>
      </c>
      <c r="M32" s="2404">
        <f t="shared" ca="1" si="6"/>
        <v>74.510999999999996</v>
      </c>
      <c r="N32" s="429"/>
    </row>
    <row r="33" spans="2:18" s="2370" customFormat="1" x14ac:dyDescent="0.2">
      <c r="B33" s="793"/>
      <c r="C33" s="2402" t="s">
        <v>47</v>
      </c>
      <c r="D33" s="2403" t="str">
        <f>INDEX(Vectors[Description], MATCH($C33, Vectors[Code], 0))</f>
        <v>Electricity oversupply (imports)</v>
      </c>
      <c r="E33" s="2404">
        <f t="shared" ca="1" si="5"/>
        <v>-0.52500000000000002</v>
      </c>
      <c r="F33" s="2404">
        <f t="shared" ca="1" si="6"/>
        <v>-0.52500000000000002</v>
      </c>
      <c r="G33" s="2404">
        <f t="shared" ca="1" si="6"/>
        <v>-0.5249999999999716</v>
      </c>
      <c r="H33" s="2404">
        <f t="shared" ca="1" si="6"/>
        <v>-6.2148748956779176</v>
      </c>
      <c r="I33" s="2404">
        <f t="shared" ca="1" si="6"/>
        <v>-69.115744359233204</v>
      </c>
      <c r="J33" s="2404">
        <f t="shared" ca="1" si="6"/>
        <v>-176.70673241292081</v>
      </c>
      <c r="K33" s="2404">
        <f t="shared" ca="1" si="6"/>
        <v>-277.22698617556915</v>
      </c>
      <c r="L33" s="2404">
        <f t="shared" ca="1" si="6"/>
        <v>-425.78482277144678</v>
      </c>
      <c r="M33" s="2404">
        <f t="shared" ca="1" si="6"/>
        <v>-601.38216058700823</v>
      </c>
      <c r="N33" s="429"/>
    </row>
    <row r="34" spans="2:18" s="2370" customFormat="1" x14ac:dyDescent="0.2">
      <c r="B34" s="793"/>
      <c r="C34" s="2402" t="s">
        <v>42</v>
      </c>
      <c r="D34" s="2403" t="str">
        <f>INDEX(Vectors[Description], MATCH($C34, Vectors[Code], 0))</f>
        <v>Waste</v>
      </c>
      <c r="E34" s="2404">
        <f t="shared" ca="1" si="5"/>
        <v>57.597242020086313</v>
      </c>
      <c r="F34" s="2404">
        <f t="shared" ca="1" si="6"/>
        <v>121.12064677764798</v>
      </c>
      <c r="G34" s="2404">
        <f t="shared" ca="1" si="6"/>
        <v>219.64673392369494</v>
      </c>
      <c r="H34" s="2404">
        <f t="shared" ca="1" si="6"/>
        <v>309.82678506451816</v>
      </c>
      <c r="I34" s="2404">
        <f t="shared" ca="1" si="6"/>
        <v>345.4630455004305</v>
      </c>
      <c r="J34" s="2404">
        <f t="shared" ca="1" si="6"/>
        <v>408.5262134053134</v>
      </c>
      <c r="K34" s="2404">
        <f t="shared" ca="1" si="6"/>
        <v>450.79331965507987</v>
      </c>
      <c r="L34" s="2404">
        <f t="shared" ca="1" si="6"/>
        <v>493.99908350156198</v>
      </c>
      <c r="M34" s="2404">
        <f t="shared" ca="1" si="6"/>
        <v>509.9229932583188</v>
      </c>
      <c r="N34" s="429"/>
    </row>
    <row r="35" spans="2:18" s="2370" customFormat="1" x14ac:dyDescent="0.2">
      <c r="B35" s="793"/>
      <c r="C35" s="2402" t="s">
        <v>451</v>
      </c>
      <c r="D35" s="2403" t="str">
        <f>INDEX(Vectors[Description], MATCH($C35, Vectors[Code], 0))</f>
        <v>Agriculture</v>
      </c>
      <c r="E35" s="2404">
        <f t="shared" ca="1" si="5"/>
        <v>1673.2261104444444</v>
      </c>
      <c r="F35" s="2404">
        <f t="shared" ca="1" si="6"/>
        <v>1803.3177832724116</v>
      </c>
      <c r="G35" s="2404">
        <f t="shared" ca="1" si="6"/>
        <v>1943.5797645124765</v>
      </c>
      <c r="H35" s="2404">
        <f t="shared" ca="1" si="6"/>
        <v>2094.8154411091718</v>
      </c>
      <c r="I35" s="2404">
        <f t="shared" ca="1" si="6"/>
        <v>2257.8928876163941</v>
      </c>
      <c r="J35" s="2404">
        <f t="shared" ca="1" si="6"/>
        <v>2433.7502539567081</v>
      </c>
      <c r="K35" s="2404">
        <f t="shared" ca="1" si="6"/>
        <v>2623.4016276319003</v>
      </c>
      <c r="L35" s="2404">
        <f t="shared" ca="1" si="6"/>
        <v>2827.9434157315513</v>
      </c>
      <c r="M35" s="2404">
        <f t="shared" ca="1" si="6"/>
        <v>3048.5612968882915</v>
      </c>
      <c r="N35" s="429"/>
    </row>
    <row r="36" spans="2:18" s="2370" customFormat="1" x14ac:dyDescent="0.2">
      <c r="B36" s="793"/>
      <c r="C36" s="2402" t="s">
        <v>46</v>
      </c>
      <c r="D36" s="2403" t="str">
        <f>INDEX(Vectors[Description], MATCH($C36, Vectors[Code], 0))</f>
        <v>Biomass oversupply (imports)</v>
      </c>
      <c r="E36" s="2404">
        <f t="shared" ca="1" si="5"/>
        <v>-875.52051462475561</v>
      </c>
      <c r="F36" s="2404">
        <f t="shared" ca="1" si="6"/>
        <v>-1005.4684468053392</v>
      </c>
      <c r="G36" s="2404">
        <f t="shared" ca="1" si="6"/>
        <v>-1146.8696111280037</v>
      </c>
      <c r="H36" s="2404">
        <f t="shared" ca="1" si="6"/>
        <v>-1306.159365743837</v>
      </c>
      <c r="I36" s="2404">
        <f t="shared" ca="1" si="6"/>
        <v>-1447.82190569574</v>
      </c>
      <c r="J36" s="2404">
        <f t="shared" ca="1" si="6"/>
        <v>-1611.9071038293187</v>
      </c>
      <c r="K36" s="2404">
        <f t="shared" ca="1" si="6"/>
        <v>-1778.8059555233544</v>
      </c>
      <c r="L36" s="2404">
        <f t="shared" ca="1" si="6"/>
        <v>-1953.1582510273715</v>
      </c>
      <c r="M36" s="2404">
        <f t="shared" ca="1" si="6"/>
        <v>-2117.6175972906126</v>
      </c>
      <c r="N36" s="429"/>
    </row>
    <row r="37" spans="2:18" s="2370" customFormat="1" x14ac:dyDescent="0.2">
      <c r="B37" s="793"/>
      <c r="C37" s="2402" t="s">
        <v>425</v>
      </c>
      <c r="D37" s="2403" t="str">
        <f>INDEX(Vectors[Description], MATCH($C37, Vectors[Code], 0))</f>
        <v>Coal reserves</v>
      </c>
      <c r="E37" s="2404">
        <f t="shared" ca="1" si="5"/>
        <v>6.17215067274</v>
      </c>
      <c r="F37" s="2404">
        <f t="shared" ca="1" si="6"/>
        <v>6.17215067274</v>
      </c>
      <c r="G37" s="2404">
        <f t="shared" ca="1" si="6"/>
        <v>7.17215067274</v>
      </c>
      <c r="H37" s="2404">
        <f t="shared" ca="1" si="6"/>
        <v>17.5</v>
      </c>
      <c r="I37" s="2404">
        <f t="shared" ca="1" si="6"/>
        <v>34</v>
      </c>
      <c r="J37" s="2404">
        <f t="shared" ca="1" si="6"/>
        <v>50.5</v>
      </c>
      <c r="K37" s="2404">
        <f t="shared" ca="1" si="6"/>
        <v>67</v>
      </c>
      <c r="L37" s="2404">
        <f t="shared" ca="1" si="6"/>
        <v>83.5</v>
      </c>
      <c r="M37" s="2404">
        <f t="shared" ca="1" si="6"/>
        <v>100</v>
      </c>
      <c r="N37" s="429"/>
    </row>
    <row r="38" spans="2:18" s="2370" customFormat="1" x14ac:dyDescent="0.2">
      <c r="B38" s="793"/>
      <c r="C38" s="2402" t="s">
        <v>417</v>
      </c>
      <c r="D38" s="2403" t="str">
        <f>INDEX(Vectors[Description], MATCH($C38, Vectors[Code], 0))</f>
        <v>Coal oversupply (imports)</v>
      </c>
      <c r="E38" s="2404">
        <f t="shared" ca="1" si="5"/>
        <v>-8.5753578045170311</v>
      </c>
      <c r="F38" s="2404">
        <f t="shared" ca="1" si="6"/>
        <v>-9.2489934300115078</v>
      </c>
      <c r="G38" s="2404">
        <f t="shared" ca="1" si="6"/>
        <v>12.802967336492252</v>
      </c>
      <c r="H38" s="2404">
        <f t="shared" ca="1" si="6"/>
        <v>99.490481574213163</v>
      </c>
      <c r="I38" s="2404">
        <f t="shared" ca="1" si="6"/>
        <v>242.6342134525816</v>
      </c>
      <c r="J38" s="2404">
        <f t="shared" ca="1" si="6"/>
        <v>456.82081828929068</v>
      </c>
      <c r="K38" s="2404">
        <f t="shared" ca="1" si="6"/>
        <v>684.75114808733497</v>
      </c>
      <c r="L38" s="2404">
        <f t="shared" ca="1" si="6"/>
        <v>910.97441071750291</v>
      </c>
      <c r="M38" s="2404">
        <f t="shared" ca="1" si="6"/>
        <v>1137.326775284753</v>
      </c>
      <c r="N38" s="429"/>
    </row>
    <row r="39" spans="2:18" s="2370" customFormat="1" x14ac:dyDescent="0.2">
      <c r="B39" s="793"/>
      <c r="C39" s="2402" t="s">
        <v>426</v>
      </c>
      <c r="D39" s="2403" t="str">
        <f>INDEX(Vectors[Description], MATCH($C39, Vectors[Code], 0))</f>
        <v>Oil reserves</v>
      </c>
      <c r="E39" s="2404">
        <f t="shared" ca="1" si="5"/>
        <v>1458.9378638800001</v>
      </c>
      <c r="F39" s="2404">
        <f t="shared" ca="1" si="6"/>
        <v>1458.9378638800001</v>
      </c>
      <c r="G39" s="2404">
        <f t="shared" ca="1" si="6"/>
        <v>1448.5168791380001</v>
      </c>
      <c r="H39" s="2404">
        <f t="shared" ca="1" si="6"/>
        <v>1438.0958943960002</v>
      </c>
      <c r="I39" s="2404">
        <f t="shared" ca="1" si="6"/>
        <v>1427.6749096540002</v>
      </c>
      <c r="J39" s="2404">
        <f t="shared" ca="1" si="6"/>
        <v>1417.253924912</v>
      </c>
      <c r="K39" s="2404">
        <f t="shared" ca="1" si="6"/>
        <v>1406.83294017</v>
      </c>
      <c r="L39" s="2404">
        <f t="shared" ca="1" si="6"/>
        <v>1396.4119554280001</v>
      </c>
      <c r="M39" s="2404">
        <f t="shared" ca="1" si="6"/>
        <v>1385.9909706860001</v>
      </c>
      <c r="N39" s="429"/>
    </row>
    <row r="40" spans="2:18" s="2370" customFormat="1" x14ac:dyDescent="0.2">
      <c r="B40" s="793"/>
      <c r="C40" s="2402" t="s">
        <v>418</v>
      </c>
      <c r="D40" s="2403" t="str">
        <f>INDEX(Vectors[Description], MATCH($C40, Vectors[Code], 0))</f>
        <v>Oil and petroleum products oversupply (imports)</v>
      </c>
      <c r="E40" s="2404">
        <f t="shared" ca="1" si="5"/>
        <v>-1157.6931375681877</v>
      </c>
      <c r="F40" s="2404">
        <f t="shared" ca="1" si="6"/>
        <v>-1149.7344121527788</v>
      </c>
      <c r="G40" s="2404">
        <f t="shared" ca="1" si="6"/>
        <v>-1227.1576089524019</v>
      </c>
      <c r="H40" s="2404">
        <f t="shared" ca="1" si="6"/>
        <v>-1249.7383851892039</v>
      </c>
      <c r="I40" s="2404">
        <f t="shared" ca="1" si="6"/>
        <v>-1236.8760812278265</v>
      </c>
      <c r="J40" s="2404">
        <f t="shared" ca="1" si="6"/>
        <v>-1218.9427494342538</v>
      </c>
      <c r="K40" s="2404">
        <f t="shared" ca="1" si="6"/>
        <v>-1209.0359722031728</v>
      </c>
      <c r="L40" s="2404">
        <f t="shared" ca="1" si="6"/>
        <v>-1200.1404622232553</v>
      </c>
      <c r="M40" s="2404">
        <f t="shared" ca="1" si="6"/>
        <v>-1194.23446134643</v>
      </c>
      <c r="N40" s="429"/>
    </row>
    <row r="41" spans="2:18" s="2370" customFormat="1" x14ac:dyDescent="0.2">
      <c r="B41" s="793"/>
      <c r="C41" s="2402" t="s">
        <v>427</v>
      </c>
      <c r="D41" s="2403" t="str">
        <f>INDEX(Vectors[Description], MATCH($C41, Vectors[Code], 0))</f>
        <v>Gas reserves</v>
      </c>
      <c r="E41" s="2404">
        <f t="shared" ca="1" si="5"/>
        <v>761.432111111111</v>
      </c>
      <c r="F41" s="2404">
        <f t="shared" ref="F41:M41" ca="1" si="7">-INDEX(INDIRECT("'"&amp;F$28&amp;"'!Year.NetBalance"),MATCH($C41,INDIRECT("'"&amp;F$28&amp;"'!Year.Vectors"),0))</f>
        <v>844.92033333333336</v>
      </c>
      <c r="G41" s="2404">
        <f t="shared" ca="1" si="7"/>
        <v>860.64599999999996</v>
      </c>
      <c r="H41" s="2404">
        <f t="shared" ca="1" si="7"/>
        <v>876.37166666666667</v>
      </c>
      <c r="I41" s="2404">
        <f t="shared" ca="1" si="7"/>
        <v>892.09733333333338</v>
      </c>
      <c r="J41" s="2404">
        <f t="shared" ca="1" si="7"/>
        <v>907.82299999999998</v>
      </c>
      <c r="K41" s="2404">
        <f t="shared" ca="1" si="7"/>
        <v>923.54866666666669</v>
      </c>
      <c r="L41" s="2404">
        <f t="shared" ca="1" si="7"/>
        <v>939.27433333333329</v>
      </c>
      <c r="M41" s="2404">
        <f t="shared" ca="1" si="7"/>
        <v>955</v>
      </c>
      <c r="N41" s="429"/>
    </row>
    <row r="42" spans="2:18" s="2370" customFormat="1" x14ac:dyDescent="0.2">
      <c r="B42" s="793"/>
      <c r="C42" s="2402" t="s">
        <v>419</v>
      </c>
      <c r="D42" s="2403" t="str">
        <f>INDEX(Vectors[Description], MATCH($C42, Vectors[Code], 0))</f>
        <v>Gas oversupply (imports)</v>
      </c>
      <c r="E42" s="2404">
        <f t="shared" ref="E42:M42" ca="1" si="8">-INDEX(INDIRECT("'"&amp;E$28&amp;"'!Year.NetBalance"),MATCH($C42,INDIRECT("'"&amp;E$28&amp;"'!Year.Vectors"),0))</f>
        <v>-711.34280526370412</v>
      </c>
      <c r="F42" s="2404">
        <f t="shared" ca="1" si="8"/>
        <v>-801.22020347427303</v>
      </c>
      <c r="G42" s="2404">
        <f t="shared" ca="1" si="8"/>
        <v>-752.15463096912265</v>
      </c>
      <c r="H42" s="2404">
        <f t="shared" ca="1" si="8"/>
        <v>-812.12413603411949</v>
      </c>
      <c r="I42" s="2404">
        <f t="shared" ca="1" si="8"/>
        <v>-796.25859949857295</v>
      </c>
      <c r="J42" s="2404">
        <f t="shared" ca="1" si="8"/>
        <v>-737.01762134814498</v>
      </c>
      <c r="K42" s="2404">
        <f t="shared" ca="1" si="8"/>
        <v>-680.10495621215239</v>
      </c>
      <c r="L42" s="2404">
        <f t="shared" ca="1" si="8"/>
        <v>-630.16605326473041</v>
      </c>
      <c r="M42" s="2404">
        <f t="shared" ca="1" si="8"/>
        <v>-580.45941618119616</v>
      </c>
      <c r="N42" s="429"/>
    </row>
    <row r="43" spans="2:18" s="2370" customFormat="1" x14ac:dyDescent="0.2">
      <c r="B43" s="793"/>
      <c r="C43" s="2402"/>
      <c r="D43" s="2403" t="s">
        <v>148</v>
      </c>
      <c r="E43" s="2404">
        <f t="shared" ref="E43:M43" ca="1" si="9">SUM(E29:E42)</f>
        <v>1214.0100277672177</v>
      </c>
      <c r="F43" s="2404">
        <f t="shared" ca="1" si="9"/>
        <v>1279.4659040737301</v>
      </c>
      <c r="G43" s="2404">
        <f t="shared" ca="1" si="9"/>
        <v>1434.9958279338757</v>
      </c>
      <c r="H43" s="2404">
        <f t="shared" ca="1" si="9"/>
        <v>1615.9388694048744</v>
      </c>
      <c r="I43" s="2404">
        <f t="shared" ca="1" si="9"/>
        <v>1893.3970198610814</v>
      </c>
      <c r="J43" s="2404">
        <f t="shared" ca="1" si="9"/>
        <v>2299.2879968529596</v>
      </c>
      <c r="K43" s="2404">
        <f t="shared" ca="1" si="9"/>
        <v>2719.3462632395904</v>
      </c>
      <c r="L43" s="2404">
        <f t="shared" ca="1" si="9"/>
        <v>3174.3927421965745</v>
      </c>
      <c r="M43" s="2404">
        <f t="shared" ca="1" si="9"/>
        <v>3743.2219207121166</v>
      </c>
      <c r="N43" s="429"/>
    </row>
    <row r="44" spans="2:18" x14ac:dyDescent="0.2">
      <c r="B44" s="2405"/>
      <c r="C44" s="2405"/>
      <c r="D44" s="2405"/>
      <c r="E44" s="2405"/>
      <c r="F44" s="2405"/>
      <c r="G44" s="2405"/>
      <c r="H44" s="2405"/>
      <c r="I44" s="2405"/>
      <c r="J44" s="2405"/>
      <c r="K44" s="2405"/>
      <c r="L44" s="2405"/>
      <c r="M44" s="2405"/>
      <c r="N44" s="429"/>
      <c r="O44" s="2370"/>
      <c r="P44" s="2370"/>
      <c r="Q44" s="2370"/>
      <c r="R44" s="2370"/>
    </row>
    <row r="45" spans="2:18" s="2370" customFormat="1" x14ac:dyDescent="0.2">
      <c r="B45" s="2405"/>
      <c r="C45" s="794" t="s">
        <v>2133</v>
      </c>
      <c r="D45" s="2405"/>
      <c r="E45" s="2405"/>
      <c r="F45" s="2405"/>
      <c r="G45" s="2405"/>
      <c r="H45" s="2405"/>
      <c r="I45" s="2405"/>
      <c r="J45" s="2405"/>
      <c r="K45" s="2405"/>
      <c r="L45" s="2405"/>
      <c r="M45" s="2405"/>
      <c r="N45" s="429"/>
    </row>
    <row r="46" spans="2:18" s="2370" customFormat="1" x14ac:dyDescent="0.2">
      <c r="B46" s="2405"/>
      <c r="C46" s="794"/>
      <c r="D46" s="794"/>
      <c r="E46" s="794"/>
      <c r="F46" s="794"/>
      <c r="G46" s="795"/>
      <c r="H46" s="795"/>
      <c r="I46" s="795"/>
      <c r="J46" s="795"/>
      <c r="K46" s="795"/>
      <c r="L46" s="795"/>
      <c r="M46" s="2399" t="str">
        <f>Preferences.EnergyUnits</f>
        <v>TWh</v>
      </c>
      <c r="N46" s="429"/>
    </row>
    <row r="47" spans="2:18" s="2370" customFormat="1" x14ac:dyDescent="0.2">
      <c r="B47" s="2405"/>
      <c r="C47" s="2400" t="s">
        <v>69</v>
      </c>
      <c r="D47" s="2401" t="s">
        <v>64</v>
      </c>
      <c r="E47" s="424">
        <v>2010</v>
      </c>
      <c r="F47" s="424">
        <v>2015</v>
      </c>
      <c r="G47" s="424">
        <v>2020</v>
      </c>
      <c r="H47" s="424">
        <v>2025</v>
      </c>
      <c r="I47" s="424">
        <v>2030</v>
      </c>
      <c r="J47" s="424">
        <v>2035</v>
      </c>
      <c r="K47" s="424">
        <v>2040</v>
      </c>
      <c r="L47" s="424">
        <v>2045</v>
      </c>
      <c r="M47" s="1749">
        <v>2050</v>
      </c>
      <c r="N47" s="429"/>
    </row>
    <row r="48" spans="2:18" s="2370" customFormat="1" x14ac:dyDescent="0.2">
      <c r="B48" s="2405"/>
      <c r="C48" s="2402" t="s">
        <v>6</v>
      </c>
      <c r="D48" s="2403" t="str">
        <f>INDEX(Vectors[Description], MATCH($C48, Vectors[Code], 0))</f>
        <v>Nuclear fission</v>
      </c>
      <c r="E48" s="2404">
        <f t="shared" ref="E48:M48" ca="1" si="10">E29</f>
        <v>0</v>
      </c>
      <c r="F48" s="2404">
        <f t="shared" ca="1" si="10"/>
        <v>0</v>
      </c>
      <c r="G48" s="2404">
        <f t="shared" ca="1" si="10"/>
        <v>0</v>
      </c>
      <c r="H48" s="2404">
        <f t="shared" ca="1" si="10"/>
        <v>21.428000000000004</v>
      </c>
      <c r="I48" s="2404">
        <f t="shared" ca="1" si="10"/>
        <v>40.713200000000001</v>
      </c>
      <c r="J48" s="2404">
        <f t="shared" ca="1" si="10"/>
        <v>79.283600000000021</v>
      </c>
      <c r="K48" s="2404">
        <f t="shared" ca="1" si="10"/>
        <v>152.13880000000003</v>
      </c>
      <c r="L48" s="2404">
        <f t="shared" ca="1" si="10"/>
        <v>293.56360000000006</v>
      </c>
      <c r="M48" s="2404">
        <f t="shared" ca="1" si="10"/>
        <v>567.8420000000001</v>
      </c>
      <c r="N48" s="429"/>
    </row>
    <row r="49" spans="2:18" s="2370" customFormat="1" x14ac:dyDescent="0.2">
      <c r="B49" s="2405"/>
      <c r="C49" s="2402" t="s">
        <v>25</v>
      </c>
      <c r="D49" s="2403" t="str">
        <f>INDEX(Vectors[Description], MATCH($C49, Vectors[Code], 0))</f>
        <v>Solar</v>
      </c>
      <c r="E49" s="2404">
        <f t="shared" ref="E49:M49" ca="1" si="11">E30</f>
        <v>2.7612899999999996E-2</v>
      </c>
      <c r="F49" s="2404">
        <f t="shared" ca="1" si="11"/>
        <v>0.92042999999999997</v>
      </c>
      <c r="G49" s="2404">
        <f t="shared" ca="1" si="11"/>
        <v>48.334847400000001</v>
      </c>
      <c r="H49" s="2404">
        <f t="shared" ca="1" si="11"/>
        <v>96.663558599999988</v>
      </c>
      <c r="I49" s="2404">
        <f t="shared" ca="1" si="11"/>
        <v>154.12907159999997</v>
      </c>
      <c r="J49" s="2404">
        <f t="shared" ca="1" si="11"/>
        <v>228.21141419999998</v>
      </c>
      <c r="K49" s="2404">
        <f t="shared" ca="1" si="11"/>
        <v>285.16148640000006</v>
      </c>
      <c r="L49" s="2404">
        <f t="shared" ca="1" si="11"/>
        <v>354.25509839999995</v>
      </c>
      <c r="M49" s="2404">
        <f t="shared" ca="1" si="11"/>
        <v>435.67019999999997</v>
      </c>
      <c r="N49" s="429"/>
    </row>
    <row r="50" spans="2:18" s="2370" customFormat="1" x14ac:dyDescent="0.2">
      <c r="B50" s="2405"/>
      <c r="C50" s="2402" t="s">
        <v>7</v>
      </c>
      <c r="D50" s="2403" t="str">
        <f>INDEX(Vectors[Description], MATCH($C50, Vectors[Code], 0))</f>
        <v>Wind</v>
      </c>
      <c r="E50" s="2404">
        <f t="shared" ref="E50:M50" ca="1" si="12">E31</f>
        <v>0</v>
      </c>
      <c r="F50" s="2404">
        <f t="shared" ca="1" si="12"/>
        <v>0</v>
      </c>
      <c r="G50" s="2404">
        <f t="shared" ca="1" si="12"/>
        <v>3.6817200000000003</v>
      </c>
      <c r="H50" s="2404">
        <f t="shared" ca="1" si="12"/>
        <v>7.3634400000000007</v>
      </c>
      <c r="I50" s="2404">
        <f t="shared" ca="1" si="12"/>
        <v>11.045159999999999</v>
      </c>
      <c r="J50" s="2404">
        <f t="shared" ca="1" si="12"/>
        <v>14.726880000000001</v>
      </c>
      <c r="K50" s="2404">
        <f t="shared" ca="1" si="12"/>
        <v>14.726880000000001</v>
      </c>
      <c r="L50" s="2404">
        <f t="shared" ca="1" si="12"/>
        <v>18.4086</v>
      </c>
      <c r="M50" s="2404">
        <f t="shared" ca="1" si="12"/>
        <v>22.090319999999998</v>
      </c>
      <c r="N50" s="429"/>
    </row>
    <row r="51" spans="2:18" s="2370" customFormat="1" x14ac:dyDescent="0.2">
      <c r="B51" s="2405"/>
      <c r="C51" s="2402" t="s">
        <v>8</v>
      </c>
      <c r="D51" s="2403" t="str">
        <f>INDEX(Vectors[Description], MATCH($C51, Vectors[Code], 0))</f>
        <v>Hydro</v>
      </c>
      <c r="E51" s="2404">
        <f t="shared" ref="E51:M51" ca="1" si="13">E32</f>
        <v>10.273751999999998</v>
      </c>
      <c r="F51" s="2404">
        <f t="shared" ca="1" si="13"/>
        <v>10.273751999999998</v>
      </c>
      <c r="G51" s="2404">
        <f t="shared" ca="1" si="13"/>
        <v>17.321616000000002</v>
      </c>
      <c r="H51" s="2404">
        <f t="shared" ca="1" si="13"/>
        <v>28.620363857142845</v>
      </c>
      <c r="I51" s="2404">
        <f t="shared" ca="1" si="13"/>
        <v>37.81952948571427</v>
      </c>
      <c r="J51" s="2404">
        <f t="shared" ca="1" si="13"/>
        <v>46.96609911428574</v>
      </c>
      <c r="K51" s="2404">
        <f t="shared" ca="1" si="13"/>
        <v>56.165264742857154</v>
      </c>
      <c r="L51" s="2404">
        <f t="shared" ca="1" si="13"/>
        <v>65.311834371428574</v>
      </c>
      <c r="M51" s="2404">
        <f t="shared" ca="1" si="13"/>
        <v>74.510999999999996</v>
      </c>
      <c r="N51" s="429"/>
    </row>
    <row r="52" spans="2:18" s="2370" customFormat="1" x14ac:dyDescent="0.2">
      <c r="B52" s="2405"/>
      <c r="C52" s="2402" t="s">
        <v>47</v>
      </c>
      <c r="D52" s="2403" t="str">
        <f>INDEX(Vectors[Description], MATCH($C52, Vectors[Code], 0))</f>
        <v>Electricity oversupply (imports)</v>
      </c>
      <c r="E52" s="2404">
        <f t="shared" ref="E52:M52" ca="1" si="14">E33</f>
        <v>-0.52500000000000002</v>
      </c>
      <c r="F52" s="2404">
        <f t="shared" ca="1" si="14"/>
        <v>-0.52500000000000002</v>
      </c>
      <c r="G52" s="2404">
        <f t="shared" ca="1" si="14"/>
        <v>-0.5249999999999716</v>
      </c>
      <c r="H52" s="2404">
        <f t="shared" ca="1" si="14"/>
        <v>-6.2148748956779176</v>
      </c>
      <c r="I52" s="2404">
        <f t="shared" ca="1" si="14"/>
        <v>-69.115744359233204</v>
      </c>
      <c r="J52" s="2404">
        <f t="shared" ca="1" si="14"/>
        <v>-176.70673241292081</v>
      </c>
      <c r="K52" s="2404">
        <f t="shared" ca="1" si="14"/>
        <v>-277.22698617556915</v>
      </c>
      <c r="L52" s="2404">
        <f t="shared" ca="1" si="14"/>
        <v>-425.78482277144678</v>
      </c>
      <c r="M52" s="2404">
        <f t="shared" ca="1" si="14"/>
        <v>-601.38216058700823</v>
      </c>
      <c r="N52" s="429"/>
    </row>
    <row r="53" spans="2:18" s="2370" customFormat="1" x14ac:dyDescent="0.2">
      <c r="B53" s="2405"/>
      <c r="C53" s="2402"/>
      <c r="D53" s="2403" t="s">
        <v>1189</v>
      </c>
      <c r="E53" s="2404">
        <f t="shared" ref="E53:M53" ca="1" si="15">SUM(E34:E36)</f>
        <v>855.30283783977507</v>
      </c>
      <c r="F53" s="2404">
        <f t="shared" ca="1" si="15"/>
        <v>918.96998324472042</v>
      </c>
      <c r="G53" s="2404">
        <f t="shared" ca="1" si="15"/>
        <v>1016.3568873081676</v>
      </c>
      <c r="H53" s="2404">
        <f t="shared" ca="1" si="15"/>
        <v>1098.4828604298527</v>
      </c>
      <c r="I53" s="2404">
        <f t="shared" ca="1" si="15"/>
        <v>1155.5340274210844</v>
      </c>
      <c r="J53" s="2404">
        <f t="shared" ca="1" si="15"/>
        <v>1230.3693635327027</v>
      </c>
      <c r="K53" s="2404">
        <f t="shared" ca="1" si="15"/>
        <v>1295.3889917636257</v>
      </c>
      <c r="L53" s="2404">
        <f t="shared" ca="1" si="15"/>
        <v>1368.7842482057417</v>
      </c>
      <c r="M53" s="2404">
        <f t="shared" ca="1" si="15"/>
        <v>1440.8666928559978</v>
      </c>
      <c r="N53" s="429"/>
    </row>
    <row r="54" spans="2:18" s="2370" customFormat="1" x14ac:dyDescent="0.2">
      <c r="B54" s="2405"/>
      <c r="C54" s="2402"/>
      <c r="D54" s="2403" t="s">
        <v>104</v>
      </c>
      <c r="E54" s="2404">
        <f t="shared" ref="E54:M54" ca="1" si="16">E37+E38</f>
        <v>-2.4032071317770312</v>
      </c>
      <c r="F54" s="2404">
        <f t="shared" ca="1" si="16"/>
        <v>-3.0768427572715078</v>
      </c>
      <c r="G54" s="2404">
        <f t="shared" ca="1" si="16"/>
        <v>19.975118009232251</v>
      </c>
      <c r="H54" s="2404">
        <f t="shared" ca="1" si="16"/>
        <v>116.99048157421316</v>
      </c>
      <c r="I54" s="2404">
        <f t="shared" ca="1" si="16"/>
        <v>276.6342134525816</v>
      </c>
      <c r="J54" s="2404">
        <f t="shared" ca="1" si="16"/>
        <v>507.32081828929068</v>
      </c>
      <c r="K54" s="2404">
        <f t="shared" ca="1" si="16"/>
        <v>751.75114808733497</v>
      </c>
      <c r="L54" s="2404">
        <f t="shared" ca="1" si="16"/>
        <v>994.47441071750291</v>
      </c>
      <c r="M54" s="2404">
        <f t="shared" ca="1" si="16"/>
        <v>1237.326775284753</v>
      </c>
      <c r="N54" s="429"/>
    </row>
    <row r="55" spans="2:18" s="2370" customFormat="1" x14ac:dyDescent="0.2">
      <c r="B55" s="2405"/>
      <c r="C55" s="2402"/>
      <c r="D55" s="2403" t="s">
        <v>118</v>
      </c>
      <c r="E55" s="2404">
        <f t="shared" ref="E55:M55" ca="1" si="17">E39+E40</f>
        <v>301.24472631181243</v>
      </c>
      <c r="F55" s="2404">
        <f t="shared" ca="1" si="17"/>
        <v>309.20345172722136</v>
      </c>
      <c r="G55" s="2404">
        <f t="shared" ca="1" si="17"/>
        <v>221.35927018559823</v>
      </c>
      <c r="H55" s="2404">
        <f t="shared" ca="1" si="17"/>
        <v>188.35750920679629</v>
      </c>
      <c r="I55" s="2404">
        <f t="shared" ca="1" si="17"/>
        <v>190.79882842617371</v>
      </c>
      <c r="J55" s="2404">
        <f t="shared" ca="1" si="17"/>
        <v>198.31117547774625</v>
      </c>
      <c r="K55" s="2404">
        <f t="shared" ca="1" si="17"/>
        <v>197.7969679668272</v>
      </c>
      <c r="L55" s="2404">
        <f t="shared" ca="1" si="17"/>
        <v>196.27149320474473</v>
      </c>
      <c r="M55" s="2404">
        <f t="shared" ca="1" si="17"/>
        <v>191.75650933957013</v>
      </c>
      <c r="N55" s="429"/>
    </row>
    <row r="56" spans="2:18" s="2370" customFormat="1" x14ac:dyDescent="0.2">
      <c r="B56" s="2405"/>
      <c r="C56" s="2402"/>
      <c r="D56" s="2403" t="s">
        <v>10</v>
      </c>
      <c r="E56" s="2404">
        <f t="shared" ref="E56:M56" ca="1" si="18">E41+E42</f>
        <v>50.089305847406877</v>
      </c>
      <c r="F56" s="2404">
        <f t="shared" ca="1" si="18"/>
        <v>43.700129859060326</v>
      </c>
      <c r="G56" s="2404">
        <f t="shared" ca="1" si="18"/>
        <v>108.49136903087731</v>
      </c>
      <c r="H56" s="2404">
        <f t="shared" ca="1" si="18"/>
        <v>64.247530632547182</v>
      </c>
      <c r="I56" s="2404">
        <f t="shared" ca="1" si="18"/>
        <v>95.838733834760433</v>
      </c>
      <c r="J56" s="2404">
        <f t="shared" ca="1" si="18"/>
        <v>170.80537865185499</v>
      </c>
      <c r="K56" s="2404">
        <f t="shared" ca="1" si="18"/>
        <v>243.4437104545143</v>
      </c>
      <c r="L56" s="2404">
        <f t="shared" ca="1" si="18"/>
        <v>309.10828006860288</v>
      </c>
      <c r="M56" s="2404">
        <f t="shared" ca="1" si="18"/>
        <v>374.54058381880384</v>
      </c>
      <c r="N56" s="429"/>
    </row>
    <row r="57" spans="2:18" s="2370" customFormat="1" x14ac:dyDescent="0.2">
      <c r="B57" s="2405"/>
      <c r="C57" s="2402"/>
      <c r="D57" s="2403" t="s">
        <v>105</v>
      </c>
      <c r="E57" s="2404">
        <f ca="1">SUM(E48:E56)</f>
        <v>1214.0100277672175</v>
      </c>
      <c r="F57" s="2404">
        <f t="shared" ref="F57:M57" ca="1" si="19">SUM(F48:F56)</f>
        <v>1279.4659040737306</v>
      </c>
      <c r="G57" s="2404">
        <f t="shared" ca="1" si="19"/>
        <v>1434.9958279338757</v>
      </c>
      <c r="H57" s="2404">
        <f t="shared" ca="1" si="19"/>
        <v>1615.9388694048744</v>
      </c>
      <c r="I57" s="2404">
        <f t="shared" ca="1" si="19"/>
        <v>1893.3970198610812</v>
      </c>
      <c r="J57" s="2404">
        <f t="shared" ca="1" si="19"/>
        <v>2299.2879968529596</v>
      </c>
      <c r="K57" s="2404">
        <f t="shared" ca="1" si="19"/>
        <v>2719.3462632395904</v>
      </c>
      <c r="L57" s="2404">
        <f t="shared" ca="1" si="19"/>
        <v>3174.3927421965736</v>
      </c>
      <c r="M57" s="2404">
        <f t="shared" ca="1" si="19"/>
        <v>3743.221920712117</v>
      </c>
      <c r="N57" s="429"/>
    </row>
    <row r="58" spans="2:18" s="2370" customFormat="1" x14ac:dyDescent="0.2">
      <c r="B58" s="2405"/>
      <c r="C58" s="2402"/>
      <c r="D58" s="2403"/>
      <c r="E58" s="2405"/>
      <c r="F58" s="2405"/>
      <c r="G58" s="2405"/>
      <c r="H58" s="2405"/>
      <c r="I58" s="2405"/>
      <c r="J58" s="2405"/>
      <c r="K58" s="2405"/>
      <c r="L58" s="2405"/>
      <c r="M58" s="2405"/>
      <c r="N58" s="429"/>
    </row>
    <row r="59" spans="2:18" s="2370" customFormat="1" x14ac:dyDescent="0.2">
      <c r="B59" s="2405"/>
      <c r="C59" s="2402"/>
      <c r="D59" s="2403"/>
      <c r="E59" s="2405"/>
      <c r="F59" s="2405"/>
      <c r="G59" s="2405"/>
      <c r="H59" s="2405"/>
      <c r="I59" s="2405"/>
      <c r="J59" s="2405"/>
      <c r="K59" s="2405"/>
      <c r="L59" s="2405"/>
      <c r="M59" s="2405"/>
      <c r="N59" s="429"/>
    </row>
    <row r="60" spans="2:18" s="2370" customFormat="1" x14ac:dyDescent="0.2">
      <c r="B60" s="2405"/>
      <c r="C60" s="2402"/>
      <c r="D60" s="2403"/>
      <c r="E60" s="2405"/>
      <c r="F60" s="2405"/>
      <c r="G60" s="2405"/>
      <c r="H60" s="2405"/>
      <c r="I60" s="2405"/>
      <c r="J60" s="2405"/>
      <c r="K60" s="2405"/>
      <c r="L60" s="2405"/>
      <c r="M60" s="2405"/>
      <c r="N60" s="429"/>
    </row>
    <row r="61" spans="2:18" x14ac:dyDescent="0.2">
      <c r="B61" s="2405"/>
      <c r="C61" s="2402"/>
      <c r="D61" s="2403"/>
      <c r="E61" s="2405"/>
      <c r="F61" s="2405"/>
      <c r="G61" s="2405"/>
      <c r="H61" s="2405"/>
      <c r="I61" s="2405"/>
      <c r="J61" s="2405"/>
      <c r="K61" s="2405"/>
      <c r="L61" s="2405"/>
      <c r="M61" s="2405"/>
      <c r="N61" s="429"/>
      <c r="O61" s="2370"/>
      <c r="P61" s="2370"/>
      <c r="Q61" s="2370"/>
      <c r="R61" s="2370"/>
    </row>
    <row r="62" spans="2:18" x14ac:dyDescent="0.2">
      <c r="C62" s="2370"/>
      <c r="D62" s="2370"/>
      <c r="E62" s="2370"/>
      <c r="F62" s="2370"/>
    </row>
  </sheetData>
  <pageMargins left="0.75" right="0.75" top="1" bottom="1" header="0.5" footer="0.5"/>
  <pageSetup paperSize="9" orientation="portrait" horizontalDpi="4294967292" verticalDpi="429496729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 enableFormatConditionsCalculation="0">
    <tabColor theme="9"/>
    <outlinePr summaryBelow="0"/>
    <pageSetUpPr autoPageBreaks="0"/>
  </sheetPr>
  <dimension ref="A1:O581"/>
  <sheetViews>
    <sheetView windowProtection="1" zoomScaleNormal="100" workbookViewId="0"/>
  </sheetViews>
  <sheetFormatPr defaultColWidth="9.140625" defaultRowHeight="12.75" x14ac:dyDescent="0.2"/>
  <cols>
    <col min="1" max="1" width="7.7109375" style="38" customWidth="1"/>
    <col min="2" max="2" width="5.7109375" style="38" customWidth="1"/>
    <col min="3" max="3" width="20.42578125" style="38" customWidth="1"/>
    <col min="4" max="4" width="30.7109375" style="38" customWidth="1"/>
    <col min="5" max="5" width="20.7109375" style="38" customWidth="1"/>
    <col min="6" max="14" width="17.7109375" style="38" customWidth="1"/>
    <col min="15" max="15" width="2" style="38" customWidth="1"/>
    <col min="16" max="16" width="10.7109375" style="38" customWidth="1"/>
    <col min="17" max="16384" width="9.140625" style="38"/>
  </cols>
  <sheetData>
    <row r="1" spans="1:15" ht="20.25" customHeight="1" x14ac:dyDescent="0.35">
      <c r="A1" s="536" t="s">
        <v>232</v>
      </c>
      <c r="B1" s="120" t="str">
        <f>INDEX(Workstreams[Workstream], MATCH($A1, Workstreams[Code], 0))</f>
        <v>Transport</v>
      </c>
      <c r="C1" s="120"/>
    </row>
    <row r="2" spans="1:15" s="84" customFormat="1" ht="19.5" customHeight="1" x14ac:dyDescent="0.2">
      <c r="A2" s="6" t="s">
        <v>375</v>
      </c>
      <c r="B2" s="6" t="str">
        <f>INDEX(Modules[Module], MATCH($A2, Modules[Code], 0))</f>
        <v>Domestic freight</v>
      </c>
      <c r="C2" s="6"/>
      <c r="E2" s="1380"/>
    </row>
    <row r="4" spans="1:15" ht="22.5" collapsed="1" x14ac:dyDescent="0.3">
      <c r="A4" s="409"/>
      <c r="B4" s="468" t="s">
        <v>596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3"/>
    </row>
    <row r="5" spans="1:15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4"/>
    </row>
    <row r="6" spans="1:15" ht="5.25" customHeight="1" x14ac:dyDescent="0.2">
      <c r="B6" s="410"/>
      <c r="C6" s="411"/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2"/>
      <c r="O6" s="414"/>
    </row>
    <row r="7" spans="1:15" ht="15.75" x14ac:dyDescent="0.25">
      <c r="B7" s="415"/>
      <c r="C7" s="412"/>
      <c r="D7" s="216" t="s">
        <v>342</v>
      </c>
      <c r="E7" s="216" t="s">
        <v>595</v>
      </c>
      <c r="F7" s="412"/>
      <c r="G7" s="412"/>
      <c r="H7" s="412"/>
      <c r="I7" s="412"/>
      <c r="J7" s="412"/>
      <c r="K7" s="412"/>
      <c r="L7" s="412"/>
      <c r="M7" s="412"/>
      <c r="N7" s="412"/>
      <c r="O7" s="414"/>
    </row>
    <row r="8" spans="1:15" ht="15.75" x14ac:dyDescent="0.25">
      <c r="B8" s="415"/>
      <c r="C8" s="412"/>
      <c r="D8" s="238" t="s">
        <v>598</v>
      </c>
      <c r="E8" s="238">
        <f>XII.b.Scenario</f>
        <v>4</v>
      </c>
      <c r="F8" s="412"/>
      <c r="G8" s="412"/>
      <c r="H8" s="412"/>
      <c r="I8" s="412"/>
      <c r="J8" s="412"/>
      <c r="K8" s="412"/>
      <c r="L8" s="412"/>
      <c r="M8" s="412"/>
      <c r="N8" s="412"/>
      <c r="O8" s="414"/>
    </row>
    <row r="9" spans="1:15" x14ac:dyDescent="0.2">
      <c r="B9" s="430"/>
      <c r="C9" s="418"/>
      <c r="D9" s="418"/>
      <c r="E9" s="418"/>
      <c r="F9" s="418"/>
      <c r="G9" s="418"/>
      <c r="H9" s="418"/>
      <c r="I9" s="418"/>
      <c r="J9" s="418"/>
      <c r="K9" s="418"/>
      <c r="L9" s="418"/>
      <c r="M9" s="418"/>
      <c r="N9" s="418"/>
      <c r="O9" s="419"/>
    </row>
    <row r="11" spans="1:15" s="84" customFormat="1" ht="22.5" collapsed="1" x14ac:dyDescent="0.2">
      <c r="A11" s="408"/>
      <c r="B11" s="472" t="s">
        <v>597</v>
      </c>
      <c r="C11" s="405"/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</row>
    <row r="12" spans="1:15" x14ac:dyDescent="0.2">
      <c r="B12" s="395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</row>
    <row r="13" spans="1:15" x14ac:dyDescent="0.2">
      <c r="B13" s="395"/>
      <c r="C13" s="175" t="s">
        <v>630</v>
      </c>
      <c r="D13" s="173"/>
      <c r="E13" s="176"/>
      <c r="F13" s="173"/>
      <c r="G13" s="173"/>
      <c r="H13" s="173"/>
      <c r="I13" s="173"/>
      <c r="J13" s="173"/>
      <c r="K13" s="173"/>
      <c r="L13" s="173"/>
      <c r="M13" s="173"/>
      <c r="N13" s="176" t="s">
        <v>376</v>
      </c>
    </row>
    <row r="14" spans="1:15" ht="5.25" customHeight="1" x14ac:dyDescent="0.2">
      <c r="B14" s="395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</row>
    <row r="15" spans="1:15" x14ac:dyDescent="0.2">
      <c r="B15" s="395"/>
      <c r="C15" s="98" t="s">
        <v>595</v>
      </c>
      <c r="D15" s="98" t="s">
        <v>66</v>
      </c>
      <c r="E15" s="98" t="s">
        <v>172</v>
      </c>
      <c r="F15" s="218">
        <v>2010</v>
      </c>
      <c r="G15" s="217">
        <v>2015</v>
      </c>
      <c r="H15" s="217">
        <v>2020</v>
      </c>
      <c r="I15" s="217">
        <v>2025</v>
      </c>
      <c r="J15" s="217">
        <v>2030</v>
      </c>
      <c r="K15" s="217">
        <v>2035</v>
      </c>
      <c r="L15" s="217">
        <v>2040</v>
      </c>
      <c r="M15" s="217">
        <v>2045</v>
      </c>
      <c r="N15" s="217">
        <v>2050</v>
      </c>
    </row>
    <row r="16" spans="1:15" ht="15.75" x14ac:dyDescent="0.25">
      <c r="B16" s="397"/>
      <c r="C16" s="144">
        <v>1</v>
      </c>
      <c r="D16" s="145" t="s">
        <v>193</v>
      </c>
      <c r="E16" s="488" t="s">
        <v>93</v>
      </c>
      <c r="F16" s="220">
        <v>26123390.275299579</v>
      </c>
      <c r="G16" s="226">
        <v>39185085.412949368</v>
      </c>
      <c r="H16" s="226">
        <v>52246780.550599158</v>
      </c>
      <c r="I16" s="226">
        <v>65308475.688248947</v>
      </c>
      <c r="J16" s="226">
        <v>78370170.825898737</v>
      </c>
      <c r="K16" s="226">
        <v>91431865.963548526</v>
      </c>
      <c r="L16" s="226">
        <v>104493561.10119832</v>
      </c>
      <c r="M16" s="226">
        <v>117555256.23884811</v>
      </c>
      <c r="N16" s="226">
        <v>130616951.37649788</v>
      </c>
    </row>
    <row r="17" spans="2:14" ht="15.75" x14ac:dyDescent="0.25">
      <c r="B17" s="397"/>
      <c r="C17" s="144">
        <v>2</v>
      </c>
      <c r="D17" s="145" t="s">
        <v>193</v>
      </c>
      <c r="E17" s="488" t="s">
        <v>93</v>
      </c>
      <c r="F17" s="221">
        <v>26123390.275299579</v>
      </c>
      <c r="G17" s="227">
        <v>127351527.59208545</v>
      </c>
      <c r="H17" s="226">
        <v>228579664.90887132</v>
      </c>
      <c r="I17" s="227">
        <v>329807802.22565722</v>
      </c>
      <c r="J17" s="226">
        <v>431035939.5424431</v>
      </c>
      <c r="K17" s="227">
        <v>532264076.85922897</v>
      </c>
      <c r="L17" s="226">
        <v>633492214.1760149</v>
      </c>
      <c r="M17" s="226">
        <v>734720351.49280071</v>
      </c>
      <c r="N17" s="226">
        <v>835948488.80958652</v>
      </c>
    </row>
    <row r="18" spans="2:14" ht="15.75" x14ac:dyDescent="0.25">
      <c r="B18" s="397"/>
      <c r="C18" s="144">
        <v>3</v>
      </c>
      <c r="D18" s="145" t="s">
        <v>193</v>
      </c>
      <c r="E18" s="488" t="s">
        <v>93</v>
      </c>
      <c r="F18" s="221">
        <v>26123390.275299579</v>
      </c>
      <c r="G18" s="227">
        <v>122779934.29390803</v>
      </c>
      <c r="H18" s="227">
        <v>219436478.31251648</v>
      </c>
      <c r="I18" s="227">
        <v>316093022.3311249</v>
      </c>
      <c r="J18" s="227">
        <v>412749566.34973335</v>
      </c>
      <c r="K18" s="227">
        <v>509406110.3683418</v>
      </c>
      <c r="L18" s="227">
        <v>606062654.38695025</v>
      </c>
      <c r="M18" s="227">
        <v>702719198.40555871</v>
      </c>
      <c r="N18" s="227">
        <v>799375742.42416704</v>
      </c>
    </row>
    <row r="19" spans="2:14" ht="15.75" x14ac:dyDescent="0.25">
      <c r="B19" s="397"/>
      <c r="C19" s="101">
        <v>4</v>
      </c>
      <c r="D19" s="102" t="s">
        <v>193</v>
      </c>
      <c r="E19" s="102" t="s">
        <v>93</v>
      </c>
      <c r="F19" s="222">
        <v>26123390.275299579</v>
      </c>
      <c r="G19" s="223">
        <v>88166442.179136083</v>
      </c>
      <c r="H19" s="223">
        <v>150209494.08297259</v>
      </c>
      <c r="I19" s="223">
        <v>212252545.98680907</v>
      </c>
      <c r="J19" s="223">
        <v>274295597.89064556</v>
      </c>
      <c r="K19" s="223">
        <v>336338649.79448205</v>
      </c>
      <c r="L19" s="223">
        <v>398381701.69831854</v>
      </c>
      <c r="M19" s="223">
        <v>460424753.60215503</v>
      </c>
      <c r="N19" s="223">
        <v>522467805.50599158</v>
      </c>
    </row>
    <row r="20" spans="2:14" ht="15.75" x14ac:dyDescent="0.25">
      <c r="B20" s="397"/>
      <c r="C20" s="144"/>
      <c r="D20" s="145"/>
      <c r="E20" s="145"/>
      <c r="F20" s="161"/>
      <c r="G20" s="161"/>
      <c r="H20" s="161"/>
      <c r="I20" s="161"/>
      <c r="J20" s="161"/>
      <c r="K20" s="161"/>
      <c r="L20" s="161"/>
      <c r="M20" s="161"/>
      <c r="N20" s="161"/>
    </row>
    <row r="21" spans="2:14" ht="15.75" x14ac:dyDescent="0.25">
      <c r="B21" s="397"/>
      <c r="C21" s="175" t="s">
        <v>631</v>
      </c>
      <c r="D21" s="173"/>
      <c r="E21" s="176"/>
      <c r="F21" s="173"/>
      <c r="G21" s="173"/>
      <c r="H21" s="173"/>
      <c r="I21" s="173"/>
      <c r="J21" s="173"/>
      <c r="K21" s="173"/>
      <c r="L21" s="173"/>
      <c r="M21" s="173"/>
      <c r="N21" s="176" t="str">
        <f>Preferences.EnergyUnits</f>
        <v>TWh</v>
      </c>
    </row>
    <row r="22" spans="2:14" ht="5.25" customHeight="1" x14ac:dyDescent="0.25">
      <c r="B22" s="397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</row>
    <row r="23" spans="2:14" ht="15.75" x14ac:dyDescent="0.25">
      <c r="B23" s="397"/>
      <c r="C23" s="98" t="s">
        <v>595</v>
      </c>
      <c r="D23" s="98" t="s">
        <v>66</v>
      </c>
      <c r="E23" s="98" t="s">
        <v>172</v>
      </c>
      <c r="F23" s="218">
        <v>2010</v>
      </c>
      <c r="G23" s="217">
        <v>2015</v>
      </c>
      <c r="H23" s="217">
        <v>2020</v>
      </c>
      <c r="I23" s="217">
        <v>2025</v>
      </c>
      <c r="J23" s="217">
        <v>2030</v>
      </c>
      <c r="K23" s="217">
        <v>2035</v>
      </c>
      <c r="L23" s="217">
        <v>2040</v>
      </c>
      <c r="M23" s="217">
        <v>2045</v>
      </c>
      <c r="N23" s="217">
        <v>2050</v>
      </c>
    </row>
    <row r="24" spans="2:14" ht="15.75" x14ac:dyDescent="0.25">
      <c r="B24" s="397"/>
      <c r="C24" s="144">
        <v>1</v>
      </c>
      <c r="D24" s="145" t="s">
        <v>377</v>
      </c>
      <c r="E24" s="488" t="s">
        <v>93</v>
      </c>
      <c r="F24" s="220">
        <f t="shared" ref="F24:N24" si="0">(Unit.kWh)*0</f>
        <v>0</v>
      </c>
      <c r="G24" s="226">
        <f t="shared" si="0"/>
        <v>0</v>
      </c>
      <c r="H24" s="226">
        <f t="shared" si="0"/>
        <v>0</v>
      </c>
      <c r="I24" s="226">
        <f t="shared" si="0"/>
        <v>0</v>
      </c>
      <c r="J24" s="226">
        <f t="shared" si="0"/>
        <v>0</v>
      </c>
      <c r="K24" s="226">
        <f t="shared" si="0"/>
        <v>0</v>
      </c>
      <c r="L24" s="226">
        <f t="shared" si="0"/>
        <v>0</v>
      </c>
      <c r="M24" s="226">
        <f t="shared" si="0"/>
        <v>0</v>
      </c>
      <c r="N24" s="226">
        <f t="shared" si="0"/>
        <v>0</v>
      </c>
    </row>
    <row r="25" spans="2:14" ht="15.75" x14ac:dyDescent="0.25">
      <c r="B25" s="397"/>
      <c r="C25" s="144">
        <v>2</v>
      </c>
      <c r="D25" s="145" t="s">
        <v>377</v>
      </c>
      <c r="E25" s="488" t="s">
        <v>93</v>
      </c>
      <c r="F25" s="221">
        <f>(Unit.kWh)*0</f>
        <v>0</v>
      </c>
      <c r="G25" s="227">
        <f>(Unit.kWh)*261233902.752996</f>
        <v>0.26123390275299602</v>
      </c>
      <c r="H25" s="226">
        <f>(Unit.kWh)*522467805.505991</f>
        <v>0.52246780550599103</v>
      </c>
      <c r="I25" s="227">
        <f>(Unit.kWh)*783701708.258987</f>
        <v>0.783701708258987</v>
      </c>
      <c r="J25" s="226">
        <f>(Unit.kWh)*1044935611.01198</f>
        <v>1.0449356110119801</v>
      </c>
      <c r="K25" s="227">
        <f>(Unit.kWh)*1306169513.76498</f>
        <v>1.3061695137649803</v>
      </c>
      <c r="L25" s="226">
        <f>(Unit.kWh)*1567403416.51797</f>
        <v>1.5674034165179702</v>
      </c>
      <c r="M25" s="226">
        <f>(Unit.kWh)*1828637319.27097</f>
        <v>1.8286373192709702</v>
      </c>
      <c r="N25" s="226">
        <f>(Unit.kWh)*2089871222.02397</f>
        <v>2.0898712220239699</v>
      </c>
    </row>
    <row r="26" spans="2:14" ht="15.75" x14ac:dyDescent="0.25">
      <c r="B26" s="397"/>
      <c r="C26" s="144">
        <v>3</v>
      </c>
      <c r="D26" s="145" t="s">
        <v>377</v>
      </c>
      <c r="E26" s="488" t="s">
        <v>93</v>
      </c>
      <c r="F26" s="221">
        <f>(Unit.kWh)*0</f>
        <v>0</v>
      </c>
      <c r="G26" s="227">
        <f>(Unit.kWh)*666146452.020139</f>
        <v>0.666146452020139</v>
      </c>
      <c r="H26" s="227">
        <f>(Unit.kWh)*1332292904.04028</f>
        <v>1.3322929040402802</v>
      </c>
      <c r="I26" s="227">
        <f>(Unit.kWh)*1998439356.06042</f>
        <v>1.9984393560604201</v>
      </c>
      <c r="J26" s="227">
        <f>(Unit.kWh)*2664585808.08056</f>
        <v>2.6645858080805604</v>
      </c>
      <c r="K26" s="227">
        <f>(Unit.kWh)*3330732260.1007</f>
        <v>3.3307322601006999</v>
      </c>
      <c r="L26" s="227">
        <f>(Unit.kWh)*3996878712.12084</f>
        <v>3.9968787121208402</v>
      </c>
      <c r="M26" s="227">
        <f>(Unit.kWh)*4663025164.14097</f>
        <v>4.6630251641409703</v>
      </c>
      <c r="N26" s="227">
        <f>(Unit.kWh)*5329171616.16111</f>
        <v>5.3291716161611102</v>
      </c>
    </row>
    <row r="27" spans="2:14" ht="15.75" x14ac:dyDescent="0.25">
      <c r="B27" s="397"/>
      <c r="C27" s="101">
        <v>4</v>
      </c>
      <c r="D27" s="102" t="s">
        <v>377</v>
      </c>
      <c r="E27" s="102" t="s">
        <v>93</v>
      </c>
      <c r="F27" s="222">
        <f>(Unit.kWh)*0</f>
        <v>0</v>
      </c>
      <c r="G27" s="223">
        <f>(Unit.kWh)*979627135.323734</f>
        <v>0.97962713532373413</v>
      </c>
      <c r="H27" s="223">
        <f>(Unit.kWh)*1959254270.64747</f>
        <v>1.95925427064747</v>
      </c>
      <c r="I27" s="223">
        <f>(Unit.kWh)*2938881405.9712</f>
        <v>2.9388814059712001</v>
      </c>
      <c r="J27" s="223">
        <f>(Unit.kWh)*3918508541.29494</f>
        <v>3.9185085412949401</v>
      </c>
      <c r="K27" s="223">
        <f>(Unit.kWh)*4898135676.61867</f>
        <v>4.8981356766186703</v>
      </c>
      <c r="L27" s="223">
        <f>(Unit.kWh)*5877762811.94241</f>
        <v>5.8777628119424108</v>
      </c>
      <c r="M27" s="223">
        <f>(Unit.kWh)*6857389947.26614</f>
        <v>6.8573899472661406</v>
      </c>
      <c r="N27" s="223">
        <f>(Unit.kWh)*7837017082.58987</f>
        <v>7.8370170825898713</v>
      </c>
    </row>
    <row r="28" spans="2:14" ht="15.75" x14ac:dyDescent="0.25">
      <c r="B28" s="397"/>
      <c r="C28" s="144"/>
      <c r="D28" s="145"/>
      <c r="E28" s="145"/>
      <c r="F28" s="161"/>
      <c r="G28" s="161"/>
      <c r="H28" s="161"/>
      <c r="I28" s="161"/>
      <c r="J28" s="161"/>
      <c r="K28" s="161"/>
      <c r="L28" s="161"/>
      <c r="M28" s="161"/>
      <c r="N28" s="161"/>
    </row>
    <row r="29" spans="2:14" s="1450" customFormat="1" ht="15.75" x14ac:dyDescent="0.25">
      <c r="B29" s="397"/>
      <c r="C29" s="1417" t="s">
        <v>1479</v>
      </c>
      <c r="D29" s="1416"/>
      <c r="E29" s="176"/>
      <c r="F29" s="1416"/>
      <c r="G29" s="1416"/>
      <c r="H29" s="1416"/>
      <c r="I29" s="1416"/>
      <c r="J29" s="1416"/>
      <c r="K29" s="1416"/>
      <c r="L29" s="1416"/>
      <c r="M29" s="1416"/>
      <c r="N29" s="176" t="s">
        <v>621</v>
      </c>
    </row>
    <row r="30" spans="2:14" s="1450" customFormat="1" ht="15.75" x14ac:dyDescent="0.25">
      <c r="B30" s="397"/>
      <c r="C30" s="1416"/>
      <c r="D30" s="1416"/>
      <c r="E30" s="1416"/>
      <c r="F30" s="1416"/>
      <c r="G30" s="1416"/>
      <c r="H30" s="1416"/>
      <c r="I30" s="1416"/>
      <c r="J30" s="1416"/>
      <c r="K30" s="1416"/>
      <c r="L30" s="1416"/>
      <c r="M30" s="1416"/>
      <c r="N30" s="1416"/>
    </row>
    <row r="31" spans="2:14" s="1450" customFormat="1" ht="15.75" x14ac:dyDescent="0.25">
      <c r="B31" s="397"/>
      <c r="C31" s="98" t="s">
        <v>595</v>
      </c>
      <c r="D31" s="98" t="s">
        <v>66</v>
      </c>
      <c r="E31" s="98" t="s">
        <v>172</v>
      </c>
      <c r="F31" s="218">
        <v>2010</v>
      </c>
      <c r="G31" s="217">
        <v>2015</v>
      </c>
      <c r="H31" s="217">
        <v>2020</v>
      </c>
      <c r="I31" s="217">
        <v>2025</v>
      </c>
      <c r="J31" s="217">
        <v>2030</v>
      </c>
      <c r="K31" s="217">
        <v>2035</v>
      </c>
      <c r="L31" s="217">
        <v>2040</v>
      </c>
      <c r="M31" s="217">
        <v>2045</v>
      </c>
      <c r="N31" s="217">
        <v>2050</v>
      </c>
    </row>
    <row r="32" spans="2:14" s="1450" customFormat="1" ht="15.75" x14ac:dyDescent="0.25">
      <c r="B32" s="397"/>
      <c r="C32" s="1414">
        <v>1</v>
      </c>
      <c r="D32" s="1415" t="s">
        <v>632</v>
      </c>
      <c r="E32" s="488" t="s">
        <v>93</v>
      </c>
      <c r="F32" s="167">
        <v>4.7262860891410248E-2</v>
      </c>
      <c r="G32" s="167">
        <v>9.5331922388633583E-2</v>
      </c>
      <c r="H32" s="167">
        <v>0.14340098388585693</v>
      </c>
      <c r="I32" s="167">
        <v>0.19147004538308027</v>
      </c>
      <c r="J32" s="167">
        <v>0.23953910688030361</v>
      </c>
      <c r="K32" s="167">
        <v>0.28760816837752695</v>
      </c>
      <c r="L32" s="167">
        <v>0.33567722987475024</v>
      </c>
      <c r="M32" s="167">
        <v>0.38374629137197358</v>
      </c>
      <c r="N32" s="167">
        <v>0.43181535286919698</v>
      </c>
    </row>
    <row r="33" spans="1:15" s="1450" customFormat="1" ht="15.75" x14ac:dyDescent="0.25">
      <c r="B33" s="397"/>
      <c r="C33" s="1414">
        <v>2</v>
      </c>
      <c r="D33" s="1415" t="s">
        <v>632</v>
      </c>
      <c r="E33" s="488" t="s">
        <v>93</v>
      </c>
      <c r="F33" s="167">
        <v>4.7262860891410248E-2</v>
      </c>
      <c r="G33" s="167">
        <v>0.38680728557534161</v>
      </c>
      <c r="H33" s="167">
        <v>0.72635171025927292</v>
      </c>
      <c r="I33" s="167">
        <v>1.0658961349432043</v>
      </c>
      <c r="J33" s="167">
        <v>1.4054405596271358</v>
      </c>
      <c r="K33" s="167">
        <v>1.7449849843110672</v>
      </c>
      <c r="L33" s="167">
        <v>2.0845294089949986</v>
      </c>
      <c r="M33" s="167">
        <v>2.4240738336789298</v>
      </c>
      <c r="N33" s="167">
        <v>2.763618258362861</v>
      </c>
    </row>
    <row r="34" spans="1:15" s="1450" customFormat="1" ht="15.75" x14ac:dyDescent="0.25">
      <c r="B34" s="397"/>
      <c r="C34" s="1414">
        <v>3</v>
      </c>
      <c r="D34" s="1415" t="s">
        <v>632</v>
      </c>
      <c r="E34" s="488" t="s">
        <v>93</v>
      </c>
      <c r="F34" s="167">
        <v>4.7262860891410248E-2</v>
      </c>
      <c r="G34" s="167">
        <v>0.37169374822491963</v>
      </c>
      <c r="H34" s="167">
        <v>0.69612463555842896</v>
      </c>
      <c r="I34" s="167">
        <v>1.0205555228919385</v>
      </c>
      <c r="J34" s="167">
        <v>1.3449864102254478</v>
      </c>
      <c r="K34" s="167">
        <v>1.6694172975589574</v>
      </c>
      <c r="L34" s="167">
        <v>1.9938481848924667</v>
      </c>
      <c r="M34" s="167">
        <v>2.3182790722259758</v>
      </c>
      <c r="N34" s="167">
        <v>2.6427099595594856</v>
      </c>
    </row>
    <row r="35" spans="1:15" s="1450" customFormat="1" ht="15.75" x14ac:dyDescent="0.25">
      <c r="B35" s="397"/>
      <c r="C35" s="1412">
        <v>4</v>
      </c>
      <c r="D35" s="102" t="s">
        <v>632</v>
      </c>
      <c r="E35" s="102" t="s">
        <v>93</v>
      </c>
      <c r="F35" s="167">
        <v>4.7262860891410248E-2</v>
      </c>
      <c r="G35" s="167">
        <v>0.25726267971458244</v>
      </c>
      <c r="H35" s="167">
        <v>0.46726249853775464</v>
      </c>
      <c r="I35" s="167">
        <v>0.6772623173609269</v>
      </c>
      <c r="J35" s="167">
        <v>0.8872621361840991</v>
      </c>
      <c r="K35" s="167">
        <v>1.0972619550072713</v>
      </c>
      <c r="L35" s="167">
        <v>1.3072617738304433</v>
      </c>
      <c r="M35" s="167">
        <v>1.5172615926536155</v>
      </c>
      <c r="N35" s="167">
        <v>1.7272614114767881</v>
      </c>
    </row>
    <row r="36" spans="1:15" s="1450" customFormat="1" x14ac:dyDescent="0.2">
      <c r="B36" s="401"/>
      <c r="C36" s="1414"/>
      <c r="D36" s="1415"/>
      <c r="E36" s="1415"/>
      <c r="F36" s="227"/>
      <c r="G36" s="227"/>
      <c r="H36" s="227"/>
      <c r="I36" s="227"/>
      <c r="J36" s="227"/>
      <c r="K36" s="227"/>
      <c r="L36" s="227"/>
      <c r="M36" s="227"/>
      <c r="N36" s="227"/>
    </row>
    <row r="37" spans="1:15" s="1450" customFormat="1" x14ac:dyDescent="0.2">
      <c r="B37" s="401"/>
      <c r="C37" s="1417" t="s">
        <v>1480</v>
      </c>
      <c r="D37" s="1416"/>
      <c r="E37" s="176"/>
      <c r="F37" s="1416"/>
      <c r="G37" s="1416"/>
      <c r="H37" s="1416"/>
      <c r="I37" s="1416"/>
      <c r="J37" s="1416"/>
      <c r="K37" s="1416"/>
      <c r="L37" s="1416"/>
      <c r="M37" s="1416"/>
      <c r="N37" s="176" t="s">
        <v>621</v>
      </c>
    </row>
    <row r="38" spans="1:15" s="1450" customFormat="1" x14ac:dyDescent="0.2">
      <c r="B38" s="401"/>
      <c r="C38" s="1416"/>
      <c r="D38" s="1416"/>
      <c r="E38" s="1416"/>
      <c r="F38" s="1416"/>
      <c r="G38" s="1416"/>
      <c r="H38" s="1416"/>
      <c r="I38" s="1416"/>
      <c r="J38" s="1416"/>
      <c r="K38" s="1416"/>
      <c r="L38" s="1416"/>
      <c r="M38" s="1416"/>
      <c r="N38" s="1416"/>
    </row>
    <row r="39" spans="1:15" s="1450" customFormat="1" ht="15.75" x14ac:dyDescent="0.25">
      <c r="B39" s="397"/>
      <c r="C39" s="98" t="s">
        <v>595</v>
      </c>
      <c r="D39" s="98" t="s">
        <v>66</v>
      </c>
      <c r="E39" s="98" t="s">
        <v>172</v>
      </c>
      <c r="F39" s="218">
        <v>2010</v>
      </c>
      <c r="G39" s="217">
        <v>2015</v>
      </c>
      <c r="H39" s="217">
        <v>2020</v>
      </c>
      <c r="I39" s="217">
        <v>2025</v>
      </c>
      <c r="J39" s="217">
        <v>2030</v>
      </c>
      <c r="K39" s="217">
        <v>2035</v>
      </c>
      <c r="L39" s="217">
        <v>2040</v>
      </c>
      <c r="M39" s="217">
        <v>2045</v>
      </c>
      <c r="N39" s="217">
        <v>2050</v>
      </c>
    </row>
    <row r="40" spans="1:15" s="1450" customFormat="1" ht="15.75" x14ac:dyDescent="0.25">
      <c r="B40" s="397"/>
      <c r="C40" s="1414">
        <v>1</v>
      </c>
      <c r="D40" s="1415" t="s">
        <v>377</v>
      </c>
      <c r="E40" s="488" t="s">
        <v>93</v>
      </c>
      <c r="F40" s="167">
        <v>0</v>
      </c>
      <c r="G40" s="167">
        <v>0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167">
        <v>0</v>
      </c>
      <c r="N40" s="167">
        <v>0</v>
      </c>
    </row>
    <row r="41" spans="1:15" s="1450" customFormat="1" ht="15.75" x14ac:dyDescent="0.25">
      <c r="B41" s="397"/>
      <c r="C41" s="1414">
        <v>2</v>
      </c>
      <c r="D41" s="1415" t="s">
        <v>377</v>
      </c>
      <c r="E41" s="488" t="s">
        <v>93</v>
      </c>
      <c r="F41" s="167">
        <v>0</v>
      </c>
      <c r="G41" s="167">
        <v>8.6363070573839379E-2</v>
      </c>
      <c r="H41" s="167">
        <v>0.17272614114767876</v>
      </c>
      <c r="I41" s="167">
        <v>0.25908921172151816</v>
      </c>
      <c r="J41" s="167">
        <v>0.34545228229535752</v>
      </c>
      <c r="K41" s="167">
        <v>0.43181535286919687</v>
      </c>
      <c r="L41" s="167">
        <v>0.51817842344303622</v>
      </c>
      <c r="M41" s="167">
        <v>0.60454149401687562</v>
      </c>
      <c r="N41" s="167">
        <v>0.69090456459071503</v>
      </c>
    </row>
    <row r="42" spans="1:15" s="1450" customFormat="1" ht="15.75" x14ac:dyDescent="0.25">
      <c r="B42" s="397"/>
      <c r="C42" s="1414">
        <v>3</v>
      </c>
      <c r="D42" s="1415" t="s">
        <v>377</v>
      </c>
      <c r="E42" s="488" t="s">
        <v>93</v>
      </c>
      <c r="F42" s="167">
        <v>0</v>
      </c>
      <c r="G42" s="167">
        <v>0.22022582996329046</v>
      </c>
      <c r="H42" s="167">
        <v>0.44045165992658092</v>
      </c>
      <c r="I42" s="167">
        <v>0.66067748988987141</v>
      </c>
      <c r="J42" s="167">
        <v>0.88090331985316184</v>
      </c>
      <c r="K42" s="167">
        <v>1.1011291498164522</v>
      </c>
      <c r="L42" s="167">
        <v>1.3213549797797428</v>
      </c>
      <c r="M42" s="167">
        <v>1.5415808097430332</v>
      </c>
      <c r="N42" s="167">
        <v>1.7618066397063237</v>
      </c>
    </row>
    <row r="43" spans="1:15" s="1450" customFormat="1" ht="15.75" x14ac:dyDescent="0.25">
      <c r="B43" s="397"/>
      <c r="C43" s="1412">
        <v>4</v>
      </c>
      <c r="D43" s="102" t="s">
        <v>377</v>
      </c>
      <c r="E43" s="102" t="s">
        <v>93</v>
      </c>
      <c r="F43" s="167">
        <v>0</v>
      </c>
      <c r="G43" s="167">
        <v>0.32386151465189772</v>
      </c>
      <c r="H43" s="167">
        <v>0.64772302930379544</v>
      </c>
      <c r="I43" s="167">
        <v>0.97158454395569327</v>
      </c>
      <c r="J43" s="167">
        <v>1.2954460586075909</v>
      </c>
      <c r="K43" s="167">
        <v>1.6193075732594886</v>
      </c>
      <c r="L43" s="167">
        <v>1.9431690879113863</v>
      </c>
      <c r="M43" s="167">
        <v>2.2670306025632838</v>
      </c>
      <c r="N43" s="167">
        <v>2.5908921172151818</v>
      </c>
    </row>
    <row r="44" spans="1:15" ht="15.75" x14ac:dyDescent="0.25">
      <c r="A44" s="959"/>
      <c r="B44" s="956"/>
      <c r="C44" s="957"/>
      <c r="D44" s="958"/>
      <c r="E44" s="958"/>
      <c r="F44" s="1083"/>
      <c r="G44" s="1083"/>
      <c r="H44" s="1083"/>
      <c r="I44" s="1083"/>
      <c r="J44" s="1083"/>
      <c r="K44" s="1083"/>
      <c r="L44" s="1083"/>
      <c r="M44" s="1083"/>
      <c r="N44" s="1083"/>
      <c r="O44" s="1232"/>
    </row>
    <row r="45" spans="1:15" ht="15.75" x14ac:dyDescent="0.25">
      <c r="B45" s="397"/>
      <c r="C45" s="175" t="s">
        <v>940</v>
      </c>
      <c r="D45" s="173"/>
      <c r="E45" s="176"/>
      <c r="F45" s="173"/>
      <c r="G45" s="173"/>
      <c r="H45" s="173"/>
      <c r="I45" s="173"/>
      <c r="J45" s="173"/>
      <c r="K45" s="173"/>
      <c r="L45" s="173"/>
      <c r="M45" s="173"/>
      <c r="N45" s="176" t="s">
        <v>621</v>
      </c>
      <c r="O45" s="1232"/>
    </row>
    <row r="46" spans="1:15" ht="5.25" customHeight="1" x14ac:dyDescent="0.25">
      <c r="B46" s="397"/>
      <c r="C46" s="173"/>
      <c r="D46" s="173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232"/>
    </row>
    <row r="47" spans="1:15" ht="15.75" x14ac:dyDescent="0.25">
      <c r="B47" s="397"/>
      <c r="C47" s="98" t="s">
        <v>595</v>
      </c>
      <c r="D47" s="98" t="s">
        <v>66</v>
      </c>
      <c r="E47" s="98" t="s">
        <v>172</v>
      </c>
      <c r="F47" s="218">
        <v>2010</v>
      </c>
      <c r="G47" s="217">
        <v>2015</v>
      </c>
      <c r="H47" s="217">
        <v>2020</v>
      </c>
      <c r="I47" s="217">
        <v>2025</v>
      </c>
      <c r="J47" s="217">
        <v>2030</v>
      </c>
      <c r="K47" s="217">
        <v>2035</v>
      </c>
      <c r="L47" s="217">
        <v>2040</v>
      </c>
      <c r="M47" s="217">
        <v>2045</v>
      </c>
      <c r="N47" s="217">
        <v>2050</v>
      </c>
      <c r="O47" s="1232"/>
    </row>
    <row r="48" spans="1:15" ht="15.75" x14ac:dyDescent="0.25">
      <c r="B48" s="397"/>
      <c r="C48" s="144">
        <v>1</v>
      </c>
      <c r="D48" s="145" t="s">
        <v>632</v>
      </c>
      <c r="E48" s="488" t="s">
        <v>93</v>
      </c>
      <c r="F48" s="167">
        <v>4.4899717846839735</v>
      </c>
      <c r="G48" s="160">
        <v>9.0565326269201911</v>
      </c>
      <c r="H48" s="160">
        <v>13.623093469156409</v>
      </c>
      <c r="I48" s="160">
        <v>18.189654311392626</v>
      </c>
      <c r="J48" s="160">
        <v>22.756215153628844</v>
      </c>
      <c r="K48" s="160">
        <v>27.322775995865062</v>
      </c>
      <c r="L48" s="160">
        <v>31.889336838101279</v>
      </c>
      <c r="M48" s="160">
        <v>36.455897680337493</v>
      </c>
      <c r="N48" s="160">
        <v>41.022458522573707</v>
      </c>
      <c r="O48" s="1232"/>
    </row>
    <row r="49" spans="2:15" ht="15.75" x14ac:dyDescent="0.25">
      <c r="B49" s="397"/>
      <c r="C49" s="144">
        <v>2</v>
      </c>
      <c r="D49" s="145" t="s">
        <v>632</v>
      </c>
      <c r="E49" s="488" t="s">
        <v>93</v>
      </c>
      <c r="F49" s="168">
        <v>4.4899717846839735</v>
      </c>
      <c r="G49" s="351">
        <v>7.005409700791505</v>
      </c>
      <c r="H49" s="160">
        <v>9.5208476168990366</v>
      </c>
      <c r="I49" s="351">
        <v>12.036285533006568</v>
      </c>
      <c r="J49" s="160">
        <v>14.5517234491141</v>
      </c>
      <c r="K49" s="351">
        <v>17.067161365221629</v>
      </c>
      <c r="L49" s="160">
        <v>19.582599281329159</v>
      </c>
      <c r="M49" s="160">
        <v>22.098037197436689</v>
      </c>
      <c r="N49" s="160">
        <v>24.613475113544222</v>
      </c>
      <c r="O49" s="1232"/>
    </row>
    <row r="50" spans="2:15" ht="15.75" x14ac:dyDescent="0.25">
      <c r="B50" s="397"/>
      <c r="C50" s="144">
        <v>3</v>
      </c>
      <c r="D50" s="145" t="s">
        <v>632</v>
      </c>
      <c r="E50" s="488" t="s">
        <v>93</v>
      </c>
      <c r="F50" s="1239">
        <v>4.4899717846839735</v>
      </c>
      <c r="G50" s="1240">
        <v>5.8233151723120784</v>
      </c>
      <c r="H50" s="1240">
        <v>7.1566585599401833</v>
      </c>
      <c r="I50" s="1240">
        <v>8.4900019475682882</v>
      </c>
      <c r="J50" s="1240">
        <v>9.8233453351963931</v>
      </c>
      <c r="K50" s="1240">
        <v>11.156688722824498</v>
      </c>
      <c r="L50" s="1240">
        <v>12.490032110452603</v>
      </c>
      <c r="M50" s="1240">
        <v>13.823375498080708</v>
      </c>
      <c r="N50" s="1240">
        <v>15.156718885708813</v>
      </c>
      <c r="O50" s="1232"/>
    </row>
    <row r="51" spans="2:15" ht="15.75" x14ac:dyDescent="0.25">
      <c r="B51" s="397"/>
      <c r="C51" s="101">
        <v>4</v>
      </c>
      <c r="D51" s="102" t="s">
        <v>632</v>
      </c>
      <c r="E51" s="102" t="s">
        <v>93</v>
      </c>
      <c r="F51" s="1241">
        <v>4.4899717846839735</v>
      </c>
      <c r="G51" s="1242">
        <v>4.8355375526237907</v>
      </c>
      <c r="H51" s="1242">
        <v>5.1811033205636079</v>
      </c>
      <c r="I51" s="1242">
        <v>5.5266690885034251</v>
      </c>
      <c r="J51" s="1242">
        <v>5.8722348564432423</v>
      </c>
      <c r="K51" s="1242">
        <v>6.2178006243830595</v>
      </c>
      <c r="L51" s="1242">
        <v>6.5633663923228767</v>
      </c>
      <c r="M51" s="1242">
        <v>6.9089321602626939</v>
      </c>
      <c r="N51" s="1242">
        <v>7.2544979282025093</v>
      </c>
      <c r="O51" s="1232"/>
    </row>
    <row r="52" spans="2:15" x14ac:dyDescent="0.2">
      <c r="B52" s="401"/>
      <c r="C52" s="144"/>
      <c r="D52" s="145"/>
      <c r="E52" s="145"/>
      <c r="F52" s="227"/>
      <c r="G52" s="227"/>
      <c r="H52" s="227"/>
      <c r="I52" s="227"/>
      <c r="J52" s="227"/>
      <c r="K52" s="227"/>
      <c r="L52" s="227"/>
      <c r="M52" s="227"/>
      <c r="N52" s="227"/>
      <c r="O52" s="1232"/>
    </row>
    <row r="53" spans="2:15" s="2370" customFormat="1" ht="15.75" x14ac:dyDescent="0.25">
      <c r="B53" s="397"/>
      <c r="C53" s="1417" t="s">
        <v>2304</v>
      </c>
      <c r="D53" s="1416"/>
      <c r="E53" s="176"/>
      <c r="F53" s="1416"/>
      <c r="G53" s="1416"/>
      <c r="H53" s="1416"/>
      <c r="I53" s="1416"/>
      <c r="J53" s="1416"/>
      <c r="K53" s="1416"/>
      <c r="L53" s="1416"/>
      <c r="M53" s="1416"/>
      <c r="N53" s="176" t="s">
        <v>621</v>
      </c>
    </row>
    <row r="54" spans="2:15" s="2370" customFormat="1" ht="5.25" customHeight="1" x14ac:dyDescent="0.25">
      <c r="B54" s="397"/>
      <c r="C54" s="1416"/>
      <c r="D54" s="1416"/>
      <c r="E54" s="1416"/>
      <c r="F54" s="1416"/>
      <c r="G54" s="1416"/>
      <c r="H54" s="1416"/>
      <c r="I54" s="1416"/>
      <c r="J54" s="1416"/>
      <c r="K54" s="1416"/>
      <c r="L54" s="1416"/>
      <c r="M54" s="1416"/>
      <c r="N54" s="1416"/>
    </row>
    <row r="55" spans="2:15" s="2370" customFormat="1" ht="15.75" x14ac:dyDescent="0.25">
      <c r="B55" s="397"/>
      <c r="C55" s="98" t="s">
        <v>595</v>
      </c>
      <c r="D55" s="98" t="s">
        <v>66</v>
      </c>
      <c r="E55" s="98" t="s">
        <v>172</v>
      </c>
      <c r="F55" s="218">
        <v>2010</v>
      </c>
      <c r="G55" s="217">
        <v>2015</v>
      </c>
      <c r="H55" s="217">
        <v>2020</v>
      </c>
      <c r="I55" s="217">
        <v>2025</v>
      </c>
      <c r="J55" s="217">
        <v>2030</v>
      </c>
      <c r="K55" s="217">
        <v>2035</v>
      </c>
      <c r="L55" s="217">
        <v>2040</v>
      </c>
      <c r="M55" s="217">
        <v>2045</v>
      </c>
      <c r="N55" s="217">
        <v>2050</v>
      </c>
    </row>
    <row r="56" spans="2:15" s="2370" customFormat="1" ht="15.75" x14ac:dyDescent="0.25">
      <c r="B56" s="397"/>
      <c r="C56" s="1414">
        <v>1</v>
      </c>
      <c r="D56" s="1415" t="s">
        <v>1216</v>
      </c>
      <c r="E56" s="488" t="s">
        <v>93</v>
      </c>
      <c r="F56" s="167">
        <v>0</v>
      </c>
      <c r="G56" s="160">
        <v>0</v>
      </c>
      <c r="H56" s="160">
        <v>0</v>
      </c>
      <c r="I56" s="160">
        <v>0</v>
      </c>
      <c r="J56" s="160">
        <v>0</v>
      </c>
      <c r="K56" s="160">
        <v>0</v>
      </c>
      <c r="L56" s="160">
        <v>0</v>
      </c>
      <c r="M56" s="160">
        <v>0</v>
      </c>
      <c r="N56" s="160">
        <v>0</v>
      </c>
    </row>
    <row r="57" spans="2:15" s="2370" customFormat="1" ht="15.75" x14ac:dyDescent="0.25">
      <c r="B57" s="397"/>
      <c r="C57" s="1414">
        <v>2</v>
      </c>
      <c r="D57" s="1415" t="s">
        <v>1216</v>
      </c>
      <c r="E57" s="488" t="s">
        <v>93</v>
      </c>
      <c r="F57" s="168">
        <v>0</v>
      </c>
      <c r="G57" s="351">
        <v>0.16193075732594886</v>
      </c>
      <c r="H57" s="160">
        <v>0.32386151465189772</v>
      </c>
      <c r="I57" s="351">
        <v>0.48579227197784658</v>
      </c>
      <c r="J57" s="160">
        <v>0.64772302930379544</v>
      </c>
      <c r="K57" s="351">
        <v>0.8096537866297443</v>
      </c>
      <c r="L57" s="160">
        <v>0.97158454395569316</v>
      </c>
      <c r="M57" s="160">
        <v>1.1335153012816419</v>
      </c>
      <c r="N57" s="160">
        <v>1.2954460586075909</v>
      </c>
    </row>
    <row r="58" spans="2:15" s="2370" customFormat="1" ht="15.75" x14ac:dyDescent="0.25">
      <c r="B58" s="397"/>
      <c r="C58" s="1414">
        <v>3</v>
      </c>
      <c r="D58" s="1415" t="s">
        <v>1216</v>
      </c>
      <c r="E58" s="488" t="s">
        <v>93</v>
      </c>
      <c r="F58" s="1239">
        <v>0</v>
      </c>
      <c r="G58" s="1240">
        <v>0.21050998452373348</v>
      </c>
      <c r="H58" s="1240">
        <v>0.42101996904746697</v>
      </c>
      <c r="I58" s="1240">
        <v>0.63152995357120045</v>
      </c>
      <c r="J58" s="1240">
        <v>0.84203993809493394</v>
      </c>
      <c r="K58" s="1240">
        <v>1.0525499226186674</v>
      </c>
      <c r="L58" s="1240">
        <v>1.2630599071424009</v>
      </c>
      <c r="M58" s="1240">
        <v>1.4735698916661344</v>
      </c>
      <c r="N58" s="1240">
        <v>1.6840798761898679</v>
      </c>
    </row>
    <row r="59" spans="2:15" s="2370" customFormat="1" ht="15.75" x14ac:dyDescent="0.25">
      <c r="B59" s="397"/>
      <c r="C59" s="1412">
        <v>4</v>
      </c>
      <c r="D59" s="102" t="s">
        <v>1216</v>
      </c>
      <c r="E59" s="102" t="s">
        <v>93</v>
      </c>
      <c r="F59" s="1241">
        <v>0</v>
      </c>
      <c r="G59" s="1242">
        <v>0.16193075732594886</v>
      </c>
      <c r="H59" s="1242">
        <v>0.32386151465189772</v>
      </c>
      <c r="I59" s="1242">
        <v>0.48579227197784658</v>
      </c>
      <c r="J59" s="1242">
        <v>0.64772302930379544</v>
      </c>
      <c r="K59" s="1242">
        <v>0.8096537866297443</v>
      </c>
      <c r="L59" s="1242">
        <v>0.97158454395569316</v>
      </c>
      <c r="M59" s="1242">
        <v>1.1335153012816419</v>
      </c>
      <c r="N59" s="1242">
        <v>1.2954460586075909</v>
      </c>
    </row>
    <row r="60" spans="2:15" s="2370" customFormat="1" x14ac:dyDescent="0.2">
      <c r="B60" s="401"/>
      <c r="C60" s="1414"/>
      <c r="D60" s="1415"/>
      <c r="E60" s="1415"/>
      <c r="F60" s="227"/>
      <c r="G60" s="227"/>
      <c r="H60" s="227"/>
      <c r="I60" s="227"/>
      <c r="J60" s="227"/>
      <c r="K60" s="227"/>
      <c r="L60" s="227"/>
      <c r="M60" s="227"/>
      <c r="N60" s="227"/>
    </row>
    <row r="61" spans="2:15" x14ac:dyDescent="0.2">
      <c r="B61" s="401"/>
      <c r="C61" s="175" t="s">
        <v>941</v>
      </c>
      <c r="D61" s="173"/>
      <c r="E61" s="176"/>
      <c r="F61" s="173"/>
      <c r="G61" s="173"/>
      <c r="H61" s="173"/>
      <c r="I61" s="173"/>
      <c r="J61" s="173"/>
      <c r="K61" s="173"/>
      <c r="L61" s="173"/>
      <c r="M61" s="173"/>
      <c r="N61" s="176" t="s">
        <v>621</v>
      </c>
      <c r="O61" s="1232"/>
    </row>
    <row r="62" spans="2:15" ht="5.25" customHeight="1" x14ac:dyDescent="0.2">
      <c r="B62" s="401"/>
      <c r="C62" s="173"/>
      <c r="D62" s="173"/>
      <c r="E62" s="173"/>
      <c r="F62" s="173"/>
      <c r="G62" s="173"/>
      <c r="H62" s="173"/>
      <c r="I62" s="173"/>
      <c r="J62" s="173"/>
      <c r="K62" s="173"/>
      <c r="L62" s="173"/>
      <c r="M62" s="173"/>
      <c r="N62" s="173"/>
      <c r="O62" s="1232"/>
    </row>
    <row r="63" spans="2:15" ht="15.75" x14ac:dyDescent="0.25">
      <c r="B63" s="397"/>
      <c r="C63" s="98" t="s">
        <v>595</v>
      </c>
      <c r="D63" s="98" t="s">
        <v>66</v>
      </c>
      <c r="E63" s="98" t="s">
        <v>172</v>
      </c>
      <c r="F63" s="218">
        <v>2010</v>
      </c>
      <c r="G63" s="217">
        <v>2015</v>
      </c>
      <c r="H63" s="217">
        <v>2020</v>
      </c>
      <c r="I63" s="217">
        <v>2025</v>
      </c>
      <c r="J63" s="217">
        <v>2030</v>
      </c>
      <c r="K63" s="217">
        <v>2035</v>
      </c>
      <c r="L63" s="217">
        <v>2040</v>
      </c>
      <c r="M63" s="217">
        <v>2045</v>
      </c>
      <c r="N63" s="217">
        <v>2050</v>
      </c>
      <c r="O63" s="1232"/>
    </row>
    <row r="64" spans="2:15" ht="15.75" x14ac:dyDescent="0.25">
      <c r="B64" s="397"/>
      <c r="C64" s="144">
        <v>1</v>
      </c>
      <c r="D64" s="145" t="s">
        <v>377</v>
      </c>
      <c r="E64" s="488" t="s">
        <v>93</v>
      </c>
      <c r="F64" s="167">
        <v>0</v>
      </c>
      <c r="G64" s="160">
        <v>0</v>
      </c>
      <c r="H64" s="160">
        <v>0</v>
      </c>
      <c r="I64" s="160">
        <v>0</v>
      </c>
      <c r="J64" s="160">
        <v>0</v>
      </c>
      <c r="K64" s="160">
        <v>0</v>
      </c>
      <c r="L64" s="160">
        <v>0</v>
      </c>
      <c r="M64" s="160">
        <v>0</v>
      </c>
      <c r="N64" s="160">
        <v>0</v>
      </c>
      <c r="O64" s="1232"/>
    </row>
    <row r="65" spans="2:15" ht="15.75" x14ac:dyDescent="0.25">
      <c r="B65" s="397"/>
      <c r="C65" s="144">
        <v>2</v>
      </c>
      <c r="D65" s="145" t="s">
        <v>377</v>
      </c>
      <c r="E65" s="488" t="s">
        <v>93</v>
      </c>
      <c r="F65" s="168">
        <v>0</v>
      </c>
      <c r="G65" s="351">
        <v>0</v>
      </c>
      <c r="H65" s="160">
        <v>0</v>
      </c>
      <c r="I65" s="351">
        <v>0</v>
      </c>
      <c r="J65" s="160">
        <v>0</v>
      </c>
      <c r="K65" s="351">
        <v>0</v>
      </c>
      <c r="L65" s="160">
        <v>0</v>
      </c>
      <c r="M65" s="160">
        <v>0</v>
      </c>
      <c r="N65" s="160">
        <v>0</v>
      </c>
      <c r="O65" s="1232"/>
    </row>
    <row r="66" spans="2:15" ht="15.75" x14ac:dyDescent="0.25">
      <c r="B66" s="397"/>
      <c r="C66" s="144">
        <v>3</v>
      </c>
      <c r="D66" s="145" t="s">
        <v>377</v>
      </c>
      <c r="E66" s="488" t="s">
        <v>93</v>
      </c>
      <c r="F66" s="168">
        <v>0</v>
      </c>
      <c r="G66" s="351">
        <v>0</v>
      </c>
      <c r="H66" s="351">
        <v>0</v>
      </c>
      <c r="I66" s="351">
        <v>0</v>
      </c>
      <c r="J66" s="351">
        <v>0</v>
      </c>
      <c r="K66" s="351">
        <v>0</v>
      </c>
      <c r="L66" s="351">
        <v>0</v>
      </c>
      <c r="M66" s="351">
        <v>0</v>
      </c>
      <c r="N66" s="351">
        <v>0</v>
      </c>
      <c r="O66" s="1232"/>
    </row>
    <row r="67" spans="2:15" ht="15.75" x14ac:dyDescent="0.25">
      <c r="B67" s="397"/>
      <c r="C67" s="101">
        <v>4</v>
      </c>
      <c r="D67" s="102" t="s">
        <v>377</v>
      </c>
      <c r="E67" s="102" t="s">
        <v>93</v>
      </c>
      <c r="F67" s="169">
        <v>0</v>
      </c>
      <c r="G67" s="170">
        <v>1.0795383821729964E-2</v>
      </c>
      <c r="H67" s="170">
        <v>2.1590767643459928E-2</v>
      </c>
      <c r="I67" s="170">
        <v>3.2386151465189889E-2</v>
      </c>
      <c r="J67" s="170">
        <v>4.3181535286919856E-2</v>
      </c>
      <c r="K67" s="170">
        <v>5.3976919108649823E-2</v>
      </c>
      <c r="L67" s="170">
        <v>6.4772302930379791E-2</v>
      </c>
      <c r="M67" s="170">
        <v>7.5567686752109758E-2</v>
      </c>
      <c r="N67" s="170">
        <v>8.6363070573839712E-2</v>
      </c>
      <c r="O67" s="1232"/>
    </row>
    <row r="68" spans="2:15" s="1231" customFormat="1" ht="15.75" x14ac:dyDescent="0.25">
      <c r="B68" s="397"/>
      <c r="C68" s="144"/>
      <c r="D68" s="145"/>
      <c r="E68" s="145"/>
      <c r="F68" s="351"/>
      <c r="G68" s="351"/>
      <c r="H68" s="351"/>
      <c r="I68" s="351"/>
      <c r="J68" s="351"/>
      <c r="K68" s="351"/>
      <c r="L68" s="351"/>
      <c r="M68" s="351"/>
      <c r="N68" s="351"/>
      <c r="O68" s="1232"/>
    </row>
    <row r="69" spans="2:15" x14ac:dyDescent="0.2">
      <c r="B69" s="401"/>
      <c r="C69" s="175" t="s">
        <v>1155</v>
      </c>
      <c r="D69" s="173"/>
      <c r="E69" s="176"/>
      <c r="F69" s="173"/>
      <c r="G69" s="173"/>
      <c r="H69" s="173"/>
      <c r="I69" s="173"/>
      <c r="J69" s="173"/>
      <c r="K69" s="173"/>
      <c r="L69" s="173"/>
      <c r="M69" s="173"/>
      <c r="N69" s="176" t="str">
        <f>Preferences.EnergyUnits &amp; " / bn vehicle-km"</f>
        <v>TWh / bn vehicle-km</v>
      </c>
      <c r="O69" s="1232"/>
    </row>
    <row r="70" spans="2:15" ht="5.25" customHeight="1" x14ac:dyDescent="0.2">
      <c r="B70" s="401"/>
      <c r="C70" s="173"/>
      <c r="D70" s="173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232"/>
    </row>
    <row r="71" spans="2:15" ht="15.75" x14ac:dyDescent="0.25">
      <c r="B71" s="397"/>
      <c r="C71" s="98" t="s">
        <v>595</v>
      </c>
      <c r="D71" s="98" t="s">
        <v>66</v>
      </c>
      <c r="E71" s="98" t="s">
        <v>172</v>
      </c>
      <c r="F71" s="218">
        <v>2010</v>
      </c>
      <c r="G71" s="217">
        <v>2015</v>
      </c>
      <c r="H71" s="217">
        <v>2020</v>
      </c>
      <c r="I71" s="217">
        <v>2025</v>
      </c>
      <c r="J71" s="217">
        <v>2030</v>
      </c>
      <c r="K71" s="217">
        <v>2035</v>
      </c>
      <c r="L71" s="217">
        <v>2040</v>
      </c>
      <c r="M71" s="217">
        <v>2045</v>
      </c>
      <c r="N71" s="217">
        <v>2050</v>
      </c>
      <c r="O71" s="1232"/>
    </row>
    <row r="72" spans="2:15" ht="15.75" x14ac:dyDescent="0.25">
      <c r="B72" s="397"/>
      <c r="C72" s="144">
        <v>1</v>
      </c>
      <c r="D72" s="145" t="s">
        <v>193</v>
      </c>
      <c r="E72" s="488" t="s">
        <v>2310</v>
      </c>
      <c r="F72" s="204">
        <f>(Unit.TJ)*11662*1.3</f>
        <v>4.2112777777777781</v>
      </c>
      <c r="G72" s="981">
        <f>F72+(H72-F72)/(H$71-F$71)*(G$71-F$71)</f>
        <v>4.1887083333333335</v>
      </c>
      <c r="H72" s="506">
        <f>(Unit.TJ)*11537*1.3</f>
        <v>4.1661388888888888</v>
      </c>
      <c r="I72" s="981">
        <f>H72+(J72-H72)/(J$71-H$71)*(I$71-H$71)</f>
        <v>4.1435694444444451</v>
      </c>
      <c r="J72" s="506">
        <f>(Unit.TJ)*11412*1.3</f>
        <v>4.1210000000000004</v>
      </c>
      <c r="K72" s="981">
        <f>J72+(L72-J72)/(L$71-J$71)*(K$71-J$71)</f>
        <v>4.1210000000000004</v>
      </c>
      <c r="L72" s="506">
        <f>(Unit.TJ)*11412*1.3</f>
        <v>4.1210000000000004</v>
      </c>
      <c r="M72" s="981">
        <f>L72+(N72-L72)/(N$71-L$71)*(M$71-L$71)</f>
        <v>4.1210000000000004</v>
      </c>
      <c r="N72" s="506">
        <f>(Unit.TJ)*11412*1.3</f>
        <v>4.1210000000000004</v>
      </c>
    </row>
    <row r="73" spans="2:15" ht="15.75" x14ac:dyDescent="0.25">
      <c r="B73" s="397"/>
      <c r="C73" s="144">
        <v>2</v>
      </c>
      <c r="D73" s="145" t="s">
        <v>193</v>
      </c>
      <c r="E73" s="488" t="s">
        <v>2310</v>
      </c>
      <c r="F73" s="204">
        <f>(Unit.TJ)*11662*1.3</f>
        <v>4.2112777777777781</v>
      </c>
      <c r="G73" s="998">
        <f t="shared" ref="G73:I75" si="1">F73+(H73-F73)/(H$71-F$71)*(G$71-F$71)</f>
        <v>3.8494444444444449</v>
      </c>
      <c r="H73" s="506">
        <f>(Unit.TJ)*9658*1.3</f>
        <v>3.4876111111111112</v>
      </c>
      <c r="I73" s="998">
        <f t="shared" si="1"/>
        <v>3.125777777777778</v>
      </c>
      <c r="J73" s="506">
        <f>(Unit.TJ)*7654*1.3</f>
        <v>2.7639444444444448</v>
      </c>
      <c r="K73" s="998">
        <f>J73+(L73-J73)/(L$71-J$71)*(K$71-J$71)</f>
        <v>2.7639444444444448</v>
      </c>
      <c r="L73" s="506">
        <f>(Unit.TJ)*7654*1.3</f>
        <v>2.7639444444444448</v>
      </c>
      <c r="M73" s="998">
        <f>L73+(N73-L73)/(N$71-L$71)*(M$71-L$71)</f>
        <v>2.7639444444444448</v>
      </c>
      <c r="N73" s="506">
        <f>(Unit.TJ)*7654*1.3</f>
        <v>2.7639444444444448</v>
      </c>
    </row>
    <row r="74" spans="2:15" ht="15.75" x14ac:dyDescent="0.25">
      <c r="B74" s="397"/>
      <c r="C74" s="144">
        <v>3</v>
      </c>
      <c r="D74" s="145" t="s">
        <v>193</v>
      </c>
      <c r="E74" s="488" t="s">
        <v>2310</v>
      </c>
      <c r="F74" s="204">
        <f>(Unit.TJ)*11662*1.3</f>
        <v>4.2112777777777781</v>
      </c>
      <c r="G74" s="998">
        <f t="shared" si="1"/>
        <v>3.6629305555555556</v>
      </c>
      <c r="H74" s="724">
        <f>(Unit.TJ)*8625*1.3</f>
        <v>3.1145833333333335</v>
      </c>
      <c r="I74" s="998">
        <f t="shared" si="1"/>
        <v>2.5662361111111114</v>
      </c>
      <c r="J74" s="724">
        <f>(Unit.TJ)*5588*1.3</f>
        <v>2.0178888888888888</v>
      </c>
      <c r="K74" s="998">
        <f>J74+(L74-J74)/(L$71-J$71)*(K$71-J$71)</f>
        <v>2.0077777777777777</v>
      </c>
      <c r="L74" s="724">
        <f>(Unit.TJ)*5532*1.3</f>
        <v>1.9976666666666667</v>
      </c>
      <c r="M74" s="998">
        <f>L74+(N74-L74)/(N$71-L$71)*(M$71-L$71)</f>
        <v>1.9875555555555557</v>
      </c>
      <c r="N74" s="724">
        <f>(Unit.TJ)*5476*1.3</f>
        <v>1.9774444444444446</v>
      </c>
    </row>
    <row r="75" spans="2:15" ht="15.75" x14ac:dyDescent="0.25">
      <c r="B75" s="397"/>
      <c r="C75" s="101">
        <v>4</v>
      </c>
      <c r="D75" s="102" t="s">
        <v>193</v>
      </c>
      <c r="E75" s="102" t="s">
        <v>2310</v>
      </c>
      <c r="F75" s="727">
        <f>(Unit.TJ)*11662*1.3</f>
        <v>4.2112777777777781</v>
      </c>
      <c r="G75" s="1084">
        <f t="shared" si="1"/>
        <v>3.6629305555555556</v>
      </c>
      <c r="H75" s="726">
        <f>(Unit.TJ)*8625*1.3</f>
        <v>3.1145833333333335</v>
      </c>
      <c r="I75" s="1084">
        <f t="shared" si="1"/>
        <v>2.5662361111111114</v>
      </c>
      <c r="J75" s="726">
        <f>(Unit.TJ)*5588*1.3</f>
        <v>2.0178888888888888</v>
      </c>
      <c r="K75" s="1084">
        <f>J75+(L75-J75)/(L$71-J$71)*(K$71-J$71)</f>
        <v>1.9480138888888889</v>
      </c>
      <c r="L75" s="726">
        <f>(Unit.TJ)*5201*1.3</f>
        <v>1.878138888888889</v>
      </c>
      <c r="M75" s="1084">
        <f>L75+(N75-L75)/(N$71-L$71)*(M$71-L$71)</f>
        <v>1.8084444444444445</v>
      </c>
      <c r="N75" s="726">
        <f>(Unit.TJ)*4815*1.3</f>
        <v>1.73875</v>
      </c>
    </row>
    <row r="76" spans="2:15" x14ac:dyDescent="0.2">
      <c r="B76" s="401"/>
      <c r="C76" s="144"/>
      <c r="D76" s="145"/>
      <c r="E76" s="145"/>
      <c r="F76" s="227"/>
      <c r="G76" s="227"/>
      <c r="H76" s="227"/>
      <c r="I76" s="227"/>
      <c r="J76" s="227"/>
      <c r="K76" s="227"/>
      <c r="L76" s="227"/>
      <c r="M76" s="227"/>
      <c r="N76" s="227"/>
    </row>
    <row r="77" spans="2:15" s="2370" customFormat="1" x14ac:dyDescent="0.2">
      <c r="B77" s="401"/>
      <c r="C77" s="1414"/>
      <c r="D77" s="1415"/>
      <c r="E77" s="1415"/>
      <c r="F77" s="227"/>
      <c r="G77" s="227"/>
      <c r="H77" s="227"/>
      <c r="I77" s="227"/>
      <c r="J77" s="227"/>
      <c r="K77" s="227"/>
      <c r="L77" s="227"/>
      <c r="M77" s="227"/>
      <c r="N77" s="227"/>
    </row>
    <row r="78" spans="2:15" s="2370" customFormat="1" x14ac:dyDescent="0.2">
      <c r="B78" s="401"/>
      <c r="C78" s="1417" t="s">
        <v>2305</v>
      </c>
      <c r="D78" s="1416"/>
      <c r="E78" s="176"/>
      <c r="F78" s="1416"/>
      <c r="G78" s="1416"/>
      <c r="H78" s="1416"/>
      <c r="I78" s="1416"/>
      <c r="J78" s="1416"/>
      <c r="K78" s="1416"/>
      <c r="L78" s="1416"/>
      <c r="M78" s="1416"/>
      <c r="N78" s="176" t="str">
        <f>Preferences.EnergyUnits &amp; " / bn vehicle-km"</f>
        <v>TWh / bn vehicle-km</v>
      </c>
    </row>
    <row r="79" spans="2:15" s="2370" customFormat="1" ht="5.25" customHeight="1" x14ac:dyDescent="0.2">
      <c r="B79" s="401"/>
      <c r="C79" s="1416"/>
      <c r="D79" s="1416"/>
      <c r="E79" s="1416"/>
      <c r="F79" s="1416"/>
      <c r="G79" s="1416"/>
      <c r="H79" s="1416"/>
      <c r="I79" s="1416"/>
      <c r="J79" s="1416"/>
      <c r="K79" s="1416"/>
      <c r="L79" s="1416"/>
      <c r="M79" s="1416"/>
      <c r="N79" s="1416"/>
    </row>
    <row r="80" spans="2:15" s="2370" customFormat="1" ht="15.75" x14ac:dyDescent="0.25">
      <c r="B80" s="397"/>
      <c r="C80" s="98" t="s">
        <v>595</v>
      </c>
      <c r="D80" s="98" t="s">
        <v>66</v>
      </c>
      <c r="E80" s="98" t="s">
        <v>172</v>
      </c>
      <c r="F80" s="218">
        <v>2010</v>
      </c>
      <c r="G80" s="217">
        <v>2015</v>
      </c>
      <c r="H80" s="217">
        <v>2020</v>
      </c>
      <c r="I80" s="217">
        <v>2025</v>
      </c>
      <c r="J80" s="217">
        <v>2030</v>
      </c>
      <c r="K80" s="217">
        <v>2035</v>
      </c>
      <c r="L80" s="217">
        <v>2040</v>
      </c>
      <c r="M80" s="217">
        <v>2045</v>
      </c>
      <c r="N80" s="217">
        <v>2050</v>
      </c>
    </row>
    <row r="81" spans="2:14" s="2370" customFormat="1" ht="15.75" x14ac:dyDescent="0.25">
      <c r="B81" s="397"/>
      <c r="C81" s="1414">
        <v>1</v>
      </c>
      <c r="D81" s="1415" t="s">
        <v>1216</v>
      </c>
      <c r="E81" s="488" t="s">
        <v>2311</v>
      </c>
      <c r="F81" s="204">
        <f>(Unit.TJ)*11662</f>
        <v>3.2394444444444446</v>
      </c>
      <c r="G81" s="981">
        <f>F81+(H81-F81)/(H$71-F$71)*(G$71-F$71)</f>
        <v>3.2220833333333334</v>
      </c>
      <c r="H81" s="506">
        <f>(Unit.TJ)*11537</f>
        <v>3.2047222222222222</v>
      </c>
      <c r="I81" s="981">
        <f>H81+(J81-H81)/(J$71-H$71)*(I$71-H$71)</f>
        <v>3.1873611111111111</v>
      </c>
      <c r="J81" s="506">
        <f>(Unit.TJ)*11412</f>
        <v>3.17</v>
      </c>
      <c r="K81" s="981">
        <f>J81+(L81-J81)/(L$71-J$71)*(K$71-J$71)</f>
        <v>3.17</v>
      </c>
      <c r="L81" s="506">
        <f>(Unit.TJ)*11412</f>
        <v>3.17</v>
      </c>
      <c r="M81" s="981">
        <f>L81+(N81-L81)/(N$71-L$71)*(M$71-L$71)</f>
        <v>3.17</v>
      </c>
      <c r="N81" s="506">
        <f>(Unit.TJ)*11412</f>
        <v>3.17</v>
      </c>
    </row>
    <row r="82" spans="2:14" s="2370" customFormat="1" ht="15.75" x14ac:dyDescent="0.25">
      <c r="B82" s="397"/>
      <c r="C82" s="1414">
        <v>2</v>
      </c>
      <c r="D82" s="1415" t="s">
        <v>1216</v>
      </c>
      <c r="E82" s="488" t="s">
        <v>2311</v>
      </c>
      <c r="F82" s="725">
        <f>(Unit.TJ)*11662</f>
        <v>3.2394444444444446</v>
      </c>
      <c r="G82" s="998">
        <f>F82+(H82-F82)/(H$71-F$71)*(G$71-F$71)</f>
        <v>2.9611111111111112</v>
      </c>
      <c r="H82" s="506">
        <f>(Unit.TJ)*9658</f>
        <v>2.6827777777777779</v>
      </c>
      <c r="I82" s="998">
        <f>H82+(J82-H82)/(J$71-H$71)*(I$71-H$71)</f>
        <v>2.4044444444444446</v>
      </c>
      <c r="J82" s="506">
        <f>(Unit.TJ)*7654</f>
        <v>2.1261111111111113</v>
      </c>
      <c r="K82" s="998">
        <f>J82+(L82-J82)/(L$71-J$71)*(K$71-J$71)</f>
        <v>2.1261111111111113</v>
      </c>
      <c r="L82" s="506">
        <f>(Unit.TJ)*7654</f>
        <v>2.1261111111111113</v>
      </c>
      <c r="M82" s="998">
        <f>L82+(N82-L82)/(N$71-L$71)*(M$71-L$71)</f>
        <v>2.1261111111111113</v>
      </c>
      <c r="N82" s="506">
        <f>(Unit.TJ)*7654</f>
        <v>2.1261111111111113</v>
      </c>
    </row>
    <row r="83" spans="2:14" s="2370" customFormat="1" ht="15.75" x14ac:dyDescent="0.25">
      <c r="B83" s="397"/>
      <c r="C83" s="1414">
        <v>3</v>
      </c>
      <c r="D83" s="1415" t="s">
        <v>1216</v>
      </c>
      <c r="E83" s="488" t="s">
        <v>2311</v>
      </c>
      <c r="F83" s="725">
        <f>(Unit.TJ)*11662</f>
        <v>3.2394444444444446</v>
      </c>
      <c r="G83" s="998">
        <f>F83+(H83-F83)/(H$71-F$71)*(G$71-F$71)</f>
        <v>2.8176388888888892</v>
      </c>
      <c r="H83" s="724">
        <f>(Unit.TJ)*8625</f>
        <v>2.3958333333333335</v>
      </c>
      <c r="I83" s="998">
        <f>H83+(J83-H83)/(J$71-H$71)*(I$71-H$71)</f>
        <v>1.9740277777777777</v>
      </c>
      <c r="J83" s="724">
        <f>(Unit.TJ)*5588</f>
        <v>1.5522222222222222</v>
      </c>
      <c r="K83" s="998">
        <f>J83+(L83-J83)/(L$71-J$71)*(K$71-J$71)</f>
        <v>1.5444444444444443</v>
      </c>
      <c r="L83" s="724">
        <f>(Unit.TJ)*5532</f>
        <v>1.5366666666666666</v>
      </c>
      <c r="M83" s="998">
        <f>L83+(N83-L83)/(N$71-L$71)*(M$71-L$71)</f>
        <v>1.528888888888889</v>
      </c>
      <c r="N83" s="724">
        <f>(Unit.TJ)*5476</f>
        <v>1.5211111111111111</v>
      </c>
    </row>
    <row r="84" spans="2:14" s="2370" customFormat="1" ht="15.75" x14ac:dyDescent="0.25">
      <c r="B84" s="397"/>
      <c r="C84" s="1412">
        <v>4</v>
      </c>
      <c r="D84" s="102" t="s">
        <v>1216</v>
      </c>
      <c r="E84" s="102" t="s">
        <v>2311</v>
      </c>
      <c r="F84" s="727">
        <f>(Unit.TJ)*11662</f>
        <v>3.2394444444444446</v>
      </c>
      <c r="G84" s="1084">
        <f>F84+(H84-F84)/(H$71-F$71)*(G$71-F$71)</f>
        <v>2.8176388888888892</v>
      </c>
      <c r="H84" s="726">
        <f>(Unit.TJ)*8625</f>
        <v>2.3958333333333335</v>
      </c>
      <c r="I84" s="1084">
        <f>H84+(J84-H84)/(J$71-H$71)*(I$71-H$71)</f>
        <v>1.9740277777777777</v>
      </c>
      <c r="J84" s="726">
        <f>(Unit.TJ)*5588</f>
        <v>1.5522222222222222</v>
      </c>
      <c r="K84" s="1084">
        <f>J84+(L84-J84)/(L$71-J$71)*(K$71-J$71)</f>
        <v>1.4984722222222222</v>
      </c>
      <c r="L84" s="726">
        <f>(Unit.TJ)*5201</f>
        <v>1.4447222222222222</v>
      </c>
      <c r="M84" s="1084">
        <f>L84+(N84-L84)/(N$71-L$71)*(M$71-L$71)</f>
        <v>1.391111111111111</v>
      </c>
      <c r="N84" s="726">
        <f>(Unit.TJ)*4815</f>
        <v>1.3374999999999999</v>
      </c>
    </row>
    <row r="85" spans="2:14" s="2370" customFormat="1" x14ac:dyDescent="0.2">
      <c r="B85" s="401"/>
      <c r="C85" s="1414"/>
      <c r="D85" s="1415"/>
      <c r="E85" s="1415"/>
      <c r="F85" s="227"/>
      <c r="G85" s="227"/>
      <c r="H85" s="227"/>
      <c r="I85" s="227"/>
      <c r="J85" s="227"/>
      <c r="K85" s="227"/>
      <c r="L85" s="227"/>
      <c r="M85" s="227"/>
      <c r="N85" s="227"/>
    </row>
    <row r="86" spans="2:14" s="2370" customFormat="1" x14ac:dyDescent="0.2">
      <c r="B86" s="401"/>
      <c r="C86" s="1414"/>
      <c r="D86" s="1415"/>
      <c r="E86" s="1415"/>
      <c r="F86" s="227"/>
      <c r="G86" s="227"/>
      <c r="H86" s="227"/>
      <c r="I86" s="227"/>
      <c r="J86" s="227"/>
      <c r="K86" s="227"/>
      <c r="L86" s="227"/>
      <c r="M86" s="227"/>
      <c r="N86" s="227"/>
    </row>
    <row r="87" spans="2:14" x14ac:dyDescent="0.2">
      <c r="B87" s="401"/>
      <c r="C87" s="175" t="s">
        <v>1156</v>
      </c>
      <c r="D87" s="173"/>
      <c r="E87" s="176"/>
      <c r="F87" s="173"/>
      <c r="G87" s="173"/>
      <c r="H87" s="173"/>
      <c r="I87" s="173"/>
      <c r="J87" s="173"/>
      <c r="K87" s="173"/>
      <c r="L87" s="173"/>
      <c r="M87" s="173"/>
      <c r="N87" s="176" t="str">
        <f>Preferences.EnergyUnits &amp; " / bn vehicle-km"</f>
        <v>TWh / bn vehicle-km</v>
      </c>
    </row>
    <row r="88" spans="2:14" ht="5.25" customHeight="1" x14ac:dyDescent="0.2">
      <c r="B88" s="401"/>
      <c r="C88" s="173"/>
      <c r="D88" s="173"/>
      <c r="E88" s="173"/>
      <c r="F88" s="173"/>
      <c r="G88" s="173"/>
      <c r="H88" s="173"/>
      <c r="I88" s="173"/>
      <c r="J88" s="173"/>
      <c r="K88" s="173"/>
      <c r="L88" s="173"/>
      <c r="M88" s="173"/>
      <c r="N88" s="173"/>
    </row>
    <row r="89" spans="2:14" ht="15.75" x14ac:dyDescent="0.25">
      <c r="B89" s="397"/>
      <c r="C89" s="98" t="s">
        <v>595</v>
      </c>
      <c r="D89" s="98" t="s">
        <v>66</v>
      </c>
      <c r="E89" s="98" t="s">
        <v>172</v>
      </c>
      <c r="F89" s="218">
        <v>2010</v>
      </c>
      <c r="G89" s="217">
        <v>2015</v>
      </c>
      <c r="H89" s="217">
        <v>2020</v>
      </c>
      <c r="I89" s="217">
        <v>2025</v>
      </c>
      <c r="J89" s="217">
        <v>2030</v>
      </c>
      <c r="K89" s="217">
        <v>2035</v>
      </c>
      <c r="L89" s="217">
        <v>2040</v>
      </c>
      <c r="M89" s="217">
        <v>2045</v>
      </c>
      <c r="N89" s="217">
        <v>2050</v>
      </c>
    </row>
    <row r="90" spans="2:14" ht="15.75" x14ac:dyDescent="0.25">
      <c r="B90" s="397"/>
      <c r="C90" s="144">
        <v>1</v>
      </c>
      <c r="D90" s="145" t="s">
        <v>377</v>
      </c>
      <c r="E90" s="488" t="s">
        <v>2315</v>
      </c>
      <c r="F90" s="204">
        <f>F$72*0.24</f>
        <v>1.0107066666666666</v>
      </c>
      <c r="G90" s="506">
        <f>G$72*0.24</f>
        <v>1.00529</v>
      </c>
      <c r="H90" s="506">
        <f t="shared" ref="H90:N90" si="2">H$72*0.24</f>
        <v>0.99987333333333328</v>
      </c>
      <c r="I90" s="506">
        <f t="shared" si="2"/>
        <v>0.99445666666666677</v>
      </c>
      <c r="J90" s="506">
        <f t="shared" si="2"/>
        <v>0.98904000000000003</v>
      </c>
      <c r="K90" s="506">
        <f t="shared" si="2"/>
        <v>0.98904000000000003</v>
      </c>
      <c r="L90" s="506">
        <f t="shared" si="2"/>
        <v>0.98904000000000003</v>
      </c>
      <c r="M90" s="506">
        <f t="shared" si="2"/>
        <v>0.98904000000000003</v>
      </c>
      <c r="N90" s="506">
        <f t="shared" si="2"/>
        <v>0.98904000000000003</v>
      </c>
    </row>
    <row r="91" spans="2:14" ht="15.75" x14ac:dyDescent="0.25">
      <c r="B91" s="397"/>
      <c r="C91" s="144">
        <v>2</v>
      </c>
      <c r="D91" s="145" t="s">
        <v>377</v>
      </c>
      <c r="E91" s="488" t="s">
        <v>2315</v>
      </c>
      <c r="F91" s="204">
        <f t="shared" ref="F91:N93" si="3">F$72*0.24</f>
        <v>1.0107066666666666</v>
      </c>
      <c r="G91" s="724">
        <f t="shared" si="3"/>
        <v>1.00529</v>
      </c>
      <c r="H91" s="724">
        <f t="shared" si="3"/>
        <v>0.99987333333333328</v>
      </c>
      <c r="I91" s="724">
        <f t="shared" si="3"/>
        <v>0.99445666666666677</v>
      </c>
      <c r="J91" s="724">
        <f t="shared" si="3"/>
        <v>0.98904000000000003</v>
      </c>
      <c r="K91" s="724">
        <f t="shared" si="3"/>
        <v>0.98904000000000003</v>
      </c>
      <c r="L91" s="724">
        <f t="shared" si="3"/>
        <v>0.98904000000000003</v>
      </c>
      <c r="M91" s="724">
        <f t="shared" si="3"/>
        <v>0.98904000000000003</v>
      </c>
      <c r="N91" s="724">
        <f t="shared" si="3"/>
        <v>0.98904000000000003</v>
      </c>
    </row>
    <row r="92" spans="2:14" ht="15.75" x14ac:dyDescent="0.25">
      <c r="B92" s="397"/>
      <c r="C92" s="144">
        <v>3</v>
      </c>
      <c r="D92" s="145" t="s">
        <v>377</v>
      </c>
      <c r="E92" s="488" t="s">
        <v>2315</v>
      </c>
      <c r="F92" s="204">
        <f t="shared" si="3"/>
        <v>1.0107066666666666</v>
      </c>
      <c r="G92" s="724">
        <f t="shared" si="3"/>
        <v>1.00529</v>
      </c>
      <c r="H92" s="724">
        <f t="shared" si="3"/>
        <v>0.99987333333333328</v>
      </c>
      <c r="I92" s="724">
        <f t="shared" si="3"/>
        <v>0.99445666666666677</v>
      </c>
      <c r="J92" s="724">
        <f t="shared" si="3"/>
        <v>0.98904000000000003</v>
      </c>
      <c r="K92" s="724">
        <f t="shared" si="3"/>
        <v>0.98904000000000003</v>
      </c>
      <c r="L92" s="724">
        <f t="shared" si="3"/>
        <v>0.98904000000000003</v>
      </c>
      <c r="M92" s="724">
        <f t="shared" si="3"/>
        <v>0.98904000000000003</v>
      </c>
      <c r="N92" s="724">
        <f t="shared" si="3"/>
        <v>0.98904000000000003</v>
      </c>
    </row>
    <row r="93" spans="2:14" ht="15.75" x14ac:dyDescent="0.25">
      <c r="B93" s="397"/>
      <c r="C93" s="101">
        <v>4</v>
      </c>
      <c r="D93" s="102" t="s">
        <v>377</v>
      </c>
      <c r="E93" s="102" t="s">
        <v>2315</v>
      </c>
      <c r="F93" s="727">
        <f t="shared" si="3"/>
        <v>1.0107066666666666</v>
      </c>
      <c r="G93" s="726">
        <f t="shared" si="3"/>
        <v>1.00529</v>
      </c>
      <c r="H93" s="726">
        <f t="shared" si="3"/>
        <v>0.99987333333333328</v>
      </c>
      <c r="I93" s="726">
        <f t="shared" si="3"/>
        <v>0.99445666666666677</v>
      </c>
      <c r="J93" s="726">
        <f t="shared" si="3"/>
        <v>0.98904000000000003</v>
      </c>
      <c r="K93" s="726">
        <f t="shared" si="3"/>
        <v>0.98904000000000003</v>
      </c>
      <c r="L93" s="726">
        <f t="shared" si="3"/>
        <v>0.98904000000000003</v>
      </c>
      <c r="M93" s="726">
        <f t="shared" si="3"/>
        <v>0.98904000000000003</v>
      </c>
      <c r="N93" s="726">
        <f t="shared" si="3"/>
        <v>0.98904000000000003</v>
      </c>
    </row>
    <row r="94" spans="2:14" s="1231" customFormat="1" ht="15.75" x14ac:dyDescent="0.25">
      <c r="B94" s="397"/>
      <c r="C94" s="144"/>
      <c r="D94" s="145"/>
      <c r="E94" s="145"/>
      <c r="F94" s="724"/>
      <c r="G94" s="724"/>
      <c r="H94" s="724"/>
      <c r="I94" s="724"/>
      <c r="J94" s="724"/>
      <c r="K94" s="724"/>
      <c r="L94" s="724"/>
      <c r="M94" s="724"/>
      <c r="N94" s="724"/>
    </row>
    <row r="95" spans="2:14" s="2370" customFormat="1" x14ac:dyDescent="0.2">
      <c r="B95" s="401"/>
      <c r="C95" s="1417" t="s">
        <v>2306</v>
      </c>
      <c r="D95" s="1416"/>
      <c r="E95" s="176"/>
      <c r="F95" s="1416"/>
      <c r="G95" s="1416"/>
      <c r="H95" s="1416"/>
      <c r="I95" s="1416"/>
      <c r="J95" s="1416"/>
      <c r="K95" s="1416"/>
      <c r="L95" s="1416"/>
      <c r="M95" s="1416"/>
      <c r="N95" s="176" t="s">
        <v>2309</v>
      </c>
    </row>
    <row r="96" spans="2:14" s="2370" customFormat="1" ht="5.25" customHeight="1" x14ac:dyDescent="0.2">
      <c r="B96" s="401"/>
      <c r="C96" s="1416"/>
      <c r="D96" s="1416"/>
      <c r="E96" s="1416"/>
      <c r="F96" s="1416"/>
      <c r="G96" s="1416"/>
      <c r="H96" s="1416"/>
      <c r="I96" s="1416"/>
      <c r="J96" s="1416"/>
      <c r="K96" s="1416"/>
      <c r="L96" s="1416"/>
      <c r="M96" s="1416"/>
      <c r="N96" s="1416"/>
    </row>
    <row r="97" spans="2:14" s="2370" customFormat="1" ht="15.75" x14ac:dyDescent="0.25">
      <c r="B97" s="397"/>
      <c r="C97" s="98" t="s">
        <v>595</v>
      </c>
      <c r="D97" s="98" t="s">
        <v>66</v>
      </c>
      <c r="E97" s="98" t="s">
        <v>172</v>
      </c>
      <c r="F97" s="218">
        <v>2010</v>
      </c>
      <c r="G97" s="217">
        <v>2015</v>
      </c>
      <c r="H97" s="217">
        <v>2020</v>
      </c>
      <c r="I97" s="217">
        <v>2025</v>
      </c>
      <c r="J97" s="217">
        <v>2030</v>
      </c>
      <c r="K97" s="217">
        <v>2035</v>
      </c>
      <c r="L97" s="217">
        <v>2040</v>
      </c>
      <c r="M97" s="217">
        <v>2045</v>
      </c>
      <c r="N97" s="217">
        <v>2050</v>
      </c>
    </row>
    <row r="98" spans="2:14" s="2370" customFormat="1" ht="15.75" x14ac:dyDescent="0.25">
      <c r="B98" s="397"/>
      <c r="C98" s="1414">
        <v>1</v>
      </c>
      <c r="D98" s="1415" t="s">
        <v>193</v>
      </c>
      <c r="E98" s="488"/>
      <c r="F98" s="2459">
        <v>0</v>
      </c>
      <c r="G98" s="2460">
        <v>0</v>
      </c>
      <c r="H98" s="2460">
        <v>0</v>
      </c>
      <c r="I98" s="2460">
        <v>0</v>
      </c>
      <c r="J98" s="2460">
        <v>0</v>
      </c>
      <c r="K98" s="2460">
        <v>0</v>
      </c>
      <c r="L98" s="2460">
        <v>0</v>
      </c>
      <c r="M98" s="2460">
        <v>0</v>
      </c>
      <c r="N98" s="2460">
        <v>0</v>
      </c>
    </row>
    <row r="99" spans="2:14" s="2370" customFormat="1" ht="15.75" x14ac:dyDescent="0.25">
      <c r="B99" s="397"/>
      <c r="C99" s="1414">
        <v>2</v>
      </c>
      <c r="D99" s="1415" t="s">
        <v>193</v>
      </c>
      <c r="E99" s="488"/>
      <c r="F99" s="2461">
        <v>0</v>
      </c>
      <c r="G99" s="2462">
        <v>0</v>
      </c>
      <c r="H99" s="2460">
        <v>0</v>
      </c>
      <c r="I99" s="2462">
        <v>0</v>
      </c>
      <c r="J99" s="2460">
        <v>0</v>
      </c>
      <c r="K99" s="2462">
        <v>0</v>
      </c>
      <c r="L99" s="2460">
        <v>0</v>
      </c>
      <c r="M99" s="2460">
        <v>0</v>
      </c>
      <c r="N99" s="2460">
        <v>0</v>
      </c>
    </row>
    <row r="100" spans="2:14" s="2370" customFormat="1" ht="15.75" x14ac:dyDescent="0.25">
      <c r="B100" s="397"/>
      <c r="C100" s="1414">
        <v>3</v>
      </c>
      <c r="D100" s="1415" t="s">
        <v>193</v>
      </c>
      <c r="E100" s="488"/>
      <c r="F100" s="2461">
        <v>0</v>
      </c>
      <c r="G100" s="2462">
        <v>5.1637500000000002E-4</v>
      </c>
      <c r="H100" s="2462">
        <v>1.03275E-3</v>
      </c>
      <c r="I100" s="2462">
        <v>1.5491250000000002E-3</v>
      </c>
      <c r="J100" s="2462">
        <v>2.0655000000000001E-3</v>
      </c>
      <c r="K100" s="2462">
        <v>2.581875E-3</v>
      </c>
      <c r="L100" s="2462">
        <v>3.0982499999999999E-3</v>
      </c>
      <c r="M100" s="2462">
        <v>3.6146249999999998E-3</v>
      </c>
      <c r="N100" s="2462">
        <v>4.1310000000000001E-3</v>
      </c>
    </row>
    <row r="101" spans="2:14" s="2370" customFormat="1" ht="15.75" x14ac:dyDescent="0.25">
      <c r="B101" s="397"/>
      <c r="C101" s="1412">
        <v>4</v>
      </c>
      <c r="D101" s="102" t="s">
        <v>193</v>
      </c>
      <c r="E101" s="102"/>
      <c r="F101" s="2463">
        <v>0</v>
      </c>
      <c r="G101" s="2464">
        <v>1.141875E-5</v>
      </c>
      <c r="H101" s="2464">
        <v>2.2837499999999999E-5</v>
      </c>
      <c r="I101" s="2464">
        <v>3.4256249999999996E-5</v>
      </c>
      <c r="J101" s="2464">
        <v>4.5674999999999999E-5</v>
      </c>
      <c r="K101" s="2464">
        <v>5.7093750000000002E-5</v>
      </c>
      <c r="L101" s="2464">
        <v>6.8512500000000005E-5</v>
      </c>
      <c r="M101" s="2464">
        <v>7.9931250000000008E-5</v>
      </c>
      <c r="N101" s="2464">
        <v>9.1349999999999998E-5</v>
      </c>
    </row>
    <row r="102" spans="2:14" s="2370" customFormat="1" x14ac:dyDescent="0.2">
      <c r="B102" s="401"/>
      <c r="C102" s="1414"/>
      <c r="D102" s="1415"/>
      <c r="E102" s="1415"/>
      <c r="F102" s="227"/>
      <c r="G102" s="227"/>
      <c r="H102" s="227"/>
      <c r="I102" s="227"/>
      <c r="J102" s="227"/>
      <c r="K102" s="227"/>
      <c r="L102" s="227"/>
      <c r="M102" s="227"/>
      <c r="N102" s="227"/>
    </row>
    <row r="103" spans="2:14" s="2370" customFormat="1" ht="15.75" x14ac:dyDescent="0.25">
      <c r="B103" s="397"/>
      <c r="C103" s="1414"/>
      <c r="D103" s="1415"/>
      <c r="E103" s="1415"/>
      <c r="F103" s="724"/>
      <c r="G103" s="724"/>
      <c r="H103" s="724"/>
      <c r="I103" s="724"/>
      <c r="J103" s="724"/>
      <c r="K103" s="724"/>
      <c r="L103" s="724"/>
      <c r="M103" s="724"/>
      <c r="N103" s="724"/>
    </row>
    <row r="104" spans="2:14" s="2370" customFormat="1" x14ac:dyDescent="0.2">
      <c r="B104" s="401"/>
      <c r="C104" s="1417" t="s">
        <v>2312</v>
      </c>
      <c r="D104" s="1416"/>
      <c r="E104" s="176"/>
      <c r="F104" s="1416"/>
      <c r="G104" s="1416"/>
      <c r="H104" s="1416"/>
      <c r="I104" s="1416"/>
      <c r="J104" s="1416"/>
      <c r="K104" s="1416"/>
      <c r="L104" s="1416"/>
      <c r="M104" s="1416"/>
      <c r="N104" s="176" t="s">
        <v>376</v>
      </c>
    </row>
    <row r="105" spans="2:14" s="2370" customFormat="1" ht="5.25" customHeight="1" x14ac:dyDescent="0.2">
      <c r="B105" s="401"/>
      <c r="C105" s="1416"/>
      <c r="D105" s="1416"/>
      <c r="E105" s="1416"/>
      <c r="F105" s="1416"/>
      <c r="G105" s="1416"/>
      <c r="H105" s="1416"/>
      <c r="I105" s="1416"/>
      <c r="J105" s="1416"/>
      <c r="K105" s="1416"/>
      <c r="L105" s="1416"/>
      <c r="M105" s="1416"/>
      <c r="N105" s="1416"/>
    </row>
    <row r="106" spans="2:14" s="2370" customFormat="1" ht="15.75" x14ac:dyDescent="0.25">
      <c r="B106" s="397"/>
      <c r="C106" s="98" t="s">
        <v>595</v>
      </c>
      <c r="D106" s="98" t="s">
        <v>66</v>
      </c>
      <c r="E106" s="98" t="s">
        <v>172</v>
      </c>
      <c r="F106" s="218">
        <v>2010</v>
      </c>
      <c r="G106" s="217">
        <v>2015</v>
      </c>
      <c r="H106" s="217">
        <v>2020</v>
      </c>
      <c r="I106" s="217">
        <v>2025</v>
      </c>
      <c r="J106" s="217">
        <v>2030</v>
      </c>
      <c r="K106" s="217">
        <v>2035</v>
      </c>
      <c r="L106" s="217">
        <v>2040</v>
      </c>
      <c r="M106" s="217">
        <v>2045</v>
      </c>
      <c r="N106" s="217">
        <v>2050</v>
      </c>
    </row>
    <row r="107" spans="2:14" s="2370" customFormat="1" ht="15.75" x14ac:dyDescent="0.25">
      <c r="B107" s="397"/>
      <c r="C107" s="1414">
        <v>1</v>
      </c>
      <c r="D107" s="1415" t="s">
        <v>193</v>
      </c>
      <c r="E107" s="488"/>
      <c r="F107" s="618">
        <v>0</v>
      </c>
      <c r="G107" s="614">
        <v>0</v>
      </c>
      <c r="H107" s="614">
        <v>0</v>
      </c>
      <c r="I107" s="614">
        <v>0</v>
      </c>
      <c r="J107" s="614">
        <v>0</v>
      </c>
      <c r="K107" s="614">
        <v>0</v>
      </c>
      <c r="L107" s="614">
        <v>0</v>
      </c>
      <c r="M107" s="614">
        <v>0</v>
      </c>
      <c r="N107" s="614">
        <v>0</v>
      </c>
    </row>
    <row r="108" spans="2:14" s="2370" customFormat="1" ht="15.75" x14ac:dyDescent="0.25">
      <c r="B108" s="397"/>
      <c r="C108" s="1414">
        <v>2</v>
      </c>
      <c r="D108" s="1415" t="s">
        <v>193</v>
      </c>
      <c r="E108" s="488"/>
      <c r="F108" s="619">
        <v>0</v>
      </c>
      <c r="G108" s="620">
        <v>26123390.275299579</v>
      </c>
      <c r="H108" s="614">
        <v>52246780.550599158</v>
      </c>
      <c r="I108" s="620">
        <v>78370170.825898737</v>
      </c>
      <c r="J108" s="614">
        <v>104493561.10119832</v>
      </c>
      <c r="K108" s="620">
        <v>130616951.37649789</v>
      </c>
      <c r="L108" s="614">
        <v>156740341.65179747</v>
      </c>
      <c r="M108" s="614">
        <v>182863731.92709705</v>
      </c>
      <c r="N108" s="614">
        <v>208987122.20239663</v>
      </c>
    </row>
    <row r="109" spans="2:14" s="2370" customFormat="1" ht="15.75" x14ac:dyDescent="0.25">
      <c r="B109" s="397"/>
      <c r="C109" s="1414">
        <v>3</v>
      </c>
      <c r="D109" s="1415" t="s">
        <v>193</v>
      </c>
      <c r="E109" s="488"/>
      <c r="F109" s="619">
        <v>0</v>
      </c>
      <c r="G109" s="620">
        <v>29388814.059712023</v>
      </c>
      <c r="H109" s="620">
        <v>58777628.119424045</v>
      </c>
      <c r="I109" s="620">
        <v>88166442.179136068</v>
      </c>
      <c r="J109" s="620">
        <v>117555256.23884809</v>
      </c>
      <c r="K109" s="620">
        <v>146944070.29856011</v>
      </c>
      <c r="L109" s="620">
        <v>176332884.35827214</v>
      </c>
      <c r="M109" s="620">
        <v>205721698.41798416</v>
      </c>
      <c r="N109" s="620">
        <v>235110512.47769615</v>
      </c>
    </row>
    <row r="110" spans="2:14" s="2370" customFormat="1" ht="15.75" x14ac:dyDescent="0.25">
      <c r="B110" s="397"/>
      <c r="C110" s="1412">
        <v>4</v>
      </c>
      <c r="D110" s="102" t="s">
        <v>193</v>
      </c>
      <c r="E110" s="102"/>
      <c r="F110" s="622">
        <v>0</v>
      </c>
      <c r="G110" s="621">
        <v>32654237.844124474</v>
      </c>
      <c r="H110" s="621">
        <v>65308475.688248947</v>
      </c>
      <c r="I110" s="621">
        <v>97962713.532373428</v>
      </c>
      <c r="J110" s="621">
        <v>130616951.37649789</v>
      </c>
      <c r="K110" s="621">
        <v>163271189.22062236</v>
      </c>
      <c r="L110" s="621">
        <v>195925427.06474683</v>
      </c>
      <c r="M110" s="621">
        <v>228579664.90887129</v>
      </c>
      <c r="N110" s="621">
        <v>261233902.75299579</v>
      </c>
    </row>
    <row r="111" spans="2:14" s="2370" customFormat="1" x14ac:dyDescent="0.2">
      <c r="B111" s="401"/>
      <c r="C111" s="1414"/>
      <c r="D111" s="1415"/>
      <c r="E111" s="1415"/>
      <c r="F111" s="227"/>
      <c r="G111" s="227"/>
      <c r="H111" s="227"/>
      <c r="I111" s="227"/>
      <c r="J111" s="227"/>
      <c r="K111" s="227"/>
      <c r="L111" s="227"/>
      <c r="M111" s="227"/>
      <c r="N111" s="227"/>
    </row>
    <row r="112" spans="2:14" s="2370" customFormat="1" x14ac:dyDescent="0.2">
      <c r="B112" s="401"/>
      <c r="C112" s="1417" t="s">
        <v>2308</v>
      </c>
      <c r="D112" s="1416"/>
      <c r="E112" s="176"/>
      <c r="F112" s="1416"/>
      <c r="G112" s="1416"/>
      <c r="H112" s="1416"/>
      <c r="I112" s="1416"/>
      <c r="J112" s="1416"/>
      <c r="K112" s="1416"/>
      <c r="L112" s="1416"/>
      <c r="M112" s="1416"/>
      <c r="N112" s="176" t="s">
        <v>2309</v>
      </c>
    </row>
    <row r="113" spans="2:14" s="2370" customFormat="1" ht="5.25" customHeight="1" x14ac:dyDescent="0.2">
      <c r="B113" s="401"/>
      <c r="C113" s="1416"/>
      <c r="D113" s="1416"/>
      <c r="E113" s="1416"/>
      <c r="F113" s="1416"/>
      <c r="G113" s="1416"/>
      <c r="H113" s="1416"/>
      <c r="I113" s="1416"/>
      <c r="J113" s="1416"/>
      <c r="K113" s="1416"/>
      <c r="L113" s="1416"/>
      <c r="M113" s="1416"/>
      <c r="N113" s="1416"/>
    </row>
    <row r="114" spans="2:14" s="2370" customFormat="1" ht="15.75" x14ac:dyDescent="0.25">
      <c r="B114" s="397"/>
      <c r="C114" s="98" t="s">
        <v>595</v>
      </c>
      <c r="D114" s="98" t="s">
        <v>66</v>
      </c>
      <c r="E114" s="98" t="s">
        <v>172</v>
      </c>
      <c r="F114" s="218">
        <v>2010</v>
      </c>
      <c r="G114" s="217">
        <v>2015</v>
      </c>
      <c r="H114" s="217">
        <v>2020</v>
      </c>
      <c r="I114" s="217">
        <v>2025</v>
      </c>
      <c r="J114" s="217">
        <v>2030</v>
      </c>
      <c r="K114" s="217">
        <v>2035</v>
      </c>
      <c r="L114" s="217">
        <v>2040</v>
      </c>
      <c r="M114" s="217">
        <v>2045</v>
      </c>
      <c r="N114" s="217">
        <v>2050</v>
      </c>
    </row>
    <row r="115" spans="2:14" s="2370" customFormat="1" ht="15.75" x14ac:dyDescent="0.25">
      <c r="B115" s="397"/>
      <c r="C115" s="1414">
        <v>1</v>
      </c>
      <c r="D115" s="1415" t="s">
        <v>377</v>
      </c>
      <c r="E115" s="488"/>
      <c r="F115" s="618">
        <v>0.18905144356564099</v>
      </c>
      <c r="G115" s="614">
        <v>0.16542001311993587</v>
      </c>
      <c r="H115" s="614">
        <v>0.14178858267423075</v>
      </c>
      <c r="I115" s="614">
        <v>0.11815715222852563</v>
      </c>
      <c r="J115" s="614">
        <v>9.452572178282051E-2</v>
      </c>
      <c r="K115" s="614">
        <v>7.0894291337115389E-2</v>
      </c>
      <c r="L115" s="614">
        <v>4.7262860891410269E-2</v>
      </c>
      <c r="M115" s="614">
        <v>2.3631430445705145E-2</v>
      </c>
      <c r="N115" s="614">
        <v>0</v>
      </c>
    </row>
    <row r="116" spans="2:14" s="2370" customFormat="1" ht="15.75" x14ac:dyDescent="0.25">
      <c r="B116" s="397"/>
      <c r="C116" s="1414">
        <v>2</v>
      </c>
      <c r="D116" s="1415" t="s">
        <v>377</v>
      </c>
      <c r="E116" s="488"/>
      <c r="F116" s="619">
        <v>0.18905144356564099</v>
      </c>
      <c r="G116" s="620">
        <v>2510.5662485586085</v>
      </c>
      <c r="H116" s="614">
        <v>5020.9434456736508</v>
      </c>
      <c r="I116" s="620">
        <v>7531.3206427886935</v>
      </c>
      <c r="J116" s="614">
        <v>10041.697839903736</v>
      </c>
      <c r="K116" s="620">
        <v>12552.075037018778</v>
      </c>
      <c r="L116" s="614">
        <v>15062.45223413382</v>
      </c>
      <c r="M116" s="614">
        <v>17572.829431248862</v>
      </c>
      <c r="N116" s="614">
        <v>20083.206628363907</v>
      </c>
    </row>
    <row r="117" spans="2:14" s="2370" customFormat="1" ht="15.75" x14ac:dyDescent="0.25">
      <c r="B117" s="397"/>
      <c r="C117" s="1414">
        <v>3</v>
      </c>
      <c r="D117" s="1415" t="s">
        <v>377</v>
      </c>
      <c r="E117" s="488"/>
      <c r="F117" s="619">
        <v>0.18905144356564099</v>
      </c>
      <c r="G117" s="620">
        <v>70.602107666157266</v>
      </c>
      <c r="H117" s="620">
        <v>141.01516388874887</v>
      </c>
      <c r="I117" s="620">
        <v>211.42822011134049</v>
      </c>
      <c r="J117" s="620">
        <v>281.84127633393211</v>
      </c>
      <c r="K117" s="620">
        <v>352.25433255652376</v>
      </c>
      <c r="L117" s="620">
        <v>422.66738877911541</v>
      </c>
      <c r="M117" s="620">
        <v>493.08044500170706</v>
      </c>
      <c r="N117" s="620">
        <v>563.4935012242986</v>
      </c>
    </row>
    <row r="118" spans="2:14" s="2370" customFormat="1" ht="15.75" x14ac:dyDescent="0.25">
      <c r="B118" s="397"/>
      <c r="C118" s="1412">
        <v>4</v>
      </c>
      <c r="D118" s="102" t="s">
        <v>377</v>
      </c>
      <c r="E118" s="102"/>
      <c r="F118" s="622">
        <v>0.18905144356564099</v>
      </c>
      <c r="G118" s="621">
        <v>64.021175056346252</v>
      </c>
      <c r="H118" s="621">
        <v>127.85329866912687</v>
      </c>
      <c r="I118" s="621">
        <v>191.68542228190748</v>
      </c>
      <c r="J118" s="621">
        <v>255.51754589468808</v>
      </c>
      <c r="K118" s="621">
        <v>319.34966950746872</v>
      </c>
      <c r="L118" s="621">
        <v>383.18179312024932</v>
      </c>
      <c r="M118" s="621">
        <v>447.01391673302993</v>
      </c>
      <c r="N118" s="621">
        <v>510.84604034581054</v>
      </c>
    </row>
    <row r="119" spans="2:14" s="2370" customFormat="1" x14ac:dyDescent="0.2">
      <c r="B119" s="401"/>
      <c r="C119" s="1414"/>
      <c r="D119" s="1415"/>
      <c r="E119" s="1415"/>
      <c r="F119" s="227"/>
      <c r="G119" s="227"/>
      <c r="H119" s="227"/>
      <c r="I119" s="227"/>
      <c r="J119" s="227"/>
      <c r="K119" s="227"/>
      <c r="L119" s="227"/>
      <c r="M119" s="227"/>
      <c r="N119" s="227"/>
    </row>
    <row r="120" spans="2:14" s="2370" customFormat="1" ht="15.75" x14ac:dyDescent="0.25">
      <c r="B120" s="397"/>
      <c r="C120" s="1414"/>
      <c r="D120" s="1417"/>
      <c r="E120" s="1415"/>
      <c r="F120" s="724"/>
      <c r="G120" s="724"/>
      <c r="H120" s="724"/>
      <c r="I120" s="724"/>
      <c r="J120" s="724"/>
      <c r="K120" s="724"/>
      <c r="L120" s="724"/>
      <c r="M120" s="724"/>
      <c r="N120" s="724"/>
    </row>
    <row r="121" spans="2:14" s="2370" customFormat="1" x14ac:dyDescent="0.2">
      <c r="B121" s="401"/>
      <c r="C121" s="1417" t="s">
        <v>2307</v>
      </c>
      <c r="D121" s="1416"/>
      <c r="E121" s="176"/>
      <c r="F121" s="1416"/>
      <c r="G121" s="1416"/>
      <c r="H121" s="1416"/>
      <c r="I121" s="1416"/>
      <c r="J121" s="1416"/>
      <c r="K121" s="1416"/>
      <c r="L121" s="1416"/>
      <c r="M121" s="1416"/>
      <c r="N121" s="176" t="str">
        <f>Preferences.EnergyUnits</f>
        <v>TWh</v>
      </c>
    </row>
    <row r="122" spans="2:14" s="2370" customFormat="1" ht="5.25" customHeight="1" x14ac:dyDescent="0.2">
      <c r="B122" s="401"/>
      <c r="C122" s="1416"/>
      <c r="D122" s="1416"/>
      <c r="E122" s="1416"/>
      <c r="F122" s="1416"/>
      <c r="G122" s="1416"/>
      <c r="H122" s="1416"/>
      <c r="I122" s="1416"/>
      <c r="J122" s="1416"/>
      <c r="K122" s="1416"/>
      <c r="L122" s="1416"/>
      <c r="M122" s="1416"/>
      <c r="N122" s="1416"/>
    </row>
    <row r="123" spans="2:14" s="2370" customFormat="1" ht="15.75" x14ac:dyDescent="0.25">
      <c r="B123" s="397"/>
      <c r="C123" s="98" t="s">
        <v>595</v>
      </c>
      <c r="D123" s="98" t="s">
        <v>66</v>
      </c>
      <c r="E123" s="98" t="s">
        <v>172</v>
      </c>
      <c r="F123" s="218">
        <v>2010</v>
      </c>
      <c r="G123" s="217">
        <v>2015</v>
      </c>
      <c r="H123" s="217">
        <v>2020</v>
      </c>
      <c r="I123" s="217">
        <v>2025</v>
      </c>
      <c r="J123" s="217">
        <v>2030</v>
      </c>
      <c r="K123" s="217">
        <v>2035</v>
      </c>
      <c r="L123" s="217">
        <v>2040</v>
      </c>
      <c r="M123" s="217">
        <v>2045</v>
      </c>
      <c r="N123" s="217">
        <v>2050</v>
      </c>
    </row>
    <row r="124" spans="2:14" s="2370" customFormat="1" ht="15.75" x14ac:dyDescent="0.25">
      <c r="B124" s="397"/>
      <c r="C124" s="1414">
        <v>1</v>
      </c>
      <c r="D124" s="1415" t="s">
        <v>377</v>
      </c>
      <c r="E124" s="488"/>
      <c r="F124" s="618">
        <v>1.0449356110119832</v>
      </c>
      <c r="G124" s="614">
        <v>1.5674034165179749</v>
      </c>
      <c r="H124" s="614">
        <v>2.0898712220239664</v>
      </c>
      <c r="I124" s="614">
        <v>2.6123390275299578</v>
      </c>
      <c r="J124" s="614">
        <v>3.1348068330359493</v>
      </c>
      <c r="K124" s="614">
        <v>3.6572746385419408</v>
      </c>
      <c r="L124" s="614">
        <v>4.1797424440479327</v>
      </c>
      <c r="M124" s="614">
        <v>4.7022102495539242</v>
      </c>
      <c r="N124" s="614">
        <v>5.2246780550599157</v>
      </c>
    </row>
    <row r="125" spans="2:14" s="2370" customFormat="1" ht="15.75" x14ac:dyDescent="0.25">
      <c r="B125" s="397"/>
      <c r="C125" s="1414">
        <v>2</v>
      </c>
      <c r="D125" s="1415" t="s">
        <v>377</v>
      </c>
      <c r="E125" s="488"/>
      <c r="F125" s="619">
        <v>1.0449356110119832</v>
      </c>
      <c r="G125" s="620">
        <v>2.6123390275299574</v>
      </c>
      <c r="H125" s="614">
        <v>4.1797424440479318</v>
      </c>
      <c r="I125" s="620">
        <v>5.7471458605659063</v>
      </c>
      <c r="J125" s="614">
        <v>7.3145492770838807</v>
      </c>
      <c r="K125" s="620">
        <v>8.8819526936018551</v>
      </c>
      <c r="L125" s="614">
        <v>10.44935611011983</v>
      </c>
      <c r="M125" s="614">
        <v>12.016759526637804</v>
      </c>
      <c r="N125" s="614">
        <v>13.58416294315578</v>
      </c>
    </row>
    <row r="126" spans="2:14" s="2370" customFormat="1" ht="15.75" x14ac:dyDescent="0.25">
      <c r="B126" s="397"/>
      <c r="C126" s="1414">
        <v>3</v>
      </c>
      <c r="D126" s="1415" t="s">
        <v>377</v>
      </c>
      <c r="E126" s="488"/>
      <c r="F126" s="619">
        <v>1.0449356110119832</v>
      </c>
      <c r="G126" s="620">
        <v>2.3837593626210865</v>
      </c>
      <c r="H126" s="620">
        <v>3.7225831142301899</v>
      </c>
      <c r="I126" s="620">
        <v>5.0614068658392934</v>
      </c>
      <c r="J126" s="620">
        <v>6.4002306174483969</v>
      </c>
      <c r="K126" s="620">
        <v>7.7390543690575004</v>
      </c>
      <c r="L126" s="620">
        <v>9.0778781206666039</v>
      </c>
      <c r="M126" s="620">
        <v>10.416701872275707</v>
      </c>
      <c r="N126" s="620">
        <v>11.755525623884809</v>
      </c>
    </row>
    <row r="127" spans="2:14" s="2370" customFormat="1" ht="15.75" x14ac:dyDescent="0.25">
      <c r="B127" s="397"/>
      <c r="C127" s="1412">
        <v>4</v>
      </c>
      <c r="D127" s="102" t="s">
        <v>377</v>
      </c>
      <c r="E127" s="102"/>
      <c r="F127" s="622">
        <v>1.0449356110119832</v>
      </c>
      <c r="G127" s="621">
        <v>2.2204881734004642</v>
      </c>
      <c r="H127" s="621">
        <v>3.3960407357889455</v>
      </c>
      <c r="I127" s="621">
        <v>4.5715932981774268</v>
      </c>
      <c r="J127" s="621">
        <v>5.747145860565908</v>
      </c>
      <c r="K127" s="621">
        <v>6.9226984229543893</v>
      </c>
      <c r="L127" s="621">
        <v>8.0982509853428706</v>
      </c>
      <c r="M127" s="621">
        <v>9.273803547731351</v>
      </c>
      <c r="N127" s="621">
        <v>10.449356110119831</v>
      </c>
    </row>
    <row r="128" spans="2:14" s="2370" customFormat="1" x14ac:dyDescent="0.2">
      <c r="B128" s="401"/>
      <c r="C128" s="1414"/>
      <c r="D128" s="1415"/>
      <c r="E128" s="1415"/>
      <c r="F128" s="227"/>
      <c r="G128" s="227"/>
      <c r="H128" s="227"/>
      <c r="I128" s="227"/>
      <c r="J128" s="227"/>
      <c r="K128" s="227"/>
      <c r="L128" s="227"/>
      <c r="M128" s="227"/>
      <c r="N128" s="227"/>
    </row>
    <row r="129" spans="1:14" x14ac:dyDescent="0.2">
      <c r="B129" s="401"/>
      <c r="C129" s="464" t="s">
        <v>266</v>
      </c>
      <c r="D129" s="177"/>
      <c r="E129" s="173"/>
      <c r="F129" s="173"/>
      <c r="G129" s="173"/>
      <c r="H129" s="173"/>
      <c r="I129" s="173"/>
      <c r="J129" s="173"/>
      <c r="K129" s="173"/>
      <c r="L129" s="173"/>
      <c r="M129" s="173"/>
      <c r="N129" s="173"/>
    </row>
    <row r="130" spans="1:14" x14ac:dyDescent="0.2">
      <c r="B130" s="401"/>
      <c r="C130" s="463" t="s">
        <v>93</v>
      </c>
      <c r="D130" s="177" t="s">
        <v>1567</v>
      </c>
      <c r="E130" s="173"/>
      <c r="F130" s="173"/>
      <c r="G130" s="173"/>
      <c r="H130" s="173"/>
      <c r="I130" s="173"/>
      <c r="J130" s="173"/>
      <c r="K130" s="173"/>
      <c r="L130" s="173"/>
      <c r="M130" s="173"/>
      <c r="N130" s="173"/>
    </row>
    <row r="131" spans="1:14" x14ac:dyDescent="0.2">
      <c r="B131" s="401"/>
      <c r="C131" s="463" t="s">
        <v>100</v>
      </c>
      <c r="D131" s="173" t="s">
        <v>942</v>
      </c>
      <c r="E131" s="173"/>
      <c r="F131" s="173"/>
      <c r="G131" s="173"/>
      <c r="H131" s="173"/>
      <c r="I131" s="173"/>
      <c r="J131" s="173"/>
      <c r="K131" s="173"/>
      <c r="L131" s="173"/>
      <c r="M131" s="173"/>
      <c r="N131" s="173"/>
    </row>
    <row r="132" spans="1:14" ht="15.75" x14ac:dyDescent="0.25">
      <c r="B132" s="431"/>
      <c r="C132" s="432"/>
      <c r="D132" s="433"/>
      <c r="E132" s="433"/>
      <c r="F132" s="435"/>
      <c r="G132" s="435"/>
      <c r="H132" s="435"/>
      <c r="I132" s="435"/>
      <c r="J132" s="435"/>
      <c r="K132" s="435"/>
      <c r="L132" s="435"/>
      <c r="M132" s="435"/>
      <c r="N132" s="435"/>
    </row>
    <row r="134" spans="1:14" s="84" customFormat="1" ht="22.5" collapsed="1" x14ac:dyDescent="0.2">
      <c r="A134" s="408"/>
      <c r="B134" s="472" t="s">
        <v>315</v>
      </c>
      <c r="C134" s="405"/>
      <c r="D134" s="405"/>
      <c r="E134" s="405"/>
      <c r="F134" s="405"/>
      <c r="G134" s="405"/>
      <c r="H134" s="405"/>
      <c r="I134" s="405"/>
      <c r="J134" s="405"/>
      <c r="K134" s="405"/>
      <c r="L134" s="405"/>
      <c r="M134" s="405"/>
      <c r="N134" s="405"/>
    </row>
    <row r="135" spans="1:14" x14ac:dyDescent="0.2">
      <c r="B135" s="395"/>
      <c r="C135" s="173"/>
      <c r="D135" s="173"/>
      <c r="E135" s="173"/>
      <c r="F135" s="173"/>
      <c r="G135" s="173"/>
      <c r="H135" s="173"/>
      <c r="I135" s="173"/>
      <c r="J135" s="173"/>
      <c r="K135" s="173"/>
      <c r="L135" s="173"/>
      <c r="M135" s="173"/>
      <c r="N135" s="173"/>
    </row>
    <row r="136" spans="1:14" s="1548" customFormat="1" x14ac:dyDescent="0.2">
      <c r="A136" s="1411"/>
      <c r="B136" s="1421"/>
      <c r="C136" s="1417" t="s">
        <v>1657</v>
      </c>
      <c r="D136" s="1416"/>
      <c r="E136" s="176"/>
      <c r="F136" s="632"/>
      <c r="G136" s="602"/>
      <c r="H136" s="602"/>
      <c r="I136" s="183"/>
      <c r="J136" s="636"/>
      <c r="K136" s="636"/>
      <c r="L136" s="636"/>
      <c r="M136" s="636"/>
      <c r="N136" s="183" t="s">
        <v>1656</v>
      </c>
    </row>
    <row r="137" spans="1:14" s="1548" customFormat="1" ht="6.75" customHeight="1" x14ac:dyDescent="0.25">
      <c r="A137" s="1411"/>
      <c r="B137" s="397"/>
      <c r="C137" s="1416"/>
      <c r="D137" s="1416"/>
      <c r="E137" s="1416"/>
      <c r="F137" s="602"/>
      <c r="G137" s="602"/>
      <c r="H137" s="602"/>
      <c r="I137" s="602"/>
      <c r="J137" s="636"/>
      <c r="K137" s="636"/>
      <c r="L137" s="636"/>
      <c r="M137" s="636"/>
      <c r="N137" s="636"/>
    </row>
    <row r="138" spans="1:14" s="1548" customFormat="1" ht="15.75" x14ac:dyDescent="0.25">
      <c r="A138" s="1411"/>
      <c r="B138" s="397"/>
      <c r="C138" s="103" t="s">
        <v>69</v>
      </c>
      <c r="D138" s="98" t="s">
        <v>592</v>
      </c>
      <c r="E138" s="98" t="s">
        <v>172</v>
      </c>
      <c r="F138" s="218">
        <v>2010</v>
      </c>
      <c r="G138" s="217">
        <v>2015</v>
      </c>
      <c r="H138" s="217">
        <v>2020</v>
      </c>
      <c r="I138" s="217">
        <v>2025</v>
      </c>
      <c r="J138" s="217">
        <v>2030</v>
      </c>
      <c r="K138" s="217">
        <v>2035</v>
      </c>
      <c r="L138" s="217">
        <v>2040</v>
      </c>
      <c r="M138" s="217">
        <v>2045</v>
      </c>
      <c r="N138" s="217">
        <v>2050</v>
      </c>
    </row>
    <row r="139" spans="1:14" s="1548" customFormat="1" ht="15.75" x14ac:dyDescent="0.25">
      <c r="A139" s="1411"/>
      <c r="B139" s="397"/>
      <c r="C139" s="1081" t="s">
        <v>18</v>
      </c>
      <c r="D139" s="1415" t="s">
        <v>1674</v>
      </c>
      <c r="E139" s="1413" t="s">
        <v>171</v>
      </c>
      <c r="F139" s="634">
        <v>75000</v>
      </c>
      <c r="G139" s="634">
        <v>75000</v>
      </c>
      <c r="H139" s="634">
        <v>75000</v>
      </c>
      <c r="I139" s="634">
        <v>75000</v>
      </c>
      <c r="J139" s="634">
        <v>75000</v>
      </c>
      <c r="K139" s="634">
        <v>75000</v>
      </c>
      <c r="L139" s="634">
        <v>75000</v>
      </c>
      <c r="M139" s="634">
        <v>75000</v>
      </c>
      <c r="N139" s="634">
        <v>75000</v>
      </c>
    </row>
    <row r="140" spans="1:14" s="1548" customFormat="1" ht="15.75" x14ac:dyDescent="0.25">
      <c r="A140" s="1411"/>
      <c r="B140" s="397"/>
      <c r="C140" s="237" t="s">
        <v>19</v>
      </c>
      <c r="D140" s="1415" t="s">
        <v>1675</v>
      </c>
      <c r="E140" s="488"/>
      <c r="F140" s="634">
        <v>100000</v>
      </c>
      <c r="G140" s="634">
        <v>100000</v>
      </c>
      <c r="H140" s="634">
        <v>100000</v>
      </c>
      <c r="I140" s="634">
        <v>100000</v>
      </c>
      <c r="J140" s="634">
        <v>120000</v>
      </c>
      <c r="K140" s="634">
        <v>120000</v>
      </c>
      <c r="L140" s="634">
        <v>150000</v>
      </c>
      <c r="M140" s="634">
        <v>150000</v>
      </c>
      <c r="N140" s="634">
        <v>186000</v>
      </c>
    </row>
    <row r="141" spans="1:14" s="2370" customFormat="1" ht="15.75" x14ac:dyDescent="0.25">
      <c r="A141" s="1411"/>
      <c r="B141" s="397"/>
      <c r="C141" s="237" t="s">
        <v>98</v>
      </c>
      <c r="D141" s="1415" t="s">
        <v>2313</v>
      </c>
      <c r="E141" s="488"/>
      <c r="F141" s="634">
        <v>20000</v>
      </c>
      <c r="G141" s="634">
        <v>20000</v>
      </c>
      <c r="H141" s="634">
        <v>20000</v>
      </c>
      <c r="I141" s="634">
        <v>20000</v>
      </c>
      <c r="J141" s="634">
        <v>20000</v>
      </c>
      <c r="K141" s="634">
        <v>20000</v>
      </c>
      <c r="L141" s="634">
        <v>20000</v>
      </c>
      <c r="M141" s="634">
        <v>20000</v>
      </c>
      <c r="N141" s="634">
        <v>20000</v>
      </c>
    </row>
    <row r="142" spans="1:14" s="2370" customFormat="1" ht="15.75" x14ac:dyDescent="0.25">
      <c r="A142" s="1411"/>
      <c r="B142" s="397"/>
      <c r="C142" s="237"/>
      <c r="D142" s="1415"/>
      <c r="E142" s="488"/>
      <c r="F142" s="634"/>
      <c r="G142" s="634"/>
      <c r="H142" s="634"/>
      <c r="I142" s="634"/>
      <c r="J142" s="634"/>
      <c r="K142" s="634"/>
      <c r="L142" s="634"/>
      <c r="M142" s="634"/>
      <c r="N142" s="634"/>
    </row>
    <row r="143" spans="1:14" s="2370" customFormat="1" ht="15.75" x14ac:dyDescent="0.25">
      <c r="A143" s="1411"/>
      <c r="B143" s="397"/>
      <c r="C143" s="237"/>
      <c r="D143" s="1415"/>
      <c r="E143" s="488"/>
      <c r="F143" s="634"/>
      <c r="G143" s="634"/>
      <c r="H143" s="634"/>
      <c r="I143" s="634"/>
      <c r="J143" s="634"/>
      <c r="K143" s="634"/>
      <c r="L143" s="634"/>
      <c r="M143" s="634"/>
      <c r="N143" s="634"/>
    </row>
    <row r="144" spans="1:14" s="2370" customFormat="1" ht="15.75" x14ac:dyDescent="0.25">
      <c r="A144" s="1411"/>
      <c r="B144" s="397"/>
      <c r="C144" s="237"/>
      <c r="D144" s="1415"/>
      <c r="E144" s="488"/>
      <c r="F144" s="634"/>
      <c r="G144" s="634"/>
      <c r="H144" s="634"/>
      <c r="I144" s="634"/>
      <c r="J144" s="634"/>
      <c r="K144" s="634"/>
      <c r="L144" s="634"/>
      <c r="M144" s="634"/>
      <c r="N144" s="634"/>
    </row>
    <row r="145" spans="2:15" s="1548" customFormat="1" x14ac:dyDescent="0.2">
      <c r="B145" s="1419"/>
      <c r="C145" s="1416"/>
      <c r="D145" s="1416"/>
      <c r="E145" s="1416"/>
      <c r="F145" s="1416"/>
      <c r="G145" s="1416"/>
      <c r="H145" s="1416"/>
      <c r="I145" s="1416"/>
      <c r="J145" s="1416"/>
      <c r="K145" s="1416"/>
      <c r="L145" s="1416"/>
      <c r="M145" s="1416"/>
      <c r="N145" s="1416"/>
    </row>
    <row r="146" spans="2:15" x14ac:dyDescent="0.2">
      <c r="B146" s="395"/>
      <c r="C146" s="175" t="s">
        <v>627</v>
      </c>
      <c r="D146" s="173"/>
      <c r="E146" s="176"/>
      <c r="F146" s="176" t="s">
        <v>1205</v>
      </c>
      <c r="G146" s="1137">
        <f>45.5/42.8</f>
        <v>1.0630841121495327</v>
      </c>
      <c r="H146" s="173"/>
      <c r="I146" s="173"/>
      <c r="J146" s="173"/>
      <c r="K146" s="173"/>
      <c r="L146" s="173"/>
      <c r="M146" s="173"/>
      <c r="N146" s="176" t="str">
        <f>Preferences.EnergyUnits &amp; " / bn vehicle-km"</f>
        <v>TWh / bn vehicle-km</v>
      </c>
      <c r="O146" s="396"/>
    </row>
    <row r="147" spans="2:15" ht="5.25" customHeight="1" x14ac:dyDescent="0.2">
      <c r="B147" s="395"/>
      <c r="C147" s="173"/>
      <c r="D147" s="173"/>
      <c r="E147" s="173"/>
      <c r="F147" s="173"/>
      <c r="G147" s="173"/>
      <c r="H147" s="173"/>
      <c r="I147" s="173"/>
      <c r="J147" s="173"/>
      <c r="K147" s="173"/>
      <c r="L147" s="173"/>
      <c r="M147" s="173"/>
      <c r="N147" s="173"/>
      <c r="O147" s="396"/>
    </row>
    <row r="148" spans="2:15" ht="15.75" x14ac:dyDescent="0.25">
      <c r="B148" s="397"/>
      <c r="C148" s="98" t="s">
        <v>64</v>
      </c>
      <c r="D148" s="98" t="s">
        <v>66</v>
      </c>
      <c r="E148" s="98" t="s">
        <v>172</v>
      </c>
      <c r="F148" s="218">
        <v>2010</v>
      </c>
      <c r="G148" s="217">
        <v>2015</v>
      </c>
      <c r="H148" s="217">
        <v>2020</v>
      </c>
      <c r="I148" s="217">
        <v>2025</v>
      </c>
      <c r="J148" s="217">
        <v>2030</v>
      </c>
      <c r="K148" s="217">
        <v>2035</v>
      </c>
      <c r="L148" s="217">
        <v>2040</v>
      </c>
      <c r="M148" s="217">
        <v>2045</v>
      </c>
      <c r="N148" s="217">
        <v>2050</v>
      </c>
    </row>
    <row r="149" spans="2:15" ht="15.75" x14ac:dyDescent="0.25">
      <c r="B149" s="397"/>
      <c r="C149" s="560" t="s">
        <v>38</v>
      </c>
      <c r="D149" s="146" t="str">
        <f>INDEX(Vectors[Description], MATCH($C149, Vectors[Code], 0))</f>
        <v>Liquid hydrocarbons</v>
      </c>
      <c r="E149" s="623" t="s">
        <v>93</v>
      </c>
      <c r="F149" s="1087">
        <f t="shared" ref="F149:N149" si="4">F72*$G$146</f>
        <v>4.4769424974039467</v>
      </c>
      <c r="G149" s="980">
        <f t="shared" si="4"/>
        <v>4.4529492795950159</v>
      </c>
      <c r="H149" s="980">
        <f t="shared" si="4"/>
        <v>4.428956061786085</v>
      </c>
      <c r="I149" s="980">
        <f t="shared" si="4"/>
        <v>4.4049628439771551</v>
      </c>
      <c r="J149" s="980">
        <f t="shared" si="4"/>
        <v>4.3809696261682243</v>
      </c>
      <c r="K149" s="980">
        <f t="shared" si="4"/>
        <v>4.3809696261682243</v>
      </c>
      <c r="L149" s="980">
        <f t="shared" si="4"/>
        <v>4.3809696261682243</v>
      </c>
      <c r="M149" s="980">
        <f t="shared" si="4"/>
        <v>4.3809696261682243</v>
      </c>
      <c r="N149" s="980">
        <f t="shared" si="4"/>
        <v>4.3809696261682243</v>
      </c>
      <c r="O149" s="617"/>
    </row>
    <row r="150" spans="2:15" s="2370" customFormat="1" ht="15.75" x14ac:dyDescent="0.25">
      <c r="B150" s="397"/>
      <c r="C150" s="1414" t="s">
        <v>39</v>
      </c>
      <c r="D150" s="1415" t="str">
        <f>INDEX(Vectors[Description], MATCH($C150, Vectors[Code], 0))</f>
        <v>Gaseous hydrocarbons</v>
      </c>
      <c r="E150" s="488"/>
      <c r="F150" s="204">
        <f t="shared" ref="F150:N150" si="5">F81*$G$146</f>
        <v>3.4438019210799586</v>
      </c>
      <c r="G150" s="981">
        <f t="shared" si="5"/>
        <v>3.4253455996884736</v>
      </c>
      <c r="H150" s="981">
        <f t="shared" si="5"/>
        <v>3.4068892782969886</v>
      </c>
      <c r="I150" s="981">
        <f t="shared" si="5"/>
        <v>3.3884329569055036</v>
      </c>
      <c r="J150" s="981">
        <f t="shared" si="5"/>
        <v>3.3699766355140186</v>
      </c>
      <c r="K150" s="981">
        <f t="shared" si="5"/>
        <v>3.3699766355140186</v>
      </c>
      <c r="L150" s="981">
        <f t="shared" si="5"/>
        <v>3.3699766355140186</v>
      </c>
      <c r="M150" s="981">
        <f t="shared" si="5"/>
        <v>3.3699766355140186</v>
      </c>
      <c r="N150" s="981">
        <f t="shared" si="5"/>
        <v>3.3699766355140186</v>
      </c>
      <c r="O150" s="617"/>
    </row>
    <row r="151" spans="2:15" ht="15.75" x14ac:dyDescent="0.25">
      <c r="B151" s="397"/>
      <c r="C151" s="199" t="s">
        <v>34</v>
      </c>
      <c r="D151" s="200" t="str">
        <f>INDEX(Vectors[Description], MATCH($C151, Vectors[Code], 0))</f>
        <v>Electricity (delivered to end user)</v>
      </c>
      <c r="E151" s="531" t="s">
        <v>660</v>
      </c>
      <c r="F151" s="1085">
        <f>F149*(2552/10724)</f>
        <v>1.0653820639103759</v>
      </c>
      <c r="G151" s="1086">
        <f>G149*(2552/10724)</f>
        <v>1.0596723761214546</v>
      </c>
      <c r="H151" s="1086">
        <f t="shared" ref="H151:N151" si="6">H149*(2552/10724)</f>
        <v>1.0539626883325335</v>
      </c>
      <c r="I151" s="1086">
        <f t="shared" si="6"/>
        <v>1.0482530005436124</v>
      </c>
      <c r="J151" s="1086">
        <f t="shared" si="6"/>
        <v>1.0425433127546913</v>
      </c>
      <c r="K151" s="1086">
        <f t="shared" si="6"/>
        <v>1.0425433127546913</v>
      </c>
      <c r="L151" s="1086">
        <f t="shared" si="6"/>
        <v>1.0425433127546913</v>
      </c>
      <c r="M151" s="1086">
        <f t="shared" si="6"/>
        <v>1.0425433127546913</v>
      </c>
      <c r="N151" s="1086">
        <f t="shared" si="6"/>
        <v>1.0425433127546913</v>
      </c>
      <c r="O151" s="617"/>
    </row>
    <row r="152" spans="2:15" x14ac:dyDescent="0.2">
      <c r="B152" s="395"/>
      <c r="C152" s="173"/>
      <c r="D152" s="173"/>
      <c r="E152" s="173"/>
      <c r="F152" s="173"/>
      <c r="G152" s="173"/>
      <c r="H152" s="173"/>
      <c r="I152" s="173"/>
      <c r="J152" s="173"/>
      <c r="K152" s="173"/>
      <c r="L152" s="173"/>
      <c r="M152" s="173"/>
      <c r="N152" s="173"/>
    </row>
    <row r="153" spans="2:15" s="1615" customFormat="1" x14ac:dyDescent="0.2">
      <c r="B153" s="1419"/>
      <c r="C153" s="1417" t="s">
        <v>1796</v>
      </c>
      <c r="D153" s="1416"/>
      <c r="E153" s="1416"/>
      <c r="F153" s="1416"/>
      <c r="G153" s="1416"/>
      <c r="H153" s="1416"/>
      <c r="I153" s="1416"/>
      <c r="J153" s="1416"/>
      <c r="K153" s="1416"/>
      <c r="L153" s="1416"/>
      <c r="M153" s="1416"/>
      <c r="N153" s="1416" t="str">
        <f>"kt per "&amp;Preferences.EnergyUnits</f>
        <v>kt per TWh</v>
      </c>
    </row>
    <row r="154" spans="2:15" s="1615" customFormat="1" ht="5.25" customHeight="1" x14ac:dyDescent="0.2">
      <c r="B154" s="1419"/>
      <c r="C154" s="1416"/>
      <c r="D154" s="1416"/>
      <c r="E154" s="713"/>
      <c r="F154" s="712"/>
      <c r="G154" s="1416"/>
      <c r="H154" s="1416"/>
      <c r="I154" s="1416"/>
      <c r="J154" s="1416"/>
      <c r="K154" s="1416"/>
      <c r="L154" s="1416"/>
      <c r="M154" s="1416"/>
      <c r="N154" s="1416"/>
      <c r="O154" s="1420"/>
    </row>
    <row r="155" spans="2:15" s="1615" customFormat="1" x14ac:dyDescent="0.2">
      <c r="B155" s="1419"/>
      <c r="C155" s="1628" t="s">
        <v>69</v>
      </c>
      <c r="D155" s="1628" t="s">
        <v>592</v>
      </c>
      <c r="E155" s="1629" t="s">
        <v>343</v>
      </c>
      <c r="F155" s="1630" t="s">
        <v>241</v>
      </c>
      <c r="G155" s="1630" t="s">
        <v>268</v>
      </c>
      <c r="H155" s="1630" t="s">
        <v>269</v>
      </c>
      <c r="I155" s="1630" t="s">
        <v>270</v>
      </c>
      <c r="J155" s="1630" t="s">
        <v>271</v>
      </c>
      <c r="K155" s="1630" t="s">
        <v>272</v>
      </c>
      <c r="L155" s="1630" t="s">
        <v>273</v>
      </c>
      <c r="M155" s="1630" t="s">
        <v>274</v>
      </c>
      <c r="N155" s="1630" t="s">
        <v>275</v>
      </c>
    </row>
    <row r="156" spans="2:15" s="1615" customFormat="1" x14ac:dyDescent="0.2">
      <c r="B156" s="1419"/>
      <c r="C156" s="1631" t="s">
        <v>375</v>
      </c>
      <c r="D156" s="1505" t="s">
        <v>610</v>
      </c>
      <c r="E156" s="1632" t="s">
        <v>638</v>
      </c>
      <c r="F156" s="983">
        <f>0.284*(1/Unit.TWh)</f>
        <v>0.28399999999999997</v>
      </c>
      <c r="G156" s="983">
        <f>0.245666666666667*(1/Unit.TWh)</f>
        <v>0.24566666666666701</v>
      </c>
      <c r="H156" s="983">
        <f>0.2015*(1/Unit.TWh)</f>
        <v>0.20150000000000001</v>
      </c>
      <c r="I156" s="983">
        <f>0.157333333333333*(1/Unit.TWh)</f>
        <v>0.15733333333333299</v>
      </c>
      <c r="J156" s="983">
        <f>0.113166666666667*(1/Unit.TWh)</f>
        <v>0.113166666666667</v>
      </c>
      <c r="K156" s="983">
        <f>0.069*(1/Unit.TWh)</f>
        <v>6.9000000000000006E-2</v>
      </c>
      <c r="L156" s="983">
        <f>0.0308333333333333*(1/Unit.TWh)</f>
        <v>3.0833333333333299E-2</v>
      </c>
      <c r="M156" s="983">
        <f>0.025*(1/Unit.TWh)</f>
        <v>2.5000000000000001E-2</v>
      </c>
      <c r="N156" s="983">
        <f>0.025*(1/Unit.TWh)</f>
        <v>2.5000000000000001E-2</v>
      </c>
    </row>
    <row r="157" spans="2:15" s="1615" customFormat="1" x14ac:dyDescent="0.2">
      <c r="B157" s="1419"/>
      <c r="C157" s="1631" t="s">
        <v>375</v>
      </c>
      <c r="D157" s="1505" t="s">
        <v>610</v>
      </c>
      <c r="E157" s="1504" t="s">
        <v>639</v>
      </c>
      <c r="F157" s="1633">
        <f t="shared" ref="F157:N157" si="7">0*(1/Unit.TWh)</f>
        <v>0</v>
      </c>
      <c r="G157" s="1633">
        <f t="shared" si="7"/>
        <v>0</v>
      </c>
      <c r="H157" s="1633">
        <f t="shared" si="7"/>
        <v>0</v>
      </c>
      <c r="I157" s="1633">
        <f t="shared" si="7"/>
        <v>0</v>
      </c>
      <c r="J157" s="1633">
        <f t="shared" si="7"/>
        <v>0</v>
      </c>
      <c r="K157" s="1633">
        <f t="shared" si="7"/>
        <v>0</v>
      </c>
      <c r="L157" s="1633">
        <f t="shared" si="7"/>
        <v>0</v>
      </c>
      <c r="M157" s="1633">
        <f t="shared" si="7"/>
        <v>0</v>
      </c>
      <c r="N157" s="1633">
        <f t="shared" si="7"/>
        <v>0</v>
      </c>
    </row>
    <row r="158" spans="2:15" s="1615" customFormat="1" x14ac:dyDescent="0.2">
      <c r="B158" s="1419"/>
      <c r="C158" s="1631" t="s">
        <v>375</v>
      </c>
      <c r="D158" s="1504" t="s">
        <v>1809</v>
      </c>
      <c r="E158" s="1504" t="s">
        <v>638</v>
      </c>
      <c r="F158" s="983">
        <f>0.0510659286834548*(1/Unit.TWh)</f>
        <v>5.1065928683454803E-2</v>
      </c>
      <c r="G158" s="983">
        <f>0.0376329218937318*(1/Unit.TWh)</f>
        <v>3.7632921893731797E-2</v>
      </c>
      <c r="H158" s="983">
        <f>0.0314237522645619*(1/Unit.TWh)</f>
        <v>3.1423752264561899E-2</v>
      </c>
      <c r="I158" s="983">
        <f>0.0304830293892288*(1/Unit.TWh)</f>
        <v>3.04830293892288E-2</v>
      </c>
      <c r="J158" s="983">
        <f>0.0304215804075059*(1/Unit.TWh)</f>
        <v>3.0421580407505901E-2</v>
      </c>
      <c r="K158" s="983">
        <f>0.0302205363536633*(1/Unit.TWh)</f>
        <v>3.0220536353663299E-2</v>
      </c>
      <c r="L158" s="983">
        <f>0.0302205363536633*(1/Unit.TWh)</f>
        <v>3.0220536353663299E-2</v>
      </c>
      <c r="M158" s="983">
        <f>0.0302205363536633*(1/Unit.TWh)</f>
        <v>3.0220536353663299E-2</v>
      </c>
      <c r="N158" s="983">
        <f>0.0302205363536633*(1/Unit.TWh)</f>
        <v>3.0220536353663299E-2</v>
      </c>
    </row>
    <row r="159" spans="2:15" s="2370" customFormat="1" x14ac:dyDescent="0.2">
      <c r="B159" s="1419"/>
      <c r="C159" s="1631" t="s">
        <v>375</v>
      </c>
      <c r="D159" s="1504" t="s">
        <v>1809</v>
      </c>
      <c r="E159" s="1504" t="s">
        <v>2317</v>
      </c>
      <c r="F159" s="1633">
        <f>0.00278035848453654*(1/Unit.TWh)</f>
        <v>2.7803584845365399E-3</v>
      </c>
      <c r="G159" s="1633">
        <f>0.00309728804586587*(1/Unit.TWh)</f>
        <v>3.0972880458658698E-3</v>
      </c>
      <c r="H159" s="1633">
        <f>0.00309726437565347*(1/Unit.TWh)</f>
        <v>3.0972643756534699E-3</v>
      </c>
      <c r="I159" s="1633">
        <f>0.00309723515657493*(1/Unit.TWh)</f>
        <v>3.0972351565749299E-3</v>
      </c>
      <c r="J159" s="1633">
        <f>0.00309727451363559*(1/Unit.TWh)</f>
        <v>3.0972745136355899E-3</v>
      </c>
      <c r="K159" s="1633">
        <f>0.00309727451363559*(1/Unit.TWh)</f>
        <v>3.0972745136355899E-3</v>
      </c>
      <c r="L159" s="1633">
        <f>0.00309727451363559*(1/Unit.TWh)</f>
        <v>3.0972745136355899E-3</v>
      </c>
      <c r="M159" s="1633">
        <f>0.00309727451363559*(1/Unit.TWh)</f>
        <v>3.0972745136355899E-3</v>
      </c>
      <c r="N159" s="1633">
        <f>0.00309727451363559*(1/Unit.TWh)</f>
        <v>3.0972745136355899E-3</v>
      </c>
    </row>
    <row r="160" spans="2:15" s="1615" customFormat="1" x14ac:dyDescent="0.2">
      <c r="B160" s="1419"/>
      <c r="C160" s="1631" t="s">
        <v>375</v>
      </c>
      <c r="D160" s="1504" t="s">
        <v>1809</v>
      </c>
      <c r="E160" s="1504" t="s">
        <v>639</v>
      </c>
      <c r="F160" s="983">
        <f>0.0282952669019321*(1/Unit.TWh)</f>
        <v>2.8295266901932101E-2</v>
      </c>
      <c r="G160" s="983">
        <f>0.0297294445846166*(1/Unit.TWh)</f>
        <v>2.9729444584616599E-2</v>
      </c>
      <c r="H160" s="983">
        <f>0.0297426011530885*(1/Unit.TWh)</f>
        <v>2.9742601153088501E-2</v>
      </c>
      <c r="I160" s="983">
        <f>0.0296209641445674*(1/Unit.TWh)</f>
        <v>2.9620964144567399E-2</v>
      </c>
      <c r="J160" s="983">
        <f>0.0296297521509535*(1/Unit.TWh)</f>
        <v>2.9629752150953498E-2</v>
      </c>
      <c r="K160" s="983">
        <f>0.0294306205859705*(1/Unit.TWh)</f>
        <v>2.9430620585970499E-2</v>
      </c>
      <c r="L160" s="983">
        <f>0.0294306205859705*(1/Unit.TWh)</f>
        <v>2.9430620585970499E-2</v>
      </c>
      <c r="M160" s="983">
        <f>0.0294306205859705*(1/Unit.TWh)</f>
        <v>2.9430620585970499E-2</v>
      </c>
      <c r="N160" s="983">
        <f>0.0294306205859705*(1/Unit.TWh)</f>
        <v>2.9430620585970499E-2</v>
      </c>
    </row>
    <row r="161" spans="2:15" s="1615" customFormat="1" x14ac:dyDescent="0.2">
      <c r="B161" s="1419"/>
      <c r="C161" s="1631" t="s">
        <v>375</v>
      </c>
      <c r="D161" s="1504" t="s">
        <v>2318</v>
      </c>
      <c r="E161" s="1504" t="s">
        <v>638</v>
      </c>
      <c r="F161" s="983">
        <f>0.284*(1/Unit.TWh)</f>
        <v>0.28399999999999997</v>
      </c>
      <c r="G161" s="983">
        <f>0.245666666666667*(1/Unit.TWh)</f>
        <v>0.24566666666666701</v>
      </c>
      <c r="H161" s="983">
        <f>0.2015*(1/Unit.TWh)</f>
        <v>0.20150000000000001</v>
      </c>
      <c r="I161" s="983">
        <f>0.157333333333333*(1/Unit.TWh)</f>
        <v>0.15733333333333299</v>
      </c>
      <c r="J161" s="983">
        <f>0.113166666666667*(1/Unit.TWh)</f>
        <v>0.113166666666667</v>
      </c>
      <c r="K161" s="983">
        <f>0.069*(1/Unit.TWh)</f>
        <v>6.9000000000000006E-2</v>
      </c>
      <c r="L161" s="983">
        <f>0.0308333333333333*(1/Unit.TWh)</f>
        <v>3.0833333333333299E-2</v>
      </c>
      <c r="M161" s="983">
        <f>0.025*(1/Unit.TWh)</f>
        <v>2.5000000000000001E-2</v>
      </c>
      <c r="N161" s="983">
        <f>0.025*(1/Unit.TWh)</f>
        <v>2.5000000000000001E-2</v>
      </c>
    </row>
    <row r="162" spans="2:15" s="2370" customFormat="1" x14ac:dyDescent="0.2">
      <c r="B162" s="1419"/>
      <c r="C162" s="1631" t="s">
        <v>375</v>
      </c>
      <c r="D162" s="1505" t="s">
        <v>2319</v>
      </c>
      <c r="E162" s="1504" t="s">
        <v>639</v>
      </c>
      <c r="F162" s="1633">
        <f t="shared" ref="F162:N162" si="8">0*(1/Unit.TWh)</f>
        <v>0</v>
      </c>
      <c r="G162" s="1633">
        <f t="shared" si="8"/>
        <v>0</v>
      </c>
      <c r="H162" s="1633">
        <f t="shared" si="8"/>
        <v>0</v>
      </c>
      <c r="I162" s="1633">
        <f t="shared" si="8"/>
        <v>0</v>
      </c>
      <c r="J162" s="1633">
        <f t="shared" si="8"/>
        <v>0</v>
      </c>
      <c r="K162" s="1633">
        <f t="shared" si="8"/>
        <v>0</v>
      </c>
      <c r="L162" s="1633">
        <f t="shared" si="8"/>
        <v>0</v>
      </c>
      <c r="M162" s="1633">
        <f t="shared" si="8"/>
        <v>0</v>
      </c>
      <c r="N162" s="1633">
        <f t="shared" si="8"/>
        <v>0</v>
      </c>
    </row>
    <row r="163" spans="2:15" s="1411" customFormat="1" ht="15.75" x14ac:dyDescent="0.25">
      <c r="B163" s="604"/>
      <c r="C163" s="606"/>
      <c r="D163" s="1415"/>
      <c r="E163" s="488"/>
      <c r="F163" s="601"/>
      <c r="G163" s="602"/>
      <c r="H163" s="602"/>
      <c r="I163" s="602"/>
      <c r="J163" s="602"/>
      <c r="K163" s="227"/>
      <c r="L163" s="227"/>
      <c r="M163" s="227"/>
      <c r="N163" s="227"/>
      <c r="O163" s="466"/>
    </row>
    <row r="164" spans="2:15" s="1615" customFormat="1" x14ac:dyDescent="0.2">
      <c r="B164" s="1419"/>
      <c r="C164" s="1417" t="s">
        <v>1797</v>
      </c>
      <c r="D164" s="1416"/>
      <c r="E164" s="1416"/>
      <c r="F164" s="1416"/>
      <c r="G164" s="1416"/>
      <c r="H164" s="1416"/>
      <c r="I164" s="1416"/>
      <c r="J164" s="1416"/>
      <c r="K164" s="1416"/>
      <c r="L164" s="1416"/>
      <c r="M164" s="1416"/>
      <c r="N164" s="1416" t="str">
        <f>"kt per "&amp;Preferences.EnergyUnits</f>
        <v>kt per TWh</v>
      </c>
      <c r="O164" s="1420"/>
    </row>
    <row r="165" spans="2:15" s="1615" customFormat="1" ht="5.25" customHeight="1" x14ac:dyDescent="0.2">
      <c r="B165" s="1419"/>
      <c r="C165" s="1416"/>
      <c r="D165" s="1416"/>
      <c r="E165" s="713"/>
      <c r="F165" s="712"/>
      <c r="G165" s="1416"/>
      <c r="H165" s="1416"/>
      <c r="I165" s="1416"/>
      <c r="J165" s="1416"/>
      <c r="K165" s="1416"/>
      <c r="L165" s="1416"/>
      <c r="M165" s="1416"/>
      <c r="N165" s="1416"/>
      <c r="O165" s="1420"/>
    </row>
    <row r="166" spans="2:15" s="1615" customFormat="1" x14ac:dyDescent="0.2">
      <c r="B166" s="1419"/>
      <c r="C166" s="1628" t="s">
        <v>69</v>
      </c>
      <c r="D166" s="1628" t="s">
        <v>592</v>
      </c>
      <c r="E166" s="1629" t="s">
        <v>343</v>
      </c>
      <c r="F166" s="1630" t="s">
        <v>241</v>
      </c>
      <c r="G166" s="1630" t="s">
        <v>268</v>
      </c>
      <c r="H166" s="1630" t="s">
        <v>269</v>
      </c>
      <c r="I166" s="1630" t="s">
        <v>270</v>
      </c>
      <c r="J166" s="1630" t="s">
        <v>271</v>
      </c>
      <c r="K166" s="1630" t="s">
        <v>272</v>
      </c>
      <c r="L166" s="1630" t="s">
        <v>273</v>
      </c>
      <c r="M166" s="1630" t="s">
        <v>274</v>
      </c>
      <c r="N166" s="1630" t="s">
        <v>275</v>
      </c>
    </row>
    <row r="167" spans="2:15" s="1615" customFormat="1" x14ac:dyDescent="0.2">
      <c r="B167" s="1419"/>
      <c r="C167" s="1631" t="s">
        <v>375</v>
      </c>
      <c r="D167" s="1505" t="s">
        <v>610</v>
      </c>
      <c r="E167" s="1632" t="s">
        <v>638</v>
      </c>
      <c r="F167" s="983">
        <f>13.588*(1/Unit.TWh)</f>
        <v>13.587999999999999</v>
      </c>
      <c r="G167" s="983">
        <f>11.9763333333333*(1/Unit.TWh)</f>
        <v>11.976333333333301</v>
      </c>
      <c r="H167" s="983">
        <f>10.238*(1/Unit.TWh)</f>
        <v>10.238</v>
      </c>
      <c r="I167" s="983">
        <f>8.49966666666667*(1/Unit.TWh)</f>
        <v>8.4996666666666698</v>
      </c>
      <c r="J167" s="983">
        <f>6.76133333333333*(1/Unit.TWh)</f>
        <v>6.7613333333333303</v>
      </c>
      <c r="K167" s="983">
        <f>5.023*(1/Unit.TWh)</f>
        <v>5.0229999999999997</v>
      </c>
      <c r="L167" s="983">
        <f>3.72666666666667*(1/Unit.TWh)</f>
        <v>3.7266666666666701</v>
      </c>
      <c r="M167" s="983">
        <f>3.6*(1/Unit.TWh)</f>
        <v>3.6</v>
      </c>
      <c r="N167" s="983">
        <f>3.6*(1/Unit.TWh)</f>
        <v>3.6</v>
      </c>
    </row>
    <row r="168" spans="2:15" s="1615" customFormat="1" x14ac:dyDescent="0.2">
      <c r="B168" s="1419"/>
      <c r="C168" s="1631" t="s">
        <v>375</v>
      </c>
      <c r="D168" s="1505" t="s">
        <v>610</v>
      </c>
      <c r="E168" s="1504" t="s">
        <v>639</v>
      </c>
      <c r="F168" s="1633">
        <f t="shared" ref="F168:N168" si="9">0*(1/Unit.TWh)</f>
        <v>0</v>
      </c>
      <c r="G168" s="1633">
        <f t="shared" si="9"/>
        <v>0</v>
      </c>
      <c r="H168" s="1633">
        <f t="shared" si="9"/>
        <v>0</v>
      </c>
      <c r="I168" s="1633">
        <f t="shared" si="9"/>
        <v>0</v>
      </c>
      <c r="J168" s="1633">
        <f t="shared" si="9"/>
        <v>0</v>
      </c>
      <c r="K168" s="1633">
        <f t="shared" si="9"/>
        <v>0</v>
      </c>
      <c r="L168" s="1633">
        <f t="shared" si="9"/>
        <v>0</v>
      </c>
      <c r="M168" s="1633">
        <f t="shared" si="9"/>
        <v>0</v>
      </c>
      <c r="N168" s="1633">
        <f t="shared" si="9"/>
        <v>0</v>
      </c>
    </row>
    <row r="169" spans="2:15" s="1615" customFormat="1" x14ac:dyDescent="0.2">
      <c r="B169" s="1419"/>
      <c r="C169" s="1631" t="s">
        <v>375</v>
      </c>
      <c r="D169" s="1504" t="s">
        <v>1809</v>
      </c>
      <c r="E169" s="1504" t="s">
        <v>638</v>
      </c>
      <c r="F169" s="983">
        <f>1.35630425930133*(1/Unit.TWh)</f>
        <v>1.3563042593013299</v>
      </c>
      <c r="G169" s="983">
        <f>0.600487696866041*(1/Unit.TWh)</f>
        <v>0.60048769686604098</v>
      </c>
      <c r="H169" s="983">
        <f>0.16047711449102*(1/Unit.TWh)</f>
        <v>0.16047711449102001</v>
      </c>
      <c r="I169" s="983">
        <f>0.0839169806445128*(1/Unit.TWh)</f>
        <v>8.3916980644512806E-2</v>
      </c>
      <c r="J169" s="983">
        <f>0.077332183695044*(1/Unit.TWh)</f>
        <v>7.7332183695043993E-2</v>
      </c>
      <c r="K169" s="983">
        <f>0.0765312356472111*(1/Unit.TWh)</f>
        <v>7.6531235647211093E-2</v>
      </c>
      <c r="L169" s="983">
        <f>0.0765312356472111*(1/Unit.TWh)</f>
        <v>7.6531235647211093E-2</v>
      </c>
      <c r="M169" s="983">
        <f>0.0765312356472111*(1/Unit.TWh)</f>
        <v>7.6531235647211093E-2</v>
      </c>
      <c r="N169" s="983">
        <f>0.0765312356472111*(1/Unit.TWh)</f>
        <v>7.6531235647211093E-2</v>
      </c>
    </row>
    <row r="170" spans="2:15" s="2370" customFormat="1" x14ac:dyDescent="0.2">
      <c r="B170" s="1419"/>
      <c r="C170" s="1631" t="s">
        <v>375</v>
      </c>
      <c r="D170" s="1504" t="s">
        <v>1809</v>
      </c>
      <c r="E170" s="1504" t="s">
        <v>2317</v>
      </c>
      <c r="F170" s="1633">
        <f>0.123050674970797*(1/Unit.TWh)</f>
        <v>0.123050674970797</v>
      </c>
      <c r="G170" s="1633">
        <f>0.127930570228309*(1/Unit.TWh)</f>
        <v>0.127930570228309</v>
      </c>
      <c r="H170" s="1633">
        <f>0.115766100034766*(1/Unit.TWh)</f>
        <v>0.11576610003476601</v>
      </c>
      <c r="I170" s="1633">
        <f>0.126726412997109*(1/Unit.TWh)</f>
        <v>0.12672641299710899</v>
      </c>
      <c r="J170" s="1633">
        <f>0.126179432674123*(1/Unit.TWh)</f>
        <v>0.12617943267412299</v>
      </c>
      <c r="K170" s="1633">
        <f>0.126179432674123*(1/Unit.TWh)</f>
        <v>0.12617943267412299</v>
      </c>
      <c r="L170" s="1633">
        <f>0.126179432674123*(1/Unit.TWh)</f>
        <v>0.12617943267412299</v>
      </c>
      <c r="M170" s="1633">
        <f>0.126179432674123*(1/Unit.TWh)</f>
        <v>0.12617943267412299</v>
      </c>
      <c r="N170" s="1633">
        <f>0.126179432674123*(1/Unit.TWh)</f>
        <v>0.12617943267412299</v>
      </c>
    </row>
    <row r="171" spans="2:15" s="1615" customFormat="1" x14ac:dyDescent="0.2">
      <c r="B171" s="1419"/>
      <c r="C171" s="1631" t="s">
        <v>375</v>
      </c>
      <c r="D171" s="1504" t="s">
        <v>1809</v>
      </c>
      <c r="E171" s="1504" t="s">
        <v>639</v>
      </c>
      <c r="F171" s="983">
        <f t="shared" ref="F171:N171" si="10">0*(1/Unit.TWh)</f>
        <v>0</v>
      </c>
      <c r="G171" s="983">
        <f t="shared" si="10"/>
        <v>0</v>
      </c>
      <c r="H171" s="983">
        <f t="shared" si="10"/>
        <v>0</v>
      </c>
      <c r="I171" s="983">
        <f t="shared" si="10"/>
        <v>0</v>
      </c>
      <c r="J171" s="983">
        <f t="shared" si="10"/>
        <v>0</v>
      </c>
      <c r="K171" s="983">
        <f t="shared" si="10"/>
        <v>0</v>
      </c>
      <c r="L171" s="983">
        <f t="shared" si="10"/>
        <v>0</v>
      </c>
      <c r="M171" s="983">
        <f t="shared" si="10"/>
        <v>0</v>
      </c>
      <c r="N171" s="983">
        <f t="shared" si="10"/>
        <v>0</v>
      </c>
    </row>
    <row r="172" spans="2:15" s="1615" customFormat="1" x14ac:dyDescent="0.2">
      <c r="B172" s="1419"/>
      <c r="C172" s="1631" t="s">
        <v>375</v>
      </c>
      <c r="D172" s="1504" t="s">
        <v>2318</v>
      </c>
      <c r="E172" s="1504" t="s">
        <v>638</v>
      </c>
      <c r="F172" s="983">
        <f>13.588*(1/Unit.TWh)</f>
        <v>13.587999999999999</v>
      </c>
      <c r="G172" s="983">
        <f>11.9763333333333*(1/Unit.TWh)</f>
        <v>11.976333333333301</v>
      </c>
      <c r="H172" s="983">
        <f>10.238*(1/Unit.TWh)</f>
        <v>10.238</v>
      </c>
      <c r="I172" s="983">
        <f>8.49966666666667*(1/Unit.TWh)</f>
        <v>8.4996666666666698</v>
      </c>
      <c r="J172" s="983">
        <f>6.76133333333333*(1/Unit.TWh)</f>
        <v>6.7613333333333303</v>
      </c>
      <c r="K172" s="983">
        <f>5.023*(1/Unit.TWh)</f>
        <v>5.0229999999999997</v>
      </c>
      <c r="L172" s="983">
        <f>3.72666666666667*(1/Unit.TWh)</f>
        <v>3.7266666666666701</v>
      </c>
      <c r="M172" s="983">
        <f>3.6*(1/Unit.TWh)</f>
        <v>3.6</v>
      </c>
      <c r="N172" s="983">
        <f>3.6*(1/Unit.TWh)</f>
        <v>3.6</v>
      </c>
    </row>
    <row r="173" spans="2:15" s="2370" customFormat="1" x14ac:dyDescent="0.2">
      <c r="B173" s="1419"/>
      <c r="C173" s="1631" t="s">
        <v>375</v>
      </c>
      <c r="D173" s="1505" t="s">
        <v>2319</v>
      </c>
      <c r="E173" s="1504" t="s">
        <v>639</v>
      </c>
      <c r="F173" s="1633">
        <f t="shared" ref="F173:N173" si="11">0*(1/Unit.TWh)</f>
        <v>0</v>
      </c>
      <c r="G173" s="1633">
        <f t="shared" si="11"/>
        <v>0</v>
      </c>
      <c r="H173" s="1633">
        <f t="shared" si="11"/>
        <v>0</v>
      </c>
      <c r="I173" s="1633">
        <f t="shared" si="11"/>
        <v>0</v>
      </c>
      <c r="J173" s="1633">
        <f t="shared" si="11"/>
        <v>0</v>
      </c>
      <c r="K173" s="1633">
        <f t="shared" si="11"/>
        <v>0</v>
      </c>
      <c r="L173" s="1633">
        <f t="shared" si="11"/>
        <v>0</v>
      </c>
      <c r="M173" s="1633">
        <f t="shared" si="11"/>
        <v>0</v>
      </c>
      <c r="N173" s="1633">
        <f t="shared" si="11"/>
        <v>0</v>
      </c>
    </row>
    <row r="174" spans="2:15" s="1615" customFormat="1" x14ac:dyDescent="0.2">
      <c r="B174" s="1419"/>
      <c r="C174" s="1631"/>
      <c r="D174" s="1504"/>
      <c r="E174" s="1504"/>
      <c r="F174" s="1633"/>
      <c r="G174" s="983"/>
      <c r="H174" s="983"/>
      <c r="I174" s="983"/>
      <c r="J174" s="983"/>
      <c r="K174" s="983"/>
      <c r="L174" s="983"/>
      <c r="M174" s="983"/>
      <c r="N174" s="983"/>
      <c r="O174" s="1420"/>
    </row>
    <row r="175" spans="2:15" s="1615" customFormat="1" x14ac:dyDescent="0.2">
      <c r="B175" s="1419"/>
      <c r="C175" s="1417" t="s">
        <v>1798</v>
      </c>
      <c r="D175" s="1416"/>
      <c r="E175" s="1416"/>
      <c r="F175" s="1416"/>
      <c r="G175" s="1416"/>
      <c r="H175" s="1416"/>
      <c r="I175" s="1416"/>
      <c r="J175" s="1416"/>
      <c r="K175" s="1416"/>
      <c r="L175" s="1416"/>
      <c r="M175" s="1416"/>
      <c r="N175" s="1416" t="str">
        <f>"kt per "&amp;Preferences.EnergyUnits</f>
        <v>kt per TWh</v>
      </c>
      <c r="O175" s="1420"/>
    </row>
    <row r="176" spans="2:15" s="1615" customFormat="1" ht="5.25" customHeight="1" x14ac:dyDescent="0.2">
      <c r="B176" s="1419"/>
      <c r="C176" s="1416"/>
      <c r="D176" s="1416"/>
      <c r="E176" s="713"/>
      <c r="F176" s="712"/>
      <c r="G176" s="1416"/>
      <c r="H176" s="1416"/>
      <c r="I176" s="1416"/>
      <c r="J176" s="1416"/>
      <c r="K176" s="1416"/>
      <c r="L176" s="1416"/>
      <c r="M176" s="1416"/>
      <c r="N176" s="1416"/>
      <c r="O176" s="1420"/>
    </row>
    <row r="177" spans="2:15" s="1615" customFormat="1" x14ac:dyDescent="0.2">
      <c r="B177" s="1419"/>
      <c r="C177" s="1628" t="s">
        <v>69</v>
      </c>
      <c r="D177" s="1628" t="s">
        <v>592</v>
      </c>
      <c r="E177" s="1629" t="s">
        <v>343</v>
      </c>
      <c r="F177" s="1630" t="s">
        <v>241</v>
      </c>
      <c r="G177" s="1630" t="s">
        <v>268</v>
      </c>
      <c r="H177" s="1630" t="s">
        <v>269</v>
      </c>
      <c r="I177" s="1630" t="s">
        <v>270</v>
      </c>
      <c r="J177" s="1630" t="s">
        <v>271</v>
      </c>
      <c r="K177" s="1630" t="s">
        <v>272</v>
      </c>
      <c r="L177" s="1630" t="s">
        <v>273</v>
      </c>
      <c r="M177" s="1630" t="s">
        <v>274</v>
      </c>
      <c r="N177" s="1630" t="s">
        <v>275</v>
      </c>
    </row>
    <row r="178" spans="2:15" s="1615" customFormat="1" x14ac:dyDescent="0.2">
      <c r="B178" s="1419"/>
      <c r="C178" s="1631" t="s">
        <v>375</v>
      </c>
      <c r="D178" s="1505" t="s">
        <v>610</v>
      </c>
      <c r="E178" s="1632" t="s">
        <v>638</v>
      </c>
      <c r="F178" s="983">
        <f>0.0889473684210526*(1/Unit.TWh)</f>
        <v>8.8947368421052594E-2</v>
      </c>
      <c r="G178" s="983">
        <f t="shared" ref="G178:N178" si="12">0.00157894736842105*(1/Unit.TWh)</f>
        <v>1.57894736842105E-3</v>
      </c>
      <c r="H178" s="983">
        <f t="shared" si="12"/>
        <v>1.57894736842105E-3</v>
      </c>
      <c r="I178" s="983">
        <f t="shared" si="12"/>
        <v>1.57894736842105E-3</v>
      </c>
      <c r="J178" s="983">
        <f t="shared" si="12"/>
        <v>1.57894736842105E-3</v>
      </c>
      <c r="K178" s="983">
        <f t="shared" si="12"/>
        <v>1.57894736842105E-3</v>
      </c>
      <c r="L178" s="983">
        <f t="shared" si="12"/>
        <v>1.57894736842105E-3</v>
      </c>
      <c r="M178" s="983">
        <f t="shared" si="12"/>
        <v>1.57894736842105E-3</v>
      </c>
      <c r="N178" s="983">
        <f t="shared" si="12"/>
        <v>1.57894736842105E-3</v>
      </c>
    </row>
    <row r="179" spans="2:15" s="1615" customFormat="1" x14ac:dyDescent="0.2">
      <c r="B179" s="1419"/>
      <c r="C179" s="1631" t="s">
        <v>375</v>
      </c>
      <c r="D179" s="1505" t="s">
        <v>610</v>
      </c>
      <c r="E179" s="1504" t="s">
        <v>639</v>
      </c>
      <c r="F179" s="1633">
        <f t="shared" ref="F179:N179" si="13">0*(1/Unit.TWh)</f>
        <v>0</v>
      </c>
      <c r="G179" s="1633">
        <f t="shared" si="13"/>
        <v>0</v>
      </c>
      <c r="H179" s="1633">
        <f t="shared" si="13"/>
        <v>0</v>
      </c>
      <c r="I179" s="1633">
        <f t="shared" si="13"/>
        <v>0</v>
      </c>
      <c r="J179" s="1633">
        <f t="shared" si="13"/>
        <v>0</v>
      </c>
      <c r="K179" s="1633">
        <f t="shared" si="13"/>
        <v>0</v>
      </c>
      <c r="L179" s="1633">
        <f t="shared" si="13"/>
        <v>0</v>
      </c>
      <c r="M179" s="1633">
        <f t="shared" si="13"/>
        <v>0</v>
      </c>
      <c r="N179" s="1633">
        <f t="shared" si="13"/>
        <v>0</v>
      </c>
    </row>
    <row r="180" spans="2:15" s="1615" customFormat="1" x14ac:dyDescent="0.2">
      <c r="B180" s="1419"/>
      <c r="C180" s="1631" t="s">
        <v>375</v>
      </c>
      <c r="D180" s="1504" t="s">
        <v>1809</v>
      </c>
      <c r="E180" s="1504" t="s">
        <v>638</v>
      </c>
      <c r="F180" s="983">
        <f>0.00116842105263158*(1/Unit.TWh)</f>
        <v>1.1684210526315801E-3</v>
      </c>
      <c r="G180" s="983">
        <f>0.00107424570114252*(1/Unit.TWh)</f>
        <v>1.0742457011425201E-3</v>
      </c>
      <c r="H180" s="983">
        <f>0.00102350454301691*(1/Unit.TWh)</f>
        <v>1.02350454301691E-3</v>
      </c>
      <c r="I180" s="983">
        <f>0.00096964891038593*(1/Unit.TWh)</f>
        <v>9.6964891038592998E-4</v>
      </c>
      <c r="J180" s="983">
        <f>0.000928493149890139*(1/Unit.TWh)</f>
        <v>9.28493149890139E-4</v>
      </c>
      <c r="K180" s="983">
        <f>0.000871867628299022*(1/Unit.TWh)</f>
        <v>8.7186762829902199E-4</v>
      </c>
      <c r="L180" s="983">
        <f>0.000871867628299022*(1/Unit.TWh)</f>
        <v>8.7186762829902199E-4</v>
      </c>
      <c r="M180" s="983">
        <f>0.000871867628299022*(1/Unit.TWh)</f>
        <v>8.7186762829902199E-4</v>
      </c>
      <c r="N180" s="983">
        <f>0.000871867628299022*(1/Unit.TWh)</f>
        <v>8.7186762829902199E-4</v>
      </c>
    </row>
    <row r="181" spans="2:15" s="2370" customFormat="1" x14ac:dyDescent="0.2">
      <c r="B181" s="1419"/>
      <c r="C181" s="1631" t="s">
        <v>375</v>
      </c>
      <c r="D181" s="1504" t="s">
        <v>1809</v>
      </c>
      <c r="E181" s="1504" t="s">
        <v>2317</v>
      </c>
      <c r="F181" s="1633">
        <f>0.00181607897153511*(1/Unit.TWh)</f>
        <v>1.81607897153511E-3</v>
      </c>
      <c r="G181" s="1633">
        <f>0.0023443095515625*(1/Unit.TWh)</f>
        <v>2.3443095515624998E-3</v>
      </c>
      <c r="H181" s="1633">
        <f>0.00234138971705812*(1/Unit.TWh)</f>
        <v>2.3413897170581201E-3</v>
      </c>
      <c r="I181" s="1633">
        <f>0.00233778540323651*(1/Unit.TWh)</f>
        <v>2.3377854032365099E-3</v>
      </c>
      <c r="J181" s="1633">
        <f>0.00234264028589595*(1/Unit.TWh)</f>
        <v>2.3426402858959501E-3</v>
      </c>
      <c r="K181" s="1633">
        <f>0.00234264028589595*(1/Unit.TWh)</f>
        <v>2.3426402858959501E-3</v>
      </c>
      <c r="L181" s="1633">
        <f>0.00234264028589595*(1/Unit.TWh)</f>
        <v>2.3426402858959501E-3</v>
      </c>
      <c r="M181" s="1633">
        <f>0.00234264028589595*(1/Unit.TWh)</f>
        <v>2.3426402858959501E-3</v>
      </c>
      <c r="N181" s="1633">
        <f>0.00234264028589595*(1/Unit.TWh)</f>
        <v>2.3426402858959501E-3</v>
      </c>
    </row>
    <row r="182" spans="2:15" s="1615" customFormat="1" x14ac:dyDescent="0.2">
      <c r="B182" s="1419"/>
      <c r="C182" s="1631" t="s">
        <v>375</v>
      </c>
      <c r="D182" s="1504" t="s">
        <v>1809</v>
      </c>
      <c r="E182" s="1504" t="s">
        <v>639</v>
      </c>
      <c r="F182" s="983">
        <f t="shared" ref="F182:N182" si="14">0*(1/Unit.TWh)</f>
        <v>0</v>
      </c>
      <c r="G182" s="983">
        <f t="shared" si="14"/>
        <v>0</v>
      </c>
      <c r="H182" s="983">
        <f t="shared" si="14"/>
        <v>0</v>
      </c>
      <c r="I182" s="983">
        <f t="shared" si="14"/>
        <v>0</v>
      </c>
      <c r="J182" s="983">
        <f t="shared" si="14"/>
        <v>0</v>
      </c>
      <c r="K182" s="983">
        <f t="shared" si="14"/>
        <v>0</v>
      </c>
      <c r="L182" s="983">
        <f t="shared" si="14"/>
        <v>0</v>
      </c>
      <c r="M182" s="983">
        <f t="shared" si="14"/>
        <v>0</v>
      </c>
      <c r="N182" s="983">
        <f t="shared" si="14"/>
        <v>0</v>
      </c>
    </row>
    <row r="183" spans="2:15" s="1615" customFormat="1" x14ac:dyDescent="0.2">
      <c r="B183" s="1419"/>
      <c r="C183" s="1631" t="s">
        <v>375</v>
      </c>
      <c r="D183" s="1504" t="s">
        <v>2318</v>
      </c>
      <c r="E183" s="1504" t="s">
        <v>638</v>
      </c>
      <c r="F183" s="983">
        <f>0.0889473684210526*(1/Unit.TWh)</f>
        <v>8.8947368421052594E-2</v>
      </c>
      <c r="G183" s="983">
        <f t="shared" ref="G183:N183" si="15">0.00157894736842105*(1/Unit.TWh)</f>
        <v>1.57894736842105E-3</v>
      </c>
      <c r="H183" s="983">
        <f t="shared" si="15"/>
        <v>1.57894736842105E-3</v>
      </c>
      <c r="I183" s="983">
        <f t="shared" si="15"/>
        <v>1.57894736842105E-3</v>
      </c>
      <c r="J183" s="983">
        <f t="shared" si="15"/>
        <v>1.57894736842105E-3</v>
      </c>
      <c r="K183" s="983">
        <f t="shared" si="15"/>
        <v>1.57894736842105E-3</v>
      </c>
      <c r="L183" s="983">
        <f t="shared" si="15"/>
        <v>1.57894736842105E-3</v>
      </c>
      <c r="M183" s="983">
        <f t="shared" si="15"/>
        <v>1.57894736842105E-3</v>
      </c>
      <c r="N183" s="983">
        <f t="shared" si="15"/>
        <v>1.57894736842105E-3</v>
      </c>
    </row>
    <row r="184" spans="2:15" s="2370" customFormat="1" x14ac:dyDescent="0.2">
      <c r="B184" s="1419"/>
      <c r="C184" s="1631" t="s">
        <v>375</v>
      </c>
      <c r="D184" s="1505" t="s">
        <v>2319</v>
      </c>
      <c r="E184" s="1504" t="s">
        <v>639</v>
      </c>
      <c r="F184" s="1633">
        <f t="shared" ref="F184:N184" si="16">0*(1/Unit.TWh)</f>
        <v>0</v>
      </c>
      <c r="G184" s="1633">
        <f t="shared" si="16"/>
        <v>0</v>
      </c>
      <c r="H184" s="1633">
        <f t="shared" si="16"/>
        <v>0</v>
      </c>
      <c r="I184" s="1633">
        <f t="shared" si="16"/>
        <v>0</v>
      </c>
      <c r="J184" s="1633">
        <f t="shared" si="16"/>
        <v>0</v>
      </c>
      <c r="K184" s="1633">
        <f t="shared" si="16"/>
        <v>0</v>
      </c>
      <c r="L184" s="1633">
        <f t="shared" si="16"/>
        <v>0</v>
      </c>
      <c r="M184" s="1633">
        <f t="shared" si="16"/>
        <v>0</v>
      </c>
      <c r="N184" s="1633">
        <f t="shared" si="16"/>
        <v>0</v>
      </c>
    </row>
    <row r="185" spans="2:15" s="1411" customFormat="1" ht="15.75" x14ac:dyDescent="0.25">
      <c r="B185" s="604"/>
      <c r="C185" s="606"/>
      <c r="D185" s="1415"/>
      <c r="E185" s="488"/>
      <c r="F185" s="601"/>
      <c r="G185" s="602"/>
      <c r="H185" s="602"/>
      <c r="I185" s="602"/>
      <c r="J185" s="602"/>
      <c r="K185" s="227"/>
      <c r="L185" s="227"/>
      <c r="M185" s="227"/>
      <c r="N185" s="227"/>
      <c r="O185" s="466"/>
    </row>
    <row r="186" spans="2:15" s="1615" customFormat="1" x14ac:dyDescent="0.2">
      <c r="B186" s="1419"/>
      <c r="C186" s="1417" t="s">
        <v>1800</v>
      </c>
      <c r="D186" s="1416"/>
      <c r="E186" s="1416"/>
      <c r="F186" s="1416"/>
      <c r="G186" s="1416"/>
      <c r="H186" s="1416"/>
      <c r="I186" s="1416"/>
      <c r="J186" s="1416"/>
      <c r="K186" s="1416"/>
      <c r="L186" s="1416"/>
      <c r="M186" s="1416"/>
      <c r="N186" s="1416" t="str">
        <f>"kt per "&amp;Preferences.EnergyUnits</f>
        <v>kt per TWh</v>
      </c>
      <c r="O186" s="1420"/>
    </row>
    <row r="187" spans="2:15" s="1615" customFormat="1" ht="5.25" customHeight="1" x14ac:dyDescent="0.2">
      <c r="B187" s="1419"/>
      <c r="C187" s="1416"/>
      <c r="D187" s="1416"/>
      <c r="E187" s="713"/>
      <c r="F187" s="712"/>
      <c r="G187" s="1416"/>
      <c r="H187" s="1416"/>
      <c r="I187" s="1416"/>
      <c r="J187" s="1416"/>
      <c r="K187" s="1416"/>
      <c r="L187" s="1416"/>
      <c r="M187" s="1416"/>
      <c r="N187" s="1416"/>
      <c r="O187" s="1420"/>
    </row>
    <row r="188" spans="2:15" s="1615" customFormat="1" x14ac:dyDescent="0.2">
      <c r="B188" s="1419"/>
      <c r="C188" s="1628" t="s">
        <v>69</v>
      </c>
      <c r="D188" s="1628" t="s">
        <v>592</v>
      </c>
      <c r="E188" s="1629" t="s">
        <v>343</v>
      </c>
      <c r="F188" s="1630" t="s">
        <v>241</v>
      </c>
      <c r="G188" s="1630" t="s">
        <v>268</v>
      </c>
      <c r="H188" s="1630" t="s">
        <v>269</v>
      </c>
      <c r="I188" s="1630" t="s">
        <v>270</v>
      </c>
      <c r="J188" s="1630" t="s">
        <v>271</v>
      </c>
      <c r="K188" s="1630" t="s">
        <v>272</v>
      </c>
      <c r="L188" s="1630" t="s">
        <v>273</v>
      </c>
      <c r="M188" s="1630" t="s">
        <v>274</v>
      </c>
      <c r="N188" s="1630" t="s">
        <v>275</v>
      </c>
    </row>
    <row r="189" spans="2:15" s="1615" customFormat="1" x14ac:dyDescent="0.2">
      <c r="B189" s="1419"/>
      <c r="C189" s="1631" t="s">
        <v>375</v>
      </c>
      <c r="D189" s="1505" t="s">
        <v>610</v>
      </c>
      <c r="E189" s="1632" t="s">
        <v>638</v>
      </c>
      <c r="F189" s="983">
        <f>1.33613333333333*(1/Unit.TWh)</f>
        <v>1.3361333333333301</v>
      </c>
      <c r="G189" s="983">
        <f>1.16896666666667*(1/Unit.TWh)</f>
        <v>1.16896666666667</v>
      </c>
      <c r="H189" s="983">
        <f>1.0018*(1/Unit.TWh)</f>
        <v>1.0018</v>
      </c>
      <c r="I189" s="983">
        <f>0.834633333333333*(1/Unit.TWh)</f>
        <v>0.83463333333333301</v>
      </c>
      <c r="J189" s="983">
        <f>0.667466666666667*(1/Unit.TWh)</f>
        <v>0.66746666666666699</v>
      </c>
      <c r="K189" s="983">
        <f>0.5003*(1/Unit.TWh)</f>
        <v>0.50029999999999997</v>
      </c>
      <c r="L189" s="983">
        <f>0.4*(1/Unit.TWh)</f>
        <v>0.4</v>
      </c>
      <c r="M189" s="983">
        <f>0.4*(1/Unit.TWh)</f>
        <v>0.4</v>
      </c>
      <c r="N189" s="983">
        <f>0.4*(1/Unit.TWh)</f>
        <v>0.4</v>
      </c>
    </row>
    <row r="190" spans="2:15" s="1615" customFormat="1" x14ac:dyDescent="0.2">
      <c r="B190" s="1419"/>
      <c r="C190" s="1631" t="s">
        <v>375</v>
      </c>
      <c r="D190" s="1505" t="s">
        <v>610</v>
      </c>
      <c r="E190" s="1504" t="s">
        <v>639</v>
      </c>
      <c r="F190" s="1633">
        <f t="shared" ref="F190:N190" si="17">0*(1/Unit.TWh)</f>
        <v>0</v>
      </c>
      <c r="G190" s="1633">
        <f t="shared" si="17"/>
        <v>0</v>
      </c>
      <c r="H190" s="1633">
        <f t="shared" si="17"/>
        <v>0</v>
      </c>
      <c r="I190" s="1633">
        <f t="shared" si="17"/>
        <v>0</v>
      </c>
      <c r="J190" s="1633">
        <f t="shared" si="17"/>
        <v>0</v>
      </c>
      <c r="K190" s="1633">
        <f t="shared" si="17"/>
        <v>0</v>
      </c>
      <c r="L190" s="1633">
        <f t="shared" si="17"/>
        <v>0</v>
      </c>
      <c r="M190" s="1633">
        <f t="shared" si="17"/>
        <v>0</v>
      </c>
      <c r="N190" s="1633">
        <f t="shared" si="17"/>
        <v>0</v>
      </c>
    </row>
    <row r="191" spans="2:15" s="1615" customFormat="1" x14ac:dyDescent="0.2">
      <c r="B191" s="1419"/>
      <c r="C191" s="1631" t="s">
        <v>375</v>
      </c>
      <c r="D191" s="1504" t="s">
        <v>1809</v>
      </c>
      <c r="E191" s="1504" t="s">
        <v>638</v>
      </c>
      <c r="F191" s="983">
        <f>0.0381333780809245*(1/Unit.TWh)</f>
        <v>3.8133378080924499E-2</v>
      </c>
      <c r="G191" s="983">
        <f>0.0101807957568558*(1/Unit.TWh)</f>
        <v>1.01807957568558E-2</v>
      </c>
      <c r="H191" s="983">
        <f>0.0016789558507987*(1/Unit.TWh)</f>
        <v>1.6789558507986999E-3</v>
      </c>
      <c r="I191" s="983">
        <f>0.00108706449039611*(1/Unit.TWh)</f>
        <v>1.08706449039611E-3</v>
      </c>
      <c r="J191" s="983">
        <f>0.00105877611882696*(1/Unit.TWh)</f>
        <v>1.05877611882696E-3</v>
      </c>
      <c r="K191" s="983">
        <f>0.00105050041725171*(1/Unit.TWh)</f>
        <v>1.05050041725171E-3</v>
      </c>
      <c r="L191" s="983">
        <f>0.00105050041725171*(1/Unit.TWh)</f>
        <v>1.05050041725171E-3</v>
      </c>
      <c r="M191" s="983">
        <f>0.00105050041725171*(1/Unit.TWh)</f>
        <v>1.05050041725171E-3</v>
      </c>
      <c r="N191" s="983">
        <f>0.00105050041725171*(1/Unit.TWh)</f>
        <v>1.05050041725171E-3</v>
      </c>
    </row>
    <row r="192" spans="2:15" s="2370" customFormat="1" x14ac:dyDescent="0.2">
      <c r="B192" s="1419"/>
      <c r="C192" s="1631" t="s">
        <v>375</v>
      </c>
      <c r="D192" s="1504" t="s">
        <v>1809</v>
      </c>
      <c r="E192" s="1504" t="s">
        <v>2317</v>
      </c>
      <c r="F192" s="985">
        <f>0.00419060073008392*(1/Unit.TWh)</f>
        <v>4.1906007300839196E-3</v>
      </c>
      <c r="G192" s="1662">
        <f>0.00422133980427538*(1/Unit.TWh)</f>
        <v>4.22133980427538E-3</v>
      </c>
      <c r="H192" s="1662">
        <f>0.00422141672632296*(1/Unit.TWh)</f>
        <v>4.2214167263229596E-3</v>
      </c>
      <c r="I192" s="1662">
        <f>0.00422151168074551*(1/Unit.TWh)</f>
        <v>4.2215116807455101E-3</v>
      </c>
      <c r="J192" s="985">
        <f>0.00422138378051199*(1/Unit.TWh)</f>
        <v>4.2213837805119897E-3</v>
      </c>
      <c r="K192" s="985">
        <f>0.00422138378051199*(1/Unit.TWh)</f>
        <v>4.2213837805119897E-3</v>
      </c>
      <c r="L192" s="985">
        <f>0.00422138378051199*(1/Unit.TWh)</f>
        <v>4.2213837805119897E-3</v>
      </c>
      <c r="M192" s="985">
        <f>0.00422138378051199*(1/Unit.TWh)</f>
        <v>4.2213837805119897E-3</v>
      </c>
      <c r="N192" s="985">
        <f>0.00422138378051199*(1/Unit.TWh)</f>
        <v>4.2213837805119897E-3</v>
      </c>
    </row>
    <row r="193" spans="2:15" s="1615" customFormat="1" x14ac:dyDescent="0.2">
      <c r="B193" s="1419"/>
      <c r="C193" s="1631" t="s">
        <v>375</v>
      </c>
      <c r="D193" s="1504" t="s">
        <v>1809</v>
      </c>
      <c r="E193" s="1504" t="s">
        <v>639</v>
      </c>
      <c r="F193" s="983">
        <f t="shared" ref="F193:N193" si="18">0*(1/Unit.TWh)</f>
        <v>0</v>
      </c>
      <c r="G193" s="983">
        <f t="shared" si="18"/>
        <v>0</v>
      </c>
      <c r="H193" s="983">
        <f t="shared" si="18"/>
        <v>0</v>
      </c>
      <c r="I193" s="983">
        <f t="shared" si="18"/>
        <v>0</v>
      </c>
      <c r="J193" s="983">
        <f t="shared" si="18"/>
        <v>0</v>
      </c>
      <c r="K193" s="983">
        <f t="shared" si="18"/>
        <v>0</v>
      </c>
      <c r="L193" s="983">
        <f t="shared" si="18"/>
        <v>0</v>
      </c>
      <c r="M193" s="983">
        <f t="shared" si="18"/>
        <v>0</v>
      </c>
      <c r="N193" s="983">
        <f t="shared" si="18"/>
        <v>0</v>
      </c>
    </row>
    <row r="194" spans="2:15" s="1615" customFormat="1" x14ac:dyDescent="0.2">
      <c r="B194" s="1419"/>
      <c r="C194" s="1631" t="s">
        <v>375</v>
      </c>
      <c r="D194" s="1504" t="s">
        <v>2318</v>
      </c>
      <c r="E194" s="1504" t="s">
        <v>638</v>
      </c>
      <c r="F194" s="983">
        <f>1.33613333333333*(1/Unit.TWh)</f>
        <v>1.3361333333333301</v>
      </c>
      <c r="G194" s="983">
        <f>1.16896666666667*(1/Unit.TWh)</f>
        <v>1.16896666666667</v>
      </c>
      <c r="H194" s="983">
        <f>1.0018*(1/Unit.TWh)</f>
        <v>1.0018</v>
      </c>
      <c r="I194" s="983">
        <f>0.834633333333333*(1/Unit.TWh)</f>
        <v>0.83463333333333301</v>
      </c>
      <c r="J194" s="983">
        <f>0.667466666666667*(1/Unit.TWh)</f>
        <v>0.66746666666666699</v>
      </c>
      <c r="K194" s="983">
        <f>0.5003*(1/Unit.TWh)</f>
        <v>0.50029999999999997</v>
      </c>
      <c r="L194" s="983">
        <f>0.4*(1/Unit.TWh)</f>
        <v>0.4</v>
      </c>
      <c r="M194" s="983">
        <f>0.4*(1/Unit.TWh)</f>
        <v>0.4</v>
      </c>
      <c r="N194" s="983">
        <f>0.4*(1/Unit.TWh)</f>
        <v>0.4</v>
      </c>
    </row>
    <row r="195" spans="2:15" s="2370" customFormat="1" x14ac:dyDescent="0.2">
      <c r="B195" s="1419"/>
      <c r="C195" s="1631" t="s">
        <v>375</v>
      </c>
      <c r="D195" s="1505" t="s">
        <v>2319</v>
      </c>
      <c r="E195" s="1504" t="s">
        <v>639</v>
      </c>
      <c r="F195" s="1633">
        <f t="shared" ref="F195:N195" si="19">0*(1/Unit.TWh)</f>
        <v>0</v>
      </c>
      <c r="G195" s="1633">
        <f t="shared" si="19"/>
        <v>0</v>
      </c>
      <c r="H195" s="1633">
        <f t="shared" si="19"/>
        <v>0</v>
      </c>
      <c r="I195" s="1633">
        <f t="shared" si="19"/>
        <v>0</v>
      </c>
      <c r="J195" s="1633">
        <f t="shared" si="19"/>
        <v>0</v>
      </c>
      <c r="K195" s="1633">
        <f t="shared" si="19"/>
        <v>0</v>
      </c>
      <c r="L195" s="1633">
        <f t="shared" si="19"/>
        <v>0</v>
      </c>
      <c r="M195" s="1633">
        <f t="shared" si="19"/>
        <v>0</v>
      </c>
      <c r="N195" s="1633">
        <f t="shared" si="19"/>
        <v>0</v>
      </c>
    </row>
    <row r="196" spans="2:15" s="2010" customFormat="1" x14ac:dyDescent="0.2">
      <c r="B196" s="1419"/>
      <c r="C196" s="1631"/>
      <c r="D196" s="1504"/>
      <c r="E196" s="1504"/>
      <c r="F196" s="1633"/>
      <c r="G196" s="983"/>
      <c r="H196" s="983"/>
      <c r="I196" s="983"/>
      <c r="J196" s="983"/>
      <c r="K196" s="983"/>
      <c r="L196" s="983"/>
      <c r="M196" s="983"/>
      <c r="N196" s="983"/>
      <c r="O196" s="1420"/>
    </row>
    <row r="197" spans="2:15" s="2010" customFormat="1" x14ac:dyDescent="0.2">
      <c r="B197" s="1419"/>
      <c r="C197" s="626" t="s">
        <v>1466</v>
      </c>
      <c r="D197" s="1504"/>
      <c r="E197" s="1504"/>
      <c r="F197" s="1633"/>
      <c r="G197" s="983"/>
      <c r="H197" s="983"/>
      <c r="I197" s="983"/>
      <c r="J197" s="983"/>
      <c r="K197" s="983"/>
      <c r="L197" s="983"/>
      <c r="M197" s="983"/>
      <c r="N197" s="983"/>
      <c r="O197" s="1420"/>
    </row>
    <row r="198" spans="2:15" s="2010" customFormat="1" x14ac:dyDescent="0.2">
      <c r="B198" s="1419"/>
      <c r="C198" s="2021" t="s">
        <v>1472</v>
      </c>
      <c r="D198" s="1504"/>
      <c r="E198" s="1504"/>
      <c r="F198" s="1633"/>
      <c r="G198" s="983"/>
      <c r="H198" s="983"/>
      <c r="I198" s="983"/>
      <c r="J198" s="983"/>
      <c r="K198" s="983"/>
      <c r="L198" s="983"/>
      <c r="M198" s="983"/>
      <c r="N198" s="983"/>
      <c r="O198" s="1420"/>
    </row>
    <row r="199" spans="2:15" s="2010" customFormat="1" x14ac:dyDescent="0.2">
      <c r="B199" s="1419"/>
      <c r="C199" s="1992">
        <v>30</v>
      </c>
      <c r="D199" s="1504" t="s">
        <v>2320</v>
      </c>
      <c r="E199" s="1504"/>
      <c r="F199" s="1633"/>
      <c r="G199" s="983"/>
      <c r="H199" s="983"/>
      <c r="I199" s="983"/>
      <c r="J199" s="983"/>
      <c r="K199" s="983"/>
      <c r="L199" s="983"/>
      <c r="M199" s="983"/>
      <c r="N199" s="983"/>
      <c r="O199" s="1420"/>
    </row>
    <row r="200" spans="2:15" s="2010" customFormat="1" x14ac:dyDescent="0.2">
      <c r="B200" s="1419"/>
      <c r="C200" s="1988">
        <v>25</v>
      </c>
      <c r="D200" s="1504" t="s">
        <v>2323</v>
      </c>
      <c r="E200" s="1504"/>
      <c r="F200" s="1633"/>
      <c r="G200" s="983"/>
      <c r="H200" s="983"/>
      <c r="I200" s="983"/>
      <c r="J200" s="983"/>
      <c r="K200" s="983"/>
      <c r="L200" s="983"/>
      <c r="M200" s="983"/>
      <c r="N200" s="983"/>
      <c r="O200" s="1420"/>
    </row>
    <row r="201" spans="2:15" s="2010" customFormat="1" x14ac:dyDescent="0.2">
      <c r="B201" s="1419"/>
      <c r="C201" s="1988">
        <v>7</v>
      </c>
      <c r="D201" s="1504" t="s">
        <v>2321</v>
      </c>
      <c r="E201" s="1504"/>
      <c r="F201" s="1633"/>
      <c r="G201" s="983"/>
      <c r="H201" s="983"/>
      <c r="I201" s="983"/>
      <c r="J201" s="983"/>
      <c r="K201" s="983"/>
      <c r="L201" s="983"/>
      <c r="M201" s="983"/>
      <c r="N201" s="983"/>
      <c r="O201" s="1420"/>
    </row>
    <row r="202" spans="2:15" s="2010" customFormat="1" x14ac:dyDescent="0.2">
      <c r="B202" s="1419"/>
      <c r="C202" s="1990">
        <v>10</v>
      </c>
      <c r="D202" s="1504" t="s">
        <v>2322</v>
      </c>
      <c r="E202" s="1504"/>
      <c r="F202" s="1633"/>
      <c r="G202" s="983"/>
      <c r="H202" s="983"/>
      <c r="I202" s="983"/>
      <c r="J202" s="983"/>
      <c r="K202" s="983"/>
      <c r="L202" s="983"/>
      <c r="M202" s="983"/>
      <c r="N202" s="983"/>
      <c r="O202" s="1420"/>
    </row>
    <row r="203" spans="2:15" s="1615" customFormat="1" x14ac:dyDescent="0.2">
      <c r="B203" s="1419"/>
      <c r="C203" s="1631"/>
      <c r="D203" s="1504"/>
      <c r="E203" s="1504"/>
      <c r="F203" s="1633"/>
      <c r="G203" s="983"/>
      <c r="H203" s="983"/>
      <c r="I203" s="983"/>
      <c r="J203" s="983"/>
      <c r="K203" s="983"/>
      <c r="L203" s="983"/>
      <c r="M203" s="983"/>
      <c r="N203" s="983"/>
      <c r="O203" s="1420"/>
    </row>
    <row r="204" spans="2:15" x14ac:dyDescent="0.2">
      <c r="B204" s="395"/>
      <c r="C204" s="173" t="s">
        <v>266</v>
      </c>
      <c r="D204" s="173"/>
      <c r="E204" s="173"/>
      <c r="F204" s="173"/>
      <c r="G204" s="173"/>
      <c r="H204" s="173"/>
      <c r="I204" s="173"/>
      <c r="J204" s="173"/>
      <c r="K204" s="173"/>
      <c r="L204" s="173"/>
      <c r="M204" s="173"/>
      <c r="N204" s="173"/>
      <c r="O204" s="396"/>
    </row>
    <row r="205" spans="2:15" x14ac:dyDescent="0.2">
      <c r="B205" s="395"/>
      <c r="C205" s="176" t="s">
        <v>1204</v>
      </c>
      <c r="D205" s="173" t="s">
        <v>1206</v>
      </c>
      <c r="E205" s="173"/>
      <c r="F205" s="173"/>
      <c r="G205" s="173"/>
      <c r="H205" s="173"/>
      <c r="I205" s="173"/>
      <c r="J205" s="173"/>
      <c r="K205" s="173"/>
      <c r="L205" s="173"/>
      <c r="M205" s="173"/>
      <c r="N205" s="173"/>
      <c r="O205" s="396"/>
    </row>
    <row r="206" spans="2:15" x14ac:dyDescent="0.2">
      <c r="B206" s="395"/>
      <c r="C206" s="176" t="s">
        <v>93</v>
      </c>
      <c r="D206" s="173" t="s">
        <v>629</v>
      </c>
      <c r="E206" s="173"/>
      <c r="F206" s="173"/>
      <c r="G206" s="173"/>
      <c r="H206" s="173"/>
      <c r="I206" s="173"/>
      <c r="J206" s="173"/>
      <c r="K206" s="173"/>
      <c r="L206" s="173"/>
      <c r="M206" s="173"/>
      <c r="N206" s="173"/>
      <c r="O206" s="396"/>
    </row>
    <row r="207" spans="2:15" x14ac:dyDescent="0.2">
      <c r="B207" s="395"/>
      <c r="C207" s="176"/>
      <c r="D207" s="173"/>
      <c r="E207" s="173"/>
      <c r="F207" s="173"/>
      <c r="G207" s="173"/>
      <c r="H207" s="173"/>
      <c r="I207" s="173"/>
      <c r="J207" s="173"/>
      <c r="K207" s="173"/>
      <c r="L207" s="173"/>
      <c r="M207" s="173"/>
      <c r="N207" s="173"/>
      <c r="O207" s="396"/>
    </row>
    <row r="208" spans="2:15" s="2370" customFormat="1" x14ac:dyDescent="0.2">
      <c r="B208" s="1416"/>
      <c r="C208" s="176" t="s">
        <v>660</v>
      </c>
      <c r="D208" s="1416" t="s">
        <v>2316</v>
      </c>
      <c r="E208" s="1416"/>
      <c r="F208" s="1416"/>
      <c r="G208" s="1416"/>
      <c r="H208" s="1416"/>
      <c r="I208" s="1416"/>
      <c r="J208" s="1416"/>
      <c r="K208" s="1416"/>
      <c r="L208" s="1416"/>
      <c r="M208" s="1416"/>
      <c r="N208" s="1416"/>
      <c r="O208" s="1416"/>
    </row>
    <row r="209" spans="1:15" s="1411" customFormat="1" x14ac:dyDescent="0.2">
      <c r="B209" s="465"/>
      <c r="C209" s="176" t="s">
        <v>171</v>
      </c>
      <c r="D209" s="177" t="s">
        <v>2314</v>
      </c>
      <c r="E209" s="465"/>
      <c r="F209" s="465"/>
      <c r="G209" s="465"/>
      <c r="H209" s="465"/>
      <c r="I209" s="465"/>
      <c r="J209" s="465"/>
      <c r="K209" s="465"/>
      <c r="L209" s="465"/>
      <c r="M209" s="465"/>
      <c r="N209" s="465"/>
      <c r="O209" s="465"/>
    </row>
    <row r="210" spans="1:15" s="1375" customFormat="1" x14ac:dyDescent="0.2">
      <c r="B210" s="471"/>
    </row>
    <row r="211" spans="1:15" s="1548" customFormat="1" ht="22.5" x14ac:dyDescent="0.2">
      <c r="A211" s="408"/>
      <c r="B211" s="1423" t="s">
        <v>1417</v>
      </c>
      <c r="C211" s="405"/>
      <c r="D211" s="405"/>
      <c r="E211" s="405"/>
      <c r="F211" s="405"/>
      <c r="G211" s="405"/>
      <c r="H211" s="405"/>
      <c r="I211" s="405"/>
      <c r="J211" s="405"/>
      <c r="K211" s="405"/>
      <c r="L211" s="405"/>
      <c r="M211" s="405"/>
      <c r="N211" s="405"/>
    </row>
    <row r="212" spans="1:15" s="1548" customFormat="1" x14ac:dyDescent="0.2">
      <c r="A212" s="2010"/>
      <c r="B212" s="1419"/>
      <c r="C212" s="1416"/>
      <c r="D212" s="1416"/>
      <c r="E212" s="1416"/>
      <c r="F212" s="1416"/>
      <c r="G212" s="1416"/>
      <c r="H212" s="1416"/>
      <c r="I212" s="1416"/>
      <c r="J212" s="1416"/>
      <c r="K212" s="1416"/>
      <c r="L212" s="1416"/>
      <c r="M212" s="1416"/>
      <c r="N212" s="1416"/>
      <c r="O212" s="37"/>
    </row>
    <row r="213" spans="1:15" s="1548" customFormat="1" x14ac:dyDescent="0.2">
      <c r="A213" s="2010"/>
      <c r="B213" s="1416"/>
      <c r="C213" s="1417" t="s">
        <v>1418</v>
      </c>
      <c r="D213" s="1416"/>
      <c r="E213" s="1416"/>
      <c r="F213" s="1416"/>
      <c r="G213" s="1416"/>
      <c r="H213" s="1416"/>
      <c r="I213" s="1416"/>
      <c r="J213" s="1416"/>
      <c r="K213" s="1416"/>
      <c r="L213" s="1416"/>
      <c r="M213" s="1416"/>
      <c r="N213" s="2018" t="str">
        <f>Preferences.moneyunits&amp;" per thousand vehicle units"</f>
        <v>N per thousand vehicle units</v>
      </c>
      <c r="O213" s="37"/>
    </row>
    <row r="214" spans="1:15" s="2151" customFormat="1" ht="7.5" customHeight="1" x14ac:dyDescent="0.2">
      <c r="B214" s="1416"/>
      <c r="C214" s="1417"/>
      <c r="D214" s="1416"/>
      <c r="E214" s="1416"/>
      <c r="F214" s="1416"/>
      <c r="G214" s="1416"/>
      <c r="H214" s="1416"/>
      <c r="I214" s="1416"/>
      <c r="J214" s="1416"/>
      <c r="K214" s="1416"/>
      <c r="L214" s="1416"/>
      <c r="M214" s="1416"/>
      <c r="N214" s="2018"/>
      <c r="O214" s="37"/>
    </row>
    <row r="215" spans="1:15" s="1548" customFormat="1" x14ac:dyDescent="0.2">
      <c r="A215" s="2010"/>
      <c r="B215" s="1377"/>
      <c r="C215" s="1525" t="s">
        <v>1902</v>
      </c>
      <c r="D215" s="1960"/>
      <c r="E215" s="1994" t="s">
        <v>1321</v>
      </c>
      <c r="F215" s="1527">
        <v>2010</v>
      </c>
      <c r="G215" s="1527">
        <v>2015</v>
      </c>
      <c r="H215" s="1527">
        <v>2020</v>
      </c>
      <c r="I215" s="1527">
        <v>2025</v>
      </c>
      <c r="J215" s="1527">
        <v>2030</v>
      </c>
      <c r="K215" s="1527">
        <v>2035</v>
      </c>
      <c r="L215" s="1527">
        <v>2040</v>
      </c>
      <c r="M215" s="1527">
        <v>2045</v>
      </c>
      <c r="N215" s="1527">
        <v>2050</v>
      </c>
      <c r="O215" s="37"/>
    </row>
    <row r="216" spans="1:15" s="2010" customFormat="1" x14ac:dyDescent="0.2">
      <c r="B216" s="1377"/>
      <c r="C216" s="1904" t="s">
        <v>626</v>
      </c>
      <c r="D216" s="1102" t="s">
        <v>1448</v>
      </c>
      <c r="E216" s="1904">
        <f>(N216-F216)/(N$215-F$215)</f>
        <v>0</v>
      </c>
      <c r="F216" s="2004">
        <f>250*2545742.9*NAIRA2010_*1000</f>
        <v>636435725000</v>
      </c>
      <c r="G216" s="2004">
        <f t="shared" ref="G216:M216" si="20">F216+$E216*(G$215-F$215)</f>
        <v>636435725000</v>
      </c>
      <c r="H216" s="2004">
        <f t="shared" si="20"/>
        <v>636435725000</v>
      </c>
      <c r="I216" s="2004">
        <f t="shared" si="20"/>
        <v>636435725000</v>
      </c>
      <c r="J216" s="2004">
        <f t="shared" si="20"/>
        <v>636435725000</v>
      </c>
      <c r="K216" s="2004">
        <f t="shared" si="20"/>
        <v>636435725000</v>
      </c>
      <c r="L216" s="2004">
        <f t="shared" si="20"/>
        <v>636435725000</v>
      </c>
      <c r="M216" s="2004">
        <f t="shared" si="20"/>
        <v>636435725000</v>
      </c>
      <c r="N216" s="2004">
        <f>250*2545742.9*NAIRA2010_*1000</f>
        <v>636435725000</v>
      </c>
      <c r="O216" s="37"/>
    </row>
    <row r="217" spans="1:15" s="1548" customFormat="1" x14ac:dyDescent="0.2">
      <c r="A217" s="2010"/>
      <c r="B217" s="1377"/>
      <c r="C217" s="1416" t="s">
        <v>626</v>
      </c>
      <c r="D217" s="1415" t="s">
        <v>433</v>
      </c>
      <c r="E217" s="1416">
        <f>(N217-F217)/(N$215-F$215)</f>
        <v>0</v>
      </c>
      <c r="F217" s="1531">
        <f>250*2233107.8*NAIRA2010_*1000</f>
        <v>558276950000</v>
      </c>
      <c r="G217" s="1531">
        <f t="shared" ref="G217:M217" si="21">F217+$E217*(G$215-F$215)</f>
        <v>558276950000</v>
      </c>
      <c r="H217" s="1531">
        <f t="shared" si="21"/>
        <v>558276950000</v>
      </c>
      <c r="I217" s="1531">
        <f t="shared" si="21"/>
        <v>558276950000</v>
      </c>
      <c r="J217" s="1531">
        <f t="shared" si="21"/>
        <v>558276950000</v>
      </c>
      <c r="K217" s="1531">
        <f t="shared" si="21"/>
        <v>558276950000</v>
      </c>
      <c r="L217" s="1531">
        <f t="shared" si="21"/>
        <v>558276950000</v>
      </c>
      <c r="M217" s="1531">
        <f t="shared" si="21"/>
        <v>558276950000</v>
      </c>
      <c r="N217" s="1531">
        <f>250*2233107.8*NAIRA2010_*1000</f>
        <v>558276950000</v>
      </c>
      <c r="O217" s="37"/>
    </row>
    <row r="218" spans="1:15" s="1548" customFormat="1" x14ac:dyDescent="0.2">
      <c r="A218" s="2010"/>
      <c r="B218" s="1377"/>
      <c r="C218" s="1416" t="s">
        <v>622</v>
      </c>
      <c r="D218" s="1415" t="s">
        <v>1449</v>
      </c>
      <c r="E218" s="1416">
        <f>(N218-F218)/(N$215-F$215)</f>
        <v>0</v>
      </c>
      <c r="F218" s="1531">
        <f>250*70790*NAIRA2010_*1000</f>
        <v>17697500000</v>
      </c>
      <c r="G218" s="1531">
        <f t="shared" ref="G218:M218" si="22">F218+$E218*(G$215-F$215)</f>
        <v>17697500000</v>
      </c>
      <c r="H218" s="1531">
        <f t="shared" si="22"/>
        <v>17697500000</v>
      </c>
      <c r="I218" s="1531">
        <f t="shared" si="22"/>
        <v>17697500000</v>
      </c>
      <c r="J218" s="1531">
        <f t="shared" si="22"/>
        <v>17697500000</v>
      </c>
      <c r="K218" s="1531">
        <f t="shared" si="22"/>
        <v>17697500000</v>
      </c>
      <c r="L218" s="1531">
        <f t="shared" si="22"/>
        <v>17697500000</v>
      </c>
      <c r="M218" s="1531">
        <f t="shared" si="22"/>
        <v>17697500000</v>
      </c>
      <c r="N218" s="1531">
        <f>250*70790*NAIRA2010_*1000</f>
        <v>17697500000</v>
      </c>
      <c r="O218" s="37"/>
    </row>
    <row r="219" spans="1:15" s="1548" customFormat="1" x14ac:dyDescent="0.2">
      <c r="A219" s="2010"/>
      <c r="B219" s="1416"/>
      <c r="C219" s="524" t="s">
        <v>622</v>
      </c>
      <c r="D219" s="200" t="s">
        <v>1450</v>
      </c>
      <c r="E219" s="524">
        <f>(N219-F219)/(N$215-F$215)</f>
        <v>0</v>
      </c>
      <c r="F219" s="2003">
        <f>250*1727273*NAIRA2010_*1000</f>
        <v>431818250000</v>
      </c>
      <c r="G219" s="2003">
        <f t="shared" ref="G219:M219" si="23">F219+$E219*(G$215-F$215)</f>
        <v>431818250000</v>
      </c>
      <c r="H219" s="2003">
        <f t="shared" si="23"/>
        <v>431818250000</v>
      </c>
      <c r="I219" s="2003">
        <f t="shared" si="23"/>
        <v>431818250000</v>
      </c>
      <c r="J219" s="2003">
        <f t="shared" si="23"/>
        <v>431818250000</v>
      </c>
      <c r="K219" s="2003">
        <f t="shared" si="23"/>
        <v>431818250000</v>
      </c>
      <c r="L219" s="2003">
        <f t="shared" si="23"/>
        <v>431818250000</v>
      </c>
      <c r="M219" s="2003">
        <f t="shared" si="23"/>
        <v>431818250000</v>
      </c>
      <c r="N219" s="2003">
        <f>250*1727273*NAIRA2010_*1000</f>
        <v>431818250000</v>
      </c>
      <c r="O219" s="37"/>
    </row>
    <row r="220" spans="1:15" s="1548" customFormat="1" x14ac:dyDescent="0.2">
      <c r="A220" s="2010"/>
      <c r="B220" s="1416"/>
      <c r="C220" s="1377"/>
      <c r="D220" s="1377"/>
      <c r="E220" s="1377"/>
      <c r="F220" s="1377"/>
      <c r="G220" s="1377"/>
      <c r="H220" s="1377"/>
      <c r="I220" s="1377"/>
      <c r="J220" s="1377"/>
      <c r="K220" s="1377"/>
      <c r="L220" s="1377"/>
      <c r="M220" s="1377"/>
      <c r="N220" s="1377"/>
      <c r="O220" s="37"/>
    </row>
    <row r="221" spans="1:15" s="2061" customFormat="1" ht="13.5" customHeight="1" x14ac:dyDescent="0.2">
      <c r="B221" s="1416"/>
      <c r="C221" s="1415"/>
      <c r="D221" s="1415"/>
      <c r="E221" s="1416"/>
      <c r="F221" s="634"/>
      <c r="G221" s="1531"/>
      <c r="H221" s="1531"/>
      <c r="I221" s="1531"/>
      <c r="J221" s="1531"/>
      <c r="K221" s="1531"/>
      <c r="L221" s="1531"/>
      <c r="M221" s="1531"/>
      <c r="N221" s="2018" t="str">
        <f>Preferences.moneyunits&amp;" per thousand vehicle units"</f>
        <v>N per thousand vehicle units</v>
      </c>
      <c r="O221" s="37"/>
    </row>
    <row r="222" spans="1:15" s="2061" customFormat="1" ht="13.5" customHeight="1" x14ac:dyDescent="0.2">
      <c r="B222" s="1416"/>
      <c r="C222" s="1995" t="s">
        <v>1888</v>
      </c>
      <c r="D222" s="1960"/>
      <c r="E222" s="1994" t="s">
        <v>1321</v>
      </c>
      <c r="F222" s="1996">
        <v>2010</v>
      </c>
      <c r="G222" s="1996">
        <v>2015</v>
      </c>
      <c r="H222" s="1996">
        <v>2020</v>
      </c>
      <c r="I222" s="1996">
        <v>2025</v>
      </c>
      <c r="J222" s="1996">
        <v>2030</v>
      </c>
      <c r="K222" s="1996">
        <v>2035</v>
      </c>
      <c r="L222" s="1996">
        <v>2040</v>
      </c>
      <c r="M222" s="2002">
        <v>2045</v>
      </c>
      <c r="N222" s="2002">
        <v>2050</v>
      </c>
      <c r="O222" s="37"/>
    </row>
    <row r="223" spans="1:15" s="2061" customFormat="1" ht="13.5" customHeight="1" x14ac:dyDescent="0.2">
      <c r="B223" s="1416"/>
      <c r="C223" s="1904" t="s">
        <v>626</v>
      </c>
      <c r="D223" s="1102" t="s">
        <v>1448</v>
      </c>
      <c r="E223" s="1904">
        <f>(N223-F223)/(N$222-F$222)</f>
        <v>0</v>
      </c>
      <c r="F223" s="2721">
        <f t="shared" ref="F223:M223" si="24">((F216-F230)*0.35)+F230</f>
        <v>636435725000</v>
      </c>
      <c r="G223" s="2004">
        <f t="shared" si="24"/>
        <v>636435725000</v>
      </c>
      <c r="H223" s="2004">
        <f t="shared" si="24"/>
        <v>636435725000</v>
      </c>
      <c r="I223" s="2004">
        <f t="shared" si="24"/>
        <v>636435725000</v>
      </c>
      <c r="J223" s="2004">
        <f t="shared" si="24"/>
        <v>636435725000</v>
      </c>
      <c r="K223" s="2004">
        <f t="shared" si="24"/>
        <v>636435725000</v>
      </c>
      <c r="L223" s="2004">
        <f t="shared" si="24"/>
        <v>636435725000</v>
      </c>
      <c r="M223" s="2004">
        <f t="shared" si="24"/>
        <v>636435725000</v>
      </c>
      <c r="N223" s="2004">
        <f t="shared" ref="N223" si="25">((N216-N230)*0.35)+N230</f>
        <v>636435725000</v>
      </c>
    </row>
    <row r="224" spans="1:15" s="2061" customFormat="1" ht="13.5" customHeight="1" x14ac:dyDescent="0.2">
      <c r="B224" s="1416"/>
      <c r="C224" s="1416" t="s">
        <v>626</v>
      </c>
      <c r="D224" s="1415" t="s">
        <v>433</v>
      </c>
      <c r="E224" s="1416">
        <f>(N224-F224)/(N$222-F$222)</f>
        <v>0</v>
      </c>
      <c r="F224" s="2727">
        <f>250*2233107.8*NAIRA2010_*1000</f>
        <v>558276950000</v>
      </c>
      <c r="G224" s="1531">
        <f t="shared" ref="G224:M224" si="26">F224+$E224*(G$215-F$215)</f>
        <v>558276950000</v>
      </c>
      <c r="H224" s="1531">
        <f t="shared" si="26"/>
        <v>558276950000</v>
      </c>
      <c r="I224" s="1531">
        <f t="shared" si="26"/>
        <v>558276950000</v>
      </c>
      <c r="J224" s="1531">
        <f t="shared" si="26"/>
        <v>558276950000</v>
      </c>
      <c r="K224" s="1531">
        <f t="shared" si="26"/>
        <v>558276950000</v>
      </c>
      <c r="L224" s="1531">
        <f t="shared" si="26"/>
        <v>558276950000</v>
      </c>
      <c r="M224" s="1531">
        <f t="shared" si="26"/>
        <v>558276950000</v>
      </c>
      <c r="N224" s="1531">
        <f>250*2233107.8*NAIRA2010_*1000</f>
        <v>558276950000</v>
      </c>
    </row>
    <row r="225" spans="1:15" s="2061" customFormat="1" ht="13.5" customHeight="1" x14ac:dyDescent="0.2">
      <c r="B225" s="1416"/>
      <c r="C225" s="1416" t="s">
        <v>622</v>
      </c>
      <c r="D225" s="1415" t="s">
        <v>1449</v>
      </c>
      <c r="E225" s="1416">
        <f>(N225-F225)/(N$222-F$222)</f>
        <v>0</v>
      </c>
      <c r="F225" s="2727">
        <f>250*70790*NAIRA2010_*1000</f>
        <v>17697500000</v>
      </c>
      <c r="G225" s="1531">
        <f>F225+$E225*(G$215-F$215)</f>
        <v>17697500000</v>
      </c>
      <c r="H225" s="1531">
        <f t="shared" ref="H225:M225" si="27">G225+$E225*(H$215-G$215)</f>
        <v>17697500000</v>
      </c>
      <c r="I225" s="1531">
        <f t="shared" si="27"/>
        <v>17697500000</v>
      </c>
      <c r="J225" s="1531">
        <f t="shared" si="27"/>
        <v>17697500000</v>
      </c>
      <c r="K225" s="1531">
        <f t="shared" si="27"/>
        <v>17697500000</v>
      </c>
      <c r="L225" s="1531">
        <f t="shared" si="27"/>
        <v>17697500000</v>
      </c>
      <c r="M225" s="1531">
        <f t="shared" si="27"/>
        <v>17697500000</v>
      </c>
      <c r="N225" s="1531">
        <f>250*70790*NAIRA2010_*1000</f>
        <v>17697500000</v>
      </c>
    </row>
    <row r="226" spans="1:15" s="2061" customFormat="1" ht="13.5" customHeight="1" x14ac:dyDescent="0.2">
      <c r="B226" s="1416"/>
      <c r="C226" s="524" t="s">
        <v>622</v>
      </c>
      <c r="D226" s="200" t="s">
        <v>1450</v>
      </c>
      <c r="E226" s="524">
        <f>(N226-F226)/(N$222-F$222)</f>
        <v>0</v>
      </c>
      <c r="F226" s="999">
        <f>(F233+((F219-F233)*0.35))</f>
        <v>431818250000</v>
      </c>
      <c r="G226" s="2003">
        <f>F226+$E226*(G$215-F$215)</f>
        <v>431818250000</v>
      </c>
      <c r="H226" s="2003">
        <f t="shared" ref="H226:M226" si="28">G226+$E226*(H$215-G$215)</f>
        <v>431818250000</v>
      </c>
      <c r="I226" s="2003">
        <f t="shared" si="28"/>
        <v>431818250000</v>
      </c>
      <c r="J226" s="2003">
        <f t="shared" si="28"/>
        <v>431818250000</v>
      </c>
      <c r="K226" s="2003">
        <f t="shared" si="28"/>
        <v>431818250000</v>
      </c>
      <c r="L226" s="2003">
        <f t="shared" si="28"/>
        <v>431818250000</v>
      </c>
      <c r="M226" s="2003">
        <f t="shared" si="28"/>
        <v>431818250000</v>
      </c>
      <c r="N226" s="2155">
        <f>(N233+((N219-N233)*0.35))</f>
        <v>431818250000</v>
      </c>
    </row>
    <row r="227" spans="1:15" s="2061" customFormat="1" ht="13.5" customHeight="1" x14ac:dyDescent="0.2">
      <c r="B227" s="1416"/>
      <c r="C227" s="1377"/>
      <c r="D227" s="1377"/>
      <c r="E227" s="1377"/>
      <c r="F227" s="1377"/>
      <c r="G227" s="1377"/>
      <c r="H227" s="1377"/>
      <c r="I227" s="1377"/>
      <c r="J227" s="1377"/>
      <c r="K227" s="1377"/>
      <c r="L227" s="1377"/>
      <c r="M227" s="1377"/>
      <c r="N227" s="1377"/>
    </row>
    <row r="228" spans="1:15" s="1548" customFormat="1" x14ac:dyDescent="0.2">
      <c r="A228" s="2010"/>
      <c r="B228" s="1416"/>
      <c r="C228" s="200"/>
      <c r="D228" s="200"/>
      <c r="E228" s="524"/>
      <c r="F228" s="1524"/>
      <c r="G228" s="2003"/>
      <c r="H228" s="2003"/>
      <c r="I228" s="2003"/>
      <c r="J228" s="2003"/>
      <c r="K228" s="2003"/>
      <c r="L228" s="2003"/>
      <c r="M228" s="2003"/>
      <c r="N228" s="2018" t="str">
        <f>Preferences.moneyunits&amp;" per thousand vehicle units"</f>
        <v>N per thousand vehicle units</v>
      </c>
      <c r="O228" s="37"/>
    </row>
    <row r="229" spans="1:15" s="1565" customFormat="1" x14ac:dyDescent="0.2">
      <c r="A229" s="2010"/>
      <c r="B229" s="1377"/>
      <c r="C229" s="1525" t="s">
        <v>1901</v>
      </c>
      <c r="D229" s="1526"/>
      <c r="E229" s="2020" t="s">
        <v>1321</v>
      </c>
      <c r="F229" s="1527">
        <v>2010</v>
      </c>
      <c r="G229" s="1527">
        <v>2015</v>
      </c>
      <c r="H229" s="1527">
        <v>2020</v>
      </c>
      <c r="I229" s="1527">
        <v>2025</v>
      </c>
      <c r="J229" s="1527">
        <v>2030</v>
      </c>
      <c r="K229" s="1527">
        <v>2035</v>
      </c>
      <c r="L229" s="1527">
        <v>2040</v>
      </c>
      <c r="M229" s="1527">
        <v>2045</v>
      </c>
      <c r="N229" s="2002">
        <v>2050</v>
      </c>
      <c r="O229" s="37"/>
    </row>
    <row r="230" spans="1:15" s="1548" customFormat="1" x14ac:dyDescent="0.2">
      <c r="A230" s="2010"/>
      <c r="B230" s="691"/>
      <c r="C230" s="1904" t="s">
        <v>626</v>
      </c>
      <c r="D230" s="1102" t="s">
        <v>1448</v>
      </c>
      <c r="E230" s="1904">
        <f>(N230-F230)/(N$229-F$229)</f>
        <v>0</v>
      </c>
      <c r="F230" s="2004">
        <f>250*2545742.9*NAIRA2010_*1000</f>
        <v>636435725000</v>
      </c>
      <c r="G230" s="2004">
        <f>F230+$E230*(G$229-F$229)</f>
        <v>636435725000</v>
      </c>
      <c r="H230" s="2004">
        <f t="shared" ref="H230:M230" si="29">G230+$E230*(H$229-G$229)</f>
        <v>636435725000</v>
      </c>
      <c r="I230" s="2004">
        <f t="shared" si="29"/>
        <v>636435725000</v>
      </c>
      <c r="J230" s="2004">
        <f t="shared" si="29"/>
        <v>636435725000</v>
      </c>
      <c r="K230" s="2004">
        <f t="shared" si="29"/>
        <v>636435725000</v>
      </c>
      <c r="L230" s="2004">
        <f t="shared" si="29"/>
        <v>636435725000</v>
      </c>
      <c r="M230" s="2004">
        <f t="shared" si="29"/>
        <v>636435725000</v>
      </c>
      <c r="N230" s="1531">
        <f>250*2545742.9*NAIRA2010_*1000</f>
        <v>636435725000</v>
      </c>
      <c r="O230" s="37"/>
    </row>
    <row r="231" spans="1:15" s="2010" customFormat="1" x14ac:dyDescent="0.2">
      <c r="B231" s="691"/>
      <c r="C231" s="1416" t="s">
        <v>626</v>
      </c>
      <c r="D231" s="1415" t="s">
        <v>433</v>
      </c>
      <c r="E231" s="1416">
        <f>(N231-F231)/(N$229-F$229)</f>
        <v>0</v>
      </c>
      <c r="F231" s="1531">
        <f>250*2233107.8*NAIRA2010_*1000</f>
        <v>558276950000</v>
      </c>
      <c r="G231" s="1531">
        <f t="shared" ref="G231:M231" si="30">F231+$E231*(G$229-F$229)</f>
        <v>558276950000</v>
      </c>
      <c r="H231" s="1531">
        <f t="shared" si="30"/>
        <v>558276950000</v>
      </c>
      <c r="I231" s="1531">
        <f t="shared" si="30"/>
        <v>558276950000</v>
      </c>
      <c r="J231" s="1531">
        <f t="shared" si="30"/>
        <v>558276950000</v>
      </c>
      <c r="K231" s="1531">
        <f t="shared" si="30"/>
        <v>558276950000</v>
      </c>
      <c r="L231" s="1531">
        <f t="shared" si="30"/>
        <v>558276950000</v>
      </c>
      <c r="M231" s="1531">
        <f t="shared" si="30"/>
        <v>558276950000</v>
      </c>
      <c r="N231" s="1531">
        <f>250*2233107.8*NAIRA2010_*1000</f>
        <v>558276950000</v>
      </c>
      <c r="O231" s="37"/>
    </row>
    <row r="232" spans="1:15" s="588" customFormat="1" x14ac:dyDescent="0.2">
      <c r="A232" s="2010"/>
      <c r="B232" s="691"/>
      <c r="C232" s="1416" t="s">
        <v>622</v>
      </c>
      <c r="D232" s="1415" t="s">
        <v>1449</v>
      </c>
      <c r="E232" s="1416">
        <f>(N232-F232)/(N$229-F$229)</f>
        <v>0</v>
      </c>
      <c r="F232" s="1531">
        <f>250*70790*NAIRA2010_*1000</f>
        <v>17697500000</v>
      </c>
      <c r="G232" s="1531">
        <f t="shared" ref="G232:M232" si="31">F232+$E232*(G$229-F$229)</f>
        <v>17697500000</v>
      </c>
      <c r="H232" s="1531">
        <f t="shared" si="31"/>
        <v>17697500000</v>
      </c>
      <c r="I232" s="1531">
        <f t="shared" si="31"/>
        <v>17697500000</v>
      </c>
      <c r="J232" s="1531">
        <f t="shared" si="31"/>
        <v>17697500000</v>
      </c>
      <c r="K232" s="1531">
        <f t="shared" si="31"/>
        <v>17697500000</v>
      </c>
      <c r="L232" s="1531">
        <f t="shared" si="31"/>
        <v>17697500000</v>
      </c>
      <c r="M232" s="1531">
        <f t="shared" si="31"/>
        <v>17697500000</v>
      </c>
      <c r="N232" s="1531">
        <f>250*70790*NAIRA2010_*1000</f>
        <v>17697500000</v>
      </c>
      <c r="O232" s="37"/>
    </row>
    <row r="233" spans="1:15" s="588" customFormat="1" x14ac:dyDescent="0.2">
      <c r="A233" s="2010"/>
      <c r="B233" s="691"/>
      <c r="C233" s="524" t="s">
        <v>622</v>
      </c>
      <c r="D233" s="200" t="s">
        <v>1450</v>
      </c>
      <c r="E233" s="524">
        <f>(N233-F233)/(N$229-F$229)</f>
        <v>0</v>
      </c>
      <c r="F233" s="2003">
        <f>250*1727273*NAIRA2010_*1000</f>
        <v>431818250000</v>
      </c>
      <c r="G233" s="2003">
        <f t="shared" ref="G233:M233" si="32">F233+$E233*(G$229-F$229)</f>
        <v>431818250000</v>
      </c>
      <c r="H233" s="2003">
        <f t="shared" si="32"/>
        <v>431818250000</v>
      </c>
      <c r="I233" s="2003">
        <f t="shared" si="32"/>
        <v>431818250000</v>
      </c>
      <c r="J233" s="2003">
        <f t="shared" si="32"/>
        <v>431818250000</v>
      </c>
      <c r="K233" s="2003">
        <f t="shared" si="32"/>
        <v>431818250000</v>
      </c>
      <c r="L233" s="2003">
        <f t="shared" si="32"/>
        <v>431818250000</v>
      </c>
      <c r="M233" s="2003">
        <f t="shared" si="32"/>
        <v>431818250000</v>
      </c>
      <c r="N233" s="2003">
        <f>250*1727273*NAIRA2010_*1000</f>
        <v>431818250000</v>
      </c>
      <c r="O233" s="37"/>
    </row>
    <row r="234" spans="1:15" s="588" customFormat="1" x14ac:dyDescent="0.2">
      <c r="A234" s="2010"/>
      <c r="B234" s="691"/>
      <c r="C234" s="1415"/>
      <c r="D234" s="1415"/>
      <c r="E234" s="1416"/>
      <c r="F234" s="634"/>
      <c r="G234" s="1531"/>
      <c r="H234" s="1531"/>
      <c r="I234" s="1531"/>
      <c r="J234" s="1531"/>
      <c r="K234" s="1531"/>
      <c r="L234" s="1531"/>
      <c r="M234" s="1531"/>
      <c r="N234" s="634"/>
      <c r="O234" s="37"/>
    </row>
    <row r="235" spans="1:15" s="588" customFormat="1" x14ac:dyDescent="0.2">
      <c r="A235" s="2010"/>
      <c r="B235" s="691"/>
      <c r="C235" s="1418" t="s">
        <v>1419</v>
      </c>
      <c r="D235" s="1377"/>
      <c r="E235" s="1377"/>
      <c r="F235" s="1377"/>
      <c r="G235" s="1377"/>
      <c r="H235" s="1377"/>
      <c r="I235" s="1377"/>
      <c r="J235" s="1377"/>
      <c r="K235" s="1377"/>
      <c r="L235" s="1377"/>
      <c r="M235" s="1377"/>
      <c r="N235" s="1377"/>
      <c r="O235" s="37"/>
    </row>
    <row r="236" spans="1:15" s="588" customFormat="1" ht="7.5" customHeight="1" x14ac:dyDescent="0.2">
      <c r="A236" s="2010"/>
      <c r="B236" s="691"/>
      <c r="C236" s="1377"/>
      <c r="D236" s="1415"/>
      <c r="E236" s="1416"/>
      <c r="F236" s="634"/>
      <c r="G236" s="1531"/>
      <c r="H236" s="1531"/>
      <c r="I236" s="1531"/>
      <c r="J236" s="1531"/>
      <c r="K236" s="1531"/>
      <c r="L236" s="1531"/>
      <c r="M236" s="1531"/>
      <c r="N236" s="2018" t="str">
        <f>Preferences.moneyunits&amp;" per thousand vehicle units"</f>
        <v>N per thousand vehicle units</v>
      </c>
      <c r="O236" s="37"/>
    </row>
    <row r="237" spans="1:15" s="588" customFormat="1" x14ac:dyDescent="0.2">
      <c r="A237" s="2010"/>
      <c r="B237" s="691"/>
      <c r="C237" s="1995" t="s">
        <v>1898</v>
      </c>
      <c r="D237" s="2000"/>
      <c r="E237" s="2001" t="s">
        <v>1321</v>
      </c>
      <c r="F237" s="1996">
        <v>2010</v>
      </c>
      <c r="G237" s="1527">
        <v>2015</v>
      </c>
      <c r="H237" s="1527">
        <v>2020</v>
      </c>
      <c r="I237" s="1527">
        <v>2025</v>
      </c>
      <c r="J237" s="1527">
        <v>2030</v>
      </c>
      <c r="K237" s="1527">
        <v>2035</v>
      </c>
      <c r="L237" s="1527">
        <v>2040</v>
      </c>
      <c r="M237" s="1527">
        <v>2045</v>
      </c>
      <c r="N237" s="1527">
        <v>2050</v>
      </c>
      <c r="O237" s="37"/>
    </row>
    <row r="238" spans="1:15" s="588" customFormat="1" x14ac:dyDescent="0.2">
      <c r="A238" s="2010"/>
      <c r="B238" s="691"/>
      <c r="C238" s="1904" t="s">
        <v>626</v>
      </c>
      <c r="D238" s="1102" t="s">
        <v>1448</v>
      </c>
      <c r="E238" s="1904">
        <f>(N238-F238)/(N$237-F$237)</f>
        <v>0</v>
      </c>
      <c r="F238" s="2004">
        <f>250*31264*NAIRA2010_*1000</f>
        <v>7816000000</v>
      </c>
      <c r="G238" s="2004">
        <f t="shared" ref="G238:M241" si="33">F238+$E238*(G$237-F$237)</f>
        <v>7816000000</v>
      </c>
      <c r="H238" s="2004">
        <f t="shared" si="33"/>
        <v>7816000000</v>
      </c>
      <c r="I238" s="2004">
        <f t="shared" si="33"/>
        <v>7816000000</v>
      </c>
      <c r="J238" s="2004">
        <f t="shared" si="33"/>
        <v>7816000000</v>
      </c>
      <c r="K238" s="2004">
        <f t="shared" si="33"/>
        <v>7816000000</v>
      </c>
      <c r="L238" s="2004">
        <f t="shared" si="33"/>
        <v>7816000000</v>
      </c>
      <c r="M238" s="2004">
        <f t="shared" si="33"/>
        <v>7816000000</v>
      </c>
      <c r="N238" s="2004">
        <f>250*31264*NAIRA2010_*1000</f>
        <v>7816000000</v>
      </c>
      <c r="O238" s="37"/>
    </row>
    <row r="239" spans="1:15" s="588" customFormat="1" x14ac:dyDescent="0.2">
      <c r="A239" s="2010"/>
      <c r="B239" s="691"/>
      <c r="C239" s="1416" t="s">
        <v>626</v>
      </c>
      <c r="D239" s="1415" t="s">
        <v>433</v>
      </c>
      <c r="E239" s="1416">
        <f>(N239-F239)/(N$237-F$237)</f>
        <v>0</v>
      </c>
      <c r="F239" s="1531">
        <f>250*22045*NAIRA2010_*1000</f>
        <v>5511250000</v>
      </c>
      <c r="G239" s="1531">
        <f t="shared" si="33"/>
        <v>5511250000</v>
      </c>
      <c r="H239" s="1531">
        <f t="shared" si="33"/>
        <v>5511250000</v>
      </c>
      <c r="I239" s="1531">
        <f t="shared" si="33"/>
        <v>5511250000</v>
      </c>
      <c r="J239" s="1531">
        <f t="shared" si="33"/>
        <v>5511250000</v>
      </c>
      <c r="K239" s="1531">
        <f t="shared" si="33"/>
        <v>5511250000</v>
      </c>
      <c r="L239" s="1531">
        <f t="shared" si="33"/>
        <v>5511250000</v>
      </c>
      <c r="M239" s="1531">
        <f t="shared" si="33"/>
        <v>5511250000</v>
      </c>
      <c r="N239" s="1531">
        <f>250*22045*NAIRA2010_*1000</f>
        <v>5511250000</v>
      </c>
      <c r="O239" s="37"/>
    </row>
    <row r="240" spans="1:15" s="588" customFormat="1" x14ac:dyDescent="0.2">
      <c r="A240" s="2010"/>
      <c r="B240" s="691"/>
      <c r="C240" s="1416" t="s">
        <v>622</v>
      </c>
      <c r="D240" s="1415" t="s">
        <v>1449</v>
      </c>
      <c r="E240" s="1416">
        <f>(N240-F240)/(N$237-F$237)</f>
        <v>0</v>
      </c>
      <c r="F240" s="1531">
        <f>250*15000*NAIRA2010_*1000</f>
        <v>3750000000</v>
      </c>
      <c r="G240" s="1531">
        <f t="shared" si="33"/>
        <v>3750000000</v>
      </c>
      <c r="H240" s="1531">
        <f t="shared" si="33"/>
        <v>3750000000</v>
      </c>
      <c r="I240" s="1531">
        <f t="shared" si="33"/>
        <v>3750000000</v>
      </c>
      <c r="J240" s="1531">
        <f t="shared" si="33"/>
        <v>3750000000</v>
      </c>
      <c r="K240" s="1531">
        <f t="shared" si="33"/>
        <v>3750000000</v>
      </c>
      <c r="L240" s="1531">
        <f t="shared" si="33"/>
        <v>3750000000</v>
      </c>
      <c r="M240" s="1531">
        <f t="shared" si="33"/>
        <v>3750000000</v>
      </c>
      <c r="N240" s="1531">
        <f>250*15000*NAIRA2010_*1000</f>
        <v>3750000000</v>
      </c>
      <c r="O240" s="37"/>
    </row>
    <row r="241" spans="1:15" s="588" customFormat="1" x14ac:dyDescent="0.2">
      <c r="A241" s="2010"/>
      <c r="B241" s="691"/>
      <c r="C241" s="524" t="s">
        <v>622</v>
      </c>
      <c r="D241" s="200" t="s">
        <v>1450</v>
      </c>
      <c r="E241" s="524">
        <f>(N241-F241)/(N$237-F$237)</f>
        <v>0</v>
      </c>
      <c r="F241" s="2003">
        <f>250*30519*NAIRA2010_*1000</f>
        <v>7629750000</v>
      </c>
      <c r="G241" s="2003">
        <f t="shared" si="33"/>
        <v>7629750000</v>
      </c>
      <c r="H241" s="2003">
        <f t="shared" si="33"/>
        <v>7629750000</v>
      </c>
      <c r="I241" s="2003">
        <f t="shared" si="33"/>
        <v>7629750000</v>
      </c>
      <c r="J241" s="2003">
        <f t="shared" si="33"/>
        <v>7629750000</v>
      </c>
      <c r="K241" s="2003">
        <f t="shared" si="33"/>
        <v>7629750000</v>
      </c>
      <c r="L241" s="2003">
        <f t="shared" si="33"/>
        <v>7629750000</v>
      </c>
      <c r="M241" s="2003">
        <f t="shared" si="33"/>
        <v>7629750000</v>
      </c>
      <c r="N241" s="2003">
        <f>250*30519*NAIRA2010_*1000</f>
        <v>7629750000</v>
      </c>
      <c r="O241" s="37"/>
    </row>
    <row r="242" spans="1:15" s="588" customFormat="1" x14ac:dyDescent="0.2">
      <c r="A242" s="2010"/>
      <c r="B242" s="691"/>
      <c r="C242" s="1416"/>
      <c r="D242" s="1415"/>
      <c r="E242" s="1416"/>
      <c r="F242" s="634"/>
      <c r="G242" s="1531"/>
      <c r="H242" s="1531"/>
      <c r="I242" s="1531"/>
      <c r="J242" s="1531"/>
      <c r="K242" s="1531"/>
      <c r="L242" s="1531"/>
      <c r="M242" s="1531"/>
      <c r="N242" s="634"/>
      <c r="O242" s="37"/>
    </row>
    <row r="243" spans="1:15" s="588" customFormat="1" x14ac:dyDescent="0.2">
      <c r="A243" s="2010"/>
      <c r="B243" s="691"/>
      <c r="C243" s="1415"/>
      <c r="D243" s="1415"/>
      <c r="E243" s="1416"/>
      <c r="F243" s="634"/>
      <c r="G243" s="1531"/>
      <c r="H243" s="1531"/>
      <c r="I243" s="1531"/>
      <c r="J243" s="1531"/>
      <c r="K243" s="1531"/>
      <c r="L243" s="1531"/>
      <c r="M243" s="1531"/>
      <c r="N243" s="2018" t="str">
        <f>Preferences.moneyunits&amp;" per thousand vehicle units"</f>
        <v>N per thousand vehicle units</v>
      </c>
      <c r="O243" s="37"/>
    </row>
    <row r="244" spans="1:15" s="588" customFormat="1" x14ac:dyDescent="0.2">
      <c r="A244" s="2010"/>
      <c r="B244" s="691"/>
      <c r="C244" s="1995" t="s">
        <v>1899</v>
      </c>
      <c r="D244" s="1960"/>
      <c r="E244" s="1994" t="s">
        <v>1321</v>
      </c>
      <c r="F244" s="1996">
        <v>2010</v>
      </c>
      <c r="G244" s="1996">
        <v>2015</v>
      </c>
      <c r="H244" s="1996">
        <v>2020</v>
      </c>
      <c r="I244" s="1996">
        <v>2025</v>
      </c>
      <c r="J244" s="1996">
        <v>2030</v>
      </c>
      <c r="K244" s="1996">
        <v>2035</v>
      </c>
      <c r="L244" s="1996">
        <v>2040</v>
      </c>
      <c r="M244" s="1996">
        <v>2045</v>
      </c>
      <c r="N244" s="1996">
        <v>2050</v>
      </c>
      <c r="O244" s="37"/>
    </row>
    <row r="245" spans="1:15" s="588" customFormat="1" x14ac:dyDescent="0.2">
      <c r="A245" s="2010"/>
      <c r="B245" s="691"/>
      <c r="C245" s="1904" t="s">
        <v>626</v>
      </c>
      <c r="D245" s="1102" t="s">
        <v>1448</v>
      </c>
      <c r="E245" s="1904">
        <f>(N245-F245)/(N$244-F$244)</f>
        <v>0</v>
      </c>
      <c r="F245" s="2004">
        <f>250*31264*NAIRA2010_*1000</f>
        <v>7816000000</v>
      </c>
      <c r="G245" s="2004">
        <f t="shared" ref="G245:M248" si="34">F245+$E245*(G$244-F$244)</f>
        <v>7816000000</v>
      </c>
      <c r="H245" s="2004">
        <f t="shared" si="34"/>
        <v>7816000000</v>
      </c>
      <c r="I245" s="2004">
        <f t="shared" si="34"/>
        <v>7816000000</v>
      </c>
      <c r="J245" s="2004">
        <f t="shared" si="34"/>
        <v>7816000000</v>
      </c>
      <c r="K245" s="2004">
        <f t="shared" si="34"/>
        <v>7816000000</v>
      </c>
      <c r="L245" s="2004">
        <f t="shared" si="34"/>
        <v>7816000000</v>
      </c>
      <c r="M245" s="2004">
        <f t="shared" si="34"/>
        <v>7816000000</v>
      </c>
      <c r="N245" s="2004">
        <f>250*31264*NAIRA2010_*1000</f>
        <v>7816000000</v>
      </c>
      <c r="O245" s="37"/>
    </row>
    <row r="246" spans="1:15" s="588" customFormat="1" x14ac:dyDescent="0.2">
      <c r="A246" s="2010"/>
      <c r="B246" s="691"/>
      <c r="C246" s="1416" t="s">
        <v>626</v>
      </c>
      <c r="D246" s="1415" t="s">
        <v>433</v>
      </c>
      <c r="E246" s="1416">
        <f>(N246-F246)/(N$244-F$244)</f>
        <v>0</v>
      </c>
      <c r="F246" s="1531">
        <f>250*22045*NAIRA2010_*1000</f>
        <v>5511250000</v>
      </c>
      <c r="G246" s="1531">
        <f t="shared" si="34"/>
        <v>5511250000</v>
      </c>
      <c r="H246" s="1531">
        <f t="shared" si="34"/>
        <v>5511250000</v>
      </c>
      <c r="I246" s="1531">
        <f t="shared" si="34"/>
        <v>5511250000</v>
      </c>
      <c r="J246" s="1531">
        <f t="shared" si="34"/>
        <v>5511250000</v>
      </c>
      <c r="K246" s="1531">
        <f t="shared" si="34"/>
        <v>5511250000</v>
      </c>
      <c r="L246" s="1531">
        <f t="shared" si="34"/>
        <v>5511250000</v>
      </c>
      <c r="M246" s="1531">
        <f t="shared" si="34"/>
        <v>5511250000</v>
      </c>
      <c r="N246" s="1531">
        <f>250*22045*NAIRA2010_*1000</f>
        <v>5511250000</v>
      </c>
      <c r="O246" s="37"/>
    </row>
    <row r="247" spans="1:15" s="588" customFormat="1" x14ac:dyDescent="0.2">
      <c r="A247" s="2010"/>
      <c r="B247" s="691"/>
      <c r="C247" s="1416" t="s">
        <v>622</v>
      </c>
      <c r="D247" s="1415" t="s">
        <v>1449</v>
      </c>
      <c r="E247" s="1416">
        <f>(N247-F247)/(N$244-F$244)</f>
        <v>0</v>
      </c>
      <c r="F247" s="1531">
        <f>250*15000*NAIRA2010_*1000</f>
        <v>3750000000</v>
      </c>
      <c r="G247" s="1531">
        <f t="shared" ref="G247:M247" si="35">F247+$E247*(G$237-F$237)</f>
        <v>3750000000</v>
      </c>
      <c r="H247" s="1531">
        <f t="shared" si="35"/>
        <v>3750000000</v>
      </c>
      <c r="I247" s="1531">
        <f t="shared" si="35"/>
        <v>3750000000</v>
      </c>
      <c r="J247" s="1531">
        <f t="shared" si="35"/>
        <v>3750000000</v>
      </c>
      <c r="K247" s="1531">
        <f t="shared" si="35"/>
        <v>3750000000</v>
      </c>
      <c r="L247" s="1531">
        <f t="shared" si="35"/>
        <v>3750000000</v>
      </c>
      <c r="M247" s="1531">
        <f t="shared" si="35"/>
        <v>3750000000</v>
      </c>
      <c r="N247" s="1531">
        <f>250*15000*NAIRA2010_*1000</f>
        <v>3750000000</v>
      </c>
      <c r="O247" s="37"/>
    </row>
    <row r="248" spans="1:15" s="588" customFormat="1" x14ac:dyDescent="0.2">
      <c r="A248" s="2010"/>
      <c r="B248" s="691"/>
      <c r="C248" s="524" t="s">
        <v>622</v>
      </c>
      <c r="D248" s="200" t="s">
        <v>1450</v>
      </c>
      <c r="E248" s="524">
        <f>(N248-F248)/(N$244-F$244)</f>
        <v>0</v>
      </c>
      <c r="F248" s="2003">
        <f>250*30519*NAIRA2010_*1000</f>
        <v>7629750000</v>
      </c>
      <c r="G248" s="2003">
        <f t="shared" si="34"/>
        <v>7629750000</v>
      </c>
      <c r="H248" s="2003">
        <f t="shared" si="34"/>
        <v>7629750000</v>
      </c>
      <c r="I248" s="2003">
        <f t="shared" si="34"/>
        <v>7629750000</v>
      </c>
      <c r="J248" s="2003">
        <f t="shared" si="34"/>
        <v>7629750000</v>
      </c>
      <c r="K248" s="2003">
        <f t="shared" si="34"/>
        <v>7629750000</v>
      </c>
      <c r="L248" s="2003">
        <f t="shared" si="34"/>
        <v>7629750000</v>
      </c>
      <c r="M248" s="2003">
        <f t="shared" si="34"/>
        <v>7629750000</v>
      </c>
      <c r="N248" s="2003">
        <f>250*30519*NAIRA2010_*1000</f>
        <v>7629750000</v>
      </c>
      <c r="O248" s="37"/>
    </row>
    <row r="249" spans="1:15" s="588" customFormat="1" x14ac:dyDescent="0.2">
      <c r="A249" s="2010"/>
      <c r="B249" s="691"/>
      <c r="C249" s="1416"/>
      <c r="D249" s="1415"/>
      <c r="E249" s="1416"/>
      <c r="F249" s="634"/>
      <c r="G249" s="1531"/>
      <c r="H249" s="1531"/>
      <c r="I249" s="1531"/>
      <c r="J249" s="1531"/>
      <c r="K249" s="1531"/>
      <c r="L249" s="1531"/>
      <c r="M249" s="1531"/>
      <c r="N249" s="634"/>
      <c r="O249" s="34"/>
    </row>
    <row r="250" spans="1:15" s="588" customFormat="1" x14ac:dyDescent="0.2">
      <c r="A250" s="2010"/>
      <c r="B250" s="691"/>
      <c r="C250" s="1415"/>
      <c r="D250" s="1415"/>
      <c r="E250" s="1416"/>
      <c r="F250" s="634"/>
      <c r="G250" s="1531"/>
      <c r="H250" s="1531"/>
      <c r="I250" s="1531"/>
      <c r="J250" s="1531"/>
      <c r="K250" s="1531"/>
      <c r="L250" s="1531"/>
      <c r="M250" s="1531"/>
      <c r="N250" s="2018" t="str">
        <f>Preferences.moneyunits&amp;" per thousand vehicle units"</f>
        <v>N per thousand vehicle units</v>
      </c>
      <c r="O250" s="34"/>
    </row>
    <row r="251" spans="1:15" s="588" customFormat="1" x14ac:dyDescent="0.2">
      <c r="A251" s="2010"/>
      <c r="B251" s="691"/>
      <c r="C251" s="1999" t="s">
        <v>1900</v>
      </c>
      <c r="D251" s="2000"/>
      <c r="E251" s="2001" t="s">
        <v>1321</v>
      </c>
      <c r="F251" s="2002">
        <v>2010</v>
      </c>
      <c r="G251" s="2002">
        <v>2015</v>
      </c>
      <c r="H251" s="2002">
        <v>2020</v>
      </c>
      <c r="I251" s="2002">
        <v>2025</v>
      </c>
      <c r="J251" s="2002">
        <v>2030</v>
      </c>
      <c r="K251" s="2002">
        <v>2035</v>
      </c>
      <c r="L251" s="2002">
        <v>2040</v>
      </c>
      <c r="M251" s="2002">
        <v>2045</v>
      </c>
      <c r="N251" s="2002">
        <v>2050</v>
      </c>
      <c r="O251" s="34"/>
    </row>
    <row r="252" spans="1:15" s="588" customFormat="1" x14ac:dyDescent="0.2">
      <c r="A252" s="2010"/>
      <c r="B252" s="691"/>
      <c r="C252" s="1904" t="s">
        <v>626</v>
      </c>
      <c r="D252" s="1102" t="s">
        <v>1448</v>
      </c>
      <c r="E252" s="1904">
        <f>(N252-F252)/(N$251-F$251)</f>
        <v>0</v>
      </c>
      <c r="F252" s="2004">
        <f>250*31264*NAIRA2010_*1000</f>
        <v>7816000000</v>
      </c>
      <c r="G252" s="2004">
        <f t="shared" ref="G252:M255" si="36">F252+$E252*(G$251-F$251)</f>
        <v>7816000000</v>
      </c>
      <c r="H252" s="2004">
        <f t="shared" si="36"/>
        <v>7816000000</v>
      </c>
      <c r="I252" s="2004">
        <f t="shared" si="36"/>
        <v>7816000000</v>
      </c>
      <c r="J252" s="2004">
        <f t="shared" si="36"/>
        <v>7816000000</v>
      </c>
      <c r="K252" s="2004">
        <f t="shared" si="36"/>
        <v>7816000000</v>
      </c>
      <c r="L252" s="2004">
        <f t="shared" si="36"/>
        <v>7816000000</v>
      </c>
      <c r="M252" s="2004">
        <f t="shared" si="36"/>
        <v>7816000000</v>
      </c>
      <c r="N252" s="2004">
        <f>250*31264*NAIRA2010_*1000</f>
        <v>7816000000</v>
      </c>
      <c r="O252" s="34"/>
    </row>
    <row r="253" spans="1:15" s="588" customFormat="1" x14ac:dyDescent="0.2">
      <c r="A253" s="2010"/>
      <c r="B253" s="691"/>
      <c r="C253" s="1416" t="s">
        <v>626</v>
      </c>
      <c r="D253" s="1415" t="s">
        <v>433</v>
      </c>
      <c r="E253" s="1416">
        <f>(N253-F253)/(N$251-F$251)</f>
        <v>0</v>
      </c>
      <c r="F253" s="1531">
        <f>250*22045*NAIRA2010_*1000</f>
        <v>5511250000</v>
      </c>
      <c r="G253" s="1531">
        <f t="shared" si="36"/>
        <v>5511250000</v>
      </c>
      <c r="H253" s="1531">
        <f t="shared" si="36"/>
        <v>5511250000</v>
      </c>
      <c r="I253" s="1531">
        <f t="shared" si="36"/>
        <v>5511250000</v>
      </c>
      <c r="J253" s="1531">
        <f t="shared" si="36"/>
        <v>5511250000</v>
      </c>
      <c r="K253" s="1531">
        <f t="shared" si="36"/>
        <v>5511250000</v>
      </c>
      <c r="L253" s="1531">
        <f t="shared" si="36"/>
        <v>5511250000</v>
      </c>
      <c r="M253" s="1531">
        <f t="shared" si="36"/>
        <v>5511250000</v>
      </c>
      <c r="N253" s="1531">
        <f>250*22045*NAIRA2010_*1000</f>
        <v>5511250000</v>
      </c>
      <c r="O253" s="34"/>
    </row>
    <row r="254" spans="1:15" s="588" customFormat="1" x14ac:dyDescent="0.2">
      <c r="A254" s="2010"/>
      <c r="B254" s="691"/>
      <c r="C254" s="1416" t="s">
        <v>622</v>
      </c>
      <c r="D254" s="1415" t="s">
        <v>1449</v>
      </c>
      <c r="E254" s="1416">
        <f>(N254-F254)/(N$251-F$251)</f>
        <v>0</v>
      </c>
      <c r="F254" s="1531">
        <f>250*15000*NAIRA2010_*1000</f>
        <v>3750000000</v>
      </c>
      <c r="G254" s="1531">
        <f t="shared" ref="G254:M254" si="37">15000*GBP*1000</f>
        <v>3750000000</v>
      </c>
      <c r="H254" s="1531">
        <f t="shared" si="37"/>
        <v>3750000000</v>
      </c>
      <c r="I254" s="1531">
        <f t="shared" si="37"/>
        <v>3750000000</v>
      </c>
      <c r="J254" s="1531">
        <f t="shared" si="37"/>
        <v>3750000000</v>
      </c>
      <c r="K254" s="1531">
        <f t="shared" si="37"/>
        <v>3750000000</v>
      </c>
      <c r="L254" s="1531">
        <f t="shared" si="37"/>
        <v>3750000000</v>
      </c>
      <c r="M254" s="1531">
        <f t="shared" si="37"/>
        <v>3750000000</v>
      </c>
      <c r="N254" s="1531">
        <f>250*15000*NAIRA2010_*1000</f>
        <v>3750000000</v>
      </c>
      <c r="O254" s="34"/>
    </row>
    <row r="255" spans="1:15" s="588" customFormat="1" x14ac:dyDescent="0.2">
      <c r="A255" s="2010"/>
      <c r="B255" s="691"/>
      <c r="C255" s="524" t="s">
        <v>622</v>
      </c>
      <c r="D255" s="200" t="s">
        <v>1450</v>
      </c>
      <c r="E255" s="524">
        <f>(N255-F255)/(N$251-F$251)</f>
        <v>0</v>
      </c>
      <c r="F255" s="2003">
        <f>250*30519*NAIRA2010_*1000</f>
        <v>7629750000</v>
      </c>
      <c r="G255" s="2003">
        <f t="shared" si="36"/>
        <v>7629750000</v>
      </c>
      <c r="H255" s="2003">
        <f t="shared" si="36"/>
        <v>7629750000</v>
      </c>
      <c r="I255" s="2003">
        <f t="shared" si="36"/>
        <v>7629750000</v>
      </c>
      <c r="J255" s="2003">
        <f t="shared" si="36"/>
        <v>7629750000</v>
      </c>
      <c r="K255" s="2003">
        <f t="shared" si="36"/>
        <v>7629750000</v>
      </c>
      <c r="L255" s="2003">
        <f t="shared" si="36"/>
        <v>7629750000</v>
      </c>
      <c r="M255" s="2003">
        <f t="shared" si="36"/>
        <v>7629750000</v>
      </c>
      <c r="N255" s="2003">
        <f>250*30519*NAIRA2010_*1000</f>
        <v>7629750000</v>
      </c>
      <c r="O255" s="34"/>
    </row>
    <row r="256" spans="1:15" s="588" customFormat="1" x14ac:dyDescent="0.2">
      <c r="A256" s="2010"/>
      <c r="B256" s="691"/>
      <c r="C256" s="1415"/>
      <c r="D256" s="1415"/>
      <c r="E256" s="2007"/>
      <c r="F256" s="634"/>
      <c r="G256" s="1531"/>
      <c r="H256" s="1531"/>
      <c r="I256" s="1531"/>
      <c r="J256" s="1531"/>
      <c r="K256" s="1531"/>
      <c r="L256" s="1531"/>
      <c r="M256" s="1531"/>
      <c r="N256" s="634"/>
      <c r="O256" s="34"/>
    </row>
    <row r="257" spans="1:15" s="588" customFormat="1" x14ac:dyDescent="0.2">
      <c r="A257" s="2010"/>
      <c r="B257" s="691"/>
      <c r="C257" s="1416" t="s">
        <v>172</v>
      </c>
      <c r="D257" s="1416"/>
      <c r="E257" s="1416"/>
      <c r="F257" s="1416"/>
      <c r="G257" s="1416"/>
      <c r="H257" s="1416"/>
      <c r="I257" s="1416"/>
      <c r="J257" s="1416"/>
      <c r="K257" s="1416"/>
      <c r="L257" s="1416"/>
      <c r="M257" s="1416"/>
      <c r="N257" s="1416"/>
      <c r="O257" s="37"/>
    </row>
    <row r="258" spans="1:15" s="588" customFormat="1" x14ac:dyDescent="0.2">
      <c r="A258" s="2010"/>
      <c r="B258" s="691"/>
      <c r="C258" s="485" t="s">
        <v>93</v>
      </c>
      <c r="D258" s="1382" t="s">
        <v>2046</v>
      </c>
      <c r="E258" s="1416"/>
      <c r="F258" s="1416"/>
      <c r="G258" s="1416"/>
      <c r="H258" s="1416"/>
      <c r="I258" s="1416"/>
      <c r="J258" s="1416"/>
      <c r="K258" s="1416"/>
      <c r="L258" s="1416"/>
      <c r="M258" s="1416"/>
      <c r="N258" s="1416"/>
      <c r="O258" s="37"/>
    </row>
    <row r="259" spans="1:15" s="588" customFormat="1" x14ac:dyDescent="0.2">
      <c r="A259" s="2010"/>
      <c r="B259" s="691"/>
      <c r="C259" s="176" t="s">
        <v>100</v>
      </c>
      <c r="D259" s="1416" t="s">
        <v>1476</v>
      </c>
      <c r="E259" s="1416"/>
      <c r="F259" s="1416"/>
      <c r="G259" s="1416"/>
      <c r="H259" s="1416"/>
      <c r="I259" s="1416"/>
      <c r="J259" s="1416"/>
      <c r="K259" s="1416"/>
      <c r="L259" s="1416"/>
      <c r="M259" s="1416"/>
      <c r="N259" s="1416"/>
      <c r="O259" s="37"/>
    </row>
    <row r="260" spans="1:15" s="588" customFormat="1" x14ac:dyDescent="0.2">
      <c r="A260" s="2010"/>
      <c r="B260" s="691"/>
      <c r="C260" s="176" t="s">
        <v>101</v>
      </c>
      <c r="D260" s="1416" t="s">
        <v>1692</v>
      </c>
      <c r="E260" s="1416"/>
      <c r="F260" s="1416"/>
      <c r="G260" s="1416"/>
      <c r="H260" s="1416"/>
      <c r="I260" s="1416"/>
      <c r="J260" s="1416"/>
      <c r="K260" s="1416"/>
      <c r="L260" s="1416"/>
      <c r="M260" s="1416"/>
      <c r="N260" s="1416"/>
      <c r="O260" s="37"/>
    </row>
    <row r="261" spans="1:15" s="588" customFormat="1" x14ac:dyDescent="0.2">
      <c r="A261" s="2010"/>
      <c r="B261" s="691"/>
      <c r="C261" s="176" t="s">
        <v>171</v>
      </c>
      <c r="D261" s="1416" t="s">
        <v>1693</v>
      </c>
      <c r="E261" s="1416"/>
      <c r="F261" s="1416"/>
      <c r="G261" s="1416"/>
      <c r="H261" s="1416"/>
      <c r="I261" s="1416"/>
      <c r="J261" s="1416"/>
      <c r="K261" s="1416"/>
      <c r="L261" s="1416"/>
      <c r="M261" s="1416"/>
      <c r="N261" s="1416"/>
      <c r="O261" s="37"/>
    </row>
    <row r="262" spans="1:15" s="588" customFormat="1" x14ac:dyDescent="0.2">
      <c r="A262" s="2010"/>
      <c r="B262" s="691"/>
      <c r="C262" s="1385"/>
      <c r="D262" s="691"/>
      <c r="E262" s="691"/>
      <c r="F262" s="691"/>
      <c r="G262" s="691"/>
      <c r="H262" s="691"/>
      <c r="I262" s="691"/>
      <c r="J262" s="691"/>
      <c r="K262" s="691"/>
      <c r="L262" s="691"/>
      <c r="M262" s="691"/>
      <c r="N262" s="691"/>
      <c r="O262" s="37"/>
    </row>
    <row r="263" spans="1:15" s="588" customFormat="1" x14ac:dyDescent="0.2">
      <c r="B263" s="2016"/>
      <c r="O263" s="37"/>
    </row>
    <row r="264" spans="1:15" ht="18" collapsed="1" x14ac:dyDescent="0.25">
      <c r="A264" s="99"/>
      <c r="B264" s="134" t="s">
        <v>279</v>
      </c>
      <c r="O264" s="37"/>
    </row>
    <row r="265" spans="1:15" s="20" customFormat="1" x14ac:dyDescent="0.2">
      <c r="B265" s="82">
        <v>1</v>
      </c>
      <c r="C265" s="38" t="s">
        <v>623</v>
      </c>
      <c r="O265" s="1347"/>
    </row>
    <row r="266" spans="1:15" s="20" customFormat="1" x14ac:dyDescent="0.2">
      <c r="B266" s="82">
        <v>2</v>
      </c>
      <c r="C266" s="38" t="s">
        <v>624</v>
      </c>
      <c r="O266" s="1347"/>
    </row>
    <row r="267" spans="1:15" s="20" customFormat="1" x14ac:dyDescent="0.2">
      <c r="B267" s="82">
        <v>3</v>
      </c>
      <c r="C267" s="38" t="s">
        <v>625</v>
      </c>
      <c r="O267" s="1347"/>
    </row>
    <row r="268" spans="1:15" s="20" customFormat="1" x14ac:dyDescent="0.2">
      <c r="B268" s="82">
        <v>4</v>
      </c>
      <c r="C268" s="38" t="s">
        <v>628</v>
      </c>
      <c r="O268" s="1347"/>
    </row>
    <row r="269" spans="1:15" s="20" customFormat="1" x14ac:dyDescent="0.2">
      <c r="B269" s="82">
        <v>5</v>
      </c>
      <c r="C269" s="38" t="s">
        <v>508</v>
      </c>
      <c r="O269" s="1347"/>
    </row>
    <row r="270" spans="1:15" x14ac:dyDescent="0.2">
      <c r="O270" s="37"/>
    </row>
    <row r="271" spans="1:15" x14ac:dyDescent="0.2">
      <c r="B271" s="82">
        <v>1</v>
      </c>
      <c r="C271" s="82" t="s">
        <v>761</v>
      </c>
      <c r="F271" s="171">
        <v>2010</v>
      </c>
      <c r="G271" s="171">
        <v>2015</v>
      </c>
      <c r="H271" s="171">
        <v>2020</v>
      </c>
      <c r="I271" s="171">
        <v>2025</v>
      </c>
      <c r="J271" s="171">
        <v>2030</v>
      </c>
      <c r="K271" s="171">
        <v>2035</v>
      </c>
      <c r="L271" s="171">
        <v>2040</v>
      </c>
      <c r="M271" s="171">
        <v>2045</v>
      </c>
      <c r="N271" s="171">
        <v>2050</v>
      </c>
      <c r="O271" s="37"/>
    </row>
    <row r="272" spans="1:15" x14ac:dyDescent="0.2">
      <c r="C272" s="38" t="s">
        <v>626</v>
      </c>
      <c r="E272" s="16" t="s">
        <v>376</v>
      </c>
      <c r="F272" s="233">
        <f t="shared" ref="F272:N272" si="38">INDEX(F$16:F$19, MATCH($E$8, $C$16:$C$19, 0))</f>
        <v>26123390.275299579</v>
      </c>
      <c r="G272" s="233">
        <f t="shared" si="38"/>
        <v>88166442.179136083</v>
      </c>
      <c r="H272" s="233">
        <f t="shared" si="38"/>
        <v>150209494.08297259</v>
      </c>
      <c r="I272" s="233">
        <f t="shared" si="38"/>
        <v>212252545.98680907</v>
      </c>
      <c r="J272" s="233">
        <f t="shared" si="38"/>
        <v>274295597.89064556</v>
      </c>
      <c r="K272" s="233">
        <f t="shared" si="38"/>
        <v>336338649.79448205</v>
      </c>
      <c r="L272" s="233">
        <f t="shared" si="38"/>
        <v>398381701.69831854</v>
      </c>
      <c r="M272" s="233">
        <f t="shared" si="38"/>
        <v>460424753.60215503</v>
      </c>
      <c r="N272" s="233">
        <f t="shared" si="38"/>
        <v>522467805.50599158</v>
      </c>
      <c r="O272" s="37"/>
    </row>
    <row r="273" spans="2:15" s="39" customFormat="1" x14ac:dyDescent="0.2">
      <c r="B273" s="39" t="s">
        <v>345</v>
      </c>
      <c r="C273" s="39" t="s">
        <v>455</v>
      </c>
      <c r="E273" s="582" t="str">
        <f>Preferences.EnergyUnits &amp;" / litre"</f>
        <v>TWh / litre</v>
      </c>
      <c r="F273" s="1089">
        <f>Constants.GCV.Diesel * Constants.Density.Diesel</f>
        <v>1.0560827412175749E-8</v>
      </c>
      <c r="G273" s="702"/>
      <c r="H273" s="702"/>
      <c r="I273" s="702"/>
      <c r="J273" s="702"/>
      <c r="K273" s="702"/>
      <c r="L273" s="702"/>
      <c r="M273" s="702"/>
      <c r="N273" s="702"/>
      <c r="O273" s="1856"/>
    </row>
    <row r="274" spans="2:15" x14ac:dyDescent="0.2">
      <c r="B274" s="131" t="s">
        <v>346</v>
      </c>
      <c r="C274" s="82" t="s">
        <v>374</v>
      </c>
      <c r="D274" s="82"/>
      <c r="E274" s="172" t="str">
        <f>Preferences.EnergyUnits</f>
        <v>TWh</v>
      </c>
      <c r="F274" s="235">
        <f t="shared" ref="F274:N274" si="39">F272*$F$273</f>
        <v>0.27588461611834919</v>
      </c>
      <c r="G274" s="235">
        <f t="shared" si="39"/>
        <v>0.93111057939942843</v>
      </c>
      <c r="H274" s="235">
        <f t="shared" si="39"/>
        <v>1.5863365426805078</v>
      </c>
      <c r="I274" s="235">
        <f t="shared" si="39"/>
        <v>2.2415625059615869</v>
      </c>
      <c r="J274" s="235">
        <f t="shared" si="39"/>
        <v>2.896788469242666</v>
      </c>
      <c r="K274" s="235">
        <f t="shared" si="39"/>
        <v>3.552014432523745</v>
      </c>
      <c r="L274" s="235">
        <f t="shared" si="39"/>
        <v>4.2072403958048241</v>
      </c>
      <c r="M274" s="235">
        <f t="shared" si="39"/>
        <v>4.8624663590859036</v>
      </c>
      <c r="N274" s="235">
        <f t="shared" si="39"/>
        <v>5.5176923223669831</v>
      </c>
      <c r="O274" s="37"/>
    </row>
    <row r="275" spans="2:15" x14ac:dyDescent="0.2">
      <c r="E275" s="16"/>
      <c r="F275" s="236"/>
      <c r="G275" s="236"/>
      <c r="H275" s="236"/>
      <c r="I275" s="236"/>
      <c r="J275" s="236"/>
      <c r="K275" s="236"/>
      <c r="L275" s="236"/>
      <c r="M275" s="236"/>
      <c r="N275" s="236"/>
      <c r="O275" s="37"/>
    </row>
    <row r="276" spans="2:15" s="84" customFormat="1" x14ac:dyDescent="0.2">
      <c r="B276" s="82">
        <v>2</v>
      </c>
      <c r="C276" s="82" t="s">
        <v>762</v>
      </c>
      <c r="E276" s="172" t="str">
        <f>Preferences.EnergyUnits</f>
        <v>TWh</v>
      </c>
      <c r="F276" s="235">
        <f t="shared" ref="F276:N276" si="40">INDEX(F$24:F$27, MATCH($E$8, $C$24:$C$27, 0))</f>
        <v>0</v>
      </c>
      <c r="G276" s="235">
        <f t="shared" si="40"/>
        <v>0.97962713532373413</v>
      </c>
      <c r="H276" s="235">
        <f t="shared" si="40"/>
        <v>1.95925427064747</v>
      </c>
      <c r="I276" s="235">
        <f t="shared" si="40"/>
        <v>2.9388814059712001</v>
      </c>
      <c r="J276" s="235">
        <f t="shared" si="40"/>
        <v>3.9185085412949401</v>
      </c>
      <c r="K276" s="235">
        <f t="shared" si="40"/>
        <v>4.8981356766186703</v>
      </c>
      <c r="L276" s="235">
        <f t="shared" si="40"/>
        <v>5.8777628119424108</v>
      </c>
      <c r="M276" s="235">
        <f t="shared" si="40"/>
        <v>6.8573899472661406</v>
      </c>
      <c r="N276" s="235">
        <f t="shared" si="40"/>
        <v>7.8370170825898713</v>
      </c>
      <c r="O276" s="34"/>
    </row>
    <row r="277" spans="2:15" s="84" customFormat="1" x14ac:dyDescent="0.2">
      <c r="B277" s="82"/>
      <c r="C277" s="38"/>
      <c r="E277" s="82"/>
      <c r="F277" s="235"/>
      <c r="G277" s="235"/>
      <c r="H277" s="235"/>
      <c r="I277" s="235"/>
      <c r="J277" s="235"/>
      <c r="K277" s="235"/>
      <c r="L277" s="235"/>
      <c r="M277" s="235"/>
      <c r="N277" s="235"/>
      <c r="O277" s="34"/>
    </row>
    <row r="278" spans="2:15" s="84" customFormat="1" x14ac:dyDescent="0.2">
      <c r="B278" s="82">
        <v>3</v>
      </c>
      <c r="C278" s="82" t="s">
        <v>943</v>
      </c>
      <c r="E278" s="82"/>
      <c r="F278" s="235"/>
      <c r="G278" s="235"/>
      <c r="H278" s="235"/>
      <c r="I278" s="235"/>
      <c r="J278" s="235"/>
      <c r="K278" s="235"/>
      <c r="L278" s="235"/>
      <c r="M278" s="235"/>
      <c r="N278" s="235"/>
      <c r="O278" s="34"/>
    </row>
    <row r="279" spans="2:15" s="84" customFormat="1" x14ac:dyDescent="0.2">
      <c r="B279" s="82"/>
      <c r="C279" s="38" t="s">
        <v>622</v>
      </c>
      <c r="D279" s="38"/>
      <c r="E279" s="16" t="s">
        <v>621</v>
      </c>
      <c r="F279" s="233">
        <f t="shared" ref="F279:N279" si="41">INDEX(F$48:F$51, MATCH($E$8, $C$48:$C$51, 0))</f>
        <v>4.4899717846839735</v>
      </c>
      <c r="G279" s="233">
        <f t="shared" si="41"/>
        <v>4.8355375526237907</v>
      </c>
      <c r="H279" s="233">
        <f t="shared" si="41"/>
        <v>5.1811033205636079</v>
      </c>
      <c r="I279" s="233">
        <f t="shared" si="41"/>
        <v>5.5266690885034251</v>
      </c>
      <c r="J279" s="233">
        <f t="shared" si="41"/>
        <v>5.8722348564432423</v>
      </c>
      <c r="K279" s="233">
        <f t="shared" si="41"/>
        <v>6.2178006243830595</v>
      </c>
      <c r="L279" s="233">
        <f t="shared" si="41"/>
        <v>6.5633663923228767</v>
      </c>
      <c r="M279" s="233">
        <f t="shared" si="41"/>
        <v>6.9089321602626939</v>
      </c>
      <c r="N279" s="233">
        <f t="shared" si="41"/>
        <v>7.2544979282025093</v>
      </c>
      <c r="O279" s="34"/>
    </row>
    <row r="280" spans="2:15" s="202" customFormat="1" x14ac:dyDescent="0.2">
      <c r="B280" s="39" t="s">
        <v>345</v>
      </c>
      <c r="C280" s="39" t="s">
        <v>579</v>
      </c>
      <c r="E280" s="39" t="str">
        <f>Preferences.EnergyUnits &amp; " / bn vehicle-km"</f>
        <v>TWh / bn vehicle-km</v>
      </c>
      <c r="F280" s="1088">
        <f t="shared" ref="F280:N280" si="42">INDEX(F$72:F$75, MATCH($E$8, $C$72:$C$75, 0))</f>
        <v>4.2112777777777781</v>
      </c>
      <c r="G280" s="1088">
        <f t="shared" si="42"/>
        <v>3.6629305555555556</v>
      </c>
      <c r="H280" s="1088">
        <f t="shared" si="42"/>
        <v>3.1145833333333335</v>
      </c>
      <c r="I280" s="1088">
        <f t="shared" si="42"/>
        <v>2.5662361111111114</v>
      </c>
      <c r="J280" s="1088">
        <f t="shared" si="42"/>
        <v>2.0178888888888888</v>
      </c>
      <c r="K280" s="1088">
        <f t="shared" si="42"/>
        <v>1.9480138888888889</v>
      </c>
      <c r="L280" s="1088">
        <f t="shared" si="42"/>
        <v>1.878138888888889</v>
      </c>
      <c r="M280" s="1088">
        <f t="shared" si="42"/>
        <v>1.8084444444444445</v>
      </c>
      <c r="N280" s="1088">
        <f t="shared" si="42"/>
        <v>1.73875</v>
      </c>
      <c r="O280" s="143"/>
    </row>
    <row r="281" spans="2:15" s="84" customFormat="1" x14ac:dyDescent="0.2">
      <c r="B281" s="131" t="s">
        <v>346</v>
      </c>
      <c r="C281" s="82" t="s">
        <v>374</v>
      </c>
      <c r="E281" s="172" t="str">
        <f>Preferences.EnergyUnits</f>
        <v>TWh</v>
      </c>
      <c r="F281" s="234">
        <f t="shared" ref="F281:N281" si="43">F279*F280</f>
        <v>18.908518399688848</v>
      </c>
      <c r="G281" s="234">
        <f t="shared" si="43"/>
        <v>17.712238254042013</v>
      </c>
      <c r="H281" s="234">
        <f t="shared" si="43"/>
        <v>16.136978050505405</v>
      </c>
      <c r="I281" s="234">
        <f t="shared" si="43"/>
        <v>14.18273778907902</v>
      </c>
      <c r="J281" s="234">
        <f t="shared" si="43"/>
        <v>11.849517469762858</v>
      </c>
      <c r="K281" s="234">
        <f t="shared" si="43"/>
        <v>12.112361974640205</v>
      </c>
      <c r="L281" s="234">
        <f t="shared" si="43"/>
        <v>12.326913663447964</v>
      </c>
      <c r="M281" s="234">
        <f t="shared" si="43"/>
        <v>12.494419982270623</v>
      </c>
      <c r="N281" s="234">
        <f t="shared" si="43"/>
        <v>12.613758272662112</v>
      </c>
      <c r="O281" s="34"/>
    </row>
    <row r="282" spans="2:15" s="84" customFormat="1" x14ac:dyDescent="0.2">
      <c r="B282" s="131"/>
      <c r="C282" s="1427"/>
      <c r="E282" s="172"/>
      <c r="F282" s="234"/>
      <c r="G282" s="234"/>
      <c r="H282" s="234"/>
      <c r="I282" s="234"/>
      <c r="J282" s="234"/>
      <c r="K282" s="234"/>
      <c r="L282" s="234"/>
      <c r="M282" s="234"/>
      <c r="N282" s="234"/>
      <c r="O282" s="34"/>
    </row>
    <row r="283" spans="2:15" s="84" customFormat="1" x14ac:dyDescent="0.2">
      <c r="B283" s="131"/>
      <c r="C283" s="1427"/>
      <c r="E283" s="172"/>
      <c r="F283" s="234"/>
      <c r="G283" s="234"/>
      <c r="H283" s="234"/>
      <c r="I283" s="234"/>
      <c r="J283" s="234"/>
      <c r="K283" s="234"/>
      <c r="L283" s="234"/>
      <c r="M283" s="234"/>
      <c r="N283" s="234"/>
      <c r="O283" s="34"/>
    </row>
    <row r="284" spans="2:15" s="84" customFormat="1" x14ac:dyDescent="0.2">
      <c r="B284" s="1427">
        <v>4</v>
      </c>
      <c r="C284" s="1427" t="s">
        <v>2324</v>
      </c>
      <c r="E284" s="1427"/>
      <c r="F284" s="235"/>
      <c r="G284" s="235"/>
      <c r="H284" s="235"/>
      <c r="I284" s="235"/>
      <c r="J284" s="235"/>
      <c r="K284" s="235"/>
      <c r="L284" s="235"/>
      <c r="M284" s="235"/>
      <c r="N284" s="235"/>
      <c r="O284" s="34"/>
    </row>
    <row r="285" spans="2:15" s="84" customFormat="1" x14ac:dyDescent="0.2">
      <c r="B285" s="1427"/>
      <c r="C285" s="2370" t="s">
        <v>622</v>
      </c>
      <c r="D285" s="2370"/>
      <c r="E285" s="1426" t="s">
        <v>621</v>
      </c>
      <c r="F285" s="233">
        <f t="shared" ref="F285:N285" si="44">INDEX(F$56:F$59, MATCH($E$8, $C$56:$C$59, 0))</f>
        <v>0</v>
      </c>
      <c r="G285" s="233">
        <f t="shared" si="44"/>
        <v>0.16193075732594886</v>
      </c>
      <c r="H285" s="233">
        <f t="shared" si="44"/>
        <v>0.32386151465189772</v>
      </c>
      <c r="I285" s="233">
        <f t="shared" si="44"/>
        <v>0.48579227197784658</v>
      </c>
      <c r="J285" s="233">
        <f t="shared" si="44"/>
        <v>0.64772302930379544</v>
      </c>
      <c r="K285" s="233">
        <f t="shared" si="44"/>
        <v>0.8096537866297443</v>
      </c>
      <c r="L285" s="233">
        <f t="shared" si="44"/>
        <v>0.97158454395569316</v>
      </c>
      <c r="M285" s="233">
        <f t="shared" si="44"/>
        <v>1.1335153012816419</v>
      </c>
      <c r="N285" s="233">
        <f t="shared" si="44"/>
        <v>1.2954460586075909</v>
      </c>
      <c r="O285" s="34"/>
    </row>
    <row r="286" spans="2:15" s="202" customFormat="1" x14ac:dyDescent="0.2">
      <c r="B286" s="39" t="s">
        <v>345</v>
      </c>
      <c r="C286" s="39" t="s">
        <v>579</v>
      </c>
      <c r="E286" s="39" t="str">
        <f>Preferences.EnergyUnits &amp; " / bn vehicle-km"</f>
        <v>TWh / bn vehicle-km</v>
      </c>
      <c r="F286" s="1088">
        <f t="shared" ref="F286:N286" si="45">INDEX(F$81:F$84, MATCH($E$8, $C$81:$C$84, 0))</f>
        <v>3.2394444444444446</v>
      </c>
      <c r="G286" s="1088">
        <f t="shared" si="45"/>
        <v>2.8176388888888892</v>
      </c>
      <c r="H286" s="1088">
        <f t="shared" si="45"/>
        <v>2.3958333333333335</v>
      </c>
      <c r="I286" s="1088">
        <f t="shared" si="45"/>
        <v>1.9740277777777777</v>
      </c>
      <c r="J286" s="1088">
        <f t="shared" si="45"/>
        <v>1.5522222222222222</v>
      </c>
      <c r="K286" s="1088">
        <f t="shared" si="45"/>
        <v>1.4984722222222222</v>
      </c>
      <c r="L286" s="1088">
        <f t="shared" si="45"/>
        <v>1.4447222222222222</v>
      </c>
      <c r="M286" s="1088">
        <f t="shared" si="45"/>
        <v>1.391111111111111</v>
      </c>
      <c r="N286" s="1088">
        <f t="shared" si="45"/>
        <v>1.3374999999999999</v>
      </c>
      <c r="O286" s="143"/>
    </row>
    <row r="287" spans="2:15" s="84" customFormat="1" x14ac:dyDescent="0.2">
      <c r="B287" s="131" t="s">
        <v>346</v>
      </c>
      <c r="C287" s="1427" t="s">
        <v>374</v>
      </c>
      <c r="E287" s="172" t="str">
        <f>Preferences.EnergyUnits</f>
        <v>TWh</v>
      </c>
      <c r="F287" s="234">
        <f t="shared" ref="F287:N287" si="46">F285*F286</f>
        <v>0</v>
      </c>
      <c r="G287" s="234">
        <f t="shared" si="46"/>
        <v>0.45626239914882288</v>
      </c>
      <c r="H287" s="234">
        <f t="shared" si="46"/>
        <v>0.77591821218683832</v>
      </c>
      <c r="I287" s="234">
        <f t="shared" si="46"/>
        <v>0.95896743911404625</v>
      </c>
      <c r="J287" s="234">
        <f t="shared" si="46"/>
        <v>1.0054100799304468</v>
      </c>
      <c r="K287" s="234">
        <f t="shared" si="46"/>
        <v>1.2132437088817098</v>
      </c>
      <c r="L287" s="234">
        <f t="shared" si="46"/>
        <v>1.4036697814204333</v>
      </c>
      <c r="M287" s="234">
        <f t="shared" si="46"/>
        <v>1.5768457302273506</v>
      </c>
      <c r="N287" s="234">
        <f t="shared" si="46"/>
        <v>1.7326591033876526</v>
      </c>
      <c r="O287" s="34"/>
    </row>
    <row r="288" spans="2:15" s="84" customFormat="1" x14ac:dyDescent="0.2">
      <c r="B288" s="131"/>
      <c r="C288" s="1427"/>
      <c r="E288" s="172"/>
      <c r="F288" s="234"/>
      <c r="G288" s="234"/>
      <c r="H288" s="234"/>
      <c r="I288" s="234"/>
      <c r="J288" s="234"/>
      <c r="K288" s="234"/>
      <c r="L288" s="234"/>
      <c r="M288" s="234"/>
      <c r="N288" s="234"/>
      <c r="O288" s="34"/>
    </row>
    <row r="289" spans="1:15" s="84" customFormat="1" x14ac:dyDescent="0.2">
      <c r="B289" s="82"/>
      <c r="C289" s="38"/>
      <c r="E289" s="82"/>
      <c r="F289" s="234"/>
      <c r="G289" s="234"/>
      <c r="H289" s="234"/>
      <c r="I289" s="234"/>
      <c r="J289" s="234"/>
      <c r="K289" s="234"/>
      <c r="L289" s="234"/>
      <c r="M289" s="234"/>
      <c r="N289" s="234"/>
      <c r="O289" s="34"/>
    </row>
    <row r="290" spans="1:15" s="84" customFormat="1" x14ac:dyDescent="0.2">
      <c r="B290" s="82">
        <v>5</v>
      </c>
      <c r="C290" s="82" t="s">
        <v>944</v>
      </c>
      <c r="E290" s="82"/>
      <c r="F290" s="234"/>
      <c r="G290" s="234"/>
      <c r="H290" s="234"/>
      <c r="I290" s="234"/>
      <c r="J290" s="234"/>
      <c r="K290" s="234"/>
      <c r="L290" s="234"/>
      <c r="M290" s="234"/>
      <c r="N290" s="234"/>
      <c r="O290" s="34"/>
    </row>
    <row r="291" spans="1:15" s="84" customFormat="1" x14ac:dyDescent="0.2">
      <c r="B291" s="82"/>
      <c r="C291" s="38" t="s">
        <v>622</v>
      </c>
      <c r="D291" s="38"/>
      <c r="E291" s="16" t="s">
        <v>621</v>
      </c>
      <c r="F291" s="233">
        <f t="shared" ref="F291:N291" si="47">INDEX(F$64:F$67, MATCH($E$8, $C$64:$C$67, 0))</f>
        <v>0</v>
      </c>
      <c r="G291" s="233">
        <f t="shared" si="47"/>
        <v>1.0795383821729964E-2</v>
      </c>
      <c r="H291" s="233">
        <f t="shared" si="47"/>
        <v>2.1590767643459928E-2</v>
      </c>
      <c r="I291" s="233">
        <f t="shared" si="47"/>
        <v>3.2386151465189889E-2</v>
      </c>
      <c r="J291" s="233">
        <f t="shared" si="47"/>
        <v>4.3181535286919856E-2</v>
      </c>
      <c r="K291" s="233">
        <f t="shared" si="47"/>
        <v>5.3976919108649823E-2</v>
      </c>
      <c r="L291" s="233">
        <f t="shared" si="47"/>
        <v>6.4772302930379791E-2</v>
      </c>
      <c r="M291" s="233">
        <f t="shared" si="47"/>
        <v>7.5567686752109758E-2</v>
      </c>
      <c r="N291" s="233">
        <f t="shared" si="47"/>
        <v>8.6363070573839712E-2</v>
      </c>
      <c r="O291" s="34"/>
    </row>
    <row r="292" spans="1:15" s="202" customFormat="1" x14ac:dyDescent="0.2">
      <c r="B292" s="39" t="s">
        <v>345</v>
      </c>
      <c r="C292" s="39" t="s">
        <v>579</v>
      </c>
      <c r="E292" s="39" t="str">
        <f>Preferences.EnergyUnits &amp; " / bn vehicle-km"</f>
        <v>TWh / bn vehicle-km</v>
      </c>
      <c r="F292" s="1088">
        <f t="shared" ref="F292:N292" si="48">INDEX(F$90:F$93, MATCH($E$8, $C$90:$C$93, 0))</f>
        <v>1.0107066666666666</v>
      </c>
      <c r="G292" s="1088">
        <f t="shared" si="48"/>
        <v>1.00529</v>
      </c>
      <c r="H292" s="1088">
        <f t="shared" si="48"/>
        <v>0.99987333333333328</v>
      </c>
      <c r="I292" s="1088">
        <f t="shared" si="48"/>
        <v>0.99445666666666677</v>
      </c>
      <c r="J292" s="1088">
        <f t="shared" si="48"/>
        <v>0.98904000000000003</v>
      </c>
      <c r="K292" s="1088">
        <f t="shared" si="48"/>
        <v>0.98904000000000003</v>
      </c>
      <c r="L292" s="1088">
        <f t="shared" si="48"/>
        <v>0.98904000000000003</v>
      </c>
      <c r="M292" s="1088">
        <f t="shared" si="48"/>
        <v>0.98904000000000003</v>
      </c>
      <c r="N292" s="1088">
        <f t="shared" si="48"/>
        <v>0.98904000000000003</v>
      </c>
      <c r="O292" s="143"/>
    </row>
    <row r="293" spans="1:15" s="84" customFormat="1" x14ac:dyDescent="0.2">
      <c r="B293" s="131" t="s">
        <v>346</v>
      </c>
      <c r="C293" s="82" t="s">
        <v>374</v>
      </c>
      <c r="E293" s="172" t="str">
        <f>Preferences.EnergyUnits</f>
        <v>TWh</v>
      </c>
      <c r="F293" s="234">
        <f t="shared" ref="F293:N293" si="49">F291*F292</f>
        <v>0</v>
      </c>
      <c r="G293" s="234">
        <f t="shared" si="49"/>
        <v>1.0852491402146915E-2</v>
      </c>
      <c r="H293" s="234">
        <f t="shared" si="49"/>
        <v>2.1588032812891754E-2</v>
      </c>
      <c r="I293" s="234">
        <f t="shared" si="49"/>
        <v>3.2206624232234519E-2</v>
      </c>
      <c r="J293" s="234">
        <f t="shared" si="49"/>
        <v>4.2708265660175215E-2</v>
      </c>
      <c r="K293" s="234">
        <f t="shared" si="49"/>
        <v>5.3385332075219026E-2</v>
      </c>
      <c r="L293" s="234">
        <f t="shared" si="49"/>
        <v>6.4062398490262837E-2</v>
      </c>
      <c r="M293" s="234">
        <f t="shared" si="49"/>
        <v>7.4739464905306641E-2</v>
      </c>
      <c r="N293" s="234">
        <f t="shared" si="49"/>
        <v>8.5416531320350431E-2</v>
      </c>
      <c r="O293" s="34"/>
    </row>
    <row r="294" spans="1:15" s="84" customFormat="1" x14ac:dyDescent="0.2">
      <c r="B294" s="131"/>
      <c r="C294" s="82"/>
      <c r="E294" s="172"/>
      <c r="F294" s="234"/>
      <c r="G294" s="234"/>
      <c r="H294" s="234"/>
      <c r="I294" s="234"/>
      <c r="J294" s="234"/>
      <c r="K294" s="234"/>
      <c r="L294" s="234"/>
      <c r="M294" s="234"/>
      <c r="N294" s="234"/>
      <c r="O294" s="34"/>
    </row>
    <row r="295" spans="1:15" s="84" customFormat="1" x14ac:dyDescent="0.2">
      <c r="B295" s="131"/>
      <c r="C295" s="1427"/>
      <c r="E295" s="172"/>
      <c r="F295" s="234"/>
      <c r="G295" s="234"/>
      <c r="H295" s="234"/>
      <c r="I295" s="234"/>
      <c r="J295" s="234"/>
      <c r="K295" s="234"/>
      <c r="L295" s="234"/>
      <c r="M295" s="234"/>
      <c r="N295" s="234"/>
      <c r="O295" s="34"/>
    </row>
    <row r="296" spans="1:15" s="84" customFormat="1" x14ac:dyDescent="0.2">
      <c r="B296" s="1427">
        <v>6</v>
      </c>
      <c r="C296" s="1427" t="s">
        <v>2325</v>
      </c>
      <c r="E296" s="1427"/>
      <c r="F296" s="235"/>
      <c r="G296" s="235"/>
      <c r="H296" s="235"/>
      <c r="I296" s="235"/>
      <c r="J296" s="235"/>
      <c r="K296" s="235"/>
      <c r="L296" s="235"/>
      <c r="M296" s="235"/>
      <c r="N296" s="235"/>
      <c r="O296" s="34"/>
    </row>
    <row r="297" spans="1:15" s="84" customFormat="1" x14ac:dyDescent="0.2">
      <c r="B297" s="1427"/>
      <c r="C297" s="2370" t="s">
        <v>2326</v>
      </c>
      <c r="D297" s="2370"/>
      <c r="E297" s="1426" t="s">
        <v>2327</v>
      </c>
      <c r="F297" s="233">
        <f t="shared" ref="F297:N297" si="50">INDEX(F$98:F$101, MATCH($E$8, $C$98:$C$101, 0))</f>
        <v>0</v>
      </c>
      <c r="G297" s="233">
        <f t="shared" si="50"/>
        <v>1.141875E-5</v>
      </c>
      <c r="H297" s="233">
        <f t="shared" si="50"/>
        <v>2.2837499999999999E-5</v>
      </c>
      <c r="I297" s="233">
        <f t="shared" si="50"/>
        <v>3.4256249999999996E-5</v>
      </c>
      <c r="J297" s="233">
        <f t="shared" si="50"/>
        <v>4.5674999999999999E-5</v>
      </c>
      <c r="K297" s="233">
        <f t="shared" si="50"/>
        <v>5.7093750000000002E-5</v>
      </c>
      <c r="L297" s="233">
        <f t="shared" si="50"/>
        <v>6.8512500000000005E-5</v>
      </c>
      <c r="M297" s="233">
        <f t="shared" si="50"/>
        <v>7.9931250000000008E-5</v>
      </c>
      <c r="N297" s="233">
        <f t="shared" si="50"/>
        <v>9.1349999999999998E-5</v>
      </c>
      <c r="O297" s="34"/>
    </row>
    <row r="298" spans="1:15" s="84" customFormat="1" x14ac:dyDescent="0.2">
      <c r="A298" s="202"/>
      <c r="B298" s="39" t="s">
        <v>345</v>
      </c>
      <c r="C298" s="39" t="s">
        <v>455</v>
      </c>
      <c r="D298" s="202"/>
      <c r="E298" s="39" t="str">
        <f>Preferences.EnergyUnits &amp;" / litre"</f>
        <v>TWh / litre</v>
      </c>
      <c r="F298" s="1089">
        <f>Constants.GCV.Diesel * Constants.Density.Diesel</f>
        <v>1.0560827412175749E-8</v>
      </c>
      <c r="G298" s="1088"/>
      <c r="H298" s="1088"/>
      <c r="I298" s="1088"/>
      <c r="J298" s="1088"/>
      <c r="K298" s="1088"/>
      <c r="L298" s="1088"/>
      <c r="M298" s="1088"/>
      <c r="N298" s="1088"/>
      <c r="O298" s="34"/>
    </row>
    <row r="299" spans="1:15" s="84" customFormat="1" x14ac:dyDescent="0.2">
      <c r="B299" s="131" t="s">
        <v>346</v>
      </c>
      <c r="C299" s="1427" t="s">
        <v>374</v>
      </c>
      <c r="E299" s="172" t="str">
        <f>Preferences.EnergyUnits</f>
        <v>TWh</v>
      </c>
      <c r="F299" s="2465">
        <f t="shared" ref="F299:N299" si="51">F297*$F$298</f>
        <v>0</v>
      </c>
      <c r="G299" s="2465">
        <f t="shared" si="51"/>
        <v>1.2059144801278183E-13</v>
      </c>
      <c r="H299" s="2465">
        <f t="shared" si="51"/>
        <v>2.4118289602556366E-13</v>
      </c>
      <c r="I299" s="2465">
        <f t="shared" si="51"/>
        <v>3.6177434403834546E-13</v>
      </c>
      <c r="J299" s="2465">
        <f t="shared" si="51"/>
        <v>4.8236579205112732E-13</v>
      </c>
      <c r="K299" s="2465">
        <f t="shared" si="51"/>
        <v>6.0295724006390912E-13</v>
      </c>
      <c r="L299" s="2465">
        <f t="shared" si="51"/>
        <v>7.2354868807669103E-13</v>
      </c>
      <c r="M299" s="2465">
        <f t="shared" si="51"/>
        <v>8.4414013608947293E-13</v>
      </c>
      <c r="N299" s="2465">
        <f t="shared" si="51"/>
        <v>9.6473158410225464E-13</v>
      </c>
      <c r="O299" s="34"/>
    </row>
    <row r="300" spans="1:15" s="84" customFormat="1" x14ac:dyDescent="0.2">
      <c r="B300" s="131"/>
      <c r="C300" s="1427"/>
      <c r="E300" s="172"/>
      <c r="F300" s="234"/>
      <c r="G300" s="234"/>
      <c r="H300" s="234"/>
      <c r="I300" s="234"/>
      <c r="J300" s="234"/>
      <c r="K300" s="234"/>
      <c r="L300" s="234"/>
      <c r="M300" s="234"/>
      <c r="N300" s="234"/>
      <c r="O300" s="34"/>
    </row>
    <row r="301" spans="1:15" s="84" customFormat="1" x14ac:dyDescent="0.2">
      <c r="B301" s="82">
        <v>7</v>
      </c>
      <c r="C301" s="82" t="s">
        <v>2328</v>
      </c>
      <c r="E301" s="172" t="str">
        <f>Preferences.EnergyUnits</f>
        <v>TWh</v>
      </c>
      <c r="F301" s="234">
        <f t="shared" ref="F301:N301" si="52">INDEX(F$124:F$127, MATCH($E$8, $C$124:$C$127, 0))</f>
        <v>1.0449356110119832</v>
      </c>
      <c r="G301" s="234">
        <f t="shared" si="52"/>
        <v>2.2204881734004642</v>
      </c>
      <c r="H301" s="234">
        <f t="shared" si="52"/>
        <v>3.3960407357889455</v>
      </c>
      <c r="I301" s="234">
        <f t="shared" si="52"/>
        <v>4.5715932981774268</v>
      </c>
      <c r="J301" s="234">
        <f t="shared" si="52"/>
        <v>5.747145860565908</v>
      </c>
      <c r="K301" s="234">
        <f t="shared" si="52"/>
        <v>6.9226984229543893</v>
      </c>
      <c r="L301" s="234">
        <f t="shared" si="52"/>
        <v>8.0982509853428706</v>
      </c>
      <c r="M301" s="234">
        <f t="shared" si="52"/>
        <v>9.273803547731351</v>
      </c>
      <c r="N301" s="234">
        <f t="shared" si="52"/>
        <v>10.449356110119831</v>
      </c>
      <c r="O301" s="34"/>
    </row>
    <row r="302" spans="1:15" s="84" customFormat="1" x14ac:dyDescent="0.2">
      <c r="B302" s="82"/>
      <c r="C302" s="38"/>
      <c r="E302" s="82"/>
      <c r="F302" s="235"/>
      <c r="G302" s="235"/>
      <c r="H302" s="235"/>
      <c r="I302" s="235"/>
      <c r="J302" s="235"/>
      <c r="K302" s="235"/>
      <c r="L302" s="235"/>
      <c r="M302" s="235"/>
      <c r="N302" s="235"/>
      <c r="O302" s="34"/>
    </row>
    <row r="303" spans="1:15" s="84" customFormat="1" x14ac:dyDescent="0.2">
      <c r="B303" s="147">
        <v>8</v>
      </c>
      <c r="C303" s="82" t="s">
        <v>763</v>
      </c>
      <c r="F303" s="114"/>
      <c r="G303" s="114"/>
      <c r="H303" s="114"/>
      <c r="I303" s="114"/>
      <c r="J303" s="114"/>
      <c r="K303" s="114"/>
      <c r="L303" s="114"/>
      <c r="M303" s="114"/>
      <c r="N303" s="114"/>
      <c r="O303" s="34"/>
    </row>
    <row r="304" spans="1:15" s="84" customFormat="1" x14ac:dyDescent="0.2">
      <c r="B304" s="82"/>
      <c r="C304" s="1231"/>
      <c r="F304" s="136"/>
      <c r="G304" s="136"/>
      <c r="H304" s="136"/>
      <c r="I304" s="136"/>
      <c r="J304" s="136"/>
      <c r="K304" s="136"/>
      <c r="L304" s="136"/>
      <c r="M304" s="136"/>
      <c r="N304" s="136"/>
      <c r="O304" s="34"/>
    </row>
    <row r="305" spans="2:15" s="84" customFormat="1" x14ac:dyDescent="0.2">
      <c r="B305" s="82"/>
      <c r="C305" s="1231" t="s">
        <v>1246</v>
      </c>
      <c r="F305" s="136"/>
      <c r="G305" s="136"/>
      <c r="H305" s="136"/>
      <c r="I305" s="136"/>
      <c r="J305" s="136"/>
      <c r="K305" s="136"/>
      <c r="L305" s="136"/>
      <c r="M305" s="136"/>
      <c r="N305" s="136"/>
      <c r="O305" s="34"/>
    </row>
    <row r="306" spans="2:15" s="84" customFormat="1" ht="14.25" x14ac:dyDescent="0.2">
      <c r="B306" s="82"/>
      <c r="C306" s="1231" t="s">
        <v>473</v>
      </c>
      <c r="E306" s="84" t="s">
        <v>493</v>
      </c>
      <c r="F306" s="136">
        <f>(F$274+F$281+F$299)*INDEX(EF[CO2],MATCH("V.04",EF[Vector],0))</f>
        <v>4.7961007539517997</v>
      </c>
      <c r="G306" s="136">
        <f>(G$274+G$281+G$299)*INDEX(EF[CO2],MATCH("V.04",EF[Vector],0))</f>
        <v>4.6608372083603911</v>
      </c>
      <c r="H306" s="136">
        <f>(H$274+H$281+H$299)*INDEX(EF[CO2],MATCH("V.04",EF[Vector],0))</f>
        <v>4.4308286482965382</v>
      </c>
      <c r="I306" s="136">
        <f>(I$274+I$281+I$299)*INDEX(EF[CO2],MATCH("V.04",EF[Vector],0))</f>
        <v>4.1060750737602421</v>
      </c>
      <c r="J306" s="136">
        <f>(J$274+J$281+J$299)*INDEX(EF[CO2],MATCH("V.04",EF[Vector],0))</f>
        <v>3.6865764847515017</v>
      </c>
      <c r="K306" s="136">
        <f>(K$274+K$281+K$299)*INDEX(EF[CO2],MATCH("V.04",EF[Vector],0))</f>
        <v>3.9160941017911379</v>
      </c>
      <c r="L306" s="136">
        <f>(L$274+L$281+L$299)*INDEX(EF[CO2],MATCH("V.04",EF[Vector],0))</f>
        <v>4.1335385148133783</v>
      </c>
      <c r="M306" s="136">
        <f>(M$274+M$281+M$299)*INDEX(EF[CO2],MATCH("V.04",EF[Vector],0))</f>
        <v>4.3392215853393434</v>
      </c>
      <c r="N306" s="136">
        <f>(N$274+N$281+N$299)*INDEX(EF[CO2],MATCH("V.04",EF[Vector],0))</f>
        <v>4.532862648757515</v>
      </c>
      <c r="O306" s="34"/>
    </row>
    <row r="307" spans="2:15" s="84" customFormat="1" ht="14.25" x14ac:dyDescent="0.2">
      <c r="B307" s="82"/>
      <c r="C307" s="1231" t="s">
        <v>474</v>
      </c>
      <c r="E307" s="84" t="s">
        <v>493</v>
      </c>
      <c r="F307" s="136">
        <f>(F$274+F$281+F$299)*INDEX(EF[CH4],MATCH("V.04",EF[Vector],0))</f>
        <v>5.971126504857642E-3</v>
      </c>
      <c r="G307" s="136">
        <f>(G$274+G$281+G$299)*INDEX(EF[CH4],MATCH("V.04",EF[Vector],0))</f>
        <v>5.8027239245831584E-3</v>
      </c>
      <c r="H307" s="136">
        <f>(H$274+H$281+H$299)*INDEX(EF[CH4],MATCH("V.04",EF[Vector],0))</f>
        <v>5.5163641753202229E-3</v>
      </c>
      <c r="I307" s="136">
        <f>(I$274+I$281+I$299)*INDEX(EF[CH4],MATCH("V.04",EF[Vector],0))</f>
        <v>5.1120472570688373E-3</v>
      </c>
      <c r="J307" s="136">
        <f>(J$274+J$281+J$299)*INDEX(EF[CH4],MATCH("V.04",EF[Vector],0))</f>
        <v>4.5897731698289999E-3</v>
      </c>
      <c r="K307" s="136">
        <f>(K$274+K$281+K$299)*INDEX(EF[CH4],MATCH("V.04",EF[Vector],0))</f>
        <v>4.8755216969649066E-3</v>
      </c>
      <c r="L307" s="136">
        <f>(L$274+L$281+L$299)*INDEX(EF[CH4],MATCH("V.04",EF[Vector],0))</f>
        <v>5.1462391327611601E-3</v>
      </c>
      <c r="M307" s="136">
        <f>(M$274+M$281+M$299)*INDEX(EF[CH4],MATCH("V.04",EF[Vector],0))</f>
        <v>5.4023137435804053E-3</v>
      </c>
      <c r="N307" s="136">
        <f>(N$274+N$281+N$299)*INDEX(EF[CH4],MATCH("V.04",EF[Vector],0))</f>
        <v>5.6433961030892951E-3</v>
      </c>
      <c r="O307" s="34"/>
    </row>
    <row r="308" spans="2:15" s="84" customFormat="1" ht="14.25" x14ac:dyDescent="0.2">
      <c r="B308" s="82"/>
      <c r="C308" s="1231" t="s">
        <v>475</v>
      </c>
      <c r="E308" s="84" t="s">
        <v>493</v>
      </c>
      <c r="F308" s="136">
        <f>(F$274+F$281+F$299)*INDEX(EF[N2O],MATCH("V.04",EF[Vector],0))</f>
        <v>8.6291680208718205E-2</v>
      </c>
      <c r="G308" s="136">
        <f>(G$274+G$281+G$299)*INDEX(EF[N2O],MATCH("V.04",EF[Vector],0))</f>
        <v>8.3858011856264625E-2</v>
      </c>
      <c r="H308" s="136">
        <f>(H$274+H$281+H$299)*INDEX(EF[N2O],MATCH("V.04",EF[Vector],0))</f>
        <v>7.9719686552330193E-2</v>
      </c>
      <c r="I308" s="136">
        <f>(I$274+I$281+I$299)*INDEX(EF[N2O],MATCH("V.04",EF[Vector],0))</f>
        <v>7.3876704296914925E-2</v>
      </c>
      <c r="J308" s="136">
        <f>(J$274+J$281+J$299)*INDEX(EF[N2O],MATCH("V.04",EF[Vector],0))</f>
        <v>6.6329065090018777E-2</v>
      </c>
      <c r="K308" s="136">
        <f>(K$274+K$281+K$299)*INDEX(EF[N2O],MATCH("V.04",EF[Vector],0))</f>
        <v>7.0458557322960802E-2</v>
      </c>
      <c r="L308" s="136">
        <f>(L$274+L$281+L$299)*INDEX(EF[N2O],MATCH("V.04",EF[Vector],0))</f>
        <v>7.4370827876540632E-2</v>
      </c>
      <c r="M308" s="136">
        <f>(M$274+M$281+M$299)*INDEX(EF[N2O],MATCH("V.04",EF[Vector],0))</f>
        <v>7.8071487778555729E-2</v>
      </c>
      <c r="N308" s="136">
        <f>(N$274+N$281+N$299)*INDEX(EF[N2O],MATCH("V.04",EF[Vector],0))</f>
        <v>8.1555487297537671E-2</v>
      </c>
      <c r="O308" s="34"/>
    </row>
    <row r="309" spans="2:15" s="84" customFormat="1" x14ac:dyDescent="0.2">
      <c r="B309" s="1427"/>
      <c r="C309" s="2370"/>
      <c r="F309" s="136"/>
      <c r="G309" s="136"/>
      <c r="H309" s="136"/>
      <c r="I309" s="136"/>
      <c r="J309" s="136"/>
      <c r="K309" s="136"/>
      <c r="L309" s="136"/>
      <c r="M309" s="136"/>
      <c r="N309" s="136"/>
      <c r="O309" s="34"/>
    </row>
    <row r="310" spans="2:15" s="84" customFormat="1" x14ac:dyDescent="0.2">
      <c r="B310" s="1427"/>
      <c r="C310" s="2370" t="s">
        <v>2329</v>
      </c>
      <c r="F310" s="136"/>
      <c r="G310" s="136"/>
      <c r="H310" s="136"/>
      <c r="I310" s="136"/>
      <c r="J310" s="136"/>
      <c r="K310" s="136"/>
      <c r="L310" s="136"/>
      <c r="M310" s="136"/>
      <c r="N310" s="136"/>
      <c r="O310" s="34"/>
    </row>
    <row r="311" spans="2:15" s="84" customFormat="1" ht="14.25" x14ac:dyDescent="0.2">
      <c r="B311" s="1427"/>
      <c r="C311" s="2370" t="s">
        <v>473</v>
      </c>
      <c r="E311" s="84" t="s">
        <v>493</v>
      </c>
      <c r="F311" s="136">
        <f>F$287*INDEX(EF[CO2],MATCH("V.04",EF[Vector],0))</f>
        <v>0</v>
      </c>
      <c r="G311" s="136">
        <f>G$287*INDEX(EF[CO2],MATCH("V.04",EF[Vector],0))</f>
        <v>0.11406559978720572</v>
      </c>
      <c r="H311" s="136">
        <f>H$287*INDEX(EF[CO2],MATCH("V.04",EF[Vector],0))</f>
        <v>0.19397955304670958</v>
      </c>
      <c r="I311" s="136">
        <f>I$287*INDEX(EF[CO2],MATCH("V.04",EF[Vector],0))</f>
        <v>0.23974185977851156</v>
      </c>
      <c r="J311" s="136">
        <f>J$287*INDEX(EF[CO2],MATCH("V.04",EF[Vector],0))</f>
        <v>0.25135251998261171</v>
      </c>
      <c r="K311" s="136">
        <f>K$287*INDEX(EF[CO2],MATCH("V.04",EF[Vector],0))</f>
        <v>0.30331092722042746</v>
      </c>
      <c r="L311" s="136">
        <f>L$287*INDEX(EF[CO2],MATCH("V.04",EF[Vector],0))</f>
        <v>0.35091744535510833</v>
      </c>
      <c r="M311" s="136">
        <f>M$287*INDEX(EF[CO2],MATCH("V.04",EF[Vector],0))</f>
        <v>0.39421143255683766</v>
      </c>
      <c r="N311" s="136">
        <f>N$287*INDEX(EF[CO2],MATCH("V.04",EF[Vector],0))</f>
        <v>0.43316477584691315</v>
      </c>
      <c r="O311" s="34"/>
    </row>
    <row r="312" spans="2:15" s="84" customFormat="1" ht="14.25" x14ac:dyDescent="0.2">
      <c r="B312" s="1427"/>
      <c r="C312" s="2370" t="s">
        <v>474</v>
      </c>
      <c r="E312" s="84" t="s">
        <v>493</v>
      </c>
      <c r="F312" s="136">
        <f>F$287*INDEX(EF[CO2],MATCH("V.04",EF[Vector],0))</f>
        <v>0</v>
      </c>
      <c r="G312" s="136">
        <f>G$287*INDEX(EF[CH4],MATCH("V.04",EF[Vector],0))</f>
        <v>1.4201122143246646E-4</v>
      </c>
      <c r="H312" s="136">
        <f>H$287*INDEX(EF[CH4],MATCH("V.04",EF[Vector],0))</f>
        <v>2.4150377776014652E-4</v>
      </c>
      <c r="I312" s="136">
        <f>I$287*INDEX(EF[CH4],MATCH("V.04",EF[Vector],0))</f>
        <v>2.984776689830402E-4</v>
      </c>
      <c r="J312" s="136">
        <f>J$287*INDEX(EF[CH4],MATCH("V.04",EF[Vector],0))</f>
        <v>3.1293289510114748E-4</v>
      </c>
      <c r="K312" s="136">
        <f>K$287*INDEX(EF[CH4],MATCH("V.04",EF[Vector],0))</f>
        <v>3.7762090699336529E-4</v>
      </c>
      <c r="L312" s="136">
        <f>L$287*INDEX(EF[CH4],MATCH("V.04",EF[Vector],0))</f>
        <v>4.3689083413235547E-4</v>
      </c>
      <c r="M312" s="136">
        <f>M$287*INDEX(EF[CH4],MATCH("V.04",EF[Vector],0))</f>
        <v>4.9079167728461996E-4</v>
      </c>
      <c r="N312" s="136">
        <f>N$287*INDEX(EF[CH4],MATCH("V.04",EF[Vector],0))</f>
        <v>5.3928843590265757E-4</v>
      </c>
      <c r="O312" s="34"/>
    </row>
    <row r="313" spans="2:15" s="84" customFormat="1" ht="14.25" x14ac:dyDescent="0.2">
      <c r="B313" s="1427"/>
      <c r="C313" s="2370" t="s">
        <v>475</v>
      </c>
      <c r="E313" s="84" t="s">
        <v>493</v>
      </c>
      <c r="F313" s="136">
        <f>F$287*INDEX(EF[CO2],MATCH("V.04",EF[Vector],0))</f>
        <v>0</v>
      </c>
      <c r="G313" s="136">
        <f>G$287*INDEX(EF[N2O],MATCH("V.04",EF[Vector],0))</f>
        <v>2.0522738709237947E-3</v>
      </c>
      <c r="H313" s="136">
        <f>H$287*INDEX(EF[N2O],MATCH("V.04",EF[Vector],0))</f>
        <v>3.4900896409952639E-3</v>
      </c>
      <c r="I313" s="136">
        <f>I$287*INDEX(EF[N2O],MATCH("V.04",EF[Vector],0))</f>
        <v>4.3134473102144069E-3</v>
      </c>
      <c r="J313" s="136">
        <f>J$287*INDEX(EF[N2O],MATCH("V.04",EF[Vector],0))</f>
        <v>4.5223468785812251E-3</v>
      </c>
      <c r="K313" s="136">
        <f>K$287*INDEX(EF[N2O],MATCH("V.04",EF[Vector],0))</f>
        <v>5.4571850922750581E-3</v>
      </c>
      <c r="L313" s="136">
        <f>L$287*INDEX(EF[N2O],MATCH("V.04",EF[Vector],0))</f>
        <v>6.3137239035883017E-3</v>
      </c>
      <c r="M313" s="136">
        <f>M$287*INDEX(EF[N2O],MATCH("V.04",EF[Vector],0))</f>
        <v>7.0926714466510114E-3</v>
      </c>
      <c r="N313" s="136">
        <f>N$287*INDEX(EF[N2O],MATCH("V.04",EF[Vector],0))</f>
        <v>7.7935219113702929E-3</v>
      </c>
      <c r="O313" s="34"/>
    </row>
    <row r="314" spans="2:15" s="84" customFormat="1" x14ac:dyDescent="0.2">
      <c r="B314" s="1427"/>
      <c r="C314" s="2370"/>
      <c r="F314" s="136"/>
      <c r="G314" s="136"/>
      <c r="H314" s="136"/>
      <c r="I314" s="136"/>
      <c r="J314" s="136"/>
      <c r="K314" s="136"/>
      <c r="L314" s="136"/>
      <c r="M314" s="136"/>
      <c r="N314" s="136"/>
      <c r="O314" s="34"/>
    </row>
    <row r="315" spans="2:15" s="84" customFormat="1" x14ac:dyDescent="0.2">
      <c r="B315" s="82"/>
      <c r="C315" s="1398"/>
      <c r="F315" s="136"/>
      <c r="G315" s="136"/>
      <c r="H315" s="136"/>
      <c r="I315" s="136"/>
      <c r="J315" s="136"/>
      <c r="K315" s="136"/>
      <c r="L315" s="136"/>
      <c r="M315" s="136"/>
      <c r="N315" s="136"/>
      <c r="O315" s="34"/>
    </row>
    <row r="316" spans="2:15" s="84" customFormat="1" x14ac:dyDescent="0.2">
      <c r="B316" s="82">
        <v>9</v>
      </c>
      <c r="C316" s="82" t="s">
        <v>1456</v>
      </c>
      <c r="D316" s="82"/>
      <c r="E316" s="82"/>
      <c r="F316" s="234"/>
      <c r="G316" s="234"/>
      <c r="H316" s="234"/>
      <c r="I316" s="234"/>
      <c r="J316" s="234"/>
      <c r="K316" s="234"/>
      <c r="L316" s="234"/>
      <c r="M316" s="234"/>
      <c r="N316" s="234"/>
      <c r="O316" s="34"/>
    </row>
    <row r="317" spans="2:15" s="84" customFormat="1" x14ac:dyDescent="0.2">
      <c r="B317" s="82"/>
      <c r="C317" s="82"/>
      <c r="D317" s="82"/>
      <c r="E317" s="82"/>
      <c r="F317" s="234"/>
      <c r="G317" s="234"/>
      <c r="H317" s="234"/>
      <c r="I317" s="234"/>
      <c r="J317" s="234"/>
      <c r="K317" s="234"/>
      <c r="L317" s="234"/>
      <c r="M317" s="234"/>
      <c r="N317" s="234"/>
      <c r="O317" s="34"/>
    </row>
    <row r="318" spans="2:15" s="84" customFormat="1" x14ac:dyDescent="0.2">
      <c r="B318" s="82"/>
      <c r="C318" s="17" t="s">
        <v>645</v>
      </c>
      <c r="D318" s="20"/>
      <c r="E318" s="82"/>
      <c r="F318" s="234"/>
      <c r="G318" s="234"/>
      <c r="H318" s="234"/>
      <c r="I318" s="234"/>
      <c r="J318" s="234"/>
      <c r="K318" s="234"/>
      <c r="L318" s="234"/>
      <c r="M318" s="234"/>
      <c r="N318" s="1426" t="s">
        <v>621</v>
      </c>
      <c r="O318" s="34"/>
    </row>
    <row r="319" spans="2:15" s="84" customFormat="1" x14ac:dyDescent="0.2">
      <c r="B319" s="82"/>
      <c r="C319" s="583" t="s">
        <v>592</v>
      </c>
      <c r="D319" s="1400" t="s">
        <v>343</v>
      </c>
      <c r="E319" s="82"/>
      <c r="F319" s="234"/>
      <c r="G319" s="234"/>
      <c r="H319" s="234"/>
      <c r="I319" s="234"/>
      <c r="J319" s="234"/>
      <c r="K319" s="234"/>
      <c r="L319" s="234"/>
      <c r="M319" s="234"/>
      <c r="N319" s="234"/>
      <c r="O319" s="34"/>
    </row>
    <row r="320" spans="2:15" s="84" customFormat="1" x14ac:dyDescent="0.2">
      <c r="B320" s="82"/>
      <c r="C320" s="37" t="s">
        <v>626</v>
      </c>
      <c r="D320" s="71" t="s">
        <v>1448</v>
      </c>
      <c r="E320" s="82"/>
      <c r="F320" s="231">
        <f t="shared" ref="F320:N320" si="53">IF($E$8=1,F32,IF($E$8=2,F33,IF($E$8=3,F34,IF($E$8=4,F35))))</f>
        <v>4.7262860891410248E-2</v>
      </c>
      <c r="G320" s="231">
        <f t="shared" si="53"/>
        <v>0.25726267971458244</v>
      </c>
      <c r="H320" s="231">
        <f t="shared" si="53"/>
        <v>0.46726249853775464</v>
      </c>
      <c r="I320" s="231">
        <f t="shared" si="53"/>
        <v>0.6772623173609269</v>
      </c>
      <c r="J320" s="231">
        <f t="shared" si="53"/>
        <v>0.8872621361840991</v>
      </c>
      <c r="K320" s="231">
        <f t="shared" si="53"/>
        <v>1.0972619550072713</v>
      </c>
      <c r="L320" s="231">
        <f t="shared" si="53"/>
        <v>1.3072617738304433</v>
      </c>
      <c r="M320" s="231">
        <f t="shared" si="53"/>
        <v>1.5172615926536155</v>
      </c>
      <c r="N320" s="231">
        <f t="shared" si="53"/>
        <v>1.7272614114767881</v>
      </c>
      <c r="O320" s="34"/>
    </row>
    <row r="321" spans="1:15" s="84" customFormat="1" x14ac:dyDescent="0.2">
      <c r="B321" s="82"/>
      <c r="C321" s="37" t="s">
        <v>626</v>
      </c>
      <c r="D321" s="34" t="s">
        <v>433</v>
      </c>
      <c r="E321" s="82"/>
      <c r="F321" s="231">
        <f t="shared" ref="F321:N321" si="54">IF($E$8=1,F40,IF($E$8=2,F41,IF($E$8=3,F42,IF($E$8=4,F43))))</f>
        <v>0</v>
      </c>
      <c r="G321" s="231">
        <f t="shared" si="54"/>
        <v>0.32386151465189772</v>
      </c>
      <c r="H321" s="231">
        <f t="shared" si="54"/>
        <v>0.64772302930379544</v>
      </c>
      <c r="I321" s="231">
        <f t="shared" si="54"/>
        <v>0.97158454395569327</v>
      </c>
      <c r="J321" s="231">
        <f t="shared" si="54"/>
        <v>1.2954460586075909</v>
      </c>
      <c r="K321" s="231">
        <f t="shared" si="54"/>
        <v>1.6193075732594886</v>
      </c>
      <c r="L321" s="231">
        <f t="shared" si="54"/>
        <v>1.9431690879113863</v>
      </c>
      <c r="M321" s="231">
        <f t="shared" si="54"/>
        <v>2.2670306025632838</v>
      </c>
      <c r="N321" s="231">
        <f t="shared" si="54"/>
        <v>2.5908921172151818</v>
      </c>
      <c r="O321" s="34"/>
    </row>
    <row r="322" spans="1:15" s="84" customFormat="1" x14ac:dyDescent="0.2">
      <c r="B322" s="82"/>
      <c r="C322" s="37" t="s">
        <v>622</v>
      </c>
      <c r="D322" s="34" t="s">
        <v>1449</v>
      </c>
      <c r="E322" s="82"/>
      <c r="F322" s="231">
        <f t="shared" ref="F322:N322" si="55">IF($E$8=1,F48,IF($E$8=2,F49,IF($E$8=3,F50,IF($E$8=4,F51))))</f>
        <v>4.4899717846839735</v>
      </c>
      <c r="G322" s="231">
        <f t="shared" si="55"/>
        <v>4.8355375526237907</v>
      </c>
      <c r="H322" s="231">
        <f t="shared" si="55"/>
        <v>5.1811033205636079</v>
      </c>
      <c r="I322" s="231">
        <f t="shared" si="55"/>
        <v>5.5266690885034251</v>
      </c>
      <c r="J322" s="231">
        <f t="shared" si="55"/>
        <v>5.8722348564432423</v>
      </c>
      <c r="K322" s="231">
        <f t="shared" si="55"/>
        <v>6.2178006243830595</v>
      </c>
      <c r="L322" s="231">
        <f t="shared" si="55"/>
        <v>6.5633663923228767</v>
      </c>
      <c r="M322" s="231">
        <f t="shared" si="55"/>
        <v>6.9089321602626939</v>
      </c>
      <c r="N322" s="231">
        <f t="shared" si="55"/>
        <v>7.2544979282025093</v>
      </c>
      <c r="O322" s="34"/>
    </row>
    <row r="323" spans="1:15" s="84" customFormat="1" x14ac:dyDescent="0.2">
      <c r="B323" s="1427"/>
      <c r="C323" s="37" t="s">
        <v>622</v>
      </c>
      <c r="D323" s="34" t="s">
        <v>2333</v>
      </c>
      <c r="E323" s="1427"/>
      <c r="F323" s="231">
        <f t="shared" ref="F323:N323" si="56">IF($E$8=1,F56,IF($E$8=2,F57,IF($E$8=3,F58,IF($E$8=4,F59))))</f>
        <v>0</v>
      </c>
      <c r="G323" s="231">
        <f t="shared" si="56"/>
        <v>0.16193075732594886</v>
      </c>
      <c r="H323" s="231">
        <f t="shared" si="56"/>
        <v>0.32386151465189772</v>
      </c>
      <c r="I323" s="231">
        <f t="shared" si="56"/>
        <v>0.48579227197784658</v>
      </c>
      <c r="J323" s="231">
        <f t="shared" si="56"/>
        <v>0.64772302930379544</v>
      </c>
      <c r="K323" s="231">
        <f t="shared" si="56"/>
        <v>0.8096537866297443</v>
      </c>
      <c r="L323" s="231">
        <f t="shared" si="56"/>
        <v>0.97158454395569316</v>
      </c>
      <c r="M323" s="231">
        <f t="shared" si="56"/>
        <v>1.1335153012816419</v>
      </c>
      <c r="N323" s="231">
        <f t="shared" si="56"/>
        <v>1.2954460586075909</v>
      </c>
      <c r="O323" s="34"/>
    </row>
    <row r="324" spans="1:15" s="84" customFormat="1" x14ac:dyDescent="0.2">
      <c r="B324" s="82"/>
      <c r="C324" s="37" t="s">
        <v>622</v>
      </c>
      <c r="D324" s="34" t="s">
        <v>1450</v>
      </c>
      <c r="E324" s="82"/>
      <c r="F324" s="231">
        <f t="shared" ref="F324:N324" si="57">IF($E$8=1,F64,IF($E$8=2,F65,IF($E$8=3,F66,IF($E$8=4,F67))))</f>
        <v>0</v>
      </c>
      <c r="G324" s="231">
        <f t="shared" si="57"/>
        <v>1.0795383821729964E-2</v>
      </c>
      <c r="H324" s="231">
        <f t="shared" si="57"/>
        <v>2.1590767643459928E-2</v>
      </c>
      <c r="I324" s="231">
        <f t="shared" si="57"/>
        <v>3.2386151465189889E-2</v>
      </c>
      <c r="J324" s="231">
        <f t="shared" si="57"/>
        <v>4.3181535286919856E-2</v>
      </c>
      <c r="K324" s="231">
        <f t="shared" si="57"/>
        <v>5.3976919108649823E-2</v>
      </c>
      <c r="L324" s="231">
        <f t="shared" si="57"/>
        <v>6.4772302930379791E-2</v>
      </c>
      <c r="M324" s="231">
        <f t="shared" si="57"/>
        <v>7.5567686752109758E-2</v>
      </c>
      <c r="N324" s="231">
        <f t="shared" si="57"/>
        <v>8.6363070573839712E-2</v>
      </c>
      <c r="O324" s="34"/>
    </row>
    <row r="325" spans="1:15" s="84" customFormat="1" x14ac:dyDescent="0.2">
      <c r="B325" s="1427"/>
      <c r="C325" s="37" t="s">
        <v>2326</v>
      </c>
      <c r="D325" s="2254" t="s">
        <v>2334</v>
      </c>
      <c r="E325" s="1427"/>
      <c r="F325" s="231">
        <f t="shared" ref="F325:N325" si="58">IF($E$8=1,F98,IF($E$8=2,F99,IF($E$8=3,F100,IF($E$8=4,F101))))</f>
        <v>0</v>
      </c>
      <c r="G325" s="231">
        <f t="shared" si="58"/>
        <v>1.141875E-5</v>
      </c>
      <c r="H325" s="231">
        <f t="shared" si="58"/>
        <v>2.2837499999999999E-5</v>
      </c>
      <c r="I325" s="231">
        <f t="shared" si="58"/>
        <v>3.4256249999999996E-5</v>
      </c>
      <c r="J325" s="231">
        <f t="shared" si="58"/>
        <v>4.5674999999999999E-5</v>
      </c>
      <c r="K325" s="231">
        <f t="shared" si="58"/>
        <v>5.7093750000000002E-5</v>
      </c>
      <c r="L325" s="231">
        <f t="shared" si="58"/>
        <v>6.8512500000000005E-5</v>
      </c>
      <c r="M325" s="231">
        <f t="shared" si="58"/>
        <v>7.9931250000000008E-5</v>
      </c>
      <c r="N325" s="231">
        <f t="shared" si="58"/>
        <v>9.1349999999999998E-5</v>
      </c>
      <c r="O325" s="34"/>
    </row>
    <row r="326" spans="1:15" s="84" customFormat="1" x14ac:dyDescent="0.2">
      <c r="B326" s="1427"/>
      <c r="C326" s="37"/>
      <c r="D326" s="34"/>
      <c r="E326" s="1427"/>
      <c r="F326" s="231"/>
      <c r="G326" s="231"/>
      <c r="H326" s="231"/>
      <c r="I326" s="231"/>
      <c r="J326" s="231"/>
      <c r="K326" s="231"/>
      <c r="L326" s="231"/>
      <c r="M326" s="231"/>
      <c r="N326" s="231"/>
      <c r="O326" s="34"/>
    </row>
    <row r="327" spans="1:15" s="84" customFormat="1" x14ac:dyDescent="0.2">
      <c r="B327" s="82"/>
      <c r="C327" s="1400"/>
      <c r="F327" s="136"/>
      <c r="G327" s="136"/>
      <c r="H327" s="136"/>
      <c r="I327" s="136"/>
      <c r="J327" s="136"/>
      <c r="K327" s="136"/>
      <c r="L327" s="136"/>
      <c r="M327" s="136"/>
      <c r="N327" s="136"/>
      <c r="O327" s="34"/>
    </row>
    <row r="328" spans="1:15" s="84" customFormat="1" x14ac:dyDescent="0.2">
      <c r="A328" s="82"/>
      <c r="B328" s="1427" t="s">
        <v>2330</v>
      </c>
      <c r="C328" s="1427" t="s">
        <v>1677</v>
      </c>
      <c r="D328" s="82"/>
      <c r="E328" s="82"/>
      <c r="F328" s="234"/>
      <c r="G328" s="234"/>
      <c r="H328" s="234"/>
      <c r="I328" s="234"/>
      <c r="J328" s="234"/>
      <c r="K328" s="234"/>
      <c r="L328" s="234"/>
      <c r="M328" s="234"/>
      <c r="N328" s="234"/>
      <c r="O328" s="34"/>
    </row>
    <row r="329" spans="1:15" s="84" customFormat="1" x14ac:dyDescent="0.2">
      <c r="A329" s="82"/>
      <c r="B329" s="132"/>
      <c r="C329" s="82"/>
      <c r="D329" s="82"/>
      <c r="E329" s="82"/>
      <c r="F329" s="234"/>
      <c r="G329" s="234"/>
      <c r="H329" s="234"/>
      <c r="I329" s="234"/>
      <c r="J329" s="234"/>
      <c r="K329" s="234"/>
      <c r="L329" s="234"/>
      <c r="M329" s="234"/>
      <c r="N329" s="234"/>
      <c r="O329" s="34"/>
    </row>
    <row r="330" spans="1:15" s="84" customFormat="1" x14ac:dyDescent="0.2">
      <c r="A330" s="82"/>
      <c r="B330" s="583"/>
      <c r="C330" s="17" t="s">
        <v>645</v>
      </c>
      <c r="D330" s="20"/>
      <c r="E330" s="82"/>
      <c r="F330" s="234"/>
      <c r="G330" s="234"/>
      <c r="H330" s="234"/>
      <c r="I330" s="234"/>
      <c r="J330" s="234"/>
      <c r="K330" s="234"/>
      <c r="L330" s="234"/>
      <c r="M330" s="234"/>
      <c r="N330" s="1426" t="s">
        <v>1676</v>
      </c>
      <c r="O330" s="34"/>
    </row>
    <row r="331" spans="1:15" s="84" customFormat="1" x14ac:dyDescent="0.2">
      <c r="A331" s="82"/>
      <c r="B331" s="132"/>
      <c r="C331" s="583" t="s">
        <v>592</v>
      </c>
      <c r="D331" s="1398" t="s">
        <v>343</v>
      </c>
      <c r="E331" s="82"/>
      <c r="F331" s="1535">
        <v>2010</v>
      </c>
      <c r="G331" s="1535">
        <v>2015</v>
      </c>
      <c r="H331" s="1535">
        <v>2020</v>
      </c>
      <c r="I331" s="1535">
        <v>2025</v>
      </c>
      <c r="J331" s="1535">
        <v>2030</v>
      </c>
      <c r="K331" s="1535">
        <v>2035</v>
      </c>
      <c r="L331" s="1535">
        <v>2040</v>
      </c>
      <c r="M331" s="1535">
        <v>2045</v>
      </c>
      <c r="N331" s="1535">
        <v>2050</v>
      </c>
      <c r="O331" s="34"/>
    </row>
    <row r="332" spans="1:15" s="84" customFormat="1" x14ac:dyDescent="0.2">
      <c r="A332" s="82"/>
      <c r="B332" s="132"/>
      <c r="C332" s="37" t="s">
        <v>626</v>
      </c>
      <c r="D332" s="71" t="s">
        <v>1448</v>
      </c>
      <c r="E332" s="82"/>
      <c r="F332" s="231">
        <f t="shared" ref="F332:N332" si="59">F320*1000000000/F$140</f>
        <v>472.62860891410247</v>
      </c>
      <c r="G332" s="231">
        <f t="shared" si="59"/>
        <v>2572.6267971458246</v>
      </c>
      <c r="H332" s="231">
        <f t="shared" si="59"/>
        <v>4672.6249853775462</v>
      </c>
      <c r="I332" s="231">
        <f t="shared" si="59"/>
        <v>6772.6231736092686</v>
      </c>
      <c r="J332" s="231">
        <f t="shared" si="59"/>
        <v>7393.851134867492</v>
      </c>
      <c r="K332" s="231">
        <f t="shared" si="59"/>
        <v>9143.8496250605949</v>
      </c>
      <c r="L332" s="231">
        <f t="shared" si="59"/>
        <v>8715.0784922029561</v>
      </c>
      <c r="M332" s="231">
        <f t="shared" si="59"/>
        <v>10115.077284357436</v>
      </c>
      <c r="N332" s="231">
        <f t="shared" si="59"/>
        <v>9286.351674606387</v>
      </c>
      <c r="O332" s="34"/>
    </row>
    <row r="333" spans="1:15" s="84" customFormat="1" x14ac:dyDescent="0.2">
      <c r="A333" s="82"/>
      <c r="B333" s="132"/>
      <c r="C333" s="37" t="s">
        <v>626</v>
      </c>
      <c r="D333" s="34" t="s">
        <v>433</v>
      </c>
      <c r="E333" s="82"/>
      <c r="F333" s="231">
        <f t="shared" ref="F333:N333" si="60">F321*1000000000/F$140</f>
        <v>0</v>
      </c>
      <c r="G333" s="231">
        <f t="shared" si="60"/>
        <v>3238.6151465189773</v>
      </c>
      <c r="H333" s="231">
        <f t="shared" si="60"/>
        <v>6477.2302930379547</v>
      </c>
      <c r="I333" s="231">
        <f t="shared" si="60"/>
        <v>9715.8454395569333</v>
      </c>
      <c r="J333" s="231">
        <f t="shared" si="60"/>
        <v>10795.383821729924</v>
      </c>
      <c r="K333" s="231">
        <f t="shared" si="60"/>
        <v>13494.229777162405</v>
      </c>
      <c r="L333" s="231">
        <f t="shared" si="60"/>
        <v>12954.460586075907</v>
      </c>
      <c r="M333" s="231">
        <f t="shared" si="60"/>
        <v>15113.537350421893</v>
      </c>
      <c r="N333" s="231">
        <f t="shared" si="60"/>
        <v>13929.52751190958</v>
      </c>
      <c r="O333" s="34"/>
    </row>
    <row r="334" spans="1:15" s="84" customFormat="1" x14ac:dyDescent="0.2">
      <c r="A334" s="82"/>
      <c r="B334" s="132"/>
      <c r="C334" s="37" t="s">
        <v>622</v>
      </c>
      <c r="D334" s="34" t="s">
        <v>1449</v>
      </c>
      <c r="E334" s="82"/>
      <c r="F334" s="231">
        <f t="shared" ref="F334:N334" si="61">F322*1000000000/F$139*0.82</f>
        <v>49090.358179211435</v>
      </c>
      <c r="G334" s="231">
        <f t="shared" si="61"/>
        <v>52868.543908686777</v>
      </c>
      <c r="H334" s="231">
        <f t="shared" si="61"/>
        <v>56646.729638162113</v>
      </c>
      <c r="I334" s="231">
        <f t="shared" si="61"/>
        <v>60424.915367637448</v>
      </c>
      <c r="J334" s="231">
        <f t="shared" si="61"/>
        <v>64203.101097112776</v>
      </c>
      <c r="K334" s="231">
        <f t="shared" si="61"/>
        <v>67981.286826588112</v>
      </c>
      <c r="L334" s="231">
        <f t="shared" si="61"/>
        <v>71759.472556063454</v>
      </c>
      <c r="M334" s="231">
        <f t="shared" si="61"/>
        <v>75537.658285538768</v>
      </c>
      <c r="N334" s="231">
        <f t="shared" si="61"/>
        <v>79315.844015014096</v>
      </c>
      <c r="O334" s="34"/>
    </row>
    <row r="335" spans="1:15" s="84" customFormat="1" x14ac:dyDescent="0.2">
      <c r="A335" s="1427"/>
      <c r="B335" s="132"/>
      <c r="C335" s="37" t="s">
        <v>622</v>
      </c>
      <c r="D335" s="34" t="s">
        <v>2333</v>
      </c>
      <c r="E335" s="1427"/>
      <c r="F335" s="231">
        <f t="shared" ref="F335:N335" si="62">F323*1000000000/F$139*0.82</f>
        <v>0</v>
      </c>
      <c r="G335" s="231">
        <f t="shared" si="62"/>
        <v>1770.4429467637076</v>
      </c>
      <c r="H335" s="231">
        <f t="shared" si="62"/>
        <v>3540.8858935274152</v>
      </c>
      <c r="I335" s="231">
        <f t="shared" si="62"/>
        <v>5311.3288402911221</v>
      </c>
      <c r="J335" s="231">
        <f t="shared" si="62"/>
        <v>7081.7717870548304</v>
      </c>
      <c r="K335" s="231">
        <f t="shared" si="62"/>
        <v>8852.2147338185368</v>
      </c>
      <c r="L335" s="231">
        <f t="shared" si="62"/>
        <v>10622.657680582244</v>
      </c>
      <c r="M335" s="231">
        <f t="shared" si="62"/>
        <v>12393.100627345952</v>
      </c>
      <c r="N335" s="231">
        <f t="shared" si="62"/>
        <v>14163.543574109661</v>
      </c>
      <c r="O335" s="34"/>
    </row>
    <row r="336" spans="1:15" s="84" customFormat="1" x14ac:dyDescent="0.2">
      <c r="A336" s="82"/>
      <c r="B336" s="132"/>
      <c r="C336" s="37" t="s">
        <v>622</v>
      </c>
      <c r="D336" s="34" t="s">
        <v>1450</v>
      </c>
      <c r="E336" s="82"/>
      <c r="F336" s="231">
        <f t="shared" ref="F336:N336" si="63">F324*1000000000/F$139*0.82</f>
        <v>0</v>
      </c>
      <c r="G336" s="231">
        <f t="shared" si="63"/>
        <v>118.0295297842476</v>
      </c>
      <c r="H336" s="231">
        <f t="shared" si="63"/>
        <v>236.0590595684952</v>
      </c>
      <c r="I336" s="231">
        <f t="shared" si="63"/>
        <v>354.08858935274276</v>
      </c>
      <c r="J336" s="231">
        <f t="shared" si="63"/>
        <v>472.1181191369904</v>
      </c>
      <c r="K336" s="231">
        <f t="shared" si="63"/>
        <v>590.14764892123799</v>
      </c>
      <c r="L336" s="231">
        <f t="shared" si="63"/>
        <v>708.17717870548574</v>
      </c>
      <c r="M336" s="231">
        <f t="shared" si="63"/>
        <v>826.20670848973327</v>
      </c>
      <c r="N336" s="231">
        <f t="shared" si="63"/>
        <v>944.2362382739808</v>
      </c>
      <c r="O336" s="34"/>
    </row>
    <row r="337" spans="1:15" s="84" customFormat="1" x14ac:dyDescent="0.2">
      <c r="A337" s="1427"/>
      <c r="B337" s="132"/>
      <c r="C337" s="37" t="s">
        <v>2326</v>
      </c>
      <c r="D337" s="2254" t="s">
        <v>2334</v>
      </c>
      <c r="E337" s="1427"/>
      <c r="F337" s="231">
        <f t="shared" ref="F337:N337" si="64">F325*1000000000/F$141</f>
        <v>0</v>
      </c>
      <c r="G337" s="231">
        <f t="shared" si="64"/>
        <v>0.57093749999999999</v>
      </c>
      <c r="H337" s="231">
        <f t="shared" si="64"/>
        <v>1.141875</v>
      </c>
      <c r="I337" s="231">
        <f t="shared" si="64"/>
        <v>1.7128124999999996</v>
      </c>
      <c r="J337" s="231">
        <f t="shared" si="64"/>
        <v>2.2837499999999999</v>
      </c>
      <c r="K337" s="231">
        <f t="shared" si="64"/>
        <v>2.8546874999999998</v>
      </c>
      <c r="L337" s="231">
        <f t="shared" si="64"/>
        <v>3.4256250000000001</v>
      </c>
      <c r="M337" s="231">
        <f t="shared" si="64"/>
        <v>3.9965625000000009</v>
      </c>
      <c r="N337" s="231">
        <f t="shared" si="64"/>
        <v>4.5674999999999999</v>
      </c>
      <c r="O337" s="34"/>
    </row>
    <row r="338" spans="1:15" s="84" customFormat="1" x14ac:dyDescent="0.2">
      <c r="A338" s="1427"/>
      <c r="B338" s="132"/>
      <c r="C338" s="37"/>
      <c r="D338" s="34"/>
      <c r="E338" s="1427"/>
      <c r="F338" s="231"/>
      <c r="G338" s="231"/>
      <c r="H338" s="231"/>
      <c r="I338" s="231"/>
      <c r="J338" s="231"/>
      <c r="K338" s="231"/>
      <c r="L338" s="231"/>
      <c r="M338" s="231"/>
      <c r="N338" s="231"/>
      <c r="O338" s="34"/>
    </row>
    <row r="339" spans="1:15" s="84" customFormat="1" x14ac:dyDescent="0.2">
      <c r="A339" s="82"/>
      <c r="B339" s="132"/>
      <c r="C339" s="16"/>
      <c r="D339" s="610"/>
      <c r="E339" s="82"/>
      <c r="F339" s="231"/>
      <c r="G339" s="231"/>
      <c r="H339" s="231"/>
      <c r="I339" s="231"/>
      <c r="J339" s="231"/>
      <c r="K339" s="231"/>
      <c r="L339" s="231"/>
      <c r="M339" s="231"/>
      <c r="N339" s="231"/>
      <c r="O339" s="34"/>
    </row>
    <row r="340" spans="1:15" s="84" customFormat="1" x14ac:dyDescent="0.2">
      <c r="A340" s="1532"/>
      <c r="B340" s="1532" t="s">
        <v>2331</v>
      </c>
      <c r="C340" s="1532" t="s">
        <v>1651</v>
      </c>
      <c r="D340" s="1532"/>
      <c r="E340" s="1532"/>
      <c r="F340" s="1532"/>
      <c r="G340" s="1532"/>
      <c r="H340" s="1532"/>
      <c r="I340" s="1532"/>
      <c r="J340" s="1532"/>
      <c r="K340" s="1532"/>
      <c r="L340" s="1532"/>
      <c r="M340" s="1532"/>
      <c r="N340" s="1532"/>
      <c r="O340" s="34"/>
    </row>
    <row r="341" spans="1:15" s="84" customFormat="1" x14ac:dyDescent="0.2">
      <c r="A341" s="1532"/>
      <c r="B341" s="1534"/>
      <c r="C341" s="1532"/>
      <c r="D341" s="1532"/>
      <c r="E341" s="1532"/>
      <c r="F341" s="1532"/>
      <c r="G341" s="1532"/>
      <c r="H341" s="1532"/>
      <c r="I341" s="1532"/>
      <c r="J341" s="1532"/>
      <c r="K341" s="1532"/>
      <c r="L341" s="1532"/>
      <c r="M341" s="1532"/>
      <c r="N341" s="1185" t="s">
        <v>1678</v>
      </c>
      <c r="O341" s="34"/>
    </row>
    <row r="342" spans="1:15" s="84" customFormat="1" x14ac:dyDescent="0.2">
      <c r="A342" s="1532"/>
      <c r="B342" s="1536"/>
      <c r="C342" s="1537" t="s">
        <v>645</v>
      </c>
      <c r="D342" s="834"/>
      <c r="E342" s="1532"/>
      <c r="F342" s="1535">
        <v>2010</v>
      </c>
      <c r="G342" s="1535">
        <v>2015</v>
      </c>
      <c r="H342" s="1535">
        <v>2020</v>
      </c>
      <c r="I342" s="1535">
        <v>2025</v>
      </c>
      <c r="J342" s="1535">
        <v>2030</v>
      </c>
      <c r="K342" s="1535">
        <v>2035</v>
      </c>
      <c r="L342" s="1535">
        <v>2040</v>
      </c>
      <c r="M342" s="1535">
        <v>2045</v>
      </c>
      <c r="N342" s="1535">
        <v>2050</v>
      </c>
      <c r="O342" s="34"/>
    </row>
    <row r="343" spans="1:15" s="84" customFormat="1" x14ac:dyDescent="0.2">
      <c r="A343" s="1532"/>
      <c r="B343" s="132"/>
      <c r="C343" s="37" t="s">
        <v>626</v>
      </c>
      <c r="D343" s="71" t="s">
        <v>1448</v>
      </c>
      <c r="E343" s="1532"/>
      <c r="F343" s="1552"/>
      <c r="G343" s="1552">
        <f>F332/$C$199</f>
        <v>15.754286963803416</v>
      </c>
      <c r="H343" s="1552">
        <f t="shared" ref="H343:N343" si="65">G332/$C$199</f>
        <v>85.754226571527482</v>
      </c>
      <c r="I343" s="1552">
        <f t="shared" si="65"/>
        <v>155.75416617925154</v>
      </c>
      <c r="J343" s="1552">
        <f t="shared" si="65"/>
        <v>225.75410578697563</v>
      </c>
      <c r="K343" s="1552">
        <f t="shared" si="65"/>
        <v>246.46170449558306</v>
      </c>
      <c r="L343" s="1552">
        <f t="shared" si="65"/>
        <v>304.79498750201981</v>
      </c>
      <c r="M343" s="1552">
        <f t="shared" si="65"/>
        <v>290.50261640676518</v>
      </c>
      <c r="N343" s="1552">
        <f t="shared" si="65"/>
        <v>337.16924281191456</v>
      </c>
      <c r="O343" s="34"/>
    </row>
    <row r="344" spans="1:15" s="84" customFormat="1" x14ac:dyDescent="0.2">
      <c r="A344" s="1427"/>
      <c r="B344" s="132"/>
      <c r="C344" s="37" t="s">
        <v>626</v>
      </c>
      <c r="D344" s="34" t="s">
        <v>433</v>
      </c>
      <c r="E344" s="1427"/>
      <c r="F344" s="1552"/>
      <c r="G344" s="1552">
        <f t="shared" ref="G344:N344" si="66">F333/$C$199</f>
        <v>0</v>
      </c>
      <c r="H344" s="1552">
        <f t="shared" si="66"/>
        <v>107.95383821729925</v>
      </c>
      <c r="I344" s="1552">
        <f t="shared" si="66"/>
        <v>215.9076764345985</v>
      </c>
      <c r="J344" s="1552">
        <f t="shared" si="66"/>
        <v>323.86151465189778</v>
      </c>
      <c r="K344" s="1552">
        <f t="shared" si="66"/>
        <v>359.84612739099742</v>
      </c>
      <c r="L344" s="1552">
        <f t="shared" si="66"/>
        <v>449.80765923874685</v>
      </c>
      <c r="M344" s="1552">
        <f t="shared" si="66"/>
        <v>431.81535286919694</v>
      </c>
      <c r="N344" s="1552">
        <f t="shared" si="66"/>
        <v>503.78457834739646</v>
      </c>
      <c r="O344" s="34"/>
    </row>
    <row r="345" spans="1:15" s="84" customFormat="1" x14ac:dyDescent="0.2">
      <c r="A345" s="1532"/>
      <c r="B345" s="132"/>
      <c r="C345" s="37" t="s">
        <v>622</v>
      </c>
      <c r="D345" s="34" t="s">
        <v>1449</v>
      </c>
      <c r="E345" s="1532"/>
      <c r="F345" s="1553"/>
      <c r="G345" s="1553">
        <f>F334/$C$201</f>
        <v>7012.9083113159195</v>
      </c>
      <c r="H345" s="1553">
        <f t="shared" ref="G345:N346" si="67">G334/$C$201</f>
        <v>7552.6491298123965</v>
      </c>
      <c r="I345" s="1553">
        <f t="shared" si="67"/>
        <v>8092.3899483088735</v>
      </c>
      <c r="J345" s="1553">
        <f t="shared" si="67"/>
        <v>8632.1307668053505</v>
      </c>
      <c r="K345" s="1553">
        <f t="shared" si="67"/>
        <v>9171.8715853018257</v>
      </c>
      <c r="L345" s="1553">
        <f t="shared" si="67"/>
        <v>9711.6124037983009</v>
      </c>
      <c r="M345" s="1553">
        <f t="shared" si="67"/>
        <v>10251.35322229478</v>
      </c>
      <c r="N345" s="1553">
        <f t="shared" si="67"/>
        <v>10791.094040791253</v>
      </c>
      <c r="O345" s="34"/>
    </row>
    <row r="346" spans="1:15" s="84" customFormat="1" x14ac:dyDescent="0.2">
      <c r="A346" s="1532"/>
      <c r="B346" s="132"/>
      <c r="C346" s="37" t="s">
        <v>622</v>
      </c>
      <c r="D346" s="34" t="s">
        <v>2333</v>
      </c>
      <c r="E346" s="1532"/>
      <c r="F346" s="1553"/>
      <c r="G346" s="1553">
        <f t="shared" si="67"/>
        <v>0</v>
      </c>
      <c r="H346" s="1553">
        <f t="shared" ref="H346:N346" si="68">G335/$C$201</f>
        <v>252.92042096624394</v>
      </c>
      <c r="I346" s="1553">
        <f t="shared" si="68"/>
        <v>505.84084193248788</v>
      </c>
      <c r="J346" s="1553">
        <f t="shared" si="68"/>
        <v>758.76126289873173</v>
      </c>
      <c r="K346" s="1553">
        <f t="shared" si="68"/>
        <v>1011.6816838649758</v>
      </c>
      <c r="L346" s="1553">
        <f t="shared" si="68"/>
        <v>1264.6021048312195</v>
      </c>
      <c r="M346" s="1553">
        <f t="shared" si="68"/>
        <v>1517.5225257974635</v>
      </c>
      <c r="N346" s="1553">
        <f t="shared" si="68"/>
        <v>1770.4429467637074</v>
      </c>
      <c r="O346" s="34"/>
    </row>
    <row r="347" spans="1:15" s="84" customFormat="1" x14ac:dyDescent="0.2">
      <c r="A347" s="1532"/>
      <c r="B347" s="132"/>
      <c r="C347" s="37" t="s">
        <v>622</v>
      </c>
      <c r="D347" s="34" t="s">
        <v>1450</v>
      </c>
      <c r="E347" s="1532"/>
      <c r="F347" s="1553"/>
      <c r="G347" s="1553">
        <f t="shared" ref="G347:N347" si="69">F336/$C$201</f>
        <v>0</v>
      </c>
      <c r="H347" s="1553">
        <f t="shared" si="69"/>
        <v>16.861361397749658</v>
      </c>
      <c r="I347" s="1553">
        <f t="shared" si="69"/>
        <v>33.722722795499315</v>
      </c>
      <c r="J347" s="1553">
        <f t="shared" si="69"/>
        <v>50.584084193248962</v>
      </c>
      <c r="K347" s="1553">
        <f t="shared" si="69"/>
        <v>67.445445590998631</v>
      </c>
      <c r="L347" s="1553">
        <f t="shared" si="69"/>
        <v>84.306806988748278</v>
      </c>
      <c r="M347" s="1553">
        <f t="shared" si="69"/>
        <v>101.16816838649797</v>
      </c>
      <c r="N347" s="1553">
        <f t="shared" si="69"/>
        <v>118.02952978424761</v>
      </c>
      <c r="O347" s="34"/>
    </row>
    <row r="348" spans="1:15" s="84" customFormat="1" x14ac:dyDescent="0.2">
      <c r="A348" s="1532"/>
      <c r="B348" s="132"/>
      <c r="C348" s="37" t="s">
        <v>2326</v>
      </c>
      <c r="D348" s="2254" t="s">
        <v>2334</v>
      </c>
      <c r="E348" s="1532"/>
      <c r="F348" s="1553"/>
      <c r="G348" s="1553">
        <f>F337/$C$200</f>
        <v>0</v>
      </c>
      <c r="H348" s="1553">
        <f t="shared" ref="H348:N348" si="70">G337/$C$200</f>
        <v>2.28375E-2</v>
      </c>
      <c r="I348" s="1553">
        <f t="shared" si="70"/>
        <v>4.5675E-2</v>
      </c>
      <c r="J348" s="1553">
        <f t="shared" si="70"/>
        <v>6.851249999999999E-2</v>
      </c>
      <c r="K348" s="1553">
        <f t="shared" si="70"/>
        <v>9.1350000000000001E-2</v>
      </c>
      <c r="L348" s="1553">
        <f t="shared" si="70"/>
        <v>0.1141875</v>
      </c>
      <c r="M348" s="1553">
        <f t="shared" si="70"/>
        <v>0.13702500000000001</v>
      </c>
      <c r="N348" s="1553">
        <f t="shared" si="70"/>
        <v>0.15986250000000005</v>
      </c>
      <c r="O348" s="34"/>
    </row>
    <row r="349" spans="1:15" s="84" customFormat="1" x14ac:dyDescent="0.2">
      <c r="A349" s="1532"/>
      <c r="B349" s="132"/>
      <c r="C349" s="37"/>
      <c r="D349" s="34"/>
      <c r="E349" s="1532"/>
      <c r="F349" s="1553"/>
      <c r="G349" s="1553"/>
      <c r="H349" s="1553"/>
      <c r="I349" s="1553"/>
      <c r="J349" s="1553"/>
      <c r="K349" s="1553"/>
      <c r="L349" s="1553"/>
      <c r="M349" s="1553"/>
      <c r="N349" s="1553"/>
      <c r="O349" s="34"/>
    </row>
    <row r="350" spans="1:15" s="84" customFormat="1" x14ac:dyDescent="0.2">
      <c r="A350" s="1532"/>
      <c r="B350" s="1534"/>
      <c r="C350" s="1185"/>
      <c r="D350" s="1538"/>
      <c r="E350" s="1532"/>
      <c r="F350" s="1539"/>
      <c r="G350" s="1539"/>
      <c r="H350" s="1539"/>
      <c r="I350" s="1539"/>
      <c r="J350" s="1539"/>
      <c r="K350" s="1539"/>
      <c r="L350" s="1539"/>
      <c r="M350" s="1539"/>
      <c r="N350" s="1539"/>
      <c r="O350" s="34"/>
    </row>
    <row r="351" spans="1:15" s="84" customFormat="1" x14ac:dyDescent="0.2">
      <c r="A351" s="1532"/>
      <c r="B351" s="1532" t="s">
        <v>2332</v>
      </c>
      <c r="C351" s="1532" t="s">
        <v>1652</v>
      </c>
      <c r="D351" s="1532"/>
      <c r="E351" s="1532"/>
      <c r="F351" s="1533"/>
      <c r="G351" s="1533"/>
      <c r="H351" s="1533"/>
      <c r="I351" s="1533"/>
      <c r="J351" s="1533"/>
      <c r="K351" s="1533"/>
      <c r="L351" s="1533"/>
      <c r="M351" s="1533"/>
      <c r="N351" s="1185" t="s">
        <v>1679</v>
      </c>
      <c r="O351" s="34"/>
    </row>
    <row r="352" spans="1:15" s="84" customFormat="1" x14ac:dyDescent="0.2">
      <c r="A352" s="1532"/>
      <c r="B352" s="1534"/>
      <c r="C352" s="1532"/>
      <c r="D352" s="1532"/>
      <c r="E352" s="1532"/>
      <c r="F352" s="1535">
        <v>2010</v>
      </c>
      <c r="G352" s="1535">
        <v>2015</v>
      </c>
      <c r="H352" s="1535">
        <v>2020</v>
      </c>
      <c r="I352" s="1535">
        <v>2025</v>
      </c>
      <c r="J352" s="1535">
        <v>2030</v>
      </c>
      <c r="K352" s="1535">
        <v>2035</v>
      </c>
      <c r="L352" s="1535">
        <v>2040</v>
      </c>
      <c r="M352" s="1535">
        <v>2045</v>
      </c>
      <c r="N352" s="1535">
        <v>2050</v>
      </c>
      <c r="O352" s="34"/>
    </row>
    <row r="353" spans="1:15" s="84" customFormat="1" x14ac:dyDescent="0.2">
      <c r="A353" s="1532"/>
      <c r="B353" s="132"/>
      <c r="C353" s="37" t="s">
        <v>626</v>
      </c>
      <c r="D353" s="71" t="s">
        <v>1448</v>
      </c>
      <c r="E353" s="1532"/>
      <c r="F353" s="1554"/>
      <c r="G353" s="1554">
        <f t="shared" ref="G353:N355" si="71">MAX(((G332-F332)/(G$331-F$331))+G343,0)</f>
        <v>435.75392461014781</v>
      </c>
      <c r="H353" s="1554">
        <f t="shared" si="71"/>
        <v>505.75386421787175</v>
      </c>
      <c r="I353" s="1554">
        <f t="shared" si="71"/>
        <v>575.75380382559604</v>
      </c>
      <c r="J353" s="1554">
        <f t="shared" si="71"/>
        <v>349.99969803862029</v>
      </c>
      <c r="K353" s="1554">
        <f t="shared" si="71"/>
        <v>596.46140253420367</v>
      </c>
      <c r="L353" s="1554">
        <f t="shared" si="71"/>
        <v>219.04076093049204</v>
      </c>
      <c r="M353" s="1554">
        <f t="shared" si="71"/>
        <v>570.50237483766114</v>
      </c>
      <c r="N353" s="1554">
        <f t="shared" si="71"/>
        <v>171.42412086170475</v>
      </c>
      <c r="O353" s="34"/>
    </row>
    <row r="354" spans="1:15" s="84" customFormat="1" x14ac:dyDescent="0.2">
      <c r="A354" s="1532"/>
      <c r="B354" s="132"/>
      <c r="C354" s="37" t="s">
        <v>626</v>
      </c>
      <c r="D354" s="34" t="s">
        <v>433</v>
      </c>
      <c r="E354" s="1532"/>
      <c r="F354" s="1554"/>
      <c r="G354" s="1554">
        <f t="shared" si="71"/>
        <v>647.72302930379544</v>
      </c>
      <c r="H354" s="1554">
        <f t="shared" si="71"/>
        <v>755.67686752109466</v>
      </c>
      <c r="I354" s="1554">
        <f t="shared" si="71"/>
        <v>863.63070573839423</v>
      </c>
      <c r="J354" s="1554">
        <f t="shared" si="71"/>
        <v>539.76919108649577</v>
      </c>
      <c r="K354" s="1554">
        <f t="shared" si="71"/>
        <v>899.6153184774937</v>
      </c>
      <c r="L354" s="1554">
        <f t="shared" si="71"/>
        <v>341.85382102144729</v>
      </c>
      <c r="M354" s="1554">
        <f t="shared" si="71"/>
        <v>863.63070573839411</v>
      </c>
      <c r="N354" s="1554">
        <f t="shared" si="71"/>
        <v>266.98261064493386</v>
      </c>
      <c r="O354" s="34"/>
    </row>
    <row r="355" spans="1:15" s="84" customFormat="1" x14ac:dyDescent="0.2">
      <c r="A355" s="1427"/>
      <c r="B355" s="132"/>
      <c r="C355" s="37" t="s">
        <v>622</v>
      </c>
      <c r="D355" s="34" t="s">
        <v>1449</v>
      </c>
      <c r="E355" s="1427"/>
      <c r="F355" s="1555"/>
      <c r="G355" s="1555">
        <f t="shared" si="71"/>
        <v>7768.5454572109884</v>
      </c>
      <c r="H355" s="1555">
        <f t="shared" si="71"/>
        <v>8308.2862757074636</v>
      </c>
      <c r="I355" s="1555">
        <f t="shared" si="71"/>
        <v>8848.0270942039406</v>
      </c>
      <c r="J355" s="1555">
        <f t="shared" si="71"/>
        <v>9387.7679127004158</v>
      </c>
      <c r="K355" s="1555">
        <f t="shared" si="71"/>
        <v>9927.5087311968928</v>
      </c>
      <c r="L355" s="1555">
        <f t="shared" si="71"/>
        <v>10467.24954969337</v>
      </c>
      <c r="M355" s="1555">
        <f t="shared" si="71"/>
        <v>11006.990368189843</v>
      </c>
      <c r="N355" s="1555">
        <f t="shared" si="71"/>
        <v>11546.731186686318</v>
      </c>
      <c r="O355" s="34"/>
    </row>
    <row r="356" spans="1:15" s="84" customFormat="1" x14ac:dyDescent="0.2">
      <c r="A356" s="1427"/>
      <c r="B356" s="132"/>
      <c r="C356" s="37" t="s">
        <v>622</v>
      </c>
      <c r="D356" s="34" t="s">
        <v>2333</v>
      </c>
      <c r="E356" s="1427"/>
      <c r="F356" s="1555"/>
      <c r="G356" s="1555">
        <f>MAX(((G335-F335)/(G$331-F$331))+G346,0)</f>
        <v>354.08858935274151</v>
      </c>
      <c r="H356" s="1555">
        <f t="shared" ref="H356:N356" si="72">MAX(((H335-G335)/(H$331-G$331))+H346,0)</f>
        <v>607.00901031898547</v>
      </c>
      <c r="I356" s="1555">
        <f t="shared" si="72"/>
        <v>859.92943128522927</v>
      </c>
      <c r="J356" s="1555">
        <f t="shared" si="72"/>
        <v>1112.8498522514733</v>
      </c>
      <c r="K356" s="1555">
        <f t="shared" si="72"/>
        <v>1365.770273217717</v>
      </c>
      <c r="L356" s="1555">
        <f t="shared" si="72"/>
        <v>1618.6906941839611</v>
      </c>
      <c r="M356" s="1555">
        <f t="shared" si="72"/>
        <v>1871.611115150205</v>
      </c>
      <c r="N356" s="1555">
        <f t="shared" si="72"/>
        <v>2124.5315361164494</v>
      </c>
      <c r="O356" s="34"/>
    </row>
    <row r="357" spans="1:15" s="84" customFormat="1" x14ac:dyDescent="0.2">
      <c r="A357" s="1532"/>
      <c r="B357" s="132"/>
      <c r="C357" s="37" t="s">
        <v>622</v>
      </c>
      <c r="D357" s="34" t="s">
        <v>1450</v>
      </c>
      <c r="E357" s="1532"/>
      <c r="F357" s="1555"/>
      <c r="G357" s="1555">
        <f>MAX(((G336-F336)/(G$331-F$331))+G347,0)</f>
        <v>23.605905956849519</v>
      </c>
      <c r="H357" s="1555">
        <f t="shared" ref="H357:N357" si="73">MAX(((H336-G336)/(H$331-G$331))+H347,0)</f>
        <v>40.467267354599173</v>
      </c>
      <c r="I357" s="1555">
        <f t="shared" si="73"/>
        <v>57.328628752348827</v>
      </c>
      <c r="J357" s="1555">
        <f t="shared" si="73"/>
        <v>74.189990150098495</v>
      </c>
      <c r="K357" s="1555">
        <f t="shared" si="73"/>
        <v>91.051351547848157</v>
      </c>
      <c r="L357" s="1555">
        <f t="shared" si="73"/>
        <v>107.91271294559783</v>
      </c>
      <c r="M357" s="1555">
        <f t="shared" si="73"/>
        <v>124.77407434334748</v>
      </c>
      <c r="N357" s="1555">
        <f t="shared" si="73"/>
        <v>141.63543574109713</v>
      </c>
      <c r="O357" s="34"/>
    </row>
    <row r="358" spans="1:15" s="84" customFormat="1" x14ac:dyDescent="0.2">
      <c r="A358" s="1532"/>
      <c r="B358" s="132"/>
      <c r="C358" s="37" t="s">
        <v>2326</v>
      </c>
      <c r="D358" s="2254" t="s">
        <v>2334</v>
      </c>
      <c r="E358" s="1532"/>
      <c r="F358" s="1555"/>
      <c r="G358" s="1555">
        <f>MAX(((G337-F337)/(G$331-F$331))+G348,0)</f>
        <v>0.1141875</v>
      </c>
      <c r="H358" s="1555">
        <f t="shared" ref="H358:N358" si="74">MAX(((H337-G337)/(H$331-G$331))+H348,0)</f>
        <v>0.13702500000000001</v>
      </c>
      <c r="I358" s="1555">
        <f t="shared" si="74"/>
        <v>0.15986249999999994</v>
      </c>
      <c r="J358" s="1555">
        <f t="shared" si="74"/>
        <v>0.18270000000000006</v>
      </c>
      <c r="K358" s="1555">
        <f t="shared" si="74"/>
        <v>0.20553749999999998</v>
      </c>
      <c r="L358" s="1555">
        <f t="shared" si="74"/>
        <v>0.22837500000000005</v>
      </c>
      <c r="M358" s="1555">
        <f t="shared" si="74"/>
        <v>0.25121250000000017</v>
      </c>
      <c r="N358" s="1555">
        <f t="shared" si="74"/>
        <v>0.27404999999999985</v>
      </c>
      <c r="O358" s="34"/>
    </row>
    <row r="359" spans="1:15" s="84" customFormat="1" x14ac:dyDescent="0.2">
      <c r="A359" s="1532"/>
      <c r="B359" s="132"/>
      <c r="C359" s="37"/>
      <c r="D359" s="34"/>
      <c r="E359" s="1532"/>
      <c r="F359" s="1555"/>
      <c r="G359" s="1555"/>
      <c r="H359" s="1555"/>
      <c r="I359" s="1555"/>
      <c r="J359" s="1555"/>
      <c r="K359" s="1555"/>
      <c r="L359" s="1555"/>
      <c r="M359" s="1555"/>
      <c r="N359" s="1555"/>
      <c r="O359" s="34"/>
    </row>
    <row r="360" spans="1:15" s="84" customFormat="1" x14ac:dyDescent="0.2">
      <c r="A360" s="1427"/>
      <c r="B360" s="132"/>
      <c r="C360" s="1426"/>
      <c r="D360" s="610"/>
      <c r="E360" s="1427"/>
      <c r="F360" s="231"/>
      <c r="G360" s="231"/>
      <c r="H360" s="231"/>
      <c r="I360" s="231"/>
      <c r="J360" s="231"/>
      <c r="K360" s="231"/>
      <c r="L360" s="231"/>
      <c r="M360" s="231"/>
      <c r="N360" s="231"/>
      <c r="O360" s="34"/>
    </row>
    <row r="361" spans="1:15" s="84" customFormat="1" x14ac:dyDescent="0.2">
      <c r="A361" s="1427"/>
      <c r="B361" s="1427">
        <v>11</v>
      </c>
      <c r="C361" s="1427" t="s">
        <v>1648</v>
      </c>
      <c r="D361" s="1427"/>
      <c r="E361" s="1427"/>
      <c r="F361" s="234"/>
      <c r="G361" s="234"/>
      <c r="H361" s="234"/>
      <c r="I361" s="234"/>
      <c r="J361" s="234"/>
      <c r="K361" s="234"/>
      <c r="L361" s="234"/>
      <c r="M361" s="234"/>
      <c r="N361" s="234"/>
      <c r="O361" s="34"/>
    </row>
    <row r="362" spans="1:15" s="84" customFormat="1" x14ac:dyDescent="0.2">
      <c r="A362" s="1427"/>
      <c r="B362" s="132"/>
      <c r="C362" s="17" t="s">
        <v>645</v>
      </c>
      <c r="D362" s="20"/>
      <c r="E362" s="1427"/>
      <c r="F362" s="234"/>
      <c r="G362" s="234"/>
      <c r="H362" s="234"/>
      <c r="I362" s="234"/>
      <c r="J362" s="234"/>
      <c r="K362" s="234"/>
      <c r="L362" s="234"/>
      <c r="M362" s="234"/>
      <c r="N362" s="234"/>
      <c r="O362" s="34"/>
    </row>
    <row r="363" spans="1:15" s="84" customFormat="1" x14ac:dyDescent="0.2">
      <c r="A363" s="1427"/>
      <c r="B363" s="583"/>
      <c r="C363" s="583" t="s">
        <v>592</v>
      </c>
      <c r="D363" s="2015" t="s">
        <v>343</v>
      </c>
      <c r="E363" s="1427"/>
      <c r="F363" s="234"/>
      <c r="G363" s="234"/>
      <c r="H363" s="234"/>
      <c r="I363" s="234"/>
      <c r="J363" s="234"/>
      <c r="K363" s="234"/>
      <c r="L363" s="234"/>
      <c r="M363" s="234"/>
      <c r="N363" s="1426" t="str">
        <f>Preferences.moneyunits&amp;"/yr, preceeding 5 years"</f>
        <v>N/yr, preceeding 5 years</v>
      </c>
      <c r="O363" s="34"/>
    </row>
    <row r="364" spans="1:15" s="84" customFormat="1" x14ac:dyDescent="0.2">
      <c r="A364" s="1427"/>
      <c r="B364" s="132"/>
      <c r="E364" s="1427"/>
      <c r="F364" s="234"/>
      <c r="G364" s="234"/>
      <c r="H364" s="234"/>
      <c r="I364" s="234"/>
      <c r="J364" s="234"/>
      <c r="K364" s="234"/>
      <c r="L364" s="234"/>
      <c r="M364" s="234"/>
      <c r="N364" s="234"/>
      <c r="O364" s="34"/>
    </row>
    <row r="365" spans="1:15" s="84" customFormat="1" x14ac:dyDescent="0.2">
      <c r="A365" s="1427"/>
      <c r="B365" s="132"/>
      <c r="C365" s="37" t="s">
        <v>626</v>
      </c>
      <c r="D365" s="71" t="s">
        <v>1448</v>
      </c>
      <c r="E365" s="1427"/>
      <c r="F365" s="231">
        <f t="shared" ref="F365:N365" si="75">F353*F216/1000</f>
        <v>0</v>
      </c>
      <c r="G365" s="231">
        <f t="shared" si="75"/>
        <v>277329364930.85474</v>
      </c>
      <c r="H365" s="231">
        <f t="shared" si="75"/>
        <v>321879827245.05273</v>
      </c>
      <c r="I365" s="231">
        <f t="shared" si="75"/>
        <v>366430289559.25098</v>
      </c>
      <c r="J365" s="231">
        <f t="shared" si="75"/>
        <v>222752311570.99039</v>
      </c>
      <c r="K365" s="231">
        <f t="shared" si="75"/>
        <v>379609345156.37274</v>
      </c>
      <c r="L365" s="231">
        <f t="shared" si="75"/>
        <v>139405365487.34937</v>
      </c>
      <c r="M365" s="231">
        <f t="shared" si="75"/>
        <v>363088092544.02863</v>
      </c>
      <c r="N365" s="231">
        <f t="shared" si="75"/>
        <v>109100434643.10669</v>
      </c>
      <c r="O365" s="34"/>
    </row>
    <row r="366" spans="1:15" s="84" customFormat="1" x14ac:dyDescent="0.2">
      <c r="A366" s="1427"/>
      <c r="B366" s="132"/>
      <c r="C366" s="37" t="s">
        <v>626</v>
      </c>
      <c r="D366" s="34" t="s">
        <v>433</v>
      </c>
      <c r="E366" s="1427"/>
      <c r="F366" s="231">
        <f t="shared" ref="F366:N366" si="76">F354*F217/1000</f>
        <v>0</v>
      </c>
      <c r="G366" s="231">
        <f t="shared" si="76"/>
        <v>361608837244.48358</v>
      </c>
      <c r="H366" s="231">
        <f t="shared" si="76"/>
        <v>421876976785.23083</v>
      </c>
      <c r="I366" s="231">
        <f t="shared" si="76"/>
        <v>482145116325.97827</v>
      </c>
      <c r="J366" s="231">
        <f t="shared" si="76"/>
        <v>301340697703.73608</v>
      </c>
      <c r="K366" s="231">
        <f t="shared" si="76"/>
        <v>502234496172.8938</v>
      </c>
      <c r="L366" s="231">
        <f t="shared" si="76"/>
        <v>190849108545.69946</v>
      </c>
      <c r="M366" s="231">
        <f t="shared" si="76"/>
        <v>482145116325.97821</v>
      </c>
      <c r="N366" s="231">
        <f t="shared" si="76"/>
        <v>149050237573.8912</v>
      </c>
      <c r="O366" s="34"/>
    </row>
    <row r="367" spans="1:15" s="84" customFormat="1" x14ac:dyDescent="0.2">
      <c r="A367" s="1427"/>
      <c r="B367" s="132"/>
      <c r="C367" s="37" t="s">
        <v>622</v>
      </c>
      <c r="D367" s="34" t="s">
        <v>1449</v>
      </c>
      <c r="E367" s="1427"/>
      <c r="F367" s="231">
        <f t="shared" ref="F367:N367" si="77">F355*F218/1000</f>
        <v>0</v>
      </c>
      <c r="G367" s="231">
        <f t="shared" si="77"/>
        <v>137483833228.99146</v>
      </c>
      <c r="H367" s="231">
        <f t="shared" si="77"/>
        <v>147035896364.33286</v>
      </c>
      <c r="I367" s="231">
        <f t="shared" si="77"/>
        <v>156587959499.67426</v>
      </c>
      <c r="J367" s="231">
        <f t="shared" si="77"/>
        <v>166140022635.01559</v>
      </c>
      <c r="K367" s="231">
        <f t="shared" si="77"/>
        <v>175692085770.35699</v>
      </c>
      <c r="L367" s="231">
        <f t="shared" si="77"/>
        <v>185244148905.69839</v>
      </c>
      <c r="M367" s="231">
        <f t="shared" si="77"/>
        <v>194796212041.03976</v>
      </c>
      <c r="N367" s="231">
        <f t="shared" si="77"/>
        <v>204348275176.38113</v>
      </c>
      <c r="O367" s="34"/>
    </row>
    <row r="368" spans="1:15" s="84" customFormat="1" x14ac:dyDescent="0.2">
      <c r="A368" s="1427"/>
      <c r="B368" s="132"/>
      <c r="C368" s="37" t="s">
        <v>622</v>
      </c>
      <c r="D368" s="2254" t="s">
        <v>1450</v>
      </c>
      <c r="E368" s="1427"/>
      <c r="F368" s="231">
        <f t="shared" ref="F368:N368" si="78">F357*F219/1000</f>
        <v>0</v>
      </c>
      <c r="G368" s="231">
        <f t="shared" si="78"/>
        <v>10193460999.951334</v>
      </c>
      <c r="H368" s="231">
        <f t="shared" si="78"/>
        <v>17474504571.345146</v>
      </c>
      <c r="I368" s="231">
        <f t="shared" si="78"/>
        <v>24755548142.738953</v>
      </c>
      <c r="J368" s="231">
        <f t="shared" si="78"/>
        <v>32036591714.132771</v>
      </c>
      <c r="K368" s="231">
        <f t="shared" si="78"/>
        <v>39317635285.526588</v>
      </c>
      <c r="L368" s="231">
        <f t="shared" si="78"/>
        <v>46598678856.920395</v>
      </c>
      <c r="M368" s="231">
        <f t="shared" si="78"/>
        <v>53879722428.314209</v>
      </c>
      <c r="N368" s="231">
        <f t="shared" si="78"/>
        <v>61160765999.708015</v>
      </c>
      <c r="O368" s="34"/>
    </row>
    <row r="369" spans="1:15" s="84" customFormat="1" x14ac:dyDescent="0.2">
      <c r="A369" s="1427"/>
      <c r="B369" s="132"/>
      <c r="C369" s="37"/>
      <c r="D369" s="34"/>
      <c r="E369" s="1427"/>
      <c r="F369" s="231"/>
      <c r="G369" s="231"/>
      <c r="H369" s="231"/>
      <c r="I369" s="231"/>
      <c r="J369" s="231"/>
      <c r="K369" s="231"/>
      <c r="L369" s="231"/>
      <c r="M369" s="231"/>
      <c r="N369" s="231"/>
      <c r="O369" s="34"/>
    </row>
    <row r="370" spans="1:15" s="946" customFormat="1" x14ac:dyDescent="0.2">
      <c r="A370" s="1532"/>
      <c r="B370" s="1534"/>
      <c r="E370" s="1532"/>
      <c r="F370" s="1539"/>
      <c r="G370" s="1539"/>
      <c r="H370" s="1539"/>
      <c r="I370" s="1539"/>
      <c r="J370" s="1539"/>
      <c r="K370" s="1539"/>
      <c r="L370" s="1539"/>
      <c r="M370" s="1539"/>
      <c r="N370" s="1539"/>
      <c r="O370" s="34"/>
    </row>
    <row r="371" spans="1:15" s="946" customFormat="1" x14ac:dyDescent="0.2">
      <c r="A371" s="1532"/>
      <c r="B371" s="1534">
        <v>12</v>
      </c>
      <c r="C371" s="1851" t="s">
        <v>1903</v>
      </c>
      <c r="D371" s="34"/>
      <c r="E371" s="1532"/>
      <c r="F371" s="1539"/>
      <c r="G371" s="1539"/>
      <c r="H371" s="1539"/>
      <c r="I371" s="1539"/>
      <c r="J371" s="1539"/>
      <c r="K371" s="1539"/>
      <c r="L371" s="1539"/>
      <c r="M371" s="1539"/>
      <c r="N371" s="1539"/>
      <c r="O371" s="34"/>
    </row>
    <row r="372" spans="1:15" s="946" customFormat="1" x14ac:dyDescent="0.2">
      <c r="A372" s="1532"/>
      <c r="B372" s="1534"/>
      <c r="C372" s="17" t="s">
        <v>645</v>
      </c>
      <c r="D372" s="20"/>
      <c r="E372" s="1532"/>
      <c r="F372" s="1539"/>
      <c r="G372" s="1539"/>
      <c r="H372" s="1539"/>
      <c r="I372" s="1539"/>
      <c r="J372" s="1539"/>
      <c r="K372" s="1539"/>
      <c r="L372" s="1539"/>
      <c r="M372" s="1539"/>
      <c r="N372" s="1426" t="str">
        <f>Preferences.moneyunits&amp;"/yr, preceeding 5 years"</f>
        <v>N/yr, preceeding 5 years</v>
      </c>
      <c r="O372" s="34"/>
    </row>
    <row r="373" spans="1:15" s="946" customFormat="1" x14ac:dyDescent="0.2">
      <c r="A373" s="1532"/>
      <c r="B373" s="1534"/>
      <c r="C373" s="583" t="s">
        <v>592</v>
      </c>
      <c r="D373" s="1518" t="s">
        <v>343</v>
      </c>
      <c r="E373" s="1532"/>
      <c r="F373" s="1539"/>
      <c r="G373" s="1539"/>
      <c r="H373" s="1539"/>
      <c r="I373" s="1539"/>
      <c r="J373" s="1539"/>
      <c r="K373" s="1539"/>
      <c r="L373" s="1539"/>
      <c r="M373" s="1539"/>
      <c r="N373" s="1539"/>
      <c r="O373" s="34"/>
    </row>
    <row r="374" spans="1:15" s="946" customFormat="1" x14ac:dyDescent="0.2">
      <c r="A374" s="1532"/>
      <c r="B374" s="1534"/>
      <c r="E374" s="1532"/>
      <c r="F374" s="1539"/>
      <c r="G374" s="1539"/>
      <c r="H374" s="1539"/>
      <c r="I374" s="1539"/>
      <c r="J374" s="1539"/>
      <c r="K374" s="1539"/>
      <c r="L374" s="1539"/>
      <c r="M374" s="1539"/>
      <c r="N374" s="1539"/>
      <c r="O374" s="34"/>
    </row>
    <row r="375" spans="1:15" s="946" customFormat="1" x14ac:dyDescent="0.2">
      <c r="A375" s="1532"/>
      <c r="B375" s="1534"/>
      <c r="C375" s="37" t="s">
        <v>626</v>
      </c>
      <c r="D375" s="71" t="s">
        <v>1448</v>
      </c>
      <c r="E375" s="1532"/>
      <c r="F375" s="231">
        <f t="shared" ref="F375:N375" si="79">F353*F223/1000</f>
        <v>0</v>
      </c>
      <c r="G375" s="231">
        <f t="shared" si="79"/>
        <v>277329364930.85474</v>
      </c>
      <c r="H375" s="231">
        <f t="shared" si="79"/>
        <v>321879827245.05273</v>
      </c>
      <c r="I375" s="231">
        <f t="shared" si="79"/>
        <v>366430289559.25098</v>
      </c>
      <c r="J375" s="231">
        <f t="shared" si="79"/>
        <v>222752311570.99039</v>
      </c>
      <c r="K375" s="231">
        <f t="shared" si="79"/>
        <v>379609345156.37274</v>
      </c>
      <c r="L375" s="231">
        <f t="shared" si="79"/>
        <v>139405365487.34937</v>
      </c>
      <c r="M375" s="231">
        <f t="shared" si="79"/>
        <v>363088092544.02863</v>
      </c>
      <c r="N375" s="231">
        <f t="shared" si="79"/>
        <v>109100434643.10669</v>
      </c>
      <c r="O375" s="34"/>
    </row>
    <row r="376" spans="1:15" s="946" customFormat="1" x14ac:dyDescent="0.2">
      <c r="A376" s="1532"/>
      <c r="B376" s="1534"/>
      <c r="C376" s="37" t="s">
        <v>626</v>
      </c>
      <c r="D376" s="34" t="s">
        <v>433</v>
      </c>
      <c r="E376" s="1532"/>
      <c r="F376" s="231">
        <f t="shared" ref="F376:N376" si="80">F354*F224/1000</f>
        <v>0</v>
      </c>
      <c r="G376" s="231">
        <f t="shared" si="80"/>
        <v>361608837244.48358</v>
      </c>
      <c r="H376" s="231">
        <f t="shared" si="80"/>
        <v>421876976785.23083</v>
      </c>
      <c r="I376" s="231">
        <f t="shared" si="80"/>
        <v>482145116325.97827</v>
      </c>
      <c r="J376" s="231">
        <f t="shared" si="80"/>
        <v>301340697703.73608</v>
      </c>
      <c r="K376" s="231">
        <f t="shared" si="80"/>
        <v>502234496172.8938</v>
      </c>
      <c r="L376" s="231">
        <f t="shared" si="80"/>
        <v>190849108545.69946</v>
      </c>
      <c r="M376" s="231">
        <f t="shared" si="80"/>
        <v>482145116325.97821</v>
      </c>
      <c r="N376" s="231">
        <f t="shared" si="80"/>
        <v>149050237573.8912</v>
      </c>
      <c r="O376" s="34"/>
    </row>
    <row r="377" spans="1:15" x14ac:dyDescent="0.2">
      <c r="C377" s="37" t="s">
        <v>622</v>
      </c>
      <c r="D377" s="34" t="s">
        <v>1449</v>
      </c>
      <c r="F377" s="231">
        <f t="shared" ref="F377:N377" si="81">F355*F225/1000</f>
        <v>0</v>
      </c>
      <c r="G377" s="231">
        <f t="shared" si="81"/>
        <v>137483833228.99146</v>
      </c>
      <c r="H377" s="231">
        <f t="shared" si="81"/>
        <v>147035896364.33286</v>
      </c>
      <c r="I377" s="231">
        <f t="shared" si="81"/>
        <v>156587959499.67426</v>
      </c>
      <c r="J377" s="231">
        <f t="shared" si="81"/>
        <v>166140022635.01559</v>
      </c>
      <c r="K377" s="231">
        <f t="shared" si="81"/>
        <v>175692085770.35699</v>
      </c>
      <c r="L377" s="231">
        <f t="shared" si="81"/>
        <v>185244148905.69839</v>
      </c>
      <c r="M377" s="231">
        <f t="shared" si="81"/>
        <v>194796212041.03976</v>
      </c>
      <c r="N377" s="231">
        <f t="shared" si="81"/>
        <v>204348275176.38113</v>
      </c>
    </row>
    <row r="378" spans="1:15" s="84" customFormat="1" x14ac:dyDescent="0.2">
      <c r="A378" s="1427"/>
      <c r="B378" s="132"/>
      <c r="C378" s="37" t="s">
        <v>622</v>
      </c>
      <c r="D378" s="2254" t="s">
        <v>1450</v>
      </c>
      <c r="E378" s="1427"/>
      <c r="F378" s="231">
        <f t="shared" ref="F378:N378" si="82">F357*F226/1000</f>
        <v>0</v>
      </c>
      <c r="G378" s="231">
        <f t="shared" si="82"/>
        <v>10193460999.951334</v>
      </c>
      <c r="H378" s="231">
        <f t="shared" si="82"/>
        <v>17474504571.345146</v>
      </c>
      <c r="I378" s="231">
        <f t="shared" si="82"/>
        <v>24755548142.738953</v>
      </c>
      <c r="J378" s="231">
        <f t="shared" si="82"/>
        <v>32036591714.132771</v>
      </c>
      <c r="K378" s="231">
        <f t="shared" si="82"/>
        <v>39317635285.526588</v>
      </c>
      <c r="L378" s="231">
        <f t="shared" si="82"/>
        <v>46598678856.920395</v>
      </c>
      <c r="M378" s="231">
        <f t="shared" si="82"/>
        <v>53879722428.314209</v>
      </c>
      <c r="N378" s="231">
        <f t="shared" si="82"/>
        <v>61160765999.708015</v>
      </c>
    </row>
    <row r="379" spans="1:15" s="84" customFormat="1" x14ac:dyDescent="0.2">
      <c r="A379" s="1427"/>
      <c r="B379" s="132"/>
      <c r="C379" s="1426"/>
      <c r="D379" s="610"/>
      <c r="E379" s="1427"/>
      <c r="F379" s="231"/>
      <c r="G379" s="231"/>
      <c r="H379" s="231"/>
      <c r="I379" s="231"/>
      <c r="J379" s="231"/>
      <c r="K379" s="231"/>
      <c r="L379" s="231"/>
      <c r="M379" s="231"/>
      <c r="N379" s="231"/>
    </row>
    <row r="380" spans="1:15" s="84" customFormat="1" x14ac:dyDescent="0.2">
      <c r="A380" s="1427"/>
      <c r="B380" s="1427">
        <v>12</v>
      </c>
      <c r="C380" s="1427" t="s">
        <v>1647</v>
      </c>
      <c r="D380" s="1427"/>
      <c r="E380" s="1427"/>
      <c r="F380" s="234"/>
      <c r="G380" s="234"/>
      <c r="H380" s="234"/>
      <c r="I380" s="234"/>
      <c r="J380" s="234"/>
      <c r="K380" s="234"/>
      <c r="L380" s="234"/>
      <c r="M380" s="234"/>
      <c r="N380" s="234"/>
    </row>
    <row r="381" spans="1:15" s="84" customFormat="1" x14ac:dyDescent="0.2">
      <c r="A381" s="1427"/>
      <c r="B381" s="132"/>
      <c r="C381" s="1427"/>
      <c r="D381" s="1427"/>
      <c r="E381" s="1427"/>
      <c r="F381" s="234"/>
      <c r="G381" s="234"/>
      <c r="H381" s="234"/>
      <c r="I381" s="234"/>
      <c r="J381" s="234"/>
      <c r="K381" s="234"/>
      <c r="L381" s="234"/>
      <c r="M381" s="234"/>
      <c r="N381" s="234"/>
    </row>
    <row r="382" spans="1:15" s="84" customFormat="1" x14ac:dyDescent="0.2">
      <c r="A382" s="1427"/>
      <c r="B382" s="583"/>
      <c r="C382" s="17" t="s">
        <v>645</v>
      </c>
      <c r="D382" s="20"/>
      <c r="E382" s="1427"/>
      <c r="F382" s="234"/>
      <c r="G382" s="234"/>
      <c r="H382" s="234"/>
      <c r="I382" s="234"/>
      <c r="J382" s="234"/>
      <c r="K382" s="234"/>
      <c r="L382" s="234"/>
      <c r="M382" s="234"/>
      <c r="N382" s="1426" t="str">
        <f>Preferences.moneyunits&amp;"/yr, preceeding 5 years"</f>
        <v>N/yr, preceeding 5 years</v>
      </c>
    </row>
    <row r="383" spans="1:15" s="84" customFormat="1" x14ac:dyDescent="0.2">
      <c r="A383" s="1427"/>
      <c r="B383" s="132"/>
      <c r="C383" s="583" t="s">
        <v>592</v>
      </c>
      <c r="D383" s="1518" t="s">
        <v>343</v>
      </c>
      <c r="E383" s="1427"/>
      <c r="F383" s="234"/>
      <c r="G383" s="234"/>
      <c r="H383" s="234"/>
      <c r="I383" s="234"/>
      <c r="J383" s="234"/>
      <c r="K383" s="234"/>
      <c r="L383" s="234"/>
      <c r="M383" s="234"/>
      <c r="N383" s="234"/>
    </row>
    <row r="384" spans="1:15" s="84" customFormat="1" x14ac:dyDescent="0.2">
      <c r="A384" s="1427"/>
      <c r="B384" s="132"/>
      <c r="C384" s="37" t="s">
        <v>626</v>
      </c>
      <c r="D384" s="71" t="s">
        <v>1448</v>
      </c>
      <c r="E384" s="1427"/>
      <c r="F384" s="231">
        <f t="shared" ref="F384:N384" si="83">F353*F230/1000</f>
        <v>0</v>
      </c>
      <c r="G384" s="231">
        <f t="shared" si="83"/>
        <v>277329364930.85474</v>
      </c>
      <c r="H384" s="231">
        <f t="shared" si="83"/>
        <v>321879827245.05273</v>
      </c>
      <c r="I384" s="231">
        <f t="shared" si="83"/>
        <v>366430289559.25098</v>
      </c>
      <c r="J384" s="231">
        <f t="shared" si="83"/>
        <v>222752311570.99039</v>
      </c>
      <c r="K384" s="231">
        <f t="shared" si="83"/>
        <v>379609345156.37274</v>
      </c>
      <c r="L384" s="231">
        <f t="shared" si="83"/>
        <v>139405365487.34937</v>
      </c>
      <c r="M384" s="231">
        <f t="shared" si="83"/>
        <v>363088092544.02863</v>
      </c>
      <c r="N384" s="231">
        <f t="shared" si="83"/>
        <v>109100434643.10669</v>
      </c>
    </row>
    <row r="385" spans="1:14" s="84" customFormat="1" x14ac:dyDescent="0.2">
      <c r="A385" s="1427"/>
      <c r="B385" s="132"/>
      <c r="C385" s="37" t="s">
        <v>626</v>
      </c>
      <c r="D385" s="34" t="s">
        <v>433</v>
      </c>
      <c r="E385" s="1427"/>
      <c r="F385" s="231">
        <f t="shared" ref="F385:N385" si="84">F354*F231/1000</f>
        <v>0</v>
      </c>
      <c r="G385" s="231">
        <f t="shared" si="84"/>
        <v>361608837244.48358</v>
      </c>
      <c r="H385" s="231">
        <f t="shared" si="84"/>
        <v>421876976785.23083</v>
      </c>
      <c r="I385" s="231">
        <f t="shared" si="84"/>
        <v>482145116325.97827</v>
      </c>
      <c r="J385" s="231">
        <f t="shared" si="84"/>
        <v>301340697703.73608</v>
      </c>
      <c r="K385" s="231">
        <f t="shared" si="84"/>
        <v>502234496172.8938</v>
      </c>
      <c r="L385" s="231">
        <f t="shared" si="84"/>
        <v>190849108545.69946</v>
      </c>
      <c r="M385" s="231">
        <f t="shared" si="84"/>
        <v>482145116325.97821</v>
      </c>
      <c r="N385" s="231">
        <f t="shared" si="84"/>
        <v>149050237573.8912</v>
      </c>
    </row>
    <row r="386" spans="1:14" s="84" customFormat="1" x14ac:dyDescent="0.2">
      <c r="A386" s="1427"/>
      <c r="B386" s="132"/>
      <c r="C386" s="37" t="s">
        <v>622</v>
      </c>
      <c r="D386" s="34" t="s">
        <v>1449</v>
      </c>
      <c r="E386" s="1427"/>
      <c r="F386" s="231">
        <f t="shared" ref="F386:N386" si="85">F355*F232/1000</f>
        <v>0</v>
      </c>
      <c r="G386" s="231">
        <f t="shared" si="85"/>
        <v>137483833228.99146</v>
      </c>
      <c r="H386" s="231">
        <f t="shared" si="85"/>
        <v>147035896364.33286</v>
      </c>
      <c r="I386" s="231">
        <f t="shared" si="85"/>
        <v>156587959499.67426</v>
      </c>
      <c r="J386" s="231">
        <f t="shared" si="85"/>
        <v>166140022635.01559</v>
      </c>
      <c r="K386" s="231">
        <f t="shared" si="85"/>
        <v>175692085770.35699</v>
      </c>
      <c r="L386" s="231">
        <f t="shared" si="85"/>
        <v>185244148905.69839</v>
      </c>
      <c r="M386" s="231">
        <f t="shared" si="85"/>
        <v>194796212041.03976</v>
      </c>
      <c r="N386" s="231">
        <f t="shared" si="85"/>
        <v>204348275176.38113</v>
      </c>
    </row>
    <row r="387" spans="1:14" s="84" customFormat="1" x14ac:dyDescent="0.2">
      <c r="A387" s="1427"/>
      <c r="B387" s="132"/>
      <c r="C387" s="37" t="s">
        <v>622</v>
      </c>
      <c r="D387" s="2254" t="s">
        <v>1450</v>
      </c>
      <c r="E387" s="1427"/>
      <c r="F387" s="231">
        <f t="shared" ref="F387:N387" si="86">F357*F233/1000</f>
        <v>0</v>
      </c>
      <c r="G387" s="231">
        <f t="shared" si="86"/>
        <v>10193460999.951334</v>
      </c>
      <c r="H387" s="231">
        <f t="shared" si="86"/>
        <v>17474504571.345146</v>
      </c>
      <c r="I387" s="231">
        <f t="shared" si="86"/>
        <v>24755548142.738953</v>
      </c>
      <c r="J387" s="231">
        <f t="shared" si="86"/>
        <v>32036591714.132771</v>
      </c>
      <c r="K387" s="231">
        <f t="shared" si="86"/>
        <v>39317635285.526588</v>
      </c>
      <c r="L387" s="231">
        <f t="shared" si="86"/>
        <v>46598678856.920395</v>
      </c>
      <c r="M387" s="231">
        <f t="shared" si="86"/>
        <v>53879722428.314209</v>
      </c>
      <c r="N387" s="231">
        <f t="shared" si="86"/>
        <v>61160765999.708015</v>
      </c>
    </row>
    <row r="388" spans="1:14" s="84" customFormat="1" x14ac:dyDescent="0.2">
      <c r="A388" s="1427"/>
      <c r="B388" s="132"/>
      <c r="C388" s="1426"/>
      <c r="D388" s="610"/>
      <c r="E388" s="1427"/>
      <c r="F388" s="231"/>
      <c r="G388" s="231"/>
      <c r="H388" s="231"/>
      <c r="I388" s="231"/>
      <c r="J388" s="231"/>
      <c r="K388" s="231"/>
      <c r="L388" s="231"/>
      <c r="M388" s="231"/>
      <c r="N388" s="231"/>
    </row>
    <row r="389" spans="1:14" s="84" customFormat="1" x14ac:dyDescent="0.2">
      <c r="A389" s="82"/>
      <c r="B389" s="82">
        <v>13</v>
      </c>
      <c r="C389" s="82" t="s">
        <v>1460</v>
      </c>
      <c r="D389" s="82"/>
      <c r="E389" s="82"/>
      <c r="F389" s="234"/>
      <c r="G389" s="234"/>
      <c r="H389" s="234"/>
      <c r="I389" s="234"/>
      <c r="J389" s="234"/>
      <c r="K389" s="234"/>
      <c r="L389" s="234"/>
      <c r="M389" s="234"/>
      <c r="N389" s="234"/>
    </row>
    <row r="390" spans="1:14" s="84" customFormat="1" x14ac:dyDescent="0.2">
      <c r="A390" s="82"/>
      <c r="B390" s="132"/>
      <c r="C390" s="82"/>
      <c r="D390" s="82"/>
      <c r="E390" s="82"/>
      <c r="F390" s="234"/>
      <c r="G390" s="234"/>
      <c r="H390" s="234"/>
      <c r="I390" s="234"/>
      <c r="J390" s="234"/>
      <c r="K390" s="234"/>
      <c r="L390" s="234"/>
      <c r="M390" s="234"/>
      <c r="N390" s="234"/>
    </row>
    <row r="391" spans="1:14" s="84" customFormat="1" x14ac:dyDescent="0.2">
      <c r="A391" s="82"/>
      <c r="B391" s="583"/>
      <c r="C391" s="17" t="s">
        <v>645</v>
      </c>
      <c r="D391" s="20"/>
      <c r="E391" s="82"/>
      <c r="F391" s="234"/>
      <c r="G391" s="234"/>
      <c r="H391" s="234"/>
      <c r="I391" s="234"/>
      <c r="J391" s="234"/>
      <c r="K391" s="234"/>
      <c r="L391" s="234"/>
      <c r="M391" s="234"/>
      <c r="N391" s="16" t="str">
        <f>Preferences.moneyunits&amp;"/yr, preceeding 5 years"</f>
        <v>N/yr, preceeding 5 years</v>
      </c>
    </row>
    <row r="392" spans="1:14" s="84" customFormat="1" x14ac:dyDescent="0.2">
      <c r="A392" s="82"/>
      <c r="B392" s="132"/>
      <c r="C392" s="583" t="s">
        <v>592</v>
      </c>
      <c r="D392" s="1398" t="s">
        <v>343</v>
      </c>
      <c r="E392" s="82"/>
      <c r="F392" s="234"/>
      <c r="G392" s="234"/>
      <c r="H392" s="234"/>
      <c r="I392" s="234"/>
      <c r="J392" s="234"/>
      <c r="K392" s="234"/>
      <c r="L392" s="234"/>
      <c r="M392" s="234"/>
      <c r="N392" s="234"/>
    </row>
    <row r="393" spans="1:14" s="84" customFormat="1" x14ac:dyDescent="0.2">
      <c r="A393" s="82"/>
      <c r="B393" s="132"/>
      <c r="C393" s="37" t="s">
        <v>626</v>
      </c>
      <c r="D393" s="71" t="s">
        <v>1448</v>
      </c>
      <c r="E393" s="82"/>
      <c r="F393" s="231">
        <f t="shared" ref="F393:N393" si="87">F332*F238/1000</f>
        <v>3694065207.272625</v>
      </c>
      <c r="G393" s="231">
        <f t="shared" si="87"/>
        <v>20107651046.491764</v>
      </c>
      <c r="H393" s="231">
        <f t="shared" si="87"/>
        <v>36521236885.710899</v>
      </c>
      <c r="I393" s="231">
        <f t="shared" si="87"/>
        <v>52934822724.930046</v>
      </c>
      <c r="J393" s="231">
        <f t="shared" si="87"/>
        <v>57790340470.124321</v>
      </c>
      <c r="K393" s="231">
        <f t="shared" si="87"/>
        <v>71468328669.473602</v>
      </c>
      <c r="L393" s="231">
        <f t="shared" si="87"/>
        <v>68117053495.058304</v>
      </c>
      <c r="M393" s="231">
        <f t="shared" si="87"/>
        <v>79059444054.53772</v>
      </c>
      <c r="N393" s="231">
        <f t="shared" si="87"/>
        <v>72582124688.723511</v>
      </c>
    </row>
    <row r="394" spans="1:14" s="84" customFormat="1" x14ac:dyDescent="0.2">
      <c r="A394" s="82"/>
      <c r="B394" s="132"/>
      <c r="C394" s="37" t="s">
        <v>626</v>
      </c>
      <c r="D394" s="34" t="s">
        <v>433</v>
      </c>
      <c r="E394" s="82"/>
      <c r="F394" s="231">
        <f t="shared" ref="F394:N394" si="88">F333*F239/1000</f>
        <v>0</v>
      </c>
      <c r="G394" s="231">
        <f t="shared" si="88"/>
        <v>17848817726.252716</v>
      </c>
      <c r="H394" s="231">
        <f t="shared" si="88"/>
        <v>35697635452.505432</v>
      </c>
      <c r="I394" s="231">
        <f t="shared" si="88"/>
        <v>53546453178.758148</v>
      </c>
      <c r="J394" s="231">
        <f t="shared" si="88"/>
        <v>59496059087.509041</v>
      </c>
      <c r="K394" s="231">
        <f t="shared" si="88"/>
        <v>74370073859.386307</v>
      </c>
      <c r="L394" s="231">
        <f t="shared" si="88"/>
        <v>71395270905.010849</v>
      </c>
      <c r="M394" s="231">
        <f t="shared" si="88"/>
        <v>83294482722.51265</v>
      </c>
      <c r="N394" s="231">
        <f t="shared" si="88"/>
        <v>76769108500.011673</v>
      </c>
    </row>
    <row r="395" spans="1:14" s="84" customFormat="1" x14ac:dyDescent="0.2">
      <c r="A395" s="82"/>
      <c r="B395" s="132"/>
      <c r="C395" s="37" t="s">
        <v>622</v>
      </c>
      <c r="D395" s="34" t="s">
        <v>1449</v>
      </c>
      <c r="E395" s="82"/>
      <c r="F395" s="231">
        <f t="shared" ref="F395:N395" si="89">F334*F240/1000</f>
        <v>184088843172.04288</v>
      </c>
      <c r="G395" s="231">
        <f t="shared" si="89"/>
        <v>198257039657.57541</v>
      </c>
      <c r="H395" s="231">
        <f t="shared" si="89"/>
        <v>212425236143.10794</v>
      </c>
      <c r="I395" s="231">
        <f t="shared" si="89"/>
        <v>226593432628.64044</v>
      </c>
      <c r="J395" s="231">
        <f t="shared" si="89"/>
        <v>240761629114.17291</v>
      </c>
      <c r="K395" s="231">
        <f t="shared" si="89"/>
        <v>254929825599.70541</v>
      </c>
      <c r="L395" s="231">
        <f t="shared" si="89"/>
        <v>269098022085.23798</v>
      </c>
      <c r="M395" s="231">
        <f t="shared" si="89"/>
        <v>283266218570.77039</v>
      </c>
      <c r="N395" s="231">
        <f t="shared" si="89"/>
        <v>297434415056.30286</v>
      </c>
    </row>
    <row r="396" spans="1:14" s="84" customFormat="1" x14ac:dyDescent="0.2">
      <c r="A396" s="82"/>
      <c r="B396" s="132"/>
      <c r="C396" s="37" t="s">
        <v>622</v>
      </c>
      <c r="D396" s="2254" t="s">
        <v>1450</v>
      </c>
      <c r="E396" s="82"/>
      <c r="F396" s="231">
        <f t="shared" ref="F396:N396" si="90">F336*F241/1000</f>
        <v>0</v>
      </c>
      <c r="G396" s="231">
        <f t="shared" si="90"/>
        <v>900535804.87136316</v>
      </c>
      <c r="H396" s="231">
        <f t="shared" si="90"/>
        <v>1801071609.7427263</v>
      </c>
      <c r="I396" s="231">
        <f t="shared" si="90"/>
        <v>2701607414.614089</v>
      </c>
      <c r="J396" s="231">
        <f t="shared" si="90"/>
        <v>3602143219.4854527</v>
      </c>
      <c r="K396" s="231">
        <f t="shared" si="90"/>
        <v>4502679024.3568153</v>
      </c>
      <c r="L396" s="231">
        <f t="shared" si="90"/>
        <v>5403214829.2281799</v>
      </c>
      <c r="M396" s="231">
        <f t="shared" si="90"/>
        <v>6303750634.0995417</v>
      </c>
      <c r="N396" s="231">
        <f t="shared" si="90"/>
        <v>7204286438.9709053</v>
      </c>
    </row>
    <row r="397" spans="1:14" s="84" customFormat="1" x14ac:dyDescent="0.2">
      <c r="A397" s="82"/>
      <c r="B397" s="132"/>
      <c r="C397" s="16"/>
      <c r="D397" s="610"/>
      <c r="E397" s="82"/>
      <c r="F397" s="231"/>
      <c r="G397" s="231"/>
      <c r="H397" s="231"/>
      <c r="I397" s="231"/>
      <c r="J397" s="231"/>
      <c r="K397" s="231"/>
      <c r="L397" s="231"/>
      <c r="M397" s="231"/>
      <c r="N397" s="231"/>
    </row>
    <row r="398" spans="1:14" s="84" customFormat="1" x14ac:dyDescent="0.2">
      <c r="A398" s="1427"/>
      <c r="B398" s="132">
        <v>14</v>
      </c>
      <c r="C398" s="1427" t="s">
        <v>1942</v>
      </c>
      <c r="D398" s="610"/>
      <c r="E398" s="1427"/>
      <c r="F398" s="231"/>
      <c r="G398" s="231"/>
      <c r="H398" s="231"/>
      <c r="I398" s="231"/>
      <c r="J398" s="231"/>
      <c r="K398" s="231"/>
      <c r="L398" s="231"/>
      <c r="M398" s="231"/>
      <c r="N398" s="231"/>
    </row>
    <row r="399" spans="1:14" s="84" customFormat="1" x14ac:dyDescent="0.2">
      <c r="A399" s="1427"/>
      <c r="B399" s="132"/>
      <c r="C399" s="1426"/>
      <c r="D399" s="610"/>
      <c r="E399" s="1427"/>
      <c r="F399" s="231"/>
      <c r="G399" s="231"/>
      <c r="H399" s="231"/>
      <c r="I399" s="231"/>
      <c r="J399" s="231"/>
      <c r="K399" s="231"/>
      <c r="L399" s="231"/>
      <c r="M399" s="231"/>
      <c r="N399" s="231"/>
    </row>
    <row r="400" spans="1:14" s="84" customFormat="1" x14ac:dyDescent="0.2">
      <c r="A400" s="1427"/>
      <c r="B400" s="132"/>
      <c r="C400" s="17" t="s">
        <v>645</v>
      </c>
      <c r="D400" s="20"/>
      <c r="E400" s="1427"/>
      <c r="F400" s="234"/>
      <c r="G400" s="234"/>
      <c r="H400" s="234"/>
      <c r="I400" s="234"/>
      <c r="J400" s="234"/>
      <c r="K400" s="234"/>
      <c r="L400" s="234"/>
      <c r="M400" s="234"/>
      <c r="N400" s="1426" t="str">
        <f>Preferences.moneyunits&amp;"/yr, preceeding 5 years"</f>
        <v>N/yr, preceeding 5 years</v>
      </c>
    </row>
    <row r="401" spans="1:14" s="84" customFormat="1" x14ac:dyDescent="0.2">
      <c r="A401" s="1427"/>
      <c r="B401" s="132"/>
      <c r="C401" s="583" t="s">
        <v>592</v>
      </c>
      <c r="D401" s="2061" t="s">
        <v>343</v>
      </c>
      <c r="E401" s="1427"/>
      <c r="F401" s="234"/>
      <c r="G401" s="234"/>
      <c r="H401" s="234"/>
      <c r="I401" s="234"/>
      <c r="J401" s="234"/>
      <c r="K401" s="234"/>
      <c r="L401" s="234"/>
      <c r="M401" s="234"/>
      <c r="N401" s="234"/>
    </row>
    <row r="402" spans="1:14" s="84" customFormat="1" x14ac:dyDescent="0.2">
      <c r="A402" s="1427"/>
      <c r="B402" s="132"/>
      <c r="C402" s="37" t="s">
        <v>626</v>
      </c>
      <c r="D402" s="71" t="s">
        <v>1448</v>
      </c>
      <c r="E402" s="1427"/>
      <c r="F402" s="231">
        <f t="shared" ref="F402:N402" si="91">F332*F245/1000</f>
        <v>3694065207.272625</v>
      </c>
      <c r="G402" s="231">
        <f t="shared" si="91"/>
        <v>20107651046.491764</v>
      </c>
      <c r="H402" s="231">
        <f t="shared" si="91"/>
        <v>36521236885.710899</v>
      </c>
      <c r="I402" s="231">
        <f t="shared" si="91"/>
        <v>52934822724.930046</v>
      </c>
      <c r="J402" s="231">
        <f t="shared" si="91"/>
        <v>57790340470.124321</v>
      </c>
      <c r="K402" s="231">
        <f t="shared" si="91"/>
        <v>71468328669.473602</v>
      </c>
      <c r="L402" s="231">
        <f t="shared" si="91"/>
        <v>68117053495.058304</v>
      </c>
      <c r="M402" s="231">
        <f t="shared" si="91"/>
        <v>79059444054.53772</v>
      </c>
      <c r="N402" s="231">
        <f t="shared" si="91"/>
        <v>72582124688.723511</v>
      </c>
    </row>
    <row r="403" spans="1:14" s="84" customFormat="1" x14ac:dyDescent="0.2">
      <c r="A403" s="1427"/>
      <c r="B403" s="132"/>
      <c r="C403" s="37" t="s">
        <v>626</v>
      </c>
      <c r="D403" s="34" t="s">
        <v>433</v>
      </c>
      <c r="E403" s="1427"/>
      <c r="F403" s="231">
        <f t="shared" ref="F403:N403" si="92">F333*F246/1000</f>
        <v>0</v>
      </c>
      <c r="G403" s="231">
        <f t="shared" si="92"/>
        <v>17848817726.252716</v>
      </c>
      <c r="H403" s="231">
        <f t="shared" si="92"/>
        <v>35697635452.505432</v>
      </c>
      <c r="I403" s="231">
        <f t="shared" si="92"/>
        <v>53546453178.758148</v>
      </c>
      <c r="J403" s="231">
        <f t="shared" si="92"/>
        <v>59496059087.509041</v>
      </c>
      <c r="K403" s="231">
        <f t="shared" si="92"/>
        <v>74370073859.386307</v>
      </c>
      <c r="L403" s="231">
        <f t="shared" si="92"/>
        <v>71395270905.010849</v>
      </c>
      <c r="M403" s="231">
        <f t="shared" si="92"/>
        <v>83294482722.51265</v>
      </c>
      <c r="N403" s="231">
        <f t="shared" si="92"/>
        <v>76769108500.011673</v>
      </c>
    </row>
    <row r="404" spans="1:14" s="84" customFormat="1" x14ac:dyDescent="0.2">
      <c r="A404" s="1427"/>
      <c r="B404" s="132"/>
      <c r="C404" s="37" t="s">
        <v>622</v>
      </c>
      <c r="D404" s="34" t="s">
        <v>1449</v>
      </c>
      <c r="E404" s="1427"/>
      <c r="F404" s="231">
        <f t="shared" ref="F404:N404" si="93">F334*F247/1000</f>
        <v>184088843172.04288</v>
      </c>
      <c r="G404" s="231">
        <f t="shared" si="93"/>
        <v>198257039657.57541</v>
      </c>
      <c r="H404" s="231">
        <f t="shared" si="93"/>
        <v>212425236143.10794</v>
      </c>
      <c r="I404" s="231">
        <f t="shared" si="93"/>
        <v>226593432628.64044</v>
      </c>
      <c r="J404" s="231">
        <f t="shared" si="93"/>
        <v>240761629114.17291</v>
      </c>
      <c r="K404" s="231">
        <f t="shared" si="93"/>
        <v>254929825599.70541</v>
      </c>
      <c r="L404" s="231">
        <f t="shared" si="93"/>
        <v>269098022085.23798</v>
      </c>
      <c r="M404" s="231">
        <f t="shared" si="93"/>
        <v>283266218570.77039</v>
      </c>
      <c r="N404" s="231">
        <f t="shared" si="93"/>
        <v>297434415056.30286</v>
      </c>
    </row>
    <row r="405" spans="1:14" s="84" customFormat="1" x14ac:dyDescent="0.2">
      <c r="A405" s="1427"/>
      <c r="B405" s="132"/>
      <c r="C405" s="37" t="s">
        <v>622</v>
      </c>
      <c r="D405" s="2254" t="s">
        <v>1450</v>
      </c>
      <c r="E405" s="1427"/>
      <c r="F405" s="231">
        <f t="shared" ref="F405:N405" si="94">F336*F248/1000</f>
        <v>0</v>
      </c>
      <c r="G405" s="231">
        <f t="shared" si="94"/>
        <v>900535804.87136316</v>
      </c>
      <c r="H405" s="231">
        <f t="shared" si="94"/>
        <v>1801071609.7427263</v>
      </c>
      <c r="I405" s="231">
        <f t="shared" si="94"/>
        <v>2701607414.614089</v>
      </c>
      <c r="J405" s="231">
        <f t="shared" si="94"/>
        <v>3602143219.4854527</v>
      </c>
      <c r="K405" s="231">
        <f t="shared" si="94"/>
        <v>4502679024.3568153</v>
      </c>
      <c r="L405" s="231">
        <f t="shared" si="94"/>
        <v>5403214829.2281799</v>
      </c>
      <c r="M405" s="231">
        <f t="shared" si="94"/>
        <v>6303750634.0995417</v>
      </c>
      <c r="N405" s="231">
        <f t="shared" si="94"/>
        <v>7204286438.9709053</v>
      </c>
    </row>
    <row r="406" spans="1:14" s="84" customFormat="1" x14ac:dyDescent="0.2">
      <c r="A406" s="1427"/>
      <c r="B406" s="132"/>
      <c r="C406" s="1426"/>
      <c r="D406" s="610"/>
      <c r="E406" s="1427"/>
      <c r="F406" s="231"/>
      <c r="G406" s="231"/>
      <c r="H406" s="231"/>
      <c r="I406" s="231"/>
      <c r="J406" s="231"/>
      <c r="K406" s="231"/>
      <c r="L406" s="231"/>
      <c r="M406" s="231"/>
      <c r="N406" s="231"/>
    </row>
    <row r="407" spans="1:14" s="84" customFormat="1" x14ac:dyDescent="0.2">
      <c r="A407" s="82"/>
      <c r="B407" s="82">
        <v>15</v>
      </c>
      <c r="C407" s="82" t="s">
        <v>1461</v>
      </c>
      <c r="D407" s="82"/>
      <c r="E407" s="82"/>
      <c r="F407" s="234"/>
      <c r="G407" s="234"/>
      <c r="H407" s="234"/>
      <c r="I407" s="234"/>
      <c r="J407" s="234"/>
      <c r="K407" s="234"/>
      <c r="L407" s="234"/>
      <c r="M407" s="234"/>
      <c r="N407" s="234"/>
    </row>
    <row r="408" spans="1:14" s="84" customFormat="1" x14ac:dyDescent="0.2">
      <c r="A408" s="82"/>
      <c r="B408" s="132"/>
      <c r="C408" s="82"/>
      <c r="D408" s="82"/>
      <c r="E408" s="82"/>
      <c r="F408" s="234"/>
      <c r="G408" s="234"/>
      <c r="H408" s="234"/>
      <c r="I408" s="234"/>
      <c r="J408" s="234"/>
      <c r="K408" s="234"/>
      <c r="L408" s="234"/>
      <c r="M408" s="234"/>
      <c r="N408" s="234"/>
    </row>
    <row r="409" spans="1:14" s="84" customFormat="1" x14ac:dyDescent="0.2">
      <c r="A409" s="82"/>
      <c r="B409" s="583"/>
      <c r="C409" s="17" t="s">
        <v>645</v>
      </c>
      <c r="D409" s="20"/>
      <c r="E409" s="82"/>
      <c r="F409" s="234"/>
      <c r="G409" s="234"/>
      <c r="H409" s="234"/>
      <c r="I409" s="234"/>
      <c r="J409" s="234"/>
      <c r="K409" s="234"/>
      <c r="L409" s="234"/>
      <c r="M409" s="234"/>
      <c r="N409" s="16" t="str">
        <f>Preferences.moneyunits&amp;"/yr, preceeding 5 years"</f>
        <v>N/yr, preceeding 5 years</v>
      </c>
    </row>
    <row r="410" spans="1:14" s="84" customFormat="1" x14ac:dyDescent="0.2">
      <c r="A410" s="82"/>
      <c r="B410" s="132"/>
      <c r="C410" s="583" t="s">
        <v>592</v>
      </c>
      <c r="D410" s="1398" t="s">
        <v>343</v>
      </c>
      <c r="E410" s="82"/>
      <c r="F410" s="234"/>
      <c r="G410" s="234"/>
      <c r="H410" s="234"/>
      <c r="I410" s="234"/>
      <c r="J410" s="234"/>
      <c r="K410" s="234"/>
      <c r="L410" s="234"/>
      <c r="M410" s="234"/>
      <c r="N410" s="234"/>
    </row>
    <row r="411" spans="1:14" s="84" customFormat="1" x14ac:dyDescent="0.2">
      <c r="A411" s="82"/>
      <c r="B411" s="132"/>
      <c r="C411" s="37" t="s">
        <v>626</v>
      </c>
      <c r="D411" s="71" t="s">
        <v>1448</v>
      </c>
      <c r="E411" s="82"/>
      <c r="F411" s="231">
        <f>F332*F252/1000</f>
        <v>3694065207.272625</v>
      </c>
      <c r="G411" s="231">
        <f t="shared" ref="G411:N413" si="95">G332*F252/1000</f>
        <v>20107651046.491764</v>
      </c>
      <c r="H411" s="231">
        <f t="shared" si="95"/>
        <v>36521236885.710899</v>
      </c>
      <c r="I411" s="231">
        <f t="shared" si="95"/>
        <v>52934822724.930046</v>
      </c>
      <c r="J411" s="231">
        <f t="shared" si="95"/>
        <v>57790340470.124321</v>
      </c>
      <c r="K411" s="231">
        <f t="shared" si="95"/>
        <v>71468328669.473602</v>
      </c>
      <c r="L411" s="231">
        <f t="shared" si="95"/>
        <v>68117053495.058304</v>
      </c>
      <c r="M411" s="231">
        <f t="shared" si="95"/>
        <v>79059444054.53772</v>
      </c>
      <c r="N411" s="231">
        <f t="shared" si="95"/>
        <v>72582124688.723511</v>
      </c>
    </row>
    <row r="412" spans="1:14" s="84" customFormat="1" x14ac:dyDescent="0.2">
      <c r="A412" s="1532"/>
      <c r="B412" s="1534"/>
      <c r="C412" s="37" t="s">
        <v>626</v>
      </c>
      <c r="D412" s="34" t="s">
        <v>433</v>
      </c>
      <c r="E412" s="82"/>
      <c r="F412" s="231">
        <f t="shared" ref="F412:F414" si="96">F333*F253/1000</f>
        <v>0</v>
      </c>
      <c r="G412" s="231">
        <f t="shared" si="95"/>
        <v>17848817726.252716</v>
      </c>
      <c r="H412" s="231">
        <f t="shared" si="95"/>
        <v>35697635452.505432</v>
      </c>
      <c r="I412" s="231">
        <f t="shared" si="95"/>
        <v>53546453178.758148</v>
      </c>
      <c r="J412" s="231">
        <f t="shared" si="95"/>
        <v>59496059087.509041</v>
      </c>
      <c r="K412" s="231">
        <f t="shared" si="95"/>
        <v>74370073859.386307</v>
      </c>
      <c r="L412" s="231">
        <f t="shared" si="95"/>
        <v>71395270905.010849</v>
      </c>
      <c r="M412" s="231">
        <f t="shared" si="95"/>
        <v>83294482722.51265</v>
      </c>
      <c r="N412" s="231">
        <f t="shared" si="95"/>
        <v>76769108500.011673</v>
      </c>
    </row>
    <row r="413" spans="1:14" s="84" customFormat="1" x14ac:dyDescent="0.2">
      <c r="A413" s="1851"/>
      <c r="B413" s="1534"/>
      <c r="C413" s="37" t="s">
        <v>622</v>
      </c>
      <c r="D413" s="34" t="s">
        <v>1449</v>
      </c>
      <c r="E413" s="82"/>
      <c r="F413" s="231">
        <f t="shared" si="96"/>
        <v>184088843172.04288</v>
      </c>
      <c r="G413" s="231">
        <f t="shared" si="95"/>
        <v>198257039657.57541</v>
      </c>
      <c r="H413" s="231">
        <f t="shared" si="95"/>
        <v>212425236143.10794</v>
      </c>
      <c r="I413" s="231">
        <f t="shared" si="95"/>
        <v>226593432628.64044</v>
      </c>
      <c r="J413" s="231">
        <f t="shared" si="95"/>
        <v>240761629114.17291</v>
      </c>
      <c r="K413" s="231">
        <f t="shared" si="95"/>
        <v>254929825599.70541</v>
      </c>
      <c r="L413" s="231">
        <f t="shared" si="95"/>
        <v>269098022085.23798</v>
      </c>
      <c r="M413" s="231">
        <f t="shared" si="95"/>
        <v>283266218570.77039</v>
      </c>
      <c r="N413" s="231">
        <f t="shared" si="95"/>
        <v>297434415056.30286</v>
      </c>
    </row>
    <row r="414" spans="1:14" s="84" customFormat="1" x14ac:dyDescent="0.2">
      <c r="A414" s="1851"/>
      <c r="B414" s="1534"/>
      <c r="C414" s="37" t="s">
        <v>622</v>
      </c>
      <c r="D414" s="2254" t="s">
        <v>1450</v>
      </c>
      <c r="E414" s="82"/>
      <c r="F414" s="231">
        <f t="shared" si="96"/>
        <v>0</v>
      </c>
      <c r="G414" s="231">
        <f t="shared" ref="G414:N414" si="97">G336*F255/1000</f>
        <v>900535804.87136316</v>
      </c>
      <c r="H414" s="231">
        <f t="shared" si="97"/>
        <v>1801071609.7427263</v>
      </c>
      <c r="I414" s="231">
        <f t="shared" si="97"/>
        <v>2701607414.614089</v>
      </c>
      <c r="J414" s="231">
        <f t="shared" si="97"/>
        <v>3602143219.4854527</v>
      </c>
      <c r="K414" s="231">
        <f t="shared" si="97"/>
        <v>4502679024.3568153</v>
      </c>
      <c r="L414" s="231">
        <f t="shared" si="97"/>
        <v>5403214829.2281799</v>
      </c>
      <c r="M414" s="231">
        <f t="shared" si="97"/>
        <v>6303750634.0995417</v>
      </c>
      <c r="N414" s="231">
        <f t="shared" si="97"/>
        <v>7204286438.9709053</v>
      </c>
    </row>
    <row r="415" spans="1:14" s="84" customFormat="1" x14ac:dyDescent="0.2">
      <c r="A415" s="34"/>
      <c r="B415" s="1532"/>
      <c r="C415" s="1398"/>
      <c r="F415" s="136"/>
      <c r="G415" s="136"/>
      <c r="H415" s="136"/>
      <c r="I415" s="136"/>
      <c r="J415" s="136"/>
      <c r="K415" s="136"/>
      <c r="L415" s="136"/>
      <c r="M415" s="136"/>
      <c r="N415" s="136"/>
    </row>
    <row r="416" spans="1:14" s="84" customFormat="1" x14ac:dyDescent="0.2">
      <c r="A416" s="37"/>
      <c r="B416" s="1502" t="s">
        <v>1422</v>
      </c>
      <c r="C416" s="1502"/>
      <c r="D416" s="1502"/>
      <c r="E416" s="1502"/>
      <c r="F416" s="2158"/>
      <c r="G416" s="2158"/>
      <c r="H416" s="2158"/>
      <c r="I416" s="2158"/>
      <c r="J416" s="2158"/>
      <c r="K416" s="2158"/>
      <c r="L416" s="1262"/>
      <c r="M416" s="1262"/>
      <c r="N416" s="1262"/>
    </row>
    <row r="417" spans="1:15" s="84" customFormat="1" x14ac:dyDescent="0.2">
      <c r="A417" s="34"/>
      <c r="B417" s="1502"/>
      <c r="C417" s="1502" t="s">
        <v>1418</v>
      </c>
      <c r="D417" s="1502"/>
      <c r="E417" s="1426" t="str">
        <f>Preferences.moneyunits&amp;"/yr, preceeding 5 years"</f>
        <v>N/yr, preceeding 5 years</v>
      </c>
      <c r="F417" s="2158">
        <f t="shared" ref="F417:N417" si="98">SUM(F365:F368)</f>
        <v>0</v>
      </c>
      <c r="G417" s="2158">
        <f t="shared" si="98"/>
        <v>786615496404.28113</v>
      </c>
      <c r="H417" s="2158">
        <f t="shared" si="98"/>
        <v>908267204965.96155</v>
      </c>
      <c r="I417" s="2158">
        <f t="shared" si="98"/>
        <v>1029918913527.6426</v>
      </c>
      <c r="J417" s="2158">
        <f t="shared" si="98"/>
        <v>722269623623.87488</v>
      </c>
      <c r="K417" s="2158">
        <f t="shared" si="98"/>
        <v>1096853562385.1501</v>
      </c>
      <c r="L417" s="1262">
        <f t="shared" si="98"/>
        <v>562097301795.6676</v>
      </c>
      <c r="M417" s="1262">
        <f t="shared" si="98"/>
        <v>1093909143339.3608</v>
      </c>
      <c r="N417" s="1262">
        <f t="shared" si="98"/>
        <v>523659713393.08704</v>
      </c>
    </row>
    <row r="418" spans="1:15" s="84" customFormat="1" x14ac:dyDescent="0.2">
      <c r="A418" s="26"/>
      <c r="B418" s="1502"/>
      <c r="C418" s="1502" t="s">
        <v>1419</v>
      </c>
      <c r="D418" s="1502"/>
      <c r="E418" s="1426" t="str">
        <f>Preferences.moneyunits&amp;"/yr, preceeding 5 years"</f>
        <v>N/yr, preceeding 5 years</v>
      </c>
      <c r="F418" s="2158">
        <f t="shared" ref="F418:N418" si="99">SUM(F393:F396)</f>
        <v>187782908379.31549</v>
      </c>
      <c r="G418" s="2158">
        <f t="shared" si="99"/>
        <v>237114044235.19125</v>
      </c>
      <c r="H418" s="2158">
        <f t="shared" si="99"/>
        <v>286445180091.06702</v>
      </c>
      <c r="I418" s="2158">
        <f t="shared" si="99"/>
        <v>335776315946.94269</v>
      </c>
      <c r="J418" s="2158">
        <f>SUM(J393:J396)</f>
        <v>361650171891.29175</v>
      </c>
      <c r="K418" s="2158">
        <f t="shared" si="99"/>
        <v>405270907152.92212</v>
      </c>
      <c r="L418" s="1262">
        <f t="shared" si="99"/>
        <v>414013561314.53528</v>
      </c>
      <c r="M418" s="1262">
        <f t="shared" si="99"/>
        <v>451923895981.92029</v>
      </c>
      <c r="N418" s="1262">
        <f t="shared" si="99"/>
        <v>453989934684.00891</v>
      </c>
    </row>
    <row r="419" spans="1:15" s="84" customFormat="1" x14ac:dyDescent="0.2">
      <c r="B419" s="1502"/>
      <c r="C419" s="1502" t="s">
        <v>1421</v>
      </c>
      <c r="D419" s="1502"/>
      <c r="E419" s="1426" t="str">
        <f>Preferences.moneyunits&amp;"/yr, preceeding 5 years"</f>
        <v>N/yr, preceeding 5 years</v>
      </c>
      <c r="F419" s="2158">
        <f>SUM(F417:F418)</f>
        <v>187782908379.31549</v>
      </c>
      <c r="G419" s="2158">
        <f t="shared" ref="G419:N419" si="100">SUM(G417:G418)</f>
        <v>1023729540639.4724</v>
      </c>
      <c r="H419" s="2158">
        <f t="shared" si="100"/>
        <v>1194712385057.0286</v>
      </c>
      <c r="I419" s="2158">
        <f t="shared" si="100"/>
        <v>1365695229474.5852</v>
      </c>
      <c r="J419" s="2158">
        <f t="shared" si="100"/>
        <v>1083919795515.1666</v>
      </c>
      <c r="K419" s="2158">
        <f t="shared" si="100"/>
        <v>1502124469538.0723</v>
      </c>
      <c r="L419" s="1262">
        <f t="shared" si="100"/>
        <v>976110863110.20288</v>
      </c>
      <c r="M419" s="1262">
        <f t="shared" si="100"/>
        <v>1545833039321.2812</v>
      </c>
      <c r="N419" s="1262">
        <f t="shared" si="100"/>
        <v>977649648077.09595</v>
      </c>
    </row>
    <row r="420" spans="1:15" s="84" customFormat="1" x14ac:dyDescent="0.2">
      <c r="F420" s="2159"/>
      <c r="G420" s="2159"/>
      <c r="H420" s="2159"/>
      <c r="I420" s="2159"/>
      <c r="J420" s="2159"/>
      <c r="K420" s="2159"/>
    </row>
    <row r="421" spans="1:15" s="84" customFormat="1" x14ac:dyDescent="0.2">
      <c r="B421" s="2061" t="s">
        <v>1874</v>
      </c>
      <c r="C421" s="2061"/>
      <c r="D421" s="2061"/>
      <c r="E421" s="2061"/>
      <c r="F421" s="2158"/>
      <c r="G421" s="2158"/>
      <c r="H421" s="2158"/>
      <c r="I421" s="2158"/>
      <c r="J421" s="2158"/>
      <c r="K421" s="2158"/>
      <c r="L421" s="1262"/>
      <c r="M421" s="1262"/>
      <c r="N421" s="1262"/>
    </row>
    <row r="422" spans="1:15" s="84" customFormat="1" x14ac:dyDescent="0.2">
      <c r="B422" s="2061"/>
      <c r="C422" s="2061" t="s">
        <v>1418</v>
      </c>
      <c r="D422" s="2061"/>
      <c r="E422" s="1426" t="str">
        <f>Preferences.moneyunits&amp;"/yr, preceeding 5 years"</f>
        <v>N/yr, preceeding 5 years</v>
      </c>
      <c r="F422" s="2158">
        <f>SUM(F375:F378)</f>
        <v>0</v>
      </c>
      <c r="G422" s="2158">
        <f t="shared" ref="G422:N422" si="101">SUM(G375:G378)</f>
        <v>786615496404.28113</v>
      </c>
      <c r="H422" s="2158">
        <f t="shared" si="101"/>
        <v>908267204965.96155</v>
      </c>
      <c r="I422" s="2158">
        <f t="shared" si="101"/>
        <v>1029918913527.6426</v>
      </c>
      <c r="J422" s="2158">
        <f t="shared" si="101"/>
        <v>722269623623.87488</v>
      </c>
      <c r="K422" s="2158">
        <f t="shared" si="101"/>
        <v>1096853562385.1501</v>
      </c>
      <c r="L422" s="1262">
        <f t="shared" si="101"/>
        <v>562097301795.6676</v>
      </c>
      <c r="M422" s="1262">
        <f t="shared" si="101"/>
        <v>1093909143339.3608</v>
      </c>
      <c r="N422" s="1262">
        <f t="shared" si="101"/>
        <v>523659713393.08704</v>
      </c>
    </row>
    <row r="423" spans="1:15" s="84" customFormat="1" x14ac:dyDescent="0.2">
      <c r="B423" s="2061"/>
      <c r="C423" s="2061" t="s">
        <v>1419</v>
      </c>
      <c r="D423" s="2061"/>
      <c r="E423" s="1426" t="str">
        <f>Preferences.moneyunits&amp;"/yr, preceeding 5 years"</f>
        <v>N/yr, preceeding 5 years</v>
      </c>
      <c r="F423" s="2158">
        <f t="shared" ref="F423:N423" si="102">SUM(F402:F405)</f>
        <v>187782908379.31549</v>
      </c>
      <c r="G423" s="2158">
        <f t="shared" si="102"/>
        <v>237114044235.19125</v>
      </c>
      <c r="H423" s="2158">
        <f t="shared" si="102"/>
        <v>286445180091.06702</v>
      </c>
      <c r="I423" s="2158">
        <f t="shared" si="102"/>
        <v>335776315946.94269</v>
      </c>
      <c r="J423" s="2158">
        <f t="shared" si="102"/>
        <v>361650171891.29175</v>
      </c>
      <c r="K423" s="2158">
        <f t="shared" si="102"/>
        <v>405270907152.92212</v>
      </c>
      <c r="L423" s="1262">
        <f t="shared" si="102"/>
        <v>414013561314.53528</v>
      </c>
      <c r="M423" s="1262">
        <f t="shared" si="102"/>
        <v>451923895981.92029</v>
      </c>
      <c r="N423" s="1262">
        <f t="shared" si="102"/>
        <v>453989934684.00891</v>
      </c>
    </row>
    <row r="424" spans="1:15" s="84" customFormat="1" x14ac:dyDescent="0.2">
      <c r="B424" s="2061"/>
      <c r="C424" s="2061" t="s">
        <v>1421</v>
      </c>
      <c r="D424" s="2061"/>
      <c r="E424" s="1426" t="str">
        <f>Preferences.moneyunits&amp;"/yr, preceeding 5 years"</f>
        <v>N/yr, preceeding 5 years</v>
      </c>
      <c r="F424" s="2158">
        <f t="shared" ref="F424:N424" si="103">SUM(F422:F423)</f>
        <v>187782908379.31549</v>
      </c>
      <c r="G424" s="2158">
        <f t="shared" si="103"/>
        <v>1023729540639.4724</v>
      </c>
      <c r="H424" s="2158">
        <f t="shared" si="103"/>
        <v>1194712385057.0286</v>
      </c>
      <c r="I424" s="2158">
        <f t="shared" si="103"/>
        <v>1365695229474.5852</v>
      </c>
      <c r="J424" s="2158">
        <f t="shared" si="103"/>
        <v>1083919795515.1666</v>
      </c>
      <c r="K424" s="2158">
        <f t="shared" si="103"/>
        <v>1502124469538.0723</v>
      </c>
      <c r="L424" s="1262">
        <f t="shared" si="103"/>
        <v>976110863110.20288</v>
      </c>
      <c r="M424" s="1262">
        <f t="shared" si="103"/>
        <v>1545833039321.2812</v>
      </c>
      <c r="N424" s="1262">
        <f t="shared" si="103"/>
        <v>977649648077.09595</v>
      </c>
    </row>
    <row r="425" spans="1:15" s="84" customFormat="1" x14ac:dyDescent="0.2">
      <c r="B425" s="1502"/>
      <c r="C425" s="1502"/>
      <c r="D425" s="1502"/>
      <c r="E425" s="1426"/>
      <c r="F425" s="2158"/>
      <c r="G425" s="2158"/>
      <c r="H425" s="2158"/>
      <c r="I425" s="2158"/>
      <c r="J425" s="2158"/>
      <c r="K425" s="2158"/>
      <c r="L425" s="1262"/>
      <c r="M425" s="1262"/>
      <c r="N425" s="1262"/>
    </row>
    <row r="426" spans="1:15" s="84" customFormat="1" x14ac:dyDescent="0.2">
      <c r="B426" s="588" t="s">
        <v>1420</v>
      </c>
      <c r="C426" s="1502"/>
      <c r="D426" s="1502"/>
      <c r="E426" s="1502"/>
      <c r="F426" s="2158"/>
      <c r="G426" s="2158"/>
      <c r="H426" s="2158"/>
      <c r="I426" s="2158"/>
      <c r="J426" s="2158"/>
      <c r="K426" s="2158"/>
      <c r="L426" s="1262"/>
      <c r="M426" s="1262"/>
      <c r="N426" s="1262"/>
    </row>
    <row r="427" spans="1:15" s="84" customFormat="1" x14ac:dyDescent="0.2">
      <c r="B427" s="1502"/>
      <c r="C427" s="1502" t="s">
        <v>1418</v>
      </c>
      <c r="D427" s="1502"/>
      <c r="E427" s="1426" t="str">
        <f>Preferences.moneyunits&amp;"/yr, preceeding 5 years"</f>
        <v>N/yr, preceeding 5 years</v>
      </c>
      <c r="F427" s="2158">
        <f t="shared" ref="F427:N427" si="104">SUM(F384:F387)</f>
        <v>0</v>
      </c>
      <c r="G427" s="2158">
        <f t="shared" si="104"/>
        <v>786615496404.28113</v>
      </c>
      <c r="H427" s="2158">
        <f t="shared" si="104"/>
        <v>908267204965.96155</v>
      </c>
      <c r="I427" s="2158">
        <f t="shared" si="104"/>
        <v>1029918913527.6426</v>
      </c>
      <c r="J427" s="2158">
        <f t="shared" si="104"/>
        <v>722269623623.87488</v>
      </c>
      <c r="K427" s="2158">
        <f t="shared" si="104"/>
        <v>1096853562385.1501</v>
      </c>
      <c r="L427" s="1262">
        <f t="shared" si="104"/>
        <v>562097301795.6676</v>
      </c>
      <c r="M427" s="1262">
        <f t="shared" si="104"/>
        <v>1093909143339.3608</v>
      </c>
      <c r="N427" s="1262">
        <f t="shared" si="104"/>
        <v>523659713393.08704</v>
      </c>
    </row>
    <row r="428" spans="1:15" s="84" customFormat="1" x14ac:dyDescent="0.2">
      <c r="B428" s="1502"/>
      <c r="C428" s="1502" t="s">
        <v>1419</v>
      </c>
      <c r="D428" s="1502"/>
      <c r="E428" s="1426" t="str">
        <f>Preferences.moneyunits&amp;"/yr, preceeding 5 years"</f>
        <v>N/yr, preceeding 5 years</v>
      </c>
      <c r="F428" s="2158">
        <f t="shared" ref="F428" si="105">SUM(F411:F414)</f>
        <v>187782908379.31549</v>
      </c>
      <c r="G428" s="2158">
        <f t="shared" ref="G428:N428" si="106">SUM(G411:G414)</f>
        <v>237114044235.19125</v>
      </c>
      <c r="H428" s="2158">
        <f t="shared" si="106"/>
        <v>286445180091.06702</v>
      </c>
      <c r="I428" s="2158">
        <f t="shared" si="106"/>
        <v>335776315946.94269</v>
      </c>
      <c r="J428" s="2158">
        <f t="shared" si="106"/>
        <v>361650171891.29175</v>
      </c>
      <c r="K428" s="2158">
        <f t="shared" si="106"/>
        <v>405270907152.92212</v>
      </c>
      <c r="L428" s="1262">
        <f t="shared" si="106"/>
        <v>414013561314.53528</v>
      </c>
      <c r="M428" s="1262">
        <f t="shared" si="106"/>
        <v>451923895981.92029</v>
      </c>
      <c r="N428" s="1262">
        <f t="shared" si="106"/>
        <v>453989934684.00891</v>
      </c>
    </row>
    <row r="429" spans="1:15" s="84" customFormat="1" x14ac:dyDescent="0.2">
      <c r="B429" s="1502"/>
      <c r="C429" s="1502" t="s">
        <v>1421</v>
      </c>
      <c r="D429" s="1502"/>
      <c r="E429" s="1426" t="str">
        <f>Preferences.moneyunits&amp;"/yr, preceeding 5 years"</f>
        <v>N/yr, preceeding 5 years</v>
      </c>
      <c r="F429" s="2158">
        <f>SUM(F427:F428)</f>
        <v>187782908379.31549</v>
      </c>
      <c r="G429" s="2158">
        <f t="shared" ref="G429:N429" si="107">SUM(G427:G428)</f>
        <v>1023729540639.4724</v>
      </c>
      <c r="H429" s="2158">
        <f t="shared" si="107"/>
        <v>1194712385057.0286</v>
      </c>
      <c r="I429" s="2158">
        <f t="shared" si="107"/>
        <v>1365695229474.5852</v>
      </c>
      <c r="J429" s="2158">
        <f t="shared" si="107"/>
        <v>1083919795515.1666</v>
      </c>
      <c r="K429" s="2158">
        <f t="shared" si="107"/>
        <v>1502124469538.0723</v>
      </c>
      <c r="L429" s="1262">
        <f t="shared" si="107"/>
        <v>976110863110.20288</v>
      </c>
      <c r="M429" s="1262">
        <f t="shared" si="107"/>
        <v>1545833039321.2812</v>
      </c>
      <c r="N429" s="1262">
        <f t="shared" si="107"/>
        <v>977649648077.09595</v>
      </c>
    </row>
    <row r="430" spans="1:15" s="84" customFormat="1" x14ac:dyDescent="0.2">
      <c r="B430" s="82"/>
      <c r="C430" s="1398"/>
      <c r="F430" s="136"/>
      <c r="G430" s="136"/>
      <c r="H430" s="136"/>
      <c r="I430" s="136"/>
      <c r="J430" s="136"/>
      <c r="K430" s="136"/>
      <c r="L430" s="136"/>
      <c r="M430" s="136"/>
      <c r="N430" s="136"/>
    </row>
    <row r="431" spans="1:15" ht="22.5" collapsed="1" x14ac:dyDescent="0.3">
      <c r="A431" s="409"/>
      <c r="B431" s="468" t="s">
        <v>236</v>
      </c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3"/>
    </row>
    <row r="432" spans="1:15" x14ac:dyDescent="0.2">
      <c r="B432" s="410"/>
      <c r="C432" s="412"/>
      <c r="D432" s="412"/>
      <c r="E432" s="412"/>
      <c r="F432" s="412"/>
      <c r="G432" s="412"/>
      <c r="H432" s="412"/>
      <c r="I432" s="412"/>
      <c r="J432" s="412"/>
      <c r="K432" s="412"/>
      <c r="L432" s="412"/>
      <c r="M432" s="412"/>
      <c r="N432" s="412"/>
      <c r="O432" s="414"/>
    </row>
    <row r="433" spans="1:15" x14ac:dyDescent="0.2">
      <c r="B433" s="410"/>
      <c r="C433" s="424" t="s">
        <v>1242</v>
      </c>
      <c r="D433" s="412"/>
      <c r="E433" s="413"/>
      <c r="F433" s="412"/>
      <c r="G433" s="413"/>
      <c r="H433" s="412"/>
      <c r="I433" s="412"/>
      <c r="J433" s="412"/>
      <c r="K433" s="412"/>
      <c r="L433" s="412"/>
      <c r="M433" s="412"/>
      <c r="N433" s="413" t="str">
        <f>Preferences.EnergyUnits</f>
        <v>TWh</v>
      </c>
      <c r="O433" s="414"/>
    </row>
    <row r="434" spans="1:15" ht="6" customHeight="1" x14ac:dyDescent="0.2">
      <c r="B434" s="410"/>
      <c r="C434" s="412"/>
      <c r="D434" s="412"/>
      <c r="E434" s="412"/>
      <c r="F434" s="412"/>
      <c r="G434" s="412"/>
      <c r="H434" s="412"/>
      <c r="I434" s="412"/>
      <c r="J434" s="412"/>
      <c r="K434" s="412"/>
      <c r="L434" s="412"/>
      <c r="M434" s="412"/>
      <c r="N434" s="412"/>
      <c r="O434" s="414"/>
    </row>
    <row r="435" spans="1:15" ht="15.75" x14ac:dyDescent="0.25">
      <c r="A435" s="3"/>
      <c r="B435" s="415"/>
      <c r="C435" s="426" t="s">
        <v>64</v>
      </c>
      <c r="D435" s="426" t="s">
        <v>150</v>
      </c>
      <c r="E435" s="426" t="s">
        <v>172</v>
      </c>
      <c r="F435" s="426" t="s">
        <v>241</v>
      </c>
      <c r="G435" s="427" t="s">
        <v>268</v>
      </c>
      <c r="H435" s="427" t="s">
        <v>269</v>
      </c>
      <c r="I435" s="427" t="s">
        <v>270</v>
      </c>
      <c r="J435" s="427" t="s">
        <v>271</v>
      </c>
      <c r="K435" s="427" t="s">
        <v>272</v>
      </c>
      <c r="L435" s="427" t="s">
        <v>273</v>
      </c>
      <c r="M435" s="427" t="s">
        <v>274</v>
      </c>
      <c r="N435" s="427" t="s">
        <v>275</v>
      </c>
    </row>
    <row r="436" spans="1:15" ht="15.75" x14ac:dyDescent="0.25">
      <c r="A436" s="3"/>
      <c r="B436" s="415"/>
      <c r="C436" s="97" t="s">
        <v>28</v>
      </c>
      <c r="D436" s="97" t="str">
        <f>INDEX(Vectors[Description], MATCH(XII.b.Outputs[Vector], Vectors[Code], 0))</f>
        <v>Road transport</v>
      </c>
      <c r="E436" s="97"/>
      <c r="F436" s="241">
        <f t="shared" ref="F436:N436" si="108">F$281+F$287+F$293</f>
        <v>18.908518399688848</v>
      </c>
      <c r="G436" s="241">
        <f t="shared" si="108"/>
        <v>18.179353144592984</v>
      </c>
      <c r="H436" s="241">
        <f t="shared" si="108"/>
        <v>16.934484295505136</v>
      </c>
      <c r="I436" s="241">
        <f t="shared" si="108"/>
        <v>15.1739118524253</v>
      </c>
      <c r="J436" s="241">
        <f t="shared" si="108"/>
        <v>12.897635815353482</v>
      </c>
      <c r="K436" s="241">
        <f t="shared" si="108"/>
        <v>13.378991015597133</v>
      </c>
      <c r="L436" s="241">
        <f t="shared" si="108"/>
        <v>13.79464584335866</v>
      </c>
      <c r="M436" s="241">
        <f t="shared" si="108"/>
        <v>14.14600517740328</v>
      </c>
      <c r="N436" s="241">
        <f t="shared" si="108"/>
        <v>14.431833907370114</v>
      </c>
    </row>
    <row r="437" spans="1:15" ht="15.75" x14ac:dyDescent="0.25">
      <c r="A437" s="3"/>
      <c r="B437" s="415"/>
      <c r="C437" s="97" t="s">
        <v>29</v>
      </c>
      <c r="D437" s="97" t="str">
        <f>INDEX(Vectors[Description], MATCH(XII.b.Outputs[Vector], Vectors[Code], 0))</f>
        <v>Rail transport</v>
      </c>
      <c r="E437" s="97"/>
      <c r="F437" s="241">
        <f t="shared" ref="F437:N437" si="109">F$276+F$274</f>
        <v>0.27588461611834919</v>
      </c>
      <c r="G437" s="241">
        <f t="shared" si="109"/>
        <v>1.9107377147231626</v>
      </c>
      <c r="H437" s="241">
        <f t="shared" si="109"/>
        <v>3.5455908133279781</v>
      </c>
      <c r="I437" s="241">
        <f t="shared" si="109"/>
        <v>5.1804439119327874</v>
      </c>
      <c r="J437" s="241">
        <f t="shared" si="109"/>
        <v>6.8152970105376056</v>
      </c>
      <c r="K437" s="241">
        <f t="shared" si="109"/>
        <v>8.4501501091424149</v>
      </c>
      <c r="L437" s="241">
        <f t="shared" si="109"/>
        <v>10.085003207747235</v>
      </c>
      <c r="M437" s="241">
        <f t="shared" si="109"/>
        <v>11.719856306352044</v>
      </c>
      <c r="N437" s="241">
        <f t="shared" si="109"/>
        <v>13.354709404956854</v>
      </c>
    </row>
    <row r="438" spans="1:15" ht="15.75" x14ac:dyDescent="0.25">
      <c r="A438" s="3"/>
      <c r="B438" s="415"/>
      <c r="C438" s="97" t="s">
        <v>31</v>
      </c>
      <c r="D438" s="97" t="str">
        <f>INDEX(Vectors[Description], MATCH(XII.b.Outputs[Vector], Vectors[Code], 0))</f>
        <v>Berge</v>
      </c>
      <c r="E438" s="97"/>
      <c r="F438" s="241">
        <f t="shared" ref="F438:N438" si="110">F$299</f>
        <v>0</v>
      </c>
      <c r="G438" s="241">
        <f t="shared" si="110"/>
        <v>1.2059144801278183E-13</v>
      </c>
      <c r="H438" s="241">
        <f t="shared" si="110"/>
        <v>2.4118289602556366E-13</v>
      </c>
      <c r="I438" s="241">
        <f t="shared" si="110"/>
        <v>3.6177434403834546E-13</v>
      </c>
      <c r="J438" s="241">
        <f t="shared" si="110"/>
        <v>4.8236579205112732E-13</v>
      </c>
      <c r="K438" s="241">
        <f t="shared" si="110"/>
        <v>6.0295724006390912E-13</v>
      </c>
      <c r="L438" s="241">
        <f t="shared" si="110"/>
        <v>7.2354868807669103E-13</v>
      </c>
      <c r="M438" s="241">
        <f t="shared" si="110"/>
        <v>8.4414013608947293E-13</v>
      </c>
      <c r="N438" s="241">
        <f t="shared" si="110"/>
        <v>9.6473158410225464E-13</v>
      </c>
    </row>
    <row r="439" spans="1:15" s="2370" customFormat="1" ht="15.75" x14ac:dyDescent="0.25">
      <c r="A439" s="3"/>
      <c r="B439" s="415"/>
      <c r="C439" s="97" t="s">
        <v>2336</v>
      </c>
      <c r="D439" s="97" t="str">
        <f>INDEX(Vectors[Description], MATCH(XII.b.Outputs[Vector], Vectors[Code], 0))</f>
        <v>Pipeline</v>
      </c>
      <c r="E439" s="97"/>
      <c r="F439" s="241">
        <f t="shared" ref="F439:N439" si="111">F$301</f>
        <v>1.0449356110119832</v>
      </c>
      <c r="G439" s="241">
        <f t="shared" si="111"/>
        <v>2.2204881734004642</v>
      </c>
      <c r="H439" s="241">
        <f t="shared" si="111"/>
        <v>3.3960407357889455</v>
      </c>
      <c r="I439" s="241">
        <f t="shared" si="111"/>
        <v>4.5715932981774268</v>
      </c>
      <c r="J439" s="241">
        <f t="shared" si="111"/>
        <v>5.747145860565908</v>
      </c>
      <c r="K439" s="241">
        <f t="shared" si="111"/>
        <v>6.9226984229543893</v>
      </c>
      <c r="L439" s="241">
        <f t="shared" si="111"/>
        <v>8.0982509853428706</v>
      </c>
      <c r="M439" s="241">
        <f t="shared" si="111"/>
        <v>9.273803547731351</v>
      </c>
      <c r="N439" s="241">
        <f t="shared" si="111"/>
        <v>10.449356110119831</v>
      </c>
    </row>
    <row r="440" spans="1:15" ht="15.75" x14ac:dyDescent="0.25">
      <c r="A440" s="3"/>
      <c r="B440" s="415"/>
      <c r="C440" s="97" t="s">
        <v>34</v>
      </c>
      <c r="D440" s="97" t="str">
        <f>INDEX(Vectors[Description], MATCH(XII.b.Outputs[Vector], Vectors[Code], 0))</f>
        <v>Electricity (delivered to end user)</v>
      </c>
      <c r="E440" s="97"/>
      <c r="F440" s="241">
        <f t="shared" ref="F440:N440" si="112">-F$276-F$293-F301</f>
        <v>-1.0449356110119832</v>
      </c>
      <c r="G440" s="241">
        <f t="shared" si="112"/>
        <v>-3.2109678001263453</v>
      </c>
      <c r="H440" s="241">
        <f t="shared" si="112"/>
        <v>-5.3768830392493072</v>
      </c>
      <c r="I440" s="241">
        <f t="shared" si="112"/>
        <v>-7.5426813283808611</v>
      </c>
      <c r="J440" s="241">
        <f t="shared" si="112"/>
        <v>-9.7083626675210226</v>
      </c>
      <c r="K440" s="241">
        <f t="shared" si="112"/>
        <v>-11.874219431648278</v>
      </c>
      <c r="L440" s="241">
        <f t="shared" si="112"/>
        <v>-14.040076195775544</v>
      </c>
      <c r="M440" s="241">
        <f t="shared" si="112"/>
        <v>-16.205932959902796</v>
      </c>
      <c r="N440" s="241">
        <f t="shared" si="112"/>
        <v>-18.371789724030052</v>
      </c>
    </row>
    <row r="441" spans="1:15" ht="15.75" x14ac:dyDescent="0.25">
      <c r="A441" s="3"/>
      <c r="B441" s="415"/>
      <c r="C441" s="97" t="s">
        <v>38</v>
      </c>
      <c r="D441" s="97" t="str">
        <f>INDEX(Vectors[Description], MATCH(XII.b.Outputs[Vector], Vectors[Code], 0))</f>
        <v>Liquid hydrocarbons</v>
      </c>
      <c r="E441" s="97"/>
      <c r="F441" s="241">
        <f t="shared" ref="F441:N441" si="113">-(F$274+F$281+F$299)</f>
        <v>-19.184403015807199</v>
      </c>
      <c r="G441" s="241">
        <f t="shared" si="113"/>
        <v>-18.643348833441564</v>
      </c>
      <c r="H441" s="241">
        <f t="shared" si="113"/>
        <v>-17.723314593186153</v>
      </c>
      <c r="I441" s="241">
        <f t="shared" si="113"/>
        <v>-16.424300295040968</v>
      </c>
      <c r="J441" s="241">
        <f t="shared" si="113"/>
        <v>-14.746305939006007</v>
      </c>
      <c r="K441" s="241">
        <f t="shared" si="113"/>
        <v>-15.664376407164552</v>
      </c>
      <c r="L441" s="241">
        <f t="shared" si="113"/>
        <v>-16.534154059253513</v>
      </c>
      <c r="M441" s="241">
        <f t="shared" si="113"/>
        <v>-17.356886341357374</v>
      </c>
      <c r="N441" s="241">
        <f t="shared" si="113"/>
        <v>-18.13145059503006</v>
      </c>
    </row>
    <row r="442" spans="1:15" ht="15.75" x14ac:dyDescent="0.25">
      <c r="A442" s="3"/>
      <c r="B442" s="415"/>
      <c r="C442" s="522" t="s">
        <v>39</v>
      </c>
      <c r="D442" s="522" t="str">
        <f>INDEX(Vectors[Description], MATCH(XII.b.Outputs[Vector], Vectors[Code], 0))</f>
        <v>Gaseous hydrocarbons</v>
      </c>
      <c r="E442" s="522"/>
      <c r="F442" s="2470">
        <f t="shared" ref="F442:N442" si="114">-F287</f>
        <v>0</v>
      </c>
      <c r="G442" s="2470">
        <f t="shared" si="114"/>
        <v>-0.45626239914882288</v>
      </c>
      <c r="H442" s="2470">
        <f t="shared" si="114"/>
        <v>-0.77591821218683832</v>
      </c>
      <c r="I442" s="2470">
        <f t="shared" si="114"/>
        <v>-0.95896743911404625</v>
      </c>
      <c r="J442" s="2470">
        <f t="shared" si="114"/>
        <v>-1.0054100799304468</v>
      </c>
      <c r="K442" s="2470">
        <f t="shared" si="114"/>
        <v>-1.2132437088817098</v>
      </c>
      <c r="L442" s="2470">
        <f t="shared" si="114"/>
        <v>-1.4036697814204333</v>
      </c>
      <c r="M442" s="2470">
        <f t="shared" si="114"/>
        <v>-1.5768457302273506</v>
      </c>
      <c r="N442" s="2470">
        <f t="shared" si="114"/>
        <v>-1.7326591033876526</v>
      </c>
    </row>
    <row r="443" spans="1:15" s="1231" customFormat="1" ht="15.75" x14ac:dyDescent="0.25">
      <c r="A443" s="3"/>
      <c r="B443" s="415"/>
      <c r="C443" s="97" t="s">
        <v>105</v>
      </c>
      <c r="D443" s="97"/>
      <c r="E443" s="97"/>
      <c r="F443" s="2466">
        <f>SUBTOTAL(109,XII.b.Outputs[2010])</f>
        <v>0</v>
      </c>
      <c r="G443" s="2466">
        <f>SUBTOTAL(109,XII.b.Outputs[2015])</f>
        <v>0</v>
      </c>
      <c r="H443" s="2466">
        <f>SUBTOTAL(109,XII.b.Outputs[2020])</f>
        <v>0</v>
      </c>
      <c r="I443" s="2466">
        <f>SUBTOTAL(109,XII.b.Outputs[2025])</f>
        <v>1.4432899320127035E-15</v>
      </c>
      <c r="J443" s="2466">
        <f>SUBTOTAL(109,XII.b.Outputs[2030])</f>
        <v>2.4424906541753444E-15</v>
      </c>
      <c r="K443" s="2466">
        <f>SUBTOTAL(109,XII.b.Outputs[2035])</f>
        <v>4.6629367034256575E-15</v>
      </c>
      <c r="L443" s="2466">
        <f>SUBTOTAL(109,XII.b.Outputs[2040])</f>
        <v>0</v>
      </c>
      <c r="M443" s="2466">
        <f>SUBTOTAL(109,XII.b.Outputs[2045])</f>
        <v>3.9968028886505635E-15</v>
      </c>
      <c r="N443" s="2466">
        <f>SUBTOTAL(109,XII.b.Outputs[2050])</f>
        <v>0</v>
      </c>
    </row>
    <row r="444" spans="1:15" s="1231" customFormat="1" ht="15.75" x14ac:dyDescent="0.25">
      <c r="A444" s="3"/>
      <c r="B444" s="415"/>
      <c r="C444" s="97"/>
      <c r="D444" s="97"/>
      <c r="E444" s="97"/>
      <c r="F444" s="529"/>
      <c r="G444" s="529"/>
      <c r="H444" s="529"/>
      <c r="I444" s="529"/>
      <c r="J444" s="529"/>
      <c r="K444" s="529"/>
      <c r="L444" s="529"/>
      <c r="M444" s="529"/>
      <c r="N444" s="529"/>
      <c r="O444" s="414"/>
    </row>
    <row r="445" spans="1:15" s="1231" customFormat="1" ht="15.75" x14ac:dyDescent="0.25">
      <c r="A445" s="3"/>
      <c r="B445" s="415"/>
      <c r="C445" s="424" t="s">
        <v>1243</v>
      </c>
      <c r="D445" s="412"/>
      <c r="E445" s="413"/>
      <c r="F445" s="412"/>
      <c r="G445" s="413"/>
      <c r="H445" s="412"/>
      <c r="I445" s="412"/>
      <c r="J445" s="412"/>
      <c r="K445" s="412"/>
      <c r="L445" s="412"/>
      <c r="M445" s="412"/>
      <c r="N445" s="413" t="str">
        <f>Preferences.EnergyUnits</f>
        <v>TWh</v>
      </c>
      <c r="O445" s="414"/>
    </row>
    <row r="446" spans="1:15" s="1231" customFormat="1" ht="15.75" x14ac:dyDescent="0.25">
      <c r="A446" s="3"/>
      <c r="B446" s="415"/>
      <c r="C446" s="412"/>
      <c r="D446" s="412"/>
      <c r="E446" s="412"/>
      <c r="F446" s="412"/>
      <c r="G446" s="412"/>
      <c r="H446" s="412"/>
      <c r="I446" s="412"/>
      <c r="J446" s="412"/>
      <c r="K446" s="412"/>
      <c r="L446" s="412"/>
      <c r="M446" s="412"/>
      <c r="N446" s="412"/>
      <c r="O446" s="414"/>
    </row>
    <row r="447" spans="1:15" s="1231" customFormat="1" ht="15.75" x14ac:dyDescent="0.25">
      <c r="A447" s="3"/>
      <c r="B447" s="415"/>
      <c r="C447" s="426" t="s">
        <v>64</v>
      </c>
      <c r="D447" s="426" t="s">
        <v>150</v>
      </c>
      <c r="E447" s="426" t="s">
        <v>172</v>
      </c>
      <c r="F447" s="426" t="s">
        <v>241</v>
      </c>
      <c r="G447" s="427" t="s">
        <v>268</v>
      </c>
      <c r="H447" s="427" t="s">
        <v>269</v>
      </c>
      <c r="I447" s="427" t="s">
        <v>270</v>
      </c>
      <c r="J447" s="427" t="s">
        <v>271</v>
      </c>
      <c r="K447" s="427" t="s">
        <v>272</v>
      </c>
      <c r="L447" s="427" t="s">
        <v>273</v>
      </c>
      <c r="M447" s="427" t="s">
        <v>274</v>
      </c>
      <c r="N447" s="427" t="s">
        <v>275</v>
      </c>
    </row>
    <row r="448" spans="1:15" s="1231" customFormat="1" ht="15.75" x14ac:dyDescent="0.25">
      <c r="A448" s="3"/>
      <c r="B448" s="415"/>
      <c r="C448" s="97" t="s">
        <v>28</v>
      </c>
      <c r="D448" s="1015" t="str">
        <f>INDEX(Vectors[Description], MATCH(XII.b.road.Outputs[Vector], Vectors[Code], 0))</f>
        <v>Road transport</v>
      </c>
      <c r="E448" s="97"/>
      <c r="F448" s="241">
        <f>F436</f>
        <v>18.908518399688848</v>
      </c>
      <c r="G448" s="241">
        <f t="shared" ref="G448:N448" si="115">G436</f>
        <v>18.179353144592984</v>
      </c>
      <c r="H448" s="241">
        <f t="shared" si="115"/>
        <v>16.934484295505136</v>
      </c>
      <c r="I448" s="241">
        <f t="shared" si="115"/>
        <v>15.1739118524253</v>
      </c>
      <c r="J448" s="241">
        <f t="shared" si="115"/>
        <v>12.897635815353482</v>
      </c>
      <c r="K448" s="241">
        <f t="shared" si="115"/>
        <v>13.378991015597133</v>
      </c>
      <c r="L448" s="241">
        <f t="shared" si="115"/>
        <v>13.79464584335866</v>
      </c>
      <c r="M448" s="241">
        <f t="shared" si="115"/>
        <v>14.14600517740328</v>
      </c>
      <c r="N448" s="241">
        <f t="shared" si="115"/>
        <v>14.431833907370114</v>
      </c>
    </row>
    <row r="449" spans="1:15" s="1231" customFormat="1" ht="15.75" x14ac:dyDescent="0.25">
      <c r="A449" s="3"/>
      <c r="B449" s="415"/>
      <c r="C449" s="97" t="s">
        <v>34</v>
      </c>
      <c r="D449" s="1015" t="str">
        <f>INDEX(Vectors[Description], MATCH(XII.b.road.Outputs[Vector], Vectors[Code], 0))</f>
        <v>Electricity (delivered to end user)</v>
      </c>
      <c r="E449" s="97"/>
      <c r="F449" s="241">
        <f t="shared" ref="F449:N449" si="116">-F$293</f>
        <v>0</v>
      </c>
      <c r="G449" s="241">
        <f t="shared" si="116"/>
        <v>-1.0852491402146915E-2</v>
      </c>
      <c r="H449" s="241">
        <f t="shared" si="116"/>
        <v>-2.1588032812891754E-2</v>
      </c>
      <c r="I449" s="241">
        <f t="shared" si="116"/>
        <v>-3.2206624232234519E-2</v>
      </c>
      <c r="J449" s="241">
        <f t="shared" si="116"/>
        <v>-4.2708265660175215E-2</v>
      </c>
      <c r="K449" s="241">
        <f t="shared" si="116"/>
        <v>-5.3385332075219026E-2</v>
      </c>
      <c r="L449" s="241">
        <f t="shared" si="116"/>
        <v>-6.4062398490262837E-2</v>
      </c>
      <c r="M449" s="241">
        <f t="shared" si="116"/>
        <v>-7.4739464905306641E-2</v>
      </c>
      <c r="N449" s="241">
        <f t="shared" si="116"/>
        <v>-8.5416531320350431E-2</v>
      </c>
    </row>
    <row r="450" spans="1:15" s="1231" customFormat="1" ht="15.75" x14ac:dyDescent="0.25">
      <c r="A450" s="3"/>
      <c r="B450" s="415"/>
      <c r="C450" s="97" t="s">
        <v>38</v>
      </c>
      <c r="D450" s="1015" t="str">
        <f>INDEX(Vectors[Description], MATCH(XII.b.road.Outputs[Vector], Vectors[Code], 0))</f>
        <v>Liquid hydrocarbons</v>
      </c>
      <c r="E450" s="97"/>
      <c r="F450" s="241">
        <f t="shared" ref="F450:N450" si="117">-F281</f>
        <v>-18.908518399688848</v>
      </c>
      <c r="G450" s="241">
        <f t="shared" si="117"/>
        <v>-17.712238254042013</v>
      </c>
      <c r="H450" s="241">
        <f t="shared" si="117"/>
        <v>-16.136978050505405</v>
      </c>
      <c r="I450" s="241">
        <f t="shared" si="117"/>
        <v>-14.18273778907902</v>
      </c>
      <c r="J450" s="241">
        <f t="shared" si="117"/>
        <v>-11.849517469762858</v>
      </c>
      <c r="K450" s="241">
        <f t="shared" si="117"/>
        <v>-12.112361974640205</v>
      </c>
      <c r="L450" s="241">
        <f t="shared" si="117"/>
        <v>-12.326913663447964</v>
      </c>
      <c r="M450" s="241">
        <f t="shared" si="117"/>
        <v>-12.494419982270623</v>
      </c>
      <c r="N450" s="241">
        <f t="shared" si="117"/>
        <v>-12.613758272662112</v>
      </c>
    </row>
    <row r="451" spans="1:15" s="1231" customFormat="1" ht="15.75" x14ac:dyDescent="0.25">
      <c r="A451" s="3"/>
      <c r="B451" s="415"/>
      <c r="C451" s="522" t="s">
        <v>39</v>
      </c>
      <c r="D451" s="1016" t="str">
        <f>INDEX(Vectors[Description], MATCH(XII.b.road.Outputs[Vector], Vectors[Code], 0))</f>
        <v>Gaseous hydrocarbons</v>
      </c>
      <c r="E451" s="522"/>
      <c r="F451" s="241">
        <f t="shared" ref="F451:N451" si="118">-F287</f>
        <v>0</v>
      </c>
      <c r="G451" s="241">
        <f t="shared" si="118"/>
        <v>-0.45626239914882288</v>
      </c>
      <c r="H451" s="241">
        <f t="shared" si="118"/>
        <v>-0.77591821218683832</v>
      </c>
      <c r="I451" s="241">
        <f t="shared" si="118"/>
        <v>-0.95896743911404625</v>
      </c>
      <c r="J451" s="241">
        <f t="shared" si="118"/>
        <v>-1.0054100799304468</v>
      </c>
      <c r="K451" s="241">
        <f t="shared" si="118"/>
        <v>-1.2132437088817098</v>
      </c>
      <c r="L451" s="241">
        <f t="shared" si="118"/>
        <v>-1.4036697814204333</v>
      </c>
      <c r="M451" s="241">
        <f t="shared" si="118"/>
        <v>-1.5768457302273506</v>
      </c>
      <c r="N451" s="241">
        <f t="shared" si="118"/>
        <v>-1.7326591033876526</v>
      </c>
    </row>
    <row r="452" spans="1:15" s="1231" customFormat="1" ht="15.75" x14ac:dyDescent="0.25">
      <c r="A452" s="3"/>
      <c r="B452" s="415"/>
      <c r="C452" s="97" t="s">
        <v>105</v>
      </c>
      <c r="D452" s="97"/>
      <c r="E452" s="97"/>
      <c r="F452" s="2466">
        <f>SUBTOTAL(109,XII.b.road.Outputs[2010])</f>
        <v>0</v>
      </c>
      <c r="G452" s="2466">
        <f>SUBTOTAL(109,XII.b.road.Outputs[2015])</f>
        <v>0</v>
      </c>
      <c r="H452" s="2466">
        <f>SUBTOTAL(109,XII.b.road.Outputs[2020])</f>
        <v>0</v>
      </c>
      <c r="I452" s="2466">
        <f>SUBTOTAL(109,XII.b.road.Outputs[2025])</f>
        <v>0</v>
      </c>
      <c r="J452" s="2466">
        <f>SUBTOTAL(109,XII.b.road.Outputs[2030])</f>
        <v>0</v>
      </c>
      <c r="K452" s="2466">
        <f>SUBTOTAL(109,XII.b.road.Outputs[2035])</f>
        <v>0</v>
      </c>
      <c r="L452" s="2466">
        <f>SUBTOTAL(109,XII.b.road.Outputs[2040])</f>
        <v>0</v>
      </c>
      <c r="M452" s="2466">
        <f>SUBTOTAL(109,XII.b.road.Outputs[2045])</f>
        <v>0</v>
      </c>
      <c r="N452" s="2466">
        <f>SUBTOTAL(109,XII.b.road.Outputs[2050])</f>
        <v>0</v>
      </c>
    </row>
    <row r="453" spans="1:15" s="1231" customFormat="1" ht="15.75" x14ac:dyDescent="0.25">
      <c r="A453" s="3"/>
      <c r="B453" s="415"/>
      <c r="C453" s="97"/>
      <c r="D453" s="97"/>
      <c r="E453" s="97"/>
      <c r="F453" s="529"/>
      <c r="G453" s="529"/>
      <c r="H453" s="529"/>
      <c r="I453" s="529"/>
      <c r="J453" s="529"/>
      <c r="K453" s="529"/>
      <c r="L453" s="529"/>
      <c r="M453" s="529"/>
      <c r="N453" s="529"/>
      <c r="O453" s="414"/>
    </row>
    <row r="454" spans="1:15" s="1231" customFormat="1" ht="15.75" x14ac:dyDescent="0.25">
      <c r="A454" s="3"/>
      <c r="B454" s="415"/>
      <c r="C454" s="424" t="s">
        <v>1244</v>
      </c>
      <c r="D454" s="412"/>
      <c r="E454" s="413"/>
      <c r="F454" s="412"/>
      <c r="G454" s="413"/>
      <c r="H454" s="412"/>
      <c r="I454" s="412"/>
      <c r="J454" s="412"/>
      <c r="K454" s="412"/>
      <c r="L454" s="412"/>
      <c r="M454" s="412"/>
      <c r="N454" s="413" t="str">
        <f>Preferences.EnergyUnits</f>
        <v>TWh</v>
      </c>
      <c r="O454" s="414"/>
    </row>
    <row r="455" spans="1:15" s="1231" customFormat="1" ht="15.75" x14ac:dyDescent="0.25">
      <c r="A455" s="3"/>
      <c r="B455" s="415"/>
      <c r="C455" s="412"/>
      <c r="D455" s="412"/>
      <c r="E455" s="412"/>
      <c r="F455" s="412"/>
      <c r="G455" s="412"/>
      <c r="H455" s="412"/>
      <c r="I455" s="412"/>
      <c r="J455" s="412"/>
      <c r="K455" s="412"/>
      <c r="L455" s="412"/>
      <c r="M455" s="412"/>
      <c r="N455" s="412"/>
      <c r="O455" s="414"/>
    </row>
    <row r="456" spans="1:15" s="1231" customFormat="1" ht="15.75" x14ac:dyDescent="0.25">
      <c r="A456" s="3"/>
      <c r="B456" s="415"/>
      <c r="C456" s="426" t="s">
        <v>64</v>
      </c>
      <c r="D456" s="426" t="s">
        <v>150</v>
      </c>
      <c r="E456" s="426" t="s">
        <v>172</v>
      </c>
      <c r="F456" s="426" t="s">
        <v>241</v>
      </c>
      <c r="G456" s="427" t="s">
        <v>268</v>
      </c>
      <c r="H456" s="427" t="s">
        <v>269</v>
      </c>
      <c r="I456" s="427" t="s">
        <v>270</v>
      </c>
      <c r="J456" s="427" t="s">
        <v>271</v>
      </c>
      <c r="K456" s="427" t="s">
        <v>272</v>
      </c>
      <c r="L456" s="427" t="s">
        <v>273</v>
      </c>
      <c r="M456" s="427" t="s">
        <v>274</v>
      </c>
      <c r="N456" s="427" t="s">
        <v>275</v>
      </c>
    </row>
    <row r="457" spans="1:15" s="1231" customFormat="1" ht="15.75" x14ac:dyDescent="0.25">
      <c r="A457" s="3"/>
      <c r="B457" s="415"/>
      <c r="C457" s="97" t="s">
        <v>29</v>
      </c>
      <c r="D457" s="97" t="str">
        <f>INDEX(Vectors[Description], MATCH(XII.b.Rail.Outputs[Vector], Vectors[Code], 0))</f>
        <v>Rail transport</v>
      </c>
      <c r="E457" s="97"/>
      <c r="F457" s="241">
        <f t="shared" ref="F457:N457" si="119">F437</f>
        <v>0.27588461611834919</v>
      </c>
      <c r="G457" s="241">
        <f t="shared" si="119"/>
        <v>1.9107377147231626</v>
      </c>
      <c r="H457" s="241">
        <f t="shared" si="119"/>
        <v>3.5455908133279781</v>
      </c>
      <c r="I457" s="241">
        <f t="shared" si="119"/>
        <v>5.1804439119327874</v>
      </c>
      <c r="J457" s="241">
        <f t="shared" si="119"/>
        <v>6.8152970105376056</v>
      </c>
      <c r="K457" s="241">
        <f t="shared" si="119"/>
        <v>8.4501501091424149</v>
      </c>
      <c r="L457" s="241">
        <f t="shared" si="119"/>
        <v>10.085003207747235</v>
      </c>
      <c r="M457" s="241">
        <f t="shared" si="119"/>
        <v>11.719856306352044</v>
      </c>
      <c r="N457" s="241">
        <f t="shared" si="119"/>
        <v>13.354709404956854</v>
      </c>
    </row>
    <row r="458" spans="1:15" s="1231" customFormat="1" ht="15.75" x14ac:dyDescent="0.25">
      <c r="A458" s="3"/>
      <c r="B458" s="415"/>
      <c r="C458" s="97" t="s">
        <v>34</v>
      </c>
      <c r="D458" s="97" t="str">
        <f>INDEX(Vectors[Description], MATCH(XII.b.Rail.Outputs[Vector], Vectors[Code], 0))</f>
        <v>Electricity (delivered to end user)</v>
      </c>
      <c r="E458" s="97"/>
      <c r="F458" s="241">
        <f t="shared" ref="F458:N458" si="120">-F$276</f>
        <v>0</v>
      </c>
      <c r="G458" s="241">
        <f t="shared" si="120"/>
        <v>-0.97962713532373413</v>
      </c>
      <c r="H458" s="241">
        <f t="shared" si="120"/>
        <v>-1.95925427064747</v>
      </c>
      <c r="I458" s="241">
        <f t="shared" si="120"/>
        <v>-2.9388814059712001</v>
      </c>
      <c r="J458" s="241">
        <f t="shared" si="120"/>
        <v>-3.9185085412949401</v>
      </c>
      <c r="K458" s="241">
        <f t="shared" si="120"/>
        <v>-4.8981356766186703</v>
      </c>
      <c r="L458" s="241">
        <f t="shared" si="120"/>
        <v>-5.8777628119424108</v>
      </c>
      <c r="M458" s="241">
        <f t="shared" si="120"/>
        <v>-6.8573899472661406</v>
      </c>
      <c r="N458" s="241">
        <f t="shared" si="120"/>
        <v>-7.8370170825898713</v>
      </c>
    </row>
    <row r="459" spans="1:15" s="1231" customFormat="1" ht="15.75" x14ac:dyDescent="0.25">
      <c r="A459" s="3"/>
      <c r="B459" s="415"/>
      <c r="C459" s="97" t="s">
        <v>38</v>
      </c>
      <c r="D459" s="97" t="str">
        <f>INDEX(Vectors[Description], MATCH(XII.b.Rail.Outputs[Vector], Vectors[Code], 0))</f>
        <v>Liquid hydrocarbons</v>
      </c>
      <c r="E459" s="97"/>
      <c r="F459" s="241">
        <f t="shared" ref="F459:N459" si="121">-F274</f>
        <v>-0.27588461611834919</v>
      </c>
      <c r="G459" s="241">
        <f t="shared" si="121"/>
        <v>-0.93111057939942843</v>
      </c>
      <c r="H459" s="241">
        <f t="shared" si="121"/>
        <v>-1.5863365426805078</v>
      </c>
      <c r="I459" s="241">
        <f t="shared" si="121"/>
        <v>-2.2415625059615869</v>
      </c>
      <c r="J459" s="241">
        <f t="shared" si="121"/>
        <v>-2.896788469242666</v>
      </c>
      <c r="K459" s="241">
        <f t="shared" si="121"/>
        <v>-3.552014432523745</v>
      </c>
      <c r="L459" s="241">
        <f t="shared" si="121"/>
        <v>-4.2072403958048241</v>
      </c>
      <c r="M459" s="241">
        <f t="shared" si="121"/>
        <v>-4.8624663590859036</v>
      </c>
      <c r="N459" s="241">
        <f t="shared" si="121"/>
        <v>-5.5176923223669831</v>
      </c>
    </row>
    <row r="460" spans="1:15" s="1231" customFormat="1" ht="15.75" x14ac:dyDescent="0.25">
      <c r="A460" s="3"/>
      <c r="B460" s="415"/>
      <c r="C460" s="97" t="s">
        <v>105</v>
      </c>
      <c r="D460" s="97"/>
      <c r="E460" s="97"/>
      <c r="F460" s="2466">
        <f>SUBTOTAL(109,XII.b.Rail.Outputs[2010])</f>
        <v>0</v>
      </c>
      <c r="G460" s="2466">
        <f>SUBTOTAL(109,XII.b.Rail.Outputs[2015])</f>
        <v>0</v>
      </c>
      <c r="H460" s="2466">
        <f>SUBTOTAL(109,XII.b.Rail.Outputs[2020])</f>
        <v>0</v>
      </c>
      <c r="I460" s="2466">
        <f>SUBTOTAL(109,XII.b.Rail.Outputs[2025])</f>
        <v>0</v>
      </c>
      <c r="J460" s="2466">
        <f>SUBTOTAL(109,XII.b.Rail.Outputs[2030])</f>
        <v>0</v>
      </c>
      <c r="K460" s="2466">
        <f>SUBTOTAL(109,XII.b.Rail.Outputs[2035])</f>
        <v>0</v>
      </c>
      <c r="L460" s="2466">
        <f>SUBTOTAL(109,XII.b.Rail.Outputs[2040])</f>
        <v>0</v>
      </c>
      <c r="M460" s="2466">
        <f>SUBTOTAL(109,XII.b.Rail.Outputs[2045])</f>
        <v>0</v>
      </c>
      <c r="N460" s="2466">
        <f>SUBTOTAL(109,XII.b.Rail.Outputs[2050])</f>
        <v>0</v>
      </c>
    </row>
    <row r="461" spans="1:15" s="1231" customFormat="1" ht="15.75" x14ac:dyDescent="0.25">
      <c r="A461" s="3"/>
      <c r="B461" s="415"/>
      <c r="C461" s="97"/>
      <c r="D461" s="97"/>
      <c r="E461" s="97"/>
      <c r="F461" s="529"/>
      <c r="G461" s="529"/>
      <c r="H461" s="529"/>
      <c r="I461" s="529"/>
      <c r="J461" s="529"/>
      <c r="K461" s="529"/>
      <c r="L461" s="529"/>
      <c r="M461" s="529"/>
      <c r="N461" s="529"/>
      <c r="O461" s="414"/>
    </row>
    <row r="462" spans="1:15" s="1231" customFormat="1" ht="15.75" x14ac:dyDescent="0.25">
      <c r="A462" s="3"/>
      <c r="B462" s="415"/>
      <c r="C462" s="424" t="s">
        <v>2338</v>
      </c>
      <c r="D462" s="412"/>
      <c r="E462" s="413"/>
      <c r="F462" s="412"/>
      <c r="G462" s="413"/>
      <c r="H462" s="412"/>
      <c r="I462" s="412"/>
      <c r="J462" s="412"/>
      <c r="K462" s="412"/>
      <c r="L462" s="412"/>
      <c r="M462" s="412"/>
      <c r="N462" s="413" t="str">
        <f>Preferences.EnergyUnits</f>
        <v>TWh</v>
      </c>
      <c r="O462" s="414"/>
    </row>
    <row r="463" spans="1:15" s="1231" customFormat="1" ht="15.75" x14ac:dyDescent="0.25">
      <c r="A463" s="3"/>
      <c r="B463" s="415"/>
      <c r="C463" s="412"/>
      <c r="D463" s="412"/>
      <c r="E463" s="412"/>
      <c r="F463" s="412"/>
      <c r="G463" s="412"/>
      <c r="H463" s="412"/>
      <c r="I463" s="412"/>
      <c r="J463" s="412"/>
      <c r="K463" s="412"/>
      <c r="L463" s="412"/>
      <c r="M463" s="412"/>
      <c r="N463" s="412"/>
      <c r="O463" s="414"/>
    </row>
    <row r="464" spans="1:15" s="1231" customFormat="1" ht="15.75" x14ac:dyDescent="0.25">
      <c r="A464" s="3"/>
      <c r="B464" s="415"/>
      <c r="C464" s="426" t="s">
        <v>64</v>
      </c>
      <c r="D464" s="426" t="s">
        <v>150</v>
      </c>
      <c r="E464" s="426" t="s">
        <v>172</v>
      </c>
      <c r="F464" s="426" t="s">
        <v>241</v>
      </c>
      <c r="G464" s="427" t="s">
        <v>268</v>
      </c>
      <c r="H464" s="427" t="s">
        <v>269</v>
      </c>
      <c r="I464" s="427" t="s">
        <v>270</v>
      </c>
      <c r="J464" s="427" t="s">
        <v>271</v>
      </c>
      <c r="K464" s="427" t="s">
        <v>272</v>
      </c>
      <c r="L464" s="427" t="s">
        <v>273</v>
      </c>
      <c r="M464" s="427" t="s">
        <v>274</v>
      </c>
      <c r="N464" s="427" t="s">
        <v>275</v>
      </c>
    </row>
    <row r="465" spans="1:15" s="1231" customFormat="1" ht="15.75" x14ac:dyDescent="0.25">
      <c r="A465" s="3"/>
      <c r="B465" s="415"/>
      <c r="C465" s="97" t="s">
        <v>31</v>
      </c>
      <c r="D465" s="97" t="str">
        <f>INDEX(Vectors[Description], MATCH(XII.b.Berge.Outputs[Vector], Vectors[Code], 0))</f>
        <v>Berge</v>
      </c>
      <c r="E465" s="97"/>
      <c r="F465" s="1010">
        <f>F$299</f>
        <v>0</v>
      </c>
      <c r="G465" s="1010">
        <f t="shared" ref="G465:N465" si="122">G$299</f>
        <v>1.2059144801278183E-13</v>
      </c>
      <c r="H465" s="1010">
        <f t="shared" si="122"/>
        <v>2.4118289602556366E-13</v>
      </c>
      <c r="I465" s="1010">
        <f t="shared" si="122"/>
        <v>3.6177434403834546E-13</v>
      </c>
      <c r="J465" s="1010">
        <f t="shared" si="122"/>
        <v>4.8236579205112732E-13</v>
      </c>
      <c r="K465" s="1010">
        <f t="shared" si="122"/>
        <v>6.0295724006390912E-13</v>
      </c>
      <c r="L465" s="1010">
        <f t="shared" si="122"/>
        <v>7.2354868807669103E-13</v>
      </c>
      <c r="M465" s="1010">
        <f t="shared" si="122"/>
        <v>8.4414013608947293E-13</v>
      </c>
      <c r="N465" s="1010">
        <f t="shared" si="122"/>
        <v>9.6473158410225464E-13</v>
      </c>
    </row>
    <row r="466" spans="1:15" s="1231" customFormat="1" ht="15.75" x14ac:dyDescent="0.25">
      <c r="A466" s="3"/>
      <c r="B466" s="415"/>
      <c r="C466" s="97" t="s">
        <v>38</v>
      </c>
      <c r="D466" s="97" t="str">
        <f>INDEX(Vectors[Description], MATCH(XII.b.Berge.Outputs[Vector], Vectors[Code], 0))</f>
        <v>Liquid hydrocarbons</v>
      </c>
      <c r="E466" s="97"/>
      <c r="F466" s="2696">
        <f>-F299</f>
        <v>0</v>
      </c>
      <c r="G466" s="2696">
        <f t="shared" ref="G466:N466" si="123">-G299</f>
        <v>-1.2059144801278183E-13</v>
      </c>
      <c r="H466" s="2696">
        <f t="shared" si="123"/>
        <v>-2.4118289602556366E-13</v>
      </c>
      <c r="I466" s="2696">
        <f t="shared" si="123"/>
        <v>-3.6177434403834546E-13</v>
      </c>
      <c r="J466" s="2696">
        <f t="shared" si="123"/>
        <v>-4.8236579205112732E-13</v>
      </c>
      <c r="K466" s="2696">
        <f t="shared" si="123"/>
        <v>-6.0295724006390912E-13</v>
      </c>
      <c r="L466" s="2696">
        <f t="shared" si="123"/>
        <v>-7.2354868807669103E-13</v>
      </c>
      <c r="M466" s="2696">
        <f t="shared" si="123"/>
        <v>-8.4414013608947293E-13</v>
      </c>
      <c r="N466" s="2696">
        <f t="shared" si="123"/>
        <v>-9.6473158410225464E-13</v>
      </c>
    </row>
    <row r="467" spans="1:15" ht="15.75" x14ac:dyDescent="0.25">
      <c r="A467" s="3"/>
      <c r="B467" s="416"/>
      <c r="C467" s="97" t="s">
        <v>105</v>
      </c>
      <c r="D467" s="97"/>
      <c r="E467" s="97"/>
      <c r="F467" s="2627">
        <f>SUBTOTAL(109,XII.b.Berge.Outputs[2010])</f>
        <v>0</v>
      </c>
      <c r="G467" s="2627">
        <f>SUBTOTAL(109,XII.b.Berge.Outputs[2015])</f>
        <v>0</v>
      </c>
      <c r="H467" s="2627">
        <f>SUBTOTAL(109,XII.b.Berge.Outputs[2020])</f>
        <v>0</v>
      </c>
      <c r="I467" s="2627">
        <f>SUBTOTAL(109,XII.b.Berge.Outputs[2025])</f>
        <v>0</v>
      </c>
      <c r="J467" s="2627">
        <f>SUBTOTAL(109,XII.b.Berge.Outputs[2030])</f>
        <v>0</v>
      </c>
      <c r="K467" s="2627">
        <f>SUBTOTAL(109,XII.b.Berge.Outputs[2035])</f>
        <v>0</v>
      </c>
      <c r="L467" s="2627">
        <f>SUBTOTAL(109,XII.b.Berge.Outputs[2040])</f>
        <v>0</v>
      </c>
      <c r="M467" s="2627">
        <f>SUBTOTAL(109,XII.b.Berge.Outputs[2045])</f>
        <v>0</v>
      </c>
      <c r="N467" s="2627">
        <f>SUBTOTAL(109,XII.b.Berge.Outputs[2050])</f>
        <v>0</v>
      </c>
    </row>
    <row r="468" spans="1:15" ht="15.75" x14ac:dyDescent="0.25">
      <c r="B468" s="600"/>
      <c r="C468" s="97"/>
      <c r="D468" s="97"/>
      <c r="E468" s="97"/>
      <c r="F468" s="529"/>
      <c r="G468" s="529"/>
      <c r="H468" s="529"/>
      <c r="I468" s="529"/>
      <c r="J468" s="529"/>
      <c r="K468" s="529"/>
      <c r="L468" s="529"/>
      <c r="M468" s="529"/>
      <c r="N468" s="529"/>
    </row>
    <row r="469" spans="1:15" s="2370" customFormat="1" ht="15.75" x14ac:dyDescent="0.25">
      <c r="A469" s="3"/>
      <c r="B469" s="415"/>
      <c r="C469" s="424" t="s">
        <v>2339</v>
      </c>
      <c r="D469" s="412"/>
      <c r="E469" s="413"/>
      <c r="F469" s="412"/>
      <c r="G469" s="413"/>
      <c r="H469" s="412"/>
      <c r="I469" s="412"/>
      <c r="J469" s="412"/>
      <c r="K469" s="412"/>
      <c r="L469" s="412"/>
      <c r="M469" s="412"/>
      <c r="N469" s="413" t="str">
        <f>Preferences.EnergyUnits</f>
        <v>TWh</v>
      </c>
      <c r="O469" s="414"/>
    </row>
    <row r="470" spans="1:15" s="2370" customFormat="1" ht="15.75" x14ac:dyDescent="0.25">
      <c r="A470" s="3"/>
      <c r="B470" s="415"/>
      <c r="C470" s="412"/>
      <c r="D470" s="412"/>
      <c r="E470" s="412"/>
      <c r="F470" s="412"/>
      <c r="G470" s="412"/>
      <c r="H470" s="412"/>
      <c r="I470" s="412"/>
      <c r="J470" s="412"/>
      <c r="K470" s="412"/>
      <c r="L470" s="412"/>
      <c r="M470" s="412"/>
      <c r="N470" s="412"/>
      <c r="O470" s="414"/>
    </row>
    <row r="471" spans="1:15" s="2370" customFormat="1" ht="15.75" x14ac:dyDescent="0.25">
      <c r="A471" s="3"/>
      <c r="B471" s="415"/>
      <c r="C471" s="426" t="s">
        <v>64</v>
      </c>
      <c r="D471" s="426" t="s">
        <v>150</v>
      </c>
      <c r="E471" s="426" t="s">
        <v>172</v>
      </c>
      <c r="F471" s="426" t="s">
        <v>241</v>
      </c>
      <c r="G471" s="427" t="s">
        <v>268</v>
      </c>
      <c r="H471" s="427" t="s">
        <v>269</v>
      </c>
      <c r="I471" s="427" t="s">
        <v>270</v>
      </c>
      <c r="J471" s="427" t="s">
        <v>271</v>
      </c>
      <c r="K471" s="427" t="s">
        <v>272</v>
      </c>
      <c r="L471" s="427" t="s">
        <v>273</v>
      </c>
      <c r="M471" s="427" t="s">
        <v>274</v>
      </c>
      <c r="N471" s="427" t="s">
        <v>275</v>
      </c>
    </row>
    <row r="472" spans="1:15" s="2370" customFormat="1" ht="15.75" x14ac:dyDescent="0.25">
      <c r="A472" s="3"/>
      <c r="B472" s="415"/>
      <c r="C472" s="97" t="s">
        <v>2336</v>
      </c>
      <c r="D472" s="97" t="str">
        <f>INDEX(Vectors[Description], MATCH(XII.b.Pipeline.Outputs[Vector], Vectors[Code], 0))</f>
        <v>Pipeline</v>
      </c>
      <c r="E472" s="97"/>
      <c r="F472" s="241">
        <f t="shared" ref="F472:N472" si="124">F$301</f>
        <v>1.0449356110119832</v>
      </c>
      <c r="G472" s="241">
        <f t="shared" si="124"/>
        <v>2.2204881734004642</v>
      </c>
      <c r="H472" s="241">
        <f t="shared" si="124"/>
        <v>3.3960407357889455</v>
      </c>
      <c r="I472" s="241">
        <f t="shared" si="124"/>
        <v>4.5715932981774268</v>
      </c>
      <c r="J472" s="241">
        <f t="shared" si="124"/>
        <v>5.747145860565908</v>
      </c>
      <c r="K472" s="241">
        <f t="shared" si="124"/>
        <v>6.9226984229543893</v>
      </c>
      <c r="L472" s="241">
        <f t="shared" si="124"/>
        <v>8.0982509853428706</v>
      </c>
      <c r="M472" s="241">
        <f t="shared" si="124"/>
        <v>9.273803547731351</v>
      </c>
      <c r="N472" s="241">
        <f t="shared" si="124"/>
        <v>10.449356110119831</v>
      </c>
    </row>
    <row r="473" spans="1:15" s="2370" customFormat="1" ht="15.75" x14ac:dyDescent="0.25">
      <c r="A473" s="3"/>
      <c r="B473" s="415"/>
      <c r="C473" s="97" t="s">
        <v>34</v>
      </c>
      <c r="D473" s="97" t="str">
        <f>INDEX(Vectors[Description], MATCH(XII.b.Pipeline.Outputs[Vector], Vectors[Code], 0))</f>
        <v>Electricity (delivered to end user)</v>
      </c>
      <c r="E473" s="97"/>
      <c r="F473" s="241">
        <f>-F439</f>
        <v>-1.0449356110119832</v>
      </c>
      <c r="G473" s="241">
        <f t="shared" ref="G473:N473" si="125">-G439</f>
        <v>-2.2204881734004642</v>
      </c>
      <c r="H473" s="241">
        <f t="shared" si="125"/>
        <v>-3.3960407357889455</v>
      </c>
      <c r="I473" s="241">
        <f t="shared" si="125"/>
        <v>-4.5715932981774268</v>
      </c>
      <c r="J473" s="241">
        <f t="shared" si="125"/>
        <v>-5.747145860565908</v>
      </c>
      <c r="K473" s="241">
        <f t="shared" si="125"/>
        <v>-6.9226984229543893</v>
      </c>
      <c r="L473" s="241">
        <f t="shared" si="125"/>
        <v>-8.0982509853428706</v>
      </c>
      <c r="M473" s="241">
        <f t="shared" si="125"/>
        <v>-9.273803547731351</v>
      </c>
      <c r="N473" s="241">
        <f t="shared" si="125"/>
        <v>-10.449356110119831</v>
      </c>
    </row>
    <row r="474" spans="1:15" s="2370" customFormat="1" ht="15.75" x14ac:dyDescent="0.25">
      <c r="A474" s="3"/>
      <c r="B474" s="416"/>
      <c r="C474" s="97" t="s">
        <v>105</v>
      </c>
      <c r="D474" s="97"/>
      <c r="E474" s="97"/>
      <c r="F474" s="2466">
        <f>SUBTOTAL(109,XII.b.Pipeline.Outputs[2010])</f>
        <v>0</v>
      </c>
      <c r="G474" s="2466">
        <f>SUBTOTAL(109,XII.b.Pipeline.Outputs[2015])</f>
        <v>0</v>
      </c>
      <c r="H474" s="2466">
        <f>SUBTOTAL(109,XII.b.Pipeline.Outputs[2020])</f>
        <v>0</v>
      </c>
      <c r="I474" s="2466">
        <f>SUBTOTAL(109,XII.b.Pipeline.Outputs[2025])</f>
        <v>0</v>
      </c>
      <c r="J474" s="2466">
        <f>SUBTOTAL(109,XII.b.Pipeline.Outputs[2030])</f>
        <v>0</v>
      </c>
      <c r="K474" s="2466">
        <f>SUBTOTAL(109,XII.b.Pipeline.Outputs[2035])</f>
        <v>0</v>
      </c>
      <c r="L474" s="2466">
        <f>SUBTOTAL(109,XII.b.Pipeline.Outputs[2040])</f>
        <v>0</v>
      </c>
      <c r="M474" s="2466">
        <f>SUBTOTAL(109,XII.b.Pipeline.Outputs[2045])</f>
        <v>0</v>
      </c>
      <c r="N474" s="2466">
        <f>SUBTOTAL(109,XII.b.Pipeline.Outputs[2050])</f>
        <v>0</v>
      </c>
    </row>
    <row r="475" spans="1:15" s="2370" customFormat="1" ht="15.75" x14ac:dyDescent="0.25">
      <c r="B475" s="600"/>
      <c r="C475" s="97"/>
      <c r="D475" s="97"/>
      <c r="E475" s="97"/>
      <c r="F475" s="529"/>
      <c r="G475" s="529"/>
      <c r="H475" s="529"/>
      <c r="I475" s="529"/>
      <c r="J475" s="529"/>
      <c r="K475" s="529"/>
      <c r="L475" s="529"/>
      <c r="M475" s="529"/>
      <c r="N475" s="529"/>
    </row>
    <row r="476" spans="1:15" s="2479" customFormat="1" ht="15.75" x14ac:dyDescent="0.25">
      <c r="B476" s="600"/>
      <c r="C476" s="97"/>
      <c r="D476" s="97"/>
      <c r="E476" s="97"/>
      <c r="F476" s="529"/>
      <c r="G476" s="529"/>
      <c r="H476" s="529"/>
      <c r="I476" s="529"/>
      <c r="J476" s="529"/>
      <c r="K476" s="529"/>
      <c r="L476" s="529"/>
      <c r="M476" s="529"/>
      <c r="N476" s="529"/>
    </row>
    <row r="477" spans="1:15" x14ac:dyDescent="0.2">
      <c r="B477" s="2479"/>
      <c r="C477" s="2479"/>
      <c r="D477" s="2479"/>
      <c r="E477" s="2479"/>
      <c r="F477" s="2479"/>
      <c r="G477" s="2479"/>
      <c r="H477" s="2479"/>
      <c r="I477" s="2479"/>
      <c r="J477" s="2479"/>
      <c r="K477" s="2479"/>
      <c r="L477" s="2479"/>
      <c r="M477" s="2479"/>
      <c r="N477" s="2479"/>
      <c r="O477" s="2479"/>
    </row>
    <row r="478" spans="1:15" ht="14.25" x14ac:dyDescent="0.25">
      <c r="B478" s="447"/>
      <c r="C478" s="439" t="s">
        <v>1245</v>
      </c>
      <c r="D478" s="440"/>
      <c r="E478" s="441"/>
      <c r="F478" s="440"/>
      <c r="G478" s="441"/>
      <c r="H478" s="440"/>
      <c r="I478" s="440"/>
      <c r="J478" s="440"/>
      <c r="K478" s="440"/>
      <c r="L478" s="440"/>
      <c r="M478" s="440"/>
      <c r="N478" s="441" t="s">
        <v>493</v>
      </c>
      <c r="O478" s="448"/>
    </row>
    <row r="479" spans="1:15" x14ac:dyDescent="0.2">
      <c r="B479" s="447"/>
      <c r="C479" s="440"/>
      <c r="D479" s="440"/>
      <c r="E479" s="440"/>
      <c r="F479" s="440"/>
      <c r="G479" s="440"/>
      <c r="H479" s="440"/>
      <c r="I479" s="440"/>
      <c r="J479" s="440"/>
      <c r="K479" s="440"/>
      <c r="L479" s="440"/>
      <c r="M479" s="440"/>
      <c r="N479" s="440"/>
      <c r="O479" s="448"/>
    </row>
    <row r="480" spans="1:15" ht="15.75" x14ac:dyDescent="0.25">
      <c r="B480" s="449"/>
      <c r="C480" s="503" t="s">
        <v>490</v>
      </c>
      <c r="D480" s="503" t="s">
        <v>461</v>
      </c>
      <c r="E480" s="503" t="s">
        <v>172</v>
      </c>
      <c r="F480" s="503" t="s">
        <v>241</v>
      </c>
      <c r="G480" s="503" t="s">
        <v>268</v>
      </c>
      <c r="H480" s="503" t="s">
        <v>269</v>
      </c>
      <c r="I480" s="503" t="s">
        <v>270</v>
      </c>
      <c r="J480" s="503" t="s">
        <v>271</v>
      </c>
      <c r="K480" s="503" t="s">
        <v>272</v>
      </c>
      <c r="L480" s="503" t="s">
        <v>273</v>
      </c>
      <c r="M480" s="503" t="s">
        <v>274</v>
      </c>
      <c r="N480" s="503" t="s">
        <v>275</v>
      </c>
    </row>
    <row r="481" spans="2:15" ht="15.75" x14ac:dyDescent="0.25">
      <c r="B481" s="449"/>
      <c r="C481" s="443" t="s">
        <v>473</v>
      </c>
      <c r="D481" s="453" t="s">
        <v>483</v>
      </c>
      <c r="E481" s="443" t="str">
        <f>INDEX(IPCC[Sector_description], MATCH(XII.b.Emissions[IPCC Sector], IPCC[Sector_code], 0))</f>
        <v>Fuel Combustion</v>
      </c>
      <c r="F481" s="455">
        <f t="shared" ref="F481:G483" si="126">F306+F311</f>
        <v>4.7961007539517997</v>
      </c>
      <c r="G481" s="455">
        <f t="shared" ref="G481:N482" si="127">G306+G311</f>
        <v>4.7749028081475968</v>
      </c>
      <c r="H481" s="2472">
        <f t="shared" si="127"/>
        <v>4.6248082013432477</v>
      </c>
      <c r="I481" s="2472">
        <f t="shared" si="127"/>
        <v>4.345816933538754</v>
      </c>
      <c r="J481" s="2472">
        <f t="shared" si="127"/>
        <v>3.9379290047341136</v>
      </c>
      <c r="K481" s="2472">
        <f t="shared" si="127"/>
        <v>4.2194050290115657</v>
      </c>
      <c r="L481" s="2472">
        <f t="shared" si="127"/>
        <v>4.4844559601684866</v>
      </c>
      <c r="M481" s="2472">
        <f t="shared" si="127"/>
        <v>4.7334330178961812</v>
      </c>
      <c r="N481" s="2472">
        <f t="shared" si="127"/>
        <v>4.9660274246044285</v>
      </c>
    </row>
    <row r="482" spans="2:15" ht="15.75" x14ac:dyDescent="0.25">
      <c r="B482" s="449"/>
      <c r="C482" s="443" t="s">
        <v>474</v>
      </c>
      <c r="D482" s="453" t="s">
        <v>483</v>
      </c>
      <c r="E482" s="443" t="str">
        <f>INDEX(IPCC[Sector_description], MATCH(XII.b.Emissions[IPCC Sector], IPCC[Sector_code], 0))</f>
        <v>Fuel Combustion</v>
      </c>
      <c r="F482" s="455">
        <f>F307+F312</f>
        <v>5.971126504857642E-3</v>
      </c>
      <c r="G482" s="455">
        <f t="shared" si="127"/>
        <v>5.9447351460156245E-3</v>
      </c>
      <c r="H482" s="455">
        <f t="shared" si="127"/>
        <v>5.7578679530803697E-3</v>
      </c>
      <c r="I482" s="455">
        <f t="shared" si="127"/>
        <v>5.4105249260518774E-3</v>
      </c>
      <c r="J482" s="455">
        <f t="shared" si="127"/>
        <v>4.9027060649301478E-3</v>
      </c>
      <c r="K482" s="455">
        <f t="shared" si="127"/>
        <v>5.253142603958272E-3</v>
      </c>
      <c r="L482" s="455">
        <f t="shared" si="127"/>
        <v>5.5831299668935158E-3</v>
      </c>
      <c r="M482" s="455">
        <f t="shared" si="127"/>
        <v>5.8931054208650252E-3</v>
      </c>
      <c r="N482" s="455">
        <f t="shared" si="127"/>
        <v>6.1826845389919526E-3</v>
      </c>
    </row>
    <row r="483" spans="2:15" s="1231" customFormat="1" ht="15.75" x14ac:dyDescent="0.25">
      <c r="B483" s="449"/>
      <c r="C483" s="443" t="s">
        <v>475</v>
      </c>
      <c r="D483" s="453" t="s">
        <v>483</v>
      </c>
      <c r="E483" s="443" t="str">
        <f>INDEX(IPCC[Sector_description], MATCH(XII.b.Emissions[IPCC Sector], IPCC[Sector_code], 0))</f>
        <v>Fuel Combustion</v>
      </c>
      <c r="F483" s="455">
        <f t="shared" si="126"/>
        <v>8.6291680208718205E-2</v>
      </c>
      <c r="G483" s="455">
        <f t="shared" si="126"/>
        <v>8.5910285727188423E-2</v>
      </c>
      <c r="H483" s="455">
        <f t="shared" ref="H483:N483" si="128">H308+H313</f>
        <v>8.3209776193325452E-2</v>
      </c>
      <c r="I483" s="455">
        <f t="shared" si="128"/>
        <v>7.8190151607129332E-2</v>
      </c>
      <c r="J483" s="455">
        <f t="shared" si="128"/>
        <v>7.0851411968600009E-2</v>
      </c>
      <c r="K483" s="455">
        <f t="shared" si="128"/>
        <v>7.5915742415235854E-2</v>
      </c>
      <c r="L483" s="455">
        <f t="shared" si="128"/>
        <v>8.0684551780128927E-2</v>
      </c>
      <c r="M483" s="455">
        <f t="shared" si="128"/>
        <v>8.5164159225206745E-2</v>
      </c>
      <c r="N483" s="455">
        <f t="shared" si="128"/>
        <v>8.9349009208907967E-2</v>
      </c>
    </row>
    <row r="484" spans="2:15" s="1231" customFormat="1" ht="15.75" x14ac:dyDescent="0.25">
      <c r="B484" s="449"/>
      <c r="C484" s="2471" t="s">
        <v>105</v>
      </c>
      <c r="D484" s="2471"/>
      <c r="E484" s="2471"/>
      <c r="F484" s="2473">
        <f>SUBTOTAL(109,XII.b.Emissions[2010])</f>
        <v>4.8883635606653755</v>
      </c>
      <c r="G484" s="2473">
        <f>SUBTOTAL(109,XII.b.Emissions[2015])</f>
        <v>4.8667578290208011</v>
      </c>
      <c r="H484" s="2473">
        <f>SUBTOTAL(109,XII.b.Emissions[2020])</f>
        <v>4.7137758454896534</v>
      </c>
      <c r="I484" s="2473">
        <f>SUBTOTAL(109,XII.b.Emissions[2025])</f>
        <v>4.429417610071936</v>
      </c>
      <c r="J484" s="2473">
        <f>SUBTOTAL(109,XII.b.Emissions[2030])</f>
        <v>4.0136831227676435</v>
      </c>
      <c r="K484" s="2473">
        <f>SUBTOTAL(109,XII.b.Emissions[2035])</f>
        <v>4.3005739140307604</v>
      </c>
      <c r="L484" s="2473">
        <f>SUBTOTAL(109,XII.b.Emissions[2040])</f>
        <v>4.5707236419155093</v>
      </c>
      <c r="M484" s="2473">
        <f>SUBTOTAL(109,XII.b.Emissions[2045])</f>
        <v>4.8244902825422535</v>
      </c>
      <c r="N484" s="2473">
        <f>SUBTOTAL(109,XII.b.Emissions[2050])</f>
        <v>5.0615591183523279</v>
      </c>
    </row>
    <row r="485" spans="2:15" s="1231" customFormat="1" ht="15.75" x14ac:dyDescent="0.25">
      <c r="B485" s="449"/>
      <c r="C485" s="443"/>
      <c r="D485" s="443"/>
      <c r="E485" s="443"/>
      <c r="F485" s="512"/>
      <c r="G485" s="512"/>
      <c r="H485" s="512"/>
      <c r="I485" s="512"/>
      <c r="J485" s="512"/>
      <c r="K485" s="512"/>
      <c r="L485" s="512"/>
      <c r="M485" s="512"/>
      <c r="N485" s="512"/>
      <c r="O485" s="448"/>
    </row>
    <row r="486" spans="2:15" s="1231" customFormat="1" ht="15.75" x14ac:dyDescent="0.25">
      <c r="B486" s="449"/>
      <c r="C486" s="439" t="s">
        <v>1240</v>
      </c>
      <c r="D486" s="440"/>
      <c r="E486" s="441"/>
      <c r="F486" s="440"/>
      <c r="G486" s="441"/>
      <c r="H486" s="440"/>
      <c r="I486" s="440"/>
      <c r="J486" s="440"/>
      <c r="K486" s="440"/>
      <c r="L486" s="440"/>
      <c r="M486" s="440"/>
      <c r="N486" s="441" t="s">
        <v>493</v>
      </c>
      <c r="O486" s="448"/>
    </row>
    <row r="487" spans="2:15" s="1231" customFormat="1" ht="15.75" x14ac:dyDescent="0.25">
      <c r="B487" s="449"/>
      <c r="C487" s="440"/>
      <c r="D487" s="440"/>
      <c r="E487" s="440"/>
      <c r="F487" s="440"/>
      <c r="G487" s="440"/>
      <c r="H487" s="440"/>
      <c r="I487" s="440"/>
      <c r="J487" s="440"/>
      <c r="K487" s="440"/>
      <c r="L487" s="440"/>
      <c r="M487" s="440"/>
      <c r="N487" s="440"/>
      <c r="O487" s="448"/>
    </row>
    <row r="488" spans="2:15" s="1231" customFormat="1" ht="15.75" x14ac:dyDescent="0.25">
      <c r="B488" s="449"/>
      <c r="C488" s="503" t="s">
        <v>490</v>
      </c>
      <c r="D488" s="503" t="s">
        <v>461</v>
      </c>
      <c r="E488" s="503" t="s">
        <v>172</v>
      </c>
      <c r="F488" s="503" t="s">
        <v>241</v>
      </c>
      <c r="G488" s="503" t="s">
        <v>268</v>
      </c>
      <c r="H488" s="503" t="s">
        <v>269</v>
      </c>
      <c r="I488" s="503" t="s">
        <v>270</v>
      </c>
      <c r="J488" s="503" t="s">
        <v>271</v>
      </c>
      <c r="K488" s="503" t="s">
        <v>272</v>
      </c>
      <c r="L488" s="503" t="s">
        <v>273</v>
      </c>
      <c r="M488" s="503" t="s">
        <v>274</v>
      </c>
      <c r="N488" s="503" t="s">
        <v>275</v>
      </c>
    </row>
    <row r="489" spans="2:15" s="1231" customFormat="1" ht="15.75" x14ac:dyDescent="0.25">
      <c r="B489" s="449"/>
      <c r="C489" s="443" t="s">
        <v>473</v>
      </c>
      <c r="D489" s="453" t="s">
        <v>483</v>
      </c>
      <c r="E489" s="443" t="str">
        <f>INDEX(IPCC[Sector_description], MATCH(XII.b.Road.Emissions[IPCC Sector], IPCC[Sector_code], 0))</f>
        <v>Fuel Combustion</v>
      </c>
      <c r="F489" s="455">
        <f t="shared" ref="F489:N489" si="129">((F306*(F$281/(F$274+F$281+F$299)))+F311)</f>
        <v>4.727129599922212</v>
      </c>
      <c r="G489" s="455">
        <f t="shared" si="129"/>
        <v>4.5421251632977091</v>
      </c>
      <c r="H489" s="2476">
        <f t="shared" si="129"/>
        <v>4.2282240656730607</v>
      </c>
      <c r="I489" s="455">
        <f t="shared" si="129"/>
        <v>3.7854263070482665</v>
      </c>
      <c r="J489" s="455">
        <f t="shared" si="129"/>
        <v>3.2137318874233265</v>
      </c>
      <c r="K489" s="455">
        <f t="shared" si="129"/>
        <v>3.3314014208804785</v>
      </c>
      <c r="L489" s="455">
        <f t="shared" si="129"/>
        <v>3.4326458612170998</v>
      </c>
      <c r="M489" s="455">
        <f t="shared" si="129"/>
        <v>3.5178164281244935</v>
      </c>
      <c r="N489" s="455">
        <f t="shared" si="129"/>
        <v>3.5866043440124411</v>
      </c>
    </row>
    <row r="490" spans="2:15" s="1231" customFormat="1" ht="15.75" x14ac:dyDescent="0.25">
      <c r="B490" s="449"/>
      <c r="C490" s="443" t="s">
        <v>474</v>
      </c>
      <c r="D490" s="453" t="s">
        <v>483</v>
      </c>
      <c r="E490" s="443" t="str">
        <f>INDEX(IPCC[Sector_description], MATCH(XII.b.Road.Emissions[IPCC Sector], IPCC[Sector_code], 0))</f>
        <v>Fuel Combustion</v>
      </c>
      <c r="F490" s="455">
        <f t="shared" ref="F490:N490" si="130">((F307*(F$281/(F$274+F$281+F$299)))+F312)</f>
        <v>5.8852576903717594E-3</v>
      </c>
      <c r="G490" s="455">
        <f t="shared" si="130"/>
        <v>5.6549278971257336E-3</v>
      </c>
      <c r="H490" s="455">
        <f t="shared" si="130"/>
        <v>5.2641222697864714E-3</v>
      </c>
      <c r="I490" s="455">
        <f t="shared" si="130"/>
        <v>4.7128408083539708E-3</v>
      </c>
      <c r="J490" s="455">
        <f t="shared" si="130"/>
        <v>4.0010835128282329E-3</v>
      </c>
      <c r="K490" s="455">
        <f t="shared" si="130"/>
        <v>4.1475816174523488E-3</v>
      </c>
      <c r="L490" s="455">
        <f t="shared" si="130"/>
        <v>4.2736305459835843E-3</v>
      </c>
      <c r="M490" s="455">
        <f t="shared" si="130"/>
        <v>4.3796675655510845E-3</v>
      </c>
      <c r="N490" s="455">
        <f t="shared" si="130"/>
        <v>4.4653082492740054E-3</v>
      </c>
    </row>
    <row r="491" spans="2:15" s="1231" customFormat="1" ht="15.75" x14ac:dyDescent="0.25">
      <c r="B491" s="449"/>
      <c r="C491" s="443" t="s">
        <v>475</v>
      </c>
      <c r="D491" s="453" t="s">
        <v>483</v>
      </c>
      <c r="E491" s="443" t="str">
        <f>INDEX(IPCC[Sector_description], MATCH(XII.b.Road.Emissions[IPCC Sector], IPCC[Sector_code], 0))</f>
        <v>Fuel Combustion</v>
      </c>
      <c r="F491" s="455">
        <f t="shared" ref="F491:N491" si="131">((F308*(F$281/(F$274+F$281+F$299)))+F313)</f>
        <v>8.505074781958033E-2</v>
      </c>
      <c r="G491" s="455">
        <f t="shared" si="131"/>
        <v>8.1722138913847539E-2</v>
      </c>
      <c r="H491" s="455">
        <f t="shared" si="131"/>
        <v>7.6074414955781558E-2</v>
      </c>
      <c r="I491" s="455">
        <f t="shared" si="131"/>
        <v>6.8107575945382443E-2</v>
      </c>
      <c r="J491" s="455">
        <f t="shared" si="131"/>
        <v>5.7821621882650102E-2</v>
      </c>
      <c r="K491" s="455">
        <f t="shared" si="131"/>
        <v>5.9938737905082959E-2</v>
      </c>
      <c r="L491" s="455">
        <f t="shared" si="131"/>
        <v>6.1760332845773015E-2</v>
      </c>
      <c r="M491" s="455">
        <f t="shared" si="131"/>
        <v>6.3292725866647803E-2</v>
      </c>
      <c r="N491" s="455">
        <f t="shared" si="131"/>
        <v>6.453036142614603E-2</v>
      </c>
    </row>
    <row r="492" spans="2:15" s="1231" customFormat="1" ht="15.75" x14ac:dyDescent="0.25">
      <c r="B492" s="449"/>
      <c r="C492" s="2475" t="s">
        <v>105</v>
      </c>
      <c r="D492" s="2475"/>
      <c r="E492" s="2475"/>
      <c r="F492" s="2477">
        <f>SUBTOTAL(109,XII.b.Road.Emissions[2010])</f>
        <v>4.8180656054321638</v>
      </c>
      <c r="G492" s="2477">
        <f>SUBTOTAL(109,XII.b.Road.Emissions[2015])</f>
        <v>4.6295022301086828</v>
      </c>
      <c r="H492" s="2477">
        <f>SUBTOTAL(109,XII.b.Road.Emissions[2020])</f>
        <v>4.3095626028986294</v>
      </c>
      <c r="I492" s="2477">
        <f>SUBTOTAL(109,XII.b.Road.Emissions[2025])</f>
        <v>3.8582467238020031</v>
      </c>
      <c r="J492" s="2477">
        <f>SUBTOTAL(109,XII.b.Road.Emissions[2030])</f>
        <v>3.2755545928188048</v>
      </c>
      <c r="K492" s="2477">
        <f>SUBTOTAL(109,XII.b.Road.Emissions[2035])</f>
        <v>3.3954877404030142</v>
      </c>
      <c r="L492" s="2477">
        <f>SUBTOTAL(109,XII.b.Road.Emissions[2040])</f>
        <v>3.4986798246088564</v>
      </c>
      <c r="M492" s="2477">
        <f>SUBTOTAL(109,XII.b.Road.Emissions[2045])</f>
        <v>3.5854888215566922</v>
      </c>
      <c r="N492" s="2477">
        <f>SUBTOTAL(109,XII.b.Road.Emissions[2050])</f>
        <v>3.6556000136878608</v>
      </c>
    </row>
    <row r="493" spans="2:15" s="1231" customFormat="1" ht="15.75" x14ac:dyDescent="0.25">
      <c r="B493" s="449"/>
      <c r="C493" s="443"/>
      <c r="D493" s="443"/>
      <c r="E493" s="443"/>
      <c r="F493" s="512"/>
      <c r="G493" s="512"/>
      <c r="H493" s="512"/>
      <c r="I493" s="512"/>
      <c r="J493" s="512"/>
      <c r="K493" s="512"/>
      <c r="L493" s="512"/>
      <c r="M493" s="512"/>
      <c r="N493" s="512"/>
      <c r="O493" s="448"/>
    </row>
    <row r="494" spans="2:15" s="1231" customFormat="1" ht="15.75" x14ac:dyDescent="0.25">
      <c r="B494" s="449"/>
      <c r="C494" s="439" t="s">
        <v>1239</v>
      </c>
      <c r="D494" s="440"/>
      <c r="E494" s="441"/>
      <c r="F494" s="440"/>
      <c r="G494" s="441"/>
      <c r="H494" s="440"/>
      <c r="I494" s="440"/>
      <c r="J494" s="440"/>
      <c r="K494" s="440"/>
      <c r="L494" s="440"/>
      <c r="M494" s="440"/>
      <c r="N494" s="441" t="s">
        <v>493</v>
      </c>
      <c r="O494" s="448"/>
    </row>
    <row r="495" spans="2:15" s="1231" customFormat="1" ht="15.75" x14ac:dyDescent="0.25">
      <c r="B495" s="449"/>
      <c r="C495" s="440"/>
      <c r="D495" s="440"/>
      <c r="E495" s="440"/>
      <c r="F495" s="440"/>
      <c r="G495" s="440"/>
      <c r="H495" s="440"/>
      <c r="I495" s="440"/>
      <c r="J495" s="440"/>
      <c r="K495" s="440"/>
      <c r="L495" s="440"/>
      <c r="M495" s="440"/>
      <c r="N495" s="440"/>
      <c r="O495" s="448"/>
    </row>
    <row r="496" spans="2:15" s="1231" customFormat="1" ht="15.75" x14ac:dyDescent="0.25">
      <c r="B496" s="449"/>
      <c r="C496" s="503" t="s">
        <v>490</v>
      </c>
      <c r="D496" s="503" t="s">
        <v>461</v>
      </c>
      <c r="E496" s="503" t="s">
        <v>172</v>
      </c>
      <c r="F496" s="503" t="s">
        <v>241</v>
      </c>
      <c r="G496" s="503" t="s">
        <v>268</v>
      </c>
      <c r="H496" s="503" t="s">
        <v>269</v>
      </c>
      <c r="I496" s="503" t="s">
        <v>270</v>
      </c>
      <c r="J496" s="503" t="s">
        <v>271</v>
      </c>
      <c r="K496" s="503" t="s">
        <v>272</v>
      </c>
      <c r="L496" s="503" t="s">
        <v>273</v>
      </c>
      <c r="M496" s="503" t="s">
        <v>274</v>
      </c>
      <c r="N496" s="503" t="s">
        <v>275</v>
      </c>
    </row>
    <row r="497" spans="2:15" s="1231" customFormat="1" ht="15.75" x14ac:dyDescent="0.25">
      <c r="B497" s="449"/>
      <c r="C497" s="443" t="s">
        <v>473</v>
      </c>
      <c r="D497" s="453" t="s">
        <v>483</v>
      </c>
      <c r="E497" s="443" t="str">
        <f>INDEX(IPCC[Sector_description], MATCH(XII.b.Rail.Emissions[IPCC Sector], IPCC[Sector_code], 0))</f>
        <v>Fuel Combustion</v>
      </c>
      <c r="F497" s="455">
        <f t="shared" ref="F497:N497" si="132">(F306*(F$274/(F$274+F$281+F$299)))</f>
        <v>6.8971154029587298E-2</v>
      </c>
      <c r="G497" s="455">
        <f t="shared" si="132"/>
        <v>0.23277764484985711</v>
      </c>
      <c r="H497" s="455">
        <f t="shared" si="132"/>
        <v>0.39658413567012696</v>
      </c>
      <c r="I497" s="455">
        <f t="shared" si="132"/>
        <v>0.56039062649039673</v>
      </c>
      <c r="J497" s="455">
        <f t="shared" si="132"/>
        <v>0.72419711731066649</v>
      </c>
      <c r="K497" s="455">
        <f t="shared" si="132"/>
        <v>0.88800360813093626</v>
      </c>
      <c r="L497" s="455">
        <f t="shared" si="132"/>
        <v>1.051810098951206</v>
      </c>
      <c r="M497" s="455">
        <f t="shared" si="132"/>
        <v>1.2156165897714759</v>
      </c>
      <c r="N497" s="455">
        <f t="shared" si="132"/>
        <v>1.3794230805917458</v>
      </c>
    </row>
    <row r="498" spans="2:15" s="1231" customFormat="1" ht="15.75" x14ac:dyDescent="0.25">
      <c r="B498" s="449"/>
      <c r="C498" s="443" t="s">
        <v>474</v>
      </c>
      <c r="D498" s="453" t="s">
        <v>483</v>
      </c>
      <c r="E498" s="443" t="str">
        <f>INDEX(IPCC[Sector_description], MATCH(XII.b.Rail.Emissions[IPCC Sector], IPCC[Sector_code], 0))</f>
        <v>Fuel Combustion</v>
      </c>
      <c r="F498" s="455">
        <f t="shared" ref="F498:N498" si="133">(F307*(F$274/(F$274+F$281+F$299)))</f>
        <v>8.586881448588237E-5</v>
      </c>
      <c r="G498" s="455">
        <f t="shared" si="133"/>
        <v>2.8980724888985301E-4</v>
      </c>
      <c r="H498" s="455">
        <f t="shared" si="133"/>
        <v>4.9374568329382373E-4</v>
      </c>
      <c r="I498" s="455">
        <f t="shared" si="133"/>
        <v>6.9768411769779418E-4</v>
      </c>
      <c r="J498" s="455">
        <f t="shared" si="133"/>
        <v>9.0162255210176484E-4</v>
      </c>
      <c r="K498" s="455">
        <f t="shared" si="133"/>
        <v>1.1055609865057354E-3</v>
      </c>
      <c r="L498" s="455">
        <f t="shared" si="133"/>
        <v>1.3094994209097057E-3</v>
      </c>
      <c r="M498" s="455">
        <f t="shared" si="133"/>
        <v>1.5134378553136767E-3</v>
      </c>
      <c r="N498" s="455">
        <f t="shared" si="133"/>
        <v>1.7173762897176473E-3</v>
      </c>
    </row>
    <row r="499" spans="2:15" s="1231" customFormat="1" ht="15.75" x14ac:dyDescent="0.25">
      <c r="B499" s="449"/>
      <c r="C499" s="443" t="s">
        <v>475</v>
      </c>
      <c r="D499" s="453" t="s">
        <v>483</v>
      </c>
      <c r="E499" s="443" t="str">
        <f>INDEX(IPCC[Sector_description], MATCH(XII.b.Rail.Emissions[IPCC Sector], IPCC[Sector_code], 0))</f>
        <v>Fuel Combustion</v>
      </c>
      <c r="F499" s="455">
        <f t="shared" ref="F499:N499" si="134">(F308*(F$274/(F$274+F$281+F$299)))</f>
        <v>1.2409323891378796E-3</v>
      </c>
      <c r="G499" s="455">
        <f t="shared" si="134"/>
        <v>4.1881468133403432E-3</v>
      </c>
      <c r="H499" s="455">
        <f t="shared" si="134"/>
        <v>7.1353612375428081E-3</v>
      </c>
      <c r="I499" s="455">
        <f t="shared" si="134"/>
        <v>1.0082575661745271E-2</v>
      </c>
      <c r="J499" s="455">
        <f t="shared" si="134"/>
        <v>1.3029790085947733E-2</v>
      </c>
      <c r="K499" s="455">
        <f t="shared" si="134"/>
        <v>1.5977004510150196E-2</v>
      </c>
      <c r="L499" s="455">
        <f t="shared" si="134"/>
        <v>1.8924218934352661E-2</v>
      </c>
      <c r="M499" s="455">
        <f t="shared" si="134"/>
        <v>2.1871433358555126E-2</v>
      </c>
      <c r="N499" s="455">
        <f t="shared" si="134"/>
        <v>2.4818647782757591E-2</v>
      </c>
    </row>
    <row r="500" spans="2:15" s="1231" customFormat="1" ht="15.75" x14ac:dyDescent="0.25">
      <c r="B500" s="449"/>
      <c r="C500" s="2475" t="s">
        <v>105</v>
      </c>
      <c r="D500" s="2475"/>
      <c r="E500" s="2475"/>
      <c r="F500" s="2477">
        <f>SUBTOTAL(109,XII.b.Rail.Emissions[2010])</f>
        <v>7.0297955233211057E-2</v>
      </c>
      <c r="G500" s="2477">
        <f>SUBTOTAL(109,XII.b.Rail.Emissions[2015])</f>
        <v>0.23725559891208731</v>
      </c>
      <c r="H500" s="2477">
        <f>SUBTOTAL(109,XII.b.Rail.Emissions[2020])</f>
        <v>0.40421324259096358</v>
      </c>
      <c r="I500" s="2477">
        <f>SUBTOTAL(109,XII.b.Rail.Emissions[2025])</f>
        <v>0.57117088626983981</v>
      </c>
      <c r="J500" s="2477">
        <f>SUBTOTAL(109,XII.b.Rail.Emissions[2030])</f>
        <v>0.73812852994871603</v>
      </c>
      <c r="K500" s="2477">
        <f>SUBTOTAL(109,XII.b.Rail.Emissions[2035])</f>
        <v>0.90508617362759214</v>
      </c>
      <c r="L500" s="2477">
        <f>SUBTOTAL(109,XII.b.Rail.Emissions[2040])</f>
        <v>1.0720438173064684</v>
      </c>
      <c r="M500" s="2477">
        <f>SUBTOTAL(109,XII.b.Rail.Emissions[2045])</f>
        <v>1.2390014609853446</v>
      </c>
      <c r="N500" s="2477">
        <f>SUBTOTAL(109,XII.b.Rail.Emissions[2050])</f>
        <v>1.405959104664221</v>
      </c>
    </row>
    <row r="501" spans="2:15" s="1231" customFormat="1" ht="15.75" x14ac:dyDescent="0.25">
      <c r="B501" s="449"/>
      <c r="C501" s="443"/>
      <c r="D501" s="443"/>
      <c r="E501" s="443"/>
      <c r="F501" s="512"/>
      <c r="G501" s="512"/>
      <c r="H501" s="512"/>
      <c r="I501" s="512"/>
      <c r="J501" s="512"/>
      <c r="K501" s="512"/>
      <c r="L501" s="512"/>
      <c r="M501" s="512"/>
      <c r="N501" s="512"/>
      <c r="O501" s="448"/>
    </row>
    <row r="502" spans="2:15" s="1231" customFormat="1" ht="15.75" x14ac:dyDescent="0.25">
      <c r="B502" s="449"/>
      <c r="C502" s="439" t="s">
        <v>2340</v>
      </c>
      <c r="D502" s="440"/>
      <c r="E502" s="441"/>
      <c r="F502" s="440"/>
      <c r="G502" s="441"/>
      <c r="H502" s="440"/>
      <c r="I502" s="440"/>
      <c r="J502" s="440"/>
      <c r="K502" s="440"/>
      <c r="L502" s="440"/>
      <c r="M502" s="440"/>
      <c r="N502" s="441" t="s">
        <v>493</v>
      </c>
      <c r="O502" s="448"/>
    </row>
    <row r="503" spans="2:15" s="1231" customFormat="1" ht="15.75" x14ac:dyDescent="0.25">
      <c r="B503" s="449"/>
      <c r="C503" s="440"/>
      <c r="D503" s="440"/>
      <c r="E503" s="440"/>
      <c r="F503" s="440"/>
      <c r="G503" s="440"/>
      <c r="H503" s="440"/>
      <c r="I503" s="440"/>
      <c r="J503" s="440"/>
      <c r="K503" s="440"/>
      <c r="L503" s="440"/>
      <c r="M503" s="440"/>
      <c r="N503" s="440"/>
      <c r="O503" s="448"/>
    </row>
    <row r="504" spans="2:15" s="1231" customFormat="1" ht="15.75" x14ac:dyDescent="0.25">
      <c r="B504" s="449"/>
      <c r="C504" s="503" t="s">
        <v>490</v>
      </c>
      <c r="D504" s="503" t="s">
        <v>461</v>
      </c>
      <c r="E504" s="503" t="s">
        <v>172</v>
      </c>
      <c r="F504" s="503" t="s">
        <v>241</v>
      </c>
      <c r="G504" s="503" t="s">
        <v>268</v>
      </c>
      <c r="H504" s="503" t="s">
        <v>269</v>
      </c>
      <c r="I504" s="503" t="s">
        <v>270</v>
      </c>
      <c r="J504" s="503" t="s">
        <v>271</v>
      </c>
      <c r="K504" s="503" t="s">
        <v>272</v>
      </c>
      <c r="L504" s="503" t="s">
        <v>273</v>
      </c>
      <c r="M504" s="503" t="s">
        <v>274</v>
      </c>
      <c r="N504" s="503" t="s">
        <v>275</v>
      </c>
    </row>
    <row r="505" spans="2:15" s="1231" customFormat="1" ht="15.75" x14ac:dyDescent="0.25">
      <c r="B505" s="449"/>
      <c r="C505" s="443" t="s">
        <v>473</v>
      </c>
      <c r="D505" s="453" t="s">
        <v>483</v>
      </c>
      <c r="E505" s="443" t="str">
        <f>INDEX(IPCC[Sector_description], MATCH(XII.b.Barge.Emissions[IPCC Sector], IPCC[Sector_code], 0))</f>
        <v>Fuel Combustion</v>
      </c>
      <c r="F505" s="455">
        <f t="shared" ref="F505:G507" si="135">(F306*(F$299/(F$274+F$281+F$299)))</f>
        <v>0</v>
      </c>
      <c r="G505" s="455">
        <f t="shared" si="135"/>
        <v>3.0147862003195457E-14</v>
      </c>
      <c r="H505" s="455">
        <f t="shared" ref="H505:N507" si="136">(H306*(H$299/(H$274+H$281+H$299)))</f>
        <v>6.0295724006390915E-14</v>
      </c>
      <c r="I505" s="455">
        <f t="shared" si="136"/>
        <v>9.0443586009586366E-14</v>
      </c>
      <c r="J505" s="455">
        <f t="shared" si="136"/>
        <v>1.2059144801278183E-13</v>
      </c>
      <c r="K505" s="455">
        <f t="shared" si="136"/>
        <v>1.5073931001597728E-13</v>
      </c>
      <c r="L505" s="455">
        <f t="shared" si="136"/>
        <v>1.8088717201917276E-13</v>
      </c>
      <c r="M505" s="455">
        <f t="shared" si="136"/>
        <v>2.1103503402236821E-13</v>
      </c>
      <c r="N505" s="455">
        <f t="shared" si="136"/>
        <v>2.4118289602556366E-13</v>
      </c>
    </row>
    <row r="506" spans="2:15" s="1231" customFormat="1" ht="15.75" x14ac:dyDescent="0.25">
      <c r="B506" s="449"/>
      <c r="C506" s="443" t="s">
        <v>474</v>
      </c>
      <c r="D506" s="453" t="s">
        <v>483</v>
      </c>
      <c r="E506" s="443" t="str">
        <f>INDEX(IPCC[Sector_description], MATCH(XII.b.Barge.Emissions[IPCC Sector], IPCC[Sector_code], 0))</f>
        <v>Fuel Combustion</v>
      </c>
      <c r="F506" s="455">
        <f t="shared" si="135"/>
        <v>0</v>
      </c>
      <c r="G506" s="455">
        <f>(G307*(G$301/(G$274+G$281+G$301)))</f>
        <v>6.175700013290687E-4</v>
      </c>
      <c r="H506" s="455">
        <f t="shared" si="136"/>
        <v>7.5067938355441882E-17</v>
      </c>
      <c r="I506" s="455">
        <f t="shared" si="136"/>
        <v>1.1260190753316282E-16</v>
      </c>
      <c r="J506" s="455">
        <f t="shared" si="136"/>
        <v>1.5013587671088376E-16</v>
      </c>
      <c r="K506" s="455">
        <f t="shared" si="136"/>
        <v>1.876698458886047E-16</v>
      </c>
      <c r="L506" s="455">
        <f t="shared" si="136"/>
        <v>2.2520381506632564E-16</v>
      </c>
      <c r="M506" s="455">
        <f t="shared" si="136"/>
        <v>2.6273778424404659E-16</v>
      </c>
      <c r="N506" s="455">
        <f t="shared" si="136"/>
        <v>3.0027175342176753E-16</v>
      </c>
    </row>
    <row r="507" spans="2:15" ht="15.75" x14ac:dyDescent="0.25">
      <c r="B507" s="449"/>
      <c r="C507" s="443" t="s">
        <v>475</v>
      </c>
      <c r="D507" s="453" t="s">
        <v>483</v>
      </c>
      <c r="E507" s="443" t="str">
        <f>INDEX(IPCC[Sector_description], MATCH(XII.b.Barge.Emissions[IPCC Sector], IPCC[Sector_code], 0))</f>
        <v>Fuel Combustion</v>
      </c>
      <c r="F507" s="455">
        <f t="shared" si="135"/>
        <v>0</v>
      </c>
      <c r="G507" s="455">
        <f>(G308*(G$301/(G$274+G$281+G$301)))</f>
        <v>8.9248072399457871E-3</v>
      </c>
      <c r="H507" s="455">
        <f t="shared" si="136"/>
        <v>1.0848436262781872E-15</v>
      </c>
      <c r="I507" s="455">
        <f t="shared" si="136"/>
        <v>1.6272654394172808E-15</v>
      </c>
      <c r="J507" s="455">
        <f t="shared" si="136"/>
        <v>2.169687252556374E-15</v>
      </c>
      <c r="K507" s="455">
        <f t="shared" si="136"/>
        <v>2.7121090656954676E-15</v>
      </c>
      <c r="L507" s="455">
        <f t="shared" si="136"/>
        <v>3.254530878834562E-15</v>
      </c>
      <c r="M507" s="455">
        <f t="shared" si="136"/>
        <v>3.7969526919736556E-15</v>
      </c>
      <c r="N507" s="455">
        <f t="shared" si="136"/>
        <v>4.3393745051127489E-15</v>
      </c>
    </row>
    <row r="508" spans="2:15" ht="15.75" x14ac:dyDescent="0.25">
      <c r="B508" s="449"/>
      <c r="C508" s="2475" t="s">
        <v>105</v>
      </c>
      <c r="D508" s="2475"/>
      <c r="E508" s="2475"/>
      <c r="F508" s="2477">
        <f>SUBTOTAL(109,XII.b.Barge.Emissions[2010])</f>
        <v>0</v>
      </c>
      <c r="G508" s="2477">
        <f>SUBTOTAL(109,XII.b.Barge.Emissions[2015])</f>
        <v>9.5423772413050032E-3</v>
      </c>
      <c r="H508" s="2477">
        <f>SUBTOTAL(109,XII.b.Barge.Emissions[2020])</f>
        <v>6.1455635571024547E-14</v>
      </c>
      <c r="I508" s="2477">
        <f>SUBTOTAL(109,XII.b.Barge.Emissions[2025])</f>
        <v>9.2183453356536814E-14</v>
      </c>
      <c r="J508" s="2477">
        <f>SUBTOTAL(109,XII.b.Barge.Emissions[2030])</f>
        <v>1.2291127114204909E-13</v>
      </c>
      <c r="K508" s="2477">
        <f>SUBTOTAL(109,XII.b.Barge.Emissions[2035])</f>
        <v>1.5363908892756136E-13</v>
      </c>
      <c r="L508" s="2477">
        <f>SUBTOTAL(109,XII.b.Barge.Emissions[2040])</f>
        <v>1.8436690671307365E-13</v>
      </c>
      <c r="M508" s="2477">
        <f>SUBTOTAL(109,XII.b.Barge.Emissions[2045])</f>
        <v>2.1509472449858592E-13</v>
      </c>
      <c r="N508" s="2477">
        <f>SUBTOTAL(109,XII.b.Barge.Emissions[2050])</f>
        <v>2.4582254228409819E-13</v>
      </c>
    </row>
    <row r="509" spans="2:15" ht="15.75" x14ac:dyDescent="0.25">
      <c r="B509" s="449"/>
      <c r="C509" s="440"/>
      <c r="D509" s="440"/>
      <c r="E509" s="440"/>
      <c r="F509" s="440"/>
      <c r="G509" s="440"/>
      <c r="H509" s="440"/>
      <c r="I509" s="440"/>
      <c r="J509" s="440"/>
      <c r="K509" s="440"/>
      <c r="L509" s="440"/>
      <c r="M509" s="440"/>
      <c r="N509" s="440"/>
    </row>
    <row r="510" spans="2:15" s="1225" customFormat="1" ht="21.75" customHeight="1" collapsed="1" x14ac:dyDescent="0.2"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1188"/>
    </row>
    <row r="511" spans="2:15" s="1225" customFormat="1" x14ac:dyDescent="0.2"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1221"/>
    </row>
    <row r="512" spans="2:15" s="1225" customFormat="1" ht="15.75" x14ac:dyDescent="0.2">
      <c r="B512" s="1186" t="s">
        <v>1225</v>
      </c>
      <c r="C512" s="1218"/>
      <c r="D512" s="1187"/>
      <c r="E512" s="1187"/>
      <c r="F512" s="1187"/>
      <c r="G512" s="1187"/>
      <c r="H512" s="1187"/>
      <c r="I512" s="1187"/>
      <c r="J512" s="1187"/>
      <c r="K512" s="1187"/>
      <c r="L512" s="1187"/>
      <c r="M512" s="1187"/>
      <c r="N512" s="1187"/>
      <c r="O512" s="1191"/>
    </row>
    <row r="513" spans="2:15" s="1225" customFormat="1" x14ac:dyDescent="0.2">
      <c r="B513" s="1219"/>
      <c r="C513" s="1220"/>
      <c r="D513" s="1220"/>
      <c r="E513" s="1220"/>
      <c r="F513" s="1220"/>
      <c r="G513" s="1220"/>
      <c r="H513" s="1220"/>
      <c r="I513" s="1220"/>
      <c r="J513" s="1220"/>
      <c r="K513" s="1220"/>
      <c r="L513" s="1220"/>
      <c r="M513" s="1220"/>
      <c r="N513" s="1220"/>
      <c r="O513" s="1191"/>
    </row>
    <row r="514" spans="2:15" s="1225" customFormat="1" x14ac:dyDescent="0.2">
      <c r="B514" s="1189"/>
      <c r="C514" s="1222" t="s">
        <v>1230</v>
      </c>
      <c r="D514" s="1190"/>
      <c r="E514" s="1223"/>
      <c r="F514" s="1190"/>
      <c r="G514" s="1223"/>
      <c r="H514" s="1190"/>
      <c r="I514" s="1190"/>
      <c r="J514" s="1190"/>
      <c r="K514" s="1190"/>
      <c r="L514" s="1190"/>
      <c r="M514" s="1190"/>
      <c r="N514" s="1190"/>
      <c r="O514" s="1191"/>
    </row>
    <row r="515" spans="2:15" s="1225" customFormat="1" x14ac:dyDescent="0.2">
      <c r="B515" s="1189"/>
      <c r="C515" s="1190"/>
      <c r="D515" s="1190"/>
      <c r="E515" s="1190"/>
      <c r="F515" s="1190"/>
      <c r="G515" s="1190"/>
      <c r="H515" s="1190"/>
      <c r="I515" s="1190"/>
      <c r="J515" s="1190"/>
      <c r="K515" s="1190"/>
      <c r="L515" s="1190"/>
      <c r="M515" s="1190"/>
      <c r="N515" s="1190"/>
      <c r="O515" s="1191"/>
    </row>
    <row r="516" spans="2:15" s="1225" customFormat="1" ht="15.75" x14ac:dyDescent="0.25">
      <c r="B516" s="1192"/>
      <c r="C516" s="1193" t="s">
        <v>64</v>
      </c>
      <c r="D516" s="1193" t="s">
        <v>1226</v>
      </c>
      <c r="E516" s="1193" t="s">
        <v>172</v>
      </c>
      <c r="F516" s="1193" t="s">
        <v>241</v>
      </c>
      <c r="G516" s="1193" t="s">
        <v>268</v>
      </c>
      <c r="H516" s="1193" t="s">
        <v>269</v>
      </c>
      <c r="I516" s="1193" t="s">
        <v>270</v>
      </c>
      <c r="J516" s="1193" t="s">
        <v>271</v>
      </c>
      <c r="K516" s="1193" t="s">
        <v>272</v>
      </c>
      <c r="L516" s="1193" t="s">
        <v>273</v>
      </c>
      <c r="M516" s="1193" t="s">
        <v>274</v>
      </c>
      <c r="N516" s="1193" t="s">
        <v>275</v>
      </c>
    </row>
    <row r="517" spans="2:15" s="1225" customFormat="1" ht="15.75" x14ac:dyDescent="0.25">
      <c r="B517" s="1192"/>
      <c r="C517" s="1194" t="s">
        <v>1227</v>
      </c>
      <c r="D517" s="1195" t="str">
        <f>INDEX(Vectors[Description], MATCH(XII.b.info[Vector], Vectors[Code], 0))</f>
        <v>Nigeria Land area</v>
      </c>
      <c r="E517" s="1195">
        <f>INDEX(Vectors[Comment], MATCH(XII.b.info[Information type], Vectors[Description], 0))</f>
        <v>0</v>
      </c>
      <c r="F517" s="1226"/>
      <c r="G517" s="1226"/>
      <c r="H517" s="1226"/>
      <c r="I517" s="1226"/>
      <c r="J517" s="1226"/>
      <c r="K517" s="1226"/>
      <c r="L517" s="1226"/>
      <c r="M517" s="1226"/>
      <c r="N517" s="1226"/>
    </row>
    <row r="518" spans="2:15" s="1225" customFormat="1" ht="15.75" x14ac:dyDescent="0.25">
      <c r="B518" s="1192"/>
      <c r="C518" s="1194" t="s">
        <v>1232</v>
      </c>
      <c r="D518" s="1195" t="str">
        <f>INDEX(Vectors[Description], MATCH(XII.b.info[Vector], Vectors[Code], 0))</f>
        <v xml:space="preserve">Installed Capacity </v>
      </c>
      <c r="E518" s="1195">
        <f>INDEX(Vectors[Comment], MATCH(XII.b.info[Information type], Vectors[Description], 0))</f>
        <v>0</v>
      </c>
      <c r="F518" s="1226">
        <f t="shared" ref="F518:N518" si="137">F300</f>
        <v>0</v>
      </c>
      <c r="G518" s="1226">
        <f t="shared" si="137"/>
        <v>0</v>
      </c>
      <c r="H518" s="1226">
        <f t="shared" si="137"/>
        <v>0</v>
      </c>
      <c r="I518" s="1226">
        <f t="shared" si="137"/>
        <v>0</v>
      </c>
      <c r="J518" s="1226">
        <f t="shared" si="137"/>
        <v>0</v>
      </c>
      <c r="K518" s="1226">
        <f t="shared" si="137"/>
        <v>0</v>
      </c>
      <c r="L518" s="1226">
        <f t="shared" si="137"/>
        <v>0</v>
      </c>
      <c r="M518" s="1226">
        <f t="shared" si="137"/>
        <v>0</v>
      </c>
      <c r="N518" s="1226">
        <f t="shared" si="137"/>
        <v>0</v>
      </c>
    </row>
    <row r="519" spans="2:15" ht="15.75" x14ac:dyDescent="0.25">
      <c r="B519" s="1192"/>
      <c r="C519" s="1194" t="s">
        <v>1233</v>
      </c>
      <c r="D519" s="1195" t="str">
        <f>INDEX(Vectors[Description], MATCH(XII.b.info[Vector], Vectors[Code], 0))</f>
        <v>Number of units</v>
      </c>
      <c r="E519" s="1195"/>
      <c r="F519" s="1226"/>
      <c r="G519" s="1226"/>
      <c r="H519" s="1226"/>
      <c r="I519" s="1226"/>
      <c r="J519" s="1226"/>
      <c r="K519" s="1226"/>
      <c r="L519" s="1226"/>
      <c r="M519" s="1226"/>
      <c r="N519" s="1226"/>
    </row>
    <row r="520" spans="2:15" s="1375" customFormat="1" ht="15.75" x14ac:dyDescent="0.25">
      <c r="B520" s="1227"/>
      <c r="C520" s="1197"/>
      <c r="D520" s="1197"/>
      <c r="E520" s="1197"/>
      <c r="F520" s="1197"/>
      <c r="G520" s="1197"/>
      <c r="H520" s="1197"/>
      <c r="I520" s="1197"/>
      <c r="J520" s="1197"/>
      <c r="K520" s="1197"/>
      <c r="L520" s="1197"/>
      <c r="M520" s="1197"/>
      <c r="N520" s="1197"/>
    </row>
    <row r="521" spans="2:15" s="1375" customFormat="1" ht="22.5" customHeight="1" x14ac:dyDescent="0.2"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1188"/>
    </row>
    <row r="522" spans="2:15" s="1375" customFormat="1" x14ac:dyDescent="0.2">
      <c r="O522" s="1191"/>
    </row>
    <row r="523" spans="2:15" s="1375" customFormat="1" ht="15.75" customHeight="1" x14ac:dyDescent="0.2">
      <c r="B523" s="1186" t="s">
        <v>1424</v>
      </c>
      <c r="C523" s="1187"/>
      <c r="D523" s="1187"/>
      <c r="E523" s="1187"/>
      <c r="F523" s="1187"/>
      <c r="G523" s="1187"/>
      <c r="H523" s="1187"/>
      <c r="I523" s="1187"/>
      <c r="J523" s="1187"/>
      <c r="K523" s="1187"/>
      <c r="L523" s="1187"/>
      <c r="M523" s="1187"/>
      <c r="N523" s="1187"/>
      <c r="O523" s="1191"/>
    </row>
    <row r="524" spans="2:15" s="1375" customFormat="1" ht="5.25" customHeight="1" x14ac:dyDescent="0.2">
      <c r="B524" s="1189"/>
      <c r="C524" s="1190"/>
      <c r="D524" s="1190"/>
      <c r="E524" s="1190"/>
      <c r="F524" s="1190"/>
      <c r="G524" s="1190"/>
      <c r="H524" s="1190"/>
      <c r="I524" s="1190"/>
      <c r="J524" s="1190"/>
      <c r="K524" s="1190"/>
      <c r="L524" s="1190"/>
      <c r="M524" s="1190"/>
      <c r="N524" s="1190"/>
      <c r="O524" s="1191"/>
    </row>
    <row r="525" spans="2:15" s="1375" customFormat="1" x14ac:dyDescent="0.2">
      <c r="B525" s="1189"/>
      <c r="C525" s="1367" t="s">
        <v>1425</v>
      </c>
      <c r="D525" s="1368"/>
      <c r="E525" s="1368"/>
      <c r="F525" s="1368"/>
      <c r="G525" s="1368"/>
      <c r="H525" s="1368"/>
      <c r="I525" s="1368"/>
      <c r="J525" s="1368"/>
      <c r="K525" s="1368"/>
      <c r="L525" s="1368"/>
      <c r="M525" s="1368"/>
      <c r="N525" s="1368"/>
      <c r="O525" s="1369"/>
    </row>
    <row r="526" spans="2:15" s="1375" customFormat="1" x14ac:dyDescent="0.2">
      <c r="B526" s="1189"/>
      <c r="C526" s="1190"/>
      <c r="D526" s="1190"/>
      <c r="E526" s="1190"/>
      <c r="F526" s="1190"/>
      <c r="G526" s="1190"/>
      <c r="H526" s="1190"/>
      <c r="I526" s="1190"/>
      <c r="J526" s="1190"/>
      <c r="K526" s="1190"/>
      <c r="L526" s="1190"/>
      <c r="M526" s="1190"/>
      <c r="N526" s="1190"/>
      <c r="O526" s="1369"/>
    </row>
    <row r="527" spans="2:15" s="1375" customFormat="1" ht="15.75" x14ac:dyDescent="0.25">
      <c r="B527" s="1192"/>
      <c r="C527" s="1193" t="s">
        <v>64</v>
      </c>
      <c r="D527" s="1193" t="s">
        <v>150</v>
      </c>
      <c r="E527" s="1193" t="s">
        <v>172</v>
      </c>
      <c r="F527" s="1193" t="s">
        <v>241</v>
      </c>
      <c r="G527" s="1193" t="s">
        <v>268</v>
      </c>
      <c r="H527" s="1193" t="s">
        <v>269</v>
      </c>
      <c r="I527" s="1193" t="s">
        <v>270</v>
      </c>
      <c r="J527" s="1193" t="s">
        <v>271</v>
      </c>
      <c r="K527" s="1193" t="s">
        <v>272</v>
      </c>
      <c r="L527" s="1193" t="s">
        <v>273</v>
      </c>
      <c r="M527" s="1193" t="s">
        <v>274</v>
      </c>
      <c r="N527" s="1193" t="s">
        <v>275</v>
      </c>
    </row>
    <row r="528" spans="2:15" s="1375" customFormat="1" ht="15.75" x14ac:dyDescent="0.25">
      <c r="B528" s="1192"/>
      <c r="C528" s="1194" t="s">
        <v>1391</v>
      </c>
      <c r="D528" s="1195" t="str">
        <f>INDEX(CostVectors[Description], MATCH(C528, CostVectors[Code], 0))</f>
        <v>High estimate of capital costs</v>
      </c>
      <c r="E528" s="1195"/>
      <c r="F528" s="1196">
        <f t="shared" ref="F528:N528" si="138">F417</f>
        <v>0</v>
      </c>
      <c r="G528" s="1196">
        <f t="shared" si="138"/>
        <v>786615496404.28113</v>
      </c>
      <c r="H528" s="1196">
        <f t="shared" si="138"/>
        <v>908267204965.96155</v>
      </c>
      <c r="I528" s="1196">
        <f t="shared" si="138"/>
        <v>1029918913527.6426</v>
      </c>
      <c r="J528" s="1196">
        <f t="shared" si="138"/>
        <v>722269623623.87488</v>
      </c>
      <c r="K528" s="1196">
        <f t="shared" si="138"/>
        <v>1096853562385.1501</v>
      </c>
      <c r="L528" s="1196">
        <f t="shared" si="138"/>
        <v>562097301795.6676</v>
      </c>
      <c r="M528" s="1196">
        <f t="shared" si="138"/>
        <v>1093909143339.3608</v>
      </c>
      <c r="N528" s="1196">
        <f t="shared" si="138"/>
        <v>523659713393.08704</v>
      </c>
    </row>
    <row r="529" spans="2:15" s="1375" customFormat="1" ht="15.75" x14ac:dyDescent="0.25">
      <c r="B529" s="1192"/>
      <c r="C529" s="1194" t="s">
        <v>1393</v>
      </c>
      <c r="D529" s="1195" t="str">
        <f>INDEX(CostVectors[Description], MATCH(C529, CostVectors[Code], 0))</f>
        <v>High estimate of operating costs</v>
      </c>
      <c r="E529" s="1195"/>
      <c r="F529" s="1196">
        <f t="shared" ref="F529:N529" si="139">F418</f>
        <v>187782908379.31549</v>
      </c>
      <c r="G529" s="1196">
        <f t="shared" si="139"/>
        <v>237114044235.19125</v>
      </c>
      <c r="H529" s="1196">
        <f t="shared" si="139"/>
        <v>286445180091.06702</v>
      </c>
      <c r="I529" s="1196">
        <f t="shared" si="139"/>
        <v>335776315946.94269</v>
      </c>
      <c r="J529" s="1196">
        <f t="shared" si="139"/>
        <v>361650171891.29175</v>
      </c>
      <c r="K529" s="1196">
        <f t="shared" si="139"/>
        <v>405270907152.92212</v>
      </c>
      <c r="L529" s="1196">
        <f t="shared" si="139"/>
        <v>414013561314.53528</v>
      </c>
      <c r="M529" s="1196">
        <f t="shared" si="139"/>
        <v>451923895981.92029</v>
      </c>
      <c r="N529" s="1196">
        <f t="shared" si="139"/>
        <v>453989934684.00891</v>
      </c>
    </row>
    <row r="530" spans="2:15" s="1375" customFormat="1" ht="14.25" x14ac:dyDescent="0.2">
      <c r="B530" s="1370"/>
      <c r="C530" s="1438" t="s">
        <v>1866</v>
      </c>
      <c r="D530" s="1195" t="str">
        <f>INDEX(CostVectors[Description], MATCH(C530, CostVectors[Code], 0))</f>
        <v>Point estimate of capital costs</v>
      </c>
      <c r="E530" s="1195"/>
      <c r="F530" s="1196">
        <f t="shared" ref="F530:N530" si="140">F422</f>
        <v>0</v>
      </c>
      <c r="G530" s="1196">
        <f t="shared" si="140"/>
        <v>786615496404.28113</v>
      </c>
      <c r="H530" s="1196">
        <f t="shared" si="140"/>
        <v>908267204965.96155</v>
      </c>
      <c r="I530" s="1196">
        <f t="shared" si="140"/>
        <v>1029918913527.6426</v>
      </c>
      <c r="J530" s="1196">
        <f t="shared" si="140"/>
        <v>722269623623.87488</v>
      </c>
      <c r="K530" s="1196">
        <f t="shared" si="140"/>
        <v>1096853562385.1501</v>
      </c>
      <c r="L530" s="1196">
        <f t="shared" si="140"/>
        <v>562097301795.6676</v>
      </c>
      <c r="M530" s="1196">
        <f t="shared" si="140"/>
        <v>1093909143339.3608</v>
      </c>
      <c r="N530" s="1196">
        <f t="shared" si="140"/>
        <v>523659713393.08704</v>
      </c>
    </row>
    <row r="531" spans="2:15" s="1375" customFormat="1" ht="14.25" x14ac:dyDescent="0.2">
      <c r="B531" s="1370"/>
      <c r="C531" s="1438" t="s">
        <v>1868</v>
      </c>
      <c r="D531" s="1195" t="str">
        <f>INDEX(CostVectors[Description], MATCH(C531, CostVectors[Code], 0))</f>
        <v>Point estimate of operating costs</v>
      </c>
      <c r="E531" s="1195"/>
      <c r="F531" s="1196">
        <f t="shared" ref="F531:N531" si="141">F423</f>
        <v>187782908379.31549</v>
      </c>
      <c r="G531" s="1196">
        <f t="shared" si="141"/>
        <v>237114044235.19125</v>
      </c>
      <c r="H531" s="1196">
        <f t="shared" si="141"/>
        <v>286445180091.06702</v>
      </c>
      <c r="I531" s="1196">
        <f t="shared" si="141"/>
        <v>335776315946.94269</v>
      </c>
      <c r="J531" s="1196">
        <f t="shared" si="141"/>
        <v>361650171891.29175</v>
      </c>
      <c r="K531" s="1196">
        <f t="shared" si="141"/>
        <v>405270907152.92212</v>
      </c>
      <c r="L531" s="1196">
        <f t="shared" si="141"/>
        <v>414013561314.53528</v>
      </c>
      <c r="M531" s="1196">
        <f t="shared" si="141"/>
        <v>451923895981.92029</v>
      </c>
      <c r="N531" s="1196">
        <f t="shared" si="141"/>
        <v>453989934684.00891</v>
      </c>
    </row>
    <row r="532" spans="2:15" s="1375" customFormat="1" x14ac:dyDescent="0.2">
      <c r="B532" s="1442"/>
      <c r="C532" s="1438" t="s">
        <v>1382</v>
      </c>
      <c r="D532" s="1439" t="str">
        <f>INDEX(CostVectors[Description], MATCH(C532,CostVectors[Code], 0))</f>
        <v>Low estimate of capital costs</v>
      </c>
      <c r="E532" s="1439"/>
      <c r="F532" s="1196">
        <f t="shared" ref="F532:N532" si="142">F427</f>
        <v>0</v>
      </c>
      <c r="G532" s="1196">
        <f t="shared" si="142"/>
        <v>786615496404.28113</v>
      </c>
      <c r="H532" s="1196">
        <f t="shared" si="142"/>
        <v>908267204965.96155</v>
      </c>
      <c r="I532" s="1196">
        <f t="shared" si="142"/>
        <v>1029918913527.6426</v>
      </c>
      <c r="J532" s="1196">
        <f t="shared" si="142"/>
        <v>722269623623.87488</v>
      </c>
      <c r="K532" s="1196">
        <f t="shared" si="142"/>
        <v>1096853562385.1501</v>
      </c>
      <c r="L532" s="1196">
        <f t="shared" si="142"/>
        <v>562097301795.6676</v>
      </c>
      <c r="M532" s="1196">
        <f t="shared" si="142"/>
        <v>1093909143339.3608</v>
      </c>
      <c r="N532" s="1196">
        <f t="shared" si="142"/>
        <v>523659713393.08704</v>
      </c>
    </row>
    <row r="533" spans="2:15" s="588" customFormat="1" x14ac:dyDescent="0.2">
      <c r="B533" s="1442"/>
      <c r="C533" s="1438" t="s">
        <v>1384</v>
      </c>
      <c r="D533" s="1439" t="str">
        <f>INDEX(CostVectors[Description], MATCH(C533, CostVectors[Code], 0))</f>
        <v>Low estimate of operating costs</v>
      </c>
      <c r="E533" s="1439"/>
      <c r="F533" s="1196">
        <f t="shared" ref="F533:N533" si="143">F428</f>
        <v>187782908379.31549</v>
      </c>
      <c r="G533" s="1196">
        <f t="shared" si="143"/>
        <v>237114044235.19125</v>
      </c>
      <c r="H533" s="1196">
        <f t="shared" si="143"/>
        <v>286445180091.06702</v>
      </c>
      <c r="I533" s="1196">
        <f t="shared" si="143"/>
        <v>335776315946.94269</v>
      </c>
      <c r="J533" s="1196">
        <f t="shared" si="143"/>
        <v>361650171891.29175</v>
      </c>
      <c r="K533" s="1196">
        <f t="shared" si="143"/>
        <v>405270907152.92212</v>
      </c>
      <c r="L533" s="1196">
        <f t="shared" si="143"/>
        <v>414013561314.53528</v>
      </c>
      <c r="M533" s="1196">
        <f t="shared" si="143"/>
        <v>451923895981.92029</v>
      </c>
      <c r="N533" s="1196">
        <f t="shared" si="143"/>
        <v>453989934684.00891</v>
      </c>
    </row>
    <row r="534" spans="2:15" customFormat="1" ht="14.25" x14ac:dyDescent="0.2">
      <c r="B534" s="1446"/>
      <c r="C534" s="1197"/>
      <c r="D534" s="1197"/>
      <c r="E534" s="1197"/>
      <c r="F534" s="1197"/>
      <c r="G534" s="1197"/>
      <c r="H534" s="1197"/>
      <c r="I534" s="1197"/>
      <c r="J534" s="1197"/>
      <c r="K534" s="1197"/>
      <c r="L534" s="1197"/>
      <c r="M534" s="1197"/>
      <c r="N534" s="1197"/>
    </row>
    <row r="535" spans="2:15" customFormat="1" ht="14.25" x14ac:dyDescent="0.2">
      <c r="B535" s="1658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</row>
    <row r="536" spans="2:15" customFormat="1" x14ac:dyDescent="0.2">
      <c r="B536" s="1427" t="s">
        <v>183</v>
      </c>
      <c r="C536" s="1427"/>
      <c r="D536" s="1427" t="s">
        <v>592</v>
      </c>
      <c r="E536" s="1427" t="s">
        <v>343</v>
      </c>
    </row>
    <row r="537" spans="2:15" customFormat="1" x14ac:dyDescent="0.2">
      <c r="D537" t="s">
        <v>610</v>
      </c>
      <c r="E537" t="s">
        <v>638</v>
      </c>
      <c r="F537" s="1330">
        <f t="shared" ref="F537:N537" si="144">F274</f>
        <v>0.27588461611834919</v>
      </c>
      <c r="G537" s="1330">
        <f t="shared" si="144"/>
        <v>0.93111057939942843</v>
      </c>
      <c r="H537" s="1330">
        <f t="shared" si="144"/>
        <v>1.5863365426805078</v>
      </c>
      <c r="I537" s="1330">
        <f t="shared" si="144"/>
        <v>2.2415625059615869</v>
      </c>
      <c r="J537" s="1330">
        <f t="shared" si="144"/>
        <v>2.896788469242666</v>
      </c>
      <c r="K537" s="1330">
        <f t="shared" si="144"/>
        <v>3.552014432523745</v>
      </c>
      <c r="L537" s="1330">
        <f t="shared" si="144"/>
        <v>4.2072403958048241</v>
      </c>
      <c r="M537" s="1330">
        <f t="shared" si="144"/>
        <v>4.8624663590859036</v>
      </c>
      <c r="N537" s="1330">
        <f t="shared" si="144"/>
        <v>5.5176923223669831</v>
      </c>
    </row>
    <row r="538" spans="2:15" customFormat="1" x14ac:dyDescent="0.2">
      <c r="D538" t="s">
        <v>610</v>
      </c>
      <c r="E538" t="s">
        <v>639</v>
      </c>
      <c r="F538" s="1330">
        <f t="shared" ref="F538:N538" si="145">F276</f>
        <v>0</v>
      </c>
      <c r="G538" s="1330">
        <f t="shared" si="145"/>
        <v>0.97962713532373413</v>
      </c>
      <c r="H538" s="1330">
        <f t="shared" si="145"/>
        <v>1.95925427064747</v>
      </c>
      <c r="I538" s="1330">
        <f t="shared" si="145"/>
        <v>2.9388814059712001</v>
      </c>
      <c r="J538" s="1330">
        <f t="shared" si="145"/>
        <v>3.9185085412949401</v>
      </c>
      <c r="K538" s="1330">
        <f t="shared" si="145"/>
        <v>4.8981356766186703</v>
      </c>
      <c r="L538" s="1330">
        <f t="shared" si="145"/>
        <v>5.8777628119424108</v>
      </c>
      <c r="M538" s="1330">
        <f t="shared" si="145"/>
        <v>6.8573899472661406</v>
      </c>
      <c r="N538" s="1330">
        <f t="shared" si="145"/>
        <v>7.8370170825898713</v>
      </c>
    </row>
    <row r="539" spans="2:15" customFormat="1" x14ac:dyDescent="0.2">
      <c r="D539" s="1616" t="s">
        <v>1809</v>
      </c>
      <c r="E539" t="s">
        <v>638</v>
      </c>
      <c r="F539" s="1025">
        <f t="shared" ref="F539:N539" si="146">F281</f>
        <v>18.908518399688848</v>
      </c>
      <c r="G539" s="1025">
        <f t="shared" si="146"/>
        <v>17.712238254042013</v>
      </c>
      <c r="H539" s="1025">
        <f t="shared" si="146"/>
        <v>16.136978050505405</v>
      </c>
      <c r="I539" s="1025">
        <f t="shared" si="146"/>
        <v>14.18273778907902</v>
      </c>
      <c r="J539" s="1025">
        <f t="shared" si="146"/>
        <v>11.849517469762858</v>
      </c>
      <c r="K539" s="1025">
        <f t="shared" si="146"/>
        <v>12.112361974640205</v>
      </c>
      <c r="L539" s="1025">
        <f t="shared" si="146"/>
        <v>12.326913663447964</v>
      </c>
      <c r="M539" s="1025">
        <f t="shared" si="146"/>
        <v>12.494419982270623</v>
      </c>
      <c r="N539" s="1025">
        <f t="shared" si="146"/>
        <v>12.613758272662112</v>
      </c>
    </row>
    <row r="540" spans="2:15" customFormat="1" x14ac:dyDescent="0.2">
      <c r="D540" s="1616" t="s">
        <v>1809</v>
      </c>
      <c r="E540" t="s">
        <v>639</v>
      </c>
      <c r="F540" s="1025">
        <f t="shared" ref="F540:N540" si="147">F293</f>
        <v>0</v>
      </c>
      <c r="G540" s="1025">
        <f t="shared" si="147"/>
        <v>1.0852491402146915E-2</v>
      </c>
      <c r="H540" s="1025">
        <f t="shared" si="147"/>
        <v>2.1588032812891754E-2</v>
      </c>
      <c r="I540" s="1025">
        <f t="shared" si="147"/>
        <v>3.2206624232234519E-2</v>
      </c>
      <c r="J540" s="1025">
        <f t="shared" si="147"/>
        <v>4.2708265660175215E-2</v>
      </c>
      <c r="K540" s="1025">
        <f t="shared" si="147"/>
        <v>5.3385332075219026E-2</v>
      </c>
      <c r="L540" s="1025">
        <f t="shared" si="147"/>
        <v>6.4062398490262837E-2</v>
      </c>
      <c r="M540" s="1025">
        <f t="shared" si="147"/>
        <v>7.4739464905306641E-2</v>
      </c>
      <c r="N540" s="1025">
        <f t="shared" si="147"/>
        <v>8.5416531320350431E-2</v>
      </c>
    </row>
    <row r="541" spans="2:15" s="2479" customFormat="1" x14ac:dyDescent="0.2">
      <c r="D541" s="2479" t="s">
        <v>1809</v>
      </c>
      <c r="E541" s="2479" t="s">
        <v>2317</v>
      </c>
      <c r="F541" s="2480">
        <f>F287</f>
        <v>0</v>
      </c>
      <c r="G541" s="2480">
        <f t="shared" ref="G541:N541" si="148">G287</f>
        <v>0.45626239914882288</v>
      </c>
      <c r="H541" s="2480">
        <f t="shared" si="148"/>
        <v>0.77591821218683832</v>
      </c>
      <c r="I541" s="2480">
        <f t="shared" si="148"/>
        <v>0.95896743911404625</v>
      </c>
      <c r="J541" s="2480">
        <f t="shared" si="148"/>
        <v>1.0054100799304468</v>
      </c>
      <c r="K541" s="2480">
        <f t="shared" si="148"/>
        <v>1.2132437088817098</v>
      </c>
      <c r="L541" s="2480">
        <f t="shared" si="148"/>
        <v>1.4036697814204333</v>
      </c>
      <c r="M541" s="2480">
        <f t="shared" si="148"/>
        <v>1.5768457302273506</v>
      </c>
      <c r="N541" s="2480">
        <f t="shared" si="148"/>
        <v>1.7326591033876526</v>
      </c>
    </row>
    <row r="542" spans="2:15" s="1615" customFormat="1" x14ac:dyDescent="0.2">
      <c r="B542"/>
      <c r="C542"/>
      <c r="D542" s="1615" t="s">
        <v>2318</v>
      </c>
      <c r="E542" s="1615" t="s">
        <v>638</v>
      </c>
      <c r="F542" s="1025">
        <f>F299</f>
        <v>0</v>
      </c>
      <c r="G542" s="2480">
        <f t="shared" ref="G542:N542" si="149">G299</f>
        <v>1.2059144801278183E-13</v>
      </c>
      <c r="H542" s="2480">
        <f t="shared" si="149"/>
        <v>2.4118289602556366E-13</v>
      </c>
      <c r="I542" s="2480">
        <f t="shared" si="149"/>
        <v>3.6177434403834546E-13</v>
      </c>
      <c r="J542" s="2480">
        <f t="shared" si="149"/>
        <v>4.8236579205112732E-13</v>
      </c>
      <c r="K542" s="2480">
        <f t="shared" si="149"/>
        <v>6.0295724006390912E-13</v>
      </c>
      <c r="L542" s="2480">
        <f t="shared" si="149"/>
        <v>7.2354868807669103E-13</v>
      </c>
      <c r="M542" s="2480">
        <f t="shared" si="149"/>
        <v>8.4414013608947293E-13</v>
      </c>
      <c r="N542" s="2480">
        <f t="shared" si="149"/>
        <v>9.6473158410225464E-13</v>
      </c>
    </row>
    <row r="543" spans="2:15" s="1615" customFormat="1" x14ac:dyDescent="0.2"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spans="2:15" s="1615" customFormat="1" ht="15.75" x14ac:dyDescent="0.25">
      <c r="B544" s="1618" t="s">
        <v>1786</v>
      </c>
      <c r="C544" s="1619"/>
      <c r="D544" s="1619"/>
      <c r="E544" s="1619"/>
      <c r="F544" s="1619"/>
      <c r="G544" s="1619"/>
      <c r="H544" s="1619"/>
      <c r="I544" s="1619"/>
      <c r="J544" s="1619"/>
      <c r="K544" s="1619"/>
      <c r="L544" s="1619"/>
      <c r="M544" s="1619"/>
      <c r="N544" s="1619"/>
      <c r="O544" s="1617"/>
    </row>
    <row r="545" spans="2:15" s="1615" customFormat="1" x14ac:dyDescent="0.2">
      <c r="B545" s="1617"/>
      <c r="C545" s="1617"/>
      <c r="D545" s="1617"/>
      <c r="E545" s="1617"/>
      <c r="F545" s="1617"/>
      <c r="G545" s="1617"/>
      <c r="H545" s="1617"/>
      <c r="I545" s="1617"/>
      <c r="J545" s="1617"/>
      <c r="K545" s="1617"/>
      <c r="L545" s="1617"/>
      <c r="M545" s="1617"/>
      <c r="N545" s="1617"/>
      <c r="O545" s="1617"/>
    </row>
    <row r="546" spans="2:15" s="1615" customFormat="1" x14ac:dyDescent="0.2">
      <c r="B546" s="1617"/>
      <c r="C546" s="1639" t="s">
        <v>1245</v>
      </c>
      <c r="D546" s="1617"/>
      <c r="E546" s="1617"/>
      <c r="F546" s="1617"/>
      <c r="G546" s="1617"/>
      <c r="H546" s="1617"/>
      <c r="I546" s="1617"/>
      <c r="J546" s="1617"/>
      <c r="K546" s="1617"/>
      <c r="L546" s="1617"/>
      <c r="M546" s="1617"/>
      <c r="N546" s="1655" t="s">
        <v>1799</v>
      </c>
    </row>
    <row r="547" spans="2:15" s="1615" customFormat="1" x14ac:dyDescent="0.2">
      <c r="B547" s="1617"/>
      <c r="C547" s="1617"/>
      <c r="D547" s="1617"/>
      <c r="E547" s="1617"/>
      <c r="F547" s="1617"/>
      <c r="G547" s="1617"/>
      <c r="H547" s="1617"/>
      <c r="I547" s="1617"/>
      <c r="J547" s="1617"/>
      <c r="K547" s="1617"/>
      <c r="L547" s="1617"/>
      <c r="M547" s="1617"/>
      <c r="N547" s="1617"/>
      <c r="O547" s="1652"/>
    </row>
    <row r="548" spans="2:15" s="1615" customFormat="1" x14ac:dyDescent="0.2">
      <c r="B548" s="1617"/>
      <c r="C548" s="1625" t="s">
        <v>64</v>
      </c>
      <c r="D548" s="1626" t="s">
        <v>150</v>
      </c>
      <c r="E548" s="1626" t="s">
        <v>1804</v>
      </c>
      <c r="F548" s="1657" t="s">
        <v>241</v>
      </c>
      <c r="G548" s="1626" t="s">
        <v>268</v>
      </c>
      <c r="H548" s="1626" t="s">
        <v>269</v>
      </c>
      <c r="I548" s="1626" t="s">
        <v>270</v>
      </c>
      <c r="J548" s="1626" t="s">
        <v>271</v>
      </c>
      <c r="K548" s="1626" t="s">
        <v>272</v>
      </c>
      <c r="L548" s="1626" t="s">
        <v>273</v>
      </c>
      <c r="M548" s="1626" t="s">
        <v>274</v>
      </c>
      <c r="N548" s="1627" t="s">
        <v>275</v>
      </c>
    </row>
    <row r="549" spans="2:15" s="1615" customFormat="1" ht="15.75" x14ac:dyDescent="0.25">
      <c r="B549" s="1649"/>
      <c r="C549" s="1620" t="s">
        <v>1787</v>
      </c>
      <c r="D549" s="1621" t="str">
        <f>INDEX(AirQualityVectors[Description],MATCH(C549,AirQualityVectors[Code],0))</f>
        <v>PM10</v>
      </c>
      <c r="E549" s="1650" t="s">
        <v>483</v>
      </c>
      <c r="F549" s="1651">
        <f t="shared" ref="F549:N549" si="150">SUMPRODUCT(F$537:F$542,F$156:F$161)</f>
        <v>1.0439322830859148</v>
      </c>
      <c r="G549" s="2483">
        <f t="shared" si="150"/>
        <v>0.90890415212011455</v>
      </c>
      <c r="H549" s="2483">
        <f t="shared" si="150"/>
        <v>0.84987590366538834</v>
      </c>
      <c r="I549" s="2483">
        <f t="shared" si="150"/>
        <v>0.81351060540088571</v>
      </c>
      <c r="J549" s="2483">
        <f t="shared" si="150"/>
        <v>0.71822327430038102</v>
      </c>
      <c r="K549" s="2483">
        <f t="shared" si="150"/>
        <v>0.64700293553037524</v>
      </c>
      <c r="L549" s="2483">
        <f t="shared" si="150"/>
        <v>0.54375847963113888</v>
      </c>
      <c r="M549" s="2483">
        <f t="shared" si="150"/>
        <v>0.54578876931805798</v>
      </c>
      <c r="N549" s="2483">
        <f t="shared" si="150"/>
        <v>0.57039463961663672</v>
      </c>
    </row>
    <row r="550" spans="2:15" s="1615" customFormat="1" ht="15.75" x14ac:dyDescent="0.25">
      <c r="B550" s="1649"/>
      <c r="C550" s="1620" t="s">
        <v>1788</v>
      </c>
      <c r="D550" s="1621" t="str">
        <f>INDEX(AirQualityVectors[Description],MATCH(C550,AirQualityVectors[Code],0))</f>
        <v>NOX</v>
      </c>
      <c r="E550" s="1650" t="s">
        <v>483</v>
      </c>
      <c r="F550" s="1651">
        <f t="shared" ref="F550:N550" si="151">SUMPRODUCT(F$537:F$542,F$167:F$172)</f>
        <v>29.39442420639168</v>
      </c>
      <c r="G550" s="2483">
        <f t="shared" si="151"/>
        <v>21.788660190007857</v>
      </c>
      <c r="H550" s="2483">
        <f t="shared" si="151"/>
        <v>18.833028360481709</v>
      </c>
      <c r="I550" s="2483">
        <f t="shared" si="151"/>
        <v>20.246788075670626</v>
      </c>
      <c r="J550" s="2483">
        <f t="shared" si="151"/>
        <v>20.50789040311016</v>
      </c>
      <c r="K550" s="2483">
        <f t="shared" si="151"/>
        <v>18.775478654009675</v>
      </c>
      <c r="L550" s="2483">
        <f t="shared" si="151"/>
        <v>16.63045983317943</v>
      </c>
      <c r="M550" s="2483">
        <f t="shared" si="151"/>
        <v>18.470522875930786</v>
      </c>
      <c r="N550" s="2483">
        <f t="shared" si="151"/>
        <v>20.83981667674967</v>
      </c>
    </row>
    <row r="551" spans="2:15" s="1615" customFormat="1" ht="15.75" x14ac:dyDescent="0.25">
      <c r="B551" s="1649"/>
      <c r="C551" s="1620" t="s">
        <v>1789</v>
      </c>
      <c r="D551" s="1621" t="str">
        <f>INDEX(AirQualityVectors[Description],MATCH(C551,AirQualityVectors[Code],0))</f>
        <v>SO2</v>
      </c>
      <c r="E551" s="1650" t="s">
        <v>483</v>
      </c>
      <c r="F551" s="1651">
        <f t="shared" ref="F551:N551" si="152">SUMPRODUCT(F$537:F$542,F$178:F$183)</f>
        <v>4.6632321563847515E-2</v>
      </c>
      <c r="G551" s="2483">
        <f t="shared" si="152"/>
        <v>2.0522912000320945E-2</v>
      </c>
      <c r="H551" s="2483">
        <f t="shared" si="152"/>
        <v>1.9071558252791977E-2</v>
      </c>
      <c r="I551" s="2483">
        <f t="shared" si="152"/>
        <v>1.7366877639427382E-2</v>
      </c>
      <c r="J551" s="2483">
        <f t="shared" si="152"/>
        <v>1.5676122434238531E-2</v>
      </c>
      <c r="K551" s="2483">
        <f t="shared" si="152"/>
        <v>1.6293882778352062E-2</v>
      </c>
      <c r="L551" s="2483">
        <f t="shared" si="152"/>
        <v>1.7540523286783502E-2</v>
      </c>
      <c r="M551" s="2483">
        <f t="shared" si="152"/>
        <v>1.8746146460063576E-2</v>
      </c>
      <c r="N551" s="2483">
        <f t="shared" si="152"/>
        <v>1.9909773488635533E-2</v>
      </c>
    </row>
    <row r="552" spans="2:15" s="1615" customFormat="1" ht="15.75" x14ac:dyDescent="0.25">
      <c r="B552" s="1649"/>
      <c r="C552" s="1623" t="s">
        <v>1790</v>
      </c>
      <c r="D552" s="1624" t="str">
        <f>INDEX(AirQualityVectors[Description],MATCH(C552,AirQualityVectors[Code],0))</f>
        <v>NMVOC</v>
      </c>
      <c r="E552" s="1650" t="s">
        <v>483</v>
      </c>
      <c r="F552" s="1651">
        <f t="shared" ref="F552:N552" si="153">SUMPRODUCT(F$537:F$542,F$189:F$194)</f>
        <v>1.0896643128350485</v>
      </c>
      <c r="G552" s="2483">
        <f t="shared" si="153"/>
        <v>1.2688077224138641</v>
      </c>
      <c r="H552" s="2483">
        <f t="shared" si="153"/>
        <v>1.6163763542524854</v>
      </c>
      <c r="I552" s="2483">
        <f t="shared" si="153"/>
        <v>1.8864362974935409</v>
      </c>
      <c r="J552" s="2483">
        <f t="shared" si="153"/>
        <v>1.9462360177007205</v>
      </c>
      <c r="K552" s="2483">
        <f t="shared" si="153"/>
        <v>1.790022221875134</v>
      </c>
      <c r="L552" s="2483">
        <f t="shared" si="153"/>
        <v>1.6961160182390245</v>
      </c>
      <c r="M552" s="2483">
        <f t="shared" si="153"/>
        <v>1.9584274410043081</v>
      </c>
      <c r="N552" s="2483">
        <f t="shared" si="153"/>
        <v>2.2206882632356266</v>
      </c>
    </row>
    <row r="553" spans="2:15" s="1615" customFormat="1" ht="15.75" x14ac:dyDescent="0.25">
      <c r="B553" s="1649"/>
      <c r="C553" s="2482" t="s">
        <v>105</v>
      </c>
      <c r="D553" s="2482"/>
      <c r="E553" s="2482"/>
      <c r="F553" s="2478">
        <f>SUBTOTAL(109,XII.b.Total.AQ[2010])</f>
        <v>31.574653123876491</v>
      </c>
      <c r="G553" s="2478">
        <f>SUBTOTAL(109,XII.b.Total.AQ[2015])</f>
        <v>23.986894976542157</v>
      </c>
      <c r="H553" s="2478">
        <f>SUBTOTAL(109,XII.b.Total.AQ[2020])</f>
        <v>21.318352176652375</v>
      </c>
      <c r="I553" s="2478">
        <f>SUBTOTAL(109,XII.b.Total.AQ[2025])</f>
        <v>22.964101856204483</v>
      </c>
      <c r="J553" s="2478">
        <f>SUBTOTAL(109,XII.b.Total.AQ[2030])</f>
        <v>23.188025817545501</v>
      </c>
      <c r="K553" s="2478">
        <f>SUBTOTAL(109,XII.b.Total.AQ[2035])</f>
        <v>21.228797694193535</v>
      </c>
      <c r="L553" s="2478">
        <f>SUBTOTAL(109,XII.b.Total.AQ[2040])</f>
        <v>18.887874854336378</v>
      </c>
      <c r="M553" s="2478">
        <f>SUBTOTAL(109,XII.b.Total.AQ[2045])</f>
        <v>20.993485232713216</v>
      </c>
      <c r="N553" s="2478">
        <f>SUBTOTAL(109,XII.b.Total.AQ[2050])</f>
        <v>23.650809353090569</v>
      </c>
    </row>
    <row r="554" spans="2:15" s="1615" customFormat="1" ht="15.75" x14ac:dyDescent="0.25">
      <c r="B554" s="1649"/>
      <c r="C554" s="1650"/>
      <c r="D554" s="1650"/>
      <c r="E554" s="1650"/>
      <c r="F554" s="1653"/>
      <c r="G554" s="1653"/>
      <c r="H554" s="1653"/>
      <c r="I554" s="1653"/>
      <c r="J554" s="1653"/>
      <c r="K554" s="1653"/>
      <c r="L554" s="1653"/>
      <c r="M554" s="1653"/>
      <c r="N554" s="1653"/>
      <c r="O554" s="1652"/>
    </row>
    <row r="555" spans="2:15" s="1615" customFormat="1" ht="15.75" x14ac:dyDescent="0.25">
      <c r="B555" s="1649"/>
      <c r="C555" s="1654" t="s">
        <v>1240</v>
      </c>
      <c r="D555" s="1637"/>
      <c r="E555" s="1655"/>
      <c r="F555" s="1637"/>
      <c r="G555" s="1655"/>
      <c r="H555" s="1637"/>
      <c r="I555" s="1637"/>
      <c r="J555" s="1637"/>
      <c r="K555" s="1637"/>
      <c r="L555" s="1637"/>
      <c r="M555" s="1637"/>
      <c r="N555" s="1655" t="s">
        <v>1799</v>
      </c>
    </row>
    <row r="556" spans="2:15" s="1615" customFormat="1" ht="15.75" x14ac:dyDescent="0.25">
      <c r="B556" s="1649"/>
      <c r="C556" s="1637"/>
      <c r="D556" s="1637"/>
      <c r="E556" s="1637"/>
      <c r="F556" s="1637"/>
      <c r="G556" s="1637"/>
      <c r="H556" s="1637"/>
      <c r="I556" s="1637"/>
      <c r="J556" s="1637"/>
      <c r="K556" s="1637"/>
      <c r="L556" s="1637"/>
      <c r="M556" s="1637"/>
      <c r="N556" s="1637"/>
      <c r="O556" s="1652"/>
    </row>
    <row r="557" spans="2:15" s="1615" customFormat="1" ht="15.75" x14ac:dyDescent="0.25">
      <c r="B557" s="1649"/>
      <c r="C557" s="1625" t="s">
        <v>64</v>
      </c>
      <c r="D557" s="1626" t="s">
        <v>150</v>
      </c>
      <c r="E557" s="1626" t="s">
        <v>1804</v>
      </c>
      <c r="F557" s="1656" t="s">
        <v>241</v>
      </c>
      <c r="G557" s="1656" t="s">
        <v>268</v>
      </c>
      <c r="H557" s="1656" t="s">
        <v>269</v>
      </c>
      <c r="I557" s="1656" t="s">
        <v>270</v>
      </c>
      <c r="J557" s="1656" t="s">
        <v>271</v>
      </c>
      <c r="K557" s="1656" t="s">
        <v>272</v>
      </c>
      <c r="L557" s="1656" t="s">
        <v>273</v>
      </c>
      <c r="M557" s="1656" t="s">
        <v>274</v>
      </c>
      <c r="N557" s="1656" t="s">
        <v>275</v>
      </c>
    </row>
    <row r="558" spans="2:15" s="1615" customFormat="1" ht="15.75" x14ac:dyDescent="0.25">
      <c r="B558" s="1649"/>
      <c r="C558" s="1620" t="s">
        <v>1787</v>
      </c>
      <c r="D558" s="1621" t="str">
        <f>INDEX(AirQualityVectors[Description],MATCH(C558,AirQualityVectors[Code],0))</f>
        <v>PM10</v>
      </c>
      <c r="E558" s="1650" t="s">
        <v>483</v>
      </c>
      <c r="F558" s="1651">
        <f t="shared" ref="F558:N558" si="154">SUMPRODUCT(F$539:F$541,F$158:F$160)</f>
        <v>0.96558105210830369</v>
      </c>
      <c r="G558" s="2483">
        <f t="shared" si="154"/>
        <v>0.6801613197809584</v>
      </c>
      <c r="H558" s="2483">
        <f t="shared" si="154"/>
        <v>0.53022909031521737</v>
      </c>
      <c r="I558" s="2483">
        <f t="shared" si="154"/>
        <v>0.4608381044628731</v>
      </c>
      <c r="J558" s="2483">
        <f t="shared" si="154"/>
        <v>0.39040337919769696</v>
      </c>
      <c r="K558" s="2483">
        <f t="shared" si="154"/>
        <v>0.40191393968619515</v>
      </c>
      <c r="L558" s="2483">
        <f t="shared" si="154"/>
        <v>0.41403523409380122</v>
      </c>
      <c r="M558" s="2483">
        <f t="shared" si="154"/>
        <v>0.42422711034088922</v>
      </c>
      <c r="N558" s="2483">
        <f t="shared" si="154"/>
        <v>0.43245233155743801</v>
      </c>
    </row>
    <row r="559" spans="2:15" s="1615" customFormat="1" ht="15.75" x14ac:dyDescent="0.25">
      <c r="B559" s="1649"/>
      <c r="C559" s="1620" t="s">
        <v>1788</v>
      </c>
      <c r="D559" s="1621" t="str">
        <f>INDEX(AirQualityVectors[Description],MATCH(C559,AirQualityVectors[Code],0))</f>
        <v>NOX</v>
      </c>
      <c r="E559" s="1650" t="s">
        <v>483</v>
      </c>
      <c r="F559" s="1651">
        <f t="shared" ref="F559:N559" si="155">SUMPRODUCT(F$539:F$541,F$169:F$171)</f>
        <v>25.645704042575552</v>
      </c>
      <c r="G559" s="2483">
        <f t="shared" si="155"/>
        <v>10.63736952092575</v>
      </c>
      <c r="H559" s="2483">
        <f t="shared" si="155"/>
        <v>2.5921148365162039</v>
      </c>
      <c r="I559" s="2483">
        <f t="shared" si="155"/>
        <v>1.1942539624960413</v>
      </c>
      <c r="J559" s="2483">
        <f t="shared" si="155"/>
        <v>0.92173796640083094</v>
      </c>
      <c r="K559" s="2483">
        <f t="shared" si="155"/>
        <v>0.93371015943987934</v>
      </c>
      <c r="L559" s="2483">
        <f t="shared" si="155"/>
        <v>0.95147729147740734</v>
      </c>
      <c r="M559" s="2483">
        <f t="shared" si="155"/>
        <v>0.96564398321849521</v>
      </c>
      <c r="N559" s="2483">
        <f t="shared" si="155"/>
        <v>0.97612431622505569</v>
      </c>
    </row>
    <row r="560" spans="2:15" s="1615" customFormat="1" ht="15.75" x14ac:dyDescent="0.25">
      <c r="B560" s="1649"/>
      <c r="C560" s="1620" t="s">
        <v>1789</v>
      </c>
      <c r="D560" s="1621" t="str">
        <f>INDEX(AirQualityVectors[Description],MATCH(C560,AirQualityVectors[Code],0))</f>
        <v>SO2</v>
      </c>
      <c r="E560" s="1650" t="s">
        <v>483</v>
      </c>
      <c r="F560" s="1651">
        <f t="shared" ref="F560:N560" si="156">SUMPRODUCT(F$539:F$541,F$180:F$182)</f>
        <v>2.2093110972268043E-2</v>
      </c>
      <c r="G560" s="2483">
        <f t="shared" si="156"/>
        <v>1.9052737401269029E-2</v>
      </c>
      <c r="H560" s="2483">
        <f t="shared" si="156"/>
        <v>1.656681634329606E-2</v>
      </c>
      <c r="I560" s="2483">
        <f t="shared" si="156"/>
        <v>1.3827568419487466E-2</v>
      </c>
      <c r="J560" s="2483">
        <f t="shared" si="156"/>
        <v>1.110224590385462E-2</v>
      </c>
      <c r="K560" s="2483">
        <f t="shared" si="156"/>
        <v>1.0685438937524156E-2</v>
      </c>
      <c r="L560" s="2483">
        <f t="shared" si="156"/>
        <v>1.0897512135511595E-2</v>
      </c>
      <c r="M560" s="2483">
        <f t="shared" si="156"/>
        <v>1.1068567998347675E-2</v>
      </c>
      <c r="N560" s="2483">
        <f t="shared" si="156"/>
        <v>1.119762771647563E-2</v>
      </c>
    </row>
    <row r="561" spans="2:15" s="1615" customFormat="1" ht="15.75" x14ac:dyDescent="0.25">
      <c r="B561" s="1649"/>
      <c r="C561" s="1623" t="s">
        <v>1790</v>
      </c>
      <c r="D561" s="1624" t="str">
        <f>INDEX(AirQualityVectors[Description],MATCH(C561,AirQualityVectors[Code],0))</f>
        <v>NMVOC</v>
      </c>
      <c r="E561" s="1650" t="s">
        <v>483</v>
      </c>
      <c r="F561" s="1651">
        <f t="shared" ref="F561:N561" si="157">SUMPRODUCT(F$539:F$541,F$191:F$193)</f>
        <v>0.72104568108545231</v>
      </c>
      <c r="G561" s="2483">
        <f t="shared" si="157"/>
        <v>0.18037049211510137</v>
      </c>
      <c r="H561" s="2483">
        <f t="shared" si="157"/>
        <v>2.7184405794911E-2</v>
      </c>
      <c r="I561" s="2483">
        <f t="shared" si="157"/>
        <v>1.5553511267500597E-2</v>
      </c>
      <c r="J561" s="2483">
        <f t="shared" si="157"/>
        <v>1.2726274096559438E-2</v>
      </c>
      <c r="K561" s="2483">
        <f t="shared" si="157"/>
        <v>1.2949401283202858E-2</v>
      </c>
      <c r="L561" s="2483">
        <f t="shared" si="157"/>
        <v>1.3219859916805382E-2</v>
      </c>
      <c r="M561" s="2483">
        <f t="shared" si="157"/>
        <v>1.3440897369608799E-2</v>
      </c>
      <c r="N561" s="2483">
        <f t="shared" si="157"/>
        <v>1.361133428844708E-2</v>
      </c>
    </row>
    <row r="562" spans="2:15" s="1615" customFormat="1" ht="15.75" x14ac:dyDescent="0.25">
      <c r="B562" s="1649"/>
      <c r="C562" s="2482" t="s">
        <v>105</v>
      </c>
      <c r="D562" s="2482"/>
      <c r="E562" s="2482"/>
      <c r="F562" s="2478">
        <f>SUBTOTAL(109,XII.b.Road.AQ[2010])</f>
        <v>27.354423886741579</v>
      </c>
      <c r="G562" s="2478">
        <f>SUBTOTAL(109,XII.b.Road.AQ[2015])</f>
        <v>11.516954070223079</v>
      </c>
      <c r="H562" s="2478">
        <f>SUBTOTAL(109,XII.b.Road.AQ[2020])</f>
        <v>3.1660951489696285</v>
      </c>
      <c r="I562" s="2478">
        <f>SUBTOTAL(109,XII.b.Road.AQ[2025])</f>
        <v>1.6844731466459026</v>
      </c>
      <c r="J562" s="2478">
        <f>SUBTOTAL(109,XII.b.Road.AQ[2030])</f>
        <v>1.335969865598942</v>
      </c>
      <c r="K562" s="2478">
        <f>SUBTOTAL(109,XII.b.Road.AQ[2035])</f>
        <v>1.3592589393468015</v>
      </c>
      <c r="L562" s="2478">
        <f>SUBTOTAL(109,XII.b.Road.AQ[2040])</f>
        <v>1.3896298976235255</v>
      </c>
      <c r="M562" s="2478">
        <f>SUBTOTAL(109,XII.b.Road.AQ[2045])</f>
        <v>1.414380558927341</v>
      </c>
      <c r="N562" s="2478">
        <f>SUBTOTAL(109,XII.b.Road.AQ[2050])</f>
        <v>1.4333856097874165</v>
      </c>
    </row>
    <row r="563" spans="2:15" s="1615" customFormat="1" ht="15.75" x14ac:dyDescent="0.25">
      <c r="B563" s="1649"/>
      <c r="C563" s="1650"/>
      <c r="D563" s="1650"/>
      <c r="E563" s="1650"/>
      <c r="F563" s="1653"/>
      <c r="G563" s="1653"/>
      <c r="H563" s="1653"/>
      <c r="I563" s="1653"/>
      <c r="J563" s="1653"/>
      <c r="K563" s="1653"/>
      <c r="L563" s="1653"/>
      <c r="M563" s="1653"/>
      <c r="N563" s="1653"/>
      <c r="O563" s="1652"/>
    </row>
    <row r="564" spans="2:15" s="1615" customFormat="1" ht="15.75" x14ac:dyDescent="0.25">
      <c r="B564" s="1649"/>
      <c r="C564" s="1654" t="s">
        <v>1239</v>
      </c>
      <c r="D564" s="1637"/>
      <c r="E564" s="1655"/>
      <c r="F564" s="1637"/>
      <c r="G564" s="1655"/>
      <c r="H564" s="1637"/>
      <c r="I564" s="1637"/>
      <c r="J564" s="1637"/>
      <c r="K564" s="1637"/>
      <c r="L564" s="1637"/>
      <c r="M564" s="1637"/>
      <c r="N564" s="1655" t="s">
        <v>1799</v>
      </c>
    </row>
    <row r="565" spans="2:15" s="1615" customFormat="1" ht="15.75" x14ac:dyDescent="0.25">
      <c r="B565" s="1649"/>
      <c r="C565" s="1637"/>
      <c r="D565" s="1637"/>
      <c r="E565" s="1637"/>
      <c r="F565" s="1637"/>
      <c r="G565" s="1637"/>
      <c r="H565" s="1637"/>
      <c r="I565" s="1637"/>
      <c r="J565" s="1637"/>
      <c r="K565" s="1637"/>
      <c r="L565" s="1637"/>
      <c r="M565" s="1637"/>
      <c r="N565" s="1637"/>
      <c r="O565" s="1652"/>
    </row>
    <row r="566" spans="2:15" s="1615" customFormat="1" ht="15.75" x14ac:dyDescent="0.25">
      <c r="B566" s="1649"/>
      <c r="C566" s="1625" t="s">
        <v>64</v>
      </c>
      <c r="D566" s="1626" t="s">
        <v>150</v>
      </c>
      <c r="E566" s="1626" t="s">
        <v>1804</v>
      </c>
      <c r="F566" s="1656" t="s">
        <v>241</v>
      </c>
      <c r="G566" s="1656" t="s">
        <v>268</v>
      </c>
      <c r="H566" s="1656" t="s">
        <v>269</v>
      </c>
      <c r="I566" s="1656" t="s">
        <v>270</v>
      </c>
      <c r="J566" s="1656" t="s">
        <v>271</v>
      </c>
      <c r="K566" s="1656" t="s">
        <v>272</v>
      </c>
      <c r="L566" s="1656" t="s">
        <v>273</v>
      </c>
      <c r="M566" s="1656" t="s">
        <v>274</v>
      </c>
      <c r="N566" s="1656" t="s">
        <v>275</v>
      </c>
    </row>
    <row r="567" spans="2:15" s="1615" customFormat="1" ht="15.75" x14ac:dyDescent="0.25">
      <c r="B567" s="1649"/>
      <c r="C567" s="1620" t="s">
        <v>1787</v>
      </c>
      <c r="D567" s="1621" t="str">
        <f>INDEX(AirQualityVectors[Description],MATCH(C567,AirQualityVectors[Code],0))</f>
        <v>PM10</v>
      </c>
      <c r="E567" s="1650" t="s">
        <v>483</v>
      </c>
      <c r="F567" s="1651">
        <f t="shared" ref="F567:N567" si="158">SUMPRODUCT(F$537:F$538,F$156:F$157)</f>
        <v>7.8351230977611167E-2</v>
      </c>
      <c r="G567" s="1651">
        <f t="shared" si="158"/>
        <v>0.22874283233912657</v>
      </c>
      <c r="H567" s="1651">
        <f t="shared" si="158"/>
        <v>0.31964681335012235</v>
      </c>
      <c r="I567" s="1651">
        <f t="shared" si="158"/>
        <v>0.3526725009379556</v>
      </c>
      <c r="J567" s="1651">
        <f t="shared" si="158"/>
        <v>0.32781989510262932</v>
      </c>
      <c r="K567" s="1651">
        <f t="shared" si="158"/>
        <v>0.24508899584413843</v>
      </c>
      <c r="L567" s="1651">
        <f t="shared" si="158"/>
        <v>0.12972324553731526</v>
      </c>
      <c r="M567" s="1651">
        <f t="shared" si="158"/>
        <v>0.1215616589771476</v>
      </c>
      <c r="N567" s="1651">
        <f t="shared" si="158"/>
        <v>0.1379423080591746</v>
      </c>
    </row>
    <row r="568" spans="2:15" s="1615" customFormat="1" ht="15.75" x14ac:dyDescent="0.25">
      <c r="B568" s="1649"/>
      <c r="C568" s="1620" t="s">
        <v>1788</v>
      </c>
      <c r="D568" s="1621" t="str">
        <f>INDEX(AirQualityVectors[Description],MATCH(C568,AirQualityVectors[Code],0))</f>
        <v>NOX</v>
      </c>
      <c r="E568" s="1650" t="s">
        <v>483</v>
      </c>
      <c r="F568" s="1651">
        <f t="shared" ref="F568:N568" si="159">SUMPRODUCT(F$537:F$538,F$167:F$168)</f>
        <v>3.7487201638161287</v>
      </c>
      <c r="G568" s="1651">
        <f t="shared" si="159"/>
        <v>11.151290669080657</v>
      </c>
      <c r="H568" s="1651">
        <f t="shared" si="159"/>
        <v>16.240913523963037</v>
      </c>
      <c r="I568" s="1651">
        <f t="shared" si="159"/>
        <v>19.052534113171507</v>
      </c>
      <c r="J568" s="1651">
        <f t="shared" si="159"/>
        <v>19.586152436706069</v>
      </c>
      <c r="K568" s="1651">
        <f t="shared" si="159"/>
        <v>17.841768494566772</v>
      </c>
      <c r="L568" s="1651">
        <f t="shared" si="159"/>
        <v>15.678982541699325</v>
      </c>
      <c r="M568" s="1651">
        <f t="shared" si="159"/>
        <v>17.504878892709254</v>
      </c>
      <c r="N568" s="1651">
        <f t="shared" si="159"/>
        <v>19.863692360521139</v>
      </c>
    </row>
    <row r="569" spans="2:15" s="1615" customFormat="1" ht="15.75" x14ac:dyDescent="0.25">
      <c r="B569" s="1649"/>
      <c r="C569" s="1620" t="s">
        <v>1789</v>
      </c>
      <c r="D569" s="1621" t="str">
        <f>INDEX(AirQualityVectors[Description],MATCH(C569,AirQualityVectors[Code],0))</f>
        <v>SO2</v>
      </c>
      <c r="E569" s="1650" t="s">
        <v>483</v>
      </c>
      <c r="F569" s="1651">
        <f t="shared" ref="F569:N569" si="160">SUMPRODUCT(F$537:F$538,F$178:F$179)</f>
        <v>2.4539210591579472E-2</v>
      </c>
      <c r="G569" s="1651">
        <f t="shared" si="160"/>
        <v>1.4701745990517267E-3</v>
      </c>
      <c r="H569" s="1651">
        <f t="shared" si="160"/>
        <v>2.5047419094955344E-3</v>
      </c>
      <c r="I569" s="1651">
        <f t="shared" si="160"/>
        <v>3.5393092199393419E-3</v>
      </c>
      <c r="J569" s="1651">
        <f t="shared" si="160"/>
        <v>4.573876530383149E-3</v>
      </c>
      <c r="K569" s="1651">
        <f t="shared" si="160"/>
        <v>5.6084438408269561E-3</v>
      </c>
      <c r="L569" s="1651">
        <f t="shared" si="160"/>
        <v>6.643011151270764E-3</v>
      </c>
      <c r="M569" s="1651">
        <f t="shared" si="160"/>
        <v>7.677578461714572E-3</v>
      </c>
      <c r="N569" s="1651">
        <f t="shared" si="160"/>
        <v>8.7121457721583799E-3</v>
      </c>
    </row>
    <row r="570" spans="2:15" s="1615" customFormat="1" ht="15.75" x14ac:dyDescent="0.25">
      <c r="B570" s="1649"/>
      <c r="C570" s="1623" t="s">
        <v>1790</v>
      </c>
      <c r="D570" s="1624" t="str">
        <f>INDEX(AirQualityVectors[Description],MATCH(C570,AirQualityVectors[Code],0))</f>
        <v>NMVOC</v>
      </c>
      <c r="E570" s="1650" t="s">
        <v>483</v>
      </c>
      <c r="F570" s="1651">
        <f t="shared" ref="F570:N570" si="161">SUMPRODUCT(F$537:F$538,F$189:F$190)</f>
        <v>0.36861863174959608</v>
      </c>
      <c r="G570" s="1651">
        <f t="shared" si="161"/>
        <v>1.0884372302986216</v>
      </c>
      <c r="H570" s="1651">
        <f t="shared" si="161"/>
        <v>1.5891919484573327</v>
      </c>
      <c r="I570" s="1651">
        <f t="shared" si="161"/>
        <v>1.8708827862257384</v>
      </c>
      <c r="J570" s="1651">
        <f t="shared" si="161"/>
        <v>1.9335097436038391</v>
      </c>
      <c r="K570" s="1651">
        <f t="shared" si="161"/>
        <v>1.7770728205916295</v>
      </c>
      <c r="L570" s="1651">
        <f t="shared" si="161"/>
        <v>1.6828961583219297</v>
      </c>
      <c r="M570" s="1651">
        <f t="shared" si="161"/>
        <v>1.9449865436343616</v>
      </c>
      <c r="N570" s="1651">
        <f t="shared" si="161"/>
        <v>2.2070769289467935</v>
      </c>
    </row>
    <row r="571" spans="2:15" s="1615" customFormat="1" ht="15.75" x14ac:dyDescent="0.25">
      <c r="B571" s="1649"/>
      <c r="C571" s="2482" t="s">
        <v>105</v>
      </c>
      <c r="D571" s="2482"/>
      <c r="E571" s="2482"/>
      <c r="F571" s="2478">
        <f>SUBTOTAL(109,XII.b.Rail.AQ[2010])</f>
        <v>4.2202292371349159</v>
      </c>
      <c r="G571" s="2478">
        <f>SUBTOTAL(109,XII.b.Rail.AQ[2015])</f>
        <v>12.469940906317456</v>
      </c>
      <c r="H571" s="2478">
        <f>SUBTOTAL(109,XII.b.Rail.AQ[2020])</f>
        <v>18.152257027679987</v>
      </c>
      <c r="I571" s="2478">
        <f>SUBTOTAL(109,XII.b.Rail.AQ[2025])</f>
        <v>21.279628709555141</v>
      </c>
      <c r="J571" s="2478">
        <f>SUBTOTAL(109,XII.b.Rail.AQ[2030])</f>
        <v>21.852055951942919</v>
      </c>
      <c r="K571" s="2478">
        <f>SUBTOTAL(109,XII.b.Rail.AQ[2035])</f>
        <v>19.869538754843369</v>
      </c>
      <c r="L571" s="2478">
        <f>SUBTOTAL(109,XII.b.Rail.AQ[2040])</f>
        <v>17.49824495670984</v>
      </c>
      <c r="M571" s="2478">
        <f>SUBTOTAL(109,XII.b.Rail.AQ[2045])</f>
        <v>19.579104673782474</v>
      </c>
      <c r="N571" s="2478">
        <f>SUBTOTAL(109,XII.b.Rail.AQ[2050])</f>
        <v>22.217423743299264</v>
      </c>
    </row>
    <row r="572" spans="2:15" s="1615" customFormat="1" ht="15.75" x14ac:dyDescent="0.25">
      <c r="B572" s="1649"/>
      <c r="C572" s="1650"/>
      <c r="D572" s="1650"/>
      <c r="E572" s="1650"/>
      <c r="F572" s="1653"/>
      <c r="G572" s="1653"/>
      <c r="H572" s="1653"/>
      <c r="I572" s="1653"/>
      <c r="J572" s="1653"/>
      <c r="K572" s="1653"/>
      <c r="L572" s="1653"/>
      <c r="M572" s="1653"/>
      <c r="N572" s="1653"/>
      <c r="O572" s="1652"/>
    </row>
    <row r="573" spans="2:15" s="1615" customFormat="1" ht="15.75" x14ac:dyDescent="0.25">
      <c r="B573" s="1649"/>
      <c r="C573" s="1654" t="s">
        <v>2340</v>
      </c>
      <c r="D573" s="1637"/>
      <c r="E573" s="1655"/>
      <c r="F573" s="1637"/>
      <c r="G573" s="1655"/>
      <c r="H573" s="1637"/>
      <c r="I573" s="1637"/>
      <c r="J573" s="1637"/>
      <c r="K573" s="1637"/>
      <c r="L573" s="1637"/>
      <c r="M573" s="1637"/>
      <c r="N573" s="1655" t="s">
        <v>1799</v>
      </c>
      <c r="O573" s="1652"/>
    </row>
    <row r="574" spans="2:15" s="1615" customFormat="1" ht="15.75" x14ac:dyDescent="0.25">
      <c r="B574" s="1649"/>
      <c r="C574" s="1637"/>
      <c r="D574" s="1637"/>
      <c r="E574" s="1637"/>
      <c r="F574" s="1637"/>
      <c r="G574" s="1637"/>
      <c r="H574" s="1637"/>
      <c r="I574" s="1637"/>
      <c r="J574" s="1637"/>
      <c r="K574" s="1637"/>
      <c r="L574" s="1637"/>
      <c r="M574" s="1637"/>
      <c r="N574" s="1637"/>
      <c r="O574" s="1652"/>
    </row>
    <row r="575" spans="2:15" s="1615" customFormat="1" ht="15.75" x14ac:dyDescent="0.25">
      <c r="B575" s="1649"/>
      <c r="C575" s="1625" t="s">
        <v>64</v>
      </c>
      <c r="D575" s="1626" t="s">
        <v>150</v>
      </c>
      <c r="E575" s="1626" t="s">
        <v>1804</v>
      </c>
      <c r="F575" s="1656" t="s">
        <v>241</v>
      </c>
      <c r="G575" s="1656" t="s">
        <v>268</v>
      </c>
      <c r="H575" s="1656" t="s">
        <v>269</v>
      </c>
      <c r="I575" s="1656" t="s">
        <v>270</v>
      </c>
      <c r="J575" s="1656" t="s">
        <v>271</v>
      </c>
      <c r="K575" s="1656" t="s">
        <v>272</v>
      </c>
      <c r="L575" s="1656" t="s">
        <v>273</v>
      </c>
      <c r="M575" s="1656" t="s">
        <v>274</v>
      </c>
      <c r="N575" s="1656" t="s">
        <v>275</v>
      </c>
    </row>
    <row r="576" spans="2:15" s="1615" customFormat="1" ht="15.75" x14ac:dyDescent="0.25">
      <c r="B576" s="1649"/>
      <c r="C576" s="1620" t="s">
        <v>1787</v>
      </c>
      <c r="D576" s="1621" t="str">
        <f>INDEX(AirQualityVectors[Description],MATCH(C576,AirQualityVectors[Code],0))</f>
        <v>PM10</v>
      </c>
      <c r="E576" s="1650" t="s">
        <v>483</v>
      </c>
      <c r="F576" s="1651">
        <f t="shared" ref="F576:N576" si="162">F$542*F$161</f>
        <v>0</v>
      </c>
      <c r="G576" s="1651">
        <f t="shared" si="162"/>
        <v>2.9625299061806775E-14</v>
      </c>
      <c r="H576" s="1651">
        <f t="shared" si="162"/>
        <v>4.8598353549151082E-14</v>
      </c>
      <c r="I576" s="1651">
        <f t="shared" si="162"/>
        <v>5.6919163462032896E-14</v>
      </c>
      <c r="J576" s="1651">
        <f t="shared" si="162"/>
        <v>5.4587728800452733E-14</v>
      </c>
      <c r="K576" s="1651">
        <f t="shared" si="162"/>
        <v>4.160404956440973E-14</v>
      </c>
      <c r="L576" s="1651">
        <f t="shared" si="162"/>
        <v>2.2309417882364616E-14</v>
      </c>
      <c r="M576" s="1651">
        <f t="shared" si="162"/>
        <v>2.1103503402236825E-14</v>
      </c>
      <c r="N576" s="1651">
        <f t="shared" si="162"/>
        <v>2.4118289602556368E-14</v>
      </c>
    </row>
    <row r="577" spans="2:14" s="1615" customFormat="1" ht="15.75" x14ac:dyDescent="0.25">
      <c r="B577" s="1649"/>
      <c r="C577" s="1620" t="s">
        <v>1788</v>
      </c>
      <c r="D577" s="1621" t="str">
        <f>INDEX(AirQualityVectors[Description],MATCH(C577,AirQualityVectors[Code],0))</f>
        <v>NOX</v>
      </c>
      <c r="E577" s="1650" t="s">
        <v>483</v>
      </c>
      <c r="F577" s="1651">
        <f t="shared" ref="F577:N577" si="163">F$542*F$172</f>
        <v>0</v>
      </c>
      <c r="G577" s="1651">
        <f t="shared" si="163"/>
        <v>1.4442433785504089E-12</v>
      </c>
      <c r="H577" s="1651">
        <f t="shared" si="163"/>
        <v>2.4692304895097208E-12</v>
      </c>
      <c r="I577" s="1651">
        <f t="shared" si="163"/>
        <v>3.0749613328779248E-12</v>
      </c>
      <c r="J577" s="1651">
        <f t="shared" si="163"/>
        <v>3.2614359086550209E-12</v>
      </c>
      <c r="K577" s="1651">
        <f t="shared" si="163"/>
        <v>3.0286542168410152E-12</v>
      </c>
      <c r="L577" s="1651">
        <f t="shared" si="163"/>
        <v>2.6964247775658043E-12</v>
      </c>
      <c r="M577" s="1651">
        <f t="shared" si="163"/>
        <v>3.0389044899221024E-12</v>
      </c>
      <c r="N577" s="1651">
        <f t="shared" si="163"/>
        <v>3.4730337027681166E-12</v>
      </c>
    </row>
    <row r="578" spans="2:14" s="1615" customFormat="1" ht="15.75" x14ac:dyDescent="0.25">
      <c r="B578" s="1649"/>
      <c r="C578" s="1620" t="s">
        <v>1789</v>
      </c>
      <c r="D578" s="1621" t="str">
        <f>INDEX(AirQualityVectors[Description],MATCH(C578,AirQualityVectors[Code],0))</f>
        <v>SO2</v>
      </c>
      <c r="E578" s="1650" t="s">
        <v>483</v>
      </c>
      <c r="F578" s="1651">
        <f t="shared" ref="F578:N578" si="164">F$542*F$183</f>
        <v>0</v>
      </c>
      <c r="G578" s="1651">
        <f t="shared" si="164"/>
        <v>1.9040754949386573E-16</v>
      </c>
      <c r="H578" s="1651">
        <f t="shared" si="164"/>
        <v>3.8081509898773146E-16</v>
      </c>
      <c r="I578" s="1651">
        <f t="shared" si="164"/>
        <v>5.7122264848159713E-16</v>
      </c>
      <c r="J578" s="1651">
        <f t="shared" si="164"/>
        <v>7.6163019797546291E-16</v>
      </c>
      <c r="K578" s="1651">
        <f t="shared" si="164"/>
        <v>9.5203774746932869E-16</v>
      </c>
      <c r="L578" s="1651">
        <f t="shared" si="164"/>
        <v>1.1424452969631945E-15</v>
      </c>
      <c r="M578" s="1651">
        <f t="shared" si="164"/>
        <v>1.3328528464570602E-15</v>
      </c>
      <c r="N578" s="1651">
        <f t="shared" si="164"/>
        <v>1.5232603959509258E-15</v>
      </c>
    </row>
    <row r="579" spans="2:14" s="1615" customFormat="1" ht="15.75" x14ac:dyDescent="0.25">
      <c r="B579" s="1649"/>
      <c r="C579" s="1623" t="s">
        <v>1790</v>
      </c>
      <c r="D579" s="1624" t="str">
        <f>INDEX(AirQualityVectors[Description],MATCH(C579,AirQualityVectors[Code],0))</f>
        <v>NMVOC</v>
      </c>
      <c r="E579" s="1650" t="s">
        <v>483</v>
      </c>
      <c r="F579" s="1651">
        <f t="shared" ref="F579:N579" si="165">F$542*F$194</f>
        <v>0</v>
      </c>
      <c r="G579" s="1651">
        <f t="shared" si="165"/>
        <v>1.4096738301200861E-13</v>
      </c>
      <c r="H579" s="1651">
        <f t="shared" si="165"/>
        <v>2.416170252384097E-13</v>
      </c>
      <c r="I579" s="1651">
        <f t="shared" si="165"/>
        <v>3.0194892667920429E-13</v>
      </c>
      <c r="J579" s="1651">
        <f t="shared" si="165"/>
        <v>3.2196308733439261E-13</v>
      </c>
      <c r="K579" s="1651">
        <f t="shared" si="165"/>
        <v>3.0165950720397373E-13</v>
      </c>
      <c r="L579" s="1651">
        <f t="shared" si="165"/>
        <v>2.8941947523067645E-13</v>
      </c>
      <c r="M579" s="1651">
        <f t="shared" si="165"/>
        <v>3.3765605443578919E-13</v>
      </c>
      <c r="N579" s="1651">
        <f t="shared" si="165"/>
        <v>3.8589263364090189E-13</v>
      </c>
    </row>
    <row r="580" spans="2:14" ht="15.75" x14ac:dyDescent="0.25">
      <c r="B580" s="1649"/>
      <c r="C580" s="2482" t="s">
        <v>105</v>
      </c>
      <c r="D580" s="2482"/>
      <c r="E580" s="2482"/>
      <c r="F580" s="2478">
        <f>SUBTOTAL(109,XII.b.Barge.AQ[2010])</f>
        <v>0</v>
      </c>
      <c r="G580" s="2478">
        <f>SUBTOTAL(109,XII.b.Barge.AQ[2015])</f>
        <v>1.6150264681737183E-12</v>
      </c>
      <c r="H580" s="2478">
        <f>SUBTOTAL(109,XII.b.Barge.AQ[2020])</f>
        <v>2.7598266833962694E-12</v>
      </c>
      <c r="I580" s="2478">
        <f>SUBTOTAL(109,XII.b.Barge.AQ[2025])</f>
        <v>3.4344006456676435E-12</v>
      </c>
      <c r="J580" s="2478">
        <f>SUBTOTAL(109,XII.b.Barge.AQ[2030])</f>
        <v>3.6387483549878412E-12</v>
      </c>
      <c r="K580" s="2478">
        <f>SUBTOTAL(109,XII.b.Barge.AQ[2035])</f>
        <v>3.3728698113568681E-12</v>
      </c>
      <c r="L580" s="2478">
        <f>SUBTOTAL(109,XII.b.Barge.AQ[2040])</f>
        <v>3.0092961159758088E-12</v>
      </c>
      <c r="M580" s="2478">
        <f>SUBTOTAL(109,XII.b.Barge.AQ[2045])</f>
        <v>3.3989969006065853E-12</v>
      </c>
      <c r="N580" s="2478">
        <f>SUBTOTAL(109,XII.b.Barge.AQ[2050])</f>
        <v>3.8845678864075257E-12</v>
      </c>
    </row>
    <row r="581" spans="2:14" ht="15.75" x14ac:dyDescent="0.25">
      <c r="B581" s="1649"/>
      <c r="C581" s="1637"/>
      <c r="D581" s="1637"/>
      <c r="E581" s="1637"/>
      <c r="F581" s="1637"/>
      <c r="G581" s="1637"/>
      <c r="H581" s="1637"/>
      <c r="I581" s="1637"/>
      <c r="J581" s="1637"/>
      <c r="K581" s="1637"/>
      <c r="L581" s="1637"/>
      <c r="M581" s="1637"/>
      <c r="N581" s="1637"/>
    </row>
  </sheetData>
  <pageMargins left="0.7" right="0.7" top="0.75" bottom="0.75" header="0.3" footer="0.3"/>
  <pageSetup paperSize="9" orientation="portrait" horizontalDpi="300" verticalDpi="300"/>
  <ignoredErrors>
    <ignoredError sqref="K72:K73 M72:M73" formula="1"/>
  </ignoredErrors>
  <tableParts count="19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 enableFormatConditionsCalculation="0">
    <tabColor theme="9"/>
    <outlinePr summaryBelow="0"/>
    <pageSetUpPr autoPageBreaks="0"/>
  </sheetPr>
  <dimension ref="A1:P228"/>
  <sheetViews>
    <sheetView windowProtection="1" zoomScaleNormal="100" workbookViewId="0"/>
  </sheetViews>
  <sheetFormatPr defaultColWidth="8.7109375" defaultRowHeight="12.75" x14ac:dyDescent="0.2"/>
  <cols>
    <col min="1" max="1" width="7.7109375" style="38" customWidth="1"/>
    <col min="2" max="2" width="5.7109375" style="38" customWidth="1"/>
    <col min="3" max="3" width="20.42578125" style="38" customWidth="1"/>
    <col min="4" max="4" width="30.7109375" style="38" customWidth="1"/>
    <col min="5" max="5" width="20.7109375" style="38" customWidth="1"/>
    <col min="6" max="15" width="17.7109375" style="38" customWidth="1"/>
    <col min="16" max="16" width="2" style="38" customWidth="1"/>
    <col min="17" max="17" width="10.7109375" style="38" customWidth="1"/>
    <col min="18" max="16384" width="8.7109375" style="38"/>
  </cols>
  <sheetData>
    <row r="1" spans="1:16" ht="21" x14ac:dyDescent="0.35">
      <c r="A1" s="119" t="s">
        <v>403</v>
      </c>
      <c r="B1" s="119" t="str">
        <f>INDEX(Workstreams[Workstream], MATCH($A1, Workstreams[Code], 0))</f>
        <v>Fossil fuel production</v>
      </c>
      <c r="C1" s="119"/>
    </row>
    <row r="2" spans="1:16" s="84" customFormat="1" ht="19.5" customHeight="1" x14ac:dyDescent="0.2">
      <c r="A2" s="6" t="s">
        <v>405</v>
      </c>
      <c r="B2" s="6" t="str">
        <f>INDEX(Modules[Module], MATCH($A2, Modules[Code], 0))</f>
        <v>Petroleum refineries</v>
      </c>
      <c r="C2" s="6"/>
      <c r="E2" s="1380"/>
    </row>
    <row r="4" spans="1:16" ht="22.5" collapsed="1" x14ac:dyDescent="0.3">
      <c r="A4" s="409"/>
      <c r="B4" s="468" t="s">
        <v>235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x14ac:dyDescent="0.2">
      <c r="B6" s="410"/>
      <c r="C6" s="424" t="s">
        <v>1141</v>
      </c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2"/>
      <c r="O6" s="413" t="str">
        <f>Preferences.EnergyUnits</f>
        <v>TWh</v>
      </c>
      <c r="P6" s="414"/>
    </row>
    <row r="7" spans="1:16" ht="6" customHeight="1" x14ac:dyDescent="0.2">
      <c r="B7" s="410"/>
      <c r="C7" s="411"/>
      <c r="D7" s="412"/>
      <c r="E7" s="413"/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s="84" customFormat="1" ht="15.75" x14ac:dyDescent="0.2">
      <c r="A8" s="89"/>
      <c r="B8" s="425"/>
      <c r="C8" s="426" t="s">
        <v>64</v>
      </c>
      <c r="D8" s="426" t="s">
        <v>150</v>
      </c>
      <c r="E8" s="426" t="s">
        <v>172</v>
      </c>
      <c r="F8" s="426" t="s">
        <v>241</v>
      </c>
      <c r="G8" s="427" t="s">
        <v>268</v>
      </c>
      <c r="H8" s="427" t="s">
        <v>269</v>
      </c>
      <c r="I8" s="427" t="s">
        <v>270</v>
      </c>
      <c r="J8" s="427" t="s">
        <v>271</v>
      </c>
      <c r="K8" s="427" t="s">
        <v>272</v>
      </c>
      <c r="L8" s="427" t="s">
        <v>273</v>
      </c>
      <c r="M8" s="427" t="s">
        <v>274</v>
      </c>
      <c r="N8" s="427" t="s">
        <v>275</v>
      </c>
      <c r="O8" s="428"/>
    </row>
    <row r="9" spans="1:16" s="84" customFormat="1" ht="18" customHeight="1" x14ac:dyDescent="0.2">
      <c r="A9" s="89"/>
      <c r="B9" s="425"/>
      <c r="C9" s="97" t="s">
        <v>426</v>
      </c>
      <c r="D9" s="97" t="str">
        <f>INDEX(Vectors[Description], MATCH(XV.a.Inputs[Vector], Vectors[Code], 0))</f>
        <v>Oil reserves</v>
      </c>
      <c r="E9" s="97"/>
      <c r="F9" s="500">
        <f ca="1">INDEX(INDIRECT("'"&amp;XV.a.Inputs[#Headers]&amp;"'!Year.NetBalance"), MATCH(XV.a.Inputs[Vector], INDIRECT("'"&amp;XV.a.Inputs[#Headers]&amp;"'!Year.Vectors"), 0))</f>
        <v>-1458.9378638800001</v>
      </c>
      <c r="G9" s="500">
        <f ca="1">INDEX(INDIRECT("'"&amp;XV.a.Inputs[#Headers]&amp;"'!Year.NetBalance"), MATCH(XV.a.Inputs[Vector], INDIRECT("'"&amp;XV.a.Inputs[#Headers]&amp;"'!Year.Vectors"), 0))</f>
        <v>-1458.9378638800001</v>
      </c>
      <c r="H9" s="500">
        <f ca="1">INDEX(INDIRECT("'"&amp;XV.a.Inputs[#Headers]&amp;"'!Year.NetBalance"), MATCH(XV.a.Inputs[Vector], INDIRECT("'"&amp;XV.a.Inputs[#Headers]&amp;"'!Year.Vectors"), 0))</f>
        <v>-1448.5168791380001</v>
      </c>
      <c r="I9" s="500">
        <f ca="1">INDEX(INDIRECT("'"&amp;XV.a.Inputs[#Headers]&amp;"'!Year.NetBalance"), MATCH(XV.a.Inputs[Vector], INDIRECT("'"&amp;XV.a.Inputs[#Headers]&amp;"'!Year.Vectors"), 0))</f>
        <v>-1438.0958943960002</v>
      </c>
      <c r="J9" s="500">
        <f ca="1">INDEX(INDIRECT("'"&amp;XV.a.Inputs[#Headers]&amp;"'!Year.NetBalance"), MATCH(XV.a.Inputs[Vector], INDIRECT("'"&amp;XV.a.Inputs[#Headers]&amp;"'!Year.Vectors"), 0))</f>
        <v>-1427.6749096540002</v>
      </c>
      <c r="K9" s="500">
        <f ca="1">INDEX(INDIRECT("'"&amp;XV.a.Inputs[#Headers]&amp;"'!Year.NetBalance"), MATCH(XV.a.Inputs[Vector], INDIRECT("'"&amp;XV.a.Inputs[#Headers]&amp;"'!Year.Vectors"), 0))</f>
        <v>-1417.253924912</v>
      </c>
      <c r="L9" s="500">
        <f ca="1">INDEX(INDIRECT("'"&amp;XV.a.Inputs[#Headers]&amp;"'!Year.NetBalance"), MATCH(XV.a.Inputs[Vector], INDIRECT("'"&amp;XV.a.Inputs[#Headers]&amp;"'!Year.Vectors"), 0))</f>
        <v>-1406.83294017</v>
      </c>
      <c r="M9" s="500">
        <f ca="1">INDEX(INDIRECT("'"&amp;XV.a.Inputs[#Headers]&amp;"'!Year.NetBalance"), MATCH(XV.a.Inputs[Vector], INDIRECT("'"&amp;XV.a.Inputs[#Headers]&amp;"'!Year.Vectors"), 0))</f>
        <v>-1396.4119554280001</v>
      </c>
      <c r="N9" s="500">
        <f ca="1">INDEX(INDIRECT("'"&amp;XV.a.Inputs[#Headers]&amp;"'!Year.NetBalance"), MATCH(XV.a.Inputs[Vector], INDIRECT("'"&amp;XV.a.Inputs[#Headers]&amp;"'!Year.Vectors"), 0))</f>
        <v>-1385.9909706860001</v>
      </c>
      <c r="O9" s="429"/>
    </row>
    <row r="10" spans="1:16" x14ac:dyDescent="0.2">
      <c r="B10" s="430"/>
      <c r="C10" s="418"/>
      <c r="D10" s="418"/>
      <c r="E10" s="418"/>
      <c r="F10" s="418"/>
      <c r="G10" s="418"/>
      <c r="H10" s="418"/>
      <c r="I10" s="418"/>
      <c r="J10" s="418"/>
      <c r="K10" s="418"/>
      <c r="L10" s="418"/>
      <c r="M10" s="418"/>
      <c r="N10" s="418"/>
      <c r="O10" s="418"/>
      <c r="P10" s="419"/>
    </row>
    <row r="11" spans="1:16" s="588" customFormat="1" x14ac:dyDescent="0.2">
      <c r="B11" s="1079"/>
      <c r="C11" s="1080"/>
      <c r="D11" s="1080"/>
      <c r="E11" s="1080"/>
      <c r="F11" s="1080"/>
      <c r="G11" s="1080"/>
      <c r="H11" s="1080"/>
      <c r="I11" s="1080"/>
      <c r="J11" s="1080"/>
      <c r="K11" s="1080"/>
      <c r="L11" s="1080"/>
      <c r="M11" s="1080"/>
      <c r="N11" s="1080"/>
      <c r="O11" s="1080"/>
      <c r="P11" s="587"/>
    </row>
    <row r="12" spans="1:16" s="84" customFormat="1" ht="22.5" collapsed="1" x14ac:dyDescent="0.2">
      <c r="A12" s="408"/>
      <c r="B12" s="472" t="s">
        <v>315</v>
      </c>
      <c r="C12" s="405"/>
      <c r="D12" s="405"/>
      <c r="E12" s="405"/>
      <c r="F12" s="405"/>
      <c r="G12" s="405"/>
      <c r="H12" s="405"/>
      <c r="I12" s="405"/>
      <c r="J12" s="405"/>
      <c r="K12" s="405"/>
      <c r="L12" s="405"/>
      <c r="M12" s="405"/>
      <c r="N12" s="405"/>
      <c r="O12" s="406"/>
    </row>
    <row r="13" spans="1:16" x14ac:dyDescent="0.2">
      <c r="B13" s="395"/>
      <c r="C13" s="173"/>
      <c r="D13" s="173"/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396"/>
    </row>
    <row r="14" spans="1:16" x14ac:dyDescent="0.2">
      <c r="B14" s="395"/>
      <c r="C14" s="175" t="s">
        <v>1139</v>
      </c>
      <c r="D14" s="173"/>
      <c r="E14" s="176"/>
      <c r="F14" s="173"/>
      <c r="G14" s="173"/>
      <c r="H14" s="173"/>
      <c r="I14" s="173"/>
      <c r="J14" s="173"/>
      <c r="K14" s="173"/>
      <c r="L14" s="173"/>
      <c r="M14" s="173"/>
      <c r="N14" s="176" t="str">
        <f>Preferences.EnergyUnits</f>
        <v>TWh</v>
      </c>
      <c r="O14" s="396"/>
    </row>
    <row r="15" spans="1:16" ht="5.25" customHeight="1" x14ac:dyDescent="0.2">
      <c r="B15" s="395"/>
      <c r="C15" s="173"/>
      <c r="D15" s="173"/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396"/>
    </row>
    <row r="16" spans="1:16" ht="15.75" x14ac:dyDescent="0.25">
      <c r="B16" s="397"/>
      <c r="C16" s="98" t="s">
        <v>64</v>
      </c>
      <c r="D16" s="98" t="s">
        <v>150</v>
      </c>
      <c r="E16" s="98" t="s">
        <v>172</v>
      </c>
      <c r="F16" s="218">
        <v>2010</v>
      </c>
      <c r="G16" s="217">
        <v>2015</v>
      </c>
      <c r="H16" s="217">
        <v>2020</v>
      </c>
      <c r="I16" s="217">
        <v>2025</v>
      </c>
      <c r="J16" s="217">
        <v>2030</v>
      </c>
      <c r="K16" s="217">
        <v>2035</v>
      </c>
      <c r="L16" s="217">
        <v>2040</v>
      </c>
      <c r="M16" s="217">
        <v>2045</v>
      </c>
      <c r="N16" s="217">
        <v>2050</v>
      </c>
      <c r="O16" s="396"/>
    </row>
    <row r="17" spans="2:16" ht="15.75" x14ac:dyDescent="0.25">
      <c r="B17" s="397"/>
      <c r="C17" s="124" t="s">
        <v>52</v>
      </c>
      <c r="D17" s="124" t="str">
        <f>INDEX(Vectors[Description], MATCH($C17, Vectors[Code], 0))</f>
        <v>Oil and petroleum products</v>
      </c>
      <c r="E17" s="124" t="s">
        <v>93</v>
      </c>
      <c r="F17" s="318">
        <f>114.98*(Unit.Mboe)</f>
        <v>187.21043600000002</v>
      </c>
      <c r="G17" s="317">
        <f>F17</f>
        <v>187.21043600000002</v>
      </c>
      <c r="H17" s="317">
        <f>G17*0.8</f>
        <v>149.76834880000001</v>
      </c>
      <c r="I17" s="317">
        <f>H17*0.5</f>
        <v>74.884174400000006</v>
      </c>
      <c r="J17" s="317">
        <f>I17*0.2</f>
        <v>14.976834880000002</v>
      </c>
      <c r="K17" s="317">
        <f>J17*0.01</f>
        <v>0.14976834880000003</v>
      </c>
      <c r="L17" s="317">
        <f>K17*0</f>
        <v>0</v>
      </c>
      <c r="M17" s="317">
        <f t="shared" ref="M17:N17" si="0">L17*0</f>
        <v>0</v>
      </c>
      <c r="N17" s="317">
        <f t="shared" si="0"/>
        <v>0</v>
      </c>
      <c r="O17" s="396"/>
    </row>
    <row r="18" spans="2:16" x14ac:dyDescent="0.2">
      <c r="B18" s="395"/>
      <c r="C18" s="173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96"/>
    </row>
    <row r="19" spans="2:16" x14ac:dyDescent="0.2">
      <c r="B19" s="395"/>
      <c r="C19" s="175" t="s">
        <v>1142</v>
      </c>
      <c r="D19" s="173"/>
      <c r="E19" s="176"/>
      <c r="F19" s="176" t="str">
        <f>Preferences.EnergyUnits</f>
        <v>TWh</v>
      </c>
      <c r="G19" s="173"/>
      <c r="H19" s="2637">
        <v>816043400</v>
      </c>
      <c r="I19" s="173"/>
      <c r="J19" s="173"/>
      <c r="K19" s="173"/>
      <c r="L19" s="173"/>
      <c r="M19" s="173"/>
      <c r="N19" s="173"/>
      <c r="O19" s="176"/>
      <c r="P19" s="173"/>
    </row>
    <row r="20" spans="2:16" ht="5.25" customHeight="1" x14ac:dyDescent="0.2">
      <c r="B20" s="395"/>
      <c r="C20" s="173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</row>
    <row r="21" spans="2:16" ht="15.75" x14ac:dyDescent="0.25">
      <c r="B21" s="397"/>
      <c r="C21" s="98" t="s">
        <v>64</v>
      </c>
      <c r="D21" s="98" t="s">
        <v>150</v>
      </c>
      <c r="E21" s="98" t="s">
        <v>172</v>
      </c>
      <c r="F21" s="217">
        <v>2010</v>
      </c>
      <c r="G21" s="1416"/>
      <c r="H21" s="1253">
        <f>(450000*365)</f>
        <v>164250000</v>
      </c>
      <c r="I21" s="523"/>
      <c r="J21" s="523"/>
      <c r="K21" s="523"/>
      <c r="L21" s="523"/>
      <c r="M21" s="523"/>
      <c r="N21" s="523"/>
      <c r="O21" s="523"/>
      <c r="P21" s="173"/>
    </row>
    <row r="22" spans="2:16" ht="15.75" x14ac:dyDescent="0.25">
      <c r="B22" s="397"/>
      <c r="C22" s="124" t="s">
        <v>52</v>
      </c>
      <c r="D22" s="124" t="str">
        <f>INDEX(Vectors[Description], MATCH($C22, Vectors[Code], 0))</f>
        <v>Oil and petroleum products</v>
      </c>
      <c r="E22" s="124" t="s">
        <v>93</v>
      </c>
      <c r="F22" s="317">
        <f>651.793*(Unit.Mboe)</f>
        <v>1061.2493626</v>
      </c>
      <c r="G22" s="188"/>
      <c r="H22" s="188">
        <f>H19-H21</f>
        <v>651793400</v>
      </c>
      <c r="I22" s="188"/>
      <c r="J22" s="188"/>
      <c r="K22" s="188"/>
      <c r="L22" s="188"/>
      <c r="M22" s="188"/>
      <c r="N22" s="188"/>
      <c r="O22" s="188"/>
      <c r="P22" s="173"/>
    </row>
    <row r="23" spans="2:16" x14ac:dyDescent="0.2">
      <c r="B23" s="395"/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</row>
    <row r="24" spans="2:16" x14ac:dyDescent="0.2">
      <c r="B24" s="395"/>
      <c r="C24" s="175" t="s">
        <v>1148</v>
      </c>
      <c r="D24" s="173"/>
      <c r="E24" s="176"/>
      <c r="F24" s="173"/>
      <c r="G24" s="173"/>
      <c r="H24" s="173"/>
      <c r="I24" s="173"/>
      <c r="J24" s="173"/>
      <c r="K24" s="173"/>
      <c r="L24" s="173"/>
      <c r="M24" s="173"/>
      <c r="N24" s="173"/>
      <c r="O24" s="176" t="s">
        <v>1146</v>
      </c>
      <c r="P24" s="396"/>
    </row>
    <row r="25" spans="2:16" ht="6" customHeight="1" x14ac:dyDescent="0.2">
      <c r="B25" s="395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396"/>
    </row>
    <row r="26" spans="2:16" ht="15.75" x14ac:dyDescent="0.25">
      <c r="B26" s="397"/>
      <c r="C26" s="98" t="s">
        <v>64</v>
      </c>
      <c r="D26" s="98" t="s">
        <v>150</v>
      </c>
      <c r="E26" s="98" t="s">
        <v>172</v>
      </c>
      <c r="F26" s="218">
        <v>2010</v>
      </c>
      <c r="G26" s="217">
        <v>2015</v>
      </c>
      <c r="H26" s="217">
        <v>2020</v>
      </c>
      <c r="I26" s="217">
        <v>2025</v>
      </c>
      <c r="J26" s="217">
        <v>2030</v>
      </c>
      <c r="K26" s="217">
        <v>2035</v>
      </c>
      <c r="L26" s="217">
        <v>2040</v>
      </c>
      <c r="M26" s="217">
        <v>2045</v>
      </c>
      <c r="N26" s="217">
        <v>2050</v>
      </c>
      <c r="O26" s="396"/>
    </row>
    <row r="27" spans="2:16" s="84" customFormat="1" ht="15.75" x14ac:dyDescent="0.2">
      <c r="B27" s="399"/>
      <c r="C27" s="124" t="s">
        <v>26</v>
      </c>
      <c r="D27" s="124" t="str">
        <f>INDEX(Vectors[Description], MATCH($C27, Vectors[Code], 0))</f>
        <v>Conversion losses</v>
      </c>
      <c r="E27" s="124"/>
      <c r="F27" s="127">
        <v>0</v>
      </c>
      <c r="G27" s="126">
        <v>0</v>
      </c>
      <c r="H27" s="126">
        <v>0</v>
      </c>
      <c r="I27" s="126">
        <v>0</v>
      </c>
      <c r="J27" s="126">
        <v>0</v>
      </c>
      <c r="K27" s="126">
        <v>0</v>
      </c>
      <c r="L27" s="126">
        <v>0</v>
      </c>
      <c r="M27" s="126">
        <v>0</v>
      </c>
      <c r="N27" s="126">
        <v>0</v>
      </c>
      <c r="O27" s="400"/>
    </row>
    <row r="28" spans="2:16" x14ac:dyDescent="0.2">
      <c r="B28" s="401"/>
      <c r="C28" s="173"/>
      <c r="D28" s="177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396"/>
    </row>
    <row r="29" spans="2:16" x14ac:dyDescent="0.2">
      <c r="B29" s="401"/>
      <c r="C29" s="175" t="s">
        <v>1147</v>
      </c>
      <c r="D29" s="173"/>
      <c r="E29" s="176"/>
      <c r="F29" s="173"/>
      <c r="G29" s="173"/>
      <c r="H29" s="173"/>
      <c r="I29" s="173"/>
      <c r="J29" s="173"/>
      <c r="K29" s="173"/>
      <c r="L29" s="173"/>
      <c r="M29" s="173"/>
      <c r="N29" s="176" t="s">
        <v>1145</v>
      </c>
      <c r="O29" s="396"/>
    </row>
    <row r="30" spans="2:16" ht="5.25" customHeight="1" x14ac:dyDescent="0.2">
      <c r="B30" s="401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396"/>
    </row>
    <row r="31" spans="2:16" ht="15.75" x14ac:dyDescent="0.25">
      <c r="B31" s="397"/>
      <c r="C31" s="98" t="s">
        <v>64</v>
      </c>
      <c r="D31" s="98" t="s">
        <v>150</v>
      </c>
      <c r="E31" s="98" t="s">
        <v>172</v>
      </c>
      <c r="F31" s="218">
        <v>2010</v>
      </c>
      <c r="G31" s="217">
        <v>2015</v>
      </c>
      <c r="H31" s="217">
        <v>2020</v>
      </c>
      <c r="I31" s="217">
        <v>2025</v>
      </c>
      <c r="J31" s="217">
        <v>2030</v>
      </c>
      <c r="K31" s="217">
        <v>2035</v>
      </c>
      <c r="L31" s="217">
        <v>2040</v>
      </c>
      <c r="M31" s="217">
        <v>2045</v>
      </c>
      <c r="N31" s="217">
        <v>2050</v>
      </c>
      <c r="O31" s="396"/>
    </row>
    <row r="32" spans="2:16" ht="15.75" x14ac:dyDescent="0.25">
      <c r="B32" s="397"/>
      <c r="C32" s="107" t="s">
        <v>34</v>
      </c>
      <c r="D32" s="107" t="str">
        <f>INDEX(Vectors[Description], MATCH($C32, Vectors[Code], 0))</f>
        <v>Electricity (delivered to end user)</v>
      </c>
      <c r="E32" s="107"/>
      <c r="F32" s="116">
        <f>XV.b!F59</f>
        <v>7.9024278455408128E-3</v>
      </c>
      <c r="G32" s="108">
        <f>F32</f>
        <v>7.9024278455408128E-3</v>
      </c>
      <c r="H32" s="108">
        <f t="shared" ref="H32:N32" si="1">G32</f>
        <v>7.9024278455408128E-3</v>
      </c>
      <c r="I32" s="108">
        <f t="shared" si="1"/>
        <v>7.9024278455408128E-3</v>
      </c>
      <c r="J32" s="108">
        <f t="shared" si="1"/>
        <v>7.9024278455408128E-3</v>
      </c>
      <c r="K32" s="108">
        <f t="shared" si="1"/>
        <v>7.9024278455408128E-3</v>
      </c>
      <c r="L32" s="108">
        <f t="shared" si="1"/>
        <v>7.9024278455408128E-3</v>
      </c>
      <c r="M32" s="108">
        <f t="shared" si="1"/>
        <v>7.9024278455408128E-3</v>
      </c>
      <c r="N32" s="108">
        <f t="shared" si="1"/>
        <v>7.9024278455408128E-3</v>
      </c>
      <c r="O32" s="396"/>
    </row>
    <row r="33" spans="2:16" ht="15.75" x14ac:dyDescent="0.25">
      <c r="B33" s="397"/>
      <c r="C33" s="107" t="s">
        <v>38</v>
      </c>
      <c r="D33" s="107" t="str">
        <f>INDEX(Vectors[Description], MATCH($C33, Vectors[Code], 0))</f>
        <v>Liquid hydrocarbons</v>
      </c>
      <c r="E33" s="107"/>
      <c r="F33" s="116">
        <f>XV.b!F60</f>
        <v>3.5927666752850617E-4</v>
      </c>
      <c r="G33" s="108">
        <f t="shared" ref="G33:N34" si="2">F33</f>
        <v>3.5927666752850617E-4</v>
      </c>
      <c r="H33" s="108">
        <f t="shared" si="2"/>
        <v>3.5927666752850617E-4</v>
      </c>
      <c r="I33" s="108">
        <f t="shared" si="2"/>
        <v>3.5927666752850617E-4</v>
      </c>
      <c r="J33" s="108">
        <f t="shared" si="2"/>
        <v>3.5927666752850617E-4</v>
      </c>
      <c r="K33" s="108">
        <f t="shared" si="2"/>
        <v>3.5927666752850617E-4</v>
      </c>
      <c r="L33" s="108">
        <f t="shared" si="2"/>
        <v>3.5927666752850617E-4</v>
      </c>
      <c r="M33" s="108">
        <f t="shared" si="2"/>
        <v>3.5927666752850617E-4</v>
      </c>
      <c r="N33" s="108">
        <f t="shared" si="2"/>
        <v>3.5927666752850617E-4</v>
      </c>
      <c r="O33" s="396"/>
    </row>
    <row r="34" spans="2:16" ht="15.75" x14ac:dyDescent="0.25">
      <c r="B34" s="397"/>
      <c r="C34" s="189" t="s">
        <v>39</v>
      </c>
      <c r="D34" s="189" t="str">
        <f>INDEX(Vectors[Description], MATCH($C34, Vectors[Code], 0))</f>
        <v>Gaseous hydrocarbons</v>
      </c>
      <c r="E34" s="189"/>
      <c r="F34" s="2599">
        <f>XV.b!F61</f>
        <v>7.3153653205117707E-4</v>
      </c>
      <c r="G34" s="2600">
        <f t="shared" si="2"/>
        <v>7.3153653205117707E-4</v>
      </c>
      <c r="H34" s="2600">
        <f t="shared" si="2"/>
        <v>7.3153653205117707E-4</v>
      </c>
      <c r="I34" s="2600">
        <f t="shared" si="2"/>
        <v>7.3153653205117707E-4</v>
      </c>
      <c r="J34" s="2600">
        <f t="shared" si="2"/>
        <v>7.3153653205117707E-4</v>
      </c>
      <c r="K34" s="2600">
        <f t="shared" si="2"/>
        <v>7.3153653205117707E-4</v>
      </c>
      <c r="L34" s="2600">
        <f t="shared" si="2"/>
        <v>7.3153653205117707E-4</v>
      </c>
      <c r="M34" s="2600">
        <f t="shared" si="2"/>
        <v>7.3153653205117707E-4</v>
      </c>
      <c r="N34" s="2600">
        <f t="shared" si="2"/>
        <v>7.3153653205117707E-4</v>
      </c>
      <c r="O34" s="396"/>
    </row>
    <row r="35" spans="2:16" x14ac:dyDescent="0.2">
      <c r="B35" s="401"/>
      <c r="C35" s="173"/>
      <c r="D35" s="177"/>
      <c r="E35" s="173"/>
      <c r="F35" s="173"/>
      <c r="G35" s="173"/>
      <c r="H35" s="173"/>
      <c r="I35" s="173"/>
      <c r="J35" s="173"/>
      <c r="K35" s="173"/>
      <c r="L35" s="173"/>
      <c r="M35" s="173"/>
      <c r="N35" s="173"/>
      <c r="O35" s="396"/>
    </row>
    <row r="36" spans="2:16" s="1477" customFormat="1" ht="15.75" x14ac:dyDescent="0.25">
      <c r="B36" s="397"/>
      <c r="C36" s="1417" t="s">
        <v>1273</v>
      </c>
      <c r="D36" s="1416"/>
      <c r="E36" s="1416"/>
      <c r="F36" s="1416"/>
      <c r="G36" s="176"/>
      <c r="H36" s="1416"/>
      <c r="I36" s="1416"/>
      <c r="J36" s="1416"/>
      <c r="K36" s="1416"/>
      <c r="L36" s="1416"/>
      <c r="M36" s="1416"/>
      <c r="N36" s="1416"/>
      <c r="O36" s="1416"/>
      <c r="P36" s="1420"/>
    </row>
    <row r="37" spans="2:16" s="1477" customFormat="1" ht="4.5" customHeight="1" x14ac:dyDescent="0.25">
      <c r="B37" s="397"/>
      <c r="C37" s="1416"/>
      <c r="D37" s="1416"/>
      <c r="E37" s="1416"/>
      <c r="F37" s="1416"/>
      <c r="G37" s="1416"/>
      <c r="H37" s="1416"/>
      <c r="I37" s="1416"/>
      <c r="J37" s="1416"/>
      <c r="K37" s="1416"/>
      <c r="L37" s="1416"/>
      <c r="M37" s="1416"/>
      <c r="N37" s="1416"/>
      <c r="O37" s="1416"/>
      <c r="P37" s="1420"/>
    </row>
    <row r="38" spans="2:16" s="1477" customFormat="1" ht="15.75" x14ac:dyDescent="0.25">
      <c r="B38" s="397"/>
      <c r="C38" s="98"/>
      <c r="D38" s="98"/>
      <c r="E38" s="98"/>
      <c r="F38" s="217" t="s">
        <v>256</v>
      </c>
      <c r="G38" s="217" t="str">
        <f>Preferences.EnergyUnits</f>
        <v>TWh</v>
      </c>
      <c r="H38" s="217" t="s">
        <v>247</v>
      </c>
      <c r="I38" s="1416"/>
      <c r="J38" s="523"/>
      <c r="K38" s="523"/>
      <c r="L38" s="523"/>
      <c r="M38" s="523"/>
      <c r="N38" s="523"/>
      <c r="O38" s="523"/>
      <c r="P38" s="1420"/>
    </row>
    <row r="39" spans="2:16" s="1477" customFormat="1" ht="15.75" x14ac:dyDescent="0.25">
      <c r="B39" s="397"/>
      <c r="C39" s="199"/>
      <c r="D39" s="200" t="s">
        <v>1577</v>
      </c>
      <c r="E39" s="200"/>
      <c r="F39" s="686">
        <f>10</f>
        <v>10</v>
      </c>
      <c r="G39" s="1482">
        <f>F39*Unit.Mtoe</f>
        <v>116.30000000000001</v>
      </c>
      <c r="H39" s="1482">
        <f>F39*Unit.Mtoe.y</f>
        <v>13.267168605977639</v>
      </c>
      <c r="I39" s="1416"/>
      <c r="J39" s="208"/>
      <c r="K39" s="208"/>
      <c r="L39" s="208"/>
      <c r="M39" s="208"/>
      <c r="N39" s="208"/>
      <c r="O39" s="208"/>
      <c r="P39" s="1420"/>
    </row>
    <row r="40" spans="2:16" x14ac:dyDescent="0.2">
      <c r="B40" s="401"/>
      <c r="C40" s="173"/>
      <c r="D40" s="177"/>
      <c r="E40" s="173"/>
      <c r="F40" s="173"/>
      <c r="G40" s="173"/>
      <c r="H40" s="173"/>
      <c r="I40" s="173"/>
      <c r="J40" s="173"/>
      <c r="K40" s="173"/>
      <c r="L40" s="173"/>
      <c r="M40" s="173"/>
      <c r="N40" s="173"/>
      <c r="O40" s="173"/>
      <c r="P40" s="396"/>
    </row>
    <row r="41" spans="2:16" s="1616" customFormat="1" x14ac:dyDescent="0.2">
      <c r="B41" s="1419"/>
      <c r="C41" s="1417" t="s">
        <v>1796</v>
      </c>
      <c r="D41" s="1416"/>
      <c r="E41" s="1416"/>
      <c r="F41" s="1416"/>
      <c r="G41" s="1416"/>
      <c r="H41" s="1416"/>
      <c r="I41" s="1416"/>
      <c r="J41" s="1416"/>
      <c r="K41" s="1416"/>
      <c r="L41" s="1416"/>
      <c r="M41" s="1416"/>
      <c r="N41" s="1416"/>
      <c r="O41" s="1416" t="str">
        <f>"kt per "&amp;Preferences.EnergyUnits</f>
        <v>kt per TWh</v>
      </c>
      <c r="P41" s="1420"/>
    </row>
    <row r="42" spans="2:16" s="1616" customFormat="1" ht="5.25" customHeight="1" x14ac:dyDescent="0.2">
      <c r="B42" s="1419"/>
      <c r="C42" s="1416"/>
      <c r="D42" s="1416"/>
      <c r="E42" s="713"/>
      <c r="F42" s="712"/>
      <c r="G42" s="1416"/>
      <c r="H42" s="1416"/>
      <c r="I42" s="1416"/>
      <c r="J42" s="1416"/>
      <c r="K42" s="1416"/>
      <c r="L42" s="1416"/>
      <c r="M42" s="1416"/>
      <c r="N42" s="1416"/>
      <c r="O42" s="1416"/>
      <c r="P42" s="1420"/>
    </row>
    <row r="43" spans="2:16" s="1616" customFormat="1" x14ac:dyDescent="0.2">
      <c r="B43" s="1419"/>
      <c r="C43" s="1634" t="s">
        <v>69</v>
      </c>
      <c r="D43" s="1634" t="s">
        <v>592</v>
      </c>
      <c r="E43" s="1635" t="s">
        <v>343</v>
      </c>
      <c r="F43" s="1636" t="s">
        <v>241</v>
      </c>
      <c r="G43" s="1636" t="s">
        <v>268</v>
      </c>
      <c r="H43" s="1636" t="s">
        <v>269</v>
      </c>
      <c r="I43" s="1636" t="s">
        <v>270</v>
      </c>
      <c r="J43" s="1636" t="s">
        <v>271</v>
      </c>
      <c r="K43" s="1636" t="s">
        <v>272</v>
      </c>
      <c r="L43" s="1636" t="s">
        <v>273</v>
      </c>
      <c r="M43" s="1636" t="s">
        <v>274</v>
      </c>
      <c r="N43" s="1636" t="s">
        <v>275</v>
      </c>
      <c r="O43" s="1420"/>
    </row>
    <row r="44" spans="2:16" s="1616" customFormat="1" x14ac:dyDescent="0.2">
      <c r="B44" s="1419"/>
      <c r="C44" s="1631" t="s">
        <v>405</v>
      </c>
      <c r="D44" s="1505" t="s">
        <v>111</v>
      </c>
      <c r="E44" s="1632" t="s">
        <v>50</v>
      </c>
      <c r="F44" s="983">
        <f>0.0066126989586634*(1/Unit.TWh)</f>
        <v>6.6126989586633997E-3</v>
      </c>
      <c r="G44" s="983">
        <f>0.00716151223624281*(1/Unit.TWh)</f>
        <v>7.1615122362428101E-3</v>
      </c>
      <c r="H44" s="983">
        <f>0.00724303744192708*(1/Unit.TWh)</f>
        <v>7.2430374419270799E-3</v>
      </c>
      <c r="I44" s="983">
        <f t="shared" ref="I44:N44" si="3">0.00802258601976468*(1/Unit.TWh)</f>
        <v>8.0225860197646794E-3</v>
      </c>
      <c r="J44" s="983">
        <f t="shared" si="3"/>
        <v>8.0225860197646794E-3</v>
      </c>
      <c r="K44" s="983">
        <f t="shared" si="3"/>
        <v>8.0225860197646794E-3</v>
      </c>
      <c r="L44" s="983">
        <f t="shared" si="3"/>
        <v>8.0225860197646794E-3</v>
      </c>
      <c r="M44" s="983">
        <f t="shared" si="3"/>
        <v>8.0225860197646794E-3</v>
      </c>
      <c r="N44" s="983">
        <f t="shared" si="3"/>
        <v>8.0225860197646794E-3</v>
      </c>
      <c r="O44" s="1420"/>
    </row>
    <row r="45" spans="2:16" s="1616" customFormat="1" x14ac:dyDescent="0.2">
      <c r="B45" s="1419"/>
      <c r="C45" s="1631" t="s">
        <v>405</v>
      </c>
      <c r="D45" s="1505" t="s">
        <v>111</v>
      </c>
      <c r="E45" s="1632" t="s">
        <v>197</v>
      </c>
      <c r="F45" s="983">
        <f t="shared" ref="F45:N45" si="4">0.0027499086722332*(1/Unit.TWh)</f>
        <v>2.7499086722331998E-3</v>
      </c>
      <c r="G45" s="983">
        <f t="shared" si="4"/>
        <v>2.7499086722331998E-3</v>
      </c>
      <c r="H45" s="983">
        <f t="shared" si="4"/>
        <v>2.7499086722331998E-3</v>
      </c>
      <c r="I45" s="983">
        <f t="shared" si="4"/>
        <v>2.7499086722331998E-3</v>
      </c>
      <c r="J45" s="983">
        <f t="shared" si="4"/>
        <v>2.7499086722331998E-3</v>
      </c>
      <c r="K45" s="983">
        <f t="shared" si="4"/>
        <v>2.7499086722331998E-3</v>
      </c>
      <c r="L45" s="983">
        <f t="shared" si="4"/>
        <v>2.7499086722331998E-3</v>
      </c>
      <c r="M45" s="983">
        <f t="shared" si="4"/>
        <v>2.7499086722331998E-3</v>
      </c>
      <c r="N45" s="983">
        <f t="shared" si="4"/>
        <v>2.7499086722331998E-3</v>
      </c>
      <c r="O45" s="1420"/>
    </row>
    <row r="46" spans="2:16" s="1616" customFormat="1" x14ac:dyDescent="0.2">
      <c r="B46" s="1419"/>
      <c r="C46" s="1416"/>
      <c r="D46" s="1416"/>
      <c r="E46" s="1416"/>
      <c r="F46" s="1416"/>
      <c r="G46" s="1416"/>
      <c r="H46" s="1416"/>
      <c r="I46" s="1416"/>
      <c r="J46" s="1416"/>
      <c r="K46" s="1416"/>
      <c r="L46" s="1416"/>
      <c r="M46" s="1416"/>
      <c r="N46" s="1416"/>
      <c r="O46" s="1420"/>
    </row>
    <row r="47" spans="2:16" s="1616" customFormat="1" x14ac:dyDescent="0.2">
      <c r="B47" s="1419"/>
      <c r="C47" s="1417" t="s">
        <v>1797</v>
      </c>
      <c r="D47" s="1416"/>
      <c r="E47" s="1416"/>
      <c r="F47" s="1416"/>
      <c r="G47" s="1416"/>
      <c r="H47" s="1416"/>
      <c r="I47" s="1416"/>
      <c r="J47" s="1416"/>
      <c r="K47" s="1416"/>
      <c r="L47" s="1416"/>
      <c r="M47" s="1416"/>
      <c r="N47" s="1416" t="str">
        <f>"kt per "&amp;Preferences.EnergyUnits</f>
        <v>kt per TWh</v>
      </c>
      <c r="O47" s="1420"/>
    </row>
    <row r="48" spans="2:16" s="1616" customFormat="1" ht="5.25" customHeight="1" x14ac:dyDescent="0.2">
      <c r="B48" s="1419"/>
      <c r="C48" s="1416"/>
      <c r="D48" s="1416"/>
      <c r="E48" s="713"/>
      <c r="F48" s="1416"/>
      <c r="G48" s="1416"/>
      <c r="H48" s="1416"/>
      <c r="I48" s="1416"/>
      <c r="J48" s="1416"/>
      <c r="K48" s="1416"/>
      <c r="L48" s="1416"/>
      <c r="M48" s="1416"/>
      <c r="N48" s="1416"/>
      <c r="O48" s="1420"/>
    </row>
    <row r="49" spans="2:15" s="1616" customFormat="1" x14ac:dyDescent="0.2">
      <c r="B49" s="1419"/>
      <c r="C49" s="1634" t="s">
        <v>69</v>
      </c>
      <c r="D49" s="1634" t="s">
        <v>592</v>
      </c>
      <c r="E49" s="1635" t="s">
        <v>343</v>
      </c>
      <c r="F49" s="1636" t="s">
        <v>241</v>
      </c>
      <c r="G49" s="1636" t="s">
        <v>268</v>
      </c>
      <c r="H49" s="1636" t="s">
        <v>269</v>
      </c>
      <c r="I49" s="1636" t="s">
        <v>270</v>
      </c>
      <c r="J49" s="1636" t="s">
        <v>271</v>
      </c>
      <c r="K49" s="1636" t="s">
        <v>272</v>
      </c>
      <c r="L49" s="1636" t="s">
        <v>273</v>
      </c>
      <c r="M49" s="1636" t="s">
        <v>274</v>
      </c>
      <c r="N49" s="1636" t="s">
        <v>275</v>
      </c>
      <c r="O49" s="1420"/>
    </row>
    <row r="50" spans="2:15" s="1616" customFormat="1" x14ac:dyDescent="0.2">
      <c r="B50" s="1419"/>
      <c r="C50" s="1631" t="s">
        <v>405</v>
      </c>
      <c r="D50" s="1505" t="s">
        <v>111</v>
      </c>
      <c r="E50" s="1632" t="s">
        <v>50</v>
      </c>
      <c r="F50" s="983">
        <f>0.252637328783166*(1/Unit.TWh)</f>
        <v>0.25263732878316603</v>
      </c>
      <c r="G50" s="983">
        <f>0.386853299197486*(1/Unit.TWh)</f>
        <v>0.38685329919748601</v>
      </c>
      <c r="H50" s="983">
        <f>0.379276941246195*(1/Unit.TWh)</f>
        <v>0.37927694124619499</v>
      </c>
      <c r="I50" s="983">
        <f t="shared" ref="I50:N50" si="5">0.376364736609819*(1/Unit.TWh)</f>
        <v>0.37636473660981901</v>
      </c>
      <c r="J50" s="983">
        <f t="shared" si="5"/>
        <v>0.37636473660981901</v>
      </c>
      <c r="K50" s="983">
        <f t="shared" si="5"/>
        <v>0.37636473660981901</v>
      </c>
      <c r="L50" s="983">
        <f t="shared" si="5"/>
        <v>0.37636473660981901</v>
      </c>
      <c r="M50" s="983">
        <f t="shared" si="5"/>
        <v>0.37636473660981901</v>
      </c>
      <c r="N50" s="983">
        <f t="shared" si="5"/>
        <v>0.37636473660981901</v>
      </c>
      <c r="O50" s="1420"/>
    </row>
    <row r="51" spans="2:15" s="1616" customFormat="1" x14ac:dyDescent="0.2">
      <c r="B51" s="1419"/>
      <c r="C51" s="1631" t="s">
        <v>405</v>
      </c>
      <c r="D51" s="1505" t="s">
        <v>111</v>
      </c>
      <c r="E51" s="1632" t="s">
        <v>197</v>
      </c>
      <c r="F51" s="983">
        <f>0.252014656914339*(1/Unit.TWh)</f>
        <v>0.252014656914339</v>
      </c>
      <c r="G51" s="983">
        <f>0.23970636067584*(1/Unit.TWh)</f>
        <v>0.23970636067584</v>
      </c>
      <c r="H51" s="983">
        <f>0.235967791015797*(1/Unit.TWh)</f>
        <v>0.23596779101579701</v>
      </c>
      <c r="I51" s="983">
        <f>0.204724112238833*(1/Unit.TWh)</f>
        <v>0.20472411223883299</v>
      </c>
      <c r="J51" s="983">
        <f>0.20245710030239*(1/Unit.TWh)</f>
        <v>0.20245710030239</v>
      </c>
      <c r="K51" s="983">
        <f>0.20245710030239*(1/Unit.TWh)</f>
        <v>0.20245710030239</v>
      </c>
      <c r="L51" s="983">
        <f>0.20245710030239*(1/Unit.TWh)</f>
        <v>0.20245710030239</v>
      </c>
      <c r="M51" s="983">
        <f>0.20245710030239*(1/Unit.TWh)</f>
        <v>0.20245710030239</v>
      </c>
      <c r="N51" s="983">
        <f>0.20245710030239*(1/Unit.TWh)</f>
        <v>0.20245710030239</v>
      </c>
      <c r="O51" s="1420"/>
    </row>
    <row r="52" spans="2:15" s="1616" customFormat="1" x14ac:dyDescent="0.2">
      <c r="B52" s="1419"/>
      <c r="C52" s="1416"/>
      <c r="D52" s="1416"/>
      <c r="E52" s="1416"/>
      <c r="F52" s="1416"/>
      <c r="G52" s="1416"/>
      <c r="H52" s="1416"/>
      <c r="I52" s="1416"/>
      <c r="J52" s="1416"/>
      <c r="K52" s="1416"/>
      <c r="L52" s="1416"/>
      <c r="M52" s="1416"/>
      <c r="N52" s="1416"/>
      <c r="O52" s="1420"/>
    </row>
    <row r="53" spans="2:15" s="1616" customFormat="1" x14ac:dyDescent="0.2">
      <c r="B53" s="1419"/>
      <c r="C53" s="1417" t="s">
        <v>1798</v>
      </c>
      <c r="D53" s="1416"/>
      <c r="E53" s="1416"/>
      <c r="F53" s="1416"/>
      <c r="G53" s="1416"/>
      <c r="H53" s="1416"/>
      <c r="I53" s="1416"/>
      <c r="J53" s="1416"/>
      <c r="K53" s="1416"/>
      <c r="L53" s="1416"/>
      <c r="M53" s="1416"/>
      <c r="N53" s="1416" t="str">
        <f>"kt per "&amp;Preferences.EnergyUnits</f>
        <v>kt per TWh</v>
      </c>
      <c r="O53" s="1420"/>
    </row>
    <row r="54" spans="2:15" s="1616" customFormat="1" ht="5.25" customHeight="1" x14ac:dyDescent="0.2">
      <c r="B54" s="1419"/>
      <c r="C54" s="1416"/>
      <c r="D54" s="1416"/>
      <c r="E54" s="713"/>
      <c r="F54" s="1416"/>
      <c r="G54" s="1416"/>
      <c r="H54" s="1416"/>
      <c r="I54" s="1416"/>
      <c r="J54" s="1416"/>
      <c r="K54" s="1416"/>
      <c r="L54" s="1416"/>
      <c r="M54" s="1416"/>
      <c r="N54" s="1416"/>
      <c r="O54" s="1420"/>
    </row>
    <row r="55" spans="2:15" s="1616" customFormat="1" x14ac:dyDescent="0.2">
      <c r="B55" s="1419"/>
      <c r="C55" s="1634" t="s">
        <v>69</v>
      </c>
      <c r="D55" s="1634" t="s">
        <v>592</v>
      </c>
      <c r="E55" s="1635" t="s">
        <v>343</v>
      </c>
      <c r="F55" s="1636" t="s">
        <v>241</v>
      </c>
      <c r="G55" s="1636" t="s">
        <v>268</v>
      </c>
      <c r="H55" s="1636" t="s">
        <v>269</v>
      </c>
      <c r="I55" s="1636" t="s">
        <v>270</v>
      </c>
      <c r="J55" s="1636" t="s">
        <v>271</v>
      </c>
      <c r="K55" s="1636" t="s">
        <v>272</v>
      </c>
      <c r="L55" s="1636" t="s">
        <v>273</v>
      </c>
      <c r="M55" s="1636" t="s">
        <v>274</v>
      </c>
      <c r="N55" s="1636" t="s">
        <v>275</v>
      </c>
      <c r="O55" s="1420"/>
    </row>
    <row r="56" spans="2:15" s="1616" customFormat="1" x14ac:dyDescent="0.2">
      <c r="B56" s="1419"/>
      <c r="C56" s="1631" t="s">
        <v>405</v>
      </c>
      <c r="D56" s="1505" t="s">
        <v>111</v>
      </c>
      <c r="E56" s="1632" t="s">
        <v>50</v>
      </c>
      <c r="F56" s="983">
        <f>0.346443436605897*(1/Unit.TWh)</f>
        <v>0.34644343660589699</v>
      </c>
      <c r="G56" s="983">
        <f>0.337456947070651*(1/Unit.TWh)</f>
        <v>0.33745694707065099</v>
      </c>
      <c r="H56" s="983">
        <f>0.342062741773662*(1/Unit.TWh)</f>
        <v>0.34206274177366203</v>
      </c>
      <c r="I56" s="983">
        <f t="shared" ref="I56:N56" si="6">0.386103608403904*(1/Unit.TWh)</f>
        <v>0.38610360840390401</v>
      </c>
      <c r="J56" s="983">
        <f t="shared" si="6"/>
        <v>0.38610360840390401</v>
      </c>
      <c r="K56" s="983">
        <f t="shared" si="6"/>
        <v>0.38610360840390401</v>
      </c>
      <c r="L56" s="983">
        <f t="shared" si="6"/>
        <v>0.38610360840390401</v>
      </c>
      <c r="M56" s="983">
        <f t="shared" si="6"/>
        <v>0.38610360840390401</v>
      </c>
      <c r="N56" s="983">
        <f t="shared" si="6"/>
        <v>0.38610360840390401</v>
      </c>
      <c r="O56" s="1420"/>
    </row>
    <row r="57" spans="2:15" s="1616" customFormat="1" x14ac:dyDescent="0.2">
      <c r="B57" s="1419"/>
      <c r="C57" s="1631" t="s">
        <v>405</v>
      </c>
      <c r="D57" s="1505" t="s">
        <v>111</v>
      </c>
      <c r="E57" s="1632" t="s">
        <v>197</v>
      </c>
      <c r="F57" s="983">
        <f t="shared" ref="F57:N57" si="7">0*(1/Unit.TWh)</f>
        <v>0</v>
      </c>
      <c r="G57" s="983">
        <f t="shared" si="7"/>
        <v>0</v>
      </c>
      <c r="H57" s="983">
        <f t="shared" si="7"/>
        <v>0</v>
      </c>
      <c r="I57" s="983">
        <f t="shared" si="7"/>
        <v>0</v>
      </c>
      <c r="J57" s="983">
        <f t="shared" si="7"/>
        <v>0</v>
      </c>
      <c r="K57" s="983">
        <f t="shared" si="7"/>
        <v>0</v>
      </c>
      <c r="L57" s="983">
        <f t="shared" si="7"/>
        <v>0</v>
      </c>
      <c r="M57" s="983">
        <f t="shared" si="7"/>
        <v>0</v>
      </c>
      <c r="N57" s="983">
        <f t="shared" si="7"/>
        <v>0</v>
      </c>
      <c r="O57" s="1420"/>
    </row>
    <row r="58" spans="2:15" s="1616" customFormat="1" x14ac:dyDescent="0.2">
      <c r="B58" s="1419"/>
      <c r="C58" s="1416"/>
      <c r="D58" s="1416"/>
      <c r="E58" s="1416"/>
      <c r="F58" s="1416"/>
      <c r="G58" s="1416"/>
      <c r="H58" s="1416"/>
      <c r="I58" s="1416"/>
      <c r="J58" s="1416"/>
      <c r="K58" s="1416"/>
      <c r="L58" s="1416"/>
      <c r="M58" s="1416"/>
      <c r="N58" s="1416"/>
      <c r="O58" s="1420"/>
    </row>
    <row r="59" spans="2:15" s="1616" customFormat="1" x14ac:dyDescent="0.2">
      <c r="B59" s="1419"/>
      <c r="C59" s="1417" t="s">
        <v>1800</v>
      </c>
      <c r="D59" s="1416"/>
      <c r="E59" s="1416"/>
      <c r="F59" s="1416"/>
      <c r="G59" s="1416"/>
      <c r="H59" s="1416"/>
      <c r="I59" s="1416"/>
      <c r="J59" s="1416"/>
      <c r="K59" s="1416"/>
      <c r="L59" s="1416"/>
      <c r="M59" s="1416"/>
      <c r="N59" s="1416" t="str">
        <f>"kt per "&amp;Preferences.EnergyUnits</f>
        <v>kt per TWh</v>
      </c>
      <c r="O59" s="1420"/>
    </row>
    <row r="60" spans="2:15" s="1616" customFormat="1" ht="5.25" customHeight="1" x14ac:dyDescent="0.2">
      <c r="B60" s="1419"/>
      <c r="C60" s="1416"/>
      <c r="D60" s="1416"/>
      <c r="E60" s="713"/>
      <c r="F60" s="1416"/>
      <c r="G60" s="1416"/>
      <c r="H60" s="1416"/>
      <c r="I60" s="1416"/>
      <c r="J60" s="1416"/>
      <c r="K60" s="1416"/>
      <c r="L60" s="1416"/>
      <c r="M60" s="1416"/>
      <c r="N60" s="1416"/>
      <c r="O60" s="1420"/>
    </row>
    <row r="61" spans="2:15" s="1616" customFormat="1" x14ac:dyDescent="0.2">
      <c r="B61" s="1419"/>
      <c r="C61" s="1634" t="s">
        <v>69</v>
      </c>
      <c r="D61" s="1634" t="s">
        <v>592</v>
      </c>
      <c r="E61" s="1635" t="s">
        <v>343</v>
      </c>
      <c r="F61" s="1636" t="s">
        <v>241</v>
      </c>
      <c r="G61" s="1636" t="s">
        <v>268</v>
      </c>
      <c r="H61" s="1636" t="s">
        <v>269</v>
      </c>
      <c r="I61" s="1636" t="s">
        <v>270</v>
      </c>
      <c r="J61" s="1636" t="s">
        <v>271</v>
      </c>
      <c r="K61" s="1636" t="s">
        <v>272</v>
      </c>
      <c r="L61" s="1636" t="s">
        <v>273</v>
      </c>
      <c r="M61" s="1636" t="s">
        <v>274</v>
      </c>
      <c r="N61" s="1636" t="s">
        <v>275</v>
      </c>
      <c r="O61" s="1420"/>
    </row>
    <row r="62" spans="2:15" s="1616" customFormat="1" x14ac:dyDescent="0.2">
      <c r="B62" s="1419"/>
      <c r="C62" s="1631" t="s">
        <v>405</v>
      </c>
      <c r="D62" s="1505" t="s">
        <v>111</v>
      </c>
      <c r="E62" s="1632" t="s">
        <v>50</v>
      </c>
      <c r="F62" s="983">
        <f>0.012112329171065*(1/Unit.TWh)</f>
        <v>1.2112329171065001E-2</v>
      </c>
      <c r="G62" s="983">
        <f>0.0121292383251863*(1/Unit.TWh)</f>
        <v>1.21292383251863E-2</v>
      </c>
      <c r="H62" s="983">
        <f>0.0121091404628352*(1/Unit.TWh)</f>
        <v>1.21091404628352E-2</v>
      </c>
      <c r="I62" s="983">
        <f>0.0119169635786204*(1/Unit.TWh)</f>
        <v>1.1916963578620401E-2</v>
      </c>
      <c r="J62" s="983">
        <f>0.00294858550518024*(1/Unit.TWh)</f>
        <v>2.9485855051802402E-3</v>
      </c>
      <c r="K62" s="983">
        <f>0.00294858550518024*(1/Unit.TWh)</f>
        <v>2.9485855051802402E-3</v>
      </c>
      <c r="L62" s="983">
        <f>0.00294858550518024*(1/Unit.TWh)</f>
        <v>2.9485855051802402E-3</v>
      </c>
      <c r="M62" s="983">
        <f>0.00294858550518024*(1/Unit.TWh)</f>
        <v>2.9485855051802402E-3</v>
      </c>
      <c r="N62" s="983">
        <f>0.00294858550518024*(1/Unit.TWh)</f>
        <v>2.9485855051802402E-3</v>
      </c>
      <c r="O62" s="1420"/>
    </row>
    <row r="63" spans="2:15" s="1616" customFormat="1" x14ac:dyDescent="0.2">
      <c r="B63" s="1419"/>
      <c r="C63" s="1631" t="s">
        <v>405</v>
      </c>
      <c r="D63" s="1505" t="s">
        <v>111</v>
      </c>
      <c r="E63" s="1632" t="s">
        <v>197</v>
      </c>
      <c r="F63" s="983">
        <f>0.00802071964139669*(1/Unit.TWh)</f>
        <v>8.02071964139669E-3</v>
      </c>
      <c r="G63" s="983">
        <f t="shared" ref="G63:N63" si="8">0.00802071964139672*(1/Unit.TWh)</f>
        <v>8.0207196413967195E-3</v>
      </c>
      <c r="H63" s="983">
        <f t="shared" si="8"/>
        <v>8.0207196413967195E-3</v>
      </c>
      <c r="I63" s="983">
        <f t="shared" si="8"/>
        <v>8.0207196413967195E-3</v>
      </c>
      <c r="J63" s="983">
        <f t="shared" si="8"/>
        <v>8.0207196413967195E-3</v>
      </c>
      <c r="K63" s="983">
        <f t="shared" si="8"/>
        <v>8.0207196413967195E-3</v>
      </c>
      <c r="L63" s="983">
        <f t="shared" si="8"/>
        <v>8.0207196413967195E-3</v>
      </c>
      <c r="M63" s="983">
        <f t="shared" si="8"/>
        <v>8.0207196413967195E-3</v>
      </c>
      <c r="N63" s="983">
        <f t="shared" si="8"/>
        <v>8.0207196413967195E-3</v>
      </c>
      <c r="O63" s="1420"/>
    </row>
    <row r="64" spans="2:15" s="1616" customFormat="1" x14ac:dyDescent="0.2">
      <c r="B64" s="1419"/>
      <c r="C64" s="1631"/>
      <c r="D64" s="1505"/>
      <c r="E64" s="1663"/>
      <c r="F64" s="983"/>
      <c r="G64" s="983"/>
      <c r="H64" s="983"/>
      <c r="I64" s="983"/>
      <c r="J64" s="983"/>
      <c r="K64" s="983"/>
      <c r="L64" s="983"/>
      <c r="M64" s="983"/>
      <c r="N64" s="983"/>
      <c r="O64" s="1420"/>
    </row>
    <row r="65" spans="2:16" s="2082" customFormat="1" x14ac:dyDescent="0.2">
      <c r="B65" s="1419"/>
      <c r="C65" s="1417" t="s">
        <v>1466</v>
      </c>
      <c r="D65" s="1417">
        <v>30</v>
      </c>
      <c r="E65" s="2087" t="s">
        <v>1568</v>
      </c>
      <c r="F65" s="983"/>
      <c r="G65" s="983"/>
      <c r="H65" s="983"/>
      <c r="I65" s="983"/>
      <c r="J65" s="983"/>
      <c r="K65" s="983"/>
      <c r="L65" s="983"/>
      <c r="M65" s="983"/>
      <c r="N65" s="983"/>
      <c r="O65" s="1420"/>
    </row>
    <row r="66" spans="2:16" s="2082" customFormat="1" x14ac:dyDescent="0.2">
      <c r="B66" s="1419"/>
      <c r="C66" s="1631"/>
      <c r="D66" s="1505"/>
      <c r="E66" s="1663"/>
      <c r="F66" s="983"/>
      <c r="G66" s="983"/>
      <c r="H66" s="983"/>
      <c r="I66" s="983"/>
      <c r="J66" s="983"/>
      <c r="K66" s="983"/>
      <c r="L66" s="983"/>
      <c r="M66" s="983"/>
      <c r="N66" s="983"/>
      <c r="O66" s="1420"/>
    </row>
    <row r="67" spans="2:16" x14ac:dyDescent="0.2">
      <c r="B67" s="401"/>
      <c r="C67" s="173" t="s">
        <v>266</v>
      </c>
      <c r="D67" s="177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396"/>
    </row>
    <row r="68" spans="2:16" x14ac:dyDescent="0.2">
      <c r="B68" s="401"/>
      <c r="C68" s="463" t="s">
        <v>93</v>
      </c>
      <c r="D68" s="464" t="s">
        <v>2438</v>
      </c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396"/>
    </row>
    <row r="69" spans="2:16" s="81" customFormat="1" x14ac:dyDescent="0.2">
      <c r="B69" s="462"/>
      <c r="C69" s="463" t="s">
        <v>100</v>
      </c>
      <c r="D69" s="464" t="s">
        <v>316</v>
      </c>
      <c r="E69" s="465"/>
      <c r="F69" s="465"/>
      <c r="G69" s="465"/>
      <c r="H69" s="465"/>
      <c r="I69" s="465"/>
      <c r="J69" s="465"/>
      <c r="K69" s="465"/>
      <c r="L69" s="465"/>
      <c r="M69" s="465"/>
      <c r="N69" s="465"/>
      <c r="O69" s="466"/>
    </row>
    <row r="70" spans="2:16" s="81" customFormat="1" x14ac:dyDescent="0.2">
      <c r="B70" s="462"/>
      <c r="C70" s="463" t="s">
        <v>101</v>
      </c>
      <c r="D70" s="464" t="s">
        <v>314</v>
      </c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6"/>
    </row>
    <row r="71" spans="2:16" x14ac:dyDescent="0.2">
      <c r="B71" s="402"/>
      <c r="C71" s="403"/>
      <c r="D71" s="403"/>
      <c r="E71" s="403"/>
      <c r="F71" s="403"/>
      <c r="G71" s="403"/>
      <c r="H71" s="403"/>
      <c r="I71" s="403"/>
      <c r="J71" s="403"/>
      <c r="K71" s="403"/>
      <c r="L71" s="403"/>
      <c r="M71" s="403"/>
      <c r="N71" s="403"/>
      <c r="O71" s="404"/>
    </row>
    <row r="72" spans="2:16" s="1468" customFormat="1" x14ac:dyDescent="0.2"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</row>
    <row r="73" spans="2:16" s="1468" customFormat="1" ht="15.75" x14ac:dyDescent="0.2">
      <c r="B73" s="1423" t="s">
        <v>1417</v>
      </c>
      <c r="C73" s="405"/>
      <c r="D73" s="405"/>
      <c r="E73" s="405"/>
      <c r="F73" s="405"/>
      <c r="G73" s="405"/>
      <c r="H73" s="405"/>
      <c r="I73" s="405"/>
      <c r="J73" s="405"/>
      <c r="K73" s="405"/>
      <c r="L73" s="405"/>
      <c r="M73" s="405"/>
      <c r="N73" s="405"/>
      <c r="O73" s="406"/>
    </row>
    <row r="74" spans="2:16" s="1468" customFormat="1" ht="5.25" customHeight="1" x14ac:dyDescent="0.2">
      <c r="B74" s="1419"/>
      <c r="C74" s="1416"/>
      <c r="D74" s="1416"/>
      <c r="E74" s="1416"/>
      <c r="F74" s="1416"/>
      <c r="G74" s="1416"/>
      <c r="H74" s="1416"/>
      <c r="I74" s="1416"/>
      <c r="J74" s="1416"/>
      <c r="K74" s="1416"/>
      <c r="L74" s="1416"/>
      <c r="M74" s="1416"/>
      <c r="N74" s="1416"/>
      <c r="O74" s="1420"/>
    </row>
    <row r="75" spans="2:16" s="1468" customFormat="1" x14ac:dyDescent="0.2">
      <c r="B75" s="1419"/>
      <c r="C75" s="1417" t="str">
        <f>"Capital cost of an illustrative oil refinery "</f>
        <v xml:space="preserve">Capital cost of an illustrative oil refinery </v>
      </c>
      <c r="D75" s="107"/>
      <c r="E75" s="1081"/>
      <c r="F75" s="1055"/>
      <c r="G75" s="760"/>
      <c r="H75" s="760"/>
      <c r="I75" s="760"/>
      <c r="J75" s="760"/>
      <c r="K75" s="760"/>
      <c r="L75" s="760"/>
      <c r="M75" s="760"/>
      <c r="N75" s="1255" t="str">
        <f>Preferences.moneyunits&amp;"/plant"</f>
        <v>N/plant</v>
      </c>
      <c r="O75" s="1420"/>
    </row>
    <row r="76" spans="2:16" s="1468" customFormat="1" ht="5.25" customHeight="1" x14ac:dyDescent="0.2">
      <c r="B76" s="1419"/>
      <c r="C76" s="1848"/>
      <c r="D76" s="107"/>
      <c r="E76" s="1081"/>
      <c r="F76" s="1055"/>
      <c r="G76" s="760"/>
      <c r="H76" s="760"/>
      <c r="I76" s="760"/>
      <c r="J76" s="760"/>
      <c r="K76" s="760"/>
      <c r="L76" s="760"/>
      <c r="M76" s="760"/>
      <c r="N76" s="1416"/>
      <c r="O76" s="1420"/>
    </row>
    <row r="77" spans="2:16" s="1468" customFormat="1" x14ac:dyDescent="0.2">
      <c r="B77" s="1419"/>
      <c r="C77" s="1406"/>
      <c r="D77" s="1543"/>
      <c r="E77" s="1567" t="s">
        <v>1321</v>
      </c>
      <c r="F77" s="1845">
        <v>2010</v>
      </c>
      <c r="G77" s="1845">
        <v>2015</v>
      </c>
      <c r="H77" s="1845">
        <v>2020</v>
      </c>
      <c r="I77" s="1845">
        <v>2025</v>
      </c>
      <c r="J77" s="1845">
        <v>2030</v>
      </c>
      <c r="K77" s="1845">
        <v>2035</v>
      </c>
      <c r="L77" s="1845">
        <v>2040</v>
      </c>
      <c r="M77" s="1845">
        <v>2045</v>
      </c>
      <c r="N77" s="1845">
        <v>2050</v>
      </c>
      <c r="O77" s="1420"/>
      <c r="P77" s="2255"/>
    </row>
    <row r="78" spans="2:16" s="1468" customFormat="1" x14ac:dyDescent="0.2">
      <c r="B78" s="1419"/>
      <c r="C78" s="606" t="s">
        <v>1871</v>
      </c>
      <c r="D78" s="107"/>
      <c r="E78" s="1923">
        <f>(N78-F78)/(N$77-F$77)</f>
        <v>0</v>
      </c>
      <c r="F78" s="2118">
        <f>250*3.519*((NAIRA2010_/Unit.GJ))*$G39</f>
        <v>368333730000.00006</v>
      </c>
      <c r="G78" s="2141">
        <f>($E78*(G$77-F$77))+F78</f>
        <v>368333730000.00006</v>
      </c>
      <c r="H78" s="2141">
        <f t="shared" ref="H78:M78" si="9">($E78*(H$77-G$77))+G78</f>
        <v>368333730000.00006</v>
      </c>
      <c r="I78" s="2141">
        <f t="shared" si="9"/>
        <v>368333730000.00006</v>
      </c>
      <c r="J78" s="2141">
        <f t="shared" si="9"/>
        <v>368333730000.00006</v>
      </c>
      <c r="K78" s="2141">
        <f t="shared" si="9"/>
        <v>368333730000.00006</v>
      </c>
      <c r="L78" s="2141">
        <f t="shared" si="9"/>
        <v>368333730000.00006</v>
      </c>
      <c r="M78" s="2141">
        <f t="shared" si="9"/>
        <v>368333730000.00006</v>
      </c>
      <c r="N78" s="2728">
        <f>250*3.519*((NAIRA2010_/Unit.GJ))*$G39</f>
        <v>368333730000.00006</v>
      </c>
      <c r="O78" s="1420"/>
      <c r="P78" s="2255"/>
    </row>
    <row r="79" spans="2:16" s="1468" customFormat="1" x14ac:dyDescent="0.2">
      <c r="B79" s="1419"/>
      <c r="C79" s="606" t="s">
        <v>1872</v>
      </c>
      <c r="D79" s="107"/>
      <c r="E79" s="1921">
        <f>(N79-F79)/(N$77-F$77)</f>
        <v>0</v>
      </c>
      <c r="F79" s="2007">
        <f>((F78-F80)*0.35)+F80</f>
        <v>243624658500.00003</v>
      </c>
      <c r="G79" s="2164">
        <f>($E79*(G$77-F$77))+F79</f>
        <v>243624658500.00003</v>
      </c>
      <c r="H79" s="2164">
        <f t="shared" ref="H79:M79" si="10">($E79*(H$77-G$77))+G79</f>
        <v>243624658500.00003</v>
      </c>
      <c r="I79" s="2164">
        <f t="shared" si="10"/>
        <v>243624658500.00003</v>
      </c>
      <c r="J79" s="2164">
        <f t="shared" si="10"/>
        <v>243624658500.00003</v>
      </c>
      <c r="K79" s="2164">
        <f t="shared" si="10"/>
        <v>243624658500.00003</v>
      </c>
      <c r="L79" s="2164">
        <f t="shared" si="10"/>
        <v>243624658500.00003</v>
      </c>
      <c r="M79" s="2164">
        <f t="shared" si="10"/>
        <v>243624658500.00003</v>
      </c>
      <c r="N79" s="954">
        <f>((N78-N80)*0.35)+N80</f>
        <v>243624658500.00003</v>
      </c>
      <c r="O79" s="1420"/>
      <c r="P79" s="2255"/>
    </row>
    <row r="80" spans="2:16" s="1468" customFormat="1" x14ac:dyDescent="0.2">
      <c r="B80" s="1419"/>
      <c r="C80" s="1731" t="s">
        <v>1873</v>
      </c>
      <c r="D80" s="189"/>
      <c r="E80" s="1925">
        <f>(N80-F80)/(N$77-F$77)</f>
        <v>0</v>
      </c>
      <c r="F80" s="2009">
        <f>250*1.686*((NAIRA2010_/Unit.GJ))*$G39</f>
        <v>176473620000.00003</v>
      </c>
      <c r="G80" s="2142">
        <f>($E80*(G$77-F$77))+F80</f>
        <v>176473620000.00003</v>
      </c>
      <c r="H80" s="2142">
        <f t="shared" ref="H80:M80" si="11">($E80*(H$77-G$77))+G80</f>
        <v>176473620000.00003</v>
      </c>
      <c r="I80" s="2142">
        <f t="shared" si="11"/>
        <v>176473620000.00003</v>
      </c>
      <c r="J80" s="2142">
        <f t="shared" si="11"/>
        <v>176473620000.00003</v>
      </c>
      <c r="K80" s="2142">
        <f t="shared" si="11"/>
        <v>176473620000.00003</v>
      </c>
      <c r="L80" s="2142">
        <f t="shared" si="11"/>
        <v>176473620000.00003</v>
      </c>
      <c r="M80" s="2142">
        <f t="shared" si="11"/>
        <v>176473620000.00003</v>
      </c>
      <c r="N80" s="955">
        <f>250*1.686*((NAIRA2010_/Unit.GJ))*$G39</f>
        <v>176473620000.00003</v>
      </c>
      <c r="O80" s="1420"/>
      <c r="P80" s="2255"/>
    </row>
    <row r="81" spans="1:16" s="1468" customFormat="1" ht="4.5" customHeight="1" x14ac:dyDescent="0.2">
      <c r="B81" s="1419"/>
      <c r="C81" s="1848"/>
      <c r="D81" s="107"/>
      <c r="E81" s="1081"/>
      <c r="F81" s="1055"/>
      <c r="G81" s="760"/>
      <c r="H81" s="760"/>
      <c r="I81" s="760"/>
      <c r="J81" s="760"/>
      <c r="K81" s="760"/>
      <c r="L81" s="760"/>
      <c r="M81" s="760"/>
      <c r="N81" s="1416"/>
      <c r="O81" s="1420"/>
      <c r="P81" s="2255"/>
    </row>
    <row r="82" spans="1:16" s="1468" customFormat="1" ht="15.75" x14ac:dyDescent="0.25">
      <c r="B82" s="397"/>
      <c r="C82" s="1417" t="str">
        <f>"Operating cost of an illustrative oil refinery "</f>
        <v xml:space="preserve">Operating cost of an illustrative oil refinery </v>
      </c>
      <c r="D82" s="107"/>
      <c r="E82" s="1081"/>
      <c r="F82" s="1055"/>
      <c r="G82" s="760"/>
      <c r="H82" s="760"/>
      <c r="I82" s="760"/>
      <c r="J82" s="760"/>
      <c r="K82" s="760"/>
      <c r="L82" s="760"/>
      <c r="M82" s="760"/>
      <c r="N82" s="1255" t="str">
        <f>Preferences.moneyunits&amp;"/plant"</f>
        <v>N/plant</v>
      </c>
      <c r="O82" s="1420"/>
      <c r="P82" s="2255"/>
    </row>
    <row r="83" spans="1:16" s="1468" customFormat="1" ht="5.25" customHeight="1" x14ac:dyDescent="0.2">
      <c r="B83" s="399"/>
      <c r="C83" s="1848"/>
      <c r="D83" s="107"/>
      <c r="E83" s="1081"/>
      <c r="F83" s="1055"/>
      <c r="G83" s="760"/>
      <c r="H83" s="760"/>
      <c r="I83" s="760"/>
      <c r="J83" s="760"/>
      <c r="K83" s="760"/>
      <c r="L83" s="760"/>
      <c r="M83" s="760"/>
      <c r="N83" s="1416"/>
      <c r="O83" s="400"/>
      <c r="P83" s="2255"/>
    </row>
    <row r="84" spans="1:16" s="1468" customFormat="1" x14ac:dyDescent="0.2">
      <c r="B84" s="401"/>
      <c r="C84" s="1406"/>
      <c r="D84" s="1543"/>
      <c r="E84" s="1567" t="s">
        <v>1321</v>
      </c>
      <c r="F84" s="1845">
        <v>2010</v>
      </c>
      <c r="G84" s="1845">
        <v>2015</v>
      </c>
      <c r="H84" s="1845">
        <v>2020</v>
      </c>
      <c r="I84" s="1845">
        <v>2025</v>
      </c>
      <c r="J84" s="1845">
        <v>2030</v>
      </c>
      <c r="K84" s="1845">
        <v>2035</v>
      </c>
      <c r="L84" s="1845">
        <v>2040</v>
      </c>
      <c r="M84" s="1845">
        <v>2045</v>
      </c>
      <c r="N84" s="1845">
        <v>2050</v>
      </c>
      <c r="O84" s="1420"/>
      <c r="P84" s="2255"/>
    </row>
    <row r="85" spans="1:16" s="1468" customFormat="1" x14ac:dyDescent="0.2">
      <c r="B85" s="1419"/>
      <c r="C85" s="606" t="s">
        <v>1871</v>
      </c>
      <c r="D85" s="107"/>
      <c r="E85" s="1847">
        <f>(N85-F85)/(N$84-F84)</f>
        <v>0</v>
      </c>
      <c r="F85" s="1566">
        <f>250*0.1883*((NAIRA2010_/Unit.GJ))*$G$39</f>
        <v>19709361000.000004</v>
      </c>
      <c r="G85" s="1566">
        <f>($E85*(G$84-F$84))+F85</f>
        <v>19709361000.000004</v>
      </c>
      <c r="H85" s="1566">
        <f t="shared" ref="H85:M85" si="12">($E85*(H$84-G$84))+G85</f>
        <v>19709361000.000004</v>
      </c>
      <c r="I85" s="1566">
        <f t="shared" si="12"/>
        <v>19709361000.000004</v>
      </c>
      <c r="J85" s="1566">
        <f t="shared" si="12"/>
        <v>19709361000.000004</v>
      </c>
      <c r="K85" s="1566">
        <f t="shared" si="12"/>
        <v>19709361000.000004</v>
      </c>
      <c r="L85" s="1566">
        <f t="shared" si="12"/>
        <v>19709361000.000004</v>
      </c>
      <c r="M85" s="1566">
        <f t="shared" si="12"/>
        <v>19709361000.000004</v>
      </c>
      <c r="N85" s="1847">
        <f>250*0.1883*((NAIRA2010_/Unit.GJ))*$G$39</f>
        <v>19709361000.000004</v>
      </c>
      <c r="O85" s="1420"/>
      <c r="P85" s="2255"/>
    </row>
    <row r="86" spans="1:16" s="1477" customFormat="1" x14ac:dyDescent="0.2">
      <c r="B86" s="1377"/>
      <c r="C86" s="606" t="s">
        <v>1872</v>
      </c>
      <c r="D86" s="107"/>
      <c r="E86" s="188">
        <f>(N86-F86)/(N$84-F84)</f>
        <v>0</v>
      </c>
      <c r="F86" s="2007">
        <f>((F85-F87)*0.35)+F87</f>
        <v>17743135050.000004</v>
      </c>
      <c r="G86" s="1055">
        <f>($E86*(G$84-F$84))+F86</f>
        <v>17743135050.000004</v>
      </c>
      <c r="H86" s="1055">
        <f t="shared" ref="H86:M86" si="13">($E86*(H$84-G$84))+G86</f>
        <v>17743135050.000004</v>
      </c>
      <c r="I86" s="1055">
        <f t="shared" si="13"/>
        <v>17743135050.000004</v>
      </c>
      <c r="J86" s="1055">
        <f t="shared" si="13"/>
        <v>17743135050.000004</v>
      </c>
      <c r="K86" s="1055">
        <f t="shared" si="13"/>
        <v>17743135050.000004</v>
      </c>
      <c r="L86" s="1055">
        <f t="shared" si="13"/>
        <v>17743135050.000004</v>
      </c>
      <c r="M86" s="1055">
        <f t="shared" si="13"/>
        <v>17743135050.000004</v>
      </c>
      <c r="N86" s="954">
        <f>((N85-N87)*0.35)+N87</f>
        <v>17743135050.000004</v>
      </c>
      <c r="O86" s="1377"/>
      <c r="P86" s="2255"/>
    </row>
    <row r="87" spans="1:16" s="1477" customFormat="1" x14ac:dyDescent="0.2">
      <c r="B87" s="1377"/>
      <c r="C87" s="1731" t="s">
        <v>1873</v>
      </c>
      <c r="D87" s="189"/>
      <c r="E87" s="191">
        <f>(N87-F87)/(N$84-F84)</f>
        <v>0</v>
      </c>
      <c r="F87" s="1056">
        <f>250*0.1594*((NAIRA2010_/Unit.GJ))*$G$39</f>
        <v>16684398000.000002</v>
      </c>
      <c r="G87" s="1056">
        <f>($E87*(G$84-F$84))+F87</f>
        <v>16684398000.000002</v>
      </c>
      <c r="H87" s="1056">
        <f t="shared" ref="H87:M87" si="14">($E87*(H$84-G$84))+G87</f>
        <v>16684398000.000002</v>
      </c>
      <c r="I87" s="1056">
        <f t="shared" si="14"/>
        <v>16684398000.000002</v>
      </c>
      <c r="J87" s="1056">
        <f>($E87*(J$84-I$84))+I87</f>
        <v>16684398000.000002</v>
      </c>
      <c r="K87" s="1056">
        <f t="shared" si="14"/>
        <v>16684398000.000002</v>
      </c>
      <c r="L87" s="1056">
        <f t="shared" si="14"/>
        <v>16684398000.000002</v>
      </c>
      <c r="M87" s="1056">
        <f t="shared" si="14"/>
        <v>16684398000.000002</v>
      </c>
      <c r="N87" s="191">
        <f>250*0.1594*((NAIRA2010_/Unit.GJ))*$G$39</f>
        <v>16684398000.000002</v>
      </c>
      <c r="O87" s="1377"/>
      <c r="P87" s="2255"/>
    </row>
    <row r="88" spans="1:16" s="1477" customFormat="1" x14ac:dyDescent="0.2">
      <c r="B88" s="1419"/>
      <c r="C88" s="1416" t="s">
        <v>266</v>
      </c>
      <c r="D88" s="1382" t="s">
        <v>2047</v>
      </c>
      <c r="E88" s="1416"/>
      <c r="F88" s="176"/>
      <c r="G88" s="1416"/>
      <c r="H88" s="1416"/>
      <c r="I88" s="1416"/>
      <c r="J88" s="1416"/>
      <c r="K88" s="1416"/>
      <c r="L88" s="1416"/>
      <c r="M88" s="1416"/>
      <c r="N88" s="1416"/>
      <c r="O88" s="1420"/>
    </row>
    <row r="89" spans="1:16" s="1468" customFormat="1" x14ac:dyDescent="0.2">
      <c r="B89" s="402"/>
      <c r="C89" s="403"/>
      <c r="D89" s="403"/>
      <c r="E89" s="403"/>
      <c r="F89" s="403"/>
      <c r="G89" s="403"/>
      <c r="H89" s="403"/>
      <c r="I89" s="403"/>
      <c r="J89" s="403"/>
      <c r="K89" s="403"/>
      <c r="L89" s="403"/>
      <c r="M89" s="403"/>
      <c r="N89" s="403"/>
      <c r="O89" s="404"/>
    </row>
    <row r="90" spans="1:16" s="1468" customFormat="1" x14ac:dyDescent="0.2"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</row>
    <row r="92" spans="1:16" s="84" customFormat="1" ht="22.5" collapsed="1" x14ac:dyDescent="0.2">
      <c r="A92" s="408"/>
      <c r="B92" s="472" t="s">
        <v>332</v>
      </c>
      <c r="C92" s="405"/>
      <c r="D92" s="405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6"/>
    </row>
    <row r="93" spans="1:16" x14ac:dyDescent="0.2">
      <c r="B93" s="395"/>
      <c r="C93" s="173"/>
      <c r="D93" s="173"/>
      <c r="E93" s="173"/>
      <c r="F93" s="173"/>
      <c r="G93" s="173"/>
      <c r="H93" s="173"/>
      <c r="I93" s="173"/>
      <c r="J93" s="173"/>
      <c r="K93" s="173"/>
      <c r="L93" s="173"/>
      <c r="M93" s="173"/>
      <c r="N93" s="173"/>
      <c r="O93" s="396"/>
    </row>
    <row r="94" spans="1:16" x14ac:dyDescent="0.2">
      <c r="B94" s="395"/>
      <c r="C94" s="175" t="s">
        <v>1151</v>
      </c>
      <c r="D94" s="173"/>
      <c r="E94" s="176"/>
      <c r="F94" s="173"/>
      <c r="G94" s="173"/>
      <c r="H94" s="173"/>
      <c r="I94" s="173"/>
      <c r="J94" s="173"/>
      <c r="K94" s="173"/>
      <c r="L94" s="173"/>
      <c r="M94" s="173"/>
      <c r="N94" s="176" t="str">
        <f>Preferences.EnergyUnits</f>
        <v>TWh</v>
      </c>
      <c r="O94" s="396"/>
    </row>
    <row r="95" spans="1:16" ht="5.25" customHeight="1" x14ac:dyDescent="0.2">
      <c r="B95" s="395"/>
      <c r="C95" s="173"/>
      <c r="D95" s="173"/>
      <c r="E95" s="173"/>
      <c r="F95" s="173"/>
      <c r="G95" s="173"/>
      <c r="H95" s="173"/>
      <c r="I95" s="173"/>
      <c r="J95" s="173"/>
      <c r="K95" s="173"/>
      <c r="L95" s="173"/>
      <c r="M95" s="173"/>
      <c r="N95" s="173"/>
      <c r="O95" s="396"/>
    </row>
    <row r="96" spans="1:16" ht="15.75" x14ac:dyDescent="0.25">
      <c r="B96" s="397"/>
      <c r="C96" s="98" t="s">
        <v>64</v>
      </c>
      <c r="D96" s="98" t="s">
        <v>150</v>
      </c>
      <c r="E96" s="98" t="s">
        <v>172</v>
      </c>
      <c r="F96" s="218">
        <v>2010</v>
      </c>
      <c r="G96" s="217">
        <v>2015</v>
      </c>
      <c r="H96" s="217">
        <v>2020</v>
      </c>
      <c r="I96" s="217">
        <v>2025</v>
      </c>
      <c r="J96" s="217">
        <v>2030</v>
      </c>
      <c r="K96" s="217">
        <v>2035</v>
      </c>
      <c r="L96" s="217">
        <v>2040</v>
      </c>
      <c r="M96" s="217">
        <v>2045</v>
      </c>
      <c r="N96" s="217">
        <v>2050</v>
      </c>
      <c r="O96" s="396"/>
    </row>
    <row r="97" spans="2:15" ht="15.75" x14ac:dyDescent="0.25">
      <c r="B97" s="397"/>
      <c r="C97" s="124" t="s">
        <v>52</v>
      </c>
      <c r="D97" s="124" t="str">
        <f>INDEX(Vectors[Description], MATCH($C97, Vectors[Code], 0))</f>
        <v>Oil and petroleum products</v>
      </c>
      <c r="E97" s="124"/>
      <c r="F97" s="318">
        <f t="shared" ref="F97:N97" ca="1" si="15">-INDIRECT("XV.a.Inputs["&amp;F$101&amp;"]")</f>
        <v>1458.9378638800001</v>
      </c>
      <c r="G97" s="317">
        <f t="shared" ca="1" si="15"/>
        <v>1458.9378638800001</v>
      </c>
      <c r="H97" s="317">
        <f t="shared" ca="1" si="15"/>
        <v>1448.5168791380001</v>
      </c>
      <c r="I97" s="317">
        <f t="shared" ca="1" si="15"/>
        <v>1438.0958943960002</v>
      </c>
      <c r="J97" s="317">
        <f t="shared" ca="1" si="15"/>
        <v>1427.6749096540002</v>
      </c>
      <c r="K97" s="317">
        <f t="shared" ca="1" si="15"/>
        <v>1417.253924912</v>
      </c>
      <c r="L97" s="317">
        <f t="shared" ca="1" si="15"/>
        <v>1406.83294017</v>
      </c>
      <c r="M97" s="317">
        <f t="shared" ca="1" si="15"/>
        <v>1396.4119554280001</v>
      </c>
      <c r="N97" s="317">
        <f t="shared" ca="1" si="15"/>
        <v>1385.9909706860001</v>
      </c>
      <c r="O97" s="396"/>
    </row>
    <row r="98" spans="2:15" x14ac:dyDescent="0.2">
      <c r="B98" s="395"/>
      <c r="C98" s="173"/>
      <c r="D98" s="173"/>
      <c r="E98" s="173"/>
      <c r="F98" s="173"/>
      <c r="G98" s="173"/>
      <c r="H98" s="173"/>
      <c r="I98" s="173"/>
      <c r="J98" s="173"/>
      <c r="K98" s="173"/>
      <c r="L98" s="173"/>
      <c r="M98" s="173"/>
      <c r="N98" s="173"/>
      <c r="O98" s="396"/>
    </row>
    <row r="99" spans="2:15" x14ac:dyDescent="0.2">
      <c r="B99" s="395"/>
      <c r="C99" s="175" t="s">
        <v>1144</v>
      </c>
      <c r="D99" s="173"/>
      <c r="E99" s="176"/>
      <c r="F99" s="173"/>
      <c r="G99" s="173"/>
      <c r="H99" s="173"/>
      <c r="I99" s="173"/>
      <c r="J99" s="173"/>
      <c r="K99" s="173"/>
      <c r="L99" s="173"/>
      <c r="M99" s="173"/>
      <c r="N99" s="176" t="str">
        <f>Preferences.EnergyUnits</f>
        <v>TWh</v>
      </c>
      <c r="O99" s="396"/>
    </row>
    <row r="100" spans="2:15" ht="5.25" customHeight="1" x14ac:dyDescent="0.2">
      <c r="B100" s="395"/>
      <c r="C100" s="173"/>
      <c r="D100" s="173"/>
      <c r="E100" s="173"/>
      <c r="F100" s="173"/>
      <c r="G100" s="173"/>
      <c r="H100" s="173"/>
      <c r="I100" s="173"/>
      <c r="J100" s="173"/>
      <c r="K100" s="173"/>
      <c r="L100" s="173"/>
      <c r="M100" s="173"/>
      <c r="N100" s="173"/>
      <c r="O100" s="396"/>
    </row>
    <row r="101" spans="2:15" ht="15.75" x14ac:dyDescent="0.25">
      <c r="B101" s="397"/>
      <c r="C101" s="98" t="s">
        <v>64</v>
      </c>
      <c r="D101" s="98" t="s">
        <v>150</v>
      </c>
      <c r="E101" s="98" t="s">
        <v>172</v>
      </c>
      <c r="F101" s="218">
        <v>2010</v>
      </c>
      <c r="G101" s="217">
        <v>2015</v>
      </c>
      <c r="H101" s="217">
        <v>2020</v>
      </c>
      <c r="I101" s="217">
        <v>2025</v>
      </c>
      <c r="J101" s="217">
        <v>2030</v>
      </c>
      <c r="K101" s="217">
        <v>2035</v>
      </c>
      <c r="L101" s="217">
        <v>2040</v>
      </c>
      <c r="M101" s="217">
        <v>2045</v>
      </c>
      <c r="N101" s="217">
        <v>2050</v>
      </c>
      <c r="O101" s="396"/>
    </row>
    <row r="102" spans="2:15" ht="15.75" x14ac:dyDescent="0.25">
      <c r="B102" s="397"/>
      <c r="C102" s="124" t="s">
        <v>52</v>
      </c>
      <c r="D102" s="124" t="str">
        <f>INDEX(Vectors[Description], MATCH($C102, Vectors[Code], 0))</f>
        <v>Oil and petroleum products</v>
      </c>
      <c r="E102" s="124"/>
      <c r="F102" s="318">
        <f ca="1">$F$22/$F$97*F$97</f>
        <v>1061.2493626</v>
      </c>
      <c r="G102" s="317">
        <f t="shared" ref="G102:N102" ca="1" si="16">$F$22/$F$97*G$97</f>
        <v>1061.2493626</v>
      </c>
      <c r="H102" s="317">
        <f t="shared" ca="1" si="16"/>
        <v>1053.66901001</v>
      </c>
      <c r="I102" s="317">
        <f t="shared" ca="1" si="16"/>
        <v>1046.0886574200001</v>
      </c>
      <c r="J102" s="317">
        <f t="shared" ca="1" si="16"/>
        <v>1038.50830483</v>
      </c>
      <c r="K102" s="317">
        <f t="shared" ca="1" si="16"/>
        <v>1030.92795224</v>
      </c>
      <c r="L102" s="317">
        <f t="shared" ca="1" si="16"/>
        <v>1023.34759965</v>
      </c>
      <c r="M102" s="317">
        <f t="shared" ca="1" si="16"/>
        <v>1015.7672470599999</v>
      </c>
      <c r="N102" s="317">
        <f t="shared" ca="1" si="16"/>
        <v>1008.18689447</v>
      </c>
      <c r="O102" s="396"/>
    </row>
    <row r="103" spans="2:15" ht="15.75" x14ac:dyDescent="0.25">
      <c r="B103" s="397"/>
      <c r="C103" s="107"/>
      <c r="D103" s="107"/>
      <c r="E103" s="107"/>
      <c r="F103" s="188"/>
      <c r="G103" s="188"/>
      <c r="H103" s="188"/>
      <c r="I103" s="188"/>
      <c r="J103" s="188"/>
      <c r="K103" s="188"/>
      <c r="L103" s="188"/>
      <c r="M103" s="188"/>
      <c r="N103" s="188"/>
      <c r="O103" s="396"/>
    </row>
    <row r="104" spans="2:15" ht="15.75" x14ac:dyDescent="0.25">
      <c r="B104" s="397"/>
      <c r="C104" s="107" t="s">
        <v>172</v>
      </c>
      <c r="D104" s="107"/>
      <c r="E104" s="107"/>
      <c r="F104" s="188"/>
      <c r="G104" s="188"/>
      <c r="H104" s="188"/>
      <c r="I104" s="188"/>
      <c r="J104" s="188"/>
      <c r="K104" s="188"/>
      <c r="L104" s="188"/>
      <c r="M104" s="188"/>
      <c r="N104" s="188"/>
      <c r="O104" s="396"/>
    </row>
    <row r="105" spans="2:15" ht="15.75" x14ac:dyDescent="0.25">
      <c r="B105" s="397"/>
      <c r="C105" s="1081" t="s">
        <v>93</v>
      </c>
      <c r="D105" s="107" t="s">
        <v>1143</v>
      </c>
      <c r="E105" s="107"/>
      <c r="F105" s="188"/>
      <c r="G105" s="188"/>
      <c r="H105" s="188"/>
      <c r="I105" s="188"/>
      <c r="J105" s="188"/>
      <c r="K105" s="188"/>
      <c r="L105" s="188"/>
      <c r="M105" s="188"/>
      <c r="N105" s="188"/>
      <c r="O105" s="396"/>
    </row>
    <row r="106" spans="2:15" x14ac:dyDescent="0.2">
      <c r="B106" s="395"/>
      <c r="C106" s="173"/>
      <c r="D106" s="173"/>
      <c r="E106" s="173"/>
      <c r="F106" s="173"/>
      <c r="G106" s="173"/>
      <c r="H106" s="173"/>
      <c r="I106" s="173"/>
      <c r="J106" s="173"/>
      <c r="K106" s="173"/>
      <c r="L106" s="173"/>
      <c r="M106" s="173"/>
      <c r="N106" s="173"/>
      <c r="O106" s="396"/>
    </row>
    <row r="108" spans="2:15" ht="15.75" collapsed="1" x14ac:dyDescent="0.25">
      <c r="B108" s="134" t="s">
        <v>279</v>
      </c>
    </row>
    <row r="109" spans="2:15" x14ac:dyDescent="0.2">
      <c r="B109" s="354"/>
      <c r="C109" s="38" t="s">
        <v>1134</v>
      </c>
    </row>
    <row r="110" spans="2:15" x14ac:dyDescent="0.2">
      <c r="B110" s="354"/>
      <c r="C110" s="38" t="s">
        <v>1140</v>
      </c>
    </row>
    <row r="111" spans="2:15" x14ac:dyDescent="0.2">
      <c r="B111" s="354"/>
      <c r="C111" s="38" t="s">
        <v>1135</v>
      </c>
    </row>
    <row r="112" spans="2:15" x14ac:dyDescent="0.2">
      <c r="B112" s="354"/>
      <c r="C112" s="38" t="s">
        <v>1136</v>
      </c>
    </row>
    <row r="113" spans="2:14" x14ac:dyDescent="0.2">
      <c r="B113" s="354"/>
    </row>
    <row r="114" spans="2:14" x14ac:dyDescent="0.2">
      <c r="B114" s="82">
        <v>1</v>
      </c>
      <c r="C114" s="38" t="s">
        <v>1149</v>
      </c>
    </row>
    <row r="115" spans="2:14" x14ac:dyDescent="0.2">
      <c r="B115" s="82">
        <v>2</v>
      </c>
      <c r="C115" s="38" t="s">
        <v>536</v>
      </c>
    </row>
    <row r="116" spans="2:14" x14ac:dyDescent="0.2">
      <c r="B116" s="82">
        <v>3</v>
      </c>
      <c r="C116" s="38" t="s">
        <v>513</v>
      </c>
    </row>
    <row r="118" spans="2:14" x14ac:dyDescent="0.2">
      <c r="B118" s="82">
        <v>1</v>
      </c>
      <c r="C118" s="82" t="s">
        <v>1150</v>
      </c>
      <c r="F118" s="539">
        <v>2010</v>
      </c>
      <c r="G118" s="539">
        <v>2015</v>
      </c>
      <c r="H118" s="539">
        <v>2020</v>
      </c>
      <c r="I118" s="539">
        <v>2025</v>
      </c>
      <c r="J118" s="539">
        <v>2030</v>
      </c>
      <c r="K118" s="539">
        <v>2035</v>
      </c>
      <c r="L118" s="539">
        <v>2040</v>
      </c>
      <c r="M118" s="539">
        <v>2045</v>
      </c>
      <c r="N118" s="539">
        <v>2050</v>
      </c>
    </row>
    <row r="120" spans="2:14" x14ac:dyDescent="0.2">
      <c r="C120" s="38" t="s">
        <v>1151</v>
      </c>
      <c r="F120" s="1025">
        <f t="shared" ref="F120:N120" ca="1" si="17">F$97</f>
        <v>1458.9378638800001</v>
      </c>
      <c r="G120" s="1025">
        <f t="shared" ca="1" si="17"/>
        <v>1458.9378638800001</v>
      </c>
      <c r="H120" s="1025">
        <f t="shared" ca="1" si="17"/>
        <v>1448.5168791380001</v>
      </c>
      <c r="I120" s="1025">
        <f t="shared" ca="1" si="17"/>
        <v>1438.0958943960002</v>
      </c>
      <c r="J120" s="1025">
        <f t="shared" ca="1" si="17"/>
        <v>1427.6749096540002</v>
      </c>
      <c r="K120" s="1025">
        <f t="shared" ca="1" si="17"/>
        <v>1417.253924912</v>
      </c>
      <c r="L120" s="1025">
        <f t="shared" ca="1" si="17"/>
        <v>1406.83294017</v>
      </c>
      <c r="M120" s="1025">
        <f t="shared" ca="1" si="17"/>
        <v>1396.4119554280001</v>
      </c>
      <c r="N120" s="1025">
        <f t="shared" ca="1" si="17"/>
        <v>1385.9909706860001</v>
      </c>
    </row>
    <row r="121" spans="2:14" x14ac:dyDescent="0.2">
      <c r="C121" s="38" t="s">
        <v>3</v>
      </c>
      <c r="F121" s="1025">
        <f t="shared" ref="F121:N121" si="18">F$17</f>
        <v>187.21043600000002</v>
      </c>
      <c r="G121" s="1025">
        <f t="shared" si="18"/>
        <v>187.21043600000002</v>
      </c>
      <c r="H121" s="1025">
        <f t="shared" si="18"/>
        <v>149.76834880000001</v>
      </c>
      <c r="I121" s="1025">
        <f t="shared" si="18"/>
        <v>74.884174400000006</v>
      </c>
      <c r="J121" s="1025">
        <f t="shared" si="18"/>
        <v>14.976834880000002</v>
      </c>
      <c r="K121" s="1025">
        <f t="shared" si="18"/>
        <v>0.14976834880000003</v>
      </c>
      <c r="L121" s="1025">
        <f t="shared" si="18"/>
        <v>0</v>
      </c>
      <c r="M121" s="1025">
        <f t="shared" si="18"/>
        <v>0</v>
      </c>
      <c r="N121" s="1025">
        <f t="shared" si="18"/>
        <v>0</v>
      </c>
    </row>
    <row r="122" spans="2:14" x14ac:dyDescent="0.2">
      <c r="C122" s="38" t="s">
        <v>107</v>
      </c>
      <c r="F122" s="1025">
        <f t="shared" ref="F122:N122" ca="1" si="19">-F102</f>
        <v>-1061.2493626</v>
      </c>
      <c r="G122" s="1025">
        <f t="shared" ca="1" si="19"/>
        <v>-1061.2493626</v>
      </c>
      <c r="H122" s="1025">
        <f t="shared" ca="1" si="19"/>
        <v>-1053.66901001</v>
      </c>
      <c r="I122" s="1025">
        <f t="shared" ca="1" si="19"/>
        <v>-1046.0886574200001</v>
      </c>
      <c r="J122" s="1025">
        <f t="shared" ca="1" si="19"/>
        <v>-1038.50830483</v>
      </c>
      <c r="K122" s="1025">
        <f t="shared" ca="1" si="19"/>
        <v>-1030.92795224</v>
      </c>
      <c r="L122" s="1025">
        <f t="shared" ca="1" si="19"/>
        <v>-1023.34759965</v>
      </c>
      <c r="M122" s="1025">
        <f t="shared" ca="1" si="19"/>
        <v>-1015.7672470599999</v>
      </c>
      <c r="N122" s="1025">
        <f t="shared" ca="1" si="19"/>
        <v>-1008.18689447</v>
      </c>
    </row>
    <row r="123" spans="2:14" x14ac:dyDescent="0.2">
      <c r="C123" s="82" t="s">
        <v>1152</v>
      </c>
      <c r="F123" s="1062">
        <f t="shared" ref="F123:N123" ca="1" si="20">SUM(F120:F122)</f>
        <v>584.89893728000015</v>
      </c>
      <c r="G123" s="1062">
        <f t="shared" ca="1" si="20"/>
        <v>584.89893728000015</v>
      </c>
      <c r="H123" s="1062">
        <f t="shared" ca="1" si="20"/>
        <v>544.6162179280002</v>
      </c>
      <c r="I123" s="1062">
        <f t="shared" ca="1" si="20"/>
        <v>466.89141137599995</v>
      </c>
      <c r="J123" s="1062">
        <f t="shared" ca="1" si="20"/>
        <v>404.14343970400023</v>
      </c>
      <c r="K123" s="1062">
        <f t="shared" ca="1" si="20"/>
        <v>386.47574102080011</v>
      </c>
      <c r="L123" s="1062">
        <f t="shared" ca="1" si="20"/>
        <v>383.48534052000002</v>
      </c>
      <c r="M123" s="1062">
        <f t="shared" ca="1" si="20"/>
        <v>380.64470836800012</v>
      </c>
      <c r="N123" s="1062">
        <f t="shared" ca="1" si="20"/>
        <v>377.80407621600011</v>
      </c>
    </row>
    <row r="125" spans="2:14" x14ac:dyDescent="0.2">
      <c r="B125" s="82">
        <v>2</v>
      </c>
      <c r="C125" s="82" t="s">
        <v>537</v>
      </c>
    </row>
    <row r="126" spans="2:14" x14ac:dyDescent="0.2">
      <c r="C126" s="82" t="s">
        <v>406</v>
      </c>
      <c r="E126" s="38" t="str">
        <f>Preferences.EnergyUnits</f>
        <v>TWh</v>
      </c>
      <c r="F126" s="114">
        <f t="shared" ref="F126:N126" ca="1" si="21">F$123</f>
        <v>584.89893728000015</v>
      </c>
      <c r="G126" s="114">
        <f t="shared" ca="1" si="21"/>
        <v>584.89893728000015</v>
      </c>
      <c r="H126" s="114">
        <f t="shared" ca="1" si="21"/>
        <v>544.6162179280002</v>
      </c>
      <c r="I126" s="114">
        <f t="shared" ca="1" si="21"/>
        <v>466.89141137599995</v>
      </c>
      <c r="J126" s="114">
        <f t="shared" ca="1" si="21"/>
        <v>404.14343970400023</v>
      </c>
      <c r="K126" s="114">
        <f t="shared" ca="1" si="21"/>
        <v>386.47574102080011</v>
      </c>
      <c r="L126" s="114">
        <f t="shared" ca="1" si="21"/>
        <v>383.48534052000002</v>
      </c>
      <c r="M126" s="114">
        <f t="shared" ca="1" si="21"/>
        <v>380.64470836800012</v>
      </c>
      <c r="N126" s="114">
        <f t="shared" ca="1" si="21"/>
        <v>377.80407621600011</v>
      </c>
    </row>
    <row r="127" spans="2:14" x14ac:dyDescent="0.2">
      <c r="B127" s="20" t="s">
        <v>351</v>
      </c>
      <c r="C127" s="38" t="s">
        <v>15</v>
      </c>
      <c r="F127" s="136">
        <f t="shared" ref="F127:N127" ca="1" si="22">F$27*F126</f>
        <v>0</v>
      </c>
      <c r="G127" s="136">
        <f t="shared" ca="1" si="22"/>
        <v>0</v>
      </c>
      <c r="H127" s="136">
        <f t="shared" ca="1" si="22"/>
        <v>0</v>
      </c>
      <c r="I127" s="136">
        <f t="shared" ca="1" si="22"/>
        <v>0</v>
      </c>
      <c r="J127" s="136">
        <f t="shared" ca="1" si="22"/>
        <v>0</v>
      </c>
      <c r="K127" s="136">
        <f t="shared" ca="1" si="22"/>
        <v>0</v>
      </c>
      <c r="L127" s="136">
        <f t="shared" ca="1" si="22"/>
        <v>0</v>
      </c>
      <c r="M127" s="136">
        <f t="shared" ca="1" si="22"/>
        <v>0</v>
      </c>
      <c r="N127" s="136">
        <f t="shared" ca="1" si="22"/>
        <v>0</v>
      </c>
    </row>
    <row r="128" spans="2:14" x14ac:dyDescent="0.2">
      <c r="B128" s="196" t="s">
        <v>346</v>
      </c>
      <c r="C128" s="82" t="s">
        <v>407</v>
      </c>
      <c r="F128" s="114">
        <f t="shared" ref="F128:N128" ca="1" si="23">F126-F127</f>
        <v>584.89893728000015</v>
      </c>
      <c r="G128" s="114">
        <f t="shared" ca="1" si="23"/>
        <v>584.89893728000015</v>
      </c>
      <c r="H128" s="114">
        <f t="shared" ca="1" si="23"/>
        <v>544.6162179280002</v>
      </c>
      <c r="I128" s="114">
        <f t="shared" ca="1" si="23"/>
        <v>466.89141137599995</v>
      </c>
      <c r="J128" s="114">
        <f t="shared" ca="1" si="23"/>
        <v>404.14343970400023</v>
      </c>
      <c r="K128" s="114">
        <f t="shared" ca="1" si="23"/>
        <v>386.47574102080011</v>
      </c>
      <c r="L128" s="114">
        <f t="shared" ca="1" si="23"/>
        <v>383.48534052000002</v>
      </c>
      <c r="M128" s="114">
        <f t="shared" ca="1" si="23"/>
        <v>380.64470836800012</v>
      </c>
      <c r="N128" s="114">
        <f t="shared" ca="1" si="23"/>
        <v>377.80407621600011</v>
      </c>
    </row>
    <row r="129" spans="2:15" x14ac:dyDescent="0.2">
      <c r="F129" s="139"/>
      <c r="G129" s="139"/>
      <c r="H129" s="139"/>
      <c r="I129" s="139"/>
      <c r="J129" s="139"/>
      <c r="K129" s="139"/>
      <c r="L129" s="139"/>
      <c r="M129" s="139"/>
      <c r="N129" s="139"/>
    </row>
    <row r="130" spans="2:15" x14ac:dyDescent="0.2">
      <c r="C130" s="82" t="s">
        <v>408</v>
      </c>
      <c r="D130" s="132"/>
      <c r="F130" s="114"/>
      <c r="G130" s="114"/>
      <c r="H130" s="114"/>
      <c r="I130" s="114"/>
      <c r="J130" s="114"/>
      <c r="K130" s="114"/>
      <c r="L130" s="114"/>
      <c r="M130" s="114"/>
      <c r="N130" s="537" t="str">
        <f>Preferences.EnergyUnits</f>
        <v>TWh</v>
      </c>
    </row>
    <row r="131" spans="2:15" x14ac:dyDescent="0.2">
      <c r="D131" s="20" t="s">
        <v>317</v>
      </c>
      <c r="F131" s="136">
        <f t="shared" ref="F131:N131" ca="1" si="24">F$128*F$32</f>
        <v>4.6221216487887027</v>
      </c>
      <c r="G131" s="136">
        <f t="shared" ca="1" si="24"/>
        <v>4.6221216487887027</v>
      </c>
      <c r="H131" s="136">
        <f t="shared" ca="1" si="24"/>
        <v>4.3037903656873526</v>
      </c>
      <c r="I131" s="136">
        <f t="shared" ca="1" si="24"/>
        <v>3.6895756901015524</v>
      </c>
      <c r="J131" s="136">
        <f t="shared" ca="1" si="24"/>
        <v>3.193714371509536</v>
      </c>
      <c r="K131" s="136">
        <f t="shared" ca="1" si="24"/>
        <v>3.0540966574687904</v>
      </c>
      <c r="L131" s="136">
        <f t="shared" ca="1" si="24"/>
        <v>3.0304652332819488</v>
      </c>
      <c r="M131" s="136">
        <f t="shared" ca="1" si="24"/>
        <v>3.0080173426650463</v>
      </c>
      <c r="N131" s="136">
        <f t="shared" ca="1" si="24"/>
        <v>2.9855694520481428</v>
      </c>
    </row>
    <row r="132" spans="2:15" x14ac:dyDescent="0.2">
      <c r="D132" s="38" t="s">
        <v>318</v>
      </c>
      <c r="F132" s="136">
        <f t="shared" ref="F132:N132" ca="1" si="25">F$128*F$33</f>
        <v>0.2101405410269232</v>
      </c>
      <c r="G132" s="136">
        <f t="shared" ca="1" si="25"/>
        <v>0.2101405410269232</v>
      </c>
      <c r="H132" s="136">
        <f t="shared" ca="1" si="25"/>
        <v>0.19566789985915059</v>
      </c>
      <c r="I132" s="136">
        <f t="shared" ca="1" si="25"/>
        <v>0.16774319037685015</v>
      </c>
      <c r="J132" s="136">
        <f t="shared" ca="1" si="25"/>
        <v>0.14519930822036098</v>
      </c>
      <c r="K132" s="136">
        <f t="shared" ca="1" si="25"/>
        <v>0.13885171631456306</v>
      </c>
      <c r="L132" s="136">
        <f t="shared" ca="1" si="25"/>
        <v>0.13777733518806001</v>
      </c>
      <c r="M132" s="136">
        <f t="shared" ca="1" si="25"/>
        <v>0.13675676233481518</v>
      </c>
      <c r="N132" s="136">
        <f t="shared" ca="1" si="25"/>
        <v>0.13573618948157026</v>
      </c>
    </row>
    <row r="133" spans="2:15" x14ac:dyDescent="0.2">
      <c r="D133" s="38" t="s">
        <v>319</v>
      </c>
      <c r="F133" s="136">
        <f t="shared" ref="F133:N133" ca="1" si="26">F$128*F$34</f>
        <v>0.42787494017823025</v>
      </c>
      <c r="G133" s="136">
        <f t="shared" ca="1" si="26"/>
        <v>0.42787494017823025</v>
      </c>
      <c r="H133" s="136">
        <f t="shared" ca="1" si="26"/>
        <v>0.39840665936187736</v>
      </c>
      <c r="I133" s="136">
        <f t="shared" ca="1" si="26"/>
        <v>0.34154812392247846</v>
      </c>
      <c r="J133" s="136">
        <f t="shared" ca="1" si="26"/>
        <v>0.29564569033229832</v>
      </c>
      <c r="K133" s="136">
        <f t="shared" ca="1" si="26"/>
        <v>0.28272112330826493</v>
      </c>
      <c r="L133" s="136">
        <f t="shared" ca="1" si="26"/>
        <v>0.28053353609646553</v>
      </c>
      <c r="M133" s="136">
        <f t="shared" ca="1" si="26"/>
        <v>0.27845550990315848</v>
      </c>
      <c r="N133" s="136">
        <f t="shared" ca="1" si="26"/>
        <v>0.27637748370985132</v>
      </c>
    </row>
    <row r="134" spans="2:15" x14ac:dyDescent="0.2">
      <c r="F134" s="136"/>
      <c r="G134" s="136"/>
      <c r="H134" s="136"/>
      <c r="I134" s="136"/>
      <c r="J134" s="136"/>
      <c r="K134" s="136"/>
      <c r="L134" s="136"/>
      <c r="M134" s="136"/>
      <c r="N134" s="136"/>
    </row>
    <row r="135" spans="2:15" x14ac:dyDescent="0.2">
      <c r="B135" s="82">
        <v>3</v>
      </c>
      <c r="C135" s="82" t="s">
        <v>514</v>
      </c>
      <c r="F135" s="136"/>
      <c r="G135" s="136"/>
      <c r="H135" s="136"/>
      <c r="I135" s="136"/>
      <c r="J135" s="136"/>
      <c r="K135" s="136"/>
      <c r="L135" s="136"/>
      <c r="M135" s="136"/>
      <c r="N135" s="136"/>
    </row>
    <row r="136" spans="2:15" x14ac:dyDescent="0.2">
      <c r="C136" s="38" t="s">
        <v>538</v>
      </c>
      <c r="F136" s="136"/>
      <c r="G136" s="136"/>
      <c r="H136" s="136"/>
      <c r="I136" s="136"/>
      <c r="J136" s="136"/>
      <c r="K136" s="136"/>
      <c r="L136" s="136"/>
      <c r="M136" s="136"/>
      <c r="N136" s="136"/>
    </row>
    <row r="137" spans="2:15" ht="14.25" x14ac:dyDescent="0.2">
      <c r="C137" s="38" t="s">
        <v>473</v>
      </c>
      <c r="E137" s="84" t="s">
        <v>493</v>
      </c>
      <c r="F137" s="136">
        <f ca="1">F$132*INDEX(EF[CO2], MATCH("V.04", EF[Vector], 0))+F$133*INDEX(EF[CO2], MATCH("V.05", EF[Vector], 0))</f>
        <v>0.13126412424952516</v>
      </c>
      <c r="G137" s="136">
        <f ca="1">G$132*INDEX(EF[CO2], MATCH("V.04", EF[Vector], 0))+G$133*INDEX(EF[CO2], MATCH("V.05", EF[Vector], 0))</f>
        <v>0.13126412424952516</v>
      </c>
      <c r="H137" s="136">
        <f ca="1">H$132*INDEX(EF[CO2], MATCH("V.04", EF[Vector], 0))+H$133*INDEX(EF[CO2], MATCH("V.05", EF[Vector], 0))</f>
        <v>0.12222380028737306</v>
      </c>
      <c r="I137" s="136">
        <f ca="1">I$132*INDEX(EF[CO2], MATCH("V.04", EF[Vector], 0))+I$133*INDEX(EF[CO2], MATCH("V.05", EF[Vector], 0))</f>
        <v>0.10478065239594857</v>
      </c>
      <c r="J137" s="136">
        <f ca="1">J$132*INDEX(EF[CO2], MATCH("V.04", EF[Vector], 0))+J$133*INDEX(EF[CO2], MATCH("V.05", EF[Vector], 0))</f>
        <v>9.0698634076233131E-2</v>
      </c>
      <c r="K137" s="136">
        <f ca="1">K$132*INDEX(EF[CO2], MATCH("V.04", EF[Vector], 0))+K$133*INDEX(EF[CO2], MATCH("V.05", EF[Vector], 0))</f>
        <v>8.6733615767361494E-2</v>
      </c>
      <c r="L137" s="136">
        <f ca="1">L$132*INDEX(EF[CO2], MATCH("V.04", EF[Vector], 0))+L$133*INDEX(EF[CO2], MATCH("V.05", EF[Vector], 0))</f>
        <v>8.6062504438764648E-2</v>
      </c>
      <c r="M137" s="136">
        <f ca="1">M$132*INDEX(EF[CO2], MATCH("V.04", EF[Vector], 0))+M$133*INDEX(EF[CO2], MATCH("V.05", EF[Vector], 0))</f>
        <v>8.5425004405884949E-2</v>
      </c>
      <c r="N137" s="136">
        <f ca="1">N$132*INDEX(EF[CO2], MATCH("V.04", EF[Vector], 0))+N$133*INDEX(EF[CO2], MATCH("V.05", EF[Vector], 0))</f>
        <v>8.4787504373005196E-2</v>
      </c>
      <c r="O137" s="136">
        <f>O$132*INDEX(EF[CO2], MATCH("V.04", EF[Vector], 0))+O$133*INDEX(EF[CO2], MATCH("V.05", EF[Vector], 0))</f>
        <v>0</v>
      </c>
    </row>
    <row r="138" spans="2:15" ht="14.25" x14ac:dyDescent="0.2">
      <c r="C138" s="38" t="s">
        <v>474</v>
      </c>
      <c r="E138" s="84" t="s">
        <v>493</v>
      </c>
      <c r="F138" s="136">
        <f ca="1">F$132*INDEX(EF[CH4], MATCH("V.04", EF[Vector], 0))+F$133*INDEX(EF[CH4], MATCH("V.05", EF[Vector], 0))</f>
        <v>2.2321716926589251E-4</v>
      </c>
      <c r="G138" s="136">
        <f ca="1">G$132*INDEX(EF[CH4], MATCH("V.04", EF[Vector], 0))+G$133*INDEX(EF[CH4], MATCH("V.05", EF[Vector], 0))</f>
        <v>2.2321716926589251E-4</v>
      </c>
      <c r="H138" s="136">
        <f ca="1">H$132*INDEX(EF[CH4], MATCH("V.04", EF[Vector], 0))+H$133*INDEX(EF[CH4], MATCH("V.05", EF[Vector], 0))</f>
        <v>2.0784392440088893E-4</v>
      </c>
      <c r="I138" s="136">
        <f ca="1">I$132*INDEX(EF[CH4], MATCH("V.04", EF[Vector], 0))+I$133*INDEX(EF[CH4], MATCH("V.05", EF[Vector], 0))</f>
        <v>1.781815157445177E-4</v>
      </c>
      <c r="J138" s="136">
        <f ca="1">J$132*INDEX(EF[CH4], MATCH("V.04", EF[Vector], 0))+J$133*INDEX(EF[CH4], MATCH("V.05", EF[Vector], 0))</f>
        <v>1.5423477260469374E-4</v>
      </c>
      <c r="K138" s="136">
        <f ca="1">K$132*INDEX(EF[CH4], MATCH("V.04", EF[Vector], 0))+K$133*INDEX(EF[CH4], MATCH("V.05", EF[Vector], 0))</f>
        <v>1.4749218266967606E-4</v>
      </c>
      <c r="L138" s="136">
        <f ca="1">L$132*INDEX(EF[CH4], MATCH("V.04", EF[Vector], 0))+L$133*INDEX(EF[CH4], MATCH("V.05", EF[Vector], 0))</f>
        <v>1.4635094494087444E-4</v>
      </c>
      <c r="M138" s="136">
        <f ca="1">M$132*INDEX(EF[CH4], MATCH("V.04", EF[Vector], 0))+M$133*INDEX(EF[CH4], MATCH("V.05", EF[Vector], 0))</f>
        <v>1.4526686386723839E-4</v>
      </c>
      <c r="N138" s="136">
        <f ca="1">N$132*INDEX(EF[CH4], MATCH("V.04", EF[Vector], 0))+N$133*INDEX(EF[CH4], MATCH("V.05", EF[Vector], 0))</f>
        <v>1.4418278279360226E-4</v>
      </c>
      <c r="O138" s="136">
        <f>O$132*INDEX(EF[CH4], MATCH("V.04", EF[Vector], 0))+O$133*INDEX(EF[CH4], MATCH("V.05", EF[Vector], 0))</f>
        <v>0</v>
      </c>
    </row>
    <row r="139" spans="2:15" ht="14.25" x14ac:dyDescent="0.2">
      <c r="C139" s="38" t="s">
        <v>475</v>
      </c>
      <c r="E139" s="84" t="s">
        <v>493</v>
      </c>
      <c r="F139" s="136">
        <f ca="1">F$132*INDEX(EF[N2O], MATCH("V.04", EF[Vector], 0))+F$133*INDEX(EF[N2O], MATCH("V.05", EF[Vector], 0))</f>
        <v>1.1149482785806966E-3</v>
      </c>
      <c r="G139" s="136">
        <f ca="1">G$132*INDEX(EF[N2O], MATCH("V.04", EF[Vector], 0))+G$133*INDEX(EF[N2O], MATCH("V.05", EF[Vector], 0))</f>
        <v>1.1149482785806966E-3</v>
      </c>
      <c r="H139" s="136">
        <f ca="1">H$132*INDEX(EF[N2O], MATCH("V.04", EF[Vector], 0))+H$133*INDEX(EF[N2O], MATCH("V.05", EF[Vector], 0))</f>
        <v>1.0381603999654189E-3</v>
      </c>
      <c r="I139" s="136">
        <f ca="1">I$132*INDEX(EF[N2O], MATCH("V.04", EF[Vector], 0))+I$133*INDEX(EF[N2O], MATCH("V.05", EF[Vector], 0))</f>
        <v>8.899995233682277E-4</v>
      </c>
      <c r="J139" s="136">
        <f ca="1">J$132*INDEX(EF[N2O], MATCH("V.04", EF[Vector], 0))+J$133*INDEX(EF[N2O], MATCH("V.05", EF[Vector], 0))</f>
        <v>7.7038784596380268E-4</v>
      </c>
      <c r="K139" s="136">
        <f ca="1">K$132*INDEX(EF[N2O], MATCH("V.04", EF[Vector], 0))+K$133*INDEX(EF[N2O], MATCH("V.05", EF[Vector], 0))</f>
        <v>7.3670925812959972E-4</v>
      </c>
      <c r="L139" s="136">
        <f ca="1">L$132*INDEX(EF[N2O], MATCH("V.04", EF[Vector], 0))+L$133*INDEX(EF[N2O], MATCH("V.05", EF[Vector], 0))</f>
        <v>7.310088855043066E-4</v>
      </c>
      <c r="M139" s="136">
        <f ca="1">M$132*INDEX(EF[N2O], MATCH("V.04", EF[Vector], 0))+M$133*INDEX(EF[N2O], MATCH("V.05", EF[Vector], 0))</f>
        <v>7.2559400487094163E-4</v>
      </c>
      <c r="N139" s="136">
        <f ca="1">N$132*INDEX(EF[N2O], MATCH("V.04", EF[Vector], 0))+N$133*INDEX(EF[N2O], MATCH("V.05", EF[Vector], 0))</f>
        <v>7.2017912423757622E-4</v>
      </c>
      <c r="O139" s="136">
        <f>O$132*INDEX(EF[N2O], MATCH("V.04", EF[Vector], 0))+O$133*INDEX(EF[N2O], MATCH("V.05", EF[Vector], 0))</f>
        <v>0</v>
      </c>
    </row>
    <row r="140" spans="2:15" s="1468" customFormat="1" x14ac:dyDescent="0.2">
      <c r="E140" s="84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</row>
    <row r="141" spans="2:15" s="1468" customFormat="1" x14ac:dyDescent="0.2">
      <c r="E141" s="84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</row>
    <row r="142" spans="2:15" s="1468" customFormat="1" x14ac:dyDescent="0.2">
      <c r="B142" s="1427">
        <v>4</v>
      </c>
      <c r="C142" s="1427" t="s">
        <v>1579</v>
      </c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</row>
    <row r="143" spans="2:15" s="1468" customFormat="1" x14ac:dyDescent="0.2">
      <c r="B143" s="1427"/>
      <c r="C143" s="1427"/>
      <c r="E143" s="1427" t="s">
        <v>1275</v>
      </c>
      <c r="F143" s="539">
        <v>2010</v>
      </c>
      <c r="G143" s="539">
        <v>2015</v>
      </c>
      <c r="H143" s="539">
        <v>2020</v>
      </c>
      <c r="I143" s="539">
        <v>2025</v>
      </c>
      <c r="J143" s="539">
        <v>2030</v>
      </c>
      <c r="K143" s="539">
        <v>2035</v>
      </c>
      <c r="L143" s="539">
        <v>2040</v>
      </c>
      <c r="M143" s="539">
        <v>2045</v>
      </c>
      <c r="N143" s="539">
        <v>2050</v>
      </c>
      <c r="O143" s="136"/>
    </row>
    <row r="144" spans="2:15" s="1468" customFormat="1" x14ac:dyDescent="0.2">
      <c r="C144" s="1477" t="s">
        <v>1578</v>
      </c>
      <c r="F144" s="1262">
        <f t="shared" ref="F144:N144" ca="1" si="27" xml:space="preserve"> (F128*0.1141) / 13</f>
        <v>5.133612980280617</v>
      </c>
      <c r="G144" s="1262">
        <f t="shared" ca="1" si="27"/>
        <v>5.133612980280617</v>
      </c>
      <c r="H144" s="1262">
        <f t="shared" ca="1" si="27"/>
        <v>4.7800546511988324</v>
      </c>
      <c r="I144" s="1262">
        <f t="shared" ca="1" si="27"/>
        <v>4.0978700029231998</v>
      </c>
      <c r="J144" s="1262">
        <f t="shared" ca="1" si="27"/>
        <v>3.5471358823251098</v>
      </c>
      <c r="K144" s="1262">
        <f t="shared" ca="1" si="27"/>
        <v>3.392067850036407</v>
      </c>
      <c r="L144" s="1262">
        <f t="shared" ca="1" si="27"/>
        <v>3.3658213348716921</v>
      </c>
      <c r="M144" s="1262">
        <f t="shared" ca="1" si="27"/>
        <v>3.3408893249837543</v>
      </c>
      <c r="N144" s="1262">
        <f t="shared" ca="1" si="27"/>
        <v>3.3159573150958161</v>
      </c>
      <c r="O144" s="136"/>
    </row>
    <row r="145" spans="2:15" s="1477" customFormat="1" x14ac:dyDescent="0.2">
      <c r="C145" s="1477" t="s">
        <v>1572</v>
      </c>
      <c r="E145" s="1477" t="s">
        <v>1573</v>
      </c>
      <c r="F145" s="1262">
        <v>0</v>
      </c>
      <c r="G145" s="1262">
        <f t="shared" ref="G145:N145" ca="1" si="28">F144*(1/$D$65)</f>
        <v>0.17112043267602056</v>
      </c>
      <c r="H145" s="1262">
        <f t="shared" ca="1" si="28"/>
        <v>0.17112043267602056</v>
      </c>
      <c r="I145" s="1262">
        <f t="shared" ca="1" si="28"/>
        <v>0.15933515503996107</v>
      </c>
      <c r="J145" s="1262">
        <f t="shared" ca="1" si="28"/>
        <v>0.13659566676410667</v>
      </c>
      <c r="K145" s="1262">
        <f t="shared" ca="1" si="28"/>
        <v>0.11823786274417032</v>
      </c>
      <c r="L145" s="1262">
        <f t="shared" ca="1" si="28"/>
        <v>0.1130689283345469</v>
      </c>
      <c r="M145" s="1262">
        <f t="shared" ca="1" si="28"/>
        <v>0.11219404449572307</v>
      </c>
      <c r="N145" s="1262">
        <f t="shared" ca="1" si="28"/>
        <v>0.11136297749945848</v>
      </c>
    </row>
    <row r="146" spans="2:15" s="1477" customFormat="1" x14ac:dyDescent="0.2">
      <c r="C146" s="1477" t="s">
        <v>1574</v>
      </c>
      <c r="E146" s="1477" t="s">
        <v>1573</v>
      </c>
      <c r="F146" s="1262">
        <v>0</v>
      </c>
      <c r="G146" s="1262">
        <f t="shared" ref="G146:N146" ca="1" si="29">MAX((G144-F144)/(G143-F143),0)</f>
        <v>0</v>
      </c>
      <c r="H146" s="1262">
        <f t="shared" ca="1" si="29"/>
        <v>0</v>
      </c>
      <c r="I146" s="1262">
        <f t="shared" ca="1" si="29"/>
        <v>0</v>
      </c>
      <c r="J146" s="1262">
        <f t="shared" ca="1" si="29"/>
        <v>0</v>
      </c>
      <c r="K146" s="1262">
        <f t="shared" ca="1" si="29"/>
        <v>0</v>
      </c>
      <c r="L146" s="1262">
        <f t="shared" ca="1" si="29"/>
        <v>0</v>
      </c>
      <c r="M146" s="1262">
        <f t="shared" ca="1" si="29"/>
        <v>0</v>
      </c>
      <c r="N146" s="1262">
        <f t="shared" ca="1" si="29"/>
        <v>0</v>
      </c>
    </row>
    <row r="147" spans="2:15" s="1477" customFormat="1" x14ac:dyDescent="0.2">
      <c r="C147" s="1477" t="s">
        <v>1575</v>
      </c>
      <c r="E147" s="1477" t="s">
        <v>1573</v>
      </c>
      <c r="F147" s="1262">
        <v>0</v>
      </c>
      <c r="G147" s="1262">
        <f ca="1">SUM(G145:G146)</f>
        <v>0.17112043267602056</v>
      </c>
      <c r="H147" s="1262">
        <f t="shared" ref="H147:N147" ca="1" si="30">SUM(H145:H146)</f>
        <v>0.17112043267602056</v>
      </c>
      <c r="I147" s="1262">
        <f t="shared" ca="1" si="30"/>
        <v>0.15933515503996107</v>
      </c>
      <c r="J147" s="1262">
        <f t="shared" ca="1" si="30"/>
        <v>0.13659566676410667</v>
      </c>
      <c r="K147" s="1262">
        <f t="shared" ca="1" si="30"/>
        <v>0.11823786274417032</v>
      </c>
      <c r="L147" s="1262">
        <f t="shared" ca="1" si="30"/>
        <v>0.1130689283345469</v>
      </c>
      <c r="M147" s="1262">
        <f t="shared" ca="1" si="30"/>
        <v>0.11219404449572307</v>
      </c>
      <c r="N147" s="1262">
        <f t="shared" ca="1" si="30"/>
        <v>0.11136297749945848</v>
      </c>
    </row>
    <row r="148" spans="2:15" s="1468" customFormat="1" x14ac:dyDescent="0.2">
      <c r="E148" s="84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</row>
    <row r="149" spans="2:15" s="1477" customFormat="1" x14ac:dyDescent="0.2">
      <c r="B149" s="1427">
        <v>5</v>
      </c>
      <c r="C149" s="1427" t="s">
        <v>1473</v>
      </c>
      <c r="E149" s="84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</row>
    <row r="150" spans="2:15" s="1477" customFormat="1" x14ac:dyDescent="0.2">
      <c r="E150" s="84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</row>
    <row r="151" spans="2:15" s="1468" customFormat="1" x14ac:dyDescent="0.2">
      <c r="C151" s="1468" t="s">
        <v>1422</v>
      </c>
      <c r="E151" s="1427" t="str">
        <f>Preferences.moneyunits</f>
        <v>N</v>
      </c>
      <c r="F151" s="539">
        <v>2010</v>
      </c>
      <c r="G151" s="539">
        <v>2015</v>
      </c>
      <c r="H151" s="539">
        <v>2020</v>
      </c>
      <c r="I151" s="539">
        <v>2025</v>
      </c>
      <c r="J151" s="539">
        <v>2030</v>
      </c>
      <c r="K151" s="539">
        <v>2035</v>
      </c>
      <c r="L151" s="539">
        <v>2040</v>
      </c>
      <c r="M151" s="539">
        <v>2045</v>
      </c>
      <c r="N151" s="539">
        <v>2050</v>
      </c>
      <c r="O151" s="136"/>
    </row>
    <row r="152" spans="2:15" s="1468" customFormat="1" x14ac:dyDescent="0.2">
      <c r="C152" s="1468" t="s">
        <v>1418</v>
      </c>
      <c r="F152" s="136">
        <f>F$78*F147</f>
        <v>0</v>
      </c>
      <c r="G152" s="136">
        <f t="shared" ref="G152:M152" ca="1" si="31">G$78*G147</f>
        <v>63029427246.772545</v>
      </c>
      <c r="H152" s="136">
        <f t="shared" ca="1" si="31"/>
        <v>63029427246.772545</v>
      </c>
      <c r="I152" s="136">
        <f t="shared" ca="1" si="31"/>
        <v>58688511975.997169</v>
      </c>
      <c r="J152" s="136">
        <f t="shared" ca="1" si="31"/>
        <v>50312791441.060448</v>
      </c>
      <c r="K152" s="136">
        <f t="shared" ca="1" si="31"/>
        <v>43550993011.7883</v>
      </c>
      <c r="L152" s="136">
        <f t="shared" ca="1" si="31"/>
        <v>41647100120.566353</v>
      </c>
      <c r="M152" s="136">
        <f t="shared" ca="1" si="31"/>
        <v>41324850892.895653</v>
      </c>
      <c r="N152" s="136">
        <f ca="1">N$78*N147</f>
        <v>41018740886.281624</v>
      </c>
      <c r="O152" s="136"/>
    </row>
    <row r="153" spans="2:15" s="1468" customFormat="1" x14ac:dyDescent="0.2">
      <c r="C153" s="1468" t="s">
        <v>1419</v>
      </c>
      <c r="F153" s="136">
        <f ca="1">$F$85 * F144</f>
        <v>101180231462.63658</v>
      </c>
      <c r="G153" s="136">
        <f t="shared" ref="G153:N153" ca="1" si="32">$F$85 * G144</f>
        <v>101180231462.63658</v>
      </c>
      <c r="H153" s="136">
        <f t="shared" ca="1" si="32"/>
        <v>94211822720.206894</v>
      </c>
      <c r="I153" s="136">
        <f t="shared" ca="1" si="32"/>
        <v>80766399218.684418</v>
      </c>
      <c r="J153" s="136">
        <f t="shared" ca="1" si="32"/>
        <v>69911781620.799118</v>
      </c>
      <c r="K153" s="136">
        <f t="shared" ca="1" si="32"/>
        <v>66855489792.86142</v>
      </c>
      <c r="L153" s="136">
        <f t="shared" ca="1" si="32"/>
        <v>66338187750.488083</v>
      </c>
      <c r="M153" s="136">
        <f t="shared" ca="1" si="32"/>
        <v>65846793767.151146</v>
      </c>
      <c r="N153" s="136">
        <f t="shared" ca="1" si="32"/>
        <v>65355399783.814201</v>
      </c>
      <c r="O153" s="136"/>
    </row>
    <row r="154" spans="2:15" s="1468" customFormat="1" x14ac:dyDescent="0.2">
      <c r="C154" s="1468" t="s">
        <v>1421</v>
      </c>
      <c r="F154" s="136">
        <f t="shared" ref="F154:N154" ca="1" si="33" xml:space="preserve"> F152 + F153</f>
        <v>101180231462.63658</v>
      </c>
      <c r="G154" s="136">
        <f t="shared" ca="1" si="33"/>
        <v>164209658709.40912</v>
      </c>
      <c r="H154" s="136">
        <f t="shared" ca="1" si="33"/>
        <v>157241249966.97943</v>
      </c>
      <c r="I154" s="136">
        <f t="shared" ca="1" si="33"/>
        <v>139454911194.68158</v>
      </c>
      <c r="J154" s="136">
        <f t="shared" ca="1" si="33"/>
        <v>120224573061.85956</v>
      </c>
      <c r="K154" s="136">
        <f t="shared" ca="1" si="33"/>
        <v>110406482804.64972</v>
      </c>
      <c r="L154" s="136">
        <f t="shared" ca="1" si="33"/>
        <v>107985287871.05444</v>
      </c>
      <c r="M154" s="136">
        <f t="shared" ca="1" si="33"/>
        <v>107171644660.0468</v>
      </c>
      <c r="N154" s="136">
        <f t="shared" ca="1" si="33"/>
        <v>106374140670.09583</v>
      </c>
      <c r="O154" s="136"/>
    </row>
    <row r="155" spans="2:15" s="1468" customFormat="1" x14ac:dyDescent="0.2"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</row>
    <row r="156" spans="2:15" s="2082" customFormat="1" x14ac:dyDescent="0.2">
      <c r="C156" s="2082" t="s">
        <v>1874</v>
      </c>
      <c r="E156" s="1427" t="str">
        <f>Preferences.moneyunits</f>
        <v>N</v>
      </c>
      <c r="F156" s="539">
        <v>2010</v>
      </c>
      <c r="G156" s="539">
        <v>2015</v>
      </c>
      <c r="H156" s="539">
        <v>2020</v>
      </c>
      <c r="I156" s="539">
        <v>2025</v>
      </c>
      <c r="J156" s="539">
        <v>2030</v>
      </c>
      <c r="K156" s="539">
        <v>2035</v>
      </c>
      <c r="L156" s="539">
        <v>2040</v>
      </c>
      <c r="M156" s="539">
        <v>2045</v>
      </c>
      <c r="N156" s="539">
        <v>2050</v>
      </c>
      <c r="O156" s="136"/>
    </row>
    <row r="157" spans="2:15" s="2082" customFormat="1" x14ac:dyDescent="0.2">
      <c r="C157" s="2082" t="s">
        <v>1418</v>
      </c>
      <c r="F157" s="136">
        <f xml:space="preserve"> F$79 * F147</f>
        <v>0</v>
      </c>
      <c r="G157" s="136">
        <f t="shared" ref="G157:M157" ca="1" si="34" xml:space="preserve"> G$79 * G147</f>
        <v>41689156973.067757</v>
      </c>
      <c r="H157" s="136">
        <f t="shared" ca="1" si="34"/>
        <v>41689156973.067757</v>
      </c>
      <c r="I157" s="136">
        <f t="shared" ca="1" si="34"/>
        <v>38817972733.655075</v>
      </c>
      <c r="J157" s="136">
        <f t="shared" ca="1" si="34"/>
        <v>33278072667.985291</v>
      </c>
      <c r="K157" s="136">
        <f t="shared" ca="1" si="34"/>
        <v>28805658932.818371</v>
      </c>
      <c r="L157" s="136">
        <f t="shared" ca="1" si="34"/>
        <v>27546379052.464966</v>
      </c>
      <c r="M157" s="136">
        <f t="shared" ca="1" si="34"/>
        <v>27333235776.004341</v>
      </c>
      <c r="N157" s="136">
        <f ca="1" xml:space="preserve"> N$79 * N147</f>
        <v>27130767362.848759</v>
      </c>
      <c r="O157" s="136"/>
    </row>
    <row r="158" spans="2:15" s="2082" customFormat="1" x14ac:dyDescent="0.2">
      <c r="C158" s="2082" t="s">
        <v>1419</v>
      </c>
      <c r="F158" s="136">
        <f t="shared" ref="F158:N158" ca="1" si="35" xml:space="preserve"> F$86 * F144</f>
        <v>91086388403.551987</v>
      </c>
      <c r="G158" s="136">
        <f t="shared" ca="1" si="35"/>
        <v>91086388403.551987</v>
      </c>
      <c r="H158" s="136">
        <f t="shared" ca="1" si="35"/>
        <v>84813155222.601547</v>
      </c>
      <c r="I158" s="136">
        <f t="shared" ca="1" si="35"/>
        <v>72709060879.210251</v>
      </c>
      <c r="J158" s="136">
        <f t="shared" ca="1" si="35"/>
        <v>62937311000.795341</v>
      </c>
      <c r="K158" s="136">
        <f t="shared" ca="1" si="35"/>
        <v>60185917961.959129</v>
      </c>
      <c r="L158" s="136">
        <f t="shared" ca="1" si="35"/>
        <v>59720222498.799721</v>
      </c>
      <c r="M158" s="136">
        <f t="shared" ca="1" si="35"/>
        <v>59277850480.290108</v>
      </c>
      <c r="N158" s="136">
        <f t="shared" ca="1" si="35"/>
        <v>58835478461.780479</v>
      </c>
      <c r="O158" s="136"/>
    </row>
    <row r="159" spans="2:15" s="2082" customFormat="1" x14ac:dyDescent="0.2">
      <c r="C159" s="2082" t="s">
        <v>1421</v>
      </c>
      <c r="F159" s="136">
        <f t="shared" ref="F159:N159" ca="1" si="36" xml:space="preserve"> F157 + F158</f>
        <v>91086388403.551987</v>
      </c>
      <c r="G159" s="136">
        <f t="shared" ca="1" si="36"/>
        <v>132775545376.61975</v>
      </c>
      <c r="H159" s="136">
        <f t="shared" ca="1" si="36"/>
        <v>126502312195.66931</v>
      </c>
      <c r="I159" s="136">
        <f t="shared" ca="1" si="36"/>
        <v>111527033612.86533</v>
      </c>
      <c r="J159" s="136">
        <f t="shared" ca="1" si="36"/>
        <v>96215383668.78064</v>
      </c>
      <c r="K159" s="136">
        <f t="shared" ca="1" si="36"/>
        <v>88991576894.777496</v>
      </c>
      <c r="L159" s="136">
        <f t="shared" ca="1" si="36"/>
        <v>87266601551.264679</v>
      </c>
      <c r="M159" s="136">
        <f t="shared" ca="1" si="36"/>
        <v>86611086256.294449</v>
      </c>
      <c r="N159" s="136">
        <f t="shared" ca="1" si="36"/>
        <v>85966245824.629242</v>
      </c>
      <c r="O159" s="136"/>
    </row>
    <row r="160" spans="2:15" s="2082" customFormat="1" x14ac:dyDescent="0.2"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</row>
    <row r="161" spans="1:16" s="1468" customFormat="1" x14ac:dyDescent="0.2">
      <c r="C161" s="1468" t="s">
        <v>1420</v>
      </c>
      <c r="E161" s="1427" t="str">
        <f>Preferences.moneyunits</f>
        <v>N</v>
      </c>
      <c r="F161" s="539">
        <v>2010</v>
      </c>
      <c r="G161" s="539">
        <v>2015</v>
      </c>
      <c r="H161" s="539">
        <v>2020</v>
      </c>
      <c r="I161" s="539">
        <v>2025</v>
      </c>
      <c r="J161" s="539">
        <v>2030</v>
      </c>
      <c r="K161" s="539">
        <v>2035</v>
      </c>
      <c r="L161" s="539">
        <v>2040</v>
      </c>
      <c r="M161" s="539">
        <v>2045</v>
      </c>
      <c r="N161" s="539">
        <v>2050</v>
      </c>
      <c r="O161" s="136"/>
    </row>
    <row r="162" spans="1:16" s="1468" customFormat="1" x14ac:dyDescent="0.2">
      <c r="C162" s="1468" t="s">
        <v>1418</v>
      </c>
      <c r="F162" s="136">
        <f xml:space="preserve"> F147*F$80</f>
        <v>0</v>
      </c>
      <c r="G162" s="136">
        <f t="shared" ref="G162:L162" ca="1" si="37" xml:space="preserve"> G147*H$80</f>
        <v>30198242210.303642</v>
      </c>
      <c r="H162" s="136">
        <f t="shared" ca="1" si="37"/>
        <v>30198242210.303642</v>
      </c>
      <c r="I162" s="136">
        <f t="shared" ca="1" si="37"/>
        <v>28118451603.163177</v>
      </c>
      <c r="J162" s="136">
        <f t="shared" ca="1" si="37"/>
        <v>24105531790.175594</v>
      </c>
      <c r="K162" s="136">
        <f t="shared" ca="1" si="37"/>
        <v>20865863659.526875</v>
      </c>
      <c r="L162" s="136">
        <f t="shared" ca="1" si="37"/>
        <v>19953683092.718067</v>
      </c>
      <c r="M162" s="136">
        <f ca="1" xml:space="preserve"> M147*N$80</f>
        <v>19799289174.601326</v>
      </c>
      <c r="N162" s="136">
        <f ca="1" xml:space="preserve"> N147*N$80</f>
        <v>19652627773.307987</v>
      </c>
      <c r="O162" s="136"/>
    </row>
    <row r="163" spans="1:16" s="1468" customFormat="1" x14ac:dyDescent="0.2">
      <c r="C163" s="1468" t="s">
        <v>1419</v>
      </c>
      <c r="F163" s="136">
        <f t="shared" ref="F163:N163" ca="1" si="38">F$87 * F144</f>
        <v>85651242140.967972</v>
      </c>
      <c r="G163" s="136">
        <f t="shared" ca="1" si="38"/>
        <v>85651242140.967972</v>
      </c>
      <c r="H163" s="136">
        <f t="shared" ca="1" si="38"/>
        <v>79752334262.352509</v>
      </c>
      <c r="I163" s="136">
        <f t="shared" ca="1" si="38"/>
        <v>68370494081.031837</v>
      </c>
      <c r="J163" s="136">
        <f t="shared" ca="1" si="38"/>
        <v>59181826820.793304</v>
      </c>
      <c r="K163" s="136">
        <f t="shared" ca="1" si="38"/>
        <v>56594610053.011734</v>
      </c>
      <c r="L163" s="136">
        <f t="shared" ca="1" si="38"/>
        <v>56156702747.890594</v>
      </c>
      <c r="M163" s="136">
        <f t="shared" ca="1" si="38"/>
        <v>55740727171.980309</v>
      </c>
      <c r="N163" s="136">
        <f t="shared" ca="1" si="38"/>
        <v>55324751596.070007</v>
      </c>
      <c r="O163" s="136"/>
    </row>
    <row r="164" spans="1:16" s="1468" customFormat="1" x14ac:dyDescent="0.2">
      <c r="C164" s="1468" t="s">
        <v>1421</v>
      </c>
      <c r="F164" s="136">
        <f t="shared" ref="F164:N164" ca="1" si="39" xml:space="preserve"> F162 + F163</f>
        <v>85651242140.967972</v>
      </c>
      <c r="G164" s="136">
        <f t="shared" ca="1" si="39"/>
        <v>115849484351.27161</v>
      </c>
      <c r="H164" s="136">
        <f t="shared" ca="1" si="39"/>
        <v>109950576472.65616</v>
      </c>
      <c r="I164" s="136">
        <f t="shared" ca="1" si="39"/>
        <v>96488945684.195007</v>
      </c>
      <c r="J164" s="136">
        <f t="shared" ca="1" si="39"/>
        <v>83287358610.968903</v>
      </c>
      <c r="K164" s="136">
        <f t="shared" ca="1" si="39"/>
        <v>77460473712.538605</v>
      </c>
      <c r="L164" s="136">
        <f t="shared" ca="1" si="39"/>
        <v>76110385840.608658</v>
      </c>
      <c r="M164" s="136">
        <f t="shared" ca="1" si="39"/>
        <v>75540016346.581635</v>
      </c>
      <c r="N164" s="136">
        <f t="shared" ca="1" si="39"/>
        <v>74977379369.377991</v>
      </c>
      <c r="O164" s="136"/>
    </row>
    <row r="165" spans="1:16" s="1468" customFormat="1" x14ac:dyDescent="0.2">
      <c r="E165" s="84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</row>
    <row r="166" spans="1:16" ht="22.5" collapsed="1" x14ac:dyDescent="0.3">
      <c r="A166" s="409"/>
      <c r="B166" s="468" t="s">
        <v>236</v>
      </c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421"/>
      <c r="N166" s="421"/>
      <c r="O166" s="421"/>
      <c r="P166" s="423"/>
    </row>
    <row r="167" spans="1:16" x14ac:dyDescent="0.2">
      <c r="B167" s="410"/>
      <c r="C167" s="412"/>
      <c r="D167" s="412"/>
      <c r="E167" s="412"/>
      <c r="F167" s="412"/>
      <c r="G167" s="412"/>
      <c r="H167" s="412"/>
      <c r="I167" s="412"/>
      <c r="J167" s="412"/>
      <c r="K167" s="412"/>
      <c r="L167" s="412"/>
      <c r="M167" s="412"/>
      <c r="N167" s="412"/>
      <c r="O167" s="412"/>
      <c r="P167" s="414"/>
    </row>
    <row r="168" spans="1:16" ht="6" customHeight="1" x14ac:dyDescent="0.2">
      <c r="B168" s="410"/>
      <c r="C168" s="412"/>
      <c r="D168" s="412"/>
      <c r="E168" s="412"/>
      <c r="F168" s="412"/>
      <c r="G168" s="412"/>
      <c r="H168" s="412"/>
      <c r="I168" s="412"/>
      <c r="J168" s="412"/>
      <c r="K168" s="412"/>
      <c r="L168" s="412"/>
      <c r="M168" s="412"/>
      <c r="N168" s="412"/>
      <c r="O168" s="412"/>
      <c r="P168" s="414"/>
    </row>
    <row r="169" spans="1:16" ht="15.75" x14ac:dyDescent="0.25">
      <c r="A169" s="3"/>
      <c r="B169" s="415"/>
      <c r="C169" s="426" t="s">
        <v>64</v>
      </c>
      <c r="D169" s="426" t="s">
        <v>150</v>
      </c>
      <c r="E169" s="426" t="s">
        <v>172</v>
      </c>
      <c r="F169" s="426" t="s">
        <v>241</v>
      </c>
      <c r="G169" s="427" t="s">
        <v>268</v>
      </c>
      <c r="H169" s="427" t="s">
        <v>269</v>
      </c>
      <c r="I169" s="427" t="s">
        <v>270</v>
      </c>
      <c r="J169" s="427" t="s">
        <v>271</v>
      </c>
      <c r="K169" s="427" t="s">
        <v>272</v>
      </c>
      <c r="L169" s="427" t="s">
        <v>273</v>
      </c>
      <c r="M169" s="427" t="s">
        <v>274</v>
      </c>
      <c r="N169" s="427" t="s">
        <v>275</v>
      </c>
      <c r="O169" s="414"/>
    </row>
    <row r="170" spans="1:16" ht="15.75" x14ac:dyDescent="0.25">
      <c r="A170" s="3"/>
      <c r="B170" s="415"/>
      <c r="C170" s="97" t="s">
        <v>34</v>
      </c>
      <c r="D170" s="97" t="str">
        <f>INDEX(Vectors[Description], MATCH(XV.a.Outputs[Vector], Vectors[Code], 0))</f>
        <v>Electricity (delivered to end user)</v>
      </c>
      <c r="E170" s="97"/>
      <c r="F170" s="241">
        <f t="shared" ref="F170:N170" ca="1" si="40">-F$131</f>
        <v>-4.6221216487887027</v>
      </c>
      <c r="G170" s="241">
        <f t="shared" ca="1" si="40"/>
        <v>-4.6221216487887027</v>
      </c>
      <c r="H170" s="241">
        <f t="shared" ca="1" si="40"/>
        <v>-4.3037903656873526</v>
      </c>
      <c r="I170" s="241">
        <f t="shared" ca="1" si="40"/>
        <v>-3.6895756901015524</v>
      </c>
      <c r="J170" s="241">
        <f t="shared" ca="1" si="40"/>
        <v>-3.193714371509536</v>
      </c>
      <c r="K170" s="241">
        <f t="shared" ca="1" si="40"/>
        <v>-3.0540966574687904</v>
      </c>
      <c r="L170" s="241">
        <f t="shared" ca="1" si="40"/>
        <v>-3.0304652332819488</v>
      </c>
      <c r="M170" s="241">
        <f t="shared" ca="1" si="40"/>
        <v>-3.0080173426650463</v>
      </c>
      <c r="N170" s="241">
        <f t="shared" ca="1" si="40"/>
        <v>-2.9855694520481428</v>
      </c>
      <c r="O170" s="414"/>
    </row>
    <row r="171" spans="1:16" ht="15.75" x14ac:dyDescent="0.25">
      <c r="A171" s="3"/>
      <c r="B171" s="415"/>
      <c r="C171" s="97" t="s">
        <v>38</v>
      </c>
      <c r="D171" s="97" t="str">
        <f>INDEX(Vectors[Description], MATCH(XV.a.Outputs[Vector], Vectors[Code], 0))</f>
        <v>Liquid hydrocarbons</v>
      </c>
      <c r="E171" s="97"/>
      <c r="F171" s="241">
        <f t="shared" ref="F171:N171" ca="1" si="41">-F$132</f>
        <v>-0.2101405410269232</v>
      </c>
      <c r="G171" s="241">
        <f t="shared" ca="1" si="41"/>
        <v>-0.2101405410269232</v>
      </c>
      <c r="H171" s="241">
        <f t="shared" ca="1" si="41"/>
        <v>-0.19566789985915059</v>
      </c>
      <c r="I171" s="241">
        <f t="shared" ca="1" si="41"/>
        <v>-0.16774319037685015</v>
      </c>
      <c r="J171" s="241">
        <f t="shared" ca="1" si="41"/>
        <v>-0.14519930822036098</v>
      </c>
      <c r="K171" s="241">
        <f t="shared" ca="1" si="41"/>
        <v>-0.13885171631456306</v>
      </c>
      <c r="L171" s="241">
        <f t="shared" ca="1" si="41"/>
        <v>-0.13777733518806001</v>
      </c>
      <c r="M171" s="241">
        <f t="shared" ca="1" si="41"/>
        <v>-0.13675676233481518</v>
      </c>
      <c r="N171" s="241">
        <f t="shared" ca="1" si="41"/>
        <v>-0.13573618948157026</v>
      </c>
      <c r="O171" s="414"/>
    </row>
    <row r="172" spans="1:16" ht="15.75" x14ac:dyDescent="0.25">
      <c r="A172" s="3"/>
      <c r="B172" s="415"/>
      <c r="C172" s="97" t="s">
        <v>39</v>
      </c>
      <c r="D172" s="97" t="str">
        <f>INDEX(Vectors[Description], MATCH(XV.a.Outputs[Vector], Vectors[Code], 0))</f>
        <v>Gaseous hydrocarbons</v>
      </c>
      <c r="E172" s="97"/>
      <c r="F172" s="241">
        <f t="shared" ref="F172:N172" ca="1" si="42">-F$133</f>
        <v>-0.42787494017823025</v>
      </c>
      <c r="G172" s="241">
        <f t="shared" ca="1" si="42"/>
        <v>-0.42787494017823025</v>
      </c>
      <c r="H172" s="241">
        <f t="shared" ca="1" si="42"/>
        <v>-0.39840665936187736</v>
      </c>
      <c r="I172" s="241">
        <f t="shared" ca="1" si="42"/>
        <v>-0.34154812392247846</v>
      </c>
      <c r="J172" s="241">
        <f t="shared" ca="1" si="42"/>
        <v>-0.29564569033229832</v>
      </c>
      <c r="K172" s="241">
        <f t="shared" ca="1" si="42"/>
        <v>-0.28272112330826493</v>
      </c>
      <c r="L172" s="241">
        <f t="shared" ca="1" si="42"/>
        <v>-0.28053353609646553</v>
      </c>
      <c r="M172" s="241">
        <f t="shared" ca="1" si="42"/>
        <v>-0.27845550990315848</v>
      </c>
      <c r="N172" s="241">
        <f t="shared" ca="1" si="42"/>
        <v>-0.27637748370985132</v>
      </c>
      <c r="O172" s="414"/>
    </row>
    <row r="173" spans="1:16" ht="15.75" x14ac:dyDescent="0.25">
      <c r="A173" s="3"/>
      <c r="B173" s="415"/>
      <c r="C173" s="97" t="s">
        <v>52</v>
      </c>
      <c r="D173" s="97" t="str">
        <f>INDEX(Vectors[Description], MATCH(XV.a.Outputs[Vector], Vectors[Code], 0))</f>
        <v>Oil and petroleum products</v>
      </c>
      <c r="E173" s="97"/>
      <c r="F173" s="241">
        <f t="shared" ref="F173:N173" ca="1" si="43">-F$126+F$128</f>
        <v>0</v>
      </c>
      <c r="G173" s="241">
        <f t="shared" ca="1" si="43"/>
        <v>0</v>
      </c>
      <c r="H173" s="241">
        <f t="shared" ca="1" si="43"/>
        <v>0</v>
      </c>
      <c r="I173" s="241">
        <f t="shared" ca="1" si="43"/>
        <v>0</v>
      </c>
      <c r="J173" s="241">
        <f t="shared" ca="1" si="43"/>
        <v>0</v>
      </c>
      <c r="K173" s="241">
        <f t="shared" ca="1" si="43"/>
        <v>0</v>
      </c>
      <c r="L173" s="241">
        <f t="shared" ca="1" si="43"/>
        <v>0</v>
      </c>
      <c r="M173" s="241">
        <f t="shared" ca="1" si="43"/>
        <v>0</v>
      </c>
      <c r="N173" s="241">
        <f t="shared" ca="1" si="43"/>
        <v>0</v>
      </c>
      <c r="O173" s="414"/>
    </row>
    <row r="174" spans="1:16" ht="15.75" x14ac:dyDescent="0.25">
      <c r="A174" s="3"/>
      <c r="B174" s="415"/>
      <c r="C174" s="97" t="s">
        <v>26</v>
      </c>
      <c r="D174" s="97" t="str">
        <f>INDEX(Vectors[Description], MATCH(XV.a.Outputs[Vector], Vectors[Code], 0))</f>
        <v>Conversion losses</v>
      </c>
      <c r="E174" s="97"/>
      <c r="F174" s="241">
        <f t="shared" ref="F174:N174" ca="1" si="44">F$127</f>
        <v>0</v>
      </c>
      <c r="G174" s="241">
        <f t="shared" ca="1" si="44"/>
        <v>0</v>
      </c>
      <c r="H174" s="241">
        <f t="shared" ca="1" si="44"/>
        <v>0</v>
      </c>
      <c r="I174" s="241">
        <f t="shared" ca="1" si="44"/>
        <v>0</v>
      </c>
      <c r="J174" s="241">
        <f t="shared" ca="1" si="44"/>
        <v>0</v>
      </c>
      <c r="K174" s="241">
        <f t="shared" ca="1" si="44"/>
        <v>0</v>
      </c>
      <c r="L174" s="241">
        <f t="shared" ca="1" si="44"/>
        <v>0</v>
      </c>
      <c r="M174" s="241">
        <f t="shared" ca="1" si="44"/>
        <v>0</v>
      </c>
      <c r="N174" s="241">
        <f t="shared" ca="1" si="44"/>
        <v>0</v>
      </c>
      <c r="O174" s="414"/>
    </row>
    <row r="175" spans="1:16" ht="15.75" x14ac:dyDescent="0.25">
      <c r="A175" s="3"/>
      <c r="B175" s="415"/>
      <c r="C175" s="97" t="s">
        <v>27</v>
      </c>
      <c r="D175" s="97" t="str">
        <f>INDEX(Vectors[Description], MATCH(XV.a.Outputs[Vector], Vectors[Code], 0))</f>
        <v>Distribution losses and own use</v>
      </c>
      <c r="E175" s="97"/>
      <c r="F175" s="241">
        <f ca="1">F$131+F$132+F$133</f>
        <v>5.260137129993856</v>
      </c>
      <c r="G175" s="241">
        <f t="shared" ref="G175:N175" ca="1" si="45">G$131+G$132+G$133</f>
        <v>5.260137129993856</v>
      </c>
      <c r="H175" s="241">
        <f t="shared" ca="1" si="45"/>
        <v>4.8978649249083812</v>
      </c>
      <c r="I175" s="241">
        <f t="shared" ca="1" si="45"/>
        <v>4.1988670044008813</v>
      </c>
      <c r="J175" s="241">
        <f t="shared" ca="1" si="45"/>
        <v>3.6345593700621954</v>
      </c>
      <c r="K175" s="241">
        <f t="shared" ca="1" si="45"/>
        <v>3.4756694970916184</v>
      </c>
      <c r="L175" s="241">
        <f t="shared" ca="1" si="45"/>
        <v>3.4487761045664747</v>
      </c>
      <c r="M175" s="241">
        <f t="shared" ca="1" si="45"/>
        <v>3.4232296149030201</v>
      </c>
      <c r="N175" s="241">
        <f t="shared" ca="1" si="45"/>
        <v>3.3976831252395643</v>
      </c>
      <c r="O175" s="414"/>
    </row>
    <row r="176" spans="1:16" ht="15.75" x14ac:dyDescent="0.25">
      <c r="A176" s="3"/>
      <c r="B176" s="415"/>
      <c r="C176" s="97" t="s">
        <v>105</v>
      </c>
      <c r="D176" s="97"/>
      <c r="E176" s="97"/>
      <c r="F176" s="2466">
        <f ca="1">SUBTOTAL(109,XV.a.Outputs[2010])</f>
        <v>0</v>
      </c>
      <c r="G176" s="2466">
        <f ca="1">SUBTOTAL(109,XV.a.Outputs[2015])</f>
        <v>0</v>
      </c>
      <c r="H176" s="2466">
        <f ca="1">SUBTOTAL(109,XV.a.Outputs[2020])</f>
        <v>0</v>
      </c>
      <c r="I176" s="2466">
        <f ca="1">SUBTOTAL(109,XV.a.Outputs[2025])</f>
        <v>0</v>
      </c>
      <c r="J176" s="2466">
        <f ca="1">SUBTOTAL(109,XV.a.Outputs[2030])</f>
        <v>0</v>
      </c>
      <c r="K176" s="2466">
        <f ca="1">SUBTOTAL(109,XV.a.Outputs[2035])</f>
        <v>0</v>
      </c>
      <c r="L176" s="2466">
        <f ca="1">SUBTOTAL(109,XV.a.Outputs[2040])</f>
        <v>0</v>
      </c>
      <c r="M176" s="2466">
        <f ca="1">SUBTOTAL(109,XV.a.Outputs[2045])</f>
        <v>0</v>
      </c>
      <c r="N176" s="2466">
        <f ca="1">SUBTOTAL(109,XV.a.Outputs[2050])</f>
        <v>0</v>
      </c>
      <c r="O176" s="414"/>
    </row>
    <row r="177" spans="1:16" ht="15.75" x14ac:dyDescent="0.25">
      <c r="A177" s="3"/>
      <c r="B177" s="416"/>
      <c r="C177" s="515"/>
      <c r="D177" s="516"/>
      <c r="E177" s="516"/>
      <c r="F177" s="516"/>
      <c r="G177" s="516"/>
      <c r="H177" s="516"/>
      <c r="I177" s="516"/>
      <c r="J177" s="516"/>
      <c r="K177" s="516"/>
      <c r="L177" s="516"/>
      <c r="M177" s="516"/>
      <c r="N177" s="516"/>
      <c r="O177" s="516"/>
      <c r="P177" s="419"/>
    </row>
    <row r="179" spans="1:16" ht="22.5" x14ac:dyDescent="0.3">
      <c r="A179" s="409"/>
      <c r="B179" s="484" t="s">
        <v>361</v>
      </c>
      <c r="C179" s="436"/>
      <c r="D179" s="437"/>
      <c r="E179" s="437"/>
      <c r="F179" s="437"/>
      <c r="G179" s="437"/>
      <c r="H179" s="437"/>
      <c r="I179" s="437"/>
      <c r="J179" s="437"/>
      <c r="K179" s="437"/>
      <c r="L179" s="437"/>
      <c r="M179" s="437"/>
      <c r="N179" s="437"/>
      <c r="O179" s="437"/>
      <c r="P179" s="438"/>
    </row>
    <row r="180" spans="1:16" x14ac:dyDescent="0.2">
      <c r="B180" s="444"/>
      <c r="C180" s="445"/>
      <c r="D180" s="445"/>
      <c r="E180" s="445"/>
      <c r="F180" s="445"/>
      <c r="G180" s="445"/>
      <c r="H180" s="445"/>
      <c r="I180" s="445"/>
      <c r="J180" s="445"/>
      <c r="K180" s="445"/>
      <c r="L180" s="445"/>
      <c r="M180" s="445"/>
      <c r="N180" s="445"/>
      <c r="O180" s="445"/>
      <c r="P180" s="446"/>
    </row>
    <row r="181" spans="1:16" ht="14.25" x14ac:dyDescent="0.25">
      <c r="B181" s="447"/>
      <c r="C181" s="439" t="s">
        <v>491</v>
      </c>
      <c r="D181" s="440"/>
      <c r="E181" s="441"/>
      <c r="F181" s="440"/>
      <c r="G181" s="441"/>
      <c r="H181" s="440"/>
      <c r="I181" s="440"/>
      <c r="J181" s="440"/>
      <c r="K181" s="440"/>
      <c r="L181" s="440"/>
      <c r="M181" s="440"/>
      <c r="N181" s="440"/>
      <c r="O181" s="441" t="s">
        <v>493</v>
      </c>
      <c r="P181" s="448"/>
    </row>
    <row r="182" spans="1:16" ht="5.25" customHeight="1" x14ac:dyDescent="0.2">
      <c r="B182" s="447"/>
      <c r="C182" s="440"/>
      <c r="D182" s="440"/>
      <c r="E182" s="440"/>
      <c r="F182" s="440"/>
      <c r="G182" s="440"/>
      <c r="H182" s="440"/>
      <c r="I182" s="440"/>
      <c r="J182" s="440"/>
      <c r="K182" s="440"/>
      <c r="L182" s="440"/>
      <c r="M182" s="440"/>
      <c r="N182" s="440"/>
      <c r="O182" s="440"/>
      <c r="P182" s="448"/>
    </row>
    <row r="183" spans="1:16" ht="15.75" x14ac:dyDescent="0.25">
      <c r="B183" s="449"/>
      <c r="C183" s="503" t="s">
        <v>490</v>
      </c>
      <c r="D183" s="503" t="s">
        <v>461</v>
      </c>
      <c r="E183" s="503" t="s">
        <v>172</v>
      </c>
      <c r="F183" s="503" t="s">
        <v>241</v>
      </c>
      <c r="G183" s="503" t="s">
        <v>268</v>
      </c>
      <c r="H183" s="503" t="s">
        <v>269</v>
      </c>
      <c r="I183" s="503" t="s">
        <v>270</v>
      </c>
      <c r="J183" s="503" t="s">
        <v>271</v>
      </c>
      <c r="K183" s="503" t="s">
        <v>272</v>
      </c>
      <c r="L183" s="503" t="s">
        <v>273</v>
      </c>
      <c r="M183" s="503" t="s">
        <v>274</v>
      </c>
      <c r="N183" s="503" t="s">
        <v>275</v>
      </c>
      <c r="O183" s="448"/>
    </row>
    <row r="184" spans="1:16" ht="15.75" x14ac:dyDescent="0.25">
      <c r="B184" s="449"/>
      <c r="C184" s="443" t="s">
        <v>473</v>
      </c>
      <c r="D184" s="453" t="s">
        <v>483</v>
      </c>
      <c r="E184" s="443" t="str">
        <f>INDEX(IPCC[Sector_description], MATCH(XV.a.Emissions[IPCC Sector], IPCC[Sector_code], 0))</f>
        <v>Fuel Combustion</v>
      </c>
      <c r="F184" s="2601">
        <f t="shared" ref="F184:N184" ca="1" si="46">F$137</f>
        <v>0.13126412424952516</v>
      </c>
      <c r="G184" s="2601">
        <f t="shared" ca="1" si="46"/>
        <v>0.13126412424952516</v>
      </c>
      <c r="H184" s="2601">
        <f t="shared" ca="1" si="46"/>
        <v>0.12222380028737306</v>
      </c>
      <c r="I184" s="2601">
        <f t="shared" ca="1" si="46"/>
        <v>0.10478065239594857</v>
      </c>
      <c r="J184" s="2601">
        <f t="shared" ca="1" si="46"/>
        <v>9.0698634076233131E-2</v>
      </c>
      <c r="K184" s="2601">
        <f t="shared" ca="1" si="46"/>
        <v>8.6733615767361494E-2</v>
      </c>
      <c r="L184" s="2601">
        <f t="shared" ca="1" si="46"/>
        <v>8.6062504438764648E-2</v>
      </c>
      <c r="M184" s="2601">
        <f t="shared" ca="1" si="46"/>
        <v>8.5425004405884949E-2</v>
      </c>
      <c r="N184" s="2601">
        <f t="shared" ca="1" si="46"/>
        <v>8.4787504373005196E-2</v>
      </c>
      <c r="O184" s="448"/>
    </row>
    <row r="185" spans="1:16" ht="15.75" x14ac:dyDescent="0.25">
      <c r="B185" s="449"/>
      <c r="C185" s="443" t="s">
        <v>474</v>
      </c>
      <c r="D185" s="453" t="s">
        <v>483</v>
      </c>
      <c r="E185" s="443" t="str">
        <f>INDEX(IPCC[Sector_description], MATCH(XV.a.Emissions[IPCC Sector], IPCC[Sector_code], 0))</f>
        <v>Fuel Combustion</v>
      </c>
      <c r="F185" s="2601">
        <f t="shared" ref="F185:N185" ca="1" si="47">F$138</f>
        <v>2.2321716926589251E-4</v>
      </c>
      <c r="G185" s="2601">
        <f t="shared" ca="1" si="47"/>
        <v>2.2321716926589251E-4</v>
      </c>
      <c r="H185" s="2601">
        <f t="shared" ca="1" si="47"/>
        <v>2.0784392440088893E-4</v>
      </c>
      <c r="I185" s="2601">
        <f t="shared" ca="1" si="47"/>
        <v>1.781815157445177E-4</v>
      </c>
      <c r="J185" s="2601">
        <f t="shared" ca="1" si="47"/>
        <v>1.5423477260469374E-4</v>
      </c>
      <c r="K185" s="2601">
        <f t="shared" ca="1" si="47"/>
        <v>1.4749218266967606E-4</v>
      </c>
      <c r="L185" s="2601">
        <f t="shared" ca="1" si="47"/>
        <v>1.4635094494087444E-4</v>
      </c>
      <c r="M185" s="2601">
        <f t="shared" ca="1" si="47"/>
        <v>1.4526686386723839E-4</v>
      </c>
      <c r="N185" s="2601">
        <f t="shared" ca="1" si="47"/>
        <v>1.4418278279360226E-4</v>
      </c>
      <c r="O185" s="448"/>
    </row>
    <row r="186" spans="1:16" ht="15.75" x14ac:dyDescent="0.25">
      <c r="B186" s="449"/>
      <c r="C186" s="443" t="s">
        <v>475</v>
      </c>
      <c r="D186" s="453" t="s">
        <v>483</v>
      </c>
      <c r="E186" s="443" t="str">
        <f>INDEX(IPCC[Sector_description], MATCH(XV.a.Emissions[IPCC Sector], IPCC[Sector_code], 0))</f>
        <v>Fuel Combustion</v>
      </c>
      <c r="F186" s="2601">
        <f t="shared" ref="F186:N186" ca="1" si="48">F$139</f>
        <v>1.1149482785806966E-3</v>
      </c>
      <c r="G186" s="2601">
        <f t="shared" ca="1" si="48"/>
        <v>1.1149482785806966E-3</v>
      </c>
      <c r="H186" s="2601">
        <f t="shared" ca="1" si="48"/>
        <v>1.0381603999654189E-3</v>
      </c>
      <c r="I186" s="2601">
        <f t="shared" ca="1" si="48"/>
        <v>8.899995233682277E-4</v>
      </c>
      <c r="J186" s="2601">
        <f t="shared" ca="1" si="48"/>
        <v>7.7038784596380268E-4</v>
      </c>
      <c r="K186" s="2601">
        <f t="shared" ca="1" si="48"/>
        <v>7.3670925812959972E-4</v>
      </c>
      <c r="L186" s="2601">
        <f t="shared" ca="1" si="48"/>
        <v>7.310088855043066E-4</v>
      </c>
      <c r="M186" s="2601">
        <f t="shared" ca="1" si="48"/>
        <v>7.2559400487094163E-4</v>
      </c>
      <c r="N186" s="2601">
        <f t="shared" ca="1" si="48"/>
        <v>7.2017912423757622E-4</v>
      </c>
      <c r="O186" s="448"/>
    </row>
    <row r="187" spans="1:16" ht="15.75" x14ac:dyDescent="0.25">
      <c r="B187" s="449"/>
      <c r="C187" s="443" t="s">
        <v>105</v>
      </c>
      <c r="D187" s="443"/>
      <c r="E187" s="443"/>
      <c r="F187" s="2602">
        <f ca="1">SUBTOTAL(109,XV.a.Emissions[2010])</f>
        <v>0.13260228969737176</v>
      </c>
      <c r="G187" s="2602">
        <f ca="1">SUBTOTAL(109,XV.a.Emissions[2015])</f>
        <v>0.13260228969737176</v>
      </c>
      <c r="H187" s="2602">
        <f ca="1">SUBTOTAL(109,XV.a.Emissions[2020])</f>
        <v>0.12346980461173937</v>
      </c>
      <c r="I187" s="2602">
        <f ca="1">SUBTOTAL(109,XV.a.Emissions[2025])</f>
        <v>0.10584883343506131</v>
      </c>
      <c r="J187" s="2602">
        <f ca="1">SUBTOTAL(109,XV.a.Emissions[2030])</f>
        <v>9.1623256694801619E-2</v>
      </c>
      <c r="K187" s="2602">
        <f ca="1">SUBTOTAL(109,XV.a.Emissions[2035])</f>
        <v>8.7617817208160767E-2</v>
      </c>
      <c r="L187" s="2602">
        <f ca="1">SUBTOTAL(109,XV.a.Emissions[2040])</f>
        <v>8.6939864269209827E-2</v>
      </c>
      <c r="M187" s="2602">
        <f ca="1">SUBTOTAL(109,XV.a.Emissions[2045])</f>
        <v>8.6295865274623129E-2</v>
      </c>
      <c r="N187" s="2602">
        <f ca="1">SUBTOTAL(109,XV.a.Emissions[2050])</f>
        <v>8.5651866280036376E-2</v>
      </c>
      <c r="O187" s="448"/>
    </row>
    <row r="188" spans="1:16" ht="15.75" x14ac:dyDescent="0.25">
      <c r="B188" s="449"/>
      <c r="C188" s="440"/>
      <c r="D188" s="440"/>
      <c r="E188" s="440"/>
      <c r="F188" s="440"/>
      <c r="G188" s="440"/>
      <c r="H188" s="440"/>
      <c r="I188" s="440"/>
      <c r="J188" s="440"/>
      <c r="K188" s="440"/>
      <c r="L188" s="440"/>
      <c r="M188" s="440"/>
      <c r="N188" s="440"/>
      <c r="O188" s="440"/>
      <c r="P188" s="448"/>
    </row>
    <row r="191" spans="1:16" s="1225" customFormat="1" ht="21.75" customHeight="1" collapsed="1" x14ac:dyDescent="0.2">
      <c r="B191" s="1186" t="s">
        <v>1225</v>
      </c>
      <c r="C191" s="1218"/>
      <c r="D191" s="1187"/>
      <c r="E191" s="1187"/>
      <c r="F191" s="1187"/>
      <c r="G191" s="1187"/>
      <c r="H191" s="1187"/>
      <c r="I191" s="1187"/>
      <c r="J191" s="1187"/>
      <c r="K191" s="1187"/>
      <c r="L191" s="1187"/>
      <c r="M191" s="1187"/>
      <c r="N191" s="1187"/>
      <c r="O191" s="1187"/>
      <c r="P191" s="1188"/>
    </row>
    <row r="192" spans="1:16" s="1225" customFormat="1" x14ac:dyDescent="0.2">
      <c r="B192" s="1219"/>
      <c r="C192" s="1220"/>
      <c r="D192" s="1220"/>
      <c r="E192" s="1220"/>
      <c r="F192" s="1220"/>
      <c r="G192" s="1220"/>
      <c r="H192" s="1220"/>
      <c r="I192" s="1220"/>
      <c r="J192" s="1220"/>
      <c r="K192" s="1220"/>
      <c r="L192" s="1220"/>
      <c r="M192" s="1220"/>
      <c r="N192" s="1220"/>
      <c r="O192" s="1220"/>
      <c r="P192" s="1221"/>
    </row>
    <row r="193" spans="2:16" s="1225" customFormat="1" x14ac:dyDescent="0.2">
      <c r="B193" s="1189"/>
      <c r="C193" s="1222" t="s">
        <v>1230</v>
      </c>
      <c r="D193" s="1190"/>
      <c r="E193" s="1223"/>
      <c r="F193" s="1190"/>
      <c r="G193" s="1223"/>
      <c r="H193" s="1190"/>
      <c r="I193" s="1190"/>
      <c r="J193" s="1190"/>
      <c r="K193" s="1190"/>
      <c r="L193" s="1190"/>
      <c r="M193" s="1190"/>
      <c r="N193" s="1190"/>
      <c r="O193" s="1223"/>
      <c r="P193" s="1191"/>
    </row>
    <row r="194" spans="2:16" s="1225" customFormat="1" ht="6" customHeight="1" x14ac:dyDescent="0.2">
      <c r="B194" s="1189"/>
      <c r="C194" s="1190"/>
      <c r="D194" s="1190"/>
      <c r="E194" s="1190"/>
      <c r="F194" s="1190"/>
      <c r="G194" s="1190"/>
      <c r="H194" s="1190"/>
      <c r="I194" s="1190"/>
      <c r="J194" s="1190"/>
      <c r="K194" s="1190"/>
      <c r="L194" s="1190"/>
      <c r="M194" s="1190"/>
      <c r="N194" s="1190"/>
      <c r="O194" s="1190"/>
      <c r="P194" s="1191"/>
    </row>
    <row r="195" spans="2:16" s="1225" customFormat="1" ht="15.75" x14ac:dyDescent="0.25">
      <c r="B195" s="1192"/>
      <c r="C195" s="1193" t="s">
        <v>64</v>
      </c>
      <c r="D195" s="1193" t="s">
        <v>1226</v>
      </c>
      <c r="E195" s="1193" t="s">
        <v>172</v>
      </c>
      <c r="F195" s="1193" t="s">
        <v>241</v>
      </c>
      <c r="G195" s="1193" t="s">
        <v>268</v>
      </c>
      <c r="H195" s="1193" t="s">
        <v>269</v>
      </c>
      <c r="I195" s="1193" t="s">
        <v>270</v>
      </c>
      <c r="J195" s="1193" t="s">
        <v>271</v>
      </c>
      <c r="K195" s="1193" t="s">
        <v>272</v>
      </c>
      <c r="L195" s="1193" t="s">
        <v>273</v>
      </c>
      <c r="M195" s="1193" t="s">
        <v>274</v>
      </c>
      <c r="N195" s="1193" t="s">
        <v>275</v>
      </c>
      <c r="O195" s="1191"/>
    </row>
    <row r="196" spans="2:16" s="1225" customFormat="1" ht="15.75" x14ac:dyDescent="0.25">
      <c r="B196" s="1192"/>
      <c r="C196" s="1194" t="s">
        <v>1227</v>
      </c>
      <c r="D196" s="1195" t="str">
        <f>INDEX(Vectors[Description], MATCH(XV.a.info[Vector], Vectors[Code], 0))</f>
        <v>Nigeria Land area</v>
      </c>
      <c r="E196" s="1195">
        <f>INDEX(Vectors[Comment], MATCH(XV.a.info[Information type], Vectors[Description], 0))</f>
        <v>0</v>
      </c>
      <c r="F196" s="1226"/>
      <c r="G196" s="1226"/>
      <c r="H196" s="1226"/>
      <c r="I196" s="1226"/>
      <c r="J196" s="1226"/>
      <c r="K196" s="1226"/>
      <c r="L196" s="1226"/>
      <c r="M196" s="1226"/>
      <c r="N196" s="1226"/>
      <c r="O196" s="1191"/>
    </row>
    <row r="197" spans="2:16" s="1225" customFormat="1" ht="15.75" x14ac:dyDescent="0.25">
      <c r="B197" s="1192"/>
      <c r="C197" s="1194" t="s">
        <v>1232</v>
      </c>
      <c r="D197" s="1195" t="str">
        <f>INDEX(Vectors[Description], MATCH(XV.a.info[Vector], Vectors[Code], 0))</f>
        <v xml:space="preserve">Installed Capacity </v>
      </c>
      <c r="E197" s="1195">
        <f>INDEX(Vectors[Comment], MATCH(XV.a.info[Information type], Vectors[Description], 0))</f>
        <v>0</v>
      </c>
      <c r="F197" s="1226"/>
      <c r="G197" s="1226"/>
      <c r="H197" s="1226"/>
      <c r="I197" s="1226"/>
      <c r="J197" s="1226"/>
      <c r="K197" s="1226"/>
      <c r="L197" s="1226"/>
      <c r="M197" s="1226"/>
      <c r="N197" s="1226"/>
      <c r="O197" s="1191"/>
    </row>
    <row r="198" spans="2:16" s="1225" customFormat="1" ht="15.75" x14ac:dyDescent="0.25">
      <c r="B198" s="1192"/>
      <c r="C198" s="1194" t="s">
        <v>1233</v>
      </c>
      <c r="D198" s="1195" t="str">
        <f>INDEX(Vectors[Description], MATCH(XV.a.info[Vector], Vectors[Code], 0))</f>
        <v>Number of units</v>
      </c>
      <c r="E198" s="1195"/>
      <c r="F198" s="1226"/>
      <c r="G198" s="1226"/>
      <c r="H198" s="1226"/>
      <c r="I198" s="1226"/>
      <c r="J198" s="1226"/>
      <c r="K198" s="1226"/>
      <c r="L198" s="1226"/>
      <c r="M198" s="1226"/>
      <c r="N198" s="1226"/>
      <c r="O198" s="1191"/>
    </row>
    <row r="199" spans="2:16" s="1225" customFormat="1" ht="15.75" x14ac:dyDescent="0.25">
      <c r="B199" s="1227"/>
      <c r="C199" s="1197"/>
      <c r="D199" s="1197"/>
      <c r="E199" s="1197"/>
      <c r="F199" s="1197"/>
      <c r="G199" s="1197"/>
      <c r="H199" s="1197"/>
      <c r="I199" s="1197"/>
      <c r="J199" s="1197"/>
      <c r="K199" s="1197"/>
      <c r="L199" s="1197"/>
      <c r="M199" s="1197"/>
      <c r="N199" s="1197"/>
      <c r="O199" s="1197"/>
      <c r="P199" s="1224"/>
    </row>
    <row r="202" spans="2:16" ht="15.75" x14ac:dyDescent="0.2">
      <c r="B202" s="1430" t="s">
        <v>1424</v>
      </c>
      <c r="C202" s="1431"/>
      <c r="D202" s="1431"/>
      <c r="E202" s="1431"/>
      <c r="F202" s="1431"/>
      <c r="G202" s="1431"/>
      <c r="H202" s="1431"/>
      <c r="I202" s="1431"/>
      <c r="J202" s="1431"/>
      <c r="K202" s="1431"/>
      <c r="L202" s="1431"/>
      <c r="M202" s="1431"/>
      <c r="N202" s="1431"/>
      <c r="O202" s="1431"/>
      <c r="P202" s="1432"/>
    </row>
    <row r="203" spans="2:16" x14ac:dyDescent="0.2">
      <c r="B203" s="1433"/>
      <c r="C203" s="1434"/>
      <c r="D203" s="1434"/>
      <c r="E203" s="1434"/>
      <c r="F203" s="1434"/>
      <c r="G203" s="1434"/>
      <c r="H203" s="1434"/>
      <c r="I203" s="1434"/>
      <c r="J203" s="1434"/>
      <c r="K203" s="1434"/>
      <c r="L203" s="1434"/>
      <c r="M203" s="1434"/>
      <c r="N203" s="1434"/>
      <c r="O203" s="1434"/>
      <c r="P203" s="1435"/>
    </row>
    <row r="204" spans="2:16" x14ac:dyDescent="0.2">
      <c r="B204" s="1433"/>
      <c r="C204" s="1441" t="s">
        <v>1425</v>
      </c>
      <c r="D204" s="1442"/>
      <c r="E204" s="1442"/>
      <c r="F204" s="1442"/>
      <c r="G204" s="1442"/>
      <c r="H204" s="1442"/>
      <c r="I204" s="1442"/>
      <c r="J204" s="1442"/>
      <c r="K204" s="1442"/>
      <c r="L204" s="1442"/>
      <c r="M204" s="1442"/>
      <c r="N204" s="1442"/>
      <c r="O204" s="1479" t="str">
        <f>Preferences.moneyunits</f>
        <v>N</v>
      </c>
      <c r="P204" s="1435"/>
    </row>
    <row r="205" spans="2:16" ht="4.5" customHeight="1" x14ac:dyDescent="0.2">
      <c r="B205" s="1433"/>
      <c r="C205" s="1434"/>
      <c r="D205" s="1434"/>
      <c r="E205" s="1434"/>
      <c r="F205" s="1434"/>
      <c r="G205" s="1434"/>
      <c r="H205" s="1434"/>
      <c r="I205" s="1434"/>
      <c r="J205" s="1434"/>
      <c r="K205" s="1434"/>
      <c r="L205" s="1434"/>
      <c r="M205" s="1434"/>
      <c r="N205" s="1434"/>
      <c r="O205" s="1434"/>
      <c r="P205" s="1435"/>
    </row>
    <row r="206" spans="2:16" ht="15.75" x14ac:dyDescent="0.25">
      <c r="B206" s="1436"/>
      <c r="C206" s="1437" t="s">
        <v>64</v>
      </c>
      <c r="D206" s="1437" t="s">
        <v>150</v>
      </c>
      <c r="E206" s="1437" t="s">
        <v>172</v>
      </c>
      <c r="F206" s="1437" t="s">
        <v>241</v>
      </c>
      <c r="G206" s="1437" t="s">
        <v>268</v>
      </c>
      <c r="H206" s="1437" t="s">
        <v>269</v>
      </c>
      <c r="I206" s="1437" t="s">
        <v>270</v>
      </c>
      <c r="J206" s="1437" t="s">
        <v>271</v>
      </c>
      <c r="K206" s="1437" t="s">
        <v>272</v>
      </c>
      <c r="L206" s="1437" t="s">
        <v>273</v>
      </c>
      <c r="M206" s="1437" t="s">
        <v>274</v>
      </c>
      <c r="N206" s="1437" t="s">
        <v>275</v>
      </c>
      <c r="O206" s="1443"/>
    </row>
    <row r="207" spans="2:16" ht="15.75" x14ac:dyDescent="0.25">
      <c r="B207" s="1436"/>
      <c r="C207" s="1438" t="s">
        <v>1391</v>
      </c>
      <c r="D207" s="1439" t="str">
        <f>INDEX(CostVectors[Description], MATCH(C207, CostVectors[Code], 0))</f>
        <v>High estimate of capital costs</v>
      </c>
      <c r="E207" s="1439"/>
      <c r="F207" s="1196">
        <f t="shared" ref="F207:N207" si="49">F152</f>
        <v>0</v>
      </c>
      <c r="G207" s="1196">
        <f t="shared" ca="1" si="49"/>
        <v>63029427246.772545</v>
      </c>
      <c r="H207" s="1196">
        <f t="shared" ca="1" si="49"/>
        <v>63029427246.772545</v>
      </c>
      <c r="I207" s="1196">
        <f t="shared" ca="1" si="49"/>
        <v>58688511975.997169</v>
      </c>
      <c r="J207" s="1196">
        <f t="shared" ca="1" si="49"/>
        <v>50312791441.060448</v>
      </c>
      <c r="K207" s="1196">
        <f t="shared" ca="1" si="49"/>
        <v>43550993011.7883</v>
      </c>
      <c r="L207" s="1196">
        <f t="shared" ca="1" si="49"/>
        <v>41647100120.566353</v>
      </c>
      <c r="M207" s="1196">
        <f t="shared" ca="1" si="49"/>
        <v>41324850892.895653</v>
      </c>
      <c r="N207" s="1196">
        <f t="shared" ca="1" si="49"/>
        <v>41018740886.281624</v>
      </c>
      <c r="O207" s="1443"/>
    </row>
    <row r="208" spans="2:16" ht="15.75" x14ac:dyDescent="0.25">
      <c r="B208" s="1436"/>
      <c r="C208" s="1438" t="s">
        <v>1393</v>
      </c>
      <c r="D208" s="1439" t="str">
        <f>INDEX(CostVectors[Description], MATCH(C208, CostVectors[Code], 0))</f>
        <v>High estimate of operating costs</v>
      </c>
      <c r="E208" s="1439"/>
      <c r="F208" s="1196">
        <f t="shared" ref="F208:N208" ca="1" si="50">F153</f>
        <v>101180231462.63658</v>
      </c>
      <c r="G208" s="1196">
        <f t="shared" ca="1" si="50"/>
        <v>101180231462.63658</v>
      </c>
      <c r="H208" s="1196">
        <f t="shared" ca="1" si="50"/>
        <v>94211822720.206894</v>
      </c>
      <c r="I208" s="1196">
        <f t="shared" ca="1" si="50"/>
        <v>80766399218.684418</v>
      </c>
      <c r="J208" s="1196">
        <f t="shared" ca="1" si="50"/>
        <v>69911781620.799118</v>
      </c>
      <c r="K208" s="1196">
        <f t="shared" ca="1" si="50"/>
        <v>66855489792.86142</v>
      </c>
      <c r="L208" s="1196">
        <f t="shared" ca="1" si="50"/>
        <v>66338187750.488083</v>
      </c>
      <c r="M208" s="1196">
        <f t="shared" ca="1" si="50"/>
        <v>65846793767.151146</v>
      </c>
      <c r="N208" s="1196">
        <f t="shared" ca="1" si="50"/>
        <v>65355399783.814201</v>
      </c>
      <c r="O208" s="1443"/>
    </row>
    <row r="209" spans="2:16" ht="15.75" x14ac:dyDescent="0.25">
      <c r="B209" s="1436"/>
      <c r="C209" s="1438" t="s">
        <v>1866</v>
      </c>
      <c r="D209" s="1439" t="str">
        <f>INDEX(CostVectors[Description], MATCH(C209, CostVectors[Code], 0))</f>
        <v>Point estimate of capital costs</v>
      </c>
      <c r="E209" s="1439"/>
      <c r="F209" s="1196">
        <f t="shared" ref="F209:N209" si="51">F157</f>
        <v>0</v>
      </c>
      <c r="G209" s="1196">
        <f t="shared" ca="1" si="51"/>
        <v>41689156973.067757</v>
      </c>
      <c r="H209" s="1196">
        <f t="shared" ca="1" si="51"/>
        <v>41689156973.067757</v>
      </c>
      <c r="I209" s="1196">
        <f t="shared" ca="1" si="51"/>
        <v>38817972733.655075</v>
      </c>
      <c r="J209" s="1196">
        <f t="shared" ca="1" si="51"/>
        <v>33278072667.985291</v>
      </c>
      <c r="K209" s="1196">
        <f t="shared" ca="1" si="51"/>
        <v>28805658932.818371</v>
      </c>
      <c r="L209" s="1196">
        <f t="shared" ca="1" si="51"/>
        <v>27546379052.464966</v>
      </c>
      <c r="M209" s="1196">
        <f t="shared" ca="1" si="51"/>
        <v>27333235776.004341</v>
      </c>
      <c r="N209" s="1196">
        <f t="shared" ca="1" si="51"/>
        <v>27130767362.848759</v>
      </c>
      <c r="O209" s="1443"/>
    </row>
    <row r="210" spans="2:16" ht="14.25" x14ac:dyDescent="0.2">
      <c r="B210" s="1444"/>
      <c r="C210" s="1438" t="s">
        <v>1868</v>
      </c>
      <c r="D210" s="1439" t="str">
        <f>INDEX(CostVectors[Description], MATCH(C210, CostVectors[Code], 0))</f>
        <v>Point estimate of operating costs</v>
      </c>
      <c r="E210" s="1439"/>
      <c r="F210" s="1196">
        <f t="shared" ref="F210:N210" ca="1" si="52">F158</f>
        <v>91086388403.551987</v>
      </c>
      <c r="G210" s="1196">
        <f t="shared" ca="1" si="52"/>
        <v>91086388403.551987</v>
      </c>
      <c r="H210" s="1196">
        <f t="shared" ca="1" si="52"/>
        <v>84813155222.601547</v>
      </c>
      <c r="I210" s="1196">
        <f t="shared" ca="1" si="52"/>
        <v>72709060879.210251</v>
      </c>
      <c r="J210" s="1196">
        <f t="shared" ca="1" si="52"/>
        <v>62937311000.795341</v>
      </c>
      <c r="K210" s="1196">
        <f t="shared" ca="1" si="52"/>
        <v>60185917961.959129</v>
      </c>
      <c r="L210" s="1196">
        <f t="shared" ca="1" si="52"/>
        <v>59720222498.799721</v>
      </c>
      <c r="M210" s="1196">
        <f t="shared" ca="1" si="52"/>
        <v>59277850480.290108</v>
      </c>
      <c r="N210" s="1196">
        <f t="shared" ca="1" si="52"/>
        <v>58835478461.780479</v>
      </c>
      <c r="O210" s="1445"/>
    </row>
    <row r="211" spans="2:16" ht="14.25" x14ac:dyDescent="0.2">
      <c r="B211" s="1444"/>
      <c r="C211" s="1438" t="s">
        <v>1382</v>
      </c>
      <c r="D211" s="1439" t="str">
        <f>INDEX(CostVectors[Description], MATCH(C211,CostVectors[Code], 0))</f>
        <v>Low estimate of capital costs</v>
      </c>
      <c r="E211" s="1439"/>
      <c r="F211" s="1196">
        <f t="shared" ref="F211:N211" si="53">F162</f>
        <v>0</v>
      </c>
      <c r="G211" s="1196">
        <f t="shared" ca="1" si="53"/>
        <v>30198242210.303642</v>
      </c>
      <c r="H211" s="1196">
        <f t="shared" ca="1" si="53"/>
        <v>30198242210.303642</v>
      </c>
      <c r="I211" s="1196">
        <f t="shared" ca="1" si="53"/>
        <v>28118451603.163177</v>
      </c>
      <c r="J211" s="1196">
        <f t="shared" ca="1" si="53"/>
        <v>24105531790.175594</v>
      </c>
      <c r="K211" s="1196">
        <f t="shared" ca="1" si="53"/>
        <v>20865863659.526875</v>
      </c>
      <c r="L211" s="1196">
        <f t="shared" ca="1" si="53"/>
        <v>19953683092.718067</v>
      </c>
      <c r="M211" s="1196">
        <f t="shared" ca="1" si="53"/>
        <v>19799289174.601326</v>
      </c>
      <c r="N211" s="1196">
        <f t="shared" ca="1" si="53"/>
        <v>19652627773.307987</v>
      </c>
      <c r="O211" s="1445"/>
    </row>
    <row r="212" spans="2:16" ht="14.25" x14ac:dyDescent="0.2">
      <c r="B212" s="1444"/>
      <c r="C212" s="1438" t="s">
        <v>1384</v>
      </c>
      <c r="D212" s="1439" t="str">
        <f>INDEX(CostVectors[Description], MATCH(C212, CostVectors[Code], 0))</f>
        <v>Low estimate of operating costs</v>
      </c>
      <c r="E212" s="1439"/>
      <c r="F212" s="1196">
        <f t="shared" ref="F212:N212" ca="1" si="54">F163</f>
        <v>85651242140.967972</v>
      </c>
      <c r="G212" s="1196">
        <f t="shared" ca="1" si="54"/>
        <v>85651242140.967972</v>
      </c>
      <c r="H212" s="1196">
        <f t="shared" ca="1" si="54"/>
        <v>79752334262.352509</v>
      </c>
      <c r="I212" s="1196">
        <f t="shared" ca="1" si="54"/>
        <v>68370494081.031837</v>
      </c>
      <c r="J212" s="1196">
        <f t="shared" ca="1" si="54"/>
        <v>59181826820.793304</v>
      </c>
      <c r="K212" s="1196">
        <f t="shared" ca="1" si="54"/>
        <v>56594610053.011734</v>
      </c>
      <c r="L212" s="1196">
        <f t="shared" ca="1" si="54"/>
        <v>56156702747.890594</v>
      </c>
      <c r="M212" s="1196">
        <f t="shared" ca="1" si="54"/>
        <v>55740727171.980309</v>
      </c>
      <c r="N212" s="1196">
        <f t="shared" ca="1" si="54"/>
        <v>55324751596.070007</v>
      </c>
      <c r="O212" s="1445"/>
    </row>
    <row r="213" spans="2:16" ht="14.25" x14ac:dyDescent="0.2">
      <c r="B213" s="1446"/>
      <c r="C213" s="1440"/>
      <c r="D213" s="1440"/>
      <c r="E213" s="1440"/>
      <c r="F213" s="1440"/>
      <c r="G213" s="1440"/>
      <c r="H213" s="1440"/>
      <c r="I213" s="1440"/>
      <c r="J213" s="1440"/>
      <c r="K213" s="1440"/>
      <c r="L213" s="1440"/>
      <c r="M213" s="1440"/>
      <c r="N213" s="1440"/>
      <c r="O213" s="1440"/>
      <c r="P213" s="1447"/>
    </row>
    <row r="215" spans="2:16" s="2022" customFormat="1" x14ac:dyDescent="0.2">
      <c r="C215" s="2022" t="s">
        <v>64</v>
      </c>
      <c r="D215" s="2022" t="s">
        <v>150</v>
      </c>
      <c r="E215" s="2022" t="s">
        <v>461</v>
      </c>
      <c r="F215" s="2022" t="s">
        <v>241</v>
      </c>
      <c r="G215" s="2022" t="s">
        <v>268</v>
      </c>
      <c r="H215" s="2022" t="s">
        <v>269</v>
      </c>
      <c r="I215" s="2022" t="s">
        <v>270</v>
      </c>
      <c r="J215" s="2022" t="s">
        <v>271</v>
      </c>
      <c r="K215" s="2022" t="s">
        <v>272</v>
      </c>
      <c r="L215" s="2022" t="s">
        <v>273</v>
      </c>
      <c r="M215" s="2022" t="s">
        <v>274</v>
      </c>
      <c r="N215" s="2022" t="s">
        <v>275</v>
      </c>
    </row>
    <row r="216" spans="2:16" s="2022" customFormat="1" x14ac:dyDescent="0.2">
      <c r="C216" s="2022" t="s">
        <v>1787</v>
      </c>
      <c r="D216" s="2022" t="s">
        <v>1791</v>
      </c>
      <c r="E216" s="2022" t="s">
        <v>483</v>
      </c>
      <c r="F216" s="2022">
        <f t="shared" ref="F216:N216" ca="1" si="55">SUMPRODUCT(F$44:F$45,F$132:F$133)</f>
        <v>2.566213145449075E-3</v>
      </c>
      <c r="G216" s="2022">
        <f t="shared" ca="1" si="55"/>
        <v>2.6815410645223718E-3</v>
      </c>
      <c r="H216" s="2022">
        <f t="shared" ca="1" si="55"/>
        <v>2.512811852517751E-3</v>
      </c>
      <c r="I216" s="2022">
        <f t="shared" ca="1" si="55"/>
        <v>2.2849603219874462E-3</v>
      </c>
      <c r="J216" s="2022">
        <f t="shared" ca="1" si="55"/>
        <v>1.9778725879613288E-3</v>
      </c>
      <c r="K216" s="2022">
        <f t="shared" ca="1" si="55"/>
        <v>1.8914071069344542E-3</v>
      </c>
      <c r="L216" s="2022">
        <f t="shared" ca="1" si="55"/>
        <v>1.8767721268840784E-3</v>
      </c>
      <c r="M216" s="2022">
        <f t="shared" ca="1" si="55"/>
        <v>1.8628701111293821E-3</v>
      </c>
      <c r="N216" s="2022">
        <f t="shared" ca="1" si="55"/>
        <v>1.848968095374685E-3</v>
      </c>
    </row>
    <row r="217" spans="2:16" s="2022" customFormat="1" x14ac:dyDescent="0.2">
      <c r="C217" s="2022" t="s">
        <v>1788</v>
      </c>
      <c r="D217" s="2022" t="s">
        <v>1794</v>
      </c>
      <c r="E217" s="2022" t="s">
        <v>483</v>
      </c>
      <c r="F217" s="2022">
        <f t="shared" ref="F217:N217" ca="1" si="56">SUMPRODUCT(F$50:F$51,F$132:F$133)</f>
        <v>0.16092010120535119</v>
      </c>
      <c r="G217" s="2022">
        <f t="shared" ca="1" si="56"/>
        <v>0.18385790632592625</v>
      </c>
      <c r="H217" s="2022">
        <f t="shared" ca="1" si="56"/>
        <v>0.16822346189425072</v>
      </c>
      <c r="I217" s="2022">
        <f t="shared" ca="1" si="56"/>
        <v>0.13305575812114223</v>
      </c>
      <c r="J217" s="2022">
        <f t="shared" ca="1" si="56"/>
        <v>0.11450346857585954</v>
      </c>
      <c r="K217" s="2022">
        <f t="shared" ca="1" si="56"/>
        <v>0.10949778845777761</v>
      </c>
      <c r="L217" s="2022">
        <f t="shared" ca="1" si="56"/>
        <v>0.10865053672452323</v>
      </c>
      <c r="M217" s="2022">
        <f t="shared" ca="1" si="56"/>
        <v>0.10784571793397124</v>
      </c>
      <c r="N217" s="2022">
        <f t="shared" ca="1" si="56"/>
        <v>0.10704089914341922</v>
      </c>
    </row>
    <row r="218" spans="2:16" s="2022" customFormat="1" x14ac:dyDescent="0.2">
      <c r="C218" s="2022" t="s">
        <v>1789</v>
      </c>
      <c r="D218" s="2022" t="s">
        <v>1795</v>
      </c>
      <c r="E218" s="2022" t="s">
        <v>483</v>
      </c>
      <c r="F218" s="2022">
        <f t="shared" ref="F218:N218" ca="1" si="57">SUMPRODUCT(F$56:F$57,F$132:F$133)</f>
        <v>7.2801811203589764E-2</v>
      </c>
      <c r="G218" s="2022">
        <f t="shared" ca="1" si="57"/>
        <v>7.0913385430720385E-2</v>
      </c>
      <c r="H218" s="2022">
        <f t="shared" ca="1" si="57"/>
        <v>6.6930698302915384E-2</v>
      </c>
      <c r="I218" s="2022">
        <f t="shared" ca="1" si="57"/>
        <v>6.4766251089684868E-2</v>
      </c>
      <c r="J218" s="2022">
        <f t="shared" ca="1" si="57"/>
        <v>5.6061976841632014E-2</v>
      </c>
      <c r="K218" s="2022">
        <f t="shared" ca="1" si="57"/>
        <v>5.3611148702128027E-2</v>
      </c>
      <c r="L218" s="2022">
        <f t="shared" ca="1" si="57"/>
        <v>5.3196326272384145E-2</v>
      </c>
      <c r="M218" s="2022">
        <f t="shared" ca="1" si="57"/>
        <v>5.2802279411107246E-2</v>
      </c>
      <c r="N218" s="2022">
        <f t="shared" ca="1" si="57"/>
        <v>5.2408232549830319E-2</v>
      </c>
    </row>
    <row r="219" spans="2:16" s="2022" customFormat="1" x14ac:dyDescent="0.2">
      <c r="C219" s="2022" t="s">
        <v>1790</v>
      </c>
      <c r="D219" s="2022" t="s">
        <v>1792</v>
      </c>
      <c r="E219" s="2022" t="s">
        <v>483</v>
      </c>
      <c r="F219" s="2022">
        <f t="shared" ref="F219:N219" ca="1" si="58">SUMPRODUCT(F$62:F$63,F$132:F$133)</f>
        <v>5.9771563418527483E-3</v>
      </c>
      <c r="G219" s="2022">
        <f t="shared" ca="1" si="58"/>
        <v>5.9807096406481186E-3</v>
      </c>
      <c r="H219" s="2022">
        <f t="shared" ca="1" si="58"/>
        <v>5.5648782014694883E-3</v>
      </c>
      <c r="I219" s="2022">
        <f t="shared" ca="1" si="58"/>
        <v>4.7384512363097351E-3</v>
      </c>
      <c r="J219" s="2022">
        <f t="shared" ca="1" si="58"/>
        <v>2.7994237709233118E-3</v>
      </c>
      <c r="K219" s="2022">
        <f t="shared" ca="1" si="58"/>
        <v>2.6770430248508636E-3</v>
      </c>
      <c r="L219" s="2022">
        <f t="shared" ca="1" si="58"/>
        <v>2.6563290965172701E-3</v>
      </c>
      <c r="M219" s="2022">
        <f t="shared" ca="1" si="58"/>
        <v>2.6366525846912171E-3</v>
      </c>
      <c r="N219" s="2022">
        <f t="shared" ca="1" si="58"/>
        <v>2.6169760728651627E-3</v>
      </c>
    </row>
    <row r="220" spans="2:16" s="2022" customFormat="1" x14ac:dyDescent="0.2"/>
    <row r="221" spans="2:16" s="1616" customFormat="1" ht="15.75" x14ac:dyDescent="0.25">
      <c r="B221" s="1618" t="s">
        <v>1793</v>
      </c>
      <c r="C221" s="1619"/>
      <c r="D221" s="1619"/>
      <c r="E221" s="1619"/>
      <c r="F221" s="1619"/>
      <c r="G221" s="1619"/>
      <c r="H221" s="1619"/>
      <c r="I221" s="1619"/>
      <c r="J221" s="1619"/>
      <c r="K221" s="1619"/>
      <c r="L221" s="1619"/>
      <c r="M221" s="1619"/>
      <c r="N221" s="1619"/>
      <c r="O221" s="1619"/>
      <c r="P221" s="1619"/>
    </row>
    <row r="222" spans="2:16" s="1616" customFormat="1" x14ac:dyDescent="0.2">
      <c r="B222" s="1617"/>
      <c r="C222" s="1617"/>
      <c r="D222" s="1617"/>
      <c r="E222" s="1617"/>
      <c r="F222" s="1617"/>
      <c r="G222" s="1617"/>
      <c r="H222" s="1617"/>
      <c r="I222" s="1617"/>
      <c r="J222" s="1617"/>
      <c r="K222" s="1617"/>
      <c r="L222" s="1617"/>
      <c r="M222" s="1617"/>
      <c r="N222" s="1617"/>
      <c r="O222" s="1617"/>
      <c r="P222" s="1617"/>
    </row>
    <row r="223" spans="2:16" s="1616" customFormat="1" x14ac:dyDescent="0.2">
      <c r="B223" s="1617"/>
      <c r="C223" s="1668" t="s">
        <v>64</v>
      </c>
      <c r="D223" s="1669" t="s">
        <v>150</v>
      </c>
      <c r="E223" s="1669" t="s">
        <v>461</v>
      </c>
      <c r="F223" s="1669" t="s">
        <v>241</v>
      </c>
      <c r="G223" s="1669" t="s">
        <v>268</v>
      </c>
      <c r="H223" s="1669" t="s">
        <v>269</v>
      </c>
      <c r="I223" s="1669" t="s">
        <v>270</v>
      </c>
      <c r="J223" s="1669" t="s">
        <v>271</v>
      </c>
      <c r="K223" s="1669" t="s">
        <v>272</v>
      </c>
      <c r="L223" s="1669" t="s">
        <v>273</v>
      </c>
      <c r="M223" s="1669" t="s">
        <v>274</v>
      </c>
      <c r="N223" s="1670" t="s">
        <v>275</v>
      </c>
      <c r="O223" s="1617"/>
    </row>
    <row r="224" spans="2:16" s="1616" customFormat="1" x14ac:dyDescent="0.2">
      <c r="B224" s="1617"/>
      <c r="C224" s="1620" t="s">
        <v>1787</v>
      </c>
      <c r="D224" s="1621" t="str">
        <f>INDEX(AirQualityVectors[Description],MATCH(C224,AirQualityVectors[Code],0))</f>
        <v>PM10</v>
      </c>
      <c r="E224" s="1622" t="s">
        <v>483</v>
      </c>
      <c r="F224" s="2603">
        <f t="shared" ref="F224:N224" ca="1" si="59">F216</f>
        <v>2.566213145449075E-3</v>
      </c>
      <c r="G224" s="2603">
        <f t="shared" ca="1" si="59"/>
        <v>2.6815410645223718E-3</v>
      </c>
      <c r="H224" s="2603">
        <f t="shared" ca="1" si="59"/>
        <v>2.512811852517751E-3</v>
      </c>
      <c r="I224" s="2603">
        <f t="shared" ca="1" si="59"/>
        <v>2.2849603219874462E-3</v>
      </c>
      <c r="J224" s="2603">
        <f t="shared" ca="1" si="59"/>
        <v>1.9778725879613288E-3</v>
      </c>
      <c r="K224" s="2603">
        <f t="shared" ca="1" si="59"/>
        <v>1.8914071069344542E-3</v>
      </c>
      <c r="L224" s="2603">
        <f t="shared" ca="1" si="59"/>
        <v>1.8767721268840784E-3</v>
      </c>
      <c r="M224" s="2603">
        <f t="shared" ca="1" si="59"/>
        <v>1.8628701111293821E-3</v>
      </c>
      <c r="N224" s="2603">
        <f t="shared" ca="1" si="59"/>
        <v>1.848968095374685E-3</v>
      </c>
      <c r="O224" s="1617"/>
    </row>
    <row r="225" spans="2:16" s="1616" customFormat="1" x14ac:dyDescent="0.2">
      <c r="B225" s="1617"/>
      <c r="C225" s="1620" t="s">
        <v>1788</v>
      </c>
      <c r="D225" s="1621" t="str">
        <f>INDEX(AirQualityVectors[Description],MATCH(C225,AirQualityVectors[Code],0))</f>
        <v>NOX</v>
      </c>
      <c r="E225" s="1622" t="s">
        <v>483</v>
      </c>
      <c r="F225" s="2603">
        <f t="shared" ref="F225:N225" ca="1" si="60">F217</f>
        <v>0.16092010120535119</v>
      </c>
      <c r="G225" s="2603">
        <f t="shared" ca="1" si="60"/>
        <v>0.18385790632592625</v>
      </c>
      <c r="H225" s="2603">
        <f t="shared" ca="1" si="60"/>
        <v>0.16822346189425072</v>
      </c>
      <c r="I225" s="2603">
        <f t="shared" ca="1" si="60"/>
        <v>0.13305575812114223</v>
      </c>
      <c r="J225" s="2603">
        <f t="shared" ca="1" si="60"/>
        <v>0.11450346857585954</v>
      </c>
      <c r="K225" s="2603">
        <f t="shared" ca="1" si="60"/>
        <v>0.10949778845777761</v>
      </c>
      <c r="L225" s="2603">
        <f t="shared" ca="1" si="60"/>
        <v>0.10865053672452323</v>
      </c>
      <c r="M225" s="2603">
        <f t="shared" ca="1" si="60"/>
        <v>0.10784571793397124</v>
      </c>
      <c r="N225" s="2603">
        <f t="shared" ca="1" si="60"/>
        <v>0.10704089914341922</v>
      </c>
      <c r="O225" s="1617"/>
      <c r="P225"/>
    </row>
    <row r="226" spans="2:16" s="1616" customFormat="1" x14ac:dyDescent="0.2">
      <c r="B226" s="1617"/>
      <c r="C226" s="1620" t="s">
        <v>1789</v>
      </c>
      <c r="D226" s="1621" t="str">
        <f>INDEX(AirQualityVectors[Description],MATCH(C226,AirQualityVectors[Code],0))</f>
        <v>SO2</v>
      </c>
      <c r="E226" s="1622" t="s">
        <v>483</v>
      </c>
      <c r="F226" s="2603">
        <f t="shared" ref="F226:N226" ca="1" si="61">F218</f>
        <v>7.2801811203589764E-2</v>
      </c>
      <c r="G226" s="2603">
        <f t="shared" ca="1" si="61"/>
        <v>7.0913385430720385E-2</v>
      </c>
      <c r="H226" s="2603">
        <f t="shared" ca="1" si="61"/>
        <v>6.6930698302915384E-2</v>
      </c>
      <c r="I226" s="2603">
        <f t="shared" ca="1" si="61"/>
        <v>6.4766251089684868E-2</v>
      </c>
      <c r="J226" s="2603">
        <f t="shared" ca="1" si="61"/>
        <v>5.6061976841632014E-2</v>
      </c>
      <c r="K226" s="2603">
        <f t="shared" ca="1" si="61"/>
        <v>5.3611148702128027E-2</v>
      </c>
      <c r="L226" s="2603">
        <f t="shared" ca="1" si="61"/>
        <v>5.3196326272384145E-2</v>
      </c>
      <c r="M226" s="2603">
        <f t="shared" ca="1" si="61"/>
        <v>5.2802279411107246E-2</v>
      </c>
      <c r="N226" s="2603">
        <f t="shared" ca="1" si="61"/>
        <v>5.2408232549830319E-2</v>
      </c>
      <c r="O226" s="1617"/>
    </row>
    <row r="227" spans="2:16" s="1616" customFormat="1" x14ac:dyDescent="0.2">
      <c r="B227" s="1617"/>
      <c r="C227" s="1623" t="s">
        <v>1790</v>
      </c>
      <c r="D227" s="1621" t="str">
        <f>INDEX(AirQualityVectors[Description],MATCH(C227,AirQualityVectors[Code],0))</f>
        <v>NMVOC</v>
      </c>
      <c r="E227" s="1622" t="s">
        <v>483</v>
      </c>
      <c r="F227" s="2603">
        <f t="shared" ref="F227:N227" ca="1" si="62">F219</f>
        <v>5.9771563418527483E-3</v>
      </c>
      <c r="G227" s="2603">
        <f t="shared" ca="1" si="62"/>
        <v>5.9807096406481186E-3</v>
      </c>
      <c r="H227" s="2603">
        <f t="shared" ca="1" si="62"/>
        <v>5.5648782014694883E-3</v>
      </c>
      <c r="I227" s="2603">
        <f t="shared" ca="1" si="62"/>
        <v>4.7384512363097351E-3</v>
      </c>
      <c r="J227" s="2603">
        <f t="shared" ca="1" si="62"/>
        <v>2.7994237709233118E-3</v>
      </c>
      <c r="K227" s="2603">
        <f t="shared" ca="1" si="62"/>
        <v>2.6770430248508636E-3</v>
      </c>
      <c r="L227" s="2603">
        <f t="shared" ca="1" si="62"/>
        <v>2.6563290965172701E-3</v>
      </c>
      <c r="M227" s="2603">
        <f t="shared" ca="1" si="62"/>
        <v>2.6366525846912171E-3</v>
      </c>
      <c r="N227" s="2603">
        <f t="shared" ca="1" si="62"/>
        <v>2.6169760728651627E-3</v>
      </c>
      <c r="O227" s="1617"/>
    </row>
    <row r="228" spans="2:16" s="1616" customFormat="1" x14ac:dyDescent="0.2">
      <c r="B228" s="1617"/>
      <c r="C228" s="1617"/>
      <c r="D228" s="1617"/>
      <c r="E228" s="1617"/>
      <c r="F228" s="1617"/>
      <c r="G228" s="1617"/>
      <c r="H228" s="1617"/>
      <c r="I228" s="1617"/>
      <c r="J228" s="1617"/>
      <c r="K228" s="1617"/>
      <c r="L228" s="1617"/>
      <c r="M228" s="1617"/>
      <c r="N228" s="1617"/>
      <c r="O228" s="1617"/>
      <c r="P228" s="1617"/>
    </row>
  </sheetData>
  <hyperlinks>
    <hyperlink ref="D88" r:id="rId1" display="http://decc-wiki.greenonblack.com/pages/364"/>
  </hyperlinks>
  <pageMargins left="0.7" right="0.7" top="0.75" bottom="0.75" header="0.3" footer="0.3"/>
  <pageSetup paperSize="9" orientation="portrait"/>
  <tableParts count="6">
    <tablePart r:id="rId2"/>
    <tablePart r:id="rId3"/>
    <tablePart r:id="rId4"/>
    <tablePart r:id="rId5"/>
    <tablePart r:id="rId6"/>
    <tablePart r:id="rId7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 enableFormatConditionsCalculation="0">
    <tabColor theme="9"/>
    <outlinePr summaryBelow="0"/>
    <pageSetUpPr autoPageBreaks="0"/>
  </sheetPr>
  <dimension ref="A1:P279"/>
  <sheetViews>
    <sheetView windowProtection="1" zoomScaleNormal="100" workbookViewId="0"/>
  </sheetViews>
  <sheetFormatPr defaultColWidth="8.7109375" defaultRowHeight="12.75" x14ac:dyDescent="0.2"/>
  <cols>
    <col min="1" max="1" width="7.7109375" style="38" customWidth="1"/>
    <col min="2" max="2" width="5.7109375" style="38" customWidth="1"/>
    <col min="3" max="3" width="20.42578125" style="38" customWidth="1"/>
    <col min="4" max="4" width="30.7109375" style="38" customWidth="1"/>
    <col min="5" max="5" width="20.7109375" style="38" customWidth="1"/>
    <col min="6" max="15" width="17.7109375" style="38" customWidth="1"/>
    <col min="16" max="16" width="2" style="38" customWidth="1"/>
    <col min="17" max="17" width="10.7109375" style="38" customWidth="1"/>
    <col min="18" max="16384" width="8.7109375" style="38"/>
  </cols>
  <sheetData>
    <row r="1" spans="1:16" ht="21" x14ac:dyDescent="0.35">
      <c r="A1" s="119" t="s">
        <v>403</v>
      </c>
      <c r="B1" s="119" t="str">
        <f>INDEX(Workstreams[Workstream], MATCH($A1, Workstreams[Code], 0))</f>
        <v>Fossil fuel production</v>
      </c>
      <c r="C1" s="119"/>
    </row>
    <row r="2" spans="1:16" s="84" customFormat="1" ht="19.5" customHeight="1" x14ac:dyDescent="0.2">
      <c r="A2" s="6" t="s">
        <v>415</v>
      </c>
      <c r="B2" s="6" t="str">
        <f>INDEX(Modules[Module], MATCH($A2, Modules[Code], 0))</f>
        <v>Indigenous fossil-fuel production</v>
      </c>
      <c r="C2" s="6"/>
      <c r="E2" s="1380"/>
    </row>
    <row r="3" spans="1:16" s="1571" customFormat="1" x14ac:dyDescent="0.2"/>
    <row r="4" spans="1:16" s="1571" customFormat="1" ht="22.5" collapsed="1" x14ac:dyDescent="0.3">
      <c r="A4" s="1422"/>
      <c r="B4" s="468" t="s">
        <v>596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s="1571" customFormat="1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s="1571" customFormat="1" ht="5.25" customHeight="1" x14ac:dyDescent="0.2">
      <c r="B6" s="410"/>
      <c r="C6" s="411"/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2"/>
      <c r="O6" s="412"/>
      <c r="P6" s="414"/>
    </row>
    <row r="7" spans="1:16" s="1571" customFormat="1" ht="15.75" x14ac:dyDescent="0.25">
      <c r="B7" s="415"/>
      <c r="C7" s="412"/>
      <c r="D7" s="2593" t="s">
        <v>342</v>
      </c>
      <c r="E7" s="2593" t="s">
        <v>595</v>
      </c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s="2479" customFormat="1" ht="15.75" x14ac:dyDescent="0.25">
      <c r="B8" s="415"/>
      <c r="C8" s="412"/>
      <c r="D8" s="2596" t="s">
        <v>2435</v>
      </c>
      <c r="E8" s="2594">
        <f>MIN(XV.b.Scenario.Coal,3)</f>
        <v>3</v>
      </c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4"/>
    </row>
    <row r="9" spans="1:16" s="2479" customFormat="1" ht="15.75" x14ac:dyDescent="0.25">
      <c r="B9" s="415"/>
      <c r="C9" s="412"/>
      <c r="D9" s="240" t="s">
        <v>2436</v>
      </c>
      <c r="E9" s="97">
        <f>MIN(XV.b.Scenario.Oil,3)</f>
        <v>3</v>
      </c>
      <c r="F9" s="412"/>
      <c r="G9" s="412"/>
      <c r="H9" s="412"/>
      <c r="I9" s="412"/>
      <c r="J9" s="412"/>
      <c r="K9" s="412"/>
      <c r="L9" s="412"/>
      <c r="M9" s="412"/>
      <c r="N9" s="412"/>
      <c r="O9" s="412"/>
      <c r="P9" s="414"/>
    </row>
    <row r="10" spans="1:16" s="1571" customFormat="1" ht="16.5" thickBot="1" x14ac:dyDescent="0.3">
      <c r="B10" s="415"/>
      <c r="C10" s="412"/>
      <c r="D10" s="2595" t="s">
        <v>2437</v>
      </c>
      <c r="E10" s="2595">
        <f>MIN(XV.b.Scenario.Gas,3)</f>
        <v>3</v>
      </c>
      <c r="F10" s="412"/>
      <c r="G10" s="412"/>
      <c r="H10" s="412"/>
      <c r="I10" s="412"/>
      <c r="J10" s="412"/>
      <c r="K10" s="412"/>
      <c r="L10" s="412"/>
      <c r="M10" s="412"/>
      <c r="N10" s="412"/>
      <c r="O10" s="412"/>
      <c r="P10" s="414"/>
    </row>
    <row r="11" spans="1:16" s="2479" customFormat="1" ht="15.75" x14ac:dyDescent="0.25">
      <c r="B11" s="415"/>
      <c r="C11" s="412"/>
      <c r="D11" s="97"/>
      <c r="E11" s="97"/>
      <c r="F11" s="412"/>
      <c r="G11" s="412"/>
      <c r="H11" s="412"/>
      <c r="I11" s="412"/>
      <c r="J11" s="412"/>
      <c r="K11" s="412"/>
      <c r="L11" s="412"/>
      <c r="M11" s="412"/>
      <c r="N11" s="412"/>
      <c r="O11" s="412"/>
      <c r="P11" s="414"/>
    </row>
    <row r="12" spans="1:16" s="2479" customFormat="1" ht="15.75" x14ac:dyDescent="0.25">
      <c r="B12" s="415"/>
      <c r="C12" s="412"/>
      <c r="D12" s="97"/>
      <c r="E12" s="97"/>
      <c r="F12" s="412"/>
      <c r="G12" s="412"/>
      <c r="H12" s="412"/>
      <c r="I12" s="412"/>
      <c r="J12" s="412"/>
      <c r="K12" s="412"/>
      <c r="L12" s="412"/>
      <c r="M12" s="412"/>
      <c r="N12" s="412"/>
      <c r="O12" s="412"/>
      <c r="P12" s="414"/>
    </row>
    <row r="13" spans="1:16" s="2479" customFormat="1" ht="15.75" x14ac:dyDescent="0.25">
      <c r="B13" s="415"/>
      <c r="C13" s="412"/>
      <c r="D13" s="97"/>
      <c r="E13" s="97"/>
      <c r="F13" s="412"/>
      <c r="G13" s="412"/>
      <c r="H13" s="412"/>
      <c r="I13" s="412"/>
      <c r="J13" s="412"/>
      <c r="K13" s="412"/>
      <c r="L13" s="412"/>
      <c r="M13" s="412"/>
      <c r="N13" s="412"/>
      <c r="O13" s="412"/>
      <c r="P13" s="414"/>
    </row>
    <row r="14" spans="1:16" s="1571" customFormat="1" x14ac:dyDescent="0.2">
      <c r="B14" s="430"/>
      <c r="C14" s="418"/>
      <c r="D14" s="418"/>
      <c r="E14" s="418"/>
      <c r="F14" s="418"/>
      <c r="G14" s="418"/>
      <c r="H14" s="418"/>
      <c r="I14" s="418"/>
      <c r="J14" s="418"/>
      <c r="K14" s="418"/>
      <c r="L14" s="418"/>
      <c r="M14" s="418"/>
      <c r="N14" s="418"/>
      <c r="O14" s="418"/>
      <c r="P14" s="419"/>
    </row>
    <row r="15" spans="1:16" s="1500" customFormat="1" x14ac:dyDescent="0.2"/>
    <row r="16" spans="1:16" s="84" customFormat="1" ht="22.5" collapsed="1" x14ac:dyDescent="0.2">
      <c r="A16" s="408"/>
      <c r="B16" s="1423" t="s">
        <v>597</v>
      </c>
      <c r="C16" s="405"/>
      <c r="D16" s="405"/>
      <c r="E16" s="405"/>
      <c r="F16" s="405"/>
      <c r="G16" s="405"/>
      <c r="H16" s="405"/>
      <c r="I16" s="405"/>
      <c r="J16" s="405"/>
      <c r="K16" s="405"/>
      <c r="L16" s="405"/>
      <c r="M16" s="405"/>
      <c r="N16" s="405"/>
      <c r="O16" s="406"/>
    </row>
    <row r="17" spans="2:15" s="1500" customFormat="1" x14ac:dyDescent="0.2">
      <c r="B17" s="1419"/>
      <c r="C17" s="1416"/>
      <c r="D17" s="1416"/>
      <c r="E17" s="1416"/>
      <c r="F17" s="1416"/>
      <c r="G17" s="1416"/>
      <c r="H17" s="1416"/>
      <c r="I17" s="1416"/>
      <c r="J17" s="1416"/>
      <c r="K17" s="1416"/>
      <c r="L17" s="1416"/>
      <c r="M17" s="1416"/>
      <c r="N17" s="1416"/>
      <c r="O17" s="1420"/>
    </row>
    <row r="18" spans="2:15" s="1571" customFormat="1" x14ac:dyDescent="0.2">
      <c r="B18" s="401"/>
      <c r="C18" s="1418" t="s">
        <v>1154</v>
      </c>
      <c r="D18" s="1416"/>
      <c r="E18" s="176"/>
      <c r="F18" s="1416"/>
      <c r="G18" s="1416"/>
      <c r="H18" s="1416"/>
      <c r="I18" s="1416"/>
      <c r="J18" s="1416"/>
      <c r="K18" s="1416"/>
      <c r="L18" s="1416"/>
      <c r="M18" s="1416"/>
      <c r="N18" s="176" t="str">
        <f>Preferences.EnergyUnits</f>
        <v>TWh</v>
      </c>
      <c r="O18" s="1420"/>
    </row>
    <row r="19" spans="2:15" s="1571" customFormat="1" ht="5.25" customHeight="1" x14ac:dyDescent="0.2">
      <c r="B19" s="401"/>
      <c r="C19" s="1416"/>
      <c r="D19" s="1416"/>
      <c r="E19" s="1416"/>
      <c r="F19" s="1416"/>
      <c r="G19" s="1416"/>
      <c r="H19" s="1416"/>
      <c r="I19" s="1416"/>
      <c r="J19" s="1416"/>
      <c r="K19" s="1416"/>
      <c r="L19" s="1416"/>
      <c r="M19" s="1416"/>
      <c r="N19" s="1416"/>
      <c r="O19" s="1420"/>
    </row>
    <row r="20" spans="2:15" s="1571" customFormat="1" ht="15.75" x14ac:dyDescent="0.25">
      <c r="B20" s="397"/>
      <c r="C20" s="98" t="s">
        <v>595</v>
      </c>
      <c r="D20" s="98" t="s">
        <v>65</v>
      </c>
      <c r="E20" s="98" t="s">
        <v>172</v>
      </c>
      <c r="F20" s="98">
        <v>2010</v>
      </c>
      <c r="G20" s="98">
        <v>2015</v>
      </c>
      <c r="H20" s="98">
        <v>2020</v>
      </c>
      <c r="I20" s="98">
        <v>2025</v>
      </c>
      <c r="J20" s="98">
        <v>2030</v>
      </c>
      <c r="K20" s="98">
        <v>2035</v>
      </c>
      <c r="L20" s="98">
        <v>2040</v>
      </c>
      <c r="M20" s="98">
        <v>2045</v>
      </c>
      <c r="N20" s="98">
        <v>2050</v>
      </c>
      <c r="O20" s="1420"/>
    </row>
    <row r="21" spans="2:15" s="1571" customFormat="1" ht="15.75" x14ac:dyDescent="0.25">
      <c r="B21" s="397"/>
      <c r="C21" s="578" t="s">
        <v>1643</v>
      </c>
      <c r="D21" s="1415"/>
      <c r="E21" s="146"/>
      <c r="F21" s="2694">
        <f t="shared" ref="F21:G23" si="0">6.17215067274*(Unit.TWh)</f>
        <v>6.17215067274</v>
      </c>
      <c r="G21" s="2694">
        <f t="shared" si="0"/>
        <v>6.17215067274</v>
      </c>
      <c r="H21" s="2694">
        <f>7.17215067274*(Unit.TWh)</f>
        <v>7.17215067274</v>
      </c>
      <c r="I21" s="2358">
        <f>184.166666666667*(Unit.TWh)</f>
        <v>184.166666666667</v>
      </c>
      <c r="J21" s="2358">
        <f>367.333333333333*(Unit.TWh)</f>
        <v>367.33333333333297</v>
      </c>
      <c r="K21" s="2358">
        <f>550.5*(Unit.TWh)</f>
        <v>550.5</v>
      </c>
      <c r="L21" s="2358">
        <f>733.666666666667*(Unit.TWh)</f>
        <v>733.66666666666697</v>
      </c>
      <c r="M21" s="2358">
        <f>916.833333333333*(Unit.TWh)</f>
        <v>916.83333333333303</v>
      </c>
      <c r="N21" s="2358">
        <f>1100*(Unit.TWh)</f>
        <v>1100</v>
      </c>
      <c r="O21" s="1420"/>
    </row>
    <row r="22" spans="2:15" s="1571" customFormat="1" ht="15.75" x14ac:dyDescent="0.25">
      <c r="B22" s="397"/>
      <c r="C22" s="578" t="s">
        <v>1645</v>
      </c>
      <c r="D22" s="1415"/>
      <c r="E22" s="1415"/>
      <c r="F22" s="2695">
        <f t="shared" si="0"/>
        <v>6.17215067274</v>
      </c>
      <c r="G22" s="2695">
        <f t="shared" si="0"/>
        <v>6.17215067274</v>
      </c>
      <c r="H22" s="2695">
        <f>7.17215067274*(Unit.TWh)</f>
        <v>7.17215067274</v>
      </c>
      <c r="I22" s="2165">
        <f>67.5*(Unit.TWh)</f>
        <v>67.5</v>
      </c>
      <c r="J22" s="2165">
        <f>134*(Unit.TWh)</f>
        <v>134</v>
      </c>
      <c r="K22" s="2165">
        <f>200.5*(Unit.TWh)</f>
        <v>200.5</v>
      </c>
      <c r="L22" s="2165">
        <f>267*(Unit.TWh)</f>
        <v>267</v>
      </c>
      <c r="M22" s="2165">
        <f>333.5*(Unit.TWh)</f>
        <v>333.5</v>
      </c>
      <c r="N22" s="2165">
        <f>400*(Unit.TWh)</f>
        <v>400</v>
      </c>
      <c r="O22" s="1420"/>
    </row>
    <row r="23" spans="2:15" s="1571" customFormat="1" ht="15.75" x14ac:dyDescent="0.25">
      <c r="B23" s="397"/>
      <c r="C23" s="1509" t="s">
        <v>1646</v>
      </c>
      <c r="D23" s="200"/>
      <c r="E23" s="200"/>
      <c r="F23" s="2359">
        <f t="shared" si="0"/>
        <v>6.17215067274</v>
      </c>
      <c r="G23" s="2359">
        <f t="shared" si="0"/>
        <v>6.17215067274</v>
      </c>
      <c r="H23" s="2359">
        <f>7.17215067274*(Unit.TWh)</f>
        <v>7.17215067274</v>
      </c>
      <c r="I23" s="2359">
        <f>17.5*(Unit.TWh)</f>
        <v>17.5</v>
      </c>
      <c r="J23" s="2359">
        <f>34*(Unit.TWh)</f>
        <v>34</v>
      </c>
      <c r="K23" s="2359">
        <f>50.5*(Unit.TWh)</f>
        <v>50.5</v>
      </c>
      <c r="L23" s="2359">
        <f>67*(Unit.TWh)</f>
        <v>67</v>
      </c>
      <c r="M23" s="2359">
        <f>83.5*(Unit.TWh)</f>
        <v>83.5</v>
      </c>
      <c r="N23" s="2359">
        <f>100*(Unit.TWh)</f>
        <v>100</v>
      </c>
      <c r="O23" s="1420"/>
    </row>
    <row r="24" spans="2:15" s="1571" customFormat="1" ht="15.75" x14ac:dyDescent="0.25">
      <c r="B24" s="397"/>
      <c r="C24" s="199" t="s">
        <v>582</v>
      </c>
      <c r="D24" s="200"/>
      <c r="E24" s="200"/>
      <c r="F24" s="2359">
        <f>(INDEX(F$21:F$23,ROUNDDOWN($E$8,0))*(1-MOD($E$8,1)))+(INDEX(F$21:F$23,ROUNDUP($E$8,0))*MOD($E$8,1))</f>
        <v>6.17215067274</v>
      </c>
      <c r="G24" s="2359">
        <f t="shared" ref="G24:N24" si="1">(INDEX(G$21:G$23,ROUNDDOWN($E$8,0))*(1-MOD($E$8,1)))+(INDEX(G$21:G$23,ROUNDUP($E$8,0))*MOD($E$8,1))</f>
        <v>6.17215067274</v>
      </c>
      <c r="H24" s="2359">
        <f t="shared" si="1"/>
        <v>7.17215067274</v>
      </c>
      <c r="I24" s="2359">
        <f t="shared" si="1"/>
        <v>17.5</v>
      </c>
      <c r="J24" s="2359">
        <f t="shared" si="1"/>
        <v>34</v>
      </c>
      <c r="K24" s="2359">
        <f t="shared" si="1"/>
        <v>50.5</v>
      </c>
      <c r="L24" s="2359">
        <f t="shared" si="1"/>
        <v>67</v>
      </c>
      <c r="M24" s="2359">
        <f t="shared" si="1"/>
        <v>83.5</v>
      </c>
      <c r="N24" s="2359">
        <f t="shared" si="1"/>
        <v>100</v>
      </c>
      <c r="O24" s="1420"/>
    </row>
    <row r="25" spans="2:15" s="1571" customFormat="1" x14ac:dyDescent="0.2">
      <c r="B25" s="1419"/>
      <c r="C25" s="1416"/>
      <c r="D25" s="1416"/>
      <c r="E25" s="1416"/>
      <c r="F25" s="1416"/>
      <c r="G25" s="1416"/>
      <c r="H25" s="1416"/>
      <c r="I25" s="1416"/>
      <c r="J25" s="1416"/>
      <c r="K25" s="1416"/>
      <c r="L25" s="1416"/>
      <c r="M25" s="1416"/>
      <c r="N25" s="1416"/>
      <c r="O25" s="1420"/>
    </row>
    <row r="26" spans="2:15" s="1571" customFormat="1" x14ac:dyDescent="0.2">
      <c r="B26" s="401"/>
      <c r="C26" s="1418" t="s">
        <v>650</v>
      </c>
      <c r="D26" s="1416"/>
      <c r="E26" s="176"/>
      <c r="F26" s="1416"/>
      <c r="G26" s="1416"/>
      <c r="H26" s="1416"/>
      <c r="I26" s="1416"/>
      <c r="J26" s="1416"/>
      <c r="K26" s="1416"/>
      <c r="L26" s="1416"/>
      <c r="M26" s="1416"/>
      <c r="N26" s="176" t="str">
        <f>Preferences.EnergyUnits</f>
        <v>TWh</v>
      </c>
      <c r="O26" s="1420"/>
    </row>
    <row r="27" spans="2:15" s="1571" customFormat="1" ht="5.25" customHeight="1" x14ac:dyDescent="0.2">
      <c r="B27" s="401"/>
      <c r="C27" s="1416"/>
      <c r="D27" s="1416"/>
      <c r="E27" s="1416"/>
      <c r="F27" s="1416"/>
      <c r="G27" s="1416"/>
      <c r="H27" s="1416"/>
      <c r="I27" s="1416"/>
      <c r="J27" s="1416"/>
      <c r="K27" s="1416"/>
      <c r="L27" s="1416"/>
      <c r="M27" s="1416"/>
      <c r="N27" s="1416"/>
      <c r="O27" s="1420"/>
    </row>
    <row r="28" spans="2:15" s="1571" customFormat="1" ht="15.75" x14ac:dyDescent="0.25">
      <c r="B28" s="397"/>
      <c r="C28" s="98" t="s">
        <v>595</v>
      </c>
      <c r="D28" s="98" t="s">
        <v>65</v>
      </c>
      <c r="E28" s="98" t="s">
        <v>172</v>
      </c>
      <c r="F28" s="218">
        <v>2010</v>
      </c>
      <c r="G28" s="217">
        <v>2015</v>
      </c>
      <c r="H28" s="217">
        <v>2020</v>
      </c>
      <c r="I28" s="217">
        <v>2025</v>
      </c>
      <c r="J28" s="217">
        <v>2030</v>
      </c>
      <c r="K28" s="217">
        <v>2035</v>
      </c>
      <c r="L28" s="217">
        <v>2040</v>
      </c>
      <c r="M28" s="217">
        <v>2045</v>
      </c>
      <c r="N28" s="217">
        <v>2050</v>
      </c>
      <c r="O28" s="1420"/>
    </row>
    <row r="29" spans="2:15" s="1571" customFormat="1" ht="15.75" x14ac:dyDescent="0.25">
      <c r="B29" s="397"/>
      <c r="C29" s="578" t="s">
        <v>1643</v>
      </c>
      <c r="D29" s="1415"/>
      <c r="E29" s="146"/>
      <c r="F29" s="2358">
        <f t="shared" ref="F29:G31" si="2">896.0434*(Unit.Mboe)</f>
        <v>1458.9378638800001</v>
      </c>
      <c r="G29" s="2358">
        <f t="shared" si="2"/>
        <v>1458.9378638800001</v>
      </c>
      <c r="H29" s="2358">
        <f>908.84402*(Unit.Mboe)</f>
        <v>1479.7798333640001</v>
      </c>
      <c r="I29" s="2358">
        <f>921.64464*(Unit.Mboe)</f>
        <v>1500.621802848</v>
      </c>
      <c r="J29" s="2358">
        <f>934.44526*(Unit.Mboe)</f>
        <v>1521.463772332</v>
      </c>
      <c r="K29" s="2358">
        <f>947.24588*(Unit.Mboe)</f>
        <v>1542.3057418160001</v>
      </c>
      <c r="L29" s="2358">
        <f>960.0465*(Unit.Mboe)</f>
        <v>1563.1477113000001</v>
      </c>
      <c r="M29" s="2358">
        <f>972.84712*(Unit.Mboe)</f>
        <v>1583.989680784</v>
      </c>
      <c r="N29" s="2358">
        <f>985.64774*(Unit.Mboe)</f>
        <v>1604.831650268</v>
      </c>
      <c r="O29" s="1420"/>
    </row>
    <row r="30" spans="2:15" s="1571" customFormat="1" ht="15.75" x14ac:dyDescent="0.25">
      <c r="B30" s="397"/>
      <c r="C30" s="578" t="s">
        <v>1645</v>
      </c>
      <c r="D30" s="1415"/>
      <c r="E30" s="1415"/>
      <c r="F30" s="2165">
        <f t="shared" si="2"/>
        <v>1458.9378638800001</v>
      </c>
      <c r="G30" s="2165">
        <f t="shared" si="2"/>
        <v>1458.9378638800001</v>
      </c>
      <c r="H30" s="2165">
        <f t="shared" ref="H30:N30" si="3">896.0434*(Unit.Mboe)</f>
        <v>1458.9378638800001</v>
      </c>
      <c r="I30" s="2165">
        <f t="shared" si="3"/>
        <v>1458.9378638800001</v>
      </c>
      <c r="J30" s="2165">
        <f t="shared" si="3"/>
        <v>1458.9378638800001</v>
      </c>
      <c r="K30" s="2165">
        <f t="shared" si="3"/>
        <v>1458.9378638800001</v>
      </c>
      <c r="L30" s="2165">
        <f t="shared" si="3"/>
        <v>1458.9378638800001</v>
      </c>
      <c r="M30" s="2165">
        <f t="shared" si="3"/>
        <v>1458.9378638800001</v>
      </c>
      <c r="N30" s="2165">
        <f t="shared" si="3"/>
        <v>1458.9378638800001</v>
      </c>
      <c r="O30" s="1420"/>
    </row>
    <row r="31" spans="2:15" s="1571" customFormat="1" ht="15.75" x14ac:dyDescent="0.25">
      <c r="B31" s="397"/>
      <c r="C31" s="1509" t="s">
        <v>1646</v>
      </c>
      <c r="D31" s="200"/>
      <c r="E31" s="200"/>
      <c r="F31" s="2359">
        <f t="shared" si="2"/>
        <v>1458.9378638800001</v>
      </c>
      <c r="G31" s="2359">
        <f t="shared" si="2"/>
        <v>1458.9378638800001</v>
      </c>
      <c r="H31" s="2359">
        <f>889.64309*(Unit.Mboe)</f>
        <v>1448.5168791380001</v>
      </c>
      <c r="I31" s="2359">
        <f>883.24278*(Unit.Mboe)</f>
        <v>1438.0958943960002</v>
      </c>
      <c r="J31" s="2359">
        <f>876.84247*(Unit.Mboe)</f>
        <v>1427.6749096540002</v>
      </c>
      <c r="K31" s="2359">
        <f>870.44216*(Unit.Mboe)</f>
        <v>1417.253924912</v>
      </c>
      <c r="L31" s="2359">
        <f>864.04185*(Unit.Mboe)</f>
        <v>1406.83294017</v>
      </c>
      <c r="M31" s="2359">
        <f>857.64154*(Unit.Mboe)</f>
        <v>1396.4119554280001</v>
      </c>
      <c r="N31" s="2359">
        <f>851.24123*(Unit.Mboe)</f>
        <v>1385.9909706860001</v>
      </c>
      <c r="O31" s="1420"/>
    </row>
    <row r="32" spans="2:15" s="1571" customFormat="1" ht="15.75" x14ac:dyDescent="0.25">
      <c r="B32" s="397"/>
      <c r="C32" s="199" t="s">
        <v>582</v>
      </c>
      <c r="D32" s="200"/>
      <c r="E32" s="200"/>
      <c r="F32" s="2359">
        <f>(INDEX(F$29:F$31,ROUNDDOWN($E$9,0))*(1-MOD($E$9,1)))+(INDEX(F$29:F$31,ROUNDUP($E$9,0))*MOD($E$9,1))</f>
        <v>1458.9378638800001</v>
      </c>
      <c r="G32" s="2359">
        <f t="shared" ref="G32:N32" si="4">(INDEX(G$29:G$31,ROUNDDOWN($E$9,0))*(1-MOD($E$9,1)))+(INDEX(G$29:G$31,ROUNDUP($E$9,0))*MOD($E$9,1))</f>
        <v>1458.9378638800001</v>
      </c>
      <c r="H32" s="2359">
        <f t="shared" si="4"/>
        <v>1448.5168791380001</v>
      </c>
      <c r="I32" s="2359">
        <f t="shared" si="4"/>
        <v>1438.0958943960002</v>
      </c>
      <c r="J32" s="2359">
        <f t="shared" si="4"/>
        <v>1427.6749096540002</v>
      </c>
      <c r="K32" s="2359">
        <f t="shared" si="4"/>
        <v>1417.253924912</v>
      </c>
      <c r="L32" s="2359">
        <f t="shared" si="4"/>
        <v>1406.83294017</v>
      </c>
      <c r="M32" s="2359">
        <f t="shared" si="4"/>
        <v>1396.4119554280001</v>
      </c>
      <c r="N32" s="2359">
        <f t="shared" si="4"/>
        <v>1385.9909706860001</v>
      </c>
      <c r="O32" s="1420"/>
    </row>
    <row r="33" spans="1:15" s="1571" customFormat="1" x14ac:dyDescent="0.2">
      <c r="B33" s="1419"/>
      <c r="C33" s="1416"/>
      <c r="D33" s="1416"/>
      <c r="E33" s="1416"/>
      <c r="F33" s="1416"/>
      <c r="G33" s="1416"/>
      <c r="H33" s="1416"/>
      <c r="I33" s="1416"/>
      <c r="J33" s="1416"/>
      <c r="K33" s="1416"/>
      <c r="L33" s="1416"/>
      <c r="M33" s="1416"/>
      <c r="N33" s="1416"/>
      <c r="O33" s="1420"/>
    </row>
    <row r="34" spans="1:15" s="1571" customFormat="1" x14ac:dyDescent="0.2">
      <c r="B34" s="401"/>
      <c r="C34" s="1418" t="s">
        <v>1644</v>
      </c>
      <c r="D34" s="1416"/>
      <c r="E34" s="176"/>
      <c r="F34" s="1416"/>
      <c r="G34" s="1416"/>
      <c r="H34" s="1416"/>
      <c r="I34" s="1416"/>
      <c r="J34" s="1416"/>
      <c r="K34" s="1416"/>
      <c r="L34" s="1416"/>
      <c r="M34" s="1416"/>
      <c r="N34" s="176" t="str">
        <f>Preferences.EnergyUnits</f>
        <v>TWh</v>
      </c>
      <c r="O34" s="1420"/>
    </row>
    <row r="35" spans="1:15" s="1571" customFormat="1" ht="5.25" customHeight="1" x14ac:dyDescent="0.2">
      <c r="B35" s="401"/>
      <c r="C35" s="1416"/>
      <c r="D35" s="1416"/>
      <c r="E35" s="1416"/>
      <c r="F35" s="1416"/>
      <c r="G35" s="1416"/>
      <c r="H35" s="1416"/>
      <c r="I35" s="1416"/>
      <c r="J35" s="1416"/>
      <c r="K35" s="1416"/>
      <c r="L35" s="1416"/>
      <c r="M35" s="1416"/>
      <c r="N35" s="1416"/>
      <c r="O35" s="1420"/>
    </row>
    <row r="36" spans="1:15" s="1571" customFormat="1" ht="15.75" x14ac:dyDescent="0.25">
      <c r="B36" s="397"/>
      <c r="C36" s="98" t="s">
        <v>595</v>
      </c>
      <c r="D36" s="98" t="s">
        <v>65</v>
      </c>
      <c r="E36" s="98" t="s">
        <v>172</v>
      </c>
      <c r="F36" s="218">
        <v>2010</v>
      </c>
      <c r="G36" s="217">
        <v>2015</v>
      </c>
      <c r="H36" s="217">
        <v>2020</v>
      </c>
      <c r="I36" s="217">
        <v>2025</v>
      </c>
      <c r="J36" s="217">
        <v>2030</v>
      </c>
      <c r="K36" s="217">
        <v>2035</v>
      </c>
      <c r="L36" s="217">
        <v>2040</v>
      </c>
      <c r="M36" s="217">
        <v>2045</v>
      </c>
      <c r="N36" s="217">
        <v>2050</v>
      </c>
      <c r="O36" s="1420"/>
    </row>
    <row r="37" spans="1:15" s="1571" customFormat="1" ht="15.75" x14ac:dyDescent="0.25">
      <c r="B37" s="397"/>
      <c r="C37" s="578" t="s">
        <v>1643</v>
      </c>
      <c r="D37" s="1415"/>
      <c r="E37" s="146"/>
      <c r="F37" s="2358">
        <f>71.758*(unit.bcm)</f>
        <v>761.432111111111</v>
      </c>
      <c r="G37" s="2358">
        <f>79.626*(unit.bcm)</f>
        <v>844.92033333333336</v>
      </c>
      <c r="H37" s="2358">
        <f>89.6794285714286*(unit.bcm)</f>
        <v>951.59838095238126</v>
      </c>
      <c r="I37" s="2358">
        <f>99.7328571428571*(unit.bcm)</f>
        <v>1058.2764285714281</v>
      </c>
      <c r="J37" s="2358">
        <f>109.786285714286*(unit.bcm)</f>
        <v>1164.9544761904792</v>
      </c>
      <c r="K37" s="2358">
        <f>119.839714285714*(unit.bcm)</f>
        <v>1271.6325238095208</v>
      </c>
      <c r="L37" s="2358">
        <f>129.893142857143*(unit.bcm)</f>
        <v>1378.310571428573</v>
      </c>
      <c r="M37" s="2358">
        <f>139.946571428571*(unit.bcm)</f>
        <v>1484.9886190476143</v>
      </c>
      <c r="N37" s="2358">
        <f>150*(unit.bcm)</f>
        <v>1591.6666666666665</v>
      </c>
      <c r="O37" s="1420"/>
    </row>
    <row r="38" spans="1:15" s="1571" customFormat="1" ht="15.75" x14ac:dyDescent="0.25">
      <c r="B38" s="397"/>
      <c r="C38" s="578" t="s">
        <v>1645</v>
      </c>
      <c r="D38" s="1415"/>
      <c r="E38" s="1415"/>
      <c r="F38" s="2165">
        <f>71.758*(unit.bcm)</f>
        <v>761.432111111111</v>
      </c>
      <c r="G38" s="2165">
        <f>79.626*(unit.bcm)</f>
        <v>844.92033333333336</v>
      </c>
      <c r="H38" s="2165">
        <f>82.5365714285714*(unit.bcm)</f>
        <v>875.80473015872985</v>
      </c>
      <c r="I38" s="2165">
        <f>85.4471428571429*(unit.bcm)</f>
        <v>906.68912698412737</v>
      </c>
      <c r="J38" s="2165">
        <f>88.3577142857143*(unit.bcm)</f>
        <v>937.57352380952386</v>
      </c>
      <c r="K38" s="2165">
        <f>91.2682857142857*(unit.bcm)</f>
        <v>968.45792063492036</v>
      </c>
      <c r="L38" s="2165">
        <f>94.1788571428572*(unit.bcm)</f>
        <v>999.34231746031799</v>
      </c>
      <c r="M38" s="2165">
        <f>97.0894285714286*(unit.bcm)</f>
        <v>1030.2267142857145</v>
      </c>
      <c r="N38" s="2165">
        <f>100*(unit.bcm)</f>
        <v>1061.1111111111111</v>
      </c>
      <c r="O38" s="1420"/>
    </row>
    <row r="39" spans="1:15" s="1571" customFormat="1" ht="15.75" x14ac:dyDescent="0.25">
      <c r="B39" s="397"/>
      <c r="C39" s="1509" t="s">
        <v>1646</v>
      </c>
      <c r="D39" s="200"/>
      <c r="E39" s="200"/>
      <c r="F39" s="2359">
        <f>71.758*(unit.bcm)</f>
        <v>761.432111111111</v>
      </c>
      <c r="G39" s="2359">
        <f>79.626*(unit.bcm)</f>
        <v>844.92033333333336</v>
      </c>
      <c r="H39" s="2359">
        <f>81.108*(unit.bcm)</f>
        <v>860.64599999999996</v>
      </c>
      <c r="I39" s="2359">
        <f>82.59*(unit.bcm)</f>
        <v>876.37166666666667</v>
      </c>
      <c r="J39" s="2359">
        <f>84.072*(unit.bcm)</f>
        <v>892.09733333333338</v>
      </c>
      <c r="K39" s="2359">
        <f>85.554*(unit.bcm)</f>
        <v>907.82299999999998</v>
      </c>
      <c r="L39" s="2359">
        <f>87.036*(unit.bcm)</f>
        <v>923.54866666666669</v>
      </c>
      <c r="M39" s="2359">
        <f>88.518*(unit.bcm)</f>
        <v>939.27433333333329</v>
      </c>
      <c r="N39" s="2359">
        <f>90*(unit.bcm)</f>
        <v>955</v>
      </c>
      <c r="O39" s="1420"/>
    </row>
    <row r="40" spans="1:15" s="1571" customFormat="1" ht="15.75" x14ac:dyDescent="0.25">
      <c r="B40" s="397"/>
      <c r="C40" s="199" t="s">
        <v>582</v>
      </c>
      <c r="D40" s="200"/>
      <c r="E40" s="200"/>
      <c r="F40" s="2359">
        <f>(INDEX(F$37:F$39,ROUNDDOWN($E$10,0))*(1-MOD($E$10,1)))+(INDEX(F$37:F$39,ROUNDUP($E$10,0))*MOD($E$10,1))</f>
        <v>761.432111111111</v>
      </c>
      <c r="G40" s="2359">
        <f t="shared" ref="G40:N40" si="5">(INDEX(G$37:G$39,ROUNDDOWN($E$10,0))*(1-MOD($E$10,1)))+(INDEX(G$37:G$39,ROUNDUP($E$10,0))*MOD($E$10,1))</f>
        <v>844.92033333333336</v>
      </c>
      <c r="H40" s="2359">
        <f t="shared" si="5"/>
        <v>860.64599999999996</v>
      </c>
      <c r="I40" s="2359">
        <f t="shared" si="5"/>
        <v>876.37166666666667</v>
      </c>
      <c r="J40" s="2359">
        <f t="shared" si="5"/>
        <v>892.09733333333338</v>
      </c>
      <c r="K40" s="2359">
        <f t="shared" si="5"/>
        <v>907.82299999999998</v>
      </c>
      <c r="L40" s="2359">
        <f t="shared" si="5"/>
        <v>923.54866666666669</v>
      </c>
      <c r="M40" s="2359">
        <f t="shared" si="5"/>
        <v>939.27433333333329</v>
      </c>
      <c r="N40" s="2359">
        <f t="shared" si="5"/>
        <v>955</v>
      </c>
      <c r="O40" s="1420"/>
    </row>
    <row r="41" spans="1:15" s="1571" customFormat="1" x14ac:dyDescent="0.2">
      <c r="B41" s="1419"/>
      <c r="C41" s="1416"/>
      <c r="D41" s="1416"/>
      <c r="E41" s="1416"/>
      <c r="F41" s="1416"/>
      <c r="G41" s="1416"/>
      <c r="H41" s="1416"/>
      <c r="I41" s="1416"/>
      <c r="J41" s="1416"/>
      <c r="K41" s="1416"/>
      <c r="L41" s="1416"/>
      <c r="M41" s="1416"/>
      <c r="N41" s="1416"/>
      <c r="O41" s="1420"/>
    </row>
    <row r="42" spans="1:15" s="1500" customFormat="1" x14ac:dyDescent="0.2">
      <c r="B42" s="401"/>
      <c r="C42" s="464"/>
      <c r="D42" s="177"/>
      <c r="E42" s="1416"/>
      <c r="F42" s="1416"/>
      <c r="G42" s="1416"/>
      <c r="H42" s="1416"/>
      <c r="I42" s="1416"/>
      <c r="J42" s="1416"/>
      <c r="K42" s="1416"/>
      <c r="L42" s="1416"/>
      <c r="M42" s="1416"/>
      <c r="N42" s="1416"/>
      <c r="O42" s="1420"/>
    </row>
    <row r="43" spans="1:15" s="1500" customFormat="1" x14ac:dyDescent="0.2"/>
    <row r="44" spans="1:15" s="84" customFormat="1" ht="22.5" x14ac:dyDescent="0.2">
      <c r="A44" s="408"/>
      <c r="B44" s="1423" t="s">
        <v>332</v>
      </c>
      <c r="C44" s="405"/>
      <c r="D44" s="405"/>
      <c r="E44" s="405"/>
      <c r="F44" s="405"/>
      <c r="G44" s="405"/>
      <c r="H44" s="405"/>
      <c r="I44" s="405"/>
      <c r="J44" s="405"/>
      <c r="K44" s="405"/>
      <c r="L44" s="405"/>
      <c r="M44" s="405"/>
      <c r="N44" s="405"/>
      <c r="O44" s="406"/>
    </row>
    <row r="45" spans="1:15" s="1571" customFormat="1" x14ac:dyDescent="0.2">
      <c r="B45" s="1419"/>
      <c r="C45" s="1416"/>
      <c r="D45" s="1416"/>
      <c r="E45" s="1416"/>
      <c r="F45" s="1416"/>
      <c r="G45" s="1416"/>
      <c r="H45" s="1416"/>
      <c r="I45" s="1416"/>
      <c r="J45" s="1416"/>
      <c r="K45" s="1416"/>
      <c r="L45" s="1416"/>
      <c r="M45" s="1416"/>
      <c r="N45" s="1416"/>
      <c r="O45" s="1420"/>
    </row>
    <row r="46" spans="1:15" s="1571" customFormat="1" x14ac:dyDescent="0.2">
      <c r="B46" s="1419"/>
      <c r="C46" s="175" t="s">
        <v>106</v>
      </c>
      <c r="D46" s="173"/>
      <c r="E46" s="176"/>
      <c r="F46" s="173"/>
      <c r="G46" s="173"/>
      <c r="H46" s="173"/>
      <c r="I46" s="173"/>
      <c r="J46" s="173"/>
      <c r="K46" s="173"/>
      <c r="L46" s="173"/>
      <c r="M46" s="173"/>
      <c r="N46" s="176" t="str">
        <f>Preferences.EnergyUnits</f>
        <v>TWh</v>
      </c>
      <c r="O46" s="1420"/>
    </row>
    <row r="47" spans="1:15" s="1571" customFormat="1" ht="5.25" customHeight="1" x14ac:dyDescent="0.2">
      <c r="B47" s="1419"/>
      <c r="C47" s="173"/>
      <c r="D47" s="173"/>
      <c r="E47" s="173"/>
      <c r="F47" s="173"/>
      <c r="G47" s="173"/>
      <c r="H47" s="173"/>
      <c r="I47" s="173"/>
      <c r="J47" s="173"/>
      <c r="K47" s="173"/>
      <c r="L47" s="173"/>
      <c r="M47" s="173"/>
      <c r="N47" s="173"/>
      <c r="O47" s="1420"/>
    </row>
    <row r="48" spans="1:15" s="1571" customFormat="1" ht="15.75" x14ac:dyDescent="0.25">
      <c r="B48" s="397"/>
      <c r="C48" s="98" t="s">
        <v>64</v>
      </c>
      <c r="D48" s="98" t="s">
        <v>150</v>
      </c>
      <c r="E48" s="98" t="s">
        <v>172</v>
      </c>
      <c r="F48" s="218">
        <v>2010</v>
      </c>
      <c r="G48" s="217">
        <v>2015</v>
      </c>
      <c r="H48" s="217">
        <v>2020</v>
      </c>
      <c r="I48" s="217">
        <v>2025</v>
      </c>
      <c r="J48" s="217">
        <v>2030</v>
      </c>
      <c r="K48" s="217">
        <v>2035</v>
      </c>
      <c r="L48" s="217">
        <v>2040</v>
      </c>
      <c r="M48" s="217">
        <v>2045</v>
      </c>
      <c r="N48" s="217">
        <v>2050</v>
      </c>
      <c r="O48" s="1420"/>
    </row>
    <row r="49" spans="1:15" s="1571" customFormat="1" ht="15.75" x14ac:dyDescent="0.25">
      <c r="B49" s="397"/>
      <c r="C49" s="344" t="s">
        <v>51</v>
      </c>
      <c r="D49" s="344" t="str">
        <f>INDEX(Vectors[Description], MATCH($C49, Vectors[Code], 0))</f>
        <v>Coal and fossil waste</v>
      </c>
      <c r="E49" s="344" t="s">
        <v>93</v>
      </c>
      <c r="F49" s="351">
        <f t="shared" ref="F49:N49" si="6">F24</f>
        <v>6.17215067274</v>
      </c>
      <c r="G49" s="351">
        <f t="shared" si="6"/>
        <v>6.17215067274</v>
      </c>
      <c r="H49" s="351">
        <f t="shared" si="6"/>
        <v>7.17215067274</v>
      </c>
      <c r="I49" s="351">
        <f t="shared" si="6"/>
        <v>17.5</v>
      </c>
      <c r="J49" s="351">
        <f t="shared" si="6"/>
        <v>34</v>
      </c>
      <c r="K49" s="351">
        <f t="shared" si="6"/>
        <v>50.5</v>
      </c>
      <c r="L49" s="351">
        <f t="shared" si="6"/>
        <v>67</v>
      </c>
      <c r="M49" s="351">
        <f t="shared" si="6"/>
        <v>83.5</v>
      </c>
      <c r="N49" s="351">
        <f t="shared" si="6"/>
        <v>100</v>
      </c>
      <c r="O49" s="1420"/>
    </row>
    <row r="50" spans="1:15" s="1571" customFormat="1" ht="15.75" x14ac:dyDescent="0.25">
      <c r="B50" s="397"/>
      <c r="C50" s="344" t="s">
        <v>52</v>
      </c>
      <c r="D50" s="344" t="str">
        <f>INDEX(Vectors[Description], MATCH($C50, Vectors[Code], 0))</f>
        <v>Oil and petroleum products</v>
      </c>
      <c r="E50" s="344" t="s">
        <v>93</v>
      </c>
      <c r="F50" s="351">
        <f t="shared" ref="F50:N50" si="7">F32</f>
        <v>1458.9378638800001</v>
      </c>
      <c r="G50" s="351">
        <f t="shared" si="7"/>
        <v>1458.9378638800001</v>
      </c>
      <c r="H50" s="351">
        <f t="shared" si="7"/>
        <v>1448.5168791380001</v>
      </c>
      <c r="I50" s="351">
        <f t="shared" si="7"/>
        <v>1438.0958943960002</v>
      </c>
      <c r="J50" s="351">
        <f t="shared" si="7"/>
        <v>1427.6749096540002</v>
      </c>
      <c r="K50" s="351">
        <f t="shared" si="7"/>
        <v>1417.253924912</v>
      </c>
      <c r="L50" s="351">
        <f t="shared" si="7"/>
        <v>1406.83294017</v>
      </c>
      <c r="M50" s="351">
        <f t="shared" si="7"/>
        <v>1396.4119554280001</v>
      </c>
      <c r="N50" s="351">
        <f t="shared" si="7"/>
        <v>1385.9909706860001</v>
      </c>
      <c r="O50" s="1420"/>
    </row>
    <row r="51" spans="1:15" s="1571" customFormat="1" ht="15.75" x14ac:dyDescent="0.25">
      <c r="B51" s="397"/>
      <c r="C51" s="341" t="s">
        <v>53</v>
      </c>
      <c r="D51" s="342" t="str">
        <f>INDEX(Vectors[Description], MATCH($C51, Vectors[Code], 0))</f>
        <v>Natural gas</v>
      </c>
      <c r="E51" s="342" t="s">
        <v>93</v>
      </c>
      <c r="F51" s="1178">
        <f t="shared" ref="F51:N51" si="8">F40</f>
        <v>761.432111111111</v>
      </c>
      <c r="G51" s="1178">
        <f t="shared" si="8"/>
        <v>844.92033333333336</v>
      </c>
      <c r="H51" s="1178">
        <f t="shared" si="8"/>
        <v>860.64599999999996</v>
      </c>
      <c r="I51" s="1178">
        <f t="shared" si="8"/>
        <v>876.37166666666667</v>
      </c>
      <c r="J51" s="1178">
        <f t="shared" si="8"/>
        <v>892.09733333333338</v>
      </c>
      <c r="K51" s="1178">
        <f t="shared" si="8"/>
        <v>907.82299999999998</v>
      </c>
      <c r="L51" s="1178">
        <f t="shared" si="8"/>
        <v>923.54866666666669</v>
      </c>
      <c r="M51" s="1178">
        <f t="shared" si="8"/>
        <v>939.27433333333329</v>
      </c>
      <c r="N51" s="1178">
        <f t="shared" si="8"/>
        <v>955</v>
      </c>
      <c r="O51" s="1420"/>
    </row>
    <row r="52" spans="1:15" s="1571" customFormat="1" ht="15.75" x14ac:dyDescent="0.25">
      <c r="B52" s="397"/>
      <c r="C52" s="107"/>
      <c r="D52" s="107"/>
      <c r="E52" s="107"/>
      <c r="F52" s="188"/>
      <c r="G52" s="188"/>
      <c r="H52" s="188"/>
      <c r="I52" s="188"/>
      <c r="J52" s="188"/>
      <c r="K52" s="188"/>
      <c r="L52" s="188"/>
      <c r="M52" s="188"/>
      <c r="N52" s="188"/>
      <c r="O52" s="1420"/>
    </row>
    <row r="54" spans="1:15" s="84" customFormat="1" ht="22.5" x14ac:dyDescent="0.2">
      <c r="A54" s="408"/>
      <c r="B54" s="472" t="s">
        <v>315</v>
      </c>
      <c r="C54" s="405"/>
      <c r="D54" s="405"/>
      <c r="E54" s="405"/>
      <c r="F54" s="405"/>
      <c r="G54" s="405"/>
      <c r="H54" s="405"/>
      <c r="I54" s="405"/>
      <c r="J54" s="405"/>
      <c r="K54" s="405"/>
      <c r="L54" s="405"/>
      <c r="M54" s="405"/>
      <c r="N54" s="405"/>
      <c r="O54" s="406"/>
    </row>
    <row r="55" spans="1:15" x14ac:dyDescent="0.2">
      <c r="B55" s="395"/>
      <c r="C55" s="173"/>
      <c r="D55" s="173"/>
      <c r="E55" s="173"/>
      <c r="F55" s="173"/>
      <c r="G55" s="173"/>
      <c r="H55" s="173"/>
      <c r="I55" s="173"/>
      <c r="J55" s="173"/>
      <c r="K55" s="173"/>
      <c r="L55" s="173"/>
      <c r="M55" s="173"/>
      <c r="N55" s="173"/>
      <c r="O55" s="396"/>
    </row>
    <row r="56" spans="1:15" ht="15.75" x14ac:dyDescent="0.25">
      <c r="B56" s="397"/>
      <c r="C56" s="175" t="s">
        <v>422</v>
      </c>
      <c r="D56" s="173"/>
      <c r="E56" s="176"/>
      <c r="F56" s="173"/>
      <c r="G56" s="173"/>
      <c r="H56" s="173"/>
      <c r="I56" s="173"/>
      <c r="J56" s="173"/>
      <c r="K56" s="173"/>
      <c r="L56" s="173"/>
      <c r="M56" s="173"/>
      <c r="N56" s="176" t="s">
        <v>788</v>
      </c>
      <c r="O56" s="396"/>
    </row>
    <row r="57" spans="1:15" ht="5.25" customHeight="1" x14ac:dyDescent="0.25">
      <c r="B57" s="397"/>
      <c r="C57" s="173"/>
      <c r="D57" s="173"/>
      <c r="E57" s="173"/>
      <c r="F57" s="173"/>
      <c r="G57" s="173"/>
      <c r="H57" s="173"/>
      <c r="I57" s="173"/>
      <c r="J57" s="173"/>
      <c r="K57" s="173"/>
      <c r="L57" s="173"/>
      <c r="M57" s="173"/>
      <c r="N57" s="173"/>
      <c r="O57" s="396"/>
    </row>
    <row r="58" spans="1:15" ht="15.75" x14ac:dyDescent="0.25">
      <c r="B58" s="397"/>
      <c r="C58" s="98" t="s">
        <v>64</v>
      </c>
      <c r="D58" s="98" t="s">
        <v>150</v>
      </c>
      <c r="E58" s="98" t="s">
        <v>172</v>
      </c>
      <c r="F58" s="218">
        <v>2010</v>
      </c>
      <c r="G58" s="217">
        <v>2015</v>
      </c>
      <c r="H58" s="217">
        <v>2020</v>
      </c>
      <c r="I58" s="217">
        <v>2025</v>
      </c>
      <c r="J58" s="217">
        <v>2030</v>
      </c>
      <c r="K58" s="217">
        <v>2035</v>
      </c>
      <c r="L58" s="217">
        <v>2040</v>
      </c>
      <c r="M58" s="217">
        <v>2045</v>
      </c>
      <c r="N58" s="217">
        <v>2050</v>
      </c>
      <c r="O58" s="396"/>
    </row>
    <row r="59" spans="1:15" ht="15.75" x14ac:dyDescent="0.25">
      <c r="B59" s="397"/>
      <c r="C59" s="344" t="s">
        <v>34</v>
      </c>
      <c r="D59" s="344" t="str">
        <f>INDEX(Vectors[Description], MATCH($C59, Vectors[Code], 0))</f>
        <v>Electricity (delivered to end user)</v>
      </c>
      <c r="E59" s="344" t="s">
        <v>101</v>
      </c>
      <c r="F59" s="352">
        <v>7.9024278455408128E-3</v>
      </c>
      <c r="G59" s="346">
        <v>7.9024278455408128E-3</v>
      </c>
      <c r="H59" s="346">
        <v>7.9024278455408128E-3</v>
      </c>
      <c r="I59" s="346">
        <v>7.9024278455408128E-3</v>
      </c>
      <c r="J59" s="346">
        <v>7.9024278455408128E-3</v>
      </c>
      <c r="K59" s="346">
        <v>7.9024278455408128E-3</v>
      </c>
      <c r="L59" s="346">
        <v>7.9024278455408128E-3</v>
      </c>
      <c r="M59" s="346">
        <v>7.9024278455408128E-3</v>
      </c>
      <c r="N59" s="346">
        <v>7.9024278455408128E-3</v>
      </c>
      <c r="O59" s="396"/>
    </row>
    <row r="60" spans="1:15" ht="15.75" x14ac:dyDescent="0.25">
      <c r="B60" s="397"/>
      <c r="C60" s="145" t="s">
        <v>36</v>
      </c>
      <c r="D60" s="344" t="str">
        <f>INDEX(Vectors[Description], MATCH($C60, Vectors[Code], 0))</f>
        <v>Solid hydrocarbons</v>
      </c>
      <c r="E60" s="344" t="s">
        <v>101</v>
      </c>
      <c r="F60" s="352">
        <v>3.5927666752850617E-4</v>
      </c>
      <c r="G60" s="346">
        <v>3.5927666752850617E-4</v>
      </c>
      <c r="H60" s="346">
        <v>3.5927666752850617E-4</v>
      </c>
      <c r="I60" s="346">
        <v>3.5927666752850617E-4</v>
      </c>
      <c r="J60" s="346">
        <v>3.5927666752850617E-4</v>
      </c>
      <c r="K60" s="346">
        <v>3.5927666752850617E-4</v>
      </c>
      <c r="L60" s="346">
        <v>3.5927666752850617E-4</v>
      </c>
      <c r="M60" s="346">
        <v>3.5927666752850617E-4</v>
      </c>
      <c r="N60" s="346">
        <v>3.5927666752850617E-4</v>
      </c>
      <c r="O60" s="396"/>
    </row>
    <row r="61" spans="1:15" ht="15.75" x14ac:dyDescent="0.25">
      <c r="B61" s="397"/>
      <c r="C61" s="341" t="s">
        <v>39</v>
      </c>
      <c r="D61" s="342" t="str">
        <f>INDEX(Vectors[Description], MATCH($C61, Vectors[Code], 0))</f>
        <v>Gaseous hydrocarbons</v>
      </c>
      <c r="E61" s="342" t="s">
        <v>101</v>
      </c>
      <c r="F61" s="353">
        <v>7.3153653205117707E-4</v>
      </c>
      <c r="G61" s="110">
        <v>7.3153653205117707E-4</v>
      </c>
      <c r="H61" s="110">
        <v>7.3153653205117707E-4</v>
      </c>
      <c r="I61" s="110">
        <v>7.3153653205117707E-4</v>
      </c>
      <c r="J61" s="110">
        <v>7.3153653205117707E-4</v>
      </c>
      <c r="K61" s="110">
        <v>7.3153653205117707E-4</v>
      </c>
      <c r="L61" s="110">
        <v>7.3153653205117707E-4</v>
      </c>
      <c r="M61" s="110">
        <v>7.3153653205117707E-4</v>
      </c>
      <c r="N61" s="110">
        <v>7.3153653205117707E-4</v>
      </c>
      <c r="O61" s="396"/>
    </row>
    <row r="62" spans="1:15" x14ac:dyDescent="0.2">
      <c r="B62" s="401"/>
      <c r="C62" s="144"/>
      <c r="D62" s="145"/>
      <c r="E62" s="145"/>
      <c r="F62" s="340"/>
      <c r="G62" s="213"/>
      <c r="H62" s="213"/>
      <c r="I62" s="213"/>
      <c r="J62" s="213"/>
      <c r="K62" s="213"/>
      <c r="L62" s="213"/>
      <c r="M62" s="213"/>
      <c r="N62" s="213"/>
      <c r="O62" s="396"/>
    </row>
    <row r="63" spans="1:15" x14ac:dyDescent="0.2">
      <c r="B63" s="401"/>
      <c r="C63" s="175" t="s">
        <v>420</v>
      </c>
      <c r="D63" s="173"/>
      <c r="E63" s="176"/>
      <c r="F63" s="173"/>
      <c r="G63" s="173"/>
      <c r="H63" s="173"/>
      <c r="I63" s="173"/>
      <c r="J63" s="173"/>
      <c r="K63" s="173"/>
      <c r="L63" s="173"/>
      <c r="M63" s="173"/>
      <c r="N63" s="176" t="s">
        <v>788</v>
      </c>
      <c r="O63" s="396"/>
    </row>
    <row r="64" spans="1:15" ht="5.25" customHeight="1" x14ac:dyDescent="0.2">
      <c r="B64" s="401"/>
      <c r="C64" s="173"/>
      <c r="D64" s="173"/>
      <c r="E64" s="173"/>
      <c r="F64" s="173"/>
      <c r="G64" s="173"/>
      <c r="H64" s="173"/>
      <c r="I64" s="173"/>
      <c r="J64" s="173"/>
      <c r="K64" s="173"/>
      <c r="L64" s="173"/>
      <c r="M64" s="173"/>
      <c r="N64" s="173"/>
      <c r="O64" s="396"/>
    </row>
    <row r="65" spans="2:16" ht="15.75" x14ac:dyDescent="0.25">
      <c r="B65" s="397"/>
      <c r="C65" s="98" t="s">
        <v>64</v>
      </c>
      <c r="D65" s="98" t="s">
        <v>150</v>
      </c>
      <c r="E65" s="98" t="s">
        <v>172</v>
      </c>
      <c r="F65" s="104" t="s">
        <v>241</v>
      </c>
      <c r="G65" s="103" t="s">
        <v>268</v>
      </c>
      <c r="H65" s="103" t="s">
        <v>269</v>
      </c>
      <c r="I65" s="103" t="s">
        <v>270</v>
      </c>
      <c r="J65" s="103" t="s">
        <v>271</v>
      </c>
      <c r="K65" s="103" t="s">
        <v>272</v>
      </c>
      <c r="L65" s="103" t="s">
        <v>273</v>
      </c>
      <c r="M65" s="103" t="s">
        <v>274</v>
      </c>
      <c r="N65" s="103" t="s">
        <v>275</v>
      </c>
      <c r="O65" s="396"/>
    </row>
    <row r="66" spans="2:16" ht="15.75" x14ac:dyDescent="0.25">
      <c r="B66" s="397"/>
      <c r="C66" s="344" t="s">
        <v>34</v>
      </c>
      <c r="D66" s="344" t="str">
        <f>INDEX(Vectors[Description], MATCH($C66, Vectors[Code], 0))</f>
        <v>Electricity (delivered to end user)</v>
      </c>
      <c r="E66" s="344" t="s">
        <v>100</v>
      </c>
      <c r="F66" s="352">
        <v>5.7422811010645301E-4</v>
      </c>
      <c r="G66" s="346">
        <v>5.7422811010645301E-4</v>
      </c>
      <c r="H66" s="346">
        <v>5.7422811010645301E-4</v>
      </c>
      <c r="I66" s="346">
        <v>5.7422811010645301E-4</v>
      </c>
      <c r="J66" s="346">
        <v>5.7422811010645301E-4</v>
      </c>
      <c r="K66" s="346">
        <v>5.7422811010645301E-4</v>
      </c>
      <c r="L66" s="346">
        <v>5.7422811010645301E-4</v>
      </c>
      <c r="M66" s="346">
        <v>5.7422811010645301E-4</v>
      </c>
      <c r="N66" s="346">
        <v>5.7422811010645301E-4</v>
      </c>
      <c r="O66" s="396"/>
    </row>
    <row r="67" spans="2:16" ht="15.75" x14ac:dyDescent="0.25">
      <c r="B67" s="397"/>
      <c r="C67" s="341" t="s">
        <v>39</v>
      </c>
      <c r="D67" s="342" t="str">
        <f>INDEX(Vectors[Description], MATCH($C67, Vectors[Code], 0))</f>
        <v>Gaseous hydrocarbons</v>
      </c>
      <c r="E67" s="342" t="s">
        <v>100</v>
      </c>
      <c r="F67" s="353">
        <v>0.24299999999999999</v>
      </c>
      <c r="G67" s="110">
        <v>0.21887499999999999</v>
      </c>
      <c r="H67" s="110">
        <v>0.19474999999999998</v>
      </c>
      <c r="I67" s="110">
        <v>0.17062499999999997</v>
      </c>
      <c r="J67" s="110">
        <v>0.14649999999999996</v>
      </c>
      <c r="K67" s="110">
        <v>0.12237499999999996</v>
      </c>
      <c r="L67" s="110">
        <v>9.8249999999999948E-2</v>
      </c>
      <c r="M67" s="110">
        <v>7.4124999999999941E-2</v>
      </c>
      <c r="N67" s="110">
        <v>0.05</v>
      </c>
      <c r="O67" s="396"/>
    </row>
    <row r="68" spans="2:16" ht="15.75" x14ac:dyDescent="0.25">
      <c r="B68" s="397"/>
      <c r="C68" s="144"/>
      <c r="D68" s="145"/>
      <c r="E68" s="145"/>
      <c r="F68" s="213"/>
      <c r="G68" s="340"/>
      <c r="H68" s="213"/>
      <c r="I68" s="213"/>
      <c r="J68" s="213"/>
      <c r="K68" s="213"/>
      <c r="L68" s="213"/>
      <c r="M68" s="213"/>
      <c r="N68" s="213"/>
      <c r="O68" s="213"/>
      <c r="P68" s="396"/>
    </row>
    <row r="69" spans="2:16" ht="15.75" x14ac:dyDescent="0.25">
      <c r="B69" s="397"/>
      <c r="C69" s="175" t="s">
        <v>540</v>
      </c>
      <c r="D69" s="173"/>
      <c r="E69" s="176"/>
      <c r="F69" s="176" t="s">
        <v>542</v>
      </c>
      <c r="G69" s="340"/>
      <c r="H69" s="213"/>
      <c r="I69" s="213"/>
      <c r="J69" s="213"/>
      <c r="K69" s="213"/>
      <c r="L69" s="213"/>
      <c r="M69" s="213"/>
      <c r="N69" s="213"/>
      <c r="O69" s="213"/>
      <c r="P69" s="396"/>
    </row>
    <row r="70" spans="2:16" ht="5.25" customHeight="1" x14ac:dyDescent="0.25">
      <c r="B70" s="397"/>
      <c r="C70" s="173"/>
      <c r="D70" s="173"/>
      <c r="E70" s="173"/>
      <c r="F70" s="173"/>
      <c r="G70" s="340"/>
      <c r="H70" s="213"/>
      <c r="I70" s="213"/>
      <c r="J70" s="213"/>
      <c r="K70" s="213"/>
      <c r="L70" s="213"/>
      <c r="M70" s="213"/>
      <c r="N70" s="213"/>
      <c r="O70" s="213"/>
      <c r="P70" s="396"/>
    </row>
    <row r="71" spans="2:16" ht="15.75" x14ac:dyDescent="0.25">
      <c r="B71" s="397"/>
      <c r="C71" s="98" t="s">
        <v>64</v>
      </c>
      <c r="D71" s="98" t="s">
        <v>150</v>
      </c>
      <c r="E71" s="98" t="s">
        <v>172</v>
      </c>
      <c r="F71" s="217">
        <v>2010</v>
      </c>
      <c r="G71" s="340"/>
      <c r="H71" s="213"/>
      <c r="I71" s="213"/>
      <c r="J71" s="213"/>
      <c r="K71" s="213"/>
      <c r="L71" s="213"/>
      <c r="M71" s="213"/>
      <c r="N71" s="213"/>
      <c r="O71" s="213"/>
      <c r="P71" s="396"/>
    </row>
    <row r="72" spans="2:16" ht="15.75" x14ac:dyDescent="0.25">
      <c r="B72" s="397"/>
      <c r="C72" s="145" t="s">
        <v>520</v>
      </c>
      <c r="D72" s="145" t="s">
        <v>541</v>
      </c>
      <c r="E72" s="145" t="s">
        <v>171</v>
      </c>
      <c r="F72" s="2598">
        <v>4.0000000000000002E-4</v>
      </c>
      <c r="G72" s="340"/>
      <c r="H72" s="160"/>
      <c r="I72" s="213"/>
      <c r="J72" s="213"/>
      <c r="K72" s="213"/>
      <c r="L72" s="213"/>
      <c r="M72" s="213"/>
      <c r="N72" s="213"/>
      <c r="O72" s="213"/>
      <c r="P72" s="396"/>
    </row>
    <row r="73" spans="2:16" ht="15.75" x14ac:dyDescent="0.25">
      <c r="B73" s="397"/>
      <c r="C73" s="101" t="s">
        <v>544</v>
      </c>
      <c r="D73" s="102" t="s">
        <v>2431</v>
      </c>
      <c r="E73" s="102" t="s">
        <v>171</v>
      </c>
      <c r="F73" s="1017">
        <v>6.66</v>
      </c>
      <c r="G73" s="2597">
        <f>(F29+F37)*0.003</f>
        <v>6.6611099249733332</v>
      </c>
      <c r="H73" s="213"/>
      <c r="I73" s="213"/>
      <c r="J73" s="213"/>
      <c r="K73" s="213"/>
      <c r="L73" s="213"/>
      <c r="M73" s="213"/>
      <c r="N73" s="213"/>
      <c r="O73" s="213"/>
      <c r="P73" s="396"/>
    </row>
    <row r="74" spans="2:16" ht="15.75" x14ac:dyDescent="0.25">
      <c r="B74" s="397"/>
      <c r="C74" s="144"/>
      <c r="D74" s="145"/>
      <c r="E74" s="145"/>
      <c r="F74" s="213"/>
      <c r="G74" s="340"/>
      <c r="H74" s="213"/>
      <c r="I74" s="213"/>
      <c r="J74" s="213"/>
      <c r="K74" s="213"/>
      <c r="L74" s="213"/>
      <c r="M74" s="213"/>
      <c r="N74" s="213"/>
      <c r="O74" s="213"/>
      <c r="P74" s="396"/>
    </row>
    <row r="75" spans="2:16" s="1616" customFormat="1" x14ac:dyDescent="0.2">
      <c r="B75" s="1419"/>
      <c r="C75" s="1417" t="s">
        <v>1796</v>
      </c>
      <c r="D75" s="1416"/>
      <c r="E75" s="1416"/>
      <c r="F75" s="1416"/>
      <c r="G75" s="1416"/>
      <c r="H75" s="1416"/>
      <c r="I75" s="1416"/>
      <c r="J75" s="1416"/>
      <c r="K75" s="1416"/>
      <c r="L75" s="1416"/>
      <c r="M75" s="1416"/>
      <c r="N75" s="1416"/>
      <c r="O75" s="1416" t="str">
        <f>"kt per "&amp;Preferences.EnergyUnits</f>
        <v>kt per TWh</v>
      </c>
      <c r="P75" s="1420"/>
    </row>
    <row r="76" spans="2:16" s="1616" customFormat="1" ht="5.25" customHeight="1" x14ac:dyDescent="0.2">
      <c r="B76" s="1419"/>
      <c r="C76" s="1416"/>
      <c r="D76" s="1416"/>
      <c r="E76" s="713"/>
      <c r="F76" s="712"/>
      <c r="G76" s="1416"/>
      <c r="H76" s="1416"/>
      <c r="I76" s="1416"/>
      <c r="J76" s="1416"/>
      <c r="K76" s="1416"/>
      <c r="L76" s="1416"/>
      <c r="M76" s="1416"/>
      <c r="N76" s="1416"/>
      <c r="O76" s="1416"/>
      <c r="P76" s="1420"/>
    </row>
    <row r="77" spans="2:16" s="1616" customFormat="1" x14ac:dyDescent="0.2">
      <c r="B77" s="1419"/>
      <c r="C77" s="98" t="s">
        <v>69</v>
      </c>
      <c r="D77" s="98" t="s">
        <v>592</v>
      </c>
      <c r="E77" s="98" t="s">
        <v>343</v>
      </c>
      <c r="F77" s="104" t="s">
        <v>241</v>
      </c>
      <c r="G77" s="103" t="s">
        <v>268</v>
      </c>
      <c r="H77" s="103" t="s">
        <v>269</v>
      </c>
      <c r="I77" s="103" t="s">
        <v>270</v>
      </c>
      <c r="J77" s="103" t="s">
        <v>271</v>
      </c>
      <c r="K77" s="103" t="s">
        <v>272</v>
      </c>
      <c r="L77" s="103" t="s">
        <v>273</v>
      </c>
      <c r="M77" s="103" t="s">
        <v>274</v>
      </c>
      <c r="N77" s="103" t="s">
        <v>275</v>
      </c>
      <c r="O77" s="1420"/>
    </row>
    <row r="78" spans="2:16" s="1616" customFormat="1" x14ac:dyDescent="0.2">
      <c r="B78" s="1419"/>
      <c r="C78" s="344" t="s">
        <v>415</v>
      </c>
      <c r="D78" s="344" t="s">
        <v>416</v>
      </c>
      <c r="E78" s="344" t="s">
        <v>49</v>
      </c>
      <c r="F78" s="168">
        <f>0.380887372013651*(1/Unit.TWh)</f>
        <v>0.38088737201365103</v>
      </c>
      <c r="G78" s="351">
        <f t="shared" ref="G78:N78" si="9">0.380887372013652*(1/Unit.TWh)</f>
        <v>0.38088737201365203</v>
      </c>
      <c r="H78" s="351">
        <f t="shared" si="9"/>
        <v>0.38088737201365203</v>
      </c>
      <c r="I78" s="351">
        <f t="shared" si="9"/>
        <v>0.38088737201365203</v>
      </c>
      <c r="J78" s="351">
        <f t="shared" si="9"/>
        <v>0.38088737201365203</v>
      </c>
      <c r="K78" s="351">
        <f t="shared" si="9"/>
        <v>0.38088737201365203</v>
      </c>
      <c r="L78" s="351">
        <f t="shared" si="9"/>
        <v>0.38088737201365203</v>
      </c>
      <c r="M78" s="351">
        <f t="shared" si="9"/>
        <v>0.38088737201365203</v>
      </c>
      <c r="N78" s="351">
        <f t="shared" si="9"/>
        <v>0.38088737201365203</v>
      </c>
      <c r="O78" s="1420"/>
    </row>
    <row r="79" spans="2:16" s="1616" customFormat="1" x14ac:dyDescent="0.2">
      <c r="B79" s="1419"/>
      <c r="C79" s="341" t="s">
        <v>415</v>
      </c>
      <c r="D79" s="342" t="s">
        <v>416</v>
      </c>
      <c r="E79" s="342" t="s">
        <v>197</v>
      </c>
      <c r="F79" s="2137">
        <f>0.00368459335205517*(1/Unit.TWh)</f>
        <v>3.6845933520551701E-3</v>
      </c>
      <c r="G79" s="113">
        <f>0.00475052581508411*(1/Unit.TWh)</f>
        <v>4.7505258150841098E-3</v>
      </c>
      <c r="H79" s="113">
        <f>0.00475739707736146*(1/Unit.TWh)</f>
        <v>4.7573970773614601E-3</v>
      </c>
      <c r="I79" s="113">
        <f>0.00486863881812574*(1/Unit.TWh)</f>
        <v>4.8686388181257397E-3</v>
      </c>
      <c r="J79" s="113">
        <f>0.00500395493366145*(1/Unit.TWh)</f>
        <v>5.0039549336614499E-3</v>
      </c>
      <c r="K79" s="113">
        <f>0.00500395493366145*(1/Unit.TWh)</f>
        <v>5.0039549336614499E-3</v>
      </c>
      <c r="L79" s="113">
        <f>0.00500395493366145*(1/Unit.TWh)</f>
        <v>5.0039549336614499E-3</v>
      </c>
      <c r="M79" s="113">
        <f>0.00500395493366145*(1/Unit.TWh)</f>
        <v>5.0039549336614499E-3</v>
      </c>
      <c r="N79" s="113">
        <f>0.00500395493366145*(1/Unit.TWh)</f>
        <v>5.0039549336614499E-3</v>
      </c>
      <c r="O79" s="1420"/>
    </row>
    <row r="80" spans="2:16" s="1616" customFormat="1" x14ac:dyDescent="0.2">
      <c r="B80" s="1419"/>
      <c r="C80" s="1416"/>
      <c r="D80" s="1416"/>
      <c r="E80" s="1416"/>
      <c r="F80" s="1416"/>
      <c r="G80" s="1416"/>
      <c r="H80" s="1416"/>
      <c r="I80" s="1416"/>
      <c r="J80" s="1416"/>
      <c r="K80" s="1416"/>
      <c r="L80" s="1416"/>
      <c r="M80" s="1416"/>
      <c r="N80" s="1416"/>
      <c r="O80" s="1420"/>
    </row>
    <row r="81" spans="2:15" s="1616" customFormat="1" x14ac:dyDescent="0.2">
      <c r="B81" s="1419"/>
      <c r="C81" s="1417" t="s">
        <v>1797</v>
      </c>
      <c r="D81" s="1416"/>
      <c r="E81" s="1416"/>
      <c r="F81" s="1416"/>
      <c r="G81" s="1416"/>
      <c r="H81" s="1416"/>
      <c r="I81" s="1416"/>
      <c r="J81" s="1416"/>
      <c r="K81" s="1416"/>
      <c r="L81" s="1416"/>
      <c r="M81" s="1416"/>
      <c r="N81" s="1416" t="str">
        <f>"kt per "&amp;Preferences.EnergyUnits</f>
        <v>kt per TWh</v>
      </c>
      <c r="O81" s="1420"/>
    </row>
    <row r="82" spans="2:15" s="1616" customFormat="1" ht="5.25" customHeight="1" x14ac:dyDescent="0.2">
      <c r="B82" s="1419"/>
      <c r="C82" s="1416"/>
      <c r="D82" s="1416"/>
      <c r="E82" s="713"/>
      <c r="F82" s="1416"/>
      <c r="G82" s="1416"/>
      <c r="H82" s="1416"/>
      <c r="I82" s="1416"/>
      <c r="J82" s="1416"/>
      <c r="K82" s="1416"/>
      <c r="L82" s="1416"/>
      <c r="M82" s="1416"/>
      <c r="N82" s="1416"/>
      <c r="O82" s="1420"/>
    </row>
    <row r="83" spans="2:15" s="1616" customFormat="1" x14ac:dyDescent="0.2">
      <c r="B83" s="1419"/>
      <c r="C83" s="98" t="s">
        <v>69</v>
      </c>
      <c r="D83" s="98" t="s">
        <v>592</v>
      </c>
      <c r="E83" s="98" t="s">
        <v>343</v>
      </c>
      <c r="F83" s="104" t="s">
        <v>241</v>
      </c>
      <c r="G83" s="103" t="s">
        <v>268</v>
      </c>
      <c r="H83" s="103" t="s">
        <v>269</v>
      </c>
      <c r="I83" s="103" t="s">
        <v>270</v>
      </c>
      <c r="J83" s="103" t="s">
        <v>271</v>
      </c>
      <c r="K83" s="103" t="s">
        <v>272</v>
      </c>
      <c r="L83" s="103" t="s">
        <v>273</v>
      </c>
      <c r="M83" s="103" t="s">
        <v>274</v>
      </c>
      <c r="N83" s="103" t="s">
        <v>275</v>
      </c>
      <c r="O83" s="1420"/>
    </row>
    <row r="84" spans="2:15" s="1616" customFormat="1" x14ac:dyDescent="0.2">
      <c r="B84" s="1419"/>
      <c r="C84" s="344" t="s">
        <v>415</v>
      </c>
      <c r="D84" s="344" t="s">
        <v>416</v>
      </c>
      <c r="E84" s="344" t="s">
        <v>49</v>
      </c>
      <c r="F84" s="168">
        <f t="shared" ref="F84:N84" si="10">0.583617747440273*(1/Unit.TWh)</f>
        <v>0.58361774744027295</v>
      </c>
      <c r="G84" s="351">
        <f t="shared" si="10"/>
        <v>0.58361774744027295</v>
      </c>
      <c r="H84" s="351">
        <f t="shared" si="10"/>
        <v>0.58361774744027295</v>
      </c>
      <c r="I84" s="351">
        <f t="shared" si="10"/>
        <v>0.58361774744027295</v>
      </c>
      <c r="J84" s="351">
        <f t="shared" si="10"/>
        <v>0.58361774744027295</v>
      </c>
      <c r="K84" s="351">
        <f t="shared" si="10"/>
        <v>0.58361774744027295</v>
      </c>
      <c r="L84" s="351">
        <f t="shared" si="10"/>
        <v>0.58361774744027295</v>
      </c>
      <c r="M84" s="351">
        <f t="shared" si="10"/>
        <v>0.58361774744027295</v>
      </c>
      <c r="N84" s="351">
        <f t="shared" si="10"/>
        <v>0.58361774744027295</v>
      </c>
      <c r="O84" s="1420"/>
    </row>
    <row r="85" spans="2:15" s="1616" customFormat="1" x14ac:dyDescent="0.2">
      <c r="B85" s="1419"/>
      <c r="C85" s="341" t="s">
        <v>415</v>
      </c>
      <c r="D85" s="342" t="s">
        <v>416</v>
      </c>
      <c r="E85" s="342" t="s">
        <v>197</v>
      </c>
      <c r="F85" s="2137">
        <f>0.602787932924974*(1/Unit.TWh)</f>
        <v>0.60278793292497401</v>
      </c>
      <c r="G85" s="113">
        <f>0.51853607139465*(1/Unit.TWh)</f>
        <v>0.51853607139464997</v>
      </c>
      <c r="H85" s="113">
        <f>0.518146653987267*(1/Unit.TWh)</f>
        <v>0.518146653987267</v>
      </c>
      <c r="I85" s="113">
        <f>0.511842212600432*(1/Unit.TWh)</f>
        <v>0.51184221260043195</v>
      </c>
      <c r="J85" s="113">
        <f>0.50417339590242*(1/Unit.TWh)</f>
        <v>0.50417339590242005</v>
      </c>
      <c r="K85" s="113">
        <f>0.50417339590242*(1/Unit.TWh)</f>
        <v>0.50417339590242005</v>
      </c>
      <c r="L85" s="113">
        <f>0.50417339590242*(1/Unit.TWh)</f>
        <v>0.50417339590242005</v>
      </c>
      <c r="M85" s="113">
        <f>0.50417339590242*(1/Unit.TWh)</f>
        <v>0.50417339590242005</v>
      </c>
      <c r="N85" s="113">
        <f>0.50417339590242*(1/Unit.TWh)</f>
        <v>0.50417339590242005</v>
      </c>
      <c r="O85" s="1420"/>
    </row>
    <row r="86" spans="2:15" s="1616" customFormat="1" x14ac:dyDescent="0.2">
      <c r="B86" s="1419"/>
      <c r="C86" s="1416"/>
      <c r="D86" s="1416"/>
      <c r="E86" s="1416"/>
      <c r="F86" s="1416"/>
      <c r="G86" s="1416"/>
      <c r="H86" s="1416"/>
      <c r="I86" s="1416"/>
      <c r="J86" s="1416"/>
      <c r="K86" s="1416"/>
      <c r="L86" s="1416"/>
      <c r="M86" s="1416"/>
      <c r="N86" s="1416"/>
      <c r="O86" s="1420"/>
    </row>
    <row r="87" spans="2:15" s="1616" customFormat="1" x14ac:dyDescent="0.2">
      <c r="B87" s="1419"/>
      <c r="C87" s="1417" t="s">
        <v>1798</v>
      </c>
      <c r="D87" s="1416"/>
      <c r="E87" s="1416"/>
      <c r="F87" s="1416"/>
      <c r="G87" s="1416"/>
      <c r="H87" s="1416"/>
      <c r="I87" s="1416"/>
      <c r="J87" s="1416"/>
      <c r="K87" s="1416"/>
      <c r="L87" s="1416"/>
      <c r="M87" s="1416"/>
      <c r="N87" s="1416" t="str">
        <f>"kt per "&amp;Preferences.EnergyUnits</f>
        <v>kt per TWh</v>
      </c>
      <c r="O87" s="1420"/>
    </row>
    <row r="88" spans="2:15" s="1616" customFormat="1" ht="5.25" customHeight="1" x14ac:dyDescent="0.2">
      <c r="B88" s="1419"/>
      <c r="C88" s="1416"/>
      <c r="D88" s="1416"/>
      <c r="E88" s="713"/>
      <c r="F88" s="1416"/>
      <c r="G88" s="1416"/>
      <c r="H88" s="1416"/>
      <c r="I88" s="1416"/>
      <c r="J88" s="1416"/>
      <c r="K88" s="1416"/>
      <c r="L88" s="1416"/>
      <c r="M88" s="1416"/>
      <c r="N88" s="1416"/>
      <c r="O88" s="1420"/>
    </row>
    <row r="89" spans="2:15" s="1616" customFormat="1" x14ac:dyDescent="0.2">
      <c r="B89" s="1419"/>
      <c r="C89" s="98" t="s">
        <v>69</v>
      </c>
      <c r="D89" s="98" t="s">
        <v>592</v>
      </c>
      <c r="E89" s="98" t="s">
        <v>343</v>
      </c>
      <c r="F89" s="104" t="s">
        <v>241</v>
      </c>
      <c r="G89" s="103" t="s">
        <v>268</v>
      </c>
      <c r="H89" s="103" t="s">
        <v>269</v>
      </c>
      <c r="I89" s="103" t="s">
        <v>270</v>
      </c>
      <c r="J89" s="103" t="s">
        <v>271</v>
      </c>
      <c r="K89" s="103" t="s">
        <v>272</v>
      </c>
      <c r="L89" s="103" t="s">
        <v>273</v>
      </c>
      <c r="M89" s="103" t="s">
        <v>274</v>
      </c>
      <c r="N89" s="103" t="s">
        <v>275</v>
      </c>
      <c r="O89" s="1420"/>
    </row>
    <row r="90" spans="2:15" s="1616" customFormat="1" x14ac:dyDescent="0.2">
      <c r="B90" s="1419"/>
      <c r="C90" s="344" t="s">
        <v>415</v>
      </c>
      <c r="D90" s="344" t="s">
        <v>416</v>
      </c>
      <c r="E90" s="344" t="s">
        <v>49</v>
      </c>
      <c r="F90" s="168">
        <f>2.66451405834138*(1/Unit.TWh)</f>
        <v>2.6645140583413802</v>
      </c>
      <c r="G90" s="351">
        <f t="shared" ref="G90:N90" si="11">2.82549586272291*(1/Unit.TWh)</f>
        <v>2.8254958627229101</v>
      </c>
      <c r="H90" s="351">
        <f t="shared" si="11"/>
        <v>2.8254958627229101</v>
      </c>
      <c r="I90" s="351">
        <f t="shared" si="11"/>
        <v>2.8254958627229101</v>
      </c>
      <c r="J90" s="351">
        <f t="shared" si="11"/>
        <v>2.8254958627229101</v>
      </c>
      <c r="K90" s="351">
        <f t="shared" si="11"/>
        <v>2.8254958627229101</v>
      </c>
      <c r="L90" s="351">
        <f t="shared" si="11"/>
        <v>2.8254958627229101</v>
      </c>
      <c r="M90" s="351">
        <f t="shared" si="11"/>
        <v>2.8254958627229101</v>
      </c>
      <c r="N90" s="351">
        <f t="shared" si="11"/>
        <v>2.8254958627229101</v>
      </c>
      <c r="O90" s="1420"/>
    </row>
    <row r="91" spans="2:15" s="1616" customFormat="1" x14ac:dyDescent="0.2">
      <c r="B91" s="1419"/>
      <c r="C91" s="341" t="s">
        <v>415</v>
      </c>
      <c r="D91" s="342" t="s">
        <v>416</v>
      </c>
      <c r="E91" s="342" t="s">
        <v>197</v>
      </c>
      <c r="F91" s="2137">
        <f>0.0215739108498663*(1/Unit.TWh)</f>
        <v>2.1573910849866301E-2</v>
      </c>
      <c r="G91" s="113">
        <f>0.00688042911256356*(1/Unit.TWh)</f>
        <v>6.8804291125635596E-3</v>
      </c>
      <c r="H91" s="113">
        <f>0.00686976328914796*(1/Unit.TWh)</f>
        <v>6.86976328914796E-3</v>
      </c>
      <c r="I91" s="113">
        <f>0.00669708981001941*(1/Unit.TWh)</f>
        <v>6.6970898100194099E-3</v>
      </c>
      <c r="J91" s="113">
        <f>0.00648704721008183*(1/Unit.TWh)</f>
        <v>6.4870472100818297E-3</v>
      </c>
      <c r="K91" s="113">
        <f>0.00648704721008183*(1/Unit.TWh)</f>
        <v>6.4870472100818297E-3</v>
      </c>
      <c r="L91" s="113">
        <f>0.00648704721008183*(1/Unit.TWh)</f>
        <v>6.4870472100818297E-3</v>
      </c>
      <c r="M91" s="113">
        <f>0.00648704721008183*(1/Unit.TWh)</f>
        <v>6.4870472100818297E-3</v>
      </c>
      <c r="N91" s="113">
        <f>0.00648704721008183*(1/Unit.TWh)</f>
        <v>6.4870472100818297E-3</v>
      </c>
      <c r="O91" s="1420"/>
    </row>
    <row r="92" spans="2:15" s="1616" customFormat="1" x14ac:dyDescent="0.2">
      <c r="B92" s="1419"/>
      <c r="C92" s="1416"/>
      <c r="D92" s="1416"/>
      <c r="E92" s="1416"/>
      <c r="F92" s="1416"/>
      <c r="G92" s="1416"/>
      <c r="H92" s="1416"/>
      <c r="I92" s="1416"/>
      <c r="J92" s="1416"/>
      <c r="K92" s="1416"/>
      <c r="L92" s="1416"/>
      <c r="M92" s="1416"/>
      <c r="N92" s="1416"/>
      <c r="O92" s="1420"/>
    </row>
    <row r="93" spans="2:15" s="1616" customFormat="1" x14ac:dyDescent="0.2">
      <c r="B93" s="1419"/>
      <c r="C93" s="1417" t="s">
        <v>1800</v>
      </c>
      <c r="D93" s="1416"/>
      <c r="E93" s="1416"/>
      <c r="F93" s="1416"/>
      <c r="G93" s="1416"/>
      <c r="H93" s="1416"/>
      <c r="I93" s="1416"/>
      <c r="J93" s="1416"/>
      <c r="K93" s="1416"/>
      <c r="L93" s="1416"/>
      <c r="M93" s="1416"/>
      <c r="N93" s="1416" t="str">
        <f>"kt per "&amp;Preferences.EnergyUnits</f>
        <v>kt per TWh</v>
      </c>
      <c r="O93" s="1420"/>
    </row>
    <row r="94" spans="2:15" s="1616" customFormat="1" ht="5.25" customHeight="1" x14ac:dyDescent="0.2">
      <c r="B94" s="1419"/>
      <c r="C94" s="1416"/>
      <c r="D94" s="1416"/>
      <c r="E94" s="713"/>
      <c r="F94" s="1416"/>
      <c r="G94" s="1416"/>
      <c r="H94" s="1416"/>
      <c r="I94" s="1416"/>
      <c r="J94" s="1416"/>
      <c r="K94" s="1416"/>
      <c r="L94" s="1416"/>
      <c r="M94" s="1416"/>
      <c r="N94" s="1416"/>
      <c r="O94" s="1420"/>
    </row>
    <row r="95" spans="2:15" s="1616" customFormat="1" x14ac:dyDescent="0.2">
      <c r="B95" s="1419"/>
      <c r="C95" s="98" t="s">
        <v>69</v>
      </c>
      <c r="D95" s="98" t="s">
        <v>592</v>
      </c>
      <c r="E95" s="98" t="s">
        <v>343</v>
      </c>
      <c r="F95" s="104" t="s">
        <v>241</v>
      </c>
      <c r="G95" s="103" t="s">
        <v>268</v>
      </c>
      <c r="H95" s="103" t="s">
        <v>269</v>
      </c>
      <c r="I95" s="103" t="s">
        <v>270</v>
      </c>
      <c r="J95" s="103" t="s">
        <v>271</v>
      </c>
      <c r="K95" s="103" t="s">
        <v>272</v>
      </c>
      <c r="L95" s="103" t="s">
        <v>273</v>
      </c>
      <c r="M95" s="103" t="s">
        <v>274</v>
      </c>
      <c r="N95" s="103" t="s">
        <v>275</v>
      </c>
      <c r="O95" s="1420"/>
    </row>
    <row r="96" spans="2:15" s="1616" customFormat="1" x14ac:dyDescent="0.2">
      <c r="B96" s="1419"/>
      <c r="C96" s="344" t="s">
        <v>415</v>
      </c>
      <c r="D96" s="344" t="s">
        <v>416</v>
      </c>
      <c r="E96" s="344" t="s">
        <v>49</v>
      </c>
      <c r="F96" s="168">
        <f t="shared" ref="F96:N96" si="12">0.00614334470989761*(1/Unit.TWh)</f>
        <v>6.1433447098976097E-3</v>
      </c>
      <c r="G96" s="351">
        <f t="shared" si="12"/>
        <v>6.1433447098976097E-3</v>
      </c>
      <c r="H96" s="351">
        <f t="shared" si="12"/>
        <v>6.1433447098976097E-3</v>
      </c>
      <c r="I96" s="351">
        <f t="shared" si="12"/>
        <v>6.1433447098976097E-3</v>
      </c>
      <c r="J96" s="351">
        <f t="shared" si="12"/>
        <v>6.1433447098976097E-3</v>
      </c>
      <c r="K96" s="351">
        <f t="shared" si="12"/>
        <v>6.1433447098976097E-3</v>
      </c>
      <c r="L96" s="351">
        <f t="shared" si="12"/>
        <v>6.1433447098976097E-3</v>
      </c>
      <c r="M96" s="351">
        <f t="shared" si="12"/>
        <v>6.1433447098976097E-3</v>
      </c>
      <c r="N96" s="351">
        <f t="shared" si="12"/>
        <v>6.1433447098976097E-3</v>
      </c>
      <c r="O96" s="1420"/>
    </row>
    <row r="97" spans="1:16" s="1616" customFormat="1" x14ac:dyDescent="0.2">
      <c r="B97" s="1419"/>
      <c r="C97" s="341" t="s">
        <v>415</v>
      </c>
      <c r="D97" s="342" t="s">
        <v>416</v>
      </c>
      <c r="E97" s="342" t="s">
        <v>197</v>
      </c>
      <c r="F97" s="2137">
        <f>0.00654761418788109*(1/Unit.TWh)</f>
        <v>6.5476141878810902E-3</v>
      </c>
      <c r="G97" s="113">
        <f>0.00807442584993566*(1/Unit.TWh)</f>
        <v>8.0744258499356597E-3</v>
      </c>
      <c r="H97" s="113">
        <f>0.00807434259627122*(1/Unit.TWh)</f>
        <v>8.0743425962712199E-3</v>
      </c>
      <c r="I97" s="113">
        <f>0.0080729947678542*(1/Unit.TWh)</f>
        <v>8.0729947678542004E-3</v>
      </c>
      <c r="J97" s="113">
        <f>0.00807135524922974*(1/Unit.TWh)</f>
        <v>8.0713552492297398E-3</v>
      </c>
      <c r="K97" s="113">
        <f>0.00807135524922974*(1/Unit.TWh)</f>
        <v>8.0713552492297398E-3</v>
      </c>
      <c r="L97" s="113">
        <f>0.00807135524922974*(1/Unit.TWh)</f>
        <v>8.0713552492297398E-3</v>
      </c>
      <c r="M97" s="113">
        <f>0.00807135524922974*(1/Unit.TWh)</f>
        <v>8.0713552492297398E-3</v>
      </c>
      <c r="N97" s="113">
        <f>0.00807135524922974*(1/Unit.TWh)</f>
        <v>8.0713552492297398E-3</v>
      </c>
      <c r="O97" s="1420"/>
    </row>
    <row r="98" spans="1:16" s="1616" customFormat="1" x14ac:dyDescent="0.2">
      <c r="B98" s="1419"/>
      <c r="C98" s="1631"/>
      <c r="D98" s="1505"/>
      <c r="E98" s="1663"/>
      <c r="F98" s="983"/>
      <c r="G98" s="983"/>
      <c r="H98" s="983"/>
      <c r="I98" s="983"/>
      <c r="J98" s="983"/>
      <c r="K98" s="983"/>
      <c r="L98" s="983"/>
      <c r="M98" s="983"/>
      <c r="N98" s="983"/>
      <c r="O98" s="1420"/>
    </row>
    <row r="99" spans="1:16" x14ac:dyDescent="0.2">
      <c r="B99" s="401"/>
      <c r="C99" s="173" t="s">
        <v>266</v>
      </c>
      <c r="D99" s="177"/>
      <c r="E99" s="173"/>
      <c r="F99" s="173"/>
      <c r="G99" s="173"/>
      <c r="H99" s="173"/>
      <c r="I99" s="173"/>
      <c r="J99" s="173"/>
      <c r="K99" s="173"/>
      <c r="L99" s="173"/>
      <c r="M99" s="173"/>
      <c r="N99" s="173"/>
      <c r="O99" s="396"/>
    </row>
    <row r="100" spans="1:16" s="81" customFormat="1" ht="10.5" x14ac:dyDescent="0.15">
      <c r="B100" s="462"/>
      <c r="C100" s="486" t="s">
        <v>93</v>
      </c>
      <c r="D100" s="489" t="s">
        <v>458</v>
      </c>
      <c r="E100" s="465"/>
      <c r="F100" s="465"/>
      <c r="G100" s="465"/>
      <c r="H100" s="465"/>
      <c r="I100" s="465"/>
      <c r="J100" s="465"/>
      <c r="K100" s="465"/>
      <c r="L100" s="465"/>
      <c r="M100" s="465"/>
      <c r="N100" s="465"/>
      <c r="O100" s="466"/>
    </row>
    <row r="101" spans="1:16" s="81" customFormat="1" ht="10.5" x14ac:dyDescent="0.15">
      <c r="B101" s="462"/>
      <c r="C101" s="486"/>
      <c r="D101" s="489" t="s">
        <v>459</v>
      </c>
      <c r="E101" s="465"/>
      <c r="F101" s="465"/>
      <c r="G101" s="465"/>
      <c r="H101" s="465"/>
      <c r="I101" s="465"/>
      <c r="J101" s="465"/>
      <c r="K101" s="465"/>
      <c r="L101" s="465"/>
      <c r="M101" s="465"/>
      <c r="N101" s="465"/>
      <c r="O101" s="466"/>
    </row>
    <row r="102" spans="1:16" s="81" customFormat="1" ht="10.5" x14ac:dyDescent="0.15">
      <c r="B102" s="462"/>
      <c r="C102" s="486"/>
      <c r="D102" s="489" t="s">
        <v>460</v>
      </c>
      <c r="E102" s="465"/>
      <c r="F102" s="465"/>
      <c r="G102" s="465"/>
      <c r="H102" s="465"/>
      <c r="I102" s="465"/>
      <c r="J102" s="465"/>
      <c r="K102" s="465"/>
      <c r="L102" s="465"/>
      <c r="M102" s="465"/>
      <c r="N102" s="465"/>
      <c r="O102" s="466"/>
    </row>
    <row r="103" spans="1:16" s="81" customFormat="1" ht="10.5" x14ac:dyDescent="0.15">
      <c r="B103" s="462"/>
      <c r="C103" s="486"/>
      <c r="D103" s="489"/>
      <c r="E103" s="465"/>
      <c r="F103" s="465"/>
      <c r="G103" s="465"/>
      <c r="H103" s="465"/>
      <c r="I103" s="465"/>
      <c r="J103" s="465"/>
      <c r="K103" s="465"/>
      <c r="L103" s="465"/>
      <c r="M103" s="465"/>
      <c r="N103" s="465"/>
      <c r="O103" s="466"/>
    </row>
    <row r="104" spans="1:16" s="81" customFormat="1" ht="10.5" x14ac:dyDescent="0.15">
      <c r="B104" s="462"/>
      <c r="C104" s="486" t="s">
        <v>100</v>
      </c>
      <c r="D104" s="489" t="s">
        <v>421</v>
      </c>
      <c r="E104" s="465"/>
      <c r="F104" s="465"/>
      <c r="G104" s="465"/>
      <c r="H104" s="465"/>
      <c r="I104" s="465"/>
      <c r="J104" s="465"/>
      <c r="K104" s="465"/>
      <c r="L104" s="465"/>
      <c r="M104" s="465"/>
      <c r="N104" s="465"/>
      <c r="O104" s="466"/>
    </row>
    <row r="105" spans="1:16" s="81" customFormat="1" ht="10.5" x14ac:dyDescent="0.15">
      <c r="B105" s="462"/>
      <c r="C105" s="486" t="s">
        <v>101</v>
      </c>
      <c r="D105" s="489" t="s">
        <v>423</v>
      </c>
      <c r="E105" s="465"/>
      <c r="F105" s="465"/>
      <c r="G105" s="465"/>
      <c r="H105" s="465"/>
      <c r="I105" s="465"/>
      <c r="J105" s="465"/>
      <c r="K105" s="465"/>
      <c r="L105" s="465"/>
      <c r="M105" s="465"/>
      <c r="N105" s="465"/>
      <c r="O105" s="466"/>
    </row>
    <row r="106" spans="1:16" s="81" customFormat="1" ht="10.5" x14ac:dyDescent="0.15">
      <c r="B106" s="462"/>
      <c r="C106" s="486" t="s">
        <v>171</v>
      </c>
      <c r="D106" s="489" t="s">
        <v>545</v>
      </c>
      <c r="E106" s="465"/>
      <c r="F106" s="465"/>
      <c r="G106" s="465"/>
      <c r="H106" s="465"/>
      <c r="I106" s="465"/>
      <c r="J106" s="465"/>
      <c r="K106" s="465"/>
      <c r="L106" s="465"/>
      <c r="M106" s="465"/>
      <c r="N106" s="465"/>
      <c r="O106" s="466"/>
    </row>
    <row r="107" spans="1:16" s="81" customFormat="1" ht="10.5" x14ac:dyDescent="0.15">
      <c r="B107" s="462"/>
      <c r="C107" s="486"/>
      <c r="D107" s="489" t="s">
        <v>543</v>
      </c>
      <c r="E107" s="465"/>
      <c r="F107" s="465"/>
      <c r="G107" s="465"/>
      <c r="H107" s="465"/>
      <c r="I107" s="465"/>
      <c r="J107" s="465"/>
      <c r="K107" s="465"/>
      <c r="L107" s="465"/>
      <c r="M107" s="465"/>
      <c r="N107" s="465"/>
      <c r="O107" s="466"/>
    </row>
    <row r="108" spans="1:16" x14ac:dyDescent="0.2">
      <c r="B108" s="402"/>
      <c r="C108" s="403"/>
      <c r="D108" s="403"/>
      <c r="E108" s="403"/>
      <c r="F108" s="403"/>
      <c r="G108" s="403"/>
      <c r="H108" s="403"/>
      <c r="I108" s="403"/>
      <c r="J108" s="403"/>
      <c r="K108" s="403"/>
      <c r="L108" s="403"/>
      <c r="M108" s="403"/>
      <c r="N108" s="403"/>
      <c r="O108" s="404"/>
    </row>
    <row r="109" spans="1:16" s="1374" customFormat="1" x14ac:dyDescent="0.2"/>
    <row r="110" spans="1:16" s="84" customFormat="1" ht="22.5" x14ac:dyDescent="0.2">
      <c r="A110" s="408"/>
      <c r="B110" s="472" t="s">
        <v>1417</v>
      </c>
      <c r="C110" s="405"/>
      <c r="D110" s="405"/>
      <c r="E110" s="405"/>
      <c r="F110" s="405"/>
      <c r="G110" s="405"/>
      <c r="H110" s="405"/>
      <c r="I110" s="405"/>
      <c r="J110" s="405"/>
      <c r="K110" s="405"/>
      <c r="L110" s="405"/>
      <c r="M110" s="405"/>
      <c r="N110" s="405"/>
      <c r="O110" s="405"/>
      <c r="P110" s="34"/>
    </row>
    <row r="111" spans="1:16" s="1374" customFormat="1" x14ac:dyDescent="0.2">
      <c r="B111" s="395"/>
      <c r="C111" s="173"/>
      <c r="D111" s="173"/>
      <c r="E111" s="1416"/>
      <c r="F111" s="173"/>
      <c r="G111" s="173"/>
      <c r="H111" s="173"/>
      <c r="I111" s="173"/>
      <c r="J111" s="173"/>
      <c r="K111" s="173"/>
      <c r="L111" s="173"/>
      <c r="M111" s="173"/>
      <c r="N111" s="173"/>
      <c r="O111" s="1416"/>
      <c r="P111" s="2092"/>
    </row>
    <row r="112" spans="1:16" s="2061" customFormat="1" x14ac:dyDescent="0.2">
      <c r="B112" s="1419"/>
      <c r="C112" s="2063" t="s">
        <v>1943</v>
      </c>
      <c r="D112" s="1904"/>
      <c r="E112" s="2063" t="s">
        <v>1321</v>
      </c>
      <c r="F112" s="2064">
        <v>2010</v>
      </c>
      <c r="G112" s="1844">
        <v>2015</v>
      </c>
      <c r="H112" s="1844">
        <v>2020</v>
      </c>
      <c r="I112" s="1844">
        <v>2025</v>
      </c>
      <c r="J112" s="1844">
        <v>2030</v>
      </c>
      <c r="K112" s="1844">
        <v>2035</v>
      </c>
      <c r="L112" s="1844">
        <v>2040</v>
      </c>
      <c r="M112" s="1844">
        <v>2045</v>
      </c>
      <c r="N112" s="1844">
        <v>2050</v>
      </c>
      <c r="O112" s="1416"/>
      <c r="P112" s="2245"/>
    </row>
    <row r="113" spans="2:16" s="2061" customFormat="1" x14ac:dyDescent="0.2">
      <c r="B113" s="1419"/>
      <c r="C113" s="1904" t="s">
        <v>894</v>
      </c>
      <c r="D113" s="1962" t="s">
        <v>1831</v>
      </c>
      <c r="E113" s="1962">
        <f>(J113-F113)/(J$112-F$112)</f>
        <v>3.1</v>
      </c>
      <c r="F113" s="2118">
        <v>93</v>
      </c>
      <c r="G113" s="2119">
        <f t="shared" ref="G113:I115" si="13">F113+(G$112-F$112)*$E113</f>
        <v>108.5</v>
      </c>
      <c r="H113" s="2119">
        <f t="shared" si="13"/>
        <v>124</v>
      </c>
      <c r="I113" s="2119">
        <f t="shared" si="13"/>
        <v>139.5</v>
      </c>
      <c r="J113" s="2062">
        <v>155</v>
      </c>
      <c r="K113" s="2062">
        <v>155</v>
      </c>
      <c r="L113" s="2062">
        <v>155</v>
      </c>
      <c r="M113" s="2062">
        <v>155</v>
      </c>
      <c r="N113" s="2062">
        <v>155</v>
      </c>
      <c r="O113" s="1416"/>
      <c r="P113" s="2245"/>
    </row>
    <row r="114" spans="2:16" s="2061" customFormat="1" x14ac:dyDescent="0.2">
      <c r="B114" s="1419"/>
      <c r="C114" s="1416" t="s">
        <v>1886</v>
      </c>
      <c r="D114" s="760" t="s">
        <v>1831</v>
      </c>
      <c r="E114" s="760">
        <f>(J114-F114)/(J$112-F$112)</f>
        <v>0.85</v>
      </c>
      <c r="F114" s="2120">
        <v>93</v>
      </c>
      <c r="G114" s="2121">
        <f t="shared" si="13"/>
        <v>97.25</v>
      </c>
      <c r="H114" s="2121">
        <f t="shared" si="13"/>
        <v>101.5</v>
      </c>
      <c r="I114" s="2121">
        <f t="shared" si="13"/>
        <v>105.75</v>
      </c>
      <c r="J114" s="176">
        <v>110</v>
      </c>
      <c r="K114" s="176">
        <v>110</v>
      </c>
      <c r="L114" s="176">
        <v>110</v>
      </c>
      <c r="M114" s="176">
        <v>110</v>
      </c>
      <c r="N114" s="176">
        <v>110</v>
      </c>
      <c r="O114" s="1416"/>
      <c r="P114" s="2245"/>
    </row>
    <row r="115" spans="2:16" s="2061" customFormat="1" x14ac:dyDescent="0.2">
      <c r="B115" s="1419"/>
      <c r="C115" s="1416" t="s">
        <v>893</v>
      </c>
      <c r="D115" s="760" t="s">
        <v>1831</v>
      </c>
      <c r="E115" s="760">
        <f>(J115-F115)/(J$112-F$112)</f>
        <v>-0.65</v>
      </c>
      <c r="F115" s="2120">
        <v>93</v>
      </c>
      <c r="G115" s="2121">
        <f t="shared" si="13"/>
        <v>89.75</v>
      </c>
      <c r="H115" s="2121">
        <f t="shared" si="13"/>
        <v>86.5</v>
      </c>
      <c r="I115" s="2121">
        <f t="shared" si="13"/>
        <v>83.25</v>
      </c>
      <c r="J115" s="176">
        <v>80</v>
      </c>
      <c r="K115" s="176">
        <v>80</v>
      </c>
      <c r="L115" s="176">
        <v>80</v>
      </c>
      <c r="M115" s="176">
        <v>80</v>
      </c>
      <c r="N115" s="176">
        <v>80</v>
      </c>
      <c r="O115" s="1416"/>
      <c r="P115" s="2245"/>
    </row>
    <row r="116" spans="2:16" s="2061" customFormat="1" x14ac:dyDescent="0.2">
      <c r="B116" s="1419"/>
      <c r="C116" s="1416"/>
      <c r="D116" s="1416"/>
      <c r="E116" s="760"/>
      <c r="F116" s="1416"/>
      <c r="G116" s="176"/>
      <c r="H116" s="176"/>
      <c r="I116" s="176"/>
      <c r="J116" s="176"/>
      <c r="K116" s="176"/>
      <c r="L116" s="176"/>
      <c r="M116" s="176"/>
      <c r="N116" s="1416"/>
      <c r="O116" s="1416"/>
      <c r="P116" s="2245"/>
    </row>
    <row r="117" spans="2:16" s="2061" customFormat="1" x14ac:dyDescent="0.2">
      <c r="B117" s="1419"/>
      <c r="C117" s="1416" t="s">
        <v>894</v>
      </c>
      <c r="D117" s="1416" t="str">
        <f>Preferences.moneyunits&amp;"/"&amp;Preferences.EnergyUnits</f>
        <v>N/TWh</v>
      </c>
      <c r="E117" s="2128">
        <f>(J117-F117)/(J$112-F$112)</f>
        <v>105804301.16107948</v>
      </c>
      <c r="F117" s="2122">
        <f>(F113*(USD2010_/(Constants.GCV.Coal*1000)))</f>
        <v>3377405540.4380593</v>
      </c>
      <c r="G117" s="2121">
        <f t="shared" ref="G117:I119" si="14">F117+(G$112-F$112)*$E117</f>
        <v>3906427046.2434568</v>
      </c>
      <c r="H117" s="2121">
        <f t="shared" si="14"/>
        <v>4435448552.0488539</v>
      </c>
      <c r="I117" s="2121">
        <f t="shared" si="14"/>
        <v>4964470057.8542509</v>
      </c>
      <c r="J117" s="2122">
        <f t="shared" ref="J117:M119" si="15">(J113*(USD2010_/(Constants.GCV.Coal*1000)))*(Price2011)</f>
        <v>5493491563.6596489</v>
      </c>
      <c r="K117" s="691">
        <f t="shared" si="15"/>
        <v>5493491563.6596489</v>
      </c>
      <c r="L117" s="691">
        <f t="shared" si="15"/>
        <v>5493491563.6596489</v>
      </c>
      <c r="M117" s="691">
        <f t="shared" si="15"/>
        <v>5493491563.6596489</v>
      </c>
      <c r="N117" s="691">
        <f>(N113*(USD2010_/(Constants.GCV.Coal*1000)))</f>
        <v>5629009234.0634327</v>
      </c>
      <c r="O117" s="1416"/>
      <c r="P117" s="2245"/>
    </row>
    <row r="118" spans="2:16" s="2061" customFormat="1" x14ac:dyDescent="0.2">
      <c r="B118" s="1419"/>
      <c r="C118" s="1416" t="s">
        <v>1886</v>
      </c>
      <c r="D118" s="1416" t="str">
        <f>Preferences.moneyunits&amp;"/"&amp;Preferences.EnergyUnits</f>
        <v>N/TWh</v>
      </c>
      <c r="E118" s="2128">
        <f>(J118-F118)/(J$112-F$112)</f>
        <v>26060068.78537488</v>
      </c>
      <c r="F118" s="2122">
        <f>(F114*(USD2010_/(Constants.GCV.Coal*1000)))</f>
        <v>3377405540.4380593</v>
      </c>
      <c r="G118" s="2121">
        <f t="shared" si="14"/>
        <v>3507705884.364934</v>
      </c>
      <c r="H118" s="2121">
        <f t="shared" si="14"/>
        <v>3638006228.2918081</v>
      </c>
      <c r="I118" s="2121">
        <f t="shared" si="14"/>
        <v>3768306572.2186823</v>
      </c>
      <c r="J118" s="691">
        <f t="shared" si="15"/>
        <v>3898606916.1455569</v>
      </c>
      <c r="K118" s="691">
        <f t="shared" si="15"/>
        <v>3898606916.1455569</v>
      </c>
      <c r="L118" s="691">
        <f t="shared" si="15"/>
        <v>3898606916.1455569</v>
      </c>
      <c r="M118" s="691">
        <f t="shared" si="15"/>
        <v>3898606916.1455569</v>
      </c>
      <c r="N118" s="691">
        <f>(N114*(USD2010_/(Constants.GCV.Coal*1000)))</f>
        <v>3994780746.754694</v>
      </c>
      <c r="O118" s="1416"/>
      <c r="P118" s="2245"/>
    </row>
    <row r="119" spans="2:16" s="2061" customFormat="1" x14ac:dyDescent="0.2">
      <c r="B119" s="1419"/>
      <c r="C119" s="524" t="s">
        <v>893</v>
      </c>
      <c r="D119" s="524" t="str">
        <f>Preferences.moneyunits&amp;"/"&amp;Preferences.EnergyUnits</f>
        <v>N/TWh</v>
      </c>
      <c r="E119" s="2129">
        <f>(J119-F119)/(J$112-F$112)</f>
        <v>-27102752.798428178</v>
      </c>
      <c r="F119" s="2123">
        <f>(F115*(USD2010_/(Constants.GCV.Coal*1000)))</f>
        <v>3377405540.4380593</v>
      </c>
      <c r="G119" s="1482">
        <f t="shared" si="14"/>
        <v>3241891776.4459186</v>
      </c>
      <c r="H119" s="1482">
        <f t="shared" si="14"/>
        <v>3106378012.4537778</v>
      </c>
      <c r="I119" s="1482">
        <f t="shared" si="14"/>
        <v>2970864248.461637</v>
      </c>
      <c r="J119" s="2123">
        <f t="shared" si="15"/>
        <v>2835350484.4694958</v>
      </c>
      <c r="K119" s="693">
        <f t="shared" si="15"/>
        <v>2835350484.4694958</v>
      </c>
      <c r="L119" s="693">
        <f t="shared" si="15"/>
        <v>2835350484.4694958</v>
      </c>
      <c r="M119" s="693">
        <f t="shared" si="15"/>
        <v>2835350484.4694958</v>
      </c>
      <c r="N119" s="693">
        <f>(N115*(USD2010_/(Constants.GCV.Coal*1000)))</f>
        <v>2905295088.5488682</v>
      </c>
      <c r="O119" s="1416"/>
      <c r="P119" s="2245"/>
    </row>
    <row r="120" spans="2:16" s="1374" customFormat="1" x14ac:dyDescent="0.2">
      <c r="B120" s="1377"/>
      <c r="C120" s="1377"/>
      <c r="D120" s="1377"/>
      <c r="E120" s="1378"/>
      <c r="F120" s="1377"/>
      <c r="G120" s="1377"/>
      <c r="H120" s="1377"/>
      <c r="I120" s="1377"/>
      <c r="J120" s="1377"/>
      <c r="K120" s="1377"/>
      <c r="L120" s="1377"/>
      <c r="M120" s="1377"/>
      <c r="N120" s="1377"/>
      <c r="O120" s="1377"/>
      <c r="P120" s="2245"/>
    </row>
    <row r="121" spans="2:16" s="1374" customFormat="1" x14ac:dyDescent="0.2">
      <c r="B121" s="1377"/>
      <c r="C121" s="2063" t="s">
        <v>1944</v>
      </c>
      <c r="D121" s="1904"/>
      <c r="E121" s="2081" t="s">
        <v>1321</v>
      </c>
      <c r="F121" s="2064">
        <v>2010</v>
      </c>
      <c r="G121" s="1844">
        <v>2015</v>
      </c>
      <c r="H121" s="1844">
        <v>2020</v>
      </c>
      <c r="I121" s="1844">
        <v>2025</v>
      </c>
      <c r="J121" s="1844">
        <v>2030</v>
      </c>
      <c r="K121" s="1844">
        <v>2035</v>
      </c>
      <c r="L121" s="1844">
        <v>2040</v>
      </c>
      <c r="M121" s="1844">
        <v>2045</v>
      </c>
      <c r="N121" s="1844">
        <v>2050</v>
      </c>
      <c r="O121" s="1377"/>
      <c r="P121" s="2245"/>
    </row>
    <row r="122" spans="2:16" s="1374" customFormat="1" x14ac:dyDescent="0.2">
      <c r="B122" s="395"/>
      <c r="C122" s="1904" t="s">
        <v>894</v>
      </c>
      <c r="D122" s="1962" t="s">
        <v>1431</v>
      </c>
      <c r="E122" s="2130">
        <f>(J122-F122)/(J$121-F$121)</f>
        <v>4.4000000000000004</v>
      </c>
      <c r="F122" s="2119">
        <v>82</v>
      </c>
      <c r="G122" s="2119">
        <f t="shared" ref="G122:I124" si="16">$E122*(G$121-F$121)+F122</f>
        <v>104</v>
      </c>
      <c r="H122" s="2119">
        <f t="shared" si="16"/>
        <v>126</v>
      </c>
      <c r="I122" s="2119">
        <f t="shared" si="16"/>
        <v>148</v>
      </c>
      <c r="J122" s="2119">
        <v>170</v>
      </c>
      <c r="K122" s="2119">
        <v>170</v>
      </c>
      <c r="L122" s="2062">
        <v>170</v>
      </c>
      <c r="M122" s="2062">
        <v>170</v>
      </c>
      <c r="N122" s="2062">
        <v>170</v>
      </c>
      <c r="O122" s="1416"/>
      <c r="P122" s="2245"/>
    </row>
    <row r="123" spans="2:16" s="1374" customFormat="1" x14ac:dyDescent="0.2">
      <c r="B123" s="395"/>
      <c r="C123" s="1416" t="s">
        <v>1886</v>
      </c>
      <c r="D123" s="760" t="s">
        <v>1431</v>
      </c>
      <c r="E123" s="2128">
        <f>(J123-F123)/(J$121-F$121)</f>
        <v>2.4</v>
      </c>
      <c r="F123" s="2121">
        <v>82</v>
      </c>
      <c r="G123" s="2121">
        <f t="shared" si="16"/>
        <v>94</v>
      </c>
      <c r="H123" s="2121">
        <f t="shared" si="16"/>
        <v>106</v>
      </c>
      <c r="I123" s="2121">
        <f t="shared" si="16"/>
        <v>118</v>
      </c>
      <c r="J123" s="2121">
        <v>130</v>
      </c>
      <c r="K123" s="2121">
        <v>130</v>
      </c>
      <c r="L123" s="176">
        <v>130</v>
      </c>
      <c r="M123" s="176">
        <v>130</v>
      </c>
      <c r="N123" s="176">
        <v>130</v>
      </c>
      <c r="O123" s="1416"/>
      <c r="P123" s="2245"/>
    </row>
    <row r="124" spans="2:16" s="1374" customFormat="1" x14ac:dyDescent="0.2">
      <c r="B124" s="1377"/>
      <c r="C124" s="1416" t="s">
        <v>893</v>
      </c>
      <c r="D124" s="760" t="s">
        <v>1431</v>
      </c>
      <c r="E124" s="2128">
        <f>(J124-F124)/(J$121-F$121)</f>
        <v>-0.35</v>
      </c>
      <c r="F124" s="2121">
        <v>82</v>
      </c>
      <c r="G124" s="2121">
        <f t="shared" si="16"/>
        <v>80.25</v>
      </c>
      <c r="H124" s="2121">
        <f t="shared" si="16"/>
        <v>78.5</v>
      </c>
      <c r="I124" s="2121">
        <f t="shared" si="16"/>
        <v>76.75</v>
      </c>
      <c r="J124" s="2121">
        <v>75</v>
      </c>
      <c r="K124" s="2121">
        <v>75</v>
      </c>
      <c r="L124" s="176">
        <v>75</v>
      </c>
      <c r="M124" s="176">
        <v>75</v>
      </c>
      <c r="N124" s="176">
        <v>75</v>
      </c>
      <c r="O124" s="1377"/>
      <c r="P124" s="2245"/>
    </row>
    <row r="125" spans="2:16" s="2061" customFormat="1" x14ac:dyDescent="0.2">
      <c r="B125" s="1377"/>
      <c r="C125" s="1416"/>
      <c r="D125" s="1416"/>
      <c r="E125" s="2128"/>
      <c r="F125" s="1416"/>
      <c r="G125" s="176"/>
      <c r="H125" s="176"/>
      <c r="I125" s="176"/>
      <c r="J125" s="176"/>
      <c r="K125" s="176"/>
      <c r="L125" s="176"/>
      <c r="M125" s="176"/>
      <c r="N125" s="1416"/>
      <c r="O125" s="1377"/>
      <c r="P125" s="2245"/>
    </row>
    <row r="126" spans="2:16" s="588" customFormat="1" x14ac:dyDescent="0.2">
      <c r="B126" s="1377"/>
      <c r="C126" s="1416" t="s">
        <v>894</v>
      </c>
      <c r="D126" s="1416" t="str">
        <f>Preferences.moneyunits&amp;"/"&amp;Preferences.EnergyUnits</f>
        <v>N/TWh</v>
      </c>
      <c r="E126" s="2128">
        <f>(J126-F126)/(J$121-F$121)</f>
        <v>416670135.90093577</v>
      </c>
      <c r="F126" s="2122">
        <f>(F122*(USD2010_/Unit.boe))</f>
        <v>8143978548.8399553</v>
      </c>
      <c r="G126" s="2121">
        <f t="shared" ref="G126:I128" si="17">F126+(G$121-F$121)*$E126</f>
        <v>10227329228.344635</v>
      </c>
      <c r="H126" s="2121">
        <f t="shared" si="17"/>
        <v>12310679907.849314</v>
      </c>
      <c r="I126" s="2121">
        <f t="shared" si="17"/>
        <v>14394030587.353992</v>
      </c>
      <c r="J126" s="2122">
        <f t="shared" ref="J126:M127" si="18">(J122*(USD2010_/Unit.boe))*(Price2011)</f>
        <v>16477381266.858671</v>
      </c>
      <c r="K126" s="2122">
        <f t="shared" si="18"/>
        <v>16477381266.858671</v>
      </c>
      <c r="L126" s="2122">
        <f t="shared" si="18"/>
        <v>16477381266.858671</v>
      </c>
      <c r="M126" s="2122">
        <f t="shared" si="18"/>
        <v>16477381266.858671</v>
      </c>
      <c r="N126" s="2122">
        <f>(N122*(USD2010_/Unit.boe))</f>
        <v>16883857967.107224</v>
      </c>
      <c r="O126" s="1377"/>
      <c r="P126" s="2245"/>
    </row>
    <row r="127" spans="2:16" s="588" customFormat="1" x14ac:dyDescent="0.2">
      <c r="B127" s="1377"/>
      <c r="C127" s="1416" t="s">
        <v>1886</v>
      </c>
      <c r="D127" s="1416" t="str">
        <f>Preferences.moneyunits&amp;"/"&amp;Preferences.EnergyUnits</f>
        <v>N/TWh</v>
      </c>
      <c r="E127" s="2128">
        <f>(J127-F127)/(J$121-F$121)</f>
        <v>222818591.58495134</v>
      </c>
      <c r="F127" s="2122">
        <f>(F123*(USD2010_/Unit.boe))</f>
        <v>8143978548.8399553</v>
      </c>
      <c r="G127" s="2121">
        <f t="shared" si="17"/>
        <v>9258071506.7647114</v>
      </c>
      <c r="H127" s="2121">
        <f t="shared" si="17"/>
        <v>10372164464.689468</v>
      </c>
      <c r="I127" s="2121">
        <f t="shared" si="17"/>
        <v>11486257422.614225</v>
      </c>
      <c r="J127" s="2122">
        <f t="shared" si="18"/>
        <v>12600350380.538982</v>
      </c>
      <c r="K127" s="2122">
        <f t="shared" si="18"/>
        <v>12600350380.538982</v>
      </c>
      <c r="L127" s="2122">
        <f t="shared" si="18"/>
        <v>12600350380.538982</v>
      </c>
      <c r="M127" s="2122">
        <f t="shared" si="18"/>
        <v>12600350380.538982</v>
      </c>
      <c r="N127" s="2122">
        <f>(N123*(USD2010_/Unit.boe))</f>
        <v>12911185504.258465</v>
      </c>
      <c r="O127" s="1377"/>
      <c r="P127" s="2245"/>
    </row>
    <row r="128" spans="2:16" s="588" customFormat="1" x14ac:dyDescent="0.2">
      <c r="B128" s="1377"/>
      <c r="C128" s="524" t="s">
        <v>893</v>
      </c>
      <c r="D128" s="524" t="str">
        <f>Preferences.moneyunits&amp;"/"&amp;Preferences.EnergyUnits</f>
        <v>N/TWh</v>
      </c>
      <c r="E128" s="2129">
        <f>(J128-F128)/(J$121-F$121)</f>
        <v>65576443.802972749</v>
      </c>
      <c r="F128" s="2123">
        <f>(F124*(USD2010_/Unit.boe))</f>
        <v>8143978548.8399553</v>
      </c>
      <c r="G128" s="1482">
        <f t="shared" si="17"/>
        <v>8471860767.8548193</v>
      </c>
      <c r="H128" s="1482">
        <f t="shared" si="17"/>
        <v>8799742986.8696823</v>
      </c>
      <c r="I128" s="1482">
        <f t="shared" si="17"/>
        <v>9127625205.8845463</v>
      </c>
      <c r="J128" s="2123">
        <f>(J124*(USD2010_/Unit.boe))*(Price2009)</f>
        <v>9455507424.8994102</v>
      </c>
      <c r="K128" s="2123">
        <f>(K124*(USD2010_/Unit.boe))*(Price2009)</f>
        <v>9455507424.8994102</v>
      </c>
      <c r="L128" s="2123">
        <f>(L124*(USD2010_/Unit.boe))*(Price2009)</f>
        <v>9455507424.8994102</v>
      </c>
      <c r="M128" s="2123">
        <f>(M124*(USD2010_/Unit.boe))*(Price2009)</f>
        <v>9455507424.8994102</v>
      </c>
      <c r="N128" s="2123">
        <f>(N124*(USD2010_/Unit.boe))</f>
        <v>7448760867.841423</v>
      </c>
      <c r="O128" s="1377"/>
      <c r="P128" s="2245"/>
    </row>
    <row r="129" spans="2:16" s="588" customFormat="1" x14ac:dyDescent="0.2">
      <c r="B129" s="1377"/>
      <c r="C129" s="1377"/>
      <c r="D129" s="1377"/>
      <c r="E129" s="1378"/>
      <c r="F129" s="1377"/>
      <c r="G129" s="1377"/>
      <c r="H129" s="1377"/>
      <c r="I129" s="1377"/>
      <c r="J129" s="1377"/>
      <c r="K129" s="1377"/>
      <c r="L129" s="1377"/>
      <c r="M129" s="1377"/>
      <c r="N129" s="1377"/>
      <c r="O129" s="1377"/>
      <c r="P129" s="2245"/>
    </row>
    <row r="130" spans="2:16" s="588" customFormat="1" x14ac:dyDescent="0.2">
      <c r="B130" s="1377"/>
      <c r="C130" s="2063" t="s">
        <v>1945</v>
      </c>
      <c r="D130" s="1904"/>
      <c r="E130" s="2081" t="s">
        <v>1321</v>
      </c>
      <c r="F130" s="2064">
        <v>2010</v>
      </c>
      <c r="G130" s="1844">
        <v>2015</v>
      </c>
      <c r="H130" s="1844">
        <v>2020</v>
      </c>
      <c r="I130" s="1844">
        <v>2025</v>
      </c>
      <c r="J130" s="1844">
        <v>2030</v>
      </c>
      <c r="K130" s="1844">
        <v>2035</v>
      </c>
      <c r="L130" s="1844">
        <v>2040</v>
      </c>
      <c r="M130" s="1844">
        <v>2045</v>
      </c>
      <c r="N130" s="1844">
        <v>2050</v>
      </c>
      <c r="O130" s="1377"/>
      <c r="P130" s="2245"/>
    </row>
    <row r="131" spans="2:16" s="588" customFormat="1" x14ac:dyDescent="0.2">
      <c r="B131" s="1377"/>
      <c r="C131" s="1904" t="s">
        <v>894</v>
      </c>
      <c r="D131" s="1962" t="s">
        <v>1432</v>
      </c>
      <c r="E131" s="2130">
        <f>(J131-F131)/(J$130-F$130)</f>
        <v>2.8</v>
      </c>
      <c r="F131" s="2119">
        <v>44</v>
      </c>
      <c r="G131" s="2119">
        <f t="shared" ref="G131:I133" si="19">F131+(G$130-F$130)*$E131</f>
        <v>58</v>
      </c>
      <c r="H131" s="2119">
        <f t="shared" si="19"/>
        <v>72</v>
      </c>
      <c r="I131" s="2119">
        <f t="shared" si="19"/>
        <v>86</v>
      </c>
      <c r="J131" s="2119">
        <v>100</v>
      </c>
      <c r="K131" s="2119">
        <v>100</v>
      </c>
      <c r="L131" s="2119">
        <v>100</v>
      </c>
      <c r="M131" s="2119">
        <v>100</v>
      </c>
      <c r="N131" s="2119">
        <v>100</v>
      </c>
      <c r="O131" s="1377"/>
      <c r="P131" s="2245"/>
    </row>
    <row r="132" spans="2:16" s="588" customFormat="1" x14ac:dyDescent="0.2">
      <c r="B132" s="1377"/>
      <c r="C132" s="1416" t="s">
        <v>1886</v>
      </c>
      <c r="D132" s="760" t="s">
        <v>1432</v>
      </c>
      <c r="E132" s="2128">
        <f>(J132-F132)/(J$130-F$130)</f>
        <v>1.3</v>
      </c>
      <c r="F132" s="2007">
        <v>44</v>
      </c>
      <c r="G132" s="2121">
        <f t="shared" si="19"/>
        <v>50.5</v>
      </c>
      <c r="H132" s="2121">
        <f t="shared" si="19"/>
        <v>57</v>
      </c>
      <c r="I132" s="2121">
        <f t="shared" si="19"/>
        <v>63.5</v>
      </c>
      <c r="J132" s="2007">
        <v>70</v>
      </c>
      <c r="K132" s="2007">
        <v>70</v>
      </c>
      <c r="L132" s="2007">
        <v>70</v>
      </c>
      <c r="M132" s="2007">
        <v>70</v>
      </c>
      <c r="N132" s="2007">
        <v>70</v>
      </c>
      <c r="O132" s="1377"/>
      <c r="P132" s="2245"/>
    </row>
    <row r="133" spans="2:16" s="588" customFormat="1" x14ac:dyDescent="0.2">
      <c r="B133" s="1377"/>
      <c r="C133" s="1416" t="s">
        <v>893</v>
      </c>
      <c r="D133" s="760" t="s">
        <v>1432</v>
      </c>
      <c r="E133" s="2128">
        <f>(J133-F133)/(J$130-F$130)</f>
        <v>0.05</v>
      </c>
      <c r="F133" s="2121">
        <v>44</v>
      </c>
      <c r="G133" s="2121">
        <f t="shared" si="19"/>
        <v>44.25</v>
      </c>
      <c r="H133" s="2121">
        <f t="shared" si="19"/>
        <v>44.5</v>
      </c>
      <c r="I133" s="2121">
        <f t="shared" si="19"/>
        <v>44.75</v>
      </c>
      <c r="J133" s="2121">
        <v>45</v>
      </c>
      <c r="K133" s="2121">
        <v>45</v>
      </c>
      <c r="L133" s="2121">
        <v>45</v>
      </c>
      <c r="M133" s="2121">
        <v>45</v>
      </c>
      <c r="N133" s="2121">
        <v>45</v>
      </c>
      <c r="O133" s="1377"/>
      <c r="P133" s="2245"/>
    </row>
    <row r="134" spans="2:16" s="588" customFormat="1" x14ac:dyDescent="0.2">
      <c r="B134" s="1377"/>
      <c r="C134" s="1416"/>
      <c r="D134" s="1416"/>
      <c r="E134" s="2128"/>
      <c r="F134" s="2007"/>
      <c r="G134" s="2121"/>
      <c r="H134" s="2121"/>
      <c r="I134" s="2121"/>
      <c r="J134" s="2121"/>
      <c r="K134" s="2121"/>
      <c r="L134" s="2121"/>
      <c r="M134" s="2121"/>
      <c r="N134" s="2007"/>
      <c r="O134" s="1377"/>
      <c r="P134" s="2245"/>
    </row>
    <row r="135" spans="2:16" s="588" customFormat="1" x14ac:dyDescent="0.2">
      <c r="B135" s="1377"/>
      <c r="C135" s="1416" t="s">
        <v>894</v>
      </c>
      <c r="D135" s="1416" t="str">
        <f>Preferences.moneyunits&amp;"/"&amp;Preferences.EnergyUnits</f>
        <v>N/TWh</v>
      </c>
      <c r="E135" s="2128">
        <f>(J135-F135)/(J$130-F$130)</f>
        <v>228580362.20436057</v>
      </c>
      <c r="F135" s="2122">
        <f>((F131/100)*(GBP/Unit.therm))</f>
        <v>3753336199.4840922</v>
      </c>
      <c r="G135" s="2121">
        <f t="shared" ref="G135:I137" si="20">F135+(G$130-F$130)*$E135</f>
        <v>4896238010.5058956</v>
      </c>
      <c r="H135" s="2121">
        <f t="shared" si="20"/>
        <v>6039139821.5276985</v>
      </c>
      <c r="I135" s="2121">
        <f t="shared" si="20"/>
        <v>7182041632.5495014</v>
      </c>
      <c r="J135" s="2122">
        <f t="shared" ref="J135:M137" si="21">((J131/100)*(GBP/Unit.therm))*(Price2011)</f>
        <v>8324943443.5713043</v>
      </c>
      <c r="K135" s="2122">
        <f t="shared" si="21"/>
        <v>8324943443.5713043</v>
      </c>
      <c r="L135" s="2122">
        <f t="shared" si="21"/>
        <v>8324943443.5713043</v>
      </c>
      <c r="M135" s="2122">
        <f t="shared" si="21"/>
        <v>8324943443.5713043</v>
      </c>
      <c r="N135" s="2122">
        <f>((N131/100)*(GBP/Unit.therm))</f>
        <v>8530309544.2820282</v>
      </c>
      <c r="O135" s="1377"/>
      <c r="P135" s="2245"/>
    </row>
    <row r="136" spans="2:16" s="588" customFormat="1" x14ac:dyDescent="0.2">
      <c r="B136" s="1377"/>
      <c r="C136" s="1416" t="s">
        <v>1886</v>
      </c>
      <c r="D136" s="1416" t="str">
        <f>Preferences.moneyunits&amp;"/"&amp;Preferences.EnergyUnits</f>
        <v>N/TWh</v>
      </c>
      <c r="E136" s="2128">
        <f>(J136-F136)/(J$130-F$130)</f>
        <v>103706210.550791</v>
      </c>
      <c r="F136" s="2122">
        <f>((F132/100)*(GBP/Unit.therm))</f>
        <v>3753336199.4840922</v>
      </c>
      <c r="G136" s="2121">
        <f t="shared" si="20"/>
        <v>4271867252.2380471</v>
      </c>
      <c r="H136" s="2121">
        <f t="shared" si="20"/>
        <v>4790398304.9920025</v>
      </c>
      <c r="I136" s="2121">
        <f t="shared" si="20"/>
        <v>5308929357.7459574</v>
      </c>
      <c r="J136" s="2122">
        <f t="shared" si="21"/>
        <v>5827460410.4999123</v>
      </c>
      <c r="K136" s="2122">
        <f t="shared" si="21"/>
        <v>5827460410.4999123</v>
      </c>
      <c r="L136" s="2122">
        <f t="shared" si="21"/>
        <v>5827460410.4999123</v>
      </c>
      <c r="M136" s="2122">
        <f t="shared" si="21"/>
        <v>5827460410.4999123</v>
      </c>
      <c r="N136" s="2122">
        <f>((N132/100)*(GBP/Unit.therm))</f>
        <v>5971216680.9974194</v>
      </c>
      <c r="O136" s="1377"/>
      <c r="P136" s="2245"/>
    </row>
    <row r="137" spans="2:16" s="588" customFormat="1" x14ac:dyDescent="0.2">
      <c r="B137" s="1377"/>
      <c r="C137" s="524" t="s">
        <v>893</v>
      </c>
      <c r="D137" s="524" t="str">
        <f>Preferences.moneyunits&amp;"/"&amp;Preferences.EnergyUnits</f>
        <v>N/TWh</v>
      </c>
      <c r="E137" s="2129">
        <f>(J137-F137)/(J$130-F$130)</f>
        <v>-355582.49385025504</v>
      </c>
      <c r="F137" s="2123">
        <f>((F133/100)*(GBP/Unit.therm))</f>
        <v>3753336199.4840922</v>
      </c>
      <c r="G137" s="1482">
        <f t="shared" si="20"/>
        <v>3751558287.0148411</v>
      </c>
      <c r="H137" s="1482">
        <f t="shared" si="20"/>
        <v>3749780374.5455899</v>
      </c>
      <c r="I137" s="1482">
        <f t="shared" si="20"/>
        <v>3748002462.0763388</v>
      </c>
      <c r="J137" s="2123">
        <f t="shared" si="21"/>
        <v>3746224549.6070871</v>
      </c>
      <c r="K137" s="2123">
        <f t="shared" si="21"/>
        <v>3746224549.6070871</v>
      </c>
      <c r="L137" s="2123">
        <f t="shared" si="21"/>
        <v>3746224549.6070871</v>
      </c>
      <c r="M137" s="2123">
        <f t="shared" si="21"/>
        <v>3746224549.6070871</v>
      </c>
      <c r="N137" s="2123">
        <f>((N133/100)*(GBP/Unit.therm))</f>
        <v>3838639294.9269128</v>
      </c>
      <c r="O137" s="1377"/>
      <c r="P137" s="2245"/>
    </row>
    <row r="138" spans="2:16" s="588" customFormat="1" x14ac:dyDescent="0.2">
      <c r="B138" s="1377"/>
      <c r="C138" s="1377"/>
      <c r="D138" s="1377"/>
      <c r="E138" s="1377"/>
      <c r="F138" s="1377"/>
      <c r="G138" s="1377"/>
      <c r="H138" s="1377"/>
      <c r="I138" s="1377"/>
      <c r="J138" s="1377"/>
      <c r="K138" s="1377"/>
      <c r="L138" s="1377"/>
      <c r="M138" s="1377"/>
      <c r="N138" s="1377"/>
      <c r="O138" s="1377"/>
    </row>
    <row r="139" spans="2:16" s="588" customFormat="1" x14ac:dyDescent="0.2"/>
    <row r="140" spans="2:16" s="588" customFormat="1" x14ac:dyDescent="0.2"/>
    <row r="141" spans="2:16" s="588" customFormat="1" x14ac:dyDescent="0.2"/>
    <row r="142" spans="2:16" ht="15.75" x14ac:dyDescent="0.25">
      <c r="B142" s="134" t="s">
        <v>279</v>
      </c>
    </row>
    <row r="143" spans="2:16" x14ac:dyDescent="0.2">
      <c r="B143" s="354">
        <v>1</v>
      </c>
      <c r="C143" s="38" t="s">
        <v>430</v>
      </c>
    </row>
    <row r="144" spans="2:16" x14ac:dyDescent="0.2">
      <c r="B144" s="354">
        <v>2</v>
      </c>
      <c r="C144" s="38" t="s">
        <v>431</v>
      </c>
    </row>
    <row r="145" spans="2:14" x14ac:dyDescent="0.2">
      <c r="B145" s="354">
        <v>3</v>
      </c>
      <c r="C145" s="38" t="s">
        <v>539</v>
      </c>
    </row>
    <row r="146" spans="2:14" s="1374" customFormat="1" x14ac:dyDescent="0.2">
      <c r="B146" s="354">
        <v>4</v>
      </c>
      <c r="C146" s="1374" t="s">
        <v>1443</v>
      </c>
    </row>
    <row r="148" spans="2:14" x14ac:dyDescent="0.2">
      <c r="B148" s="38">
        <v>1</v>
      </c>
      <c r="C148" s="38" t="s">
        <v>511</v>
      </c>
    </row>
    <row r="149" spans="2:14" x14ac:dyDescent="0.2">
      <c r="C149" s="82" t="s">
        <v>432</v>
      </c>
      <c r="E149" s="38" t="str">
        <f>Preferences.EnergyUnits</f>
        <v>TWh</v>
      </c>
      <c r="F149" s="114">
        <f t="shared" ref="F149:N149" si="22">F$49</f>
        <v>6.17215067274</v>
      </c>
      <c r="G149" s="114">
        <f t="shared" si="22"/>
        <v>6.17215067274</v>
      </c>
      <c r="H149" s="114">
        <f t="shared" si="22"/>
        <v>7.17215067274</v>
      </c>
      <c r="I149" s="114">
        <f t="shared" si="22"/>
        <v>17.5</v>
      </c>
      <c r="J149" s="114">
        <f t="shared" si="22"/>
        <v>34</v>
      </c>
      <c r="K149" s="114">
        <f t="shared" si="22"/>
        <v>50.5</v>
      </c>
      <c r="L149" s="114">
        <f t="shared" si="22"/>
        <v>67</v>
      </c>
      <c r="M149" s="114">
        <f t="shared" si="22"/>
        <v>83.5</v>
      </c>
      <c r="N149" s="114">
        <f t="shared" si="22"/>
        <v>100</v>
      </c>
    </row>
    <row r="150" spans="2:14" x14ac:dyDescent="0.2">
      <c r="B150" s="20"/>
      <c r="C150" s="38" t="s">
        <v>433</v>
      </c>
      <c r="F150" s="136">
        <f t="shared" ref="F150:N150" si="23">F$149*F$59</f>
        <v>4.8774975343134033E-2</v>
      </c>
      <c r="G150" s="136">
        <f t="shared" si="23"/>
        <v>4.8774975343134033E-2</v>
      </c>
      <c r="H150" s="136">
        <f t="shared" si="23"/>
        <v>5.6677403188674848E-2</v>
      </c>
      <c r="I150" s="136">
        <f t="shared" si="23"/>
        <v>0.13829248729696422</v>
      </c>
      <c r="J150" s="136">
        <f t="shared" si="23"/>
        <v>0.26868254674838765</v>
      </c>
      <c r="K150" s="136">
        <f t="shared" si="23"/>
        <v>0.39907260619981105</v>
      </c>
      <c r="L150" s="136">
        <f t="shared" si="23"/>
        <v>0.52946266565123445</v>
      </c>
      <c r="M150" s="136">
        <f t="shared" si="23"/>
        <v>0.65985272510265791</v>
      </c>
      <c r="N150" s="136">
        <f t="shared" si="23"/>
        <v>0.79024278455408126</v>
      </c>
    </row>
    <row r="151" spans="2:14" x14ac:dyDescent="0.2">
      <c r="B151" s="20"/>
      <c r="C151" s="38" t="s">
        <v>437</v>
      </c>
      <c r="F151" s="136">
        <f t="shared" ref="F151:N151" si="24">F$149*F$60</f>
        <v>2.2175097251858548E-3</v>
      </c>
      <c r="G151" s="136">
        <f t="shared" si="24"/>
        <v>2.2175097251858548E-3</v>
      </c>
      <c r="H151" s="136">
        <f t="shared" si="24"/>
        <v>2.5767863927143608E-3</v>
      </c>
      <c r="I151" s="136">
        <f t="shared" si="24"/>
        <v>6.287341681748858E-3</v>
      </c>
      <c r="J151" s="136">
        <f t="shared" si="24"/>
        <v>1.2215406695969209E-2</v>
      </c>
      <c r="K151" s="136">
        <f t="shared" si="24"/>
        <v>1.8143471710189561E-2</v>
      </c>
      <c r="L151" s="136">
        <f t="shared" si="24"/>
        <v>2.4071536724409912E-2</v>
      </c>
      <c r="M151" s="136">
        <f t="shared" si="24"/>
        <v>2.9999601738630265E-2</v>
      </c>
      <c r="N151" s="136">
        <f t="shared" si="24"/>
        <v>3.5927666752850619E-2</v>
      </c>
    </row>
    <row r="152" spans="2:14" x14ac:dyDescent="0.2">
      <c r="B152" s="196"/>
      <c r="C152" s="38" t="s">
        <v>434</v>
      </c>
      <c r="F152" s="136">
        <f t="shared" ref="F152:N152" si="25">F149*F$61</f>
        <v>4.5151536984335593E-3</v>
      </c>
      <c r="G152" s="136">
        <f t="shared" si="25"/>
        <v>4.5151536984335593E-3</v>
      </c>
      <c r="H152" s="136">
        <f t="shared" si="25"/>
        <v>5.2466902304847364E-3</v>
      </c>
      <c r="I152" s="136">
        <f t="shared" si="25"/>
        <v>1.2801889310895598E-2</v>
      </c>
      <c r="J152" s="136">
        <f t="shared" si="25"/>
        <v>2.487224208974002E-2</v>
      </c>
      <c r="K152" s="136">
        <f t="shared" si="25"/>
        <v>3.6942594868584443E-2</v>
      </c>
      <c r="L152" s="136">
        <f t="shared" si="25"/>
        <v>4.9012947647428862E-2</v>
      </c>
      <c r="M152" s="136">
        <f t="shared" si="25"/>
        <v>6.1083300426273288E-2</v>
      </c>
      <c r="N152" s="136">
        <f t="shared" si="25"/>
        <v>7.3153653205117714E-2</v>
      </c>
    </row>
    <row r="153" spans="2:14" x14ac:dyDescent="0.2">
      <c r="F153" s="139"/>
      <c r="G153" s="139"/>
      <c r="H153" s="139"/>
      <c r="I153" s="139"/>
      <c r="J153" s="139"/>
      <c r="K153" s="139"/>
      <c r="L153" s="139"/>
      <c r="M153" s="139"/>
      <c r="N153" s="139"/>
    </row>
    <row r="154" spans="2:14" x14ac:dyDescent="0.2">
      <c r="B154" s="38">
        <v>2</v>
      </c>
      <c r="C154" s="20" t="s">
        <v>512</v>
      </c>
      <c r="F154" s="1665"/>
      <c r="G154" s="1665"/>
      <c r="H154" s="1665"/>
      <c r="I154" s="1665"/>
      <c r="J154" s="1665"/>
      <c r="K154" s="1665"/>
      <c r="L154" s="1665"/>
      <c r="M154" s="1665"/>
      <c r="N154" s="1665"/>
    </row>
    <row r="155" spans="2:14" x14ac:dyDescent="0.2">
      <c r="C155" s="82" t="s">
        <v>435</v>
      </c>
      <c r="F155" s="114">
        <f t="shared" ref="F155:N155" si="26">F$50</f>
        <v>1458.9378638800001</v>
      </c>
      <c r="G155" s="114">
        <f t="shared" si="26"/>
        <v>1458.9378638800001</v>
      </c>
      <c r="H155" s="114">
        <f t="shared" si="26"/>
        <v>1448.5168791380001</v>
      </c>
      <c r="I155" s="114">
        <f t="shared" si="26"/>
        <v>1438.0958943960002</v>
      </c>
      <c r="J155" s="114">
        <f t="shared" si="26"/>
        <v>1427.6749096540002</v>
      </c>
      <c r="K155" s="114">
        <f t="shared" si="26"/>
        <v>1417.253924912</v>
      </c>
      <c r="L155" s="114">
        <f t="shared" si="26"/>
        <v>1406.83294017</v>
      </c>
      <c r="M155" s="114">
        <f t="shared" si="26"/>
        <v>1396.4119554280001</v>
      </c>
      <c r="N155" s="114">
        <f t="shared" si="26"/>
        <v>1385.9909706860001</v>
      </c>
    </row>
    <row r="156" spans="2:14" x14ac:dyDescent="0.2">
      <c r="C156" s="82" t="s">
        <v>436</v>
      </c>
      <c r="F156" s="114">
        <f t="shared" ref="F156:N156" si="27">F$51</f>
        <v>761.432111111111</v>
      </c>
      <c r="G156" s="114">
        <f t="shared" si="27"/>
        <v>844.92033333333336</v>
      </c>
      <c r="H156" s="114">
        <f t="shared" si="27"/>
        <v>860.64599999999996</v>
      </c>
      <c r="I156" s="114">
        <f t="shared" si="27"/>
        <v>876.37166666666667</v>
      </c>
      <c r="J156" s="114">
        <f t="shared" si="27"/>
        <v>892.09733333333338</v>
      </c>
      <c r="K156" s="114">
        <f t="shared" si="27"/>
        <v>907.82299999999998</v>
      </c>
      <c r="L156" s="114">
        <f t="shared" si="27"/>
        <v>923.54866666666669</v>
      </c>
      <c r="M156" s="114">
        <f t="shared" si="27"/>
        <v>939.27433333333329</v>
      </c>
      <c r="N156" s="114">
        <f t="shared" si="27"/>
        <v>955</v>
      </c>
    </row>
    <row r="157" spans="2:14" x14ac:dyDescent="0.2">
      <c r="C157" s="38" t="s">
        <v>433</v>
      </c>
      <c r="F157" s="136">
        <f t="shared" ref="F157:N157" si="28">F$155*F$66</f>
        <v>0.83776313233855804</v>
      </c>
      <c r="G157" s="136">
        <f t="shared" si="28"/>
        <v>0.83776313233855804</v>
      </c>
      <c r="H157" s="136">
        <f t="shared" si="28"/>
        <v>0.83177910996471127</v>
      </c>
      <c r="I157" s="136">
        <f t="shared" si="28"/>
        <v>0.8257950875908644</v>
      </c>
      <c r="J157" s="136">
        <f t="shared" si="28"/>
        <v>0.81981106521701763</v>
      </c>
      <c r="K157" s="136">
        <f t="shared" si="28"/>
        <v>0.81382704284317064</v>
      </c>
      <c r="L157" s="136">
        <f t="shared" si="28"/>
        <v>0.80784302046932377</v>
      </c>
      <c r="M157" s="136">
        <f t="shared" si="28"/>
        <v>0.801858998095477</v>
      </c>
      <c r="N157" s="136">
        <f t="shared" si="28"/>
        <v>0.79587497572163013</v>
      </c>
    </row>
    <row r="158" spans="2:14" x14ac:dyDescent="0.2">
      <c r="C158" s="38" t="s">
        <v>434</v>
      </c>
      <c r="F158" s="136">
        <f t="shared" ref="F158:N158" si="29">F$155*F$67</f>
        <v>354.52190092284002</v>
      </c>
      <c r="G158" s="136">
        <f t="shared" si="29"/>
        <v>319.32502495673498</v>
      </c>
      <c r="H158" s="136">
        <f t="shared" si="29"/>
        <v>282.09866221212548</v>
      </c>
      <c r="I158" s="136">
        <f t="shared" si="29"/>
        <v>245.3751119813175</v>
      </c>
      <c r="J158" s="136">
        <f t="shared" si="29"/>
        <v>209.15437426431097</v>
      </c>
      <c r="K158" s="136">
        <f t="shared" si="29"/>
        <v>173.43644906110595</v>
      </c>
      <c r="L158" s="136">
        <f t="shared" si="29"/>
        <v>138.22133637170242</v>
      </c>
      <c r="M158" s="136">
        <f t="shared" si="29"/>
        <v>103.50903619610042</v>
      </c>
      <c r="N158" s="136">
        <f t="shared" si="29"/>
        <v>69.299548534300001</v>
      </c>
    </row>
    <row r="159" spans="2:14" x14ac:dyDescent="0.2">
      <c r="F159" s="136"/>
      <c r="G159" s="136"/>
      <c r="H159" s="136"/>
      <c r="I159" s="136"/>
      <c r="J159" s="136"/>
      <c r="K159" s="136"/>
      <c r="L159" s="136"/>
      <c r="M159" s="136"/>
      <c r="N159" s="136"/>
    </row>
    <row r="160" spans="2:14" x14ac:dyDescent="0.2">
      <c r="B160" s="1726" t="s">
        <v>1654</v>
      </c>
      <c r="C160" s="1726" t="s">
        <v>1836</v>
      </c>
      <c r="F160" s="136"/>
      <c r="G160" s="136"/>
      <c r="H160" s="136"/>
      <c r="I160" s="136"/>
      <c r="J160" s="136"/>
      <c r="K160" s="136"/>
      <c r="L160" s="136"/>
      <c r="M160" s="136"/>
      <c r="N160" s="136"/>
    </row>
    <row r="161" spans="2:14" ht="14.25" x14ac:dyDescent="0.25">
      <c r="C161" s="38" t="s">
        <v>562</v>
      </c>
      <c r="E161" s="38" t="s">
        <v>493</v>
      </c>
      <c r="F161" s="136">
        <f t="shared" ref="F161:N161" si="30">(F$149/$F$149)*$F$72*GWP.CH4</f>
        <v>8.4000000000000012E-3</v>
      </c>
      <c r="G161" s="136">
        <f t="shared" si="30"/>
        <v>8.4000000000000012E-3</v>
      </c>
      <c r="H161" s="136">
        <f t="shared" si="30"/>
        <v>9.7609518700020638E-3</v>
      </c>
      <c r="I161" s="136">
        <f t="shared" si="30"/>
        <v>2.3816657725036119E-2</v>
      </c>
      <c r="J161" s="136">
        <f t="shared" si="30"/>
        <v>4.6272363580070176E-2</v>
      </c>
      <c r="K161" s="136">
        <f t="shared" si="30"/>
        <v>6.8728069435104233E-2</v>
      </c>
      <c r="L161" s="136">
        <f t="shared" si="30"/>
        <v>9.1183775290138283E-2</v>
      </c>
      <c r="M161" s="136">
        <f t="shared" si="30"/>
        <v>0.11363948114517233</v>
      </c>
      <c r="N161" s="136">
        <f t="shared" si="30"/>
        <v>0.1360951870002064</v>
      </c>
    </row>
    <row r="162" spans="2:14" x14ac:dyDescent="0.2">
      <c r="C162" s="38" t="s">
        <v>563</v>
      </c>
      <c r="E162" s="38" t="s">
        <v>492</v>
      </c>
      <c r="F162" s="136">
        <f>(F$155/$F$155)*$F$73</f>
        <v>6.66</v>
      </c>
      <c r="G162" s="136">
        <f t="shared" ref="G162:N162" si="31">(G$155/$F$155)*$F$73</f>
        <v>6.66</v>
      </c>
      <c r="H162" s="136">
        <f t="shared" si="31"/>
        <v>6.6124285714285715</v>
      </c>
      <c r="I162" s="136">
        <f t="shared" si="31"/>
        <v>6.5648571428571429</v>
      </c>
      <c r="J162" s="136">
        <f t="shared" si="31"/>
        <v>6.5172857142857152</v>
      </c>
      <c r="K162" s="136">
        <f t="shared" si="31"/>
        <v>6.4697142857142849</v>
      </c>
      <c r="L162" s="136">
        <f t="shared" si="31"/>
        <v>6.4221428571428563</v>
      </c>
      <c r="M162" s="136">
        <f t="shared" si="31"/>
        <v>6.3745714285714286</v>
      </c>
      <c r="N162" s="136">
        <f t="shared" si="31"/>
        <v>6.327</v>
      </c>
    </row>
    <row r="163" spans="2:14" x14ac:dyDescent="0.2">
      <c r="C163" s="38" t="s">
        <v>564</v>
      </c>
      <c r="F163" s="136"/>
      <c r="G163" s="136"/>
      <c r="H163" s="136"/>
      <c r="I163" s="136"/>
      <c r="J163" s="136"/>
      <c r="K163" s="136"/>
      <c r="L163" s="136"/>
      <c r="M163" s="136"/>
      <c r="N163" s="136"/>
    </row>
    <row r="164" spans="2:14" x14ac:dyDescent="0.2">
      <c r="D164" s="38" t="s">
        <v>473</v>
      </c>
      <c r="E164" s="38" t="s">
        <v>492</v>
      </c>
      <c r="F164" s="136">
        <f>F$158*INDEX(EF[CO2], MATCH("V.05",  EF[Vector], 0))</f>
        <v>65.232029769802551</v>
      </c>
      <c r="G164" s="136">
        <f>G$158*INDEX(EF[CO2], MATCH("V.05",  EF[Vector], 0))</f>
        <v>58.755804592039226</v>
      </c>
      <c r="H164" s="136">
        <f>H$158*INDEX(EF[CO2], MATCH("V.05",  EF[Vector], 0))</f>
        <v>51.906153847031078</v>
      </c>
      <c r="I164" s="136">
        <f>I$158*INDEX(EF[CO2], MATCH("V.05",  EF[Vector], 0))</f>
        <v>45.149020604562416</v>
      </c>
      <c r="J164" s="136">
        <f>J$158*INDEX(EF[CO2], MATCH("V.05",  EF[Vector], 0))</f>
        <v>38.484404864633213</v>
      </c>
      <c r="K164" s="136">
        <f>K$158*INDEX(EF[CO2], MATCH("V.05",  EF[Vector], 0))</f>
        <v>31.912306627243488</v>
      </c>
      <c r="L164" s="136">
        <f>L$158*INDEX(EF[CO2], MATCH("V.05",  EF[Vector], 0))</f>
        <v>25.43272589239324</v>
      </c>
      <c r="M164" s="136">
        <f>M$158*INDEX(EF[CO2], MATCH("V.05",  EF[Vector], 0))</f>
        <v>19.045662660082474</v>
      </c>
      <c r="N164" s="136">
        <f>N$158*INDEX(EF[CO2], MATCH("V.05",  EF[Vector], 0))</f>
        <v>12.751116930311198</v>
      </c>
    </row>
    <row r="165" spans="2:14" x14ac:dyDescent="0.2">
      <c r="D165" s="38" t="s">
        <v>474</v>
      </c>
      <c r="F165" s="136">
        <f>F$158*INDEX(EF[CH4], MATCH("V.05",  EF[Vector], 0))</f>
        <v>0.13075667139857669</v>
      </c>
      <c r="G165" s="136">
        <f>G$158*INDEX(EF[CH4], MATCH("V.05",  EF[Vector], 0))</f>
        <v>0.1177751705858579</v>
      </c>
      <c r="H165" s="136">
        <f>H$158*INDEX(EF[CH4], MATCH("V.05",  EF[Vector], 0))</f>
        <v>0.10404514356047384</v>
      </c>
      <c r="I165" s="136">
        <f>I$158*INDEX(EF[CH4], MATCH("V.05",  EF[Vector], 0))</f>
        <v>9.0500566546700065E-2</v>
      </c>
      <c r="J165" s="136">
        <f>J$158*INDEX(EF[CH4], MATCH("V.05",  EF[Vector], 0))</f>
        <v>7.7141439544536533E-2</v>
      </c>
      <c r="K165" s="136">
        <f>K$158*INDEX(EF[CH4], MATCH("V.05",  EF[Vector], 0))</f>
        <v>6.3967762553983273E-2</v>
      </c>
      <c r="L165" s="136">
        <f>L$158*INDEX(EF[CH4], MATCH("V.05",  EF[Vector], 0))</f>
        <v>5.0979535575040286E-2</v>
      </c>
      <c r="M165" s="136">
        <f>M$158*INDEX(EF[CH4], MATCH("V.05",  EF[Vector], 0))</f>
        <v>3.817675860770757E-2</v>
      </c>
      <c r="N165" s="136">
        <f>N$158*INDEX(EF[CH4], MATCH("V.05",  EF[Vector], 0))</f>
        <v>2.5559431651985154E-2</v>
      </c>
    </row>
    <row r="166" spans="2:14" x14ac:dyDescent="0.2">
      <c r="D166" s="38" t="s">
        <v>475</v>
      </c>
      <c r="F166" s="136">
        <f>F$158*INDEX(EF[N2O], MATCH("V.05",  EF[Vector], 0))</f>
        <v>0.14063515702509768</v>
      </c>
      <c r="G166" s="136">
        <f>G$158*INDEX(EF[N2O], MATCH("V.05",  EF[Vector], 0))</f>
        <v>0.12667292178546605</v>
      </c>
      <c r="H166" s="136">
        <f>H$158*INDEX(EF[N2O], MATCH("V.05",  EF[Vector], 0))</f>
        <v>0.11190561021336419</v>
      </c>
      <c r="I166" s="136">
        <f>I$158*INDEX(EF[N2O], MATCH("V.05",  EF[Vector], 0))</f>
        <v>9.7337759144685662E-2</v>
      </c>
      <c r="J166" s="136">
        <f>J$158*INDEX(EF[N2O], MATCH("V.05",  EF[Vector], 0))</f>
        <v>8.2969368579430408E-2</v>
      </c>
      <c r="K166" s="136">
        <f>K$158*INDEX(EF[N2O], MATCH("V.05",  EF[Vector], 0))</f>
        <v>6.880043851759847E-2</v>
      </c>
      <c r="L166" s="136">
        <f>L$158*INDEX(EF[N2O], MATCH("V.05",  EF[Vector], 0))</f>
        <v>5.4830968959189832E-2</v>
      </c>
      <c r="M166" s="136">
        <f>M$158*INDEX(EF[N2O], MATCH("V.05",  EF[Vector], 0))</f>
        <v>4.1060959904204525E-2</v>
      </c>
      <c r="N166" s="136">
        <f>N$158*INDEX(EF[N2O], MATCH("V.05",  EF[Vector], 0))</f>
        <v>2.749041135264255E-2</v>
      </c>
    </row>
    <row r="168" spans="2:14" s="1616" customFormat="1" x14ac:dyDescent="0.2">
      <c r="B168" s="1726" t="s">
        <v>1655</v>
      </c>
      <c r="C168" s="1726" t="s">
        <v>1837</v>
      </c>
    </row>
    <row r="169" spans="2:14" s="2022" customFormat="1" x14ac:dyDescent="0.2">
      <c r="C169" s="2022" t="s">
        <v>494</v>
      </c>
    </row>
    <row r="170" spans="2:14" s="2022" customFormat="1" ht="6" customHeight="1" x14ac:dyDescent="0.2">
      <c r="F170" s="2753"/>
      <c r="G170" s="2753"/>
      <c r="H170" s="2753"/>
    </row>
    <row r="171" spans="2:14" s="2022" customFormat="1" x14ac:dyDescent="0.2">
      <c r="C171" s="354" t="s">
        <v>64</v>
      </c>
      <c r="D171" s="354" t="s">
        <v>289</v>
      </c>
      <c r="F171" s="2025">
        <v>2010</v>
      </c>
      <c r="G171" s="2025">
        <v>2015</v>
      </c>
      <c r="H171" s="2025">
        <v>2020</v>
      </c>
      <c r="I171" s="2025">
        <v>2025</v>
      </c>
      <c r="J171" s="2025">
        <v>2030</v>
      </c>
      <c r="K171" s="2025">
        <v>2035</v>
      </c>
      <c r="L171" s="2025">
        <v>2040</v>
      </c>
      <c r="M171" s="2025">
        <v>2045</v>
      </c>
      <c r="N171" s="2025">
        <v>2050</v>
      </c>
    </row>
    <row r="172" spans="2:14" s="2022" customFormat="1" x14ac:dyDescent="0.2">
      <c r="C172" s="2022" t="s">
        <v>1787</v>
      </c>
      <c r="D172" s="2022" t="str">
        <f>INDEX(AirQualityVectors[Description],MATCH(C172,AirQualityVectors[Code],0))</f>
        <v>PM10</v>
      </c>
      <c r="E172" s="1426" t="s">
        <v>1799</v>
      </c>
      <c r="F172" s="2026">
        <f t="shared" ref="F172:N172" si="32">-SUMPRODUCT(F$214:F$215,F78:F79)</f>
        <v>1.3071302972551995</v>
      </c>
      <c r="G172" s="2026">
        <f t="shared" si="32"/>
        <v>1.5178278452651912</v>
      </c>
      <c r="H172" s="2026">
        <f t="shared" si="32"/>
        <v>1.3430617771216733</v>
      </c>
      <c r="I172" s="2026">
        <f t="shared" si="32"/>
        <v>1.1970998920195504</v>
      </c>
      <c r="J172" s="2026">
        <f t="shared" si="32"/>
        <v>1.0513762167297942</v>
      </c>
      <c r="K172" s="2026">
        <f t="shared" si="32"/>
        <v>0.87496365329479686</v>
      </c>
      <c r="L172" s="2026">
        <f t="shared" si="32"/>
        <v>0.70106714101894352</v>
      </c>
      <c r="M172" s="2026">
        <f t="shared" si="32"/>
        <v>0.52968667990223384</v>
      </c>
      <c r="N172" s="2026">
        <f t="shared" si="32"/>
        <v>0.36082226994466821</v>
      </c>
    </row>
    <row r="173" spans="2:14" s="2022" customFormat="1" x14ac:dyDescent="0.2">
      <c r="C173" s="2022" t="s">
        <v>1788</v>
      </c>
      <c r="D173" s="2136" t="str">
        <f>INDEX(AirQualityVectors[Description],MATCH(C173,AirQualityVectors[Code],0))</f>
        <v>NOX</v>
      </c>
      <c r="F173" s="2026">
        <f t="shared" ref="F173:N173" si="33">-SUMPRODUCT(F$214:F$215,F84:F85)</f>
        <v>213.70553969210664</v>
      </c>
      <c r="G173" s="2026">
        <f t="shared" si="33"/>
        <v>165.58517938715519</v>
      </c>
      <c r="H173" s="2026">
        <f t="shared" si="33"/>
        <v>146.17270033275469</v>
      </c>
      <c r="I173" s="2026">
        <f t="shared" si="33"/>
        <v>125.60356218513637</v>
      </c>
      <c r="J173" s="2026">
        <f t="shared" si="33"/>
        <v>105.46974019158145</v>
      </c>
      <c r="K173" s="2026">
        <f t="shared" si="33"/>
        <v>87.471257821993461</v>
      </c>
      <c r="L173" s="2026">
        <f t="shared" si="33"/>
        <v>69.726280144991023</v>
      </c>
      <c r="M173" s="2026">
        <f t="shared" si="33"/>
        <v>52.234807160574114</v>
      </c>
      <c r="N173" s="2026">
        <f t="shared" si="33"/>
        <v>34.996838868742778</v>
      </c>
    </row>
    <row r="174" spans="2:14" s="2022" customFormat="1" x14ac:dyDescent="0.2">
      <c r="C174" s="2022" t="s">
        <v>1789</v>
      </c>
      <c r="D174" s="2136" t="str">
        <f>INDEX(AirQualityVectors[Description],MATCH(C174,AirQualityVectors[Code],0))</f>
        <v>SO2</v>
      </c>
      <c r="F174" s="2026">
        <f t="shared" ref="F174:N174" si="34">-SUMPRODUCT(F$214:F$215,F90:F91)</f>
        <v>7.6544298801951136</v>
      </c>
      <c r="G174" s="2026">
        <f t="shared" si="34"/>
        <v>2.2033898288314195</v>
      </c>
      <c r="H174" s="2026">
        <f t="shared" si="34"/>
        <v>1.9452677763942805</v>
      </c>
      <c r="I174" s="2026">
        <f t="shared" si="34"/>
        <v>1.6611497553942127</v>
      </c>
      <c r="J174" s="2026">
        <f t="shared" si="34"/>
        <v>1.3914702285373046</v>
      </c>
      <c r="K174" s="2026">
        <f t="shared" si="34"/>
        <v>1.1765943856178926</v>
      </c>
      <c r="L174" s="2026">
        <f t="shared" si="34"/>
        <v>0.96498031121333139</v>
      </c>
      <c r="M174" s="2026">
        <f t="shared" si="34"/>
        <v>0.75662800532362007</v>
      </c>
      <c r="N174" s="2026">
        <f t="shared" si="34"/>
        <v>0.55153746794875957</v>
      </c>
    </row>
    <row r="175" spans="2:14" s="2022" customFormat="1" x14ac:dyDescent="0.2">
      <c r="C175" s="2022" t="s">
        <v>1790</v>
      </c>
      <c r="D175" s="2136" t="str">
        <f>INDEX(AirQualityVectors[Description],MATCH(C175,AirQualityVectors[Code],0))</f>
        <v>NMVOC</v>
      </c>
      <c r="F175" s="2026">
        <f t="shared" ref="F175:N175" si="35">-SUMPRODUCT(F$214:F$215,F96:F97)</f>
        <v>2.3213158148080169</v>
      </c>
      <c r="G175" s="2026">
        <f t="shared" si="35"/>
        <v>2.578416316242389</v>
      </c>
      <c r="H175" s="2026">
        <f t="shared" si="35"/>
        <v>2.2778194383119628</v>
      </c>
      <c r="I175" s="2026">
        <f t="shared" si="35"/>
        <v>1.9810539700795002</v>
      </c>
      <c r="J175" s="2026">
        <f t="shared" si="35"/>
        <v>1.6884350527734642</v>
      </c>
      <c r="K175" s="2026">
        <f t="shared" si="35"/>
        <v>1.4002768319450865</v>
      </c>
      <c r="L175" s="2026">
        <f t="shared" si="35"/>
        <v>1.1161769895393592</v>
      </c>
      <c r="M175" s="2026">
        <f t="shared" si="35"/>
        <v>0.83613552555628223</v>
      </c>
      <c r="N175" s="2026">
        <f t="shared" si="35"/>
        <v>0.56015243999585596</v>
      </c>
    </row>
    <row r="176" spans="2:14" s="2022" customFormat="1" x14ac:dyDescent="0.2"/>
    <row r="177" spans="2:14" s="2022" customFormat="1" x14ac:dyDescent="0.2">
      <c r="C177" s="2022" t="s">
        <v>1911</v>
      </c>
      <c r="F177" s="2753" t="s">
        <v>1810</v>
      </c>
      <c r="G177" s="2753"/>
      <c r="H177" s="2753"/>
    </row>
    <row r="178" spans="2:14" s="1616" customFormat="1" ht="6" customHeight="1" x14ac:dyDescent="0.2">
      <c r="F178" s="2753"/>
      <c r="G178" s="2753"/>
      <c r="H178" s="2753"/>
    </row>
    <row r="179" spans="2:14" s="1616" customFormat="1" x14ac:dyDescent="0.2">
      <c r="C179" s="354" t="s">
        <v>64</v>
      </c>
      <c r="D179" s="354" t="s">
        <v>289</v>
      </c>
      <c r="F179" s="1666">
        <v>2010</v>
      </c>
      <c r="G179" s="1666">
        <v>2015</v>
      </c>
      <c r="H179" s="1666">
        <v>2020</v>
      </c>
      <c r="I179" s="1666">
        <v>2025</v>
      </c>
      <c r="J179" s="1666">
        <v>2030</v>
      </c>
      <c r="K179" s="354">
        <v>2035</v>
      </c>
      <c r="L179" s="354">
        <v>2040</v>
      </c>
      <c r="M179" s="354">
        <v>2045</v>
      </c>
      <c r="N179" s="354">
        <v>2050</v>
      </c>
    </row>
    <row r="180" spans="2:14" s="1616" customFormat="1" x14ac:dyDescent="0.2">
      <c r="C180" s="2022" t="s">
        <v>1787</v>
      </c>
      <c r="D180" s="2136" t="str">
        <f>INDEX(AirQualityVectors[Description],MATCH(C180,AirQualityVectors[Code],0))</f>
        <v>PM10</v>
      </c>
      <c r="E180" s="1426" t="s">
        <v>1799</v>
      </c>
      <c r="F180" s="1667">
        <v>1.044614270431415</v>
      </c>
      <c r="G180" s="1667">
        <v>0.81217854453916172</v>
      </c>
      <c r="H180" s="1667">
        <v>0.70545557010936144</v>
      </c>
      <c r="I180" s="1667">
        <v>0.62323133777983886</v>
      </c>
      <c r="J180" s="1667">
        <v>0.55960738160032164</v>
      </c>
      <c r="K180" s="1664">
        <f>(SUMPRODUCT(K$155:K$156,K78:K79)/SUMPRODUCT($J$155:$J$156,$J$78:$J$79))*$J180</f>
        <v>0.55563623644214855</v>
      </c>
      <c r="L180" s="1664">
        <f>(SUMPRODUCT(L$155:L$156,L78:L79)/SUMPRODUCT($J$155:$J$156,$J$78:$J$79))*$J180</f>
        <v>0.55166509128397523</v>
      </c>
      <c r="M180" s="1664">
        <f>(SUMPRODUCT(M$155:M$156,M78:M79)/SUMPRODUCT($J$155:$J$156,$J$78:$J$79))*$J180</f>
        <v>0.54769394612580213</v>
      </c>
      <c r="N180" s="1664">
        <f>(SUMPRODUCT(N$155:N$156,N78:N79)/SUMPRODUCT($J$155:$J$156,$J$78:$J$79))*$J180</f>
        <v>0.54372280096762893</v>
      </c>
    </row>
    <row r="181" spans="2:14" s="1616" customFormat="1" x14ac:dyDescent="0.2">
      <c r="C181" s="2022" t="s">
        <v>1788</v>
      </c>
      <c r="D181" s="2136" t="str">
        <f>INDEX(AirQualityVectors[Description],MATCH(C181,AirQualityVectors[Code],0))</f>
        <v>NOX</v>
      </c>
      <c r="F181" s="1667">
        <v>2.2970828117339019</v>
      </c>
      <c r="G181" s="1667">
        <v>1.6266871457851508</v>
      </c>
      <c r="H181" s="1667">
        <v>1.4129350196890123</v>
      </c>
      <c r="I181" s="1667">
        <v>1.248250662164671</v>
      </c>
      <c r="J181" s="1667">
        <v>1.1208202192194647</v>
      </c>
      <c r="K181" s="1664">
        <f>(SUMPRODUCT(K$155:K$156,K84:K85)/SUMPRODUCT($J$155:$J$156,$J$84:$J$85))*$H181</f>
        <v>1.4149686419430312</v>
      </c>
      <c r="L181" s="1664">
        <f>(SUMPRODUCT(L$155:L$156,L84:L85)/SUMPRODUCT($J$155:$J$156,$J$84:$J$85))*$H181</f>
        <v>1.4170022641970506</v>
      </c>
      <c r="M181" s="1664">
        <f>(SUMPRODUCT(M$155:M$156,M84:M85)/SUMPRODUCT($J$155:$J$156,$J$84:$J$85))*$H181</f>
        <v>1.4190358864510695</v>
      </c>
      <c r="N181" s="1664">
        <f>(SUMPRODUCT(N$155:N$156,N84:N85)/SUMPRODUCT($J$155:$J$156,$J$84:$J$85))*$H181</f>
        <v>1.4210695087050886</v>
      </c>
    </row>
    <row r="182" spans="2:14" s="1616" customFormat="1" x14ac:dyDescent="0.2">
      <c r="C182" s="2022" t="s">
        <v>1789</v>
      </c>
      <c r="D182" s="2136" t="str">
        <f>INDEX(AirQualityVectors[Description],MATCH(C182,AirQualityVectors[Code],0))</f>
        <v>SO2</v>
      </c>
      <c r="F182" s="1667">
        <v>0.39784872304615548</v>
      </c>
      <c r="G182" s="1667">
        <v>0.35951715548768903</v>
      </c>
      <c r="H182" s="1667">
        <v>0.31227540002620008</v>
      </c>
      <c r="I182" s="1667">
        <v>0.27587820347621961</v>
      </c>
      <c r="J182" s="1667">
        <v>0.24771456396575675</v>
      </c>
      <c r="K182" s="1664">
        <f>(SUMPRODUCT(K$155:K$156,K90:K91)/SUMPRODUCT($J$155:$J$156,$J$90:$J$91))*$H182</f>
        <v>0.31000716872342604</v>
      </c>
      <c r="L182" s="1664">
        <f>(SUMPRODUCT(L$155:L$156,L90:L91)/SUMPRODUCT($J$155:$J$156,$J$90:$J$91))*$H182</f>
        <v>0.307738937420652</v>
      </c>
      <c r="M182" s="1664">
        <f>(SUMPRODUCT(M$155:M$156,M90:M91)/SUMPRODUCT($J$155:$J$156,$J$90:$J$91))*$H182</f>
        <v>0.30547070611787808</v>
      </c>
      <c r="N182" s="1664">
        <f>(SUMPRODUCT(N$155:N$156,N90:N91)/SUMPRODUCT($J$155:$J$156,$J$90:$J$91))*$H182</f>
        <v>0.30320247481510398</v>
      </c>
    </row>
    <row r="183" spans="2:14" s="1616" customFormat="1" x14ac:dyDescent="0.2">
      <c r="C183" s="2022" t="s">
        <v>1790</v>
      </c>
      <c r="D183" s="2136" t="str">
        <f>INDEX(AirQualityVectors[Description],MATCH(C183,AirQualityVectors[Code],0))</f>
        <v>NMVOC</v>
      </c>
      <c r="F183" s="1667">
        <v>65.581102611005036</v>
      </c>
      <c r="G183" s="1667">
        <v>64.7953137353649</v>
      </c>
      <c r="H183" s="1667">
        <v>56.451856894568991</v>
      </c>
      <c r="I183" s="1667">
        <v>50.023678356870846</v>
      </c>
      <c r="J183" s="1667">
        <v>45.049644084862535</v>
      </c>
      <c r="K183" s="1664">
        <f>(SUMPRODUCT(K$155:K$156,K96:K97)/SUMPRODUCT($J$155:$J$156,$J$96:$J$97))*$H183</f>
        <v>56.674211729584705</v>
      </c>
      <c r="L183" s="1664">
        <f>(SUMPRODUCT(L$155:L$156,L96:L97)/SUMPRODUCT($J$155:$J$156,$J$96:$J$97))*$H183</f>
        <v>56.896566564600427</v>
      </c>
      <c r="M183" s="1664">
        <f>(SUMPRODUCT(M$155:M$156,M96:M97)/SUMPRODUCT($J$155:$J$156,$J$96:$J$97))*$H183</f>
        <v>57.118921399616141</v>
      </c>
      <c r="N183" s="1664">
        <f>(SUMPRODUCT(N$155:N$156,N96:N97)/SUMPRODUCT($J$155:$J$156,$J$96:$J$97))*$H183</f>
        <v>57.341276234631856</v>
      </c>
    </row>
    <row r="184" spans="2:14" s="1616" customFormat="1" x14ac:dyDescent="0.2"/>
    <row r="185" spans="2:14" s="1374" customFormat="1" x14ac:dyDescent="0.2"/>
    <row r="186" spans="2:14" s="1374" customFormat="1" x14ac:dyDescent="0.2">
      <c r="B186" s="20">
        <v>4</v>
      </c>
      <c r="C186" s="1374" t="s">
        <v>1443</v>
      </c>
      <c r="F186" s="136"/>
      <c r="G186" s="136"/>
      <c r="H186" s="136"/>
      <c r="I186" s="136"/>
      <c r="J186" s="136"/>
      <c r="K186" s="136"/>
      <c r="L186" s="136"/>
      <c r="M186" s="136"/>
      <c r="N186" s="136"/>
    </row>
    <row r="187" spans="2:14" s="1374" customFormat="1" x14ac:dyDescent="0.2">
      <c r="F187" s="136"/>
      <c r="G187" s="136"/>
      <c r="H187" s="136"/>
      <c r="I187" s="136"/>
      <c r="J187" s="136"/>
      <c r="K187" s="136"/>
      <c r="L187" s="136"/>
      <c r="M187" s="136"/>
      <c r="N187" s="136"/>
    </row>
    <row r="188" spans="2:14" s="1374" customFormat="1" x14ac:dyDescent="0.2">
      <c r="C188" s="1427" t="s">
        <v>894</v>
      </c>
      <c r="F188" s="16" t="s">
        <v>241</v>
      </c>
      <c r="G188" s="16" t="s">
        <v>268</v>
      </c>
      <c r="H188" s="16" t="s">
        <v>269</v>
      </c>
      <c r="I188" s="16" t="s">
        <v>270</v>
      </c>
      <c r="J188" s="16" t="s">
        <v>271</v>
      </c>
      <c r="K188" s="16" t="s">
        <v>272</v>
      </c>
      <c r="L188" s="16" t="s">
        <v>273</v>
      </c>
      <c r="M188" s="16" t="s">
        <v>274</v>
      </c>
      <c r="N188" s="16" t="s">
        <v>275</v>
      </c>
    </row>
    <row r="189" spans="2:14" s="1374" customFormat="1" x14ac:dyDescent="0.2">
      <c r="C189" s="1374" t="s">
        <v>104</v>
      </c>
      <c r="E189" s="1374" t="str">
        <f>Preferences.moneyunits</f>
        <v>N</v>
      </c>
      <c r="F189" s="1262">
        <f t="shared" ref="F189:N189" si="36">F149*F117</f>
        <v>20845855878.530571</v>
      </c>
      <c r="G189" s="1262">
        <f t="shared" si="36"/>
        <v>24111056321.481281</v>
      </c>
      <c r="H189" s="1262">
        <f t="shared" si="36"/>
        <v>31811705316.480846</v>
      </c>
      <c r="I189" s="1262">
        <f t="shared" si="36"/>
        <v>86878226012.449387</v>
      </c>
      <c r="J189" s="1262">
        <f t="shared" si="36"/>
        <v>186778713164.42807</v>
      </c>
      <c r="K189" s="1262">
        <f t="shared" si="36"/>
        <v>277421323964.81226</v>
      </c>
      <c r="L189" s="1262">
        <f t="shared" si="36"/>
        <v>368063934765.19647</v>
      </c>
      <c r="M189" s="1262">
        <f t="shared" si="36"/>
        <v>458706545565.58069</v>
      </c>
      <c r="N189" s="1262">
        <f t="shared" si="36"/>
        <v>562900923406.34326</v>
      </c>
    </row>
    <row r="190" spans="2:14" s="1374" customFormat="1" x14ac:dyDescent="0.2">
      <c r="C190" s="1374" t="s">
        <v>118</v>
      </c>
      <c r="E190" s="1374" t="str">
        <f>Preferences.moneyunits</f>
        <v>N</v>
      </c>
      <c r="F190" s="1262">
        <f t="shared" ref="F190:N190" si="37">F155*F126</f>
        <v>11881558667529.107</v>
      </c>
      <c r="G190" s="1262">
        <f t="shared" si="37"/>
        <v>14921037857598.611</v>
      </c>
      <c r="H190" s="1262">
        <f t="shared" si="37"/>
        <v>17832227640184.77</v>
      </c>
      <c r="I190" s="1262">
        <f t="shared" si="37"/>
        <v>20699996291484.223</v>
      </c>
      <c r="J190" s="1262">
        <f t="shared" si="37"/>
        <v>23524343811496.969</v>
      </c>
      <c r="K190" s="1262">
        <f t="shared" si="37"/>
        <v>23352633272726.914</v>
      </c>
      <c r="L190" s="1262">
        <f t="shared" si="37"/>
        <v>23180922733956.863</v>
      </c>
      <c r="M190" s="1262">
        <f t="shared" si="37"/>
        <v>23009212195186.812</v>
      </c>
      <c r="N190" s="1262">
        <f t="shared" si="37"/>
        <v>23400874692755.496</v>
      </c>
    </row>
    <row r="191" spans="2:14" s="1374" customFormat="1" x14ac:dyDescent="0.2">
      <c r="C191" s="20" t="s">
        <v>10</v>
      </c>
      <c r="E191" s="1374" t="str">
        <f>Preferences.moneyunits</f>
        <v>N</v>
      </c>
      <c r="F191" s="1262">
        <f t="shared" ref="F191:N191" si="38">F156*F135</f>
        <v>2857910706082.9263</v>
      </c>
      <c r="G191" s="1262">
        <f t="shared" si="38"/>
        <v>4136931051915.9785</v>
      </c>
      <c r="H191" s="1262">
        <f t="shared" si="38"/>
        <v>5197561530838.5273</v>
      </c>
      <c r="I191" s="1262">
        <f t="shared" si="38"/>
        <v>6294137795586.7939</v>
      </c>
      <c r="J191" s="1262">
        <f t="shared" si="38"/>
        <v>7426659846160.7783</v>
      </c>
      <c r="K191" s="1262">
        <f t="shared" si="38"/>
        <v>7557575131773.2324</v>
      </c>
      <c r="L191" s="1262">
        <f t="shared" si="38"/>
        <v>7688490417385.6865</v>
      </c>
      <c r="M191" s="1262">
        <f t="shared" si="38"/>
        <v>7819405702998.1406</v>
      </c>
      <c r="N191" s="1262">
        <f t="shared" si="38"/>
        <v>8146445614789.3369</v>
      </c>
    </row>
    <row r="192" spans="2:14" s="1374" customFormat="1" x14ac:dyDescent="0.2">
      <c r="C192" s="20" t="s">
        <v>105</v>
      </c>
      <c r="E192" s="1374" t="str">
        <f>Preferences.moneyunits</f>
        <v>N</v>
      </c>
      <c r="F192" s="1262">
        <f t="shared" ref="F192:N192" si="39">SUM(F189:F191)</f>
        <v>14760315229490.564</v>
      </c>
      <c r="G192" s="1262">
        <f t="shared" si="39"/>
        <v>19082079965836.07</v>
      </c>
      <c r="H192" s="1262">
        <f t="shared" si="39"/>
        <v>23061600876339.777</v>
      </c>
      <c r="I192" s="1262">
        <f t="shared" si="39"/>
        <v>27081012313083.465</v>
      </c>
      <c r="J192" s="1262">
        <f t="shared" si="39"/>
        <v>31137782370822.176</v>
      </c>
      <c r="K192" s="1262">
        <f t="shared" si="39"/>
        <v>31187629728464.961</v>
      </c>
      <c r="L192" s="1262">
        <f t="shared" si="39"/>
        <v>31237477086107.746</v>
      </c>
      <c r="M192" s="1262">
        <f t="shared" si="39"/>
        <v>31287324443750.535</v>
      </c>
      <c r="N192" s="1262">
        <f t="shared" si="39"/>
        <v>32110221230951.176</v>
      </c>
    </row>
    <row r="193" spans="1:16" s="2061" customFormat="1" x14ac:dyDescent="0.2">
      <c r="C193" s="20"/>
      <c r="F193" s="1262"/>
      <c r="G193" s="1262"/>
      <c r="H193" s="1262"/>
      <c r="I193" s="1262"/>
      <c r="J193" s="1262"/>
      <c r="K193" s="1262"/>
      <c r="L193" s="1262"/>
      <c r="M193" s="1262"/>
      <c r="N193" s="1262"/>
      <c r="P193" s="20"/>
    </row>
    <row r="194" spans="1:16" s="2061" customFormat="1" x14ac:dyDescent="0.2">
      <c r="C194" s="1427" t="s">
        <v>1886</v>
      </c>
      <c r="F194" s="1426" t="s">
        <v>241</v>
      </c>
      <c r="G194" s="1426" t="s">
        <v>268</v>
      </c>
      <c r="H194" s="1426" t="s">
        <v>269</v>
      </c>
      <c r="I194" s="1426" t="s">
        <v>270</v>
      </c>
      <c r="J194" s="1426" t="s">
        <v>271</v>
      </c>
      <c r="K194" s="1426" t="s">
        <v>272</v>
      </c>
      <c r="L194" s="1426" t="s">
        <v>273</v>
      </c>
      <c r="M194" s="1426" t="s">
        <v>274</v>
      </c>
      <c r="N194" s="1426" t="s">
        <v>275</v>
      </c>
      <c r="P194" s="20"/>
    </row>
    <row r="195" spans="1:16" s="2061" customFormat="1" x14ac:dyDescent="0.2">
      <c r="C195" s="2061" t="s">
        <v>104</v>
      </c>
      <c r="E195" s="2061" t="str">
        <f>Preferences.moneyunits</f>
        <v>N</v>
      </c>
      <c r="F195" s="1262">
        <f t="shared" ref="F195:N195" si="40">F149*F118</f>
        <v>20845855878.530571</v>
      </c>
      <c r="G195" s="1262">
        <f t="shared" si="40"/>
        <v>21650089233.957085</v>
      </c>
      <c r="H195" s="1262">
        <f t="shared" si="40"/>
        <v>26092328817.6754</v>
      </c>
      <c r="I195" s="1262">
        <f t="shared" si="40"/>
        <v>65945365013.826942</v>
      </c>
      <c r="J195" s="1262">
        <f t="shared" si="40"/>
        <v>132552635148.94893</v>
      </c>
      <c r="K195" s="1262">
        <f t="shared" si="40"/>
        <v>196879649265.35062</v>
      </c>
      <c r="L195" s="1262">
        <f t="shared" si="40"/>
        <v>261206663381.75232</v>
      </c>
      <c r="M195" s="1262">
        <f t="shared" si="40"/>
        <v>325533677498.15399</v>
      </c>
      <c r="N195" s="1262">
        <f t="shared" si="40"/>
        <v>399478074675.46942</v>
      </c>
      <c r="P195" s="20"/>
    </row>
    <row r="196" spans="1:16" s="2061" customFormat="1" x14ac:dyDescent="0.2">
      <c r="C196" s="2061" t="s">
        <v>118</v>
      </c>
      <c r="E196" s="2061" t="str">
        <f>Preferences.moneyunits</f>
        <v>N</v>
      </c>
      <c r="F196" s="1262">
        <f t="shared" ref="F196:N196" si="41">F155*F127</f>
        <v>11881558667529.107</v>
      </c>
      <c r="G196" s="1262">
        <f t="shared" si="41"/>
        <v>13506951067727.602</v>
      </c>
      <c r="H196" s="1262">
        <f t="shared" si="41"/>
        <v>15024255300298.055</v>
      </c>
      <c r="I196" s="1262">
        <f t="shared" si="41"/>
        <v>16518339641437.1</v>
      </c>
      <c r="J196" s="1262">
        <f t="shared" si="41"/>
        <v>17989204091144.738</v>
      </c>
      <c r="K196" s="1262">
        <f t="shared" si="41"/>
        <v>17857896032085.285</v>
      </c>
      <c r="L196" s="1262">
        <f t="shared" si="41"/>
        <v>17726587973025.836</v>
      </c>
      <c r="M196" s="1262">
        <f t="shared" si="41"/>
        <v>17595279913966.387</v>
      </c>
      <c r="N196" s="1262">
        <f t="shared" si="41"/>
        <v>17894786529754.203</v>
      </c>
      <c r="P196" s="20"/>
    </row>
    <row r="197" spans="1:16" s="2061" customFormat="1" x14ac:dyDescent="0.2">
      <c r="C197" s="20" t="s">
        <v>10</v>
      </c>
      <c r="E197" s="2061" t="str">
        <f>Preferences.moneyunits</f>
        <v>N</v>
      </c>
      <c r="F197" s="1262">
        <f t="shared" ref="F197:N197" si="42">F156*F136</f>
        <v>2857910706082.9263</v>
      </c>
      <c r="G197" s="1262">
        <f t="shared" si="42"/>
        <v>3609387502716.7217</v>
      </c>
      <c r="H197" s="1262">
        <f t="shared" si="42"/>
        <v>4122837139598.147</v>
      </c>
      <c r="I197" s="1262">
        <f t="shared" si="42"/>
        <v>4652595269463.4209</v>
      </c>
      <c r="J197" s="1262">
        <f t="shared" si="42"/>
        <v>5198661892312.5439</v>
      </c>
      <c r="K197" s="1262">
        <f t="shared" si="42"/>
        <v>5290302592241.2617</v>
      </c>
      <c r="L197" s="1262">
        <f t="shared" si="42"/>
        <v>5381943292169.9805</v>
      </c>
      <c r="M197" s="1262">
        <f t="shared" si="42"/>
        <v>5473583992098.6982</v>
      </c>
      <c r="N197" s="1262">
        <f t="shared" si="42"/>
        <v>5702511930352.5352</v>
      </c>
      <c r="P197" s="20"/>
    </row>
    <row r="198" spans="1:16" s="2061" customFormat="1" x14ac:dyDescent="0.2">
      <c r="C198" s="20" t="s">
        <v>105</v>
      </c>
      <c r="E198" s="2061" t="str">
        <f>Preferences.moneyunits</f>
        <v>N</v>
      </c>
      <c r="F198" s="1262">
        <f t="shared" ref="F198:N198" si="43">SUM(F195:F197)</f>
        <v>14760315229490.564</v>
      </c>
      <c r="G198" s="1262">
        <f t="shared" si="43"/>
        <v>17137988659678.281</v>
      </c>
      <c r="H198" s="1262">
        <f t="shared" si="43"/>
        <v>19173184768713.879</v>
      </c>
      <c r="I198" s="1262">
        <f t="shared" si="43"/>
        <v>21236880275914.348</v>
      </c>
      <c r="J198" s="1262">
        <f t="shared" si="43"/>
        <v>23320418618606.23</v>
      </c>
      <c r="K198" s="1262">
        <f t="shared" si="43"/>
        <v>23345078273591.898</v>
      </c>
      <c r="L198" s="1262">
        <f t="shared" si="43"/>
        <v>23369737928577.57</v>
      </c>
      <c r="M198" s="1262">
        <f t="shared" si="43"/>
        <v>23394397583563.238</v>
      </c>
      <c r="N198" s="1262">
        <f t="shared" si="43"/>
        <v>23996776534782.207</v>
      </c>
      <c r="P198" s="20"/>
    </row>
    <row r="199" spans="1:16" s="1374" customFormat="1" x14ac:dyDescent="0.2">
      <c r="C199" s="20"/>
      <c r="F199" s="136"/>
      <c r="G199" s="136"/>
      <c r="H199" s="136"/>
      <c r="I199" s="136"/>
      <c r="J199" s="136"/>
      <c r="K199" s="136"/>
      <c r="L199" s="136"/>
      <c r="M199" s="136"/>
      <c r="N199" s="136"/>
    </row>
    <row r="200" spans="1:16" s="1374" customFormat="1" x14ac:dyDescent="0.2">
      <c r="C200" s="1427" t="s">
        <v>893</v>
      </c>
      <c r="F200" s="16" t="s">
        <v>241</v>
      </c>
      <c r="G200" s="16" t="s">
        <v>268</v>
      </c>
      <c r="H200" s="16" t="s">
        <v>269</v>
      </c>
      <c r="I200" s="16" t="s">
        <v>270</v>
      </c>
      <c r="J200" s="16" t="s">
        <v>271</v>
      </c>
      <c r="K200" s="16" t="s">
        <v>272</v>
      </c>
      <c r="L200" s="16" t="s">
        <v>273</v>
      </c>
      <c r="M200" s="16" t="s">
        <v>274</v>
      </c>
      <c r="N200" s="16" t="s">
        <v>275</v>
      </c>
    </row>
    <row r="201" spans="1:16" s="1374" customFormat="1" x14ac:dyDescent="0.2">
      <c r="C201" s="1374" t="s">
        <v>104</v>
      </c>
      <c r="E201" s="1374" t="str">
        <f>Preferences.moneyunits</f>
        <v>N</v>
      </c>
      <c r="F201" s="1262">
        <f t="shared" ref="F201:N201" si="44">F149*F119</f>
        <v>20845855878.530571</v>
      </c>
      <c r="G201" s="1262">
        <f t="shared" si="44"/>
        <v>20009444508.940948</v>
      </c>
      <c r="H201" s="1262">
        <f t="shared" si="44"/>
        <v>22279411151.805107</v>
      </c>
      <c r="I201" s="1262">
        <f t="shared" si="44"/>
        <v>51990124348.078651</v>
      </c>
      <c r="J201" s="1262">
        <f t="shared" si="44"/>
        <v>96401916471.96286</v>
      </c>
      <c r="K201" s="1262">
        <f t="shared" si="44"/>
        <v>143185199465.70953</v>
      </c>
      <c r="L201" s="1262">
        <f t="shared" si="44"/>
        <v>189968482459.45621</v>
      </c>
      <c r="M201" s="1262">
        <f t="shared" si="44"/>
        <v>236751765453.20291</v>
      </c>
      <c r="N201" s="1262">
        <f t="shared" si="44"/>
        <v>290529508854.88684</v>
      </c>
    </row>
    <row r="202" spans="1:16" s="1374" customFormat="1" x14ac:dyDescent="0.2">
      <c r="C202" s="1374" t="s">
        <v>118</v>
      </c>
      <c r="E202" s="1374" t="str">
        <f>Preferences.moneyunits</f>
        <v>N</v>
      </c>
      <c r="F202" s="1262">
        <f t="shared" ref="F202:N202" si="45">F155*F128</f>
        <v>11881558667529.107</v>
      </c>
      <c r="G202" s="1262">
        <f t="shared" si="45"/>
        <v>12359918451742.887</v>
      </c>
      <c r="H202" s="1262">
        <f t="shared" si="45"/>
        <v>12746576248556.977</v>
      </c>
      <c r="I202" s="1262">
        <f t="shared" si="45"/>
        <v>13126400334168.012</v>
      </c>
      <c r="J202" s="1262">
        <f t="shared" si="45"/>
        <v>13499390708575.994</v>
      </c>
      <c r="K202" s="1262">
        <f t="shared" si="45"/>
        <v>13400855009973.248</v>
      </c>
      <c r="L202" s="1262">
        <f t="shared" si="45"/>
        <v>13302319311370.504</v>
      </c>
      <c r="M202" s="1262">
        <f t="shared" si="45"/>
        <v>13203783612767.76</v>
      </c>
      <c r="N202" s="1262">
        <f t="shared" si="45"/>
        <v>10323915305627.426</v>
      </c>
    </row>
    <row r="203" spans="1:16" s="1374" customFormat="1" x14ac:dyDescent="0.2">
      <c r="C203" s="20" t="s">
        <v>10</v>
      </c>
      <c r="E203" s="1374" t="str">
        <f>Preferences.moneyunits</f>
        <v>N</v>
      </c>
      <c r="F203" s="1262">
        <f t="shared" ref="F203:N203" si="46">F156*F137</f>
        <v>2857910706082.9263</v>
      </c>
      <c r="G203" s="1262">
        <f t="shared" si="46"/>
        <v>3169767878384.0088</v>
      </c>
      <c r="H203" s="1262">
        <f t="shared" si="46"/>
        <v>3227233480231.1636</v>
      </c>
      <c r="I203" s="1262">
        <f t="shared" si="46"/>
        <v>3284643164360.6113</v>
      </c>
      <c r="J203" s="1262">
        <f t="shared" si="46"/>
        <v>3341996930772.3501</v>
      </c>
      <c r="K203" s="1262">
        <f t="shared" si="46"/>
        <v>3400908809297.9546</v>
      </c>
      <c r="L203" s="1262">
        <f t="shared" si="46"/>
        <v>3459820687823.5591</v>
      </c>
      <c r="M203" s="1262">
        <f t="shared" si="46"/>
        <v>3518732566349.1636</v>
      </c>
      <c r="N203" s="1262">
        <f t="shared" si="46"/>
        <v>3665900526655.2017</v>
      </c>
    </row>
    <row r="204" spans="1:16" s="1374" customFormat="1" x14ac:dyDescent="0.2">
      <c r="C204" s="20" t="s">
        <v>105</v>
      </c>
      <c r="E204" s="1374" t="str">
        <f>Preferences.moneyunits</f>
        <v>N</v>
      </c>
      <c r="F204" s="1262">
        <f t="shared" ref="F204:N204" si="47">SUM(F201:F203)</f>
        <v>14760315229490.564</v>
      </c>
      <c r="G204" s="1262">
        <f t="shared" si="47"/>
        <v>15549695774635.836</v>
      </c>
      <c r="H204" s="1262">
        <f t="shared" si="47"/>
        <v>15996089139939.945</v>
      </c>
      <c r="I204" s="1262">
        <f t="shared" si="47"/>
        <v>16463033622876.701</v>
      </c>
      <c r="J204" s="1262">
        <f t="shared" si="47"/>
        <v>16937789555820.307</v>
      </c>
      <c r="K204" s="1262">
        <f t="shared" si="47"/>
        <v>16944949018736.912</v>
      </c>
      <c r="L204" s="1262">
        <f t="shared" si="47"/>
        <v>16952108481653.52</v>
      </c>
      <c r="M204" s="1262">
        <f t="shared" si="47"/>
        <v>16959267944570.127</v>
      </c>
      <c r="N204" s="1262">
        <f t="shared" si="47"/>
        <v>14280345341137.514</v>
      </c>
    </row>
    <row r="205" spans="1:16" s="1374" customFormat="1" x14ac:dyDescent="0.2">
      <c r="D205" s="1374" t="s">
        <v>1437</v>
      </c>
    </row>
    <row r="207" spans="1:16" ht="22.5" x14ac:dyDescent="0.3">
      <c r="A207" s="409"/>
      <c r="B207" s="468" t="s">
        <v>236</v>
      </c>
      <c r="C207" s="421"/>
      <c r="D207" s="421"/>
      <c r="E207" s="421"/>
      <c r="F207" s="421"/>
      <c r="G207" s="421"/>
      <c r="H207" s="421"/>
      <c r="I207" s="421"/>
      <c r="J207" s="421"/>
      <c r="K207" s="421"/>
      <c r="L207" s="421"/>
      <c r="M207" s="421"/>
      <c r="N207" s="421"/>
      <c r="O207" s="421"/>
      <c r="P207" s="423"/>
    </row>
    <row r="208" spans="1:16" x14ac:dyDescent="0.2">
      <c r="B208" s="410"/>
      <c r="C208" s="412"/>
      <c r="D208" s="412"/>
      <c r="E208" s="412"/>
      <c r="F208" s="412"/>
      <c r="G208" s="412"/>
      <c r="H208" s="412"/>
      <c r="I208" s="412"/>
      <c r="J208" s="412"/>
      <c r="K208" s="412"/>
      <c r="L208" s="412"/>
      <c r="M208" s="412"/>
      <c r="N208" s="412"/>
      <c r="O208" s="412"/>
      <c r="P208" s="414"/>
    </row>
    <row r="209" spans="1:16" x14ac:dyDescent="0.2">
      <c r="B209" s="410"/>
      <c r="C209" s="424" t="s">
        <v>1832</v>
      </c>
      <c r="D209" s="412"/>
      <c r="E209" s="413"/>
      <c r="F209" s="412"/>
      <c r="G209" s="413"/>
      <c r="H209" s="412"/>
      <c r="I209" s="412"/>
      <c r="J209" s="412"/>
      <c r="K209" s="412"/>
      <c r="L209" s="412"/>
      <c r="M209" s="412"/>
      <c r="N209" s="413" t="str">
        <f>Preferences.EnergyUnits</f>
        <v>TWh</v>
      </c>
      <c r="P209" s="414"/>
    </row>
    <row r="210" spans="1:16" ht="6" customHeight="1" x14ac:dyDescent="0.2">
      <c r="B210" s="410"/>
      <c r="C210" s="412"/>
      <c r="D210" s="412"/>
      <c r="E210" s="412"/>
      <c r="F210" s="412"/>
      <c r="G210" s="412"/>
      <c r="H210" s="412"/>
      <c r="I210" s="412"/>
      <c r="J210" s="412"/>
      <c r="K210" s="412"/>
      <c r="L210" s="412"/>
      <c r="M210" s="412"/>
      <c r="N210" s="412"/>
      <c r="O210" s="412"/>
      <c r="P210" s="414"/>
    </row>
    <row r="211" spans="1:16" ht="15.75" x14ac:dyDescent="0.25">
      <c r="A211" s="3"/>
      <c r="B211" s="415"/>
      <c r="C211" s="426" t="s">
        <v>64</v>
      </c>
      <c r="D211" s="426" t="s">
        <v>150</v>
      </c>
      <c r="E211" s="426" t="s">
        <v>172</v>
      </c>
      <c r="F211" s="426" t="s">
        <v>241</v>
      </c>
      <c r="G211" s="427" t="s">
        <v>268</v>
      </c>
      <c r="H211" s="427" t="s">
        <v>269</v>
      </c>
      <c r="I211" s="427" t="s">
        <v>270</v>
      </c>
      <c r="J211" s="427" t="s">
        <v>271</v>
      </c>
      <c r="K211" s="427" t="s">
        <v>272</v>
      </c>
      <c r="L211" s="427" t="s">
        <v>273</v>
      </c>
      <c r="M211" s="427" t="s">
        <v>274</v>
      </c>
      <c r="N211" s="427" t="s">
        <v>275</v>
      </c>
      <c r="O211" s="414"/>
    </row>
    <row r="212" spans="1:16" ht="15.75" x14ac:dyDescent="0.25">
      <c r="A212" s="3"/>
      <c r="B212" s="415"/>
      <c r="C212" s="426" t="s">
        <v>9</v>
      </c>
      <c r="D212" s="426" t="str">
        <f>INDEX(Vectors[Description], MATCH(XV.b.Outputs[Vector], Vectors[Code], 0))</f>
        <v>Industry</v>
      </c>
      <c r="E212" s="426"/>
      <c r="F212" s="500">
        <f t="shared" ref="F212:N212" si="48">F$150+F$151+F$152+F$157+F$158</f>
        <v>355.41517169394535</v>
      </c>
      <c r="G212" s="500">
        <f t="shared" si="48"/>
        <v>320.21829572784031</v>
      </c>
      <c r="H212" s="500">
        <f t="shared" si="48"/>
        <v>282.99494220190206</v>
      </c>
      <c r="I212" s="500">
        <f t="shared" si="48"/>
        <v>246.35828878719798</v>
      </c>
      <c r="J212" s="500">
        <f t="shared" si="48"/>
        <v>210.27995552506209</v>
      </c>
      <c r="K212" s="500">
        <f t="shared" si="48"/>
        <v>174.70443477672771</v>
      </c>
      <c r="L212" s="500">
        <f t="shared" si="48"/>
        <v>139.63172654219483</v>
      </c>
      <c r="M212" s="500">
        <f t="shared" si="48"/>
        <v>105.06183082146346</v>
      </c>
      <c r="N212" s="500">
        <f t="shared" si="48"/>
        <v>70.994747614533679</v>
      </c>
      <c r="O212" s="414"/>
    </row>
    <row r="213" spans="1:16" ht="15.75" x14ac:dyDescent="0.25">
      <c r="A213" s="3"/>
      <c r="B213" s="415"/>
      <c r="C213" s="97" t="s">
        <v>34</v>
      </c>
      <c r="D213" s="97" t="str">
        <f>INDEX(Vectors[Description], MATCH(XV.b.Outputs[Vector], Vectors[Code], 0))</f>
        <v>Electricity (delivered to end user)</v>
      </c>
      <c r="E213" s="97"/>
      <c r="F213" s="241">
        <f t="shared" ref="F213:N213" si="49">-(F$150+F$157)</f>
        <v>-0.88653810768169206</v>
      </c>
      <c r="G213" s="241">
        <f t="shared" si="49"/>
        <v>-0.88653810768169206</v>
      </c>
      <c r="H213" s="241">
        <f t="shared" si="49"/>
        <v>-0.88845651315338614</v>
      </c>
      <c r="I213" s="241">
        <f t="shared" si="49"/>
        <v>-0.96408757488782859</v>
      </c>
      <c r="J213" s="241">
        <f t="shared" si="49"/>
        <v>-1.0884936119654052</v>
      </c>
      <c r="K213" s="241">
        <f t="shared" si="49"/>
        <v>-1.2128996490429818</v>
      </c>
      <c r="L213" s="241">
        <f t="shared" si="49"/>
        <v>-1.3373056861205583</v>
      </c>
      <c r="M213" s="241">
        <f t="shared" si="49"/>
        <v>-1.4617117231981349</v>
      </c>
      <c r="N213" s="241">
        <f t="shared" si="49"/>
        <v>-1.5861177602757115</v>
      </c>
      <c r="O213" s="414"/>
    </row>
    <row r="214" spans="1:16" ht="15.75" x14ac:dyDescent="0.25">
      <c r="A214" s="3"/>
      <c r="B214" s="415"/>
      <c r="C214" s="97" t="s">
        <v>36</v>
      </c>
      <c r="D214" s="97" t="str">
        <f>INDEX(Vectors[Description], MATCH(XV.b.Outputs[Vector], Vectors[Code], 0))</f>
        <v>Solid hydrocarbons</v>
      </c>
      <c r="E214" s="97"/>
      <c r="F214" s="241">
        <f t="shared" ref="F214:N214" si="50">-F$151</f>
        <v>-2.2175097251858548E-3</v>
      </c>
      <c r="G214" s="241">
        <f t="shared" si="50"/>
        <v>-2.2175097251858548E-3</v>
      </c>
      <c r="H214" s="241">
        <f t="shared" si="50"/>
        <v>-2.5767863927143608E-3</v>
      </c>
      <c r="I214" s="241">
        <f t="shared" si="50"/>
        <v>-6.287341681748858E-3</v>
      </c>
      <c r="J214" s="241">
        <f t="shared" si="50"/>
        <v>-1.2215406695969209E-2</v>
      </c>
      <c r="K214" s="241">
        <f t="shared" si="50"/>
        <v>-1.8143471710189561E-2</v>
      </c>
      <c r="L214" s="241">
        <f t="shared" si="50"/>
        <v>-2.4071536724409912E-2</v>
      </c>
      <c r="M214" s="241">
        <f t="shared" si="50"/>
        <v>-2.9999601738630265E-2</v>
      </c>
      <c r="N214" s="241">
        <f t="shared" si="50"/>
        <v>-3.5927666752850619E-2</v>
      </c>
      <c r="O214" s="414"/>
    </row>
    <row r="215" spans="1:16" ht="15.75" x14ac:dyDescent="0.25">
      <c r="A215" s="3"/>
      <c r="B215" s="415"/>
      <c r="C215" s="97" t="s">
        <v>39</v>
      </c>
      <c r="D215" s="97" t="str">
        <f>INDEX(Vectors[Description], MATCH(XV.b.Outputs[Vector], Vectors[Code], 0))</f>
        <v>Gaseous hydrocarbons</v>
      </c>
      <c r="E215" s="97"/>
      <c r="F215" s="241">
        <f t="shared" ref="F215:N215" si="51">-(F$152+F$158)</f>
        <v>-354.52641607653845</v>
      </c>
      <c r="G215" s="241">
        <f t="shared" si="51"/>
        <v>-319.32954011043341</v>
      </c>
      <c r="H215" s="241">
        <f t="shared" si="51"/>
        <v>-282.10390890235595</v>
      </c>
      <c r="I215" s="241">
        <f t="shared" si="51"/>
        <v>-245.38791387062841</v>
      </c>
      <c r="J215" s="241">
        <f t="shared" si="51"/>
        <v>-209.17924650640072</v>
      </c>
      <c r="K215" s="241">
        <f t="shared" si="51"/>
        <v>-173.47339165597452</v>
      </c>
      <c r="L215" s="241">
        <f t="shared" si="51"/>
        <v>-138.27034931934986</v>
      </c>
      <c r="M215" s="241">
        <f t="shared" si="51"/>
        <v>-103.5701194965267</v>
      </c>
      <c r="N215" s="241">
        <f t="shared" si="51"/>
        <v>-69.372702187505112</v>
      </c>
      <c r="O215" s="414"/>
    </row>
    <row r="216" spans="1:16" ht="15.75" x14ac:dyDescent="0.25">
      <c r="A216" s="3"/>
      <c r="B216" s="415"/>
      <c r="C216" s="97" t="s">
        <v>51</v>
      </c>
      <c r="D216" s="97" t="str">
        <f>INDEX(Vectors[Description], MATCH(XV.b.Outputs[Vector], Vectors[Code], 0))</f>
        <v>Coal and fossil waste</v>
      </c>
      <c r="E216" s="97"/>
      <c r="F216" s="241">
        <f t="shared" ref="F216:N216" si="52">F$149</f>
        <v>6.17215067274</v>
      </c>
      <c r="G216" s="241">
        <f t="shared" si="52"/>
        <v>6.17215067274</v>
      </c>
      <c r="H216" s="241">
        <f t="shared" si="52"/>
        <v>7.17215067274</v>
      </c>
      <c r="I216" s="241">
        <f t="shared" si="52"/>
        <v>17.5</v>
      </c>
      <c r="J216" s="241">
        <f t="shared" si="52"/>
        <v>34</v>
      </c>
      <c r="K216" s="241">
        <f t="shared" si="52"/>
        <v>50.5</v>
      </c>
      <c r="L216" s="241">
        <f t="shared" si="52"/>
        <v>67</v>
      </c>
      <c r="M216" s="241">
        <f t="shared" si="52"/>
        <v>83.5</v>
      </c>
      <c r="N216" s="241">
        <f t="shared" si="52"/>
        <v>100</v>
      </c>
      <c r="O216" s="414"/>
    </row>
    <row r="217" spans="1:16" ht="15.75" x14ac:dyDescent="0.25">
      <c r="A217" s="3"/>
      <c r="B217" s="415"/>
      <c r="C217" s="97" t="s">
        <v>52</v>
      </c>
      <c r="D217" s="97" t="str">
        <f>INDEX(Vectors[Description], MATCH(XV.b.Outputs[Vector], Vectors[Code], 0))</f>
        <v>Oil and petroleum products</v>
      </c>
      <c r="E217" s="97"/>
      <c r="F217" s="241">
        <f t="shared" ref="F217:N217" si="53">F$155</f>
        <v>1458.9378638800001</v>
      </c>
      <c r="G217" s="241">
        <f t="shared" si="53"/>
        <v>1458.9378638800001</v>
      </c>
      <c r="H217" s="241">
        <f t="shared" si="53"/>
        <v>1448.5168791380001</v>
      </c>
      <c r="I217" s="241">
        <f t="shared" si="53"/>
        <v>1438.0958943960002</v>
      </c>
      <c r="J217" s="241">
        <f t="shared" si="53"/>
        <v>1427.6749096540002</v>
      </c>
      <c r="K217" s="241">
        <f t="shared" si="53"/>
        <v>1417.253924912</v>
      </c>
      <c r="L217" s="241">
        <f t="shared" si="53"/>
        <v>1406.83294017</v>
      </c>
      <c r="M217" s="241">
        <f t="shared" si="53"/>
        <v>1396.4119554280001</v>
      </c>
      <c r="N217" s="241">
        <f t="shared" si="53"/>
        <v>1385.9909706860001</v>
      </c>
      <c r="O217" s="414"/>
    </row>
    <row r="218" spans="1:16" ht="15.75" x14ac:dyDescent="0.25">
      <c r="A218" s="3"/>
      <c r="B218" s="415"/>
      <c r="C218" s="97" t="s">
        <v>53</v>
      </c>
      <c r="D218" s="97" t="str">
        <f>INDEX(Vectors[Description], MATCH(XV.b.Outputs[Vector], Vectors[Code], 0))</f>
        <v>Natural gas</v>
      </c>
      <c r="E218" s="97"/>
      <c r="F218" s="241">
        <f t="shared" ref="F218:N218" si="54">F$156</f>
        <v>761.432111111111</v>
      </c>
      <c r="G218" s="241">
        <f t="shared" si="54"/>
        <v>844.92033333333336</v>
      </c>
      <c r="H218" s="241">
        <f t="shared" si="54"/>
        <v>860.64599999999996</v>
      </c>
      <c r="I218" s="241">
        <f t="shared" si="54"/>
        <v>876.37166666666667</v>
      </c>
      <c r="J218" s="241">
        <f t="shared" si="54"/>
        <v>892.09733333333338</v>
      </c>
      <c r="K218" s="241">
        <f t="shared" si="54"/>
        <v>907.82299999999998</v>
      </c>
      <c r="L218" s="241">
        <f t="shared" si="54"/>
        <v>923.54866666666669</v>
      </c>
      <c r="M218" s="241">
        <f t="shared" si="54"/>
        <v>939.27433333333329</v>
      </c>
      <c r="N218" s="241">
        <f t="shared" si="54"/>
        <v>955</v>
      </c>
      <c r="O218" s="414"/>
    </row>
    <row r="219" spans="1:16" ht="15.75" x14ac:dyDescent="0.25">
      <c r="A219" s="3"/>
      <c r="B219" s="415"/>
      <c r="C219" s="97" t="s">
        <v>425</v>
      </c>
      <c r="D219" s="97" t="str">
        <f>INDEX(Vectors[Description], MATCH(XV.b.Outputs[Vector], Vectors[Code], 0))</f>
        <v>Coal reserves</v>
      </c>
      <c r="E219" s="97"/>
      <c r="F219" s="241">
        <f t="shared" ref="F219:N219" si="55">-F$149</f>
        <v>-6.17215067274</v>
      </c>
      <c r="G219" s="241">
        <f t="shared" si="55"/>
        <v>-6.17215067274</v>
      </c>
      <c r="H219" s="241">
        <f t="shared" si="55"/>
        <v>-7.17215067274</v>
      </c>
      <c r="I219" s="241">
        <f t="shared" si="55"/>
        <v>-17.5</v>
      </c>
      <c r="J219" s="241">
        <f t="shared" si="55"/>
        <v>-34</v>
      </c>
      <c r="K219" s="241">
        <f t="shared" si="55"/>
        <v>-50.5</v>
      </c>
      <c r="L219" s="241">
        <f t="shared" si="55"/>
        <v>-67</v>
      </c>
      <c r="M219" s="241">
        <f t="shared" si="55"/>
        <v>-83.5</v>
      </c>
      <c r="N219" s="241">
        <f t="shared" si="55"/>
        <v>-100</v>
      </c>
      <c r="O219" s="414"/>
    </row>
    <row r="220" spans="1:16" ht="15.75" x14ac:dyDescent="0.25">
      <c r="A220" s="3"/>
      <c r="B220" s="415"/>
      <c r="C220" s="97" t="s">
        <v>426</v>
      </c>
      <c r="D220" s="97" t="str">
        <f>INDEX(Vectors[Description], MATCH(XV.b.Outputs[Vector], Vectors[Code], 0))</f>
        <v>Oil reserves</v>
      </c>
      <c r="E220" s="97"/>
      <c r="F220" s="241">
        <f t="shared" ref="F220:N220" si="56">-F$155</f>
        <v>-1458.9378638800001</v>
      </c>
      <c r="G220" s="241">
        <f t="shared" si="56"/>
        <v>-1458.9378638800001</v>
      </c>
      <c r="H220" s="241">
        <f t="shared" si="56"/>
        <v>-1448.5168791380001</v>
      </c>
      <c r="I220" s="241">
        <f t="shared" si="56"/>
        <v>-1438.0958943960002</v>
      </c>
      <c r="J220" s="241">
        <f t="shared" si="56"/>
        <v>-1427.6749096540002</v>
      </c>
      <c r="K220" s="241">
        <f t="shared" si="56"/>
        <v>-1417.253924912</v>
      </c>
      <c r="L220" s="241">
        <f t="shared" si="56"/>
        <v>-1406.83294017</v>
      </c>
      <c r="M220" s="241">
        <f t="shared" si="56"/>
        <v>-1396.4119554280001</v>
      </c>
      <c r="N220" s="241">
        <f t="shared" si="56"/>
        <v>-1385.9909706860001</v>
      </c>
      <c r="O220" s="414"/>
    </row>
    <row r="221" spans="1:16" ht="15.75" x14ac:dyDescent="0.25">
      <c r="A221" s="3"/>
      <c r="B221" s="415"/>
      <c r="C221" s="97" t="s">
        <v>427</v>
      </c>
      <c r="D221" s="97" t="str">
        <f>INDEX(Vectors[Description], MATCH(XV.b.Outputs[Vector], Vectors[Code], 0))</f>
        <v>Gas reserves</v>
      </c>
      <c r="E221" s="97"/>
      <c r="F221" s="241">
        <f t="shared" ref="F221:N221" si="57">-F$156</f>
        <v>-761.432111111111</v>
      </c>
      <c r="G221" s="241">
        <f t="shared" si="57"/>
        <v>-844.92033333333336</v>
      </c>
      <c r="H221" s="241">
        <f t="shared" si="57"/>
        <v>-860.64599999999996</v>
      </c>
      <c r="I221" s="241">
        <f t="shared" si="57"/>
        <v>-876.37166666666667</v>
      </c>
      <c r="J221" s="241">
        <f t="shared" si="57"/>
        <v>-892.09733333333338</v>
      </c>
      <c r="K221" s="241">
        <f t="shared" si="57"/>
        <v>-907.82299999999998</v>
      </c>
      <c r="L221" s="241">
        <f t="shared" si="57"/>
        <v>-923.54866666666669</v>
      </c>
      <c r="M221" s="241">
        <f t="shared" si="57"/>
        <v>-939.27433333333329</v>
      </c>
      <c r="N221" s="241">
        <f t="shared" si="57"/>
        <v>-955</v>
      </c>
      <c r="O221" s="414"/>
    </row>
    <row r="222" spans="1:16" ht="15.75" x14ac:dyDescent="0.25">
      <c r="A222" s="3"/>
      <c r="B222" s="415"/>
      <c r="C222" s="97" t="s">
        <v>105</v>
      </c>
      <c r="D222" s="97"/>
      <c r="E222" s="97"/>
      <c r="F222" s="517">
        <f>SUBTOTAL(109,XV.b.Outputs[2010])</f>
        <v>0</v>
      </c>
      <c r="G222" s="517">
        <f>SUBTOTAL(109,XV.b.Outputs[2015])</f>
        <v>0</v>
      </c>
      <c r="H222" s="517">
        <f>SUBTOTAL(109,XV.b.Outputs[2020])</f>
        <v>0</v>
      </c>
      <c r="I222" s="517">
        <f>SUBTOTAL(109,XV.b.Outputs[2025])</f>
        <v>0</v>
      </c>
      <c r="J222" s="517">
        <f>SUBTOTAL(109,XV.b.Outputs[2030])</f>
        <v>0</v>
      </c>
      <c r="K222" s="517">
        <f>SUBTOTAL(109,XV.b.Outputs[2035])</f>
        <v>0</v>
      </c>
      <c r="L222" s="517">
        <f>SUBTOTAL(109,XV.b.Outputs[2040])</f>
        <v>0</v>
      </c>
      <c r="M222" s="517">
        <f>SUBTOTAL(109,XV.b.Outputs[2045])</f>
        <v>0</v>
      </c>
      <c r="N222" s="517">
        <f>SUBTOTAL(109,XV.b.Outputs[2050])</f>
        <v>0</v>
      </c>
      <c r="O222" s="414"/>
    </row>
    <row r="223" spans="1:16" ht="15.75" x14ac:dyDescent="0.25">
      <c r="A223" s="3"/>
      <c r="B223" s="416"/>
      <c r="C223" s="515"/>
      <c r="D223" s="516"/>
      <c r="E223" s="516"/>
      <c r="F223" s="516"/>
      <c r="G223" s="516"/>
      <c r="H223" s="516"/>
      <c r="I223" s="516"/>
      <c r="J223" s="516"/>
      <c r="K223" s="516"/>
      <c r="L223" s="516"/>
      <c r="M223" s="516"/>
      <c r="N223" s="516"/>
      <c r="O223" s="516"/>
      <c r="P223" s="419"/>
    </row>
    <row r="225" spans="1:16" ht="22.5" x14ac:dyDescent="0.3">
      <c r="A225" s="409"/>
      <c r="B225" s="484" t="s">
        <v>361</v>
      </c>
      <c r="C225" s="436"/>
      <c r="D225" s="437"/>
      <c r="E225" s="437"/>
      <c r="F225" s="437"/>
      <c r="G225" s="437"/>
      <c r="H225" s="437"/>
      <c r="I225" s="437"/>
      <c r="J225" s="437"/>
      <c r="K225" s="437"/>
      <c r="L225" s="437"/>
      <c r="M225" s="437"/>
      <c r="N225" s="437"/>
      <c r="O225" s="437"/>
      <c r="P225" s="438"/>
    </row>
    <row r="226" spans="1:16" x14ac:dyDescent="0.2">
      <c r="B226" s="444"/>
      <c r="C226" s="445"/>
      <c r="D226" s="445"/>
      <c r="E226" s="445"/>
      <c r="F226" s="445"/>
      <c r="G226" s="445"/>
      <c r="H226" s="445"/>
      <c r="I226" s="445"/>
      <c r="J226" s="445"/>
      <c r="K226" s="445"/>
      <c r="L226" s="445"/>
      <c r="M226" s="445"/>
      <c r="N226" s="445"/>
      <c r="O226" s="445"/>
      <c r="P226" s="446"/>
    </row>
    <row r="227" spans="1:16" ht="14.25" x14ac:dyDescent="0.25">
      <c r="B227" s="447"/>
      <c r="C227" s="439" t="s">
        <v>491</v>
      </c>
      <c r="D227" s="440"/>
      <c r="E227" s="441"/>
      <c r="F227" s="440"/>
      <c r="G227" s="441"/>
      <c r="H227" s="440"/>
      <c r="I227" s="440"/>
      <c r="J227" s="440"/>
      <c r="K227" s="440"/>
      <c r="L227" s="440"/>
      <c r="M227" s="440"/>
      <c r="N227" s="440"/>
      <c r="O227" s="441" t="s">
        <v>493</v>
      </c>
      <c r="P227" s="448"/>
    </row>
    <row r="228" spans="1:16" ht="5.25" customHeight="1" x14ac:dyDescent="0.2">
      <c r="B228" s="447"/>
      <c r="C228" s="440"/>
      <c r="D228" s="440"/>
      <c r="E228" s="440"/>
      <c r="F228" s="440"/>
      <c r="G228" s="440"/>
      <c r="H228" s="440"/>
      <c r="I228" s="440"/>
      <c r="J228" s="440"/>
      <c r="K228" s="440"/>
      <c r="L228" s="440"/>
      <c r="M228" s="440"/>
      <c r="N228" s="440"/>
      <c r="O228" s="440"/>
      <c r="P228" s="448"/>
    </row>
    <row r="229" spans="1:16" ht="15.75" x14ac:dyDescent="0.25">
      <c r="B229" s="449"/>
      <c r="C229" s="503" t="s">
        <v>490</v>
      </c>
      <c r="D229" s="503" t="s">
        <v>461</v>
      </c>
      <c r="E229" s="503" t="s">
        <v>172</v>
      </c>
      <c r="F229" s="503" t="s">
        <v>241</v>
      </c>
      <c r="G229" s="503" t="s">
        <v>268</v>
      </c>
      <c r="H229" s="503" t="s">
        <v>269</v>
      </c>
      <c r="I229" s="503" t="s">
        <v>270</v>
      </c>
      <c r="J229" s="503" t="s">
        <v>271</v>
      </c>
      <c r="K229" s="503" t="s">
        <v>272</v>
      </c>
      <c r="L229" s="503" t="s">
        <v>273</v>
      </c>
      <c r="M229" s="503" t="s">
        <v>274</v>
      </c>
      <c r="N229" s="503" t="s">
        <v>275</v>
      </c>
      <c r="O229" s="448"/>
    </row>
    <row r="230" spans="1:16" ht="15.75" x14ac:dyDescent="0.25">
      <c r="B230" s="449"/>
      <c r="C230" s="443" t="s">
        <v>473</v>
      </c>
      <c r="D230" s="453" t="s">
        <v>482</v>
      </c>
      <c r="E230" s="443" t="str">
        <f>INDEX(IPCC[Sector_description], MATCH(XV.b.Emissions[IPCC Sector], IPCC[Sector_code], 0))</f>
        <v>Fugitive Emissions from Fuels</v>
      </c>
      <c r="F230" s="455">
        <f t="shared" ref="F230:N230" si="58">F$162</f>
        <v>6.66</v>
      </c>
      <c r="G230" s="455">
        <f t="shared" si="58"/>
        <v>6.66</v>
      </c>
      <c r="H230" s="455">
        <f t="shared" si="58"/>
        <v>6.6124285714285715</v>
      </c>
      <c r="I230" s="455">
        <f t="shared" si="58"/>
        <v>6.5648571428571429</v>
      </c>
      <c r="J230" s="455">
        <f t="shared" si="58"/>
        <v>6.5172857142857152</v>
      </c>
      <c r="K230" s="455">
        <f t="shared" si="58"/>
        <v>6.4697142857142849</v>
      </c>
      <c r="L230" s="455">
        <f t="shared" si="58"/>
        <v>6.4221428571428563</v>
      </c>
      <c r="M230" s="455">
        <f t="shared" si="58"/>
        <v>6.3745714285714286</v>
      </c>
      <c r="N230" s="455">
        <f t="shared" si="58"/>
        <v>6.327</v>
      </c>
      <c r="O230" s="448"/>
    </row>
    <row r="231" spans="1:16" ht="15.75" x14ac:dyDescent="0.25">
      <c r="B231" s="449"/>
      <c r="C231" s="443" t="s">
        <v>474</v>
      </c>
      <c r="D231" s="453" t="s">
        <v>482</v>
      </c>
      <c r="E231" s="443" t="str">
        <f>INDEX(IPCC[Sector_description], MATCH(XV.b.Emissions[IPCC Sector], IPCC[Sector_code], 0))</f>
        <v>Fugitive Emissions from Fuels</v>
      </c>
      <c r="F231" s="455">
        <f t="shared" ref="F231:N231" si="59">F$161</f>
        <v>8.4000000000000012E-3</v>
      </c>
      <c r="G231" s="455">
        <f t="shared" si="59"/>
        <v>8.4000000000000012E-3</v>
      </c>
      <c r="H231" s="455">
        <f t="shared" si="59"/>
        <v>9.7609518700020638E-3</v>
      </c>
      <c r="I231" s="455">
        <f t="shared" si="59"/>
        <v>2.3816657725036119E-2</v>
      </c>
      <c r="J231" s="455">
        <f t="shared" si="59"/>
        <v>4.6272363580070176E-2</v>
      </c>
      <c r="K231" s="455">
        <f t="shared" si="59"/>
        <v>6.8728069435104233E-2</v>
      </c>
      <c r="L231" s="455">
        <f t="shared" si="59"/>
        <v>9.1183775290138283E-2</v>
      </c>
      <c r="M231" s="455">
        <f t="shared" si="59"/>
        <v>0.11363948114517233</v>
      </c>
      <c r="N231" s="455">
        <f t="shared" si="59"/>
        <v>0.1360951870002064</v>
      </c>
      <c r="O231" s="448"/>
    </row>
    <row r="232" spans="1:16" ht="15.75" x14ac:dyDescent="0.25">
      <c r="B232" s="449"/>
      <c r="C232" s="443" t="s">
        <v>473</v>
      </c>
      <c r="D232" s="453" t="s">
        <v>483</v>
      </c>
      <c r="E232" s="443" t="str">
        <f>INDEX(IPCC[Sector_description], MATCH(XV.b.Emissions[IPCC Sector], IPCC[Sector_code], 0))</f>
        <v>Fuel Combustion</v>
      </c>
      <c r="F232" s="455">
        <f t="shared" ref="F232:N232" si="60">F$164</f>
        <v>65.232029769802551</v>
      </c>
      <c r="G232" s="455">
        <f t="shared" si="60"/>
        <v>58.755804592039226</v>
      </c>
      <c r="H232" s="455">
        <f t="shared" si="60"/>
        <v>51.906153847031078</v>
      </c>
      <c r="I232" s="455">
        <f t="shared" si="60"/>
        <v>45.149020604562416</v>
      </c>
      <c r="J232" s="455">
        <f t="shared" si="60"/>
        <v>38.484404864633213</v>
      </c>
      <c r="K232" s="455">
        <f t="shared" si="60"/>
        <v>31.912306627243488</v>
      </c>
      <c r="L232" s="455">
        <f t="shared" si="60"/>
        <v>25.43272589239324</v>
      </c>
      <c r="M232" s="455">
        <f t="shared" si="60"/>
        <v>19.045662660082474</v>
      </c>
      <c r="N232" s="455">
        <f t="shared" si="60"/>
        <v>12.751116930311198</v>
      </c>
      <c r="O232" s="448"/>
    </row>
    <row r="233" spans="1:16" ht="15.75" x14ac:dyDescent="0.25">
      <c r="B233" s="449"/>
      <c r="C233" s="443" t="s">
        <v>474</v>
      </c>
      <c r="D233" s="453" t="s">
        <v>483</v>
      </c>
      <c r="E233" s="443" t="str">
        <f>INDEX(IPCC[Sector_description], MATCH(XV.b.Emissions[IPCC Sector], IPCC[Sector_code], 0))</f>
        <v>Fuel Combustion</v>
      </c>
      <c r="F233" s="455">
        <f t="shared" ref="F233:N233" si="61">F$165</f>
        <v>0.13075667139857669</v>
      </c>
      <c r="G233" s="455">
        <f t="shared" si="61"/>
        <v>0.1177751705858579</v>
      </c>
      <c r="H233" s="455">
        <f t="shared" si="61"/>
        <v>0.10404514356047384</v>
      </c>
      <c r="I233" s="455">
        <f t="shared" si="61"/>
        <v>9.0500566546700065E-2</v>
      </c>
      <c r="J233" s="455">
        <f t="shared" si="61"/>
        <v>7.7141439544536533E-2</v>
      </c>
      <c r="K233" s="455">
        <f t="shared" si="61"/>
        <v>6.3967762553983273E-2</v>
      </c>
      <c r="L233" s="455">
        <f t="shared" si="61"/>
        <v>5.0979535575040286E-2</v>
      </c>
      <c r="M233" s="455">
        <f t="shared" si="61"/>
        <v>3.817675860770757E-2</v>
      </c>
      <c r="N233" s="455">
        <f t="shared" si="61"/>
        <v>2.5559431651985154E-2</v>
      </c>
      <c r="O233" s="448"/>
    </row>
    <row r="234" spans="1:16" ht="15.75" x14ac:dyDescent="0.25">
      <c r="B234" s="449"/>
      <c r="C234" s="443" t="s">
        <v>475</v>
      </c>
      <c r="D234" s="453" t="s">
        <v>483</v>
      </c>
      <c r="E234" s="443" t="str">
        <f>INDEX(IPCC[Sector_description], MATCH(XV.b.Emissions[IPCC Sector], IPCC[Sector_code], 0))</f>
        <v>Fuel Combustion</v>
      </c>
      <c r="F234" s="455">
        <f t="shared" ref="F234:N234" si="62">F$166</f>
        <v>0.14063515702509768</v>
      </c>
      <c r="G234" s="455">
        <f t="shared" si="62"/>
        <v>0.12667292178546605</v>
      </c>
      <c r="H234" s="455">
        <f t="shared" si="62"/>
        <v>0.11190561021336419</v>
      </c>
      <c r="I234" s="455">
        <f t="shared" si="62"/>
        <v>9.7337759144685662E-2</v>
      </c>
      <c r="J234" s="455">
        <f t="shared" si="62"/>
        <v>8.2969368579430408E-2</v>
      </c>
      <c r="K234" s="455">
        <f t="shared" si="62"/>
        <v>6.880043851759847E-2</v>
      </c>
      <c r="L234" s="455">
        <f t="shared" si="62"/>
        <v>5.4830968959189832E-2</v>
      </c>
      <c r="M234" s="455">
        <f t="shared" si="62"/>
        <v>4.1060959904204525E-2</v>
      </c>
      <c r="N234" s="455">
        <f t="shared" si="62"/>
        <v>2.749041135264255E-2</v>
      </c>
      <c r="O234" s="448"/>
    </row>
    <row r="235" spans="1:16" ht="15.75" x14ac:dyDescent="0.25">
      <c r="B235" s="449"/>
      <c r="C235" s="443" t="s">
        <v>105</v>
      </c>
      <c r="D235" s="443"/>
      <c r="E235" s="443"/>
      <c r="F235" s="512">
        <f>SUBTOTAL(109,XV.b.Emissions[2010])</f>
        <v>72.171821598226231</v>
      </c>
      <c r="G235" s="512">
        <f>SUBTOTAL(109,XV.b.Emissions[2015])</f>
        <v>65.66865268441056</v>
      </c>
      <c r="H235" s="512">
        <f>SUBTOTAL(109,XV.b.Emissions[2020])</f>
        <v>58.74429412410349</v>
      </c>
      <c r="I235" s="512">
        <f>SUBTOTAL(109,XV.b.Emissions[2025])</f>
        <v>51.925532730835982</v>
      </c>
      <c r="J235" s="512">
        <f>SUBTOTAL(109,XV.b.Emissions[2030])</f>
        <v>45.208073750622965</v>
      </c>
      <c r="K235" s="512">
        <f>SUBTOTAL(109,XV.b.Emissions[2035])</f>
        <v>38.583517183464465</v>
      </c>
      <c r="L235" s="512">
        <f>SUBTOTAL(109,XV.b.Emissions[2040])</f>
        <v>32.051863029360469</v>
      </c>
      <c r="M235" s="512">
        <f>SUBTOTAL(109,XV.b.Emissions[2045])</f>
        <v>25.613111288310989</v>
      </c>
      <c r="N235" s="512">
        <f>SUBTOTAL(109,XV.b.Emissions[2050])</f>
        <v>19.267261960316031</v>
      </c>
      <c r="O235" s="448"/>
    </row>
    <row r="236" spans="1:16" ht="15.75" x14ac:dyDescent="0.25">
      <c r="B236" s="449"/>
      <c r="C236" s="440"/>
      <c r="D236" s="440"/>
      <c r="E236" s="440"/>
      <c r="F236" s="440"/>
      <c r="G236" s="440"/>
      <c r="H236" s="440"/>
      <c r="I236" s="440"/>
      <c r="J236" s="440"/>
      <c r="K236" s="440"/>
      <c r="L236" s="440"/>
      <c r="M236" s="440"/>
      <c r="N236" s="440"/>
      <c r="O236" s="440"/>
      <c r="P236" s="448"/>
    </row>
    <row r="239" spans="1:16" s="1225" customFormat="1" ht="21.75" customHeight="1" x14ac:dyDescent="0.2">
      <c r="B239" s="1186" t="s">
        <v>1225</v>
      </c>
      <c r="C239" s="1218"/>
      <c r="D239" s="1187"/>
      <c r="E239" s="1187"/>
      <c r="F239" s="1187"/>
      <c r="G239" s="1187"/>
      <c r="H239" s="1187"/>
      <c r="I239" s="1187"/>
      <c r="J239" s="1187"/>
      <c r="K239" s="1187"/>
      <c r="L239" s="1187"/>
      <c r="M239" s="1187"/>
      <c r="N239" s="1187"/>
      <c r="O239" s="1187"/>
      <c r="P239" s="1188"/>
    </row>
    <row r="240" spans="1:16" s="1225" customFormat="1" x14ac:dyDescent="0.2">
      <c r="B240" s="1219"/>
      <c r="C240" s="1220"/>
      <c r="D240" s="1220"/>
      <c r="E240" s="1220"/>
      <c r="F240" s="1220"/>
      <c r="G240" s="1220"/>
      <c r="H240" s="1220"/>
      <c r="I240" s="1220"/>
      <c r="J240" s="1220"/>
      <c r="K240" s="1220"/>
      <c r="L240" s="1220"/>
      <c r="M240" s="1220"/>
      <c r="N240" s="1220"/>
      <c r="O240" s="1220"/>
      <c r="P240" s="1221"/>
    </row>
    <row r="241" spans="2:16" s="1225" customFormat="1" x14ac:dyDescent="0.2">
      <c r="B241" s="1189"/>
      <c r="C241" s="1222" t="s">
        <v>1230</v>
      </c>
      <c r="D241" s="1190"/>
      <c r="E241" s="1223"/>
      <c r="F241" s="1190"/>
      <c r="G241" s="1223"/>
      <c r="H241" s="1190"/>
      <c r="I241" s="1190"/>
      <c r="J241" s="1190"/>
      <c r="K241" s="1190"/>
      <c r="L241" s="1190"/>
      <c r="M241" s="1190"/>
      <c r="N241" s="1190"/>
      <c r="O241" s="1223"/>
      <c r="P241" s="1191"/>
    </row>
    <row r="242" spans="2:16" s="1225" customFormat="1" ht="4.5" customHeight="1" x14ac:dyDescent="0.2">
      <c r="B242" s="1189"/>
      <c r="C242" s="1190"/>
      <c r="D242" s="1190"/>
      <c r="E242" s="1190"/>
      <c r="F242" s="1190"/>
      <c r="G242" s="1190"/>
      <c r="H242" s="1190"/>
      <c r="I242" s="1190"/>
      <c r="J242" s="1190"/>
      <c r="K242" s="1190"/>
      <c r="L242" s="1190"/>
      <c r="M242" s="1190"/>
      <c r="N242" s="1190"/>
      <c r="O242" s="1190"/>
      <c r="P242" s="1191"/>
    </row>
    <row r="243" spans="2:16" s="1225" customFormat="1" ht="15.75" x14ac:dyDescent="0.25">
      <c r="B243" s="1192"/>
      <c r="C243" s="1193" t="s">
        <v>64</v>
      </c>
      <c r="D243" s="1193" t="s">
        <v>1226</v>
      </c>
      <c r="E243" s="1193" t="s">
        <v>172</v>
      </c>
      <c r="F243" s="1193" t="s">
        <v>241</v>
      </c>
      <c r="G243" s="1193" t="s">
        <v>268</v>
      </c>
      <c r="H243" s="1193" t="s">
        <v>269</v>
      </c>
      <c r="I243" s="1193" t="s">
        <v>270</v>
      </c>
      <c r="J243" s="1193" t="s">
        <v>271</v>
      </c>
      <c r="K243" s="1193" t="s">
        <v>272</v>
      </c>
      <c r="L243" s="1193" t="s">
        <v>273</v>
      </c>
      <c r="M243" s="1193" t="s">
        <v>274</v>
      </c>
      <c r="N243" s="1193" t="s">
        <v>275</v>
      </c>
      <c r="O243" s="1191"/>
    </row>
    <row r="244" spans="2:16" s="1225" customFormat="1" ht="15.75" x14ac:dyDescent="0.25">
      <c r="B244" s="1192"/>
      <c r="C244" s="1194"/>
      <c r="D244" s="1195"/>
      <c r="E244" s="1195"/>
      <c r="F244" s="1226"/>
      <c r="G244" s="1226"/>
      <c r="H244" s="1226"/>
      <c r="I244" s="1226"/>
      <c r="J244" s="1226"/>
      <c r="K244" s="1226"/>
      <c r="L244" s="1226"/>
      <c r="M244" s="1226"/>
      <c r="N244" s="1226"/>
      <c r="O244" s="1191"/>
    </row>
    <row r="245" spans="2:16" s="1225" customFormat="1" ht="15.75" x14ac:dyDescent="0.25">
      <c r="B245" s="1192"/>
      <c r="C245" s="1194"/>
      <c r="D245" s="1195"/>
      <c r="E245" s="1195"/>
      <c r="F245" s="1226"/>
      <c r="G245" s="1226"/>
      <c r="H245" s="1226"/>
      <c r="I245" s="1226"/>
      <c r="J245" s="1226"/>
      <c r="K245" s="1226"/>
      <c r="L245" s="1226"/>
      <c r="M245" s="1226"/>
      <c r="N245" s="1226"/>
      <c r="O245" s="1191"/>
    </row>
    <row r="246" spans="2:16" s="1225" customFormat="1" ht="15.75" x14ac:dyDescent="0.25">
      <c r="B246" s="1227"/>
      <c r="C246" s="1197"/>
      <c r="D246" s="1197"/>
      <c r="E246" s="1197"/>
      <c r="F246" s="1197"/>
      <c r="G246" s="1197"/>
      <c r="H246" s="1197"/>
      <c r="I246" s="1197"/>
      <c r="J246" s="1197"/>
      <c r="K246" s="1197"/>
      <c r="L246" s="1197"/>
      <c r="M246" s="1197"/>
      <c r="N246" s="1197"/>
      <c r="O246" s="1197"/>
      <c r="P246" s="1224"/>
    </row>
    <row r="247" spans="2:16" s="1374" customFormat="1" x14ac:dyDescent="0.2"/>
    <row r="248" spans="2:16" s="1374" customFormat="1" ht="22.5" customHeight="1" x14ac:dyDescent="0.2">
      <c r="B248" s="1186" t="s">
        <v>1424</v>
      </c>
      <c r="C248" s="1187"/>
      <c r="D248" s="1187"/>
      <c r="E248" s="1187"/>
      <c r="F248" s="1187"/>
      <c r="G248" s="1187"/>
      <c r="H248" s="1187"/>
      <c r="I248" s="1187"/>
      <c r="J248" s="1187"/>
      <c r="K248" s="1187"/>
      <c r="L248" s="1187"/>
      <c r="M248" s="1187"/>
      <c r="N248" s="1187"/>
      <c r="O248" s="1187"/>
      <c r="P248" s="1188"/>
    </row>
    <row r="249" spans="2:16" s="1374" customFormat="1" x14ac:dyDescent="0.2">
      <c r="B249" s="1189"/>
      <c r="C249" s="1190"/>
      <c r="D249" s="1190"/>
      <c r="E249" s="1190"/>
      <c r="F249" s="1190"/>
      <c r="G249" s="1190"/>
      <c r="H249" s="1190"/>
      <c r="I249" s="1190"/>
      <c r="J249" s="1190"/>
      <c r="K249" s="1190"/>
      <c r="L249" s="1190"/>
      <c r="M249" s="1190"/>
      <c r="N249" s="1190"/>
      <c r="O249" s="1190"/>
      <c r="P249" s="1191"/>
    </row>
    <row r="250" spans="2:16" s="1374" customFormat="1" ht="15.75" customHeight="1" x14ac:dyDescent="0.2">
      <c r="B250" s="1189"/>
      <c r="C250" s="1441" t="s">
        <v>1704</v>
      </c>
      <c r="D250" s="1368"/>
      <c r="E250" s="1368"/>
      <c r="F250" s="1368"/>
      <c r="G250" s="1368"/>
      <c r="H250" s="1368"/>
      <c r="I250" s="1368"/>
      <c r="J250" s="1368"/>
      <c r="K250" s="1368"/>
      <c r="L250" s="1368"/>
      <c r="M250" s="1368"/>
      <c r="N250" s="1368"/>
      <c r="O250" s="1368"/>
      <c r="P250" s="1191"/>
    </row>
    <row r="251" spans="2:16" s="1374" customFormat="1" ht="5.25" customHeight="1" x14ac:dyDescent="0.2">
      <c r="B251" s="1189"/>
      <c r="C251" s="1190"/>
      <c r="D251" s="1190"/>
      <c r="E251" s="1190"/>
      <c r="F251" s="1190"/>
      <c r="G251" s="1190"/>
      <c r="H251" s="1190"/>
      <c r="I251" s="1190"/>
      <c r="J251" s="1190"/>
      <c r="K251" s="1190"/>
      <c r="L251" s="1190"/>
      <c r="M251" s="1190"/>
      <c r="N251" s="1190"/>
      <c r="O251" s="1190"/>
      <c r="P251" s="1191"/>
    </row>
    <row r="252" spans="2:16" s="1374" customFormat="1" ht="15.75" x14ac:dyDescent="0.25">
      <c r="B252" s="1192"/>
      <c r="C252" s="1727" t="s">
        <v>64</v>
      </c>
      <c r="D252" s="1727" t="s">
        <v>150</v>
      </c>
      <c r="E252" s="1727" t="s">
        <v>172</v>
      </c>
      <c r="F252" s="1727" t="s">
        <v>241</v>
      </c>
      <c r="G252" s="1727" t="s">
        <v>268</v>
      </c>
      <c r="H252" s="1727" t="s">
        <v>269</v>
      </c>
      <c r="I252" s="1727" t="s">
        <v>270</v>
      </c>
      <c r="J252" s="1727" t="s">
        <v>271</v>
      </c>
      <c r="K252" s="1727" t="s">
        <v>272</v>
      </c>
      <c r="L252" s="1727" t="s">
        <v>273</v>
      </c>
      <c r="M252" s="1727" t="s">
        <v>274</v>
      </c>
      <c r="N252" s="1727" t="s">
        <v>275</v>
      </c>
      <c r="O252" s="1369"/>
    </row>
    <row r="253" spans="2:16" s="1374" customFormat="1" x14ac:dyDescent="0.2">
      <c r="B253" s="1442"/>
      <c r="C253" s="2011" t="s">
        <v>1395</v>
      </c>
      <c r="D253" s="2012" t="str">
        <f>INDEX(CostVectors[Description], MATCH(C253, CostVectors[Code], 0))</f>
        <v>High estimate of fuel costs</v>
      </c>
      <c r="E253" s="2012"/>
      <c r="F253" s="2013">
        <f t="shared" ref="F253:M253" si="63">F189</f>
        <v>20845855878.530571</v>
      </c>
      <c r="G253" s="2013">
        <f t="shared" si="63"/>
        <v>24111056321.481281</v>
      </c>
      <c r="H253" s="2013">
        <f t="shared" si="63"/>
        <v>31811705316.480846</v>
      </c>
      <c r="I253" s="2013">
        <f t="shared" si="63"/>
        <v>86878226012.449387</v>
      </c>
      <c r="J253" s="2013">
        <f t="shared" si="63"/>
        <v>186778713164.42807</v>
      </c>
      <c r="K253" s="2013">
        <f t="shared" si="63"/>
        <v>277421323964.81226</v>
      </c>
      <c r="L253" s="2013">
        <f t="shared" si="63"/>
        <v>368063934765.19647</v>
      </c>
      <c r="M253" s="2013">
        <f t="shared" si="63"/>
        <v>458706545565.58069</v>
      </c>
      <c r="N253" s="2013">
        <f>N189</f>
        <v>562900923406.34326</v>
      </c>
      <c r="O253" s="1369"/>
    </row>
    <row r="254" spans="2:16" s="2061" customFormat="1" ht="15.75" x14ac:dyDescent="0.25">
      <c r="B254" s="1436"/>
      <c r="C254" s="1438" t="s">
        <v>1869</v>
      </c>
      <c r="D254" s="1439" t="str">
        <f>INDEX(CostVectors[Description], MATCH(C254, CostVectors[Code], 0))</f>
        <v>Point estimate of fuel costs</v>
      </c>
      <c r="E254" s="2065"/>
      <c r="F254" s="2066">
        <f t="shared" ref="F254:N254" si="64">F195</f>
        <v>20845855878.530571</v>
      </c>
      <c r="G254" s="2066">
        <f t="shared" si="64"/>
        <v>21650089233.957085</v>
      </c>
      <c r="H254" s="2066">
        <f t="shared" si="64"/>
        <v>26092328817.6754</v>
      </c>
      <c r="I254" s="2066">
        <f t="shared" si="64"/>
        <v>65945365013.826942</v>
      </c>
      <c r="J254" s="2066">
        <f t="shared" si="64"/>
        <v>132552635148.94893</v>
      </c>
      <c r="K254" s="2066">
        <f t="shared" si="64"/>
        <v>196879649265.35062</v>
      </c>
      <c r="L254" s="2066">
        <f t="shared" si="64"/>
        <v>261206663381.75232</v>
      </c>
      <c r="M254" s="2066">
        <f t="shared" si="64"/>
        <v>325533677498.15399</v>
      </c>
      <c r="N254" s="2066">
        <f t="shared" si="64"/>
        <v>399478074675.46942</v>
      </c>
      <c r="O254" s="1443"/>
    </row>
    <row r="255" spans="2:16" s="1374" customFormat="1" ht="14.25" x14ac:dyDescent="0.2">
      <c r="B255" s="1370"/>
      <c r="C255" s="1889" t="s">
        <v>1386</v>
      </c>
      <c r="D255" s="1891" t="str">
        <f>INDEX(CostVectors[Description], MATCH(C255, CostVectors[Code], 0))</f>
        <v>Low estimate of fuel costs</v>
      </c>
      <c r="E255" s="2067"/>
      <c r="F255" s="2068">
        <f t="shared" ref="F255:N255" si="65">F201</f>
        <v>20845855878.530571</v>
      </c>
      <c r="G255" s="2068">
        <f t="shared" si="65"/>
        <v>20009444508.940948</v>
      </c>
      <c r="H255" s="2068">
        <f t="shared" si="65"/>
        <v>22279411151.805107</v>
      </c>
      <c r="I255" s="2068">
        <f t="shared" si="65"/>
        <v>51990124348.078651</v>
      </c>
      <c r="J255" s="2068">
        <f t="shared" si="65"/>
        <v>96401916471.96286</v>
      </c>
      <c r="K255" s="2068">
        <f t="shared" si="65"/>
        <v>143185199465.70953</v>
      </c>
      <c r="L255" s="2068">
        <f t="shared" si="65"/>
        <v>189968482459.45621</v>
      </c>
      <c r="M255" s="2068">
        <f t="shared" si="65"/>
        <v>236751765453.20291</v>
      </c>
      <c r="N255" s="2068">
        <f t="shared" si="65"/>
        <v>290529508854.88684</v>
      </c>
      <c r="O255" s="1371"/>
    </row>
    <row r="256" spans="2:16" s="1571" customFormat="1" x14ac:dyDescent="0.2">
      <c r="B256" s="1433"/>
      <c r="C256" s="1434"/>
      <c r="D256" s="1434"/>
      <c r="E256" s="1434"/>
      <c r="F256" s="1434"/>
      <c r="G256" s="1434"/>
      <c r="H256" s="1434"/>
      <c r="I256" s="1434"/>
      <c r="J256" s="1434"/>
      <c r="K256" s="1434"/>
      <c r="L256" s="1434"/>
      <c r="M256" s="1434"/>
      <c r="N256" s="1434"/>
      <c r="O256" s="1434"/>
      <c r="P256" s="1435"/>
    </row>
    <row r="257" spans="2:16" s="1571" customFormat="1" ht="15.75" customHeight="1" x14ac:dyDescent="0.2">
      <c r="B257" s="1433"/>
      <c r="C257" s="1441" t="s">
        <v>1705</v>
      </c>
      <c r="D257" s="1442"/>
      <c r="E257" s="1442"/>
      <c r="F257" s="1442"/>
      <c r="G257" s="1442"/>
      <c r="H257" s="1442"/>
      <c r="I257" s="1442"/>
      <c r="J257" s="1442"/>
      <c r="K257" s="1442"/>
      <c r="L257" s="1442"/>
      <c r="M257" s="1442"/>
      <c r="N257" s="1442"/>
      <c r="O257" s="1442"/>
      <c r="P257" s="1435"/>
    </row>
    <row r="258" spans="2:16" s="1571" customFormat="1" ht="5.25" customHeight="1" x14ac:dyDescent="0.2">
      <c r="B258" s="1433"/>
      <c r="C258" s="1434"/>
      <c r="D258" s="1434"/>
      <c r="E258" s="1434"/>
      <c r="F258" s="1434"/>
      <c r="G258" s="1434"/>
      <c r="H258" s="1434"/>
      <c r="I258" s="1434"/>
      <c r="J258" s="1434"/>
      <c r="K258" s="1434"/>
      <c r="L258" s="1434"/>
      <c r="M258" s="1434"/>
      <c r="N258" s="1434"/>
      <c r="O258" s="1434"/>
      <c r="P258" s="1435"/>
    </row>
    <row r="259" spans="2:16" s="1571" customFormat="1" ht="15.75" x14ac:dyDescent="0.25">
      <c r="B259" s="1436"/>
      <c r="C259" s="1437" t="s">
        <v>64</v>
      </c>
      <c r="D259" s="1437" t="s">
        <v>150</v>
      </c>
      <c r="E259" s="1437" t="s">
        <v>172</v>
      </c>
      <c r="F259" s="1437" t="s">
        <v>241</v>
      </c>
      <c r="G259" s="1437" t="s">
        <v>268</v>
      </c>
      <c r="H259" s="1437" t="s">
        <v>269</v>
      </c>
      <c r="I259" s="1437" t="s">
        <v>270</v>
      </c>
      <c r="J259" s="1437" t="s">
        <v>271</v>
      </c>
      <c r="K259" s="1437" t="s">
        <v>272</v>
      </c>
      <c r="L259" s="1437" t="s">
        <v>273</v>
      </c>
      <c r="M259" s="1437" t="s">
        <v>274</v>
      </c>
      <c r="N259" s="1437" t="s">
        <v>275</v>
      </c>
      <c r="O259" s="1443"/>
    </row>
    <row r="260" spans="2:16" s="1571" customFormat="1" ht="15.75" x14ac:dyDescent="0.25">
      <c r="B260" s="1436"/>
      <c r="C260" s="1438" t="s">
        <v>1395</v>
      </c>
      <c r="D260" s="1439" t="str">
        <f>INDEX(CostVectors[Description], MATCH(C260, CostVectors[Code], 0))</f>
        <v>High estimate of fuel costs</v>
      </c>
      <c r="E260" s="1383"/>
      <c r="F260" s="1384">
        <f t="shared" ref="F260:N260" si="66">F190</f>
        <v>11881558667529.107</v>
      </c>
      <c r="G260" s="1384">
        <f t="shared" si="66"/>
        <v>14921037857598.611</v>
      </c>
      <c r="H260" s="1384">
        <f t="shared" si="66"/>
        <v>17832227640184.77</v>
      </c>
      <c r="I260" s="1384">
        <f t="shared" si="66"/>
        <v>20699996291484.223</v>
      </c>
      <c r="J260" s="1384">
        <f t="shared" si="66"/>
        <v>23524343811496.969</v>
      </c>
      <c r="K260" s="1384">
        <f t="shared" si="66"/>
        <v>23352633272726.914</v>
      </c>
      <c r="L260" s="1384">
        <f t="shared" si="66"/>
        <v>23180922733956.863</v>
      </c>
      <c r="M260" s="1384">
        <f t="shared" si="66"/>
        <v>23009212195186.812</v>
      </c>
      <c r="N260" s="1384">
        <f t="shared" si="66"/>
        <v>23400874692755.496</v>
      </c>
      <c r="O260" s="1443"/>
    </row>
    <row r="261" spans="2:16" s="2061" customFormat="1" ht="15.75" x14ac:dyDescent="0.25">
      <c r="B261" s="1436"/>
      <c r="C261" s="1438" t="s">
        <v>1869</v>
      </c>
      <c r="D261" s="1439" t="str">
        <f>INDEX(CostVectors[Description], MATCH(C261, CostVectors[Code], 0))</f>
        <v>Point estimate of fuel costs</v>
      </c>
      <c r="E261" s="1930"/>
      <c r="F261" s="1196">
        <f t="shared" ref="F261:N261" si="67">F196</f>
        <v>11881558667529.107</v>
      </c>
      <c r="G261" s="1196">
        <f t="shared" si="67"/>
        <v>13506951067727.602</v>
      </c>
      <c r="H261" s="1196">
        <f t="shared" si="67"/>
        <v>15024255300298.055</v>
      </c>
      <c r="I261" s="1196">
        <f t="shared" si="67"/>
        <v>16518339641437.1</v>
      </c>
      <c r="J261" s="1196">
        <f t="shared" si="67"/>
        <v>17989204091144.738</v>
      </c>
      <c r="K261" s="1196">
        <f t="shared" si="67"/>
        <v>17857896032085.285</v>
      </c>
      <c r="L261" s="1196">
        <f t="shared" si="67"/>
        <v>17726587973025.836</v>
      </c>
      <c r="M261" s="1196">
        <f t="shared" si="67"/>
        <v>17595279913966.387</v>
      </c>
      <c r="N261" s="1196">
        <f t="shared" si="67"/>
        <v>17894786529754.203</v>
      </c>
      <c r="O261" s="1443"/>
    </row>
    <row r="262" spans="2:16" s="1571" customFormat="1" ht="14.25" x14ac:dyDescent="0.2">
      <c r="B262" s="1444"/>
      <c r="C262" s="1438" t="s">
        <v>1386</v>
      </c>
      <c r="D262" s="1439" t="str">
        <f>INDEX(CostVectors[Description], MATCH(C262, CostVectors[Code], 0))</f>
        <v>Low estimate of fuel costs</v>
      </c>
      <c r="E262" s="1383"/>
      <c r="F262" s="1384">
        <f t="shared" ref="F262:N262" si="68">F202</f>
        <v>11881558667529.107</v>
      </c>
      <c r="G262" s="1384">
        <f t="shared" si="68"/>
        <v>12359918451742.887</v>
      </c>
      <c r="H262" s="1384">
        <f t="shared" si="68"/>
        <v>12746576248556.977</v>
      </c>
      <c r="I262" s="1384">
        <f t="shared" si="68"/>
        <v>13126400334168.012</v>
      </c>
      <c r="J262" s="1384">
        <f t="shared" si="68"/>
        <v>13499390708575.994</v>
      </c>
      <c r="K262" s="1384">
        <f t="shared" si="68"/>
        <v>13400855009973.248</v>
      </c>
      <c r="L262" s="1384">
        <f t="shared" si="68"/>
        <v>13302319311370.504</v>
      </c>
      <c r="M262" s="1384">
        <f t="shared" si="68"/>
        <v>13203783612767.76</v>
      </c>
      <c r="N262" s="1384">
        <f t="shared" si="68"/>
        <v>10323915305627.426</v>
      </c>
      <c r="O262" s="1445"/>
    </row>
    <row r="263" spans="2:16" s="1571" customFormat="1" x14ac:dyDescent="0.2">
      <c r="B263" s="1433"/>
      <c r="C263" s="1434"/>
      <c r="D263" s="1434"/>
      <c r="E263" s="1434"/>
      <c r="F263" s="1434"/>
      <c r="G263" s="1434"/>
      <c r="H263" s="1434"/>
      <c r="I263" s="1434"/>
      <c r="J263" s="1434"/>
      <c r="K263" s="1434"/>
      <c r="L263" s="1434"/>
      <c r="M263" s="1434"/>
      <c r="N263" s="1434"/>
      <c r="O263" s="1434"/>
      <c r="P263" s="1435"/>
    </row>
    <row r="264" spans="2:16" s="1571" customFormat="1" ht="15.75" customHeight="1" x14ac:dyDescent="0.2">
      <c r="B264" s="1433"/>
      <c r="C264" s="1441" t="s">
        <v>1706</v>
      </c>
      <c r="D264" s="1442"/>
      <c r="E264" s="1442"/>
      <c r="F264" s="1442"/>
      <c r="G264" s="1442"/>
      <c r="H264" s="1442"/>
      <c r="I264" s="1442"/>
      <c r="J264" s="1442"/>
      <c r="K264" s="1442"/>
      <c r="L264" s="1442"/>
      <c r="M264" s="1442"/>
      <c r="N264" s="1442"/>
      <c r="O264" s="1442"/>
      <c r="P264" s="1435"/>
    </row>
    <row r="265" spans="2:16" s="1571" customFormat="1" ht="5.25" customHeight="1" x14ac:dyDescent="0.2">
      <c r="B265" s="1433"/>
      <c r="C265" s="1434"/>
      <c r="D265" s="1434"/>
      <c r="E265" s="1434"/>
      <c r="F265" s="1434"/>
      <c r="G265" s="1434"/>
      <c r="H265" s="1434"/>
      <c r="I265" s="1434"/>
      <c r="J265" s="1434"/>
      <c r="K265" s="1434"/>
      <c r="L265" s="1434"/>
      <c r="M265" s="1434"/>
      <c r="N265" s="1434"/>
      <c r="O265" s="1434"/>
      <c r="P265" s="1435"/>
    </row>
    <row r="266" spans="2:16" s="1571" customFormat="1" ht="15.75" x14ac:dyDescent="0.25">
      <c r="B266" s="1436"/>
      <c r="C266" s="1437" t="s">
        <v>64</v>
      </c>
      <c r="D266" s="1437" t="s">
        <v>150</v>
      </c>
      <c r="E266" s="1437" t="s">
        <v>172</v>
      </c>
      <c r="F266" s="1437" t="s">
        <v>241</v>
      </c>
      <c r="G266" s="1437" t="s">
        <v>268</v>
      </c>
      <c r="H266" s="1437" t="s">
        <v>269</v>
      </c>
      <c r="I266" s="1437" t="s">
        <v>270</v>
      </c>
      <c r="J266" s="1437" t="s">
        <v>271</v>
      </c>
      <c r="K266" s="1437" t="s">
        <v>272</v>
      </c>
      <c r="L266" s="1437" t="s">
        <v>273</v>
      </c>
      <c r="M266" s="1437" t="s">
        <v>274</v>
      </c>
      <c r="N266" s="1437" t="s">
        <v>275</v>
      </c>
      <c r="O266" s="1443"/>
    </row>
    <row r="267" spans="2:16" s="1571" customFormat="1" ht="15.75" x14ac:dyDescent="0.25">
      <c r="B267" s="1436"/>
      <c r="C267" s="1438" t="s">
        <v>1395</v>
      </c>
      <c r="D267" s="1439" t="str">
        <f>INDEX(CostVectors[Description], MATCH(C267, CostVectors[Code], 0))</f>
        <v>High estimate of fuel costs</v>
      </c>
      <c r="E267" s="1383"/>
      <c r="F267" s="1384">
        <f t="shared" ref="F267:N267" si="69">F191</f>
        <v>2857910706082.9263</v>
      </c>
      <c r="G267" s="1384">
        <f t="shared" si="69"/>
        <v>4136931051915.9785</v>
      </c>
      <c r="H267" s="1384">
        <f t="shared" si="69"/>
        <v>5197561530838.5273</v>
      </c>
      <c r="I267" s="1384">
        <f t="shared" si="69"/>
        <v>6294137795586.7939</v>
      </c>
      <c r="J267" s="1384">
        <f t="shared" si="69"/>
        <v>7426659846160.7783</v>
      </c>
      <c r="K267" s="1384">
        <f t="shared" si="69"/>
        <v>7557575131773.2324</v>
      </c>
      <c r="L267" s="1384">
        <f t="shared" si="69"/>
        <v>7688490417385.6865</v>
      </c>
      <c r="M267" s="1384">
        <f t="shared" si="69"/>
        <v>7819405702998.1406</v>
      </c>
      <c r="N267" s="1384">
        <f t="shared" si="69"/>
        <v>8146445614789.3369</v>
      </c>
      <c r="O267" s="1443"/>
    </row>
    <row r="268" spans="2:16" s="2061" customFormat="1" ht="15.75" x14ac:dyDescent="0.25">
      <c r="B268" s="1436"/>
      <c r="C268" s="1438" t="s">
        <v>1869</v>
      </c>
      <c r="D268" s="1439" t="str">
        <f>INDEX(CostVectors[Description], MATCH(C268, CostVectors[Code], 0))</f>
        <v>Point estimate of fuel costs</v>
      </c>
      <c r="E268" s="1930"/>
      <c r="F268" s="1196">
        <f t="shared" ref="F268:N268" si="70">F197</f>
        <v>2857910706082.9263</v>
      </c>
      <c r="G268" s="1196">
        <f t="shared" si="70"/>
        <v>3609387502716.7217</v>
      </c>
      <c r="H268" s="1196">
        <f t="shared" si="70"/>
        <v>4122837139598.147</v>
      </c>
      <c r="I268" s="1196">
        <f t="shared" si="70"/>
        <v>4652595269463.4209</v>
      </c>
      <c r="J268" s="1196">
        <f t="shared" si="70"/>
        <v>5198661892312.5439</v>
      </c>
      <c r="K268" s="1196">
        <f t="shared" si="70"/>
        <v>5290302592241.2617</v>
      </c>
      <c r="L268" s="1196">
        <f t="shared" si="70"/>
        <v>5381943292169.9805</v>
      </c>
      <c r="M268" s="1196">
        <f t="shared" si="70"/>
        <v>5473583992098.6982</v>
      </c>
      <c r="N268" s="1196">
        <f t="shared" si="70"/>
        <v>5702511930352.5352</v>
      </c>
      <c r="O268" s="1443"/>
    </row>
    <row r="269" spans="2:16" s="1571" customFormat="1" ht="14.25" x14ac:dyDescent="0.2">
      <c r="B269" s="1444"/>
      <c r="C269" s="1438" t="s">
        <v>1386</v>
      </c>
      <c r="D269" s="1439" t="str">
        <f>INDEX(CostVectors[Description], MATCH(C269, CostVectors[Code], 0))</f>
        <v>Low estimate of fuel costs</v>
      </c>
      <c r="E269" s="1383"/>
      <c r="F269" s="1384">
        <f t="shared" ref="F269:N269" si="71">F203</f>
        <v>2857910706082.9263</v>
      </c>
      <c r="G269" s="1384">
        <f t="shared" si="71"/>
        <v>3169767878384.0088</v>
      </c>
      <c r="H269" s="1384">
        <f t="shared" si="71"/>
        <v>3227233480231.1636</v>
      </c>
      <c r="I269" s="1384">
        <f t="shared" si="71"/>
        <v>3284643164360.6113</v>
      </c>
      <c r="J269" s="1384">
        <f t="shared" si="71"/>
        <v>3341996930772.3501</v>
      </c>
      <c r="K269" s="1384">
        <f t="shared" si="71"/>
        <v>3400908809297.9546</v>
      </c>
      <c r="L269" s="1384">
        <f t="shared" si="71"/>
        <v>3459820687823.5591</v>
      </c>
      <c r="M269" s="1384">
        <f t="shared" si="71"/>
        <v>3518732566349.1636</v>
      </c>
      <c r="N269" s="1384">
        <f t="shared" si="71"/>
        <v>3665900526655.2017</v>
      </c>
      <c r="O269" s="1445"/>
    </row>
    <row r="270" spans="2:16" s="1374" customFormat="1" ht="14.25" x14ac:dyDescent="0.2">
      <c r="B270" s="1372"/>
      <c r="C270" s="1197"/>
      <c r="D270" s="1197"/>
      <c r="E270" s="1197"/>
      <c r="F270" s="1197"/>
      <c r="G270" s="1197"/>
      <c r="H270" s="1197"/>
      <c r="I270" s="1197"/>
      <c r="J270" s="1197"/>
      <c r="K270" s="1197"/>
      <c r="L270" s="1197"/>
      <c r="M270" s="1197"/>
      <c r="N270" s="1197"/>
      <c r="O270" s="1197"/>
      <c r="P270" s="1373"/>
    </row>
    <row r="271" spans="2:16" s="1616" customFormat="1" x14ac:dyDescent="0.2"/>
    <row r="272" spans="2:16" s="1616" customFormat="1" ht="15.75" x14ac:dyDescent="0.25">
      <c r="B272" s="1618" t="s">
        <v>1793</v>
      </c>
      <c r="C272" s="1619"/>
      <c r="D272" s="1619"/>
      <c r="E272" s="1619"/>
      <c r="F272" s="1619"/>
      <c r="G272" s="1619"/>
      <c r="H272" s="1619"/>
      <c r="I272" s="1619"/>
      <c r="J272" s="1619"/>
      <c r="K272" s="1619"/>
      <c r="L272" s="1619"/>
      <c r="M272" s="1619"/>
      <c r="N272" s="1619"/>
      <c r="O272" s="1619"/>
      <c r="P272" s="1619"/>
    </row>
    <row r="273" spans="2:16" s="1616" customFormat="1" x14ac:dyDescent="0.2">
      <c r="B273" s="1617"/>
      <c r="C273" s="1617"/>
      <c r="D273" s="1617"/>
      <c r="E273" s="1617"/>
      <c r="F273" s="1617"/>
      <c r="G273" s="1617"/>
      <c r="H273" s="1617"/>
      <c r="I273" s="1617"/>
      <c r="J273" s="1617"/>
      <c r="K273" s="1617"/>
      <c r="L273" s="1617"/>
      <c r="M273" s="1617"/>
      <c r="N273" s="1617"/>
      <c r="O273" s="1617"/>
      <c r="P273" s="1617"/>
    </row>
    <row r="274" spans="2:16" s="1616" customFormat="1" x14ac:dyDescent="0.2">
      <c r="B274" s="1617"/>
      <c r="C274" s="1668" t="s">
        <v>64</v>
      </c>
      <c r="D274" s="1669" t="s">
        <v>150</v>
      </c>
      <c r="E274" s="1669" t="s">
        <v>461</v>
      </c>
      <c r="F274" s="1669" t="s">
        <v>241</v>
      </c>
      <c r="G274" s="1669" t="s">
        <v>268</v>
      </c>
      <c r="H274" s="1669" t="s">
        <v>269</v>
      </c>
      <c r="I274" s="1669" t="s">
        <v>270</v>
      </c>
      <c r="J274" s="1669" t="s">
        <v>271</v>
      </c>
      <c r="K274" s="1669" t="s">
        <v>272</v>
      </c>
      <c r="L274" s="1669" t="s">
        <v>273</v>
      </c>
      <c r="M274" s="1669" t="s">
        <v>274</v>
      </c>
      <c r="N274" s="1670" t="s">
        <v>275</v>
      </c>
      <c r="O274" s="1617"/>
    </row>
    <row r="275" spans="2:16" s="1616" customFormat="1" x14ac:dyDescent="0.2">
      <c r="B275" s="1617"/>
      <c r="C275" s="1620" t="s">
        <v>1787</v>
      </c>
      <c r="D275" s="1621" t="str">
        <f>INDEX(AirQualityVectors[Description],MATCH(C275,AirQualityVectors[Code],0))</f>
        <v>PM10</v>
      </c>
      <c r="E275" s="1622" t="s">
        <v>483</v>
      </c>
      <c r="F275" s="1638">
        <f t="shared" ref="F275:N275" si="72">F172+F180</f>
        <v>2.3517445676866142</v>
      </c>
      <c r="G275" s="1638">
        <f t="shared" si="72"/>
        <v>2.3300063898043528</v>
      </c>
      <c r="H275" s="1638">
        <f t="shared" si="72"/>
        <v>2.0485173472310345</v>
      </c>
      <c r="I275" s="1638">
        <f t="shared" si="72"/>
        <v>1.8203312297993892</v>
      </c>
      <c r="J275" s="1638">
        <f t="shared" si="72"/>
        <v>1.6109835983301157</v>
      </c>
      <c r="K275" s="1638">
        <f t="shared" si="72"/>
        <v>1.4305998897369454</v>
      </c>
      <c r="L275" s="1638">
        <f t="shared" si="72"/>
        <v>1.2527322323029186</v>
      </c>
      <c r="M275" s="1638">
        <f t="shared" si="72"/>
        <v>1.0773806260280359</v>
      </c>
      <c r="N275" s="1638">
        <f t="shared" si="72"/>
        <v>0.90454507091229708</v>
      </c>
      <c r="O275" s="1617"/>
    </row>
    <row r="276" spans="2:16" s="1616" customFormat="1" x14ac:dyDescent="0.2">
      <c r="B276" s="1617"/>
      <c r="C276" s="1620" t="s">
        <v>1788</v>
      </c>
      <c r="D276" s="1621" t="str">
        <f>INDEX(AirQualityVectors[Description],MATCH(C276,AirQualityVectors[Code],0))</f>
        <v>NOX</v>
      </c>
      <c r="E276" s="1622" t="s">
        <v>483</v>
      </c>
      <c r="F276" s="1638">
        <f t="shared" ref="F276:N276" si="73">F173+F181</f>
        <v>216.00262250384054</v>
      </c>
      <c r="G276" s="1638">
        <f t="shared" si="73"/>
        <v>167.21186653294035</v>
      </c>
      <c r="H276" s="1638">
        <f t="shared" si="73"/>
        <v>147.58563535244369</v>
      </c>
      <c r="I276" s="1638">
        <f t="shared" si="73"/>
        <v>126.85181284730103</v>
      </c>
      <c r="J276" s="1638">
        <f t="shared" si="73"/>
        <v>106.59056041080092</v>
      </c>
      <c r="K276" s="1638">
        <f t="shared" si="73"/>
        <v>88.886226463936495</v>
      </c>
      <c r="L276" s="1638">
        <f t="shared" si="73"/>
        <v>71.143282409188075</v>
      </c>
      <c r="M276" s="1638">
        <f t="shared" si="73"/>
        <v>53.653843047025184</v>
      </c>
      <c r="N276" s="1638">
        <f t="shared" si="73"/>
        <v>36.417908377447866</v>
      </c>
      <c r="O276" s="1617"/>
    </row>
    <row r="277" spans="2:16" s="1616" customFormat="1" x14ac:dyDescent="0.2">
      <c r="B277" s="1617"/>
      <c r="C277" s="1620" t="s">
        <v>1789</v>
      </c>
      <c r="D277" s="1621" t="str">
        <f>INDEX(AirQualityVectors[Description],MATCH(C277,AirQualityVectors[Code],0))</f>
        <v>SO2</v>
      </c>
      <c r="E277" s="1622" t="s">
        <v>483</v>
      </c>
      <c r="F277" s="1638">
        <f t="shared" ref="F277:N277" si="74">F174+F182</f>
        <v>8.0522786032412696</v>
      </c>
      <c r="G277" s="1638">
        <f t="shared" si="74"/>
        <v>2.5629069843191088</v>
      </c>
      <c r="H277" s="1638">
        <f t="shared" si="74"/>
        <v>2.2575431764204805</v>
      </c>
      <c r="I277" s="1638">
        <f t="shared" si="74"/>
        <v>1.9370279588704324</v>
      </c>
      <c r="J277" s="1638">
        <f t="shared" si="74"/>
        <v>1.6391847925030614</v>
      </c>
      <c r="K277" s="1638">
        <f t="shared" si="74"/>
        <v>1.4866015543413187</v>
      </c>
      <c r="L277" s="1638">
        <f t="shared" si="74"/>
        <v>1.2727192486339833</v>
      </c>
      <c r="M277" s="1638">
        <f t="shared" si="74"/>
        <v>1.0620987114414981</v>
      </c>
      <c r="N277" s="1638">
        <f t="shared" si="74"/>
        <v>0.85473994276386356</v>
      </c>
      <c r="O277" s="1617"/>
    </row>
    <row r="278" spans="2:16" s="1616" customFormat="1" x14ac:dyDescent="0.2">
      <c r="B278" s="1617"/>
      <c r="C278" s="1623" t="s">
        <v>1790</v>
      </c>
      <c r="D278" s="1621" t="str">
        <f>INDEX(AirQualityVectors[Description],MATCH(C278,AirQualityVectors[Code],0))</f>
        <v>NMVOC</v>
      </c>
      <c r="E278" s="1622" t="s">
        <v>483</v>
      </c>
      <c r="F278" s="1638">
        <f t="shared" ref="F278:N278" si="75">F175+F183</f>
        <v>67.902418425813053</v>
      </c>
      <c r="G278" s="1638">
        <f t="shared" si="75"/>
        <v>67.373730051607282</v>
      </c>
      <c r="H278" s="1638">
        <f t="shared" si="75"/>
        <v>58.729676332880956</v>
      </c>
      <c r="I278" s="1638">
        <f t="shared" si="75"/>
        <v>52.004732326950347</v>
      </c>
      <c r="J278" s="1638">
        <f t="shared" si="75"/>
        <v>46.738079137635999</v>
      </c>
      <c r="K278" s="1638">
        <f t="shared" si="75"/>
        <v>58.07448856152979</v>
      </c>
      <c r="L278" s="1638">
        <f t="shared" si="75"/>
        <v>58.012743554139789</v>
      </c>
      <c r="M278" s="1638">
        <f t="shared" si="75"/>
        <v>57.955056925172421</v>
      </c>
      <c r="N278" s="1638">
        <f t="shared" si="75"/>
        <v>57.901428674627709</v>
      </c>
      <c r="O278" s="1617"/>
    </row>
    <row r="279" spans="2:16" s="1726" customFormat="1" x14ac:dyDescent="0.2">
      <c r="B279" s="1617"/>
      <c r="C279" s="1637"/>
      <c r="D279" s="1729"/>
      <c r="E279" s="1637"/>
      <c r="F279" s="1730"/>
      <c r="G279" s="1730"/>
      <c r="H279" s="1730"/>
      <c r="I279" s="1730"/>
      <c r="J279" s="1730"/>
      <c r="K279" s="1730"/>
      <c r="L279" s="1730"/>
      <c r="M279" s="1730"/>
      <c r="N279" s="1730"/>
      <c r="O279" s="1730"/>
      <c r="P279" s="1617"/>
    </row>
  </sheetData>
  <mergeCells count="3">
    <mergeCell ref="F178:H178"/>
    <mergeCell ref="F170:H170"/>
    <mergeCell ref="F177:H177"/>
  </mergeCells>
  <pageMargins left="0.7" right="0.7" top="0.75" bottom="0.75" header="0.3" footer="0.3"/>
  <pageSetup paperSize="9" orientation="portrait"/>
  <ignoredErrors>
    <ignoredError sqref="F65:N65" numberStoredAsText="1"/>
  </ignoredErrors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 enableFormatConditionsCalculation="0">
    <tabColor theme="9"/>
    <outlinePr summaryBelow="0"/>
    <pageSetUpPr autoPageBreaks="0"/>
  </sheetPr>
  <dimension ref="A1:Q158"/>
  <sheetViews>
    <sheetView windowProtection="1" zoomScaleNormal="100" workbookViewId="0"/>
  </sheetViews>
  <sheetFormatPr defaultColWidth="8.7109375" defaultRowHeight="12.75" x14ac:dyDescent="0.2"/>
  <cols>
    <col min="1" max="1" width="7.7109375" style="1476" customWidth="1"/>
    <col min="2" max="2" width="5.7109375" style="1476" customWidth="1"/>
    <col min="3" max="3" width="20.42578125" style="1476" customWidth="1"/>
    <col min="4" max="4" width="30.7109375" style="1476" customWidth="1"/>
    <col min="5" max="5" width="20.7109375" style="1476" customWidth="1"/>
    <col min="6" max="15" width="17.7109375" style="1476" customWidth="1"/>
    <col min="16" max="16" width="2" style="1476" customWidth="1"/>
    <col min="17" max="17" width="10.7109375" style="1476" customWidth="1"/>
    <col min="18" max="16384" width="8.7109375" style="1476"/>
  </cols>
  <sheetData>
    <row r="1" spans="1:16" ht="21" x14ac:dyDescent="0.35">
      <c r="A1" s="119" t="s">
        <v>438</v>
      </c>
      <c r="B1" s="119" t="str">
        <f>INDEX(Workstreams[Workstream], MATCH($A1, Workstreams[Code], 0))</f>
        <v>Transfers</v>
      </c>
      <c r="C1" s="119"/>
    </row>
    <row r="2" spans="1:16" s="84" customFormat="1" ht="19.5" customHeight="1" x14ac:dyDescent="0.2">
      <c r="A2" s="6" t="s">
        <v>439</v>
      </c>
      <c r="B2" s="6" t="str">
        <f>INDEX(Modules[Module], MATCH($A2, Modules[Code], 0))</f>
        <v>Fossil fuel transfers</v>
      </c>
      <c r="C2" s="6"/>
      <c r="E2" s="1380"/>
    </row>
    <row r="4" spans="1:16" ht="22.5" x14ac:dyDescent="0.3">
      <c r="A4" s="1422"/>
      <c r="B4" s="468" t="s">
        <v>235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x14ac:dyDescent="0.2">
      <c r="B6" s="410"/>
      <c r="C6" s="424" t="s">
        <v>547</v>
      </c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3" t="str">
        <f>Preferences.EnergyUnits</f>
        <v>TWh</v>
      </c>
      <c r="P6" s="414"/>
    </row>
    <row r="7" spans="1:16" ht="6" customHeight="1" x14ac:dyDescent="0.2">
      <c r="B7" s="410"/>
      <c r="C7" s="411"/>
      <c r="D7" s="412"/>
      <c r="E7" s="413"/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s="84" customFormat="1" ht="15.75" x14ac:dyDescent="0.2">
      <c r="A8" s="89"/>
      <c r="B8" s="425"/>
      <c r="C8" s="426" t="s">
        <v>64</v>
      </c>
      <c r="D8" s="426" t="s">
        <v>150</v>
      </c>
      <c r="E8" s="426" t="s">
        <v>172</v>
      </c>
      <c r="F8" s="426" t="s">
        <v>241</v>
      </c>
      <c r="G8" s="426" t="s">
        <v>268</v>
      </c>
      <c r="H8" s="426" t="s">
        <v>269</v>
      </c>
      <c r="I8" s="426" t="s">
        <v>270</v>
      </c>
      <c r="J8" s="426" t="s">
        <v>271</v>
      </c>
      <c r="K8" s="426" t="s">
        <v>272</v>
      </c>
      <c r="L8" s="426" t="s">
        <v>273</v>
      </c>
      <c r="M8" s="426" t="s">
        <v>274</v>
      </c>
      <c r="N8" s="426" t="s">
        <v>275</v>
      </c>
      <c r="O8" s="507"/>
    </row>
    <row r="9" spans="1:16" s="84" customFormat="1" ht="15.75" x14ac:dyDescent="0.2">
      <c r="A9" s="89"/>
      <c r="B9" s="425"/>
      <c r="C9" s="426" t="s">
        <v>36</v>
      </c>
      <c r="D9" s="97" t="str">
        <f>INDEX(Vectors[Description], MATCH(XVI.a.Inputs[Vector], Vectors[Code], 0))</f>
        <v>Solid hydrocarbons</v>
      </c>
      <c r="E9" s="426"/>
      <c r="F9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-1.5203815348896348</v>
      </c>
      <c r="G9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-1.8097434927284919</v>
      </c>
      <c r="H9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-25.824701842565585</v>
      </c>
      <c r="I9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-122.5769415325465</v>
      </c>
      <c r="J9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-281.95754953591495</v>
      </c>
      <c r="K9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-512.36760581012402</v>
      </c>
      <c r="L9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-756.52138704566835</v>
      </c>
      <c r="M9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-998.96810111333627</v>
      </c>
      <c r="N9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-1241.5439171180863</v>
      </c>
      <c r="O9" s="507"/>
    </row>
    <row r="10" spans="1:16" s="84" customFormat="1" ht="15.75" x14ac:dyDescent="0.2">
      <c r="A10" s="89"/>
      <c r="B10" s="425"/>
      <c r="C10" s="426" t="s">
        <v>38</v>
      </c>
      <c r="D10" s="97" t="str">
        <f>INDEX(Vectors[Description], MATCH(XVI.a.Inputs[Vector], Vectors[Code], 0))</f>
        <v>Liquid hydrocarbons</v>
      </c>
      <c r="E10" s="426"/>
      <c r="F10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-301.24472631181249</v>
      </c>
      <c r="G10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-309.20345172722136</v>
      </c>
      <c r="H10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-221.35927018559818</v>
      </c>
      <c r="I10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-188.35750920679624</v>
      </c>
      <c r="J10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-190.7988284261738</v>
      </c>
      <c r="K10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-198.31117547774622</v>
      </c>
      <c r="L10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-197.79696796682728</v>
      </c>
      <c r="M10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-196.27149320474481</v>
      </c>
      <c r="N10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-191.75650933957016</v>
      </c>
      <c r="O10" s="507"/>
    </row>
    <row r="11" spans="1:16" s="84" customFormat="1" ht="15.75" x14ac:dyDescent="0.2">
      <c r="A11" s="89"/>
      <c r="B11" s="425"/>
      <c r="C11" s="426" t="s">
        <v>39</v>
      </c>
      <c r="D11" s="97" t="str">
        <f>INDEX(Vectors[Description], MATCH(XVI.a.Inputs[Vector], Vectors[Code], 0))</f>
        <v>Gaseous hydrocarbons</v>
      </c>
      <c r="E11" s="426"/>
      <c r="F11" s="247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-49.495361509295321</v>
      </c>
      <c r="G11" s="247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-43.181946501047776</v>
      </c>
      <c r="H11" s="247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-107.2049101095626</v>
      </c>
      <c r="I11" s="247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-63.485702206074279</v>
      </c>
      <c r="J11" s="247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-94.702306160830517</v>
      </c>
      <c r="K11" s="247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-168.78001843068682</v>
      </c>
      <c r="L11" s="247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-240.55702614082441</v>
      </c>
      <c r="M11" s="247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-305.44296449466685</v>
      </c>
      <c r="N11" s="247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-370.09939112530026</v>
      </c>
      <c r="O11" s="507"/>
    </row>
    <row r="12" spans="1:16" s="84" customFormat="1" ht="18" customHeight="1" x14ac:dyDescent="0.2">
      <c r="A12" s="89"/>
      <c r="B12" s="425"/>
      <c r="C12" s="97" t="s">
        <v>2184</v>
      </c>
      <c r="D12" s="97" t="str">
        <f>INDEX(Vectors[Description], MATCH(XVI.a.Inputs[Vector], Vectors[Code], 0))</f>
        <v>Traditional Fuel</v>
      </c>
      <c r="E12" s="97"/>
      <c r="F12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0</v>
      </c>
      <c r="G12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5.6843418860808015E-14</v>
      </c>
      <c r="H12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-2.8421709430404007E-14</v>
      </c>
      <c r="I12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-2.8421709430404007E-14</v>
      </c>
      <c r="J12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1.1368683772161603E-13</v>
      </c>
      <c r="K12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-8.5265128291212022E-14</v>
      </c>
      <c r="L12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-9.9475983006414026E-14</v>
      </c>
      <c r="M12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8.5265128291212022E-14</v>
      </c>
      <c r="N12" s="500">
        <f ca="1">INDEX(INDIRECT("'"&amp;XVI.a.Inputs[#Headers]&amp;"'!Year.Matrix"), MATCH("Subtotal."&amp;$A$2, INDIRECT("'"&amp;XVI.a.Inputs[#Headers]&amp;"'!Year.Modules"), 0), MATCH(XVI.a.Inputs[Vector], INDIRECT("'"&amp;XVI.a.Inputs[#Headers]&amp;"'!Year.Vectors"), 0))</f>
        <v>2.0605739337042905E-13</v>
      </c>
      <c r="O12" s="429"/>
    </row>
    <row r="13" spans="1:16" s="84" customFormat="1" ht="18" customHeight="1" x14ac:dyDescent="0.2">
      <c r="A13" s="89"/>
      <c r="B13" s="425"/>
      <c r="C13" s="97"/>
      <c r="D13" s="97"/>
      <c r="E13" s="97"/>
      <c r="F13" s="241"/>
      <c r="G13" s="241"/>
      <c r="H13" s="241"/>
      <c r="I13" s="241"/>
      <c r="J13" s="241"/>
      <c r="K13" s="241"/>
      <c r="L13" s="241"/>
      <c r="M13" s="241"/>
      <c r="N13" s="241"/>
      <c r="O13" s="241"/>
      <c r="P13" s="429"/>
    </row>
    <row r="15" spans="1:16" s="84" customFormat="1" ht="22.5" x14ac:dyDescent="0.2">
      <c r="A15" s="408"/>
      <c r="B15" s="1423" t="s">
        <v>315</v>
      </c>
      <c r="C15" s="405"/>
      <c r="D15" s="405"/>
      <c r="E15" s="405"/>
      <c r="F15" s="405"/>
      <c r="G15" s="405"/>
      <c r="H15" s="405"/>
      <c r="I15" s="405"/>
      <c r="J15" s="405"/>
      <c r="K15" s="405"/>
      <c r="L15" s="405"/>
      <c r="M15" s="405"/>
      <c r="N15" s="405"/>
      <c r="O15" s="406"/>
    </row>
    <row r="16" spans="1:16" x14ac:dyDescent="0.2">
      <c r="B16" s="1419"/>
      <c r="C16" s="1416"/>
      <c r="D16" s="1416"/>
      <c r="E16" s="1416"/>
      <c r="F16" s="1416"/>
      <c r="G16" s="1416"/>
      <c r="H16" s="1416"/>
      <c r="I16" s="1416"/>
      <c r="J16" s="1416"/>
      <c r="K16" s="1416"/>
      <c r="L16" s="1416"/>
      <c r="M16" s="1416"/>
      <c r="N16" s="1416"/>
      <c r="O16" s="1420"/>
    </row>
    <row r="17" spans="2:16" x14ac:dyDescent="0.2">
      <c r="B17" s="1419"/>
      <c r="C17" s="1417" t="s">
        <v>548</v>
      </c>
      <c r="D17" s="1416"/>
      <c r="E17" s="176"/>
      <c r="F17" s="1416"/>
      <c r="G17" s="1416"/>
      <c r="H17" s="1416"/>
      <c r="I17" s="1416"/>
      <c r="J17" s="1416"/>
      <c r="K17" s="1416"/>
      <c r="L17" s="1416"/>
      <c r="M17" s="1416"/>
      <c r="N17" s="176" t="s">
        <v>559</v>
      </c>
      <c r="O17" s="1420"/>
    </row>
    <row r="18" spans="2:16" ht="6" customHeight="1" x14ac:dyDescent="0.2">
      <c r="B18" s="1419"/>
      <c r="C18" s="1416"/>
      <c r="D18" s="1416"/>
      <c r="E18" s="1416"/>
      <c r="F18" s="1416"/>
      <c r="G18" s="1416"/>
      <c r="H18" s="1416"/>
      <c r="I18" s="1416"/>
      <c r="J18" s="1416"/>
      <c r="K18" s="1416"/>
      <c r="L18" s="1416"/>
      <c r="M18" s="1416"/>
      <c r="N18" s="1416"/>
      <c r="O18" s="1420"/>
    </row>
    <row r="19" spans="2:16" ht="15.75" x14ac:dyDescent="0.25">
      <c r="B19" s="397"/>
      <c r="C19" s="98" t="s">
        <v>64</v>
      </c>
      <c r="D19" s="98" t="s">
        <v>150</v>
      </c>
      <c r="E19" s="98" t="s">
        <v>172</v>
      </c>
      <c r="F19" s="217">
        <v>2010</v>
      </c>
      <c r="G19" s="217">
        <v>2015</v>
      </c>
      <c r="H19" s="217">
        <v>2020</v>
      </c>
      <c r="I19" s="217">
        <v>2025</v>
      </c>
      <c r="J19" s="217">
        <v>2030</v>
      </c>
      <c r="K19" s="217">
        <v>2035</v>
      </c>
      <c r="L19" s="217">
        <v>2040</v>
      </c>
      <c r="M19" s="217">
        <v>2045</v>
      </c>
      <c r="N19" s="217">
        <v>2050</v>
      </c>
      <c r="O19" s="1420"/>
    </row>
    <row r="20" spans="2:16" s="84" customFormat="1" ht="15.75" x14ac:dyDescent="0.2">
      <c r="B20" s="399"/>
      <c r="C20" s="121" t="s">
        <v>39</v>
      </c>
      <c r="D20" s="122" t="str">
        <f>INDEX(Vectors[Description], MATCH($C20, Vectors[Code], 0))</f>
        <v>Gaseous hydrocarbons</v>
      </c>
      <c r="E20" s="122" t="s">
        <v>93</v>
      </c>
      <c r="F20" s="2336">
        <v>1.2E-2</v>
      </c>
      <c r="G20" s="137">
        <f>F20</f>
        <v>1.2E-2</v>
      </c>
      <c r="H20" s="137">
        <f t="shared" ref="H20:N20" si="0">G20</f>
        <v>1.2E-2</v>
      </c>
      <c r="I20" s="137">
        <f t="shared" si="0"/>
        <v>1.2E-2</v>
      </c>
      <c r="J20" s="137">
        <f t="shared" si="0"/>
        <v>1.2E-2</v>
      </c>
      <c r="K20" s="137">
        <f t="shared" si="0"/>
        <v>1.2E-2</v>
      </c>
      <c r="L20" s="137">
        <f t="shared" si="0"/>
        <v>1.2E-2</v>
      </c>
      <c r="M20" s="137">
        <f t="shared" si="0"/>
        <v>1.2E-2</v>
      </c>
      <c r="N20" s="137">
        <f t="shared" si="0"/>
        <v>1.2E-2</v>
      </c>
      <c r="O20" s="400"/>
    </row>
    <row r="21" spans="2:16" x14ac:dyDescent="0.2">
      <c r="B21" s="401"/>
      <c r="C21" s="1416"/>
      <c r="D21" s="177"/>
      <c r="E21" s="1416"/>
      <c r="F21" s="1416"/>
      <c r="G21" s="1416"/>
      <c r="H21" s="1416"/>
      <c r="I21" s="1416"/>
      <c r="J21" s="1416"/>
      <c r="K21" s="1416"/>
      <c r="L21" s="1416"/>
      <c r="M21" s="1416"/>
      <c r="N21" s="1416"/>
      <c r="O21" s="1420"/>
    </row>
    <row r="22" spans="2:16" x14ac:dyDescent="0.2">
      <c r="B22" s="401"/>
      <c r="C22" s="1417" t="s">
        <v>550</v>
      </c>
      <c r="D22" s="177"/>
      <c r="E22" s="1416"/>
      <c r="F22" s="1416"/>
      <c r="G22" s="1416"/>
      <c r="H22" s="1416"/>
      <c r="I22" s="1416"/>
      <c r="J22" s="1416"/>
      <c r="K22" s="1416"/>
      <c r="L22" s="1416"/>
      <c r="M22" s="1416"/>
      <c r="N22" s="1416"/>
      <c r="O22" s="1420"/>
    </row>
    <row r="23" spans="2:16" ht="5.25" customHeight="1" x14ac:dyDescent="0.2">
      <c r="B23" s="401"/>
      <c r="C23" s="1416"/>
      <c r="D23" s="177"/>
      <c r="E23" s="1416"/>
      <c r="F23" s="1416"/>
      <c r="G23" s="1416"/>
      <c r="H23" s="1416"/>
      <c r="I23" s="1416"/>
      <c r="J23" s="1416"/>
      <c r="K23" s="1416"/>
      <c r="L23" s="1416"/>
      <c r="M23" s="1416"/>
      <c r="N23" s="1416"/>
      <c r="O23" s="1420"/>
    </row>
    <row r="24" spans="2:16" ht="15.75" x14ac:dyDescent="0.25">
      <c r="B24" s="397"/>
      <c r="C24" s="180" t="s">
        <v>490</v>
      </c>
      <c r="D24" s="180" t="s">
        <v>461</v>
      </c>
      <c r="E24" s="180" t="s">
        <v>172</v>
      </c>
      <c r="F24" s="224">
        <v>2010</v>
      </c>
      <c r="G24" s="224">
        <v>2015</v>
      </c>
      <c r="H24" s="224">
        <v>2020</v>
      </c>
      <c r="I24" s="1416"/>
      <c r="J24" s="1416"/>
      <c r="K24" s="1416"/>
      <c r="L24" s="1416"/>
      <c r="M24" s="1416"/>
      <c r="N24" s="1416"/>
      <c r="O24" s="1420"/>
    </row>
    <row r="25" spans="2:16" ht="15.75" x14ac:dyDescent="0.25">
      <c r="B25" s="397"/>
      <c r="C25" s="199" t="s">
        <v>474</v>
      </c>
      <c r="D25" s="200" t="s">
        <v>518</v>
      </c>
      <c r="E25" s="200" t="s">
        <v>100</v>
      </c>
      <c r="F25" s="201">
        <f>208.126255432784/1000*GWP.CH4</f>
        <v>4.3706513640884639</v>
      </c>
      <c r="G25" s="201"/>
      <c r="H25" s="201"/>
      <c r="I25" s="1416"/>
      <c r="J25" s="1416"/>
      <c r="K25" s="1416"/>
      <c r="L25" s="1416"/>
      <c r="M25" s="1416"/>
      <c r="N25" s="1416"/>
      <c r="O25" s="1420"/>
    </row>
    <row r="26" spans="2:16" s="1616" customFormat="1" ht="15.75" x14ac:dyDescent="0.25">
      <c r="B26" s="397"/>
      <c r="C26" s="1414"/>
      <c r="D26" s="1415"/>
      <c r="E26" s="1415"/>
      <c r="F26" s="1416"/>
      <c r="G26" s="1416"/>
      <c r="H26" s="1416"/>
      <c r="I26" s="1416"/>
      <c r="J26" s="1416"/>
      <c r="K26" s="1416"/>
      <c r="L26" s="1416"/>
      <c r="M26" s="1416"/>
      <c r="N26" s="1416"/>
      <c r="O26" s="1420"/>
    </row>
    <row r="27" spans="2:16" x14ac:dyDescent="0.2">
      <c r="B27" s="401"/>
      <c r="C27" s="1417" t="s">
        <v>1811</v>
      </c>
      <c r="D27" s="177"/>
      <c r="E27" s="1416"/>
      <c r="F27" s="1416"/>
      <c r="G27" s="1416"/>
      <c r="H27" s="1416"/>
      <c r="I27" s="1416"/>
      <c r="J27" s="1416"/>
      <c r="K27" s="1416"/>
      <c r="L27" s="1416"/>
      <c r="M27" s="1416"/>
      <c r="N27" s="1416"/>
      <c r="O27" s="1420"/>
    </row>
    <row r="28" spans="2:16" s="1616" customFormat="1" ht="5.25" customHeight="1" x14ac:dyDescent="0.2">
      <c r="B28" s="401"/>
      <c r="C28" s="1416"/>
      <c r="D28" s="177"/>
      <c r="E28" s="1416"/>
      <c r="F28" s="1416"/>
      <c r="G28" s="1416"/>
      <c r="H28" s="1416"/>
      <c r="I28" s="1416"/>
      <c r="J28" s="1416"/>
      <c r="K28" s="1416"/>
      <c r="L28" s="1416"/>
      <c r="M28" s="1416"/>
      <c r="N28" s="1416"/>
      <c r="O28" s="1420"/>
    </row>
    <row r="29" spans="2:16" s="1616" customFormat="1" x14ac:dyDescent="0.2">
      <c r="B29" s="401"/>
      <c r="C29" s="180" t="s">
        <v>490</v>
      </c>
      <c r="D29" s="180" t="s">
        <v>461</v>
      </c>
      <c r="E29" s="180" t="s">
        <v>172</v>
      </c>
      <c r="F29" s="224">
        <v>2010</v>
      </c>
      <c r="G29" s="224">
        <v>2015</v>
      </c>
      <c r="H29" s="224">
        <v>2020</v>
      </c>
      <c r="I29" s="224">
        <v>2025</v>
      </c>
      <c r="J29" s="224">
        <v>2030</v>
      </c>
      <c r="K29" s="1416"/>
      <c r="L29" s="1416"/>
      <c r="M29" s="1416"/>
      <c r="N29" s="1416"/>
      <c r="O29" s="1420"/>
    </row>
    <row r="30" spans="2:16" s="1616" customFormat="1" x14ac:dyDescent="0.2">
      <c r="B30" s="401"/>
      <c r="C30" s="199" t="s">
        <v>1792</v>
      </c>
      <c r="D30" s="200" t="s">
        <v>518</v>
      </c>
      <c r="E30" s="200"/>
      <c r="F30" s="201">
        <v>64.641521601284268</v>
      </c>
      <c r="G30" s="201">
        <v>58.51195295876019</v>
      </c>
      <c r="H30" s="201">
        <v>50.578959434795244</v>
      </c>
      <c r="I30" s="201">
        <v>45.563807860339438</v>
      </c>
      <c r="J30" s="201">
        <v>40.718764790773925</v>
      </c>
      <c r="K30" s="1416"/>
      <c r="L30" s="1416"/>
      <c r="M30" s="1416"/>
      <c r="N30" s="1416"/>
      <c r="O30" s="1420"/>
    </row>
    <row r="31" spans="2:16" s="1616" customFormat="1" x14ac:dyDescent="0.2">
      <c r="B31" s="401"/>
      <c r="C31" s="1416"/>
      <c r="D31" s="177"/>
      <c r="E31" s="1416"/>
      <c r="F31" s="1416"/>
      <c r="G31" s="1416"/>
      <c r="H31" s="1416"/>
      <c r="I31" s="1416"/>
      <c r="J31" s="1416"/>
      <c r="K31" s="1416"/>
      <c r="L31" s="1416"/>
      <c r="M31" s="1416"/>
      <c r="N31" s="1416"/>
      <c r="O31" s="1416"/>
      <c r="P31" s="1420"/>
    </row>
    <row r="32" spans="2:16" s="2061" customFormat="1" x14ac:dyDescent="0.2">
      <c r="B32" s="401"/>
      <c r="C32" s="1416"/>
      <c r="D32" s="177"/>
      <c r="E32" s="1416"/>
      <c r="F32" s="1416"/>
      <c r="G32" s="1416"/>
      <c r="H32" s="1416"/>
      <c r="I32" s="1416"/>
      <c r="J32" s="1416"/>
      <c r="K32" s="1416"/>
      <c r="L32" s="1416"/>
      <c r="M32" s="1416"/>
      <c r="N32" s="1416"/>
      <c r="O32" s="1416"/>
      <c r="P32" s="1420"/>
    </row>
    <row r="33" spans="1:17" s="2061" customFormat="1" x14ac:dyDescent="0.2">
      <c r="B33" s="401"/>
      <c r="C33" s="1541" t="s">
        <v>1466</v>
      </c>
      <c r="D33" s="1252">
        <v>30</v>
      </c>
      <c r="E33" s="2069" t="s">
        <v>1568</v>
      </c>
      <c r="F33" s="1252"/>
      <c r="G33" s="1252"/>
      <c r="H33" s="1252"/>
      <c r="I33" s="1252"/>
      <c r="J33" s="1416"/>
      <c r="K33" s="1416"/>
      <c r="L33" s="1416"/>
      <c r="M33" s="1416"/>
      <c r="N33" s="1416"/>
      <c r="O33" s="1416"/>
      <c r="P33" s="1420"/>
    </row>
    <row r="34" spans="1:17" s="2061" customFormat="1" x14ac:dyDescent="0.2">
      <c r="B34" s="401"/>
      <c r="C34" s="1416"/>
      <c r="D34" s="1416"/>
      <c r="E34" s="562"/>
      <c r="F34" s="1416"/>
      <c r="G34" s="1416"/>
      <c r="H34" s="1416"/>
      <c r="I34" s="1416"/>
      <c r="J34" s="1416"/>
      <c r="K34" s="1416"/>
      <c r="L34" s="1416"/>
      <c r="M34" s="1416"/>
      <c r="N34" s="1416"/>
      <c r="O34" s="1416"/>
      <c r="P34" s="1420"/>
    </row>
    <row r="35" spans="1:17" s="1616" customFormat="1" x14ac:dyDescent="0.2">
      <c r="B35" s="401"/>
      <c r="C35" s="1416"/>
      <c r="D35" s="177"/>
      <c r="E35" s="1416"/>
      <c r="F35" s="1416"/>
      <c r="G35" s="1416"/>
      <c r="H35" s="1416"/>
      <c r="I35" s="1416"/>
      <c r="J35" s="1416"/>
      <c r="K35" s="1416"/>
      <c r="L35" s="1416"/>
      <c r="M35" s="1416"/>
      <c r="N35" s="1416"/>
      <c r="O35" s="1416"/>
      <c r="P35" s="1420"/>
    </row>
    <row r="36" spans="1:17" x14ac:dyDescent="0.2">
      <c r="B36" s="401"/>
      <c r="C36" s="1416" t="s">
        <v>266</v>
      </c>
      <c r="D36" s="177"/>
      <c r="E36" s="1416"/>
      <c r="F36" s="1416"/>
      <c r="G36" s="1416"/>
      <c r="H36" s="1416"/>
      <c r="I36" s="1416"/>
      <c r="J36" s="1416"/>
      <c r="K36" s="1416"/>
      <c r="L36" s="1416"/>
      <c r="M36" s="1416"/>
      <c r="N36" s="1416"/>
      <c r="O36" s="1416"/>
      <c r="P36" s="1420"/>
    </row>
    <row r="37" spans="1:17" s="1411" customFormat="1" ht="10.5" x14ac:dyDescent="0.15">
      <c r="B37" s="462"/>
      <c r="C37" s="486" t="s">
        <v>93</v>
      </c>
      <c r="D37" s="489" t="s">
        <v>2439</v>
      </c>
      <c r="E37" s="465"/>
      <c r="F37" s="465"/>
      <c r="G37" s="465"/>
      <c r="H37" s="465"/>
      <c r="I37" s="465"/>
      <c r="J37" s="465"/>
      <c r="K37" s="465"/>
      <c r="L37" s="465"/>
      <c r="M37" s="465"/>
      <c r="N37" s="465"/>
      <c r="O37" s="465"/>
      <c r="P37" s="466"/>
    </row>
    <row r="38" spans="1:17" s="1411" customFormat="1" ht="10.5" x14ac:dyDescent="0.15">
      <c r="B38" s="462"/>
      <c r="C38" s="486" t="s">
        <v>100</v>
      </c>
      <c r="D38" s="489" t="s">
        <v>551</v>
      </c>
      <c r="E38" s="465"/>
      <c r="F38" s="465"/>
      <c r="G38" s="465"/>
      <c r="H38" s="465"/>
      <c r="I38" s="465"/>
      <c r="J38" s="465"/>
      <c r="K38" s="465"/>
      <c r="L38" s="465"/>
      <c r="M38" s="465"/>
      <c r="N38" s="465"/>
      <c r="O38" s="465"/>
      <c r="P38" s="466"/>
    </row>
    <row r="39" spans="1:17" x14ac:dyDescent="0.2">
      <c r="B39" s="402"/>
      <c r="C39" s="403"/>
      <c r="D39" s="403"/>
      <c r="E39" s="403"/>
      <c r="F39" s="403"/>
      <c r="G39" s="403"/>
      <c r="H39" s="403"/>
      <c r="I39" s="403"/>
      <c r="J39" s="403"/>
      <c r="K39" s="403"/>
      <c r="L39" s="403"/>
      <c r="M39" s="403"/>
      <c r="N39" s="403"/>
      <c r="O39" s="403"/>
      <c r="P39" s="404"/>
    </row>
    <row r="40" spans="1:17" s="588" customFormat="1" x14ac:dyDescent="0.2">
      <c r="B40" s="1079"/>
      <c r="C40" s="1080"/>
      <c r="D40" s="1080"/>
      <c r="E40" s="1080"/>
      <c r="F40" s="1080"/>
      <c r="G40" s="1080"/>
      <c r="H40" s="1080"/>
      <c r="I40" s="1080"/>
      <c r="J40" s="1080"/>
      <c r="K40" s="1080"/>
      <c r="L40" s="1080"/>
      <c r="M40" s="1080"/>
      <c r="N40" s="1080"/>
      <c r="O40" s="1080"/>
      <c r="P40" s="587"/>
    </row>
    <row r="41" spans="1:17" s="84" customFormat="1" ht="22.5" x14ac:dyDescent="0.2">
      <c r="A41" s="408"/>
      <c r="B41" s="1423" t="s">
        <v>1417</v>
      </c>
      <c r="C41" s="405"/>
      <c r="D41" s="405"/>
      <c r="E41" s="405"/>
      <c r="F41" s="405"/>
      <c r="G41" s="405"/>
      <c r="H41" s="405"/>
      <c r="I41" s="405"/>
      <c r="J41" s="405"/>
      <c r="K41" s="405"/>
      <c r="L41" s="405"/>
      <c r="M41" s="405"/>
      <c r="N41" s="405"/>
      <c r="O41" s="405"/>
      <c r="P41" s="405"/>
      <c r="Q41" s="34"/>
    </row>
    <row r="42" spans="1:17" x14ac:dyDescent="0.2">
      <c r="B42" s="1419"/>
      <c r="C42" s="1377"/>
      <c r="D42" s="1377"/>
      <c r="E42" s="1377"/>
      <c r="F42" s="1377"/>
      <c r="G42" s="1377"/>
      <c r="H42" s="1377"/>
      <c r="I42" s="1377"/>
      <c r="J42" s="1377"/>
      <c r="K42" s="1377"/>
      <c r="L42" s="1377"/>
      <c r="M42" s="1377"/>
      <c r="N42" s="1377"/>
      <c r="O42" s="1377"/>
      <c r="P42" s="1416"/>
      <c r="Q42" s="2092"/>
    </row>
    <row r="43" spans="1:17" x14ac:dyDescent="0.2">
      <c r="B43" s="1419"/>
      <c r="C43" s="1497" t="s">
        <v>1946</v>
      </c>
      <c r="D43" s="1377"/>
      <c r="E43" s="1377"/>
      <c r="F43" s="1377"/>
      <c r="G43" s="1377"/>
      <c r="H43" s="1377"/>
      <c r="I43" s="1377"/>
      <c r="J43" s="1377"/>
      <c r="K43" s="1377"/>
      <c r="L43" s="1377"/>
      <c r="M43" s="1377"/>
      <c r="N43" s="1377"/>
      <c r="O43" s="1417" t="str">
        <f>Preferences.moneyunits&amp;"/"&amp;Preferences.EnergyUnits</f>
        <v>N/TWh</v>
      </c>
      <c r="P43" s="1416"/>
      <c r="Q43" s="2212"/>
    </row>
    <row r="44" spans="1:17" x14ac:dyDescent="0.2">
      <c r="B44" s="1419"/>
      <c r="C44" s="2070"/>
      <c r="D44" s="1914"/>
      <c r="E44" s="2071" t="s">
        <v>1321</v>
      </c>
      <c r="F44" s="2338"/>
      <c r="G44" s="1545">
        <v>2010</v>
      </c>
      <c r="H44" s="1545">
        <v>2015</v>
      </c>
      <c r="I44" s="1545">
        <v>2020</v>
      </c>
      <c r="J44" s="1545">
        <v>2025</v>
      </c>
      <c r="K44" s="1545">
        <v>2030</v>
      </c>
      <c r="L44" s="1545">
        <v>2035</v>
      </c>
      <c r="M44" s="1545">
        <v>2040</v>
      </c>
      <c r="N44" s="1545">
        <v>2045</v>
      </c>
      <c r="O44" s="1545">
        <v>2050</v>
      </c>
      <c r="P44" s="1416"/>
      <c r="Q44" s="2212"/>
    </row>
    <row r="45" spans="1:17" x14ac:dyDescent="0.2">
      <c r="B45" s="1416"/>
      <c r="C45" s="1846" t="s">
        <v>1871</v>
      </c>
      <c r="D45" s="1519"/>
      <c r="E45" s="2141">
        <f>(O45-G45)/(O$44-G$44)</f>
        <v>215325000</v>
      </c>
      <c r="F45" s="2339"/>
      <c r="G45" s="2235">
        <f>250*((9.57*NAIRA2010_/Unit.GJ)*50%)</f>
        <v>4306500000</v>
      </c>
      <c r="H45" s="2235">
        <f>G45+(H$44-G$44)*$E45</f>
        <v>5383125000</v>
      </c>
      <c r="I45" s="2235">
        <f t="shared" ref="I45:N45" si="1">H45+(I$44-H$44)*$E45</f>
        <v>6459750000</v>
      </c>
      <c r="J45" s="2235">
        <f t="shared" si="1"/>
        <v>7536375000</v>
      </c>
      <c r="K45" s="2235">
        <f t="shared" si="1"/>
        <v>8613000000</v>
      </c>
      <c r="L45" s="2235">
        <f t="shared" si="1"/>
        <v>9689625000</v>
      </c>
      <c r="M45" s="2235">
        <f t="shared" si="1"/>
        <v>10766250000</v>
      </c>
      <c r="N45" s="2235">
        <f t="shared" si="1"/>
        <v>11842875000</v>
      </c>
      <c r="O45" s="2235">
        <f>250*((9.57*NAIRA2010_/Unit.GJ)*150%)</f>
        <v>12919500000</v>
      </c>
      <c r="P45" s="1416"/>
      <c r="Q45" s="2212"/>
    </row>
    <row r="46" spans="1:17" x14ac:dyDescent="0.2">
      <c r="B46" s="1416"/>
      <c r="C46" s="606" t="s">
        <v>1872</v>
      </c>
      <c r="D46" s="107"/>
      <c r="E46" s="2164">
        <f>(O46-G46)/(O$44-G$44)</f>
        <v>75363750</v>
      </c>
      <c r="F46" s="2340"/>
      <c r="G46" s="954">
        <f t="shared" ref="G46:N46" si="2">(G47+((G45-G47)*0.35))</f>
        <v>4306500000</v>
      </c>
      <c r="H46" s="954">
        <f t="shared" si="2"/>
        <v>4683318750</v>
      </c>
      <c r="I46" s="954">
        <f t="shared" si="2"/>
        <v>5060137500</v>
      </c>
      <c r="J46" s="954">
        <f t="shared" si="2"/>
        <v>5436956250</v>
      </c>
      <c r="K46" s="954">
        <f t="shared" si="2"/>
        <v>5813775000</v>
      </c>
      <c r="L46" s="954">
        <f t="shared" si="2"/>
        <v>6190593750</v>
      </c>
      <c r="M46" s="954">
        <f t="shared" si="2"/>
        <v>6567412500</v>
      </c>
      <c r="N46" s="954">
        <f t="shared" si="2"/>
        <v>6944231250</v>
      </c>
      <c r="O46" s="954">
        <f>(O47+((O45-O47)*0.35))</f>
        <v>7321050000</v>
      </c>
      <c r="P46" s="1416"/>
      <c r="Q46" s="2212"/>
    </row>
    <row r="47" spans="1:17" x14ac:dyDescent="0.2">
      <c r="B47" s="1377"/>
      <c r="C47" s="1731" t="s">
        <v>1873</v>
      </c>
      <c r="D47" s="189"/>
      <c r="E47" s="2142">
        <f>(O47-G47)/(O$44-G$44)</f>
        <v>0</v>
      </c>
      <c r="F47" s="2341"/>
      <c r="G47" s="955">
        <f>250*((9.57*NAIRA2010_/Unit.GJ)*50%)</f>
        <v>4306500000</v>
      </c>
      <c r="H47" s="955">
        <f t="shared" ref="H47:M47" si="3">G47+(H$44-G$44)*$E47</f>
        <v>4306500000</v>
      </c>
      <c r="I47" s="955">
        <f t="shared" si="3"/>
        <v>4306500000</v>
      </c>
      <c r="J47" s="955">
        <f t="shared" si="3"/>
        <v>4306500000</v>
      </c>
      <c r="K47" s="955">
        <f t="shared" si="3"/>
        <v>4306500000</v>
      </c>
      <c r="L47" s="955">
        <f t="shared" si="3"/>
        <v>4306500000</v>
      </c>
      <c r="M47" s="955">
        <f t="shared" si="3"/>
        <v>4306500000</v>
      </c>
      <c r="N47" s="955">
        <f>M47+(N$44-M$44)*$E47</f>
        <v>4306500000</v>
      </c>
      <c r="O47" s="955">
        <f>250*((9.57*NAIRA2010_/Unit.GJ)*50%)</f>
        <v>4306500000</v>
      </c>
      <c r="P47" s="1377"/>
      <c r="Q47" s="2092"/>
    </row>
    <row r="48" spans="1:17" s="2061" customFormat="1" x14ac:dyDescent="0.2">
      <c r="B48" s="1377"/>
      <c r="C48" s="1377"/>
      <c r="D48" s="1377"/>
      <c r="E48" s="1377"/>
      <c r="F48" s="1377"/>
      <c r="G48" s="1377"/>
      <c r="H48" s="1377"/>
      <c r="I48" s="1377"/>
      <c r="J48" s="1377"/>
      <c r="K48" s="1377"/>
      <c r="L48" s="1377"/>
      <c r="M48" s="1377"/>
      <c r="N48" s="1377"/>
      <c r="O48" s="1377"/>
      <c r="P48" s="1377"/>
      <c r="Q48" s="2092"/>
    </row>
    <row r="49" spans="2:17" s="2061" customFormat="1" x14ac:dyDescent="0.2">
      <c r="B49" s="1377"/>
      <c r="C49" s="1497" t="s">
        <v>1947</v>
      </c>
      <c r="D49" s="1377"/>
      <c r="E49" s="1377"/>
      <c r="F49" s="1377"/>
      <c r="G49" s="1377"/>
      <c r="H49" s="1377"/>
      <c r="I49" s="1377"/>
      <c r="J49" s="1377"/>
      <c r="K49" s="1377"/>
      <c r="L49" s="1377"/>
      <c r="M49" s="1377"/>
      <c r="N49" s="1377"/>
      <c r="O49" s="1417" t="str">
        <f>Preferences.moneyunits&amp;"/"&amp;Preferences.EnergyUnits</f>
        <v>N/TWh</v>
      </c>
      <c r="P49" s="1377"/>
      <c r="Q49" s="2092"/>
    </row>
    <row r="50" spans="2:17" s="2061" customFormat="1" x14ac:dyDescent="0.2">
      <c r="B50" s="1377"/>
      <c r="C50" s="2072"/>
      <c r="D50" s="1905"/>
      <c r="E50" s="2073" t="s">
        <v>1321</v>
      </c>
      <c r="F50" s="2342"/>
      <c r="G50" s="1844">
        <v>2010</v>
      </c>
      <c r="H50" s="1844">
        <v>2015</v>
      </c>
      <c r="I50" s="1844">
        <v>2020</v>
      </c>
      <c r="J50" s="1844">
        <v>2025</v>
      </c>
      <c r="K50" s="1844">
        <v>2030</v>
      </c>
      <c r="L50" s="1844">
        <v>2035</v>
      </c>
      <c r="M50" s="1844">
        <v>2040</v>
      </c>
      <c r="N50" s="1844">
        <v>2045</v>
      </c>
      <c r="O50" s="1844">
        <v>2050</v>
      </c>
      <c r="P50" s="1377"/>
      <c r="Q50" s="2092"/>
    </row>
    <row r="51" spans="2:17" s="2061" customFormat="1" x14ac:dyDescent="0.2">
      <c r="B51" s="1377"/>
      <c r="C51" s="1846" t="s">
        <v>1871</v>
      </c>
      <c r="D51" s="1519"/>
      <c r="E51" s="1847">
        <f>(O51-G51)/(O$50-G$50)</f>
        <v>0</v>
      </c>
      <c r="F51" s="2339"/>
      <c r="G51" s="2235">
        <f>250*((0.001*NAIRA2010_/Unit.GJ)*150%)</f>
        <v>1350000.0000000002</v>
      </c>
      <c r="H51" s="2235">
        <f>G51+(H$44-G$44)*$E51</f>
        <v>1350000.0000000002</v>
      </c>
      <c r="I51" s="2235">
        <f t="shared" ref="I51:N51" si="4">H51+(I$44-H$44)*$E51</f>
        <v>1350000.0000000002</v>
      </c>
      <c r="J51" s="2235">
        <f t="shared" si="4"/>
        <v>1350000.0000000002</v>
      </c>
      <c r="K51" s="2235">
        <f t="shared" si="4"/>
        <v>1350000.0000000002</v>
      </c>
      <c r="L51" s="2235">
        <f t="shared" si="4"/>
        <v>1350000.0000000002</v>
      </c>
      <c r="M51" s="2235">
        <f t="shared" si="4"/>
        <v>1350000.0000000002</v>
      </c>
      <c r="N51" s="2235">
        <f t="shared" si="4"/>
        <v>1350000.0000000002</v>
      </c>
      <c r="O51" s="2235">
        <f>250*((0.001*NAIRA2010_/Unit.GJ)*150%)</f>
        <v>1350000.0000000002</v>
      </c>
      <c r="P51" s="1377"/>
      <c r="Q51" s="2092"/>
    </row>
    <row r="52" spans="2:17" s="2061" customFormat="1" x14ac:dyDescent="0.2">
      <c r="B52" s="1377"/>
      <c r="C52" s="606" t="s">
        <v>1872</v>
      </c>
      <c r="D52" s="107"/>
      <c r="E52" s="188">
        <f>(O52-G52)/(O$50-G$50)</f>
        <v>0</v>
      </c>
      <c r="F52" s="2340"/>
      <c r="G52" s="954">
        <f t="shared" ref="G52:N52" si="5">(G53+((G51-G53)*0.35))</f>
        <v>765000.00000000012</v>
      </c>
      <c r="H52" s="954">
        <f t="shared" si="5"/>
        <v>765000.00000000012</v>
      </c>
      <c r="I52" s="954">
        <f t="shared" si="5"/>
        <v>765000.00000000012</v>
      </c>
      <c r="J52" s="954">
        <f t="shared" si="5"/>
        <v>765000.00000000012</v>
      </c>
      <c r="K52" s="954">
        <f t="shared" si="5"/>
        <v>765000.00000000012</v>
      </c>
      <c r="L52" s="954">
        <f t="shared" si="5"/>
        <v>765000.00000000012</v>
      </c>
      <c r="M52" s="954">
        <f t="shared" si="5"/>
        <v>765000.00000000012</v>
      </c>
      <c r="N52" s="954">
        <f t="shared" si="5"/>
        <v>765000.00000000012</v>
      </c>
      <c r="O52" s="954">
        <f t="shared" ref="O52" si="6">(O53+((O51-O53)*0.35))</f>
        <v>765000.00000000012</v>
      </c>
      <c r="P52" s="1377"/>
      <c r="Q52" s="2212"/>
    </row>
    <row r="53" spans="2:17" s="2061" customFormat="1" x14ac:dyDescent="0.2">
      <c r="B53" s="1377"/>
      <c r="C53" s="1731" t="s">
        <v>1873</v>
      </c>
      <c r="D53" s="189"/>
      <c r="E53" s="191">
        <f>(O53-G53)/(O$50-G$50)</f>
        <v>0</v>
      </c>
      <c r="F53" s="2341"/>
      <c r="G53" s="955">
        <f>250*((0.001*NAIRA2010_/Unit.GJ)*50%)</f>
        <v>450000.00000000006</v>
      </c>
      <c r="H53" s="955">
        <f t="shared" ref="H53:M53" si="7">G53+(H$44-G$44)*$E53</f>
        <v>450000.00000000006</v>
      </c>
      <c r="I53" s="955">
        <f t="shared" si="7"/>
        <v>450000.00000000006</v>
      </c>
      <c r="J53" s="955">
        <f t="shared" si="7"/>
        <v>450000.00000000006</v>
      </c>
      <c r="K53" s="955">
        <f t="shared" si="7"/>
        <v>450000.00000000006</v>
      </c>
      <c r="L53" s="955">
        <f t="shared" si="7"/>
        <v>450000.00000000006</v>
      </c>
      <c r="M53" s="955">
        <f t="shared" si="7"/>
        <v>450000.00000000006</v>
      </c>
      <c r="N53" s="955">
        <f>M53+(N$44-M$44)*$E53</f>
        <v>450000.00000000006</v>
      </c>
      <c r="O53" s="955">
        <f>250*((0.001*NAIRA2010_/Unit.GJ)*50%)</f>
        <v>450000.00000000006</v>
      </c>
      <c r="P53" s="1377"/>
      <c r="Q53" s="2092"/>
    </row>
    <row r="54" spans="2:17" s="2061" customFormat="1" x14ac:dyDescent="0.2">
      <c r="B54" s="1377"/>
      <c r="C54" s="1377"/>
      <c r="D54" s="1377"/>
      <c r="E54" s="1377"/>
      <c r="F54" s="1377"/>
      <c r="G54" s="1377"/>
      <c r="H54" s="1377"/>
      <c r="I54" s="1377"/>
      <c r="J54" s="1377"/>
      <c r="K54" s="1377"/>
      <c r="L54" s="1377"/>
      <c r="M54" s="1377"/>
      <c r="N54" s="1377"/>
      <c r="O54" s="1377"/>
      <c r="P54" s="1377"/>
      <c r="Q54" s="2092"/>
    </row>
    <row r="55" spans="2:17" x14ac:dyDescent="0.2">
      <c r="Q55" s="2092"/>
    </row>
    <row r="56" spans="2:17" ht="15.75" x14ac:dyDescent="0.25">
      <c r="B56" s="134" t="s">
        <v>279</v>
      </c>
    </row>
    <row r="57" spans="2:17" x14ac:dyDescent="0.2">
      <c r="B57" s="1427">
        <v>1</v>
      </c>
      <c r="C57" s="1476" t="s">
        <v>832</v>
      </c>
    </row>
    <row r="58" spans="2:17" x14ac:dyDescent="0.2">
      <c r="B58" s="1427">
        <v>2</v>
      </c>
      <c r="C58" s="1476" t="s">
        <v>513</v>
      </c>
    </row>
    <row r="60" spans="2:17" x14ac:dyDescent="0.2">
      <c r="B60" s="1427">
        <v>1</v>
      </c>
      <c r="C60" s="1427" t="s">
        <v>831</v>
      </c>
    </row>
    <row r="61" spans="2:17" x14ac:dyDescent="0.2">
      <c r="B61" s="1427"/>
      <c r="C61" s="1427"/>
    </row>
    <row r="62" spans="2:17" x14ac:dyDescent="0.2">
      <c r="C62" s="1427" t="s">
        <v>552</v>
      </c>
      <c r="E62" s="1476" t="str">
        <f>Preferences.EnergyUnits</f>
        <v>TWh</v>
      </c>
      <c r="F62" s="114">
        <f t="shared" ref="F62:N62" ca="1" si="8">-F$9</f>
        <v>1.5203815348896348</v>
      </c>
      <c r="G62" s="114">
        <f t="shared" ca="1" si="8"/>
        <v>1.8097434927284919</v>
      </c>
      <c r="H62" s="114">
        <f t="shared" ca="1" si="8"/>
        <v>25.824701842565585</v>
      </c>
      <c r="I62" s="114">
        <f t="shared" ca="1" si="8"/>
        <v>122.5769415325465</v>
      </c>
      <c r="J62" s="114">
        <f t="shared" ca="1" si="8"/>
        <v>281.95754953591495</v>
      </c>
      <c r="K62" s="114">
        <f t="shared" ca="1" si="8"/>
        <v>512.36760581012402</v>
      </c>
      <c r="L62" s="114">
        <f t="shared" ca="1" si="8"/>
        <v>756.52138704566835</v>
      </c>
      <c r="M62" s="114">
        <f t="shared" ca="1" si="8"/>
        <v>998.96810111333627</v>
      </c>
      <c r="N62" s="114">
        <f t="shared" ca="1" si="8"/>
        <v>1241.5439171180863</v>
      </c>
    </row>
    <row r="63" spans="2:17" x14ac:dyDescent="0.2">
      <c r="C63" s="1427" t="s">
        <v>833</v>
      </c>
      <c r="E63" s="1476" t="str">
        <f>Preferences.EnergyUnits</f>
        <v>TWh</v>
      </c>
      <c r="F63" s="114">
        <f t="shared" ref="F63:N63" ca="1" si="9">-F$10</f>
        <v>301.24472631181249</v>
      </c>
      <c r="G63" s="114">
        <f t="shared" ca="1" si="9"/>
        <v>309.20345172722136</v>
      </c>
      <c r="H63" s="114">
        <f t="shared" ca="1" si="9"/>
        <v>221.35927018559818</v>
      </c>
      <c r="I63" s="114">
        <f t="shared" ca="1" si="9"/>
        <v>188.35750920679624</v>
      </c>
      <c r="J63" s="114">
        <f t="shared" ca="1" si="9"/>
        <v>190.7988284261738</v>
      </c>
      <c r="K63" s="114">
        <f t="shared" ca="1" si="9"/>
        <v>198.31117547774622</v>
      </c>
      <c r="L63" s="114">
        <f t="shared" ca="1" si="9"/>
        <v>197.79696796682728</v>
      </c>
      <c r="M63" s="114">
        <f t="shared" ca="1" si="9"/>
        <v>196.27149320474481</v>
      </c>
      <c r="N63" s="114">
        <f t="shared" ca="1" si="9"/>
        <v>191.75650933957016</v>
      </c>
    </row>
    <row r="64" spans="2:17" x14ac:dyDescent="0.2">
      <c r="C64" s="1427"/>
      <c r="F64" s="114"/>
      <c r="G64" s="114"/>
      <c r="H64" s="114"/>
      <c r="I64" s="114"/>
      <c r="J64" s="114"/>
      <c r="K64" s="114"/>
      <c r="L64" s="114"/>
      <c r="M64" s="114"/>
      <c r="N64" s="114"/>
    </row>
    <row r="65" spans="2:15" x14ac:dyDescent="0.2">
      <c r="C65" s="138" t="s">
        <v>553</v>
      </c>
      <c r="E65" s="1476" t="str">
        <f>Preferences.EnergyUnits</f>
        <v>TWh</v>
      </c>
      <c r="F65" s="23">
        <f ca="1">-F$11</f>
        <v>49.495361509295321</v>
      </c>
      <c r="G65" s="23">
        <f t="shared" ref="G65:N65" ca="1" si="10">-G$11</f>
        <v>43.181946501047776</v>
      </c>
      <c r="H65" s="23">
        <f t="shared" ca="1" si="10"/>
        <v>107.2049101095626</v>
      </c>
      <c r="I65" s="23">
        <f t="shared" ca="1" si="10"/>
        <v>63.485702206074279</v>
      </c>
      <c r="J65" s="23">
        <f t="shared" ca="1" si="10"/>
        <v>94.702306160830517</v>
      </c>
      <c r="K65" s="23">
        <f t="shared" ca="1" si="10"/>
        <v>168.78001843068682</v>
      </c>
      <c r="L65" s="23">
        <f t="shared" ca="1" si="10"/>
        <v>240.55702614082441</v>
      </c>
      <c r="M65" s="23">
        <f t="shared" ca="1" si="10"/>
        <v>305.44296449466685</v>
      </c>
      <c r="N65" s="23">
        <f t="shared" ca="1" si="10"/>
        <v>370.09939112530026</v>
      </c>
    </row>
    <row r="66" spans="2:15" x14ac:dyDescent="0.2">
      <c r="B66" s="20" t="s">
        <v>554</v>
      </c>
      <c r="C66" s="20" t="s">
        <v>555</v>
      </c>
      <c r="F66" s="136">
        <f t="shared" ref="F66:N66" ca="1" si="11">F65*F$20</f>
        <v>0.5939443381115439</v>
      </c>
      <c r="G66" s="136">
        <f t="shared" ca="1" si="11"/>
        <v>0.51818335801257331</v>
      </c>
      <c r="H66" s="136">
        <f t="shared" ca="1" si="11"/>
        <v>1.2864589213147513</v>
      </c>
      <c r="I66" s="136">
        <f t="shared" ca="1" si="11"/>
        <v>0.7618284264728914</v>
      </c>
      <c r="J66" s="136">
        <f t="shared" ca="1" si="11"/>
        <v>1.1364276739299661</v>
      </c>
      <c r="K66" s="136">
        <f t="shared" ca="1" si="11"/>
        <v>2.025360221168242</v>
      </c>
      <c r="L66" s="136">
        <f t="shared" ca="1" si="11"/>
        <v>2.886684313689893</v>
      </c>
      <c r="M66" s="136">
        <f t="shared" ca="1" si="11"/>
        <v>3.6653155739360024</v>
      </c>
      <c r="N66" s="136">
        <f t="shared" ca="1" si="11"/>
        <v>4.441192693503603</v>
      </c>
    </row>
    <row r="67" spans="2:15" x14ac:dyDescent="0.2">
      <c r="B67" s="1427" t="s">
        <v>346</v>
      </c>
      <c r="C67" s="1427" t="s">
        <v>556</v>
      </c>
      <c r="F67" s="114">
        <f t="shared" ref="F67:N67" ca="1" si="12">F65+F66</f>
        <v>50.089305847406862</v>
      </c>
      <c r="G67" s="114">
        <f t="shared" ca="1" si="12"/>
        <v>43.700129859060347</v>
      </c>
      <c r="H67" s="114">
        <f t="shared" ca="1" si="12"/>
        <v>108.49136903087735</v>
      </c>
      <c r="I67" s="114">
        <f t="shared" ca="1" si="12"/>
        <v>64.247530632547168</v>
      </c>
      <c r="J67" s="114">
        <f t="shared" ca="1" si="12"/>
        <v>95.83873383476049</v>
      </c>
      <c r="K67" s="114">
        <f t="shared" ca="1" si="12"/>
        <v>170.80537865185505</v>
      </c>
      <c r="L67" s="114">
        <f t="shared" ca="1" si="12"/>
        <v>243.4437104545143</v>
      </c>
      <c r="M67" s="114">
        <f t="shared" ca="1" si="12"/>
        <v>309.10828006860288</v>
      </c>
      <c r="N67" s="114">
        <f t="shared" ca="1" si="12"/>
        <v>374.54058381880384</v>
      </c>
    </row>
    <row r="68" spans="2:15" s="2479" customFormat="1" x14ac:dyDescent="0.2">
      <c r="B68" s="1427"/>
      <c r="C68" s="1427"/>
      <c r="F68" s="114"/>
      <c r="G68" s="114"/>
      <c r="H68" s="114"/>
      <c r="I68" s="114"/>
      <c r="J68" s="114"/>
      <c r="K68" s="114"/>
      <c r="L68" s="114"/>
      <c r="M68" s="114"/>
      <c r="N68" s="114"/>
    </row>
    <row r="69" spans="2:15" s="2479" customFormat="1" x14ac:dyDescent="0.2">
      <c r="B69" s="1427"/>
      <c r="C69" s="1427" t="s">
        <v>2451</v>
      </c>
      <c r="E69" s="2479" t="str">
        <f>Preferences.EnergyUnits</f>
        <v>TWh</v>
      </c>
      <c r="F69" s="114">
        <f ca="1">-F12</f>
        <v>0</v>
      </c>
      <c r="G69" s="114">
        <f t="shared" ref="G69:N69" ca="1" si="13">-G12</f>
        <v>-5.6843418860808015E-14</v>
      </c>
      <c r="H69" s="114">
        <f t="shared" ca="1" si="13"/>
        <v>2.8421709430404007E-14</v>
      </c>
      <c r="I69" s="114">
        <f t="shared" ca="1" si="13"/>
        <v>2.8421709430404007E-14</v>
      </c>
      <c r="J69" s="114">
        <f t="shared" ca="1" si="13"/>
        <v>-1.1368683772161603E-13</v>
      </c>
      <c r="K69" s="114">
        <f t="shared" ca="1" si="13"/>
        <v>8.5265128291212022E-14</v>
      </c>
      <c r="L69" s="114">
        <f t="shared" ca="1" si="13"/>
        <v>9.9475983006414026E-14</v>
      </c>
      <c r="M69" s="114">
        <f t="shared" ca="1" si="13"/>
        <v>-8.5265128291212022E-14</v>
      </c>
      <c r="N69" s="114">
        <f t="shared" ca="1" si="13"/>
        <v>-2.0605739337042905E-13</v>
      </c>
    </row>
    <row r="70" spans="2:15" s="2479" customFormat="1" x14ac:dyDescent="0.2">
      <c r="B70" s="1427"/>
      <c r="C70" s="1427"/>
      <c r="F70" s="114"/>
      <c r="G70" s="114"/>
      <c r="H70" s="114"/>
      <c r="I70" s="114"/>
      <c r="J70" s="114"/>
      <c r="K70" s="114"/>
      <c r="L70" s="114"/>
      <c r="M70" s="114"/>
      <c r="N70" s="114"/>
    </row>
    <row r="71" spans="2:15" x14ac:dyDescent="0.2">
      <c r="C71" s="132"/>
      <c r="F71" s="136"/>
      <c r="G71" s="136"/>
      <c r="H71" s="136"/>
      <c r="I71" s="136"/>
      <c r="J71" s="136"/>
      <c r="K71" s="136"/>
      <c r="L71" s="136"/>
      <c r="M71" s="136"/>
      <c r="N71" s="136"/>
    </row>
    <row r="72" spans="2:15" x14ac:dyDescent="0.2">
      <c r="B72" s="1427">
        <v>2</v>
      </c>
      <c r="C72" s="1427" t="s">
        <v>514</v>
      </c>
      <c r="F72" s="136"/>
      <c r="G72" s="136"/>
      <c r="H72" s="136"/>
      <c r="I72" s="136"/>
      <c r="J72" s="136"/>
      <c r="K72" s="136"/>
      <c r="L72" s="136"/>
      <c r="M72" s="136"/>
      <c r="N72" s="136"/>
    </row>
    <row r="73" spans="2:15" x14ac:dyDescent="0.2">
      <c r="C73" s="1476" t="s">
        <v>557</v>
      </c>
      <c r="F73" s="136"/>
      <c r="G73" s="136"/>
      <c r="H73" s="136"/>
      <c r="I73" s="136"/>
      <c r="J73" s="136"/>
      <c r="K73" s="136"/>
      <c r="L73" s="136"/>
      <c r="M73" s="136"/>
      <c r="N73" s="136"/>
    </row>
    <row r="74" spans="2:15" x14ac:dyDescent="0.2">
      <c r="C74" s="1476" t="s">
        <v>558</v>
      </c>
      <c r="F74" s="136"/>
      <c r="G74" s="136"/>
      <c r="H74" s="136"/>
      <c r="I74" s="136"/>
      <c r="J74" s="136"/>
      <c r="K74" s="136"/>
      <c r="L74" s="136"/>
      <c r="M74" s="136"/>
      <c r="N74" s="136"/>
    </row>
    <row r="75" spans="2:15" x14ac:dyDescent="0.2">
      <c r="C75" s="1476" t="s">
        <v>863</v>
      </c>
      <c r="F75" s="136"/>
      <c r="G75" s="136"/>
      <c r="H75" s="136"/>
      <c r="I75" s="136"/>
      <c r="J75" s="136"/>
      <c r="K75" s="136"/>
      <c r="L75" s="136"/>
      <c r="M75" s="136"/>
      <c r="N75" s="136"/>
    </row>
    <row r="76" spans="2:15" x14ac:dyDescent="0.2">
      <c r="F76" s="136"/>
      <c r="G76" s="136"/>
      <c r="H76" s="136"/>
      <c r="I76" s="136"/>
      <c r="J76" s="136"/>
      <c r="K76" s="136"/>
      <c r="L76" s="136"/>
      <c r="M76" s="136"/>
      <c r="N76" s="136"/>
    </row>
    <row r="77" spans="2:15" x14ac:dyDescent="0.2">
      <c r="C77" s="1427" t="s">
        <v>550</v>
      </c>
      <c r="E77" s="1476" t="s">
        <v>492</v>
      </c>
      <c r="F77" s="136">
        <f>F$25</f>
        <v>4.3706513640884639</v>
      </c>
      <c r="G77" s="136">
        <f ca="1">$F77*(G$65/$F$65)</f>
        <v>3.8131499119034635</v>
      </c>
      <c r="H77" s="136">
        <f t="shared" ref="H77:O77" ca="1" si="14">$F77*(H$65/$F$65)</f>
        <v>9.4666504561108287</v>
      </c>
      <c r="I77" s="136">
        <f t="shared" ca="1" si="14"/>
        <v>5.6060580726333811</v>
      </c>
      <c r="J77" s="136">
        <f t="shared" ca="1" si="14"/>
        <v>8.3626172429597077</v>
      </c>
      <c r="K77" s="136">
        <f t="shared" ca="1" si="14"/>
        <v>14.903994945999537</v>
      </c>
      <c r="L77" s="136">
        <f t="shared" ca="1" si="14"/>
        <v>21.242210631111469</v>
      </c>
      <c r="M77" s="136">
        <f t="shared" ca="1" si="14"/>
        <v>26.971915523217813</v>
      </c>
      <c r="N77" s="136">
        <f t="shared" ca="1" si="14"/>
        <v>32.681353552015572</v>
      </c>
      <c r="O77" s="136">
        <f t="shared" ca="1" si="14"/>
        <v>0</v>
      </c>
    </row>
    <row r="78" spans="2:15" x14ac:dyDescent="0.2">
      <c r="C78" s="132"/>
      <c r="F78" s="136"/>
      <c r="G78" s="136"/>
      <c r="H78" s="136"/>
      <c r="I78" s="136"/>
      <c r="J78" s="136"/>
      <c r="K78" s="136"/>
      <c r="L78" s="136"/>
      <c r="M78" s="136"/>
      <c r="N78" s="136"/>
      <c r="O78" s="136"/>
    </row>
    <row r="79" spans="2:15" x14ac:dyDescent="0.2">
      <c r="B79" s="1478">
        <v>3</v>
      </c>
      <c r="C79" s="1427" t="s">
        <v>1569</v>
      </c>
      <c r="F79" s="136"/>
      <c r="G79" s="136"/>
      <c r="H79" s="136"/>
      <c r="I79" s="136"/>
      <c r="J79" s="136"/>
      <c r="K79" s="136"/>
      <c r="L79" s="136"/>
      <c r="M79" s="136"/>
      <c r="N79" s="136"/>
      <c r="O79" s="136"/>
    </row>
    <row r="80" spans="2:15" x14ac:dyDescent="0.2">
      <c r="C80" s="132"/>
      <c r="F80" s="136"/>
      <c r="G80" s="136"/>
      <c r="H80" s="136"/>
      <c r="I80" s="136"/>
      <c r="J80" s="136"/>
      <c r="K80" s="136"/>
      <c r="L80" s="136"/>
      <c r="M80" s="136"/>
      <c r="N80" s="136"/>
    </row>
    <row r="81" spans="2:14" x14ac:dyDescent="0.2">
      <c r="C81" s="1427" t="s">
        <v>1570</v>
      </c>
      <c r="E81" s="1476" t="str">
        <f>Preferences.EnergyUnits&amp;"/yr average flow"</f>
        <v>TWh/yr average flow</v>
      </c>
      <c r="F81" s="171">
        <v>2010</v>
      </c>
      <c r="G81" s="171">
        <v>2015</v>
      </c>
      <c r="H81" s="171">
        <v>2020</v>
      </c>
      <c r="I81" s="171">
        <v>2025</v>
      </c>
      <c r="J81" s="171">
        <v>2030</v>
      </c>
      <c r="K81" s="171">
        <v>2035</v>
      </c>
      <c r="L81" s="171">
        <v>2040</v>
      </c>
      <c r="M81" s="171">
        <v>2045</v>
      </c>
      <c r="N81" s="171">
        <v>2050</v>
      </c>
    </row>
    <row r="82" spans="2:14" x14ac:dyDescent="0.2">
      <c r="C82" s="1476" t="s">
        <v>1571</v>
      </c>
      <c r="E82" s="1476" t="s">
        <v>105</v>
      </c>
      <c r="F82" s="1262">
        <f t="shared" ref="F82:N82" ca="1" si="15">F65</f>
        <v>49.495361509295321</v>
      </c>
      <c r="G82" s="1262">
        <f t="shared" ca="1" si="15"/>
        <v>43.181946501047776</v>
      </c>
      <c r="H82" s="1262">
        <f t="shared" ca="1" si="15"/>
        <v>107.2049101095626</v>
      </c>
      <c r="I82" s="1262">
        <f t="shared" ca="1" si="15"/>
        <v>63.485702206074279</v>
      </c>
      <c r="J82" s="1262">
        <f t="shared" ca="1" si="15"/>
        <v>94.702306160830517</v>
      </c>
      <c r="K82" s="1262">
        <f t="shared" ca="1" si="15"/>
        <v>168.78001843068682</v>
      </c>
      <c r="L82" s="1262">
        <f t="shared" ca="1" si="15"/>
        <v>240.55702614082441</v>
      </c>
      <c r="M82" s="1262">
        <f t="shared" ca="1" si="15"/>
        <v>305.44296449466685</v>
      </c>
      <c r="N82" s="1262">
        <f t="shared" ca="1" si="15"/>
        <v>370.09939112530026</v>
      </c>
    </row>
    <row r="83" spans="2:14" x14ac:dyDescent="0.2">
      <c r="C83" s="1476" t="s">
        <v>1572</v>
      </c>
      <c r="E83" s="1476" t="s">
        <v>1573</v>
      </c>
      <c r="F83" s="1262">
        <v>0</v>
      </c>
      <c r="G83" s="1262">
        <f t="shared" ref="G83:N83" ca="1" si="16">F82*(1/$D$33)</f>
        <v>1.6498453836431775</v>
      </c>
      <c r="H83" s="1262">
        <f t="shared" ca="1" si="16"/>
        <v>1.4393982167015924</v>
      </c>
      <c r="I83" s="1262">
        <f t="shared" ca="1" si="16"/>
        <v>3.5734970036520868</v>
      </c>
      <c r="J83" s="1262">
        <f t="shared" ca="1" si="16"/>
        <v>2.1161900735358095</v>
      </c>
      <c r="K83" s="1262">
        <f t="shared" ca="1" si="16"/>
        <v>3.1567435386943505</v>
      </c>
      <c r="L83" s="1262">
        <f t="shared" ca="1" si="16"/>
        <v>5.6260006143562276</v>
      </c>
      <c r="M83" s="1262">
        <f t="shared" ca="1" si="16"/>
        <v>8.0185675380274795</v>
      </c>
      <c r="N83" s="1262">
        <f t="shared" ca="1" si="16"/>
        <v>10.181432149822228</v>
      </c>
    </row>
    <row r="84" spans="2:14" x14ac:dyDescent="0.2">
      <c r="C84" s="1476" t="s">
        <v>1574</v>
      </c>
      <c r="E84" s="1476" t="s">
        <v>1573</v>
      </c>
      <c r="F84" s="1262">
        <v>0</v>
      </c>
      <c r="G84" s="1262">
        <f t="shared" ref="G84:N84" ca="1" si="17">MAX((G82-F82)/(G81-F81),0)</f>
        <v>0</v>
      </c>
      <c r="H84" s="1262">
        <f t="shared" ca="1" si="17"/>
        <v>12.804592721702965</v>
      </c>
      <c r="I84" s="1262">
        <f t="shared" ca="1" si="17"/>
        <v>0</v>
      </c>
      <c r="J84" s="1262">
        <f t="shared" ca="1" si="17"/>
        <v>6.2433207909512474</v>
      </c>
      <c r="K84" s="1262">
        <f t="shared" ca="1" si="17"/>
        <v>14.815542453971261</v>
      </c>
      <c r="L84" s="1262">
        <f t="shared" ca="1" si="17"/>
        <v>14.355401542027517</v>
      </c>
      <c r="M84" s="1262">
        <f t="shared" ca="1" si="17"/>
        <v>12.97718767076849</v>
      </c>
      <c r="N84" s="1262">
        <f t="shared" ca="1" si="17"/>
        <v>12.93128532612668</v>
      </c>
    </row>
    <row r="85" spans="2:14" x14ac:dyDescent="0.2">
      <c r="C85" s="1476" t="s">
        <v>1575</v>
      </c>
      <c r="E85" s="1476" t="s">
        <v>1573</v>
      </c>
      <c r="F85" s="1262">
        <v>0</v>
      </c>
      <c r="G85" s="1262">
        <f t="shared" ref="G85:N85" ca="1" si="18">SUM(G83:G84)</f>
        <v>1.6498453836431775</v>
      </c>
      <c r="H85" s="1262">
        <f t="shared" ca="1" si="18"/>
        <v>14.243990938404558</v>
      </c>
      <c r="I85" s="1262">
        <f t="shared" ca="1" si="18"/>
        <v>3.5734970036520868</v>
      </c>
      <c r="J85" s="1262">
        <f t="shared" ca="1" si="18"/>
        <v>8.3595108644870564</v>
      </c>
      <c r="K85" s="1262">
        <f t="shared" ca="1" si="18"/>
        <v>17.972285992665611</v>
      </c>
      <c r="L85" s="1262">
        <f t="shared" ca="1" si="18"/>
        <v>19.981402156383744</v>
      </c>
      <c r="M85" s="1262">
        <f t="shared" ca="1" si="18"/>
        <v>20.99575520879597</v>
      </c>
      <c r="N85" s="1262">
        <f t="shared" ca="1" si="18"/>
        <v>23.112717475948909</v>
      </c>
    </row>
    <row r="86" spans="2:14" x14ac:dyDescent="0.2">
      <c r="C86" s="132"/>
      <c r="F86" s="136"/>
      <c r="G86" s="136"/>
      <c r="H86" s="136"/>
      <c r="I86" s="136"/>
      <c r="J86" s="136"/>
      <c r="K86" s="136"/>
      <c r="L86" s="136"/>
      <c r="M86" s="136"/>
      <c r="N86" s="136"/>
    </row>
    <row r="87" spans="2:14" x14ac:dyDescent="0.2">
      <c r="B87" s="1427">
        <v>4</v>
      </c>
      <c r="C87" s="1427" t="s">
        <v>1473</v>
      </c>
      <c r="F87" s="136"/>
      <c r="G87" s="136"/>
      <c r="H87" s="136"/>
      <c r="I87" s="136"/>
      <c r="J87" s="136"/>
      <c r="K87" s="136"/>
      <c r="L87" s="136"/>
      <c r="M87" s="136"/>
      <c r="N87" s="136"/>
    </row>
    <row r="89" spans="2:14" x14ac:dyDescent="0.2">
      <c r="C89" s="1476" t="s">
        <v>894</v>
      </c>
    </row>
    <row r="90" spans="2:14" x14ac:dyDescent="0.2">
      <c r="C90" s="1476" t="s">
        <v>1465</v>
      </c>
      <c r="E90" s="1476" t="str">
        <f>Preferences.moneyunits</f>
        <v>N</v>
      </c>
      <c r="F90" s="1262">
        <f t="shared" ref="F90:N90" ca="1" si="19">F$82*G$45</f>
        <v>213151774339.7803</v>
      </c>
      <c r="G90" s="1262">
        <f t="shared" ca="1" si="19"/>
        <v>232453815758.45282</v>
      </c>
      <c r="H90" s="1262">
        <f t="shared" ca="1" si="19"/>
        <v>692516918080.24707</v>
      </c>
      <c r="I90" s="1262">
        <f t="shared" ca="1" si="19"/>
        <v>478452058963.30304</v>
      </c>
      <c r="J90" s="1262">
        <f t="shared" ca="1" si="19"/>
        <v>815670962963.23328</v>
      </c>
      <c r="K90" s="1262">
        <f t="shared" ca="1" si="19"/>
        <v>1635415086086.4438</v>
      </c>
      <c r="L90" s="1262">
        <f t="shared" ca="1" si="19"/>
        <v>2589897082688.6509</v>
      </c>
      <c r="M90" s="1262">
        <f t="shared" ca="1" si="19"/>
        <v>3617322848139.7778</v>
      </c>
      <c r="N90" s="1262">
        <f t="shared" ca="1" si="19"/>
        <v>4781499083643.3164</v>
      </c>
    </row>
    <row r="91" spans="2:14" x14ac:dyDescent="0.2">
      <c r="C91" s="1476" t="s">
        <v>1468</v>
      </c>
      <c r="E91" s="1476" t="str">
        <f>Preferences.moneyunits&amp;"/yr"</f>
        <v>N/yr</v>
      </c>
      <c r="F91" s="1262">
        <f t="shared" ref="F91:N91" si="20">F$85*F$45</f>
        <v>0</v>
      </c>
      <c r="G91" s="1262">
        <f t="shared" ca="1" si="20"/>
        <v>7105059144.6593437</v>
      </c>
      <c r="H91" s="1262">
        <f t="shared" ca="1" si="20"/>
        <v>76677183720.299042</v>
      </c>
      <c r="I91" s="1262">
        <f t="shared" ca="1" si="20"/>
        <v>23083897269.341568</v>
      </c>
      <c r="J91" s="1262">
        <f t="shared" ca="1" si="20"/>
        <v>63000408691.34864</v>
      </c>
      <c r="K91" s="1262">
        <f t="shared" ca="1" si="20"/>
        <v>154795299254.82892</v>
      </c>
      <c r="L91" s="1262">
        <f t="shared" ca="1" si="20"/>
        <v>193612293869.54984</v>
      </c>
      <c r="M91" s="1262">
        <f t="shared" ca="1" si="20"/>
        <v>226045549516.69962</v>
      </c>
      <c r="N91" s="1262">
        <f t="shared" ca="1" si="20"/>
        <v>273721023977.97842</v>
      </c>
    </row>
    <row r="92" spans="2:14" ht="15" customHeight="1" x14ac:dyDescent="0.2">
      <c r="C92" s="1476" t="s">
        <v>1469</v>
      </c>
      <c r="E92" s="1476" t="str">
        <f>Preferences.moneyunits&amp;"/yr"</f>
        <v>N/yr</v>
      </c>
      <c r="F92" s="675">
        <f ca="1">F$82*G$52</f>
        <v>37863951.554610923</v>
      </c>
      <c r="G92" s="675">
        <f t="shared" ref="G92:N92" ca="1" si="21">G$82*G$51</f>
        <v>58295627.776414506</v>
      </c>
      <c r="H92" s="675">
        <f t="shared" ca="1" si="21"/>
        <v>144726628.64790955</v>
      </c>
      <c r="I92" s="675">
        <f t="shared" ca="1" si="21"/>
        <v>85705697.978200287</v>
      </c>
      <c r="J92" s="675">
        <f t="shared" ca="1" si="21"/>
        <v>127848113.31712122</v>
      </c>
      <c r="K92" s="675">
        <f t="shared" ca="1" si="21"/>
        <v>227853024.88142726</v>
      </c>
      <c r="L92" s="675">
        <f t="shared" ca="1" si="21"/>
        <v>324751985.29011303</v>
      </c>
      <c r="M92" s="675">
        <f t="shared" ca="1" si="21"/>
        <v>412348002.06780034</v>
      </c>
      <c r="N92" s="675">
        <f t="shared" ca="1" si="21"/>
        <v>499634178.01915544</v>
      </c>
    </row>
    <row r="93" spans="2:14" s="2061" customFormat="1" ht="15" customHeight="1" x14ac:dyDescent="0.2">
      <c r="C93" s="1476" t="s">
        <v>1470</v>
      </c>
      <c r="D93" s="1476"/>
      <c r="E93" s="1476" t="str">
        <f>Preferences.moneyunits&amp;"/yr"</f>
        <v>N/yr</v>
      </c>
      <c r="F93" s="675">
        <f ca="1">SUM(F91:F92)</f>
        <v>37863951.554610923</v>
      </c>
      <c r="G93" s="675">
        <f t="shared" ref="G93:N93" ca="1" si="22">SUM(G91:G92)</f>
        <v>7163354772.4357586</v>
      </c>
      <c r="H93" s="675">
        <f t="shared" ca="1" si="22"/>
        <v>76821910348.946945</v>
      </c>
      <c r="I93" s="675">
        <f t="shared" ca="1" si="22"/>
        <v>23169602967.319767</v>
      </c>
      <c r="J93" s="675">
        <f t="shared" ca="1" si="22"/>
        <v>63128256804.665764</v>
      </c>
      <c r="K93" s="675">
        <f t="shared" ca="1" si="22"/>
        <v>155023152279.71036</v>
      </c>
      <c r="L93" s="675">
        <f t="shared" ca="1" si="22"/>
        <v>193937045854.83994</v>
      </c>
      <c r="M93" s="675">
        <f t="shared" ca="1" si="22"/>
        <v>226457897518.76743</v>
      </c>
      <c r="N93" s="675">
        <f t="shared" ca="1" si="22"/>
        <v>274220658155.99759</v>
      </c>
    </row>
    <row r="94" spans="2:14" s="2061" customFormat="1" ht="15" customHeight="1" x14ac:dyDescent="0.2">
      <c r="F94" s="675"/>
      <c r="G94" s="675"/>
      <c r="H94" s="675"/>
      <c r="I94" s="675"/>
      <c r="J94" s="675"/>
      <c r="K94" s="675"/>
      <c r="L94" s="675"/>
      <c r="M94" s="675"/>
      <c r="N94" s="675"/>
    </row>
    <row r="95" spans="2:14" s="2061" customFormat="1" ht="15" customHeight="1" x14ac:dyDescent="0.2">
      <c r="C95" s="2061" t="s">
        <v>1886</v>
      </c>
    </row>
    <row r="96" spans="2:14" s="2061" customFormat="1" ht="15" customHeight="1" x14ac:dyDescent="0.2">
      <c r="C96" s="2061" t="s">
        <v>1465</v>
      </c>
      <c r="E96" s="2061" t="str">
        <f>Preferences.moneyunits</f>
        <v>N</v>
      </c>
      <c r="F96" s="1262">
        <f t="shared" ref="F96:N96" ca="1" si="23">F$82*G$46</f>
        <v>213151774339.7803</v>
      </c>
      <c r="G96" s="1262">
        <f t="shared" ca="1" si="23"/>
        <v>202234819709.85394</v>
      </c>
      <c r="H96" s="1262">
        <f t="shared" ca="1" si="23"/>
        <v>542471585829.52686</v>
      </c>
      <c r="I96" s="1262">
        <f t="shared" ca="1" si="23"/>
        <v>345168985394.95435</v>
      </c>
      <c r="J96" s="1262">
        <f t="shared" ca="1" si="23"/>
        <v>550577900000.1825</v>
      </c>
      <c r="K96" s="1262">
        <f t="shared" ca="1" si="23"/>
        <v>1044848527221.8947</v>
      </c>
      <c r="L96" s="1262">
        <f t="shared" ca="1" si="23"/>
        <v>1579837220440.0769</v>
      </c>
      <c r="M96" s="1262">
        <f t="shared" ca="1" si="23"/>
        <v>2121066579136.5061</v>
      </c>
      <c r="N96" s="1262">
        <f t="shared" ca="1" si="23"/>
        <v>2709516147397.8794</v>
      </c>
    </row>
    <row r="97" spans="1:16" x14ac:dyDescent="0.2">
      <c r="C97" s="2061" t="s">
        <v>1468</v>
      </c>
      <c r="D97" s="2061"/>
      <c r="E97" s="2061" t="str">
        <f>Preferences.moneyunits&amp;"/yr"</f>
        <v>N/yr</v>
      </c>
      <c r="F97" s="1262">
        <f t="shared" ref="F97:N97" si="24">F$85*F$46</f>
        <v>0</v>
      </c>
      <c r="G97" s="1262">
        <f t="shared" ca="1" si="24"/>
        <v>7105059144.6593437</v>
      </c>
      <c r="H97" s="1262">
        <f t="shared" ca="1" si="24"/>
        <v>66709149836.660164</v>
      </c>
      <c r="I97" s="1262">
        <f t="shared" ca="1" si="24"/>
        <v>18082386194.317562</v>
      </c>
      <c r="J97" s="1262">
        <f t="shared" ca="1" si="24"/>
        <v>45450294841.615807</v>
      </c>
      <c r="K97" s="1262">
        <f t="shared" ca="1" si="24"/>
        <v>104486826997.00952</v>
      </c>
      <c r="L97" s="1262">
        <f t="shared" ca="1" si="24"/>
        <v>123696743305.54573</v>
      </c>
      <c r="M97" s="1262">
        <f t="shared" ca="1" si="24"/>
        <v>137887785205.18677</v>
      </c>
      <c r="N97" s="1262">
        <f t="shared" ca="1" si="24"/>
        <v>160500054968.90555</v>
      </c>
    </row>
    <row r="98" spans="1:16" x14ac:dyDescent="0.2">
      <c r="C98" s="2061" t="s">
        <v>1469</v>
      </c>
      <c r="D98" s="2061"/>
      <c r="E98" s="2061" t="str">
        <f>Preferences.moneyunits&amp;"/yr"</f>
        <v>N/yr</v>
      </c>
      <c r="F98" s="675">
        <f t="shared" ref="F98:N98" ca="1" si="25">F$82*G$52</f>
        <v>37863951.554610923</v>
      </c>
      <c r="G98" s="675">
        <f t="shared" ca="1" si="25"/>
        <v>33034189.073301554</v>
      </c>
      <c r="H98" s="675">
        <f t="shared" ca="1" si="25"/>
        <v>82011756.233815402</v>
      </c>
      <c r="I98" s="675">
        <f t="shared" ca="1" si="25"/>
        <v>48566562.187646829</v>
      </c>
      <c r="J98" s="675">
        <f t="shared" ca="1" si="25"/>
        <v>72447264.21303536</v>
      </c>
      <c r="K98" s="675">
        <f t="shared" ca="1" si="25"/>
        <v>129116714.09947544</v>
      </c>
      <c r="L98" s="675">
        <f t="shared" ca="1" si="25"/>
        <v>184026124.9977307</v>
      </c>
      <c r="M98" s="675">
        <f t="shared" ca="1" si="25"/>
        <v>233663867.83842018</v>
      </c>
      <c r="N98" s="675">
        <f t="shared" ca="1" si="25"/>
        <v>283126034.21085477</v>
      </c>
    </row>
    <row r="99" spans="1:16" s="2061" customFormat="1" x14ac:dyDescent="0.2">
      <c r="C99" s="2061" t="s">
        <v>1470</v>
      </c>
      <c r="E99" s="2061" t="str">
        <f>Preferences.moneyunits&amp;"/yr"</f>
        <v>N/yr</v>
      </c>
      <c r="F99" s="675">
        <f ca="1">SUM(F97:F98)</f>
        <v>37863951.554610923</v>
      </c>
      <c r="G99" s="675">
        <f t="shared" ref="G99:N99" ca="1" si="26">SUM(G97:G98)</f>
        <v>7138093333.732645</v>
      </c>
      <c r="H99" s="675">
        <f t="shared" ca="1" si="26"/>
        <v>66791161592.893982</v>
      </c>
      <c r="I99" s="675">
        <f t="shared" ca="1" si="26"/>
        <v>18130952756.505207</v>
      </c>
      <c r="J99" s="675">
        <f ca="1">SUM(J97:J98)</f>
        <v>45522742105.828842</v>
      </c>
      <c r="K99" s="675">
        <f t="shared" ca="1" si="26"/>
        <v>104615943711.10899</v>
      </c>
      <c r="L99" s="675">
        <f t="shared" ca="1" si="26"/>
        <v>123880769430.54346</v>
      </c>
      <c r="M99" s="675">
        <f t="shared" ca="1" si="26"/>
        <v>138121449073.02518</v>
      </c>
      <c r="N99" s="675">
        <f t="shared" ca="1" si="26"/>
        <v>160783181003.11639</v>
      </c>
    </row>
    <row r="100" spans="1:16" s="2061" customFormat="1" x14ac:dyDescent="0.2"/>
    <row r="101" spans="1:16" x14ac:dyDescent="0.2">
      <c r="C101" s="1476" t="s">
        <v>893</v>
      </c>
    </row>
    <row r="102" spans="1:16" x14ac:dyDescent="0.2">
      <c r="C102" s="1476" t="s">
        <v>1465</v>
      </c>
      <c r="E102" s="1476" t="str">
        <f>Preferences.moneyunits</f>
        <v>N</v>
      </c>
      <c r="F102" s="1262">
        <f t="shared" ref="F102:N102" ca="1" si="27">F$82*G$47</f>
        <v>213151774339.7803</v>
      </c>
      <c r="G102" s="1262">
        <f t="shared" ca="1" si="27"/>
        <v>185963052606.76224</v>
      </c>
      <c r="H102" s="1262">
        <f t="shared" ca="1" si="27"/>
        <v>461677945386.83136</v>
      </c>
      <c r="I102" s="1262">
        <f t="shared" ca="1" si="27"/>
        <v>273401176550.45889</v>
      </c>
      <c r="J102" s="1262">
        <f t="shared" ca="1" si="27"/>
        <v>407835481481.61664</v>
      </c>
      <c r="K102" s="1262">
        <f t="shared" ca="1" si="27"/>
        <v>726851149371.75281</v>
      </c>
      <c r="L102" s="1262">
        <f t="shared" ca="1" si="27"/>
        <v>1035958833075.4603</v>
      </c>
      <c r="M102" s="1262">
        <f t="shared" ca="1" si="27"/>
        <v>1315390126596.2827</v>
      </c>
      <c r="N102" s="1262">
        <f t="shared" ca="1" si="27"/>
        <v>1593833027881.1055</v>
      </c>
    </row>
    <row r="103" spans="1:16" x14ac:dyDescent="0.2">
      <c r="C103" s="1476" t="s">
        <v>1468</v>
      </c>
      <c r="E103" s="1476" t="str">
        <f>Preferences.moneyunits&amp;"/yr"</f>
        <v>N/yr</v>
      </c>
      <c r="F103" s="1262">
        <f t="shared" ref="F103:N103" si="28">F$85*F$47</f>
        <v>0</v>
      </c>
      <c r="G103" s="1262">
        <f t="shared" ca="1" si="28"/>
        <v>7105059144.6593437</v>
      </c>
      <c r="H103" s="1262">
        <f t="shared" ca="1" si="28"/>
        <v>61341746976.239227</v>
      </c>
      <c r="I103" s="1262">
        <f t="shared" ca="1" si="28"/>
        <v>15389264846.227713</v>
      </c>
      <c r="J103" s="1262">
        <f t="shared" ca="1" si="28"/>
        <v>36000233537.913506</v>
      </c>
      <c r="K103" s="1262">
        <f t="shared" ca="1" si="28"/>
        <v>77397649627.414459</v>
      </c>
      <c r="L103" s="1262">
        <f t="shared" ca="1" si="28"/>
        <v>86049908386.466599</v>
      </c>
      <c r="M103" s="1262">
        <f t="shared" ca="1" si="28"/>
        <v>90418219806.67984</v>
      </c>
      <c r="N103" s="1262">
        <f t="shared" ca="1" si="28"/>
        <v>99534917810.173981</v>
      </c>
    </row>
    <row r="104" spans="1:16" x14ac:dyDescent="0.2">
      <c r="C104" s="1476" t="s">
        <v>1469</v>
      </c>
      <c r="E104" s="1476" t="str">
        <f>Preferences.moneyunits&amp;"/yr"</f>
        <v>N/yr</v>
      </c>
      <c r="F104" s="675">
        <f t="shared" ref="F104:N104" ca="1" si="29">F$82*F$53</f>
        <v>0</v>
      </c>
      <c r="G104" s="675">
        <f t="shared" ca="1" si="29"/>
        <v>19431875.925471503</v>
      </c>
      <c r="H104" s="675">
        <f t="shared" ca="1" si="29"/>
        <v>48242209.549303181</v>
      </c>
      <c r="I104" s="675">
        <f t="shared" ca="1" si="29"/>
        <v>28568565.99273343</v>
      </c>
      <c r="J104" s="675">
        <f t="shared" ca="1" si="29"/>
        <v>42616037.772373736</v>
      </c>
      <c r="K104" s="675">
        <f t="shared" ca="1" si="29"/>
        <v>75951008.293809086</v>
      </c>
      <c r="L104" s="675">
        <f t="shared" ca="1" si="29"/>
        <v>108250661.76337099</v>
      </c>
      <c r="M104" s="675">
        <f t="shared" ca="1" si="29"/>
        <v>137449334.02260011</v>
      </c>
      <c r="N104" s="675">
        <f t="shared" ca="1" si="29"/>
        <v>166544726.00638515</v>
      </c>
    </row>
    <row r="105" spans="1:16" x14ac:dyDescent="0.2">
      <c r="C105" s="1476" t="s">
        <v>1470</v>
      </c>
      <c r="E105" s="1476" t="str">
        <f>Preferences.moneyunits&amp;"/yr"</f>
        <v>N/yr</v>
      </c>
      <c r="F105" s="675">
        <f ca="1">SUM(F103:F104)</f>
        <v>0</v>
      </c>
      <c r="G105" s="675">
        <f t="shared" ref="G105:N105" ca="1" si="30">SUM(G103:G104)</f>
        <v>7124491020.584815</v>
      </c>
      <c r="H105" s="675">
        <f t="shared" ca="1" si="30"/>
        <v>61389989185.788528</v>
      </c>
      <c r="I105" s="675">
        <f t="shared" ca="1" si="30"/>
        <v>15417833412.220446</v>
      </c>
      <c r="J105" s="675">
        <f t="shared" ca="1" si="30"/>
        <v>36042849575.685883</v>
      </c>
      <c r="K105" s="675">
        <f t="shared" ca="1" si="30"/>
        <v>77473600635.708267</v>
      </c>
      <c r="L105" s="675">
        <f t="shared" ca="1" si="30"/>
        <v>86158159048.229965</v>
      </c>
      <c r="M105" s="675">
        <f t="shared" ca="1" si="30"/>
        <v>90555669140.702438</v>
      </c>
      <c r="N105" s="675">
        <f t="shared" ca="1" si="30"/>
        <v>99701462536.180359</v>
      </c>
    </row>
    <row r="107" spans="1:16" ht="22.5" x14ac:dyDescent="0.3">
      <c r="A107" s="1422"/>
      <c r="B107" s="468" t="s">
        <v>236</v>
      </c>
      <c r="C107" s="421"/>
      <c r="D107" s="421"/>
      <c r="E107" s="421"/>
      <c r="F107" s="421"/>
      <c r="G107" s="421"/>
      <c r="H107" s="421"/>
      <c r="I107" s="421"/>
      <c r="J107" s="421"/>
      <c r="K107" s="421"/>
      <c r="L107" s="421"/>
      <c r="M107" s="421"/>
      <c r="N107" s="421"/>
      <c r="O107" s="421"/>
      <c r="P107" s="423"/>
    </row>
    <row r="108" spans="1:16" x14ac:dyDescent="0.2">
      <c r="B108" s="410"/>
      <c r="C108" s="412"/>
      <c r="D108" s="412"/>
      <c r="E108" s="412"/>
      <c r="F108" s="412"/>
      <c r="G108" s="412"/>
      <c r="H108" s="412"/>
      <c r="I108" s="412"/>
      <c r="J108" s="412"/>
      <c r="K108" s="412"/>
      <c r="L108" s="412"/>
      <c r="M108" s="412"/>
      <c r="N108" s="412"/>
      <c r="O108" s="412"/>
      <c r="P108" s="414"/>
    </row>
    <row r="109" spans="1:16" x14ac:dyDescent="0.2">
      <c r="B109" s="410"/>
      <c r="C109" s="424" t="s">
        <v>1833</v>
      </c>
      <c r="D109" s="412"/>
      <c r="E109" s="413"/>
      <c r="F109" s="412"/>
      <c r="G109" s="413"/>
      <c r="H109" s="412"/>
      <c r="I109" s="412"/>
      <c r="J109" s="412"/>
      <c r="K109" s="412"/>
      <c r="L109" s="412"/>
      <c r="M109" s="412"/>
      <c r="N109" s="413" t="str">
        <f>Preferences.EnergyUnits</f>
        <v>TWh</v>
      </c>
      <c r="P109" s="414"/>
    </row>
    <row r="110" spans="1:16" ht="6" customHeight="1" x14ac:dyDescent="0.2">
      <c r="B110" s="410"/>
      <c r="C110" s="412"/>
      <c r="D110" s="412"/>
      <c r="E110" s="412"/>
      <c r="F110" s="412"/>
      <c r="G110" s="412"/>
      <c r="H110" s="412"/>
      <c r="I110" s="412"/>
      <c r="J110" s="412"/>
      <c r="K110" s="412"/>
      <c r="L110" s="412"/>
      <c r="M110" s="412"/>
      <c r="N110" s="412"/>
      <c r="O110" s="412"/>
      <c r="P110" s="414"/>
    </row>
    <row r="111" spans="1:16" ht="15.75" x14ac:dyDescent="0.25">
      <c r="A111" s="3"/>
      <c r="B111" s="415"/>
      <c r="C111" s="426" t="s">
        <v>64</v>
      </c>
      <c r="D111" s="426" t="s">
        <v>150</v>
      </c>
      <c r="E111" s="426" t="s">
        <v>172</v>
      </c>
      <c r="F111" s="426" t="s">
        <v>241</v>
      </c>
      <c r="G111" s="426" t="s">
        <v>268</v>
      </c>
      <c r="H111" s="426" t="s">
        <v>269</v>
      </c>
      <c r="I111" s="426" t="s">
        <v>270</v>
      </c>
      <c r="J111" s="426" t="s">
        <v>271</v>
      </c>
      <c r="K111" s="426" t="s">
        <v>272</v>
      </c>
      <c r="L111" s="426" t="s">
        <v>273</v>
      </c>
      <c r="M111" s="426" t="s">
        <v>274</v>
      </c>
      <c r="N111" s="426" t="s">
        <v>275</v>
      </c>
      <c r="O111" s="414"/>
    </row>
    <row r="112" spans="1:16" ht="15.75" x14ac:dyDescent="0.25">
      <c r="A112" s="3"/>
      <c r="B112" s="415"/>
      <c r="C112" s="97" t="s">
        <v>36</v>
      </c>
      <c r="D112" s="97" t="str">
        <f>INDEX(Vectors[Description], MATCH(XVI.a.Outputs[Vector], Vectors[Code], 0))</f>
        <v>Solid hydrocarbons</v>
      </c>
      <c r="E112" s="97"/>
      <c r="F112" s="241">
        <f t="shared" ref="F112:N112" ca="1" si="31">F$62</f>
        <v>1.5203815348896348</v>
      </c>
      <c r="G112" s="241">
        <f t="shared" ca="1" si="31"/>
        <v>1.8097434927284919</v>
      </c>
      <c r="H112" s="241">
        <f t="shared" ca="1" si="31"/>
        <v>25.824701842565585</v>
      </c>
      <c r="I112" s="241">
        <f t="shared" ca="1" si="31"/>
        <v>122.5769415325465</v>
      </c>
      <c r="J112" s="241">
        <f t="shared" ca="1" si="31"/>
        <v>281.95754953591495</v>
      </c>
      <c r="K112" s="241">
        <f t="shared" ca="1" si="31"/>
        <v>512.36760581012402</v>
      </c>
      <c r="L112" s="241">
        <f t="shared" ca="1" si="31"/>
        <v>756.52138704566835</v>
      </c>
      <c r="M112" s="241">
        <f t="shared" ca="1" si="31"/>
        <v>998.96810111333627</v>
      </c>
      <c r="N112" s="241">
        <f t="shared" ca="1" si="31"/>
        <v>1241.5439171180863</v>
      </c>
      <c r="O112" s="414"/>
    </row>
    <row r="113" spans="1:16" ht="15.75" x14ac:dyDescent="0.25">
      <c r="A113" s="3"/>
      <c r="B113" s="415"/>
      <c r="C113" s="97" t="s">
        <v>38</v>
      </c>
      <c r="D113" s="97" t="str">
        <f>INDEX(Vectors[Description], MATCH(XVI.a.Outputs[Vector], Vectors[Code], 0))</f>
        <v>Liquid hydrocarbons</v>
      </c>
      <c r="E113" s="97"/>
      <c r="F113" s="241">
        <f t="shared" ref="F113:N113" ca="1" si="32">F$63</f>
        <v>301.24472631181249</v>
      </c>
      <c r="G113" s="241">
        <f t="shared" ca="1" si="32"/>
        <v>309.20345172722136</v>
      </c>
      <c r="H113" s="241">
        <f t="shared" ca="1" si="32"/>
        <v>221.35927018559818</v>
      </c>
      <c r="I113" s="241">
        <f t="shared" ca="1" si="32"/>
        <v>188.35750920679624</v>
      </c>
      <c r="J113" s="241">
        <f t="shared" ca="1" si="32"/>
        <v>190.7988284261738</v>
      </c>
      <c r="K113" s="241">
        <f t="shared" ca="1" si="32"/>
        <v>198.31117547774622</v>
      </c>
      <c r="L113" s="241">
        <f t="shared" ca="1" si="32"/>
        <v>197.79696796682728</v>
      </c>
      <c r="M113" s="241">
        <f t="shared" ca="1" si="32"/>
        <v>196.27149320474481</v>
      </c>
      <c r="N113" s="241">
        <f t="shared" ca="1" si="32"/>
        <v>191.75650933957016</v>
      </c>
      <c r="O113" s="414"/>
    </row>
    <row r="114" spans="1:16" ht="15.75" x14ac:dyDescent="0.25">
      <c r="A114" s="3"/>
      <c r="B114" s="415"/>
      <c r="C114" s="97" t="s">
        <v>39</v>
      </c>
      <c r="D114" s="97" t="str">
        <f>INDEX(Vectors[Description], MATCH(XVI.a.Outputs[Vector], Vectors[Code], 0))</f>
        <v>Gaseous hydrocarbons</v>
      </c>
      <c r="E114" s="97"/>
      <c r="F114" s="241">
        <f ca="1">F$65</f>
        <v>49.495361509295321</v>
      </c>
      <c r="G114" s="241">
        <f t="shared" ref="G114:N114" ca="1" si="33">G$65</f>
        <v>43.181946501047776</v>
      </c>
      <c r="H114" s="241">
        <f t="shared" ca="1" si="33"/>
        <v>107.2049101095626</v>
      </c>
      <c r="I114" s="241">
        <f t="shared" ca="1" si="33"/>
        <v>63.485702206074279</v>
      </c>
      <c r="J114" s="241">
        <f t="shared" ca="1" si="33"/>
        <v>94.702306160830517</v>
      </c>
      <c r="K114" s="241">
        <f t="shared" ca="1" si="33"/>
        <v>168.78001843068682</v>
      </c>
      <c r="L114" s="241">
        <f t="shared" ca="1" si="33"/>
        <v>240.55702614082441</v>
      </c>
      <c r="M114" s="241">
        <f t="shared" ca="1" si="33"/>
        <v>305.44296449466685</v>
      </c>
      <c r="N114" s="241">
        <f t="shared" ca="1" si="33"/>
        <v>370.09939112530026</v>
      </c>
      <c r="O114" s="414"/>
    </row>
    <row r="115" spans="1:16" s="2479" customFormat="1" ht="15.75" x14ac:dyDescent="0.25">
      <c r="A115" s="3"/>
      <c r="B115" s="415"/>
      <c r="C115" s="97" t="s">
        <v>2184</v>
      </c>
      <c r="D115" s="97" t="str">
        <f>INDEX(Vectors[Description], MATCH(XVI.a.Outputs[Vector], Vectors[Code], 0))</f>
        <v>Traditional Fuel</v>
      </c>
      <c r="E115" s="97"/>
      <c r="F115" s="2470">
        <f ca="1">F69</f>
        <v>0</v>
      </c>
      <c r="G115" s="2470">
        <f t="shared" ref="G115:N115" ca="1" si="34">G69</f>
        <v>-5.6843418860808015E-14</v>
      </c>
      <c r="H115" s="2470">
        <f t="shared" ca="1" si="34"/>
        <v>2.8421709430404007E-14</v>
      </c>
      <c r="I115" s="2470">
        <f t="shared" ca="1" si="34"/>
        <v>2.8421709430404007E-14</v>
      </c>
      <c r="J115" s="2470">
        <f t="shared" ca="1" si="34"/>
        <v>-1.1368683772161603E-13</v>
      </c>
      <c r="K115" s="2470">
        <f t="shared" ca="1" si="34"/>
        <v>8.5265128291212022E-14</v>
      </c>
      <c r="L115" s="2470">
        <f t="shared" ca="1" si="34"/>
        <v>9.9475983006414026E-14</v>
      </c>
      <c r="M115" s="2470">
        <f t="shared" ca="1" si="34"/>
        <v>-8.5265128291212022E-14</v>
      </c>
      <c r="N115" s="2470">
        <f t="shared" ca="1" si="34"/>
        <v>-2.0605739337042905E-13</v>
      </c>
      <c r="O115" s="414"/>
    </row>
    <row r="116" spans="1:16" ht="15.75" x14ac:dyDescent="0.25">
      <c r="A116" s="3"/>
      <c r="B116" s="415"/>
      <c r="C116" s="97" t="s">
        <v>51</v>
      </c>
      <c r="D116" s="97" t="str">
        <f>INDEX(Vectors[Description], MATCH(XVI.a.Outputs[Vector], Vectors[Code], 0))</f>
        <v>Coal and fossil waste</v>
      </c>
      <c r="E116" s="97"/>
      <c r="F116" s="241">
        <f t="shared" ref="F116:N116" ca="1" si="35">-F$62</f>
        <v>-1.5203815348896348</v>
      </c>
      <c r="G116" s="241">
        <f t="shared" ca="1" si="35"/>
        <v>-1.8097434927284919</v>
      </c>
      <c r="H116" s="241">
        <f t="shared" ca="1" si="35"/>
        <v>-25.824701842565585</v>
      </c>
      <c r="I116" s="241">
        <f t="shared" ca="1" si="35"/>
        <v>-122.5769415325465</v>
      </c>
      <c r="J116" s="241">
        <f t="shared" ca="1" si="35"/>
        <v>-281.95754953591495</v>
      </c>
      <c r="K116" s="241">
        <f t="shared" ca="1" si="35"/>
        <v>-512.36760581012402</v>
      </c>
      <c r="L116" s="241">
        <f t="shared" ca="1" si="35"/>
        <v>-756.52138704566835</v>
      </c>
      <c r="M116" s="241">
        <f t="shared" ca="1" si="35"/>
        <v>-998.96810111333627</v>
      </c>
      <c r="N116" s="241">
        <f t="shared" ca="1" si="35"/>
        <v>-1241.5439171180863</v>
      </c>
      <c r="O116" s="414"/>
    </row>
    <row r="117" spans="1:16" ht="15.75" x14ac:dyDescent="0.25">
      <c r="A117" s="3"/>
      <c r="B117" s="415"/>
      <c r="C117" s="97" t="s">
        <v>52</v>
      </c>
      <c r="D117" s="97" t="str">
        <f>INDEX(Vectors[Description], MATCH(XVI.a.Outputs[Vector], Vectors[Code], 0))</f>
        <v>Oil and petroleum products</v>
      </c>
      <c r="E117" s="97"/>
      <c r="F117" s="241">
        <f t="shared" ref="F117:N117" ca="1" si="36">-F63</f>
        <v>-301.24472631181249</v>
      </c>
      <c r="G117" s="241">
        <f t="shared" ca="1" si="36"/>
        <v>-309.20345172722136</v>
      </c>
      <c r="H117" s="241">
        <f t="shared" ca="1" si="36"/>
        <v>-221.35927018559818</v>
      </c>
      <c r="I117" s="241">
        <f t="shared" ca="1" si="36"/>
        <v>-188.35750920679624</v>
      </c>
      <c r="J117" s="241">
        <f t="shared" ca="1" si="36"/>
        <v>-190.7988284261738</v>
      </c>
      <c r="K117" s="241">
        <f t="shared" ca="1" si="36"/>
        <v>-198.31117547774622</v>
      </c>
      <c r="L117" s="241">
        <f t="shared" ca="1" si="36"/>
        <v>-197.79696796682728</v>
      </c>
      <c r="M117" s="241">
        <f t="shared" ca="1" si="36"/>
        <v>-196.27149320474481</v>
      </c>
      <c r="N117" s="241">
        <f t="shared" ca="1" si="36"/>
        <v>-191.75650933957016</v>
      </c>
      <c r="O117" s="414"/>
    </row>
    <row r="118" spans="1:16" ht="15.75" x14ac:dyDescent="0.25">
      <c r="A118" s="3"/>
      <c r="B118" s="415"/>
      <c r="C118" s="97" t="s">
        <v>53</v>
      </c>
      <c r="D118" s="97" t="str">
        <f>INDEX(Vectors[Description], MATCH(XVI.a.Outputs[Vector], Vectors[Code], 0))</f>
        <v>Natural gas</v>
      </c>
      <c r="E118" s="97"/>
      <c r="F118" s="241">
        <f t="shared" ref="F118:N118" ca="1" si="37">-F$67</f>
        <v>-50.089305847406862</v>
      </c>
      <c r="G118" s="241">
        <f t="shared" ca="1" si="37"/>
        <v>-43.700129859060347</v>
      </c>
      <c r="H118" s="241">
        <f t="shared" ca="1" si="37"/>
        <v>-108.49136903087735</v>
      </c>
      <c r="I118" s="241">
        <f t="shared" ca="1" si="37"/>
        <v>-64.247530632547168</v>
      </c>
      <c r="J118" s="241">
        <f t="shared" ca="1" si="37"/>
        <v>-95.83873383476049</v>
      </c>
      <c r="K118" s="241">
        <f t="shared" ca="1" si="37"/>
        <v>-170.80537865185505</v>
      </c>
      <c r="L118" s="241">
        <f t="shared" ca="1" si="37"/>
        <v>-243.4437104545143</v>
      </c>
      <c r="M118" s="241">
        <f t="shared" ca="1" si="37"/>
        <v>-309.10828006860288</v>
      </c>
      <c r="N118" s="241">
        <f t="shared" ca="1" si="37"/>
        <v>-374.54058381880384</v>
      </c>
      <c r="O118" s="414"/>
    </row>
    <row r="119" spans="1:16" s="2479" customFormat="1" ht="15.75" x14ac:dyDescent="0.25">
      <c r="A119" s="3"/>
      <c r="B119" s="415"/>
      <c r="C119" s="97" t="s">
        <v>2508</v>
      </c>
      <c r="D119" s="97" t="str">
        <f>INDEX(Vectors[Description], MATCH(XVI.a.Outputs[Vector], Vectors[Code], 0))</f>
        <v>Fuelwood</v>
      </c>
      <c r="E119" s="97"/>
      <c r="F119" s="2628">
        <f ca="1">-F69</f>
        <v>0</v>
      </c>
      <c r="G119" s="2628">
        <f t="shared" ref="G119:N119" ca="1" si="38">-G69</f>
        <v>5.6843418860808015E-14</v>
      </c>
      <c r="H119" s="2628">
        <f t="shared" ca="1" si="38"/>
        <v>-2.8421709430404007E-14</v>
      </c>
      <c r="I119" s="2628">
        <f t="shared" ca="1" si="38"/>
        <v>-2.8421709430404007E-14</v>
      </c>
      <c r="J119" s="2628">
        <f t="shared" ca="1" si="38"/>
        <v>1.1368683772161603E-13</v>
      </c>
      <c r="K119" s="2628">
        <f t="shared" ca="1" si="38"/>
        <v>-8.5265128291212022E-14</v>
      </c>
      <c r="L119" s="2628">
        <f t="shared" ca="1" si="38"/>
        <v>-9.9475983006414026E-14</v>
      </c>
      <c r="M119" s="2628">
        <f t="shared" ca="1" si="38"/>
        <v>8.5265128291212022E-14</v>
      </c>
      <c r="N119" s="2628">
        <f t="shared" ca="1" si="38"/>
        <v>2.0605739337042905E-13</v>
      </c>
      <c r="O119" s="414"/>
    </row>
    <row r="120" spans="1:16" ht="15.75" x14ac:dyDescent="0.25">
      <c r="A120" s="3"/>
      <c r="B120" s="415"/>
      <c r="C120" s="97" t="s">
        <v>27</v>
      </c>
      <c r="D120" s="97" t="str">
        <f>INDEX(Vectors[Description], MATCH(XVI.a.Outputs[Vector], Vectors[Code], 0))</f>
        <v>Distribution losses and own use</v>
      </c>
      <c r="E120" s="97"/>
      <c r="F120" s="241">
        <f t="shared" ref="F120:N120" ca="1" si="39">F$66</f>
        <v>0.5939443381115439</v>
      </c>
      <c r="G120" s="241">
        <f t="shared" ca="1" si="39"/>
        <v>0.51818335801257331</v>
      </c>
      <c r="H120" s="241">
        <f t="shared" ca="1" si="39"/>
        <v>1.2864589213147513</v>
      </c>
      <c r="I120" s="241">
        <f t="shared" ca="1" si="39"/>
        <v>0.7618284264728914</v>
      </c>
      <c r="J120" s="241">
        <f t="shared" ca="1" si="39"/>
        <v>1.1364276739299661</v>
      </c>
      <c r="K120" s="241">
        <f t="shared" ca="1" si="39"/>
        <v>2.025360221168242</v>
      </c>
      <c r="L120" s="241">
        <f t="shared" ca="1" si="39"/>
        <v>2.886684313689893</v>
      </c>
      <c r="M120" s="241">
        <f t="shared" ca="1" si="39"/>
        <v>3.6653155739360024</v>
      </c>
      <c r="N120" s="241">
        <f t="shared" ca="1" si="39"/>
        <v>4.441192693503603</v>
      </c>
      <c r="O120" s="414"/>
    </row>
    <row r="121" spans="1:16" ht="15.75" x14ac:dyDescent="0.25">
      <c r="A121" s="3"/>
      <c r="B121" s="415"/>
      <c r="C121" s="97" t="s">
        <v>105</v>
      </c>
      <c r="D121" s="97"/>
      <c r="E121" s="97"/>
      <c r="F121" s="2627">
        <f ca="1">SUBTOTAL(109,XVI.a.Outputs[2010])</f>
        <v>2.886579864025407E-15</v>
      </c>
      <c r="G121" s="2627">
        <f ca="1">SUBTOTAL(109,XVI.a.Outputs[2015])</f>
        <v>2.1094237467877974E-15</v>
      </c>
      <c r="H121" s="2627">
        <f ca="1">SUBTOTAL(109,XVI.a.Outputs[2020])</f>
        <v>-2.3980817331903381E-14</v>
      </c>
      <c r="I121" s="2627">
        <f ca="1">SUBTOTAL(109,XVI.a.Outputs[2025])</f>
        <v>2.886579864025407E-15</v>
      </c>
      <c r="J121" s="2627">
        <f ca="1">SUBTOTAL(109,XVI.a.Outputs[2030])</f>
        <v>2.19824158875781E-14</v>
      </c>
      <c r="K121" s="2627">
        <f ca="1">SUBTOTAL(109,XVI.a.Outputs[2035])</f>
        <v>7.1054273576010019E-14</v>
      </c>
      <c r="L121" s="2627">
        <f ca="1">SUBTOTAL(109,XVI.a.Outputs[2040])</f>
        <v>3.7747582837255322E-14</v>
      </c>
      <c r="M121" s="2627">
        <f ca="1">SUBTOTAL(109,XVI.a.Outputs[2045])</f>
        <v>1.7408297026122455E-13</v>
      </c>
      <c r="N121" s="2627">
        <f ca="1">SUBTOTAL(109,XVI.a.Outputs[2050])</f>
        <v>-1.127986593019159E-13</v>
      </c>
      <c r="O121" s="414"/>
    </row>
    <row r="122" spans="1:16" ht="15.75" x14ac:dyDescent="0.25">
      <c r="A122" s="3"/>
      <c r="B122" s="416"/>
      <c r="C122" s="515"/>
      <c r="D122" s="516"/>
      <c r="E122" s="516"/>
      <c r="F122" s="516"/>
      <c r="G122" s="516"/>
      <c r="H122" s="516"/>
      <c r="I122" s="516"/>
      <c r="J122" s="516"/>
      <c r="K122" s="516"/>
      <c r="L122" s="516"/>
      <c r="M122" s="516"/>
      <c r="N122" s="516"/>
      <c r="O122" s="516"/>
      <c r="P122" s="419"/>
    </row>
    <row r="124" spans="1:16" ht="22.5" x14ac:dyDescent="0.3">
      <c r="A124" s="1422"/>
      <c r="B124" s="484" t="s">
        <v>361</v>
      </c>
      <c r="C124" s="436"/>
      <c r="D124" s="437"/>
      <c r="E124" s="437"/>
      <c r="F124" s="437"/>
      <c r="G124" s="437"/>
      <c r="H124" s="437"/>
      <c r="I124" s="437"/>
      <c r="J124" s="437"/>
      <c r="K124" s="437"/>
      <c r="L124" s="437"/>
      <c r="M124" s="437"/>
      <c r="N124" s="437"/>
      <c r="O124" s="437"/>
      <c r="P124" s="438"/>
    </row>
    <row r="125" spans="1:16" x14ac:dyDescent="0.2">
      <c r="B125" s="444"/>
      <c r="C125" s="445"/>
      <c r="D125" s="445"/>
      <c r="E125" s="445"/>
      <c r="F125" s="445"/>
      <c r="G125" s="445"/>
      <c r="H125" s="445"/>
      <c r="I125" s="445"/>
      <c r="J125" s="445"/>
      <c r="K125" s="445"/>
      <c r="L125" s="445"/>
      <c r="M125" s="445"/>
      <c r="N125" s="445"/>
      <c r="O125" s="445"/>
      <c r="P125" s="446"/>
    </row>
    <row r="126" spans="1:16" ht="14.25" x14ac:dyDescent="0.25">
      <c r="B126" s="447"/>
      <c r="C126" s="439" t="s">
        <v>491</v>
      </c>
      <c r="D126" s="440"/>
      <c r="E126" s="441"/>
      <c r="F126" s="440"/>
      <c r="G126" s="441"/>
      <c r="H126" s="440"/>
      <c r="I126" s="440"/>
      <c r="J126" s="440"/>
      <c r="K126" s="440"/>
      <c r="L126" s="440"/>
      <c r="M126" s="440"/>
      <c r="N126" s="441" t="s">
        <v>493</v>
      </c>
      <c r="P126" s="448"/>
    </row>
    <row r="127" spans="1:16" ht="5.25" customHeight="1" x14ac:dyDescent="0.2">
      <c r="B127" s="447"/>
      <c r="C127" s="440"/>
      <c r="D127" s="440"/>
      <c r="E127" s="440"/>
      <c r="F127" s="440"/>
      <c r="G127" s="440"/>
      <c r="H127" s="440"/>
      <c r="I127" s="440"/>
      <c r="J127" s="440"/>
      <c r="K127" s="440"/>
      <c r="L127" s="440"/>
      <c r="M127" s="440"/>
      <c r="N127" s="440"/>
      <c r="O127" s="440"/>
      <c r="P127" s="448"/>
    </row>
    <row r="128" spans="1:16" ht="15.75" x14ac:dyDescent="0.25">
      <c r="B128" s="449"/>
      <c r="C128" s="503" t="s">
        <v>490</v>
      </c>
      <c r="D128" s="503" t="s">
        <v>461</v>
      </c>
      <c r="E128" s="503" t="s">
        <v>172</v>
      </c>
      <c r="F128" s="503" t="s">
        <v>241</v>
      </c>
      <c r="G128" s="503" t="s">
        <v>268</v>
      </c>
      <c r="H128" s="503" t="s">
        <v>269</v>
      </c>
      <c r="I128" s="503" t="s">
        <v>270</v>
      </c>
      <c r="J128" s="503" t="s">
        <v>271</v>
      </c>
      <c r="K128" s="503" t="s">
        <v>272</v>
      </c>
      <c r="L128" s="503" t="s">
        <v>273</v>
      </c>
      <c r="M128" s="503" t="s">
        <v>274</v>
      </c>
      <c r="N128" s="503" t="s">
        <v>275</v>
      </c>
      <c r="O128" s="448"/>
    </row>
    <row r="129" spans="2:16" ht="15.75" x14ac:dyDescent="0.25">
      <c r="B129" s="449"/>
      <c r="C129" s="443" t="s">
        <v>474</v>
      </c>
      <c r="D129" s="453" t="s">
        <v>482</v>
      </c>
      <c r="E129" s="443" t="str">
        <f>INDEX(IPCC[Sector_description], MATCH(XVI.a.Emissions[IPCC Sector], IPCC[Sector_code], 0))</f>
        <v>Fugitive Emissions from Fuels</v>
      </c>
      <c r="F129" s="455">
        <f>F$77</f>
        <v>4.3706513640884639</v>
      </c>
      <c r="G129" s="2476">
        <f t="shared" ref="G129:N129" ca="1" si="40">G$77</f>
        <v>3.8131499119034635</v>
      </c>
      <c r="H129" s="2476">
        <f t="shared" ca="1" si="40"/>
        <v>9.4666504561108287</v>
      </c>
      <c r="I129" s="2476">
        <f t="shared" ca="1" si="40"/>
        <v>5.6060580726333811</v>
      </c>
      <c r="J129" s="2476">
        <f t="shared" ca="1" si="40"/>
        <v>8.3626172429597077</v>
      </c>
      <c r="K129" s="2476">
        <f t="shared" ca="1" si="40"/>
        <v>14.903994945999537</v>
      </c>
      <c r="L129" s="2476">
        <f t="shared" ca="1" si="40"/>
        <v>21.242210631111469</v>
      </c>
      <c r="M129" s="2476">
        <f t="shared" ca="1" si="40"/>
        <v>26.971915523217813</v>
      </c>
      <c r="N129" s="2476">
        <f t="shared" ca="1" si="40"/>
        <v>32.681353552015572</v>
      </c>
      <c r="O129" s="448"/>
    </row>
    <row r="130" spans="2:16" ht="15.75" x14ac:dyDescent="0.25">
      <c r="B130" s="449"/>
      <c r="C130" s="2475" t="s">
        <v>105</v>
      </c>
      <c r="D130" s="2475"/>
      <c r="E130" s="2475"/>
      <c r="F130" s="2698">
        <f>SUBTOTAL(109,XVI.a.Emissions[2010])</f>
        <v>4.3706513640884639</v>
      </c>
      <c r="G130" s="2698">
        <f ca="1">SUBTOTAL(109,XVI.a.Emissions[2015])</f>
        <v>3.8131499119034635</v>
      </c>
      <c r="H130" s="2698">
        <f ca="1">SUBTOTAL(109,XVI.a.Emissions[2020])</f>
        <v>9.4666504561108287</v>
      </c>
      <c r="I130" s="2698">
        <f ca="1">SUBTOTAL(109,XVI.a.Emissions[2025])</f>
        <v>5.6060580726333811</v>
      </c>
      <c r="J130" s="2698">
        <f ca="1">SUBTOTAL(109,XVI.a.Emissions[2030])</f>
        <v>8.3626172429597077</v>
      </c>
      <c r="K130" s="2698">
        <f ca="1">SUBTOTAL(109,XVI.a.Emissions[2035])</f>
        <v>14.903994945999537</v>
      </c>
      <c r="L130" s="2698">
        <f ca="1">SUBTOTAL(109,XVI.a.Emissions[2040])</f>
        <v>21.242210631111469</v>
      </c>
      <c r="M130" s="2698">
        <f ca="1">SUBTOTAL(109,XVI.a.Emissions[2045])</f>
        <v>26.971915523217813</v>
      </c>
      <c r="N130" s="2698">
        <f ca="1">SUBTOTAL(109,XVI.a.Emissions[2050])</f>
        <v>32.681353552015572</v>
      </c>
      <c r="O130" s="448"/>
    </row>
    <row r="131" spans="2:16" ht="15.75" x14ac:dyDescent="0.25">
      <c r="B131" s="449"/>
      <c r="C131" s="440"/>
      <c r="D131" s="440"/>
      <c r="E131" s="440"/>
      <c r="F131" s="440"/>
      <c r="G131" s="440"/>
      <c r="H131" s="440"/>
      <c r="I131" s="440"/>
      <c r="J131" s="440"/>
      <c r="K131" s="440"/>
      <c r="L131" s="440"/>
      <c r="M131" s="440"/>
      <c r="N131" s="440"/>
      <c r="O131" s="440"/>
      <c r="P131" s="448"/>
    </row>
    <row r="133" spans="2:16" ht="21.75" customHeight="1" x14ac:dyDescent="0.2">
      <c r="B133" s="1430" t="s">
        <v>1225</v>
      </c>
      <c r="C133" s="1218"/>
      <c r="D133" s="1431"/>
      <c r="E133" s="1431"/>
      <c r="F133" s="1431"/>
      <c r="G133" s="1431"/>
      <c r="H133" s="1431"/>
      <c r="I133" s="1431"/>
      <c r="J133" s="1431"/>
      <c r="K133" s="1431"/>
      <c r="L133" s="1431"/>
      <c r="M133" s="1431"/>
      <c r="N133" s="1431"/>
      <c r="O133" s="1431"/>
      <c r="P133" s="1432"/>
    </row>
    <row r="134" spans="2:16" x14ac:dyDescent="0.2">
      <c r="B134" s="1219"/>
      <c r="C134" s="1220"/>
      <c r="D134" s="1220"/>
      <c r="E134" s="1220"/>
      <c r="F134" s="1220"/>
      <c r="G134" s="1220"/>
      <c r="H134" s="1220"/>
      <c r="I134" s="1220"/>
      <c r="J134" s="1220"/>
      <c r="K134" s="1220"/>
      <c r="L134" s="1220"/>
      <c r="M134" s="1220"/>
      <c r="N134" s="1220"/>
      <c r="O134" s="1220"/>
      <c r="P134" s="1221"/>
    </row>
    <row r="135" spans="2:16" ht="13.5" customHeight="1" x14ac:dyDescent="0.2">
      <c r="B135" s="1433"/>
      <c r="C135" s="1222" t="s">
        <v>1230</v>
      </c>
      <c r="D135" s="1434"/>
      <c r="E135" s="1223"/>
      <c r="F135" s="1434"/>
      <c r="G135" s="1223"/>
      <c r="H135" s="1434"/>
      <c r="I135" s="1434"/>
      <c r="J135" s="1434"/>
      <c r="K135" s="1434"/>
      <c r="L135" s="1434"/>
      <c r="M135" s="1434"/>
      <c r="N135" s="1434"/>
      <c r="O135" s="1223"/>
      <c r="P135" s="1435"/>
    </row>
    <row r="136" spans="2:16" ht="1.5" customHeight="1" x14ac:dyDescent="0.2">
      <c r="B136" s="1433"/>
      <c r="C136" s="1434"/>
      <c r="D136" s="1434"/>
      <c r="E136" s="1434"/>
      <c r="F136" s="1434"/>
      <c r="G136" s="1434"/>
      <c r="H136" s="1434"/>
      <c r="I136" s="1434"/>
      <c r="J136" s="1434"/>
      <c r="K136" s="1434"/>
      <c r="L136" s="1434"/>
      <c r="M136" s="1434"/>
      <c r="N136" s="1434"/>
      <c r="O136" s="1434"/>
      <c r="P136" s="1435"/>
    </row>
    <row r="137" spans="2:16" ht="15.75" x14ac:dyDescent="0.25">
      <c r="B137" s="1436"/>
      <c r="C137" s="1437" t="s">
        <v>64</v>
      </c>
      <c r="D137" s="1437" t="s">
        <v>1226</v>
      </c>
      <c r="E137" s="1437" t="s">
        <v>172</v>
      </c>
      <c r="F137" s="1437" t="s">
        <v>241</v>
      </c>
      <c r="G137" s="1437" t="s">
        <v>268</v>
      </c>
      <c r="H137" s="1437" t="s">
        <v>269</v>
      </c>
      <c r="I137" s="1437" t="s">
        <v>270</v>
      </c>
      <c r="J137" s="1437" t="s">
        <v>271</v>
      </c>
      <c r="K137" s="1437" t="s">
        <v>272</v>
      </c>
      <c r="L137" s="1437" t="s">
        <v>273</v>
      </c>
      <c r="M137" s="1437" t="s">
        <v>274</v>
      </c>
      <c r="N137" s="1437" t="s">
        <v>275</v>
      </c>
      <c r="O137" s="1435"/>
    </row>
    <row r="138" spans="2:16" ht="15.75" x14ac:dyDescent="0.25">
      <c r="B138" s="1436"/>
      <c r="C138" s="1438"/>
      <c r="D138" s="1439"/>
      <c r="E138" s="1439"/>
      <c r="F138" s="1226"/>
      <c r="G138" s="1226"/>
      <c r="H138" s="1226"/>
      <c r="I138" s="1226"/>
      <c r="J138" s="1226"/>
      <c r="K138" s="1226"/>
      <c r="L138" s="1226"/>
      <c r="M138" s="1226"/>
      <c r="N138" s="1226"/>
      <c r="O138" s="1435"/>
    </row>
    <row r="139" spans="2:16" ht="15.75" x14ac:dyDescent="0.25">
      <c r="B139" s="1227"/>
      <c r="C139" s="1440"/>
      <c r="D139" s="1440"/>
      <c r="E139" s="1440"/>
      <c r="F139" s="1440"/>
      <c r="G139" s="1440"/>
      <c r="H139" s="1440"/>
      <c r="I139" s="1440"/>
      <c r="J139" s="1440"/>
      <c r="K139" s="1440"/>
      <c r="L139" s="1440"/>
      <c r="M139" s="1440"/>
      <c r="N139" s="1440"/>
      <c r="O139" s="1440"/>
      <c r="P139" s="1224"/>
    </row>
    <row r="140" spans="2:16" collapsed="1" x14ac:dyDescent="0.2"/>
    <row r="141" spans="2:16" ht="22.5" customHeight="1" x14ac:dyDescent="0.2">
      <c r="B141" s="1430" t="s">
        <v>1424</v>
      </c>
      <c r="C141" s="1431"/>
      <c r="D141" s="1431"/>
      <c r="E141" s="1431"/>
      <c r="F141" s="1431"/>
      <c r="G141" s="1431"/>
      <c r="H141" s="1431"/>
      <c r="I141" s="1431"/>
      <c r="J141" s="1431"/>
      <c r="K141" s="1431"/>
      <c r="L141" s="1431"/>
      <c r="M141" s="1431"/>
      <c r="N141" s="1431"/>
      <c r="O141" s="1431"/>
      <c r="P141" s="1432"/>
    </row>
    <row r="142" spans="2:16" x14ac:dyDescent="0.2">
      <c r="B142" s="1433"/>
      <c r="C142" s="1434"/>
      <c r="D142" s="1434"/>
      <c r="E142" s="1434"/>
      <c r="F142" s="1434"/>
      <c r="G142" s="1434"/>
      <c r="H142" s="1434"/>
      <c r="I142" s="1434"/>
      <c r="J142" s="1434"/>
      <c r="K142" s="1434"/>
      <c r="L142" s="1434"/>
      <c r="M142" s="1434"/>
      <c r="N142" s="1434"/>
      <c r="O142" s="1434"/>
      <c r="P142" s="1435"/>
    </row>
    <row r="143" spans="2:16" ht="15.75" customHeight="1" x14ac:dyDescent="0.2">
      <c r="B143" s="1433"/>
      <c r="C143" s="1441" t="s">
        <v>1425</v>
      </c>
      <c r="D143" s="1442"/>
      <c r="E143" s="1442"/>
      <c r="F143" s="1442"/>
      <c r="G143" s="1442"/>
      <c r="H143" s="1442"/>
      <c r="I143" s="1442"/>
      <c r="J143" s="1442"/>
      <c r="K143" s="1442"/>
      <c r="L143" s="1442"/>
      <c r="M143" s="1442"/>
      <c r="N143" s="1442"/>
      <c r="O143" s="1442"/>
      <c r="P143" s="1435"/>
    </row>
    <row r="144" spans="2:16" ht="5.25" customHeight="1" x14ac:dyDescent="0.2">
      <c r="B144" s="1433"/>
      <c r="C144" s="1434"/>
      <c r="D144" s="1434"/>
      <c r="E144" s="1434"/>
      <c r="F144" s="1434"/>
      <c r="G144" s="1434"/>
      <c r="H144" s="1434"/>
      <c r="I144" s="1434"/>
      <c r="J144" s="1434"/>
      <c r="K144" s="1434"/>
      <c r="L144" s="1434"/>
      <c r="M144" s="1434"/>
      <c r="N144" s="1434"/>
      <c r="O144" s="1434"/>
      <c r="P144" s="1435"/>
    </row>
    <row r="145" spans="2:16" ht="15.75" x14ac:dyDescent="0.25">
      <c r="B145" s="1436"/>
      <c r="C145" s="1437" t="s">
        <v>64</v>
      </c>
      <c r="D145" s="1437" t="s">
        <v>150</v>
      </c>
      <c r="E145" s="1437" t="s">
        <v>172</v>
      </c>
      <c r="F145" s="1437" t="s">
        <v>241</v>
      </c>
      <c r="G145" s="1437" t="s">
        <v>268</v>
      </c>
      <c r="H145" s="1437" t="s">
        <v>269</v>
      </c>
      <c r="I145" s="1437" t="s">
        <v>270</v>
      </c>
      <c r="J145" s="1437" t="s">
        <v>271</v>
      </c>
      <c r="K145" s="1437" t="s">
        <v>272</v>
      </c>
      <c r="L145" s="1437" t="s">
        <v>273</v>
      </c>
      <c r="M145" s="1437" t="s">
        <v>274</v>
      </c>
      <c r="N145" s="1437" t="s">
        <v>275</v>
      </c>
      <c r="O145" s="1443"/>
    </row>
    <row r="146" spans="2:16" ht="15.75" x14ac:dyDescent="0.25">
      <c r="B146" s="1436"/>
      <c r="C146" s="1438" t="s">
        <v>1391</v>
      </c>
      <c r="D146" s="1439" t="str">
        <f>INDEX(CostVectors[Description], MATCH(C146, CostVectors[Code], 0))</f>
        <v>High estimate of capital costs</v>
      </c>
      <c r="E146" s="1439"/>
      <c r="F146" s="1196">
        <f>F91</f>
        <v>0</v>
      </c>
      <c r="G146" s="1196">
        <f t="shared" ref="G146:N146" ca="1" si="41">G91</f>
        <v>7105059144.6593437</v>
      </c>
      <c r="H146" s="1196">
        <f t="shared" ca="1" si="41"/>
        <v>76677183720.299042</v>
      </c>
      <c r="I146" s="1196">
        <f t="shared" ca="1" si="41"/>
        <v>23083897269.341568</v>
      </c>
      <c r="J146" s="1196">
        <f t="shared" ca="1" si="41"/>
        <v>63000408691.34864</v>
      </c>
      <c r="K146" s="1196">
        <f t="shared" ca="1" si="41"/>
        <v>154795299254.82892</v>
      </c>
      <c r="L146" s="1196">
        <f t="shared" ca="1" si="41"/>
        <v>193612293869.54984</v>
      </c>
      <c r="M146" s="1196">
        <f t="shared" ca="1" si="41"/>
        <v>226045549516.69962</v>
      </c>
      <c r="N146" s="1196">
        <f t="shared" ca="1" si="41"/>
        <v>273721023977.97842</v>
      </c>
      <c r="O146" s="1443"/>
    </row>
    <row r="147" spans="2:16" s="2061" customFormat="1" ht="15.75" x14ac:dyDescent="0.25">
      <c r="B147" s="1436"/>
      <c r="C147" s="1438" t="s">
        <v>1866</v>
      </c>
      <c r="D147" s="1439" t="str">
        <f>INDEX(CostVectors[Description], MATCH(C147,CostVectors[Code], 0))</f>
        <v>Point estimate of capital costs</v>
      </c>
      <c r="E147" s="1439"/>
      <c r="F147" s="1196">
        <f>F97</f>
        <v>0</v>
      </c>
      <c r="G147" s="1196">
        <f t="shared" ref="G147:N147" ca="1" si="42">G97</f>
        <v>7105059144.6593437</v>
      </c>
      <c r="H147" s="1196">
        <f t="shared" ca="1" si="42"/>
        <v>66709149836.660164</v>
      </c>
      <c r="I147" s="1196">
        <f t="shared" ca="1" si="42"/>
        <v>18082386194.317562</v>
      </c>
      <c r="J147" s="1196">
        <f t="shared" ca="1" si="42"/>
        <v>45450294841.615807</v>
      </c>
      <c r="K147" s="1196">
        <f t="shared" ca="1" si="42"/>
        <v>104486826997.00952</v>
      </c>
      <c r="L147" s="1196">
        <f t="shared" ca="1" si="42"/>
        <v>123696743305.54573</v>
      </c>
      <c r="M147" s="1196">
        <f t="shared" ca="1" si="42"/>
        <v>137887785205.18677</v>
      </c>
      <c r="N147" s="1196">
        <f t="shared" ca="1" si="42"/>
        <v>160500054968.90555</v>
      </c>
      <c r="O147" s="1443"/>
    </row>
    <row r="148" spans="2:16" ht="15.75" x14ac:dyDescent="0.25">
      <c r="B148" s="1436"/>
      <c r="C148" s="1438" t="s">
        <v>1382</v>
      </c>
      <c r="D148" s="1439" t="str">
        <f>INDEX(CostVectors[Description], MATCH(C148,CostVectors[Code], 0))</f>
        <v>Low estimate of capital costs</v>
      </c>
      <c r="E148" s="1439"/>
      <c r="F148" s="1196">
        <f t="shared" ref="F148:N148" si="43">F103</f>
        <v>0</v>
      </c>
      <c r="G148" s="1196">
        <f t="shared" ca="1" si="43"/>
        <v>7105059144.6593437</v>
      </c>
      <c r="H148" s="1196">
        <f t="shared" ca="1" si="43"/>
        <v>61341746976.239227</v>
      </c>
      <c r="I148" s="1196">
        <f t="shared" ca="1" si="43"/>
        <v>15389264846.227713</v>
      </c>
      <c r="J148" s="1196">
        <f t="shared" ca="1" si="43"/>
        <v>36000233537.913506</v>
      </c>
      <c r="K148" s="1196">
        <f t="shared" ca="1" si="43"/>
        <v>77397649627.414459</v>
      </c>
      <c r="L148" s="1196">
        <f t="shared" ca="1" si="43"/>
        <v>86049908386.466599</v>
      </c>
      <c r="M148" s="1196">
        <f t="shared" ca="1" si="43"/>
        <v>90418219806.67984</v>
      </c>
      <c r="N148" s="1196">
        <f t="shared" ca="1" si="43"/>
        <v>99534917810.173981</v>
      </c>
      <c r="O148" s="1443"/>
    </row>
    <row r="149" spans="2:16" s="2061" customFormat="1" ht="15.75" x14ac:dyDescent="0.25">
      <c r="B149" s="1436"/>
      <c r="C149" s="1438" t="s">
        <v>1393</v>
      </c>
      <c r="D149" s="1439" t="str">
        <f>INDEX(CostVectors[Description], MATCH(C149, CostVectors[Code], 0))</f>
        <v>High estimate of operating costs</v>
      </c>
      <c r="E149" s="1439"/>
      <c r="F149" s="1196">
        <f t="shared" ref="F149:N149" ca="1" si="44">F92</f>
        <v>37863951.554610923</v>
      </c>
      <c r="G149" s="1196">
        <f t="shared" ca="1" si="44"/>
        <v>58295627.776414506</v>
      </c>
      <c r="H149" s="1196">
        <f t="shared" ca="1" si="44"/>
        <v>144726628.64790955</v>
      </c>
      <c r="I149" s="1196">
        <f t="shared" ca="1" si="44"/>
        <v>85705697.978200287</v>
      </c>
      <c r="J149" s="1196">
        <f t="shared" ca="1" si="44"/>
        <v>127848113.31712122</v>
      </c>
      <c r="K149" s="1196">
        <f t="shared" ca="1" si="44"/>
        <v>227853024.88142726</v>
      </c>
      <c r="L149" s="1196">
        <f t="shared" ca="1" si="44"/>
        <v>324751985.29011303</v>
      </c>
      <c r="M149" s="1196">
        <f t="shared" ca="1" si="44"/>
        <v>412348002.06780034</v>
      </c>
      <c r="N149" s="1196">
        <f t="shared" ca="1" si="44"/>
        <v>499634178.01915544</v>
      </c>
      <c r="O149" s="1443"/>
    </row>
    <row r="150" spans="2:16" ht="14.25" x14ac:dyDescent="0.2">
      <c r="B150" s="1444"/>
      <c r="C150" s="1438" t="s">
        <v>1868</v>
      </c>
      <c r="D150" s="1439" t="str">
        <f>INDEX(CostVectors[Description], MATCH(C150,CostVectors[Code], 0))</f>
        <v>Point estimate of operating costs</v>
      </c>
      <c r="E150" s="1439"/>
      <c r="F150" s="1196">
        <f ca="1">F98</f>
        <v>37863951.554610923</v>
      </c>
      <c r="G150" s="1196">
        <f t="shared" ref="G150:N150" ca="1" si="45">G98</f>
        <v>33034189.073301554</v>
      </c>
      <c r="H150" s="1196">
        <f t="shared" ca="1" si="45"/>
        <v>82011756.233815402</v>
      </c>
      <c r="I150" s="1196">
        <f t="shared" ca="1" si="45"/>
        <v>48566562.187646829</v>
      </c>
      <c r="J150" s="1196">
        <f t="shared" ca="1" si="45"/>
        <v>72447264.21303536</v>
      </c>
      <c r="K150" s="1196">
        <f t="shared" ca="1" si="45"/>
        <v>129116714.09947544</v>
      </c>
      <c r="L150" s="1196">
        <f t="shared" ca="1" si="45"/>
        <v>184026124.9977307</v>
      </c>
      <c r="M150" s="1196">
        <f t="shared" ca="1" si="45"/>
        <v>233663867.83842018</v>
      </c>
      <c r="N150" s="1196">
        <f t="shared" ca="1" si="45"/>
        <v>283126034.21085477</v>
      </c>
      <c r="O150" s="1445"/>
    </row>
    <row r="151" spans="2:16" ht="14.25" x14ac:dyDescent="0.2">
      <c r="B151" s="1444"/>
      <c r="C151" s="1438" t="s">
        <v>1384</v>
      </c>
      <c r="D151" s="1439" t="str">
        <f>INDEX(CostVectors[Description], MATCH(C151, CostVectors[Code], 0))</f>
        <v>Low estimate of operating costs</v>
      </c>
      <c r="E151" s="1439"/>
      <c r="F151" s="1196">
        <f t="shared" ref="F151:N151" ca="1" si="46">F104</f>
        <v>0</v>
      </c>
      <c r="G151" s="1196">
        <f t="shared" ca="1" si="46"/>
        <v>19431875.925471503</v>
      </c>
      <c r="H151" s="1196">
        <f t="shared" ca="1" si="46"/>
        <v>48242209.549303181</v>
      </c>
      <c r="I151" s="1196">
        <f t="shared" ca="1" si="46"/>
        <v>28568565.99273343</v>
      </c>
      <c r="J151" s="1196">
        <f t="shared" ca="1" si="46"/>
        <v>42616037.772373736</v>
      </c>
      <c r="K151" s="1196">
        <f t="shared" ca="1" si="46"/>
        <v>75951008.293809086</v>
      </c>
      <c r="L151" s="1196">
        <f t="shared" ca="1" si="46"/>
        <v>108250661.76337099</v>
      </c>
      <c r="M151" s="1196">
        <f t="shared" ca="1" si="46"/>
        <v>137449334.02260011</v>
      </c>
      <c r="N151" s="1196">
        <f t="shared" ca="1" si="46"/>
        <v>166544726.00638515</v>
      </c>
      <c r="O151" s="1445"/>
    </row>
    <row r="152" spans="2:16" ht="14.25" x14ac:dyDescent="0.2">
      <c r="B152" s="1446"/>
      <c r="C152" s="1440"/>
      <c r="D152" s="1440"/>
      <c r="E152" s="1440"/>
      <c r="F152" s="1440"/>
      <c r="G152" s="1440"/>
      <c r="H152" s="1440"/>
      <c r="I152" s="1440"/>
      <c r="J152" s="1440"/>
      <c r="K152" s="1440"/>
      <c r="L152" s="1440"/>
      <c r="M152" s="1440"/>
      <c r="N152" s="1440"/>
      <c r="O152" s="1440"/>
      <c r="P152" s="1447"/>
    </row>
    <row r="154" spans="2:16" s="1616" customFormat="1" ht="15.75" x14ac:dyDescent="0.25">
      <c r="B154" s="1618" t="s">
        <v>1793</v>
      </c>
      <c r="C154" s="1619"/>
      <c r="D154" s="1619"/>
      <c r="E154" s="1619"/>
      <c r="F154" s="1619"/>
      <c r="G154" s="1619"/>
      <c r="H154" s="1619"/>
      <c r="I154" s="1619"/>
      <c r="J154" s="1619"/>
      <c r="K154" s="1619"/>
      <c r="L154" s="1619"/>
      <c r="M154" s="1619"/>
      <c r="N154" s="1619"/>
      <c r="O154" s="1619"/>
      <c r="P154" s="1619"/>
    </row>
    <row r="155" spans="2:16" s="1616" customFormat="1" x14ac:dyDescent="0.2">
      <c r="B155" s="1617"/>
      <c r="C155" s="1617"/>
      <c r="D155" s="1617"/>
      <c r="E155" s="1617"/>
      <c r="F155" s="1617"/>
      <c r="G155" s="1617"/>
      <c r="H155" s="1617"/>
      <c r="I155" s="1617"/>
      <c r="J155" s="1617"/>
      <c r="K155" s="1617"/>
      <c r="L155" s="1617"/>
      <c r="M155" s="1617"/>
      <c r="N155" s="1617"/>
      <c r="O155" s="1617"/>
      <c r="P155" s="1617"/>
    </row>
    <row r="156" spans="2:16" s="1616" customFormat="1" x14ac:dyDescent="0.2">
      <c r="B156" s="1617"/>
      <c r="C156" s="1668" t="s">
        <v>64</v>
      </c>
      <c r="D156" s="1669" t="s">
        <v>150</v>
      </c>
      <c r="E156" s="1669" t="s">
        <v>461</v>
      </c>
      <c r="F156" s="1669" t="s">
        <v>241</v>
      </c>
      <c r="G156" s="1669" t="s">
        <v>268</v>
      </c>
      <c r="H156" s="1669" t="s">
        <v>269</v>
      </c>
      <c r="I156" s="1669" t="s">
        <v>270</v>
      </c>
      <c r="J156" s="1669" t="s">
        <v>271</v>
      </c>
      <c r="K156" s="1669" t="s">
        <v>272</v>
      </c>
      <c r="L156" s="1669" t="s">
        <v>273</v>
      </c>
      <c r="M156" s="1669" t="s">
        <v>274</v>
      </c>
      <c r="N156" s="1670" t="s">
        <v>275</v>
      </c>
      <c r="O156" s="1617"/>
    </row>
    <row r="157" spans="2:16" s="1616" customFormat="1" x14ac:dyDescent="0.2">
      <c r="B157" s="1617"/>
      <c r="C157" s="1717" t="s">
        <v>1790</v>
      </c>
      <c r="D157" s="1718" t="str">
        <f>INDEX(AirQualityVectors[Description],MATCH(C157,AirQualityVectors[Code],0))</f>
        <v>NMVOC</v>
      </c>
      <c r="E157" s="1719" t="s">
        <v>482</v>
      </c>
      <c r="F157" s="1720">
        <f>F$30</f>
        <v>64.641521601284268</v>
      </c>
      <c r="G157" s="1720">
        <f>G$30</f>
        <v>58.51195295876019</v>
      </c>
      <c r="H157" s="1720">
        <f>H$30</f>
        <v>50.578959434795244</v>
      </c>
      <c r="I157" s="1720">
        <f>I$30</f>
        <v>45.563807860339438</v>
      </c>
      <c r="J157" s="1720">
        <f>J$30</f>
        <v>40.718764790773925</v>
      </c>
      <c r="K157" s="1720">
        <f ca="1">$J157*(K$65/$J$65)</f>
        <v>72.569656964743913</v>
      </c>
      <c r="L157" s="1720">
        <f ca="1">$J157*(L$65/$J$65)</f>
        <v>103.43132457156186</v>
      </c>
      <c r="M157" s="1720">
        <f ca="1">$J157*(M$65/$J$65)</f>
        <v>131.33006715943293</v>
      </c>
      <c r="N157" s="1720">
        <f ca="1">$J157*(N$65/$J$65)</f>
        <v>159.13012752663872</v>
      </c>
      <c r="O157" s="1617"/>
    </row>
    <row r="158" spans="2:16" s="1616" customFormat="1" x14ac:dyDescent="0.2">
      <c r="B158" s="1617"/>
      <c r="C158" s="1617"/>
      <c r="D158" s="1617"/>
      <c r="E158" s="1617"/>
      <c r="F158" s="1617"/>
      <c r="G158" s="1617"/>
      <c r="H158" s="1617"/>
      <c r="I158" s="1617"/>
      <c r="J158" s="1617"/>
      <c r="K158" s="1617"/>
      <c r="L158" s="1617"/>
      <c r="M158" s="1617"/>
      <c r="N158" s="1617"/>
      <c r="O158" s="1617"/>
      <c r="P158" s="1617"/>
    </row>
  </sheetData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 enableFormatConditionsCalculation="0">
    <tabColor theme="9"/>
    <outlinePr summaryBelow="0"/>
    <pageSetUpPr autoPageBreaks="0"/>
  </sheetPr>
  <dimension ref="A1:P124"/>
  <sheetViews>
    <sheetView windowProtection="1" zoomScaleNormal="100" workbookViewId="0"/>
  </sheetViews>
  <sheetFormatPr defaultColWidth="8.7109375" defaultRowHeight="12.75" x14ac:dyDescent="0.2"/>
  <cols>
    <col min="1" max="1" width="7.7109375" style="1374" customWidth="1"/>
    <col min="2" max="2" width="5.7109375" style="1374" customWidth="1"/>
    <col min="3" max="3" width="20.42578125" style="1374" customWidth="1"/>
    <col min="4" max="4" width="30.7109375" style="1374" customWidth="1"/>
    <col min="5" max="5" width="20.7109375" style="1374" customWidth="1"/>
    <col min="6" max="15" width="17.7109375" style="1374" customWidth="1"/>
    <col min="16" max="16" width="2" style="1374" customWidth="1"/>
    <col min="17" max="17" width="10.7109375" style="1374" customWidth="1"/>
    <col min="18" max="16384" width="8.7109375" style="1374"/>
  </cols>
  <sheetData>
    <row r="1" spans="1:16" ht="21" x14ac:dyDescent="0.35">
      <c r="A1" s="119" t="s">
        <v>438</v>
      </c>
      <c r="B1" s="119" t="str">
        <f>INDEX(Workstreams[Workstream], MATCH($A1, Workstreams[Code], 0))</f>
        <v>Transfers</v>
      </c>
      <c r="C1" s="119"/>
    </row>
    <row r="2" spans="1:16" s="84" customFormat="1" ht="19.5" customHeight="1" x14ac:dyDescent="0.2">
      <c r="A2" s="6" t="s">
        <v>440</v>
      </c>
      <c r="B2" s="6" t="str">
        <f>INDEX(Modules[Module], MATCH($A2, Modules[Code], 0))</f>
        <v>Balancing imports</v>
      </c>
      <c r="C2" s="6"/>
      <c r="E2" s="1380"/>
    </row>
    <row r="4" spans="1:16" ht="22.5" x14ac:dyDescent="0.3">
      <c r="A4" s="409"/>
      <c r="B4" s="468" t="s">
        <v>235</v>
      </c>
      <c r="C4" s="421"/>
      <c r="D4" s="421"/>
      <c r="E4" s="421"/>
      <c r="F4" s="421"/>
      <c r="G4" s="421"/>
      <c r="H4" s="421"/>
      <c r="I4" s="421"/>
      <c r="J4" s="421"/>
      <c r="K4" s="421"/>
      <c r="L4" s="421"/>
      <c r="M4" s="421"/>
      <c r="N4" s="421"/>
      <c r="O4" s="421"/>
      <c r="P4" s="423"/>
    </row>
    <row r="5" spans="1:16" x14ac:dyDescent="0.2"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412"/>
      <c r="N5" s="412"/>
      <c r="O5" s="412"/>
      <c r="P5" s="414"/>
    </row>
    <row r="6" spans="1:16" x14ac:dyDescent="0.2">
      <c r="B6" s="410"/>
      <c r="C6" s="424" t="s">
        <v>1429</v>
      </c>
      <c r="D6" s="412"/>
      <c r="E6" s="413"/>
      <c r="F6" s="412"/>
      <c r="G6" s="412"/>
      <c r="H6" s="412"/>
      <c r="I6" s="412"/>
      <c r="J6" s="412"/>
      <c r="K6" s="412"/>
      <c r="L6" s="412"/>
      <c r="M6" s="412"/>
      <c r="N6" s="412"/>
      <c r="O6" s="413" t="str">
        <f>Preferences.EnergyUnits</f>
        <v>TWh</v>
      </c>
      <c r="P6" s="414"/>
    </row>
    <row r="7" spans="1:16" ht="6" customHeight="1" x14ac:dyDescent="0.2">
      <c r="B7" s="410"/>
      <c r="C7" s="411"/>
      <c r="D7" s="412"/>
      <c r="E7" s="413"/>
      <c r="F7" s="412"/>
      <c r="G7" s="412"/>
      <c r="H7" s="412"/>
      <c r="I7" s="412"/>
      <c r="J7" s="412"/>
      <c r="K7" s="412"/>
      <c r="L7" s="412"/>
      <c r="M7" s="412"/>
      <c r="N7" s="412"/>
      <c r="O7" s="412"/>
      <c r="P7" s="414"/>
    </row>
    <row r="8" spans="1:16" s="84" customFormat="1" ht="15.75" x14ac:dyDescent="0.2">
      <c r="A8" s="89"/>
      <c r="B8" s="425"/>
      <c r="C8" s="426" t="s">
        <v>64</v>
      </c>
      <c r="D8" s="426" t="s">
        <v>150</v>
      </c>
      <c r="E8" s="426" t="s">
        <v>172</v>
      </c>
      <c r="F8" s="426" t="s">
        <v>241</v>
      </c>
      <c r="G8" s="426" t="s">
        <v>268</v>
      </c>
      <c r="H8" s="426" t="s">
        <v>269</v>
      </c>
      <c r="I8" s="426" t="s">
        <v>270</v>
      </c>
      <c r="J8" s="426" t="s">
        <v>271</v>
      </c>
      <c r="K8" s="426" t="s">
        <v>272</v>
      </c>
      <c r="L8" s="426" t="s">
        <v>273</v>
      </c>
      <c r="M8" s="426" t="s">
        <v>274</v>
      </c>
      <c r="N8" s="426" t="s">
        <v>275</v>
      </c>
      <c r="O8" s="507"/>
    </row>
    <row r="9" spans="1:16" s="84" customFormat="1" ht="15.75" x14ac:dyDescent="0.15">
      <c r="A9" s="89"/>
      <c r="B9" s="425"/>
      <c r="C9" s="426" t="s">
        <v>417</v>
      </c>
      <c r="D9" s="97" t="str">
        <f>INDEX(Vectors[Description], MATCH(XVI.b.Inputs[Vector], Vectors[Code], 0))</f>
        <v>Coal oversupply (imports)</v>
      </c>
      <c r="E9" s="426"/>
      <c r="F9" s="784">
        <f t="shared" ref="F9:N11" ca="1" si="0">INDEX(INDIRECT("'"&amp;F$8&amp;"'!Year.NetBalance"), MATCH($C9, INDIRECT("'"&amp;F$8&amp;"'!Year.Vectors"), 0))</f>
        <v>8.5753578045170311</v>
      </c>
      <c r="G9" s="784">
        <f t="shared" ca="1" si="0"/>
        <v>9.2489934300115078</v>
      </c>
      <c r="H9" s="784">
        <f t="shared" ca="1" si="0"/>
        <v>-12.802967336492252</v>
      </c>
      <c r="I9" s="784">
        <f t="shared" ca="1" si="0"/>
        <v>-99.490481574213163</v>
      </c>
      <c r="J9" s="784">
        <f t="shared" ca="1" si="0"/>
        <v>-242.6342134525816</v>
      </c>
      <c r="K9" s="784">
        <f t="shared" ca="1" si="0"/>
        <v>-456.82081828929068</v>
      </c>
      <c r="L9" s="784">
        <f t="shared" ca="1" si="0"/>
        <v>-684.75114808733497</v>
      </c>
      <c r="M9" s="784">
        <f t="shared" ca="1" si="0"/>
        <v>-910.97441071750291</v>
      </c>
      <c r="N9" s="784">
        <f t="shared" ca="1" si="0"/>
        <v>-1137.326775284753</v>
      </c>
      <c r="O9" s="507"/>
    </row>
    <row r="10" spans="1:16" s="84" customFormat="1" ht="15.75" x14ac:dyDescent="0.15">
      <c r="A10" s="89"/>
      <c r="B10" s="425"/>
      <c r="C10" s="426" t="s">
        <v>418</v>
      </c>
      <c r="D10" s="97" t="str">
        <f>INDEX(Vectors[Description], MATCH(XVI.b.Inputs[Vector], Vectors[Code], 0))</f>
        <v>Oil and petroleum products oversupply (imports)</v>
      </c>
      <c r="E10" s="426"/>
      <c r="F10" s="784">
        <f t="shared" ca="1" si="0"/>
        <v>1157.6931375681877</v>
      </c>
      <c r="G10" s="784">
        <f t="shared" ca="1" si="0"/>
        <v>1149.7344121527788</v>
      </c>
      <c r="H10" s="784">
        <f t="shared" ca="1" si="0"/>
        <v>1227.1576089524019</v>
      </c>
      <c r="I10" s="784">
        <f t="shared" ca="1" si="0"/>
        <v>1249.7383851892039</v>
      </c>
      <c r="J10" s="784">
        <f t="shared" ca="1" si="0"/>
        <v>1236.8760812278265</v>
      </c>
      <c r="K10" s="784">
        <f t="shared" ca="1" si="0"/>
        <v>1218.9427494342538</v>
      </c>
      <c r="L10" s="784">
        <f t="shared" ca="1" si="0"/>
        <v>1209.0359722031728</v>
      </c>
      <c r="M10" s="784">
        <f t="shared" ca="1" si="0"/>
        <v>1200.1404622232553</v>
      </c>
      <c r="N10" s="784">
        <f t="shared" ca="1" si="0"/>
        <v>1194.23446134643</v>
      </c>
      <c r="O10" s="507"/>
    </row>
    <row r="11" spans="1:16" s="84" customFormat="1" ht="18" customHeight="1" x14ac:dyDescent="0.15">
      <c r="A11" s="89"/>
      <c r="B11" s="425"/>
      <c r="C11" s="97" t="s">
        <v>419</v>
      </c>
      <c r="D11" s="97" t="str">
        <f>INDEX(Vectors[Description], MATCH(XVI.b.Inputs[Vector], Vectors[Code], 0))</f>
        <v>Gas oversupply (imports)</v>
      </c>
      <c r="E11" s="97"/>
      <c r="F11" s="784">
        <f t="shared" ca="1" si="0"/>
        <v>711.34280526370412</v>
      </c>
      <c r="G11" s="784">
        <f t="shared" ca="1" si="0"/>
        <v>801.22020347427303</v>
      </c>
      <c r="H11" s="784">
        <f t="shared" ca="1" si="0"/>
        <v>752.15463096912265</v>
      </c>
      <c r="I11" s="784">
        <f t="shared" ca="1" si="0"/>
        <v>812.12413603411949</v>
      </c>
      <c r="J11" s="784">
        <f t="shared" ca="1" si="0"/>
        <v>796.25859949857295</v>
      </c>
      <c r="K11" s="784">
        <f t="shared" ca="1" si="0"/>
        <v>737.01762134814498</v>
      </c>
      <c r="L11" s="784">
        <f t="shared" ca="1" si="0"/>
        <v>680.10495621215239</v>
      </c>
      <c r="M11" s="784">
        <f t="shared" ca="1" si="0"/>
        <v>630.16605326473041</v>
      </c>
      <c r="N11" s="784">
        <f t="shared" ca="1" si="0"/>
        <v>580.45941618119616</v>
      </c>
      <c r="O11" s="429"/>
    </row>
    <row r="12" spans="1:16" s="84" customFormat="1" ht="18" customHeight="1" x14ac:dyDescent="0.15">
      <c r="A12" s="89"/>
      <c r="B12" s="425"/>
      <c r="C12" s="97"/>
      <c r="D12" s="97"/>
      <c r="E12" s="97"/>
      <c r="F12" s="784"/>
      <c r="G12" s="784"/>
      <c r="H12" s="784"/>
      <c r="I12" s="784"/>
      <c r="J12" s="784"/>
      <c r="K12" s="784"/>
      <c r="L12" s="784"/>
      <c r="M12" s="784"/>
      <c r="N12" s="784"/>
      <c r="O12" s="784"/>
      <c r="P12" s="429"/>
    </row>
    <row r="13" spans="1:16" s="84" customFormat="1" ht="18" customHeight="1" x14ac:dyDescent="0.15">
      <c r="A13" s="89"/>
      <c r="B13" s="425"/>
      <c r="C13" s="778" t="s">
        <v>1475</v>
      </c>
      <c r="D13" s="97"/>
      <c r="E13" s="97"/>
      <c r="F13" s="784"/>
      <c r="G13" s="784"/>
      <c r="H13" s="784"/>
      <c r="I13" s="784"/>
      <c r="J13" s="784"/>
      <c r="K13" s="784"/>
      <c r="L13" s="784"/>
      <c r="M13" s="784"/>
      <c r="N13" s="784"/>
      <c r="O13" s="784"/>
      <c r="P13" s="429"/>
    </row>
    <row r="14" spans="1:16" s="84" customFormat="1" ht="18" customHeight="1" x14ac:dyDescent="0.2">
      <c r="A14" s="89"/>
      <c r="B14" s="425"/>
      <c r="C14" s="1402" t="s">
        <v>64</v>
      </c>
      <c r="D14" s="1402" t="s">
        <v>150</v>
      </c>
      <c r="E14" s="1402" t="s">
        <v>172</v>
      </c>
      <c r="F14" s="1402" t="s">
        <v>241</v>
      </c>
      <c r="G14" s="1402" t="s">
        <v>268</v>
      </c>
      <c r="H14" s="1402" t="s">
        <v>269</v>
      </c>
      <c r="I14" s="1402" t="s">
        <v>270</v>
      </c>
      <c r="J14" s="1402" t="s">
        <v>271</v>
      </c>
      <c r="K14" s="1402" t="s">
        <v>272</v>
      </c>
      <c r="L14" s="1402" t="s">
        <v>273</v>
      </c>
      <c r="M14" s="1402" t="s">
        <v>274</v>
      </c>
      <c r="N14" s="1402" t="s">
        <v>275</v>
      </c>
      <c r="O14" s="429"/>
    </row>
    <row r="15" spans="1:16" s="84" customFormat="1" ht="18" customHeight="1" x14ac:dyDescent="0.15">
      <c r="A15" s="89"/>
      <c r="B15" s="425"/>
      <c r="C15" s="426" t="s">
        <v>6</v>
      </c>
      <c r="D15" s="97" t="str">
        <f>INDEX(Vectors[Description], MATCH(Table[Vector], Vectors[Code], 0))</f>
        <v>Nuclear fission</v>
      </c>
      <c r="E15" s="426"/>
      <c r="F15" s="1403">
        <f t="shared" ref="F15:N15" ca="1" si="1">INDEX(INDIRECT("'"&amp;F$8&amp;"'!Year.NetBalance"), MATCH($C15, INDIRECT("'"&amp;F$8&amp;"'!Year.Vectors"), 0))</f>
        <v>0</v>
      </c>
      <c r="G15" s="1403">
        <f t="shared" ca="1" si="1"/>
        <v>0</v>
      </c>
      <c r="H15" s="1403">
        <f t="shared" ca="1" si="1"/>
        <v>0</v>
      </c>
      <c r="I15" s="1403">
        <f t="shared" ca="1" si="1"/>
        <v>-21.428000000000004</v>
      </c>
      <c r="J15" s="1403">
        <f t="shared" ca="1" si="1"/>
        <v>-40.713200000000001</v>
      </c>
      <c r="K15" s="1403">
        <f t="shared" ca="1" si="1"/>
        <v>-79.283600000000021</v>
      </c>
      <c r="L15" s="1403">
        <f t="shared" ca="1" si="1"/>
        <v>-152.13880000000003</v>
      </c>
      <c r="M15" s="1403">
        <f t="shared" ca="1" si="1"/>
        <v>-293.56360000000006</v>
      </c>
      <c r="N15" s="1403">
        <f t="shared" ca="1" si="1"/>
        <v>-567.8420000000001</v>
      </c>
      <c r="O15" s="429"/>
    </row>
    <row r="16" spans="1:16" s="84" customFormat="1" ht="18" customHeight="1" x14ac:dyDescent="0.15">
      <c r="A16" s="89"/>
      <c r="B16" s="425"/>
      <c r="C16" s="97"/>
      <c r="D16" s="97"/>
      <c r="E16" s="97"/>
      <c r="F16" s="784"/>
      <c r="G16" s="784"/>
      <c r="H16" s="784"/>
      <c r="I16" s="784"/>
      <c r="J16" s="784"/>
      <c r="K16" s="784"/>
      <c r="L16" s="784"/>
      <c r="M16" s="784"/>
      <c r="N16" s="784"/>
      <c r="O16" s="784"/>
      <c r="P16" s="429"/>
    </row>
    <row r="17" spans="1:16" s="84" customFormat="1" ht="18" customHeight="1" x14ac:dyDescent="0.2">
      <c r="A17" s="89"/>
      <c r="B17" s="425"/>
      <c r="C17" s="97"/>
      <c r="D17" s="1376" t="s">
        <v>1430</v>
      </c>
      <c r="E17" s="97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429"/>
    </row>
    <row r="19" spans="1:16" s="84" customFormat="1" ht="22.5" x14ac:dyDescent="0.2">
      <c r="A19" s="408"/>
      <c r="B19" s="472" t="s">
        <v>1417</v>
      </c>
      <c r="C19" s="405"/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N19" s="405"/>
      <c r="O19" s="405"/>
      <c r="P19" s="34"/>
    </row>
    <row r="20" spans="1:16" x14ac:dyDescent="0.2">
      <c r="B20" s="1419"/>
      <c r="C20" s="1416"/>
      <c r="D20" s="1416"/>
      <c r="E20" s="1416"/>
      <c r="F20" s="1416"/>
      <c r="G20" s="1416"/>
      <c r="H20" s="1416"/>
      <c r="I20" s="1416"/>
      <c r="J20" s="1416"/>
      <c r="K20" s="1416"/>
      <c r="L20" s="1416"/>
      <c r="M20" s="1416"/>
      <c r="N20" s="1416"/>
      <c r="O20" s="1420"/>
      <c r="P20" s="2112"/>
    </row>
    <row r="21" spans="1:16" ht="12.75" customHeight="1" x14ac:dyDescent="0.2">
      <c r="B21" s="1419"/>
      <c r="C21" s="2063" t="s">
        <v>1943</v>
      </c>
      <c r="D21" s="1904"/>
      <c r="E21" s="2063" t="s">
        <v>1321</v>
      </c>
      <c r="F21" s="1844">
        <v>2010</v>
      </c>
      <c r="G21" s="1844">
        <v>2015</v>
      </c>
      <c r="H21" s="1844">
        <v>2020</v>
      </c>
      <c r="I21" s="1844">
        <v>2025</v>
      </c>
      <c r="J21" s="1844">
        <v>2030</v>
      </c>
      <c r="K21" s="1844">
        <v>2035</v>
      </c>
      <c r="L21" s="1844">
        <v>2040</v>
      </c>
      <c r="M21" s="1844">
        <v>2045</v>
      </c>
      <c r="N21" s="1844">
        <v>2050</v>
      </c>
      <c r="O21" s="1420"/>
      <c r="P21" s="2256"/>
    </row>
    <row r="22" spans="1:16" x14ac:dyDescent="0.2">
      <c r="B22" s="1419"/>
      <c r="C22" s="1904" t="s">
        <v>894</v>
      </c>
      <c r="D22" s="1962" t="s">
        <v>1831</v>
      </c>
      <c r="E22" s="1904">
        <f>(J22-F22)/(J$21-F$21)</f>
        <v>3.1</v>
      </c>
      <c r="F22" s="2118">
        <v>93</v>
      </c>
      <c r="G22" s="2119">
        <f t="shared" ref="G22:I24" si="2">F22+(G$21-F$21)*$E22</f>
        <v>108.5</v>
      </c>
      <c r="H22" s="2119">
        <f t="shared" si="2"/>
        <v>124</v>
      </c>
      <c r="I22" s="2119">
        <f t="shared" si="2"/>
        <v>139.5</v>
      </c>
      <c r="J22" s="2062">
        <v>155</v>
      </c>
      <c r="K22" s="2062">
        <v>155</v>
      </c>
      <c r="L22" s="2062">
        <v>155</v>
      </c>
      <c r="M22" s="2062">
        <v>155</v>
      </c>
      <c r="N22" s="2062">
        <v>155</v>
      </c>
      <c r="O22" s="1420"/>
      <c r="P22" s="2256"/>
    </row>
    <row r="23" spans="1:16" x14ac:dyDescent="0.2">
      <c r="B23" s="1419"/>
      <c r="C23" s="1416" t="s">
        <v>1886</v>
      </c>
      <c r="D23" s="760" t="s">
        <v>1831</v>
      </c>
      <c r="E23" s="1416">
        <f>(J23-F23)/(J$21-F$21)</f>
        <v>0.85</v>
      </c>
      <c r="F23" s="2120">
        <v>93</v>
      </c>
      <c r="G23" s="2121">
        <f t="shared" si="2"/>
        <v>97.25</v>
      </c>
      <c r="H23" s="2121">
        <f t="shared" si="2"/>
        <v>101.5</v>
      </c>
      <c r="I23" s="2121">
        <f t="shared" si="2"/>
        <v>105.75</v>
      </c>
      <c r="J23" s="176">
        <v>110</v>
      </c>
      <c r="K23" s="176">
        <v>110</v>
      </c>
      <c r="L23" s="176">
        <v>110</v>
      </c>
      <c r="M23" s="176">
        <v>110</v>
      </c>
      <c r="N23" s="176">
        <v>110</v>
      </c>
      <c r="O23" s="1420"/>
      <c r="P23" s="2256"/>
    </row>
    <row r="24" spans="1:16" x14ac:dyDescent="0.2">
      <c r="B24" s="1419"/>
      <c r="C24" s="1416" t="s">
        <v>893</v>
      </c>
      <c r="D24" s="760" t="s">
        <v>1831</v>
      </c>
      <c r="E24" s="1416">
        <f>(J24-F24)/(J$21-F$21)</f>
        <v>-0.65</v>
      </c>
      <c r="F24" s="2120">
        <v>93</v>
      </c>
      <c r="G24" s="2121">
        <f t="shared" si="2"/>
        <v>89.75</v>
      </c>
      <c r="H24" s="2121">
        <f t="shared" si="2"/>
        <v>86.5</v>
      </c>
      <c r="I24" s="2121">
        <f t="shared" si="2"/>
        <v>83.25</v>
      </c>
      <c r="J24" s="176">
        <v>80</v>
      </c>
      <c r="K24" s="176">
        <v>80</v>
      </c>
      <c r="L24" s="176">
        <v>80</v>
      </c>
      <c r="M24" s="176">
        <v>80</v>
      </c>
      <c r="N24" s="176">
        <v>80</v>
      </c>
      <c r="O24" s="1416"/>
      <c r="P24" s="2256"/>
    </row>
    <row r="25" spans="1:16" x14ac:dyDescent="0.2">
      <c r="B25" s="1419"/>
      <c r="C25" s="1416"/>
      <c r="D25" s="1416"/>
      <c r="E25" s="1416">
        <f ca="1">(N25-F25)/(N$107-F$107)</f>
        <v>0</v>
      </c>
      <c r="F25" s="1416"/>
      <c r="G25" s="176"/>
      <c r="H25" s="176"/>
      <c r="I25" s="176"/>
      <c r="J25" s="176"/>
      <c r="K25" s="176"/>
      <c r="L25" s="176"/>
      <c r="M25" s="176"/>
      <c r="N25" s="1416"/>
      <c r="O25" s="1416"/>
      <c r="P25" s="2256"/>
    </row>
    <row r="26" spans="1:16" s="1401" customFormat="1" x14ac:dyDescent="0.2">
      <c r="B26" s="1419"/>
      <c r="C26" s="1416" t="s">
        <v>894</v>
      </c>
      <c r="D26" s="1416" t="str">
        <f>Preferences.moneyunits&amp;"/"&amp;Preferences.EnergyUnits</f>
        <v>N/TWh</v>
      </c>
      <c r="E26" s="954">
        <f>(J26-F26)/(J$21-F$21)</f>
        <v>105804301.16107948</v>
      </c>
      <c r="F26" s="954">
        <f>(F22*(USD2010_/(Constants.GCV.Coal*1000)))</f>
        <v>3377405540.4380593</v>
      </c>
      <c r="G26" s="2729">
        <f t="shared" ref="G26:I28" si="3">F26+(G$21-F$21)*$E26</f>
        <v>3906427046.2434568</v>
      </c>
      <c r="H26" s="2729">
        <f t="shared" si="3"/>
        <v>4435448552.0488539</v>
      </c>
      <c r="I26" s="2729">
        <f t="shared" si="3"/>
        <v>4964470057.8542509</v>
      </c>
      <c r="J26" s="954">
        <f t="shared" ref="J26:M28" si="4">(J22*(USD2010_/(Constants.GCV.Coal*1000)))*(Price2011)</f>
        <v>5493491563.6596489</v>
      </c>
      <c r="K26" s="954">
        <f t="shared" si="4"/>
        <v>5493491563.6596489</v>
      </c>
      <c r="L26" s="954">
        <f t="shared" si="4"/>
        <v>5493491563.6596489</v>
      </c>
      <c r="M26" s="954">
        <f t="shared" si="4"/>
        <v>5493491563.6596489</v>
      </c>
      <c r="N26" s="954">
        <f>(N22*(USD2010_/(Constants.GCV.Coal*1000)))</f>
        <v>5629009234.0634327</v>
      </c>
      <c r="O26" s="1416"/>
      <c r="P26" s="2256"/>
    </row>
    <row r="27" spans="1:16" s="2061" customFormat="1" x14ac:dyDescent="0.2">
      <c r="B27" s="1419"/>
      <c r="C27" s="1416" t="s">
        <v>1886</v>
      </c>
      <c r="D27" s="1416" t="str">
        <f>Preferences.moneyunits&amp;"/"&amp;Preferences.EnergyUnits</f>
        <v>N/TWh</v>
      </c>
      <c r="E27" s="954">
        <f>(J27-F27)/(J$21-F$21)</f>
        <v>26060068.78537488</v>
      </c>
      <c r="F27" s="954">
        <f>(F23*(USD2010_/(Constants.GCV.Coal*1000)))</f>
        <v>3377405540.4380593</v>
      </c>
      <c r="G27" s="2729">
        <f t="shared" si="3"/>
        <v>3507705884.364934</v>
      </c>
      <c r="H27" s="2729">
        <f t="shared" si="3"/>
        <v>3638006228.2918081</v>
      </c>
      <c r="I27" s="2729">
        <f t="shared" si="3"/>
        <v>3768306572.2186823</v>
      </c>
      <c r="J27" s="954">
        <f t="shared" si="4"/>
        <v>3898606916.1455569</v>
      </c>
      <c r="K27" s="954">
        <f t="shared" si="4"/>
        <v>3898606916.1455569</v>
      </c>
      <c r="L27" s="954">
        <f t="shared" si="4"/>
        <v>3898606916.1455569</v>
      </c>
      <c r="M27" s="954">
        <f t="shared" si="4"/>
        <v>3898606916.1455569</v>
      </c>
      <c r="N27" s="954">
        <f>(N23*(USD2010_/(Constants.GCV.Coal*1000)))</f>
        <v>3994780746.754694</v>
      </c>
      <c r="O27" s="1416"/>
      <c r="P27" s="2256"/>
    </row>
    <row r="28" spans="1:16" s="2061" customFormat="1" x14ac:dyDescent="0.2">
      <c r="B28" s="1419"/>
      <c r="C28" s="524" t="s">
        <v>893</v>
      </c>
      <c r="D28" s="524" t="str">
        <f>Preferences.moneyunits&amp;"/"&amp;Preferences.EnergyUnits</f>
        <v>N/TWh</v>
      </c>
      <c r="E28" s="955">
        <f>(J28-F28)/(J$21-F$21)</f>
        <v>-27102752.798428178</v>
      </c>
      <c r="F28" s="955">
        <f>(F24*(USD2010_/(Constants.GCV.Coal*1000)))</f>
        <v>3377405540.4380593</v>
      </c>
      <c r="G28" s="2730">
        <f t="shared" si="3"/>
        <v>3241891776.4459186</v>
      </c>
      <c r="H28" s="2730">
        <f t="shared" si="3"/>
        <v>3106378012.4537778</v>
      </c>
      <c r="I28" s="2730">
        <f t="shared" si="3"/>
        <v>2970864248.461637</v>
      </c>
      <c r="J28" s="955">
        <f t="shared" si="4"/>
        <v>2835350484.4694958</v>
      </c>
      <c r="K28" s="955">
        <f t="shared" si="4"/>
        <v>2835350484.4694958</v>
      </c>
      <c r="L28" s="955">
        <f t="shared" si="4"/>
        <v>2835350484.4694958</v>
      </c>
      <c r="M28" s="955">
        <f t="shared" si="4"/>
        <v>2835350484.4694958</v>
      </c>
      <c r="N28" s="955">
        <f>(N24*(USD2010_/(Constants.GCV.Coal*1000)))</f>
        <v>2905295088.5488682</v>
      </c>
      <c r="O28" s="1416"/>
      <c r="P28" s="2256"/>
    </row>
    <row r="29" spans="1:16" s="2061" customFormat="1" x14ac:dyDescent="0.2">
      <c r="B29" s="1377"/>
      <c r="C29" s="1377"/>
      <c r="D29" s="1377"/>
      <c r="E29" s="1377"/>
      <c r="F29" s="1377"/>
      <c r="G29" s="1377"/>
      <c r="H29" s="1377"/>
      <c r="I29" s="1377"/>
      <c r="J29" s="1377"/>
      <c r="K29" s="1377"/>
      <c r="L29" s="1377"/>
      <c r="M29" s="1377"/>
      <c r="N29" s="1377"/>
      <c r="O29" s="1377"/>
      <c r="P29" s="2256"/>
    </row>
    <row r="30" spans="1:16" s="2061" customFormat="1" x14ac:dyDescent="0.2">
      <c r="B30" s="1377"/>
      <c r="C30" s="2063" t="s">
        <v>1944</v>
      </c>
      <c r="D30" s="1904"/>
      <c r="E30" s="2063" t="s">
        <v>1321</v>
      </c>
      <c r="F30" s="1844">
        <v>2010</v>
      </c>
      <c r="G30" s="1844">
        <v>2015</v>
      </c>
      <c r="H30" s="1844">
        <v>2020</v>
      </c>
      <c r="I30" s="1844">
        <v>2025</v>
      </c>
      <c r="J30" s="1844">
        <v>2030</v>
      </c>
      <c r="K30" s="1844">
        <v>2035</v>
      </c>
      <c r="L30" s="1844">
        <v>2040</v>
      </c>
      <c r="M30" s="1844">
        <v>2045</v>
      </c>
      <c r="N30" s="1844">
        <v>2050</v>
      </c>
      <c r="O30" s="1377"/>
      <c r="P30" s="2256"/>
    </row>
    <row r="31" spans="1:16" s="2061" customFormat="1" x14ac:dyDescent="0.2">
      <c r="B31" s="1419"/>
      <c r="C31" s="1904" t="s">
        <v>894</v>
      </c>
      <c r="D31" s="1962" t="s">
        <v>1431</v>
      </c>
      <c r="E31" s="2107">
        <f>(J31-F31)/(J$30-F$30)</f>
        <v>4.4000000000000004</v>
      </c>
      <c r="F31" s="2119">
        <v>82</v>
      </c>
      <c r="G31" s="2119">
        <f t="shared" ref="G31:I33" si="5">$E31*(H$116-G$116)+F31</f>
        <v>82</v>
      </c>
      <c r="H31" s="2119">
        <f t="shared" si="5"/>
        <v>82</v>
      </c>
      <c r="I31" s="2119">
        <f t="shared" si="5"/>
        <v>82</v>
      </c>
      <c r="J31" s="2119">
        <v>170</v>
      </c>
      <c r="K31" s="2119">
        <v>170</v>
      </c>
      <c r="L31" s="2062">
        <v>170</v>
      </c>
      <c r="M31" s="2062">
        <v>170</v>
      </c>
      <c r="N31" s="2062">
        <v>170</v>
      </c>
      <c r="O31" s="1416"/>
      <c r="P31" s="2256"/>
    </row>
    <row r="32" spans="1:16" s="2061" customFormat="1" x14ac:dyDescent="0.2">
      <c r="B32" s="1419"/>
      <c r="C32" s="1416" t="s">
        <v>1886</v>
      </c>
      <c r="D32" s="760" t="s">
        <v>1431</v>
      </c>
      <c r="E32" s="2106">
        <f>(J32-F32)/(J$30-F$30)</f>
        <v>2.4</v>
      </c>
      <c r="F32" s="2121">
        <v>82</v>
      </c>
      <c r="G32" s="2121">
        <f t="shared" si="5"/>
        <v>82</v>
      </c>
      <c r="H32" s="2121">
        <f t="shared" si="5"/>
        <v>82</v>
      </c>
      <c r="I32" s="2121">
        <f t="shared" si="5"/>
        <v>82</v>
      </c>
      <c r="J32" s="2121">
        <v>130</v>
      </c>
      <c r="K32" s="2121">
        <v>130</v>
      </c>
      <c r="L32" s="176">
        <v>130</v>
      </c>
      <c r="M32" s="176">
        <v>130</v>
      </c>
      <c r="N32" s="176">
        <v>130</v>
      </c>
      <c r="O32" s="1416"/>
      <c r="P32" s="2256"/>
    </row>
    <row r="33" spans="2:16" s="2061" customFormat="1" x14ac:dyDescent="0.2">
      <c r="B33" s="1377"/>
      <c r="C33" s="1416" t="s">
        <v>893</v>
      </c>
      <c r="D33" s="760" t="s">
        <v>1431</v>
      </c>
      <c r="E33" s="2106">
        <f>(J33-F33)/(J$30-F$30)</f>
        <v>-0.35</v>
      </c>
      <c r="F33" s="2121">
        <v>82</v>
      </c>
      <c r="G33" s="2121">
        <f t="shared" si="5"/>
        <v>82</v>
      </c>
      <c r="H33" s="2121">
        <f t="shared" si="5"/>
        <v>82</v>
      </c>
      <c r="I33" s="2121">
        <f t="shared" si="5"/>
        <v>82</v>
      </c>
      <c r="J33" s="2121">
        <v>75</v>
      </c>
      <c r="K33" s="2121">
        <v>75</v>
      </c>
      <c r="L33" s="176">
        <v>75</v>
      </c>
      <c r="M33" s="176">
        <v>75</v>
      </c>
      <c r="N33" s="176">
        <v>75</v>
      </c>
      <c r="O33" s="1377"/>
      <c r="P33" s="2256"/>
    </row>
    <row r="34" spans="2:16" s="2061" customFormat="1" x14ac:dyDescent="0.2">
      <c r="B34" s="1377"/>
      <c r="C34" s="1416"/>
      <c r="D34" s="1416"/>
      <c r="E34" s="2106"/>
      <c r="F34" s="1416"/>
      <c r="G34" s="176"/>
      <c r="H34" s="176"/>
      <c r="I34" s="176"/>
      <c r="J34" s="176"/>
      <c r="K34" s="176"/>
      <c r="L34" s="176"/>
      <c r="M34" s="176"/>
      <c r="N34" s="1416"/>
      <c r="O34" s="1377"/>
      <c r="P34" s="2256"/>
    </row>
    <row r="35" spans="2:16" s="2061" customFormat="1" x14ac:dyDescent="0.2">
      <c r="B35" s="1377"/>
      <c r="C35" s="1416" t="s">
        <v>894</v>
      </c>
      <c r="D35" s="1416" t="str">
        <f>Preferences.moneyunits&amp;"/"&amp;Preferences.EnergyUnits</f>
        <v>N/TWh</v>
      </c>
      <c r="E35" s="954">
        <f>(J35-F35)/(J$30-F$30)</f>
        <v>416670135.90093577</v>
      </c>
      <c r="F35" s="954">
        <f>(F31*(USD2010_/Unit.boe))</f>
        <v>8143978548.8399553</v>
      </c>
      <c r="G35" s="2729">
        <f t="shared" ref="G35:I37" si="6">F35+(G$30-F$30)*$E35</f>
        <v>10227329228.344635</v>
      </c>
      <c r="H35" s="2729">
        <f t="shared" si="6"/>
        <v>12310679907.849314</v>
      </c>
      <c r="I35" s="2729">
        <f t="shared" si="6"/>
        <v>14394030587.353992</v>
      </c>
      <c r="J35" s="954">
        <f t="shared" ref="J35:M36" si="7">(J31*(USD2010_/Unit.boe))*(Price2011)</f>
        <v>16477381266.858671</v>
      </c>
      <c r="K35" s="954">
        <f t="shared" si="7"/>
        <v>16477381266.858671</v>
      </c>
      <c r="L35" s="954">
        <f t="shared" si="7"/>
        <v>16477381266.858671</v>
      </c>
      <c r="M35" s="954">
        <f t="shared" si="7"/>
        <v>16477381266.858671</v>
      </c>
      <c r="N35" s="954">
        <f>(N31*(USD2010_/Unit.boe))</f>
        <v>16883857967.107224</v>
      </c>
      <c r="O35" s="1377"/>
      <c r="P35" s="2256"/>
    </row>
    <row r="36" spans="2:16" s="2061" customFormat="1" x14ac:dyDescent="0.2">
      <c r="B36" s="1377"/>
      <c r="C36" s="1416" t="s">
        <v>1886</v>
      </c>
      <c r="D36" s="1416" t="str">
        <f>Preferences.moneyunits&amp;"/"&amp;Preferences.EnergyUnits</f>
        <v>N/TWh</v>
      </c>
      <c r="E36" s="954">
        <f>(J36-F36)/(J$30-F$30)</f>
        <v>222818591.58495134</v>
      </c>
      <c r="F36" s="954">
        <f>(F32*(USD2010_/Unit.boe))</f>
        <v>8143978548.8399553</v>
      </c>
      <c r="G36" s="2729">
        <f t="shared" si="6"/>
        <v>9258071506.7647114</v>
      </c>
      <c r="H36" s="2729">
        <f t="shared" si="6"/>
        <v>10372164464.689468</v>
      </c>
      <c r="I36" s="2729">
        <f t="shared" si="6"/>
        <v>11486257422.614225</v>
      </c>
      <c r="J36" s="954">
        <f t="shared" si="7"/>
        <v>12600350380.538982</v>
      </c>
      <c r="K36" s="954">
        <f t="shared" si="7"/>
        <v>12600350380.538982</v>
      </c>
      <c r="L36" s="954">
        <f t="shared" si="7"/>
        <v>12600350380.538982</v>
      </c>
      <c r="M36" s="954">
        <f t="shared" si="7"/>
        <v>12600350380.538982</v>
      </c>
      <c r="N36" s="954">
        <f>(N32*(USD2010_/Unit.boe))</f>
        <v>12911185504.258465</v>
      </c>
      <c r="O36" s="1377"/>
      <c r="P36" s="2256"/>
    </row>
    <row r="37" spans="2:16" s="2061" customFormat="1" x14ac:dyDescent="0.2">
      <c r="B37" s="1377"/>
      <c r="C37" s="524" t="s">
        <v>893</v>
      </c>
      <c r="D37" s="524" t="str">
        <f>Preferences.moneyunits&amp;"/"&amp;Preferences.EnergyUnits</f>
        <v>N/TWh</v>
      </c>
      <c r="E37" s="955">
        <f>(J37-F37)/(J$30-F$30)</f>
        <v>-43727281.849527076</v>
      </c>
      <c r="F37" s="955">
        <f>(F33*(USD2010_/Unit.boe))</f>
        <v>8143978548.8399553</v>
      </c>
      <c r="G37" s="2730">
        <f t="shared" si="6"/>
        <v>7925342139.5923195</v>
      </c>
      <c r="H37" s="2730">
        <f t="shared" si="6"/>
        <v>7706705730.3446846</v>
      </c>
      <c r="I37" s="2730">
        <f t="shared" si="6"/>
        <v>7488069321.0970497</v>
      </c>
      <c r="J37" s="955">
        <f>(J33*(USD2010_/Unit.boe))*(Price2011)</f>
        <v>7269432911.8494139</v>
      </c>
      <c r="K37" s="955">
        <f>(K33*(USD2010_/Unit.boe))*(Price2011)</f>
        <v>7269432911.8494139</v>
      </c>
      <c r="L37" s="955">
        <f>(L33*(USD2010_/Unit.boe))*(Price2011)</f>
        <v>7269432911.8494139</v>
      </c>
      <c r="M37" s="955">
        <f>(M33*(USD2010_/Unit.boe))*(Price2011)</f>
        <v>7269432911.8494139</v>
      </c>
      <c r="N37" s="955">
        <f>(N33*(USD2010_/Unit.boe))</f>
        <v>7448760867.841423</v>
      </c>
      <c r="O37" s="1377"/>
      <c r="P37" s="2256"/>
    </row>
    <row r="38" spans="2:16" s="2061" customFormat="1" x14ac:dyDescent="0.2">
      <c r="B38" s="1377"/>
      <c r="C38" s="1377"/>
      <c r="D38" s="1377"/>
      <c r="E38" s="1377"/>
      <c r="F38" s="1377"/>
      <c r="G38" s="1377"/>
      <c r="H38" s="1377"/>
      <c r="I38" s="1377"/>
      <c r="J38" s="1377"/>
      <c r="K38" s="1377"/>
      <c r="L38" s="1377"/>
      <c r="M38" s="1377"/>
      <c r="N38" s="1377"/>
      <c r="O38" s="1377"/>
      <c r="P38" s="2256"/>
    </row>
    <row r="39" spans="2:16" s="2061" customFormat="1" x14ac:dyDescent="0.2">
      <c r="B39" s="1377"/>
      <c r="C39" s="2063" t="s">
        <v>1945</v>
      </c>
      <c r="D39" s="1904"/>
      <c r="E39" s="2063" t="s">
        <v>1321</v>
      </c>
      <c r="F39" s="1844">
        <v>2010</v>
      </c>
      <c r="G39" s="1844">
        <v>2015</v>
      </c>
      <c r="H39" s="1844">
        <v>2020</v>
      </c>
      <c r="I39" s="1844">
        <v>2025</v>
      </c>
      <c r="J39" s="1844">
        <v>2030</v>
      </c>
      <c r="K39" s="1844">
        <v>2035</v>
      </c>
      <c r="L39" s="1844">
        <v>2040</v>
      </c>
      <c r="M39" s="1844">
        <v>2045</v>
      </c>
      <c r="N39" s="1844">
        <v>2050</v>
      </c>
      <c r="O39" s="1377"/>
      <c r="P39" s="2256"/>
    </row>
    <row r="40" spans="2:16" s="2061" customFormat="1" x14ac:dyDescent="0.2">
      <c r="B40" s="1377"/>
      <c r="C40" s="1904" t="s">
        <v>894</v>
      </c>
      <c r="D40" s="1962" t="s">
        <v>1432</v>
      </c>
      <c r="E40" s="2107">
        <f>(J40-F40)/(J$39-F$39)</f>
        <v>2.8</v>
      </c>
      <c r="F40" s="2119">
        <v>44</v>
      </c>
      <c r="G40" s="2119">
        <f t="shared" ref="G40:I42" si="8">F40+(G$39-F$39)*$E40</f>
        <v>58</v>
      </c>
      <c r="H40" s="2119">
        <f t="shared" si="8"/>
        <v>72</v>
      </c>
      <c r="I40" s="2119">
        <f t="shared" si="8"/>
        <v>86</v>
      </c>
      <c r="J40" s="2119">
        <v>100</v>
      </c>
      <c r="K40" s="2119">
        <v>100</v>
      </c>
      <c r="L40" s="2119">
        <v>100</v>
      </c>
      <c r="M40" s="2119">
        <v>100</v>
      </c>
      <c r="N40" s="2119">
        <v>100</v>
      </c>
      <c r="O40" s="1377"/>
      <c r="P40" s="2256"/>
    </row>
    <row r="41" spans="2:16" s="2061" customFormat="1" x14ac:dyDescent="0.2">
      <c r="B41" s="1377"/>
      <c r="C41" s="1416" t="s">
        <v>1886</v>
      </c>
      <c r="D41" s="760" t="s">
        <v>1432</v>
      </c>
      <c r="E41" s="2106">
        <f>(J41-F41)/(J$39-F$39)</f>
        <v>1.3</v>
      </c>
      <c r="F41" s="2007">
        <v>44</v>
      </c>
      <c r="G41" s="2121">
        <f t="shared" si="8"/>
        <v>50.5</v>
      </c>
      <c r="H41" s="2121">
        <f t="shared" si="8"/>
        <v>57</v>
      </c>
      <c r="I41" s="2121">
        <f t="shared" si="8"/>
        <v>63.5</v>
      </c>
      <c r="J41" s="2007">
        <v>70</v>
      </c>
      <c r="K41" s="2007">
        <v>70</v>
      </c>
      <c r="L41" s="2007">
        <v>70</v>
      </c>
      <c r="M41" s="2007">
        <v>70</v>
      </c>
      <c r="N41" s="2007">
        <v>70</v>
      </c>
      <c r="O41" s="1377"/>
      <c r="P41" s="2256"/>
    </row>
    <row r="42" spans="2:16" s="2061" customFormat="1" x14ac:dyDescent="0.2">
      <c r="B42" s="1377"/>
      <c r="C42" s="1416" t="s">
        <v>893</v>
      </c>
      <c r="D42" s="760" t="s">
        <v>1432</v>
      </c>
      <c r="E42" s="2106">
        <f>(J42-F42)/(J$39-F$39)</f>
        <v>0.05</v>
      </c>
      <c r="F42" s="2121">
        <v>44</v>
      </c>
      <c r="G42" s="2121">
        <f t="shared" si="8"/>
        <v>44.25</v>
      </c>
      <c r="H42" s="2121">
        <f t="shared" si="8"/>
        <v>44.5</v>
      </c>
      <c r="I42" s="2121">
        <f t="shared" si="8"/>
        <v>44.75</v>
      </c>
      <c r="J42" s="2121">
        <v>45</v>
      </c>
      <c r="K42" s="2121">
        <v>45</v>
      </c>
      <c r="L42" s="2121">
        <v>45</v>
      </c>
      <c r="M42" s="2121">
        <v>45</v>
      </c>
      <c r="N42" s="2121">
        <v>45</v>
      </c>
      <c r="O42" s="1377"/>
      <c r="P42" s="2256"/>
    </row>
    <row r="43" spans="2:16" s="2061" customFormat="1" x14ac:dyDescent="0.2">
      <c r="B43" s="1377"/>
      <c r="C43" s="1416"/>
      <c r="D43" s="1416"/>
      <c r="E43" s="2106"/>
      <c r="F43" s="2007"/>
      <c r="G43" s="2121"/>
      <c r="H43" s="2121"/>
      <c r="I43" s="2121"/>
      <c r="J43" s="2121"/>
      <c r="K43" s="2121"/>
      <c r="L43" s="2121"/>
      <c r="M43" s="2121"/>
      <c r="N43" s="2007"/>
      <c r="O43" s="1377"/>
      <c r="P43" s="2256"/>
    </row>
    <row r="44" spans="2:16" s="2061" customFormat="1" x14ac:dyDescent="0.2">
      <c r="B44" s="1377"/>
      <c r="C44" s="1416" t="s">
        <v>894</v>
      </c>
      <c r="D44" s="1416" t="str">
        <f>Preferences.moneyunits&amp;"/"&amp;Preferences.EnergyUnits</f>
        <v>N/TWh</v>
      </c>
      <c r="E44" s="954">
        <f>(J44-F44)/(J$39-F$39)</f>
        <v>238848667.23989677</v>
      </c>
      <c r="F44" s="954">
        <f>((F40/100)*(NAIRA2010_/Unit.therm))*250</f>
        <v>3753336199.4840927</v>
      </c>
      <c r="G44" s="2729">
        <f t="shared" ref="G44:I46" si="9">F44+(G$39-F$39)*$E44</f>
        <v>4947579535.6835766</v>
      </c>
      <c r="H44" s="2729">
        <f t="shared" si="9"/>
        <v>6141822871.8830605</v>
      </c>
      <c r="I44" s="2729">
        <f t="shared" si="9"/>
        <v>7336066208.0825443</v>
      </c>
      <c r="J44" s="2729">
        <f t="shared" ref="J44:N45" si="10">((J40/100)*(NAIRA2010_/Unit.therm))*(250)</f>
        <v>8530309544.2820282</v>
      </c>
      <c r="K44" s="2729">
        <f t="shared" si="10"/>
        <v>8530309544.2820282</v>
      </c>
      <c r="L44" s="2729">
        <f t="shared" si="10"/>
        <v>8530309544.2820282</v>
      </c>
      <c r="M44" s="2729">
        <f t="shared" si="10"/>
        <v>8530309544.2820282</v>
      </c>
      <c r="N44" s="954">
        <f t="shared" si="10"/>
        <v>8530309544.2820282</v>
      </c>
      <c r="O44" s="1377"/>
      <c r="P44" s="2256"/>
    </row>
    <row r="45" spans="2:16" s="2061" customFormat="1" x14ac:dyDescent="0.2">
      <c r="B45" s="1377"/>
      <c r="C45" s="1416" t="s">
        <v>1886</v>
      </c>
      <c r="D45" s="1416" t="str">
        <f>Preferences.moneyunits&amp;"/"&amp;Preferences.EnergyUnits</f>
        <v>N/TWh</v>
      </c>
      <c r="E45" s="954">
        <f>(J45-F45)/(J$39-F$39)</f>
        <v>110894024.07566634</v>
      </c>
      <c r="F45" s="954">
        <f>((F41/100)*(NAIRA2010_/Unit.therm))*250</f>
        <v>3753336199.4840927</v>
      </c>
      <c r="G45" s="2729">
        <f t="shared" si="9"/>
        <v>4307806319.8624249</v>
      </c>
      <c r="H45" s="2729">
        <f t="shared" si="9"/>
        <v>4862276440.240757</v>
      </c>
      <c r="I45" s="2729">
        <f t="shared" si="9"/>
        <v>5416746560.6190891</v>
      </c>
      <c r="J45" s="2729">
        <f t="shared" si="10"/>
        <v>5971216680.9974194</v>
      </c>
      <c r="K45" s="2729">
        <f t="shared" si="10"/>
        <v>5971216680.9974194</v>
      </c>
      <c r="L45" s="2729">
        <f t="shared" si="10"/>
        <v>5971216680.9974194</v>
      </c>
      <c r="M45" s="2729">
        <f t="shared" si="10"/>
        <v>5971216680.9974194</v>
      </c>
      <c r="N45" s="954">
        <f t="shared" si="10"/>
        <v>5971216680.9974194</v>
      </c>
      <c r="O45" s="1377"/>
      <c r="P45" s="2256"/>
    </row>
    <row r="46" spans="2:16" s="2061" customFormat="1" x14ac:dyDescent="0.2">
      <c r="B46" s="1377"/>
      <c r="C46" s="524" t="s">
        <v>893</v>
      </c>
      <c r="D46" s="524" t="str">
        <f>Preferences.moneyunits&amp;"/"&amp;Preferences.EnergyUnits</f>
        <v>N/TWh</v>
      </c>
      <c r="E46" s="955">
        <f>(J46-F46)/(J$39-F$39)</f>
        <v>4265154.772141004</v>
      </c>
      <c r="F46" s="955">
        <f>((F42/100)*(NAIRA2010_/Unit.therm))*(250)</f>
        <v>3753336199.4840927</v>
      </c>
      <c r="G46" s="2730">
        <f t="shared" si="9"/>
        <v>3774661973.3447976</v>
      </c>
      <c r="H46" s="2730">
        <f t="shared" si="9"/>
        <v>3795987747.2055025</v>
      </c>
      <c r="I46" s="2730">
        <f t="shared" si="9"/>
        <v>3817313521.0662074</v>
      </c>
      <c r="J46" s="2730">
        <f>((J42/100)*(NAIRA2010_/Unit.therm))*(250)</f>
        <v>3838639294.9269128</v>
      </c>
      <c r="K46" s="2730">
        <f t="shared" ref="K46" si="11">((K42/100)*(GBP/Unit.therm))*(Price2011)</f>
        <v>3746224549.6070871</v>
      </c>
      <c r="L46" s="2730">
        <f>((L42/100)*(NAIRA2010_/Unit.therm))*(250)</f>
        <v>3838639294.9269128</v>
      </c>
      <c r="M46" s="2730">
        <f>((M42/100)*(NAIRA2010_/Unit.therm))*(250)</f>
        <v>3838639294.9269128</v>
      </c>
      <c r="N46" s="955">
        <f>((N42/100)*(NAIRA2010_/Unit.therm))*(250)</f>
        <v>3838639294.9269128</v>
      </c>
      <c r="O46" s="1377"/>
      <c r="P46" s="2256"/>
    </row>
    <row r="47" spans="2:16" s="2061" customFormat="1" x14ac:dyDescent="0.2">
      <c r="B47" s="1377"/>
      <c r="C47" s="1377"/>
      <c r="D47" s="1377"/>
      <c r="E47" s="1377"/>
      <c r="F47" s="1377"/>
      <c r="G47" s="1377"/>
      <c r="H47" s="1377"/>
      <c r="I47" s="1377"/>
      <c r="J47" s="1377"/>
      <c r="K47" s="1377"/>
      <c r="L47" s="1377"/>
      <c r="M47" s="1377"/>
      <c r="N47" s="1377"/>
      <c r="O47" s="1377"/>
      <c r="P47" s="588"/>
    </row>
    <row r="48" spans="2:16" s="2061" customFormat="1" x14ac:dyDescent="0.2">
      <c r="B48" s="1377"/>
      <c r="C48" s="1377"/>
      <c r="D48" s="1377"/>
      <c r="E48" s="1377"/>
      <c r="F48" s="1377"/>
      <c r="G48" s="1377"/>
      <c r="H48" s="1377"/>
      <c r="I48" s="1377"/>
      <c r="J48" s="1377"/>
      <c r="K48" s="1377"/>
      <c r="L48" s="1377"/>
      <c r="M48" s="1377"/>
      <c r="N48" s="1377"/>
      <c r="O48" s="1377"/>
    </row>
    <row r="49" spans="2:14" s="588" customFormat="1" x14ac:dyDescent="0.2"/>
    <row r="50" spans="2:14" ht="15.75" x14ac:dyDescent="0.25">
      <c r="B50" s="134" t="s">
        <v>279</v>
      </c>
    </row>
    <row r="51" spans="2:14" x14ac:dyDescent="0.2">
      <c r="B51" s="82">
        <v>1</v>
      </c>
      <c r="C51" s="1374" t="s">
        <v>1438</v>
      </c>
    </row>
    <row r="52" spans="2:14" x14ac:dyDescent="0.2">
      <c r="B52" s="82">
        <v>2</v>
      </c>
      <c r="C52" s="1374" t="s">
        <v>1433</v>
      </c>
    </row>
    <row r="54" spans="2:14" x14ac:dyDescent="0.2">
      <c r="B54" s="82">
        <v>1</v>
      </c>
      <c r="C54" s="82" t="s">
        <v>1439</v>
      </c>
    </row>
    <row r="56" spans="2:14" x14ac:dyDescent="0.2">
      <c r="C56" s="1374" t="s">
        <v>894</v>
      </c>
      <c r="F56" s="16" t="s">
        <v>241</v>
      </c>
      <c r="G56" s="16" t="s">
        <v>268</v>
      </c>
      <c r="H56" s="16" t="s">
        <v>269</v>
      </c>
      <c r="I56" s="16" t="s">
        <v>270</v>
      </c>
      <c r="J56" s="16" t="s">
        <v>271</v>
      </c>
      <c r="K56" s="16" t="s">
        <v>272</v>
      </c>
      <c r="L56" s="16" t="s">
        <v>273</v>
      </c>
      <c r="M56" s="16" t="s">
        <v>274</v>
      </c>
      <c r="N56" s="16" t="s">
        <v>275</v>
      </c>
    </row>
    <row r="57" spans="2:14" x14ac:dyDescent="0.2">
      <c r="C57" s="1374" t="s">
        <v>104</v>
      </c>
      <c r="E57" s="1374" t="str">
        <f>Preferences.moneyunits</f>
        <v>N</v>
      </c>
      <c r="F57" s="1262">
        <f t="shared" ref="F57:N57" ca="1" si="12">-F9*F26</f>
        <v>-28962460960.214573</v>
      </c>
      <c r="G57" s="1262">
        <f t="shared" ca="1" si="12"/>
        <v>-36130518085.524994</v>
      </c>
      <c r="H57" s="1262">
        <f t="shared" ca="1" si="12"/>
        <v>56786902934.573326</v>
      </c>
      <c r="I57" s="1262">
        <f t="shared" ca="1" si="12"/>
        <v>493917516816.68134</v>
      </c>
      <c r="J57" s="1262">
        <f t="shared" ca="1" si="12"/>
        <v>1332909004656.9517</v>
      </c>
      <c r="K57" s="1262">
        <f t="shared" ca="1" si="12"/>
        <v>2509541311376.3159</v>
      </c>
      <c r="L57" s="1262">
        <f t="shared" ca="1" si="12"/>
        <v>3761674655224.0337</v>
      </c>
      <c r="M57" s="1262">
        <f t="shared" ca="1" si="12"/>
        <v>5004430239986.4219</v>
      </c>
      <c r="N57" s="1262">
        <f t="shared" ca="1" si="12"/>
        <v>6402022920225.4609</v>
      </c>
    </row>
    <row r="58" spans="2:14" x14ac:dyDescent="0.2">
      <c r="C58" s="1374" t="s">
        <v>118</v>
      </c>
      <c r="E58" s="1374" t="str">
        <f>Preferences.moneyunits</f>
        <v>N</v>
      </c>
      <c r="F58" s="1262">
        <f t="shared" ref="F58:N58" ca="1" si="13">-F10*F35</f>
        <v>-9428228078494.5449</v>
      </c>
      <c r="G58" s="1262">
        <f t="shared" ca="1" si="13"/>
        <v>-11758712358243.752</v>
      </c>
      <c r="H58" s="1262">
        <f t="shared" ca="1" si="13"/>
        <v>-15107144520294.74</v>
      </c>
      <c r="I58" s="1262">
        <f t="shared" ca="1" si="13"/>
        <v>-17988772542603.785</v>
      </c>
      <c r="J58" s="1262">
        <f t="shared" ca="1" si="13"/>
        <v>-20380478770248.953</v>
      </c>
      <c r="K58" s="1262">
        <f t="shared" ca="1" si="13"/>
        <v>-20084984424901.176</v>
      </c>
      <c r="L58" s="1262">
        <f t="shared" ca="1" si="13"/>
        <v>-19921746679338.82</v>
      </c>
      <c r="M58" s="1262">
        <f t="shared" ca="1" si="13"/>
        <v>-19775171969836.574</v>
      </c>
      <c r="N58" s="1262">
        <f t="shared" ca="1" si="13"/>
        <v>-20163285024797.926</v>
      </c>
    </row>
    <row r="59" spans="2:14" x14ac:dyDescent="0.2">
      <c r="C59" s="20" t="s">
        <v>10</v>
      </c>
      <c r="E59" s="1374" t="str">
        <f>Preferences.moneyunits</f>
        <v>N</v>
      </c>
      <c r="F59" s="1262">
        <f t="shared" ref="F59:N59" ca="1" si="14">-F11*F44</f>
        <v>-2669908701238.8242</v>
      </c>
      <c r="G59" s="1262">
        <f t="shared" ca="1" si="14"/>
        <v>-3964100682285.5444</v>
      </c>
      <c r="H59" s="1262">
        <f t="shared" ca="1" si="14"/>
        <v>-4619600515678.9199</v>
      </c>
      <c r="I59" s="1262">
        <f t="shared" ca="1" si="14"/>
        <v>-5957796431128.1357</v>
      </c>
      <c r="J59" s="1262">
        <f t="shared" ca="1" si="14"/>
        <v>-6792332331019.3174</v>
      </c>
      <c r="K59" s="1262">
        <f t="shared" ca="1" si="14"/>
        <v>-6286988449690.1191</v>
      </c>
      <c r="L59" s="1262">
        <f t="shared" ca="1" si="14"/>
        <v>-5801505799090.0342</v>
      </c>
      <c r="M59" s="1262">
        <f t="shared" ca="1" si="14"/>
        <v>-5375511498646.667</v>
      </c>
      <c r="N59" s="1262">
        <f t="shared" ca="1" si="14"/>
        <v>-4951498497918.832</v>
      </c>
    </row>
    <row r="60" spans="2:14" x14ac:dyDescent="0.2">
      <c r="C60" s="20" t="s">
        <v>105</v>
      </c>
      <c r="E60" s="1374" t="str">
        <f>Preferences.moneyunits</f>
        <v>N</v>
      </c>
      <c r="F60" s="1262">
        <f t="shared" ref="F60:N60" ca="1" si="15">SUM(F57:F59)</f>
        <v>-12127099240693.584</v>
      </c>
      <c r="G60" s="1262">
        <f t="shared" ca="1" si="15"/>
        <v>-15758943558614.822</v>
      </c>
      <c r="H60" s="1262">
        <f t="shared" ca="1" si="15"/>
        <v>-19669958133039.086</v>
      </c>
      <c r="I60" s="1262">
        <f t="shared" ca="1" si="15"/>
        <v>-23452651456915.238</v>
      </c>
      <c r="J60" s="1262">
        <f t="shared" ca="1" si="15"/>
        <v>-25839902096611.316</v>
      </c>
      <c r="K60" s="1262">
        <f t="shared" ca="1" si="15"/>
        <v>-23862431563214.977</v>
      </c>
      <c r="L60" s="1262">
        <f t="shared" ca="1" si="15"/>
        <v>-21961577823204.82</v>
      </c>
      <c r="M60" s="1262">
        <f t="shared" ca="1" si="15"/>
        <v>-20146253228496.82</v>
      </c>
      <c r="N60" s="1262">
        <f t="shared" ca="1" si="15"/>
        <v>-18712760602491.297</v>
      </c>
    </row>
    <row r="61" spans="2:14" s="2061" customFormat="1" x14ac:dyDescent="0.2">
      <c r="C61" s="20"/>
      <c r="F61" s="136"/>
      <c r="G61" s="136"/>
      <c r="H61" s="136"/>
      <c r="I61" s="136"/>
      <c r="J61" s="136"/>
      <c r="K61" s="136"/>
      <c r="L61" s="136"/>
      <c r="M61" s="136"/>
      <c r="N61" s="136"/>
    </row>
    <row r="62" spans="2:14" s="2061" customFormat="1" x14ac:dyDescent="0.2">
      <c r="C62" s="2061" t="s">
        <v>1886</v>
      </c>
      <c r="F62" s="1426" t="s">
        <v>241</v>
      </c>
      <c r="G62" s="1426" t="s">
        <v>268</v>
      </c>
      <c r="H62" s="1426" t="s">
        <v>269</v>
      </c>
      <c r="I62" s="1426" t="s">
        <v>270</v>
      </c>
      <c r="J62" s="1426" t="s">
        <v>271</v>
      </c>
      <c r="K62" s="1426" t="s">
        <v>272</v>
      </c>
      <c r="L62" s="1426" t="s">
        <v>273</v>
      </c>
      <c r="M62" s="1426" t="s">
        <v>274</v>
      </c>
      <c r="N62" s="1426" t="s">
        <v>275</v>
      </c>
    </row>
    <row r="63" spans="2:14" s="2061" customFormat="1" x14ac:dyDescent="0.2">
      <c r="C63" s="2061" t="s">
        <v>104</v>
      </c>
      <c r="E63" s="2061" t="str">
        <f>Preferences.moneyunits</f>
        <v>N</v>
      </c>
      <c r="F63" s="1262">
        <f t="shared" ref="F63:N63" ca="1" si="16">-F9*F27</f>
        <v>-28962460960.214573</v>
      </c>
      <c r="G63" s="1262">
        <f t="shared" ca="1" si="16"/>
        <v>-32442748678.90398</v>
      </c>
      <c r="H63" s="1262">
        <f t="shared" ca="1" si="16"/>
        <v>46577274910.775391</v>
      </c>
      <c r="I63" s="1262">
        <f t="shared" ca="1" si="16"/>
        <v>374910635589.3092</v>
      </c>
      <c r="J63" s="1262">
        <f t="shared" ca="1" si="16"/>
        <v>945935422659.77197</v>
      </c>
      <c r="K63" s="1262">
        <f t="shared" ca="1" si="16"/>
        <v>1780964801621.9014</v>
      </c>
      <c r="L63" s="1262">
        <f t="shared" ca="1" si="16"/>
        <v>2669575561771.8945</v>
      </c>
      <c r="M63" s="1262">
        <f t="shared" ca="1" si="16"/>
        <v>3551531138054.8799</v>
      </c>
      <c r="N63" s="1262">
        <f t="shared" ca="1" si="16"/>
        <v>4543371104676.1338</v>
      </c>
    </row>
    <row r="64" spans="2:14" s="2061" customFormat="1" x14ac:dyDescent="0.2">
      <c r="C64" s="2061" t="s">
        <v>118</v>
      </c>
      <c r="E64" s="2061" t="str">
        <f>Preferences.moneyunits</f>
        <v>N</v>
      </c>
      <c r="F64" s="1262">
        <f t="shared" ref="F64:N64" ca="1" si="17">-F10*F36</f>
        <v>-9428228078494.5449</v>
      </c>
      <c r="G64" s="1262">
        <f t="shared" ca="1" si="17"/>
        <v>-10644323401498.516</v>
      </c>
      <c r="H64" s="1262">
        <f t="shared" ca="1" si="17"/>
        <v>-12728280544149.398</v>
      </c>
      <c r="I64" s="1262">
        <f t="shared" ca="1" si="17"/>
        <v>-14354816803205.408</v>
      </c>
      <c r="J64" s="1262">
        <f t="shared" ca="1" si="17"/>
        <v>-15585072000778.609</v>
      </c>
      <c r="K64" s="1262">
        <f t="shared" ca="1" si="17"/>
        <v>-15359105736689.133</v>
      </c>
      <c r="L64" s="1262">
        <f t="shared" ca="1" si="17"/>
        <v>-15234276872435.566</v>
      </c>
      <c r="M64" s="1262">
        <f t="shared" ca="1" si="17"/>
        <v>-15122190329875.025</v>
      </c>
      <c r="N64" s="1262">
        <f t="shared" ca="1" si="17"/>
        <v>-15418982666021.941</v>
      </c>
    </row>
    <row r="65" spans="1:16" s="2061" customFormat="1" x14ac:dyDescent="0.2">
      <c r="C65" s="20" t="s">
        <v>10</v>
      </c>
      <c r="E65" s="2061" t="str">
        <f>Preferences.moneyunits</f>
        <v>N</v>
      </c>
      <c r="F65" s="1262">
        <f t="shared" ref="F65:N65" ca="1" si="18">-F11*F45</f>
        <v>-2669908701238.8242</v>
      </c>
      <c r="G65" s="1262">
        <f t="shared" ca="1" si="18"/>
        <v>-3451501456127.9312</v>
      </c>
      <c r="H65" s="1262">
        <f t="shared" ca="1" si="18"/>
        <v>-3657183741579.146</v>
      </c>
      <c r="I65" s="1262">
        <f t="shared" ca="1" si="18"/>
        <v>-4399070620658.5664</v>
      </c>
      <c r="J65" s="1262">
        <f t="shared" ca="1" si="18"/>
        <v>-4754632631713.5225</v>
      </c>
      <c r="K65" s="1262">
        <f t="shared" ca="1" si="18"/>
        <v>-4400891914783.083</v>
      </c>
      <c r="L65" s="1262">
        <f t="shared" ca="1" si="18"/>
        <v>-4061054059363.0239</v>
      </c>
      <c r="M65" s="1262">
        <f t="shared" ca="1" si="18"/>
        <v>-3762858049052.6665</v>
      </c>
      <c r="N65" s="1262">
        <f t="shared" ca="1" si="18"/>
        <v>-3466048948543.1816</v>
      </c>
    </row>
    <row r="66" spans="1:16" s="2061" customFormat="1" x14ac:dyDescent="0.2">
      <c r="C66" s="20" t="s">
        <v>105</v>
      </c>
      <c r="E66" s="2061" t="str">
        <f>Preferences.moneyunits</f>
        <v>N</v>
      </c>
      <c r="F66" s="1262">
        <f t="shared" ref="F66:N66" ca="1" si="19">SUM(F63:F65)</f>
        <v>-12127099240693.584</v>
      </c>
      <c r="G66" s="1262">
        <f t="shared" ca="1" si="19"/>
        <v>-14128267606305.352</v>
      </c>
      <c r="H66" s="1262">
        <f t="shared" ca="1" si="19"/>
        <v>-16338887010817.77</v>
      </c>
      <c r="I66" s="1262">
        <f t="shared" ca="1" si="19"/>
        <v>-18378976788274.664</v>
      </c>
      <c r="J66" s="1262">
        <f t="shared" ca="1" si="19"/>
        <v>-19393769209832.359</v>
      </c>
      <c r="K66" s="1262">
        <f t="shared" ca="1" si="19"/>
        <v>-17979032849850.312</v>
      </c>
      <c r="L66" s="1262">
        <f t="shared" ca="1" si="19"/>
        <v>-16625755370026.695</v>
      </c>
      <c r="M66" s="1262">
        <f t="shared" ca="1" si="19"/>
        <v>-15333517240872.811</v>
      </c>
      <c r="N66" s="1262">
        <f t="shared" ca="1" si="19"/>
        <v>-14341660509888.99</v>
      </c>
    </row>
    <row r="67" spans="1:16" s="2061" customFormat="1" x14ac:dyDescent="0.2">
      <c r="C67" s="20"/>
      <c r="F67" s="136"/>
      <c r="G67" s="136"/>
      <c r="H67" s="136"/>
      <c r="I67" s="136"/>
      <c r="J67" s="136"/>
      <c r="K67" s="136"/>
      <c r="L67" s="136"/>
      <c r="M67" s="136"/>
      <c r="N67" s="136"/>
    </row>
    <row r="68" spans="1:16" x14ac:dyDescent="0.2">
      <c r="C68" s="1374" t="s">
        <v>893</v>
      </c>
      <c r="F68" s="16" t="s">
        <v>241</v>
      </c>
      <c r="G68" s="16" t="s">
        <v>268</v>
      </c>
      <c r="H68" s="16" t="s">
        <v>269</v>
      </c>
      <c r="I68" s="16" t="s">
        <v>270</v>
      </c>
      <c r="J68" s="16" t="s">
        <v>271</v>
      </c>
      <c r="K68" s="16" t="s">
        <v>272</v>
      </c>
      <c r="L68" s="16" t="s">
        <v>273</v>
      </c>
      <c r="M68" s="16" t="s">
        <v>274</v>
      </c>
      <c r="N68" s="16" t="s">
        <v>275</v>
      </c>
    </row>
    <row r="69" spans="1:16" x14ac:dyDescent="0.2">
      <c r="C69" s="1374" t="s">
        <v>104</v>
      </c>
      <c r="E69" s="1374" t="str">
        <f>Preferences.moneyunits</f>
        <v>N</v>
      </c>
      <c r="F69" s="1262">
        <f t="shared" ref="F69:N69" ca="1" si="20">-F9*F28</f>
        <v>-28962460960.214573</v>
      </c>
      <c r="G69" s="1262">
        <f t="shared" ca="1" si="20"/>
        <v>-29984235741.156635</v>
      </c>
      <c r="H69" s="1262">
        <f t="shared" ca="1" si="20"/>
        <v>39770856228.243439</v>
      </c>
      <c r="I69" s="1262">
        <f t="shared" ca="1" si="20"/>
        <v>295572714771.06116</v>
      </c>
      <c r="J69" s="1262">
        <f t="shared" ca="1" si="20"/>
        <v>687953034661.65234</v>
      </c>
      <c r="K69" s="1262">
        <f t="shared" ca="1" si="20"/>
        <v>1295247128452.2917</v>
      </c>
      <c r="L69" s="1262">
        <f t="shared" ca="1" si="20"/>
        <v>1941509499470.4687</v>
      </c>
      <c r="M69" s="1262">
        <f t="shared" ca="1" si="20"/>
        <v>2582931736767.1851</v>
      </c>
      <c r="N69" s="1262">
        <f t="shared" ca="1" si="20"/>
        <v>3304269894309.915</v>
      </c>
    </row>
    <row r="70" spans="1:16" x14ac:dyDescent="0.2">
      <c r="C70" s="1374" t="s">
        <v>118</v>
      </c>
      <c r="E70" s="1374" t="str">
        <f>Preferences.moneyunits</f>
        <v>N</v>
      </c>
      <c r="F70" s="1262">
        <f t="shared" ref="F70:N70" ca="1" si="21">-F10*F37</f>
        <v>-9428228078494.5449</v>
      </c>
      <c r="G70" s="1262">
        <f t="shared" ca="1" si="21"/>
        <v>-9112038585973.8223</v>
      </c>
      <c r="H70" s="1262">
        <f t="shared" ca="1" si="21"/>
        <v>-9457342576949.5566</v>
      </c>
      <c r="I70" s="1262">
        <f t="shared" ca="1" si="21"/>
        <v>-9358127661532.6445</v>
      </c>
      <c r="J70" s="1262">
        <f t="shared" ca="1" si="21"/>
        <v>-8991387692756.8906</v>
      </c>
      <c r="K70" s="1262">
        <f t="shared" ca="1" si="21"/>
        <v>-8861022540397.5781</v>
      </c>
      <c r="L70" s="1262">
        <f t="shared" ca="1" si="21"/>
        <v>-8789005887943.5977</v>
      </c>
      <c r="M70" s="1262">
        <f t="shared" ca="1" si="21"/>
        <v>-8724340574927.9004</v>
      </c>
      <c r="N70" s="1262">
        <f t="shared" ca="1" si="21"/>
        <v>-8895566922704.9687</v>
      </c>
    </row>
    <row r="71" spans="1:16" x14ac:dyDescent="0.2">
      <c r="C71" s="20" t="s">
        <v>10</v>
      </c>
      <c r="E71" s="1374" t="str">
        <f>Preferences.moneyunits</f>
        <v>N</v>
      </c>
      <c r="F71" s="1262">
        <f t="shared" ref="F71:N71" ca="1" si="22">-F11*F46</f>
        <v>-2669908701238.8242</v>
      </c>
      <c r="G71" s="1262">
        <f t="shared" ca="1" si="22"/>
        <v>-3024335434329.9199</v>
      </c>
      <c r="H71" s="1262">
        <f t="shared" ca="1" si="22"/>
        <v>-2855169763162.666</v>
      </c>
      <c r="I71" s="1262">
        <f t="shared" ca="1" si="22"/>
        <v>-3100132445267.2563</v>
      </c>
      <c r="J71" s="1262">
        <f t="shared" ca="1" si="22"/>
        <v>-3056549548958.6929</v>
      </c>
      <c r="K71" s="1262">
        <f t="shared" ca="1" si="22"/>
        <v>-2761033506587.4409</v>
      </c>
      <c r="L71" s="1262">
        <f t="shared" ca="1" si="22"/>
        <v>-2610677609590.5156</v>
      </c>
      <c r="M71" s="1262">
        <f t="shared" ca="1" si="22"/>
        <v>-2418980174391</v>
      </c>
      <c r="N71" s="1262">
        <f t="shared" ca="1" si="22"/>
        <v>-2228174324063.4741</v>
      </c>
    </row>
    <row r="72" spans="1:16" x14ac:dyDescent="0.2">
      <c r="C72" s="20" t="s">
        <v>105</v>
      </c>
      <c r="E72" s="1374" t="str">
        <f>Preferences.moneyunits</f>
        <v>N</v>
      </c>
      <c r="F72" s="1262">
        <f t="shared" ref="F72:N72" ca="1" si="23">SUM(F69:F71)</f>
        <v>-12127099240693.584</v>
      </c>
      <c r="G72" s="1262">
        <f t="shared" ca="1" si="23"/>
        <v>-12166358256044.898</v>
      </c>
      <c r="H72" s="1262">
        <f t="shared" ca="1" si="23"/>
        <v>-12272741483883.979</v>
      </c>
      <c r="I72" s="1262">
        <f t="shared" ca="1" si="23"/>
        <v>-12162687392028.84</v>
      </c>
      <c r="J72" s="1262">
        <f t="shared" ca="1" si="23"/>
        <v>-11359984207053.932</v>
      </c>
      <c r="K72" s="1262">
        <f t="shared" ca="1" si="23"/>
        <v>-10326808918532.727</v>
      </c>
      <c r="L72" s="1262">
        <f t="shared" ca="1" si="23"/>
        <v>-9458173998063.6445</v>
      </c>
      <c r="M72" s="1262">
        <f t="shared" ca="1" si="23"/>
        <v>-8560389012551.7148</v>
      </c>
      <c r="N72" s="1262">
        <f t="shared" ca="1" si="23"/>
        <v>-7819471352458.5273</v>
      </c>
    </row>
    <row r="73" spans="1:16" x14ac:dyDescent="0.2">
      <c r="D73" s="2335" t="s">
        <v>2041</v>
      </c>
    </row>
    <row r="75" spans="1:16" ht="22.5" x14ac:dyDescent="0.3">
      <c r="A75" s="409"/>
      <c r="B75" s="468" t="s">
        <v>236</v>
      </c>
      <c r="C75" s="421"/>
      <c r="D75" s="421"/>
      <c r="E75" s="421"/>
      <c r="F75" s="421"/>
      <c r="G75" s="421"/>
      <c r="H75" s="421"/>
      <c r="I75" s="421"/>
      <c r="J75" s="421"/>
      <c r="K75" s="421"/>
      <c r="L75" s="421"/>
      <c r="M75" s="421"/>
      <c r="N75" s="421"/>
      <c r="O75" s="421"/>
      <c r="P75" s="423"/>
    </row>
    <row r="76" spans="1:16" x14ac:dyDescent="0.2">
      <c r="B76" s="410"/>
      <c r="C76" s="412"/>
      <c r="D76" s="412"/>
      <c r="E76" s="412"/>
      <c r="F76" s="412"/>
      <c r="G76" s="412"/>
      <c r="H76" s="412"/>
      <c r="I76" s="412"/>
      <c r="J76" s="412"/>
      <c r="K76" s="412"/>
      <c r="L76" s="412"/>
      <c r="M76" s="412"/>
      <c r="N76" s="412"/>
      <c r="O76" s="412"/>
      <c r="P76" s="414"/>
    </row>
    <row r="77" spans="1:16" x14ac:dyDescent="0.2">
      <c r="B77" s="410"/>
      <c r="C77" s="424" t="s">
        <v>1833</v>
      </c>
      <c r="D77" s="412"/>
      <c r="E77" s="413"/>
      <c r="F77" s="412"/>
      <c r="G77" s="413"/>
      <c r="H77" s="412"/>
      <c r="I77" s="412"/>
      <c r="J77" s="412"/>
      <c r="K77" s="412"/>
      <c r="L77" s="412"/>
      <c r="M77" s="412"/>
      <c r="N77" s="412"/>
      <c r="O77" s="413" t="str">
        <f>Preferences.EnergyUnits</f>
        <v>TWh</v>
      </c>
      <c r="P77" s="414"/>
    </row>
    <row r="78" spans="1:16" ht="6" customHeight="1" x14ac:dyDescent="0.2">
      <c r="B78" s="410"/>
      <c r="C78" s="412"/>
      <c r="D78" s="412"/>
      <c r="E78" s="412"/>
      <c r="F78" s="412"/>
      <c r="G78" s="412"/>
      <c r="H78" s="412"/>
      <c r="I78" s="412"/>
      <c r="J78" s="412"/>
      <c r="K78" s="412"/>
      <c r="L78" s="412"/>
      <c r="M78" s="412"/>
      <c r="N78" s="412"/>
      <c r="O78" s="412"/>
      <c r="P78" s="414"/>
    </row>
    <row r="79" spans="1:16" ht="15.75" x14ac:dyDescent="0.25">
      <c r="A79" s="3"/>
      <c r="B79" s="415"/>
      <c r="C79" s="426" t="s">
        <v>64</v>
      </c>
      <c r="D79" s="426" t="s">
        <v>150</v>
      </c>
      <c r="E79" s="426" t="s">
        <v>172</v>
      </c>
      <c r="F79" s="426" t="s">
        <v>241</v>
      </c>
      <c r="G79" s="426" t="s">
        <v>268</v>
      </c>
      <c r="H79" s="426" t="s">
        <v>269</v>
      </c>
      <c r="I79" s="426" t="s">
        <v>270</v>
      </c>
      <c r="J79" s="426" t="s">
        <v>271</v>
      </c>
      <c r="K79" s="426" t="s">
        <v>272</v>
      </c>
      <c r="L79" s="426" t="s">
        <v>273</v>
      </c>
      <c r="M79" s="426" t="s">
        <v>274</v>
      </c>
      <c r="N79" s="426" t="s">
        <v>275</v>
      </c>
      <c r="O79" s="414"/>
    </row>
    <row r="80" spans="1:16" ht="15.75" x14ac:dyDescent="0.25">
      <c r="A80" s="3"/>
      <c r="B80" s="415"/>
      <c r="C80" s="97"/>
      <c r="D80" s="97"/>
      <c r="E80" s="97"/>
      <c r="F80" s="241"/>
      <c r="G80" s="241"/>
      <c r="H80" s="241"/>
      <c r="I80" s="241"/>
      <c r="J80" s="241"/>
      <c r="K80" s="241"/>
      <c r="L80" s="241"/>
      <c r="M80" s="241"/>
      <c r="N80" s="241"/>
      <c r="O80" s="414"/>
    </row>
    <row r="81" spans="1:16" ht="15.75" x14ac:dyDescent="0.25">
      <c r="A81" s="3"/>
      <c r="B81" s="415"/>
      <c r="C81" s="97" t="s">
        <v>105</v>
      </c>
      <c r="D81" s="97"/>
      <c r="E81" s="97"/>
      <c r="F81" s="529">
        <f>SUBTOTAL(109,XVI.b.Outputs[2010])</f>
        <v>0</v>
      </c>
      <c r="G81" s="529">
        <f>SUBTOTAL(109,XVI.b.Outputs[2015])</f>
        <v>0</v>
      </c>
      <c r="H81" s="529">
        <f>SUBTOTAL(109,XVI.b.Outputs[2020])</f>
        <v>0</v>
      </c>
      <c r="I81" s="529">
        <f>SUBTOTAL(109,XVI.b.Outputs[2025])</f>
        <v>0</v>
      </c>
      <c r="J81" s="529">
        <f>SUBTOTAL(109,XVI.b.Outputs[2030])</f>
        <v>0</v>
      </c>
      <c r="K81" s="529">
        <f>SUBTOTAL(109,XVI.b.Outputs[2035])</f>
        <v>0</v>
      </c>
      <c r="L81" s="529">
        <f>SUBTOTAL(109,XVI.b.Outputs[2040])</f>
        <v>0</v>
      </c>
      <c r="M81" s="529">
        <f>SUBTOTAL(109,XVI.b.Outputs[2045])</f>
        <v>0</v>
      </c>
      <c r="N81" s="529">
        <f>SUBTOTAL(109,XVI.b.Outputs[2050])</f>
        <v>0</v>
      </c>
      <c r="O81" s="414"/>
    </row>
    <row r="82" spans="1:16" ht="15.75" x14ac:dyDescent="0.25">
      <c r="A82" s="3"/>
      <c r="B82" s="416"/>
      <c r="C82" s="515"/>
      <c r="D82" s="516"/>
      <c r="E82" s="516"/>
      <c r="F82" s="516"/>
      <c r="G82" s="516"/>
      <c r="H82" s="516"/>
      <c r="I82" s="516"/>
      <c r="J82" s="516"/>
      <c r="K82" s="516"/>
      <c r="L82" s="516"/>
      <c r="M82" s="516"/>
      <c r="N82" s="516"/>
      <c r="O82" s="516"/>
      <c r="P82" s="419"/>
    </row>
    <row r="84" spans="1:16" ht="22.5" x14ac:dyDescent="0.3">
      <c r="A84" s="409"/>
      <c r="B84" s="484" t="s">
        <v>361</v>
      </c>
      <c r="C84" s="436"/>
      <c r="D84" s="437"/>
      <c r="E84" s="437"/>
      <c r="F84" s="437"/>
      <c r="G84" s="437"/>
      <c r="H84" s="437"/>
      <c r="I84" s="437"/>
      <c r="J84" s="437"/>
      <c r="K84" s="437"/>
      <c r="L84" s="437"/>
      <c r="M84" s="437"/>
      <c r="N84" s="437"/>
      <c r="O84" s="437"/>
      <c r="P84" s="438"/>
    </row>
    <row r="85" spans="1:16" x14ac:dyDescent="0.2">
      <c r="B85" s="444"/>
      <c r="C85" s="445"/>
      <c r="D85" s="445"/>
      <c r="E85" s="445"/>
      <c r="F85" s="445"/>
      <c r="G85" s="445"/>
      <c r="H85" s="445"/>
      <c r="I85" s="445"/>
      <c r="J85" s="445"/>
      <c r="K85" s="445"/>
      <c r="L85" s="445"/>
      <c r="M85" s="445"/>
      <c r="N85" s="445"/>
      <c r="O85" s="445"/>
      <c r="P85" s="446"/>
    </row>
    <row r="86" spans="1:16" ht="14.25" x14ac:dyDescent="0.25">
      <c r="B86" s="447"/>
      <c r="C86" s="439" t="s">
        <v>491</v>
      </c>
      <c r="D86" s="440"/>
      <c r="E86" s="441"/>
      <c r="F86" s="440"/>
      <c r="G86" s="441"/>
      <c r="H86" s="440"/>
      <c r="I86" s="440"/>
      <c r="J86" s="440"/>
      <c r="K86" s="440"/>
      <c r="L86" s="440"/>
      <c r="M86" s="440"/>
      <c r="N86" s="440"/>
      <c r="O86" s="441" t="s">
        <v>493</v>
      </c>
      <c r="P86" s="448"/>
    </row>
    <row r="87" spans="1:16" ht="5.25" customHeight="1" x14ac:dyDescent="0.2">
      <c r="B87" s="447"/>
      <c r="C87" s="440"/>
      <c r="D87" s="440"/>
      <c r="E87" s="440"/>
      <c r="F87" s="440"/>
      <c r="G87" s="440"/>
      <c r="H87" s="440"/>
      <c r="I87" s="440"/>
      <c r="J87" s="440"/>
      <c r="K87" s="440"/>
      <c r="L87" s="440"/>
      <c r="M87" s="440"/>
      <c r="N87" s="440"/>
      <c r="O87" s="440"/>
      <c r="P87" s="448"/>
    </row>
    <row r="88" spans="1:16" ht="15.75" x14ac:dyDescent="0.25">
      <c r="B88" s="449"/>
      <c r="C88" s="503" t="s">
        <v>490</v>
      </c>
      <c r="D88" s="503" t="s">
        <v>461</v>
      </c>
      <c r="E88" s="503" t="s">
        <v>172</v>
      </c>
      <c r="F88" s="503" t="s">
        <v>241</v>
      </c>
      <c r="G88" s="503" t="s">
        <v>268</v>
      </c>
      <c r="H88" s="503" t="s">
        <v>269</v>
      </c>
      <c r="I88" s="503" t="s">
        <v>270</v>
      </c>
      <c r="J88" s="503" t="s">
        <v>271</v>
      </c>
      <c r="K88" s="503" t="s">
        <v>272</v>
      </c>
      <c r="L88" s="503" t="s">
        <v>273</v>
      </c>
      <c r="M88" s="503" t="s">
        <v>274</v>
      </c>
      <c r="N88" s="503" t="s">
        <v>275</v>
      </c>
      <c r="O88" s="448"/>
    </row>
    <row r="89" spans="1:16" ht="15.75" x14ac:dyDescent="0.25">
      <c r="B89" s="449"/>
      <c r="C89" s="443"/>
      <c r="D89" s="453"/>
      <c r="E89" s="443"/>
      <c r="F89" s="455"/>
      <c r="G89" s="455"/>
      <c r="H89" s="455"/>
      <c r="I89" s="455"/>
      <c r="J89" s="455"/>
      <c r="K89" s="455"/>
      <c r="L89" s="455"/>
      <c r="M89" s="455"/>
      <c r="N89" s="455"/>
      <c r="O89" s="448"/>
    </row>
    <row r="90" spans="1:16" ht="15.75" x14ac:dyDescent="0.25">
      <c r="B90" s="449"/>
      <c r="C90" s="443" t="s">
        <v>105</v>
      </c>
      <c r="D90" s="443"/>
      <c r="E90" s="443"/>
      <c r="F90" s="512">
        <f>SUBTOTAL(109,XVI.b.Emissions[2010])</f>
        <v>0</v>
      </c>
      <c r="G90" s="512">
        <f>SUBTOTAL(109,XVI.b.Emissions[2015])</f>
        <v>0</v>
      </c>
      <c r="H90" s="512">
        <f>SUBTOTAL(109,XVI.b.Emissions[2020])</f>
        <v>0</v>
      </c>
      <c r="I90" s="512">
        <f>SUBTOTAL(109,XVI.b.Emissions[2025])</f>
        <v>0</v>
      </c>
      <c r="J90" s="512">
        <f>SUBTOTAL(109,XVI.b.Emissions[2030])</f>
        <v>0</v>
      </c>
      <c r="K90" s="512">
        <f>SUBTOTAL(109,XVI.b.Emissions[2035])</f>
        <v>0</v>
      </c>
      <c r="L90" s="512">
        <f>SUBTOTAL(109,XVI.b.Emissions[2040])</f>
        <v>0</v>
      </c>
      <c r="M90" s="512">
        <f>SUBTOTAL(109,XVI.b.Emissions[2045])</f>
        <v>0</v>
      </c>
      <c r="N90" s="512">
        <f>SUBTOTAL(109,XVI.b.Emissions[2050])</f>
        <v>0</v>
      </c>
      <c r="O90" s="448"/>
    </row>
    <row r="91" spans="1:16" ht="15.75" x14ac:dyDescent="0.25">
      <c r="B91" s="449"/>
      <c r="C91" s="440"/>
      <c r="D91" s="440"/>
      <c r="E91" s="440"/>
      <c r="F91" s="440"/>
      <c r="G91" s="440"/>
      <c r="H91" s="440"/>
      <c r="I91" s="440"/>
      <c r="J91" s="440"/>
      <c r="K91" s="440"/>
      <c r="L91" s="440"/>
      <c r="M91" s="440"/>
      <c r="N91" s="440"/>
      <c r="O91" s="440"/>
      <c r="P91" s="448"/>
    </row>
    <row r="93" spans="1:16" ht="21.75" customHeight="1" x14ac:dyDescent="0.2">
      <c r="B93" s="1186" t="s">
        <v>1225</v>
      </c>
      <c r="C93" s="1218"/>
      <c r="D93" s="1187"/>
      <c r="E93" s="1187"/>
      <c r="F93" s="1187"/>
      <c r="G93" s="1187"/>
      <c r="H93" s="1187"/>
      <c r="I93" s="1187"/>
      <c r="J93" s="1187"/>
      <c r="K93" s="1187"/>
      <c r="L93" s="1187"/>
      <c r="M93" s="1187"/>
      <c r="N93" s="1187"/>
      <c r="O93" s="1187"/>
      <c r="P93" s="1188"/>
    </row>
    <row r="94" spans="1:16" x14ac:dyDescent="0.2">
      <c r="B94" s="1219"/>
      <c r="C94" s="1220"/>
      <c r="D94" s="1220"/>
      <c r="E94" s="1220"/>
      <c r="F94" s="1220"/>
      <c r="G94" s="1220"/>
      <c r="H94" s="1220"/>
      <c r="I94" s="1220"/>
      <c r="J94" s="1220"/>
      <c r="K94" s="1220"/>
      <c r="L94" s="1220"/>
      <c r="M94" s="1220"/>
      <c r="N94" s="1220"/>
      <c r="O94" s="1220"/>
      <c r="P94" s="1221"/>
    </row>
    <row r="95" spans="1:16" x14ac:dyDescent="0.2">
      <c r="B95" s="1189"/>
      <c r="C95" s="1222" t="s">
        <v>1230</v>
      </c>
      <c r="D95" s="1190"/>
      <c r="E95" s="1223"/>
      <c r="F95" s="1190"/>
      <c r="G95" s="1223"/>
      <c r="H95" s="1190"/>
      <c r="I95" s="1190"/>
      <c r="J95" s="1190"/>
      <c r="K95" s="1190"/>
      <c r="L95" s="1190"/>
      <c r="M95" s="1190"/>
      <c r="N95" s="1190"/>
      <c r="O95" s="1223"/>
      <c r="P95" s="1191"/>
    </row>
    <row r="96" spans="1:16" ht="4.5" customHeight="1" x14ac:dyDescent="0.2">
      <c r="B96" s="1189"/>
      <c r="C96" s="1190"/>
      <c r="D96" s="1190"/>
      <c r="E96" s="1190"/>
      <c r="F96" s="1190"/>
      <c r="G96" s="1190"/>
      <c r="H96" s="1190"/>
      <c r="I96" s="1190"/>
      <c r="J96" s="1190"/>
      <c r="K96" s="1190"/>
      <c r="L96" s="1190"/>
      <c r="M96" s="1190"/>
      <c r="N96" s="1190"/>
      <c r="O96" s="1190"/>
      <c r="P96" s="1191"/>
    </row>
    <row r="97" spans="2:16" ht="15.75" x14ac:dyDescent="0.25">
      <c r="B97" s="1192"/>
      <c r="C97" s="1193" t="s">
        <v>64</v>
      </c>
      <c r="D97" s="1193" t="s">
        <v>1226</v>
      </c>
      <c r="E97" s="1193" t="s">
        <v>172</v>
      </c>
      <c r="F97" s="1193" t="s">
        <v>241</v>
      </c>
      <c r="G97" s="1193" t="s">
        <v>268</v>
      </c>
      <c r="H97" s="1193" t="s">
        <v>269</v>
      </c>
      <c r="I97" s="1193" t="s">
        <v>270</v>
      </c>
      <c r="J97" s="1193" t="s">
        <v>271</v>
      </c>
      <c r="K97" s="1193" t="s">
        <v>272</v>
      </c>
      <c r="L97" s="1193" t="s">
        <v>273</v>
      </c>
      <c r="M97" s="1193" t="s">
        <v>274</v>
      </c>
      <c r="N97" s="1193" t="s">
        <v>275</v>
      </c>
      <c r="O97" s="1191"/>
    </row>
    <row r="98" spans="2:16" ht="15.75" x14ac:dyDescent="0.25">
      <c r="B98" s="1192"/>
      <c r="C98" s="1194"/>
      <c r="D98" s="1195"/>
      <c r="E98" s="1195"/>
      <c r="F98" s="1226"/>
      <c r="G98" s="1226"/>
      <c r="H98" s="1226"/>
      <c r="I98" s="1226"/>
      <c r="J98" s="1226"/>
      <c r="K98" s="1226"/>
      <c r="L98" s="1226"/>
      <c r="M98" s="1226"/>
      <c r="N98" s="1226"/>
      <c r="O98" s="1191"/>
    </row>
    <row r="99" spans="2:16" ht="15.75" x14ac:dyDescent="0.25">
      <c r="B99" s="1227"/>
      <c r="C99" s="1197"/>
      <c r="D99" s="1197"/>
      <c r="E99" s="1197"/>
      <c r="F99" s="1197"/>
      <c r="G99" s="1197"/>
      <c r="H99" s="1197"/>
      <c r="I99" s="1197"/>
      <c r="J99" s="1197"/>
      <c r="K99" s="1197"/>
      <c r="L99" s="1197"/>
      <c r="M99" s="1197"/>
      <c r="N99" s="1197"/>
      <c r="O99" s="1197"/>
      <c r="P99" s="1224"/>
    </row>
    <row r="100" spans="2:16" s="1353" customFormat="1" x14ac:dyDescent="0.2"/>
    <row r="101" spans="2:16" s="1353" customFormat="1" ht="22.5" customHeight="1" x14ac:dyDescent="0.2">
      <c r="B101" s="1186" t="s">
        <v>1424</v>
      </c>
      <c r="C101" s="1187"/>
      <c r="D101" s="1187"/>
      <c r="E101" s="1187"/>
      <c r="F101" s="1187"/>
      <c r="G101" s="1187"/>
      <c r="H101" s="1187"/>
      <c r="I101" s="1187"/>
      <c r="J101" s="1187"/>
      <c r="K101" s="1187"/>
      <c r="L101" s="1187"/>
      <c r="M101" s="1187"/>
      <c r="N101" s="1187"/>
      <c r="O101" s="1187"/>
      <c r="P101" s="1188"/>
    </row>
    <row r="102" spans="2:16" s="1570" customFormat="1" x14ac:dyDescent="0.2">
      <c r="B102" s="1433"/>
      <c r="C102" s="1434"/>
      <c r="D102" s="1434"/>
      <c r="E102" s="1434"/>
      <c r="F102" s="1434"/>
      <c r="G102" s="1434"/>
      <c r="H102" s="1434"/>
      <c r="I102" s="1434"/>
      <c r="J102" s="1434"/>
      <c r="K102" s="1434"/>
      <c r="L102" s="1434"/>
      <c r="M102" s="1434"/>
      <c r="N102" s="1434"/>
      <c r="O102" s="1434"/>
      <c r="P102" s="1435"/>
    </row>
    <row r="103" spans="2:16" s="1570" customFormat="1" ht="15.75" customHeight="1" x14ac:dyDescent="0.2">
      <c r="B103" s="1433"/>
      <c r="C103" s="1441" t="s">
        <v>104</v>
      </c>
      <c r="D103" s="1442"/>
      <c r="E103" s="1442"/>
      <c r="F103" s="1442"/>
      <c r="G103" s="1442"/>
      <c r="H103" s="1442"/>
      <c r="I103" s="1442"/>
      <c r="J103" s="1442"/>
      <c r="K103" s="1442"/>
      <c r="L103" s="1442"/>
      <c r="M103" s="1442"/>
      <c r="N103" s="1442"/>
      <c r="O103" s="1442"/>
      <c r="P103" s="1435"/>
    </row>
    <row r="104" spans="2:16" s="1570" customFormat="1" ht="5.25" customHeight="1" x14ac:dyDescent="0.2">
      <c r="B104" s="1433"/>
      <c r="C104" s="1434"/>
      <c r="D104" s="1434"/>
      <c r="E104" s="1434"/>
      <c r="F104" s="1434"/>
      <c r="G104" s="1434"/>
      <c r="H104" s="1434"/>
      <c r="I104" s="1434"/>
      <c r="J104" s="1434"/>
      <c r="K104" s="1434"/>
      <c r="L104" s="1434"/>
      <c r="M104" s="1434"/>
      <c r="N104" s="1434"/>
      <c r="O104" s="1434"/>
      <c r="P104" s="1435"/>
    </row>
    <row r="105" spans="2:16" s="1570" customFormat="1" ht="15.75" x14ac:dyDescent="0.25">
      <c r="B105" s="1436"/>
      <c r="C105" s="1727" t="s">
        <v>64</v>
      </c>
      <c r="D105" s="1727" t="s">
        <v>150</v>
      </c>
      <c r="E105" s="1727" t="s">
        <v>172</v>
      </c>
      <c r="F105" s="1727" t="s">
        <v>241</v>
      </c>
      <c r="G105" s="1727" t="s">
        <v>268</v>
      </c>
      <c r="H105" s="1727" t="s">
        <v>269</v>
      </c>
      <c r="I105" s="1727" t="s">
        <v>270</v>
      </c>
      <c r="J105" s="1727" t="s">
        <v>271</v>
      </c>
      <c r="K105" s="1727" t="s">
        <v>272</v>
      </c>
      <c r="L105" s="1727" t="s">
        <v>273</v>
      </c>
      <c r="M105" s="1727" t="s">
        <v>274</v>
      </c>
      <c r="N105" s="1727" t="s">
        <v>275</v>
      </c>
      <c r="O105" s="1443"/>
    </row>
    <row r="106" spans="2:16" s="1570" customFormat="1" ht="15.75" x14ac:dyDescent="0.25">
      <c r="B106" s="1436"/>
      <c r="C106" s="2011" t="s">
        <v>1395</v>
      </c>
      <c r="D106" s="2012" t="str">
        <f>INDEX(CostVectors[Description], MATCH(C106, CostVectors[Code], 0))</f>
        <v>High estimate of fuel costs</v>
      </c>
      <c r="E106" s="2012"/>
      <c r="F106" s="2013">
        <f t="shared" ref="F106:N106" ca="1" si="24">F57</f>
        <v>-28962460960.214573</v>
      </c>
      <c r="G106" s="2013">
        <f t="shared" ca="1" si="24"/>
        <v>-36130518085.524994</v>
      </c>
      <c r="H106" s="2013">
        <f t="shared" ca="1" si="24"/>
        <v>56786902934.573326</v>
      </c>
      <c r="I106" s="2013">
        <f t="shared" ca="1" si="24"/>
        <v>493917516816.68134</v>
      </c>
      <c r="J106" s="2013">
        <f t="shared" ca="1" si="24"/>
        <v>1332909004656.9517</v>
      </c>
      <c r="K106" s="2013">
        <f t="shared" ca="1" si="24"/>
        <v>2509541311376.3159</v>
      </c>
      <c r="L106" s="2013">
        <f t="shared" ca="1" si="24"/>
        <v>3761674655224.0337</v>
      </c>
      <c r="M106" s="2013">
        <f t="shared" ca="1" si="24"/>
        <v>5004430239986.4219</v>
      </c>
      <c r="N106" s="2013">
        <f t="shared" ca="1" si="24"/>
        <v>6402022920225.4609</v>
      </c>
      <c r="O106" s="1443"/>
    </row>
    <row r="107" spans="2:16" s="2061" customFormat="1" ht="15.75" x14ac:dyDescent="0.25">
      <c r="B107" s="1436"/>
      <c r="C107" s="1438" t="s">
        <v>1869</v>
      </c>
      <c r="D107" s="1439" t="str">
        <f>INDEX(CostVectors[Description], MATCH(C107, CostVectors[Code], 0))</f>
        <v>Point estimate of fuel costs</v>
      </c>
      <c r="E107" s="1439"/>
      <c r="F107" s="1196">
        <f t="shared" ref="F107:N107" ca="1" si="25">F63</f>
        <v>-28962460960.214573</v>
      </c>
      <c r="G107" s="1196">
        <f t="shared" ca="1" si="25"/>
        <v>-32442748678.90398</v>
      </c>
      <c r="H107" s="1196">
        <f t="shared" ca="1" si="25"/>
        <v>46577274910.775391</v>
      </c>
      <c r="I107" s="1196">
        <f t="shared" ca="1" si="25"/>
        <v>374910635589.3092</v>
      </c>
      <c r="J107" s="1196">
        <f t="shared" ca="1" si="25"/>
        <v>945935422659.77197</v>
      </c>
      <c r="K107" s="1196">
        <f t="shared" ca="1" si="25"/>
        <v>1780964801621.9014</v>
      </c>
      <c r="L107" s="1196">
        <f t="shared" ca="1" si="25"/>
        <v>2669575561771.8945</v>
      </c>
      <c r="M107" s="1196">
        <f t="shared" ca="1" si="25"/>
        <v>3551531138054.8799</v>
      </c>
      <c r="N107" s="1196">
        <f t="shared" ca="1" si="25"/>
        <v>4543371104676.1338</v>
      </c>
      <c r="O107" s="1443"/>
    </row>
    <row r="108" spans="2:16" s="1570" customFormat="1" ht="14.25" x14ac:dyDescent="0.2">
      <c r="B108" s="1444"/>
      <c r="C108" s="1889" t="s">
        <v>1386</v>
      </c>
      <c r="D108" s="1891" t="str">
        <f>INDEX(CostVectors[Description], MATCH(C108, CostVectors[Code], 0))</f>
        <v>Low estimate of fuel costs</v>
      </c>
      <c r="E108" s="2074"/>
      <c r="F108" s="2068">
        <f t="shared" ref="F108:N108" ca="1" si="26">F69</f>
        <v>-28962460960.214573</v>
      </c>
      <c r="G108" s="2068">
        <f t="shared" ca="1" si="26"/>
        <v>-29984235741.156635</v>
      </c>
      <c r="H108" s="2068">
        <f t="shared" ca="1" si="26"/>
        <v>39770856228.243439</v>
      </c>
      <c r="I108" s="2068">
        <f t="shared" ca="1" si="26"/>
        <v>295572714771.06116</v>
      </c>
      <c r="J108" s="2068">
        <f t="shared" ca="1" si="26"/>
        <v>687953034661.65234</v>
      </c>
      <c r="K108" s="2068">
        <f t="shared" ca="1" si="26"/>
        <v>1295247128452.2917</v>
      </c>
      <c r="L108" s="2068">
        <f t="shared" ca="1" si="26"/>
        <v>1941509499470.4687</v>
      </c>
      <c r="M108" s="2068">
        <f t="shared" ca="1" si="26"/>
        <v>2582931736767.1851</v>
      </c>
      <c r="N108" s="2068">
        <f t="shared" ca="1" si="26"/>
        <v>3304269894309.915</v>
      </c>
      <c r="O108" s="1445"/>
    </row>
    <row r="109" spans="2:16" s="1570" customFormat="1" ht="14.25" x14ac:dyDescent="0.2">
      <c r="B109" s="1446"/>
      <c r="C109" s="1440"/>
      <c r="D109" s="1440"/>
      <c r="E109" s="1440"/>
      <c r="F109" s="1440"/>
      <c r="G109" s="1440"/>
      <c r="H109" s="1440"/>
      <c r="I109" s="1440"/>
      <c r="J109" s="1440"/>
      <c r="K109" s="1440"/>
      <c r="L109" s="1440"/>
      <c r="M109" s="1440"/>
      <c r="N109" s="1440"/>
      <c r="O109" s="1440"/>
      <c r="P109" s="1447"/>
    </row>
    <row r="110" spans="2:16" s="1570" customFormat="1" ht="15.75" customHeight="1" x14ac:dyDescent="0.2">
      <c r="B110" s="1433"/>
      <c r="C110" s="1441" t="s">
        <v>118</v>
      </c>
      <c r="D110" s="1442"/>
      <c r="E110" s="1442"/>
      <c r="F110" s="1442"/>
      <c r="G110" s="1442"/>
      <c r="H110" s="1442"/>
      <c r="I110" s="1442"/>
      <c r="J110" s="1442"/>
      <c r="K110" s="1442"/>
      <c r="L110" s="1442"/>
      <c r="M110" s="1442"/>
      <c r="N110" s="1442"/>
      <c r="O110" s="1442"/>
      <c r="P110" s="1435"/>
    </row>
    <row r="111" spans="2:16" s="1570" customFormat="1" ht="5.25" customHeight="1" x14ac:dyDescent="0.2">
      <c r="B111" s="1433"/>
      <c r="C111" s="1434"/>
      <c r="D111" s="1434"/>
      <c r="E111" s="1434"/>
      <c r="F111" s="1434"/>
      <c r="G111" s="1434"/>
      <c r="H111" s="1434"/>
      <c r="I111" s="1434"/>
      <c r="J111" s="1434"/>
      <c r="K111" s="1434"/>
      <c r="L111" s="1434"/>
      <c r="M111" s="1434"/>
      <c r="N111" s="1434"/>
      <c r="O111" s="1434"/>
      <c r="P111" s="1435"/>
    </row>
    <row r="112" spans="2:16" s="1570" customFormat="1" ht="15.75" x14ac:dyDescent="0.25">
      <c r="B112" s="1436"/>
      <c r="C112" s="1727" t="s">
        <v>64</v>
      </c>
      <c r="D112" s="1727" t="s">
        <v>150</v>
      </c>
      <c r="E112" s="1727" t="s">
        <v>172</v>
      </c>
      <c r="F112" s="1727" t="s">
        <v>241</v>
      </c>
      <c r="G112" s="1727" t="s">
        <v>268</v>
      </c>
      <c r="H112" s="1727" t="s">
        <v>269</v>
      </c>
      <c r="I112" s="1727" t="s">
        <v>270</v>
      </c>
      <c r="J112" s="1727" t="s">
        <v>271</v>
      </c>
      <c r="K112" s="1727" t="s">
        <v>272</v>
      </c>
      <c r="L112" s="1727" t="s">
        <v>273</v>
      </c>
      <c r="M112" s="1727" t="s">
        <v>274</v>
      </c>
      <c r="N112" s="1727" t="s">
        <v>275</v>
      </c>
      <c r="O112" s="1443"/>
    </row>
    <row r="113" spans="2:16" s="1570" customFormat="1" ht="15.75" x14ac:dyDescent="0.25">
      <c r="B113" s="1436"/>
      <c r="C113" s="2011" t="s">
        <v>1395</v>
      </c>
      <c r="D113" s="2012" t="str">
        <f>INDEX(CostVectors[Description], MATCH(C113, CostVectors[Code], 0))</f>
        <v>High estimate of fuel costs</v>
      </c>
      <c r="E113" s="2012"/>
      <c r="F113" s="2013">
        <f t="shared" ref="F113:N113" ca="1" si="27">F58</f>
        <v>-9428228078494.5449</v>
      </c>
      <c r="G113" s="2013">
        <f t="shared" ca="1" si="27"/>
        <v>-11758712358243.752</v>
      </c>
      <c r="H113" s="2013">
        <f t="shared" ca="1" si="27"/>
        <v>-15107144520294.74</v>
      </c>
      <c r="I113" s="2013">
        <f t="shared" ca="1" si="27"/>
        <v>-17988772542603.785</v>
      </c>
      <c r="J113" s="2013">
        <f t="shared" ca="1" si="27"/>
        <v>-20380478770248.953</v>
      </c>
      <c r="K113" s="2013">
        <f t="shared" ca="1" si="27"/>
        <v>-20084984424901.176</v>
      </c>
      <c r="L113" s="2013">
        <f t="shared" ca="1" si="27"/>
        <v>-19921746679338.82</v>
      </c>
      <c r="M113" s="2013">
        <f t="shared" ca="1" si="27"/>
        <v>-19775171969836.574</v>
      </c>
      <c r="N113" s="2013">
        <f t="shared" ca="1" si="27"/>
        <v>-20163285024797.926</v>
      </c>
      <c r="O113" s="1443"/>
    </row>
    <row r="114" spans="2:16" s="2061" customFormat="1" ht="15.75" x14ac:dyDescent="0.25">
      <c r="B114" s="1436"/>
      <c r="C114" s="1438" t="s">
        <v>1869</v>
      </c>
      <c r="D114" s="1439" t="str">
        <f>INDEX(CostVectors[Description], MATCH(C114, CostVectors[Code], 0))</f>
        <v>Point estimate of fuel costs</v>
      </c>
      <c r="E114" s="1439"/>
      <c r="F114" s="1196">
        <f t="shared" ref="F114:N114" ca="1" si="28">F64</f>
        <v>-9428228078494.5449</v>
      </c>
      <c r="G114" s="1196">
        <f t="shared" ca="1" si="28"/>
        <v>-10644323401498.516</v>
      </c>
      <c r="H114" s="1196">
        <f t="shared" ca="1" si="28"/>
        <v>-12728280544149.398</v>
      </c>
      <c r="I114" s="1196">
        <f t="shared" ca="1" si="28"/>
        <v>-14354816803205.408</v>
      </c>
      <c r="J114" s="1196">
        <f t="shared" ca="1" si="28"/>
        <v>-15585072000778.609</v>
      </c>
      <c r="K114" s="1196">
        <f t="shared" ca="1" si="28"/>
        <v>-15359105736689.133</v>
      </c>
      <c r="L114" s="1196">
        <f t="shared" ca="1" si="28"/>
        <v>-15234276872435.566</v>
      </c>
      <c r="M114" s="1196">
        <f t="shared" ca="1" si="28"/>
        <v>-15122190329875.025</v>
      </c>
      <c r="N114" s="1196">
        <f t="shared" ca="1" si="28"/>
        <v>-15418982666021.941</v>
      </c>
      <c r="O114" s="1443"/>
    </row>
    <row r="115" spans="2:16" s="1570" customFormat="1" ht="14.25" x14ac:dyDescent="0.2">
      <c r="B115" s="1444"/>
      <c r="C115" s="1889" t="s">
        <v>1386</v>
      </c>
      <c r="D115" s="1891" t="str">
        <f>INDEX(CostVectors[Description], MATCH(C115, CostVectors[Code], 0))</f>
        <v>Low estimate of fuel costs</v>
      </c>
      <c r="E115" s="2074"/>
      <c r="F115" s="2068">
        <f t="shared" ref="F115:N115" ca="1" si="29">F70</f>
        <v>-9428228078494.5449</v>
      </c>
      <c r="G115" s="2068">
        <f t="shared" ca="1" si="29"/>
        <v>-9112038585973.8223</v>
      </c>
      <c r="H115" s="2068">
        <f t="shared" ca="1" si="29"/>
        <v>-9457342576949.5566</v>
      </c>
      <c r="I115" s="2068">
        <f t="shared" ca="1" si="29"/>
        <v>-9358127661532.6445</v>
      </c>
      <c r="J115" s="2068">
        <f t="shared" ca="1" si="29"/>
        <v>-8991387692756.8906</v>
      </c>
      <c r="K115" s="2068">
        <f t="shared" ca="1" si="29"/>
        <v>-8861022540397.5781</v>
      </c>
      <c r="L115" s="2068">
        <f t="shared" ca="1" si="29"/>
        <v>-8789005887943.5977</v>
      </c>
      <c r="M115" s="2068">
        <f t="shared" ca="1" si="29"/>
        <v>-8724340574927.9004</v>
      </c>
      <c r="N115" s="2068">
        <f t="shared" ca="1" si="29"/>
        <v>-8895566922704.9687</v>
      </c>
      <c r="O115" s="1445"/>
    </row>
    <row r="116" spans="2:16" s="1570" customFormat="1" ht="14.25" x14ac:dyDescent="0.2">
      <c r="B116" s="1446"/>
      <c r="C116" s="1440"/>
      <c r="D116" s="1440"/>
      <c r="E116" s="1440"/>
      <c r="F116" s="1440"/>
      <c r="G116" s="1440"/>
      <c r="H116" s="1440"/>
      <c r="I116" s="1440"/>
      <c r="J116" s="1440"/>
      <c r="K116" s="1440"/>
      <c r="L116" s="1440"/>
      <c r="M116" s="1440"/>
      <c r="N116" s="1440"/>
      <c r="O116" s="1440"/>
      <c r="P116" s="1447"/>
    </row>
    <row r="117" spans="2:16" s="1353" customFormat="1" ht="15.75" customHeight="1" x14ac:dyDescent="0.2">
      <c r="B117" s="1189"/>
      <c r="C117" s="1441" t="s">
        <v>10</v>
      </c>
      <c r="D117" s="1368"/>
      <c r="E117" s="1368"/>
      <c r="F117" s="1368"/>
      <c r="G117" s="1368"/>
      <c r="H117" s="1368"/>
      <c r="I117" s="1368"/>
      <c r="J117" s="1368"/>
      <c r="K117" s="1368"/>
      <c r="L117" s="1368"/>
      <c r="M117" s="1368"/>
      <c r="N117" s="1368"/>
      <c r="O117" s="1368"/>
      <c r="P117" s="1191"/>
    </row>
    <row r="118" spans="2:16" s="1353" customFormat="1" ht="5.25" customHeight="1" x14ac:dyDescent="0.2">
      <c r="B118" s="1189"/>
      <c r="C118" s="1190"/>
      <c r="D118" s="1190"/>
      <c r="E118" s="1190"/>
      <c r="F118" s="1190"/>
      <c r="G118" s="1190"/>
      <c r="H118" s="1190"/>
      <c r="I118" s="1190"/>
      <c r="J118" s="1190"/>
      <c r="K118" s="1190"/>
      <c r="L118" s="1190"/>
      <c r="M118" s="1190"/>
      <c r="N118" s="1190"/>
      <c r="O118" s="1190"/>
      <c r="P118" s="1191"/>
    </row>
    <row r="119" spans="2:16" s="1353" customFormat="1" ht="15.75" x14ac:dyDescent="0.25">
      <c r="B119" s="1192"/>
      <c r="C119" s="1193" t="s">
        <v>64</v>
      </c>
      <c r="D119" s="1193" t="s">
        <v>150</v>
      </c>
      <c r="E119" s="1193" t="s">
        <v>172</v>
      </c>
      <c r="F119" s="1193" t="s">
        <v>241</v>
      </c>
      <c r="G119" s="1193" t="s">
        <v>268</v>
      </c>
      <c r="H119" s="1193" t="s">
        <v>269</v>
      </c>
      <c r="I119" s="1193" t="s">
        <v>270</v>
      </c>
      <c r="J119" s="1193" t="s">
        <v>271</v>
      </c>
      <c r="K119" s="1193" t="s">
        <v>272</v>
      </c>
      <c r="L119" s="1193" t="s">
        <v>273</v>
      </c>
      <c r="M119" s="1193" t="s">
        <v>274</v>
      </c>
      <c r="N119" s="1193" t="s">
        <v>275</v>
      </c>
      <c r="O119" s="1369"/>
    </row>
    <row r="120" spans="2:16" s="1353" customFormat="1" ht="15.75" x14ac:dyDescent="0.25">
      <c r="B120" s="1192"/>
      <c r="C120" s="1194" t="s">
        <v>1395</v>
      </c>
      <c r="D120" s="1195" t="str">
        <f>INDEX(CostVectors[Description], MATCH(C120, CostVectors[Code], 0))</f>
        <v>High estimate of fuel costs</v>
      </c>
      <c r="E120" s="1383"/>
      <c r="F120" s="1384">
        <f t="shared" ref="F120:N120" ca="1" si="30">F59</f>
        <v>-2669908701238.8242</v>
      </c>
      <c r="G120" s="1384">
        <f t="shared" ca="1" si="30"/>
        <v>-3964100682285.5444</v>
      </c>
      <c r="H120" s="1384">
        <f t="shared" ca="1" si="30"/>
        <v>-4619600515678.9199</v>
      </c>
      <c r="I120" s="1384">
        <f t="shared" ca="1" si="30"/>
        <v>-5957796431128.1357</v>
      </c>
      <c r="J120" s="1384">
        <f t="shared" ca="1" si="30"/>
        <v>-6792332331019.3174</v>
      </c>
      <c r="K120" s="1384">
        <f t="shared" ca="1" si="30"/>
        <v>-6286988449690.1191</v>
      </c>
      <c r="L120" s="1384">
        <f t="shared" ca="1" si="30"/>
        <v>-5801505799090.0342</v>
      </c>
      <c r="M120" s="1384">
        <f t="shared" ca="1" si="30"/>
        <v>-5375511498646.667</v>
      </c>
      <c r="N120" s="1384">
        <f t="shared" ca="1" si="30"/>
        <v>-4951498497918.832</v>
      </c>
      <c r="O120" s="1369"/>
    </row>
    <row r="121" spans="2:16" s="2061" customFormat="1" ht="15.75" x14ac:dyDescent="0.25">
      <c r="B121" s="1436"/>
      <c r="C121" s="1438" t="s">
        <v>1869</v>
      </c>
      <c r="D121" s="1439" t="str">
        <f>INDEX(CostVectors[Description], MATCH(C121, CostVectors[Code], 0))</f>
        <v>Point estimate of fuel costs</v>
      </c>
      <c r="E121" s="1930"/>
      <c r="F121" s="1196">
        <f t="shared" ref="F121:N121" ca="1" si="31">F65</f>
        <v>-2669908701238.8242</v>
      </c>
      <c r="G121" s="1196">
        <f t="shared" ca="1" si="31"/>
        <v>-3451501456127.9312</v>
      </c>
      <c r="H121" s="1196">
        <f t="shared" ca="1" si="31"/>
        <v>-3657183741579.146</v>
      </c>
      <c r="I121" s="1196">
        <f t="shared" ca="1" si="31"/>
        <v>-4399070620658.5664</v>
      </c>
      <c r="J121" s="1196">
        <f t="shared" ca="1" si="31"/>
        <v>-4754632631713.5225</v>
      </c>
      <c r="K121" s="1196">
        <f t="shared" ca="1" si="31"/>
        <v>-4400891914783.083</v>
      </c>
      <c r="L121" s="1196">
        <f t="shared" ca="1" si="31"/>
        <v>-4061054059363.0239</v>
      </c>
      <c r="M121" s="1196">
        <f t="shared" ca="1" si="31"/>
        <v>-3762858049052.6665</v>
      </c>
      <c r="N121" s="1196">
        <f t="shared" ca="1" si="31"/>
        <v>-3466048948543.1816</v>
      </c>
      <c r="O121" s="1443"/>
    </row>
    <row r="122" spans="2:16" s="1353" customFormat="1" ht="14.25" x14ac:dyDescent="0.2">
      <c r="B122" s="1370"/>
      <c r="C122" s="1194" t="s">
        <v>1386</v>
      </c>
      <c r="D122" s="1195" t="str">
        <f>INDEX(CostVectors[Description], MATCH(C122, CostVectors[Code], 0))</f>
        <v>Low estimate of fuel costs</v>
      </c>
      <c r="E122" s="1383"/>
      <c r="F122" s="1384">
        <f t="shared" ref="F122:N122" ca="1" si="32">F71</f>
        <v>-2669908701238.8242</v>
      </c>
      <c r="G122" s="1384">
        <f t="shared" ca="1" si="32"/>
        <v>-3024335434329.9199</v>
      </c>
      <c r="H122" s="1384">
        <f t="shared" ca="1" si="32"/>
        <v>-2855169763162.666</v>
      </c>
      <c r="I122" s="1384">
        <f t="shared" ca="1" si="32"/>
        <v>-3100132445267.2563</v>
      </c>
      <c r="J122" s="1384">
        <f t="shared" ca="1" si="32"/>
        <v>-3056549548958.6929</v>
      </c>
      <c r="K122" s="1384">
        <f t="shared" ca="1" si="32"/>
        <v>-2761033506587.4409</v>
      </c>
      <c r="L122" s="1384">
        <f t="shared" ca="1" si="32"/>
        <v>-2610677609590.5156</v>
      </c>
      <c r="M122" s="1384">
        <f t="shared" ca="1" si="32"/>
        <v>-2418980174391</v>
      </c>
      <c r="N122" s="1384">
        <f t="shared" ca="1" si="32"/>
        <v>-2228174324063.4741</v>
      </c>
      <c r="O122" s="1371"/>
    </row>
    <row r="123" spans="2:16" s="1353" customFormat="1" ht="14.25" x14ac:dyDescent="0.2">
      <c r="B123" s="1372"/>
      <c r="C123" s="1197"/>
      <c r="D123" s="1197"/>
      <c r="E123" s="1197"/>
      <c r="F123" s="1197"/>
      <c r="G123" s="1197"/>
      <c r="H123" s="1197"/>
      <c r="I123" s="1197"/>
      <c r="J123" s="1197"/>
      <c r="K123" s="1197"/>
      <c r="L123" s="1197"/>
      <c r="M123" s="1197"/>
      <c r="N123" s="1197"/>
      <c r="O123" s="1197"/>
      <c r="P123" s="1373"/>
    </row>
    <row r="124" spans="2:16" s="38" customFormat="1" x14ac:dyDescent="0.2"/>
  </sheetData>
  <pageMargins left="0.7" right="0.7" top="0.75" bottom="0.75" header="0.3" footer="0.3"/>
  <pageSetup paperSize="9" orientation="portrait" horizontalDpi="4294967292" verticalDpi="4294967292"/>
  <tableParts count="8">
    <tablePart r:id="rId1"/>
    <tablePart r:id="rId2"/>
    <tablePart r:id="rId3"/>
    <tablePart r:id="rId4"/>
    <tablePart r:id="rId5"/>
    <tablePart r:id="rId6"/>
    <tablePart r:id="rId7"/>
    <tablePart r:id="rId8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 enableFormatConditionsCalculation="0">
    <tabColor theme="6" tint="0.39997558519241921"/>
    <pageSetUpPr autoPageBreaks="0"/>
  </sheetPr>
  <dimension ref="A1:CW129"/>
  <sheetViews>
    <sheetView windowProtection="1" zoomScale="106" zoomScaleNormal="106" workbookViewId="0"/>
  </sheetViews>
  <sheetFormatPr defaultColWidth="8.7109375" defaultRowHeight="12.75" outlineLevelRow="2" outlineLevelCol="2" x14ac:dyDescent="0.2"/>
  <cols>
    <col min="1" max="1" width="1.7109375" style="38" customWidth="1"/>
    <col min="2" max="2" width="1.42578125" style="38" customWidth="1"/>
    <col min="3" max="3" width="4.42578125" style="50" customWidth="1"/>
    <col min="4" max="4" width="6.7109375" style="51" customWidth="1"/>
    <col min="5" max="5" width="41.7109375" style="51" customWidth="1"/>
    <col min="6" max="6" width="1.140625" style="38" customWidth="1" outlineLevel="1"/>
    <col min="7" max="11" width="10" style="51" customWidth="1" outlineLevel="2"/>
    <col min="12" max="12" width="10" style="65" customWidth="1" outlineLevel="2"/>
    <col min="13" max="15" width="10" style="51" customWidth="1" outlineLevel="2"/>
    <col min="16" max="16" width="10" style="51" customWidth="1" outlineLevel="1"/>
    <col min="17" max="17" width="1.140625" style="38" customWidth="1" outlineLevel="1"/>
    <col min="18" max="33" width="10" style="51" customWidth="1" outlineLevel="2"/>
    <col min="34" max="34" width="10" style="51" customWidth="1" outlineLevel="1"/>
    <col min="35" max="35" width="1.140625" style="38" customWidth="1" outlineLevel="1"/>
    <col min="36" max="50" width="10" style="51" customWidth="1" outlineLevel="2"/>
    <col min="51" max="51" width="10" style="51" customWidth="1" outlineLevel="1"/>
    <col min="52" max="52" width="1.140625" style="38" customWidth="1" outlineLevel="1"/>
    <col min="53" max="54" width="10" style="51" customWidth="1" outlineLevel="2"/>
    <col min="55" max="55" width="10" style="51" customWidth="1" outlineLevel="1"/>
    <col min="56" max="56" width="1.140625" style="38" customWidth="1" outlineLevel="1"/>
    <col min="57" max="57" width="11" style="51" customWidth="1" outlineLevel="1"/>
    <col min="58" max="58" width="5.28515625" style="51" customWidth="1"/>
    <col min="59" max="59" width="8.7109375" style="38"/>
    <col min="60" max="99" width="7.42578125" style="38" customWidth="1"/>
    <col min="100" max="100" width="2.42578125" style="38" customWidth="1"/>
    <col min="101" max="16384" width="8.7109375" style="38"/>
  </cols>
  <sheetData>
    <row r="1" spans="1:101" ht="6" customHeight="1" x14ac:dyDescent="0.2"/>
    <row r="2" spans="1:101" ht="21" customHeight="1" x14ac:dyDescent="0.2">
      <c r="D2" s="43"/>
      <c r="E2" s="252">
        <v>2010</v>
      </c>
      <c r="G2" s="38"/>
      <c r="H2" s="38"/>
      <c r="I2" s="2370"/>
      <c r="J2" s="38"/>
      <c r="K2" s="38"/>
      <c r="L2" s="38"/>
      <c r="M2" s="38"/>
      <c r="N2" s="38"/>
      <c r="O2" s="2479"/>
      <c r="P2" s="38"/>
      <c r="R2" s="38"/>
      <c r="S2" s="38"/>
      <c r="T2" s="38"/>
      <c r="U2" s="38"/>
      <c r="V2" s="38"/>
      <c r="W2" s="2370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BA2" s="38"/>
      <c r="BB2" s="38"/>
      <c r="BC2" s="38"/>
      <c r="BE2" s="38"/>
      <c r="BF2" s="72"/>
    </row>
    <row r="3" spans="1:101" ht="39" customHeight="1" x14ac:dyDescent="0.2">
      <c r="A3" s="90"/>
      <c r="B3" s="90"/>
      <c r="C3" s="90"/>
      <c r="D3" s="44"/>
      <c r="E3" s="133" t="str">
        <f>Preferences.EnergyUnits</f>
        <v>TWh</v>
      </c>
      <c r="G3" s="281" t="s">
        <v>293</v>
      </c>
      <c r="H3" s="281"/>
      <c r="I3" s="281"/>
      <c r="J3" s="281"/>
      <c r="K3" s="281"/>
      <c r="L3" s="281"/>
      <c r="M3" s="281"/>
      <c r="N3" s="281"/>
      <c r="O3" s="281"/>
      <c r="P3" s="281"/>
      <c r="R3" s="375" t="s">
        <v>239</v>
      </c>
      <c r="S3" s="376"/>
      <c r="T3" s="376"/>
      <c r="U3" s="376"/>
      <c r="V3" s="376"/>
      <c r="W3" s="376"/>
      <c r="X3" s="380"/>
      <c r="Y3" s="376"/>
      <c r="Z3" s="376"/>
      <c r="AA3" s="376"/>
      <c r="AB3" s="376"/>
      <c r="AC3" s="376"/>
      <c r="AD3" s="376"/>
      <c r="AE3" s="376"/>
      <c r="AF3" s="376"/>
      <c r="AG3" s="376"/>
      <c r="AH3" s="379"/>
      <c r="AJ3" s="377" t="s">
        <v>481</v>
      </c>
      <c r="AK3" s="378"/>
      <c r="AL3" s="378"/>
      <c r="AM3" s="381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82"/>
      <c r="BA3" s="303" t="s">
        <v>387</v>
      </c>
      <c r="BB3" s="290"/>
      <c r="BC3" s="290"/>
      <c r="BE3" s="47"/>
      <c r="BF3" s="47"/>
      <c r="BG3" s="90"/>
      <c r="BH3" s="384" t="s">
        <v>485</v>
      </c>
      <c r="BI3" s="385"/>
      <c r="BJ3" s="385"/>
      <c r="BK3" s="385"/>
      <c r="BL3" s="385"/>
      <c r="BM3" s="385"/>
      <c r="BN3" s="385"/>
      <c r="BO3" s="385"/>
      <c r="BP3" s="385"/>
      <c r="BQ3" s="385"/>
      <c r="BR3" s="385"/>
      <c r="BS3" s="385"/>
      <c r="BT3" s="385"/>
      <c r="BU3" s="385"/>
      <c r="BV3" s="385"/>
      <c r="BW3" s="385"/>
      <c r="BX3" s="385"/>
      <c r="BY3" s="385"/>
      <c r="BZ3" s="385"/>
      <c r="CA3" s="385"/>
      <c r="CB3" s="385"/>
      <c r="CC3" s="385"/>
      <c r="CD3" s="385"/>
      <c r="CE3" s="385"/>
      <c r="CF3" s="385"/>
      <c r="CG3" s="385"/>
      <c r="CH3" s="385"/>
      <c r="CI3" s="385"/>
      <c r="CJ3" s="385"/>
      <c r="CK3" s="385"/>
      <c r="CL3" s="385"/>
      <c r="CM3" s="385"/>
      <c r="CN3" s="385"/>
      <c r="CO3" s="385"/>
      <c r="CP3" s="385"/>
      <c r="CQ3" s="385"/>
      <c r="CR3" s="514"/>
      <c r="CS3" s="514"/>
      <c r="CT3" s="514"/>
      <c r="CU3" s="514"/>
    </row>
    <row r="4" spans="1:101" ht="36.75" customHeight="1" x14ac:dyDescent="0.2">
      <c r="C4" s="48"/>
      <c r="D4" s="48"/>
      <c r="G4" s="253" t="str">
        <f>INDEX(Vectors[Description], MATCH(G$5,Vectors[Code],FALSE))</f>
        <v>Cooling</v>
      </c>
      <c r="H4" s="253" t="str">
        <f>INDEX(Vectors[Description], MATCH(H$5,Vectors[Code],FALSE))</f>
        <v>Lighting &amp; appliances</v>
      </c>
      <c r="I4" s="253" t="str">
        <f>INDEX(Vectors[Description], MATCH(I$5,Vectors[Code],FALSE))</f>
        <v>Cooking</v>
      </c>
      <c r="J4" s="253" t="str">
        <f>INDEX(Vectors[Description], MATCH(J$5,Vectors[Code],FALSE))</f>
        <v>Industry</v>
      </c>
      <c r="K4" s="253" t="str">
        <f>INDEX(Vectors[Description], MATCH(K$5,Vectors[Code],FALSE))</f>
        <v>Road transport</v>
      </c>
      <c r="L4" s="253" t="str">
        <f>INDEX(Vectors[Description], MATCH(L$5,Vectors[Code],FALSE))</f>
        <v>Rail transport</v>
      </c>
      <c r="M4" s="253" t="str">
        <f>INDEX(Vectors[Description], MATCH(M$5,Vectors[Code],FALSE))</f>
        <v>Domestic aviation</v>
      </c>
      <c r="N4" s="253" t="str">
        <f>INDEX(Vectors[Description], MATCH(N$5,Vectors[Code],FALSE))</f>
        <v>Berge</v>
      </c>
      <c r="O4" s="253" t="str">
        <f>INDEX(Vectors[Description], MATCH(O$5,Vectors[Code],FALSE))</f>
        <v>Pipeline</v>
      </c>
      <c r="P4" s="270" t="s">
        <v>391</v>
      </c>
      <c r="R4" s="254" t="str">
        <f>INDEX(Vectors[Description], MATCH(R$5,Vectors[Code],FALSE))</f>
        <v>Electricity (delivered to end user)</v>
      </c>
      <c r="S4" s="254" t="str">
        <f>INDEX(Vectors[Description], MATCH(S$5,Vectors[Code],FALSE))</f>
        <v>Electricity (supplied to grid)</v>
      </c>
      <c r="T4" s="254" t="str">
        <f>INDEX(Vectors[Description], MATCH(T$5,Vectors[Code],FALSE))</f>
        <v>Solid hydrocarbons</v>
      </c>
      <c r="U4" s="254" t="str">
        <f>INDEX(Vectors[Description], MATCH(U$5,Vectors[Code],FALSE))</f>
        <v>Liquid hydrocarbons</v>
      </c>
      <c r="V4" s="254" t="str">
        <f>INDEX(Vectors[Description], MATCH(V$5,Vectors[Code],FALSE))</f>
        <v>Gaseous hydrocarbons</v>
      </c>
      <c r="W4" s="254" t="str">
        <f>INDEX(Vectors[Description], MATCH(W$5,Vectors[Code],FALSE))</f>
        <v>Traditional Fuel</v>
      </c>
      <c r="X4" s="254" t="str">
        <f>INDEX(Vectors[Description], MATCH(X$5,Vectors[Code],FALSE))</f>
        <v>Coal and fossil waste</v>
      </c>
      <c r="Y4" s="254" t="str">
        <f>INDEX(Vectors[Description], MATCH(Y$5,Vectors[Code],FALSE))</f>
        <v>Oil and petroleum products</v>
      </c>
      <c r="Z4" s="254" t="str">
        <f>INDEX(Vectors[Description], MATCH(Z$5,Vectors[Code],FALSE))</f>
        <v>Natural gas</v>
      </c>
      <c r="AA4" s="254" t="str">
        <f>INDEX(Vectors[Description], MATCH(AA$5,Vectors[Code],FALSE))</f>
        <v>Blast furnace gas</v>
      </c>
      <c r="AB4" s="254" t="str">
        <f>INDEX(Vectors[Description], MATCH(AB$5,Vectors[Code],FALSE))</f>
        <v>Edible biomass</v>
      </c>
      <c r="AC4" s="254" t="str">
        <f>INDEX(Vectors[Description], MATCH(AC$5,Vectors[Code],FALSE))</f>
        <v>Energy crops (second generation)</v>
      </c>
      <c r="AD4" s="254" t="str">
        <f>INDEX(Vectors[Description], MATCH(AD$5,Vectors[Code],FALSE))</f>
        <v>Energy crops (first generation)</v>
      </c>
      <c r="AE4" s="254" t="str">
        <f>INDEX(Vectors[Description], MATCH(AE$5,Vectors[Code],FALSE))</f>
        <v>Dry biomass and waste</v>
      </c>
      <c r="AF4" s="254" t="str">
        <f>INDEX(Vectors[Description], MATCH(AF$5,Vectors[Code],FALSE))</f>
        <v>Wet biomass and waste</v>
      </c>
      <c r="AG4" s="254" t="str">
        <f>INDEX(Vectors[Description], MATCH(AG$5,Vectors[Code],FALSE))</f>
        <v>Gaseous waste</v>
      </c>
      <c r="AH4" s="284" t="s">
        <v>237</v>
      </c>
      <c r="AJ4" s="268" t="str">
        <f>INDEX(Vectors[Description], MATCH(AJ$5,Vectors[Code],FALSE))</f>
        <v>Coal reserves</v>
      </c>
      <c r="AK4" s="268" t="str">
        <f>INDEX(Vectors[Description], MATCH(AK$5,Vectors[Code],FALSE))</f>
        <v>Oil reserves</v>
      </c>
      <c r="AL4" s="268" t="str">
        <f>INDEX(Vectors[Description], MATCH(AL$5,Vectors[Code],FALSE))</f>
        <v>Gas reserves</v>
      </c>
      <c r="AM4" s="268" t="str">
        <f>INDEX(Vectors[Description], MATCH(AM$5,Vectors[Code],FALSE))</f>
        <v>Biomass oversupply (imports)</v>
      </c>
      <c r="AN4" s="268" t="str">
        <f>INDEX(Vectors[Description], MATCH(AN$5,Vectors[Code],FALSE))</f>
        <v>Electricity oversupply (imports)</v>
      </c>
      <c r="AO4" s="268" t="str">
        <f>INDEX(Vectors[Description], MATCH(AO$5,Vectors[Code],FALSE))</f>
        <v>Petroleum products oversupply</v>
      </c>
      <c r="AP4" s="268" t="str">
        <f>INDEX(Vectors[Description], MATCH(AP$5,Vectors[Code],FALSE))</f>
        <v>Coal oversupply (imports)</v>
      </c>
      <c r="AQ4" s="268" t="str">
        <f>INDEX(Vectors[Description], MATCH(AQ$5,Vectors[Code],FALSE))</f>
        <v>Oil and petroleum products oversupply (imports)</v>
      </c>
      <c r="AR4" s="268" t="str">
        <f>INDEX(Vectors[Description], MATCH(AR$5,Vectors[Code],FALSE))</f>
        <v>Gas oversupply (imports)</v>
      </c>
      <c r="AS4" s="268" t="str">
        <f>INDEX(Vectors[Description], MATCH(AS$5,Vectors[Code],FALSE))</f>
        <v>Nuclear fission</v>
      </c>
      <c r="AT4" s="268" t="str">
        <f>INDEX(Vectors[Description], MATCH(AT$5,Vectors[Code],FALSE))</f>
        <v>Solar</v>
      </c>
      <c r="AU4" s="268" t="str">
        <f>INDEX(Vectors[Description], MATCH(AU$5,Vectors[Code],FALSE))</f>
        <v>Wind</v>
      </c>
      <c r="AV4" s="268" t="str">
        <f>INDEX(Vectors[Description], MATCH(AV$5,Vectors[Code],FALSE))</f>
        <v>Hydro</v>
      </c>
      <c r="AW4" s="268" t="str">
        <f>INDEX(Vectors[Description], MATCH(AW$5,Vectors[Code],FALSE))</f>
        <v>Agriculture</v>
      </c>
      <c r="AX4" s="268" t="str">
        <f>INDEX(Vectors[Description], MATCH(AX$5,Vectors[Code],FALSE))</f>
        <v>Waste</v>
      </c>
      <c r="AY4" s="286" t="s">
        <v>238</v>
      </c>
      <c r="BA4" s="273" t="str">
        <f>INDEX(Vectors[Description], MATCH(BA$5,Vectors[Code],FALSE))</f>
        <v>Conversion losses</v>
      </c>
      <c r="BB4" s="273" t="str">
        <f>INDEX(Vectors[Description], MATCH(BB$5,Vectors[Code],FALSE))</f>
        <v>Distribution losses and own use</v>
      </c>
      <c r="BC4" s="288" t="s">
        <v>386</v>
      </c>
      <c r="BE4" s="49" t="str">
        <f>INDEX(Vectors[Description], MATCH(BE$5,Vectors[Code],FALSE))</f>
        <v>Unallocated</v>
      </c>
      <c r="BF4" s="49"/>
      <c r="BH4" s="389" t="str">
        <f>INDEX(IPCC[Sector_description], MATCH(BH$5, IPCC[Sector_code], 0))</f>
        <v>Fuel Combustion</v>
      </c>
      <c r="BI4" s="390"/>
      <c r="BJ4" s="390"/>
      <c r="BK4" s="391"/>
      <c r="BL4" s="389" t="str">
        <f>INDEX(IPCC[Sector_description], MATCH(BL$5, IPCC[Sector_code], 0))</f>
        <v>Fugitive Emissions from Fuels</v>
      </c>
      <c r="BM4" s="390"/>
      <c r="BN4" s="390"/>
      <c r="BO4" s="391"/>
      <c r="BP4" s="389" t="str">
        <f>INDEX(IPCC[Sector_description], MATCH(BP$5, IPCC[Sector_code], 0))</f>
        <v>Industrial Processes</v>
      </c>
      <c r="BQ4" s="390"/>
      <c r="BR4" s="390"/>
      <c r="BS4" s="391"/>
      <c r="BT4" s="389" t="str">
        <f>INDEX(IPCC[Sector_description], MATCH(BT$5, IPCC[Sector_code], 0))</f>
        <v>Solvent and Other Product Use</v>
      </c>
      <c r="BU4" s="390"/>
      <c r="BV4" s="390"/>
      <c r="BW4" s="391"/>
      <c r="BX4" s="389" t="str">
        <f>INDEX(IPCC[Sector_description], MATCH(BX$5, IPCC[Sector_code], 0))</f>
        <v>Agriculture</v>
      </c>
      <c r="BY4" s="390"/>
      <c r="BZ4" s="390"/>
      <c r="CA4" s="391"/>
      <c r="CB4" s="389" t="str">
        <f>INDEX(IPCC[Sector_description], MATCH(CB$5, IPCC[Sector_code], 0))</f>
        <v>LULUCF</v>
      </c>
      <c r="CC4" s="390"/>
      <c r="CD4" s="390"/>
      <c r="CE4" s="391"/>
      <c r="CF4" s="389" t="str">
        <f>INDEX(IPCC[Sector_description], MATCH(CF$5, IPCC[Sector_code], 0))</f>
        <v>Waste</v>
      </c>
      <c r="CG4" s="390"/>
      <c r="CH4" s="390"/>
      <c r="CI4" s="391"/>
      <c r="CJ4" s="389" t="str">
        <f>INDEX(IPCC[Sector_description], MATCH(CJ$5, IPCC[Sector_code], 0))</f>
        <v>Other</v>
      </c>
      <c r="CK4" s="390"/>
      <c r="CL4" s="390"/>
      <c r="CM4" s="391"/>
      <c r="CN4" s="389" t="str">
        <f>INDEX(IPCC[Sector_description], MATCH(CN$5, IPCC[Sector_code], 0))</f>
        <v>Bioenergy credit</v>
      </c>
      <c r="CO4" s="390"/>
      <c r="CP4" s="390"/>
      <c r="CQ4" s="391"/>
      <c r="CR4" s="389" t="str">
        <f>INDEX(IPCC[Sector_description], MATCH(CR$5, IPCC[Sector_code], 0))</f>
        <v>Carbon capture</v>
      </c>
      <c r="CS4" s="390"/>
      <c r="CT4" s="390"/>
      <c r="CU4" s="391"/>
      <c r="CW4" s="539" t="s">
        <v>105</v>
      </c>
    </row>
    <row r="5" spans="1:101" x14ac:dyDescent="0.2">
      <c r="D5" s="239" t="s">
        <v>117</v>
      </c>
      <c r="G5" s="271" t="s">
        <v>5</v>
      </c>
      <c r="H5" s="271" t="s">
        <v>44</v>
      </c>
      <c r="I5" s="271" t="s">
        <v>2205</v>
      </c>
      <c r="J5" s="271" t="s">
        <v>9</v>
      </c>
      <c r="K5" s="271" t="s">
        <v>28</v>
      </c>
      <c r="L5" s="271" t="s">
        <v>29</v>
      </c>
      <c r="M5" s="271" t="s">
        <v>30</v>
      </c>
      <c r="N5" s="271" t="s">
        <v>31</v>
      </c>
      <c r="O5" s="271" t="s">
        <v>2336</v>
      </c>
      <c r="P5" s="271"/>
      <c r="R5" s="272" t="s">
        <v>34</v>
      </c>
      <c r="S5" s="272" t="s">
        <v>35</v>
      </c>
      <c r="T5" s="272" t="s">
        <v>36</v>
      </c>
      <c r="U5" s="272" t="s">
        <v>38</v>
      </c>
      <c r="V5" s="272" t="s">
        <v>39</v>
      </c>
      <c r="W5" s="272" t="s">
        <v>2184</v>
      </c>
      <c r="X5" s="272" t="s">
        <v>51</v>
      </c>
      <c r="Y5" s="272" t="s">
        <v>52</v>
      </c>
      <c r="Z5" s="272" t="s">
        <v>53</v>
      </c>
      <c r="AA5" s="272" t="s">
        <v>92</v>
      </c>
      <c r="AB5" s="272" t="s">
        <v>295</v>
      </c>
      <c r="AC5" s="272" t="s">
        <v>871</v>
      </c>
      <c r="AD5" s="272" t="s">
        <v>1161</v>
      </c>
      <c r="AE5" s="272" t="s">
        <v>296</v>
      </c>
      <c r="AF5" s="272" t="s">
        <v>383</v>
      </c>
      <c r="AG5" s="272" t="s">
        <v>1164</v>
      </c>
      <c r="AH5" s="272"/>
      <c r="AJ5" s="269" t="s">
        <v>425</v>
      </c>
      <c r="AK5" s="269" t="s">
        <v>426</v>
      </c>
      <c r="AL5" s="269" t="s">
        <v>427</v>
      </c>
      <c r="AM5" s="269" t="s">
        <v>46</v>
      </c>
      <c r="AN5" s="269" t="s">
        <v>47</v>
      </c>
      <c r="AO5" s="269" t="s">
        <v>323</v>
      </c>
      <c r="AP5" s="269" t="s">
        <v>417</v>
      </c>
      <c r="AQ5" s="269" t="s">
        <v>418</v>
      </c>
      <c r="AR5" s="269" t="s">
        <v>419</v>
      </c>
      <c r="AS5" s="269" t="s">
        <v>6</v>
      </c>
      <c r="AT5" s="269" t="s">
        <v>25</v>
      </c>
      <c r="AU5" s="269" t="s">
        <v>7</v>
      </c>
      <c r="AV5" s="269" t="s">
        <v>8</v>
      </c>
      <c r="AW5" s="269" t="s">
        <v>451</v>
      </c>
      <c r="AX5" s="269" t="s">
        <v>42</v>
      </c>
      <c r="AY5" s="269"/>
      <c r="BA5" s="274" t="s">
        <v>26</v>
      </c>
      <c r="BB5" s="274" t="s">
        <v>27</v>
      </c>
      <c r="BC5" s="274"/>
      <c r="BE5" s="46" t="s">
        <v>48</v>
      </c>
      <c r="BF5" s="46"/>
      <c r="BH5" s="392" t="s">
        <v>483</v>
      </c>
      <c r="BI5" s="393" t="s">
        <v>483</v>
      </c>
      <c r="BJ5" s="393" t="s">
        <v>483</v>
      </c>
      <c r="BK5" s="394" t="s">
        <v>483</v>
      </c>
      <c r="BL5" s="392" t="s">
        <v>482</v>
      </c>
      <c r="BM5" s="393" t="s">
        <v>482</v>
      </c>
      <c r="BN5" s="393" t="s">
        <v>482</v>
      </c>
      <c r="BO5" s="394" t="s">
        <v>482</v>
      </c>
      <c r="BP5" s="392">
        <v>2</v>
      </c>
      <c r="BQ5" s="393">
        <v>2</v>
      </c>
      <c r="BR5" s="393">
        <v>2</v>
      </c>
      <c r="BS5" s="394">
        <v>2</v>
      </c>
      <c r="BT5" s="392">
        <v>3</v>
      </c>
      <c r="BU5" s="393">
        <v>3</v>
      </c>
      <c r="BV5" s="393">
        <v>3</v>
      </c>
      <c r="BW5" s="394">
        <v>3</v>
      </c>
      <c r="BX5" s="392">
        <v>4</v>
      </c>
      <c r="BY5" s="393">
        <v>4</v>
      </c>
      <c r="BZ5" s="393">
        <v>4</v>
      </c>
      <c r="CA5" s="394">
        <v>4</v>
      </c>
      <c r="CB5" s="392">
        <v>5</v>
      </c>
      <c r="CC5" s="393">
        <v>5</v>
      </c>
      <c r="CD5" s="393">
        <v>5</v>
      </c>
      <c r="CE5" s="394">
        <v>5</v>
      </c>
      <c r="CF5" s="392">
        <v>6</v>
      </c>
      <c r="CG5" s="393">
        <v>6</v>
      </c>
      <c r="CH5" s="393">
        <v>6</v>
      </c>
      <c r="CI5" s="394">
        <v>6</v>
      </c>
      <c r="CJ5" s="392">
        <v>7</v>
      </c>
      <c r="CK5" s="393">
        <v>7</v>
      </c>
      <c r="CL5" s="393">
        <v>7</v>
      </c>
      <c r="CM5" s="394">
        <v>7</v>
      </c>
      <c r="CN5" s="392" t="s">
        <v>469</v>
      </c>
      <c r="CO5" s="393" t="s">
        <v>469</v>
      </c>
      <c r="CP5" s="393" t="s">
        <v>469</v>
      </c>
      <c r="CQ5" s="394" t="s">
        <v>469</v>
      </c>
      <c r="CR5" s="392" t="s">
        <v>495</v>
      </c>
      <c r="CS5" s="393" t="s">
        <v>495</v>
      </c>
      <c r="CT5" s="393" t="s">
        <v>495</v>
      </c>
      <c r="CU5" s="394" t="s">
        <v>495</v>
      </c>
    </row>
    <row r="6" spans="1:101" ht="15.75" customHeight="1" x14ac:dyDescent="0.2">
      <c r="G6" s="242"/>
      <c r="H6" s="242"/>
      <c r="I6" s="242"/>
      <c r="J6" s="242"/>
      <c r="K6" s="242"/>
      <c r="L6" s="243"/>
      <c r="M6" s="242"/>
      <c r="N6" s="242"/>
      <c r="O6" s="242"/>
      <c r="P6" s="242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261"/>
      <c r="AV6" s="261"/>
      <c r="AW6" s="261"/>
      <c r="AX6" s="261"/>
      <c r="AY6" s="261"/>
      <c r="BA6" s="275"/>
      <c r="BB6" s="275"/>
      <c r="BC6" s="275"/>
      <c r="BE6" s="52"/>
      <c r="BF6" s="52"/>
      <c r="BH6" s="386" t="s">
        <v>473</v>
      </c>
      <c r="BI6" s="386" t="s">
        <v>474</v>
      </c>
      <c r="BJ6" s="386" t="s">
        <v>475</v>
      </c>
      <c r="BK6" s="386" t="s">
        <v>476</v>
      </c>
      <c r="BL6" s="386" t="s">
        <v>473</v>
      </c>
      <c r="BM6" s="386" t="s">
        <v>474</v>
      </c>
      <c r="BN6" s="386" t="s">
        <v>475</v>
      </c>
      <c r="BO6" s="386" t="s">
        <v>476</v>
      </c>
      <c r="BP6" s="386" t="s">
        <v>473</v>
      </c>
      <c r="BQ6" s="386" t="s">
        <v>474</v>
      </c>
      <c r="BR6" s="386" t="s">
        <v>475</v>
      </c>
      <c r="BS6" s="386" t="s">
        <v>476</v>
      </c>
      <c r="BT6" s="386" t="s">
        <v>473</v>
      </c>
      <c r="BU6" s="386" t="s">
        <v>474</v>
      </c>
      <c r="BV6" s="386" t="s">
        <v>475</v>
      </c>
      <c r="BW6" s="386" t="s">
        <v>476</v>
      </c>
      <c r="BX6" s="386" t="s">
        <v>473</v>
      </c>
      <c r="BY6" s="386" t="s">
        <v>474</v>
      </c>
      <c r="BZ6" s="386" t="s">
        <v>475</v>
      </c>
      <c r="CA6" s="386" t="s">
        <v>476</v>
      </c>
      <c r="CB6" s="386" t="s">
        <v>473</v>
      </c>
      <c r="CC6" s="386" t="s">
        <v>474</v>
      </c>
      <c r="CD6" s="386" t="s">
        <v>475</v>
      </c>
      <c r="CE6" s="386" t="s">
        <v>476</v>
      </c>
      <c r="CF6" s="386" t="s">
        <v>473</v>
      </c>
      <c r="CG6" s="386" t="s">
        <v>474</v>
      </c>
      <c r="CH6" s="386" t="s">
        <v>475</v>
      </c>
      <c r="CI6" s="386" t="s">
        <v>476</v>
      </c>
      <c r="CJ6" s="386" t="s">
        <v>473</v>
      </c>
      <c r="CK6" s="386" t="s">
        <v>474</v>
      </c>
      <c r="CL6" s="386" t="s">
        <v>475</v>
      </c>
      <c r="CM6" s="386" t="s">
        <v>476</v>
      </c>
      <c r="CN6" s="386" t="s">
        <v>473</v>
      </c>
      <c r="CO6" s="386" t="s">
        <v>474</v>
      </c>
      <c r="CP6" s="386" t="s">
        <v>475</v>
      </c>
      <c r="CQ6" s="386" t="s">
        <v>476</v>
      </c>
      <c r="CR6" s="386" t="s">
        <v>473</v>
      </c>
      <c r="CS6" s="386" t="s">
        <v>474</v>
      </c>
      <c r="CT6" s="386" t="s">
        <v>475</v>
      </c>
      <c r="CU6" s="386" t="s">
        <v>476</v>
      </c>
    </row>
    <row r="7" spans="1:101" ht="18" customHeight="1" x14ac:dyDescent="0.2">
      <c r="C7" s="45" t="s">
        <v>188</v>
      </c>
      <c r="D7" s="45"/>
      <c r="E7" s="68"/>
      <c r="G7" s="244"/>
      <c r="H7" s="244"/>
      <c r="I7" s="244"/>
      <c r="J7" s="244"/>
      <c r="K7" s="244"/>
      <c r="L7" s="244"/>
      <c r="M7" s="244"/>
      <c r="N7" s="244"/>
      <c r="O7" s="244"/>
      <c r="P7" s="244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BA7" s="276"/>
      <c r="BB7" s="276"/>
      <c r="BC7" s="276"/>
      <c r="BE7" s="54"/>
      <c r="BF7" s="54"/>
      <c r="BH7" s="387"/>
      <c r="BI7" s="387"/>
      <c r="BJ7" s="387"/>
      <c r="BK7" s="387"/>
      <c r="BL7" s="387"/>
      <c r="BM7" s="387"/>
      <c r="BN7" s="387"/>
      <c r="BO7" s="387"/>
      <c r="BP7" s="387"/>
      <c r="BQ7" s="387"/>
      <c r="BR7" s="387"/>
      <c r="BS7" s="387"/>
      <c r="BT7" s="387"/>
      <c r="BU7" s="387"/>
      <c r="BV7" s="387"/>
      <c r="BW7" s="387"/>
      <c r="BX7" s="387"/>
      <c r="BY7" s="387"/>
      <c r="BZ7" s="387"/>
      <c r="CA7" s="387"/>
      <c r="CB7" s="387"/>
      <c r="CC7" s="387"/>
      <c r="CD7" s="387"/>
      <c r="CE7" s="387"/>
      <c r="CF7" s="387"/>
      <c r="CG7" s="387"/>
      <c r="CH7" s="387"/>
      <c r="CI7" s="387"/>
      <c r="CJ7" s="387"/>
      <c r="CK7" s="387"/>
      <c r="CL7" s="387"/>
      <c r="CM7" s="387"/>
      <c r="CN7" s="387"/>
      <c r="CO7" s="387"/>
      <c r="CP7" s="387"/>
      <c r="CQ7" s="387"/>
      <c r="CR7" s="387"/>
      <c r="CS7" s="387"/>
      <c r="CT7" s="387"/>
      <c r="CU7" s="387"/>
    </row>
    <row r="8" spans="1:101" outlineLevel="1" x14ac:dyDescent="0.2">
      <c r="G8" s="245"/>
      <c r="H8" s="245"/>
      <c r="I8" s="245"/>
      <c r="J8" s="245"/>
      <c r="K8" s="245"/>
      <c r="L8" s="246"/>
      <c r="M8" s="245"/>
      <c r="N8" s="245"/>
      <c r="O8" s="245"/>
      <c r="P8" s="245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J8" s="263"/>
      <c r="AK8" s="263"/>
      <c r="AL8" s="263"/>
      <c r="AM8" s="263"/>
      <c r="AN8" s="263"/>
      <c r="AO8" s="263"/>
      <c r="AP8" s="263"/>
      <c r="AQ8" s="263"/>
      <c r="AR8" s="263"/>
      <c r="AS8" s="263"/>
      <c r="AT8" s="263"/>
      <c r="AU8" s="263"/>
      <c r="AV8" s="263"/>
      <c r="AW8" s="263"/>
      <c r="AX8" s="263"/>
      <c r="AY8" s="263"/>
      <c r="BA8" s="277"/>
      <c r="BB8" s="277"/>
      <c r="BC8" s="277"/>
      <c r="BE8" s="55"/>
      <c r="BF8" s="55"/>
      <c r="BH8" s="388"/>
      <c r="BI8" s="388"/>
      <c r="BJ8" s="388"/>
      <c r="BK8" s="388"/>
      <c r="BL8" s="388"/>
      <c r="BM8" s="388"/>
      <c r="BN8" s="388"/>
      <c r="BO8" s="388"/>
      <c r="BP8" s="388"/>
      <c r="BQ8" s="388"/>
      <c r="BR8" s="388"/>
      <c r="BS8" s="388"/>
      <c r="BT8" s="388"/>
      <c r="BU8" s="388"/>
      <c r="BV8" s="388"/>
      <c r="BW8" s="388"/>
      <c r="BX8" s="388"/>
      <c r="BY8" s="388"/>
      <c r="BZ8" s="388"/>
      <c r="CA8" s="388"/>
      <c r="CB8" s="388"/>
      <c r="CC8" s="388"/>
      <c r="CD8" s="388"/>
      <c r="CE8" s="388"/>
      <c r="CF8" s="388"/>
      <c r="CG8" s="388"/>
      <c r="CH8" s="388"/>
      <c r="CI8" s="388"/>
      <c r="CJ8" s="388"/>
      <c r="CK8" s="388"/>
      <c r="CL8" s="388"/>
      <c r="CM8" s="388"/>
      <c r="CN8" s="388"/>
      <c r="CO8" s="388"/>
      <c r="CP8" s="388"/>
      <c r="CQ8" s="388"/>
      <c r="CR8" s="388"/>
      <c r="CS8" s="388"/>
      <c r="CT8" s="388"/>
      <c r="CU8" s="388"/>
    </row>
    <row r="9" spans="1:101" s="84" customFormat="1" ht="10.5" customHeight="1" outlineLevel="2" x14ac:dyDescent="0.2">
      <c r="A9" s="540"/>
      <c r="B9" s="540"/>
      <c r="C9" s="86" t="s">
        <v>341</v>
      </c>
      <c r="D9" s="540" t="str">
        <f>INDEX(Modules[Module], MATCH($C9, Modules[Code], 0))</f>
        <v>Residential Cooling</v>
      </c>
      <c r="E9" s="61"/>
      <c r="G9" s="297">
        <f ca="1">IFERROR(INDEX(INDIRECT($C9&amp;".Outputs["&amp;this.Year&amp;"]"), MATCH(G$5, INDIRECT($C9&amp;".Outputs[Vector]"), 0)), 0)</f>
        <v>38.553347194436292</v>
      </c>
      <c r="H9" s="297">
        <f t="shared" ref="G9:O11" ca="1" si="0">IFERROR(INDEX(INDIRECT($C9&amp;".Outputs["&amp;this.Year&amp;"]"), MATCH(H$5, INDIRECT($C9&amp;".Outputs[Vector]"), 0)), 0)</f>
        <v>0</v>
      </c>
      <c r="I9" s="297">
        <f t="shared" ca="1" si="0"/>
        <v>0</v>
      </c>
      <c r="J9" s="297">
        <f t="shared" ca="1" si="0"/>
        <v>0</v>
      </c>
      <c r="K9" s="297">
        <f t="shared" ca="1" si="0"/>
        <v>0</v>
      </c>
      <c r="L9" s="297">
        <f t="shared" ca="1" si="0"/>
        <v>0</v>
      </c>
      <c r="M9" s="297">
        <f t="shared" ca="1" si="0"/>
        <v>0</v>
      </c>
      <c r="N9" s="297">
        <f t="shared" ca="1" si="0"/>
        <v>0</v>
      </c>
      <c r="O9" s="297">
        <f t="shared" ca="1" si="0"/>
        <v>0</v>
      </c>
      <c r="P9" s="297">
        <f t="shared" ref="P9:P23" ca="1" si="1">SUM(G9:O9)</f>
        <v>38.553347194436292</v>
      </c>
      <c r="R9" s="304">
        <f t="shared" ref="R9:W9" ca="1" si="2">IFERROR(INDEX(INDIRECT($C9&amp;".Outputs["&amp;this.Year&amp;"]"), MATCH(R$5, INDIRECT($C9&amp;".Outputs[Vector]"), 0)), 0)</f>
        <v>-38.553347194436292</v>
      </c>
      <c r="S9" s="304">
        <f t="shared" ca="1" si="2"/>
        <v>0</v>
      </c>
      <c r="T9" s="304">
        <f t="shared" ca="1" si="2"/>
        <v>0</v>
      </c>
      <c r="U9" s="304">
        <f t="shared" ca="1" si="2"/>
        <v>0</v>
      </c>
      <c r="V9" s="304">
        <f t="shared" ca="1" si="2"/>
        <v>0</v>
      </c>
      <c r="W9" s="304">
        <f t="shared" ca="1" si="2"/>
        <v>0</v>
      </c>
      <c r="X9" s="304">
        <f t="shared" ref="X9:Z9" ca="1" si="3">IFERROR(INDEX(INDIRECT($C9&amp;".Outputs["&amp;this.Year&amp;"]"), MATCH(X$5, INDIRECT($C9&amp;".Outputs[Vector]"), 0)), 0)</f>
        <v>0</v>
      </c>
      <c r="Y9" s="304">
        <f t="shared" ca="1" si="3"/>
        <v>0</v>
      </c>
      <c r="Z9" s="304">
        <f t="shared" ca="1" si="3"/>
        <v>0</v>
      </c>
      <c r="AA9" s="304">
        <f t="shared" ref="AA9:AG9" ca="1" si="4">IFERROR(INDEX(INDIRECT($C9&amp;".Outputs["&amp;this.Year&amp;"]"), MATCH(AA$5, INDIRECT($C9&amp;".Outputs[Vector]"), 0)), 0)</f>
        <v>0</v>
      </c>
      <c r="AB9" s="304">
        <f t="shared" ca="1" si="4"/>
        <v>0</v>
      </c>
      <c r="AC9" s="304">
        <f t="shared" ca="1" si="4"/>
        <v>0</v>
      </c>
      <c r="AD9" s="304">
        <f t="shared" ca="1" si="4"/>
        <v>0</v>
      </c>
      <c r="AE9" s="304">
        <f t="shared" ca="1" si="4"/>
        <v>0</v>
      </c>
      <c r="AF9" s="304">
        <f t="shared" ca="1" si="4"/>
        <v>0</v>
      </c>
      <c r="AG9" s="304">
        <f t="shared" ca="1" si="4"/>
        <v>0</v>
      </c>
      <c r="AH9" s="305">
        <f t="shared" ref="AH9:AH66" ca="1" si="5">SUM(R9:AG9)</f>
        <v>-38.553347194436292</v>
      </c>
      <c r="AJ9" s="312">
        <f t="shared" ref="AJ9:AR9" ca="1" si="6">IFERROR(INDEX(INDIRECT($C9&amp;".Outputs["&amp;this.Year&amp;"]"), MATCH(AJ$5, INDIRECT($C9&amp;".Outputs[Vector]"), 0)), 0)</f>
        <v>0</v>
      </c>
      <c r="AK9" s="312">
        <f t="shared" ca="1" si="6"/>
        <v>0</v>
      </c>
      <c r="AL9" s="312">
        <f t="shared" ca="1" si="6"/>
        <v>0</v>
      </c>
      <c r="AM9" s="312">
        <f t="shared" ca="1" si="6"/>
        <v>0</v>
      </c>
      <c r="AN9" s="312">
        <f t="shared" ca="1" si="6"/>
        <v>0</v>
      </c>
      <c r="AO9" s="312">
        <f t="shared" ca="1" si="6"/>
        <v>0</v>
      </c>
      <c r="AP9" s="312">
        <f t="shared" ca="1" si="6"/>
        <v>0</v>
      </c>
      <c r="AQ9" s="312">
        <f t="shared" ca="1" si="6"/>
        <v>0</v>
      </c>
      <c r="AR9" s="312">
        <f t="shared" ca="1" si="6"/>
        <v>0</v>
      </c>
      <c r="AS9" s="312">
        <f t="shared" ref="AS9:AX9" ca="1" si="7">IFERROR(INDEX(INDIRECT($C9&amp;".Outputs["&amp;this.Year&amp;"]"), MATCH(AS$5, INDIRECT($C9&amp;".Outputs[Vector]"), 0)), 0)</f>
        <v>0</v>
      </c>
      <c r="AT9" s="312">
        <f t="shared" ca="1" si="7"/>
        <v>0</v>
      </c>
      <c r="AU9" s="312">
        <f t="shared" ca="1" si="7"/>
        <v>0</v>
      </c>
      <c r="AV9" s="312">
        <f t="shared" ca="1" si="7"/>
        <v>0</v>
      </c>
      <c r="AW9" s="312">
        <f t="shared" ca="1" si="7"/>
        <v>0</v>
      </c>
      <c r="AX9" s="312">
        <f t="shared" ca="1" si="7"/>
        <v>0</v>
      </c>
      <c r="AY9" s="264">
        <f t="shared" ref="AY9:AY23" ca="1" si="8">SUM(AJ9:AX9)</f>
        <v>0</v>
      </c>
      <c r="BA9" s="308">
        <f t="shared" ref="BA9:BB11" ca="1" si="9">IFERROR(INDEX(INDIRECT($C9&amp;".Outputs["&amp;this.Year&amp;"]"), MATCH(BA$5, INDIRECT($C9&amp;".Outputs[Vector]"), 0)), 0)</f>
        <v>0</v>
      </c>
      <c r="BB9" s="308">
        <f t="shared" ca="1" si="9"/>
        <v>0</v>
      </c>
      <c r="BC9" s="309">
        <f t="shared" ref="BC9:BC66" ca="1" si="10">SUM(BA9:BB9)</f>
        <v>0</v>
      </c>
      <c r="BE9" s="64">
        <f t="shared" ref="BE9:BE33" ca="1" si="11">P9+AH9+AY9+BC9</f>
        <v>0</v>
      </c>
      <c r="BF9" s="64"/>
      <c r="BG9" s="153"/>
      <c r="BH9" s="541">
        <f t="shared" ref="BH9:BQ9" ca="1" si="12">IFERROR(SUMIFS(INDIRECT($C9&amp;".Emissions["&amp;this.Year&amp;"]"), INDIRECT($C9&amp;".Emissions[GHG]"), BH$6, INDIRECT($C9&amp;".Emissions[IPCC Sector]"), BH$5),0)</f>
        <v>0</v>
      </c>
      <c r="BI9" s="542">
        <f t="shared" ca="1" si="12"/>
        <v>0</v>
      </c>
      <c r="BJ9" s="542">
        <f t="shared" ca="1" si="12"/>
        <v>0</v>
      </c>
      <c r="BK9" s="542">
        <f t="shared" ca="1" si="12"/>
        <v>0</v>
      </c>
      <c r="BL9" s="542">
        <f t="shared" ca="1" si="12"/>
        <v>0</v>
      </c>
      <c r="BM9" s="542">
        <f t="shared" ca="1" si="12"/>
        <v>0</v>
      </c>
      <c r="BN9" s="542">
        <f t="shared" ca="1" si="12"/>
        <v>0</v>
      </c>
      <c r="BO9" s="542">
        <f t="shared" ca="1" si="12"/>
        <v>0</v>
      </c>
      <c r="BP9" s="542">
        <f t="shared" ca="1" si="12"/>
        <v>0</v>
      </c>
      <c r="BQ9" s="542">
        <f t="shared" ca="1" si="12"/>
        <v>0</v>
      </c>
      <c r="BR9" s="542">
        <f t="shared" ref="BR9:CA9" ca="1" si="13">IFERROR(SUMIFS(INDIRECT($C9&amp;".Emissions["&amp;this.Year&amp;"]"), INDIRECT($C9&amp;".Emissions[GHG]"), BR$6, INDIRECT($C9&amp;".Emissions[IPCC Sector]"), BR$5),0)</f>
        <v>0</v>
      </c>
      <c r="BS9" s="542">
        <f t="shared" ca="1" si="13"/>
        <v>0</v>
      </c>
      <c r="BT9" s="542">
        <f t="shared" ca="1" si="13"/>
        <v>0</v>
      </c>
      <c r="BU9" s="542">
        <f t="shared" ca="1" si="13"/>
        <v>0</v>
      </c>
      <c r="BV9" s="542">
        <f t="shared" ca="1" si="13"/>
        <v>0</v>
      </c>
      <c r="BW9" s="542">
        <f t="shared" ca="1" si="13"/>
        <v>0</v>
      </c>
      <c r="BX9" s="542">
        <f t="shared" ca="1" si="13"/>
        <v>0</v>
      </c>
      <c r="BY9" s="542">
        <f t="shared" ca="1" si="13"/>
        <v>0</v>
      </c>
      <c r="BZ9" s="542">
        <f t="shared" ca="1" si="13"/>
        <v>0</v>
      </c>
      <c r="CA9" s="542">
        <f t="shared" ca="1" si="13"/>
        <v>0</v>
      </c>
      <c r="CB9" s="542">
        <f t="shared" ref="CB9:CK9" ca="1" si="14">IFERROR(SUMIFS(INDIRECT($C9&amp;".Emissions["&amp;this.Year&amp;"]"), INDIRECT($C9&amp;".Emissions[GHG]"), CB$6, INDIRECT($C9&amp;".Emissions[IPCC Sector]"), CB$5),0)</f>
        <v>0</v>
      </c>
      <c r="CC9" s="542">
        <f t="shared" ca="1" si="14"/>
        <v>0</v>
      </c>
      <c r="CD9" s="542">
        <f t="shared" ca="1" si="14"/>
        <v>0</v>
      </c>
      <c r="CE9" s="542">
        <f t="shared" ca="1" si="14"/>
        <v>0</v>
      </c>
      <c r="CF9" s="542">
        <f t="shared" ca="1" si="14"/>
        <v>0</v>
      </c>
      <c r="CG9" s="542">
        <f t="shared" ca="1" si="14"/>
        <v>0</v>
      </c>
      <c r="CH9" s="542">
        <f t="shared" ca="1" si="14"/>
        <v>0</v>
      </c>
      <c r="CI9" s="542">
        <f t="shared" ca="1" si="14"/>
        <v>0</v>
      </c>
      <c r="CJ9" s="542">
        <f t="shared" ca="1" si="14"/>
        <v>0</v>
      </c>
      <c r="CK9" s="542">
        <f t="shared" ca="1" si="14"/>
        <v>0</v>
      </c>
      <c r="CL9" s="542">
        <f t="shared" ref="CL9:CU9" ca="1" si="15">IFERROR(SUMIFS(INDIRECT($C9&amp;".Emissions["&amp;this.Year&amp;"]"), INDIRECT($C9&amp;".Emissions[GHG]"), CL$6, INDIRECT($C9&amp;".Emissions[IPCC Sector]"), CL$5),0)</f>
        <v>0</v>
      </c>
      <c r="CM9" s="542">
        <f t="shared" ca="1" si="15"/>
        <v>0</v>
      </c>
      <c r="CN9" s="542">
        <f t="shared" ca="1" si="15"/>
        <v>0</v>
      </c>
      <c r="CO9" s="542">
        <f t="shared" ca="1" si="15"/>
        <v>0</v>
      </c>
      <c r="CP9" s="542">
        <f t="shared" ca="1" si="15"/>
        <v>0</v>
      </c>
      <c r="CQ9" s="542">
        <f t="shared" ca="1" si="15"/>
        <v>0</v>
      </c>
      <c r="CR9" s="542">
        <f t="shared" ca="1" si="15"/>
        <v>0</v>
      </c>
      <c r="CS9" s="542">
        <f t="shared" ca="1" si="15"/>
        <v>0</v>
      </c>
      <c r="CT9" s="542">
        <f t="shared" ca="1" si="15"/>
        <v>0</v>
      </c>
      <c r="CU9" s="542">
        <f t="shared" ca="1" si="15"/>
        <v>0</v>
      </c>
      <c r="CW9" s="151"/>
    </row>
    <row r="10" spans="1:101" s="84" customFormat="1" ht="12.75" customHeight="1" outlineLevel="1" x14ac:dyDescent="0.2">
      <c r="A10" s="543"/>
      <c r="B10" s="543"/>
      <c r="C10" s="86"/>
      <c r="D10" s="543" t="s">
        <v>389</v>
      </c>
      <c r="E10" s="61"/>
      <c r="G10" s="298">
        <f t="shared" ref="G10:O10" ca="1" si="16">SUM(G9:G9)</f>
        <v>38.553347194436292</v>
      </c>
      <c r="H10" s="298">
        <f t="shared" ca="1" si="16"/>
        <v>0</v>
      </c>
      <c r="I10" s="298">
        <f t="shared" ca="1" si="16"/>
        <v>0</v>
      </c>
      <c r="J10" s="298">
        <f t="shared" ca="1" si="16"/>
        <v>0</v>
      </c>
      <c r="K10" s="298">
        <f t="shared" ca="1" si="16"/>
        <v>0</v>
      </c>
      <c r="L10" s="298">
        <f t="shared" ca="1" si="16"/>
        <v>0</v>
      </c>
      <c r="M10" s="298">
        <f t="shared" ca="1" si="16"/>
        <v>0</v>
      </c>
      <c r="N10" s="298">
        <f t="shared" ca="1" si="16"/>
        <v>0</v>
      </c>
      <c r="O10" s="298">
        <f t="shared" ca="1" si="16"/>
        <v>0</v>
      </c>
      <c r="P10" s="298">
        <f t="shared" ca="1" si="1"/>
        <v>38.553347194436292</v>
      </c>
      <c r="R10" s="305">
        <f t="shared" ref="R10:AG10" ca="1" si="17">SUM(R9:R9)</f>
        <v>-38.553347194436292</v>
      </c>
      <c r="S10" s="305">
        <f t="shared" ca="1" si="17"/>
        <v>0</v>
      </c>
      <c r="T10" s="305">
        <f t="shared" ca="1" si="17"/>
        <v>0</v>
      </c>
      <c r="U10" s="305">
        <f t="shared" ca="1" si="17"/>
        <v>0</v>
      </c>
      <c r="V10" s="305">
        <f t="shared" ca="1" si="17"/>
        <v>0</v>
      </c>
      <c r="W10" s="305">
        <f t="shared" ca="1" si="17"/>
        <v>0</v>
      </c>
      <c r="X10" s="305">
        <f t="shared" ca="1" si="17"/>
        <v>0</v>
      </c>
      <c r="Y10" s="305">
        <f t="shared" ca="1" si="17"/>
        <v>0</v>
      </c>
      <c r="Z10" s="305">
        <f t="shared" ca="1" si="17"/>
        <v>0</v>
      </c>
      <c r="AA10" s="305">
        <f t="shared" ca="1" si="17"/>
        <v>0</v>
      </c>
      <c r="AB10" s="305">
        <f t="shared" ca="1" si="17"/>
        <v>0</v>
      </c>
      <c r="AC10" s="305">
        <f t="shared" ca="1" si="17"/>
        <v>0</v>
      </c>
      <c r="AD10" s="305">
        <f t="shared" ca="1" si="17"/>
        <v>0</v>
      </c>
      <c r="AE10" s="305">
        <f t="shared" ca="1" si="17"/>
        <v>0</v>
      </c>
      <c r="AF10" s="305">
        <f t="shared" ca="1" si="17"/>
        <v>0</v>
      </c>
      <c r="AG10" s="305">
        <f t="shared" ca="1" si="17"/>
        <v>0</v>
      </c>
      <c r="AH10" s="305">
        <f t="shared" ca="1" si="5"/>
        <v>-38.553347194436292</v>
      </c>
      <c r="AJ10" s="313">
        <f t="shared" ref="AJ10:AX10" ca="1" si="18">SUM(AJ9:AJ9)</f>
        <v>0</v>
      </c>
      <c r="AK10" s="313">
        <f t="shared" ca="1" si="18"/>
        <v>0</v>
      </c>
      <c r="AL10" s="313">
        <f t="shared" ca="1" si="18"/>
        <v>0</v>
      </c>
      <c r="AM10" s="313">
        <f t="shared" ca="1" si="18"/>
        <v>0</v>
      </c>
      <c r="AN10" s="313">
        <f t="shared" ca="1" si="18"/>
        <v>0</v>
      </c>
      <c r="AO10" s="313">
        <f t="shared" ca="1" si="18"/>
        <v>0</v>
      </c>
      <c r="AP10" s="313">
        <f t="shared" ca="1" si="18"/>
        <v>0</v>
      </c>
      <c r="AQ10" s="313">
        <f t="shared" ca="1" si="18"/>
        <v>0</v>
      </c>
      <c r="AR10" s="313">
        <f t="shared" ca="1" si="18"/>
        <v>0</v>
      </c>
      <c r="AS10" s="313">
        <f t="shared" ca="1" si="18"/>
        <v>0</v>
      </c>
      <c r="AT10" s="313">
        <f t="shared" ca="1" si="18"/>
        <v>0</v>
      </c>
      <c r="AU10" s="313">
        <f t="shared" ca="1" si="18"/>
        <v>0</v>
      </c>
      <c r="AV10" s="313">
        <f t="shared" ca="1" si="18"/>
        <v>0</v>
      </c>
      <c r="AW10" s="313">
        <f t="shared" ca="1" si="18"/>
        <v>0</v>
      </c>
      <c r="AX10" s="313">
        <f t="shared" ca="1" si="18"/>
        <v>0</v>
      </c>
      <c r="AY10" s="266">
        <f t="shared" ca="1" si="8"/>
        <v>0</v>
      </c>
      <c r="BA10" s="309">
        <f ca="1">SUM(BA9:BA9)</f>
        <v>0</v>
      </c>
      <c r="BB10" s="309">
        <f ca="1">SUM(BB9:BB9)</f>
        <v>0</v>
      </c>
      <c r="BC10" s="309">
        <f t="shared" ca="1" si="10"/>
        <v>0</v>
      </c>
      <c r="BE10" s="135">
        <f t="shared" ca="1" si="11"/>
        <v>0</v>
      </c>
      <c r="BF10" s="135"/>
      <c r="BG10" s="153"/>
      <c r="BH10" s="541">
        <f t="shared" ref="BH10:CU10" ca="1" si="19">SUM(BH9:BH9)</f>
        <v>0</v>
      </c>
      <c r="BI10" s="542">
        <f t="shared" ca="1" si="19"/>
        <v>0</v>
      </c>
      <c r="BJ10" s="542">
        <f t="shared" ca="1" si="19"/>
        <v>0</v>
      </c>
      <c r="BK10" s="542">
        <f t="shared" ca="1" si="19"/>
        <v>0</v>
      </c>
      <c r="BL10" s="542">
        <f t="shared" ca="1" si="19"/>
        <v>0</v>
      </c>
      <c r="BM10" s="542">
        <f t="shared" ca="1" si="19"/>
        <v>0</v>
      </c>
      <c r="BN10" s="542">
        <f t="shared" ca="1" si="19"/>
        <v>0</v>
      </c>
      <c r="BO10" s="542">
        <f t="shared" ca="1" si="19"/>
        <v>0</v>
      </c>
      <c r="BP10" s="542">
        <f t="shared" ca="1" si="19"/>
        <v>0</v>
      </c>
      <c r="BQ10" s="542">
        <f t="shared" ca="1" si="19"/>
        <v>0</v>
      </c>
      <c r="BR10" s="542">
        <f t="shared" ca="1" si="19"/>
        <v>0</v>
      </c>
      <c r="BS10" s="542">
        <f t="shared" ca="1" si="19"/>
        <v>0</v>
      </c>
      <c r="BT10" s="542">
        <f t="shared" ca="1" si="19"/>
        <v>0</v>
      </c>
      <c r="BU10" s="542">
        <f t="shared" ca="1" si="19"/>
        <v>0</v>
      </c>
      <c r="BV10" s="542">
        <f t="shared" ca="1" si="19"/>
        <v>0</v>
      </c>
      <c r="BW10" s="542">
        <f t="shared" ca="1" si="19"/>
        <v>0</v>
      </c>
      <c r="BX10" s="542">
        <f t="shared" ca="1" si="19"/>
        <v>0</v>
      </c>
      <c r="BY10" s="542">
        <f t="shared" ca="1" si="19"/>
        <v>0</v>
      </c>
      <c r="BZ10" s="542">
        <f t="shared" ca="1" si="19"/>
        <v>0</v>
      </c>
      <c r="CA10" s="542">
        <f t="shared" ca="1" si="19"/>
        <v>0</v>
      </c>
      <c r="CB10" s="542">
        <f t="shared" ca="1" si="19"/>
        <v>0</v>
      </c>
      <c r="CC10" s="542">
        <f t="shared" ca="1" si="19"/>
        <v>0</v>
      </c>
      <c r="CD10" s="542">
        <f t="shared" ca="1" si="19"/>
        <v>0</v>
      </c>
      <c r="CE10" s="542">
        <f t="shared" ca="1" si="19"/>
        <v>0</v>
      </c>
      <c r="CF10" s="542">
        <f t="shared" ca="1" si="19"/>
        <v>0</v>
      </c>
      <c r="CG10" s="542">
        <f t="shared" ca="1" si="19"/>
        <v>0</v>
      </c>
      <c r="CH10" s="542">
        <f t="shared" ca="1" si="19"/>
        <v>0</v>
      </c>
      <c r="CI10" s="542">
        <f t="shared" ca="1" si="19"/>
        <v>0</v>
      </c>
      <c r="CJ10" s="542">
        <f t="shared" ca="1" si="19"/>
        <v>0</v>
      </c>
      <c r="CK10" s="542">
        <f t="shared" ca="1" si="19"/>
        <v>0</v>
      </c>
      <c r="CL10" s="542">
        <f t="shared" ca="1" si="19"/>
        <v>0</v>
      </c>
      <c r="CM10" s="542">
        <f t="shared" ca="1" si="19"/>
        <v>0</v>
      </c>
      <c r="CN10" s="542">
        <f t="shared" ca="1" si="19"/>
        <v>0</v>
      </c>
      <c r="CO10" s="542">
        <f t="shared" ca="1" si="19"/>
        <v>0</v>
      </c>
      <c r="CP10" s="542">
        <f t="shared" ca="1" si="19"/>
        <v>0</v>
      </c>
      <c r="CQ10" s="542">
        <f t="shared" ca="1" si="19"/>
        <v>0</v>
      </c>
      <c r="CR10" s="542">
        <f t="shared" ca="1" si="19"/>
        <v>0</v>
      </c>
      <c r="CS10" s="542">
        <f t="shared" ca="1" si="19"/>
        <v>0</v>
      </c>
      <c r="CT10" s="542">
        <f t="shared" ca="1" si="19"/>
        <v>0</v>
      </c>
      <c r="CU10" s="542">
        <f t="shared" ca="1" si="19"/>
        <v>0</v>
      </c>
      <c r="CW10" s="151"/>
    </row>
    <row r="11" spans="1:101" s="84" customFormat="1" ht="10.5" customHeight="1" outlineLevel="2" x14ac:dyDescent="0.2">
      <c r="A11" s="540"/>
      <c r="B11" s="540"/>
      <c r="C11" s="86" t="s">
        <v>388</v>
      </c>
      <c r="D11" s="540" t="str">
        <f>INDEX(Modules[Module], MATCH($C11, Modules[Code], 0))</f>
        <v>Service Sector Cooling</v>
      </c>
      <c r="E11" s="291"/>
      <c r="G11" s="297">
        <f t="shared" ca="1" si="0"/>
        <v>7.6376658252466445</v>
      </c>
      <c r="H11" s="297">
        <f t="shared" ca="1" si="0"/>
        <v>0</v>
      </c>
      <c r="I11" s="297">
        <f t="shared" ca="1" si="0"/>
        <v>0</v>
      </c>
      <c r="J11" s="297">
        <f t="shared" ca="1" si="0"/>
        <v>0</v>
      </c>
      <c r="K11" s="297">
        <f t="shared" ca="1" si="0"/>
        <v>0</v>
      </c>
      <c r="L11" s="297">
        <f t="shared" ca="1" si="0"/>
        <v>0</v>
      </c>
      <c r="M11" s="297">
        <f t="shared" ca="1" si="0"/>
        <v>0</v>
      </c>
      <c r="N11" s="297">
        <f t="shared" ca="1" si="0"/>
        <v>0</v>
      </c>
      <c r="O11" s="297">
        <f t="shared" ca="1" si="0"/>
        <v>0</v>
      </c>
      <c r="P11" s="297">
        <f t="shared" ca="1" si="1"/>
        <v>7.6376658252466445</v>
      </c>
      <c r="R11" s="304">
        <f t="shared" ref="R11:W11" ca="1" si="20">IFERROR(INDEX(INDIRECT($C11&amp;".Outputs["&amp;this.Year&amp;"]"), MATCH(R$5, INDIRECT($C11&amp;".Outputs[Vector]"), 0)), 0)</f>
        <v>-7.6376658252466445</v>
      </c>
      <c r="S11" s="304">
        <f t="shared" ca="1" si="20"/>
        <v>0</v>
      </c>
      <c r="T11" s="304">
        <f t="shared" ca="1" si="20"/>
        <v>0</v>
      </c>
      <c r="U11" s="304">
        <f t="shared" ca="1" si="20"/>
        <v>0</v>
      </c>
      <c r="V11" s="304">
        <f t="shared" ca="1" si="20"/>
        <v>0</v>
      </c>
      <c r="W11" s="304">
        <f t="shared" ca="1" si="20"/>
        <v>0</v>
      </c>
      <c r="X11" s="304">
        <f t="shared" ref="X11:Z11" ca="1" si="21">IFERROR(INDEX(INDIRECT($C11&amp;".Outputs["&amp;this.Year&amp;"]"), MATCH(X$5, INDIRECT($C11&amp;".Outputs[Vector]"), 0)), 0)</f>
        <v>0</v>
      </c>
      <c r="Y11" s="304">
        <f t="shared" ca="1" si="21"/>
        <v>0</v>
      </c>
      <c r="Z11" s="304">
        <f t="shared" ca="1" si="21"/>
        <v>0</v>
      </c>
      <c r="AA11" s="304">
        <f t="shared" ref="AA11:AG11" ca="1" si="22">IFERROR(INDEX(INDIRECT($C11&amp;".Outputs["&amp;this.Year&amp;"]"), MATCH(AA$5, INDIRECT($C11&amp;".Outputs[Vector]"), 0)), 0)</f>
        <v>0</v>
      </c>
      <c r="AB11" s="304">
        <f t="shared" ca="1" si="22"/>
        <v>0</v>
      </c>
      <c r="AC11" s="304">
        <f t="shared" ca="1" si="22"/>
        <v>0</v>
      </c>
      <c r="AD11" s="304">
        <f t="shared" ca="1" si="22"/>
        <v>0</v>
      </c>
      <c r="AE11" s="304">
        <f t="shared" ca="1" si="22"/>
        <v>0</v>
      </c>
      <c r="AF11" s="304">
        <f t="shared" ca="1" si="22"/>
        <v>0</v>
      </c>
      <c r="AG11" s="304">
        <f t="shared" ca="1" si="22"/>
        <v>0</v>
      </c>
      <c r="AH11" s="305">
        <f t="shared" ca="1" si="5"/>
        <v>-7.6376658252466445</v>
      </c>
      <c r="AJ11" s="312">
        <f t="shared" ref="AJ11:AR11" ca="1" si="23">IFERROR(INDEX(INDIRECT($C11&amp;".Outputs["&amp;this.Year&amp;"]"), MATCH(AJ$5, INDIRECT($C11&amp;".Outputs[Vector]"), 0)), 0)</f>
        <v>0</v>
      </c>
      <c r="AK11" s="312">
        <f t="shared" ca="1" si="23"/>
        <v>0</v>
      </c>
      <c r="AL11" s="312">
        <f t="shared" ca="1" si="23"/>
        <v>0</v>
      </c>
      <c r="AM11" s="312">
        <f t="shared" ca="1" si="23"/>
        <v>0</v>
      </c>
      <c r="AN11" s="312">
        <f t="shared" ca="1" si="23"/>
        <v>0</v>
      </c>
      <c r="AO11" s="312">
        <f t="shared" ca="1" si="23"/>
        <v>0</v>
      </c>
      <c r="AP11" s="312">
        <f t="shared" ca="1" si="23"/>
        <v>0</v>
      </c>
      <c r="AQ11" s="312">
        <f t="shared" ca="1" si="23"/>
        <v>0</v>
      </c>
      <c r="AR11" s="312">
        <f t="shared" ca="1" si="23"/>
        <v>0</v>
      </c>
      <c r="AS11" s="312">
        <f t="shared" ref="AS11:AX11" ca="1" si="24">IFERROR(INDEX(INDIRECT($C11&amp;".Outputs["&amp;this.Year&amp;"]"), MATCH(AS$5, INDIRECT($C11&amp;".Outputs[Vector]"), 0)), 0)</f>
        <v>0</v>
      </c>
      <c r="AT11" s="312">
        <f t="shared" ca="1" si="24"/>
        <v>0</v>
      </c>
      <c r="AU11" s="312">
        <f t="shared" ca="1" si="24"/>
        <v>0</v>
      </c>
      <c r="AV11" s="312">
        <f t="shared" ca="1" si="24"/>
        <v>0</v>
      </c>
      <c r="AW11" s="312">
        <f t="shared" ca="1" si="24"/>
        <v>0</v>
      </c>
      <c r="AX11" s="312">
        <f t="shared" ca="1" si="24"/>
        <v>0</v>
      </c>
      <c r="AY11" s="264">
        <f t="shared" ca="1" si="8"/>
        <v>0</v>
      </c>
      <c r="BA11" s="308">
        <f t="shared" ca="1" si="9"/>
        <v>0</v>
      </c>
      <c r="BB11" s="308">
        <f t="shared" ca="1" si="9"/>
        <v>0</v>
      </c>
      <c r="BC11" s="309">
        <f t="shared" ca="1" si="10"/>
        <v>0</v>
      </c>
      <c r="BE11" s="64">
        <f t="shared" ca="1" si="11"/>
        <v>0</v>
      </c>
      <c r="BF11" s="64"/>
      <c r="BG11" s="153"/>
      <c r="BH11" s="541">
        <f t="shared" ref="BH11:BQ11" ca="1" si="25">IFERROR(SUMIFS(INDIRECT($C11&amp;".Emissions["&amp;this.Year&amp;"]"), INDIRECT($C11&amp;".Emissions[GHG]"), BH$6, INDIRECT($C11&amp;".Emissions[IPCC Sector]"), BH$5),0)</f>
        <v>0</v>
      </c>
      <c r="BI11" s="542">
        <f t="shared" ca="1" si="25"/>
        <v>0</v>
      </c>
      <c r="BJ11" s="542">
        <f t="shared" ca="1" si="25"/>
        <v>0</v>
      </c>
      <c r="BK11" s="542">
        <f t="shared" ca="1" si="25"/>
        <v>0</v>
      </c>
      <c r="BL11" s="542">
        <f t="shared" ca="1" si="25"/>
        <v>0</v>
      </c>
      <c r="BM11" s="542">
        <f t="shared" ca="1" si="25"/>
        <v>0</v>
      </c>
      <c r="BN11" s="542">
        <f t="shared" ca="1" si="25"/>
        <v>0</v>
      </c>
      <c r="BO11" s="542">
        <f t="shared" ca="1" si="25"/>
        <v>0</v>
      </c>
      <c r="BP11" s="542">
        <f t="shared" ca="1" si="25"/>
        <v>0</v>
      </c>
      <c r="BQ11" s="542">
        <f t="shared" ca="1" si="25"/>
        <v>0</v>
      </c>
      <c r="BR11" s="542">
        <f t="shared" ref="BR11:CA11" ca="1" si="26">IFERROR(SUMIFS(INDIRECT($C11&amp;".Emissions["&amp;this.Year&amp;"]"), INDIRECT($C11&amp;".Emissions[GHG]"), BR$6, INDIRECT($C11&amp;".Emissions[IPCC Sector]"), BR$5),0)</f>
        <v>0</v>
      </c>
      <c r="BS11" s="542">
        <f t="shared" ca="1" si="26"/>
        <v>0</v>
      </c>
      <c r="BT11" s="542">
        <f t="shared" ca="1" si="26"/>
        <v>0</v>
      </c>
      <c r="BU11" s="542">
        <f t="shared" ca="1" si="26"/>
        <v>0</v>
      </c>
      <c r="BV11" s="542">
        <f t="shared" ca="1" si="26"/>
        <v>0</v>
      </c>
      <c r="BW11" s="542">
        <f t="shared" ca="1" si="26"/>
        <v>0</v>
      </c>
      <c r="BX11" s="542">
        <f t="shared" ca="1" si="26"/>
        <v>0</v>
      </c>
      <c r="BY11" s="542">
        <f t="shared" ca="1" si="26"/>
        <v>0</v>
      </c>
      <c r="BZ11" s="542">
        <f t="shared" ca="1" si="26"/>
        <v>0</v>
      </c>
      <c r="CA11" s="542">
        <f t="shared" ca="1" si="26"/>
        <v>0</v>
      </c>
      <c r="CB11" s="542">
        <f t="shared" ref="CB11:CK11" ca="1" si="27">IFERROR(SUMIFS(INDIRECT($C11&amp;".Emissions["&amp;this.Year&amp;"]"), INDIRECT($C11&amp;".Emissions[GHG]"), CB$6, INDIRECT($C11&amp;".Emissions[IPCC Sector]"), CB$5),0)</f>
        <v>0</v>
      </c>
      <c r="CC11" s="542">
        <f t="shared" ca="1" si="27"/>
        <v>0</v>
      </c>
      <c r="CD11" s="542">
        <f t="shared" ca="1" si="27"/>
        <v>0</v>
      </c>
      <c r="CE11" s="542">
        <f t="shared" ca="1" si="27"/>
        <v>0</v>
      </c>
      <c r="CF11" s="542">
        <f t="shared" ca="1" si="27"/>
        <v>0</v>
      </c>
      <c r="CG11" s="542">
        <f t="shared" ca="1" si="27"/>
        <v>0</v>
      </c>
      <c r="CH11" s="542">
        <f t="shared" ca="1" si="27"/>
        <v>0</v>
      </c>
      <c r="CI11" s="542">
        <f t="shared" ca="1" si="27"/>
        <v>0</v>
      </c>
      <c r="CJ11" s="542">
        <f t="shared" ca="1" si="27"/>
        <v>0</v>
      </c>
      <c r="CK11" s="542">
        <f t="shared" ca="1" si="27"/>
        <v>0</v>
      </c>
      <c r="CL11" s="542">
        <f t="shared" ref="CL11:CU11" ca="1" si="28">IFERROR(SUMIFS(INDIRECT($C11&amp;".Emissions["&amp;this.Year&amp;"]"), INDIRECT($C11&amp;".Emissions[GHG]"), CL$6, INDIRECT($C11&amp;".Emissions[IPCC Sector]"), CL$5),0)</f>
        <v>0</v>
      </c>
      <c r="CM11" s="542">
        <f t="shared" ca="1" si="28"/>
        <v>0</v>
      </c>
      <c r="CN11" s="542">
        <f t="shared" ca="1" si="28"/>
        <v>0</v>
      </c>
      <c r="CO11" s="542">
        <f t="shared" ca="1" si="28"/>
        <v>0</v>
      </c>
      <c r="CP11" s="542">
        <f t="shared" ca="1" si="28"/>
        <v>0</v>
      </c>
      <c r="CQ11" s="542">
        <f t="shared" ca="1" si="28"/>
        <v>0</v>
      </c>
      <c r="CR11" s="542">
        <f t="shared" ca="1" si="28"/>
        <v>0</v>
      </c>
      <c r="CS11" s="542">
        <f t="shared" ca="1" si="28"/>
        <v>0</v>
      </c>
      <c r="CT11" s="542">
        <f t="shared" ca="1" si="28"/>
        <v>0</v>
      </c>
      <c r="CU11" s="542">
        <f t="shared" ca="1" si="28"/>
        <v>0</v>
      </c>
      <c r="CW11" s="151"/>
    </row>
    <row r="12" spans="1:101" s="84" customFormat="1" ht="12.75" customHeight="1" outlineLevel="1" x14ac:dyDescent="0.2">
      <c r="A12" s="543"/>
      <c r="B12" s="543"/>
      <c r="C12" s="86"/>
      <c r="D12" s="292" t="s">
        <v>390</v>
      </c>
      <c r="E12" s="292"/>
      <c r="G12" s="299">
        <f t="shared" ref="G12:O12" ca="1" si="29">SUM(G11:G11)</f>
        <v>7.6376658252466445</v>
      </c>
      <c r="H12" s="299">
        <f t="shared" ca="1" si="29"/>
        <v>0</v>
      </c>
      <c r="I12" s="299">
        <f t="shared" ca="1" si="29"/>
        <v>0</v>
      </c>
      <c r="J12" s="299">
        <f t="shared" ca="1" si="29"/>
        <v>0</v>
      </c>
      <c r="K12" s="299">
        <f t="shared" ca="1" si="29"/>
        <v>0</v>
      </c>
      <c r="L12" s="299">
        <f t="shared" ca="1" si="29"/>
        <v>0</v>
      </c>
      <c r="M12" s="299">
        <f t="shared" ca="1" si="29"/>
        <v>0</v>
      </c>
      <c r="N12" s="299">
        <f t="shared" ca="1" si="29"/>
        <v>0</v>
      </c>
      <c r="O12" s="299">
        <f t="shared" ca="1" si="29"/>
        <v>0</v>
      </c>
      <c r="P12" s="299">
        <f t="shared" ca="1" si="1"/>
        <v>7.6376658252466445</v>
      </c>
      <c r="R12" s="306">
        <f t="shared" ref="R12:AG12" ca="1" si="30">SUM(R11:R11)</f>
        <v>-7.6376658252466445</v>
      </c>
      <c r="S12" s="306">
        <f t="shared" ca="1" si="30"/>
        <v>0</v>
      </c>
      <c r="T12" s="306">
        <f t="shared" ca="1" si="30"/>
        <v>0</v>
      </c>
      <c r="U12" s="306">
        <f t="shared" ca="1" si="30"/>
        <v>0</v>
      </c>
      <c r="V12" s="306">
        <f t="shared" ca="1" si="30"/>
        <v>0</v>
      </c>
      <c r="W12" s="306">
        <f t="shared" ca="1" si="30"/>
        <v>0</v>
      </c>
      <c r="X12" s="306">
        <f t="shared" ca="1" si="30"/>
        <v>0</v>
      </c>
      <c r="Y12" s="306">
        <f t="shared" ca="1" si="30"/>
        <v>0</v>
      </c>
      <c r="Z12" s="306">
        <f t="shared" ca="1" si="30"/>
        <v>0</v>
      </c>
      <c r="AA12" s="306">
        <f t="shared" ca="1" si="30"/>
        <v>0</v>
      </c>
      <c r="AB12" s="306">
        <f t="shared" ca="1" si="30"/>
        <v>0</v>
      </c>
      <c r="AC12" s="306">
        <f t="shared" ca="1" si="30"/>
        <v>0</v>
      </c>
      <c r="AD12" s="306">
        <f t="shared" ca="1" si="30"/>
        <v>0</v>
      </c>
      <c r="AE12" s="306">
        <f t="shared" ca="1" si="30"/>
        <v>0</v>
      </c>
      <c r="AF12" s="306">
        <f t="shared" ca="1" si="30"/>
        <v>0</v>
      </c>
      <c r="AG12" s="306">
        <f t="shared" ca="1" si="30"/>
        <v>0</v>
      </c>
      <c r="AH12" s="306">
        <f t="shared" ca="1" si="5"/>
        <v>-7.6376658252466445</v>
      </c>
      <c r="AJ12" s="314">
        <f t="shared" ref="AJ12:AX12" ca="1" si="31">SUM(AJ11:AJ11)</f>
        <v>0</v>
      </c>
      <c r="AK12" s="314">
        <f t="shared" ca="1" si="31"/>
        <v>0</v>
      </c>
      <c r="AL12" s="314">
        <f t="shared" ca="1" si="31"/>
        <v>0</v>
      </c>
      <c r="AM12" s="314">
        <f t="shared" ca="1" si="31"/>
        <v>0</v>
      </c>
      <c r="AN12" s="314">
        <f t="shared" ca="1" si="31"/>
        <v>0</v>
      </c>
      <c r="AO12" s="314">
        <f t="shared" ca="1" si="31"/>
        <v>0</v>
      </c>
      <c r="AP12" s="314">
        <f t="shared" ca="1" si="31"/>
        <v>0</v>
      </c>
      <c r="AQ12" s="314">
        <f t="shared" ca="1" si="31"/>
        <v>0</v>
      </c>
      <c r="AR12" s="314">
        <f t="shared" ca="1" si="31"/>
        <v>0</v>
      </c>
      <c r="AS12" s="314">
        <f t="shared" ca="1" si="31"/>
        <v>0</v>
      </c>
      <c r="AT12" s="314">
        <f t="shared" ca="1" si="31"/>
        <v>0</v>
      </c>
      <c r="AU12" s="314">
        <f t="shared" ca="1" si="31"/>
        <v>0</v>
      </c>
      <c r="AV12" s="314">
        <f t="shared" ca="1" si="31"/>
        <v>0</v>
      </c>
      <c r="AW12" s="314">
        <f t="shared" ca="1" si="31"/>
        <v>0</v>
      </c>
      <c r="AX12" s="314">
        <f t="shared" ca="1" si="31"/>
        <v>0</v>
      </c>
      <c r="AY12" s="293">
        <f t="shared" ca="1" si="8"/>
        <v>0</v>
      </c>
      <c r="BA12" s="310">
        <f ca="1">SUM(BA11:BA11)</f>
        <v>0</v>
      </c>
      <c r="BB12" s="310">
        <f ca="1">SUM(BB11:BB11)</f>
        <v>0</v>
      </c>
      <c r="BC12" s="310">
        <f t="shared" ca="1" si="10"/>
        <v>0</v>
      </c>
      <c r="BE12" s="135">
        <f t="shared" ca="1" si="11"/>
        <v>0</v>
      </c>
      <c r="BF12" s="135"/>
      <c r="BG12" s="153"/>
      <c r="BH12" s="544">
        <f t="shared" ref="BH12:CU12" ca="1" si="32">SUM(BH11:BH11)</f>
        <v>0</v>
      </c>
      <c r="BI12" s="545">
        <f t="shared" ca="1" si="32"/>
        <v>0</v>
      </c>
      <c r="BJ12" s="545">
        <f t="shared" ca="1" si="32"/>
        <v>0</v>
      </c>
      <c r="BK12" s="545">
        <f t="shared" ca="1" si="32"/>
        <v>0</v>
      </c>
      <c r="BL12" s="545">
        <f t="shared" ca="1" si="32"/>
        <v>0</v>
      </c>
      <c r="BM12" s="545">
        <f t="shared" ca="1" si="32"/>
        <v>0</v>
      </c>
      <c r="BN12" s="545">
        <f t="shared" ca="1" si="32"/>
        <v>0</v>
      </c>
      <c r="BO12" s="545">
        <f t="shared" ca="1" si="32"/>
        <v>0</v>
      </c>
      <c r="BP12" s="545">
        <f t="shared" ca="1" si="32"/>
        <v>0</v>
      </c>
      <c r="BQ12" s="545">
        <f t="shared" ca="1" si="32"/>
        <v>0</v>
      </c>
      <c r="BR12" s="545">
        <f t="shared" ca="1" si="32"/>
        <v>0</v>
      </c>
      <c r="BS12" s="545">
        <f t="shared" ca="1" si="32"/>
        <v>0</v>
      </c>
      <c r="BT12" s="545">
        <f t="shared" ca="1" si="32"/>
        <v>0</v>
      </c>
      <c r="BU12" s="545">
        <f t="shared" ca="1" si="32"/>
        <v>0</v>
      </c>
      <c r="BV12" s="545">
        <f t="shared" ca="1" si="32"/>
        <v>0</v>
      </c>
      <c r="BW12" s="545">
        <f t="shared" ca="1" si="32"/>
        <v>0</v>
      </c>
      <c r="BX12" s="545">
        <f t="shared" ca="1" si="32"/>
        <v>0</v>
      </c>
      <c r="BY12" s="545">
        <f t="shared" ca="1" si="32"/>
        <v>0</v>
      </c>
      <c r="BZ12" s="545">
        <f t="shared" ca="1" si="32"/>
        <v>0</v>
      </c>
      <c r="CA12" s="545">
        <f t="shared" ca="1" si="32"/>
        <v>0</v>
      </c>
      <c r="CB12" s="545">
        <f t="shared" ca="1" si="32"/>
        <v>0</v>
      </c>
      <c r="CC12" s="545">
        <f t="shared" ca="1" si="32"/>
        <v>0</v>
      </c>
      <c r="CD12" s="545">
        <f t="shared" ca="1" si="32"/>
        <v>0</v>
      </c>
      <c r="CE12" s="545">
        <f t="shared" ca="1" si="32"/>
        <v>0</v>
      </c>
      <c r="CF12" s="545">
        <f t="shared" ca="1" si="32"/>
        <v>0</v>
      </c>
      <c r="CG12" s="545">
        <f t="shared" ca="1" si="32"/>
        <v>0</v>
      </c>
      <c r="CH12" s="545">
        <f t="shared" ca="1" si="32"/>
        <v>0</v>
      </c>
      <c r="CI12" s="545">
        <f t="shared" ca="1" si="32"/>
        <v>0</v>
      </c>
      <c r="CJ12" s="545">
        <f t="shared" ca="1" si="32"/>
        <v>0</v>
      </c>
      <c r="CK12" s="545">
        <f t="shared" ca="1" si="32"/>
        <v>0</v>
      </c>
      <c r="CL12" s="545">
        <f t="shared" ca="1" si="32"/>
        <v>0</v>
      </c>
      <c r="CM12" s="545">
        <f t="shared" ca="1" si="32"/>
        <v>0</v>
      </c>
      <c r="CN12" s="545">
        <f t="shared" ca="1" si="32"/>
        <v>0</v>
      </c>
      <c r="CO12" s="545">
        <f t="shared" ca="1" si="32"/>
        <v>0</v>
      </c>
      <c r="CP12" s="545">
        <f t="shared" ca="1" si="32"/>
        <v>0</v>
      </c>
      <c r="CQ12" s="545">
        <f t="shared" ca="1" si="32"/>
        <v>0</v>
      </c>
      <c r="CR12" s="545">
        <f t="shared" ca="1" si="32"/>
        <v>0</v>
      </c>
      <c r="CS12" s="545">
        <f t="shared" ca="1" si="32"/>
        <v>0</v>
      </c>
      <c r="CT12" s="545">
        <f t="shared" ca="1" si="32"/>
        <v>0</v>
      </c>
      <c r="CU12" s="545">
        <f t="shared" ca="1" si="32"/>
        <v>0</v>
      </c>
      <c r="CW12" s="151"/>
    </row>
    <row r="13" spans="1:101" s="84" customFormat="1" ht="15.75" x14ac:dyDescent="0.2">
      <c r="A13" s="18"/>
      <c r="B13" s="89"/>
      <c r="C13" s="85" t="s">
        <v>229</v>
      </c>
      <c r="D13" s="57" t="str">
        <f>INDEX(Workstreams[Workstream], MATCH($C13, Workstreams[Code], 0))</f>
        <v>Cooling</v>
      </c>
      <c r="E13" s="53"/>
      <c r="G13" s="300">
        <f t="shared" ref="G13:O13" ca="1" si="33">G12+G10</f>
        <v>46.191013019682934</v>
      </c>
      <c r="H13" s="300">
        <f t="shared" ca="1" si="33"/>
        <v>0</v>
      </c>
      <c r="I13" s="300">
        <f t="shared" ca="1" si="33"/>
        <v>0</v>
      </c>
      <c r="J13" s="300">
        <f t="shared" ca="1" si="33"/>
        <v>0</v>
      </c>
      <c r="K13" s="300">
        <f t="shared" ca="1" si="33"/>
        <v>0</v>
      </c>
      <c r="L13" s="300">
        <f t="shared" ca="1" si="33"/>
        <v>0</v>
      </c>
      <c r="M13" s="300">
        <f t="shared" ca="1" si="33"/>
        <v>0</v>
      </c>
      <c r="N13" s="300">
        <f t="shared" ca="1" si="33"/>
        <v>0</v>
      </c>
      <c r="O13" s="300">
        <f t="shared" ca="1" si="33"/>
        <v>0</v>
      </c>
      <c r="P13" s="300">
        <f t="shared" ca="1" si="1"/>
        <v>46.191013019682934</v>
      </c>
      <c r="R13" s="257">
        <f t="shared" ref="R13:AG13" ca="1" si="34">R12+R10</f>
        <v>-46.191013019682934</v>
      </c>
      <c r="S13" s="257">
        <f t="shared" ca="1" si="34"/>
        <v>0</v>
      </c>
      <c r="T13" s="257">
        <f t="shared" ca="1" si="34"/>
        <v>0</v>
      </c>
      <c r="U13" s="257">
        <f t="shared" ca="1" si="34"/>
        <v>0</v>
      </c>
      <c r="V13" s="257">
        <f t="shared" ca="1" si="34"/>
        <v>0</v>
      </c>
      <c r="W13" s="257">
        <f t="shared" ca="1" si="34"/>
        <v>0</v>
      </c>
      <c r="X13" s="257">
        <f t="shared" ca="1" si="34"/>
        <v>0</v>
      </c>
      <c r="Y13" s="257">
        <f t="shared" ca="1" si="34"/>
        <v>0</v>
      </c>
      <c r="Z13" s="257">
        <f t="shared" ca="1" si="34"/>
        <v>0</v>
      </c>
      <c r="AA13" s="257">
        <f t="shared" ca="1" si="34"/>
        <v>0</v>
      </c>
      <c r="AB13" s="257">
        <f t="shared" ca="1" si="34"/>
        <v>0</v>
      </c>
      <c r="AC13" s="257">
        <f t="shared" ca="1" si="34"/>
        <v>0</v>
      </c>
      <c r="AD13" s="257">
        <f t="shared" ca="1" si="34"/>
        <v>0</v>
      </c>
      <c r="AE13" s="257">
        <f t="shared" ca="1" si="34"/>
        <v>0</v>
      </c>
      <c r="AF13" s="257">
        <f t="shared" ca="1" si="34"/>
        <v>0</v>
      </c>
      <c r="AG13" s="257">
        <f t="shared" ca="1" si="34"/>
        <v>0</v>
      </c>
      <c r="AH13" s="257">
        <f t="shared" ca="1" si="5"/>
        <v>-46.191013019682934</v>
      </c>
      <c r="AJ13" s="263">
        <f t="shared" ref="AJ13:AX13" ca="1" si="35">AJ12+AJ10</f>
        <v>0</v>
      </c>
      <c r="AK13" s="263">
        <f t="shared" ca="1" si="35"/>
        <v>0</v>
      </c>
      <c r="AL13" s="263">
        <f t="shared" ca="1" si="35"/>
        <v>0</v>
      </c>
      <c r="AM13" s="263">
        <f t="shared" ca="1" si="35"/>
        <v>0</v>
      </c>
      <c r="AN13" s="263">
        <f t="shared" ca="1" si="35"/>
        <v>0</v>
      </c>
      <c r="AO13" s="263">
        <f t="shared" ca="1" si="35"/>
        <v>0</v>
      </c>
      <c r="AP13" s="263">
        <f t="shared" ca="1" si="35"/>
        <v>0</v>
      </c>
      <c r="AQ13" s="263">
        <f t="shared" ca="1" si="35"/>
        <v>0</v>
      </c>
      <c r="AR13" s="263">
        <f t="shared" ca="1" si="35"/>
        <v>0</v>
      </c>
      <c r="AS13" s="263">
        <f t="shared" ca="1" si="35"/>
        <v>0</v>
      </c>
      <c r="AT13" s="263">
        <f t="shared" ca="1" si="35"/>
        <v>0</v>
      </c>
      <c r="AU13" s="263">
        <f t="shared" ca="1" si="35"/>
        <v>0</v>
      </c>
      <c r="AV13" s="263">
        <f t="shared" ca="1" si="35"/>
        <v>0</v>
      </c>
      <c r="AW13" s="263">
        <f t="shared" ca="1" si="35"/>
        <v>0</v>
      </c>
      <c r="AX13" s="263">
        <f t="shared" ca="1" si="35"/>
        <v>0</v>
      </c>
      <c r="AY13" s="263">
        <f t="shared" ca="1" si="8"/>
        <v>0</v>
      </c>
      <c r="BA13" s="277">
        <f ca="1">BA12+BA10</f>
        <v>0</v>
      </c>
      <c r="BB13" s="277">
        <f ca="1">BB12+BB10</f>
        <v>0</v>
      </c>
      <c r="BC13" s="277">
        <f t="shared" ca="1" si="10"/>
        <v>0</v>
      </c>
      <c r="BE13" s="55">
        <f t="shared" ca="1" si="11"/>
        <v>0</v>
      </c>
      <c r="BF13" s="55"/>
      <c r="BG13" s="153"/>
      <c r="BH13" s="542">
        <f t="shared" ref="BH13:CU13" ca="1" si="36">BH12+BH10</f>
        <v>0</v>
      </c>
      <c r="BI13" s="542">
        <f t="shared" ca="1" si="36"/>
        <v>0</v>
      </c>
      <c r="BJ13" s="542">
        <f t="shared" ca="1" si="36"/>
        <v>0</v>
      </c>
      <c r="BK13" s="542">
        <f t="shared" ca="1" si="36"/>
        <v>0</v>
      </c>
      <c r="BL13" s="542">
        <f t="shared" ca="1" si="36"/>
        <v>0</v>
      </c>
      <c r="BM13" s="542">
        <f t="shared" ca="1" si="36"/>
        <v>0</v>
      </c>
      <c r="BN13" s="542">
        <f t="shared" ca="1" si="36"/>
        <v>0</v>
      </c>
      <c r="BO13" s="542">
        <f t="shared" ca="1" si="36"/>
        <v>0</v>
      </c>
      <c r="BP13" s="542">
        <f t="shared" ca="1" si="36"/>
        <v>0</v>
      </c>
      <c r="BQ13" s="542">
        <f t="shared" ca="1" si="36"/>
        <v>0</v>
      </c>
      <c r="BR13" s="542">
        <f t="shared" ca="1" si="36"/>
        <v>0</v>
      </c>
      <c r="BS13" s="542">
        <f t="shared" ca="1" si="36"/>
        <v>0</v>
      </c>
      <c r="BT13" s="542">
        <f t="shared" ca="1" si="36"/>
        <v>0</v>
      </c>
      <c r="BU13" s="542">
        <f t="shared" ca="1" si="36"/>
        <v>0</v>
      </c>
      <c r="BV13" s="542">
        <f t="shared" ca="1" si="36"/>
        <v>0</v>
      </c>
      <c r="BW13" s="542">
        <f t="shared" ca="1" si="36"/>
        <v>0</v>
      </c>
      <c r="BX13" s="542">
        <f t="shared" ca="1" si="36"/>
        <v>0</v>
      </c>
      <c r="BY13" s="542">
        <f t="shared" ca="1" si="36"/>
        <v>0</v>
      </c>
      <c r="BZ13" s="542">
        <f t="shared" ca="1" si="36"/>
        <v>0</v>
      </c>
      <c r="CA13" s="542">
        <f t="shared" ca="1" si="36"/>
        <v>0</v>
      </c>
      <c r="CB13" s="542">
        <f t="shared" ca="1" si="36"/>
        <v>0</v>
      </c>
      <c r="CC13" s="542">
        <f t="shared" ca="1" si="36"/>
        <v>0</v>
      </c>
      <c r="CD13" s="542">
        <f t="shared" ca="1" si="36"/>
        <v>0</v>
      </c>
      <c r="CE13" s="542">
        <f t="shared" ca="1" si="36"/>
        <v>0</v>
      </c>
      <c r="CF13" s="542">
        <f t="shared" ca="1" si="36"/>
        <v>0</v>
      </c>
      <c r="CG13" s="542">
        <f t="shared" ca="1" si="36"/>
        <v>0</v>
      </c>
      <c r="CH13" s="542">
        <f t="shared" ca="1" si="36"/>
        <v>0</v>
      </c>
      <c r="CI13" s="542">
        <f t="shared" ca="1" si="36"/>
        <v>0</v>
      </c>
      <c r="CJ13" s="542">
        <f t="shared" ca="1" si="36"/>
        <v>0</v>
      </c>
      <c r="CK13" s="542">
        <f t="shared" ca="1" si="36"/>
        <v>0</v>
      </c>
      <c r="CL13" s="542">
        <f t="shared" ca="1" si="36"/>
        <v>0</v>
      </c>
      <c r="CM13" s="542">
        <f t="shared" ca="1" si="36"/>
        <v>0</v>
      </c>
      <c r="CN13" s="542">
        <f t="shared" ca="1" si="36"/>
        <v>0</v>
      </c>
      <c r="CO13" s="542">
        <f t="shared" ca="1" si="36"/>
        <v>0</v>
      </c>
      <c r="CP13" s="542">
        <f t="shared" ca="1" si="36"/>
        <v>0</v>
      </c>
      <c r="CQ13" s="542">
        <f t="shared" ca="1" si="36"/>
        <v>0</v>
      </c>
      <c r="CR13" s="542">
        <f t="shared" ca="1" si="36"/>
        <v>0</v>
      </c>
      <c r="CS13" s="542">
        <f t="shared" ca="1" si="36"/>
        <v>0</v>
      </c>
      <c r="CT13" s="542">
        <f t="shared" ca="1" si="36"/>
        <v>0</v>
      </c>
      <c r="CU13" s="542">
        <f t="shared" ca="1" si="36"/>
        <v>0</v>
      </c>
      <c r="CW13" s="151">
        <f t="shared" ref="CW13:CW26" ca="1" si="37">SUM(BH13:CU13)</f>
        <v>0</v>
      </c>
    </row>
    <row r="14" spans="1:101" s="84" customFormat="1" outlineLevel="1" x14ac:dyDescent="0.2">
      <c r="A14" s="543"/>
      <c r="B14" s="543"/>
      <c r="C14" s="86"/>
      <c r="D14" s="61"/>
      <c r="E14" s="61"/>
      <c r="G14" s="298"/>
      <c r="H14" s="298"/>
      <c r="I14" s="298"/>
      <c r="J14" s="298"/>
      <c r="K14" s="298"/>
      <c r="L14" s="298"/>
      <c r="M14" s="298"/>
      <c r="N14" s="298"/>
      <c r="O14" s="298"/>
      <c r="P14" s="298">
        <f t="shared" si="1"/>
        <v>0</v>
      </c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5">
        <f t="shared" si="5"/>
        <v>0</v>
      </c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266">
        <f t="shared" si="8"/>
        <v>0</v>
      </c>
      <c r="BA14" s="309"/>
      <c r="BB14" s="309"/>
      <c r="BC14" s="309">
        <f t="shared" si="10"/>
        <v>0</v>
      </c>
      <c r="BE14" s="135">
        <f t="shared" si="11"/>
        <v>0</v>
      </c>
      <c r="BF14" s="135"/>
      <c r="BG14" s="543"/>
      <c r="BH14" s="541"/>
      <c r="BI14" s="542"/>
      <c r="BJ14" s="542"/>
      <c r="BK14" s="542"/>
      <c r="BL14" s="542"/>
      <c r="BM14" s="542"/>
      <c r="BN14" s="542"/>
      <c r="BO14" s="542"/>
      <c r="BP14" s="542"/>
      <c r="BQ14" s="542"/>
      <c r="BR14" s="542"/>
      <c r="BS14" s="542"/>
      <c r="BT14" s="542"/>
      <c r="BU14" s="542"/>
      <c r="BV14" s="542"/>
      <c r="BW14" s="542"/>
      <c r="BX14" s="542"/>
      <c r="BY14" s="542"/>
      <c r="BZ14" s="542"/>
      <c r="CA14" s="542"/>
      <c r="CB14" s="542"/>
      <c r="CC14" s="542"/>
      <c r="CD14" s="542"/>
      <c r="CE14" s="542"/>
      <c r="CF14" s="542"/>
      <c r="CG14" s="542"/>
      <c r="CH14" s="542"/>
      <c r="CI14" s="542"/>
      <c r="CJ14" s="542"/>
      <c r="CK14" s="542"/>
      <c r="CL14" s="542"/>
      <c r="CM14" s="542"/>
      <c r="CN14" s="542"/>
      <c r="CO14" s="542"/>
      <c r="CP14" s="542"/>
      <c r="CQ14" s="542"/>
      <c r="CR14" s="542"/>
      <c r="CS14" s="542"/>
      <c r="CT14" s="542"/>
      <c r="CU14" s="542"/>
      <c r="CW14" s="151">
        <f t="shared" si="37"/>
        <v>0</v>
      </c>
    </row>
    <row r="15" spans="1:101" s="84" customFormat="1" ht="12.75" customHeight="1" outlineLevel="1" x14ac:dyDescent="0.2">
      <c r="A15" s="543"/>
      <c r="B15" s="543"/>
      <c r="C15" s="86" t="s">
        <v>392</v>
      </c>
      <c r="D15" s="540" t="str">
        <f>INDEX(Modules[Module], MATCH($C15, Modules[Code], 0))</f>
        <v>Residential Lighting, Appliances, and Cooking</v>
      </c>
      <c r="E15" s="291"/>
      <c r="G15" s="297">
        <f t="shared" ref="G15:O16" ca="1" si="38">IFERROR(INDEX(INDIRECT($C15&amp;".Outputs["&amp;this.Year&amp;"]"), MATCH(G$5, INDIRECT($C15&amp;".Outputs[Vector]"), 0)), 0)</f>
        <v>0</v>
      </c>
      <c r="H15" s="297">
        <f t="shared" ca="1" si="38"/>
        <v>21.163933570151457</v>
      </c>
      <c r="I15" s="297">
        <f t="shared" ca="1" si="38"/>
        <v>224.40625375011746</v>
      </c>
      <c r="J15" s="297">
        <f t="shared" ca="1" si="38"/>
        <v>0</v>
      </c>
      <c r="K15" s="297">
        <f t="shared" ca="1" si="38"/>
        <v>0</v>
      </c>
      <c r="L15" s="297">
        <f t="shared" ca="1" si="38"/>
        <v>0</v>
      </c>
      <c r="M15" s="297">
        <f t="shared" ca="1" si="38"/>
        <v>0</v>
      </c>
      <c r="N15" s="297">
        <f t="shared" ca="1" si="38"/>
        <v>0</v>
      </c>
      <c r="O15" s="297">
        <f t="shared" ca="1" si="38"/>
        <v>0</v>
      </c>
      <c r="P15" s="297">
        <f t="shared" ca="1" si="1"/>
        <v>245.57018732026893</v>
      </c>
      <c r="R15" s="304">
        <f t="shared" ref="R15:AX16" ca="1" si="39">IFERROR(INDEX(INDIRECT($C15&amp;".Outputs["&amp;this.Year&amp;"]"), MATCH(R$5, INDIRECT($C15&amp;".Outputs[Vector]"), 0)), 0)</f>
        <v>-27.89612118265498</v>
      </c>
      <c r="S15" s="304">
        <f t="shared" ca="1" si="39"/>
        <v>0</v>
      </c>
      <c r="T15" s="304">
        <f t="shared" ca="1" si="39"/>
        <v>0</v>
      </c>
      <c r="U15" s="304">
        <f t="shared" ca="1" si="39"/>
        <v>-26.928750450014093</v>
      </c>
      <c r="V15" s="304">
        <f t="shared" ca="1" si="39"/>
        <v>-11.220312687505874</v>
      </c>
      <c r="W15" s="304">
        <f t="shared" ca="1" si="39"/>
        <v>-179.52500300009399</v>
      </c>
      <c r="X15" s="304">
        <f t="shared" ref="X15:Z16" ca="1" si="40">IFERROR(INDEX(INDIRECT($C15&amp;".Outputs["&amp;this.Year&amp;"]"), MATCH(X$5, INDIRECT($C15&amp;".Outputs[Vector]"), 0)), 0)</f>
        <v>0</v>
      </c>
      <c r="Y15" s="304">
        <f t="shared" ca="1" si="40"/>
        <v>0</v>
      </c>
      <c r="Z15" s="304">
        <f t="shared" ca="1" si="40"/>
        <v>0</v>
      </c>
      <c r="AA15" s="304">
        <f t="shared" ca="1" si="39"/>
        <v>0</v>
      </c>
      <c r="AB15" s="304">
        <f t="shared" ca="1" si="39"/>
        <v>0</v>
      </c>
      <c r="AC15" s="304">
        <f t="shared" ca="1" si="39"/>
        <v>0</v>
      </c>
      <c r="AD15" s="304">
        <f t="shared" ca="1" si="39"/>
        <v>0</v>
      </c>
      <c r="AE15" s="304">
        <f t="shared" ca="1" si="39"/>
        <v>0</v>
      </c>
      <c r="AF15" s="304">
        <f t="shared" ca="1" si="39"/>
        <v>0</v>
      </c>
      <c r="AG15" s="304">
        <f t="shared" ca="1" si="39"/>
        <v>0</v>
      </c>
      <c r="AH15" s="305">
        <f t="shared" ca="1" si="5"/>
        <v>-245.57018732026893</v>
      </c>
      <c r="AJ15" s="312">
        <f t="shared" ref="AJ15:AR16" ca="1" si="41">IFERROR(INDEX(INDIRECT($C15&amp;".Outputs["&amp;this.Year&amp;"]"), MATCH(AJ$5, INDIRECT($C15&amp;".Outputs[Vector]"), 0)), 0)</f>
        <v>0</v>
      </c>
      <c r="AK15" s="312">
        <f t="shared" ca="1" si="41"/>
        <v>0</v>
      </c>
      <c r="AL15" s="312">
        <f t="shared" ca="1" si="41"/>
        <v>0</v>
      </c>
      <c r="AM15" s="312">
        <f t="shared" ca="1" si="41"/>
        <v>0</v>
      </c>
      <c r="AN15" s="312">
        <f t="shared" ca="1" si="41"/>
        <v>0</v>
      </c>
      <c r="AO15" s="312">
        <f t="shared" ca="1" si="41"/>
        <v>0</v>
      </c>
      <c r="AP15" s="312">
        <f t="shared" ca="1" si="41"/>
        <v>0</v>
      </c>
      <c r="AQ15" s="312">
        <f t="shared" ca="1" si="41"/>
        <v>0</v>
      </c>
      <c r="AR15" s="312">
        <f t="shared" ca="1" si="41"/>
        <v>0</v>
      </c>
      <c r="AS15" s="312">
        <f t="shared" ca="1" si="39"/>
        <v>0</v>
      </c>
      <c r="AT15" s="312">
        <f t="shared" ca="1" si="39"/>
        <v>0</v>
      </c>
      <c r="AU15" s="312">
        <f t="shared" ca="1" si="39"/>
        <v>0</v>
      </c>
      <c r="AV15" s="312">
        <f t="shared" ca="1" si="39"/>
        <v>0</v>
      </c>
      <c r="AW15" s="312">
        <f t="shared" ca="1" si="39"/>
        <v>0</v>
      </c>
      <c r="AX15" s="312">
        <f t="shared" ca="1" si="39"/>
        <v>0</v>
      </c>
      <c r="AY15" s="266">
        <f t="shared" ca="1" si="8"/>
        <v>0</v>
      </c>
      <c r="BA15" s="308">
        <f ca="1">IFERROR(INDEX(INDIRECT($C15&amp;".Outputs["&amp;this.Year&amp;"]"), MATCH(BA$5, INDIRECT($C15&amp;".Outputs[Vector]"), 0)), 0)</f>
        <v>0</v>
      </c>
      <c r="BB15" s="308">
        <f ca="1">IFERROR(INDEX(INDIRECT($C15&amp;".Outputs["&amp;this.Year&amp;"]"), MATCH(BB$5, INDIRECT($C15&amp;".Outputs[Vector]"), 0)), 0)</f>
        <v>0</v>
      </c>
      <c r="BC15" s="309">
        <f t="shared" ca="1" si="10"/>
        <v>0</v>
      </c>
      <c r="BE15" s="135">
        <f t="shared" ca="1" si="11"/>
        <v>0</v>
      </c>
      <c r="BF15" s="135"/>
      <c r="BG15" s="153"/>
      <c r="BH15" s="541">
        <f t="shared" ref="BH15:BQ16" ca="1" si="42">IFERROR(SUMIFS(INDIRECT($C15&amp;".Emissions["&amp;this.Year&amp;"]"), INDIRECT($C15&amp;".Emissions[GHG]"), BH$6, INDIRECT($C15&amp;".Emissions[IPCC Sector]"), BH$5),0)</f>
        <v>8.7967251470046044</v>
      </c>
      <c r="BI15" s="542">
        <f t="shared" ca="1" si="42"/>
        <v>8.7967251470046044</v>
      </c>
      <c r="BJ15" s="542">
        <f t="shared" ca="1" si="42"/>
        <v>8.7967251470046044</v>
      </c>
      <c r="BK15" s="542">
        <f t="shared" ca="1" si="42"/>
        <v>0</v>
      </c>
      <c r="BL15" s="542">
        <f t="shared" ca="1" si="42"/>
        <v>0</v>
      </c>
      <c r="BM15" s="542">
        <f t="shared" ca="1" si="42"/>
        <v>0</v>
      </c>
      <c r="BN15" s="542">
        <f t="shared" ca="1" si="42"/>
        <v>0</v>
      </c>
      <c r="BO15" s="542">
        <f t="shared" ca="1" si="42"/>
        <v>0</v>
      </c>
      <c r="BP15" s="542">
        <f t="shared" ca="1" si="42"/>
        <v>0</v>
      </c>
      <c r="BQ15" s="542">
        <f t="shared" ca="1" si="42"/>
        <v>0</v>
      </c>
      <c r="BR15" s="542">
        <f t="shared" ref="BR15:CA16" ca="1" si="43">IFERROR(SUMIFS(INDIRECT($C15&amp;".Emissions["&amp;this.Year&amp;"]"), INDIRECT($C15&amp;".Emissions[GHG]"), BR$6, INDIRECT($C15&amp;".Emissions[IPCC Sector]"), BR$5),0)</f>
        <v>0</v>
      </c>
      <c r="BS15" s="542">
        <f t="shared" ca="1" si="43"/>
        <v>0</v>
      </c>
      <c r="BT15" s="542">
        <f t="shared" ca="1" si="43"/>
        <v>0</v>
      </c>
      <c r="BU15" s="542">
        <f t="shared" ca="1" si="43"/>
        <v>0</v>
      </c>
      <c r="BV15" s="542">
        <f t="shared" ca="1" si="43"/>
        <v>0</v>
      </c>
      <c r="BW15" s="542">
        <f t="shared" ca="1" si="43"/>
        <v>0</v>
      </c>
      <c r="BX15" s="542">
        <f t="shared" ca="1" si="43"/>
        <v>0</v>
      </c>
      <c r="BY15" s="542">
        <f t="shared" ca="1" si="43"/>
        <v>0</v>
      </c>
      <c r="BZ15" s="542">
        <f t="shared" ca="1" si="43"/>
        <v>0</v>
      </c>
      <c r="CA15" s="542">
        <f t="shared" ca="1" si="43"/>
        <v>0</v>
      </c>
      <c r="CB15" s="542">
        <f t="shared" ref="CB15:CK16" ca="1" si="44">IFERROR(SUMIFS(INDIRECT($C15&amp;".Emissions["&amp;this.Year&amp;"]"), INDIRECT($C15&amp;".Emissions[GHG]"), CB$6, INDIRECT($C15&amp;".Emissions[IPCC Sector]"), CB$5),0)</f>
        <v>0</v>
      </c>
      <c r="CC15" s="542">
        <f t="shared" ca="1" si="44"/>
        <v>0</v>
      </c>
      <c r="CD15" s="542">
        <f t="shared" ca="1" si="44"/>
        <v>0</v>
      </c>
      <c r="CE15" s="542">
        <f t="shared" ca="1" si="44"/>
        <v>0</v>
      </c>
      <c r="CF15" s="542">
        <f t="shared" ca="1" si="44"/>
        <v>0</v>
      </c>
      <c r="CG15" s="542">
        <f t="shared" ca="1" si="44"/>
        <v>0</v>
      </c>
      <c r="CH15" s="542">
        <f t="shared" ca="1" si="44"/>
        <v>0</v>
      </c>
      <c r="CI15" s="542">
        <f t="shared" ca="1" si="44"/>
        <v>0</v>
      </c>
      <c r="CJ15" s="542">
        <f t="shared" ca="1" si="44"/>
        <v>0</v>
      </c>
      <c r="CK15" s="542">
        <f t="shared" ca="1" si="44"/>
        <v>0</v>
      </c>
      <c r="CL15" s="542">
        <f t="shared" ref="CL15:CU16" ca="1" si="45">IFERROR(SUMIFS(INDIRECT($C15&amp;".Emissions["&amp;this.Year&amp;"]"), INDIRECT($C15&amp;".Emissions[GHG]"), CL$6, INDIRECT($C15&amp;".Emissions[IPCC Sector]"), CL$5),0)</f>
        <v>0</v>
      </c>
      <c r="CM15" s="542">
        <f t="shared" ca="1" si="45"/>
        <v>0</v>
      </c>
      <c r="CN15" s="542">
        <f t="shared" ca="1" si="45"/>
        <v>0</v>
      </c>
      <c r="CO15" s="542">
        <f t="shared" ca="1" si="45"/>
        <v>0</v>
      </c>
      <c r="CP15" s="542">
        <f t="shared" ca="1" si="45"/>
        <v>0</v>
      </c>
      <c r="CQ15" s="542">
        <f t="shared" ca="1" si="45"/>
        <v>0</v>
      </c>
      <c r="CR15" s="542">
        <f t="shared" ca="1" si="45"/>
        <v>0</v>
      </c>
      <c r="CS15" s="542">
        <f t="shared" ca="1" si="45"/>
        <v>0</v>
      </c>
      <c r="CT15" s="542">
        <f t="shared" ca="1" si="45"/>
        <v>0</v>
      </c>
      <c r="CU15" s="542">
        <f t="shared" ca="1" si="45"/>
        <v>0</v>
      </c>
      <c r="CW15" s="151">
        <f t="shared" ca="1" si="37"/>
        <v>26.390175441013813</v>
      </c>
    </row>
    <row r="16" spans="1:101" s="84" customFormat="1" ht="12.75" customHeight="1" outlineLevel="1" x14ac:dyDescent="0.2">
      <c r="A16" s="543"/>
      <c r="B16" s="543"/>
      <c r="C16" s="86" t="s">
        <v>393</v>
      </c>
      <c r="D16" s="292" t="str">
        <f>INDEX(Modules[Module], MATCH($C16, Modules[Code], 0))</f>
        <v>Service Sector Lighting, Appliances, and Cooking</v>
      </c>
      <c r="E16" s="292"/>
      <c r="G16" s="301">
        <f t="shared" ca="1" si="38"/>
        <v>0</v>
      </c>
      <c r="H16" s="301">
        <f t="shared" ca="1" si="38"/>
        <v>10.131289843201213</v>
      </c>
      <c r="I16" s="301">
        <f t="shared" ca="1" si="38"/>
        <v>20.534040842492583</v>
      </c>
      <c r="J16" s="301">
        <f t="shared" ca="1" si="38"/>
        <v>0</v>
      </c>
      <c r="K16" s="301">
        <f t="shared" ca="1" si="38"/>
        <v>0</v>
      </c>
      <c r="L16" s="301">
        <f t="shared" ca="1" si="38"/>
        <v>0</v>
      </c>
      <c r="M16" s="301">
        <f t="shared" ca="1" si="38"/>
        <v>0</v>
      </c>
      <c r="N16" s="301">
        <f t="shared" ca="1" si="38"/>
        <v>0</v>
      </c>
      <c r="O16" s="301">
        <f t="shared" ca="1" si="38"/>
        <v>0</v>
      </c>
      <c r="P16" s="301">
        <f t="shared" ca="1" si="1"/>
        <v>30.665330685693796</v>
      </c>
      <c r="R16" s="307">
        <f t="shared" ca="1" si="39"/>
        <v>-10.747311068475991</v>
      </c>
      <c r="S16" s="307">
        <f t="shared" ca="1" si="39"/>
        <v>0</v>
      </c>
      <c r="T16" s="307">
        <f t="shared" ca="1" si="39"/>
        <v>0</v>
      </c>
      <c r="U16" s="307">
        <f t="shared" ca="1" si="39"/>
        <v>-2.4640849010991097</v>
      </c>
      <c r="V16" s="307">
        <f t="shared" ca="1" si="39"/>
        <v>-1.0267020421246291</v>
      </c>
      <c r="W16" s="307">
        <f t="shared" ca="1" si="39"/>
        <v>-16.427232673994066</v>
      </c>
      <c r="X16" s="307">
        <f t="shared" ca="1" si="40"/>
        <v>0</v>
      </c>
      <c r="Y16" s="307">
        <f t="shared" ca="1" si="40"/>
        <v>0</v>
      </c>
      <c r="Z16" s="307">
        <f t="shared" ca="1" si="40"/>
        <v>0</v>
      </c>
      <c r="AA16" s="307">
        <f t="shared" ca="1" si="39"/>
        <v>0</v>
      </c>
      <c r="AB16" s="307">
        <f t="shared" ca="1" si="39"/>
        <v>0</v>
      </c>
      <c r="AC16" s="307">
        <f t="shared" ca="1" si="39"/>
        <v>0</v>
      </c>
      <c r="AD16" s="307">
        <f t="shared" ca="1" si="39"/>
        <v>0</v>
      </c>
      <c r="AE16" s="307">
        <f t="shared" ca="1" si="39"/>
        <v>0</v>
      </c>
      <c r="AF16" s="307">
        <f t="shared" ca="1" si="39"/>
        <v>0</v>
      </c>
      <c r="AG16" s="307">
        <f t="shared" ca="1" si="39"/>
        <v>0</v>
      </c>
      <c r="AH16" s="306">
        <f t="shared" ca="1" si="5"/>
        <v>-30.665330685693796</v>
      </c>
      <c r="AJ16" s="315">
        <f t="shared" ca="1" si="41"/>
        <v>0</v>
      </c>
      <c r="AK16" s="315">
        <f t="shared" ca="1" si="41"/>
        <v>0</v>
      </c>
      <c r="AL16" s="315">
        <f t="shared" ca="1" si="41"/>
        <v>0</v>
      </c>
      <c r="AM16" s="315">
        <f t="shared" ca="1" si="41"/>
        <v>0</v>
      </c>
      <c r="AN16" s="315">
        <f t="shared" ca="1" si="41"/>
        <v>0</v>
      </c>
      <c r="AO16" s="315">
        <f t="shared" ca="1" si="41"/>
        <v>0</v>
      </c>
      <c r="AP16" s="315">
        <f t="shared" ca="1" si="41"/>
        <v>0</v>
      </c>
      <c r="AQ16" s="315">
        <f t="shared" ca="1" si="41"/>
        <v>0</v>
      </c>
      <c r="AR16" s="315">
        <f t="shared" ca="1" si="41"/>
        <v>0</v>
      </c>
      <c r="AS16" s="315">
        <f t="shared" ca="1" si="39"/>
        <v>0</v>
      </c>
      <c r="AT16" s="315">
        <f t="shared" ca="1" si="39"/>
        <v>0</v>
      </c>
      <c r="AU16" s="315">
        <f t="shared" ca="1" si="39"/>
        <v>0</v>
      </c>
      <c r="AV16" s="315">
        <f t="shared" ca="1" si="39"/>
        <v>0</v>
      </c>
      <c r="AW16" s="315">
        <f t="shared" ca="1" si="39"/>
        <v>0</v>
      </c>
      <c r="AX16" s="315">
        <f t="shared" ca="1" si="39"/>
        <v>0</v>
      </c>
      <c r="AY16" s="293">
        <f t="shared" ca="1" si="8"/>
        <v>0</v>
      </c>
      <c r="BA16" s="311">
        <f ca="1">IFERROR(INDEX(INDIRECT($C16&amp;".Outputs["&amp;this.Year&amp;"]"), MATCH(BA$5, INDIRECT($C16&amp;".Outputs[Vector]"), 0)), 0)</f>
        <v>0</v>
      </c>
      <c r="BB16" s="311">
        <f ca="1">IFERROR(INDEX(INDIRECT($C16&amp;".Outputs["&amp;this.Year&amp;"]"), MATCH(BB$5, INDIRECT($C16&amp;".Outputs[Vector]"), 0)), 0)</f>
        <v>0</v>
      </c>
      <c r="BC16" s="310">
        <f t="shared" ca="1" si="10"/>
        <v>0</v>
      </c>
      <c r="BE16" s="135">
        <f t="shared" ca="1" si="11"/>
        <v>0</v>
      </c>
      <c r="BF16" s="135"/>
      <c r="BG16" s="153"/>
      <c r="BH16" s="544">
        <f t="shared" ca="1" si="42"/>
        <v>0.80493440102570912</v>
      </c>
      <c r="BI16" s="545">
        <f t="shared" ca="1" si="42"/>
        <v>1.1456177544755506E-3</v>
      </c>
      <c r="BJ16" s="545">
        <f t="shared" ca="1" si="42"/>
        <v>1.1490766165675643E-2</v>
      </c>
      <c r="BK16" s="545">
        <f t="shared" ca="1" si="42"/>
        <v>0</v>
      </c>
      <c r="BL16" s="545">
        <f t="shared" ca="1" si="42"/>
        <v>0</v>
      </c>
      <c r="BM16" s="545">
        <f t="shared" ca="1" si="42"/>
        <v>0</v>
      </c>
      <c r="BN16" s="545">
        <f t="shared" ca="1" si="42"/>
        <v>0</v>
      </c>
      <c r="BO16" s="545">
        <f t="shared" ca="1" si="42"/>
        <v>0</v>
      </c>
      <c r="BP16" s="545">
        <f t="shared" ca="1" si="42"/>
        <v>0</v>
      </c>
      <c r="BQ16" s="545">
        <f t="shared" ca="1" si="42"/>
        <v>0</v>
      </c>
      <c r="BR16" s="545">
        <f t="shared" ca="1" si="43"/>
        <v>0</v>
      </c>
      <c r="BS16" s="545">
        <f t="shared" ca="1" si="43"/>
        <v>0</v>
      </c>
      <c r="BT16" s="545">
        <f t="shared" ca="1" si="43"/>
        <v>0</v>
      </c>
      <c r="BU16" s="545">
        <f t="shared" ca="1" si="43"/>
        <v>0</v>
      </c>
      <c r="BV16" s="545">
        <f t="shared" ca="1" si="43"/>
        <v>0</v>
      </c>
      <c r="BW16" s="545">
        <f t="shared" ca="1" si="43"/>
        <v>0</v>
      </c>
      <c r="BX16" s="545">
        <f t="shared" ca="1" si="43"/>
        <v>0</v>
      </c>
      <c r="BY16" s="545">
        <f t="shared" ca="1" si="43"/>
        <v>0</v>
      </c>
      <c r="BZ16" s="545">
        <f t="shared" ca="1" si="43"/>
        <v>0</v>
      </c>
      <c r="CA16" s="545">
        <f t="shared" ca="1" si="43"/>
        <v>0</v>
      </c>
      <c r="CB16" s="545">
        <f t="shared" ca="1" si="44"/>
        <v>0</v>
      </c>
      <c r="CC16" s="545">
        <f t="shared" ca="1" si="44"/>
        <v>0</v>
      </c>
      <c r="CD16" s="545">
        <f t="shared" ca="1" si="44"/>
        <v>0</v>
      </c>
      <c r="CE16" s="545">
        <f t="shared" ca="1" si="44"/>
        <v>0</v>
      </c>
      <c r="CF16" s="545">
        <f t="shared" ca="1" si="44"/>
        <v>0</v>
      </c>
      <c r="CG16" s="545">
        <f t="shared" ca="1" si="44"/>
        <v>0</v>
      </c>
      <c r="CH16" s="545">
        <f t="shared" ca="1" si="44"/>
        <v>0</v>
      </c>
      <c r="CI16" s="545">
        <f t="shared" ca="1" si="44"/>
        <v>0</v>
      </c>
      <c r="CJ16" s="545">
        <f t="shared" ca="1" si="44"/>
        <v>0</v>
      </c>
      <c r="CK16" s="545">
        <f t="shared" ca="1" si="44"/>
        <v>0</v>
      </c>
      <c r="CL16" s="545">
        <f t="shared" ca="1" si="45"/>
        <v>0</v>
      </c>
      <c r="CM16" s="545">
        <f t="shared" ca="1" si="45"/>
        <v>0</v>
      </c>
      <c r="CN16" s="545">
        <f t="shared" ca="1" si="45"/>
        <v>0</v>
      </c>
      <c r="CO16" s="545">
        <f t="shared" ca="1" si="45"/>
        <v>0</v>
      </c>
      <c r="CP16" s="545">
        <f t="shared" ca="1" si="45"/>
        <v>0</v>
      </c>
      <c r="CQ16" s="545">
        <f t="shared" ca="1" si="45"/>
        <v>0</v>
      </c>
      <c r="CR16" s="545">
        <f t="shared" ca="1" si="45"/>
        <v>0</v>
      </c>
      <c r="CS16" s="545">
        <f t="shared" ca="1" si="45"/>
        <v>0</v>
      </c>
      <c r="CT16" s="545">
        <f t="shared" ca="1" si="45"/>
        <v>0</v>
      </c>
      <c r="CU16" s="545">
        <f t="shared" ca="1" si="45"/>
        <v>0</v>
      </c>
      <c r="CW16" s="151">
        <f t="shared" ca="1" si="37"/>
        <v>0.81757078494586033</v>
      </c>
    </row>
    <row r="17" spans="1:101" s="84" customFormat="1" ht="15.75" x14ac:dyDescent="0.2">
      <c r="A17" s="18"/>
      <c r="B17" s="89"/>
      <c r="C17" s="85" t="s">
        <v>230</v>
      </c>
      <c r="D17" s="57" t="str">
        <f>INDEX(Workstreams[Workstream], MATCH($C17, Workstreams[Code], 0))</f>
        <v>Lighting, Appliances &amp; Cooking</v>
      </c>
      <c r="E17" s="53"/>
      <c r="G17" s="300">
        <f ca="1">G15+G16</f>
        <v>0</v>
      </c>
      <c r="H17" s="300">
        <f t="shared" ref="H17:N17" ca="1" si="46">H15+H16</f>
        <v>31.295223413352669</v>
      </c>
      <c r="I17" s="300">
        <f ca="1">I15+I16</f>
        <v>244.94029459261003</v>
      </c>
      <c r="J17" s="300">
        <f t="shared" ca="1" si="46"/>
        <v>0</v>
      </c>
      <c r="K17" s="300">
        <f t="shared" ca="1" si="46"/>
        <v>0</v>
      </c>
      <c r="L17" s="300">
        <f t="shared" ca="1" si="46"/>
        <v>0</v>
      </c>
      <c r="M17" s="300">
        <f t="shared" ca="1" si="46"/>
        <v>0</v>
      </c>
      <c r="N17" s="300">
        <f t="shared" ca="1" si="46"/>
        <v>0</v>
      </c>
      <c r="O17" s="300">
        <f t="shared" ref="O17" ca="1" si="47">O15+O16</f>
        <v>0</v>
      </c>
      <c r="P17" s="300">
        <f t="shared" ca="1" si="1"/>
        <v>276.23551800596272</v>
      </c>
      <c r="R17" s="257">
        <f ca="1">R15+R16</f>
        <v>-38.643432251130974</v>
      </c>
      <c r="S17" s="257">
        <f t="shared" ref="S17:AE17" ca="1" si="48">S15+S16</f>
        <v>0</v>
      </c>
      <c r="T17" s="257">
        <f t="shared" ca="1" si="48"/>
        <v>0</v>
      </c>
      <c r="U17" s="257">
        <f t="shared" ca="1" si="48"/>
        <v>-29.392835351113202</v>
      </c>
      <c r="V17" s="257">
        <f t="shared" ca="1" si="48"/>
        <v>-12.247014729630504</v>
      </c>
      <c r="W17" s="257">
        <f ca="1">W15+W16</f>
        <v>-195.95223567408806</v>
      </c>
      <c r="X17" s="257">
        <f ca="1">X15+X16</f>
        <v>0</v>
      </c>
      <c r="Y17" s="257">
        <f ca="1">Y15+Y16</f>
        <v>0</v>
      </c>
      <c r="Z17" s="257">
        <f ca="1">Z15+Z16</f>
        <v>0</v>
      </c>
      <c r="AA17" s="257">
        <f t="shared" ca="1" si="48"/>
        <v>0</v>
      </c>
      <c r="AB17" s="257">
        <f t="shared" ca="1" si="48"/>
        <v>0</v>
      </c>
      <c r="AC17" s="257">
        <f ca="1">AC15+AC16</f>
        <v>0</v>
      </c>
      <c r="AD17" s="257">
        <f ca="1">AD15+AD16</f>
        <v>0</v>
      </c>
      <c r="AE17" s="257">
        <f t="shared" ca="1" si="48"/>
        <v>0</v>
      </c>
      <c r="AF17" s="257">
        <f ca="1">AF15+AF16</f>
        <v>0</v>
      </c>
      <c r="AG17" s="257">
        <f ca="1">AG15+AG16</f>
        <v>0</v>
      </c>
      <c r="AH17" s="257">
        <f t="shared" ca="1" si="5"/>
        <v>-276.23551800596272</v>
      </c>
      <c r="AJ17" s="263">
        <f t="shared" ref="AJ17:AX17" ca="1" si="49">AJ15+AJ16</f>
        <v>0</v>
      </c>
      <c r="AK17" s="263">
        <f t="shared" ca="1" si="49"/>
        <v>0</v>
      </c>
      <c r="AL17" s="263">
        <f t="shared" ca="1" si="49"/>
        <v>0</v>
      </c>
      <c r="AM17" s="263">
        <f t="shared" ca="1" si="49"/>
        <v>0</v>
      </c>
      <c r="AN17" s="263">
        <f t="shared" ca="1" si="49"/>
        <v>0</v>
      </c>
      <c r="AO17" s="263">
        <f t="shared" ca="1" si="49"/>
        <v>0</v>
      </c>
      <c r="AP17" s="263">
        <f t="shared" ca="1" si="49"/>
        <v>0</v>
      </c>
      <c r="AQ17" s="263">
        <f t="shared" ca="1" si="49"/>
        <v>0</v>
      </c>
      <c r="AR17" s="263">
        <f t="shared" ca="1" si="49"/>
        <v>0</v>
      </c>
      <c r="AS17" s="263">
        <f t="shared" ca="1" si="49"/>
        <v>0</v>
      </c>
      <c r="AT17" s="263">
        <f t="shared" ca="1" si="49"/>
        <v>0</v>
      </c>
      <c r="AU17" s="263">
        <f t="shared" ca="1" si="49"/>
        <v>0</v>
      </c>
      <c r="AV17" s="263">
        <f t="shared" ca="1" si="49"/>
        <v>0</v>
      </c>
      <c r="AW17" s="263">
        <f t="shared" ca="1" si="49"/>
        <v>0</v>
      </c>
      <c r="AX17" s="263">
        <f t="shared" ca="1" si="49"/>
        <v>0</v>
      </c>
      <c r="AY17" s="263">
        <f t="shared" ca="1" si="8"/>
        <v>0</v>
      </c>
      <c r="BA17" s="277">
        <f ca="1">BA15+BA16</f>
        <v>0</v>
      </c>
      <c r="BB17" s="277">
        <f ca="1">BB15+BB16</f>
        <v>0</v>
      </c>
      <c r="BC17" s="277">
        <f t="shared" ca="1" si="10"/>
        <v>0</v>
      </c>
      <c r="BE17" s="55">
        <f t="shared" ca="1" si="11"/>
        <v>0</v>
      </c>
      <c r="BF17" s="55"/>
      <c r="BG17" s="153"/>
      <c r="BH17" s="542">
        <f t="shared" ref="BH17:CU17" ca="1" si="50">BH15+BH16</f>
        <v>9.6016595480303142</v>
      </c>
      <c r="BI17" s="542">
        <f t="shared" ca="1" si="50"/>
        <v>8.7978707647590806</v>
      </c>
      <c r="BJ17" s="542">
        <f t="shared" ca="1" si="50"/>
        <v>8.8082159131702795</v>
      </c>
      <c r="BK17" s="542">
        <f t="shared" ca="1" si="50"/>
        <v>0</v>
      </c>
      <c r="BL17" s="542">
        <f t="shared" ca="1" si="50"/>
        <v>0</v>
      </c>
      <c r="BM17" s="542">
        <f t="shared" ca="1" si="50"/>
        <v>0</v>
      </c>
      <c r="BN17" s="542">
        <f t="shared" ca="1" si="50"/>
        <v>0</v>
      </c>
      <c r="BO17" s="542">
        <f t="shared" ca="1" si="50"/>
        <v>0</v>
      </c>
      <c r="BP17" s="542">
        <f t="shared" ca="1" si="50"/>
        <v>0</v>
      </c>
      <c r="BQ17" s="542">
        <f t="shared" ca="1" si="50"/>
        <v>0</v>
      </c>
      <c r="BR17" s="542">
        <f t="shared" ca="1" si="50"/>
        <v>0</v>
      </c>
      <c r="BS17" s="542">
        <f t="shared" ca="1" si="50"/>
        <v>0</v>
      </c>
      <c r="BT17" s="542">
        <f t="shared" ca="1" si="50"/>
        <v>0</v>
      </c>
      <c r="BU17" s="542">
        <f t="shared" ca="1" si="50"/>
        <v>0</v>
      </c>
      <c r="BV17" s="542">
        <f t="shared" ca="1" si="50"/>
        <v>0</v>
      </c>
      <c r="BW17" s="542">
        <f t="shared" ca="1" si="50"/>
        <v>0</v>
      </c>
      <c r="BX17" s="542">
        <f t="shared" ca="1" si="50"/>
        <v>0</v>
      </c>
      <c r="BY17" s="542">
        <f t="shared" ca="1" si="50"/>
        <v>0</v>
      </c>
      <c r="BZ17" s="542">
        <f t="shared" ca="1" si="50"/>
        <v>0</v>
      </c>
      <c r="CA17" s="542">
        <f t="shared" ca="1" si="50"/>
        <v>0</v>
      </c>
      <c r="CB17" s="542">
        <f t="shared" ca="1" si="50"/>
        <v>0</v>
      </c>
      <c r="CC17" s="542">
        <f t="shared" ca="1" si="50"/>
        <v>0</v>
      </c>
      <c r="CD17" s="542">
        <f t="shared" ca="1" si="50"/>
        <v>0</v>
      </c>
      <c r="CE17" s="542">
        <f t="shared" ca="1" si="50"/>
        <v>0</v>
      </c>
      <c r="CF17" s="542">
        <f t="shared" ca="1" si="50"/>
        <v>0</v>
      </c>
      <c r="CG17" s="542">
        <f t="shared" ca="1" si="50"/>
        <v>0</v>
      </c>
      <c r="CH17" s="542">
        <f t="shared" ca="1" si="50"/>
        <v>0</v>
      </c>
      <c r="CI17" s="542">
        <f t="shared" ca="1" si="50"/>
        <v>0</v>
      </c>
      <c r="CJ17" s="542">
        <f t="shared" ca="1" si="50"/>
        <v>0</v>
      </c>
      <c r="CK17" s="542">
        <f t="shared" ca="1" si="50"/>
        <v>0</v>
      </c>
      <c r="CL17" s="542">
        <f t="shared" ca="1" si="50"/>
        <v>0</v>
      </c>
      <c r="CM17" s="542">
        <f t="shared" ca="1" si="50"/>
        <v>0</v>
      </c>
      <c r="CN17" s="542">
        <f t="shared" ca="1" si="50"/>
        <v>0</v>
      </c>
      <c r="CO17" s="542">
        <f t="shared" ca="1" si="50"/>
        <v>0</v>
      </c>
      <c r="CP17" s="542">
        <f t="shared" ca="1" si="50"/>
        <v>0</v>
      </c>
      <c r="CQ17" s="542">
        <f t="shared" ca="1" si="50"/>
        <v>0</v>
      </c>
      <c r="CR17" s="542">
        <f t="shared" ca="1" si="50"/>
        <v>0</v>
      </c>
      <c r="CS17" s="542">
        <f t="shared" ca="1" si="50"/>
        <v>0</v>
      </c>
      <c r="CT17" s="542">
        <f t="shared" ca="1" si="50"/>
        <v>0</v>
      </c>
      <c r="CU17" s="542">
        <f t="shared" ca="1" si="50"/>
        <v>0</v>
      </c>
      <c r="CW17" s="151">
        <f t="shared" ca="1" si="37"/>
        <v>27.207746225959674</v>
      </c>
    </row>
    <row r="18" spans="1:101" s="84" customFormat="1" ht="12.75" customHeight="1" outlineLevel="1" x14ac:dyDescent="0.2">
      <c r="A18" s="543"/>
      <c r="B18" s="543"/>
      <c r="C18" s="86"/>
      <c r="D18" s="61"/>
      <c r="E18" s="61"/>
      <c r="G18" s="298"/>
      <c r="H18" s="298"/>
      <c r="I18" s="298"/>
      <c r="J18" s="298"/>
      <c r="K18" s="298"/>
      <c r="L18" s="298"/>
      <c r="M18" s="298"/>
      <c r="N18" s="298"/>
      <c r="O18" s="298"/>
      <c r="P18" s="298">
        <f t="shared" si="1"/>
        <v>0</v>
      </c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>
        <f t="shared" si="5"/>
        <v>0</v>
      </c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266">
        <f t="shared" si="8"/>
        <v>0</v>
      </c>
      <c r="BA18" s="309"/>
      <c r="BB18" s="309"/>
      <c r="BC18" s="309">
        <f t="shared" si="10"/>
        <v>0</v>
      </c>
      <c r="BE18" s="135">
        <f t="shared" si="11"/>
        <v>0</v>
      </c>
      <c r="BF18" s="135"/>
      <c r="BG18" s="543"/>
      <c r="BH18" s="541"/>
      <c r="BI18" s="542"/>
      <c r="BJ18" s="542"/>
      <c r="BK18" s="542"/>
      <c r="BL18" s="542"/>
      <c r="BM18" s="542"/>
      <c r="BN18" s="542"/>
      <c r="BO18" s="542"/>
      <c r="BP18" s="542"/>
      <c r="BQ18" s="542"/>
      <c r="BR18" s="542"/>
      <c r="BS18" s="542"/>
      <c r="BT18" s="542"/>
      <c r="BU18" s="542"/>
      <c r="BV18" s="542"/>
      <c r="BW18" s="542"/>
      <c r="BX18" s="542"/>
      <c r="BY18" s="542"/>
      <c r="BZ18" s="542"/>
      <c r="CA18" s="542"/>
      <c r="CB18" s="542"/>
      <c r="CC18" s="542"/>
      <c r="CD18" s="542"/>
      <c r="CE18" s="542"/>
      <c r="CF18" s="542"/>
      <c r="CG18" s="542"/>
      <c r="CH18" s="542"/>
      <c r="CI18" s="542"/>
      <c r="CJ18" s="542"/>
      <c r="CK18" s="542"/>
      <c r="CL18" s="542"/>
      <c r="CM18" s="542"/>
      <c r="CN18" s="542"/>
      <c r="CO18" s="542"/>
      <c r="CP18" s="542"/>
      <c r="CQ18" s="542"/>
      <c r="CR18" s="542"/>
      <c r="CS18" s="542"/>
      <c r="CT18" s="542"/>
      <c r="CU18" s="542"/>
      <c r="CW18" s="151">
        <f t="shared" si="37"/>
        <v>0</v>
      </c>
    </row>
    <row r="19" spans="1:101" s="84" customFormat="1" ht="12.75" customHeight="1" outlineLevel="1" x14ac:dyDescent="0.2">
      <c r="A19" s="543"/>
      <c r="B19" s="543"/>
      <c r="C19" s="86" t="s">
        <v>360</v>
      </c>
      <c r="D19" s="292" t="str">
        <f>INDEX(Modules[Module], MATCH($C19, Modules[Code], 0))</f>
        <v>Industrial processes</v>
      </c>
      <c r="E19" s="292"/>
      <c r="G19" s="301">
        <f t="shared" ref="G19:O19" ca="1" si="51">IFERROR(INDEX(INDIRECT($C19&amp;".Outputs["&amp;this.Year&amp;"]"), MATCH(G$5, INDIRECT($C19&amp;".Outputs[Vector]"), 0)), 0)</f>
        <v>0</v>
      </c>
      <c r="H19" s="301">
        <f t="shared" ca="1" si="51"/>
        <v>0</v>
      </c>
      <c r="I19" s="301">
        <f t="shared" ca="1" si="51"/>
        <v>0</v>
      </c>
      <c r="J19" s="301">
        <f t="shared" ca="1" si="51"/>
        <v>53.498000000000033</v>
      </c>
      <c r="K19" s="301">
        <f t="shared" ca="1" si="51"/>
        <v>0</v>
      </c>
      <c r="L19" s="301">
        <f t="shared" ca="1" si="51"/>
        <v>0</v>
      </c>
      <c r="M19" s="301">
        <f t="shared" ca="1" si="51"/>
        <v>0</v>
      </c>
      <c r="N19" s="301">
        <f t="shared" ca="1" si="51"/>
        <v>0</v>
      </c>
      <c r="O19" s="301">
        <f t="shared" ca="1" si="51"/>
        <v>0</v>
      </c>
      <c r="P19" s="301">
        <f t="shared" ca="1" si="1"/>
        <v>53.498000000000033</v>
      </c>
      <c r="R19" s="307">
        <f t="shared" ref="R19:AX19" ca="1" si="52">IFERROR(INDEX(INDIRECT($C19&amp;".Outputs["&amp;this.Year&amp;"]"), MATCH(R$5, INDIRECT($C19&amp;".Outputs[Vector]"), 0)), 0)</f>
        <v>-24.449164692999169</v>
      </c>
      <c r="S19" s="307">
        <f t="shared" ca="1" si="52"/>
        <v>0</v>
      </c>
      <c r="T19" s="307">
        <f t="shared" ca="1" si="52"/>
        <v>-1.507731915164449</v>
      </c>
      <c r="U19" s="307">
        <f t="shared" ca="1" si="52"/>
        <v>-2.4375855710328915</v>
      </c>
      <c r="V19" s="307">
        <f t="shared" ca="1" si="52"/>
        <v>-19.417508445869466</v>
      </c>
      <c r="W19" s="307">
        <f t="shared" ca="1" si="52"/>
        <v>-5.6860093749340557</v>
      </c>
      <c r="X19" s="307">
        <f ca="1">IFERROR(INDEX(INDIRECT($C19&amp;".Outputs["&amp;this.Year&amp;"]"), MATCH(X$5, INDIRECT($C19&amp;".Outputs[Vector]"), 0)), 0)</f>
        <v>0</v>
      </c>
      <c r="Y19" s="307">
        <f ca="1">IFERROR(INDEX(INDIRECT($C19&amp;".Outputs["&amp;this.Year&amp;"]"), MATCH(Y$5, INDIRECT($C19&amp;".Outputs[Vector]"), 0)), 0)</f>
        <v>0</v>
      </c>
      <c r="Z19" s="307">
        <f ca="1">IFERROR(INDEX(INDIRECT($C19&amp;".Outputs["&amp;this.Year&amp;"]"), MATCH(Z$5, INDIRECT($C19&amp;".Outputs[Vector]"), 0)), 0)</f>
        <v>0</v>
      </c>
      <c r="AA19" s="307">
        <f t="shared" ca="1" si="52"/>
        <v>0</v>
      </c>
      <c r="AB19" s="307">
        <f t="shared" ca="1" si="52"/>
        <v>0</v>
      </c>
      <c r="AC19" s="307">
        <f t="shared" ca="1" si="52"/>
        <v>0</v>
      </c>
      <c r="AD19" s="307">
        <f t="shared" ca="1" si="52"/>
        <v>0</v>
      </c>
      <c r="AE19" s="307">
        <f t="shared" ca="1" si="52"/>
        <v>0</v>
      </c>
      <c r="AF19" s="307">
        <f t="shared" ca="1" si="52"/>
        <v>0</v>
      </c>
      <c r="AG19" s="307">
        <f t="shared" ca="1" si="52"/>
        <v>0</v>
      </c>
      <c r="AH19" s="306">
        <f t="shared" ca="1" si="5"/>
        <v>-53.498000000000033</v>
      </c>
      <c r="AJ19" s="315">
        <f t="shared" ref="AJ19:AR19" ca="1" si="53">IFERROR(INDEX(INDIRECT($C19&amp;".Outputs["&amp;this.Year&amp;"]"), MATCH(AJ$5, INDIRECT($C19&amp;".Outputs[Vector]"), 0)), 0)</f>
        <v>0</v>
      </c>
      <c r="AK19" s="315">
        <f t="shared" ca="1" si="53"/>
        <v>0</v>
      </c>
      <c r="AL19" s="315">
        <f t="shared" ca="1" si="53"/>
        <v>0</v>
      </c>
      <c r="AM19" s="315">
        <f t="shared" ca="1" si="53"/>
        <v>0</v>
      </c>
      <c r="AN19" s="315">
        <f t="shared" ca="1" si="53"/>
        <v>0</v>
      </c>
      <c r="AO19" s="315">
        <f t="shared" ca="1" si="53"/>
        <v>0</v>
      </c>
      <c r="AP19" s="315">
        <f t="shared" ca="1" si="53"/>
        <v>0</v>
      </c>
      <c r="AQ19" s="315">
        <f t="shared" ca="1" si="53"/>
        <v>0</v>
      </c>
      <c r="AR19" s="315">
        <f t="shared" ca="1" si="53"/>
        <v>0</v>
      </c>
      <c r="AS19" s="315">
        <f t="shared" ca="1" si="52"/>
        <v>0</v>
      </c>
      <c r="AT19" s="315">
        <f t="shared" ca="1" si="52"/>
        <v>0</v>
      </c>
      <c r="AU19" s="315">
        <f t="shared" ca="1" si="52"/>
        <v>0</v>
      </c>
      <c r="AV19" s="315">
        <f t="shared" ca="1" si="52"/>
        <v>0</v>
      </c>
      <c r="AW19" s="315">
        <f t="shared" ca="1" si="52"/>
        <v>0</v>
      </c>
      <c r="AX19" s="315">
        <f t="shared" ca="1" si="52"/>
        <v>0</v>
      </c>
      <c r="AY19" s="293">
        <f t="shared" ca="1" si="8"/>
        <v>0</v>
      </c>
      <c r="BA19" s="311">
        <f ca="1">IFERROR(INDEX(INDIRECT($C19&amp;".Outputs["&amp;this.Year&amp;"]"), MATCH(BA$5, INDIRECT($C19&amp;".Outputs[Vector]"), 0)), 0)</f>
        <v>0</v>
      </c>
      <c r="BB19" s="311">
        <f ca="1">IFERROR(INDEX(INDIRECT($C19&amp;".Outputs["&amp;this.Year&amp;"]"), MATCH(BB$5, INDIRECT($C19&amp;".Outputs[Vector]"), 0)), 0)</f>
        <v>0</v>
      </c>
      <c r="BC19" s="310">
        <f t="shared" ca="1" si="10"/>
        <v>0</v>
      </c>
      <c r="BE19" s="135">
        <f t="shared" ca="1" si="11"/>
        <v>0</v>
      </c>
      <c r="BF19" s="135"/>
      <c r="BG19" s="153"/>
      <c r="BH19" s="544">
        <f t="shared" ref="BH19:CU19" ca="1" si="54">IFERROR(SUMIFS(INDIRECT($C19&amp;".Emissions["&amp;this.Year&amp;"]"), INDIRECT($C19&amp;".Emissions[GHG]"), BH$6, INDIRECT($C19&amp;".Emissions[IPCC Sector]"), BH$5),0)</f>
        <v>4.6465993766688545</v>
      </c>
      <c r="BI19" s="545">
        <f t="shared" ca="1" si="54"/>
        <v>9.2845506712788614E-3</v>
      </c>
      <c r="BJ19" s="545">
        <f t="shared" ca="1" si="54"/>
        <v>2.2780742935134775E-2</v>
      </c>
      <c r="BK19" s="545">
        <f t="shared" ca="1" si="54"/>
        <v>0</v>
      </c>
      <c r="BL19" s="545">
        <f t="shared" ca="1" si="54"/>
        <v>0</v>
      </c>
      <c r="BM19" s="545">
        <f t="shared" ca="1" si="54"/>
        <v>0</v>
      </c>
      <c r="BN19" s="545">
        <f t="shared" ca="1" si="54"/>
        <v>0</v>
      </c>
      <c r="BO19" s="545">
        <f t="shared" ca="1" si="54"/>
        <v>0</v>
      </c>
      <c r="BP19" s="545">
        <f t="shared" ca="1" si="54"/>
        <v>14.39565925511863</v>
      </c>
      <c r="BQ19" s="545">
        <f t="shared" ca="1" si="54"/>
        <v>0.11288744235152412</v>
      </c>
      <c r="BR19" s="545">
        <f t="shared" ca="1" si="54"/>
        <v>2.7624692105907238</v>
      </c>
      <c r="BS19" s="545">
        <f t="shared" ca="1" si="54"/>
        <v>10.620296151887526</v>
      </c>
      <c r="BT19" s="545">
        <f t="shared" ca="1" si="54"/>
        <v>0</v>
      </c>
      <c r="BU19" s="545">
        <f t="shared" ca="1" si="54"/>
        <v>0</v>
      </c>
      <c r="BV19" s="545">
        <f t="shared" ca="1" si="54"/>
        <v>0</v>
      </c>
      <c r="BW19" s="545">
        <f t="shared" ca="1" si="54"/>
        <v>0</v>
      </c>
      <c r="BX19" s="545">
        <f t="shared" ca="1" si="54"/>
        <v>0</v>
      </c>
      <c r="BY19" s="545">
        <f t="shared" ca="1" si="54"/>
        <v>0</v>
      </c>
      <c r="BZ19" s="545">
        <f t="shared" ca="1" si="54"/>
        <v>0</v>
      </c>
      <c r="CA19" s="545">
        <f t="shared" ca="1" si="54"/>
        <v>0</v>
      </c>
      <c r="CB19" s="545">
        <f t="shared" ca="1" si="54"/>
        <v>0</v>
      </c>
      <c r="CC19" s="545">
        <f t="shared" ca="1" si="54"/>
        <v>0</v>
      </c>
      <c r="CD19" s="545">
        <f t="shared" ca="1" si="54"/>
        <v>0</v>
      </c>
      <c r="CE19" s="545">
        <f t="shared" ca="1" si="54"/>
        <v>0</v>
      </c>
      <c r="CF19" s="545">
        <f t="shared" ca="1" si="54"/>
        <v>0</v>
      </c>
      <c r="CG19" s="545">
        <f t="shared" ca="1" si="54"/>
        <v>0</v>
      </c>
      <c r="CH19" s="545">
        <f t="shared" ca="1" si="54"/>
        <v>0</v>
      </c>
      <c r="CI19" s="545">
        <f t="shared" ca="1" si="54"/>
        <v>0</v>
      </c>
      <c r="CJ19" s="545">
        <f t="shared" ca="1" si="54"/>
        <v>0</v>
      </c>
      <c r="CK19" s="545">
        <f t="shared" ca="1" si="54"/>
        <v>0</v>
      </c>
      <c r="CL19" s="545">
        <f t="shared" ca="1" si="54"/>
        <v>0</v>
      </c>
      <c r="CM19" s="545">
        <f t="shared" ca="1" si="54"/>
        <v>0</v>
      </c>
      <c r="CN19" s="545">
        <f t="shared" ca="1" si="54"/>
        <v>0</v>
      </c>
      <c r="CO19" s="545">
        <f t="shared" ca="1" si="54"/>
        <v>0</v>
      </c>
      <c r="CP19" s="545">
        <f t="shared" ca="1" si="54"/>
        <v>0</v>
      </c>
      <c r="CQ19" s="545">
        <f t="shared" ca="1" si="54"/>
        <v>0</v>
      </c>
      <c r="CR19" s="545">
        <f t="shared" ca="1" si="54"/>
        <v>0</v>
      </c>
      <c r="CS19" s="545">
        <f t="shared" ca="1" si="54"/>
        <v>0</v>
      </c>
      <c r="CT19" s="545">
        <f t="shared" ca="1" si="54"/>
        <v>0</v>
      </c>
      <c r="CU19" s="545">
        <f t="shared" ca="1" si="54"/>
        <v>0</v>
      </c>
      <c r="CW19" s="151">
        <f t="shared" ca="1" si="37"/>
        <v>32.569976730223672</v>
      </c>
    </row>
    <row r="20" spans="1:101" s="84" customFormat="1" ht="15.75" x14ac:dyDescent="0.2">
      <c r="A20" s="18"/>
      <c r="B20" s="89"/>
      <c r="C20" s="85" t="s">
        <v>231</v>
      </c>
      <c r="D20" s="57" t="str">
        <f>INDEX(Workstreams[Workstream], MATCH($C20, Workstreams[Code], 0))</f>
        <v>Industry</v>
      </c>
      <c r="E20" s="53"/>
      <c r="G20" s="300">
        <f ca="1">G19</f>
        <v>0</v>
      </c>
      <c r="H20" s="300">
        <f t="shared" ref="H20:N20" ca="1" si="55">H19</f>
        <v>0</v>
      </c>
      <c r="I20" s="300">
        <f ca="1">I19</f>
        <v>0</v>
      </c>
      <c r="J20" s="300">
        <f t="shared" ca="1" si="55"/>
        <v>53.498000000000033</v>
      </c>
      <c r="K20" s="300">
        <f t="shared" ca="1" si="55"/>
        <v>0</v>
      </c>
      <c r="L20" s="300">
        <f t="shared" ca="1" si="55"/>
        <v>0</v>
      </c>
      <c r="M20" s="300">
        <f t="shared" ca="1" si="55"/>
        <v>0</v>
      </c>
      <c r="N20" s="300">
        <f t="shared" ca="1" si="55"/>
        <v>0</v>
      </c>
      <c r="O20" s="300">
        <f t="shared" ref="O20" ca="1" si="56">O19</f>
        <v>0</v>
      </c>
      <c r="P20" s="300">
        <f t="shared" ca="1" si="1"/>
        <v>53.498000000000033</v>
      </c>
      <c r="R20" s="257">
        <f t="shared" ref="R20:Z20" ca="1" si="57">R19</f>
        <v>-24.449164692999169</v>
      </c>
      <c r="S20" s="257">
        <f t="shared" ca="1" si="57"/>
        <v>0</v>
      </c>
      <c r="T20" s="257">
        <f t="shared" ca="1" si="57"/>
        <v>-1.507731915164449</v>
      </c>
      <c r="U20" s="257">
        <f t="shared" ca="1" si="57"/>
        <v>-2.4375855710328915</v>
      </c>
      <c r="V20" s="257">
        <f t="shared" ca="1" si="57"/>
        <v>-19.417508445869466</v>
      </c>
      <c r="W20" s="257">
        <f ca="1">W19</f>
        <v>-5.6860093749340557</v>
      </c>
      <c r="X20" s="257">
        <f t="shared" ca="1" si="57"/>
        <v>0</v>
      </c>
      <c r="Y20" s="257">
        <f t="shared" ca="1" si="57"/>
        <v>0</v>
      </c>
      <c r="Z20" s="257">
        <f t="shared" ca="1" si="57"/>
        <v>0</v>
      </c>
      <c r="AA20" s="257">
        <f t="shared" ref="AA20:AG20" ca="1" si="58">AA19</f>
        <v>0</v>
      </c>
      <c r="AB20" s="257">
        <f t="shared" ca="1" si="58"/>
        <v>0</v>
      </c>
      <c r="AC20" s="257">
        <f t="shared" ca="1" si="58"/>
        <v>0</v>
      </c>
      <c r="AD20" s="257">
        <f t="shared" ca="1" si="58"/>
        <v>0</v>
      </c>
      <c r="AE20" s="257">
        <f t="shared" ca="1" si="58"/>
        <v>0</v>
      </c>
      <c r="AF20" s="257">
        <f t="shared" ca="1" si="58"/>
        <v>0</v>
      </c>
      <c r="AG20" s="257">
        <f t="shared" ca="1" si="58"/>
        <v>0</v>
      </c>
      <c r="AH20" s="257">
        <f t="shared" ca="1" si="5"/>
        <v>-53.498000000000033</v>
      </c>
      <c r="AJ20" s="263">
        <f t="shared" ref="AJ20:AX20" ca="1" si="59">AJ19</f>
        <v>0</v>
      </c>
      <c r="AK20" s="263">
        <f t="shared" ca="1" si="59"/>
        <v>0</v>
      </c>
      <c r="AL20" s="263">
        <f t="shared" ca="1" si="59"/>
        <v>0</v>
      </c>
      <c r="AM20" s="263">
        <f t="shared" ca="1" si="59"/>
        <v>0</v>
      </c>
      <c r="AN20" s="263">
        <f t="shared" ca="1" si="59"/>
        <v>0</v>
      </c>
      <c r="AO20" s="263">
        <f t="shared" ca="1" si="59"/>
        <v>0</v>
      </c>
      <c r="AP20" s="263">
        <f t="shared" ca="1" si="59"/>
        <v>0</v>
      </c>
      <c r="AQ20" s="263">
        <f t="shared" ca="1" si="59"/>
        <v>0</v>
      </c>
      <c r="AR20" s="263">
        <f t="shared" ca="1" si="59"/>
        <v>0</v>
      </c>
      <c r="AS20" s="263">
        <f t="shared" ca="1" si="59"/>
        <v>0</v>
      </c>
      <c r="AT20" s="263">
        <f t="shared" ca="1" si="59"/>
        <v>0</v>
      </c>
      <c r="AU20" s="263">
        <f t="shared" ca="1" si="59"/>
        <v>0</v>
      </c>
      <c r="AV20" s="263">
        <f t="shared" ca="1" si="59"/>
        <v>0</v>
      </c>
      <c r="AW20" s="263">
        <f t="shared" ca="1" si="59"/>
        <v>0</v>
      </c>
      <c r="AX20" s="263">
        <f t="shared" ca="1" si="59"/>
        <v>0</v>
      </c>
      <c r="AY20" s="263">
        <f t="shared" ca="1" si="8"/>
        <v>0</v>
      </c>
      <c r="BA20" s="277">
        <f ca="1">BA19</f>
        <v>0</v>
      </c>
      <c r="BB20" s="277">
        <f ca="1">BB19</f>
        <v>0</v>
      </c>
      <c r="BC20" s="277">
        <f t="shared" ca="1" si="10"/>
        <v>0</v>
      </c>
      <c r="BE20" s="55">
        <f t="shared" ca="1" si="11"/>
        <v>0</v>
      </c>
      <c r="BF20" s="55"/>
      <c r="BG20" s="153"/>
      <c r="BH20" s="542">
        <f t="shared" ref="BH20:CU20" ca="1" si="60">BH19</f>
        <v>4.6465993766688545</v>
      </c>
      <c r="BI20" s="542">
        <f t="shared" ca="1" si="60"/>
        <v>9.2845506712788614E-3</v>
      </c>
      <c r="BJ20" s="542">
        <f t="shared" ca="1" si="60"/>
        <v>2.2780742935134775E-2</v>
      </c>
      <c r="BK20" s="542">
        <f t="shared" ca="1" si="60"/>
        <v>0</v>
      </c>
      <c r="BL20" s="542">
        <f t="shared" ca="1" si="60"/>
        <v>0</v>
      </c>
      <c r="BM20" s="542">
        <f t="shared" ca="1" si="60"/>
        <v>0</v>
      </c>
      <c r="BN20" s="542">
        <f t="shared" ca="1" si="60"/>
        <v>0</v>
      </c>
      <c r="BO20" s="542">
        <f t="shared" ca="1" si="60"/>
        <v>0</v>
      </c>
      <c r="BP20" s="542">
        <f t="shared" ca="1" si="60"/>
        <v>14.39565925511863</v>
      </c>
      <c r="BQ20" s="542">
        <f t="shared" ca="1" si="60"/>
        <v>0.11288744235152412</v>
      </c>
      <c r="BR20" s="542">
        <f t="shared" ca="1" si="60"/>
        <v>2.7624692105907238</v>
      </c>
      <c r="BS20" s="542">
        <f t="shared" ca="1" si="60"/>
        <v>10.620296151887526</v>
      </c>
      <c r="BT20" s="542">
        <f t="shared" ca="1" si="60"/>
        <v>0</v>
      </c>
      <c r="BU20" s="542">
        <f t="shared" ca="1" si="60"/>
        <v>0</v>
      </c>
      <c r="BV20" s="542">
        <f t="shared" ca="1" si="60"/>
        <v>0</v>
      </c>
      <c r="BW20" s="542">
        <f t="shared" ca="1" si="60"/>
        <v>0</v>
      </c>
      <c r="BX20" s="542">
        <f t="shared" ca="1" si="60"/>
        <v>0</v>
      </c>
      <c r="BY20" s="542">
        <f t="shared" ca="1" si="60"/>
        <v>0</v>
      </c>
      <c r="BZ20" s="542">
        <f t="shared" ca="1" si="60"/>
        <v>0</v>
      </c>
      <c r="CA20" s="542">
        <f t="shared" ca="1" si="60"/>
        <v>0</v>
      </c>
      <c r="CB20" s="542">
        <f t="shared" ca="1" si="60"/>
        <v>0</v>
      </c>
      <c r="CC20" s="542">
        <f t="shared" ca="1" si="60"/>
        <v>0</v>
      </c>
      <c r="CD20" s="542">
        <f t="shared" ca="1" si="60"/>
        <v>0</v>
      </c>
      <c r="CE20" s="542">
        <f t="shared" ca="1" si="60"/>
        <v>0</v>
      </c>
      <c r="CF20" s="542">
        <f t="shared" ca="1" si="60"/>
        <v>0</v>
      </c>
      <c r="CG20" s="542">
        <f t="shared" ca="1" si="60"/>
        <v>0</v>
      </c>
      <c r="CH20" s="542">
        <f t="shared" ca="1" si="60"/>
        <v>0</v>
      </c>
      <c r="CI20" s="542">
        <f t="shared" ca="1" si="60"/>
        <v>0</v>
      </c>
      <c r="CJ20" s="542">
        <f t="shared" ca="1" si="60"/>
        <v>0</v>
      </c>
      <c r="CK20" s="542">
        <f t="shared" ca="1" si="60"/>
        <v>0</v>
      </c>
      <c r="CL20" s="542">
        <f t="shared" ca="1" si="60"/>
        <v>0</v>
      </c>
      <c r="CM20" s="542">
        <f t="shared" ca="1" si="60"/>
        <v>0</v>
      </c>
      <c r="CN20" s="542">
        <f t="shared" ca="1" si="60"/>
        <v>0</v>
      </c>
      <c r="CO20" s="542">
        <f t="shared" ca="1" si="60"/>
        <v>0</v>
      </c>
      <c r="CP20" s="542">
        <f t="shared" ca="1" si="60"/>
        <v>0</v>
      </c>
      <c r="CQ20" s="542">
        <f t="shared" ca="1" si="60"/>
        <v>0</v>
      </c>
      <c r="CR20" s="542">
        <f t="shared" ca="1" si="60"/>
        <v>0</v>
      </c>
      <c r="CS20" s="542">
        <f t="shared" ca="1" si="60"/>
        <v>0</v>
      </c>
      <c r="CT20" s="542">
        <f t="shared" ca="1" si="60"/>
        <v>0</v>
      </c>
      <c r="CU20" s="542">
        <f t="shared" ca="1" si="60"/>
        <v>0</v>
      </c>
      <c r="CW20" s="151">
        <f t="shared" ca="1" si="37"/>
        <v>32.569976730223672</v>
      </c>
    </row>
    <row r="21" spans="1:101" s="84" customFormat="1" ht="12.75" customHeight="1" outlineLevel="1" x14ac:dyDescent="0.2">
      <c r="A21" s="18"/>
      <c r="B21" s="18"/>
      <c r="C21" s="87"/>
      <c r="D21" s="53"/>
      <c r="E21" s="53"/>
      <c r="G21" s="300"/>
      <c r="H21" s="300"/>
      <c r="I21" s="300"/>
      <c r="J21" s="300"/>
      <c r="K21" s="300"/>
      <c r="L21" s="300"/>
      <c r="M21" s="300"/>
      <c r="N21" s="300"/>
      <c r="O21" s="300"/>
      <c r="P21" s="300">
        <f t="shared" si="1"/>
        <v>0</v>
      </c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>
        <f t="shared" si="5"/>
        <v>0</v>
      </c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>
        <f t="shared" si="8"/>
        <v>0</v>
      </c>
      <c r="BA21" s="277"/>
      <c r="BB21" s="277"/>
      <c r="BC21" s="277">
        <f t="shared" si="10"/>
        <v>0</v>
      </c>
      <c r="BE21" s="55">
        <f t="shared" si="11"/>
        <v>0</v>
      </c>
      <c r="BF21" s="55"/>
      <c r="BG21" s="18"/>
      <c r="BH21" s="542"/>
      <c r="BI21" s="542"/>
      <c r="BJ21" s="542"/>
      <c r="BK21" s="542"/>
      <c r="BL21" s="542"/>
      <c r="BM21" s="542"/>
      <c r="BN21" s="542"/>
      <c r="BO21" s="542"/>
      <c r="BP21" s="542"/>
      <c r="BQ21" s="542"/>
      <c r="BR21" s="542"/>
      <c r="BS21" s="542"/>
      <c r="BT21" s="542"/>
      <c r="BU21" s="542"/>
      <c r="BV21" s="542"/>
      <c r="BW21" s="542"/>
      <c r="BX21" s="542"/>
      <c r="BY21" s="542"/>
      <c r="BZ21" s="542"/>
      <c r="CA21" s="542"/>
      <c r="CB21" s="542"/>
      <c r="CC21" s="542"/>
      <c r="CD21" s="542"/>
      <c r="CE21" s="542"/>
      <c r="CF21" s="542"/>
      <c r="CG21" s="542"/>
      <c r="CH21" s="542"/>
      <c r="CI21" s="542"/>
      <c r="CJ21" s="542"/>
      <c r="CK21" s="542"/>
      <c r="CL21" s="542"/>
      <c r="CM21" s="542"/>
      <c r="CN21" s="542"/>
      <c r="CO21" s="542"/>
      <c r="CP21" s="542"/>
      <c r="CQ21" s="542"/>
      <c r="CR21" s="542"/>
      <c r="CS21" s="542"/>
      <c r="CT21" s="542"/>
      <c r="CU21" s="542"/>
      <c r="CW21" s="151">
        <f t="shared" si="37"/>
        <v>0</v>
      </c>
    </row>
    <row r="22" spans="1:101" s="84" customFormat="1" ht="12.75" customHeight="1" outlineLevel="1" x14ac:dyDescent="0.2">
      <c r="A22" s="543"/>
      <c r="B22" s="543"/>
      <c r="C22" s="86" t="s">
        <v>362</v>
      </c>
      <c r="D22" s="63" t="str">
        <f>INDEX(Modules[Module], MATCH($C22, Modules[Code], 0))</f>
        <v>Domestic passenger transport</v>
      </c>
      <c r="E22" s="291"/>
      <c r="G22" s="297">
        <f t="shared" ref="G22:O23" ca="1" si="61">IFERROR(INDEX(INDIRECT($C22&amp;".Outputs["&amp;this.Year&amp;"]"), MATCH(G$5, INDIRECT($C22&amp;".Outputs[Vector]"), 0)), 0)</f>
        <v>0</v>
      </c>
      <c r="H22" s="297">
        <f t="shared" ca="1" si="61"/>
        <v>0</v>
      </c>
      <c r="I22" s="297">
        <f t="shared" ca="1" si="61"/>
        <v>0</v>
      </c>
      <c r="J22" s="297">
        <f t="shared" ca="1" si="61"/>
        <v>0</v>
      </c>
      <c r="K22" s="297">
        <f t="shared" ca="1" si="61"/>
        <v>83.406409676942459</v>
      </c>
      <c r="L22" s="297">
        <f t="shared" ca="1" si="61"/>
        <v>24.801073300992602</v>
      </c>
      <c r="M22" s="297">
        <f t="shared" ca="1" si="61"/>
        <v>0</v>
      </c>
      <c r="N22" s="297">
        <f t="shared" ca="1" si="61"/>
        <v>0</v>
      </c>
      <c r="O22" s="297">
        <f t="shared" ca="1" si="61"/>
        <v>0</v>
      </c>
      <c r="P22" s="297">
        <f t="shared" ca="1" si="1"/>
        <v>108.20748297793506</v>
      </c>
      <c r="R22" s="304">
        <f t="shared" ref="R22:AX23" ca="1" si="62">IFERROR(INDEX(INDIRECT($C22&amp;".Outputs["&amp;this.Year&amp;"]"), MATCH(R$5, INDIRECT($C22&amp;".Outputs[Vector]"), 0)), 0)</f>
        <v>0</v>
      </c>
      <c r="S22" s="304">
        <f t="shared" ca="1" si="62"/>
        <v>0</v>
      </c>
      <c r="T22" s="304">
        <f t="shared" ca="1" si="62"/>
        <v>0</v>
      </c>
      <c r="U22" s="304">
        <f t="shared" ca="1" si="62"/>
        <v>-108.20748297793506</v>
      </c>
      <c r="V22" s="304">
        <f t="shared" ca="1" si="62"/>
        <v>0</v>
      </c>
      <c r="W22" s="304">
        <f t="shared" ca="1" si="62"/>
        <v>0</v>
      </c>
      <c r="X22" s="304">
        <f t="shared" ref="X22:Z23" ca="1" si="63">IFERROR(INDEX(INDIRECT($C22&amp;".Outputs["&amp;this.Year&amp;"]"), MATCH(X$5, INDIRECT($C22&amp;".Outputs[Vector]"), 0)), 0)</f>
        <v>0</v>
      </c>
      <c r="Y22" s="304">
        <f t="shared" ca="1" si="63"/>
        <v>0</v>
      </c>
      <c r="Z22" s="304">
        <f t="shared" ca="1" si="63"/>
        <v>0</v>
      </c>
      <c r="AA22" s="304">
        <f t="shared" ca="1" si="62"/>
        <v>0</v>
      </c>
      <c r="AB22" s="304">
        <f t="shared" ca="1" si="62"/>
        <v>0</v>
      </c>
      <c r="AC22" s="304">
        <f t="shared" ca="1" si="62"/>
        <v>0</v>
      </c>
      <c r="AD22" s="304">
        <f t="shared" ca="1" si="62"/>
        <v>0</v>
      </c>
      <c r="AE22" s="304">
        <f t="shared" ca="1" si="62"/>
        <v>0</v>
      </c>
      <c r="AF22" s="304">
        <f t="shared" ca="1" si="62"/>
        <v>0</v>
      </c>
      <c r="AG22" s="304">
        <f t="shared" ca="1" si="62"/>
        <v>0</v>
      </c>
      <c r="AH22" s="305">
        <f t="shared" ca="1" si="5"/>
        <v>-108.20748297793506</v>
      </c>
      <c r="AJ22" s="312">
        <f t="shared" ref="AJ22:AR23" ca="1" si="64">IFERROR(INDEX(INDIRECT($C22&amp;".Outputs["&amp;this.Year&amp;"]"), MATCH(AJ$5, INDIRECT($C22&amp;".Outputs[Vector]"), 0)), 0)</f>
        <v>0</v>
      </c>
      <c r="AK22" s="312">
        <f t="shared" ca="1" si="64"/>
        <v>0</v>
      </c>
      <c r="AL22" s="312">
        <f t="shared" ca="1" si="64"/>
        <v>0</v>
      </c>
      <c r="AM22" s="312">
        <f t="shared" ca="1" si="64"/>
        <v>0</v>
      </c>
      <c r="AN22" s="312">
        <f t="shared" ca="1" si="64"/>
        <v>0</v>
      </c>
      <c r="AO22" s="312">
        <f t="shared" ca="1" si="64"/>
        <v>0</v>
      </c>
      <c r="AP22" s="312">
        <f t="shared" ca="1" si="64"/>
        <v>0</v>
      </c>
      <c r="AQ22" s="312">
        <f t="shared" ca="1" si="64"/>
        <v>0</v>
      </c>
      <c r="AR22" s="312">
        <f t="shared" ca="1" si="64"/>
        <v>0</v>
      </c>
      <c r="AS22" s="312">
        <f t="shared" ca="1" si="62"/>
        <v>0</v>
      </c>
      <c r="AT22" s="312">
        <f t="shared" ca="1" si="62"/>
        <v>0</v>
      </c>
      <c r="AU22" s="312">
        <f t="shared" ca="1" si="62"/>
        <v>0</v>
      </c>
      <c r="AV22" s="312">
        <f t="shared" ca="1" si="62"/>
        <v>0</v>
      </c>
      <c r="AW22" s="312">
        <f t="shared" ca="1" si="62"/>
        <v>0</v>
      </c>
      <c r="AX22" s="312">
        <f t="shared" ca="1" si="62"/>
        <v>0</v>
      </c>
      <c r="AY22" s="266">
        <f t="shared" ca="1" si="8"/>
        <v>0</v>
      </c>
      <c r="BA22" s="308">
        <f t="shared" ref="BA22:BB23" ca="1" si="65">IFERROR(INDEX(INDIRECT($C22&amp;".Outputs["&amp;this.Year&amp;"]"), MATCH(BA$5, INDIRECT($C22&amp;".Outputs[Vector]"), 0)), 0)</f>
        <v>0</v>
      </c>
      <c r="BB22" s="308">
        <f t="shared" ca="1" si="65"/>
        <v>0</v>
      </c>
      <c r="BC22" s="309">
        <f t="shared" ca="1" si="10"/>
        <v>0</v>
      </c>
      <c r="BE22" s="135">
        <f t="shared" ca="1" si="11"/>
        <v>0</v>
      </c>
      <c r="BF22" s="135"/>
      <c r="BG22" s="153"/>
      <c r="BH22" s="541">
        <f t="shared" ref="BH22:BQ23" ca="1" si="66">IFERROR(SUMIFS(INDIRECT($C22&amp;".Emissions["&amp;this.Year&amp;"]"), INDIRECT($C22&amp;".Emissions[GHG]"), BH$6, INDIRECT($C22&amp;".Emissions[IPCC Sector]"), BH$5),0)</f>
        <v>27.051870744483764</v>
      </c>
      <c r="BI22" s="542">
        <f t="shared" ca="1" si="66"/>
        <v>3.3679472282827985E-2</v>
      </c>
      <c r="BJ22" s="542">
        <f t="shared" ca="1" si="66"/>
        <v>0.48671858642818505</v>
      </c>
      <c r="BK22" s="542">
        <f t="shared" ca="1" si="66"/>
        <v>0</v>
      </c>
      <c r="BL22" s="542">
        <f t="shared" ca="1" si="66"/>
        <v>0</v>
      </c>
      <c r="BM22" s="542">
        <f t="shared" ca="1" si="66"/>
        <v>0</v>
      </c>
      <c r="BN22" s="542">
        <f t="shared" ca="1" si="66"/>
        <v>0</v>
      </c>
      <c r="BO22" s="542">
        <f t="shared" ca="1" si="66"/>
        <v>0</v>
      </c>
      <c r="BP22" s="542">
        <f t="shared" ca="1" si="66"/>
        <v>0</v>
      </c>
      <c r="BQ22" s="542">
        <f t="shared" ca="1" si="66"/>
        <v>0</v>
      </c>
      <c r="BR22" s="542">
        <f t="shared" ref="BR22:CA23" ca="1" si="67">IFERROR(SUMIFS(INDIRECT($C22&amp;".Emissions["&amp;this.Year&amp;"]"), INDIRECT($C22&amp;".Emissions[GHG]"), BR$6, INDIRECT($C22&amp;".Emissions[IPCC Sector]"), BR$5),0)</f>
        <v>0</v>
      </c>
      <c r="BS22" s="542">
        <f t="shared" ca="1" si="67"/>
        <v>0</v>
      </c>
      <c r="BT22" s="542">
        <f t="shared" ca="1" si="67"/>
        <v>0</v>
      </c>
      <c r="BU22" s="542">
        <f t="shared" ca="1" si="67"/>
        <v>0</v>
      </c>
      <c r="BV22" s="542">
        <f t="shared" ca="1" si="67"/>
        <v>0</v>
      </c>
      <c r="BW22" s="542">
        <f t="shared" ca="1" si="67"/>
        <v>0</v>
      </c>
      <c r="BX22" s="542">
        <f t="shared" ca="1" si="67"/>
        <v>0</v>
      </c>
      <c r="BY22" s="542">
        <f t="shared" ca="1" si="67"/>
        <v>0</v>
      </c>
      <c r="BZ22" s="542">
        <f t="shared" ca="1" si="67"/>
        <v>0</v>
      </c>
      <c r="CA22" s="542">
        <f t="shared" ca="1" si="67"/>
        <v>0</v>
      </c>
      <c r="CB22" s="542">
        <f t="shared" ref="CB22:CK23" ca="1" si="68">IFERROR(SUMIFS(INDIRECT($C22&amp;".Emissions["&amp;this.Year&amp;"]"), INDIRECT($C22&amp;".Emissions[GHG]"), CB$6, INDIRECT($C22&amp;".Emissions[IPCC Sector]"), CB$5),0)</f>
        <v>0</v>
      </c>
      <c r="CC22" s="542">
        <f t="shared" ca="1" si="68"/>
        <v>0</v>
      </c>
      <c r="CD22" s="542">
        <f t="shared" ca="1" si="68"/>
        <v>0</v>
      </c>
      <c r="CE22" s="542">
        <f t="shared" ca="1" si="68"/>
        <v>0</v>
      </c>
      <c r="CF22" s="542">
        <f t="shared" ca="1" si="68"/>
        <v>0</v>
      </c>
      <c r="CG22" s="542">
        <f t="shared" ca="1" si="68"/>
        <v>0</v>
      </c>
      <c r="CH22" s="542">
        <f t="shared" ca="1" si="68"/>
        <v>0</v>
      </c>
      <c r="CI22" s="542">
        <f t="shared" ca="1" si="68"/>
        <v>0</v>
      </c>
      <c r="CJ22" s="542">
        <f t="shared" ca="1" si="68"/>
        <v>0</v>
      </c>
      <c r="CK22" s="542">
        <f t="shared" ca="1" si="68"/>
        <v>0</v>
      </c>
      <c r="CL22" s="542">
        <f t="shared" ref="CL22:CU23" ca="1" si="69">IFERROR(SUMIFS(INDIRECT($C22&amp;".Emissions["&amp;this.Year&amp;"]"), INDIRECT($C22&amp;".Emissions[GHG]"), CL$6, INDIRECT($C22&amp;".Emissions[IPCC Sector]"), CL$5),0)</f>
        <v>0</v>
      </c>
      <c r="CM22" s="542">
        <f t="shared" ca="1" si="69"/>
        <v>0</v>
      </c>
      <c r="CN22" s="542">
        <f t="shared" ca="1" si="69"/>
        <v>0</v>
      </c>
      <c r="CO22" s="542">
        <f t="shared" ca="1" si="69"/>
        <v>0</v>
      </c>
      <c r="CP22" s="542">
        <f t="shared" ca="1" si="69"/>
        <v>0</v>
      </c>
      <c r="CQ22" s="542">
        <f t="shared" ca="1" si="69"/>
        <v>0</v>
      </c>
      <c r="CR22" s="542">
        <f t="shared" ca="1" si="69"/>
        <v>0</v>
      </c>
      <c r="CS22" s="542">
        <f t="shared" ca="1" si="69"/>
        <v>0</v>
      </c>
      <c r="CT22" s="542">
        <f t="shared" ca="1" si="69"/>
        <v>0</v>
      </c>
      <c r="CU22" s="542">
        <f t="shared" ca="1" si="69"/>
        <v>0</v>
      </c>
      <c r="CW22" s="151">
        <f t="shared" ca="1" si="37"/>
        <v>27.572268803194778</v>
      </c>
    </row>
    <row r="23" spans="1:101" s="84" customFormat="1" ht="12.75" customHeight="1" outlineLevel="1" x14ac:dyDescent="0.2">
      <c r="A23" s="543"/>
      <c r="B23" s="543"/>
      <c r="C23" s="86" t="s">
        <v>375</v>
      </c>
      <c r="D23" s="63" t="str">
        <f>INDEX(Modules[Module], MATCH($C23, Modules[Code], 0))</f>
        <v>Domestic freight</v>
      </c>
      <c r="E23" s="291"/>
      <c r="G23" s="297">
        <f t="shared" ca="1" si="61"/>
        <v>0</v>
      </c>
      <c r="H23" s="297">
        <f t="shared" ca="1" si="61"/>
        <v>0</v>
      </c>
      <c r="I23" s="297">
        <f t="shared" ca="1" si="61"/>
        <v>0</v>
      </c>
      <c r="J23" s="297">
        <f t="shared" ca="1" si="61"/>
        <v>0</v>
      </c>
      <c r="K23" s="297">
        <f t="shared" ca="1" si="61"/>
        <v>18.908518399688848</v>
      </c>
      <c r="L23" s="297">
        <f t="shared" ca="1" si="61"/>
        <v>0.27588461611834919</v>
      </c>
      <c r="M23" s="297">
        <f t="shared" ca="1" si="61"/>
        <v>0</v>
      </c>
      <c r="N23" s="297">
        <f t="shared" ca="1" si="61"/>
        <v>0</v>
      </c>
      <c r="O23" s="297">
        <f t="shared" ca="1" si="61"/>
        <v>1.0449356110119832</v>
      </c>
      <c r="P23" s="297">
        <f t="shared" ca="1" si="1"/>
        <v>20.229338626819182</v>
      </c>
      <c r="R23" s="304">
        <f t="shared" ca="1" si="62"/>
        <v>-1.0449356110119832</v>
      </c>
      <c r="S23" s="304">
        <f t="shared" ca="1" si="62"/>
        <v>0</v>
      </c>
      <c r="T23" s="304">
        <f t="shared" ca="1" si="62"/>
        <v>0</v>
      </c>
      <c r="U23" s="304">
        <f t="shared" ca="1" si="62"/>
        <v>-19.184403015807199</v>
      </c>
      <c r="V23" s="304">
        <f t="shared" ca="1" si="62"/>
        <v>0</v>
      </c>
      <c r="W23" s="304">
        <f t="shared" ca="1" si="62"/>
        <v>0</v>
      </c>
      <c r="X23" s="304">
        <f t="shared" ca="1" si="63"/>
        <v>0</v>
      </c>
      <c r="Y23" s="304">
        <f t="shared" ca="1" si="63"/>
        <v>0</v>
      </c>
      <c r="Z23" s="304">
        <f t="shared" ca="1" si="63"/>
        <v>0</v>
      </c>
      <c r="AA23" s="304">
        <f t="shared" ca="1" si="62"/>
        <v>0</v>
      </c>
      <c r="AB23" s="304">
        <f t="shared" ca="1" si="62"/>
        <v>0</v>
      </c>
      <c r="AC23" s="304">
        <f t="shared" ca="1" si="62"/>
        <v>0</v>
      </c>
      <c r="AD23" s="304">
        <f t="shared" ca="1" si="62"/>
        <v>0</v>
      </c>
      <c r="AE23" s="304">
        <f t="shared" ca="1" si="62"/>
        <v>0</v>
      </c>
      <c r="AF23" s="304">
        <f t="shared" ca="1" si="62"/>
        <v>0</v>
      </c>
      <c r="AG23" s="304">
        <f t="shared" ca="1" si="62"/>
        <v>0</v>
      </c>
      <c r="AH23" s="305">
        <f t="shared" ca="1" si="5"/>
        <v>-20.229338626819182</v>
      </c>
      <c r="AJ23" s="312">
        <f t="shared" ca="1" si="64"/>
        <v>0</v>
      </c>
      <c r="AK23" s="312">
        <f t="shared" ca="1" si="64"/>
        <v>0</v>
      </c>
      <c r="AL23" s="312">
        <f t="shared" ca="1" si="64"/>
        <v>0</v>
      </c>
      <c r="AM23" s="312">
        <f t="shared" ca="1" si="64"/>
        <v>0</v>
      </c>
      <c r="AN23" s="312">
        <f t="shared" ca="1" si="64"/>
        <v>0</v>
      </c>
      <c r="AO23" s="312">
        <f t="shared" ca="1" si="64"/>
        <v>0</v>
      </c>
      <c r="AP23" s="312">
        <f t="shared" ca="1" si="64"/>
        <v>0</v>
      </c>
      <c r="AQ23" s="312">
        <f t="shared" ca="1" si="64"/>
        <v>0</v>
      </c>
      <c r="AR23" s="312">
        <f t="shared" ca="1" si="64"/>
        <v>0</v>
      </c>
      <c r="AS23" s="312">
        <f t="shared" ca="1" si="62"/>
        <v>0</v>
      </c>
      <c r="AT23" s="312">
        <f t="shared" ca="1" si="62"/>
        <v>0</v>
      </c>
      <c r="AU23" s="312">
        <f t="shared" ca="1" si="62"/>
        <v>0</v>
      </c>
      <c r="AV23" s="312">
        <f t="shared" ca="1" si="62"/>
        <v>0</v>
      </c>
      <c r="AW23" s="312">
        <f t="shared" ca="1" si="62"/>
        <v>0</v>
      </c>
      <c r="AX23" s="312">
        <f t="shared" ca="1" si="62"/>
        <v>0</v>
      </c>
      <c r="AY23" s="266">
        <f t="shared" ca="1" si="8"/>
        <v>0</v>
      </c>
      <c r="BA23" s="308">
        <f t="shared" ca="1" si="65"/>
        <v>0</v>
      </c>
      <c r="BB23" s="308">
        <f t="shared" ca="1" si="65"/>
        <v>0</v>
      </c>
      <c r="BC23" s="309">
        <f t="shared" ca="1" si="10"/>
        <v>0</v>
      </c>
      <c r="BE23" s="135">
        <f t="shared" ca="1" si="11"/>
        <v>0</v>
      </c>
      <c r="BF23" s="135"/>
      <c r="BG23" s="153"/>
      <c r="BH23" s="541">
        <f t="shared" ca="1" si="66"/>
        <v>4.7961007539517997</v>
      </c>
      <c r="BI23" s="542">
        <f t="shared" ca="1" si="66"/>
        <v>5.971126504857642E-3</v>
      </c>
      <c r="BJ23" s="542">
        <f t="shared" ca="1" si="66"/>
        <v>8.6291680208718205E-2</v>
      </c>
      <c r="BK23" s="542">
        <f t="shared" ca="1" si="66"/>
        <v>0</v>
      </c>
      <c r="BL23" s="542">
        <f t="shared" ca="1" si="66"/>
        <v>0</v>
      </c>
      <c r="BM23" s="542">
        <f t="shared" ca="1" si="66"/>
        <v>0</v>
      </c>
      <c r="BN23" s="542">
        <f t="shared" ca="1" si="66"/>
        <v>0</v>
      </c>
      <c r="BO23" s="542">
        <f t="shared" ca="1" si="66"/>
        <v>0</v>
      </c>
      <c r="BP23" s="542">
        <f t="shared" ca="1" si="66"/>
        <v>0</v>
      </c>
      <c r="BQ23" s="542">
        <f t="shared" ca="1" si="66"/>
        <v>0</v>
      </c>
      <c r="BR23" s="542">
        <f t="shared" ca="1" si="67"/>
        <v>0</v>
      </c>
      <c r="BS23" s="542">
        <f t="shared" ca="1" si="67"/>
        <v>0</v>
      </c>
      <c r="BT23" s="542">
        <f t="shared" ca="1" si="67"/>
        <v>0</v>
      </c>
      <c r="BU23" s="542">
        <f t="shared" ca="1" si="67"/>
        <v>0</v>
      </c>
      <c r="BV23" s="542">
        <f t="shared" ca="1" si="67"/>
        <v>0</v>
      </c>
      <c r="BW23" s="542">
        <f t="shared" ca="1" si="67"/>
        <v>0</v>
      </c>
      <c r="BX23" s="542">
        <f t="shared" ca="1" si="67"/>
        <v>0</v>
      </c>
      <c r="BY23" s="542">
        <f t="shared" ca="1" si="67"/>
        <v>0</v>
      </c>
      <c r="BZ23" s="542">
        <f t="shared" ca="1" si="67"/>
        <v>0</v>
      </c>
      <c r="CA23" s="542">
        <f t="shared" ca="1" si="67"/>
        <v>0</v>
      </c>
      <c r="CB23" s="542">
        <f t="shared" ca="1" si="68"/>
        <v>0</v>
      </c>
      <c r="CC23" s="542">
        <f t="shared" ca="1" si="68"/>
        <v>0</v>
      </c>
      <c r="CD23" s="542">
        <f t="shared" ca="1" si="68"/>
        <v>0</v>
      </c>
      <c r="CE23" s="542">
        <f t="shared" ca="1" si="68"/>
        <v>0</v>
      </c>
      <c r="CF23" s="542">
        <f t="shared" ca="1" si="68"/>
        <v>0</v>
      </c>
      <c r="CG23" s="542">
        <f t="shared" ca="1" si="68"/>
        <v>0</v>
      </c>
      <c r="CH23" s="542">
        <f t="shared" ca="1" si="68"/>
        <v>0</v>
      </c>
      <c r="CI23" s="542">
        <f t="shared" ca="1" si="68"/>
        <v>0</v>
      </c>
      <c r="CJ23" s="542">
        <f t="shared" ca="1" si="68"/>
        <v>0</v>
      </c>
      <c r="CK23" s="542">
        <f t="shared" ca="1" si="68"/>
        <v>0</v>
      </c>
      <c r="CL23" s="542">
        <f t="shared" ca="1" si="69"/>
        <v>0</v>
      </c>
      <c r="CM23" s="542">
        <f t="shared" ca="1" si="69"/>
        <v>0</v>
      </c>
      <c r="CN23" s="542">
        <f t="shared" ca="1" si="69"/>
        <v>0</v>
      </c>
      <c r="CO23" s="542">
        <f t="shared" ca="1" si="69"/>
        <v>0</v>
      </c>
      <c r="CP23" s="542">
        <f t="shared" ca="1" si="69"/>
        <v>0</v>
      </c>
      <c r="CQ23" s="542">
        <f t="shared" ca="1" si="69"/>
        <v>0</v>
      </c>
      <c r="CR23" s="542">
        <f t="shared" ca="1" si="69"/>
        <v>0</v>
      </c>
      <c r="CS23" s="542">
        <f t="shared" ca="1" si="69"/>
        <v>0</v>
      </c>
      <c r="CT23" s="542">
        <f t="shared" ca="1" si="69"/>
        <v>0</v>
      </c>
      <c r="CU23" s="542">
        <f t="shared" ca="1" si="69"/>
        <v>0</v>
      </c>
      <c r="CW23" s="151">
        <f t="shared" ca="1" si="37"/>
        <v>4.8883635606653755</v>
      </c>
    </row>
    <row r="24" spans="1:101" s="84" customFormat="1" ht="15.75" x14ac:dyDescent="0.2">
      <c r="A24" s="18"/>
      <c r="B24" s="89"/>
      <c r="C24" s="85" t="s">
        <v>232</v>
      </c>
      <c r="D24" s="57" t="str">
        <f>INDEX(Workstreams[Workstream], MATCH($C24, Workstreams[Code], 0))</f>
        <v>Transport</v>
      </c>
      <c r="E24" s="53"/>
      <c r="G24" s="300">
        <f ca="1">G22+G23</f>
        <v>0</v>
      </c>
      <c r="H24" s="300">
        <f t="shared" ref="H24:AG24" ca="1" si="70">H22+H23</f>
        <v>0</v>
      </c>
      <c r="I24" s="300">
        <f t="shared" ca="1" si="70"/>
        <v>0</v>
      </c>
      <c r="J24" s="300">
        <f t="shared" ca="1" si="70"/>
        <v>0</v>
      </c>
      <c r="K24" s="300">
        <f t="shared" ca="1" si="70"/>
        <v>102.3149280766313</v>
      </c>
      <c r="L24" s="300">
        <f t="shared" ca="1" si="70"/>
        <v>25.076957917110953</v>
      </c>
      <c r="M24" s="300">
        <f t="shared" ca="1" si="70"/>
        <v>0</v>
      </c>
      <c r="N24" s="300">
        <f t="shared" ca="1" si="70"/>
        <v>0</v>
      </c>
      <c r="O24" s="300">
        <f t="shared" ca="1" si="70"/>
        <v>1.0449356110119832</v>
      </c>
      <c r="P24" s="300">
        <f t="shared" ca="1" si="70"/>
        <v>128.43682160475424</v>
      </c>
      <c r="Q24" s="300">
        <f t="shared" si="70"/>
        <v>0</v>
      </c>
      <c r="R24" s="300">
        <f t="shared" ca="1" si="70"/>
        <v>-1.0449356110119832</v>
      </c>
      <c r="S24" s="300">
        <f t="shared" ca="1" si="70"/>
        <v>0</v>
      </c>
      <c r="T24" s="300">
        <f t="shared" ca="1" si="70"/>
        <v>0</v>
      </c>
      <c r="U24" s="300">
        <f t="shared" ca="1" si="70"/>
        <v>-127.39188599374225</v>
      </c>
      <c r="V24" s="300">
        <f t="shared" ca="1" si="70"/>
        <v>0</v>
      </c>
      <c r="W24" s="300">
        <f t="shared" ca="1" si="70"/>
        <v>0</v>
      </c>
      <c r="X24" s="300">
        <f t="shared" ca="1" si="70"/>
        <v>0</v>
      </c>
      <c r="Y24" s="300">
        <f t="shared" ca="1" si="70"/>
        <v>0</v>
      </c>
      <c r="Z24" s="300">
        <f t="shared" ca="1" si="70"/>
        <v>0</v>
      </c>
      <c r="AA24" s="300">
        <f t="shared" ca="1" si="70"/>
        <v>0</v>
      </c>
      <c r="AB24" s="300">
        <f t="shared" ca="1" si="70"/>
        <v>0</v>
      </c>
      <c r="AC24" s="300">
        <f t="shared" ca="1" si="70"/>
        <v>0</v>
      </c>
      <c r="AD24" s="300">
        <f t="shared" ca="1" si="70"/>
        <v>0</v>
      </c>
      <c r="AE24" s="300">
        <f t="shared" ca="1" si="70"/>
        <v>0</v>
      </c>
      <c r="AF24" s="300">
        <f t="shared" ca="1" si="70"/>
        <v>0</v>
      </c>
      <c r="AG24" s="300">
        <f t="shared" ca="1" si="70"/>
        <v>0</v>
      </c>
      <c r="AH24" s="257">
        <f t="shared" ca="1" si="5"/>
        <v>-128.43682160475424</v>
      </c>
      <c r="AJ24" s="263">
        <f ca="1">AJ22+AJ23</f>
        <v>0</v>
      </c>
      <c r="AK24" s="263">
        <f t="shared" ref="AK24:BB24" ca="1" si="71">AK22+AK23</f>
        <v>0</v>
      </c>
      <c r="AL24" s="263">
        <f t="shared" ca="1" si="71"/>
        <v>0</v>
      </c>
      <c r="AM24" s="263">
        <f t="shared" ca="1" si="71"/>
        <v>0</v>
      </c>
      <c r="AN24" s="263">
        <f t="shared" ca="1" si="71"/>
        <v>0</v>
      </c>
      <c r="AO24" s="263">
        <f t="shared" ca="1" si="71"/>
        <v>0</v>
      </c>
      <c r="AP24" s="263">
        <f t="shared" ca="1" si="71"/>
        <v>0</v>
      </c>
      <c r="AQ24" s="263">
        <f t="shared" ca="1" si="71"/>
        <v>0</v>
      </c>
      <c r="AR24" s="263">
        <f t="shared" ca="1" si="71"/>
        <v>0</v>
      </c>
      <c r="AS24" s="263">
        <f t="shared" ca="1" si="71"/>
        <v>0</v>
      </c>
      <c r="AT24" s="263">
        <f t="shared" ca="1" si="71"/>
        <v>0</v>
      </c>
      <c r="AU24" s="263">
        <f t="shared" ca="1" si="71"/>
        <v>0</v>
      </c>
      <c r="AV24" s="263">
        <f t="shared" ca="1" si="71"/>
        <v>0</v>
      </c>
      <c r="AW24" s="263">
        <f t="shared" ca="1" si="71"/>
        <v>0</v>
      </c>
      <c r="AX24" s="263">
        <f t="shared" ca="1" si="71"/>
        <v>0</v>
      </c>
      <c r="AY24" s="263">
        <f t="shared" ca="1" si="71"/>
        <v>0</v>
      </c>
      <c r="AZ24" s="263">
        <f t="shared" si="71"/>
        <v>0</v>
      </c>
      <c r="BA24" s="263">
        <f t="shared" ca="1" si="71"/>
        <v>0</v>
      </c>
      <c r="BB24" s="263">
        <f t="shared" ca="1" si="71"/>
        <v>0</v>
      </c>
      <c r="BC24" s="277">
        <f t="shared" ca="1" si="10"/>
        <v>0</v>
      </c>
      <c r="BE24" s="55">
        <f t="shared" ca="1" si="11"/>
        <v>0</v>
      </c>
      <c r="BF24" s="55"/>
      <c r="BG24" s="153"/>
      <c r="BH24" s="542">
        <f ca="1">BH22+BH23</f>
        <v>31.847971498435562</v>
      </c>
      <c r="BI24" s="542">
        <f t="shared" ref="BI24:CV24" ca="1" si="72">BI22+BI23</f>
        <v>3.9650598787685627E-2</v>
      </c>
      <c r="BJ24" s="542">
        <f t="shared" ca="1" si="72"/>
        <v>0.57301026663690324</v>
      </c>
      <c r="BK24" s="542">
        <f t="shared" ca="1" si="72"/>
        <v>0</v>
      </c>
      <c r="BL24" s="542">
        <f t="shared" ca="1" si="72"/>
        <v>0</v>
      </c>
      <c r="BM24" s="542">
        <f t="shared" ca="1" si="72"/>
        <v>0</v>
      </c>
      <c r="BN24" s="542">
        <f t="shared" ca="1" si="72"/>
        <v>0</v>
      </c>
      <c r="BO24" s="542">
        <f t="shared" ca="1" si="72"/>
        <v>0</v>
      </c>
      <c r="BP24" s="542">
        <f t="shared" ca="1" si="72"/>
        <v>0</v>
      </c>
      <c r="BQ24" s="542">
        <f t="shared" ca="1" si="72"/>
        <v>0</v>
      </c>
      <c r="BR24" s="542">
        <f t="shared" ca="1" si="72"/>
        <v>0</v>
      </c>
      <c r="BS24" s="542">
        <f t="shared" ca="1" si="72"/>
        <v>0</v>
      </c>
      <c r="BT24" s="542">
        <f t="shared" ca="1" si="72"/>
        <v>0</v>
      </c>
      <c r="BU24" s="542">
        <f t="shared" ca="1" si="72"/>
        <v>0</v>
      </c>
      <c r="BV24" s="542">
        <f t="shared" ca="1" si="72"/>
        <v>0</v>
      </c>
      <c r="BW24" s="542">
        <f t="shared" ca="1" si="72"/>
        <v>0</v>
      </c>
      <c r="BX24" s="542">
        <f t="shared" ca="1" si="72"/>
        <v>0</v>
      </c>
      <c r="BY24" s="542">
        <f t="shared" ca="1" si="72"/>
        <v>0</v>
      </c>
      <c r="BZ24" s="542">
        <f t="shared" ca="1" si="72"/>
        <v>0</v>
      </c>
      <c r="CA24" s="542">
        <f t="shared" ca="1" si="72"/>
        <v>0</v>
      </c>
      <c r="CB24" s="542">
        <f t="shared" ca="1" si="72"/>
        <v>0</v>
      </c>
      <c r="CC24" s="542">
        <f t="shared" ca="1" si="72"/>
        <v>0</v>
      </c>
      <c r="CD24" s="542">
        <f t="shared" ca="1" si="72"/>
        <v>0</v>
      </c>
      <c r="CE24" s="542">
        <f t="shared" ca="1" si="72"/>
        <v>0</v>
      </c>
      <c r="CF24" s="542">
        <f t="shared" ca="1" si="72"/>
        <v>0</v>
      </c>
      <c r="CG24" s="542">
        <f t="shared" ca="1" si="72"/>
        <v>0</v>
      </c>
      <c r="CH24" s="542">
        <f t="shared" ca="1" si="72"/>
        <v>0</v>
      </c>
      <c r="CI24" s="542">
        <f t="shared" ca="1" si="72"/>
        <v>0</v>
      </c>
      <c r="CJ24" s="542">
        <f t="shared" ca="1" si="72"/>
        <v>0</v>
      </c>
      <c r="CK24" s="542">
        <f t="shared" ca="1" si="72"/>
        <v>0</v>
      </c>
      <c r="CL24" s="542">
        <f t="shared" ca="1" si="72"/>
        <v>0</v>
      </c>
      <c r="CM24" s="542">
        <f t="shared" ca="1" si="72"/>
        <v>0</v>
      </c>
      <c r="CN24" s="542">
        <f t="shared" ca="1" si="72"/>
        <v>0</v>
      </c>
      <c r="CO24" s="542">
        <f t="shared" ca="1" si="72"/>
        <v>0</v>
      </c>
      <c r="CP24" s="542">
        <f t="shared" ca="1" si="72"/>
        <v>0</v>
      </c>
      <c r="CQ24" s="542">
        <f t="shared" ca="1" si="72"/>
        <v>0</v>
      </c>
      <c r="CR24" s="542">
        <f t="shared" ca="1" si="72"/>
        <v>0</v>
      </c>
      <c r="CS24" s="542">
        <f t="shared" ca="1" si="72"/>
        <v>0</v>
      </c>
      <c r="CT24" s="542">
        <f t="shared" ca="1" si="72"/>
        <v>0</v>
      </c>
      <c r="CU24" s="542">
        <f t="shared" ca="1" si="72"/>
        <v>0</v>
      </c>
      <c r="CV24" s="542">
        <f t="shared" si="72"/>
        <v>0</v>
      </c>
      <c r="CW24" s="151">
        <f t="shared" ca="1" si="37"/>
        <v>32.460632363860149</v>
      </c>
    </row>
    <row r="25" spans="1:101" s="84" customFormat="1" ht="12.75" customHeight="1" outlineLevel="1" x14ac:dyDescent="0.2">
      <c r="A25" s="18"/>
      <c r="B25" s="18"/>
      <c r="C25" s="87"/>
      <c r="D25" s="53"/>
      <c r="E25" s="53"/>
      <c r="G25" s="300"/>
      <c r="H25" s="300"/>
      <c r="I25" s="300"/>
      <c r="J25" s="300"/>
      <c r="K25" s="300"/>
      <c r="L25" s="300"/>
      <c r="M25" s="300"/>
      <c r="N25" s="300"/>
      <c r="O25" s="300"/>
      <c r="P25" s="300">
        <f t="shared" ref="P25:P56" si="73">SUM(G25:O25)</f>
        <v>0</v>
      </c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>
        <f t="shared" si="5"/>
        <v>0</v>
      </c>
      <c r="AJ25" s="263"/>
      <c r="AK25" s="263"/>
      <c r="AL25" s="263"/>
      <c r="AM25" s="263"/>
      <c r="AN25" s="263"/>
      <c r="AO25" s="263"/>
      <c r="AP25" s="263"/>
      <c r="AQ25" s="263"/>
      <c r="AR25" s="263"/>
      <c r="AS25" s="263"/>
      <c r="AT25" s="263"/>
      <c r="AU25" s="263"/>
      <c r="AV25" s="263"/>
      <c r="AW25" s="263"/>
      <c r="AX25" s="263"/>
      <c r="AY25" s="263">
        <f>SUM(AJ25:AX25)</f>
        <v>0</v>
      </c>
      <c r="BA25" s="277"/>
      <c r="BB25" s="277"/>
      <c r="BC25" s="277">
        <f t="shared" si="10"/>
        <v>0</v>
      </c>
      <c r="BE25" s="55">
        <f t="shared" si="11"/>
        <v>0</v>
      </c>
      <c r="BF25" s="55"/>
      <c r="BG25" s="18"/>
      <c r="BH25" s="542"/>
      <c r="BI25" s="542"/>
      <c r="BJ25" s="542"/>
      <c r="BK25" s="542"/>
      <c r="BL25" s="542"/>
      <c r="BM25" s="542"/>
      <c r="BN25" s="542"/>
      <c r="BO25" s="542"/>
      <c r="BP25" s="542"/>
      <c r="BQ25" s="542"/>
      <c r="BR25" s="542"/>
      <c r="BS25" s="542"/>
      <c r="BT25" s="542"/>
      <c r="BU25" s="542"/>
      <c r="BV25" s="542"/>
      <c r="BW25" s="542"/>
      <c r="BX25" s="542"/>
      <c r="BY25" s="542"/>
      <c r="BZ25" s="542"/>
      <c r="CA25" s="542"/>
      <c r="CB25" s="542"/>
      <c r="CC25" s="542"/>
      <c r="CD25" s="542"/>
      <c r="CE25" s="542"/>
      <c r="CF25" s="542"/>
      <c r="CG25" s="542"/>
      <c r="CH25" s="542"/>
      <c r="CI25" s="542"/>
      <c r="CJ25" s="542"/>
      <c r="CK25" s="542"/>
      <c r="CL25" s="542"/>
      <c r="CM25" s="542"/>
      <c r="CN25" s="542"/>
      <c r="CO25" s="542"/>
      <c r="CP25" s="542"/>
      <c r="CQ25" s="542"/>
      <c r="CR25" s="542"/>
      <c r="CS25" s="542"/>
      <c r="CT25" s="542"/>
      <c r="CU25" s="542"/>
      <c r="CW25" s="151">
        <f t="shared" si="37"/>
        <v>0</v>
      </c>
    </row>
    <row r="26" spans="1:101" s="84" customFormat="1" ht="12.75" customHeight="1" outlineLevel="1" x14ac:dyDescent="0.2">
      <c r="A26" s="18"/>
      <c r="B26" s="18"/>
      <c r="C26" s="87"/>
      <c r="D26" s="53"/>
      <c r="E26" s="53"/>
      <c r="G26" s="300"/>
      <c r="H26" s="300"/>
      <c r="I26" s="300"/>
      <c r="J26" s="300"/>
      <c r="K26" s="300"/>
      <c r="L26" s="300"/>
      <c r="M26" s="300"/>
      <c r="N26" s="300"/>
      <c r="O26" s="300"/>
      <c r="P26" s="300">
        <f t="shared" si="73"/>
        <v>0</v>
      </c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>
        <f t="shared" si="5"/>
        <v>0</v>
      </c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3"/>
      <c r="AY26" s="263">
        <f>SUM(AJ26:AX26)</f>
        <v>0</v>
      </c>
      <c r="BA26" s="277"/>
      <c r="BB26" s="277"/>
      <c r="BC26" s="277">
        <f t="shared" si="10"/>
        <v>0</v>
      </c>
      <c r="BE26" s="55">
        <f t="shared" si="11"/>
        <v>0</v>
      </c>
      <c r="BF26" s="55"/>
      <c r="BG26" s="18"/>
      <c r="BH26" s="541"/>
      <c r="BI26" s="542"/>
      <c r="BJ26" s="542"/>
      <c r="BK26" s="542"/>
      <c r="BL26" s="542"/>
      <c r="BM26" s="542"/>
      <c r="BN26" s="542"/>
      <c r="BO26" s="542"/>
      <c r="BP26" s="542"/>
      <c r="BQ26" s="542"/>
      <c r="BR26" s="542"/>
      <c r="BS26" s="542"/>
      <c r="BT26" s="542"/>
      <c r="BU26" s="542"/>
      <c r="BV26" s="542"/>
      <c r="BW26" s="542"/>
      <c r="BX26" s="542"/>
      <c r="BY26" s="542"/>
      <c r="BZ26" s="542"/>
      <c r="CA26" s="542"/>
      <c r="CB26" s="542"/>
      <c r="CC26" s="542"/>
      <c r="CD26" s="542"/>
      <c r="CE26" s="542"/>
      <c r="CF26" s="542"/>
      <c r="CG26" s="542"/>
      <c r="CH26" s="542"/>
      <c r="CI26" s="542"/>
      <c r="CJ26" s="542"/>
      <c r="CK26" s="542"/>
      <c r="CL26" s="542"/>
      <c r="CM26" s="542"/>
      <c r="CN26" s="542"/>
      <c r="CO26" s="542"/>
      <c r="CP26" s="542"/>
      <c r="CQ26" s="542"/>
      <c r="CR26" s="542"/>
      <c r="CS26" s="542"/>
      <c r="CT26" s="542"/>
      <c r="CU26" s="542"/>
      <c r="CW26" s="151">
        <f t="shared" si="37"/>
        <v>0</v>
      </c>
    </row>
    <row r="27" spans="1:101" s="84" customFormat="1" ht="7.5" customHeight="1" x14ac:dyDescent="0.2">
      <c r="C27" s="56"/>
      <c r="D27" s="57"/>
      <c r="E27" s="51"/>
      <c r="G27" s="300"/>
      <c r="H27" s="300"/>
      <c r="I27" s="300"/>
      <c r="J27" s="300"/>
      <c r="K27" s="300"/>
      <c r="L27" s="300"/>
      <c r="M27" s="300"/>
      <c r="N27" s="300"/>
      <c r="O27" s="300"/>
      <c r="P27" s="300">
        <f t="shared" si="73"/>
        <v>0</v>
      </c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>
        <f t="shared" si="5"/>
        <v>0</v>
      </c>
      <c r="AJ27" s="263"/>
      <c r="AK27" s="263"/>
      <c r="AL27" s="263"/>
      <c r="AM27" s="263"/>
      <c r="AN27" s="263"/>
      <c r="AO27" s="263"/>
      <c r="AP27" s="263"/>
      <c r="AQ27" s="263"/>
      <c r="AR27" s="263"/>
      <c r="AS27" s="263"/>
      <c r="AT27" s="263"/>
      <c r="AU27" s="263"/>
      <c r="AV27" s="263"/>
      <c r="AW27" s="263"/>
      <c r="AX27" s="263"/>
      <c r="AY27" s="263">
        <f>SUM(AJ27:AX27)</f>
        <v>0</v>
      </c>
      <c r="BA27" s="277"/>
      <c r="BB27" s="277"/>
      <c r="BC27" s="277">
        <f t="shared" si="10"/>
        <v>0</v>
      </c>
      <c r="BE27" s="55">
        <f t="shared" si="11"/>
        <v>0</v>
      </c>
      <c r="BF27" s="55"/>
      <c r="BH27" s="542"/>
      <c r="BI27" s="542"/>
      <c r="BJ27" s="542"/>
      <c r="BK27" s="542"/>
      <c r="BL27" s="542"/>
      <c r="BM27" s="542"/>
      <c r="BN27" s="542"/>
      <c r="BO27" s="542"/>
      <c r="BP27" s="542"/>
      <c r="BQ27" s="542"/>
      <c r="BR27" s="542"/>
      <c r="BS27" s="542"/>
      <c r="BT27" s="542"/>
      <c r="BU27" s="542"/>
      <c r="BV27" s="542"/>
      <c r="BW27" s="542"/>
      <c r="BX27" s="542"/>
      <c r="BY27" s="542"/>
      <c r="BZ27" s="542"/>
      <c r="CA27" s="542"/>
      <c r="CB27" s="542"/>
      <c r="CC27" s="542"/>
      <c r="CD27" s="542"/>
      <c r="CE27" s="542"/>
      <c r="CF27" s="542"/>
      <c r="CG27" s="542"/>
      <c r="CH27" s="542"/>
      <c r="CI27" s="542"/>
      <c r="CJ27" s="542"/>
      <c r="CK27" s="542"/>
      <c r="CL27" s="542"/>
      <c r="CM27" s="542"/>
      <c r="CN27" s="542"/>
      <c r="CO27" s="542"/>
      <c r="CP27" s="542"/>
      <c r="CQ27" s="542"/>
      <c r="CR27" s="542"/>
      <c r="CS27" s="542"/>
      <c r="CT27" s="542"/>
      <c r="CU27" s="542"/>
      <c r="CW27" s="151"/>
    </row>
    <row r="28" spans="1:101" s="84" customFormat="1" ht="15.75" x14ac:dyDescent="0.2">
      <c r="B28" s="89"/>
      <c r="C28" s="923" t="s">
        <v>883</v>
      </c>
      <c r="D28" s="69" t="s">
        <v>190</v>
      </c>
      <c r="E28" s="70"/>
      <c r="G28" s="302">
        <f ca="1">G$13+G$17+G$20+G$24</f>
        <v>46.191013019682934</v>
      </c>
      <c r="H28" s="302">
        <f t="shared" ref="H28:AG28" ca="1" si="74">H$13+H$17+H$20+H$24</f>
        <v>31.295223413352669</v>
      </c>
      <c r="I28" s="302">
        <f t="shared" ca="1" si="74"/>
        <v>244.94029459261003</v>
      </c>
      <c r="J28" s="302">
        <f t="shared" ca="1" si="74"/>
        <v>53.498000000000033</v>
      </c>
      <c r="K28" s="302">
        <f t="shared" ca="1" si="74"/>
        <v>102.3149280766313</v>
      </c>
      <c r="L28" s="302">
        <f t="shared" ca="1" si="74"/>
        <v>25.076957917110953</v>
      </c>
      <c r="M28" s="302">
        <f t="shared" ca="1" si="74"/>
        <v>0</v>
      </c>
      <c r="N28" s="302">
        <f t="shared" ca="1" si="74"/>
        <v>0</v>
      </c>
      <c r="O28" s="302">
        <f t="shared" ca="1" si="74"/>
        <v>1.0449356110119832</v>
      </c>
      <c r="P28" s="300">
        <f t="shared" ca="1" si="73"/>
        <v>504.36135263039995</v>
      </c>
      <c r="Q28" s="302">
        <f t="shared" si="74"/>
        <v>0</v>
      </c>
      <c r="R28" s="302">
        <f t="shared" ca="1" si="74"/>
        <v>-110.32854557482507</v>
      </c>
      <c r="S28" s="302">
        <f t="shared" ca="1" si="74"/>
        <v>0</v>
      </c>
      <c r="T28" s="302">
        <f t="shared" ca="1" si="74"/>
        <v>-1.507731915164449</v>
      </c>
      <c r="U28" s="302">
        <f t="shared" ca="1" si="74"/>
        <v>-159.22230691588834</v>
      </c>
      <c r="V28" s="302">
        <f t="shared" ca="1" si="74"/>
        <v>-31.664523175499969</v>
      </c>
      <c r="W28" s="302">
        <f t="shared" ca="1" si="74"/>
        <v>-201.63824504902212</v>
      </c>
      <c r="X28" s="302">
        <f t="shared" ca="1" si="74"/>
        <v>0</v>
      </c>
      <c r="Y28" s="302">
        <f t="shared" ca="1" si="74"/>
        <v>0</v>
      </c>
      <c r="Z28" s="302">
        <f t="shared" ca="1" si="74"/>
        <v>0</v>
      </c>
      <c r="AA28" s="302">
        <f t="shared" ca="1" si="74"/>
        <v>0</v>
      </c>
      <c r="AB28" s="302">
        <f t="shared" ca="1" si="74"/>
        <v>0</v>
      </c>
      <c r="AC28" s="302">
        <f t="shared" ca="1" si="74"/>
        <v>0</v>
      </c>
      <c r="AD28" s="302">
        <f t="shared" ca="1" si="74"/>
        <v>0</v>
      </c>
      <c r="AE28" s="302">
        <f t="shared" ca="1" si="74"/>
        <v>0</v>
      </c>
      <c r="AF28" s="302">
        <f t="shared" ca="1" si="74"/>
        <v>0</v>
      </c>
      <c r="AG28" s="302">
        <f t="shared" ca="1" si="74"/>
        <v>0</v>
      </c>
      <c r="AH28" s="294">
        <f t="shared" ca="1" si="5"/>
        <v>-504.36135263040001</v>
      </c>
      <c r="AJ28" s="295">
        <f ca="1">AJ$13+AJ$17+AJ$20+AJ$24</f>
        <v>0</v>
      </c>
      <c r="AK28" s="295">
        <f t="shared" ref="AK28:BD28" ca="1" si="75">AK$13+AK$17+AK$20+AK$24</f>
        <v>0</v>
      </c>
      <c r="AL28" s="295">
        <f t="shared" ca="1" si="75"/>
        <v>0</v>
      </c>
      <c r="AM28" s="295">
        <f t="shared" ca="1" si="75"/>
        <v>0</v>
      </c>
      <c r="AN28" s="295">
        <f t="shared" ca="1" si="75"/>
        <v>0</v>
      </c>
      <c r="AO28" s="295">
        <f t="shared" ca="1" si="75"/>
        <v>0</v>
      </c>
      <c r="AP28" s="295">
        <f t="shared" ca="1" si="75"/>
        <v>0</v>
      </c>
      <c r="AQ28" s="295">
        <f t="shared" ca="1" si="75"/>
        <v>0</v>
      </c>
      <c r="AR28" s="295">
        <f t="shared" ca="1" si="75"/>
        <v>0</v>
      </c>
      <c r="AS28" s="295">
        <f t="shared" ca="1" si="75"/>
        <v>0</v>
      </c>
      <c r="AT28" s="295">
        <f t="shared" ca="1" si="75"/>
        <v>0</v>
      </c>
      <c r="AU28" s="295">
        <f t="shared" ca="1" si="75"/>
        <v>0</v>
      </c>
      <c r="AV28" s="295">
        <f t="shared" ca="1" si="75"/>
        <v>0</v>
      </c>
      <c r="AW28" s="295">
        <f t="shared" ca="1" si="75"/>
        <v>0</v>
      </c>
      <c r="AX28" s="295">
        <f t="shared" ca="1" si="75"/>
        <v>0</v>
      </c>
      <c r="AY28" s="295">
        <f t="shared" ca="1" si="75"/>
        <v>0</v>
      </c>
      <c r="AZ28" s="295">
        <f t="shared" si="75"/>
        <v>0</v>
      </c>
      <c r="BA28" s="295">
        <f t="shared" ca="1" si="75"/>
        <v>0</v>
      </c>
      <c r="BB28" s="295">
        <f t="shared" ca="1" si="75"/>
        <v>0</v>
      </c>
      <c r="BC28" s="277">
        <f t="shared" ca="1" si="10"/>
        <v>0</v>
      </c>
      <c r="BD28" s="295">
        <f t="shared" si="75"/>
        <v>0</v>
      </c>
      <c r="BE28" s="58">
        <f t="shared" ca="1" si="11"/>
        <v>-5.6843418860808015E-14</v>
      </c>
      <c r="BF28" s="58"/>
      <c r="BH28" s="546">
        <f ca="1">BH$13+BH$17+BH$20+BH$24</f>
        <v>46.096230423134728</v>
      </c>
      <c r="BI28" s="546">
        <f t="shared" ref="BI28:CU28" ca="1" si="76">BI$13+BI$17+BI$20+BI$24</f>
        <v>8.8468059142180451</v>
      </c>
      <c r="BJ28" s="546">
        <f t="shared" ca="1" si="76"/>
        <v>9.4040069227423171</v>
      </c>
      <c r="BK28" s="546">
        <f t="shared" ca="1" si="76"/>
        <v>0</v>
      </c>
      <c r="BL28" s="546">
        <f t="shared" ca="1" si="76"/>
        <v>0</v>
      </c>
      <c r="BM28" s="546">
        <f t="shared" ca="1" si="76"/>
        <v>0</v>
      </c>
      <c r="BN28" s="546">
        <f t="shared" ca="1" si="76"/>
        <v>0</v>
      </c>
      <c r="BO28" s="546">
        <f t="shared" ca="1" si="76"/>
        <v>0</v>
      </c>
      <c r="BP28" s="546">
        <f t="shared" ca="1" si="76"/>
        <v>14.39565925511863</v>
      </c>
      <c r="BQ28" s="546">
        <f t="shared" ca="1" si="76"/>
        <v>0.11288744235152412</v>
      </c>
      <c r="BR28" s="546">
        <f t="shared" ca="1" si="76"/>
        <v>2.7624692105907238</v>
      </c>
      <c r="BS28" s="546">
        <f t="shared" ca="1" si="76"/>
        <v>10.620296151887526</v>
      </c>
      <c r="BT28" s="546">
        <f t="shared" ca="1" si="76"/>
        <v>0</v>
      </c>
      <c r="BU28" s="546">
        <f t="shared" ca="1" si="76"/>
        <v>0</v>
      </c>
      <c r="BV28" s="546">
        <f t="shared" ca="1" si="76"/>
        <v>0</v>
      </c>
      <c r="BW28" s="546">
        <f t="shared" ca="1" si="76"/>
        <v>0</v>
      </c>
      <c r="BX28" s="546">
        <f t="shared" ca="1" si="76"/>
        <v>0</v>
      </c>
      <c r="BY28" s="546">
        <f t="shared" ca="1" si="76"/>
        <v>0</v>
      </c>
      <c r="BZ28" s="546">
        <f t="shared" ca="1" si="76"/>
        <v>0</v>
      </c>
      <c r="CA28" s="546">
        <f t="shared" ca="1" si="76"/>
        <v>0</v>
      </c>
      <c r="CB28" s="546">
        <f t="shared" ca="1" si="76"/>
        <v>0</v>
      </c>
      <c r="CC28" s="546">
        <f t="shared" ca="1" si="76"/>
        <v>0</v>
      </c>
      <c r="CD28" s="546">
        <f t="shared" ca="1" si="76"/>
        <v>0</v>
      </c>
      <c r="CE28" s="546">
        <f t="shared" ca="1" si="76"/>
        <v>0</v>
      </c>
      <c r="CF28" s="546">
        <f t="shared" ca="1" si="76"/>
        <v>0</v>
      </c>
      <c r="CG28" s="546">
        <f t="shared" ca="1" si="76"/>
        <v>0</v>
      </c>
      <c r="CH28" s="546">
        <f t="shared" ca="1" si="76"/>
        <v>0</v>
      </c>
      <c r="CI28" s="546">
        <f t="shared" ca="1" si="76"/>
        <v>0</v>
      </c>
      <c r="CJ28" s="546">
        <f t="shared" ca="1" si="76"/>
        <v>0</v>
      </c>
      <c r="CK28" s="546">
        <f t="shared" ca="1" si="76"/>
        <v>0</v>
      </c>
      <c r="CL28" s="546">
        <f t="shared" ca="1" si="76"/>
        <v>0</v>
      </c>
      <c r="CM28" s="546">
        <f t="shared" ca="1" si="76"/>
        <v>0</v>
      </c>
      <c r="CN28" s="546">
        <f t="shared" ca="1" si="76"/>
        <v>0</v>
      </c>
      <c r="CO28" s="546">
        <f t="shared" ca="1" si="76"/>
        <v>0</v>
      </c>
      <c r="CP28" s="546">
        <f t="shared" ca="1" si="76"/>
        <v>0</v>
      </c>
      <c r="CQ28" s="546">
        <f t="shared" ca="1" si="76"/>
        <v>0</v>
      </c>
      <c r="CR28" s="546">
        <f t="shared" ca="1" si="76"/>
        <v>0</v>
      </c>
      <c r="CS28" s="546">
        <f t="shared" ca="1" si="76"/>
        <v>0</v>
      </c>
      <c r="CT28" s="546">
        <f t="shared" ca="1" si="76"/>
        <v>0</v>
      </c>
      <c r="CU28" s="546">
        <f t="shared" ca="1" si="76"/>
        <v>0</v>
      </c>
      <c r="CW28" s="148">
        <f ca="1">SUM(BH28:CU28)</f>
        <v>92.238355320043496</v>
      </c>
    </row>
    <row r="29" spans="1:101" s="84" customFormat="1" ht="6" customHeight="1" x14ac:dyDescent="0.2">
      <c r="C29" s="51"/>
      <c r="D29" s="51"/>
      <c r="E29" s="51"/>
      <c r="G29" s="245"/>
      <c r="H29" s="245"/>
      <c r="I29" s="245"/>
      <c r="J29" s="245"/>
      <c r="K29" s="245"/>
      <c r="L29" s="247"/>
      <c r="M29" s="245"/>
      <c r="N29" s="245"/>
      <c r="O29" s="245"/>
      <c r="P29" s="245">
        <f t="shared" si="73"/>
        <v>0</v>
      </c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>
        <f t="shared" si="5"/>
        <v>0</v>
      </c>
      <c r="AJ29" s="263"/>
      <c r="AK29" s="263"/>
      <c r="AL29" s="263"/>
      <c r="AM29" s="263"/>
      <c r="AN29" s="263"/>
      <c r="AO29" s="263"/>
      <c r="AP29" s="263"/>
      <c r="AQ29" s="263"/>
      <c r="AR29" s="263"/>
      <c r="AS29" s="263"/>
      <c r="AT29" s="263"/>
      <c r="AU29" s="263"/>
      <c r="AV29" s="263"/>
      <c r="AW29" s="263"/>
      <c r="AX29" s="263"/>
      <c r="AY29" s="263">
        <f t="shared" ref="AY29:AY60" si="77">SUM(AJ29:AX29)</f>
        <v>0</v>
      </c>
      <c r="BA29" s="277"/>
      <c r="BB29" s="277"/>
      <c r="BC29" s="277">
        <f t="shared" si="10"/>
        <v>0</v>
      </c>
      <c r="BE29" s="55">
        <f t="shared" si="11"/>
        <v>0</v>
      </c>
      <c r="BF29" s="55"/>
      <c r="BH29" s="542"/>
      <c r="BI29" s="542"/>
      <c r="BJ29" s="542"/>
      <c r="BK29" s="542"/>
      <c r="BL29" s="542"/>
      <c r="BM29" s="542"/>
      <c r="BN29" s="542"/>
      <c r="BO29" s="542"/>
      <c r="BP29" s="542"/>
      <c r="BQ29" s="542"/>
      <c r="BR29" s="542"/>
      <c r="BS29" s="542"/>
      <c r="BT29" s="542"/>
      <c r="BU29" s="542"/>
      <c r="BV29" s="542"/>
      <c r="BW29" s="542"/>
      <c r="BX29" s="542"/>
      <c r="BY29" s="542"/>
      <c r="BZ29" s="542"/>
      <c r="CA29" s="542"/>
      <c r="CB29" s="542"/>
      <c r="CC29" s="542"/>
      <c r="CD29" s="542"/>
      <c r="CE29" s="542"/>
      <c r="CF29" s="542"/>
      <c r="CG29" s="542"/>
      <c r="CH29" s="542"/>
      <c r="CI29" s="542"/>
      <c r="CJ29" s="542"/>
      <c r="CK29" s="542"/>
      <c r="CL29" s="542"/>
      <c r="CM29" s="542"/>
      <c r="CN29" s="542"/>
      <c r="CO29" s="542"/>
      <c r="CP29" s="542"/>
      <c r="CQ29" s="542"/>
      <c r="CR29" s="542"/>
      <c r="CS29" s="542"/>
      <c r="CT29" s="542"/>
      <c r="CU29" s="542"/>
      <c r="CW29" s="151"/>
    </row>
    <row r="30" spans="1:101" s="84" customFormat="1" ht="24" customHeight="1" x14ac:dyDescent="0.2">
      <c r="C30" s="45" t="s">
        <v>58</v>
      </c>
      <c r="D30" s="45"/>
      <c r="E30" s="68"/>
      <c r="G30" s="244"/>
      <c r="H30" s="244"/>
      <c r="I30" s="244"/>
      <c r="J30" s="244"/>
      <c r="K30" s="244"/>
      <c r="L30" s="244"/>
      <c r="M30" s="244"/>
      <c r="N30" s="244"/>
      <c r="O30" s="244"/>
      <c r="P30" s="244">
        <f t="shared" si="73"/>
        <v>0</v>
      </c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>
        <f t="shared" si="5"/>
        <v>0</v>
      </c>
      <c r="AJ30" s="262"/>
      <c r="AK30" s="262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>
        <f t="shared" si="77"/>
        <v>0</v>
      </c>
      <c r="BA30" s="276"/>
      <c r="BB30" s="276"/>
      <c r="BC30" s="276">
        <f t="shared" si="10"/>
        <v>0</v>
      </c>
      <c r="BE30" s="54">
        <f t="shared" si="11"/>
        <v>0</v>
      </c>
      <c r="BF30" s="54"/>
      <c r="BH30" s="542"/>
      <c r="BI30" s="542"/>
      <c r="BJ30" s="542"/>
      <c r="BK30" s="542"/>
      <c r="BL30" s="542"/>
      <c r="BM30" s="542"/>
      <c r="BN30" s="542"/>
      <c r="BO30" s="542"/>
      <c r="BP30" s="542"/>
      <c r="BQ30" s="542"/>
      <c r="BR30" s="542"/>
      <c r="BS30" s="542"/>
      <c r="BT30" s="542"/>
      <c r="BU30" s="542"/>
      <c r="BV30" s="542"/>
      <c r="BW30" s="542"/>
      <c r="BX30" s="542"/>
      <c r="BY30" s="542"/>
      <c r="BZ30" s="542"/>
      <c r="CA30" s="542"/>
      <c r="CB30" s="542"/>
      <c r="CC30" s="542"/>
      <c r="CD30" s="542"/>
      <c r="CE30" s="542"/>
      <c r="CF30" s="542"/>
      <c r="CG30" s="542"/>
      <c r="CH30" s="542"/>
      <c r="CI30" s="542"/>
      <c r="CJ30" s="542"/>
      <c r="CK30" s="542"/>
      <c r="CL30" s="542"/>
      <c r="CM30" s="542"/>
      <c r="CN30" s="542"/>
      <c r="CO30" s="542"/>
      <c r="CP30" s="542"/>
      <c r="CQ30" s="542"/>
      <c r="CR30" s="542"/>
      <c r="CS30" s="542"/>
      <c r="CT30" s="542"/>
      <c r="CU30" s="542"/>
      <c r="CW30" s="151"/>
    </row>
    <row r="31" spans="1:101" s="84" customFormat="1" ht="12.75" customHeight="1" outlineLevel="1" x14ac:dyDescent="0.2">
      <c r="A31" s="18"/>
      <c r="B31" s="18"/>
      <c r="C31" s="87"/>
      <c r="D31" s="53"/>
      <c r="E31" s="53"/>
      <c r="G31" s="245"/>
      <c r="H31" s="245"/>
      <c r="I31" s="245"/>
      <c r="J31" s="245"/>
      <c r="K31" s="245"/>
      <c r="L31" s="247"/>
      <c r="M31" s="245"/>
      <c r="N31" s="245"/>
      <c r="O31" s="245"/>
      <c r="P31" s="245">
        <f t="shared" si="73"/>
        <v>0</v>
      </c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>
        <f t="shared" si="5"/>
        <v>0</v>
      </c>
      <c r="AJ31" s="263"/>
      <c r="AK31" s="263"/>
      <c r="AL31" s="263"/>
      <c r="AM31" s="263"/>
      <c r="AN31" s="263"/>
      <c r="AO31" s="263"/>
      <c r="AP31" s="263"/>
      <c r="AQ31" s="263"/>
      <c r="AR31" s="263"/>
      <c r="AS31" s="263"/>
      <c r="AT31" s="263"/>
      <c r="AU31" s="263"/>
      <c r="AV31" s="263"/>
      <c r="AW31" s="263"/>
      <c r="AX31" s="263"/>
      <c r="AY31" s="263">
        <f t="shared" si="77"/>
        <v>0</v>
      </c>
      <c r="BA31" s="277"/>
      <c r="BB31" s="277"/>
      <c r="BC31" s="277">
        <f t="shared" si="10"/>
        <v>0</v>
      </c>
      <c r="BE31" s="55">
        <f t="shared" si="11"/>
        <v>0</v>
      </c>
      <c r="BF31" s="55"/>
      <c r="BG31" s="18"/>
      <c r="BH31" s="542"/>
      <c r="BI31" s="542"/>
      <c r="BJ31" s="542"/>
      <c r="BK31" s="542"/>
      <c r="BL31" s="542"/>
      <c r="BM31" s="542"/>
      <c r="BN31" s="542"/>
      <c r="BO31" s="542"/>
      <c r="BP31" s="542"/>
      <c r="BQ31" s="542"/>
      <c r="BR31" s="542"/>
      <c r="BS31" s="542"/>
      <c r="BT31" s="542"/>
      <c r="BU31" s="542"/>
      <c r="BV31" s="542"/>
      <c r="BW31" s="542"/>
      <c r="BX31" s="542"/>
      <c r="BY31" s="542"/>
      <c r="BZ31" s="542"/>
      <c r="CA31" s="542"/>
      <c r="CB31" s="542"/>
      <c r="CC31" s="542"/>
      <c r="CD31" s="542"/>
      <c r="CE31" s="542"/>
      <c r="CF31" s="542"/>
      <c r="CG31" s="542"/>
      <c r="CH31" s="542"/>
      <c r="CI31" s="542"/>
      <c r="CJ31" s="542"/>
      <c r="CK31" s="542"/>
      <c r="CL31" s="542"/>
      <c r="CM31" s="542"/>
      <c r="CN31" s="542"/>
      <c r="CO31" s="542"/>
      <c r="CP31" s="542"/>
      <c r="CQ31" s="542"/>
      <c r="CR31" s="542"/>
      <c r="CS31" s="542"/>
      <c r="CT31" s="542"/>
      <c r="CU31" s="542"/>
      <c r="CW31" s="151"/>
    </row>
    <row r="32" spans="1:101" s="550" customFormat="1" ht="12.75" customHeight="1" outlineLevel="1" x14ac:dyDescent="0.2">
      <c r="C32" s="566" t="s">
        <v>945</v>
      </c>
      <c r="D32" s="567" t="s">
        <v>946</v>
      </c>
      <c r="E32" s="567"/>
      <c r="F32" s="882"/>
      <c r="G32" s="333"/>
      <c r="H32" s="333"/>
      <c r="I32" s="333"/>
      <c r="J32" s="333"/>
      <c r="K32" s="333"/>
      <c r="L32" s="334"/>
      <c r="M32" s="333"/>
      <c r="N32" s="333"/>
      <c r="O32" s="333"/>
      <c r="P32" s="333">
        <f t="shared" si="73"/>
        <v>0</v>
      </c>
      <c r="Q32" s="882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>
        <f t="shared" si="5"/>
        <v>0</v>
      </c>
      <c r="AI32" s="882"/>
      <c r="AJ32" s="336"/>
      <c r="AK32" s="336"/>
      <c r="AL32" s="336"/>
      <c r="AM32" s="336"/>
      <c r="AN32" s="336"/>
      <c r="AO32" s="336"/>
      <c r="AP32" s="336"/>
      <c r="AQ32" s="336"/>
      <c r="AR32" s="336"/>
      <c r="AS32" s="336"/>
      <c r="AT32" s="336"/>
      <c r="AU32" s="336"/>
      <c r="AV32" s="336"/>
      <c r="AW32" s="336"/>
      <c r="AX32" s="336"/>
      <c r="AY32" s="336">
        <f t="shared" si="77"/>
        <v>0</v>
      </c>
      <c r="AZ32" s="882"/>
      <c r="BA32" s="337"/>
      <c r="BB32" s="337"/>
      <c r="BC32" s="337">
        <f t="shared" si="10"/>
        <v>0</v>
      </c>
      <c r="BD32" s="882"/>
      <c r="BE32" s="568">
        <f t="shared" si="11"/>
        <v>0</v>
      </c>
      <c r="BF32" s="568"/>
      <c r="BH32" s="888"/>
      <c r="BI32" s="888"/>
      <c r="BJ32" s="888"/>
      <c r="BK32" s="888"/>
      <c r="BL32" s="888"/>
      <c r="BM32" s="888"/>
      <c r="BN32" s="888"/>
      <c r="BO32" s="888"/>
      <c r="BP32" s="888"/>
      <c r="BQ32" s="888"/>
      <c r="BR32" s="888"/>
      <c r="BS32" s="888"/>
      <c r="BT32" s="888"/>
      <c r="BU32" s="888"/>
      <c r="BV32" s="888"/>
      <c r="BW32" s="888"/>
      <c r="BX32" s="888"/>
      <c r="BY32" s="888"/>
      <c r="BZ32" s="888"/>
      <c r="CA32" s="888"/>
      <c r="CB32" s="888"/>
      <c r="CC32" s="888"/>
      <c r="CD32" s="888"/>
      <c r="CE32" s="888"/>
      <c r="CF32" s="888"/>
      <c r="CG32" s="888"/>
      <c r="CH32" s="888"/>
      <c r="CI32" s="888"/>
      <c r="CJ32" s="888"/>
      <c r="CK32" s="888"/>
      <c r="CL32" s="888"/>
      <c r="CM32" s="888"/>
      <c r="CN32" s="888"/>
      <c r="CO32" s="888"/>
      <c r="CP32" s="888"/>
      <c r="CQ32" s="888"/>
      <c r="CR32" s="888"/>
      <c r="CS32" s="888"/>
      <c r="CT32" s="888"/>
      <c r="CU32" s="888"/>
      <c r="CW32" s="887">
        <f t="shared" ref="CW32:CW43" si="78">SUM(BH32:CU32)</f>
        <v>0</v>
      </c>
    </row>
    <row r="33" spans="1:101" s="84" customFormat="1" outlineLevel="1" x14ac:dyDescent="0.2">
      <c r="C33" s="50"/>
      <c r="D33" s="51"/>
      <c r="E33" s="51"/>
      <c r="G33" s="245"/>
      <c r="H33" s="245"/>
      <c r="I33" s="245"/>
      <c r="J33" s="245"/>
      <c r="K33" s="245"/>
      <c r="L33" s="247"/>
      <c r="M33" s="245"/>
      <c r="N33" s="245"/>
      <c r="O33" s="245"/>
      <c r="P33" s="245">
        <f t="shared" si="73"/>
        <v>0</v>
      </c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>
        <f t="shared" si="5"/>
        <v>0</v>
      </c>
      <c r="AJ33" s="263"/>
      <c r="AK33" s="263"/>
      <c r="AL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  <c r="AW33" s="263"/>
      <c r="AX33" s="263"/>
      <c r="AY33" s="263">
        <f t="shared" si="77"/>
        <v>0</v>
      </c>
      <c r="BA33" s="277"/>
      <c r="BB33" s="277"/>
      <c r="BC33" s="277">
        <f t="shared" si="10"/>
        <v>0</v>
      </c>
      <c r="BE33" s="55">
        <f t="shared" si="11"/>
        <v>0</v>
      </c>
      <c r="BF33" s="55"/>
      <c r="BH33" s="542"/>
      <c r="BI33" s="542"/>
      <c r="BJ33" s="542"/>
      <c r="BK33" s="542"/>
      <c r="BL33" s="542"/>
      <c r="BM33" s="542"/>
      <c r="BN33" s="542"/>
      <c r="BO33" s="542"/>
      <c r="BP33" s="542"/>
      <c r="BQ33" s="542"/>
      <c r="BR33" s="542"/>
      <c r="BS33" s="542"/>
      <c r="BT33" s="542"/>
      <c r="BU33" s="542"/>
      <c r="BV33" s="542"/>
      <c r="BW33" s="542"/>
      <c r="BX33" s="542"/>
      <c r="BY33" s="542"/>
      <c r="BZ33" s="542"/>
      <c r="CA33" s="542"/>
      <c r="CB33" s="542"/>
      <c r="CC33" s="542"/>
      <c r="CD33" s="542"/>
      <c r="CE33" s="542"/>
      <c r="CF33" s="542"/>
      <c r="CG33" s="542"/>
      <c r="CH33" s="542"/>
      <c r="CI33" s="542"/>
      <c r="CJ33" s="542"/>
      <c r="CK33" s="542"/>
      <c r="CL33" s="542"/>
      <c r="CM33" s="542"/>
      <c r="CN33" s="542"/>
      <c r="CO33" s="542"/>
      <c r="CP33" s="542"/>
      <c r="CQ33" s="542"/>
      <c r="CR33" s="542"/>
      <c r="CS33" s="542"/>
      <c r="CT33" s="542"/>
      <c r="CU33" s="542"/>
      <c r="CW33" s="151">
        <f t="shared" si="78"/>
        <v>0</v>
      </c>
    </row>
    <row r="34" spans="1:101" s="84" customFormat="1" outlineLevel="1" x14ac:dyDescent="0.2">
      <c r="A34" s="543"/>
      <c r="B34" s="543"/>
      <c r="C34" s="86" t="s">
        <v>402</v>
      </c>
      <c r="D34" s="61" t="str">
        <f>INDEX(Modules[Module], MATCH($C34, Modules[Code], 0))</f>
        <v>Volume of Waste &amp; Recycling</v>
      </c>
      <c r="E34" s="61"/>
      <c r="G34" s="297">
        <f t="shared" ref="G34:O34" ca="1" si="79">IFERROR(INDEX(INDIRECT($C34&amp;".Outputs["&amp;this.Year&amp;"]"), MATCH(G$5, INDIRECT($C34&amp;".Outputs[Vector]"), 0)), 0)</f>
        <v>0</v>
      </c>
      <c r="H34" s="297">
        <f t="shared" ca="1" si="79"/>
        <v>0</v>
      </c>
      <c r="I34" s="297">
        <f t="shared" ca="1" si="79"/>
        <v>0</v>
      </c>
      <c r="J34" s="297">
        <f t="shared" ca="1" si="79"/>
        <v>0</v>
      </c>
      <c r="K34" s="297">
        <f t="shared" ca="1" si="79"/>
        <v>0</v>
      </c>
      <c r="L34" s="297">
        <f t="shared" ca="1" si="79"/>
        <v>0</v>
      </c>
      <c r="M34" s="297">
        <f t="shared" ca="1" si="79"/>
        <v>0</v>
      </c>
      <c r="N34" s="297">
        <f t="shared" ca="1" si="79"/>
        <v>0</v>
      </c>
      <c r="O34" s="297">
        <f t="shared" ca="1" si="79"/>
        <v>0</v>
      </c>
      <c r="P34" s="297">
        <f t="shared" ca="1" si="73"/>
        <v>0</v>
      </c>
      <c r="R34" s="304">
        <f t="shared" ref="R34:AX34" ca="1" si="80">IFERROR(INDEX(INDIRECT($C34&amp;".Outputs["&amp;this.Year&amp;"]"), MATCH(R$5, INDIRECT($C34&amp;".Outputs[Vector]"), 0)), 0)</f>
        <v>0</v>
      </c>
      <c r="S34" s="304">
        <f t="shared" ca="1" si="80"/>
        <v>0</v>
      </c>
      <c r="T34" s="304">
        <f t="shared" ca="1" si="80"/>
        <v>0</v>
      </c>
      <c r="U34" s="304">
        <f t="shared" ca="1" si="80"/>
        <v>0</v>
      </c>
      <c r="V34" s="304">
        <f t="shared" ca="1" si="80"/>
        <v>0</v>
      </c>
      <c r="W34" s="304">
        <f t="shared" ca="1" si="80"/>
        <v>0</v>
      </c>
      <c r="X34" s="304">
        <f t="shared" ref="X34:Z35" ca="1" si="81">IFERROR(INDEX(INDIRECT($C34&amp;".Outputs["&amp;this.Year&amp;"]"), MATCH(X$5, INDIRECT($C34&amp;".Outputs[Vector]"), 0)), 0)</f>
        <v>3.9235886666666668</v>
      </c>
      <c r="Y34" s="304">
        <f t="shared" ca="1" si="81"/>
        <v>0</v>
      </c>
      <c r="Z34" s="304">
        <f t="shared" ca="1" si="81"/>
        <v>0</v>
      </c>
      <c r="AA34" s="304">
        <f t="shared" ca="1" si="80"/>
        <v>0</v>
      </c>
      <c r="AB34" s="304">
        <f t="shared" ca="1" si="80"/>
        <v>0</v>
      </c>
      <c r="AC34" s="304">
        <f t="shared" ca="1" si="80"/>
        <v>0</v>
      </c>
      <c r="AD34" s="304">
        <f t="shared" ca="1" si="80"/>
        <v>0</v>
      </c>
      <c r="AE34" s="304">
        <f t="shared" ca="1" si="80"/>
        <v>6.5047391911111117</v>
      </c>
      <c r="AF34" s="304">
        <f t="shared" ca="1" si="80"/>
        <v>4.0706760126419077</v>
      </c>
      <c r="AG34" s="304">
        <f t="shared" ca="1" si="80"/>
        <v>12.32445930299996</v>
      </c>
      <c r="AH34" s="305">
        <f t="shared" ca="1" si="5"/>
        <v>26.823463173419647</v>
      </c>
      <c r="AJ34" s="312">
        <f t="shared" ref="AJ34:AR35" ca="1" si="82">IFERROR(INDEX(INDIRECT($C34&amp;".Outputs["&amp;this.Year&amp;"]"), MATCH(AJ$5, INDIRECT($C34&amp;".Outputs[Vector]"), 0)), 0)</f>
        <v>0</v>
      </c>
      <c r="AK34" s="312">
        <f t="shared" ca="1" si="82"/>
        <v>0</v>
      </c>
      <c r="AL34" s="312">
        <f t="shared" ca="1" si="82"/>
        <v>0</v>
      </c>
      <c r="AM34" s="312">
        <f t="shared" ca="1" si="82"/>
        <v>0</v>
      </c>
      <c r="AN34" s="312">
        <f t="shared" ca="1" si="82"/>
        <v>0</v>
      </c>
      <c r="AO34" s="312">
        <f t="shared" ca="1" si="82"/>
        <v>0</v>
      </c>
      <c r="AP34" s="312">
        <f t="shared" ca="1" si="82"/>
        <v>0</v>
      </c>
      <c r="AQ34" s="312">
        <f t="shared" ca="1" si="82"/>
        <v>0</v>
      </c>
      <c r="AR34" s="312">
        <f t="shared" ca="1" si="82"/>
        <v>0</v>
      </c>
      <c r="AS34" s="312">
        <f t="shared" ca="1" si="80"/>
        <v>0</v>
      </c>
      <c r="AT34" s="312">
        <f t="shared" ca="1" si="80"/>
        <v>0</v>
      </c>
      <c r="AU34" s="312">
        <f t="shared" ca="1" si="80"/>
        <v>0</v>
      </c>
      <c r="AV34" s="312">
        <f t="shared" ca="1" si="80"/>
        <v>0</v>
      </c>
      <c r="AW34" s="312">
        <f t="shared" ca="1" si="80"/>
        <v>0</v>
      </c>
      <c r="AX34" s="312">
        <f t="shared" ca="1" si="80"/>
        <v>-26.823463173419647</v>
      </c>
      <c r="AY34" s="266">
        <f t="shared" ca="1" si="77"/>
        <v>-26.823463173419647</v>
      </c>
      <c r="BA34" s="308">
        <f t="shared" ref="BA34:BB35" ca="1" si="83">IFERROR(INDEX(INDIRECT($C34&amp;".Outputs["&amp;this.Year&amp;"]"), MATCH(BA$5, INDIRECT($C34&amp;".Outputs[Vector]"), 0)), 0)</f>
        <v>0</v>
      </c>
      <c r="BB34" s="308">
        <f t="shared" ca="1" si="83"/>
        <v>0</v>
      </c>
      <c r="BC34" s="309">
        <f t="shared" ca="1" si="10"/>
        <v>0</v>
      </c>
      <c r="BE34" s="135"/>
      <c r="BF34" s="135"/>
      <c r="BG34" s="153"/>
      <c r="BH34" s="541">
        <f t="shared" ref="BH34:BQ35" ca="1" si="84">IFERROR(SUMIFS(INDIRECT($C34&amp;".Emissions["&amp;this.Year&amp;"]"), INDIRECT($C34&amp;".Emissions[GHG]"), BH$6, INDIRECT($C34&amp;".Emissions[IPCC Sector]"), BH$5),0)</f>
        <v>0</v>
      </c>
      <c r="BI34" s="542">
        <f t="shared" ca="1" si="84"/>
        <v>0</v>
      </c>
      <c r="BJ34" s="542">
        <f t="shared" ca="1" si="84"/>
        <v>0</v>
      </c>
      <c r="BK34" s="542">
        <f t="shared" ca="1" si="84"/>
        <v>0</v>
      </c>
      <c r="BL34" s="542">
        <f t="shared" ca="1" si="84"/>
        <v>0</v>
      </c>
      <c r="BM34" s="542">
        <f t="shared" ca="1" si="84"/>
        <v>0</v>
      </c>
      <c r="BN34" s="542">
        <f t="shared" ca="1" si="84"/>
        <v>0</v>
      </c>
      <c r="BO34" s="542">
        <f t="shared" ca="1" si="84"/>
        <v>0</v>
      </c>
      <c r="BP34" s="542">
        <f t="shared" ca="1" si="84"/>
        <v>0</v>
      </c>
      <c r="BQ34" s="542">
        <f t="shared" ca="1" si="84"/>
        <v>0</v>
      </c>
      <c r="BR34" s="542">
        <f t="shared" ref="BR34:CA35" ca="1" si="85">IFERROR(SUMIFS(INDIRECT($C34&amp;".Emissions["&amp;this.Year&amp;"]"), INDIRECT($C34&amp;".Emissions[GHG]"), BR$6, INDIRECT($C34&amp;".Emissions[IPCC Sector]"), BR$5),0)</f>
        <v>0</v>
      </c>
      <c r="BS34" s="542">
        <f t="shared" ca="1" si="85"/>
        <v>0</v>
      </c>
      <c r="BT34" s="542">
        <f t="shared" ca="1" si="85"/>
        <v>0</v>
      </c>
      <c r="BU34" s="542">
        <f t="shared" ca="1" si="85"/>
        <v>0</v>
      </c>
      <c r="BV34" s="542">
        <f t="shared" ca="1" si="85"/>
        <v>0</v>
      </c>
      <c r="BW34" s="542">
        <f t="shared" ca="1" si="85"/>
        <v>0</v>
      </c>
      <c r="BX34" s="542">
        <f t="shared" ca="1" si="85"/>
        <v>0</v>
      </c>
      <c r="BY34" s="542">
        <f t="shared" ca="1" si="85"/>
        <v>0</v>
      </c>
      <c r="BZ34" s="542">
        <f t="shared" ca="1" si="85"/>
        <v>0</v>
      </c>
      <c r="CA34" s="542">
        <f t="shared" ca="1" si="85"/>
        <v>0</v>
      </c>
      <c r="CB34" s="542">
        <f t="shared" ref="CB34:CK35" ca="1" si="86">IFERROR(SUMIFS(INDIRECT($C34&amp;".Emissions["&amp;this.Year&amp;"]"), INDIRECT($C34&amp;".Emissions[GHG]"), CB$6, INDIRECT($C34&amp;".Emissions[IPCC Sector]"), CB$5),0)</f>
        <v>0</v>
      </c>
      <c r="CC34" s="542">
        <f t="shared" ca="1" si="86"/>
        <v>0</v>
      </c>
      <c r="CD34" s="542">
        <f t="shared" ca="1" si="86"/>
        <v>0</v>
      </c>
      <c r="CE34" s="542">
        <f t="shared" ca="1" si="86"/>
        <v>0</v>
      </c>
      <c r="CF34" s="542">
        <f t="shared" ca="1" si="86"/>
        <v>0</v>
      </c>
      <c r="CG34" s="542">
        <f t="shared" ca="1" si="86"/>
        <v>13.121211328991082</v>
      </c>
      <c r="CH34" s="542">
        <f t="shared" ca="1" si="86"/>
        <v>0</v>
      </c>
      <c r="CI34" s="542">
        <f t="shared" ca="1" si="86"/>
        <v>0</v>
      </c>
      <c r="CJ34" s="542">
        <f t="shared" ca="1" si="86"/>
        <v>0</v>
      </c>
      <c r="CK34" s="542">
        <f t="shared" ca="1" si="86"/>
        <v>0</v>
      </c>
      <c r="CL34" s="542">
        <f t="shared" ref="CL34:CU35" ca="1" si="87">IFERROR(SUMIFS(INDIRECT($C34&amp;".Emissions["&amp;this.Year&amp;"]"), INDIRECT($C34&amp;".Emissions[GHG]"), CL$6, INDIRECT($C34&amp;".Emissions[IPCC Sector]"), CL$5),0)</f>
        <v>0</v>
      </c>
      <c r="CM34" s="542">
        <f t="shared" ca="1" si="87"/>
        <v>0</v>
      </c>
      <c r="CN34" s="542">
        <f t="shared" ca="1" si="87"/>
        <v>0</v>
      </c>
      <c r="CO34" s="542">
        <f t="shared" ca="1" si="87"/>
        <v>0</v>
      </c>
      <c r="CP34" s="542">
        <f t="shared" ca="1" si="87"/>
        <v>0</v>
      </c>
      <c r="CQ34" s="542">
        <f t="shared" ca="1" si="87"/>
        <v>0</v>
      </c>
      <c r="CR34" s="542">
        <f t="shared" ca="1" si="87"/>
        <v>0</v>
      </c>
      <c r="CS34" s="542">
        <f t="shared" ca="1" si="87"/>
        <v>0</v>
      </c>
      <c r="CT34" s="542">
        <f t="shared" ca="1" si="87"/>
        <v>0</v>
      </c>
      <c r="CU34" s="542">
        <f t="shared" ca="1" si="87"/>
        <v>0</v>
      </c>
      <c r="CW34" s="151">
        <f t="shared" ca="1" si="78"/>
        <v>13.121211328991082</v>
      </c>
    </row>
    <row r="35" spans="1:101" s="84" customFormat="1" ht="12.75" customHeight="1" outlineLevel="1" x14ac:dyDescent="0.2">
      <c r="A35" s="543"/>
      <c r="B35" s="543"/>
      <c r="C35" s="86" t="s">
        <v>380</v>
      </c>
      <c r="D35" s="292" t="str">
        <f>INDEX(Modules[Module], MATCH($C35, Modules[Code], 0))</f>
        <v>Agriculture and land use</v>
      </c>
      <c r="E35" s="292"/>
      <c r="G35" s="301">
        <f t="shared" ref="G35:O35" ca="1" si="88">IFERROR(INDEX(INDIRECT($C35&amp;".Outputs["&amp;this.Year&amp;"]"), MATCH(G$5, INDIRECT($C35&amp;".Outputs[Vector]"), 0)), 0)</f>
        <v>0</v>
      </c>
      <c r="H35" s="301">
        <f t="shared" ca="1" si="88"/>
        <v>0</v>
      </c>
      <c r="I35" s="301">
        <f t="shared" ca="1" si="88"/>
        <v>0</v>
      </c>
      <c r="J35" s="301">
        <f t="shared" ca="1" si="88"/>
        <v>10.43211</v>
      </c>
      <c r="K35" s="301">
        <f t="shared" ca="1" si="88"/>
        <v>0</v>
      </c>
      <c r="L35" s="301">
        <f t="shared" ca="1" si="88"/>
        <v>0</v>
      </c>
      <c r="M35" s="301">
        <f t="shared" ca="1" si="88"/>
        <v>0</v>
      </c>
      <c r="N35" s="301">
        <f t="shared" ca="1" si="88"/>
        <v>0</v>
      </c>
      <c r="O35" s="301">
        <f t="shared" ca="1" si="88"/>
        <v>0</v>
      </c>
      <c r="P35" s="301">
        <f t="shared" ca="1" si="73"/>
        <v>10.43211</v>
      </c>
      <c r="R35" s="307">
        <f t="shared" ref="R35:AG35" ca="1" si="89">IFERROR(INDEX(INDIRECT($C35&amp;".Outputs["&amp;this.Year&amp;"]"), MATCH(R$5, INDIRECT($C35&amp;".Outputs[Vector]"), 0)), 0)</f>
        <v>-1.24142109</v>
      </c>
      <c r="S35" s="307">
        <f t="shared" ca="1" si="89"/>
        <v>0</v>
      </c>
      <c r="T35" s="307">
        <f t="shared" ca="1" si="89"/>
        <v>-1.043211E-2</v>
      </c>
      <c r="U35" s="307">
        <f t="shared" ca="1" si="89"/>
        <v>-1.9821009000000001</v>
      </c>
      <c r="V35" s="307">
        <f t="shared" ca="1" si="89"/>
        <v>-0.93888989999999994</v>
      </c>
      <c r="W35" s="307">
        <f t="shared" ca="1" si="89"/>
        <v>-6.2592659999999993</v>
      </c>
      <c r="X35" s="307">
        <f t="shared" ca="1" si="81"/>
        <v>0</v>
      </c>
      <c r="Y35" s="307">
        <f t="shared" ca="1" si="81"/>
        <v>0</v>
      </c>
      <c r="Z35" s="307">
        <f t="shared" ca="1" si="81"/>
        <v>0</v>
      </c>
      <c r="AA35" s="307">
        <f t="shared" ca="1" si="89"/>
        <v>0</v>
      </c>
      <c r="AB35" s="307">
        <f t="shared" ca="1" si="89"/>
        <v>0</v>
      </c>
      <c r="AC35" s="307">
        <f t="shared" ca="1" si="89"/>
        <v>1662.4488171111111</v>
      </c>
      <c r="AD35" s="307">
        <f t="shared" ca="1" si="89"/>
        <v>10.777293333333335</v>
      </c>
      <c r="AE35" s="307">
        <f t="shared" ca="1" si="89"/>
        <v>25.913232013333335</v>
      </c>
      <c r="AF35" s="307">
        <f t="shared" ca="1" si="89"/>
        <v>4.8605468333333341</v>
      </c>
      <c r="AG35" s="307">
        <f t="shared" ca="1" si="89"/>
        <v>0</v>
      </c>
      <c r="AH35" s="306">
        <f t="shared" ca="1" si="5"/>
        <v>1693.567779291111</v>
      </c>
      <c r="AJ35" s="315">
        <f t="shared" ca="1" si="82"/>
        <v>0</v>
      </c>
      <c r="AK35" s="315">
        <f t="shared" ca="1" si="82"/>
        <v>0</v>
      </c>
      <c r="AL35" s="315">
        <f t="shared" ca="1" si="82"/>
        <v>0</v>
      </c>
      <c r="AM35" s="315">
        <f t="shared" ca="1" si="82"/>
        <v>0</v>
      </c>
      <c r="AN35" s="315">
        <f t="shared" ca="1" si="82"/>
        <v>0</v>
      </c>
      <c r="AO35" s="315">
        <f t="shared" ca="1" si="82"/>
        <v>0</v>
      </c>
      <c r="AP35" s="315">
        <f t="shared" ca="1" si="82"/>
        <v>0</v>
      </c>
      <c r="AQ35" s="315">
        <f t="shared" ca="1" si="82"/>
        <v>0</v>
      </c>
      <c r="AR35" s="315">
        <f t="shared" ca="1" si="82"/>
        <v>0</v>
      </c>
      <c r="AS35" s="315">
        <f t="shared" ref="AS35:AX35" ca="1" si="90">IFERROR(INDEX(INDIRECT($C35&amp;".Outputs["&amp;this.Year&amp;"]"), MATCH(AS$5, INDIRECT($C35&amp;".Outputs[Vector]"), 0)), 0)</f>
        <v>0</v>
      </c>
      <c r="AT35" s="315">
        <f t="shared" ca="1" si="90"/>
        <v>0</v>
      </c>
      <c r="AU35" s="315">
        <f t="shared" ca="1" si="90"/>
        <v>0</v>
      </c>
      <c r="AV35" s="315">
        <f t="shared" ca="1" si="90"/>
        <v>0</v>
      </c>
      <c r="AW35" s="315">
        <f t="shared" ca="1" si="90"/>
        <v>-1673.2261104444444</v>
      </c>
      <c r="AX35" s="315">
        <f t="shared" ca="1" si="90"/>
        <v>-30.773778846666669</v>
      </c>
      <c r="AY35" s="293">
        <f t="shared" ca="1" si="77"/>
        <v>-1703.999889291111</v>
      </c>
      <c r="BA35" s="311">
        <f t="shared" ca="1" si="83"/>
        <v>0</v>
      </c>
      <c r="BB35" s="311">
        <f t="shared" ca="1" si="83"/>
        <v>0</v>
      </c>
      <c r="BC35" s="310">
        <f t="shared" ca="1" si="10"/>
        <v>0</v>
      </c>
      <c r="BE35" s="135">
        <f ca="1">P35+AH35+AY35+BC35</f>
        <v>0</v>
      </c>
      <c r="BF35" s="135"/>
      <c r="BG35" s="153"/>
      <c r="BH35" s="544">
        <f t="shared" ca="1" si="84"/>
        <v>0.67149405648000005</v>
      </c>
      <c r="BI35" s="545">
        <f t="shared" ca="1" si="84"/>
        <v>9.726522609162327E-4</v>
      </c>
      <c r="BJ35" s="545">
        <f t="shared" ca="1" si="84"/>
        <v>9.3164252483727804E-3</v>
      </c>
      <c r="BK35" s="545">
        <f t="shared" ca="1" si="84"/>
        <v>0</v>
      </c>
      <c r="BL35" s="545">
        <f t="shared" ca="1" si="84"/>
        <v>0</v>
      </c>
      <c r="BM35" s="545">
        <f t="shared" ca="1" si="84"/>
        <v>0</v>
      </c>
      <c r="BN35" s="545">
        <f t="shared" ca="1" si="84"/>
        <v>0</v>
      </c>
      <c r="BO35" s="545">
        <f t="shared" ca="1" si="84"/>
        <v>0</v>
      </c>
      <c r="BP35" s="545">
        <f t="shared" ca="1" si="84"/>
        <v>0</v>
      </c>
      <c r="BQ35" s="545">
        <f t="shared" ca="1" si="84"/>
        <v>0</v>
      </c>
      <c r="BR35" s="545">
        <f t="shared" ca="1" si="85"/>
        <v>0</v>
      </c>
      <c r="BS35" s="545">
        <f t="shared" ca="1" si="85"/>
        <v>0</v>
      </c>
      <c r="BT35" s="545">
        <f t="shared" ca="1" si="85"/>
        <v>0</v>
      </c>
      <c r="BU35" s="545">
        <f t="shared" ca="1" si="85"/>
        <v>0</v>
      </c>
      <c r="BV35" s="545">
        <f t="shared" ca="1" si="85"/>
        <v>0</v>
      </c>
      <c r="BW35" s="545">
        <f t="shared" ca="1" si="85"/>
        <v>0</v>
      </c>
      <c r="BX35" s="545">
        <f t="shared" ca="1" si="85"/>
        <v>0</v>
      </c>
      <c r="BY35" s="545">
        <f t="shared" ca="1" si="85"/>
        <v>0</v>
      </c>
      <c r="BZ35" s="545">
        <f t="shared" ca="1" si="85"/>
        <v>23.28</v>
      </c>
      <c r="CA35" s="545">
        <f t="shared" ca="1" si="85"/>
        <v>0</v>
      </c>
      <c r="CB35" s="545">
        <f t="shared" ca="1" si="86"/>
        <v>1.902062868</v>
      </c>
      <c r="CC35" s="545">
        <f t="shared" ca="1" si="86"/>
        <v>0</v>
      </c>
      <c r="CD35" s="545">
        <f t="shared" ca="1" si="86"/>
        <v>0</v>
      </c>
      <c r="CE35" s="545">
        <f t="shared" ca="1" si="86"/>
        <v>0</v>
      </c>
      <c r="CF35" s="545">
        <f t="shared" ca="1" si="86"/>
        <v>0</v>
      </c>
      <c r="CG35" s="545">
        <f t="shared" ca="1" si="86"/>
        <v>0</v>
      </c>
      <c r="CH35" s="545">
        <f t="shared" ca="1" si="86"/>
        <v>0</v>
      </c>
      <c r="CI35" s="545">
        <f t="shared" ca="1" si="86"/>
        <v>0</v>
      </c>
      <c r="CJ35" s="545">
        <f t="shared" ca="1" si="86"/>
        <v>0</v>
      </c>
      <c r="CK35" s="545">
        <f t="shared" ca="1" si="86"/>
        <v>0</v>
      </c>
      <c r="CL35" s="545">
        <f t="shared" ca="1" si="87"/>
        <v>0</v>
      </c>
      <c r="CM35" s="545">
        <f t="shared" ca="1" si="87"/>
        <v>0</v>
      </c>
      <c r="CN35" s="545">
        <f t="shared" ca="1" si="87"/>
        <v>0</v>
      </c>
      <c r="CO35" s="545">
        <f t="shared" ca="1" si="87"/>
        <v>0</v>
      </c>
      <c r="CP35" s="545">
        <f t="shared" ca="1" si="87"/>
        <v>0</v>
      </c>
      <c r="CQ35" s="545">
        <f t="shared" ca="1" si="87"/>
        <v>0</v>
      </c>
      <c r="CR35" s="545">
        <f t="shared" ca="1" si="87"/>
        <v>0</v>
      </c>
      <c r="CS35" s="545">
        <f t="shared" ca="1" si="87"/>
        <v>0</v>
      </c>
      <c r="CT35" s="545">
        <f t="shared" ca="1" si="87"/>
        <v>0</v>
      </c>
      <c r="CU35" s="545">
        <f t="shared" ca="1" si="87"/>
        <v>0</v>
      </c>
      <c r="CW35" s="151">
        <f t="shared" ca="1" si="78"/>
        <v>25.863846001989291</v>
      </c>
    </row>
    <row r="36" spans="1:101" s="84" customFormat="1" ht="15.75" x14ac:dyDescent="0.2">
      <c r="A36" s="18"/>
      <c r="B36" s="89"/>
      <c r="C36" s="85" t="s">
        <v>225</v>
      </c>
      <c r="D36" s="57" t="str">
        <f>INDEX(Workstreams[Workstream], MATCH($C36, Workstreams[Code], 0))</f>
        <v>Agriculture &amp; waste</v>
      </c>
      <c r="E36" s="53"/>
      <c r="G36" s="300">
        <f t="shared" ref="G36:N36" ca="1" si="91">SUM(G34:G35)</f>
        <v>0</v>
      </c>
      <c r="H36" s="300">
        <f t="shared" ca="1" si="91"/>
        <v>0</v>
      </c>
      <c r="I36" s="300">
        <f t="shared" ca="1" si="91"/>
        <v>0</v>
      </c>
      <c r="J36" s="300">
        <f t="shared" ca="1" si="91"/>
        <v>10.43211</v>
      </c>
      <c r="K36" s="300">
        <f t="shared" ca="1" si="91"/>
        <v>0</v>
      </c>
      <c r="L36" s="300">
        <f t="shared" ca="1" si="91"/>
        <v>0</v>
      </c>
      <c r="M36" s="300">
        <f t="shared" ca="1" si="91"/>
        <v>0</v>
      </c>
      <c r="N36" s="300">
        <f t="shared" ca="1" si="91"/>
        <v>0</v>
      </c>
      <c r="O36" s="300">
        <f t="shared" ref="O36" ca="1" si="92">SUM(O34:O35)</f>
        <v>0</v>
      </c>
      <c r="P36" s="300">
        <f t="shared" ca="1" si="73"/>
        <v>10.43211</v>
      </c>
      <c r="R36" s="257">
        <f t="shared" ref="R36:AG36" ca="1" si="93">SUM(R34:R35)</f>
        <v>-1.24142109</v>
      </c>
      <c r="S36" s="257">
        <f t="shared" ca="1" si="93"/>
        <v>0</v>
      </c>
      <c r="T36" s="257">
        <f t="shared" ca="1" si="93"/>
        <v>-1.043211E-2</v>
      </c>
      <c r="U36" s="257">
        <f t="shared" ca="1" si="93"/>
        <v>-1.9821009000000001</v>
      </c>
      <c r="V36" s="257">
        <f t="shared" ca="1" si="93"/>
        <v>-0.93888989999999994</v>
      </c>
      <c r="W36" s="257">
        <f t="shared" ca="1" si="93"/>
        <v>-6.2592659999999993</v>
      </c>
      <c r="X36" s="257">
        <f t="shared" ca="1" si="93"/>
        <v>3.9235886666666668</v>
      </c>
      <c r="Y36" s="257">
        <f t="shared" ca="1" si="93"/>
        <v>0</v>
      </c>
      <c r="Z36" s="257">
        <f t="shared" ca="1" si="93"/>
        <v>0</v>
      </c>
      <c r="AA36" s="257">
        <f t="shared" ca="1" si="93"/>
        <v>0</v>
      </c>
      <c r="AB36" s="257">
        <f t="shared" ca="1" si="93"/>
        <v>0</v>
      </c>
      <c r="AC36" s="257">
        <f t="shared" ca="1" si="93"/>
        <v>1662.4488171111111</v>
      </c>
      <c r="AD36" s="257">
        <f t="shared" ca="1" si="93"/>
        <v>10.777293333333335</v>
      </c>
      <c r="AE36" s="257">
        <f t="shared" ca="1" si="93"/>
        <v>32.417971204444449</v>
      </c>
      <c r="AF36" s="257">
        <f t="shared" ca="1" si="93"/>
        <v>8.9312228459752419</v>
      </c>
      <c r="AG36" s="257">
        <f t="shared" ca="1" si="93"/>
        <v>12.32445930299996</v>
      </c>
      <c r="AH36" s="257">
        <f t="shared" ca="1" si="5"/>
        <v>1720.3912424645307</v>
      </c>
      <c r="AJ36" s="263">
        <f t="shared" ref="AJ36:AX36" ca="1" si="94">SUM(AJ34:AJ35)</f>
        <v>0</v>
      </c>
      <c r="AK36" s="263">
        <f t="shared" ca="1" si="94"/>
        <v>0</v>
      </c>
      <c r="AL36" s="263">
        <f t="shared" ca="1" si="94"/>
        <v>0</v>
      </c>
      <c r="AM36" s="263">
        <f t="shared" ca="1" si="94"/>
        <v>0</v>
      </c>
      <c r="AN36" s="263">
        <f t="shared" ca="1" si="94"/>
        <v>0</v>
      </c>
      <c r="AO36" s="263">
        <f t="shared" ca="1" si="94"/>
        <v>0</v>
      </c>
      <c r="AP36" s="263">
        <f t="shared" ca="1" si="94"/>
        <v>0</v>
      </c>
      <c r="AQ36" s="263">
        <f t="shared" ca="1" si="94"/>
        <v>0</v>
      </c>
      <c r="AR36" s="263">
        <f t="shared" ca="1" si="94"/>
        <v>0</v>
      </c>
      <c r="AS36" s="263">
        <f t="shared" ca="1" si="94"/>
        <v>0</v>
      </c>
      <c r="AT36" s="263">
        <f t="shared" ca="1" si="94"/>
        <v>0</v>
      </c>
      <c r="AU36" s="263">
        <f t="shared" ca="1" si="94"/>
        <v>0</v>
      </c>
      <c r="AV36" s="263">
        <f t="shared" ca="1" si="94"/>
        <v>0</v>
      </c>
      <c r="AW36" s="263">
        <f t="shared" ca="1" si="94"/>
        <v>-1673.2261104444444</v>
      </c>
      <c r="AX36" s="263">
        <f t="shared" ca="1" si="94"/>
        <v>-57.597242020086313</v>
      </c>
      <c r="AY36" s="263">
        <f t="shared" ca="1" si="77"/>
        <v>-1730.8233524645307</v>
      </c>
      <c r="BA36" s="277">
        <f ca="1">SUM(BA34:BA35)</f>
        <v>0</v>
      </c>
      <c r="BB36" s="277">
        <f ca="1">SUM(BB34:BB35)</f>
        <v>0</v>
      </c>
      <c r="BC36" s="277">
        <f t="shared" ca="1" si="10"/>
        <v>0</v>
      </c>
      <c r="BE36" s="55">
        <f ca="1">P36+AH36+AY36+BC36</f>
        <v>0</v>
      </c>
      <c r="BF36" s="55"/>
      <c r="BG36" s="153"/>
      <c r="BH36" s="542">
        <f t="shared" ref="BH36:CU36" ca="1" si="95">SUM(BH34:BH35)</f>
        <v>0.67149405648000005</v>
      </c>
      <c r="BI36" s="542">
        <f t="shared" ca="1" si="95"/>
        <v>9.726522609162327E-4</v>
      </c>
      <c r="BJ36" s="542">
        <f t="shared" ca="1" si="95"/>
        <v>9.3164252483727804E-3</v>
      </c>
      <c r="BK36" s="542">
        <f t="shared" ca="1" si="95"/>
        <v>0</v>
      </c>
      <c r="BL36" s="542">
        <f t="shared" ca="1" si="95"/>
        <v>0</v>
      </c>
      <c r="BM36" s="542">
        <f t="shared" ca="1" si="95"/>
        <v>0</v>
      </c>
      <c r="BN36" s="542">
        <f t="shared" ca="1" si="95"/>
        <v>0</v>
      </c>
      <c r="BO36" s="542">
        <f t="shared" ca="1" si="95"/>
        <v>0</v>
      </c>
      <c r="BP36" s="542">
        <f t="shared" ca="1" si="95"/>
        <v>0</v>
      </c>
      <c r="BQ36" s="542">
        <f t="shared" ca="1" si="95"/>
        <v>0</v>
      </c>
      <c r="BR36" s="542">
        <f t="shared" ca="1" si="95"/>
        <v>0</v>
      </c>
      <c r="BS36" s="542">
        <f t="shared" ca="1" si="95"/>
        <v>0</v>
      </c>
      <c r="BT36" s="542">
        <f t="shared" ca="1" si="95"/>
        <v>0</v>
      </c>
      <c r="BU36" s="542">
        <f t="shared" ca="1" si="95"/>
        <v>0</v>
      </c>
      <c r="BV36" s="542">
        <f t="shared" ca="1" si="95"/>
        <v>0</v>
      </c>
      <c r="BW36" s="542">
        <f t="shared" ca="1" si="95"/>
        <v>0</v>
      </c>
      <c r="BX36" s="542">
        <f t="shared" ca="1" si="95"/>
        <v>0</v>
      </c>
      <c r="BY36" s="542">
        <f t="shared" ca="1" si="95"/>
        <v>0</v>
      </c>
      <c r="BZ36" s="542">
        <f t="shared" ca="1" si="95"/>
        <v>23.28</v>
      </c>
      <c r="CA36" s="542">
        <f t="shared" ca="1" si="95"/>
        <v>0</v>
      </c>
      <c r="CB36" s="542">
        <f t="shared" ca="1" si="95"/>
        <v>1.902062868</v>
      </c>
      <c r="CC36" s="542">
        <f t="shared" ca="1" si="95"/>
        <v>0</v>
      </c>
      <c r="CD36" s="542">
        <f t="shared" ca="1" si="95"/>
        <v>0</v>
      </c>
      <c r="CE36" s="542">
        <f t="shared" ca="1" si="95"/>
        <v>0</v>
      </c>
      <c r="CF36" s="542">
        <f t="shared" ca="1" si="95"/>
        <v>0</v>
      </c>
      <c r="CG36" s="542">
        <f t="shared" ca="1" si="95"/>
        <v>13.121211328991082</v>
      </c>
      <c r="CH36" s="542">
        <f t="shared" ca="1" si="95"/>
        <v>0</v>
      </c>
      <c r="CI36" s="542">
        <f t="shared" ca="1" si="95"/>
        <v>0</v>
      </c>
      <c r="CJ36" s="542">
        <f t="shared" ca="1" si="95"/>
        <v>0</v>
      </c>
      <c r="CK36" s="542">
        <f t="shared" ca="1" si="95"/>
        <v>0</v>
      </c>
      <c r="CL36" s="542">
        <f t="shared" ca="1" si="95"/>
        <v>0</v>
      </c>
      <c r="CM36" s="542">
        <f t="shared" ca="1" si="95"/>
        <v>0</v>
      </c>
      <c r="CN36" s="542">
        <f t="shared" ca="1" si="95"/>
        <v>0</v>
      </c>
      <c r="CO36" s="542">
        <f t="shared" ca="1" si="95"/>
        <v>0</v>
      </c>
      <c r="CP36" s="542">
        <f t="shared" ca="1" si="95"/>
        <v>0</v>
      </c>
      <c r="CQ36" s="542">
        <f t="shared" ca="1" si="95"/>
        <v>0</v>
      </c>
      <c r="CR36" s="542">
        <f t="shared" ca="1" si="95"/>
        <v>0</v>
      </c>
      <c r="CS36" s="542">
        <f t="shared" ca="1" si="95"/>
        <v>0</v>
      </c>
      <c r="CT36" s="542">
        <f t="shared" ca="1" si="95"/>
        <v>0</v>
      </c>
      <c r="CU36" s="542">
        <f t="shared" ca="1" si="95"/>
        <v>0</v>
      </c>
      <c r="CW36" s="151">
        <f t="shared" ca="1" si="78"/>
        <v>38.985057330980375</v>
      </c>
    </row>
    <row r="37" spans="1:101" s="84" customFormat="1" ht="12.75" customHeight="1" outlineLevel="1" x14ac:dyDescent="0.2">
      <c r="A37" s="18"/>
      <c r="B37" s="18"/>
      <c r="C37" s="87"/>
      <c r="D37" s="53"/>
      <c r="E37" s="53"/>
      <c r="G37" s="245"/>
      <c r="H37" s="245"/>
      <c r="I37" s="245"/>
      <c r="J37" s="245"/>
      <c r="K37" s="245"/>
      <c r="L37" s="247"/>
      <c r="M37" s="245"/>
      <c r="N37" s="245"/>
      <c r="O37" s="245"/>
      <c r="P37" s="245">
        <f t="shared" si="73"/>
        <v>0</v>
      </c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>
        <f t="shared" si="5"/>
        <v>0</v>
      </c>
      <c r="AJ37" s="263"/>
      <c r="AK37" s="263"/>
      <c r="AL37" s="263"/>
      <c r="AM37" s="263"/>
      <c r="AN37" s="263"/>
      <c r="AO37" s="263"/>
      <c r="AP37" s="263"/>
      <c r="AQ37" s="263"/>
      <c r="AR37" s="263"/>
      <c r="AS37" s="263"/>
      <c r="AT37" s="263"/>
      <c r="AU37" s="263"/>
      <c r="AV37" s="263"/>
      <c r="AW37" s="263"/>
      <c r="AX37" s="263"/>
      <c r="AY37" s="263">
        <f t="shared" si="77"/>
        <v>0</v>
      </c>
      <c r="BA37" s="277"/>
      <c r="BB37" s="277"/>
      <c r="BC37" s="277">
        <f t="shared" si="10"/>
        <v>0</v>
      </c>
      <c r="BE37" s="55">
        <f>P37+AH37+AY37+BC37</f>
        <v>0</v>
      </c>
      <c r="BF37" s="55"/>
      <c r="BG37" s="18"/>
      <c r="BH37" s="542"/>
      <c r="BI37" s="542"/>
      <c r="BJ37" s="542"/>
      <c r="BK37" s="542"/>
      <c r="BL37" s="542"/>
      <c r="BM37" s="542"/>
      <c r="BN37" s="542"/>
      <c r="BO37" s="542"/>
      <c r="BP37" s="542"/>
      <c r="BQ37" s="542"/>
      <c r="BR37" s="542"/>
      <c r="BS37" s="542"/>
      <c r="BT37" s="542"/>
      <c r="BU37" s="542"/>
      <c r="BV37" s="542"/>
      <c r="BW37" s="542"/>
      <c r="BX37" s="542"/>
      <c r="BY37" s="542"/>
      <c r="BZ37" s="542"/>
      <c r="CA37" s="542"/>
      <c r="CB37" s="542"/>
      <c r="CC37" s="542"/>
      <c r="CD37" s="542"/>
      <c r="CE37" s="542"/>
      <c r="CF37" s="542"/>
      <c r="CG37" s="542"/>
      <c r="CH37" s="542"/>
      <c r="CI37" s="542"/>
      <c r="CJ37" s="542"/>
      <c r="CK37" s="542"/>
      <c r="CL37" s="542"/>
      <c r="CM37" s="542"/>
      <c r="CN37" s="542"/>
      <c r="CO37" s="542"/>
      <c r="CP37" s="542"/>
      <c r="CQ37" s="542"/>
      <c r="CR37" s="542"/>
      <c r="CS37" s="542"/>
      <c r="CT37" s="542"/>
      <c r="CU37" s="542"/>
      <c r="CW37" s="151">
        <f t="shared" si="78"/>
        <v>0</v>
      </c>
    </row>
    <row r="38" spans="1:101" s="84" customFormat="1" outlineLevel="1" x14ac:dyDescent="0.2">
      <c r="A38" s="543"/>
      <c r="B38" s="543"/>
      <c r="C38" s="62" t="s">
        <v>405</v>
      </c>
      <c r="D38" s="61" t="str">
        <f>INDEX(Modules[Module], MATCH($C38, Modules[Code], 0))</f>
        <v>Petroleum refineries</v>
      </c>
      <c r="E38" s="61"/>
      <c r="G38" s="297">
        <f t="shared" ref="G38:O39" ca="1" si="96">IFERROR(INDEX(INDIRECT($C38&amp;".Outputs["&amp;this.Year&amp;"]"), MATCH(G$5, INDIRECT($C38&amp;".Outputs[Vector]"), 0)), 0)</f>
        <v>0</v>
      </c>
      <c r="H38" s="297">
        <f t="shared" ca="1" si="96"/>
        <v>0</v>
      </c>
      <c r="I38" s="297">
        <f t="shared" ca="1" si="96"/>
        <v>0</v>
      </c>
      <c r="J38" s="297">
        <f t="shared" ca="1" si="96"/>
        <v>0</v>
      </c>
      <c r="K38" s="297">
        <f t="shared" ca="1" si="96"/>
        <v>0</v>
      </c>
      <c r="L38" s="297">
        <f t="shared" ca="1" si="96"/>
        <v>0</v>
      </c>
      <c r="M38" s="297">
        <f t="shared" ca="1" si="96"/>
        <v>0</v>
      </c>
      <c r="N38" s="297">
        <f t="shared" ca="1" si="96"/>
        <v>0</v>
      </c>
      <c r="O38" s="297">
        <f t="shared" ca="1" si="96"/>
        <v>0</v>
      </c>
      <c r="P38" s="297">
        <f t="shared" ca="1" si="73"/>
        <v>0</v>
      </c>
      <c r="R38" s="304">
        <f t="shared" ref="R38:AX39" ca="1" si="97">IFERROR(INDEX(INDIRECT($C38&amp;".Outputs["&amp;this.Year&amp;"]"), MATCH(R$5, INDIRECT($C38&amp;".Outputs[Vector]"), 0)), 0)</f>
        <v>-4.6221216487887027</v>
      </c>
      <c r="S38" s="304">
        <f t="shared" ca="1" si="97"/>
        <v>0</v>
      </c>
      <c r="T38" s="304">
        <f t="shared" ca="1" si="97"/>
        <v>0</v>
      </c>
      <c r="U38" s="304">
        <f t="shared" ca="1" si="97"/>
        <v>-0.2101405410269232</v>
      </c>
      <c r="V38" s="304">
        <f t="shared" ca="1" si="97"/>
        <v>-0.42787494017823025</v>
      </c>
      <c r="W38" s="304">
        <f t="shared" ca="1" si="97"/>
        <v>0</v>
      </c>
      <c r="X38" s="304">
        <f t="shared" ref="X38:Z39" ca="1" si="98">IFERROR(INDEX(INDIRECT($C38&amp;".Outputs["&amp;this.Year&amp;"]"), MATCH(X$5, INDIRECT($C38&amp;".Outputs[Vector]"), 0)), 0)</f>
        <v>0</v>
      </c>
      <c r="Y38" s="304">
        <f t="shared" ca="1" si="98"/>
        <v>0</v>
      </c>
      <c r="Z38" s="304">
        <f t="shared" ca="1" si="98"/>
        <v>0</v>
      </c>
      <c r="AA38" s="304">
        <f t="shared" ca="1" si="97"/>
        <v>0</v>
      </c>
      <c r="AB38" s="304">
        <f t="shared" ca="1" si="97"/>
        <v>0</v>
      </c>
      <c r="AC38" s="304">
        <f t="shared" ca="1" si="97"/>
        <v>0</v>
      </c>
      <c r="AD38" s="304">
        <f t="shared" ca="1" si="97"/>
        <v>0</v>
      </c>
      <c r="AE38" s="304">
        <f t="shared" ca="1" si="97"/>
        <v>0</v>
      </c>
      <c r="AF38" s="304">
        <f t="shared" ca="1" si="97"/>
        <v>0</v>
      </c>
      <c r="AG38" s="304">
        <f t="shared" ca="1" si="97"/>
        <v>0</v>
      </c>
      <c r="AH38" s="305">
        <f t="shared" ca="1" si="5"/>
        <v>-5.260137129993856</v>
      </c>
      <c r="AJ38" s="312">
        <f t="shared" ref="AJ38:AR39" ca="1" si="99">IFERROR(INDEX(INDIRECT($C38&amp;".Outputs["&amp;this.Year&amp;"]"), MATCH(AJ$5, INDIRECT($C38&amp;".Outputs[Vector]"), 0)), 0)</f>
        <v>0</v>
      </c>
      <c r="AK38" s="312">
        <f t="shared" ca="1" si="99"/>
        <v>0</v>
      </c>
      <c r="AL38" s="312">
        <f t="shared" ca="1" si="99"/>
        <v>0</v>
      </c>
      <c r="AM38" s="312">
        <f t="shared" ca="1" si="99"/>
        <v>0</v>
      </c>
      <c r="AN38" s="312">
        <f t="shared" ca="1" si="99"/>
        <v>0</v>
      </c>
      <c r="AO38" s="312">
        <f t="shared" ca="1" si="99"/>
        <v>0</v>
      </c>
      <c r="AP38" s="312">
        <f t="shared" ca="1" si="99"/>
        <v>0</v>
      </c>
      <c r="AQ38" s="312">
        <f t="shared" ca="1" si="99"/>
        <v>0</v>
      </c>
      <c r="AR38" s="312">
        <f t="shared" ca="1" si="99"/>
        <v>0</v>
      </c>
      <c r="AS38" s="312">
        <f t="shared" ca="1" si="97"/>
        <v>0</v>
      </c>
      <c r="AT38" s="312">
        <f t="shared" ca="1" si="97"/>
        <v>0</v>
      </c>
      <c r="AU38" s="312">
        <f t="shared" ca="1" si="97"/>
        <v>0</v>
      </c>
      <c r="AV38" s="312">
        <f t="shared" ca="1" si="97"/>
        <v>0</v>
      </c>
      <c r="AW38" s="312">
        <f t="shared" ca="1" si="97"/>
        <v>0</v>
      </c>
      <c r="AX38" s="312">
        <f t="shared" ca="1" si="97"/>
        <v>0</v>
      </c>
      <c r="AY38" s="266">
        <f t="shared" ca="1" si="77"/>
        <v>0</v>
      </c>
      <c r="BA38" s="308">
        <f ca="1">IFERROR(INDEX(INDIRECT($C38&amp;".Outputs["&amp;this.Year&amp;"]"), MATCH(BA$5, INDIRECT($C38&amp;".Outputs[Vector]"), 0)), 0)</f>
        <v>0</v>
      </c>
      <c r="BB38" s="308">
        <f ca="1">IFERROR(INDEX(INDIRECT($C38&amp;".Outputs["&amp;this.Year&amp;"]"), MATCH(BB$5, INDIRECT($C38&amp;".Outputs[Vector]"), 0)), 0)</f>
        <v>5.260137129993856</v>
      </c>
      <c r="BC38" s="309">
        <f t="shared" ca="1" si="10"/>
        <v>5.260137129993856</v>
      </c>
      <c r="BE38" s="135">
        <f ca="1">P38+AH38+AY38+BC38</f>
        <v>0</v>
      </c>
      <c r="BF38" s="135"/>
      <c r="BG38" s="153"/>
      <c r="BH38" s="541">
        <f t="shared" ref="BH38:BQ39" ca="1" si="100">IFERROR(SUMIFS(INDIRECT($C38&amp;".Emissions["&amp;this.Year&amp;"]"), INDIRECT($C38&amp;".Emissions[GHG]"), BH$6, INDIRECT($C38&amp;".Emissions[IPCC Sector]"), BH$5),0)</f>
        <v>0.13126412424952516</v>
      </c>
      <c r="BI38" s="542">
        <f t="shared" ca="1" si="100"/>
        <v>2.2321716926589251E-4</v>
      </c>
      <c r="BJ38" s="542">
        <f t="shared" ca="1" si="100"/>
        <v>1.1149482785806966E-3</v>
      </c>
      <c r="BK38" s="542">
        <f t="shared" ca="1" si="100"/>
        <v>0</v>
      </c>
      <c r="BL38" s="542">
        <f t="shared" ca="1" si="100"/>
        <v>0</v>
      </c>
      <c r="BM38" s="542">
        <f t="shared" ca="1" si="100"/>
        <v>0</v>
      </c>
      <c r="BN38" s="542">
        <f t="shared" ca="1" si="100"/>
        <v>0</v>
      </c>
      <c r="BO38" s="542">
        <f t="shared" ca="1" si="100"/>
        <v>0</v>
      </c>
      <c r="BP38" s="542">
        <f t="shared" ca="1" si="100"/>
        <v>0</v>
      </c>
      <c r="BQ38" s="542">
        <f t="shared" ca="1" si="100"/>
        <v>0</v>
      </c>
      <c r="BR38" s="542">
        <f t="shared" ref="BR38:CA39" ca="1" si="101">IFERROR(SUMIFS(INDIRECT($C38&amp;".Emissions["&amp;this.Year&amp;"]"), INDIRECT($C38&amp;".Emissions[GHG]"), BR$6, INDIRECT($C38&amp;".Emissions[IPCC Sector]"), BR$5),0)</f>
        <v>0</v>
      </c>
      <c r="BS38" s="542">
        <f t="shared" ca="1" si="101"/>
        <v>0</v>
      </c>
      <c r="BT38" s="542">
        <f t="shared" ca="1" si="101"/>
        <v>0</v>
      </c>
      <c r="BU38" s="542">
        <f t="shared" ca="1" si="101"/>
        <v>0</v>
      </c>
      <c r="BV38" s="542">
        <f t="shared" ca="1" si="101"/>
        <v>0</v>
      </c>
      <c r="BW38" s="542">
        <f t="shared" ca="1" si="101"/>
        <v>0</v>
      </c>
      <c r="BX38" s="542">
        <f t="shared" ca="1" si="101"/>
        <v>0</v>
      </c>
      <c r="BY38" s="542">
        <f t="shared" ca="1" si="101"/>
        <v>0</v>
      </c>
      <c r="BZ38" s="542">
        <f t="shared" ca="1" si="101"/>
        <v>0</v>
      </c>
      <c r="CA38" s="542">
        <f t="shared" ca="1" si="101"/>
        <v>0</v>
      </c>
      <c r="CB38" s="542">
        <f t="shared" ref="CB38:CK39" ca="1" si="102">IFERROR(SUMIFS(INDIRECT($C38&amp;".Emissions["&amp;this.Year&amp;"]"), INDIRECT($C38&amp;".Emissions[GHG]"), CB$6, INDIRECT($C38&amp;".Emissions[IPCC Sector]"), CB$5),0)</f>
        <v>0</v>
      </c>
      <c r="CC38" s="542">
        <f t="shared" ca="1" si="102"/>
        <v>0</v>
      </c>
      <c r="CD38" s="542">
        <f t="shared" ca="1" si="102"/>
        <v>0</v>
      </c>
      <c r="CE38" s="542">
        <f t="shared" ca="1" si="102"/>
        <v>0</v>
      </c>
      <c r="CF38" s="542">
        <f t="shared" ca="1" si="102"/>
        <v>0</v>
      </c>
      <c r="CG38" s="542">
        <f t="shared" ca="1" si="102"/>
        <v>0</v>
      </c>
      <c r="CH38" s="542">
        <f t="shared" ca="1" si="102"/>
        <v>0</v>
      </c>
      <c r="CI38" s="542">
        <f t="shared" ca="1" si="102"/>
        <v>0</v>
      </c>
      <c r="CJ38" s="542">
        <f t="shared" ca="1" si="102"/>
        <v>0</v>
      </c>
      <c r="CK38" s="542">
        <f t="shared" ca="1" si="102"/>
        <v>0</v>
      </c>
      <c r="CL38" s="542">
        <f t="shared" ref="CL38:CU39" ca="1" si="103">IFERROR(SUMIFS(INDIRECT($C38&amp;".Emissions["&amp;this.Year&amp;"]"), INDIRECT($C38&amp;".Emissions[GHG]"), CL$6, INDIRECT($C38&amp;".Emissions[IPCC Sector]"), CL$5),0)</f>
        <v>0</v>
      </c>
      <c r="CM38" s="542">
        <f t="shared" ca="1" si="103"/>
        <v>0</v>
      </c>
      <c r="CN38" s="542">
        <f t="shared" ca="1" si="103"/>
        <v>0</v>
      </c>
      <c r="CO38" s="542">
        <f t="shared" ca="1" si="103"/>
        <v>0</v>
      </c>
      <c r="CP38" s="542">
        <f t="shared" ca="1" si="103"/>
        <v>0</v>
      </c>
      <c r="CQ38" s="542">
        <f t="shared" ca="1" si="103"/>
        <v>0</v>
      </c>
      <c r="CR38" s="542">
        <f t="shared" ca="1" si="103"/>
        <v>0</v>
      </c>
      <c r="CS38" s="542">
        <f t="shared" ca="1" si="103"/>
        <v>0</v>
      </c>
      <c r="CT38" s="542">
        <f t="shared" ca="1" si="103"/>
        <v>0</v>
      </c>
      <c r="CU38" s="542">
        <f t="shared" ca="1" si="103"/>
        <v>0</v>
      </c>
      <c r="CW38" s="151">
        <f t="shared" ca="1" si="78"/>
        <v>0.13260228969737176</v>
      </c>
    </row>
    <row r="39" spans="1:101" s="84" customFormat="1" outlineLevel="1" x14ac:dyDescent="0.2">
      <c r="A39" s="543"/>
      <c r="B39" s="543"/>
      <c r="C39" s="62" t="s">
        <v>415</v>
      </c>
      <c r="D39" s="292" t="str">
        <f>INDEX(Modules[Module], MATCH($C39, Modules[Code], 0))</f>
        <v>Indigenous fossil-fuel production</v>
      </c>
      <c r="E39" s="292"/>
      <c r="G39" s="301">
        <f t="shared" ca="1" si="96"/>
        <v>0</v>
      </c>
      <c r="H39" s="301">
        <f t="shared" ca="1" si="96"/>
        <v>0</v>
      </c>
      <c r="I39" s="301">
        <f t="shared" ca="1" si="96"/>
        <v>0</v>
      </c>
      <c r="J39" s="301">
        <f t="shared" ca="1" si="96"/>
        <v>355.41517169394535</v>
      </c>
      <c r="K39" s="301">
        <f t="shared" ca="1" si="96"/>
        <v>0</v>
      </c>
      <c r="L39" s="301">
        <f t="shared" ca="1" si="96"/>
        <v>0</v>
      </c>
      <c r="M39" s="301">
        <f t="shared" ca="1" si="96"/>
        <v>0</v>
      </c>
      <c r="N39" s="301">
        <f t="shared" ca="1" si="96"/>
        <v>0</v>
      </c>
      <c r="O39" s="301">
        <f t="shared" ca="1" si="96"/>
        <v>0</v>
      </c>
      <c r="P39" s="301">
        <f t="shared" ca="1" si="73"/>
        <v>355.41517169394535</v>
      </c>
      <c r="R39" s="307">
        <f t="shared" ca="1" si="97"/>
        <v>-0.88653810768169206</v>
      </c>
      <c r="S39" s="307">
        <f t="shared" ca="1" si="97"/>
        <v>0</v>
      </c>
      <c r="T39" s="307">
        <f t="shared" ca="1" si="97"/>
        <v>-2.2175097251858548E-3</v>
      </c>
      <c r="U39" s="307">
        <f t="shared" ca="1" si="97"/>
        <v>0</v>
      </c>
      <c r="V39" s="307">
        <f t="shared" ca="1" si="97"/>
        <v>-354.52641607653845</v>
      </c>
      <c r="W39" s="307">
        <f t="shared" ca="1" si="97"/>
        <v>0</v>
      </c>
      <c r="X39" s="307">
        <f t="shared" ca="1" si="98"/>
        <v>6.17215067274</v>
      </c>
      <c r="Y39" s="307">
        <f t="shared" ca="1" si="98"/>
        <v>1458.9378638800001</v>
      </c>
      <c r="Z39" s="307">
        <f t="shared" ca="1" si="98"/>
        <v>761.432111111111</v>
      </c>
      <c r="AA39" s="307">
        <f t="shared" ca="1" si="97"/>
        <v>0</v>
      </c>
      <c r="AB39" s="307">
        <f t="shared" ca="1" si="97"/>
        <v>0</v>
      </c>
      <c r="AC39" s="307">
        <f t="shared" ca="1" si="97"/>
        <v>0</v>
      </c>
      <c r="AD39" s="307">
        <f t="shared" ca="1" si="97"/>
        <v>0</v>
      </c>
      <c r="AE39" s="307">
        <f t="shared" ca="1" si="97"/>
        <v>0</v>
      </c>
      <c r="AF39" s="307">
        <f t="shared" ca="1" si="97"/>
        <v>0</v>
      </c>
      <c r="AG39" s="307">
        <f t="shared" ca="1" si="97"/>
        <v>0</v>
      </c>
      <c r="AH39" s="306">
        <f t="shared" ca="1" si="5"/>
        <v>1871.1269539699058</v>
      </c>
      <c r="AJ39" s="315">
        <f t="shared" ca="1" si="99"/>
        <v>-6.17215067274</v>
      </c>
      <c r="AK39" s="315">
        <f t="shared" ca="1" si="99"/>
        <v>-1458.9378638800001</v>
      </c>
      <c r="AL39" s="315">
        <f t="shared" ca="1" si="99"/>
        <v>-761.432111111111</v>
      </c>
      <c r="AM39" s="315">
        <f t="shared" ca="1" si="99"/>
        <v>0</v>
      </c>
      <c r="AN39" s="315">
        <f t="shared" ca="1" si="99"/>
        <v>0</v>
      </c>
      <c r="AO39" s="315">
        <f t="shared" ca="1" si="99"/>
        <v>0</v>
      </c>
      <c r="AP39" s="315">
        <f t="shared" ca="1" si="99"/>
        <v>0</v>
      </c>
      <c r="AQ39" s="315">
        <f t="shared" ca="1" si="99"/>
        <v>0</v>
      </c>
      <c r="AR39" s="315">
        <f t="shared" ca="1" si="99"/>
        <v>0</v>
      </c>
      <c r="AS39" s="315">
        <f t="shared" ca="1" si="97"/>
        <v>0</v>
      </c>
      <c r="AT39" s="315">
        <f t="shared" ca="1" si="97"/>
        <v>0</v>
      </c>
      <c r="AU39" s="315">
        <f t="shared" ca="1" si="97"/>
        <v>0</v>
      </c>
      <c r="AV39" s="315">
        <f t="shared" ca="1" si="97"/>
        <v>0</v>
      </c>
      <c r="AW39" s="315">
        <f t="shared" ca="1" si="97"/>
        <v>0</v>
      </c>
      <c r="AX39" s="315">
        <f t="shared" ca="1" si="97"/>
        <v>0</v>
      </c>
      <c r="AY39" s="293">
        <f t="shared" ca="1" si="77"/>
        <v>-2226.542125663851</v>
      </c>
      <c r="BA39" s="311">
        <f ca="1">IFERROR(INDEX(INDIRECT($C39&amp;".Outputs["&amp;this.Year&amp;"]"), MATCH(BA$5, INDIRECT($C39&amp;".Outputs[Vector]"), 0)), 0)</f>
        <v>0</v>
      </c>
      <c r="BB39" s="311">
        <f ca="1">IFERROR(INDEX(INDIRECT($C39&amp;".Outputs["&amp;this.Year&amp;"]"), MATCH(BB$5, INDIRECT($C39&amp;".Outputs[Vector]"), 0)), 0)</f>
        <v>0</v>
      </c>
      <c r="BC39" s="310">
        <f t="shared" ca="1" si="10"/>
        <v>0</v>
      </c>
      <c r="BE39" s="135"/>
      <c r="BF39" s="135"/>
      <c r="BG39" s="153"/>
      <c r="BH39" s="544">
        <f t="shared" ca="1" si="100"/>
        <v>65.232029769802551</v>
      </c>
      <c r="BI39" s="545">
        <f t="shared" ca="1" si="100"/>
        <v>0.13075667139857669</v>
      </c>
      <c r="BJ39" s="545">
        <f t="shared" ca="1" si="100"/>
        <v>0.14063515702509768</v>
      </c>
      <c r="BK39" s="545">
        <f t="shared" ca="1" si="100"/>
        <v>0</v>
      </c>
      <c r="BL39" s="545">
        <f t="shared" ca="1" si="100"/>
        <v>6.66</v>
      </c>
      <c r="BM39" s="545">
        <f t="shared" ca="1" si="100"/>
        <v>8.4000000000000012E-3</v>
      </c>
      <c r="BN39" s="545">
        <f t="shared" ca="1" si="100"/>
        <v>0</v>
      </c>
      <c r="BO39" s="545">
        <f t="shared" ca="1" si="100"/>
        <v>0</v>
      </c>
      <c r="BP39" s="545">
        <f t="shared" ca="1" si="100"/>
        <v>0</v>
      </c>
      <c r="BQ39" s="545">
        <f t="shared" ca="1" si="100"/>
        <v>0</v>
      </c>
      <c r="BR39" s="545">
        <f t="shared" ca="1" si="101"/>
        <v>0</v>
      </c>
      <c r="BS39" s="545">
        <f t="shared" ca="1" si="101"/>
        <v>0</v>
      </c>
      <c r="BT39" s="545">
        <f t="shared" ca="1" si="101"/>
        <v>0</v>
      </c>
      <c r="BU39" s="545">
        <f t="shared" ca="1" si="101"/>
        <v>0</v>
      </c>
      <c r="BV39" s="545">
        <f t="shared" ca="1" si="101"/>
        <v>0</v>
      </c>
      <c r="BW39" s="545">
        <f t="shared" ca="1" si="101"/>
        <v>0</v>
      </c>
      <c r="BX39" s="545">
        <f t="shared" ca="1" si="101"/>
        <v>0</v>
      </c>
      <c r="BY39" s="545">
        <f t="shared" ca="1" si="101"/>
        <v>0</v>
      </c>
      <c r="BZ39" s="545">
        <f t="shared" ca="1" si="101"/>
        <v>0</v>
      </c>
      <c r="CA39" s="545">
        <f t="shared" ca="1" si="101"/>
        <v>0</v>
      </c>
      <c r="CB39" s="545">
        <f t="shared" ca="1" si="102"/>
        <v>0</v>
      </c>
      <c r="CC39" s="545">
        <f t="shared" ca="1" si="102"/>
        <v>0</v>
      </c>
      <c r="CD39" s="545">
        <f t="shared" ca="1" si="102"/>
        <v>0</v>
      </c>
      <c r="CE39" s="545">
        <f t="shared" ca="1" si="102"/>
        <v>0</v>
      </c>
      <c r="CF39" s="545">
        <f t="shared" ca="1" si="102"/>
        <v>0</v>
      </c>
      <c r="CG39" s="545">
        <f t="shared" ca="1" si="102"/>
        <v>0</v>
      </c>
      <c r="CH39" s="545">
        <f t="shared" ca="1" si="102"/>
        <v>0</v>
      </c>
      <c r="CI39" s="545">
        <f t="shared" ca="1" si="102"/>
        <v>0</v>
      </c>
      <c r="CJ39" s="545">
        <f t="shared" ca="1" si="102"/>
        <v>0</v>
      </c>
      <c r="CK39" s="545">
        <f t="shared" ca="1" si="102"/>
        <v>0</v>
      </c>
      <c r="CL39" s="545">
        <f t="shared" ca="1" si="103"/>
        <v>0</v>
      </c>
      <c r="CM39" s="545">
        <f t="shared" ca="1" si="103"/>
        <v>0</v>
      </c>
      <c r="CN39" s="545">
        <f t="shared" ca="1" si="103"/>
        <v>0</v>
      </c>
      <c r="CO39" s="545">
        <f t="shared" ca="1" si="103"/>
        <v>0</v>
      </c>
      <c r="CP39" s="545">
        <f t="shared" ca="1" si="103"/>
        <v>0</v>
      </c>
      <c r="CQ39" s="545">
        <f t="shared" ca="1" si="103"/>
        <v>0</v>
      </c>
      <c r="CR39" s="545">
        <f t="shared" ca="1" si="103"/>
        <v>0</v>
      </c>
      <c r="CS39" s="545">
        <f t="shared" ca="1" si="103"/>
        <v>0</v>
      </c>
      <c r="CT39" s="545">
        <f t="shared" ca="1" si="103"/>
        <v>0</v>
      </c>
      <c r="CU39" s="545">
        <f t="shared" ca="1" si="103"/>
        <v>0</v>
      </c>
      <c r="CW39" s="151">
        <f t="shared" ca="1" si="78"/>
        <v>72.171821598226217</v>
      </c>
    </row>
    <row r="40" spans="1:101" s="84" customFormat="1" ht="15.75" x14ac:dyDescent="0.2">
      <c r="A40" s="547"/>
      <c r="B40" s="548"/>
      <c r="C40" s="85" t="s">
        <v>403</v>
      </c>
      <c r="D40" s="57" t="str">
        <f>INDEX(Workstreams[Workstream], MATCH($C40, Workstreams[Code], 0))</f>
        <v>Fossil fuel production</v>
      </c>
      <c r="E40" s="53"/>
      <c r="G40" s="300">
        <f ca="1">SUM(G38:G39)</f>
        <v>0</v>
      </c>
      <c r="H40" s="300">
        <f t="shared" ref="H40:N40" ca="1" si="104">SUM(H38:H39)</f>
        <v>0</v>
      </c>
      <c r="I40" s="300">
        <f ca="1">SUM(I38:I39)</f>
        <v>0</v>
      </c>
      <c r="J40" s="300">
        <f t="shared" ca="1" si="104"/>
        <v>355.41517169394535</v>
      </c>
      <c r="K40" s="300">
        <f t="shared" ca="1" si="104"/>
        <v>0</v>
      </c>
      <c r="L40" s="300">
        <f t="shared" ca="1" si="104"/>
        <v>0</v>
      </c>
      <c r="M40" s="300">
        <f t="shared" ca="1" si="104"/>
        <v>0</v>
      </c>
      <c r="N40" s="300">
        <f t="shared" ca="1" si="104"/>
        <v>0</v>
      </c>
      <c r="O40" s="300">
        <f t="shared" ref="O40" ca="1" si="105">SUM(O38:O39)</f>
        <v>0</v>
      </c>
      <c r="P40" s="300">
        <f t="shared" ca="1" si="73"/>
        <v>355.41517169394535</v>
      </c>
      <c r="R40" s="257">
        <f t="shared" ref="R40:AE40" ca="1" si="106">SUM(R38:R39)</f>
        <v>-5.5086597564703945</v>
      </c>
      <c r="S40" s="257">
        <f t="shared" ca="1" si="106"/>
        <v>0</v>
      </c>
      <c r="T40" s="257">
        <f t="shared" ca="1" si="106"/>
        <v>-2.2175097251858548E-3</v>
      </c>
      <c r="U40" s="257">
        <f t="shared" ca="1" si="106"/>
        <v>-0.2101405410269232</v>
      </c>
      <c r="V40" s="257">
        <f t="shared" ca="1" si="106"/>
        <v>-354.9542910167167</v>
      </c>
      <c r="W40" s="257">
        <f ca="1">SUM(W38:W39)</f>
        <v>0</v>
      </c>
      <c r="X40" s="257">
        <f ca="1">SUM(X38:X39)</f>
        <v>6.17215067274</v>
      </c>
      <c r="Y40" s="257">
        <f ca="1">SUM(Y38:Y39)</f>
        <v>1458.9378638800001</v>
      </c>
      <c r="Z40" s="257">
        <f ca="1">SUM(Z38:Z39)</f>
        <v>761.432111111111</v>
      </c>
      <c r="AA40" s="257">
        <f t="shared" ca="1" si="106"/>
        <v>0</v>
      </c>
      <c r="AB40" s="257">
        <f t="shared" ca="1" si="106"/>
        <v>0</v>
      </c>
      <c r="AC40" s="257">
        <f ca="1">SUM(AC38:AC39)</f>
        <v>0</v>
      </c>
      <c r="AD40" s="257">
        <f ca="1">SUM(AD38:AD39)</f>
        <v>0</v>
      </c>
      <c r="AE40" s="257">
        <f t="shared" ca="1" si="106"/>
        <v>0</v>
      </c>
      <c r="AF40" s="257">
        <f ca="1">SUM(AF38:AF39)</f>
        <v>0</v>
      </c>
      <c r="AG40" s="257">
        <f ca="1">SUM(AG38:AG39)</f>
        <v>0</v>
      </c>
      <c r="AH40" s="257">
        <f t="shared" ca="1" si="5"/>
        <v>1865.866816839912</v>
      </c>
      <c r="AJ40" s="263">
        <f t="shared" ref="AJ40:AX40" ca="1" si="107">SUM(AJ38:AJ39)</f>
        <v>-6.17215067274</v>
      </c>
      <c r="AK40" s="263">
        <f t="shared" ca="1" si="107"/>
        <v>-1458.9378638800001</v>
      </c>
      <c r="AL40" s="263">
        <f t="shared" ca="1" si="107"/>
        <v>-761.432111111111</v>
      </c>
      <c r="AM40" s="263">
        <f t="shared" ca="1" si="107"/>
        <v>0</v>
      </c>
      <c r="AN40" s="263">
        <f t="shared" ca="1" si="107"/>
        <v>0</v>
      </c>
      <c r="AO40" s="263">
        <f t="shared" ca="1" si="107"/>
        <v>0</v>
      </c>
      <c r="AP40" s="263">
        <f t="shared" ca="1" si="107"/>
        <v>0</v>
      </c>
      <c r="AQ40" s="263">
        <f t="shared" ca="1" si="107"/>
        <v>0</v>
      </c>
      <c r="AR40" s="263">
        <f t="shared" ca="1" si="107"/>
        <v>0</v>
      </c>
      <c r="AS40" s="263">
        <f t="shared" ca="1" si="107"/>
        <v>0</v>
      </c>
      <c r="AT40" s="263">
        <f t="shared" ca="1" si="107"/>
        <v>0</v>
      </c>
      <c r="AU40" s="263">
        <f t="shared" ca="1" si="107"/>
        <v>0</v>
      </c>
      <c r="AV40" s="263">
        <f t="shared" ca="1" si="107"/>
        <v>0</v>
      </c>
      <c r="AW40" s="263">
        <f t="shared" ca="1" si="107"/>
        <v>0</v>
      </c>
      <c r="AX40" s="263">
        <f t="shared" ca="1" si="107"/>
        <v>0</v>
      </c>
      <c r="AY40" s="263">
        <f t="shared" ca="1" si="77"/>
        <v>-2226.542125663851</v>
      </c>
      <c r="BA40" s="277">
        <f ca="1">SUM(BA38:BA39)</f>
        <v>0</v>
      </c>
      <c r="BB40" s="277">
        <f ca="1">SUM(BB38:BB39)</f>
        <v>5.260137129993856</v>
      </c>
      <c r="BC40" s="277">
        <f t="shared" ca="1" si="10"/>
        <v>5.260137129993856</v>
      </c>
      <c r="BE40" s="55">
        <f t="shared" ref="BE40:BE47" ca="1" si="108">P40+AH40+AY40+BC40</f>
        <v>1.9539925233402755E-14</v>
      </c>
      <c r="BF40" s="164"/>
      <c r="BG40" s="153"/>
      <c r="BH40" s="541">
        <f t="shared" ref="BH40:CU40" ca="1" si="109">SUM(BH38:BH39)</f>
        <v>65.363293894052077</v>
      </c>
      <c r="BI40" s="542">
        <f t="shared" ca="1" si="109"/>
        <v>0.1309798885678426</v>
      </c>
      <c r="BJ40" s="542">
        <f t="shared" ca="1" si="109"/>
        <v>0.14175010530367838</v>
      </c>
      <c r="BK40" s="542">
        <f t="shared" ca="1" si="109"/>
        <v>0</v>
      </c>
      <c r="BL40" s="542">
        <f t="shared" ca="1" si="109"/>
        <v>6.66</v>
      </c>
      <c r="BM40" s="542">
        <f t="shared" ca="1" si="109"/>
        <v>8.4000000000000012E-3</v>
      </c>
      <c r="BN40" s="542">
        <f t="shared" ca="1" si="109"/>
        <v>0</v>
      </c>
      <c r="BO40" s="542">
        <f t="shared" ca="1" si="109"/>
        <v>0</v>
      </c>
      <c r="BP40" s="542">
        <f t="shared" ca="1" si="109"/>
        <v>0</v>
      </c>
      <c r="BQ40" s="542">
        <f t="shared" ca="1" si="109"/>
        <v>0</v>
      </c>
      <c r="BR40" s="542">
        <f t="shared" ca="1" si="109"/>
        <v>0</v>
      </c>
      <c r="BS40" s="542">
        <f t="shared" ca="1" si="109"/>
        <v>0</v>
      </c>
      <c r="BT40" s="542">
        <f t="shared" ca="1" si="109"/>
        <v>0</v>
      </c>
      <c r="BU40" s="542">
        <f t="shared" ca="1" si="109"/>
        <v>0</v>
      </c>
      <c r="BV40" s="542">
        <f t="shared" ca="1" si="109"/>
        <v>0</v>
      </c>
      <c r="BW40" s="542">
        <f t="shared" ca="1" si="109"/>
        <v>0</v>
      </c>
      <c r="BX40" s="542">
        <f t="shared" ca="1" si="109"/>
        <v>0</v>
      </c>
      <c r="BY40" s="542">
        <f t="shared" ca="1" si="109"/>
        <v>0</v>
      </c>
      <c r="BZ40" s="542">
        <f t="shared" ca="1" si="109"/>
        <v>0</v>
      </c>
      <c r="CA40" s="542">
        <f t="shared" ca="1" si="109"/>
        <v>0</v>
      </c>
      <c r="CB40" s="542">
        <f t="shared" ca="1" si="109"/>
        <v>0</v>
      </c>
      <c r="CC40" s="542">
        <f t="shared" ca="1" si="109"/>
        <v>0</v>
      </c>
      <c r="CD40" s="542">
        <f t="shared" ca="1" si="109"/>
        <v>0</v>
      </c>
      <c r="CE40" s="542">
        <f t="shared" ca="1" si="109"/>
        <v>0</v>
      </c>
      <c r="CF40" s="542">
        <f t="shared" ca="1" si="109"/>
        <v>0</v>
      </c>
      <c r="CG40" s="542">
        <f t="shared" ca="1" si="109"/>
        <v>0</v>
      </c>
      <c r="CH40" s="542">
        <f t="shared" ca="1" si="109"/>
        <v>0</v>
      </c>
      <c r="CI40" s="542">
        <f t="shared" ca="1" si="109"/>
        <v>0</v>
      </c>
      <c r="CJ40" s="542">
        <f t="shared" ca="1" si="109"/>
        <v>0</v>
      </c>
      <c r="CK40" s="542">
        <f t="shared" ca="1" si="109"/>
        <v>0</v>
      </c>
      <c r="CL40" s="542">
        <f t="shared" ca="1" si="109"/>
        <v>0</v>
      </c>
      <c r="CM40" s="542">
        <f t="shared" ca="1" si="109"/>
        <v>0</v>
      </c>
      <c r="CN40" s="542">
        <f t="shared" ca="1" si="109"/>
        <v>0</v>
      </c>
      <c r="CO40" s="542">
        <f t="shared" ca="1" si="109"/>
        <v>0</v>
      </c>
      <c r="CP40" s="542">
        <f t="shared" ca="1" si="109"/>
        <v>0</v>
      </c>
      <c r="CQ40" s="542">
        <f t="shared" ca="1" si="109"/>
        <v>0</v>
      </c>
      <c r="CR40" s="542">
        <f t="shared" ca="1" si="109"/>
        <v>0</v>
      </c>
      <c r="CS40" s="542">
        <f t="shared" ca="1" si="109"/>
        <v>0</v>
      </c>
      <c r="CT40" s="542">
        <f t="shared" ca="1" si="109"/>
        <v>0</v>
      </c>
      <c r="CU40" s="542">
        <f t="shared" ca="1" si="109"/>
        <v>0</v>
      </c>
      <c r="CW40" s="151">
        <f t="shared" ca="1" si="78"/>
        <v>72.304423887923576</v>
      </c>
    </row>
    <row r="41" spans="1:101" s="84" customFormat="1" outlineLevel="1" x14ac:dyDescent="0.2">
      <c r="C41" s="60"/>
      <c r="D41" s="34"/>
      <c r="E41" s="51"/>
      <c r="G41" s="245"/>
      <c r="H41" s="245"/>
      <c r="I41" s="245"/>
      <c r="J41" s="245"/>
      <c r="K41" s="245"/>
      <c r="L41" s="247"/>
      <c r="M41" s="245"/>
      <c r="N41" s="245"/>
      <c r="O41" s="245"/>
      <c r="P41" s="245">
        <f t="shared" si="73"/>
        <v>0</v>
      </c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>
        <f t="shared" si="5"/>
        <v>0</v>
      </c>
      <c r="AJ41" s="263"/>
      <c r="AK41" s="263"/>
      <c r="AL41" s="263"/>
      <c r="AM41" s="263"/>
      <c r="AN41" s="263"/>
      <c r="AO41" s="263"/>
      <c r="AP41" s="263"/>
      <c r="AQ41" s="263"/>
      <c r="AR41" s="263"/>
      <c r="AS41" s="263"/>
      <c r="AT41" s="263"/>
      <c r="AU41" s="263"/>
      <c r="AV41" s="263"/>
      <c r="AW41" s="263"/>
      <c r="AX41" s="263"/>
      <c r="AY41" s="263">
        <f t="shared" si="77"/>
        <v>0</v>
      </c>
      <c r="BA41" s="277"/>
      <c r="BB41" s="277"/>
      <c r="BC41" s="277">
        <f t="shared" si="10"/>
        <v>0</v>
      </c>
      <c r="BE41" s="55">
        <f t="shared" si="108"/>
        <v>0</v>
      </c>
      <c r="BF41" s="55"/>
      <c r="BH41" s="542"/>
      <c r="BI41" s="542"/>
      <c r="BJ41" s="542"/>
      <c r="BK41" s="542"/>
      <c r="BL41" s="542"/>
      <c r="BM41" s="542"/>
      <c r="BN41" s="542"/>
      <c r="BO41" s="542"/>
      <c r="BP41" s="542"/>
      <c r="BQ41" s="542"/>
      <c r="BR41" s="542"/>
      <c r="BS41" s="542"/>
      <c r="BT41" s="542"/>
      <c r="BU41" s="542"/>
      <c r="BV41" s="542"/>
      <c r="BW41" s="542"/>
      <c r="BX41" s="542"/>
      <c r="BY41" s="542"/>
      <c r="BZ41" s="542"/>
      <c r="CA41" s="542"/>
      <c r="CB41" s="542"/>
      <c r="CC41" s="542"/>
      <c r="CD41" s="542"/>
      <c r="CE41" s="542"/>
      <c r="CF41" s="542"/>
      <c r="CG41" s="542"/>
      <c r="CH41" s="542"/>
      <c r="CI41" s="542"/>
      <c r="CJ41" s="542"/>
      <c r="CK41" s="542"/>
      <c r="CL41" s="542"/>
      <c r="CM41" s="542"/>
      <c r="CN41" s="542"/>
      <c r="CO41" s="542"/>
      <c r="CP41" s="542"/>
      <c r="CQ41" s="542"/>
      <c r="CR41" s="542"/>
      <c r="CS41" s="542"/>
      <c r="CT41" s="542"/>
      <c r="CU41" s="542"/>
      <c r="CW41" s="151">
        <f t="shared" si="78"/>
        <v>0</v>
      </c>
    </row>
    <row r="42" spans="1:101" s="543" customFormat="1" ht="12.75" customHeight="1" outlineLevel="1" x14ac:dyDescent="0.2">
      <c r="C42" s="86" t="s">
        <v>864</v>
      </c>
      <c r="D42" s="61" t="str">
        <f>INDEX(Modules[Module], MATCH($C42, Modules[Code], 0))</f>
        <v xml:space="preserve">Wind </v>
      </c>
      <c r="E42" s="61"/>
      <c r="F42" s="84"/>
      <c r="G42" s="297">
        <f t="shared" ref="G42:O46" ca="1" si="110">IFERROR(INDEX(INDIRECT($C42&amp;".Outputs["&amp;this.Year&amp;"]"), MATCH(G$5, INDIRECT($C42&amp;".Outputs[Vector]"), 0)), 0)</f>
        <v>0</v>
      </c>
      <c r="H42" s="297">
        <f t="shared" ca="1" si="110"/>
        <v>0</v>
      </c>
      <c r="I42" s="297">
        <f t="shared" ca="1" si="110"/>
        <v>0</v>
      </c>
      <c r="J42" s="297">
        <f t="shared" ca="1" si="110"/>
        <v>0</v>
      </c>
      <c r="K42" s="297">
        <f t="shared" ca="1" si="110"/>
        <v>0</v>
      </c>
      <c r="L42" s="297">
        <f t="shared" ca="1" si="110"/>
        <v>0</v>
      </c>
      <c r="M42" s="297">
        <f t="shared" ca="1" si="110"/>
        <v>0</v>
      </c>
      <c r="N42" s="297">
        <f t="shared" ca="1" si="110"/>
        <v>0</v>
      </c>
      <c r="O42" s="297">
        <f t="shared" ca="1" si="110"/>
        <v>0</v>
      </c>
      <c r="P42" s="297">
        <f t="shared" ca="1" si="73"/>
        <v>0</v>
      </c>
      <c r="Q42" s="84"/>
      <c r="R42" s="304">
        <f t="shared" ref="R42:AX46" ca="1" si="111">IFERROR(INDEX(INDIRECT($C42&amp;".Outputs["&amp;this.Year&amp;"]"), MATCH(R$5, INDIRECT($C42&amp;".Outputs[Vector]"), 0)), 0)</f>
        <v>0</v>
      </c>
      <c r="S42" s="304">
        <f t="shared" ca="1" si="111"/>
        <v>0</v>
      </c>
      <c r="T42" s="304">
        <f t="shared" ca="1" si="111"/>
        <v>0</v>
      </c>
      <c r="U42" s="304">
        <f t="shared" ca="1" si="111"/>
        <v>0</v>
      </c>
      <c r="V42" s="304">
        <f t="shared" ca="1" si="111"/>
        <v>0</v>
      </c>
      <c r="W42" s="304">
        <f t="shared" ca="1" si="111"/>
        <v>0</v>
      </c>
      <c r="X42" s="304">
        <f t="shared" ref="X42:Z46" ca="1" si="112">IFERROR(INDEX(INDIRECT($C42&amp;".Outputs["&amp;this.Year&amp;"]"), MATCH(X$5, INDIRECT($C42&amp;".Outputs[Vector]"), 0)), 0)</f>
        <v>0</v>
      </c>
      <c r="Y42" s="304">
        <f t="shared" ca="1" si="112"/>
        <v>0</v>
      </c>
      <c r="Z42" s="304">
        <f t="shared" ca="1" si="112"/>
        <v>0</v>
      </c>
      <c r="AA42" s="304">
        <f t="shared" ca="1" si="111"/>
        <v>0</v>
      </c>
      <c r="AB42" s="304">
        <f t="shared" ca="1" si="111"/>
        <v>0</v>
      </c>
      <c r="AC42" s="304">
        <f t="shared" ca="1" si="111"/>
        <v>0</v>
      </c>
      <c r="AD42" s="304">
        <f t="shared" ca="1" si="111"/>
        <v>0</v>
      </c>
      <c r="AE42" s="304">
        <f t="shared" ca="1" si="111"/>
        <v>0</v>
      </c>
      <c r="AF42" s="304">
        <f t="shared" ca="1" si="111"/>
        <v>0</v>
      </c>
      <c r="AG42" s="304">
        <f t="shared" ca="1" si="111"/>
        <v>0</v>
      </c>
      <c r="AH42" s="305">
        <f t="shared" ca="1" si="5"/>
        <v>0</v>
      </c>
      <c r="AI42" s="84"/>
      <c r="AJ42" s="312">
        <f t="shared" ref="AJ42:AR46" ca="1" si="113">IFERROR(INDEX(INDIRECT($C42&amp;".Outputs["&amp;this.Year&amp;"]"), MATCH(AJ$5, INDIRECT($C42&amp;".Outputs[Vector]"), 0)), 0)</f>
        <v>0</v>
      </c>
      <c r="AK42" s="312">
        <f t="shared" ca="1" si="113"/>
        <v>0</v>
      </c>
      <c r="AL42" s="312">
        <f t="shared" ca="1" si="113"/>
        <v>0</v>
      </c>
      <c r="AM42" s="312">
        <f t="shared" ca="1" si="113"/>
        <v>0</v>
      </c>
      <c r="AN42" s="312">
        <f t="shared" ca="1" si="113"/>
        <v>0</v>
      </c>
      <c r="AO42" s="312">
        <f t="shared" ca="1" si="113"/>
        <v>0</v>
      </c>
      <c r="AP42" s="312">
        <f t="shared" ca="1" si="113"/>
        <v>0</v>
      </c>
      <c r="AQ42" s="312">
        <f t="shared" ca="1" si="113"/>
        <v>0</v>
      </c>
      <c r="AR42" s="312">
        <f t="shared" ca="1" si="113"/>
        <v>0</v>
      </c>
      <c r="AS42" s="312">
        <f t="shared" ca="1" si="111"/>
        <v>0</v>
      </c>
      <c r="AT42" s="312">
        <f t="shared" ca="1" si="111"/>
        <v>0</v>
      </c>
      <c r="AU42" s="312">
        <f t="shared" ca="1" si="111"/>
        <v>0</v>
      </c>
      <c r="AV42" s="312">
        <f t="shared" ca="1" si="111"/>
        <v>0</v>
      </c>
      <c r="AW42" s="312">
        <f t="shared" ca="1" si="111"/>
        <v>0</v>
      </c>
      <c r="AX42" s="312">
        <f t="shared" ca="1" si="111"/>
        <v>0</v>
      </c>
      <c r="AY42" s="266">
        <f t="shared" ca="1" si="77"/>
        <v>0</v>
      </c>
      <c r="AZ42" s="84"/>
      <c r="BA42" s="308">
        <f t="shared" ref="BA42:BB46" ca="1" si="114">IFERROR(INDEX(INDIRECT($C42&amp;".Outputs["&amp;this.Year&amp;"]"), MATCH(BA$5, INDIRECT($C42&amp;".Outputs[Vector]"), 0)), 0)</f>
        <v>0</v>
      </c>
      <c r="BB42" s="308">
        <f t="shared" ca="1" si="114"/>
        <v>0</v>
      </c>
      <c r="BC42" s="309">
        <f t="shared" ca="1" si="10"/>
        <v>0</v>
      </c>
      <c r="BD42" s="84"/>
      <c r="BE42" s="135">
        <f t="shared" ca="1" si="108"/>
        <v>0</v>
      </c>
      <c r="BF42" s="135"/>
      <c r="BG42" s="153"/>
      <c r="BH42" s="541">
        <f t="shared" ref="BH42:BQ46" ca="1" si="115">IFERROR(SUMIFS(INDIRECT($C42&amp;".Emissions["&amp;this.Year&amp;"]"), INDIRECT($C42&amp;".Emissions[GHG]"), BH$6, INDIRECT($C42&amp;".Emissions[IPCC Sector]"), BH$5),0)</f>
        <v>0</v>
      </c>
      <c r="BI42" s="542">
        <f t="shared" ca="1" si="115"/>
        <v>0</v>
      </c>
      <c r="BJ42" s="542">
        <f t="shared" ca="1" si="115"/>
        <v>0</v>
      </c>
      <c r="BK42" s="542">
        <f t="shared" ca="1" si="115"/>
        <v>0</v>
      </c>
      <c r="BL42" s="542">
        <f t="shared" ca="1" si="115"/>
        <v>0</v>
      </c>
      <c r="BM42" s="542">
        <f t="shared" ca="1" si="115"/>
        <v>0</v>
      </c>
      <c r="BN42" s="542">
        <f t="shared" ca="1" si="115"/>
        <v>0</v>
      </c>
      <c r="BO42" s="542">
        <f t="shared" ca="1" si="115"/>
        <v>0</v>
      </c>
      <c r="BP42" s="542">
        <f t="shared" ca="1" si="115"/>
        <v>0</v>
      </c>
      <c r="BQ42" s="542">
        <f t="shared" ca="1" si="115"/>
        <v>0</v>
      </c>
      <c r="BR42" s="542">
        <f t="shared" ref="BR42:CA46" ca="1" si="116">IFERROR(SUMIFS(INDIRECT($C42&amp;".Emissions["&amp;this.Year&amp;"]"), INDIRECT($C42&amp;".Emissions[GHG]"), BR$6, INDIRECT($C42&amp;".Emissions[IPCC Sector]"), BR$5),0)</f>
        <v>0</v>
      </c>
      <c r="BS42" s="542">
        <f t="shared" ca="1" si="116"/>
        <v>0</v>
      </c>
      <c r="BT42" s="542">
        <f t="shared" ca="1" si="116"/>
        <v>0</v>
      </c>
      <c r="BU42" s="542">
        <f t="shared" ca="1" si="116"/>
        <v>0</v>
      </c>
      <c r="BV42" s="542">
        <f t="shared" ca="1" si="116"/>
        <v>0</v>
      </c>
      <c r="BW42" s="542">
        <f t="shared" ca="1" si="116"/>
        <v>0</v>
      </c>
      <c r="BX42" s="542">
        <f t="shared" ca="1" si="116"/>
        <v>0</v>
      </c>
      <c r="BY42" s="542">
        <f t="shared" ca="1" si="116"/>
        <v>0</v>
      </c>
      <c r="BZ42" s="542">
        <f t="shared" ca="1" si="116"/>
        <v>0</v>
      </c>
      <c r="CA42" s="542">
        <f t="shared" ca="1" si="116"/>
        <v>0</v>
      </c>
      <c r="CB42" s="542">
        <f t="shared" ref="CB42:CK46" ca="1" si="117">IFERROR(SUMIFS(INDIRECT($C42&amp;".Emissions["&amp;this.Year&amp;"]"), INDIRECT($C42&amp;".Emissions[GHG]"), CB$6, INDIRECT($C42&amp;".Emissions[IPCC Sector]"), CB$5),0)</f>
        <v>0</v>
      </c>
      <c r="CC42" s="542">
        <f t="shared" ca="1" si="117"/>
        <v>0</v>
      </c>
      <c r="CD42" s="542">
        <f t="shared" ca="1" si="117"/>
        <v>0</v>
      </c>
      <c r="CE42" s="542">
        <f t="shared" ca="1" si="117"/>
        <v>0</v>
      </c>
      <c r="CF42" s="542">
        <f t="shared" ca="1" si="117"/>
        <v>0</v>
      </c>
      <c r="CG42" s="542">
        <f t="shared" ca="1" si="117"/>
        <v>0</v>
      </c>
      <c r="CH42" s="542">
        <f t="shared" ca="1" si="117"/>
        <v>0</v>
      </c>
      <c r="CI42" s="542">
        <f t="shared" ca="1" si="117"/>
        <v>0</v>
      </c>
      <c r="CJ42" s="542">
        <f t="shared" ca="1" si="117"/>
        <v>0</v>
      </c>
      <c r="CK42" s="542">
        <f t="shared" ca="1" si="117"/>
        <v>0</v>
      </c>
      <c r="CL42" s="542">
        <f t="shared" ref="CL42:CU46" ca="1" si="118">IFERROR(SUMIFS(INDIRECT($C42&amp;".Emissions["&amp;this.Year&amp;"]"), INDIRECT($C42&amp;".Emissions[GHG]"), CL$6, INDIRECT($C42&amp;".Emissions[IPCC Sector]"), CL$5),0)</f>
        <v>0</v>
      </c>
      <c r="CM42" s="542">
        <f t="shared" ca="1" si="118"/>
        <v>0</v>
      </c>
      <c r="CN42" s="542">
        <f t="shared" ca="1" si="118"/>
        <v>0</v>
      </c>
      <c r="CO42" s="542">
        <f t="shared" ca="1" si="118"/>
        <v>0</v>
      </c>
      <c r="CP42" s="542">
        <f t="shared" ca="1" si="118"/>
        <v>0</v>
      </c>
      <c r="CQ42" s="542">
        <f t="shared" ca="1" si="118"/>
        <v>0</v>
      </c>
      <c r="CR42" s="542">
        <f t="shared" ca="1" si="118"/>
        <v>0</v>
      </c>
      <c r="CS42" s="542">
        <f t="shared" ca="1" si="118"/>
        <v>0</v>
      </c>
      <c r="CT42" s="542">
        <f t="shared" ca="1" si="118"/>
        <v>0</v>
      </c>
      <c r="CU42" s="542">
        <f t="shared" ca="1" si="118"/>
        <v>0</v>
      </c>
      <c r="CW42" s="151">
        <f t="shared" ca="1" si="78"/>
        <v>0</v>
      </c>
    </row>
    <row r="43" spans="1:101" s="543" customFormat="1" ht="12.75" customHeight="1" outlineLevel="1" x14ac:dyDescent="0.2">
      <c r="C43" s="86" t="s">
        <v>2366</v>
      </c>
      <c r="D43" s="61" t="str">
        <f>INDEX(Modules[Module], MATCH($C43, Modules[Code], 0))</f>
        <v>Large Hydroelectric power stations</v>
      </c>
      <c r="E43" s="61"/>
      <c r="F43" s="84"/>
      <c r="G43" s="297">
        <f t="shared" ca="1" si="110"/>
        <v>0</v>
      </c>
      <c r="H43" s="297">
        <f t="shared" ca="1" si="110"/>
        <v>0</v>
      </c>
      <c r="I43" s="297">
        <f t="shared" ca="1" si="110"/>
        <v>0</v>
      </c>
      <c r="J43" s="297">
        <f t="shared" ca="1" si="110"/>
        <v>0</v>
      </c>
      <c r="K43" s="297">
        <f t="shared" ca="1" si="110"/>
        <v>0</v>
      </c>
      <c r="L43" s="297">
        <f t="shared" ca="1" si="110"/>
        <v>0</v>
      </c>
      <c r="M43" s="297">
        <f t="shared" ca="1" si="110"/>
        <v>0</v>
      </c>
      <c r="N43" s="297">
        <f t="shared" ca="1" si="110"/>
        <v>0</v>
      </c>
      <c r="O43" s="297">
        <f t="shared" ca="1" si="110"/>
        <v>0</v>
      </c>
      <c r="P43" s="297">
        <f t="shared" ca="1" si="73"/>
        <v>0</v>
      </c>
      <c r="Q43" s="84"/>
      <c r="R43" s="304">
        <f t="shared" ca="1" si="111"/>
        <v>0</v>
      </c>
      <c r="S43" s="304">
        <f t="shared" ca="1" si="111"/>
        <v>9.9932399999999983</v>
      </c>
      <c r="T43" s="304">
        <f t="shared" ca="1" si="111"/>
        <v>0</v>
      </c>
      <c r="U43" s="304">
        <f t="shared" ca="1" si="111"/>
        <v>0</v>
      </c>
      <c r="V43" s="304">
        <f t="shared" ca="1" si="111"/>
        <v>0</v>
      </c>
      <c r="W43" s="304">
        <f t="shared" ca="1" si="111"/>
        <v>0</v>
      </c>
      <c r="X43" s="304">
        <f t="shared" ca="1" si="112"/>
        <v>0</v>
      </c>
      <c r="Y43" s="304">
        <f t="shared" ca="1" si="112"/>
        <v>0</v>
      </c>
      <c r="Z43" s="304">
        <f t="shared" ca="1" si="112"/>
        <v>0</v>
      </c>
      <c r="AA43" s="304">
        <f t="shared" ca="1" si="111"/>
        <v>0</v>
      </c>
      <c r="AB43" s="304">
        <f t="shared" ca="1" si="111"/>
        <v>0</v>
      </c>
      <c r="AC43" s="304">
        <f t="shared" ca="1" si="111"/>
        <v>0</v>
      </c>
      <c r="AD43" s="304">
        <f t="shared" ca="1" si="111"/>
        <v>0</v>
      </c>
      <c r="AE43" s="304">
        <f t="shared" ca="1" si="111"/>
        <v>0</v>
      </c>
      <c r="AF43" s="304">
        <f t="shared" ca="1" si="111"/>
        <v>0</v>
      </c>
      <c r="AG43" s="304">
        <f t="shared" ca="1" si="111"/>
        <v>0</v>
      </c>
      <c r="AH43" s="305">
        <f t="shared" ca="1" si="5"/>
        <v>9.9932399999999983</v>
      </c>
      <c r="AI43" s="84"/>
      <c r="AJ43" s="312">
        <f t="shared" ca="1" si="113"/>
        <v>0</v>
      </c>
      <c r="AK43" s="312">
        <f t="shared" ca="1" si="113"/>
        <v>0</v>
      </c>
      <c r="AL43" s="312">
        <f t="shared" ca="1" si="113"/>
        <v>0</v>
      </c>
      <c r="AM43" s="312">
        <f t="shared" ca="1" si="113"/>
        <v>0</v>
      </c>
      <c r="AN43" s="312">
        <f t="shared" ca="1" si="113"/>
        <v>0</v>
      </c>
      <c r="AO43" s="312">
        <f t="shared" ca="1" si="113"/>
        <v>0</v>
      </c>
      <c r="AP43" s="312">
        <f t="shared" ca="1" si="113"/>
        <v>0</v>
      </c>
      <c r="AQ43" s="312">
        <f t="shared" ca="1" si="113"/>
        <v>0</v>
      </c>
      <c r="AR43" s="312">
        <f t="shared" ca="1" si="113"/>
        <v>0</v>
      </c>
      <c r="AS43" s="312">
        <f t="shared" ca="1" si="111"/>
        <v>0</v>
      </c>
      <c r="AT43" s="312">
        <f t="shared" ca="1" si="111"/>
        <v>0</v>
      </c>
      <c r="AU43" s="312">
        <f t="shared" ca="1" si="111"/>
        <v>0</v>
      </c>
      <c r="AV43" s="312">
        <f t="shared" ca="1" si="111"/>
        <v>-9.9932399999999983</v>
      </c>
      <c r="AW43" s="312">
        <f t="shared" ca="1" si="111"/>
        <v>0</v>
      </c>
      <c r="AX43" s="312">
        <f t="shared" ca="1" si="111"/>
        <v>0</v>
      </c>
      <c r="AY43" s="266">
        <f t="shared" ca="1" si="77"/>
        <v>-9.9932399999999983</v>
      </c>
      <c r="AZ43" s="84"/>
      <c r="BA43" s="308">
        <f t="shared" ca="1" si="114"/>
        <v>0</v>
      </c>
      <c r="BB43" s="308">
        <f t="shared" ca="1" si="114"/>
        <v>0</v>
      </c>
      <c r="BC43" s="309">
        <f t="shared" ca="1" si="10"/>
        <v>0</v>
      </c>
      <c r="BD43" s="84"/>
      <c r="BE43" s="135">
        <f t="shared" ca="1" si="108"/>
        <v>0</v>
      </c>
      <c r="BF43" s="135"/>
      <c r="BG43" s="153"/>
      <c r="BH43" s="541">
        <f t="shared" ca="1" si="115"/>
        <v>0</v>
      </c>
      <c r="BI43" s="542">
        <f t="shared" ca="1" si="115"/>
        <v>0</v>
      </c>
      <c r="BJ43" s="542">
        <f t="shared" ca="1" si="115"/>
        <v>0</v>
      </c>
      <c r="BK43" s="542">
        <f t="shared" ca="1" si="115"/>
        <v>0</v>
      </c>
      <c r="BL43" s="542">
        <f t="shared" ca="1" si="115"/>
        <v>0</v>
      </c>
      <c r="BM43" s="542">
        <f t="shared" ca="1" si="115"/>
        <v>0</v>
      </c>
      <c r="BN43" s="542">
        <f t="shared" ca="1" si="115"/>
        <v>0</v>
      </c>
      <c r="BO43" s="542">
        <f t="shared" ca="1" si="115"/>
        <v>0</v>
      </c>
      <c r="BP43" s="542">
        <f t="shared" ca="1" si="115"/>
        <v>0</v>
      </c>
      <c r="BQ43" s="542">
        <f t="shared" ca="1" si="115"/>
        <v>0</v>
      </c>
      <c r="BR43" s="542">
        <f t="shared" ca="1" si="116"/>
        <v>0</v>
      </c>
      <c r="BS43" s="542">
        <f t="shared" ca="1" si="116"/>
        <v>0</v>
      </c>
      <c r="BT43" s="542">
        <f t="shared" ca="1" si="116"/>
        <v>0</v>
      </c>
      <c r="BU43" s="542">
        <f t="shared" ca="1" si="116"/>
        <v>0</v>
      </c>
      <c r="BV43" s="542">
        <f t="shared" ca="1" si="116"/>
        <v>0</v>
      </c>
      <c r="BW43" s="542">
        <f t="shared" ca="1" si="116"/>
        <v>0</v>
      </c>
      <c r="BX43" s="542">
        <f t="shared" ca="1" si="116"/>
        <v>0</v>
      </c>
      <c r="BY43" s="542">
        <f t="shared" ca="1" si="116"/>
        <v>0</v>
      </c>
      <c r="BZ43" s="542">
        <f t="shared" ca="1" si="116"/>
        <v>0</v>
      </c>
      <c r="CA43" s="542">
        <f t="shared" ca="1" si="116"/>
        <v>0</v>
      </c>
      <c r="CB43" s="542">
        <f t="shared" ca="1" si="117"/>
        <v>0</v>
      </c>
      <c r="CC43" s="542">
        <f t="shared" ca="1" si="117"/>
        <v>0</v>
      </c>
      <c r="CD43" s="542">
        <f t="shared" ca="1" si="117"/>
        <v>0</v>
      </c>
      <c r="CE43" s="542">
        <f t="shared" ca="1" si="117"/>
        <v>0</v>
      </c>
      <c r="CF43" s="542">
        <f t="shared" ca="1" si="117"/>
        <v>0</v>
      </c>
      <c r="CG43" s="542">
        <f t="shared" ca="1" si="117"/>
        <v>0</v>
      </c>
      <c r="CH43" s="542">
        <f t="shared" ca="1" si="117"/>
        <v>0</v>
      </c>
      <c r="CI43" s="542">
        <f t="shared" ca="1" si="117"/>
        <v>0</v>
      </c>
      <c r="CJ43" s="542">
        <f t="shared" ca="1" si="117"/>
        <v>0</v>
      </c>
      <c r="CK43" s="542">
        <f t="shared" ca="1" si="117"/>
        <v>0</v>
      </c>
      <c r="CL43" s="542">
        <f t="shared" ca="1" si="118"/>
        <v>0</v>
      </c>
      <c r="CM43" s="542">
        <f t="shared" ca="1" si="118"/>
        <v>0</v>
      </c>
      <c r="CN43" s="542">
        <f t="shared" ca="1" si="118"/>
        <v>0</v>
      </c>
      <c r="CO43" s="542">
        <f t="shared" ca="1" si="118"/>
        <v>0</v>
      </c>
      <c r="CP43" s="542">
        <f t="shared" ca="1" si="118"/>
        <v>0</v>
      </c>
      <c r="CQ43" s="542">
        <f t="shared" ca="1" si="118"/>
        <v>0</v>
      </c>
      <c r="CR43" s="542">
        <f t="shared" ca="1" si="118"/>
        <v>0</v>
      </c>
      <c r="CS43" s="542">
        <f t="shared" ca="1" si="118"/>
        <v>0</v>
      </c>
      <c r="CT43" s="542">
        <f t="shared" ca="1" si="118"/>
        <v>0</v>
      </c>
      <c r="CU43" s="542">
        <f t="shared" ca="1" si="118"/>
        <v>0</v>
      </c>
      <c r="CW43" s="151">
        <f t="shared" ca="1" si="78"/>
        <v>0</v>
      </c>
    </row>
    <row r="44" spans="1:101" s="543" customFormat="1" ht="12.75" customHeight="1" outlineLevel="1" x14ac:dyDescent="0.2">
      <c r="C44" s="86" t="s">
        <v>2365</v>
      </c>
      <c r="D44" s="61" t="str">
        <f>INDEX(Modules[Module], MATCH($C44, Modules[Code], 0))</f>
        <v>Small Hydroelectric power stations</v>
      </c>
      <c r="E44" s="61"/>
      <c r="F44" s="84"/>
      <c r="G44" s="297">
        <f t="shared" ca="1" si="110"/>
        <v>0</v>
      </c>
      <c r="H44" s="297">
        <f t="shared" ca="1" si="110"/>
        <v>0</v>
      </c>
      <c r="I44" s="297">
        <f t="shared" ca="1" si="110"/>
        <v>0</v>
      </c>
      <c r="J44" s="297">
        <f t="shared" ca="1" si="110"/>
        <v>0</v>
      </c>
      <c r="K44" s="297">
        <f t="shared" ca="1" si="110"/>
        <v>0</v>
      </c>
      <c r="L44" s="297">
        <f t="shared" ca="1" si="110"/>
        <v>0</v>
      </c>
      <c r="M44" s="297">
        <f t="shared" ca="1" si="110"/>
        <v>0</v>
      </c>
      <c r="N44" s="297">
        <f t="shared" ca="1" si="110"/>
        <v>0</v>
      </c>
      <c r="O44" s="297">
        <f t="shared" ca="1" si="110"/>
        <v>0</v>
      </c>
      <c r="P44" s="297">
        <f t="shared" ca="1" si="73"/>
        <v>0</v>
      </c>
      <c r="Q44" s="84"/>
      <c r="R44" s="304">
        <f t="shared" ca="1" si="111"/>
        <v>0</v>
      </c>
      <c r="S44" s="304">
        <f t="shared" ca="1" si="111"/>
        <v>0.28051199999999998</v>
      </c>
      <c r="T44" s="304">
        <f t="shared" ca="1" si="111"/>
        <v>0</v>
      </c>
      <c r="U44" s="304">
        <f t="shared" ca="1" si="111"/>
        <v>0</v>
      </c>
      <c r="V44" s="304">
        <f t="shared" ca="1" si="111"/>
        <v>0</v>
      </c>
      <c r="W44" s="304">
        <f t="shared" ca="1" si="111"/>
        <v>0</v>
      </c>
      <c r="X44" s="304">
        <f t="shared" ca="1" si="112"/>
        <v>0</v>
      </c>
      <c r="Y44" s="304">
        <f t="shared" ca="1" si="112"/>
        <v>0</v>
      </c>
      <c r="Z44" s="304">
        <f t="shared" ca="1" si="112"/>
        <v>0</v>
      </c>
      <c r="AA44" s="304">
        <f t="shared" ca="1" si="111"/>
        <v>0</v>
      </c>
      <c r="AB44" s="304">
        <f t="shared" ca="1" si="111"/>
        <v>0</v>
      </c>
      <c r="AC44" s="304">
        <f t="shared" ca="1" si="111"/>
        <v>0</v>
      </c>
      <c r="AD44" s="304">
        <f t="shared" ca="1" si="111"/>
        <v>0</v>
      </c>
      <c r="AE44" s="304">
        <f t="shared" ca="1" si="111"/>
        <v>0</v>
      </c>
      <c r="AF44" s="304">
        <f t="shared" ca="1" si="111"/>
        <v>0</v>
      </c>
      <c r="AG44" s="304">
        <f t="shared" ca="1" si="111"/>
        <v>0</v>
      </c>
      <c r="AH44" s="305">
        <f t="shared" ca="1" si="5"/>
        <v>0.28051199999999998</v>
      </c>
      <c r="AI44" s="84"/>
      <c r="AJ44" s="312">
        <f t="shared" ca="1" si="113"/>
        <v>0</v>
      </c>
      <c r="AK44" s="312">
        <f t="shared" ca="1" si="113"/>
        <v>0</v>
      </c>
      <c r="AL44" s="312">
        <f t="shared" ca="1" si="113"/>
        <v>0</v>
      </c>
      <c r="AM44" s="312">
        <f t="shared" ca="1" si="113"/>
        <v>0</v>
      </c>
      <c r="AN44" s="312">
        <f t="shared" ca="1" si="113"/>
        <v>0</v>
      </c>
      <c r="AO44" s="312">
        <f t="shared" ca="1" si="113"/>
        <v>0</v>
      </c>
      <c r="AP44" s="312">
        <f t="shared" ca="1" si="113"/>
        <v>0</v>
      </c>
      <c r="AQ44" s="312">
        <f t="shared" ca="1" si="113"/>
        <v>0</v>
      </c>
      <c r="AR44" s="312">
        <f t="shared" ca="1" si="113"/>
        <v>0</v>
      </c>
      <c r="AS44" s="312">
        <f t="shared" ca="1" si="111"/>
        <v>0</v>
      </c>
      <c r="AT44" s="312">
        <f t="shared" ca="1" si="111"/>
        <v>0</v>
      </c>
      <c r="AU44" s="312">
        <f t="shared" ca="1" si="111"/>
        <v>0</v>
      </c>
      <c r="AV44" s="312">
        <f t="shared" ca="1" si="111"/>
        <v>-0.28051199999999998</v>
      </c>
      <c r="AW44" s="312">
        <f t="shared" ca="1" si="111"/>
        <v>0</v>
      </c>
      <c r="AX44" s="312">
        <f t="shared" ca="1" si="111"/>
        <v>0</v>
      </c>
      <c r="AY44" s="266">
        <f t="shared" ca="1" si="77"/>
        <v>-0.28051199999999998</v>
      </c>
      <c r="AZ44" s="84"/>
      <c r="BA44" s="308">
        <f t="shared" ca="1" si="114"/>
        <v>0</v>
      </c>
      <c r="BB44" s="308">
        <f t="shared" ca="1" si="114"/>
        <v>0</v>
      </c>
      <c r="BC44" s="309">
        <f t="shared" ca="1" si="10"/>
        <v>0</v>
      </c>
      <c r="BD44" s="84"/>
      <c r="BE44" s="135">
        <f t="shared" ca="1" si="108"/>
        <v>0</v>
      </c>
      <c r="BF44" s="135"/>
      <c r="BG44" s="1428"/>
      <c r="BH44" s="541">
        <f t="shared" ca="1" si="115"/>
        <v>0</v>
      </c>
      <c r="BI44" s="542">
        <f t="shared" ca="1" si="115"/>
        <v>0</v>
      </c>
      <c r="BJ44" s="542">
        <f t="shared" ca="1" si="115"/>
        <v>0</v>
      </c>
      <c r="BK44" s="542">
        <f t="shared" ca="1" si="115"/>
        <v>0</v>
      </c>
      <c r="BL44" s="542">
        <f t="shared" ca="1" si="115"/>
        <v>0</v>
      </c>
      <c r="BM44" s="542">
        <f t="shared" ca="1" si="115"/>
        <v>0</v>
      </c>
      <c r="BN44" s="542">
        <f t="shared" ca="1" si="115"/>
        <v>0</v>
      </c>
      <c r="BO44" s="542">
        <f t="shared" ca="1" si="115"/>
        <v>0</v>
      </c>
      <c r="BP44" s="542">
        <f t="shared" ca="1" si="115"/>
        <v>0</v>
      </c>
      <c r="BQ44" s="542">
        <f t="shared" ca="1" si="115"/>
        <v>0</v>
      </c>
      <c r="BR44" s="542">
        <f t="shared" ca="1" si="116"/>
        <v>0</v>
      </c>
      <c r="BS44" s="542">
        <f t="shared" ca="1" si="116"/>
        <v>0</v>
      </c>
      <c r="BT44" s="542">
        <f t="shared" ca="1" si="116"/>
        <v>0</v>
      </c>
      <c r="BU44" s="542">
        <f t="shared" ca="1" si="116"/>
        <v>0</v>
      </c>
      <c r="BV44" s="542">
        <f t="shared" ca="1" si="116"/>
        <v>0</v>
      </c>
      <c r="BW44" s="542">
        <f t="shared" ca="1" si="116"/>
        <v>0</v>
      </c>
      <c r="BX44" s="542">
        <f t="shared" ca="1" si="116"/>
        <v>0</v>
      </c>
      <c r="BY44" s="542">
        <f t="shared" ca="1" si="116"/>
        <v>0</v>
      </c>
      <c r="BZ44" s="542">
        <f t="shared" ca="1" si="116"/>
        <v>0</v>
      </c>
      <c r="CA44" s="542">
        <f t="shared" ca="1" si="116"/>
        <v>0</v>
      </c>
      <c r="CB44" s="542">
        <f t="shared" ca="1" si="117"/>
        <v>0</v>
      </c>
      <c r="CC44" s="542">
        <f t="shared" ca="1" si="117"/>
        <v>0</v>
      </c>
      <c r="CD44" s="542">
        <f t="shared" ca="1" si="117"/>
        <v>0</v>
      </c>
      <c r="CE44" s="542">
        <f t="shared" ca="1" si="117"/>
        <v>0</v>
      </c>
      <c r="CF44" s="542">
        <f t="shared" ca="1" si="117"/>
        <v>0</v>
      </c>
      <c r="CG44" s="542">
        <f t="shared" ca="1" si="117"/>
        <v>0</v>
      </c>
      <c r="CH44" s="542">
        <f t="shared" ca="1" si="117"/>
        <v>0</v>
      </c>
      <c r="CI44" s="542">
        <f t="shared" ca="1" si="117"/>
        <v>0</v>
      </c>
      <c r="CJ44" s="542">
        <f t="shared" ca="1" si="117"/>
        <v>0</v>
      </c>
      <c r="CK44" s="542">
        <f t="shared" ca="1" si="117"/>
        <v>0</v>
      </c>
      <c r="CL44" s="542">
        <f t="shared" ca="1" si="118"/>
        <v>0</v>
      </c>
      <c r="CM44" s="542">
        <f t="shared" ca="1" si="118"/>
        <v>0</v>
      </c>
      <c r="CN44" s="542">
        <f t="shared" ca="1" si="118"/>
        <v>0</v>
      </c>
      <c r="CO44" s="542">
        <f t="shared" ca="1" si="118"/>
        <v>0</v>
      </c>
      <c r="CP44" s="542">
        <f t="shared" ca="1" si="118"/>
        <v>0</v>
      </c>
      <c r="CQ44" s="542">
        <f t="shared" ca="1" si="118"/>
        <v>0</v>
      </c>
      <c r="CR44" s="542">
        <f t="shared" ca="1" si="118"/>
        <v>0</v>
      </c>
      <c r="CS44" s="542">
        <f t="shared" ca="1" si="118"/>
        <v>0</v>
      </c>
      <c r="CT44" s="542">
        <f t="shared" ca="1" si="118"/>
        <v>0</v>
      </c>
      <c r="CU44" s="542">
        <f t="shared" ca="1" si="118"/>
        <v>0</v>
      </c>
      <c r="CW44" s="151">
        <f ca="1">SUM(BH44:CU44)</f>
        <v>0</v>
      </c>
    </row>
    <row r="45" spans="1:101" s="543" customFormat="1" ht="12.75" customHeight="1" outlineLevel="1" x14ac:dyDescent="0.2">
      <c r="C45" s="86" t="s">
        <v>2364</v>
      </c>
      <c r="D45" s="61" t="str">
        <f>INDEX(Modules[Module], MATCH($C45, Modules[Code], 0))</f>
        <v>Grid Connected Solar PV</v>
      </c>
      <c r="E45" s="61"/>
      <c r="F45" s="84"/>
      <c r="G45" s="297">
        <f t="shared" ca="1" si="110"/>
        <v>0</v>
      </c>
      <c r="H45" s="297">
        <f t="shared" ca="1" si="110"/>
        <v>0</v>
      </c>
      <c r="I45" s="297">
        <f t="shared" ca="1" si="110"/>
        <v>0</v>
      </c>
      <c r="J45" s="297">
        <f t="shared" ca="1" si="110"/>
        <v>0</v>
      </c>
      <c r="K45" s="297">
        <f t="shared" ca="1" si="110"/>
        <v>0</v>
      </c>
      <c r="L45" s="297">
        <f t="shared" ca="1" si="110"/>
        <v>0</v>
      </c>
      <c r="M45" s="297">
        <f t="shared" ca="1" si="110"/>
        <v>0</v>
      </c>
      <c r="N45" s="297">
        <f t="shared" ca="1" si="110"/>
        <v>0</v>
      </c>
      <c r="O45" s="297">
        <f t="shared" ca="1" si="110"/>
        <v>0</v>
      </c>
      <c r="P45" s="297">
        <f t="shared" ca="1" si="73"/>
        <v>0</v>
      </c>
      <c r="Q45" s="84"/>
      <c r="R45" s="304">
        <f t="shared" ca="1" si="111"/>
        <v>0</v>
      </c>
      <c r="S45" s="304">
        <f t="shared" ca="1" si="111"/>
        <v>0</v>
      </c>
      <c r="T45" s="304">
        <f t="shared" ca="1" si="111"/>
        <v>0</v>
      </c>
      <c r="U45" s="304">
        <f t="shared" ca="1" si="111"/>
        <v>0</v>
      </c>
      <c r="V45" s="304">
        <f t="shared" ca="1" si="111"/>
        <v>0</v>
      </c>
      <c r="W45" s="304">
        <f t="shared" ca="1" si="111"/>
        <v>0</v>
      </c>
      <c r="X45" s="304">
        <f t="shared" ca="1" si="112"/>
        <v>0</v>
      </c>
      <c r="Y45" s="304">
        <f t="shared" ca="1" si="112"/>
        <v>0</v>
      </c>
      <c r="Z45" s="304">
        <f t="shared" ca="1" si="112"/>
        <v>0</v>
      </c>
      <c r="AA45" s="304">
        <f t="shared" ca="1" si="111"/>
        <v>0</v>
      </c>
      <c r="AB45" s="304">
        <f t="shared" ca="1" si="111"/>
        <v>0</v>
      </c>
      <c r="AC45" s="304">
        <f t="shared" ca="1" si="111"/>
        <v>0</v>
      </c>
      <c r="AD45" s="304">
        <f t="shared" ca="1" si="111"/>
        <v>0</v>
      </c>
      <c r="AE45" s="304">
        <f t="shared" ca="1" si="111"/>
        <v>0</v>
      </c>
      <c r="AF45" s="304">
        <f t="shared" ca="1" si="111"/>
        <v>0</v>
      </c>
      <c r="AG45" s="304">
        <f t="shared" ca="1" si="111"/>
        <v>0</v>
      </c>
      <c r="AH45" s="305">
        <f t="shared" ca="1" si="5"/>
        <v>0</v>
      </c>
      <c r="AI45" s="84"/>
      <c r="AJ45" s="312">
        <f t="shared" ca="1" si="113"/>
        <v>0</v>
      </c>
      <c r="AK45" s="312">
        <f t="shared" ca="1" si="113"/>
        <v>0</v>
      </c>
      <c r="AL45" s="312">
        <f t="shared" ca="1" si="113"/>
        <v>0</v>
      </c>
      <c r="AM45" s="312">
        <f t="shared" ca="1" si="113"/>
        <v>0</v>
      </c>
      <c r="AN45" s="312">
        <f t="shared" ca="1" si="113"/>
        <v>0</v>
      </c>
      <c r="AO45" s="312">
        <f t="shared" ca="1" si="113"/>
        <v>0</v>
      </c>
      <c r="AP45" s="312">
        <f t="shared" ca="1" si="113"/>
        <v>0</v>
      </c>
      <c r="AQ45" s="312">
        <f t="shared" ca="1" si="113"/>
        <v>0</v>
      </c>
      <c r="AR45" s="312">
        <f t="shared" ca="1" si="113"/>
        <v>0</v>
      </c>
      <c r="AS45" s="312">
        <f t="shared" ca="1" si="111"/>
        <v>0</v>
      </c>
      <c r="AT45" s="312">
        <f t="shared" ca="1" si="111"/>
        <v>0</v>
      </c>
      <c r="AU45" s="312">
        <f t="shared" ca="1" si="111"/>
        <v>0</v>
      </c>
      <c r="AV45" s="312">
        <f t="shared" ca="1" si="111"/>
        <v>0</v>
      </c>
      <c r="AW45" s="312">
        <f t="shared" ca="1" si="111"/>
        <v>0</v>
      </c>
      <c r="AX45" s="312">
        <f t="shared" ca="1" si="111"/>
        <v>0</v>
      </c>
      <c r="AY45" s="266">
        <f t="shared" ca="1" si="77"/>
        <v>0</v>
      </c>
      <c r="AZ45" s="84"/>
      <c r="BA45" s="308">
        <f t="shared" ca="1" si="114"/>
        <v>0</v>
      </c>
      <c r="BB45" s="308">
        <f t="shared" ca="1" si="114"/>
        <v>0</v>
      </c>
      <c r="BC45" s="309">
        <f t="shared" ca="1" si="10"/>
        <v>0</v>
      </c>
      <c r="BD45" s="84"/>
      <c r="BE45" s="135">
        <f t="shared" ca="1" si="108"/>
        <v>0</v>
      </c>
      <c r="BF45" s="135"/>
      <c r="BG45" s="1428"/>
      <c r="BH45" s="541">
        <f t="shared" ca="1" si="115"/>
        <v>0</v>
      </c>
      <c r="BI45" s="542">
        <f t="shared" ca="1" si="115"/>
        <v>0</v>
      </c>
      <c r="BJ45" s="542">
        <f t="shared" ca="1" si="115"/>
        <v>0</v>
      </c>
      <c r="BK45" s="542">
        <f t="shared" ca="1" si="115"/>
        <v>0</v>
      </c>
      <c r="BL45" s="542">
        <f t="shared" ca="1" si="115"/>
        <v>0</v>
      </c>
      <c r="BM45" s="542">
        <f t="shared" ca="1" si="115"/>
        <v>0</v>
      </c>
      <c r="BN45" s="542">
        <f t="shared" ca="1" si="115"/>
        <v>0</v>
      </c>
      <c r="BO45" s="542">
        <f t="shared" ca="1" si="115"/>
        <v>0</v>
      </c>
      <c r="BP45" s="542">
        <f t="shared" ca="1" si="115"/>
        <v>0</v>
      </c>
      <c r="BQ45" s="542">
        <f t="shared" ca="1" si="115"/>
        <v>0</v>
      </c>
      <c r="BR45" s="542">
        <f t="shared" ca="1" si="116"/>
        <v>0</v>
      </c>
      <c r="BS45" s="542">
        <f t="shared" ca="1" si="116"/>
        <v>0</v>
      </c>
      <c r="BT45" s="542">
        <f t="shared" ca="1" si="116"/>
        <v>0</v>
      </c>
      <c r="BU45" s="542">
        <f t="shared" ca="1" si="116"/>
        <v>0</v>
      </c>
      <c r="BV45" s="542">
        <f t="shared" ca="1" si="116"/>
        <v>0</v>
      </c>
      <c r="BW45" s="542">
        <f t="shared" ca="1" si="116"/>
        <v>0</v>
      </c>
      <c r="BX45" s="542">
        <f t="shared" ca="1" si="116"/>
        <v>0</v>
      </c>
      <c r="BY45" s="542">
        <f t="shared" ca="1" si="116"/>
        <v>0</v>
      </c>
      <c r="BZ45" s="542">
        <f t="shared" ca="1" si="116"/>
        <v>0</v>
      </c>
      <c r="CA45" s="542">
        <f t="shared" ca="1" si="116"/>
        <v>0</v>
      </c>
      <c r="CB45" s="542">
        <f t="shared" ca="1" si="117"/>
        <v>0</v>
      </c>
      <c r="CC45" s="542">
        <f t="shared" ca="1" si="117"/>
        <v>0</v>
      </c>
      <c r="CD45" s="542">
        <f t="shared" ca="1" si="117"/>
        <v>0</v>
      </c>
      <c r="CE45" s="542">
        <f t="shared" ca="1" si="117"/>
        <v>0</v>
      </c>
      <c r="CF45" s="542">
        <f t="shared" ca="1" si="117"/>
        <v>0</v>
      </c>
      <c r="CG45" s="542">
        <f t="shared" ca="1" si="117"/>
        <v>0</v>
      </c>
      <c r="CH45" s="542">
        <f t="shared" ca="1" si="117"/>
        <v>0</v>
      </c>
      <c r="CI45" s="542">
        <f t="shared" ca="1" si="117"/>
        <v>0</v>
      </c>
      <c r="CJ45" s="542">
        <f t="shared" ca="1" si="117"/>
        <v>0</v>
      </c>
      <c r="CK45" s="542">
        <f t="shared" ca="1" si="117"/>
        <v>0</v>
      </c>
      <c r="CL45" s="542">
        <f t="shared" ca="1" si="118"/>
        <v>0</v>
      </c>
      <c r="CM45" s="542">
        <f t="shared" ca="1" si="118"/>
        <v>0</v>
      </c>
      <c r="CN45" s="542">
        <f t="shared" ca="1" si="118"/>
        <v>0</v>
      </c>
      <c r="CO45" s="542">
        <f t="shared" ca="1" si="118"/>
        <v>0</v>
      </c>
      <c r="CP45" s="542">
        <f t="shared" ca="1" si="118"/>
        <v>0</v>
      </c>
      <c r="CQ45" s="542">
        <f t="shared" ca="1" si="118"/>
        <v>0</v>
      </c>
      <c r="CR45" s="542">
        <f t="shared" ca="1" si="118"/>
        <v>0</v>
      </c>
      <c r="CS45" s="542">
        <f t="shared" ca="1" si="118"/>
        <v>0</v>
      </c>
      <c r="CT45" s="542">
        <f t="shared" ca="1" si="118"/>
        <v>0</v>
      </c>
      <c r="CU45" s="542">
        <f t="shared" ca="1" si="118"/>
        <v>0</v>
      </c>
      <c r="CW45" s="151">
        <f t="shared" ref="CW45:CW57" ca="1" si="119">SUM(BH45:CU45)</f>
        <v>0</v>
      </c>
    </row>
    <row r="46" spans="1:101" s="84" customFormat="1" ht="12.75" customHeight="1" outlineLevel="1" x14ac:dyDescent="0.2">
      <c r="A46" s="543"/>
      <c r="B46" s="543"/>
      <c r="C46" s="86" t="s">
        <v>2376</v>
      </c>
      <c r="D46" s="292" t="str">
        <f>INDEX(Modules[Module], MATCH($C46, Modules[Code], 0))</f>
        <v>Concentrated Solar Power</v>
      </c>
      <c r="E46" s="292"/>
      <c r="G46" s="301">
        <f t="shared" ca="1" si="110"/>
        <v>0</v>
      </c>
      <c r="H46" s="301">
        <f t="shared" ca="1" si="110"/>
        <v>0</v>
      </c>
      <c r="I46" s="301">
        <f t="shared" ca="1" si="110"/>
        <v>0</v>
      </c>
      <c r="J46" s="301">
        <f t="shared" ca="1" si="110"/>
        <v>0</v>
      </c>
      <c r="K46" s="301">
        <f t="shared" ca="1" si="110"/>
        <v>0</v>
      </c>
      <c r="L46" s="301">
        <f t="shared" ca="1" si="110"/>
        <v>0</v>
      </c>
      <c r="M46" s="301">
        <f t="shared" ca="1" si="110"/>
        <v>0</v>
      </c>
      <c r="N46" s="301">
        <f t="shared" ca="1" si="110"/>
        <v>0</v>
      </c>
      <c r="O46" s="301">
        <f t="shared" ca="1" si="110"/>
        <v>0</v>
      </c>
      <c r="P46" s="301">
        <f t="shared" ca="1" si="73"/>
        <v>0</v>
      </c>
      <c r="R46" s="307">
        <f t="shared" ca="1" si="111"/>
        <v>0</v>
      </c>
      <c r="S46" s="307">
        <f t="shared" ca="1" si="111"/>
        <v>0</v>
      </c>
      <c r="T46" s="307">
        <f t="shared" ca="1" si="111"/>
        <v>0</v>
      </c>
      <c r="U46" s="307">
        <f t="shared" ca="1" si="111"/>
        <v>0</v>
      </c>
      <c r="V46" s="307">
        <f t="shared" ca="1" si="111"/>
        <v>0</v>
      </c>
      <c r="W46" s="307">
        <f t="shared" ca="1" si="111"/>
        <v>0</v>
      </c>
      <c r="X46" s="307">
        <f t="shared" ca="1" si="112"/>
        <v>0</v>
      </c>
      <c r="Y46" s="307">
        <f t="shared" ca="1" si="112"/>
        <v>0</v>
      </c>
      <c r="Z46" s="307">
        <f t="shared" ca="1" si="112"/>
        <v>0</v>
      </c>
      <c r="AA46" s="307">
        <f t="shared" ca="1" si="111"/>
        <v>0</v>
      </c>
      <c r="AB46" s="307">
        <f t="shared" ca="1" si="111"/>
        <v>0</v>
      </c>
      <c r="AC46" s="307">
        <f t="shared" ca="1" si="111"/>
        <v>0</v>
      </c>
      <c r="AD46" s="307">
        <f t="shared" ca="1" si="111"/>
        <v>0</v>
      </c>
      <c r="AE46" s="307">
        <f t="shared" ca="1" si="111"/>
        <v>0</v>
      </c>
      <c r="AF46" s="307">
        <f t="shared" ca="1" si="111"/>
        <v>0</v>
      </c>
      <c r="AG46" s="307">
        <f t="shared" ca="1" si="111"/>
        <v>0</v>
      </c>
      <c r="AH46" s="306">
        <f t="shared" ca="1" si="5"/>
        <v>0</v>
      </c>
      <c r="AJ46" s="315">
        <f t="shared" ca="1" si="113"/>
        <v>0</v>
      </c>
      <c r="AK46" s="315">
        <f t="shared" ca="1" si="113"/>
        <v>0</v>
      </c>
      <c r="AL46" s="315">
        <f t="shared" ca="1" si="113"/>
        <v>0</v>
      </c>
      <c r="AM46" s="315">
        <f t="shared" ca="1" si="113"/>
        <v>0</v>
      </c>
      <c r="AN46" s="315">
        <f t="shared" ca="1" si="113"/>
        <v>0</v>
      </c>
      <c r="AO46" s="315">
        <f t="shared" ca="1" si="113"/>
        <v>0</v>
      </c>
      <c r="AP46" s="315">
        <f t="shared" ca="1" si="113"/>
        <v>0</v>
      </c>
      <c r="AQ46" s="315">
        <f t="shared" ca="1" si="113"/>
        <v>0</v>
      </c>
      <c r="AR46" s="315">
        <f t="shared" ca="1" si="113"/>
        <v>0</v>
      </c>
      <c r="AS46" s="315">
        <f t="shared" ca="1" si="111"/>
        <v>0</v>
      </c>
      <c r="AT46" s="315">
        <f t="shared" ca="1" si="111"/>
        <v>0</v>
      </c>
      <c r="AU46" s="315">
        <f t="shared" ca="1" si="111"/>
        <v>0</v>
      </c>
      <c r="AV46" s="315">
        <f t="shared" ca="1" si="111"/>
        <v>0</v>
      </c>
      <c r="AW46" s="315">
        <f t="shared" ca="1" si="111"/>
        <v>0</v>
      </c>
      <c r="AX46" s="315">
        <f t="shared" ca="1" si="111"/>
        <v>0</v>
      </c>
      <c r="AY46" s="293">
        <f t="shared" ca="1" si="77"/>
        <v>0</v>
      </c>
      <c r="BA46" s="311">
        <f t="shared" ca="1" si="114"/>
        <v>0</v>
      </c>
      <c r="BB46" s="311">
        <f t="shared" ca="1" si="114"/>
        <v>0</v>
      </c>
      <c r="BC46" s="310">
        <f t="shared" ca="1" si="10"/>
        <v>0</v>
      </c>
      <c r="BE46" s="135">
        <f t="shared" ca="1" si="108"/>
        <v>0</v>
      </c>
      <c r="BF46" s="135"/>
      <c r="BG46" s="153"/>
      <c r="BH46" s="544">
        <f t="shared" ca="1" si="115"/>
        <v>0</v>
      </c>
      <c r="BI46" s="545">
        <f t="shared" ca="1" si="115"/>
        <v>0</v>
      </c>
      <c r="BJ46" s="545">
        <f t="shared" ca="1" si="115"/>
        <v>0</v>
      </c>
      <c r="BK46" s="545">
        <f t="shared" ca="1" si="115"/>
        <v>0</v>
      </c>
      <c r="BL46" s="545">
        <f t="shared" ca="1" si="115"/>
        <v>0</v>
      </c>
      <c r="BM46" s="545">
        <f t="shared" ca="1" si="115"/>
        <v>0</v>
      </c>
      <c r="BN46" s="545">
        <f t="shared" ca="1" si="115"/>
        <v>0</v>
      </c>
      <c r="BO46" s="545">
        <f t="shared" ca="1" si="115"/>
        <v>0</v>
      </c>
      <c r="BP46" s="545">
        <f t="shared" ca="1" si="115"/>
        <v>0</v>
      </c>
      <c r="BQ46" s="545">
        <f t="shared" ca="1" si="115"/>
        <v>0</v>
      </c>
      <c r="BR46" s="545">
        <f t="shared" ca="1" si="116"/>
        <v>0</v>
      </c>
      <c r="BS46" s="545">
        <f t="shared" ca="1" si="116"/>
        <v>0</v>
      </c>
      <c r="BT46" s="545">
        <f t="shared" ca="1" si="116"/>
        <v>0</v>
      </c>
      <c r="BU46" s="545">
        <f t="shared" ca="1" si="116"/>
        <v>0</v>
      </c>
      <c r="BV46" s="545">
        <f t="shared" ca="1" si="116"/>
        <v>0</v>
      </c>
      <c r="BW46" s="545">
        <f t="shared" ca="1" si="116"/>
        <v>0</v>
      </c>
      <c r="BX46" s="545">
        <f t="shared" ca="1" si="116"/>
        <v>0</v>
      </c>
      <c r="BY46" s="545">
        <f t="shared" ca="1" si="116"/>
        <v>0</v>
      </c>
      <c r="BZ46" s="545">
        <f t="shared" ca="1" si="116"/>
        <v>0</v>
      </c>
      <c r="CA46" s="545">
        <f t="shared" ca="1" si="116"/>
        <v>0</v>
      </c>
      <c r="CB46" s="545">
        <f t="shared" ca="1" si="117"/>
        <v>0</v>
      </c>
      <c r="CC46" s="545">
        <f t="shared" ca="1" si="117"/>
        <v>0</v>
      </c>
      <c r="CD46" s="545">
        <f t="shared" ca="1" si="117"/>
        <v>0</v>
      </c>
      <c r="CE46" s="545">
        <f t="shared" ca="1" si="117"/>
        <v>0</v>
      </c>
      <c r="CF46" s="545">
        <f t="shared" ca="1" si="117"/>
        <v>0</v>
      </c>
      <c r="CG46" s="545">
        <f t="shared" ca="1" si="117"/>
        <v>0</v>
      </c>
      <c r="CH46" s="545">
        <f t="shared" ca="1" si="117"/>
        <v>0</v>
      </c>
      <c r="CI46" s="545">
        <f t="shared" ca="1" si="117"/>
        <v>0</v>
      </c>
      <c r="CJ46" s="545">
        <f t="shared" ca="1" si="117"/>
        <v>0</v>
      </c>
      <c r="CK46" s="545">
        <f t="shared" ca="1" si="117"/>
        <v>0</v>
      </c>
      <c r="CL46" s="545">
        <f t="shared" ca="1" si="118"/>
        <v>0</v>
      </c>
      <c r="CM46" s="545">
        <f t="shared" ca="1" si="118"/>
        <v>0</v>
      </c>
      <c r="CN46" s="545">
        <f t="shared" ca="1" si="118"/>
        <v>0</v>
      </c>
      <c r="CO46" s="545">
        <f t="shared" ca="1" si="118"/>
        <v>0</v>
      </c>
      <c r="CP46" s="545">
        <f t="shared" ca="1" si="118"/>
        <v>0</v>
      </c>
      <c r="CQ46" s="545">
        <f t="shared" ca="1" si="118"/>
        <v>0</v>
      </c>
      <c r="CR46" s="545">
        <f t="shared" ca="1" si="118"/>
        <v>0</v>
      </c>
      <c r="CS46" s="545">
        <f t="shared" ca="1" si="118"/>
        <v>0</v>
      </c>
      <c r="CT46" s="545">
        <f t="shared" ca="1" si="118"/>
        <v>0</v>
      </c>
      <c r="CU46" s="545">
        <f t="shared" ca="1" si="118"/>
        <v>0</v>
      </c>
      <c r="CW46" s="151">
        <f t="shared" ca="1" si="119"/>
        <v>0</v>
      </c>
    </row>
    <row r="47" spans="1:101" s="84" customFormat="1" ht="15.75" x14ac:dyDescent="0.2">
      <c r="A47" s="18"/>
      <c r="B47" s="89"/>
      <c r="C47" s="85" t="s">
        <v>62</v>
      </c>
      <c r="D47" s="57" t="str">
        <f>INDEX(Workstreams[Workstream], MATCH($C47, Workstreams[Code], 0))</f>
        <v>National renewable power generation</v>
      </c>
      <c r="E47" s="53"/>
      <c r="G47" s="245">
        <f t="shared" ref="G47:N47" ca="1" si="120">SUM(G42:G46)</f>
        <v>0</v>
      </c>
      <c r="H47" s="245">
        <f t="shared" ca="1" si="120"/>
        <v>0</v>
      </c>
      <c r="I47" s="245">
        <f ca="1">SUM(I42:I46)</f>
        <v>0</v>
      </c>
      <c r="J47" s="245">
        <f t="shared" ca="1" si="120"/>
        <v>0</v>
      </c>
      <c r="K47" s="245">
        <f t="shared" ca="1" si="120"/>
        <v>0</v>
      </c>
      <c r="L47" s="245">
        <f t="shared" ca="1" si="120"/>
        <v>0</v>
      </c>
      <c r="M47" s="245">
        <f t="shared" ca="1" si="120"/>
        <v>0</v>
      </c>
      <c r="N47" s="245">
        <f t="shared" ca="1" si="120"/>
        <v>0</v>
      </c>
      <c r="O47" s="245">
        <f t="shared" ref="O47" ca="1" si="121">SUM(O42:O46)</f>
        <v>0</v>
      </c>
      <c r="P47" s="245">
        <f t="shared" ca="1" si="73"/>
        <v>0</v>
      </c>
      <c r="R47" s="257">
        <f t="shared" ref="R47:AF47" ca="1" si="122">SUM(R42:R46)</f>
        <v>0</v>
      </c>
      <c r="S47" s="257">
        <f t="shared" ca="1" si="122"/>
        <v>10.273751999999998</v>
      </c>
      <c r="T47" s="257">
        <f t="shared" ca="1" si="122"/>
        <v>0</v>
      </c>
      <c r="U47" s="257">
        <f t="shared" ca="1" si="122"/>
        <v>0</v>
      </c>
      <c r="V47" s="257">
        <f t="shared" ca="1" si="122"/>
        <v>0</v>
      </c>
      <c r="W47" s="257">
        <f ca="1">SUM(W42:W46)</f>
        <v>0</v>
      </c>
      <c r="X47" s="257">
        <f t="shared" ca="1" si="122"/>
        <v>0</v>
      </c>
      <c r="Y47" s="257">
        <f t="shared" ca="1" si="122"/>
        <v>0</v>
      </c>
      <c r="Z47" s="257">
        <f t="shared" ca="1" si="122"/>
        <v>0</v>
      </c>
      <c r="AA47" s="257">
        <f t="shared" ca="1" si="122"/>
        <v>0</v>
      </c>
      <c r="AB47" s="257">
        <f t="shared" ca="1" si="122"/>
        <v>0</v>
      </c>
      <c r="AC47" s="257">
        <f t="shared" ca="1" si="122"/>
        <v>0</v>
      </c>
      <c r="AD47" s="257">
        <f ca="1">SUM(AD42:AD46)</f>
        <v>0</v>
      </c>
      <c r="AE47" s="257">
        <f t="shared" ca="1" si="122"/>
        <v>0</v>
      </c>
      <c r="AF47" s="257">
        <f t="shared" ca="1" si="122"/>
        <v>0</v>
      </c>
      <c r="AG47" s="257">
        <f ca="1">SUM(AG42:AG46)</f>
        <v>0</v>
      </c>
      <c r="AH47" s="257">
        <f t="shared" ca="1" si="5"/>
        <v>10.273751999999998</v>
      </c>
      <c r="AJ47" s="263">
        <f t="shared" ref="AJ47:AX47" ca="1" si="123">SUM(AJ42:AJ46)</f>
        <v>0</v>
      </c>
      <c r="AK47" s="263">
        <f t="shared" ca="1" si="123"/>
        <v>0</v>
      </c>
      <c r="AL47" s="263">
        <f t="shared" ca="1" si="123"/>
        <v>0</v>
      </c>
      <c r="AM47" s="263">
        <f t="shared" ca="1" si="123"/>
        <v>0</v>
      </c>
      <c r="AN47" s="263">
        <f t="shared" ca="1" si="123"/>
        <v>0</v>
      </c>
      <c r="AO47" s="263">
        <f t="shared" ca="1" si="123"/>
        <v>0</v>
      </c>
      <c r="AP47" s="263">
        <f t="shared" ca="1" si="123"/>
        <v>0</v>
      </c>
      <c r="AQ47" s="263">
        <f t="shared" ca="1" si="123"/>
        <v>0</v>
      </c>
      <c r="AR47" s="263">
        <f t="shared" ca="1" si="123"/>
        <v>0</v>
      </c>
      <c r="AS47" s="263">
        <f t="shared" ca="1" si="123"/>
        <v>0</v>
      </c>
      <c r="AT47" s="263">
        <f t="shared" ca="1" si="123"/>
        <v>0</v>
      </c>
      <c r="AU47" s="263">
        <f t="shared" ca="1" si="123"/>
        <v>0</v>
      </c>
      <c r="AV47" s="263">
        <f t="shared" ca="1" si="123"/>
        <v>-10.273751999999998</v>
      </c>
      <c r="AW47" s="263">
        <f t="shared" ca="1" si="123"/>
        <v>0</v>
      </c>
      <c r="AX47" s="263">
        <f t="shared" ca="1" si="123"/>
        <v>0</v>
      </c>
      <c r="AY47" s="263">
        <f t="shared" ca="1" si="77"/>
        <v>-10.273751999999998</v>
      </c>
      <c r="BA47" s="277">
        <f ca="1">SUM(BA42:BA46)</f>
        <v>0</v>
      </c>
      <c r="BB47" s="277">
        <f ca="1">SUM(BB42:BB46)</f>
        <v>0</v>
      </c>
      <c r="BC47" s="277">
        <f t="shared" ca="1" si="10"/>
        <v>0</v>
      </c>
      <c r="BE47" s="55">
        <f t="shared" ca="1" si="108"/>
        <v>0</v>
      </c>
      <c r="BF47" s="55"/>
      <c r="BG47" s="153"/>
      <c r="BH47" s="542">
        <f t="shared" ref="BH47:CU47" ca="1" si="124">SUM(BH42:BH46)</f>
        <v>0</v>
      </c>
      <c r="BI47" s="542">
        <f t="shared" ca="1" si="124"/>
        <v>0</v>
      </c>
      <c r="BJ47" s="542">
        <f t="shared" ca="1" si="124"/>
        <v>0</v>
      </c>
      <c r="BK47" s="542">
        <f t="shared" ca="1" si="124"/>
        <v>0</v>
      </c>
      <c r="BL47" s="542">
        <f t="shared" ca="1" si="124"/>
        <v>0</v>
      </c>
      <c r="BM47" s="542">
        <f t="shared" ca="1" si="124"/>
        <v>0</v>
      </c>
      <c r="BN47" s="542">
        <f t="shared" ca="1" si="124"/>
        <v>0</v>
      </c>
      <c r="BO47" s="542">
        <f t="shared" ca="1" si="124"/>
        <v>0</v>
      </c>
      <c r="BP47" s="542">
        <f t="shared" ca="1" si="124"/>
        <v>0</v>
      </c>
      <c r="BQ47" s="542">
        <f t="shared" ca="1" si="124"/>
        <v>0</v>
      </c>
      <c r="BR47" s="542">
        <f t="shared" ca="1" si="124"/>
        <v>0</v>
      </c>
      <c r="BS47" s="542">
        <f t="shared" ca="1" si="124"/>
        <v>0</v>
      </c>
      <c r="BT47" s="542">
        <f t="shared" ca="1" si="124"/>
        <v>0</v>
      </c>
      <c r="BU47" s="542">
        <f t="shared" ca="1" si="124"/>
        <v>0</v>
      </c>
      <c r="BV47" s="542">
        <f t="shared" ca="1" si="124"/>
        <v>0</v>
      </c>
      <c r="BW47" s="542">
        <f t="shared" ca="1" si="124"/>
        <v>0</v>
      </c>
      <c r="BX47" s="542">
        <f t="shared" ca="1" si="124"/>
        <v>0</v>
      </c>
      <c r="BY47" s="542">
        <f t="shared" ca="1" si="124"/>
        <v>0</v>
      </c>
      <c r="BZ47" s="542">
        <f t="shared" ca="1" si="124"/>
        <v>0</v>
      </c>
      <c r="CA47" s="542">
        <f t="shared" ca="1" si="124"/>
        <v>0</v>
      </c>
      <c r="CB47" s="542">
        <f t="shared" ca="1" si="124"/>
        <v>0</v>
      </c>
      <c r="CC47" s="542">
        <f t="shared" ca="1" si="124"/>
        <v>0</v>
      </c>
      <c r="CD47" s="542">
        <f t="shared" ca="1" si="124"/>
        <v>0</v>
      </c>
      <c r="CE47" s="542">
        <f t="shared" ca="1" si="124"/>
        <v>0</v>
      </c>
      <c r="CF47" s="542">
        <f t="shared" ca="1" si="124"/>
        <v>0</v>
      </c>
      <c r="CG47" s="542">
        <f t="shared" ca="1" si="124"/>
        <v>0</v>
      </c>
      <c r="CH47" s="542">
        <f t="shared" ca="1" si="124"/>
        <v>0</v>
      </c>
      <c r="CI47" s="542">
        <f t="shared" ca="1" si="124"/>
        <v>0</v>
      </c>
      <c r="CJ47" s="542">
        <f t="shared" ca="1" si="124"/>
        <v>0</v>
      </c>
      <c r="CK47" s="542">
        <f t="shared" ca="1" si="124"/>
        <v>0</v>
      </c>
      <c r="CL47" s="542">
        <f t="shared" ca="1" si="124"/>
        <v>0</v>
      </c>
      <c r="CM47" s="542">
        <f t="shared" ca="1" si="124"/>
        <v>0</v>
      </c>
      <c r="CN47" s="542">
        <f t="shared" ca="1" si="124"/>
        <v>0</v>
      </c>
      <c r="CO47" s="542">
        <f t="shared" ca="1" si="124"/>
        <v>0</v>
      </c>
      <c r="CP47" s="542">
        <f t="shared" ca="1" si="124"/>
        <v>0</v>
      </c>
      <c r="CQ47" s="542">
        <f t="shared" ca="1" si="124"/>
        <v>0</v>
      </c>
      <c r="CR47" s="542">
        <f t="shared" ca="1" si="124"/>
        <v>0</v>
      </c>
      <c r="CS47" s="542">
        <f t="shared" ca="1" si="124"/>
        <v>0</v>
      </c>
      <c r="CT47" s="542">
        <f t="shared" ca="1" si="124"/>
        <v>0</v>
      </c>
      <c r="CU47" s="542">
        <f t="shared" ca="1" si="124"/>
        <v>0</v>
      </c>
      <c r="CW47" s="151">
        <f t="shared" ca="1" si="119"/>
        <v>0</v>
      </c>
    </row>
    <row r="48" spans="1:101" s="84" customFormat="1" ht="12.75" customHeight="1" outlineLevel="1" x14ac:dyDescent="0.2">
      <c r="A48" s="18"/>
      <c r="B48" s="18"/>
      <c r="C48" s="87"/>
      <c r="D48" s="53"/>
      <c r="E48" s="53"/>
      <c r="G48" s="245"/>
      <c r="H48" s="245"/>
      <c r="I48" s="245"/>
      <c r="J48" s="245"/>
      <c r="K48" s="245"/>
      <c r="L48" s="247"/>
      <c r="M48" s="245"/>
      <c r="N48" s="245"/>
      <c r="O48" s="245"/>
      <c r="P48" s="245">
        <f t="shared" si="73"/>
        <v>0</v>
      </c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>
        <f t="shared" si="5"/>
        <v>0</v>
      </c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>
        <f t="shared" si="77"/>
        <v>0</v>
      </c>
      <c r="BA48" s="277"/>
      <c r="BB48" s="277"/>
      <c r="BC48" s="277">
        <f t="shared" si="10"/>
        <v>0</v>
      </c>
      <c r="BE48" s="55"/>
      <c r="BF48" s="55"/>
      <c r="BG48" s="18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W48" s="151">
        <f t="shared" si="119"/>
        <v>0</v>
      </c>
    </row>
    <row r="49" spans="1:101" s="543" customFormat="1" ht="12.75" customHeight="1" outlineLevel="1" x14ac:dyDescent="0.2">
      <c r="C49" s="86" t="s">
        <v>409</v>
      </c>
      <c r="D49" s="61" t="str">
        <f>INDEX(Modules[Module], MATCH($C49, Modules[Code], 0))</f>
        <v>Stand-Alone Solar PV</v>
      </c>
      <c r="E49" s="61"/>
      <c r="G49" s="595">
        <f t="shared" ref="G49:O49" ca="1" si="125">IFERROR(INDEX(INDIRECT($C49&amp;".Outputs["&amp;this.Year&amp;"]"), MATCH(G$5, INDIRECT($C49&amp;".Outputs[Vector]"), 0)), 0)</f>
        <v>0</v>
      </c>
      <c r="H49" s="595">
        <f t="shared" ca="1" si="125"/>
        <v>0</v>
      </c>
      <c r="I49" s="595">
        <f t="shared" ca="1" si="125"/>
        <v>0</v>
      </c>
      <c r="J49" s="595">
        <f t="shared" ca="1" si="125"/>
        <v>0</v>
      </c>
      <c r="K49" s="595">
        <f t="shared" ca="1" si="125"/>
        <v>0</v>
      </c>
      <c r="L49" s="596">
        <f t="shared" ca="1" si="125"/>
        <v>0</v>
      </c>
      <c r="M49" s="595">
        <f t="shared" ca="1" si="125"/>
        <v>0</v>
      </c>
      <c r="N49" s="595">
        <f t="shared" ca="1" si="125"/>
        <v>0</v>
      </c>
      <c r="O49" s="595">
        <f t="shared" ca="1" si="125"/>
        <v>0</v>
      </c>
      <c r="P49" s="595">
        <f t="shared" ca="1" si="73"/>
        <v>0</v>
      </c>
      <c r="R49" s="597">
        <f t="shared" ref="R49:AX49" ca="1" si="126">IFERROR(INDEX(INDIRECT($C49&amp;".Outputs["&amp;this.Year&amp;"]"), MATCH(R$5, INDIRECT($C49&amp;".Outputs[Vector]"), 0)), 0)</f>
        <v>0</v>
      </c>
      <c r="S49" s="597">
        <f t="shared" ca="1" si="126"/>
        <v>2.7612899999999996E-2</v>
      </c>
      <c r="T49" s="597">
        <f t="shared" ca="1" si="126"/>
        <v>0</v>
      </c>
      <c r="U49" s="597">
        <f t="shared" ca="1" si="126"/>
        <v>0</v>
      </c>
      <c r="V49" s="597">
        <f t="shared" ca="1" si="126"/>
        <v>0</v>
      </c>
      <c r="W49" s="597">
        <f t="shared" ca="1" si="126"/>
        <v>0</v>
      </c>
      <c r="X49" s="597">
        <f ca="1">IFERROR(INDEX(INDIRECT($C49&amp;".Outputs["&amp;this.Year&amp;"]"), MATCH(X$5, INDIRECT($C49&amp;".Outputs[Vector]"), 0)), 0)</f>
        <v>0</v>
      </c>
      <c r="Y49" s="597">
        <f ca="1">IFERROR(INDEX(INDIRECT($C49&amp;".Outputs["&amp;this.Year&amp;"]"), MATCH(Y$5, INDIRECT($C49&amp;".Outputs[Vector]"), 0)), 0)</f>
        <v>0</v>
      </c>
      <c r="Z49" s="597">
        <f ca="1">IFERROR(INDEX(INDIRECT($C49&amp;".Outputs["&amp;this.Year&amp;"]"), MATCH(Z$5, INDIRECT($C49&amp;".Outputs[Vector]"), 0)), 0)</f>
        <v>0</v>
      </c>
      <c r="AA49" s="597">
        <f t="shared" ca="1" si="126"/>
        <v>0</v>
      </c>
      <c r="AB49" s="597">
        <f t="shared" ca="1" si="126"/>
        <v>0</v>
      </c>
      <c r="AC49" s="597">
        <f t="shared" ca="1" si="126"/>
        <v>0</v>
      </c>
      <c r="AD49" s="597">
        <f t="shared" ca="1" si="126"/>
        <v>0</v>
      </c>
      <c r="AE49" s="597">
        <f t="shared" ca="1" si="126"/>
        <v>0</v>
      </c>
      <c r="AF49" s="597">
        <f t="shared" ca="1" si="126"/>
        <v>0</v>
      </c>
      <c r="AG49" s="597">
        <f t="shared" ca="1" si="126"/>
        <v>0</v>
      </c>
      <c r="AH49" s="259">
        <f t="shared" ca="1" si="5"/>
        <v>2.7612899999999996E-2</v>
      </c>
      <c r="AJ49" s="598">
        <f t="shared" ref="AJ49:AR49" ca="1" si="127">IFERROR(INDEX(INDIRECT($C49&amp;".Outputs["&amp;this.Year&amp;"]"), MATCH(AJ$5, INDIRECT($C49&amp;".Outputs[Vector]"), 0)), 0)</f>
        <v>0</v>
      </c>
      <c r="AK49" s="598">
        <f t="shared" ca="1" si="127"/>
        <v>0</v>
      </c>
      <c r="AL49" s="598">
        <f t="shared" ca="1" si="127"/>
        <v>0</v>
      </c>
      <c r="AM49" s="598">
        <f t="shared" ca="1" si="127"/>
        <v>0</v>
      </c>
      <c r="AN49" s="598">
        <f t="shared" ca="1" si="127"/>
        <v>0</v>
      </c>
      <c r="AO49" s="598">
        <f t="shared" ca="1" si="127"/>
        <v>0</v>
      </c>
      <c r="AP49" s="598">
        <f t="shared" ca="1" si="127"/>
        <v>0</v>
      </c>
      <c r="AQ49" s="598">
        <f t="shared" ca="1" si="127"/>
        <v>0</v>
      </c>
      <c r="AR49" s="598">
        <f t="shared" ca="1" si="127"/>
        <v>0</v>
      </c>
      <c r="AS49" s="598">
        <f t="shared" ca="1" si="126"/>
        <v>0</v>
      </c>
      <c r="AT49" s="598">
        <f t="shared" ca="1" si="126"/>
        <v>-2.7612899999999996E-2</v>
      </c>
      <c r="AU49" s="598">
        <f t="shared" ca="1" si="126"/>
        <v>0</v>
      </c>
      <c r="AV49" s="598">
        <f t="shared" ca="1" si="126"/>
        <v>0</v>
      </c>
      <c r="AW49" s="598">
        <f t="shared" ca="1" si="126"/>
        <v>0</v>
      </c>
      <c r="AX49" s="598">
        <f t="shared" ca="1" si="126"/>
        <v>0</v>
      </c>
      <c r="AY49" s="266">
        <f t="shared" ca="1" si="77"/>
        <v>-2.7612899999999996E-2</v>
      </c>
      <c r="BA49" s="599">
        <f ca="1">IFERROR(INDEX(INDIRECT($C49&amp;".Outputs["&amp;this.Year&amp;"]"), MATCH(BA$5, INDIRECT($C49&amp;".Outputs[Vector]"), 0)), 0)</f>
        <v>0</v>
      </c>
      <c r="BB49" s="599">
        <f ca="1">IFERROR(INDEX(INDIRECT($C49&amp;".Outputs["&amp;this.Year&amp;"]"), MATCH(BB$5, INDIRECT($C49&amp;".Outputs[Vector]"), 0)), 0)</f>
        <v>0</v>
      </c>
      <c r="BC49" s="279">
        <f t="shared" ca="1" si="10"/>
        <v>0</v>
      </c>
      <c r="BE49" s="135">
        <f ca="1">P49+AH49+AY49+BC49</f>
        <v>0</v>
      </c>
      <c r="BF49" s="135"/>
      <c r="BH49" s="593">
        <f t="shared" ref="BH49:CU49" ca="1" si="128">IFERROR(SUMIFS(INDIRECT($C49&amp;".Emissions["&amp;this.Year&amp;"]"), INDIRECT($C49&amp;".Emissions[GHG]"), BH$6, INDIRECT($C49&amp;".Emissions[IPCC Sector]"), BH$5),0)</f>
        <v>0</v>
      </c>
      <c r="BI49" s="593">
        <f t="shared" ca="1" si="128"/>
        <v>0</v>
      </c>
      <c r="BJ49" s="593">
        <f t="shared" ca="1" si="128"/>
        <v>0</v>
      </c>
      <c r="BK49" s="593">
        <f t="shared" ca="1" si="128"/>
        <v>0</v>
      </c>
      <c r="BL49" s="593">
        <f t="shared" ca="1" si="128"/>
        <v>0</v>
      </c>
      <c r="BM49" s="593">
        <f t="shared" ca="1" si="128"/>
        <v>0</v>
      </c>
      <c r="BN49" s="593">
        <f t="shared" ca="1" si="128"/>
        <v>0</v>
      </c>
      <c r="BO49" s="593">
        <f t="shared" ca="1" si="128"/>
        <v>0</v>
      </c>
      <c r="BP49" s="593">
        <f t="shared" ca="1" si="128"/>
        <v>0</v>
      </c>
      <c r="BQ49" s="593">
        <f t="shared" ca="1" si="128"/>
        <v>0</v>
      </c>
      <c r="BR49" s="593">
        <f t="shared" ca="1" si="128"/>
        <v>0</v>
      </c>
      <c r="BS49" s="593">
        <f t="shared" ca="1" si="128"/>
        <v>0</v>
      </c>
      <c r="BT49" s="593">
        <f t="shared" ca="1" si="128"/>
        <v>0</v>
      </c>
      <c r="BU49" s="593">
        <f t="shared" ca="1" si="128"/>
        <v>0</v>
      </c>
      <c r="BV49" s="593">
        <f t="shared" ca="1" si="128"/>
        <v>0</v>
      </c>
      <c r="BW49" s="593">
        <f t="shared" ca="1" si="128"/>
        <v>0</v>
      </c>
      <c r="BX49" s="593">
        <f t="shared" ca="1" si="128"/>
        <v>0</v>
      </c>
      <c r="BY49" s="593">
        <f t="shared" ca="1" si="128"/>
        <v>0</v>
      </c>
      <c r="BZ49" s="593">
        <f t="shared" ca="1" si="128"/>
        <v>0</v>
      </c>
      <c r="CA49" s="593">
        <f t="shared" ca="1" si="128"/>
        <v>0</v>
      </c>
      <c r="CB49" s="593">
        <f t="shared" ca="1" si="128"/>
        <v>0</v>
      </c>
      <c r="CC49" s="593">
        <f t="shared" ca="1" si="128"/>
        <v>0</v>
      </c>
      <c r="CD49" s="593">
        <f t="shared" ca="1" si="128"/>
        <v>0</v>
      </c>
      <c r="CE49" s="593">
        <f t="shared" ca="1" si="128"/>
        <v>0</v>
      </c>
      <c r="CF49" s="593">
        <f t="shared" ca="1" si="128"/>
        <v>0</v>
      </c>
      <c r="CG49" s="593">
        <f t="shared" ca="1" si="128"/>
        <v>0</v>
      </c>
      <c r="CH49" s="593">
        <f t="shared" ca="1" si="128"/>
        <v>0</v>
      </c>
      <c r="CI49" s="593">
        <f t="shared" ca="1" si="128"/>
        <v>0</v>
      </c>
      <c r="CJ49" s="593">
        <f t="shared" ca="1" si="128"/>
        <v>0</v>
      </c>
      <c r="CK49" s="593">
        <f t="shared" ca="1" si="128"/>
        <v>0</v>
      </c>
      <c r="CL49" s="593">
        <f t="shared" ca="1" si="128"/>
        <v>0</v>
      </c>
      <c r="CM49" s="593">
        <f t="shared" ca="1" si="128"/>
        <v>0</v>
      </c>
      <c r="CN49" s="593">
        <f t="shared" ca="1" si="128"/>
        <v>0</v>
      </c>
      <c r="CO49" s="593">
        <f t="shared" ca="1" si="128"/>
        <v>0</v>
      </c>
      <c r="CP49" s="593">
        <f t="shared" ca="1" si="128"/>
        <v>0</v>
      </c>
      <c r="CQ49" s="593">
        <f t="shared" ca="1" si="128"/>
        <v>0</v>
      </c>
      <c r="CR49" s="593">
        <f t="shared" ca="1" si="128"/>
        <v>0</v>
      </c>
      <c r="CS49" s="593">
        <f t="shared" ca="1" si="128"/>
        <v>0</v>
      </c>
      <c r="CT49" s="593">
        <f t="shared" ca="1" si="128"/>
        <v>0</v>
      </c>
      <c r="CU49" s="593">
        <f t="shared" ca="1" si="128"/>
        <v>0</v>
      </c>
      <c r="CW49" s="594">
        <f t="shared" ca="1" si="119"/>
        <v>0</v>
      </c>
    </row>
    <row r="50" spans="1:101" s="84" customFormat="1" ht="15.75" x14ac:dyDescent="0.2">
      <c r="A50" s="18"/>
      <c r="B50" s="89"/>
      <c r="C50" s="85" t="s">
        <v>63</v>
      </c>
      <c r="D50" s="57" t="str">
        <f>INDEX(Workstreams[Workstream], MATCH($C50, Workstreams[Code], 0))</f>
        <v>Distributed renewable power generation</v>
      </c>
      <c r="E50" s="53"/>
      <c r="G50" s="300">
        <f t="shared" ref="G50:N50" ca="1" si="129">SUM(G49:G49)</f>
        <v>0</v>
      </c>
      <c r="H50" s="300">
        <f t="shared" ca="1" si="129"/>
        <v>0</v>
      </c>
      <c r="I50" s="300">
        <f t="shared" ca="1" si="129"/>
        <v>0</v>
      </c>
      <c r="J50" s="300">
        <f t="shared" ca="1" si="129"/>
        <v>0</v>
      </c>
      <c r="K50" s="300">
        <f t="shared" ca="1" si="129"/>
        <v>0</v>
      </c>
      <c r="L50" s="300">
        <f t="shared" ca="1" si="129"/>
        <v>0</v>
      </c>
      <c r="M50" s="300">
        <f t="shared" ca="1" si="129"/>
        <v>0</v>
      </c>
      <c r="N50" s="300">
        <f t="shared" ca="1" si="129"/>
        <v>0</v>
      </c>
      <c r="O50" s="300">
        <f t="shared" ref="O50" ca="1" si="130">SUM(O49:O49)</f>
        <v>0</v>
      </c>
      <c r="P50" s="300">
        <f t="shared" ca="1" si="73"/>
        <v>0</v>
      </c>
      <c r="R50" s="257">
        <f t="shared" ref="R50:AG50" ca="1" si="131">SUM(R49:R49)</f>
        <v>0</v>
      </c>
      <c r="S50" s="257">
        <f t="shared" ca="1" si="131"/>
        <v>2.7612899999999996E-2</v>
      </c>
      <c r="T50" s="257">
        <f t="shared" ca="1" si="131"/>
        <v>0</v>
      </c>
      <c r="U50" s="257">
        <f t="shared" ca="1" si="131"/>
        <v>0</v>
      </c>
      <c r="V50" s="257">
        <f t="shared" ca="1" si="131"/>
        <v>0</v>
      </c>
      <c r="W50" s="257">
        <f t="shared" ca="1" si="131"/>
        <v>0</v>
      </c>
      <c r="X50" s="257">
        <f t="shared" ca="1" si="131"/>
        <v>0</v>
      </c>
      <c r="Y50" s="257">
        <f t="shared" ca="1" si="131"/>
        <v>0</v>
      </c>
      <c r="Z50" s="257">
        <f t="shared" ca="1" si="131"/>
        <v>0</v>
      </c>
      <c r="AA50" s="257">
        <f t="shared" ca="1" si="131"/>
        <v>0</v>
      </c>
      <c r="AB50" s="257">
        <f t="shared" ca="1" si="131"/>
        <v>0</v>
      </c>
      <c r="AC50" s="257">
        <f t="shared" ca="1" si="131"/>
        <v>0</v>
      </c>
      <c r="AD50" s="257">
        <f t="shared" ca="1" si="131"/>
        <v>0</v>
      </c>
      <c r="AE50" s="257">
        <f t="shared" ca="1" si="131"/>
        <v>0</v>
      </c>
      <c r="AF50" s="257">
        <f t="shared" ca="1" si="131"/>
        <v>0</v>
      </c>
      <c r="AG50" s="257">
        <f t="shared" ca="1" si="131"/>
        <v>0</v>
      </c>
      <c r="AH50" s="257">
        <f t="shared" ca="1" si="5"/>
        <v>2.7612899999999996E-2</v>
      </c>
      <c r="AJ50" s="263">
        <f t="shared" ref="AJ50:AX50" ca="1" si="132">SUM(AJ49:AJ49)</f>
        <v>0</v>
      </c>
      <c r="AK50" s="263">
        <f t="shared" ca="1" si="132"/>
        <v>0</v>
      </c>
      <c r="AL50" s="263">
        <f t="shared" ca="1" si="132"/>
        <v>0</v>
      </c>
      <c r="AM50" s="263">
        <f t="shared" ca="1" si="132"/>
        <v>0</v>
      </c>
      <c r="AN50" s="263">
        <f t="shared" ca="1" si="132"/>
        <v>0</v>
      </c>
      <c r="AO50" s="263">
        <f t="shared" ca="1" si="132"/>
        <v>0</v>
      </c>
      <c r="AP50" s="263">
        <f t="shared" ca="1" si="132"/>
        <v>0</v>
      </c>
      <c r="AQ50" s="263">
        <f t="shared" ca="1" si="132"/>
        <v>0</v>
      </c>
      <c r="AR50" s="263">
        <f t="shared" ca="1" si="132"/>
        <v>0</v>
      </c>
      <c r="AS50" s="263">
        <f t="shared" ca="1" si="132"/>
        <v>0</v>
      </c>
      <c r="AT50" s="263">
        <f t="shared" ca="1" si="132"/>
        <v>-2.7612899999999996E-2</v>
      </c>
      <c r="AU50" s="263">
        <f t="shared" ca="1" si="132"/>
        <v>0</v>
      </c>
      <c r="AV50" s="263">
        <f t="shared" ca="1" si="132"/>
        <v>0</v>
      </c>
      <c r="AW50" s="263">
        <f t="shared" ca="1" si="132"/>
        <v>0</v>
      </c>
      <c r="AX50" s="263">
        <f t="shared" ca="1" si="132"/>
        <v>0</v>
      </c>
      <c r="AY50" s="263">
        <f t="shared" ca="1" si="77"/>
        <v>-2.7612899999999996E-2</v>
      </c>
      <c r="BA50" s="277">
        <f ca="1">SUM(BA49:BA49)</f>
        <v>0</v>
      </c>
      <c r="BB50" s="277">
        <f ca="1">SUM(BB49:BB49)</f>
        <v>0</v>
      </c>
      <c r="BC50" s="277">
        <f t="shared" ca="1" si="10"/>
        <v>0</v>
      </c>
      <c r="BE50" s="55">
        <f ca="1">P50+AH50+AY50+BC50</f>
        <v>0</v>
      </c>
      <c r="BF50" s="55"/>
      <c r="BG50" s="153"/>
      <c r="BH50" s="542">
        <f t="shared" ref="BH50:CU50" ca="1" si="133">SUM(BH49:BH49)</f>
        <v>0</v>
      </c>
      <c r="BI50" s="542">
        <f t="shared" ca="1" si="133"/>
        <v>0</v>
      </c>
      <c r="BJ50" s="542">
        <f t="shared" ca="1" si="133"/>
        <v>0</v>
      </c>
      <c r="BK50" s="542">
        <f t="shared" ca="1" si="133"/>
        <v>0</v>
      </c>
      <c r="BL50" s="542">
        <f t="shared" ca="1" si="133"/>
        <v>0</v>
      </c>
      <c r="BM50" s="542">
        <f t="shared" ca="1" si="133"/>
        <v>0</v>
      </c>
      <c r="BN50" s="542">
        <f t="shared" ca="1" si="133"/>
        <v>0</v>
      </c>
      <c r="BO50" s="542">
        <f t="shared" ca="1" si="133"/>
        <v>0</v>
      </c>
      <c r="BP50" s="542">
        <f t="shared" ca="1" si="133"/>
        <v>0</v>
      </c>
      <c r="BQ50" s="542">
        <f t="shared" ca="1" si="133"/>
        <v>0</v>
      </c>
      <c r="BR50" s="542">
        <f t="shared" ca="1" si="133"/>
        <v>0</v>
      </c>
      <c r="BS50" s="542">
        <f t="shared" ca="1" si="133"/>
        <v>0</v>
      </c>
      <c r="BT50" s="542">
        <f t="shared" ca="1" si="133"/>
        <v>0</v>
      </c>
      <c r="BU50" s="542">
        <f t="shared" ca="1" si="133"/>
        <v>0</v>
      </c>
      <c r="BV50" s="542">
        <f t="shared" ca="1" si="133"/>
        <v>0</v>
      </c>
      <c r="BW50" s="542">
        <f t="shared" ca="1" si="133"/>
        <v>0</v>
      </c>
      <c r="BX50" s="542">
        <f t="shared" ca="1" si="133"/>
        <v>0</v>
      </c>
      <c r="BY50" s="542">
        <f t="shared" ca="1" si="133"/>
        <v>0</v>
      </c>
      <c r="BZ50" s="542">
        <f t="shared" ca="1" si="133"/>
        <v>0</v>
      </c>
      <c r="CA50" s="542">
        <f t="shared" ca="1" si="133"/>
        <v>0</v>
      </c>
      <c r="CB50" s="542">
        <f t="shared" ca="1" si="133"/>
        <v>0</v>
      </c>
      <c r="CC50" s="542">
        <f t="shared" ca="1" si="133"/>
        <v>0</v>
      </c>
      <c r="CD50" s="542">
        <f t="shared" ca="1" si="133"/>
        <v>0</v>
      </c>
      <c r="CE50" s="542">
        <f t="shared" ca="1" si="133"/>
        <v>0</v>
      </c>
      <c r="CF50" s="542">
        <f t="shared" ca="1" si="133"/>
        <v>0</v>
      </c>
      <c r="CG50" s="542">
        <f t="shared" ca="1" si="133"/>
        <v>0</v>
      </c>
      <c r="CH50" s="542">
        <f t="shared" ca="1" si="133"/>
        <v>0</v>
      </c>
      <c r="CI50" s="542">
        <f t="shared" ca="1" si="133"/>
        <v>0</v>
      </c>
      <c r="CJ50" s="542">
        <f t="shared" ca="1" si="133"/>
        <v>0</v>
      </c>
      <c r="CK50" s="542">
        <f t="shared" ca="1" si="133"/>
        <v>0</v>
      </c>
      <c r="CL50" s="542">
        <f t="shared" ca="1" si="133"/>
        <v>0</v>
      </c>
      <c r="CM50" s="542">
        <f t="shared" ca="1" si="133"/>
        <v>0</v>
      </c>
      <c r="CN50" s="542">
        <f t="shared" ca="1" si="133"/>
        <v>0</v>
      </c>
      <c r="CO50" s="542">
        <f t="shared" ca="1" si="133"/>
        <v>0</v>
      </c>
      <c r="CP50" s="542">
        <f t="shared" ca="1" si="133"/>
        <v>0</v>
      </c>
      <c r="CQ50" s="542">
        <f t="shared" ca="1" si="133"/>
        <v>0</v>
      </c>
      <c r="CR50" s="542">
        <f t="shared" ca="1" si="133"/>
        <v>0</v>
      </c>
      <c r="CS50" s="542">
        <f t="shared" ca="1" si="133"/>
        <v>0</v>
      </c>
      <c r="CT50" s="542">
        <f t="shared" ca="1" si="133"/>
        <v>0</v>
      </c>
      <c r="CU50" s="542">
        <f t="shared" ca="1" si="133"/>
        <v>0</v>
      </c>
      <c r="CW50" s="151">
        <f t="shared" ca="1" si="119"/>
        <v>0</v>
      </c>
    </row>
    <row r="51" spans="1:101" s="84" customFormat="1" ht="12.75" customHeight="1" outlineLevel="1" x14ac:dyDescent="0.2">
      <c r="A51" s="18"/>
      <c r="B51" s="18"/>
      <c r="C51" s="87"/>
      <c r="D51" s="53"/>
      <c r="E51" s="53"/>
      <c r="G51" s="245"/>
      <c r="H51" s="245"/>
      <c r="I51" s="245"/>
      <c r="J51" s="245"/>
      <c r="K51" s="245"/>
      <c r="L51" s="247"/>
      <c r="M51" s="245"/>
      <c r="N51" s="245"/>
      <c r="O51" s="245"/>
      <c r="P51" s="245">
        <f t="shared" si="73"/>
        <v>0</v>
      </c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>
        <f t="shared" si="5"/>
        <v>0</v>
      </c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>
        <f t="shared" si="77"/>
        <v>0</v>
      </c>
      <c r="BA51" s="277"/>
      <c r="BB51" s="277"/>
      <c r="BC51" s="277">
        <f t="shared" si="10"/>
        <v>0</v>
      </c>
      <c r="BE51" s="55"/>
      <c r="BF51" s="55"/>
      <c r="BG51" s="18"/>
      <c r="BH51" s="542"/>
      <c r="BI51" s="542"/>
      <c r="BJ51" s="542"/>
      <c r="BK51" s="542"/>
      <c r="BL51" s="542"/>
      <c r="BM51" s="542"/>
      <c r="BN51" s="542"/>
      <c r="BO51" s="542"/>
      <c r="BP51" s="542"/>
      <c r="BQ51" s="542"/>
      <c r="BR51" s="542"/>
      <c r="BS51" s="542"/>
      <c r="BT51" s="542"/>
      <c r="BU51" s="542"/>
      <c r="BV51" s="542"/>
      <c r="BW51" s="542"/>
      <c r="BX51" s="542"/>
      <c r="BY51" s="542"/>
      <c r="BZ51" s="542"/>
      <c r="CA51" s="542"/>
      <c r="CB51" s="542"/>
      <c r="CC51" s="542"/>
      <c r="CD51" s="542"/>
      <c r="CE51" s="542"/>
      <c r="CF51" s="542"/>
      <c r="CG51" s="542"/>
      <c r="CH51" s="542"/>
      <c r="CI51" s="542"/>
      <c r="CJ51" s="542"/>
      <c r="CK51" s="542"/>
      <c r="CL51" s="542"/>
      <c r="CM51" s="542"/>
      <c r="CN51" s="542"/>
      <c r="CO51" s="542"/>
      <c r="CP51" s="542"/>
      <c r="CQ51" s="542"/>
      <c r="CR51" s="542"/>
      <c r="CS51" s="542"/>
      <c r="CT51" s="542"/>
      <c r="CU51" s="542"/>
      <c r="CW51" s="151">
        <f t="shared" si="119"/>
        <v>0</v>
      </c>
    </row>
    <row r="52" spans="1:101" s="547" customFormat="1" ht="12.75" customHeight="1" outlineLevel="1" x14ac:dyDescent="0.2">
      <c r="C52" s="319" t="s">
        <v>855</v>
      </c>
      <c r="D52" s="320" t="s">
        <v>587</v>
      </c>
      <c r="E52" s="320"/>
      <c r="F52" s="84"/>
      <c r="G52" s="321"/>
      <c r="H52" s="321"/>
      <c r="I52" s="321"/>
      <c r="J52" s="321"/>
      <c r="K52" s="321"/>
      <c r="L52" s="322"/>
      <c r="M52" s="321"/>
      <c r="N52" s="321"/>
      <c r="O52" s="321"/>
      <c r="P52" s="321">
        <f t="shared" si="73"/>
        <v>0</v>
      </c>
      <c r="Q52" s="84"/>
      <c r="R52" s="323">
        <f ca="1">R$28+R$36+R$80+R$40+R$74+R$47+R$50</f>
        <v>-117.07862642129547</v>
      </c>
      <c r="S52" s="323">
        <f ca="1">S$28+S$36+S$80+S$40+S$74+S$47+S$50</f>
        <v>-14.203594728458119</v>
      </c>
      <c r="T52" s="323"/>
      <c r="U52" s="323"/>
      <c r="V52" s="323"/>
      <c r="W52" s="323"/>
      <c r="X52" s="323"/>
      <c r="Y52" s="323"/>
      <c r="Z52" s="323"/>
      <c r="AA52" s="323"/>
      <c r="AB52" s="323"/>
      <c r="AC52" s="323"/>
      <c r="AD52" s="323"/>
      <c r="AE52" s="323"/>
      <c r="AF52" s="323"/>
      <c r="AG52" s="323"/>
      <c r="AH52" s="323">
        <f t="shared" ca="1" si="5"/>
        <v>-131.28222114975358</v>
      </c>
      <c r="AI52" s="84"/>
      <c r="AJ52" s="324"/>
      <c r="AK52" s="324"/>
      <c r="AL52" s="324"/>
      <c r="AM52" s="324"/>
      <c r="AN52" s="324"/>
      <c r="AO52" s="324"/>
      <c r="AP52" s="324"/>
      <c r="AQ52" s="324"/>
      <c r="AR52" s="324"/>
      <c r="AS52" s="324"/>
      <c r="AT52" s="324"/>
      <c r="AU52" s="324"/>
      <c r="AV52" s="324"/>
      <c r="AW52" s="324"/>
      <c r="AX52" s="324"/>
      <c r="AY52" s="324">
        <f t="shared" si="77"/>
        <v>0</v>
      </c>
      <c r="AZ52" s="84"/>
      <c r="BA52" s="325"/>
      <c r="BB52" s="325"/>
      <c r="BC52" s="325">
        <f t="shared" si="10"/>
        <v>0</v>
      </c>
      <c r="BD52" s="84"/>
      <c r="BE52" s="164"/>
      <c r="BF52" s="164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  <c r="CG52" s="549"/>
      <c r="CH52" s="549"/>
      <c r="CI52" s="549"/>
      <c r="CJ52" s="549"/>
      <c r="CK52" s="549"/>
      <c r="CL52" s="549"/>
      <c r="CM52" s="549"/>
      <c r="CN52" s="549"/>
      <c r="CO52" s="549"/>
      <c r="CP52" s="549"/>
      <c r="CQ52" s="549"/>
      <c r="CR52" s="549"/>
      <c r="CS52" s="549"/>
      <c r="CT52" s="549"/>
      <c r="CU52" s="549"/>
      <c r="CW52" s="151">
        <f t="shared" si="119"/>
        <v>0</v>
      </c>
    </row>
    <row r="53" spans="1:101" s="543" customFormat="1" ht="12.75" customHeight="1" outlineLevel="1" x14ac:dyDescent="0.2">
      <c r="C53" s="86" t="s">
        <v>297</v>
      </c>
      <c r="D53" s="292" t="str">
        <f>INDEX(Modules[Module], MATCH($C53, Modules[Code], 0))</f>
        <v>Nuclear power</v>
      </c>
      <c r="E53" s="292"/>
      <c r="F53" s="84"/>
      <c r="G53" s="301">
        <f t="shared" ref="G53:O53" ca="1" si="134">IFERROR(INDEX(INDIRECT($C53&amp;".Outputs["&amp;this.Year&amp;"]"), MATCH(G$5, INDIRECT($C53&amp;".Outputs[Vector]"), 0)), 0)</f>
        <v>0</v>
      </c>
      <c r="H53" s="301">
        <f t="shared" ca="1" si="134"/>
        <v>0</v>
      </c>
      <c r="I53" s="301">
        <f t="shared" ca="1" si="134"/>
        <v>0</v>
      </c>
      <c r="J53" s="301">
        <f t="shared" ca="1" si="134"/>
        <v>0</v>
      </c>
      <c r="K53" s="301">
        <f t="shared" ca="1" si="134"/>
        <v>0</v>
      </c>
      <c r="L53" s="301">
        <f t="shared" ca="1" si="134"/>
        <v>0</v>
      </c>
      <c r="M53" s="301">
        <f t="shared" ca="1" si="134"/>
        <v>0</v>
      </c>
      <c r="N53" s="301">
        <f t="shared" ca="1" si="134"/>
        <v>0</v>
      </c>
      <c r="O53" s="301">
        <f t="shared" ca="1" si="134"/>
        <v>0</v>
      </c>
      <c r="P53" s="301">
        <f t="shared" ca="1" si="73"/>
        <v>0</v>
      </c>
      <c r="Q53" s="84"/>
      <c r="R53" s="307">
        <f t="shared" ref="R53:AX53" ca="1" si="135">IFERROR(INDEX(INDIRECT($C53&amp;".Outputs["&amp;this.Year&amp;"]"), MATCH(R$5, INDIRECT($C53&amp;".Outputs[Vector]"), 0)), 0)</f>
        <v>0</v>
      </c>
      <c r="S53" s="307">
        <f t="shared" ca="1" si="135"/>
        <v>0</v>
      </c>
      <c r="T53" s="307">
        <f t="shared" ca="1" si="135"/>
        <v>0</v>
      </c>
      <c r="U53" s="307">
        <f t="shared" ca="1" si="135"/>
        <v>0</v>
      </c>
      <c r="V53" s="307">
        <f t="shared" ca="1" si="135"/>
        <v>0</v>
      </c>
      <c r="W53" s="307">
        <f t="shared" ca="1" si="135"/>
        <v>0</v>
      </c>
      <c r="X53" s="307">
        <f ca="1">IFERROR(INDEX(INDIRECT($C53&amp;".Outputs["&amp;this.Year&amp;"]"), MATCH(X$5, INDIRECT($C53&amp;".Outputs[Vector]"), 0)), 0)</f>
        <v>0</v>
      </c>
      <c r="Y53" s="307">
        <f ca="1">IFERROR(INDEX(INDIRECT($C53&amp;".Outputs["&amp;this.Year&amp;"]"), MATCH(Y$5, INDIRECT($C53&amp;".Outputs[Vector]"), 0)), 0)</f>
        <v>0</v>
      </c>
      <c r="Z53" s="307">
        <f ca="1">IFERROR(INDEX(INDIRECT($C53&amp;".Outputs["&amp;this.Year&amp;"]"), MATCH(Z$5, INDIRECT($C53&amp;".Outputs[Vector]"), 0)), 0)</f>
        <v>0</v>
      </c>
      <c r="AA53" s="307">
        <f t="shared" ca="1" si="135"/>
        <v>0</v>
      </c>
      <c r="AB53" s="307">
        <f t="shared" ca="1" si="135"/>
        <v>0</v>
      </c>
      <c r="AC53" s="307">
        <f t="shared" ca="1" si="135"/>
        <v>0</v>
      </c>
      <c r="AD53" s="307">
        <f t="shared" ca="1" si="135"/>
        <v>0</v>
      </c>
      <c r="AE53" s="307">
        <f t="shared" ca="1" si="135"/>
        <v>0</v>
      </c>
      <c r="AF53" s="307">
        <f t="shared" ca="1" si="135"/>
        <v>0</v>
      </c>
      <c r="AG53" s="307">
        <f t="shared" ca="1" si="135"/>
        <v>0</v>
      </c>
      <c r="AH53" s="306">
        <f t="shared" ca="1" si="5"/>
        <v>0</v>
      </c>
      <c r="AI53" s="84"/>
      <c r="AJ53" s="315">
        <f t="shared" ref="AJ53:AR53" ca="1" si="136">IFERROR(INDEX(INDIRECT($C53&amp;".Outputs["&amp;this.Year&amp;"]"), MATCH(AJ$5, INDIRECT($C53&amp;".Outputs[Vector]"), 0)), 0)</f>
        <v>0</v>
      </c>
      <c r="AK53" s="315">
        <f t="shared" ca="1" si="136"/>
        <v>0</v>
      </c>
      <c r="AL53" s="315">
        <f t="shared" ca="1" si="136"/>
        <v>0</v>
      </c>
      <c r="AM53" s="315">
        <f t="shared" ca="1" si="136"/>
        <v>0</v>
      </c>
      <c r="AN53" s="315">
        <f t="shared" ca="1" si="136"/>
        <v>0</v>
      </c>
      <c r="AO53" s="315">
        <f t="shared" ca="1" si="136"/>
        <v>0</v>
      </c>
      <c r="AP53" s="315">
        <f t="shared" ca="1" si="136"/>
        <v>0</v>
      </c>
      <c r="AQ53" s="315">
        <f t="shared" ca="1" si="136"/>
        <v>0</v>
      </c>
      <c r="AR53" s="315">
        <f t="shared" ca="1" si="136"/>
        <v>0</v>
      </c>
      <c r="AS53" s="315">
        <f t="shared" ca="1" si="135"/>
        <v>0</v>
      </c>
      <c r="AT53" s="315">
        <f t="shared" ca="1" si="135"/>
        <v>0</v>
      </c>
      <c r="AU53" s="315">
        <f t="shared" ca="1" si="135"/>
        <v>0</v>
      </c>
      <c r="AV53" s="315">
        <f t="shared" ca="1" si="135"/>
        <v>0</v>
      </c>
      <c r="AW53" s="315">
        <f t="shared" ca="1" si="135"/>
        <v>0</v>
      </c>
      <c r="AX53" s="315">
        <f t="shared" ca="1" si="135"/>
        <v>0</v>
      </c>
      <c r="AY53" s="293">
        <f t="shared" ca="1" si="77"/>
        <v>0</v>
      </c>
      <c r="AZ53" s="84"/>
      <c r="BA53" s="311">
        <f ca="1">IFERROR(INDEX(INDIRECT($C53&amp;".Outputs["&amp;this.Year&amp;"]"), MATCH(BA$5, INDIRECT($C53&amp;".Outputs[Vector]"), 0)), 0)</f>
        <v>0</v>
      </c>
      <c r="BB53" s="311">
        <f ca="1">IFERROR(INDEX(INDIRECT($C53&amp;".Outputs["&amp;this.Year&amp;"]"), MATCH(BB$5, INDIRECT($C53&amp;".Outputs[Vector]"), 0)), 0)</f>
        <v>0</v>
      </c>
      <c r="BC53" s="310">
        <f t="shared" ca="1" si="10"/>
        <v>0</v>
      </c>
      <c r="BD53" s="84"/>
      <c r="BE53" s="135">
        <f ca="1">P53+AH53+AY53+BC53</f>
        <v>0</v>
      </c>
      <c r="BF53" s="135"/>
      <c r="BG53" s="153"/>
      <c r="BH53" s="544">
        <f t="shared" ref="BH53:CU53" ca="1" si="137">IFERROR(SUMIFS(INDIRECT($C53&amp;".Emissions["&amp;this.Year&amp;"]"), INDIRECT($C53&amp;".Emissions[GHG]"), BH$6, INDIRECT($C53&amp;".Emissions[IPCC Sector]"), BH$5),0)</f>
        <v>0</v>
      </c>
      <c r="BI53" s="545">
        <f t="shared" ca="1" si="137"/>
        <v>0</v>
      </c>
      <c r="BJ53" s="545">
        <f t="shared" ca="1" si="137"/>
        <v>0</v>
      </c>
      <c r="BK53" s="545">
        <f t="shared" ca="1" si="137"/>
        <v>0</v>
      </c>
      <c r="BL53" s="545">
        <f t="shared" ca="1" si="137"/>
        <v>0</v>
      </c>
      <c r="BM53" s="545">
        <f t="shared" ca="1" si="137"/>
        <v>0</v>
      </c>
      <c r="BN53" s="545">
        <f t="shared" ca="1" si="137"/>
        <v>0</v>
      </c>
      <c r="BO53" s="545">
        <f t="shared" ca="1" si="137"/>
        <v>0</v>
      </c>
      <c r="BP53" s="545">
        <f t="shared" ca="1" si="137"/>
        <v>0</v>
      </c>
      <c r="BQ53" s="545">
        <f t="shared" ca="1" si="137"/>
        <v>0</v>
      </c>
      <c r="BR53" s="545">
        <f t="shared" ca="1" si="137"/>
        <v>0</v>
      </c>
      <c r="BS53" s="545">
        <f t="shared" ca="1" si="137"/>
        <v>0</v>
      </c>
      <c r="BT53" s="545">
        <f t="shared" ca="1" si="137"/>
        <v>0</v>
      </c>
      <c r="BU53" s="545">
        <f t="shared" ca="1" si="137"/>
        <v>0</v>
      </c>
      <c r="BV53" s="545">
        <f t="shared" ca="1" si="137"/>
        <v>0</v>
      </c>
      <c r="BW53" s="545">
        <f t="shared" ca="1" si="137"/>
        <v>0</v>
      </c>
      <c r="BX53" s="545">
        <f t="shared" ca="1" si="137"/>
        <v>0</v>
      </c>
      <c r="BY53" s="545">
        <f t="shared" ca="1" si="137"/>
        <v>0</v>
      </c>
      <c r="BZ53" s="545">
        <f t="shared" ca="1" si="137"/>
        <v>0</v>
      </c>
      <c r="CA53" s="545">
        <f t="shared" ca="1" si="137"/>
        <v>0</v>
      </c>
      <c r="CB53" s="545">
        <f t="shared" ca="1" si="137"/>
        <v>0</v>
      </c>
      <c r="CC53" s="545">
        <f t="shared" ca="1" si="137"/>
        <v>0</v>
      </c>
      <c r="CD53" s="545">
        <f t="shared" ca="1" si="137"/>
        <v>0</v>
      </c>
      <c r="CE53" s="545">
        <f t="shared" ca="1" si="137"/>
        <v>0</v>
      </c>
      <c r="CF53" s="545">
        <f t="shared" ca="1" si="137"/>
        <v>0</v>
      </c>
      <c r="CG53" s="545">
        <f t="shared" ca="1" si="137"/>
        <v>0</v>
      </c>
      <c r="CH53" s="545">
        <f t="shared" ca="1" si="137"/>
        <v>0</v>
      </c>
      <c r="CI53" s="545">
        <f t="shared" ca="1" si="137"/>
        <v>0</v>
      </c>
      <c r="CJ53" s="545">
        <f t="shared" ca="1" si="137"/>
        <v>0</v>
      </c>
      <c r="CK53" s="545">
        <f t="shared" ca="1" si="137"/>
        <v>0</v>
      </c>
      <c r="CL53" s="545">
        <f t="shared" ca="1" si="137"/>
        <v>0</v>
      </c>
      <c r="CM53" s="545">
        <f t="shared" ca="1" si="137"/>
        <v>0</v>
      </c>
      <c r="CN53" s="545">
        <f t="shared" ca="1" si="137"/>
        <v>0</v>
      </c>
      <c r="CO53" s="545">
        <f t="shared" ca="1" si="137"/>
        <v>0</v>
      </c>
      <c r="CP53" s="545">
        <f t="shared" ca="1" si="137"/>
        <v>0</v>
      </c>
      <c r="CQ53" s="545">
        <f t="shared" ca="1" si="137"/>
        <v>0</v>
      </c>
      <c r="CR53" s="545">
        <f t="shared" ca="1" si="137"/>
        <v>0</v>
      </c>
      <c r="CS53" s="545">
        <f t="shared" ca="1" si="137"/>
        <v>0</v>
      </c>
      <c r="CT53" s="545">
        <f t="shared" ca="1" si="137"/>
        <v>0</v>
      </c>
      <c r="CU53" s="545">
        <f t="shared" ca="1" si="137"/>
        <v>0</v>
      </c>
      <c r="CW53" s="151">
        <f t="shared" ca="1" si="119"/>
        <v>0</v>
      </c>
    </row>
    <row r="54" spans="1:101" s="84" customFormat="1" ht="15.75" x14ac:dyDescent="0.2">
      <c r="A54" s="18"/>
      <c r="B54" s="89"/>
      <c r="C54" s="85" t="s">
        <v>61</v>
      </c>
      <c r="D54" s="57" t="str">
        <f>INDEX(Workstreams[Workstream], MATCH($C54, Workstreams[Code], 0))</f>
        <v>Nuclear power generation</v>
      </c>
      <c r="E54" s="53"/>
      <c r="G54" s="300">
        <f ca="1">G53</f>
        <v>0</v>
      </c>
      <c r="H54" s="300">
        <f t="shared" ref="H54:N54" ca="1" si="138">H53</f>
        <v>0</v>
      </c>
      <c r="I54" s="300">
        <f ca="1">I53</f>
        <v>0</v>
      </c>
      <c r="J54" s="300">
        <f t="shared" ca="1" si="138"/>
        <v>0</v>
      </c>
      <c r="K54" s="300">
        <f t="shared" ca="1" si="138"/>
        <v>0</v>
      </c>
      <c r="L54" s="300">
        <f t="shared" ca="1" si="138"/>
        <v>0</v>
      </c>
      <c r="M54" s="300">
        <f t="shared" ca="1" si="138"/>
        <v>0</v>
      </c>
      <c r="N54" s="300">
        <f t="shared" ca="1" si="138"/>
        <v>0</v>
      </c>
      <c r="O54" s="300">
        <f t="shared" ref="O54" ca="1" si="139">O53</f>
        <v>0</v>
      </c>
      <c r="P54" s="300">
        <f t="shared" ca="1" si="73"/>
        <v>0</v>
      </c>
      <c r="R54" s="257">
        <f t="shared" ref="R54:AE54" ca="1" si="140">R53</f>
        <v>0</v>
      </c>
      <c r="S54" s="257">
        <f t="shared" ca="1" si="140"/>
        <v>0</v>
      </c>
      <c r="T54" s="257">
        <f t="shared" ca="1" si="140"/>
        <v>0</v>
      </c>
      <c r="U54" s="257">
        <f t="shared" ca="1" si="140"/>
        <v>0</v>
      </c>
      <c r="V54" s="257">
        <f t="shared" ca="1" si="140"/>
        <v>0</v>
      </c>
      <c r="W54" s="257">
        <f ca="1">W53</f>
        <v>0</v>
      </c>
      <c r="X54" s="257">
        <f t="shared" ca="1" si="140"/>
        <v>0</v>
      </c>
      <c r="Y54" s="257">
        <f t="shared" ca="1" si="140"/>
        <v>0</v>
      </c>
      <c r="Z54" s="257">
        <f t="shared" ca="1" si="140"/>
        <v>0</v>
      </c>
      <c r="AA54" s="257">
        <f t="shared" ca="1" si="140"/>
        <v>0</v>
      </c>
      <c r="AB54" s="257">
        <f t="shared" ca="1" si="140"/>
        <v>0</v>
      </c>
      <c r="AC54" s="257">
        <f ca="1">AC53</f>
        <v>0</v>
      </c>
      <c r="AD54" s="257">
        <f ca="1">AD53</f>
        <v>0</v>
      </c>
      <c r="AE54" s="257">
        <f t="shared" ca="1" si="140"/>
        <v>0</v>
      </c>
      <c r="AF54" s="257">
        <f ca="1">AF53</f>
        <v>0</v>
      </c>
      <c r="AG54" s="257">
        <f ca="1">AG53</f>
        <v>0</v>
      </c>
      <c r="AH54" s="257">
        <f t="shared" ca="1" si="5"/>
        <v>0</v>
      </c>
      <c r="AJ54" s="263">
        <f ca="1">AJ53</f>
        <v>0</v>
      </c>
      <c r="AK54" s="263">
        <f t="shared" ref="AK54:AX54" ca="1" si="141">AK53</f>
        <v>0</v>
      </c>
      <c r="AL54" s="263">
        <f t="shared" ca="1" si="141"/>
        <v>0</v>
      </c>
      <c r="AM54" s="263">
        <f t="shared" ca="1" si="141"/>
        <v>0</v>
      </c>
      <c r="AN54" s="263">
        <f t="shared" ca="1" si="141"/>
        <v>0</v>
      </c>
      <c r="AO54" s="263">
        <f t="shared" ca="1" si="141"/>
        <v>0</v>
      </c>
      <c r="AP54" s="263">
        <f t="shared" ca="1" si="141"/>
        <v>0</v>
      </c>
      <c r="AQ54" s="263">
        <f t="shared" ca="1" si="141"/>
        <v>0</v>
      </c>
      <c r="AR54" s="263">
        <f t="shared" ca="1" si="141"/>
        <v>0</v>
      </c>
      <c r="AS54" s="263">
        <f t="shared" ca="1" si="141"/>
        <v>0</v>
      </c>
      <c r="AT54" s="263">
        <f t="shared" ca="1" si="141"/>
        <v>0</v>
      </c>
      <c r="AU54" s="263">
        <f t="shared" ca="1" si="141"/>
        <v>0</v>
      </c>
      <c r="AV54" s="263">
        <f t="shared" ca="1" si="141"/>
        <v>0</v>
      </c>
      <c r="AW54" s="263">
        <f t="shared" ca="1" si="141"/>
        <v>0</v>
      </c>
      <c r="AX54" s="263">
        <f t="shared" ca="1" si="141"/>
        <v>0</v>
      </c>
      <c r="AY54" s="263">
        <f t="shared" ca="1" si="77"/>
        <v>0</v>
      </c>
      <c r="BA54" s="277">
        <f ca="1">BA53</f>
        <v>0</v>
      </c>
      <c r="BB54" s="277">
        <f ca="1">BB53</f>
        <v>0</v>
      </c>
      <c r="BC54" s="277">
        <f t="shared" ca="1" si="10"/>
        <v>0</v>
      </c>
      <c r="BE54" s="55">
        <f ca="1">P54+AH54+AY54+BC54</f>
        <v>0</v>
      </c>
      <c r="BF54" s="55"/>
      <c r="BG54" s="153"/>
      <c r="BH54" s="542">
        <f t="shared" ref="BH54:CU54" ca="1" si="142">BH53</f>
        <v>0</v>
      </c>
      <c r="BI54" s="542">
        <f t="shared" ca="1" si="142"/>
        <v>0</v>
      </c>
      <c r="BJ54" s="542">
        <f t="shared" ca="1" si="142"/>
        <v>0</v>
      </c>
      <c r="BK54" s="542">
        <f t="shared" ca="1" si="142"/>
        <v>0</v>
      </c>
      <c r="BL54" s="542">
        <f t="shared" ca="1" si="142"/>
        <v>0</v>
      </c>
      <c r="BM54" s="542">
        <f t="shared" ca="1" si="142"/>
        <v>0</v>
      </c>
      <c r="BN54" s="542">
        <f t="shared" ca="1" si="142"/>
        <v>0</v>
      </c>
      <c r="BO54" s="542">
        <f t="shared" ca="1" si="142"/>
        <v>0</v>
      </c>
      <c r="BP54" s="542">
        <f t="shared" ca="1" si="142"/>
        <v>0</v>
      </c>
      <c r="BQ54" s="542">
        <f t="shared" ca="1" si="142"/>
        <v>0</v>
      </c>
      <c r="BR54" s="542">
        <f t="shared" ca="1" si="142"/>
        <v>0</v>
      </c>
      <c r="BS54" s="542">
        <f t="shared" ca="1" si="142"/>
        <v>0</v>
      </c>
      <c r="BT54" s="542">
        <f t="shared" ca="1" si="142"/>
        <v>0</v>
      </c>
      <c r="BU54" s="542">
        <f t="shared" ca="1" si="142"/>
        <v>0</v>
      </c>
      <c r="BV54" s="542">
        <f t="shared" ca="1" si="142"/>
        <v>0</v>
      </c>
      <c r="BW54" s="542">
        <f t="shared" ca="1" si="142"/>
        <v>0</v>
      </c>
      <c r="BX54" s="542">
        <f t="shared" ca="1" si="142"/>
        <v>0</v>
      </c>
      <c r="BY54" s="542">
        <f t="shared" ca="1" si="142"/>
        <v>0</v>
      </c>
      <c r="BZ54" s="542">
        <f t="shared" ca="1" si="142"/>
        <v>0</v>
      </c>
      <c r="CA54" s="542">
        <f t="shared" ca="1" si="142"/>
        <v>0</v>
      </c>
      <c r="CB54" s="542">
        <f t="shared" ca="1" si="142"/>
        <v>0</v>
      </c>
      <c r="CC54" s="542">
        <f t="shared" ca="1" si="142"/>
        <v>0</v>
      </c>
      <c r="CD54" s="542">
        <f t="shared" ca="1" si="142"/>
        <v>0</v>
      </c>
      <c r="CE54" s="542">
        <f t="shared" ca="1" si="142"/>
        <v>0</v>
      </c>
      <c r="CF54" s="542">
        <f t="shared" ca="1" si="142"/>
        <v>0</v>
      </c>
      <c r="CG54" s="542">
        <f t="shared" ca="1" si="142"/>
        <v>0</v>
      </c>
      <c r="CH54" s="542">
        <f t="shared" ca="1" si="142"/>
        <v>0</v>
      </c>
      <c r="CI54" s="542">
        <f t="shared" ca="1" si="142"/>
        <v>0</v>
      </c>
      <c r="CJ54" s="542">
        <f t="shared" ca="1" si="142"/>
        <v>0</v>
      </c>
      <c r="CK54" s="542">
        <f t="shared" ca="1" si="142"/>
        <v>0</v>
      </c>
      <c r="CL54" s="542">
        <f t="shared" ca="1" si="142"/>
        <v>0</v>
      </c>
      <c r="CM54" s="542">
        <f t="shared" ca="1" si="142"/>
        <v>0</v>
      </c>
      <c r="CN54" s="542">
        <f t="shared" ca="1" si="142"/>
        <v>0</v>
      </c>
      <c r="CO54" s="542">
        <f t="shared" ca="1" si="142"/>
        <v>0</v>
      </c>
      <c r="CP54" s="542">
        <f t="shared" ca="1" si="142"/>
        <v>0</v>
      </c>
      <c r="CQ54" s="542">
        <f t="shared" ca="1" si="142"/>
        <v>0</v>
      </c>
      <c r="CR54" s="542">
        <f t="shared" ca="1" si="142"/>
        <v>0</v>
      </c>
      <c r="CS54" s="542">
        <f t="shared" ca="1" si="142"/>
        <v>0</v>
      </c>
      <c r="CT54" s="542">
        <f t="shared" ca="1" si="142"/>
        <v>0</v>
      </c>
      <c r="CU54" s="542">
        <f t="shared" ca="1" si="142"/>
        <v>0</v>
      </c>
      <c r="CW54" s="151">
        <f t="shared" ca="1" si="119"/>
        <v>0</v>
      </c>
    </row>
    <row r="55" spans="1:101" s="84" customFormat="1" ht="12.75" customHeight="1" outlineLevel="1" x14ac:dyDescent="0.2">
      <c r="A55" s="18"/>
      <c r="B55" s="18"/>
      <c r="C55" s="87"/>
      <c r="D55" s="53"/>
      <c r="E55" s="53"/>
      <c r="G55" s="245"/>
      <c r="H55" s="245"/>
      <c r="I55" s="245"/>
      <c r="J55" s="245"/>
      <c r="K55" s="245"/>
      <c r="L55" s="247"/>
      <c r="M55" s="245"/>
      <c r="N55" s="245"/>
      <c r="O55" s="245"/>
      <c r="P55" s="245">
        <f t="shared" si="73"/>
        <v>0</v>
      </c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>
        <f t="shared" si="5"/>
        <v>0</v>
      </c>
      <c r="AJ55" s="263"/>
      <c r="AK55" s="263"/>
      <c r="AL55" s="263"/>
      <c r="AM55" s="263"/>
      <c r="AN55" s="263"/>
      <c r="AO55" s="263"/>
      <c r="AP55" s="263"/>
      <c r="AQ55" s="263"/>
      <c r="AR55" s="263"/>
      <c r="AS55" s="263"/>
      <c r="AT55" s="263"/>
      <c r="AU55" s="263"/>
      <c r="AV55" s="263"/>
      <c r="AW55" s="263"/>
      <c r="AX55" s="263"/>
      <c r="AY55" s="263">
        <f t="shared" si="77"/>
        <v>0</v>
      </c>
      <c r="BA55" s="277"/>
      <c r="BB55" s="277"/>
      <c r="BC55" s="277">
        <f t="shared" si="10"/>
        <v>0</v>
      </c>
      <c r="BE55" s="55">
        <f>P55+AH55+AY55+BC55</f>
        <v>0</v>
      </c>
      <c r="BF55" s="55"/>
      <c r="BG55" s="18"/>
      <c r="BH55" s="542"/>
      <c r="BI55" s="542"/>
      <c r="BJ55" s="542"/>
      <c r="BK55" s="542"/>
      <c r="BL55" s="542"/>
      <c r="BM55" s="542"/>
      <c r="BN55" s="542"/>
      <c r="BO55" s="542"/>
      <c r="BP55" s="542"/>
      <c r="BQ55" s="542"/>
      <c r="BR55" s="542"/>
      <c r="BS55" s="542"/>
      <c r="BT55" s="542"/>
      <c r="BU55" s="542"/>
      <c r="BV55" s="542"/>
      <c r="BW55" s="542"/>
      <c r="BX55" s="542"/>
      <c r="BY55" s="542"/>
      <c r="BZ55" s="542"/>
      <c r="CA55" s="542"/>
      <c r="CB55" s="542"/>
      <c r="CC55" s="542"/>
      <c r="CD55" s="542"/>
      <c r="CE55" s="542"/>
      <c r="CF55" s="542"/>
      <c r="CG55" s="542"/>
      <c r="CH55" s="542"/>
      <c r="CI55" s="542"/>
      <c r="CJ55" s="542"/>
      <c r="CK55" s="542"/>
      <c r="CL55" s="542"/>
      <c r="CM55" s="542"/>
      <c r="CN55" s="542"/>
      <c r="CO55" s="542"/>
      <c r="CP55" s="542"/>
      <c r="CQ55" s="542"/>
      <c r="CR55" s="542"/>
      <c r="CS55" s="542"/>
      <c r="CT55" s="542"/>
      <c r="CU55" s="542"/>
      <c r="CW55" s="151">
        <f t="shared" si="119"/>
        <v>0</v>
      </c>
    </row>
    <row r="56" spans="1:101" s="547" customFormat="1" ht="12.75" customHeight="1" outlineLevel="1" x14ac:dyDescent="0.2">
      <c r="C56" s="319" t="s">
        <v>856</v>
      </c>
      <c r="D56" s="320" t="s">
        <v>587</v>
      </c>
      <c r="E56" s="320"/>
      <c r="F56" s="84"/>
      <c r="G56" s="321"/>
      <c r="H56" s="321"/>
      <c r="I56" s="321"/>
      <c r="J56" s="321"/>
      <c r="K56" s="321"/>
      <c r="L56" s="322"/>
      <c r="M56" s="321"/>
      <c r="N56" s="321"/>
      <c r="O56" s="321"/>
      <c r="P56" s="321">
        <f t="shared" si="73"/>
        <v>0</v>
      </c>
      <c r="Q56" s="84"/>
      <c r="R56" s="323">
        <f ca="1">R$52+R$54</f>
        <v>-117.07862642129547</v>
      </c>
      <c r="S56" s="323">
        <f ca="1">S$52+S$54</f>
        <v>-14.203594728458119</v>
      </c>
      <c r="T56" s="323"/>
      <c r="U56" s="323"/>
      <c r="V56" s="323"/>
      <c r="W56" s="323"/>
      <c r="X56" s="323"/>
      <c r="Y56" s="323"/>
      <c r="Z56" s="323"/>
      <c r="AA56" s="323"/>
      <c r="AB56" s="323"/>
      <c r="AC56" s="323"/>
      <c r="AD56" s="323"/>
      <c r="AE56" s="323"/>
      <c r="AF56" s="323"/>
      <c r="AG56" s="323"/>
      <c r="AH56" s="323">
        <f t="shared" ca="1" si="5"/>
        <v>-131.28222114975358</v>
      </c>
      <c r="AI56" s="84"/>
      <c r="AJ56" s="324"/>
      <c r="AK56" s="324"/>
      <c r="AL56" s="324"/>
      <c r="AM56" s="324"/>
      <c r="AN56" s="324"/>
      <c r="AO56" s="324"/>
      <c r="AP56" s="324"/>
      <c r="AQ56" s="324"/>
      <c r="AR56" s="324"/>
      <c r="AS56" s="324"/>
      <c r="AT56" s="324"/>
      <c r="AU56" s="324"/>
      <c r="AV56" s="324"/>
      <c r="AW56" s="324"/>
      <c r="AX56" s="324"/>
      <c r="AY56" s="324">
        <f t="shared" si="77"/>
        <v>0</v>
      </c>
      <c r="AZ56" s="84"/>
      <c r="BA56" s="325"/>
      <c r="BB56" s="325"/>
      <c r="BC56" s="325">
        <f t="shared" si="10"/>
        <v>0</v>
      </c>
      <c r="BD56" s="84"/>
      <c r="BE56" s="164"/>
      <c r="BF56" s="164"/>
      <c r="BH56" s="549"/>
      <c r="BI56" s="549"/>
      <c r="BJ56" s="549"/>
      <c r="BK56" s="549"/>
      <c r="BL56" s="549"/>
      <c r="BM56" s="549"/>
      <c r="BN56" s="549"/>
      <c r="BO56" s="549"/>
      <c r="BP56" s="549"/>
      <c r="BQ56" s="549"/>
      <c r="BR56" s="549"/>
      <c r="BS56" s="549"/>
      <c r="BT56" s="549"/>
      <c r="BU56" s="549"/>
      <c r="BV56" s="549"/>
      <c r="BW56" s="549"/>
      <c r="BX56" s="549"/>
      <c r="BY56" s="549"/>
      <c r="BZ56" s="549"/>
      <c r="CA56" s="549"/>
      <c r="CB56" s="549"/>
      <c r="CC56" s="549"/>
      <c r="CD56" s="549"/>
      <c r="CE56" s="549"/>
      <c r="CF56" s="549"/>
      <c r="CG56" s="549"/>
      <c r="CH56" s="549"/>
      <c r="CI56" s="549"/>
      <c r="CJ56" s="549"/>
      <c r="CK56" s="549"/>
      <c r="CL56" s="549"/>
      <c r="CM56" s="549"/>
      <c r="CN56" s="549"/>
      <c r="CO56" s="549"/>
      <c r="CP56" s="549"/>
      <c r="CQ56" s="549"/>
      <c r="CR56" s="549"/>
      <c r="CS56" s="549"/>
      <c r="CT56" s="549"/>
      <c r="CU56" s="549"/>
      <c r="CW56" s="151">
        <f t="shared" si="119"/>
        <v>0</v>
      </c>
    </row>
    <row r="57" spans="1:101" s="543" customFormat="1" ht="12.75" customHeight="1" outlineLevel="1" x14ac:dyDescent="0.2">
      <c r="C57" s="86" t="s">
        <v>352</v>
      </c>
      <c r="D57" s="61" t="str">
        <f>INDEX(Modules[Module], MATCH($C57, Modules[Code], 0))</f>
        <v>Biomass power station</v>
      </c>
      <c r="E57" s="61"/>
      <c r="F57" s="84"/>
      <c r="G57" s="892">
        <f t="shared" ref="G57:O59" ca="1" si="143">IFERROR(INDEX(INDIRECT($C57&amp;".Outputs["&amp;this.Year&amp;"]"), MATCH(G$5, INDIRECT($C57&amp;".Outputs[Vector]"), 0)), 0)</f>
        <v>0</v>
      </c>
      <c r="H57" s="892">
        <f t="shared" ca="1" si="143"/>
        <v>0</v>
      </c>
      <c r="I57" s="892">
        <f t="shared" ca="1" si="143"/>
        <v>0</v>
      </c>
      <c r="J57" s="892">
        <f t="shared" ca="1" si="143"/>
        <v>0</v>
      </c>
      <c r="K57" s="892">
        <f t="shared" ca="1" si="143"/>
        <v>0</v>
      </c>
      <c r="L57" s="892">
        <f t="shared" ca="1" si="143"/>
        <v>0</v>
      </c>
      <c r="M57" s="892">
        <f t="shared" ca="1" si="143"/>
        <v>0</v>
      </c>
      <c r="N57" s="892">
        <f t="shared" ca="1" si="143"/>
        <v>0</v>
      </c>
      <c r="O57" s="892">
        <f t="shared" ca="1" si="143"/>
        <v>0</v>
      </c>
      <c r="P57" s="892">
        <f t="shared" ref="P57:P89" ca="1" si="144">SUM(G57:O57)</f>
        <v>0</v>
      </c>
      <c r="Q57" s="84"/>
      <c r="R57" s="893">
        <f t="shared" ref="R57:AG57" ca="1" si="145">IFERROR(INDEX(INDIRECT($C57&amp;".Outputs["&amp;this.Year&amp;"]"), MATCH(R$5, INDIRECT($C57&amp;".Outputs[Vector]"), 0)), 0)</f>
        <v>0</v>
      </c>
      <c r="S57" s="893">
        <f t="shared" ca="1" si="145"/>
        <v>0</v>
      </c>
      <c r="T57" s="893">
        <f t="shared" ca="1" si="145"/>
        <v>0</v>
      </c>
      <c r="U57" s="893">
        <f t="shared" ca="1" si="145"/>
        <v>0</v>
      </c>
      <c r="V57" s="893">
        <f t="shared" ca="1" si="145"/>
        <v>0</v>
      </c>
      <c r="W57" s="893">
        <f t="shared" ca="1" si="145"/>
        <v>0</v>
      </c>
      <c r="X57" s="893">
        <f t="shared" ca="1" si="145"/>
        <v>0</v>
      </c>
      <c r="Y57" s="893">
        <f t="shared" ca="1" si="145"/>
        <v>0</v>
      </c>
      <c r="Z57" s="893">
        <f t="shared" ca="1" si="145"/>
        <v>0</v>
      </c>
      <c r="AA57" s="893">
        <f t="shared" ca="1" si="145"/>
        <v>0</v>
      </c>
      <c r="AB57" s="893">
        <f t="shared" ca="1" si="145"/>
        <v>0</v>
      </c>
      <c r="AC57" s="893">
        <f t="shared" ca="1" si="145"/>
        <v>0</v>
      </c>
      <c r="AD57" s="893">
        <f t="shared" ca="1" si="145"/>
        <v>0</v>
      </c>
      <c r="AE57" s="893">
        <f t="shared" ca="1" si="145"/>
        <v>0</v>
      </c>
      <c r="AF57" s="893">
        <f t="shared" ca="1" si="145"/>
        <v>0</v>
      </c>
      <c r="AG57" s="893">
        <f t="shared" ca="1" si="145"/>
        <v>0</v>
      </c>
      <c r="AH57" s="894">
        <f t="shared" ca="1" si="5"/>
        <v>0</v>
      </c>
      <c r="AI57" s="84"/>
      <c r="AJ57" s="895">
        <f t="shared" ref="AJ57:AR59" ca="1" si="146">IFERROR(INDEX(INDIRECT($C57&amp;".Outputs["&amp;this.Year&amp;"]"), MATCH(AJ$5, INDIRECT($C57&amp;".Outputs[Vector]"), 0)), 0)</f>
        <v>0</v>
      </c>
      <c r="AK57" s="895">
        <f t="shared" ca="1" si="146"/>
        <v>0</v>
      </c>
      <c r="AL57" s="895">
        <f t="shared" ca="1" si="146"/>
        <v>0</v>
      </c>
      <c r="AM57" s="895">
        <f t="shared" ca="1" si="146"/>
        <v>0</v>
      </c>
      <c r="AN57" s="895">
        <f t="shared" ca="1" si="146"/>
        <v>0</v>
      </c>
      <c r="AO57" s="895">
        <f t="shared" ca="1" si="146"/>
        <v>0</v>
      </c>
      <c r="AP57" s="895">
        <f t="shared" ca="1" si="146"/>
        <v>0</v>
      </c>
      <c r="AQ57" s="895">
        <f t="shared" ca="1" si="146"/>
        <v>0</v>
      </c>
      <c r="AR57" s="895">
        <f t="shared" ca="1" si="146"/>
        <v>0</v>
      </c>
      <c r="AS57" s="895">
        <f t="shared" ref="AS57:AX57" ca="1" si="147">IFERROR(INDEX(INDIRECT($C57&amp;".Outputs["&amp;this.Year&amp;"]"), MATCH(AS$5, INDIRECT($C57&amp;".Outputs[Vector]"), 0)), 0)</f>
        <v>0</v>
      </c>
      <c r="AT57" s="895">
        <f t="shared" ca="1" si="147"/>
        <v>0</v>
      </c>
      <c r="AU57" s="895">
        <f t="shared" ca="1" si="147"/>
        <v>0</v>
      </c>
      <c r="AV57" s="895">
        <f t="shared" ca="1" si="147"/>
        <v>0</v>
      </c>
      <c r="AW57" s="895">
        <f t="shared" ca="1" si="147"/>
        <v>0</v>
      </c>
      <c r="AX57" s="895">
        <f t="shared" ca="1" si="147"/>
        <v>0</v>
      </c>
      <c r="AY57" s="896">
        <f t="shared" ca="1" si="77"/>
        <v>0</v>
      </c>
      <c r="AZ57" s="84"/>
      <c r="BA57" s="897">
        <f ca="1">IFERROR(INDEX(INDIRECT($C57&amp;".Outputs["&amp;this.Year&amp;"]"), MATCH(BA$5, INDIRECT($C57&amp;".Outputs[Vector]"), 0)), 0)</f>
        <v>0</v>
      </c>
      <c r="BB57" s="897">
        <f ca="1">IFERROR(INDEX(INDIRECT($C57&amp;".Outputs["&amp;this.Year&amp;"]"), MATCH(BB$5, INDIRECT($C57&amp;".Outputs[Vector]"), 0)), 0)</f>
        <v>0</v>
      </c>
      <c r="BC57" s="898">
        <f t="shared" ca="1" si="10"/>
        <v>0</v>
      </c>
      <c r="BD57" s="84"/>
      <c r="BE57" s="135">
        <f ca="1">P57+AH57+AY57+BC57</f>
        <v>0</v>
      </c>
      <c r="BF57" s="135"/>
      <c r="BG57" s="153"/>
      <c r="BH57" s="541">
        <f t="shared" ref="BH57:CU59" ca="1" si="148">IFERROR(SUMIFS(INDIRECT($C57&amp;".Emissions["&amp;this.Year&amp;"]"), INDIRECT($C57&amp;".Emissions[GHG]"), BH$6, INDIRECT($C57&amp;".Emissions[IPCC Sector]"), BH$5),0)</f>
        <v>0</v>
      </c>
      <c r="BI57" s="542">
        <f t="shared" ca="1" si="148"/>
        <v>0</v>
      </c>
      <c r="BJ57" s="542">
        <f t="shared" ca="1" si="148"/>
        <v>0</v>
      </c>
      <c r="BK57" s="542">
        <f t="shared" ca="1" si="148"/>
        <v>0</v>
      </c>
      <c r="BL57" s="542">
        <f t="shared" ca="1" si="148"/>
        <v>0</v>
      </c>
      <c r="BM57" s="542">
        <f t="shared" ca="1" si="148"/>
        <v>0</v>
      </c>
      <c r="BN57" s="542">
        <f t="shared" ca="1" si="148"/>
        <v>0</v>
      </c>
      <c r="BO57" s="542">
        <f t="shared" ca="1" si="148"/>
        <v>0</v>
      </c>
      <c r="BP57" s="542">
        <f t="shared" ca="1" si="148"/>
        <v>0</v>
      </c>
      <c r="BQ57" s="542">
        <f t="shared" ca="1" si="148"/>
        <v>0</v>
      </c>
      <c r="BR57" s="542">
        <f t="shared" ca="1" si="148"/>
        <v>0</v>
      </c>
      <c r="BS57" s="542">
        <f t="shared" ca="1" si="148"/>
        <v>0</v>
      </c>
      <c r="BT57" s="542">
        <f t="shared" ca="1" si="148"/>
        <v>0</v>
      </c>
      <c r="BU57" s="542">
        <f t="shared" ca="1" si="148"/>
        <v>0</v>
      </c>
      <c r="BV57" s="542">
        <f t="shared" ca="1" si="148"/>
        <v>0</v>
      </c>
      <c r="BW57" s="542">
        <f t="shared" ca="1" si="148"/>
        <v>0</v>
      </c>
      <c r="BX57" s="542">
        <f t="shared" ca="1" si="148"/>
        <v>0</v>
      </c>
      <c r="BY57" s="542">
        <f t="shared" ca="1" si="148"/>
        <v>0</v>
      </c>
      <c r="BZ57" s="542">
        <f t="shared" ca="1" si="148"/>
        <v>0</v>
      </c>
      <c r="CA57" s="542">
        <f t="shared" ca="1" si="148"/>
        <v>0</v>
      </c>
      <c r="CB57" s="542">
        <f t="shared" ca="1" si="148"/>
        <v>0</v>
      </c>
      <c r="CC57" s="542">
        <f t="shared" ca="1" si="148"/>
        <v>0</v>
      </c>
      <c r="CD57" s="542">
        <f t="shared" ca="1" si="148"/>
        <v>0</v>
      </c>
      <c r="CE57" s="542">
        <f t="shared" ca="1" si="148"/>
        <v>0</v>
      </c>
      <c r="CF57" s="542">
        <f t="shared" ca="1" si="148"/>
        <v>0</v>
      </c>
      <c r="CG57" s="542">
        <f t="shared" ca="1" si="148"/>
        <v>0</v>
      </c>
      <c r="CH57" s="542">
        <f t="shared" ca="1" si="148"/>
        <v>0</v>
      </c>
      <c r="CI57" s="542">
        <f t="shared" ca="1" si="148"/>
        <v>0</v>
      </c>
      <c r="CJ57" s="542">
        <f t="shared" ca="1" si="148"/>
        <v>0</v>
      </c>
      <c r="CK57" s="542">
        <f t="shared" ca="1" si="148"/>
        <v>0</v>
      </c>
      <c r="CL57" s="542">
        <f t="shared" ca="1" si="148"/>
        <v>0</v>
      </c>
      <c r="CM57" s="542">
        <f t="shared" ca="1" si="148"/>
        <v>0</v>
      </c>
      <c r="CN57" s="542">
        <f t="shared" ca="1" si="148"/>
        <v>0</v>
      </c>
      <c r="CO57" s="542">
        <f t="shared" ca="1" si="148"/>
        <v>0</v>
      </c>
      <c r="CP57" s="542">
        <f t="shared" ca="1" si="148"/>
        <v>0</v>
      </c>
      <c r="CQ57" s="542">
        <f t="shared" ca="1" si="148"/>
        <v>0</v>
      </c>
      <c r="CR57" s="542">
        <f t="shared" ca="1" si="148"/>
        <v>0</v>
      </c>
      <c r="CS57" s="542">
        <f t="shared" ca="1" si="148"/>
        <v>0</v>
      </c>
      <c r="CT57" s="542">
        <f t="shared" ca="1" si="148"/>
        <v>0</v>
      </c>
      <c r="CU57" s="542">
        <f t="shared" ca="1" si="148"/>
        <v>0</v>
      </c>
      <c r="CW57" s="151">
        <f t="shared" ca="1" si="119"/>
        <v>0</v>
      </c>
    </row>
    <row r="58" spans="1:101" s="543" customFormat="1" ht="12.75" customHeight="1" outlineLevel="1" x14ac:dyDescent="0.2">
      <c r="C58" s="319" t="s">
        <v>2381</v>
      </c>
      <c r="D58" s="320" t="s">
        <v>587</v>
      </c>
      <c r="E58" s="61"/>
      <c r="F58" s="84"/>
      <c r="G58" s="892"/>
      <c r="H58" s="892"/>
      <c r="I58" s="892"/>
      <c r="J58" s="892"/>
      <c r="K58" s="892"/>
      <c r="L58" s="892"/>
      <c r="M58" s="892"/>
      <c r="N58" s="892"/>
      <c r="O58" s="892"/>
      <c r="P58" s="892">
        <f t="shared" si="144"/>
        <v>0</v>
      </c>
      <c r="Q58" s="84"/>
      <c r="R58" s="893">
        <f ca="1">R56+R57</f>
        <v>-117.07862642129547</v>
      </c>
      <c r="S58" s="893">
        <f ca="1">S56+S57</f>
        <v>-14.203594728458119</v>
      </c>
      <c r="T58" s="893"/>
      <c r="U58" s="893"/>
      <c r="V58" s="893"/>
      <c r="W58" s="893"/>
      <c r="X58" s="893"/>
      <c r="Y58" s="893"/>
      <c r="Z58" s="893"/>
      <c r="AA58" s="893"/>
      <c r="AB58" s="893"/>
      <c r="AC58" s="893"/>
      <c r="AD58" s="893"/>
      <c r="AE58" s="893"/>
      <c r="AF58" s="893"/>
      <c r="AG58" s="893"/>
      <c r="AH58" s="894">
        <f t="shared" ca="1" si="5"/>
        <v>-131.28222114975358</v>
      </c>
      <c r="AI58" s="84"/>
      <c r="AJ58" s="895"/>
      <c r="AK58" s="895"/>
      <c r="AL58" s="895"/>
      <c r="AM58" s="895"/>
      <c r="AN58" s="895"/>
      <c r="AO58" s="895"/>
      <c r="AP58" s="895"/>
      <c r="AQ58" s="895"/>
      <c r="AR58" s="895"/>
      <c r="AS58" s="895"/>
      <c r="AT58" s="895"/>
      <c r="AU58" s="895"/>
      <c r="AV58" s="895"/>
      <c r="AW58" s="895"/>
      <c r="AX58" s="895"/>
      <c r="AY58" s="896">
        <f t="shared" si="77"/>
        <v>0</v>
      </c>
      <c r="AZ58" s="84"/>
      <c r="BA58" s="897"/>
      <c r="BB58" s="897"/>
      <c r="BC58" s="898">
        <f t="shared" si="10"/>
        <v>0</v>
      </c>
      <c r="BD58" s="84"/>
      <c r="BE58" s="135"/>
      <c r="BF58" s="135"/>
      <c r="BG58" s="1428"/>
      <c r="BH58" s="541"/>
      <c r="BI58" s="542"/>
      <c r="BJ58" s="542"/>
      <c r="BK58" s="542"/>
      <c r="BL58" s="542"/>
      <c r="BM58" s="542"/>
      <c r="BN58" s="542"/>
      <c r="BO58" s="542"/>
      <c r="BP58" s="542"/>
      <c r="BQ58" s="542"/>
      <c r="BR58" s="542"/>
      <c r="BS58" s="542"/>
      <c r="BT58" s="542"/>
      <c r="BU58" s="542"/>
      <c r="BV58" s="542"/>
      <c r="BW58" s="542"/>
      <c r="BX58" s="542"/>
      <c r="BY58" s="542"/>
      <c r="BZ58" s="542"/>
      <c r="CA58" s="542"/>
      <c r="CB58" s="542"/>
      <c r="CC58" s="542"/>
      <c r="CD58" s="542"/>
      <c r="CE58" s="542"/>
      <c r="CF58" s="542"/>
      <c r="CG58" s="542"/>
      <c r="CH58" s="542"/>
      <c r="CI58" s="542"/>
      <c r="CJ58" s="542"/>
      <c r="CK58" s="542"/>
      <c r="CL58" s="542"/>
      <c r="CM58" s="542"/>
      <c r="CN58" s="542"/>
      <c r="CO58" s="542"/>
      <c r="CP58" s="542"/>
      <c r="CQ58" s="542"/>
      <c r="CR58" s="542"/>
      <c r="CS58" s="542"/>
      <c r="CT58" s="542"/>
      <c r="CU58" s="542"/>
      <c r="CW58" s="151"/>
    </row>
    <row r="59" spans="1:101" s="543" customFormat="1" ht="12.75" customHeight="1" outlineLevel="1" x14ac:dyDescent="0.2">
      <c r="C59" s="86" t="s">
        <v>2146</v>
      </c>
      <c r="D59" s="61" t="str">
        <f>INDEX(Modules[Module], MATCH($C59, Modules[Code], 0))</f>
        <v>Coal power stations</v>
      </c>
      <c r="E59" s="61"/>
      <c r="F59" s="84"/>
      <c r="G59" s="892">
        <f t="shared" ca="1" si="143"/>
        <v>0</v>
      </c>
      <c r="H59" s="892">
        <f t="shared" ca="1" si="143"/>
        <v>0</v>
      </c>
      <c r="I59" s="892">
        <f t="shared" ca="1" si="143"/>
        <v>0</v>
      </c>
      <c r="J59" s="892">
        <f t="shared" ca="1" si="143"/>
        <v>0</v>
      </c>
      <c r="K59" s="892">
        <f t="shared" ca="1" si="143"/>
        <v>0</v>
      </c>
      <c r="L59" s="892">
        <f t="shared" ca="1" si="143"/>
        <v>0</v>
      </c>
      <c r="M59" s="892">
        <f t="shared" ca="1" si="143"/>
        <v>0</v>
      </c>
      <c r="N59" s="892">
        <f t="shared" ca="1" si="143"/>
        <v>0</v>
      </c>
      <c r="O59" s="892">
        <f t="shared" ca="1" si="143"/>
        <v>0</v>
      </c>
      <c r="P59" s="892">
        <f t="shared" ca="1" si="144"/>
        <v>0</v>
      </c>
      <c r="Q59" s="84"/>
      <c r="R59" s="893">
        <f t="shared" ref="R59:AG59" ca="1" si="149">IFERROR(INDEX(INDIRECT($C59&amp;".Outputs["&amp;this.Year&amp;"]"), MATCH(R$5, INDIRECT($C59&amp;".Outputs[Vector]"), 0)), 0)</f>
        <v>0</v>
      </c>
      <c r="S59" s="893">
        <f t="shared" ca="1" si="149"/>
        <v>0</v>
      </c>
      <c r="T59" s="893">
        <f t="shared" ca="1" si="149"/>
        <v>0</v>
      </c>
      <c r="U59" s="893">
        <f t="shared" ca="1" si="149"/>
        <v>0</v>
      </c>
      <c r="V59" s="893">
        <f t="shared" ca="1" si="149"/>
        <v>0</v>
      </c>
      <c r="W59" s="893">
        <f t="shared" ca="1" si="149"/>
        <v>0</v>
      </c>
      <c r="X59" s="893">
        <f t="shared" ca="1" si="149"/>
        <v>0</v>
      </c>
      <c r="Y59" s="893">
        <f t="shared" ca="1" si="149"/>
        <v>0</v>
      </c>
      <c r="Z59" s="893">
        <f t="shared" ca="1" si="149"/>
        <v>0</v>
      </c>
      <c r="AA59" s="893">
        <f t="shared" ca="1" si="149"/>
        <v>0</v>
      </c>
      <c r="AB59" s="893">
        <f t="shared" ca="1" si="149"/>
        <v>0</v>
      </c>
      <c r="AC59" s="893">
        <f t="shared" ca="1" si="149"/>
        <v>0</v>
      </c>
      <c r="AD59" s="893">
        <f t="shared" ca="1" si="149"/>
        <v>0</v>
      </c>
      <c r="AE59" s="893">
        <f t="shared" ca="1" si="149"/>
        <v>0</v>
      </c>
      <c r="AF59" s="893">
        <f t="shared" ca="1" si="149"/>
        <v>0</v>
      </c>
      <c r="AG59" s="893">
        <f t="shared" ca="1" si="149"/>
        <v>0</v>
      </c>
      <c r="AH59" s="894">
        <f t="shared" ca="1" si="5"/>
        <v>0</v>
      </c>
      <c r="AI59" s="84"/>
      <c r="AJ59" s="895">
        <f t="shared" ca="1" si="146"/>
        <v>0</v>
      </c>
      <c r="AK59" s="895">
        <f t="shared" ca="1" si="146"/>
        <v>0</v>
      </c>
      <c r="AL59" s="895">
        <f t="shared" ca="1" si="146"/>
        <v>0</v>
      </c>
      <c r="AM59" s="895">
        <f t="shared" ca="1" si="146"/>
        <v>0</v>
      </c>
      <c r="AN59" s="895">
        <f t="shared" ca="1" si="146"/>
        <v>0</v>
      </c>
      <c r="AO59" s="895">
        <f t="shared" ca="1" si="146"/>
        <v>0</v>
      </c>
      <c r="AP59" s="895">
        <f t="shared" ca="1" si="146"/>
        <v>0</v>
      </c>
      <c r="AQ59" s="895">
        <f t="shared" ca="1" si="146"/>
        <v>0</v>
      </c>
      <c r="AR59" s="895">
        <f t="shared" ca="1" si="146"/>
        <v>0</v>
      </c>
      <c r="AS59" s="895">
        <f t="shared" ref="AS59:AX59" ca="1" si="150">IFERROR(INDEX(INDIRECT($C59&amp;".Outputs["&amp;this.Year&amp;"]"), MATCH(AS$5, INDIRECT($C59&amp;".Outputs[Vector]"), 0)), 0)</f>
        <v>0</v>
      </c>
      <c r="AT59" s="895">
        <f t="shared" ca="1" si="150"/>
        <v>0</v>
      </c>
      <c r="AU59" s="895">
        <f t="shared" ca="1" si="150"/>
        <v>0</v>
      </c>
      <c r="AV59" s="895">
        <f t="shared" ca="1" si="150"/>
        <v>0</v>
      </c>
      <c r="AW59" s="895">
        <f t="shared" ca="1" si="150"/>
        <v>0</v>
      </c>
      <c r="AX59" s="895">
        <f t="shared" ca="1" si="150"/>
        <v>0</v>
      </c>
      <c r="AY59" s="896">
        <f t="shared" ca="1" si="77"/>
        <v>0</v>
      </c>
      <c r="AZ59" s="84"/>
      <c r="BA59" s="897">
        <f ca="1">IFERROR(INDEX(INDIRECT($C59&amp;".Outputs["&amp;this.Year&amp;"]"), MATCH(BA$5, INDIRECT($C59&amp;".Outputs[Vector]"), 0)), 0)</f>
        <v>0</v>
      </c>
      <c r="BB59" s="897">
        <f ca="1">IFERROR(INDEX(INDIRECT($C59&amp;".Outputs["&amp;this.Year&amp;"]"), MATCH(BB$5, INDIRECT($C59&amp;".Outputs[Vector]"), 0)), 0)</f>
        <v>0</v>
      </c>
      <c r="BC59" s="898">
        <f t="shared" ca="1" si="10"/>
        <v>0</v>
      </c>
      <c r="BD59" s="84"/>
      <c r="BE59" s="135">
        <f ca="1">P59+AH59+AY59+BC59</f>
        <v>0</v>
      </c>
      <c r="BF59" s="135"/>
      <c r="BG59" s="1428"/>
      <c r="BH59" s="541">
        <f t="shared" ca="1" si="148"/>
        <v>0</v>
      </c>
      <c r="BI59" s="542">
        <f t="shared" ca="1" si="148"/>
        <v>0</v>
      </c>
      <c r="BJ59" s="542">
        <f t="shared" ca="1" si="148"/>
        <v>0</v>
      </c>
      <c r="BK59" s="542">
        <f t="shared" ca="1" si="148"/>
        <v>0</v>
      </c>
      <c r="BL59" s="542">
        <f t="shared" ca="1" si="148"/>
        <v>0</v>
      </c>
      <c r="BM59" s="542">
        <f t="shared" ca="1" si="148"/>
        <v>0</v>
      </c>
      <c r="BN59" s="542">
        <f t="shared" ca="1" si="148"/>
        <v>0</v>
      </c>
      <c r="BO59" s="542">
        <f t="shared" ca="1" si="148"/>
        <v>0</v>
      </c>
      <c r="BP59" s="542">
        <f t="shared" ca="1" si="148"/>
        <v>0</v>
      </c>
      <c r="BQ59" s="542">
        <f t="shared" ca="1" si="148"/>
        <v>0</v>
      </c>
      <c r="BR59" s="542">
        <f t="shared" ca="1" si="148"/>
        <v>0</v>
      </c>
      <c r="BS59" s="542">
        <f t="shared" ca="1" si="148"/>
        <v>0</v>
      </c>
      <c r="BT59" s="542">
        <f t="shared" ca="1" si="148"/>
        <v>0</v>
      </c>
      <c r="BU59" s="542">
        <f t="shared" ca="1" si="148"/>
        <v>0</v>
      </c>
      <c r="BV59" s="542">
        <f t="shared" ca="1" si="148"/>
        <v>0</v>
      </c>
      <c r="BW59" s="542">
        <f t="shared" ca="1" si="148"/>
        <v>0</v>
      </c>
      <c r="BX59" s="542">
        <f t="shared" ca="1" si="148"/>
        <v>0</v>
      </c>
      <c r="BY59" s="542">
        <f t="shared" ca="1" si="148"/>
        <v>0</v>
      </c>
      <c r="BZ59" s="542">
        <f t="shared" ca="1" si="148"/>
        <v>0</v>
      </c>
      <c r="CA59" s="542">
        <f t="shared" ca="1" si="148"/>
        <v>0</v>
      </c>
      <c r="CB59" s="542">
        <f t="shared" ca="1" si="148"/>
        <v>0</v>
      </c>
      <c r="CC59" s="542">
        <f t="shared" ca="1" si="148"/>
        <v>0</v>
      </c>
      <c r="CD59" s="542">
        <f t="shared" ca="1" si="148"/>
        <v>0</v>
      </c>
      <c r="CE59" s="542">
        <f t="shared" ca="1" si="148"/>
        <v>0</v>
      </c>
      <c r="CF59" s="542">
        <f t="shared" ca="1" si="148"/>
        <v>0</v>
      </c>
      <c r="CG59" s="542">
        <f t="shared" ca="1" si="148"/>
        <v>0</v>
      </c>
      <c r="CH59" s="542">
        <f t="shared" ca="1" si="148"/>
        <v>0</v>
      </c>
      <c r="CI59" s="542">
        <f t="shared" ca="1" si="148"/>
        <v>0</v>
      </c>
      <c r="CJ59" s="542">
        <f t="shared" ca="1" si="148"/>
        <v>0</v>
      </c>
      <c r="CK59" s="542">
        <f t="shared" ca="1" si="148"/>
        <v>0</v>
      </c>
      <c r="CL59" s="542">
        <f t="shared" ca="1" si="148"/>
        <v>0</v>
      </c>
      <c r="CM59" s="542">
        <f t="shared" ca="1" si="148"/>
        <v>0</v>
      </c>
      <c r="CN59" s="542">
        <f t="shared" ca="1" si="148"/>
        <v>0</v>
      </c>
      <c r="CO59" s="542">
        <f t="shared" ca="1" si="148"/>
        <v>0</v>
      </c>
      <c r="CP59" s="542">
        <f t="shared" ca="1" si="148"/>
        <v>0</v>
      </c>
      <c r="CQ59" s="542">
        <f t="shared" ca="1" si="148"/>
        <v>0</v>
      </c>
      <c r="CR59" s="542">
        <f t="shared" ca="1" si="148"/>
        <v>0</v>
      </c>
      <c r="CS59" s="542">
        <f t="shared" ca="1" si="148"/>
        <v>0</v>
      </c>
      <c r="CT59" s="542">
        <f t="shared" ca="1" si="148"/>
        <v>0</v>
      </c>
      <c r="CU59" s="542">
        <f t="shared" ca="1" si="148"/>
        <v>0</v>
      </c>
      <c r="CW59" s="151">
        <f t="shared" ref="CW59:CW64" ca="1" si="151">SUM(BH59:CU59)</f>
        <v>0</v>
      </c>
    </row>
    <row r="60" spans="1:101" s="550" customFormat="1" ht="12.75" customHeight="1" outlineLevel="1" x14ac:dyDescent="0.2">
      <c r="C60" s="566" t="s">
        <v>857</v>
      </c>
      <c r="D60" s="320" t="s">
        <v>587</v>
      </c>
      <c r="E60" s="567"/>
      <c r="F60" s="882"/>
      <c r="G60" s="333"/>
      <c r="H60" s="333"/>
      <c r="I60" s="333"/>
      <c r="J60" s="333"/>
      <c r="K60" s="333"/>
      <c r="L60" s="334"/>
      <c r="M60" s="333"/>
      <c r="N60" s="333"/>
      <c r="O60" s="333"/>
      <c r="P60" s="333">
        <f t="shared" si="144"/>
        <v>0</v>
      </c>
      <c r="Q60" s="882"/>
      <c r="R60" s="335">
        <f ca="1">R58+R59</f>
        <v>-117.07862642129547</v>
      </c>
      <c r="S60" s="335">
        <f ca="1">S58+S59</f>
        <v>-14.203594728458119</v>
      </c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>
        <f t="shared" ca="1" si="5"/>
        <v>-131.28222114975358</v>
      </c>
      <c r="AI60" s="882"/>
      <c r="AJ60" s="336"/>
      <c r="AK60" s="336"/>
      <c r="AL60" s="336"/>
      <c r="AM60" s="336"/>
      <c r="AN60" s="336"/>
      <c r="AO60" s="336"/>
      <c r="AP60" s="336"/>
      <c r="AQ60" s="336"/>
      <c r="AR60" s="336"/>
      <c r="AS60" s="336"/>
      <c r="AT60" s="336"/>
      <c r="AU60" s="336"/>
      <c r="AV60" s="336"/>
      <c r="AW60" s="336"/>
      <c r="AX60" s="336"/>
      <c r="AY60" s="336">
        <f t="shared" si="77"/>
        <v>0</v>
      </c>
      <c r="AZ60" s="882"/>
      <c r="BA60" s="337"/>
      <c r="BB60" s="337"/>
      <c r="BC60" s="337">
        <f t="shared" si="10"/>
        <v>0</v>
      </c>
      <c r="BD60" s="882"/>
      <c r="BE60" s="568"/>
      <c r="BF60" s="568"/>
      <c r="BH60" s="888"/>
      <c r="BI60" s="888"/>
      <c r="BJ60" s="888"/>
      <c r="BK60" s="888"/>
      <c r="BL60" s="888"/>
      <c r="BM60" s="888"/>
      <c r="BN60" s="888"/>
      <c r="BO60" s="888"/>
      <c r="BP60" s="888"/>
      <c r="BQ60" s="888"/>
      <c r="BR60" s="888"/>
      <c r="BS60" s="888"/>
      <c r="BT60" s="888"/>
      <c r="BU60" s="888"/>
      <c r="BV60" s="888"/>
      <c r="BW60" s="888"/>
      <c r="BX60" s="888"/>
      <c r="BY60" s="888"/>
      <c r="BZ60" s="888"/>
      <c r="CA60" s="888"/>
      <c r="CB60" s="888"/>
      <c r="CC60" s="888"/>
      <c r="CD60" s="888"/>
      <c r="CE60" s="888"/>
      <c r="CF60" s="888"/>
      <c r="CG60" s="888"/>
      <c r="CH60" s="888"/>
      <c r="CI60" s="888"/>
      <c r="CJ60" s="888"/>
      <c r="CK60" s="888"/>
      <c r="CL60" s="888"/>
      <c r="CM60" s="888"/>
      <c r="CN60" s="888"/>
      <c r="CO60" s="888"/>
      <c r="CP60" s="888"/>
      <c r="CQ60" s="888"/>
      <c r="CR60" s="888"/>
      <c r="CS60" s="888"/>
      <c r="CT60" s="888"/>
      <c r="CU60" s="888"/>
      <c r="CW60" s="887">
        <f t="shared" si="151"/>
        <v>0</v>
      </c>
    </row>
    <row r="61" spans="1:101" s="543" customFormat="1" ht="12.75" customHeight="1" outlineLevel="1" x14ac:dyDescent="0.2">
      <c r="C61" s="86" t="s">
        <v>288</v>
      </c>
      <c r="D61" s="61" t="str">
        <f>INDEX(Modules[Module], MATCH($C61, Modules[Code], 0))</f>
        <v>Natural gas power stations</v>
      </c>
      <c r="E61" s="61"/>
      <c r="F61" s="84"/>
      <c r="G61" s="301">
        <f t="shared" ref="G61:O61" ca="1" si="152">IFERROR(INDEX(INDIRECT($C61&amp;".Outputs["&amp;this.Year&amp;"]"), MATCH(G$5, INDIRECT($C61&amp;".Outputs[Vector]"), 0)), 0)</f>
        <v>0</v>
      </c>
      <c r="H61" s="301">
        <f t="shared" ca="1" si="152"/>
        <v>0</v>
      </c>
      <c r="I61" s="301">
        <f t="shared" ca="1" si="152"/>
        <v>0</v>
      </c>
      <c r="J61" s="301">
        <f t="shared" ca="1" si="152"/>
        <v>0</v>
      </c>
      <c r="K61" s="301">
        <f t="shared" ca="1" si="152"/>
        <v>0</v>
      </c>
      <c r="L61" s="301">
        <f t="shared" ca="1" si="152"/>
        <v>0</v>
      </c>
      <c r="M61" s="301">
        <f t="shared" ca="1" si="152"/>
        <v>0</v>
      </c>
      <c r="N61" s="301">
        <f t="shared" ca="1" si="152"/>
        <v>0</v>
      </c>
      <c r="O61" s="301">
        <f t="shared" ca="1" si="152"/>
        <v>0</v>
      </c>
      <c r="P61" s="301">
        <f t="shared" ca="1" si="144"/>
        <v>0</v>
      </c>
      <c r="Q61" s="84"/>
      <c r="R61" s="307">
        <f t="shared" ref="R61:AX61" ca="1" si="153">IFERROR(INDEX(INDIRECT($C61&amp;".Outputs["&amp;this.Year&amp;"]"), MATCH(R$5, INDIRECT($C61&amp;".Outputs[Vector]"), 0)), 0)</f>
        <v>0</v>
      </c>
      <c r="S61" s="307">
        <f t="shared" ca="1" si="153"/>
        <v>18.408599999999996</v>
      </c>
      <c r="T61" s="307">
        <f t="shared" ca="1" si="153"/>
        <v>0</v>
      </c>
      <c r="U61" s="307">
        <f t="shared" ca="1" si="153"/>
        <v>0</v>
      </c>
      <c r="V61" s="307">
        <f t="shared" ca="1" si="153"/>
        <v>-38.658059999999992</v>
      </c>
      <c r="W61" s="307">
        <f t="shared" ca="1" si="153"/>
        <v>0</v>
      </c>
      <c r="X61" s="307">
        <f ca="1">IFERROR(INDEX(INDIRECT($C61&amp;".Outputs["&amp;this.Year&amp;"]"), MATCH(X$5, INDIRECT($C61&amp;".Outputs[Vector]"), 0)), 0)</f>
        <v>0</v>
      </c>
      <c r="Y61" s="307">
        <f ca="1">IFERROR(INDEX(INDIRECT($C61&amp;".Outputs["&amp;this.Year&amp;"]"), MATCH(Y$5, INDIRECT($C61&amp;".Outputs[Vector]"), 0)), 0)</f>
        <v>0</v>
      </c>
      <c r="Z61" s="307">
        <f ca="1">IFERROR(INDEX(INDIRECT($C61&amp;".Outputs["&amp;this.Year&amp;"]"), MATCH(Z$5, INDIRECT($C61&amp;".Outputs[Vector]"), 0)), 0)</f>
        <v>0</v>
      </c>
      <c r="AA61" s="307">
        <f t="shared" ca="1" si="153"/>
        <v>0</v>
      </c>
      <c r="AB61" s="307">
        <f t="shared" ca="1" si="153"/>
        <v>0</v>
      </c>
      <c r="AC61" s="307">
        <f t="shared" ca="1" si="153"/>
        <v>0</v>
      </c>
      <c r="AD61" s="307">
        <f t="shared" ca="1" si="153"/>
        <v>0</v>
      </c>
      <c r="AE61" s="307">
        <f t="shared" ca="1" si="153"/>
        <v>0</v>
      </c>
      <c r="AF61" s="307">
        <f t="shared" ca="1" si="153"/>
        <v>0</v>
      </c>
      <c r="AG61" s="307">
        <f t="shared" ca="1" si="153"/>
        <v>0</v>
      </c>
      <c r="AH61" s="306">
        <f t="shared" ca="1" si="5"/>
        <v>-20.249459999999996</v>
      </c>
      <c r="AI61" s="84"/>
      <c r="AJ61" s="315">
        <f t="shared" ref="AJ61:AR61" ca="1" si="154">IFERROR(INDEX(INDIRECT($C61&amp;".Outputs["&amp;this.Year&amp;"]"), MATCH(AJ$5, INDIRECT($C61&amp;".Outputs[Vector]"), 0)), 0)</f>
        <v>0</v>
      </c>
      <c r="AK61" s="315">
        <f t="shared" ca="1" si="154"/>
        <v>0</v>
      </c>
      <c r="AL61" s="315">
        <f t="shared" ca="1" si="154"/>
        <v>0</v>
      </c>
      <c r="AM61" s="315">
        <f t="shared" ca="1" si="154"/>
        <v>0</v>
      </c>
      <c r="AN61" s="315">
        <f t="shared" ca="1" si="154"/>
        <v>0</v>
      </c>
      <c r="AO61" s="315">
        <f t="shared" ca="1" si="154"/>
        <v>0</v>
      </c>
      <c r="AP61" s="315">
        <f t="shared" ca="1" si="154"/>
        <v>0</v>
      </c>
      <c r="AQ61" s="315">
        <f t="shared" ca="1" si="154"/>
        <v>0</v>
      </c>
      <c r="AR61" s="315">
        <f t="shared" ca="1" si="154"/>
        <v>0</v>
      </c>
      <c r="AS61" s="315">
        <f t="shared" ca="1" si="153"/>
        <v>0</v>
      </c>
      <c r="AT61" s="315">
        <f t="shared" ca="1" si="153"/>
        <v>0</v>
      </c>
      <c r="AU61" s="315">
        <f t="shared" ca="1" si="153"/>
        <v>0</v>
      </c>
      <c r="AV61" s="315">
        <f t="shared" ca="1" si="153"/>
        <v>0</v>
      </c>
      <c r="AW61" s="315">
        <f t="shared" ca="1" si="153"/>
        <v>0</v>
      </c>
      <c r="AX61" s="315">
        <f t="shared" ca="1" si="153"/>
        <v>0</v>
      </c>
      <c r="AY61" s="293">
        <f t="shared" ref="AY61:AY90" ca="1" si="155">SUM(AJ61:AX61)</f>
        <v>0</v>
      </c>
      <c r="AZ61" s="84"/>
      <c r="BA61" s="311">
        <f ca="1">IFERROR(INDEX(INDIRECT($C61&amp;".Outputs["&amp;this.Year&amp;"]"), MATCH(BA$5, INDIRECT($C61&amp;".Outputs[Vector]"), 0)), 0)</f>
        <v>19.329029999999996</v>
      </c>
      <c r="BB61" s="311">
        <f ca="1">IFERROR(INDEX(INDIRECT($C61&amp;".Outputs["&amp;this.Year&amp;"]"), MATCH(BB$5, INDIRECT($C61&amp;".Outputs[Vector]"), 0)), 0)</f>
        <v>0.92042999999999986</v>
      </c>
      <c r="BC61" s="310">
        <f t="shared" ca="1" si="10"/>
        <v>20.249459999999996</v>
      </c>
      <c r="BD61" s="84"/>
      <c r="BE61" s="135">
        <f ca="1">P61+AH61+AY61+BC61</f>
        <v>0</v>
      </c>
      <c r="BF61" s="135"/>
      <c r="BG61" s="153"/>
      <c r="BH61" s="544">
        <f t="shared" ref="BH61:CU61" ca="1" si="156">IFERROR(SUMIFS(INDIRECT($C61&amp;".Emissions["&amp;this.Year&amp;"]"), INDIRECT($C61&amp;".Emissions[GHG]"), BH$6, INDIRECT($C61&amp;".Emissions[IPCC Sector]"), BH$5),0)</f>
        <v>7.1130830399999976</v>
      </c>
      <c r="BI61" s="545">
        <f t="shared" ca="1" si="156"/>
        <v>1.4258073295806379E-2</v>
      </c>
      <c r="BJ61" s="545">
        <f t="shared" ca="1" si="156"/>
        <v>1.5335251007719588E-2</v>
      </c>
      <c r="BK61" s="545">
        <f t="shared" ca="1" si="156"/>
        <v>0</v>
      </c>
      <c r="BL61" s="545">
        <f t="shared" ca="1" si="156"/>
        <v>0</v>
      </c>
      <c r="BM61" s="545">
        <f t="shared" ca="1" si="156"/>
        <v>0</v>
      </c>
      <c r="BN61" s="545">
        <f t="shared" ca="1" si="156"/>
        <v>0</v>
      </c>
      <c r="BO61" s="545">
        <f t="shared" ca="1" si="156"/>
        <v>0</v>
      </c>
      <c r="BP61" s="545">
        <f t="shared" ca="1" si="156"/>
        <v>0</v>
      </c>
      <c r="BQ61" s="545">
        <f t="shared" ca="1" si="156"/>
        <v>0</v>
      </c>
      <c r="BR61" s="545">
        <f t="shared" ca="1" si="156"/>
        <v>0</v>
      </c>
      <c r="BS61" s="545">
        <f t="shared" ca="1" si="156"/>
        <v>0</v>
      </c>
      <c r="BT61" s="545">
        <f t="shared" ca="1" si="156"/>
        <v>0</v>
      </c>
      <c r="BU61" s="545">
        <f t="shared" ca="1" si="156"/>
        <v>0</v>
      </c>
      <c r="BV61" s="545">
        <f t="shared" ca="1" si="156"/>
        <v>0</v>
      </c>
      <c r="BW61" s="545">
        <f t="shared" ca="1" si="156"/>
        <v>0</v>
      </c>
      <c r="BX61" s="545">
        <f t="shared" ca="1" si="156"/>
        <v>0</v>
      </c>
      <c r="BY61" s="545">
        <f t="shared" ca="1" si="156"/>
        <v>0</v>
      </c>
      <c r="BZ61" s="545">
        <f t="shared" ca="1" si="156"/>
        <v>0</v>
      </c>
      <c r="CA61" s="545">
        <f t="shared" ca="1" si="156"/>
        <v>0</v>
      </c>
      <c r="CB61" s="545">
        <f t="shared" ca="1" si="156"/>
        <v>0</v>
      </c>
      <c r="CC61" s="545">
        <f t="shared" ca="1" si="156"/>
        <v>0</v>
      </c>
      <c r="CD61" s="545">
        <f t="shared" ca="1" si="156"/>
        <v>0</v>
      </c>
      <c r="CE61" s="545">
        <f t="shared" ca="1" si="156"/>
        <v>0</v>
      </c>
      <c r="CF61" s="545">
        <f t="shared" ca="1" si="156"/>
        <v>0</v>
      </c>
      <c r="CG61" s="545">
        <f t="shared" ca="1" si="156"/>
        <v>0</v>
      </c>
      <c r="CH61" s="545">
        <f t="shared" ca="1" si="156"/>
        <v>0</v>
      </c>
      <c r="CI61" s="545">
        <f t="shared" ca="1" si="156"/>
        <v>0</v>
      </c>
      <c r="CJ61" s="545">
        <f t="shared" ca="1" si="156"/>
        <v>0</v>
      </c>
      <c r="CK61" s="545">
        <f t="shared" ca="1" si="156"/>
        <v>0</v>
      </c>
      <c r="CL61" s="545">
        <f t="shared" ca="1" si="156"/>
        <v>0</v>
      </c>
      <c r="CM61" s="545">
        <f t="shared" ca="1" si="156"/>
        <v>0</v>
      </c>
      <c r="CN61" s="545">
        <f t="shared" ca="1" si="156"/>
        <v>0</v>
      </c>
      <c r="CO61" s="545">
        <f t="shared" ca="1" si="156"/>
        <v>0</v>
      </c>
      <c r="CP61" s="545">
        <f t="shared" ca="1" si="156"/>
        <v>0</v>
      </c>
      <c r="CQ61" s="545">
        <f t="shared" ca="1" si="156"/>
        <v>0</v>
      </c>
      <c r="CR61" s="545">
        <f t="shared" ca="1" si="156"/>
        <v>0</v>
      </c>
      <c r="CS61" s="545">
        <f t="shared" ca="1" si="156"/>
        <v>0</v>
      </c>
      <c r="CT61" s="545">
        <f t="shared" ca="1" si="156"/>
        <v>0</v>
      </c>
      <c r="CU61" s="545">
        <f t="shared" ca="1" si="156"/>
        <v>0</v>
      </c>
      <c r="CW61" s="151">
        <f t="shared" ca="1" si="151"/>
        <v>7.142676364303524</v>
      </c>
    </row>
    <row r="62" spans="1:101" s="543" customFormat="1" ht="12.75" customHeight="1" outlineLevel="1" x14ac:dyDescent="0.2">
      <c r="C62" s="319" t="s">
        <v>2402</v>
      </c>
      <c r="D62" s="320" t="s">
        <v>587</v>
      </c>
      <c r="E62" s="61"/>
      <c r="F62" s="84"/>
      <c r="G62" s="333"/>
      <c r="H62" s="333"/>
      <c r="I62" s="333"/>
      <c r="J62" s="333"/>
      <c r="K62" s="333"/>
      <c r="L62" s="334"/>
      <c r="M62" s="333"/>
      <c r="N62" s="333"/>
      <c r="O62" s="333"/>
      <c r="P62" s="333">
        <f t="shared" si="144"/>
        <v>0</v>
      </c>
      <c r="Q62" s="882"/>
      <c r="R62" s="335">
        <f ca="1">R60+R61</f>
        <v>-117.07862642129547</v>
      </c>
      <c r="S62" s="335">
        <f ca="1">S60+S61</f>
        <v>4.2050052715418769</v>
      </c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>
        <f t="shared" ca="1" si="5"/>
        <v>-112.87362114975359</v>
      </c>
      <c r="AI62" s="882"/>
      <c r="AJ62" s="336"/>
      <c r="AK62" s="336"/>
      <c r="AL62" s="336"/>
      <c r="AM62" s="336"/>
      <c r="AN62" s="336"/>
      <c r="AO62" s="336"/>
      <c r="AP62" s="336"/>
      <c r="AQ62" s="336"/>
      <c r="AR62" s="336"/>
      <c r="AS62" s="336"/>
      <c r="AT62" s="336"/>
      <c r="AU62" s="336"/>
      <c r="AV62" s="336"/>
      <c r="AW62" s="336"/>
      <c r="AX62" s="336"/>
      <c r="AY62" s="336">
        <f t="shared" si="155"/>
        <v>0</v>
      </c>
      <c r="AZ62" s="882"/>
      <c r="BA62" s="337"/>
      <c r="BB62" s="337"/>
      <c r="BC62" s="337">
        <f t="shared" si="10"/>
        <v>0</v>
      </c>
      <c r="BD62" s="882"/>
      <c r="BE62" s="568"/>
      <c r="BF62" s="568"/>
      <c r="BG62" s="550"/>
      <c r="BH62" s="888"/>
      <c r="BI62" s="888"/>
      <c r="BJ62" s="888"/>
      <c r="BK62" s="888"/>
      <c r="BL62" s="888"/>
      <c r="BM62" s="888"/>
      <c r="BN62" s="888"/>
      <c r="BO62" s="888"/>
      <c r="BP62" s="888"/>
      <c r="BQ62" s="888"/>
      <c r="BR62" s="888"/>
      <c r="BS62" s="888"/>
      <c r="BT62" s="888"/>
      <c r="BU62" s="888"/>
      <c r="BV62" s="888"/>
      <c r="BW62" s="888"/>
      <c r="BX62" s="888"/>
      <c r="BY62" s="888"/>
      <c r="BZ62" s="888"/>
      <c r="CA62" s="888"/>
      <c r="CB62" s="888"/>
      <c r="CC62" s="888"/>
      <c r="CD62" s="888"/>
      <c r="CE62" s="888"/>
      <c r="CF62" s="888"/>
      <c r="CG62" s="888"/>
      <c r="CH62" s="888"/>
      <c r="CI62" s="888"/>
      <c r="CJ62" s="888"/>
      <c r="CK62" s="888"/>
      <c r="CL62" s="888"/>
      <c r="CM62" s="888"/>
      <c r="CN62" s="888"/>
      <c r="CO62" s="888"/>
      <c r="CP62" s="888"/>
      <c r="CQ62" s="888"/>
      <c r="CR62" s="888"/>
      <c r="CS62" s="888"/>
      <c r="CT62" s="888"/>
      <c r="CU62" s="888"/>
      <c r="CV62" s="550"/>
      <c r="CW62" s="887">
        <f t="shared" si="151"/>
        <v>0</v>
      </c>
    </row>
    <row r="63" spans="1:101" s="543" customFormat="1" ht="12.75" customHeight="1" outlineLevel="1" x14ac:dyDescent="0.2">
      <c r="C63" s="86" t="s">
        <v>2382</v>
      </c>
      <c r="D63" s="61" t="str">
        <f>INDEX(Modules[Module], MATCH($C63, Modules[Code], 0))</f>
        <v xml:space="preserve">Self Generation </v>
      </c>
      <c r="E63" s="61"/>
      <c r="F63" s="84"/>
      <c r="G63" s="892">
        <f t="shared" ref="G63:O63" ca="1" si="157">IFERROR(INDEX(INDIRECT($C63&amp;".Outputs["&amp;this.Year&amp;"]"), MATCH(G$5, INDIRECT($C63&amp;".Outputs[Vector]"), 0)), 0)</f>
        <v>0</v>
      </c>
      <c r="H63" s="892">
        <f t="shared" ca="1" si="157"/>
        <v>0</v>
      </c>
      <c r="I63" s="892">
        <f t="shared" ca="1" si="157"/>
        <v>0</v>
      </c>
      <c r="J63" s="892">
        <f t="shared" ca="1" si="157"/>
        <v>0</v>
      </c>
      <c r="K63" s="892">
        <f t="shared" ca="1" si="157"/>
        <v>0</v>
      </c>
      <c r="L63" s="892">
        <f t="shared" ca="1" si="157"/>
        <v>0</v>
      </c>
      <c r="M63" s="892">
        <f t="shared" ca="1" si="157"/>
        <v>0</v>
      </c>
      <c r="N63" s="892">
        <f t="shared" ca="1" si="157"/>
        <v>0</v>
      </c>
      <c r="O63" s="892">
        <f t="shared" ca="1" si="157"/>
        <v>0</v>
      </c>
      <c r="P63" s="892">
        <f t="shared" ca="1" si="144"/>
        <v>0</v>
      </c>
      <c r="Q63" s="84"/>
      <c r="R63" s="893">
        <f t="shared" ref="R63:AX63" ca="1" si="158">IFERROR(INDEX(INDIRECT($C63&amp;".Outputs["&amp;this.Year&amp;"]"), MATCH(R$5, INDIRECT($C63&amp;".Outputs[Vector]"), 0)), 0)</f>
        <v>0</v>
      </c>
      <c r="S63" s="893">
        <f t="shared" ca="1" si="158"/>
        <v>112.87362114975359</v>
      </c>
      <c r="T63" s="893">
        <f t="shared" ca="1" si="158"/>
        <v>0</v>
      </c>
      <c r="U63" s="893">
        <f t="shared" ca="1" si="158"/>
        <v>-142.5029467015639</v>
      </c>
      <c r="V63" s="893">
        <f t="shared" ca="1" si="158"/>
        <v>0</v>
      </c>
      <c r="W63" s="893">
        <f t="shared" ca="1" si="158"/>
        <v>0</v>
      </c>
      <c r="X63" s="893">
        <f ca="1">IFERROR(INDEX(INDIRECT($C63&amp;".Outputs["&amp;this.Year&amp;"]"), MATCH(X$5, INDIRECT($C63&amp;".Outputs[Vector]"), 0)), 0)</f>
        <v>0</v>
      </c>
      <c r="Y63" s="893">
        <f ca="1">IFERROR(INDEX(INDIRECT($C63&amp;".Outputs["&amp;this.Year&amp;"]"), MATCH(Y$5, INDIRECT($C63&amp;".Outputs[Vector]"), 0)), 0)</f>
        <v>0</v>
      </c>
      <c r="Z63" s="893">
        <f ca="1">IFERROR(INDEX(INDIRECT($C63&amp;".Outputs["&amp;this.Year&amp;"]"), MATCH(Z$5, INDIRECT($C63&amp;".Outputs[Vector]"), 0)), 0)</f>
        <v>0</v>
      </c>
      <c r="AA63" s="893">
        <f t="shared" ca="1" si="158"/>
        <v>0</v>
      </c>
      <c r="AB63" s="893">
        <f t="shared" ca="1" si="158"/>
        <v>0</v>
      </c>
      <c r="AC63" s="893">
        <f t="shared" ca="1" si="158"/>
        <v>0</v>
      </c>
      <c r="AD63" s="893">
        <f t="shared" ca="1" si="158"/>
        <v>0</v>
      </c>
      <c r="AE63" s="893">
        <f t="shared" ca="1" si="158"/>
        <v>0</v>
      </c>
      <c r="AF63" s="893">
        <f t="shared" ca="1" si="158"/>
        <v>0</v>
      </c>
      <c r="AG63" s="893">
        <f t="shared" ca="1" si="158"/>
        <v>0</v>
      </c>
      <c r="AH63" s="894">
        <f t="shared" ca="1" si="5"/>
        <v>-29.629325551810311</v>
      </c>
      <c r="AI63" s="84"/>
      <c r="AJ63" s="895">
        <f t="shared" ref="AJ63:AR63" ca="1" si="159">IFERROR(INDEX(INDIRECT($C63&amp;".Outputs["&amp;this.Year&amp;"]"), MATCH(AJ$5, INDIRECT($C63&amp;".Outputs[Vector]"), 0)), 0)</f>
        <v>0</v>
      </c>
      <c r="AK63" s="895">
        <f t="shared" ca="1" si="159"/>
        <v>0</v>
      </c>
      <c r="AL63" s="895">
        <f t="shared" ca="1" si="159"/>
        <v>0</v>
      </c>
      <c r="AM63" s="895">
        <f t="shared" ca="1" si="159"/>
        <v>0</v>
      </c>
      <c r="AN63" s="895">
        <f t="shared" ca="1" si="159"/>
        <v>0</v>
      </c>
      <c r="AO63" s="895">
        <f t="shared" ca="1" si="159"/>
        <v>0</v>
      </c>
      <c r="AP63" s="895">
        <f t="shared" ca="1" si="159"/>
        <v>0</v>
      </c>
      <c r="AQ63" s="895">
        <f t="shared" ca="1" si="159"/>
        <v>0</v>
      </c>
      <c r="AR63" s="895">
        <f t="shared" ca="1" si="159"/>
        <v>0</v>
      </c>
      <c r="AS63" s="895">
        <f t="shared" ca="1" si="158"/>
        <v>0</v>
      </c>
      <c r="AT63" s="895">
        <f t="shared" ca="1" si="158"/>
        <v>0</v>
      </c>
      <c r="AU63" s="895">
        <f t="shared" ca="1" si="158"/>
        <v>0</v>
      </c>
      <c r="AV63" s="895">
        <f t="shared" ca="1" si="158"/>
        <v>0</v>
      </c>
      <c r="AW63" s="895">
        <f t="shared" ca="1" si="158"/>
        <v>0</v>
      </c>
      <c r="AX63" s="895">
        <f t="shared" ca="1" si="158"/>
        <v>0</v>
      </c>
      <c r="AY63" s="896">
        <f t="shared" ca="1" si="155"/>
        <v>0</v>
      </c>
      <c r="AZ63" s="84"/>
      <c r="BA63" s="897">
        <f ca="1">IFERROR(INDEX(INDIRECT($C63&amp;".Outputs["&amp;this.Year&amp;"]"), MATCH(BA$5, INDIRECT($C63&amp;".Outputs[Vector]"), 0)), 0)</f>
        <v>28.500589340312771</v>
      </c>
      <c r="BB63" s="897">
        <f ca="1">IFERROR(INDEX(INDIRECT($C63&amp;".Outputs["&amp;this.Year&amp;"]"), MATCH(BB$5, INDIRECT($C63&amp;".Outputs[Vector]"), 0)), 0)</f>
        <v>1.1287362114975359</v>
      </c>
      <c r="BC63" s="898">
        <f t="shared" ca="1" si="10"/>
        <v>29.629325551810307</v>
      </c>
      <c r="BD63" s="84"/>
      <c r="BE63" s="135">
        <f ca="1">P63+AH63+AY63+BC63</f>
        <v>0</v>
      </c>
      <c r="BF63" s="135"/>
      <c r="BG63" s="1428"/>
      <c r="BH63" s="541">
        <f t="shared" ref="BH63:CU63" ca="1" si="160">IFERROR(SUMIFS(INDIRECT($C63&amp;".Emissions["&amp;this.Year&amp;"]"), INDIRECT($C63&amp;".Emissions[GHG]"), BH$6, INDIRECT($C63&amp;".Emissions[IPCC Sector]"), BH$5),0)</f>
        <v>3.5625736675390973</v>
      </c>
      <c r="BI63" s="542">
        <f t="shared" ca="1" si="160"/>
        <v>4.435390151931823E-3</v>
      </c>
      <c r="BJ63" s="542">
        <f t="shared" ca="1" si="160"/>
        <v>6.4098000315356535E-2</v>
      </c>
      <c r="BK63" s="542">
        <f t="shared" ca="1" si="160"/>
        <v>0</v>
      </c>
      <c r="BL63" s="542">
        <f t="shared" ca="1" si="160"/>
        <v>0</v>
      </c>
      <c r="BM63" s="542">
        <f t="shared" ca="1" si="160"/>
        <v>0</v>
      </c>
      <c r="BN63" s="542">
        <f t="shared" ca="1" si="160"/>
        <v>0</v>
      </c>
      <c r="BO63" s="542">
        <f t="shared" ca="1" si="160"/>
        <v>0</v>
      </c>
      <c r="BP63" s="542">
        <f t="shared" ca="1" si="160"/>
        <v>0</v>
      </c>
      <c r="BQ63" s="542">
        <f t="shared" ca="1" si="160"/>
        <v>0</v>
      </c>
      <c r="BR63" s="542">
        <f t="shared" ca="1" si="160"/>
        <v>0</v>
      </c>
      <c r="BS63" s="542">
        <f t="shared" ca="1" si="160"/>
        <v>0</v>
      </c>
      <c r="BT63" s="542">
        <f t="shared" ca="1" si="160"/>
        <v>0</v>
      </c>
      <c r="BU63" s="542">
        <f t="shared" ca="1" si="160"/>
        <v>0</v>
      </c>
      <c r="BV63" s="542">
        <f t="shared" ca="1" si="160"/>
        <v>0</v>
      </c>
      <c r="BW63" s="542">
        <f t="shared" ca="1" si="160"/>
        <v>0</v>
      </c>
      <c r="BX63" s="542">
        <f t="shared" ca="1" si="160"/>
        <v>0</v>
      </c>
      <c r="BY63" s="542">
        <f t="shared" ca="1" si="160"/>
        <v>0</v>
      </c>
      <c r="BZ63" s="542">
        <f t="shared" ca="1" si="160"/>
        <v>0</v>
      </c>
      <c r="CA63" s="542">
        <f t="shared" ca="1" si="160"/>
        <v>0</v>
      </c>
      <c r="CB63" s="542">
        <f t="shared" ca="1" si="160"/>
        <v>0</v>
      </c>
      <c r="CC63" s="542">
        <f t="shared" ca="1" si="160"/>
        <v>0</v>
      </c>
      <c r="CD63" s="542">
        <f t="shared" ca="1" si="160"/>
        <v>0</v>
      </c>
      <c r="CE63" s="542">
        <f t="shared" ca="1" si="160"/>
        <v>0</v>
      </c>
      <c r="CF63" s="542">
        <f t="shared" ca="1" si="160"/>
        <v>0</v>
      </c>
      <c r="CG63" s="542">
        <f t="shared" ca="1" si="160"/>
        <v>0</v>
      </c>
      <c r="CH63" s="542">
        <f t="shared" ca="1" si="160"/>
        <v>0</v>
      </c>
      <c r="CI63" s="542">
        <f t="shared" ca="1" si="160"/>
        <v>0</v>
      </c>
      <c r="CJ63" s="542">
        <f t="shared" ca="1" si="160"/>
        <v>0</v>
      </c>
      <c r="CK63" s="542">
        <f t="shared" ca="1" si="160"/>
        <v>0</v>
      </c>
      <c r="CL63" s="542">
        <f t="shared" ca="1" si="160"/>
        <v>0</v>
      </c>
      <c r="CM63" s="542">
        <f t="shared" ca="1" si="160"/>
        <v>0</v>
      </c>
      <c r="CN63" s="542">
        <f t="shared" ca="1" si="160"/>
        <v>0</v>
      </c>
      <c r="CO63" s="542">
        <f t="shared" ca="1" si="160"/>
        <v>0</v>
      </c>
      <c r="CP63" s="542">
        <f t="shared" ca="1" si="160"/>
        <v>0</v>
      </c>
      <c r="CQ63" s="542">
        <f t="shared" ca="1" si="160"/>
        <v>0</v>
      </c>
      <c r="CR63" s="542">
        <f t="shared" ca="1" si="160"/>
        <v>0</v>
      </c>
      <c r="CS63" s="542">
        <f t="shared" ca="1" si="160"/>
        <v>0</v>
      </c>
      <c r="CT63" s="542">
        <f t="shared" ca="1" si="160"/>
        <v>0</v>
      </c>
      <c r="CU63" s="542">
        <f t="shared" ca="1" si="160"/>
        <v>0</v>
      </c>
      <c r="CW63" s="151">
        <f t="shared" ca="1" si="151"/>
        <v>3.6311070580063856</v>
      </c>
    </row>
    <row r="64" spans="1:101" s="84" customFormat="1" ht="15.75" x14ac:dyDescent="0.2">
      <c r="A64" s="18"/>
      <c r="B64" s="89"/>
      <c r="C64" s="85" t="s">
        <v>60</v>
      </c>
      <c r="D64" s="57" t="str">
        <f>INDEX(Workstreams[Workstream], MATCH($C64, Workstreams[Code], 0))</f>
        <v>Hydrocarbon fuel power generation</v>
      </c>
      <c r="E64" s="53"/>
      <c r="G64" s="300">
        <f ca="1">G57+G61+G63+G59</f>
        <v>0</v>
      </c>
      <c r="H64" s="300">
        <f t="shared" ref="H64:BQ64" ca="1" si="161">H57+H61+H63+H59</f>
        <v>0</v>
      </c>
      <c r="I64" s="300">
        <f t="shared" ca="1" si="161"/>
        <v>0</v>
      </c>
      <c r="J64" s="300">
        <f t="shared" ca="1" si="161"/>
        <v>0</v>
      </c>
      <c r="K64" s="300">
        <f t="shared" ca="1" si="161"/>
        <v>0</v>
      </c>
      <c r="L64" s="300">
        <f t="shared" ca="1" si="161"/>
        <v>0</v>
      </c>
      <c r="M64" s="300">
        <f t="shared" ca="1" si="161"/>
        <v>0</v>
      </c>
      <c r="N64" s="300">
        <f t="shared" ca="1" si="161"/>
        <v>0</v>
      </c>
      <c r="O64" s="300">
        <f t="shared" ca="1" si="161"/>
        <v>0</v>
      </c>
      <c r="P64" s="300">
        <f t="shared" ca="1" si="144"/>
        <v>0</v>
      </c>
      <c r="Q64" s="300">
        <f t="shared" si="161"/>
        <v>0</v>
      </c>
      <c r="R64" s="300">
        <f t="shared" ca="1" si="161"/>
        <v>0</v>
      </c>
      <c r="S64" s="300">
        <f t="shared" ca="1" si="161"/>
        <v>131.28222114975358</v>
      </c>
      <c r="T64" s="300">
        <f t="shared" ca="1" si="161"/>
        <v>0</v>
      </c>
      <c r="U64" s="300">
        <f t="shared" ca="1" si="161"/>
        <v>-142.5029467015639</v>
      </c>
      <c r="V64" s="300">
        <f t="shared" ca="1" si="161"/>
        <v>-38.658059999999992</v>
      </c>
      <c r="W64" s="300">
        <f t="shared" ca="1" si="161"/>
        <v>0</v>
      </c>
      <c r="X64" s="300">
        <f t="shared" ca="1" si="161"/>
        <v>0</v>
      </c>
      <c r="Y64" s="300">
        <f t="shared" ca="1" si="161"/>
        <v>0</v>
      </c>
      <c r="Z64" s="300">
        <f t="shared" ca="1" si="161"/>
        <v>0</v>
      </c>
      <c r="AA64" s="300">
        <f t="shared" ca="1" si="161"/>
        <v>0</v>
      </c>
      <c r="AB64" s="300">
        <f t="shared" ca="1" si="161"/>
        <v>0</v>
      </c>
      <c r="AC64" s="300">
        <f t="shared" ca="1" si="161"/>
        <v>0</v>
      </c>
      <c r="AD64" s="300">
        <f t="shared" ca="1" si="161"/>
        <v>0</v>
      </c>
      <c r="AE64" s="300">
        <f t="shared" ca="1" si="161"/>
        <v>0</v>
      </c>
      <c r="AF64" s="300">
        <f t="shared" ca="1" si="161"/>
        <v>0</v>
      </c>
      <c r="AG64" s="300">
        <f t="shared" ca="1" si="161"/>
        <v>0</v>
      </c>
      <c r="AH64" s="300">
        <f t="shared" ca="1" si="5"/>
        <v>-49.87878555181031</v>
      </c>
      <c r="AI64" s="300">
        <f t="shared" si="161"/>
        <v>0</v>
      </c>
      <c r="AJ64" s="300">
        <f t="shared" ca="1" si="161"/>
        <v>0</v>
      </c>
      <c r="AK64" s="300">
        <f t="shared" ca="1" si="161"/>
        <v>0</v>
      </c>
      <c r="AL64" s="300">
        <f t="shared" ca="1" si="161"/>
        <v>0</v>
      </c>
      <c r="AM64" s="300">
        <f t="shared" ca="1" si="161"/>
        <v>0</v>
      </c>
      <c r="AN64" s="300">
        <f t="shared" ca="1" si="161"/>
        <v>0</v>
      </c>
      <c r="AO64" s="300">
        <f t="shared" ca="1" si="161"/>
        <v>0</v>
      </c>
      <c r="AP64" s="300">
        <f t="shared" ca="1" si="161"/>
        <v>0</v>
      </c>
      <c r="AQ64" s="300">
        <f t="shared" ca="1" si="161"/>
        <v>0</v>
      </c>
      <c r="AR64" s="300">
        <f t="shared" ca="1" si="161"/>
        <v>0</v>
      </c>
      <c r="AS64" s="300">
        <f t="shared" ca="1" si="161"/>
        <v>0</v>
      </c>
      <c r="AT64" s="300">
        <f t="shared" ca="1" si="161"/>
        <v>0</v>
      </c>
      <c r="AU64" s="300">
        <f t="shared" ca="1" si="161"/>
        <v>0</v>
      </c>
      <c r="AV64" s="300">
        <f t="shared" ca="1" si="161"/>
        <v>0</v>
      </c>
      <c r="AW64" s="300">
        <f t="shared" ca="1" si="161"/>
        <v>0</v>
      </c>
      <c r="AX64" s="300">
        <f t="shared" ca="1" si="161"/>
        <v>0</v>
      </c>
      <c r="AY64" s="300">
        <f t="shared" ca="1" si="155"/>
        <v>0</v>
      </c>
      <c r="AZ64" s="300">
        <f t="shared" si="161"/>
        <v>0</v>
      </c>
      <c r="BA64" s="300">
        <f t="shared" ca="1" si="161"/>
        <v>47.829619340312767</v>
      </c>
      <c r="BB64" s="300">
        <f t="shared" ca="1" si="161"/>
        <v>2.0491662114975355</v>
      </c>
      <c r="BC64" s="300">
        <f t="shared" ca="1" si="10"/>
        <v>49.878785551810303</v>
      </c>
      <c r="BD64" s="300">
        <f t="shared" si="161"/>
        <v>0</v>
      </c>
      <c r="BE64" s="300">
        <f t="shared" ca="1" si="161"/>
        <v>0</v>
      </c>
      <c r="BF64" s="300">
        <f t="shared" si="161"/>
        <v>0</v>
      </c>
      <c r="BG64" s="300">
        <f t="shared" si="161"/>
        <v>0</v>
      </c>
      <c r="BH64" s="300">
        <f t="shared" ca="1" si="161"/>
        <v>10.675656707539094</v>
      </c>
      <c r="BI64" s="300">
        <f t="shared" ca="1" si="161"/>
        <v>1.8693463447738201E-2</v>
      </c>
      <c r="BJ64" s="300">
        <f t="shared" ca="1" si="161"/>
        <v>7.9433251323076118E-2</v>
      </c>
      <c r="BK64" s="300">
        <f t="shared" ca="1" si="161"/>
        <v>0</v>
      </c>
      <c r="BL64" s="300">
        <f t="shared" ca="1" si="161"/>
        <v>0</v>
      </c>
      <c r="BM64" s="300">
        <f t="shared" ca="1" si="161"/>
        <v>0</v>
      </c>
      <c r="BN64" s="300">
        <f t="shared" ca="1" si="161"/>
        <v>0</v>
      </c>
      <c r="BO64" s="300">
        <f t="shared" ca="1" si="161"/>
        <v>0</v>
      </c>
      <c r="BP64" s="300">
        <f t="shared" ca="1" si="161"/>
        <v>0</v>
      </c>
      <c r="BQ64" s="300">
        <f t="shared" ca="1" si="161"/>
        <v>0</v>
      </c>
      <c r="BR64" s="300">
        <f t="shared" ref="BR64:CU64" ca="1" si="162">BR57+BR61+BR63+BR59</f>
        <v>0</v>
      </c>
      <c r="BS64" s="300">
        <f t="shared" ca="1" si="162"/>
        <v>0</v>
      </c>
      <c r="BT64" s="300">
        <f t="shared" ca="1" si="162"/>
        <v>0</v>
      </c>
      <c r="BU64" s="300">
        <f t="shared" ca="1" si="162"/>
        <v>0</v>
      </c>
      <c r="BV64" s="300">
        <f t="shared" ca="1" si="162"/>
        <v>0</v>
      </c>
      <c r="BW64" s="300">
        <f t="shared" ca="1" si="162"/>
        <v>0</v>
      </c>
      <c r="BX64" s="300">
        <f t="shared" ca="1" si="162"/>
        <v>0</v>
      </c>
      <c r="BY64" s="300">
        <f t="shared" ca="1" si="162"/>
        <v>0</v>
      </c>
      <c r="BZ64" s="300">
        <f t="shared" ca="1" si="162"/>
        <v>0</v>
      </c>
      <c r="CA64" s="300">
        <f t="shared" ca="1" si="162"/>
        <v>0</v>
      </c>
      <c r="CB64" s="300">
        <f t="shared" ca="1" si="162"/>
        <v>0</v>
      </c>
      <c r="CC64" s="300">
        <f t="shared" ca="1" si="162"/>
        <v>0</v>
      </c>
      <c r="CD64" s="300">
        <f t="shared" ca="1" si="162"/>
        <v>0</v>
      </c>
      <c r="CE64" s="300">
        <f t="shared" ca="1" si="162"/>
        <v>0</v>
      </c>
      <c r="CF64" s="300">
        <f t="shared" ca="1" si="162"/>
        <v>0</v>
      </c>
      <c r="CG64" s="300">
        <f t="shared" ca="1" si="162"/>
        <v>0</v>
      </c>
      <c r="CH64" s="300">
        <f t="shared" ca="1" si="162"/>
        <v>0</v>
      </c>
      <c r="CI64" s="300">
        <f t="shared" ca="1" si="162"/>
        <v>0</v>
      </c>
      <c r="CJ64" s="300">
        <f t="shared" ca="1" si="162"/>
        <v>0</v>
      </c>
      <c r="CK64" s="300">
        <f t="shared" ca="1" si="162"/>
        <v>0</v>
      </c>
      <c r="CL64" s="300">
        <f t="shared" ca="1" si="162"/>
        <v>0</v>
      </c>
      <c r="CM64" s="300">
        <f t="shared" ca="1" si="162"/>
        <v>0</v>
      </c>
      <c r="CN64" s="300">
        <f t="shared" ca="1" si="162"/>
        <v>0</v>
      </c>
      <c r="CO64" s="300">
        <f t="shared" ca="1" si="162"/>
        <v>0</v>
      </c>
      <c r="CP64" s="300">
        <f t="shared" ca="1" si="162"/>
        <v>0</v>
      </c>
      <c r="CQ64" s="300">
        <f t="shared" ca="1" si="162"/>
        <v>0</v>
      </c>
      <c r="CR64" s="300">
        <f t="shared" ca="1" si="162"/>
        <v>0</v>
      </c>
      <c r="CS64" s="300">
        <f t="shared" ca="1" si="162"/>
        <v>0</v>
      </c>
      <c r="CT64" s="300">
        <f t="shared" ca="1" si="162"/>
        <v>0</v>
      </c>
      <c r="CU64" s="300">
        <f t="shared" ca="1" si="162"/>
        <v>0</v>
      </c>
      <c r="CW64" s="151">
        <f t="shared" ca="1" si="151"/>
        <v>10.773783422309908</v>
      </c>
    </row>
    <row r="65" spans="1:101" s="84" customFormat="1" ht="6" customHeight="1" x14ac:dyDescent="0.2">
      <c r="C65" s="56"/>
      <c r="D65" s="57"/>
      <c r="E65" s="51"/>
      <c r="G65" s="245"/>
      <c r="H65" s="245"/>
      <c r="I65" s="245"/>
      <c r="J65" s="245"/>
      <c r="K65" s="245"/>
      <c r="L65" s="247"/>
      <c r="M65" s="245"/>
      <c r="N65" s="245"/>
      <c r="O65" s="245"/>
      <c r="P65" s="245">
        <f t="shared" si="144"/>
        <v>0</v>
      </c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>
        <f t="shared" si="5"/>
        <v>0</v>
      </c>
      <c r="AJ65" s="263"/>
      <c r="AK65" s="263"/>
      <c r="AL65" s="263"/>
      <c r="AM65" s="263"/>
      <c r="AN65" s="263"/>
      <c r="AO65" s="263"/>
      <c r="AP65" s="263"/>
      <c r="AQ65" s="263"/>
      <c r="AR65" s="263"/>
      <c r="AS65" s="263"/>
      <c r="AT65" s="263"/>
      <c r="AU65" s="263"/>
      <c r="AV65" s="263"/>
      <c r="AW65" s="263"/>
      <c r="AX65" s="263"/>
      <c r="AY65" s="263">
        <f t="shared" si="155"/>
        <v>0</v>
      </c>
      <c r="BA65" s="277"/>
      <c r="BB65" s="277"/>
      <c r="BC65" s="277">
        <f t="shared" si="10"/>
        <v>0</v>
      </c>
      <c r="BE65" s="55">
        <f>P65+AH65+AY65+BC65</f>
        <v>0</v>
      </c>
      <c r="BF65" s="55"/>
      <c r="BH65" s="542"/>
      <c r="BI65" s="542"/>
      <c r="BJ65" s="542"/>
      <c r="BK65" s="542"/>
      <c r="BL65" s="542"/>
      <c r="BM65" s="542"/>
      <c r="BN65" s="542"/>
      <c r="BO65" s="542"/>
      <c r="BP65" s="542"/>
      <c r="BQ65" s="542"/>
      <c r="BR65" s="542"/>
      <c r="BS65" s="542"/>
      <c r="BT65" s="542"/>
      <c r="BU65" s="542"/>
      <c r="BV65" s="542"/>
      <c r="BW65" s="542"/>
      <c r="BX65" s="542"/>
      <c r="BY65" s="542"/>
      <c r="BZ65" s="542"/>
      <c r="CA65" s="542"/>
      <c r="CB65" s="542"/>
      <c r="CC65" s="542"/>
      <c r="CD65" s="542"/>
      <c r="CE65" s="542"/>
      <c r="CF65" s="542"/>
      <c r="CG65" s="542"/>
      <c r="CH65" s="542"/>
      <c r="CI65" s="542"/>
      <c r="CJ65" s="542"/>
      <c r="CK65" s="542"/>
      <c r="CL65" s="542"/>
      <c r="CM65" s="542"/>
      <c r="CN65" s="542"/>
      <c r="CO65" s="542"/>
      <c r="CP65" s="542"/>
      <c r="CQ65" s="542"/>
      <c r="CR65" s="542"/>
      <c r="CS65" s="542"/>
      <c r="CT65" s="542"/>
      <c r="CU65" s="542"/>
      <c r="CW65" s="151"/>
    </row>
    <row r="66" spans="1:101" s="84" customFormat="1" ht="15.75" x14ac:dyDescent="0.2">
      <c r="B66" s="89"/>
      <c r="C66" s="923" t="s">
        <v>884</v>
      </c>
      <c r="D66" s="69" t="s">
        <v>124</v>
      </c>
      <c r="E66" s="70"/>
      <c r="G66" s="338">
        <f t="shared" ref="G66:O66" ca="1" si="163">G$36+G$40+G$47+G$50+G$54+G$64</f>
        <v>0</v>
      </c>
      <c r="H66" s="338">
        <f t="shared" ca="1" si="163"/>
        <v>0</v>
      </c>
      <c r="I66" s="338">
        <f t="shared" ca="1" si="163"/>
        <v>0</v>
      </c>
      <c r="J66" s="338">
        <f t="shared" ca="1" si="163"/>
        <v>365.84728169394538</v>
      </c>
      <c r="K66" s="338">
        <f t="shared" ca="1" si="163"/>
        <v>0</v>
      </c>
      <c r="L66" s="338">
        <f t="shared" ca="1" si="163"/>
        <v>0</v>
      </c>
      <c r="M66" s="338">
        <f t="shared" ca="1" si="163"/>
        <v>0</v>
      </c>
      <c r="N66" s="338">
        <f t="shared" ca="1" si="163"/>
        <v>0</v>
      </c>
      <c r="O66" s="338">
        <f t="shared" ca="1" si="163"/>
        <v>0</v>
      </c>
      <c r="P66" s="338">
        <f t="shared" ca="1" si="144"/>
        <v>365.84728169394538</v>
      </c>
      <c r="R66" s="294">
        <f t="shared" ref="R66:AG66" ca="1" si="164">R$36+R$40+R$47+R$50+R$54+R$64</f>
        <v>-6.7500808464703947</v>
      </c>
      <c r="S66" s="294">
        <f ca="1">S$36+S$40+S$47+S$50+S$54+S$64</f>
        <v>141.58358604975359</v>
      </c>
      <c r="T66" s="294">
        <f t="shared" ca="1" si="164"/>
        <v>-1.2649619725185855E-2</v>
      </c>
      <c r="U66" s="294">
        <f t="shared" ca="1" si="164"/>
        <v>-144.69518814259084</v>
      </c>
      <c r="V66" s="294">
        <f t="shared" ca="1" si="164"/>
        <v>-394.55124091671667</v>
      </c>
      <c r="W66" s="294">
        <f t="shared" ca="1" si="164"/>
        <v>-6.2592659999999993</v>
      </c>
      <c r="X66" s="294">
        <f t="shared" ca="1" si="164"/>
        <v>10.095739339406666</v>
      </c>
      <c r="Y66" s="294">
        <f t="shared" ca="1" si="164"/>
        <v>1458.9378638800001</v>
      </c>
      <c r="Z66" s="294">
        <f t="shared" ca="1" si="164"/>
        <v>761.432111111111</v>
      </c>
      <c r="AA66" s="294">
        <f t="shared" ca="1" si="164"/>
        <v>0</v>
      </c>
      <c r="AB66" s="294">
        <f t="shared" ca="1" si="164"/>
        <v>0</v>
      </c>
      <c r="AC66" s="294">
        <f t="shared" ca="1" si="164"/>
        <v>1662.4488171111111</v>
      </c>
      <c r="AD66" s="294">
        <f t="shared" ca="1" si="164"/>
        <v>10.777293333333335</v>
      </c>
      <c r="AE66" s="294">
        <f t="shared" ca="1" si="164"/>
        <v>32.417971204444449</v>
      </c>
      <c r="AF66" s="294">
        <f t="shared" ca="1" si="164"/>
        <v>8.9312228459752419</v>
      </c>
      <c r="AG66" s="294">
        <f t="shared" ca="1" si="164"/>
        <v>12.32445930299996</v>
      </c>
      <c r="AH66" s="294">
        <f t="shared" ca="1" si="5"/>
        <v>3546.6806386526323</v>
      </c>
      <c r="AJ66" s="295">
        <f t="shared" ref="AJ66:AX66" ca="1" si="165">AJ$36+AJ$40+AJ$47+AJ$50+AJ$54+AJ$64</f>
        <v>-6.17215067274</v>
      </c>
      <c r="AK66" s="295">
        <f t="shared" ca="1" si="165"/>
        <v>-1458.9378638800001</v>
      </c>
      <c r="AL66" s="295">
        <f t="shared" ca="1" si="165"/>
        <v>-761.432111111111</v>
      </c>
      <c r="AM66" s="295">
        <f t="shared" ca="1" si="165"/>
        <v>0</v>
      </c>
      <c r="AN66" s="295">
        <f t="shared" ca="1" si="165"/>
        <v>0</v>
      </c>
      <c r="AO66" s="295">
        <f t="shared" ca="1" si="165"/>
        <v>0</v>
      </c>
      <c r="AP66" s="295">
        <f t="shared" ca="1" si="165"/>
        <v>0</v>
      </c>
      <c r="AQ66" s="295">
        <f t="shared" ca="1" si="165"/>
        <v>0</v>
      </c>
      <c r="AR66" s="295">
        <f t="shared" ca="1" si="165"/>
        <v>0</v>
      </c>
      <c r="AS66" s="295">
        <f t="shared" ca="1" si="165"/>
        <v>0</v>
      </c>
      <c r="AT66" s="295">
        <f t="shared" ca="1" si="165"/>
        <v>-2.7612899999999996E-2</v>
      </c>
      <c r="AU66" s="295">
        <f t="shared" ca="1" si="165"/>
        <v>0</v>
      </c>
      <c r="AV66" s="295">
        <f t="shared" ca="1" si="165"/>
        <v>-10.273751999999998</v>
      </c>
      <c r="AW66" s="295">
        <f t="shared" ca="1" si="165"/>
        <v>-1673.2261104444444</v>
      </c>
      <c r="AX66" s="295">
        <f t="shared" ca="1" si="165"/>
        <v>-57.597242020086313</v>
      </c>
      <c r="AY66" s="295">
        <f t="shared" ca="1" si="155"/>
        <v>-3967.6668430283821</v>
      </c>
      <c r="BA66" s="296">
        <f ca="1">BA$36+BA$40+BA$47+BA$50+BA$54+BA$64</f>
        <v>47.829619340312767</v>
      </c>
      <c r="BB66" s="296">
        <f ca="1">BB$36+BB$40+BB$47+BB$50+BB$54+BB$64</f>
        <v>7.3093033414913915</v>
      </c>
      <c r="BC66" s="296">
        <f t="shared" ca="1" si="10"/>
        <v>55.138922681804161</v>
      </c>
      <c r="BE66" s="58">
        <f ca="1">P66+AH66+AY66+BC66</f>
        <v>-4.5474735088646412E-13</v>
      </c>
      <c r="BF66" s="58"/>
      <c r="BH66" s="546">
        <f t="shared" ref="BH66:CU66" ca="1" si="166">BH$36+BH$40+BH$47+BH$50+BH$54+BH$64</f>
        <v>76.710444658071168</v>
      </c>
      <c r="BI66" s="546">
        <f t="shared" ca="1" si="166"/>
        <v>0.15064600427649702</v>
      </c>
      <c r="BJ66" s="546">
        <f t="shared" ca="1" si="166"/>
        <v>0.23049978187512726</v>
      </c>
      <c r="BK66" s="546">
        <f t="shared" ca="1" si="166"/>
        <v>0</v>
      </c>
      <c r="BL66" s="546">
        <f t="shared" ca="1" si="166"/>
        <v>6.66</v>
      </c>
      <c r="BM66" s="546">
        <f t="shared" ca="1" si="166"/>
        <v>8.4000000000000012E-3</v>
      </c>
      <c r="BN66" s="546">
        <f t="shared" ca="1" si="166"/>
        <v>0</v>
      </c>
      <c r="BO66" s="546">
        <f t="shared" ca="1" si="166"/>
        <v>0</v>
      </c>
      <c r="BP66" s="546">
        <f t="shared" ca="1" si="166"/>
        <v>0</v>
      </c>
      <c r="BQ66" s="546">
        <f t="shared" ca="1" si="166"/>
        <v>0</v>
      </c>
      <c r="BR66" s="546">
        <f t="shared" ca="1" si="166"/>
        <v>0</v>
      </c>
      <c r="BS66" s="546">
        <f t="shared" ca="1" si="166"/>
        <v>0</v>
      </c>
      <c r="BT66" s="546">
        <f t="shared" ca="1" si="166"/>
        <v>0</v>
      </c>
      <c r="BU66" s="546">
        <f t="shared" ca="1" si="166"/>
        <v>0</v>
      </c>
      <c r="BV66" s="546">
        <f t="shared" ca="1" si="166"/>
        <v>0</v>
      </c>
      <c r="BW66" s="546">
        <f t="shared" ca="1" si="166"/>
        <v>0</v>
      </c>
      <c r="BX66" s="546">
        <f t="shared" ca="1" si="166"/>
        <v>0</v>
      </c>
      <c r="BY66" s="546">
        <f t="shared" ca="1" si="166"/>
        <v>0</v>
      </c>
      <c r="BZ66" s="546">
        <f t="shared" ca="1" si="166"/>
        <v>23.28</v>
      </c>
      <c r="CA66" s="546">
        <f t="shared" ca="1" si="166"/>
        <v>0</v>
      </c>
      <c r="CB66" s="546">
        <f t="shared" ca="1" si="166"/>
        <v>1.902062868</v>
      </c>
      <c r="CC66" s="546">
        <f t="shared" ca="1" si="166"/>
        <v>0</v>
      </c>
      <c r="CD66" s="546">
        <f t="shared" ca="1" si="166"/>
        <v>0</v>
      </c>
      <c r="CE66" s="546">
        <f t="shared" ca="1" si="166"/>
        <v>0</v>
      </c>
      <c r="CF66" s="546">
        <f t="shared" ca="1" si="166"/>
        <v>0</v>
      </c>
      <c r="CG66" s="546">
        <f t="shared" ca="1" si="166"/>
        <v>13.121211328991082</v>
      </c>
      <c r="CH66" s="546">
        <f t="shared" ca="1" si="166"/>
        <v>0</v>
      </c>
      <c r="CI66" s="546">
        <f t="shared" ca="1" si="166"/>
        <v>0</v>
      </c>
      <c r="CJ66" s="546">
        <f t="shared" ca="1" si="166"/>
        <v>0</v>
      </c>
      <c r="CK66" s="546">
        <f t="shared" ca="1" si="166"/>
        <v>0</v>
      </c>
      <c r="CL66" s="546">
        <f t="shared" ca="1" si="166"/>
        <v>0</v>
      </c>
      <c r="CM66" s="546">
        <f t="shared" ca="1" si="166"/>
        <v>0</v>
      </c>
      <c r="CN66" s="546">
        <f t="shared" ca="1" si="166"/>
        <v>0</v>
      </c>
      <c r="CO66" s="546">
        <f t="shared" ca="1" si="166"/>
        <v>0</v>
      </c>
      <c r="CP66" s="546">
        <f t="shared" ca="1" si="166"/>
        <v>0</v>
      </c>
      <c r="CQ66" s="546">
        <f t="shared" ca="1" si="166"/>
        <v>0</v>
      </c>
      <c r="CR66" s="546">
        <f t="shared" ca="1" si="166"/>
        <v>0</v>
      </c>
      <c r="CS66" s="546">
        <f t="shared" ca="1" si="166"/>
        <v>0</v>
      </c>
      <c r="CT66" s="546">
        <f t="shared" ca="1" si="166"/>
        <v>0</v>
      </c>
      <c r="CU66" s="546">
        <f t="shared" ca="1" si="166"/>
        <v>0</v>
      </c>
      <c r="CW66" s="148">
        <f ca="1">SUM(BH66:CU66)</f>
        <v>122.06326464121386</v>
      </c>
    </row>
    <row r="67" spans="1:101" s="84" customFormat="1" ht="6" customHeight="1" x14ac:dyDescent="0.2">
      <c r="C67" s="56"/>
      <c r="D67" s="57"/>
      <c r="E67" s="51"/>
      <c r="G67" s="245"/>
      <c r="H67" s="245"/>
      <c r="I67" s="245"/>
      <c r="J67" s="245"/>
      <c r="K67" s="245"/>
      <c r="L67" s="247"/>
      <c r="M67" s="245"/>
      <c r="N67" s="245"/>
      <c r="O67" s="245"/>
      <c r="P67" s="245">
        <f t="shared" si="144"/>
        <v>0</v>
      </c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>
        <f t="shared" ref="AH67:AH90" si="167">SUM(R67:AG67)</f>
        <v>0</v>
      </c>
      <c r="AJ67" s="263"/>
      <c r="AK67" s="263"/>
      <c r="AL67" s="263"/>
      <c r="AM67" s="263"/>
      <c r="AN67" s="263"/>
      <c r="AO67" s="263"/>
      <c r="AP67" s="263"/>
      <c r="AQ67" s="263"/>
      <c r="AR67" s="263"/>
      <c r="AS67" s="263"/>
      <c r="AT67" s="263"/>
      <c r="AU67" s="263"/>
      <c r="AV67" s="263"/>
      <c r="AW67" s="263"/>
      <c r="AX67" s="263"/>
      <c r="AY67" s="263">
        <f t="shared" si="155"/>
        <v>0</v>
      </c>
      <c r="BA67" s="277"/>
      <c r="BB67" s="277"/>
      <c r="BC67" s="277">
        <f t="shared" ref="BC67:BC90" si="168">SUM(BA67:BB67)</f>
        <v>0</v>
      </c>
      <c r="BE67" s="55">
        <f>P67+AH67+AY67+BC67</f>
        <v>0</v>
      </c>
      <c r="BF67" s="55"/>
      <c r="BH67" s="542"/>
      <c r="BI67" s="542"/>
      <c r="BJ67" s="542"/>
      <c r="BK67" s="542"/>
      <c r="BL67" s="542"/>
      <c r="BM67" s="542"/>
      <c r="BN67" s="542"/>
      <c r="BO67" s="542"/>
      <c r="BP67" s="542"/>
      <c r="BQ67" s="542"/>
      <c r="BR67" s="542"/>
      <c r="BS67" s="542"/>
      <c r="BT67" s="542"/>
      <c r="BU67" s="542"/>
      <c r="BV67" s="542"/>
      <c r="BW67" s="542"/>
      <c r="BX67" s="542"/>
      <c r="BY67" s="542"/>
      <c r="BZ67" s="542"/>
      <c r="CA67" s="542"/>
      <c r="CB67" s="542"/>
      <c r="CC67" s="542"/>
      <c r="CD67" s="542"/>
      <c r="CE67" s="542"/>
      <c r="CF67" s="542"/>
      <c r="CG67" s="542"/>
      <c r="CH67" s="542"/>
      <c r="CI67" s="542"/>
      <c r="CJ67" s="542"/>
      <c r="CK67" s="542"/>
      <c r="CL67" s="542"/>
      <c r="CM67" s="542"/>
      <c r="CN67" s="542"/>
      <c r="CO67" s="542"/>
      <c r="CP67" s="542"/>
      <c r="CQ67" s="542"/>
      <c r="CR67" s="542"/>
      <c r="CS67" s="542"/>
      <c r="CT67" s="542"/>
      <c r="CU67" s="542"/>
      <c r="CW67" s="151"/>
    </row>
    <row r="68" spans="1:101" s="84" customFormat="1" ht="24" customHeight="1" x14ac:dyDescent="0.2">
      <c r="C68" s="45" t="s">
        <v>414</v>
      </c>
      <c r="D68" s="45"/>
      <c r="E68" s="68"/>
      <c r="G68" s="244"/>
      <c r="H68" s="244"/>
      <c r="I68" s="244"/>
      <c r="J68" s="244"/>
      <c r="K68" s="244"/>
      <c r="L68" s="244"/>
      <c r="M68" s="244"/>
      <c r="N68" s="244"/>
      <c r="O68" s="244"/>
      <c r="P68" s="244">
        <f t="shared" si="144"/>
        <v>0</v>
      </c>
      <c r="R68" s="260"/>
      <c r="S68" s="260"/>
      <c r="T68" s="260"/>
      <c r="U68" s="260"/>
      <c r="V68" s="260"/>
      <c r="W68" s="260"/>
      <c r="X68" s="256"/>
      <c r="Y68" s="256"/>
      <c r="Z68" s="256"/>
      <c r="AA68" s="260"/>
      <c r="AB68" s="260"/>
      <c r="AC68" s="260"/>
      <c r="AD68" s="260"/>
      <c r="AE68" s="260"/>
      <c r="AF68" s="260"/>
      <c r="AG68" s="260"/>
      <c r="AH68" s="260">
        <f t="shared" si="167"/>
        <v>0</v>
      </c>
      <c r="AJ68" s="267"/>
      <c r="AK68" s="267"/>
      <c r="AL68" s="267"/>
      <c r="AM68" s="267"/>
      <c r="AN68" s="267"/>
      <c r="AO68" s="267"/>
      <c r="AP68" s="267"/>
      <c r="AQ68" s="267"/>
      <c r="AR68" s="267"/>
      <c r="AS68" s="267"/>
      <c r="AT68" s="262"/>
      <c r="AU68" s="262"/>
      <c r="AV68" s="262"/>
      <c r="AW68" s="262"/>
      <c r="AX68" s="262"/>
      <c r="AY68" s="267">
        <f t="shared" si="155"/>
        <v>0</v>
      </c>
      <c r="BA68" s="280"/>
      <c r="BB68" s="280"/>
      <c r="BC68" s="280">
        <f t="shared" si="168"/>
        <v>0</v>
      </c>
      <c r="BE68" s="54">
        <f>P68+AH68+AY68+BC68</f>
        <v>0</v>
      </c>
      <c r="BF68" s="54"/>
      <c r="BH68" s="542"/>
      <c r="BI68" s="542"/>
      <c r="BJ68" s="542"/>
      <c r="BK68" s="542"/>
      <c r="BL68" s="542"/>
      <c r="BM68" s="542"/>
      <c r="BN68" s="542"/>
      <c r="BO68" s="542"/>
      <c r="BP68" s="542"/>
      <c r="BQ68" s="542"/>
      <c r="BR68" s="542"/>
      <c r="BS68" s="542"/>
      <c r="BT68" s="542"/>
      <c r="BU68" s="542"/>
      <c r="BV68" s="542"/>
      <c r="BW68" s="542"/>
      <c r="BX68" s="542"/>
      <c r="BY68" s="542"/>
      <c r="BZ68" s="542"/>
      <c r="CA68" s="542"/>
      <c r="CB68" s="542"/>
      <c r="CC68" s="542"/>
      <c r="CD68" s="542"/>
      <c r="CE68" s="542"/>
      <c r="CF68" s="542"/>
      <c r="CG68" s="542"/>
      <c r="CH68" s="542"/>
      <c r="CI68" s="542"/>
      <c r="CJ68" s="542"/>
      <c r="CK68" s="542"/>
      <c r="CL68" s="542"/>
      <c r="CM68" s="542"/>
      <c r="CN68" s="542"/>
      <c r="CO68" s="542"/>
      <c r="CP68" s="542"/>
      <c r="CQ68" s="542"/>
      <c r="CR68" s="542"/>
      <c r="CS68" s="542"/>
      <c r="CT68" s="542"/>
      <c r="CU68" s="542"/>
      <c r="CW68" s="151"/>
    </row>
    <row r="69" spans="1:101" s="84" customFormat="1" ht="6" customHeight="1" x14ac:dyDescent="0.2">
      <c r="C69" s="60"/>
      <c r="D69" s="34"/>
      <c r="E69" s="51"/>
      <c r="G69" s="245"/>
      <c r="H69" s="245"/>
      <c r="I69" s="245"/>
      <c r="J69" s="245"/>
      <c r="K69" s="245"/>
      <c r="L69" s="247"/>
      <c r="M69" s="245"/>
      <c r="N69" s="245"/>
      <c r="O69" s="245"/>
      <c r="P69" s="245">
        <f t="shared" si="144"/>
        <v>0</v>
      </c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>
        <f t="shared" si="167"/>
        <v>0</v>
      </c>
      <c r="AJ69" s="263"/>
      <c r="AK69" s="263"/>
      <c r="AL69" s="263"/>
      <c r="AM69" s="263"/>
      <c r="AN69" s="263"/>
      <c r="AO69" s="263"/>
      <c r="AP69" s="263"/>
      <c r="AQ69" s="263"/>
      <c r="AR69" s="263"/>
      <c r="AS69" s="263"/>
      <c r="AT69" s="263"/>
      <c r="AU69" s="263"/>
      <c r="AV69" s="263"/>
      <c r="AW69" s="263"/>
      <c r="AX69" s="263"/>
      <c r="AY69" s="263">
        <f t="shared" si="155"/>
        <v>0</v>
      </c>
      <c r="BA69" s="277"/>
      <c r="BB69" s="277"/>
      <c r="BC69" s="277">
        <f t="shared" si="168"/>
        <v>0</v>
      </c>
      <c r="BE69" s="55">
        <f>P69+AH69+AY69+BC69</f>
        <v>0</v>
      </c>
      <c r="BF69" s="55"/>
      <c r="BH69" s="542"/>
      <c r="BI69" s="542"/>
      <c r="BJ69" s="542"/>
      <c r="BK69" s="542"/>
      <c r="BL69" s="542"/>
      <c r="BM69" s="542"/>
      <c r="BN69" s="542"/>
      <c r="BO69" s="542"/>
      <c r="BP69" s="542"/>
      <c r="BQ69" s="542"/>
      <c r="BR69" s="542"/>
      <c r="BS69" s="542"/>
      <c r="BT69" s="542"/>
      <c r="BU69" s="542"/>
      <c r="BV69" s="542"/>
      <c r="BW69" s="542"/>
      <c r="BX69" s="542"/>
      <c r="BY69" s="542"/>
      <c r="BZ69" s="542"/>
      <c r="CA69" s="542"/>
      <c r="CB69" s="542"/>
      <c r="CC69" s="542"/>
      <c r="CD69" s="542"/>
      <c r="CE69" s="542"/>
      <c r="CF69" s="542"/>
      <c r="CG69" s="542"/>
      <c r="CH69" s="542"/>
      <c r="CI69" s="542"/>
      <c r="CJ69" s="542"/>
      <c r="CK69" s="542"/>
      <c r="CL69" s="542"/>
      <c r="CM69" s="542"/>
      <c r="CN69" s="542"/>
      <c r="CO69" s="542"/>
      <c r="CP69" s="542"/>
      <c r="CQ69" s="542"/>
      <c r="CR69" s="542"/>
      <c r="CS69" s="542"/>
      <c r="CT69" s="542"/>
      <c r="CU69" s="542"/>
      <c r="CW69" s="151"/>
    </row>
    <row r="70" spans="1:101" s="84" customFormat="1" outlineLevel="1" x14ac:dyDescent="0.2">
      <c r="A70" s="547"/>
      <c r="B70" s="547"/>
      <c r="C70" s="162"/>
      <c r="D70" s="163"/>
      <c r="E70" s="163"/>
      <c r="G70" s="248"/>
      <c r="H70" s="248"/>
      <c r="I70" s="248"/>
      <c r="J70" s="248"/>
      <c r="K70" s="248"/>
      <c r="L70" s="249"/>
      <c r="M70" s="248"/>
      <c r="N70" s="248"/>
      <c r="O70" s="248"/>
      <c r="P70" s="248">
        <f t="shared" si="144"/>
        <v>0</v>
      </c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>
        <f t="shared" si="167"/>
        <v>0</v>
      </c>
      <c r="AJ70" s="265"/>
      <c r="AK70" s="265"/>
      <c r="AL70" s="265"/>
      <c r="AM70" s="265"/>
      <c r="AN70" s="265"/>
      <c r="AO70" s="265"/>
      <c r="AP70" s="265"/>
      <c r="AQ70" s="265"/>
      <c r="AR70" s="265"/>
      <c r="AS70" s="265"/>
      <c r="AT70" s="265"/>
      <c r="AU70" s="265"/>
      <c r="AV70" s="265"/>
      <c r="AW70" s="265"/>
      <c r="AX70" s="265"/>
      <c r="AY70" s="265">
        <f t="shared" si="155"/>
        <v>0</v>
      </c>
      <c r="BA70" s="278"/>
      <c r="BB70" s="278"/>
      <c r="BC70" s="278">
        <f t="shared" si="168"/>
        <v>0</v>
      </c>
      <c r="BE70" s="164"/>
      <c r="BF70" s="164"/>
      <c r="BG70" s="547"/>
      <c r="BH70" s="549"/>
      <c r="BI70" s="542"/>
      <c r="BJ70" s="542"/>
      <c r="BK70" s="542"/>
      <c r="BL70" s="542"/>
      <c r="BM70" s="542"/>
      <c r="BN70" s="542"/>
      <c r="BO70" s="542"/>
      <c r="BP70" s="542"/>
      <c r="BQ70" s="542"/>
      <c r="BR70" s="542"/>
      <c r="BS70" s="542"/>
      <c r="BT70" s="542"/>
      <c r="BU70" s="542"/>
      <c r="BV70" s="542"/>
      <c r="BW70" s="542"/>
      <c r="BX70" s="542"/>
      <c r="BY70" s="542"/>
      <c r="BZ70" s="542"/>
      <c r="CA70" s="542"/>
      <c r="CB70" s="542"/>
      <c r="CC70" s="542"/>
      <c r="CD70" s="542"/>
      <c r="CE70" s="542"/>
      <c r="CF70" s="542"/>
      <c r="CG70" s="542"/>
      <c r="CH70" s="542"/>
      <c r="CI70" s="542"/>
      <c r="CJ70" s="542"/>
      <c r="CK70" s="542"/>
      <c r="CL70" s="542"/>
      <c r="CM70" s="542"/>
      <c r="CN70" s="542"/>
      <c r="CO70" s="542"/>
      <c r="CP70" s="542"/>
      <c r="CQ70" s="542"/>
      <c r="CR70" s="542"/>
      <c r="CS70" s="542"/>
      <c r="CT70" s="542"/>
      <c r="CU70" s="542"/>
      <c r="CW70" s="151"/>
    </row>
    <row r="71" spans="1:101" s="543" customFormat="1" outlineLevel="1" x14ac:dyDescent="0.2">
      <c r="C71" s="62" t="s">
        <v>305</v>
      </c>
      <c r="D71" s="61" t="str">
        <f>INDEX(Modules[Module], MATCH($C71, Modules[Code], 0))</f>
        <v>Electricity imports</v>
      </c>
      <c r="E71" s="61"/>
      <c r="F71" s="84"/>
      <c r="G71" s="297">
        <f t="shared" ref="G71:O71" ca="1" si="169">IFERROR(INDEX(INDIRECT($C71&amp;".Outputs["&amp;this.Year&amp;"]"), MATCH(G$5, INDIRECT($C71&amp;".Outputs[Vector]"), 0)), 0)</f>
        <v>0</v>
      </c>
      <c r="H71" s="297">
        <f t="shared" ca="1" si="169"/>
        <v>0</v>
      </c>
      <c r="I71" s="297">
        <f t="shared" ca="1" si="169"/>
        <v>0</v>
      </c>
      <c r="J71" s="297">
        <f t="shared" ca="1" si="169"/>
        <v>0</v>
      </c>
      <c r="K71" s="297">
        <f t="shared" ca="1" si="169"/>
        <v>0</v>
      </c>
      <c r="L71" s="297">
        <f t="shared" ca="1" si="169"/>
        <v>0</v>
      </c>
      <c r="M71" s="297">
        <f t="shared" ca="1" si="169"/>
        <v>0</v>
      </c>
      <c r="N71" s="297">
        <f t="shared" ca="1" si="169"/>
        <v>0</v>
      </c>
      <c r="O71" s="297">
        <f t="shared" ca="1" si="169"/>
        <v>0</v>
      </c>
      <c r="P71" s="297">
        <f t="shared" ca="1" si="144"/>
        <v>0</v>
      </c>
      <c r="Q71" s="84"/>
      <c r="R71" s="304">
        <f t="shared" ref="R71:AG71" ca="1" si="170">IFERROR(INDEX(INDIRECT($C71&amp;".Outputs["&amp;this.Year&amp;"]"), MATCH(R$5, INDIRECT($C71&amp;".Outputs[Vector]"), 0)), 0)</f>
        <v>0</v>
      </c>
      <c r="S71" s="304">
        <f t="shared" ca="1" si="170"/>
        <v>-0.52500000000000002</v>
      </c>
      <c r="T71" s="304">
        <f t="shared" ca="1" si="170"/>
        <v>0</v>
      </c>
      <c r="U71" s="304">
        <f t="shared" ca="1" si="170"/>
        <v>0</v>
      </c>
      <c r="V71" s="304">
        <f t="shared" ca="1" si="170"/>
        <v>0</v>
      </c>
      <c r="W71" s="304">
        <f t="shared" ca="1" si="170"/>
        <v>0</v>
      </c>
      <c r="X71" s="304">
        <f ca="1">IFERROR(INDEX(INDIRECT($C71&amp;".Outputs["&amp;this.Year&amp;"]"), MATCH(X$5, INDIRECT($C71&amp;".Outputs[Vector]"), 0)), 0)</f>
        <v>0</v>
      </c>
      <c r="Y71" s="304">
        <f ca="1">IFERROR(INDEX(INDIRECT($C71&amp;".Outputs["&amp;this.Year&amp;"]"), MATCH(Y$5, INDIRECT($C71&amp;".Outputs[Vector]"), 0)), 0)</f>
        <v>0</v>
      </c>
      <c r="Z71" s="304">
        <f ca="1">IFERROR(INDEX(INDIRECT($C71&amp;".Outputs["&amp;this.Year&amp;"]"), MATCH(Z$5, INDIRECT($C71&amp;".Outputs[Vector]"), 0)), 0)</f>
        <v>0</v>
      </c>
      <c r="AA71" s="304">
        <f t="shared" ca="1" si="170"/>
        <v>0</v>
      </c>
      <c r="AB71" s="304">
        <f t="shared" ca="1" si="170"/>
        <v>0</v>
      </c>
      <c r="AC71" s="304">
        <f t="shared" ca="1" si="170"/>
        <v>0</v>
      </c>
      <c r="AD71" s="304">
        <f t="shared" ca="1" si="170"/>
        <v>0</v>
      </c>
      <c r="AE71" s="304">
        <f t="shared" ca="1" si="170"/>
        <v>0</v>
      </c>
      <c r="AF71" s="304">
        <f t="shared" ca="1" si="170"/>
        <v>0</v>
      </c>
      <c r="AG71" s="304">
        <f t="shared" ca="1" si="170"/>
        <v>0</v>
      </c>
      <c r="AH71" s="305">
        <f t="shared" ca="1" si="167"/>
        <v>-0.52500000000000002</v>
      </c>
      <c r="AI71" s="84"/>
      <c r="AJ71" s="312">
        <f t="shared" ref="AJ71:AR71" ca="1" si="171">IFERROR(INDEX(INDIRECT($C71&amp;".Outputs["&amp;this.Year&amp;"]"), MATCH(AJ$5, INDIRECT($C71&amp;".Outputs[Vector]"), 0)), 0)</f>
        <v>0</v>
      </c>
      <c r="AK71" s="312">
        <f t="shared" ca="1" si="171"/>
        <v>0</v>
      </c>
      <c r="AL71" s="312">
        <f t="shared" ca="1" si="171"/>
        <v>0</v>
      </c>
      <c r="AM71" s="312">
        <f t="shared" ca="1" si="171"/>
        <v>0</v>
      </c>
      <c r="AN71" s="312">
        <f t="shared" ca="1" si="171"/>
        <v>0.52500000000000002</v>
      </c>
      <c r="AO71" s="312">
        <f t="shared" ca="1" si="171"/>
        <v>0</v>
      </c>
      <c r="AP71" s="312">
        <f t="shared" ca="1" si="171"/>
        <v>0</v>
      </c>
      <c r="AQ71" s="312">
        <f t="shared" ca="1" si="171"/>
        <v>0</v>
      </c>
      <c r="AR71" s="312">
        <f t="shared" ca="1" si="171"/>
        <v>0</v>
      </c>
      <c r="AS71" s="312">
        <f t="shared" ref="AS71:AX71" ca="1" si="172">IFERROR(INDEX(INDIRECT($C71&amp;".Outputs["&amp;this.Year&amp;"]"), MATCH(AS$5, INDIRECT($C71&amp;".Outputs[Vector]"), 0)), 0)</f>
        <v>0</v>
      </c>
      <c r="AT71" s="312">
        <f t="shared" ca="1" si="172"/>
        <v>0</v>
      </c>
      <c r="AU71" s="312">
        <f t="shared" ca="1" si="172"/>
        <v>0</v>
      </c>
      <c r="AV71" s="312">
        <f t="shared" ca="1" si="172"/>
        <v>0</v>
      </c>
      <c r="AW71" s="312">
        <f t="shared" ca="1" si="172"/>
        <v>0</v>
      </c>
      <c r="AX71" s="312">
        <f t="shared" ca="1" si="172"/>
        <v>0</v>
      </c>
      <c r="AY71" s="266">
        <f t="shared" ca="1" si="155"/>
        <v>0.52500000000000002</v>
      </c>
      <c r="AZ71" s="84"/>
      <c r="BA71" s="308">
        <f ca="1">IFERROR(INDEX(INDIRECT($C71&amp;".Outputs["&amp;this.Year&amp;"]"), MATCH(BA$5, INDIRECT($C71&amp;".Outputs[Vector]"), 0)), 0)</f>
        <v>0</v>
      </c>
      <c r="BB71" s="308">
        <f ca="1">IFERROR(INDEX(INDIRECT($C71&amp;".Outputs["&amp;this.Year&amp;"]"), MATCH(BB$5, INDIRECT($C71&amp;".Outputs[Vector]"), 0)), 0)</f>
        <v>0</v>
      </c>
      <c r="BC71" s="309">
        <f t="shared" ca="1" si="168"/>
        <v>0</v>
      </c>
      <c r="BD71" s="84"/>
      <c r="BE71" s="135">
        <f ca="1">P71+AH71+AY71+BC71</f>
        <v>0</v>
      </c>
      <c r="BF71" s="135"/>
      <c r="BH71" s="541">
        <f t="shared" ref="BH71:CU71" ca="1" si="173">IFERROR(SUMIFS(INDIRECT($C71&amp;".Emissions["&amp;this.Year&amp;"]"), INDIRECT($C71&amp;".Emissions[GHG]"), BH$6, INDIRECT($C71&amp;".Emissions[IPCC Sector]"), BH$5),0)</f>
        <v>0</v>
      </c>
      <c r="BI71" s="542">
        <f t="shared" ca="1" si="173"/>
        <v>0</v>
      </c>
      <c r="BJ71" s="542">
        <f t="shared" ca="1" si="173"/>
        <v>0</v>
      </c>
      <c r="BK71" s="542">
        <f t="shared" ca="1" si="173"/>
        <v>0</v>
      </c>
      <c r="BL71" s="542">
        <f t="shared" ca="1" si="173"/>
        <v>0</v>
      </c>
      <c r="BM71" s="542">
        <f t="shared" ca="1" si="173"/>
        <v>0</v>
      </c>
      <c r="BN71" s="542">
        <f t="shared" ca="1" si="173"/>
        <v>0</v>
      </c>
      <c r="BO71" s="542">
        <f t="shared" ca="1" si="173"/>
        <v>0</v>
      </c>
      <c r="BP71" s="542">
        <f t="shared" ca="1" si="173"/>
        <v>0</v>
      </c>
      <c r="BQ71" s="542">
        <f t="shared" ca="1" si="173"/>
        <v>0</v>
      </c>
      <c r="BR71" s="542">
        <f t="shared" ca="1" si="173"/>
        <v>0</v>
      </c>
      <c r="BS71" s="542">
        <f t="shared" ca="1" si="173"/>
        <v>0</v>
      </c>
      <c r="BT71" s="542">
        <f t="shared" ca="1" si="173"/>
        <v>0</v>
      </c>
      <c r="BU71" s="542">
        <f t="shared" ca="1" si="173"/>
        <v>0</v>
      </c>
      <c r="BV71" s="542">
        <f t="shared" ca="1" si="173"/>
        <v>0</v>
      </c>
      <c r="BW71" s="542">
        <f t="shared" ca="1" si="173"/>
        <v>0</v>
      </c>
      <c r="BX71" s="542">
        <f t="shared" ca="1" si="173"/>
        <v>0</v>
      </c>
      <c r="BY71" s="542">
        <f t="shared" ca="1" si="173"/>
        <v>0</v>
      </c>
      <c r="BZ71" s="542">
        <f t="shared" ca="1" si="173"/>
        <v>0</v>
      </c>
      <c r="CA71" s="542">
        <f t="shared" ca="1" si="173"/>
        <v>0</v>
      </c>
      <c r="CB71" s="542">
        <f t="shared" ca="1" si="173"/>
        <v>0</v>
      </c>
      <c r="CC71" s="542">
        <f t="shared" ca="1" si="173"/>
        <v>0</v>
      </c>
      <c r="CD71" s="542">
        <f t="shared" ca="1" si="173"/>
        <v>0</v>
      </c>
      <c r="CE71" s="542">
        <f t="shared" ca="1" si="173"/>
        <v>0</v>
      </c>
      <c r="CF71" s="542">
        <f t="shared" ca="1" si="173"/>
        <v>0</v>
      </c>
      <c r="CG71" s="542">
        <f t="shared" ca="1" si="173"/>
        <v>0</v>
      </c>
      <c r="CH71" s="542">
        <f t="shared" ca="1" si="173"/>
        <v>0</v>
      </c>
      <c r="CI71" s="542">
        <f t="shared" ca="1" si="173"/>
        <v>0</v>
      </c>
      <c r="CJ71" s="542">
        <f t="shared" ca="1" si="173"/>
        <v>0</v>
      </c>
      <c r="CK71" s="542">
        <f t="shared" ca="1" si="173"/>
        <v>0</v>
      </c>
      <c r="CL71" s="542">
        <f t="shared" ca="1" si="173"/>
        <v>0</v>
      </c>
      <c r="CM71" s="542">
        <f t="shared" ca="1" si="173"/>
        <v>0</v>
      </c>
      <c r="CN71" s="542">
        <f t="shared" ca="1" si="173"/>
        <v>0</v>
      </c>
      <c r="CO71" s="542">
        <f t="shared" ca="1" si="173"/>
        <v>0</v>
      </c>
      <c r="CP71" s="542">
        <f t="shared" ca="1" si="173"/>
        <v>0</v>
      </c>
      <c r="CQ71" s="542">
        <f t="shared" ca="1" si="173"/>
        <v>0</v>
      </c>
      <c r="CR71" s="542">
        <f t="shared" ca="1" si="173"/>
        <v>0</v>
      </c>
      <c r="CS71" s="542">
        <f t="shared" ca="1" si="173"/>
        <v>0</v>
      </c>
      <c r="CT71" s="542">
        <f t="shared" ca="1" si="173"/>
        <v>0</v>
      </c>
      <c r="CU71" s="542">
        <f t="shared" ca="1" si="173"/>
        <v>0</v>
      </c>
      <c r="CW71" s="151"/>
    </row>
    <row r="72" spans="1:101" s="547" customFormat="1" ht="12.75" customHeight="1" outlineLevel="1" x14ac:dyDescent="0.2">
      <c r="C72" s="319" t="s">
        <v>858</v>
      </c>
      <c r="D72" s="320" t="s">
        <v>588</v>
      </c>
      <c r="E72" s="320"/>
      <c r="F72" s="84"/>
      <c r="G72" s="333"/>
      <c r="H72" s="333"/>
      <c r="I72" s="333"/>
      <c r="J72" s="333"/>
      <c r="K72" s="333"/>
      <c r="L72" s="334"/>
      <c r="M72" s="333"/>
      <c r="N72" s="333"/>
      <c r="O72" s="333"/>
      <c r="P72" s="333">
        <f t="shared" si="144"/>
        <v>0</v>
      </c>
      <c r="Q72" s="84"/>
      <c r="R72" s="335">
        <f ca="1">R$28+R$36+R$80+R$40+R$71</f>
        <v>-117.07862642129547</v>
      </c>
      <c r="S72" s="335">
        <f ca="1">S$28+S$36+S$80+S$40+S$71</f>
        <v>-0.52500000000000002</v>
      </c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>
        <f t="shared" ca="1" si="167"/>
        <v>-117.60362642129547</v>
      </c>
      <c r="AI72" s="84"/>
      <c r="AJ72" s="336"/>
      <c r="AK72" s="336"/>
      <c r="AL72" s="336"/>
      <c r="AM72" s="336"/>
      <c r="AN72" s="336"/>
      <c r="AO72" s="336"/>
      <c r="AP72" s="336"/>
      <c r="AQ72" s="336"/>
      <c r="AR72" s="336"/>
      <c r="AS72" s="336"/>
      <c r="AT72" s="336"/>
      <c r="AU72" s="336"/>
      <c r="AV72" s="336"/>
      <c r="AW72" s="336"/>
      <c r="AX72" s="336"/>
      <c r="AY72" s="336">
        <f t="shared" si="155"/>
        <v>0</v>
      </c>
      <c r="AZ72" s="84"/>
      <c r="BA72" s="337"/>
      <c r="BB72" s="337"/>
      <c r="BC72" s="337">
        <f t="shared" si="168"/>
        <v>0</v>
      </c>
      <c r="BD72" s="84"/>
      <c r="BE72" s="164"/>
      <c r="BF72" s="164"/>
      <c r="BH72" s="549"/>
      <c r="BI72" s="549"/>
      <c r="BJ72" s="549"/>
      <c r="BK72" s="549"/>
      <c r="BL72" s="549"/>
      <c r="BM72" s="549"/>
      <c r="BN72" s="549"/>
      <c r="BO72" s="549"/>
      <c r="BP72" s="549"/>
      <c r="BQ72" s="549"/>
      <c r="BR72" s="549"/>
      <c r="BS72" s="549"/>
      <c r="BT72" s="549"/>
      <c r="BU72" s="549"/>
      <c r="BV72" s="549"/>
      <c r="BW72" s="549"/>
      <c r="BX72" s="549"/>
      <c r="BY72" s="549"/>
      <c r="BZ72" s="549"/>
      <c r="CA72" s="549"/>
      <c r="CB72" s="549"/>
      <c r="CC72" s="549"/>
      <c r="CD72" s="549"/>
      <c r="CE72" s="549"/>
      <c r="CF72" s="549"/>
      <c r="CG72" s="549"/>
      <c r="CH72" s="549"/>
      <c r="CI72" s="549"/>
      <c r="CJ72" s="549"/>
      <c r="CK72" s="549"/>
      <c r="CL72" s="549"/>
      <c r="CM72" s="549"/>
      <c r="CN72" s="549"/>
      <c r="CO72" s="549"/>
      <c r="CP72" s="549"/>
      <c r="CQ72" s="549"/>
      <c r="CR72" s="549"/>
      <c r="CS72" s="549"/>
      <c r="CT72" s="549"/>
      <c r="CU72" s="549"/>
      <c r="CW72" s="151"/>
    </row>
    <row r="73" spans="1:101" s="543" customFormat="1" outlineLevel="1" x14ac:dyDescent="0.2">
      <c r="C73" s="62" t="s">
        <v>313</v>
      </c>
      <c r="D73" s="61" t="str">
        <f>INDEX(Modules[Module], MATCH($C73, Modules[Code], 0))</f>
        <v>Electricity grid distribution</v>
      </c>
      <c r="E73" s="61"/>
      <c r="F73" s="84"/>
      <c r="G73" s="297">
        <f t="shared" ref="G73:O73" ca="1" si="174">IFERROR(INDEX(INDIRECT($C73&amp;".Outputs["&amp;this.Year&amp;"]"), MATCH(G$5, INDIRECT($C73&amp;".Outputs[Vector]"), 0)), 0)</f>
        <v>0</v>
      </c>
      <c r="H73" s="297">
        <f t="shared" ca="1" si="174"/>
        <v>0</v>
      </c>
      <c r="I73" s="297">
        <f t="shared" ca="1" si="174"/>
        <v>0</v>
      </c>
      <c r="J73" s="297">
        <f t="shared" ca="1" si="174"/>
        <v>0</v>
      </c>
      <c r="K73" s="297">
        <f t="shared" ca="1" si="174"/>
        <v>0</v>
      </c>
      <c r="L73" s="297">
        <f t="shared" ca="1" si="174"/>
        <v>0</v>
      </c>
      <c r="M73" s="297">
        <f t="shared" ca="1" si="174"/>
        <v>0</v>
      </c>
      <c r="N73" s="297">
        <f t="shared" ca="1" si="174"/>
        <v>0</v>
      </c>
      <c r="O73" s="297">
        <f t="shared" ca="1" si="174"/>
        <v>0</v>
      </c>
      <c r="P73" s="297">
        <f t="shared" ca="1" si="144"/>
        <v>0</v>
      </c>
      <c r="Q73" s="84"/>
      <c r="R73" s="304">
        <f t="shared" ref="R73:AG73" ca="1" si="175">IFERROR(INDEX(INDIRECT($C73&amp;".Outputs["&amp;this.Year&amp;"]"), MATCH(R$5, INDIRECT($C73&amp;".Outputs[Vector]"), 0)), 0)</f>
        <v>0</v>
      </c>
      <c r="S73" s="304">
        <f t="shared" ca="1" si="175"/>
        <v>-23.979959628458118</v>
      </c>
      <c r="T73" s="304">
        <f t="shared" ca="1" si="175"/>
        <v>0</v>
      </c>
      <c r="U73" s="304">
        <f t="shared" ca="1" si="175"/>
        <v>0</v>
      </c>
      <c r="V73" s="304">
        <f t="shared" ca="1" si="175"/>
        <v>0</v>
      </c>
      <c r="W73" s="304">
        <f t="shared" ca="1" si="175"/>
        <v>0</v>
      </c>
      <c r="X73" s="304">
        <f t="shared" ref="X73:Z73" ca="1" si="176">IFERROR(INDEX(INDIRECT($C73&amp;".Outputs["&amp;this.Year&amp;"]"), MATCH(X$5, INDIRECT($C73&amp;".Outputs[Vector]"), 0)), 0)</f>
        <v>0</v>
      </c>
      <c r="Y73" s="304">
        <f t="shared" ca="1" si="176"/>
        <v>0</v>
      </c>
      <c r="Z73" s="304">
        <f t="shared" ca="1" si="176"/>
        <v>0</v>
      </c>
      <c r="AA73" s="304">
        <f t="shared" ca="1" si="175"/>
        <v>0</v>
      </c>
      <c r="AB73" s="304">
        <f t="shared" ca="1" si="175"/>
        <v>0</v>
      </c>
      <c r="AC73" s="304">
        <f t="shared" ca="1" si="175"/>
        <v>0</v>
      </c>
      <c r="AD73" s="304">
        <f t="shared" ca="1" si="175"/>
        <v>0</v>
      </c>
      <c r="AE73" s="304">
        <f t="shared" ca="1" si="175"/>
        <v>0</v>
      </c>
      <c r="AF73" s="304">
        <f t="shared" ca="1" si="175"/>
        <v>0</v>
      </c>
      <c r="AG73" s="304">
        <f t="shared" ca="1" si="175"/>
        <v>0</v>
      </c>
      <c r="AH73" s="305">
        <f t="shared" ca="1" si="167"/>
        <v>-23.979959628458118</v>
      </c>
      <c r="AI73" s="84"/>
      <c r="AJ73" s="312">
        <f t="shared" ref="AJ73:AR73" ca="1" si="177">IFERROR(INDEX(INDIRECT($C73&amp;".Outputs["&amp;this.Year&amp;"]"), MATCH(AJ$5, INDIRECT($C73&amp;".Outputs[Vector]"), 0)), 0)</f>
        <v>0</v>
      </c>
      <c r="AK73" s="312">
        <f t="shared" ca="1" si="177"/>
        <v>0</v>
      </c>
      <c r="AL73" s="312">
        <f t="shared" ca="1" si="177"/>
        <v>0</v>
      </c>
      <c r="AM73" s="312">
        <f t="shared" ca="1" si="177"/>
        <v>0</v>
      </c>
      <c r="AN73" s="312">
        <f t="shared" ca="1" si="177"/>
        <v>0</v>
      </c>
      <c r="AO73" s="312">
        <f t="shared" ca="1" si="177"/>
        <v>0</v>
      </c>
      <c r="AP73" s="312">
        <f t="shared" ca="1" si="177"/>
        <v>0</v>
      </c>
      <c r="AQ73" s="312">
        <f t="shared" ca="1" si="177"/>
        <v>0</v>
      </c>
      <c r="AR73" s="312">
        <f t="shared" ca="1" si="177"/>
        <v>0</v>
      </c>
      <c r="AS73" s="312">
        <f t="shared" ref="AS73:AX73" ca="1" si="178">IFERROR(INDEX(INDIRECT($C73&amp;".Outputs["&amp;this.Year&amp;"]"), MATCH(AS$5, INDIRECT($C73&amp;".Outputs[Vector]"), 0)), 0)</f>
        <v>0</v>
      </c>
      <c r="AT73" s="312">
        <f t="shared" ca="1" si="178"/>
        <v>0</v>
      </c>
      <c r="AU73" s="312">
        <f t="shared" ca="1" si="178"/>
        <v>0</v>
      </c>
      <c r="AV73" s="312">
        <f t="shared" ca="1" si="178"/>
        <v>0</v>
      </c>
      <c r="AW73" s="312">
        <f t="shared" ca="1" si="178"/>
        <v>0</v>
      </c>
      <c r="AX73" s="312">
        <f t="shared" ca="1" si="178"/>
        <v>0</v>
      </c>
      <c r="AY73" s="266">
        <f t="shared" ca="1" si="155"/>
        <v>0</v>
      </c>
      <c r="AZ73" s="84"/>
      <c r="BA73" s="308">
        <f ca="1">IFERROR(INDEX(INDIRECT($C73&amp;".Outputs["&amp;this.Year&amp;"]"), MATCH(BA$5, INDIRECT($C73&amp;".Outputs[Vector]"), 0)), 0)</f>
        <v>0</v>
      </c>
      <c r="BB73" s="308">
        <f ca="1">IFERROR(INDEX(INDIRECT($C73&amp;".Outputs["&amp;this.Year&amp;"]"), MATCH(BB$5, INDIRECT($C73&amp;".Outputs[Vector]"), 0)), 0)</f>
        <v>23.979959628458111</v>
      </c>
      <c r="BC73" s="309">
        <f t="shared" ca="1" si="168"/>
        <v>23.979959628458111</v>
      </c>
      <c r="BD73" s="84"/>
      <c r="BE73" s="164">
        <f ca="1">P73+AH73+AY73+BC73</f>
        <v>0</v>
      </c>
      <c r="BF73" s="135"/>
      <c r="BH73" s="541">
        <f t="shared" ref="BH73:BQ73" ca="1" si="179">IFERROR(SUMIFS(INDIRECT($C73&amp;".Emissions["&amp;this.Year&amp;"]"), INDIRECT($C73&amp;".Emissions[GHG]"), BH$6, INDIRECT($C73&amp;".Emissions[IPCC Sector]"), BH$5),0)</f>
        <v>0</v>
      </c>
      <c r="BI73" s="542">
        <f t="shared" ca="1" si="179"/>
        <v>0</v>
      </c>
      <c r="BJ73" s="542">
        <f t="shared" ca="1" si="179"/>
        <v>0</v>
      </c>
      <c r="BK73" s="542">
        <f t="shared" ca="1" si="179"/>
        <v>0</v>
      </c>
      <c r="BL73" s="542">
        <f t="shared" ca="1" si="179"/>
        <v>0</v>
      </c>
      <c r="BM73" s="542">
        <f t="shared" ca="1" si="179"/>
        <v>0</v>
      </c>
      <c r="BN73" s="542">
        <f t="shared" ca="1" si="179"/>
        <v>0</v>
      </c>
      <c r="BO73" s="542">
        <f t="shared" ca="1" si="179"/>
        <v>0</v>
      </c>
      <c r="BP73" s="542">
        <f t="shared" ca="1" si="179"/>
        <v>0</v>
      </c>
      <c r="BQ73" s="542">
        <f t="shared" ca="1" si="179"/>
        <v>0</v>
      </c>
      <c r="BR73" s="542">
        <f t="shared" ref="BR73:CA73" ca="1" si="180">IFERROR(SUMIFS(INDIRECT($C73&amp;".Emissions["&amp;this.Year&amp;"]"), INDIRECT($C73&amp;".Emissions[GHG]"), BR$6, INDIRECT($C73&amp;".Emissions[IPCC Sector]"), BR$5),0)</f>
        <v>0</v>
      </c>
      <c r="BS73" s="542">
        <f t="shared" ca="1" si="180"/>
        <v>0</v>
      </c>
      <c r="BT73" s="542">
        <f t="shared" ca="1" si="180"/>
        <v>0</v>
      </c>
      <c r="BU73" s="542">
        <f t="shared" ca="1" si="180"/>
        <v>0</v>
      </c>
      <c r="BV73" s="542">
        <f t="shared" ca="1" si="180"/>
        <v>0</v>
      </c>
      <c r="BW73" s="542">
        <f t="shared" ca="1" si="180"/>
        <v>0</v>
      </c>
      <c r="BX73" s="542">
        <f t="shared" ca="1" si="180"/>
        <v>0</v>
      </c>
      <c r="BY73" s="542">
        <f t="shared" ca="1" si="180"/>
        <v>0</v>
      </c>
      <c r="BZ73" s="542">
        <f t="shared" ca="1" si="180"/>
        <v>0</v>
      </c>
      <c r="CA73" s="542">
        <f t="shared" ca="1" si="180"/>
        <v>0</v>
      </c>
      <c r="CB73" s="542">
        <f t="shared" ref="CB73:CK73" ca="1" si="181">IFERROR(SUMIFS(INDIRECT($C73&amp;".Emissions["&amp;this.Year&amp;"]"), INDIRECT($C73&amp;".Emissions[GHG]"), CB$6, INDIRECT($C73&amp;".Emissions[IPCC Sector]"), CB$5),0)</f>
        <v>0</v>
      </c>
      <c r="CC73" s="542">
        <f t="shared" ca="1" si="181"/>
        <v>0</v>
      </c>
      <c r="CD73" s="542">
        <f t="shared" ca="1" si="181"/>
        <v>0</v>
      </c>
      <c r="CE73" s="542">
        <f t="shared" ca="1" si="181"/>
        <v>0</v>
      </c>
      <c r="CF73" s="542">
        <f t="shared" ca="1" si="181"/>
        <v>0</v>
      </c>
      <c r="CG73" s="542">
        <f t="shared" ca="1" si="181"/>
        <v>0</v>
      </c>
      <c r="CH73" s="542">
        <f t="shared" ca="1" si="181"/>
        <v>0</v>
      </c>
      <c r="CI73" s="542">
        <f t="shared" ca="1" si="181"/>
        <v>0</v>
      </c>
      <c r="CJ73" s="542">
        <f t="shared" ca="1" si="181"/>
        <v>0</v>
      </c>
      <c r="CK73" s="542">
        <f t="shared" ca="1" si="181"/>
        <v>0</v>
      </c>
      <c r="CL73" s="542">
        <f t="shared" ref="CL73:CU73" ca="1" si="182">IFERROR(SUMIFS(INDIRECT($C73&amp;".Emissions["&amp;this.Year&amp;"]"), INDIRECT($C73&amp;".Emissions[GHG]"), CL$6, INDIRECT($C73&amp;".Emissions[IPCC Sector]"), CL$5),0)</f>
        <v>0</v>
      </c>
      <c r="CM73" s="542">
        <f t="shared" ca="1" si="182"/>
        <v>0</v>
      </c>
      <c r="CN73" s="542">
        <f t="shared" ca="1" si="182"/>
        <v>0</v>
      </c>
      <c r="CO73" s="542">
        <f t="shared" ca="1" si="182"/>
        <v>0</v>
      </c>
      <c r="CP73" s="542">
        <f t="shared" ca="1" si="182"/>
        <v>0</v>
      </c>
      <c r="CQ73" s="542">
        <f t="shared" ca="1" si="182"/>
        <v>0</v>
      </c>
      <c r="CR73" s="542">
        <f t="shared" ca="1" si="182"/>
        <v>0</v>
      </c>
      <c r="CS73" s="542">
        <f t="shared" ca="1" si="182"/>
        <v>0</v>
      </c>
      <c r="CT73" s="542">
        <f t="shared" ca="1" si="182"/>
        <v>0</v>
      </c>
      <c r="CU73" s="542">
        <f t="shared" ca="1" si="182"/>
        <v>0</v>
      </c>
      <c r="CW73" s="151"/>
    </row>
    <row r="74" spans="1:101" s="18" customFormat="1" ht="12.75" customHeight="1" x14ac:dyDescent="0.2">
      <c r="B74" s="89"/>
      <c r="C74" s="85" t="s">
        <v>226</v>
      </c>
      <c r="D74" s="57" t="str">
        <f>INDEX(Workstreams[Workstream], MATCH($C74, Workstreams[Code], 0))</f>
        <v>Electricity distribution, storage &amp; balancing</v>
      </c>
      <c r="E74" s="53"/>
      <c r="F74" s="84"/>
      <c r="G74" s="245">
        <f ca="1">G$71+G$73</f>
        <v>0</v>
      </c>
      <c r="H74" s="245">
        <f t="shared" ref="H74:BR74" ca="1" si="183">H$71+H$73</f>
        <v>0</v>
      </c>
      <c r="I74" s="245">
        <f t="shared" ca="1" si="183"/>
        <v>0</v>
      </c>
      <c r="J74" s="245">
        <f t="shared" ca="1" si="183"/>
        <v>0</v>
      </c>
      <c r="K74" s="245">
        <f t="shared" ca="1" si="183"/>
        <v>0</v>
      </c>
      <c r="L74" s="245">
        <f t="shared" ca="1" si="183"/>
        <v>0</v>
      </c>
      <c r="M74" s="245">
        <f t="shared" ca="1" si="183"/>
        <v>0</v>
      </c>
      <c r="N74" s="245">
        <f t="shared" ca="1" si="183"/>
        <v>0</v>
      </c>
      <c r="O74" s="245">
        <f t="shared" ca="1" si="183"/>
        <v>0</v>
      </c>
      <c r="P74" s="245">
        <f t="shared" ca="1" si="144"/>
        <v>0</v>
      </c>
      <c r="Q74" s="245">
        <f t="shared" si="183"/>
        <v>0</v>
      </c>
      <c r="R74" s="245">
        <f t="shared" ca="1" si="183"/>
        <v>0</v>
      </c>
      <c r="S74" s="245">
        <f t="shared" ca="1" si="183"/>
        <v>-24.504959628458117</v>
      </c>
      <c r="T74" s="245">
        <f t="shared" ca="1" si="183"/>
        <v>0</v>
      </c>
      <c r="U74" s="245">
        <f t="shared" ca="1" si="183"/>
        <v>0</v>
      </c>
      <c r="V74" s="245">
        <f t="shared" ca="1" si="183"/>
        <v>0</v>
      </c>
      <c r="W74" s="245">
        <f t="shared" ca="1" si="183"/>
        <v>0</v>
      </c>
      <c r="X74" s="245">
        <f t="shared" ca="1" si="183"/>
        <v>0</v>
      </c>
      <c r="Y74" s="245">
        <f t="shared" ca="1" si="183"/>
        <v>0</v>
      </c>
      <c r="Z74" s="245">
        <f t="shared" ca="1" si="183"/>
        <v>0</v>
      </c>
      <c r="AA74" s="245">
        <f t="shared" ca="1" si="183"/>
        <v>0</v>
      </c>
      <c r="AB74" s="245">
        <f t="shared" ca="1" si="183"/>
        <v>0</v>
      </c>
      <c r="AC74" s="245">
        <f t="shared" ca="1" si="183"/>
        <v>0</v>
      </c>
      <c r="AD74" s="245">
        <f t="shared" ca="1" si="183"/>
        <v>0</v>
      </c>
      <c r="AE74" s="245">
        <f t="shared" ca="1" si="183"/>
        <v>0</v>
      </c>
      <c r="AF74" s="245">
        <f t="shared" ca="1" si="183"/>
        <v>0</v>
      </c>
      <c r="AG74" s="245">
        <f t="shared" ca="1" si="183"/>
        <v>0</v>
      </c>
      <c r="AH74" s="245">
        <f t="shared" ca="1" si="167"/>
        <v>-24.504959628458117</v>
      </c>
      <c r="AI74" s="245">
        <f t="shared" si="183"/>
        <v>0</v>
      </c>
      <c r="AJ74" s="245">
        <f t="shared" ca="1" si="183"/>
        <v>0</v>
      </c>
      <c r="AK74" s="245">
        <f t="shared" ca="1" si="183"/>
        <v>0</v>
      </c>
      <c r="AL74" s="245">
        <f t="shared" ca="1" si="183"/>
        <v>0</v>
      </c>
      <c r="AM74" s="245">
        <f t="shared" ca="1" si="183"/>
        <v>0</v>
      </c>
      <c r="AN74" s="245">
        <f t="shared" ca="1" si="183"/>
        <v>0.52500000000000002</v>
      </c>
      <c r="AO74" s="245">
        <f t="shared" ca="1" si="183"/>
        <v>0</v>
      </c>
      <c r="AP74" s="245">
        <f t="shared" ca="1" si="183"/>
        <v>0</v>
      </c>
      <c r="AQ74" s="245">
        <f t="shared" ca="1" si="183"/>
        <v>0</v>
      </c>
      <c r="AR74" s="245">
        <f t="shared" ca="1" si="183"/>
        <v>0</v>
      </c>
      <c r="AS74" s="245">
        <f t="shared" ca="1" si="183"/>
        <v>0</v>
      </c>
      <c r="AT74" s="245">
        <f t="shared" ca="1" si="183"/>
        <v>0</v>
      </c>
      <c r="AU74" s="245">
        <f t="shared" ca="1" si="183"/>
        <v>0</v>
      </c>
      <c r="AV74" s="245">
        <f t="shared" ca="1" si="183"/>
        <v>0</v>
      </c>
      <c r="AW74" s="245">
        <f t="shared" ca="1" si="183"/>
        <v>0</v>
      </c>
      <c r="AX74" s="245">
        <f t="shared" ca="1" si="183"/>
        <v>0</v>
      </c>
      <c r="AY74" s="245">
        <f t="shared" ca="1" si="155"/>
        <v>0.52500000000000002</v>
      </c>
      <c r="AZ74" s="245">
        <f t="shared" si="183"/>
        <v>0</v>
      </c>
      <c r="BA74" s="245">
        <f t="shared" ca="1" si="183"/>
        <v>0</v>
      </c>
      <c r="BB74" s="245">
        <f t="shared" ca="1" si="183"/>
        <v>23.979959628458111</v>
      </c>
      <c r="BC74" s="245">
        <f t="shared" ca="1" si="168"/>
        <v>23.979959628458111</v>
      </c>
      <c r="BD74" s="245">
        <f t="shared" si="183"/>
        <v>0</v>
      </c>
      <c r="BE74" s="245">
        <f t="shared" ca="1" si="183"/>
        <v>0</v>
      </c>
      <c r="BF74" s="245">
        <f t="shared" si="183"/>
        <v>0</v>
      </c>
      <c r="BG74" s="245">
        <f t="shared" si="183"/>
        <v>0</v>
      </c>
      <c r="BH74" s="245">
        <f t="shared" ca="1" si="183"/>
        <v>0</v>
      </c>
      <c r="BI74" s="245">
        <f t="shared" ca="1" si="183"/>
        <v>0</v>
      </c>
      <c r="BJ74" s="245">
        <f t="shared" ca="1" si="183"/>
        <v>0</v>
      </c>
      <c r="BK74" s="245">
        <f t="shared" ca="1" si="183"/>
        <v>0</v>
      </c>
      <c r="BL74" s="245">
        <f t="shared" ca="1" si="183"/>
        <v>0</v>
      </c>
      <c r="BM74" s="245">
        <f t="shared" ca="1" si="183"/>
        <v>0</v>
      </c>
      <c r="BN74" s="245">
        <f t="shared" ca="1" si="183"/>
        <v>0</v>
      </c>
      <c r="BO74" s="245">
        <f t="shared" ca="1" si="183"/>
        <v>0</v>
      </c>
      <c r="BP74" s="245">
        <f t="shared" ca="1" si="183"/>
        <v>0</v>
      </c>
      <c r="BQ74" s="245">
        <f t="shared" ca="1" si="183"/>
        <v>0</v>
      </c>
      <c r="BR74" s="245">
        <f t="shared" ca="1" si="183"/>
        <v>0</v>
      </c>
      <c r="BS74" s="245">
        <f t="shared" ref="BS74:CW74" ca="1" si="184">BS$71+BS$73</f>
        <v>0</v>
      </c>
      <c r="BT74" s="245">
        <f t="shared" ca="1" si="184"/>
        <v>0</v>
      </c>
      <c r="BU74" s="245">
        <f t="shared" ca="1" si="184"/>
        <v>0</v>
      </c>
      <c r="BV74" s="245">
        <f t="shared" ca="1" si="184"/>
        <v>0</v>
      </c>
      <c r="BW74" s="245">
        <f t="shared" ca="1" si="184"/>
        <v>0</v>
      </c>
      <c r="BX74" s="245">
        <f t="shared" ca="1" si="184"/>
        <v>0</v>
      </c>
      <c r="BY74" s="245">
        <f t="shared" ca="1" si="184"/>
        <v>0</v>
      </c>
      <c r="BZ74" s="245">
        <f t="shared" ca="1" si="184"/>
        <v>0</v>
      </c>
      <c r="CA74" s="245">
        <f t="shared" ca="1" si="184"/>
        <v>0</v>
      </c>
      <c r="CB74" s="245">
        <f t="shared" ca="1" si="184"/>
        <v>0</v>
      </c>
      <c r="CC74" s="245">
        <f t="shared" ca="1" si="184"/>
        <v>0</v>
      </c>
      <c r="CD74" s="245">
        <f t="shared" ca="1" si="184"/>
        <v>0</v>
      </c>
      <c r="CE74" s="245">
        <f t="shared" ca="1" si="184"/>
        <v>0</v>
      </c>
      <c r="CF74" s="245">
        <f t="shared" ca="1" si="184"/>
        <v>0</v>
      </c>
      <c r="CG74" s="245">
        <f t="shared" ca="1" si="184"/>
        <v>0</v>
      </c>
      <c r="CH74" s="245">
        <f t="shared" ca="1" si="184"/>
        <v>0</v>
      </c>
      <c r="CI74" s="245">
        <f t="shared" ca="1" si="184"/>
        <v>0</v>
      </c>
      <c r="CJ74" s="245">
        <f t="shared" ca="1" si="184"/>
        <v>0</v>
      </c>
      <c r="CK74" s="245">
        <f t="shared" ca="1" si="184"/>
        <v>0</v>
      </c>
      <c r="CL74" s="245">
        <f t="shared" ca="1" si="184"/>
        <v>0</v>
      </c>
      <c r="CM74" s="245">
        <f t="shared" ca="1" si="184"/>
        <v>0</v>
      </c>
      <c r="CN74" s="245">
        <f t="shared" ca="1" si="184"/>
        <v>0</v>
      </c>
      <c r="CO74" s="245">
        <f t="shared" ca="1" si="184"/>
        <v>0</v>
      </c>
      <c r="CP74" s="245">
        <f t="shared" ca="1" si="184"/>
        <v>0</v>
      </c>
      <c r="CQ74" s="245">
        <f t="shared" ca="1" si="184"/>
        <v>0</v>
      </c>
      <c r="CR74" s="245">
        <f t="shared" ca="1" si="184"/>
        <v>0</v>
      </c>
      <c r="CS74" s="245">
        <f t="shared" ca="1" si="184"/>
        <v>0</v>
      </c>
      <c r="CT74" s="245">
        <f t="shared" ca="1" si="184"/>
        <v>0</v>
      </c>
      <c r="CU74" s="245">
        <f t="shared" ca="1" si="184"/>
        <v>0</v>
      </c>
      <c r="CV74" s="245">
        <f t="shared" si="184"/>
        <v>0</v>
      </c>
      <c r="CW74" s="245">
        <f t="shared" si="184"/>
        <v>0</v>
      </c>
    </row>
    <row r="75" spans="1:101" s="84" customFormat="1" ht="12.75" customHeight="1" outlineLevel="1" x14ac:dyDescent="0.2">
      <c r="A75" s="18"/>
      <c r="B75" s="18"/>
      <c r="C75" s="87"/>
      <c r="D75" s="53"/>
      <c r="E75" s="53"/>
      <c r="G75" s="245"/>
      <c r="H75" s="245"/>
      <c r="I75" s="245"/>
      <c r="J75" s="245"/>
      <c r="K75" s="245"/>
      <c r="L75" s="247"/>
      <c r="M75" s="245"/>
      <c r="N75" s="245"/>
      <c r="O75" s="245"/>
      <c r="P75" s="245">
        <f t="shared" si="144"/>
        <v>0</v>
      </c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>
        <f t="shared" si="167"/>
        <v>0</v>
      </c>
      <c r="AJ75" s="263"/>
      <c r="AK75" s="263"/>
      <c r="AL75" s="263"/>
      <c r="AM75" s="263"/>
      <c r="AN75" s="263"/>
      <c r="AO75" s="263"/>
      <c r="AP75" s="263"/>
      <c r="AQ75" s="263"/>
      <c r="AR75" s="263"/>
      <c r="AS75" s="263"/>
      <c r="AT75" s="263"/>
      <c r="AU75" s="263"/>
      <c r="AV75" s="263"/>
      <c r="AW75" s="263"/>
      <c r="AX75" s="263"/>
      <c r="AY75" s="263">
        <f t="shared" si="155"/>
        <v>0</v>
      </c>
      <c r="BA75" s="277"/>
      <c r="BB75" s="277"/>
      <c r="BC75" s="277">
        <f t="shared" si="168"/>
        <v>0</v>
      </c>
      <c r="BE75" s="55">
        <f>P75+AH75+AY75+BC75</f>
        <v>0</v>
      </c>
      <c r="BF75" s="55"/>
      <c r="BG75" s="153"/>
      <c r="BH75" s="542"/>
      <c r="BI75" s="542"/>
      <c r="BJ75" s="542"/>
      <c r="BK75" s="542"/>
      <c r="BL75" s="542"/>
      <c r="BM75" s="542"/>
      <c r="BN75" s="542"/>
      <c r="BO75" s="542"/>
      <c r="BP75" s="542"/>
      <c r="BQ75" s="542"/>
      <c r="BR75" s="542"/>
      <c r="BS75" s="542"/>
      <c r="BT75" s="542"/>
      <c r="BU75" s="542"/>
      <c r="BV75" s="542"/>
      <c r="BW75" s="542"/>
      <c r="BX75" s="542"/>
      <c r="BY75" s="542"/>
      <c r="BZ75" s="542"/>
      <c r="CA75" s="542"/>
      <c r="CB75" s="542"/>
      <c r="CC75" s="542"/>
      <c r="CD75" s="542"/>
      <c r="CE75" s="542"/>
      <c r="CF75" s="542"/>
      <c r="CG75" s="542"/>
      <c r="CH75" s="542"/>
      <c r="CI75" s="542"/>
      <c r="CJ75" s="542"/>
      <c r="CK75" s="542"/>
      <c r="CL75" s="542"/>
      <c r="CM75" s="542"/>
      <c r="CN75" s="542"/>
      <c r="CO75" s="542"/>
      <c r="CP75" s="542"/>
      <c r="CQ75" s="542"/>
      <c r="CR75" s="542"/>
      <c r="CS75" s="542"/>
      <c r="CT75" s="542"/>
      <c r="CU75" s="542"/>
      <c r="CW75" s="151">
        <f t="shared" ref="CW75:CW85" si="185">SUM(BH75:CU75)</f>
        <v>0</v>
      </c>
    </row>
    <row r="76" spans="1:101" s="550" customFormat="1" ht="12.75" customHeight="1" outlineLevel="1" x14ac:dyDescent="0.2">
      <c r="C76" s="566" t="s">
        <v>859</v>
      </c>
      <c r="D76" s="567" t="s">
        <v>817</v>
      </c>
      <c r="E76" s="567"/>
      <c r="G76" s="333"/>
      <c r="H76" s="333"/>
      <c r="I76" s="333"/>
      <c r="J76" s="333"/>
      <c r="K76" s="333"/>
      <c r="L76" s="334"/>
      <c r="M76" s="333"/>
      <c r="N76" s="333"/>
      <c r="O76" s="333"/>
      <c r="P76" s="333">
        <f t="shared" si="144"/>
        <v>0</v>
      </c>
      <c r="R76" s="335"/>
      <c r="S76" s="335"/>
      <c r="T76" s="335">
        <f ca="1">(T$28+T$66+T$74)</f>
        <v>-1.5203815348896348</v>
      </c>
      <c r="U76" s="335">
        <f ca="1">(U$28+U$66+U$74)</f>
        <v>-303.91749505847918</v>
      </c>
      <c r="V76" s="335">
        <f ca="1">(V$28+V$66+V$74)</f>
        <v>-426.21576409221666</v>
      </c>
      <c r="W76" s="335">
        <f ca="1">(W$28+W$66+W$74)</f>
        <v>-207.89751104902211</v>
      </c>
      <c r="X76" s="335"/>
      <c r="Y76" s="335"/>
      <c r="Z76" s="335"/>
      <c r="AA76" s="335"/>
      <c r="AB76" s="335">
        <f t="shared" ref="AB76:AG76" ca="1" si="186">(AB$28+AB$66+AB$74)</f>
        <v>0</v>
      </c>
      <c r="AC76" s="335">
        <f t="shared" ca="1" si="186"/>
        <v>1662.4488171111111</v>
      </c>
      <c r="AD76" s="335">
        <f t="shared" ca="1" si="186"/>
        <v>10.777293333333335</v>
      </c>
      <c r="AE76" s="335">
        <f t="shared" ca="1" si="186"/>
        <v>32.417971204444449</v>
      </c>
      <c r="AF76" s="335">
        <f t="shared" ca="1" si="186"/>
        <v>8.9312228459752419</v>
      </c>
      <c r="AG76" s="335">
        <f t="shared" ca="1" si="186"/>
        <v>12.32445930299996</v>
      </c>
      <c r="AH76" s="335">
        <f t="shared" ca="1" si="167"/>
        <v>787.3486120632565</v>
      </c>
      <c r="AJ76" s="336"/>
      <c r="AK76" s="336"/>
      <c r="AL76" s="336"/>
      <c r="AM76" s="336"/>
      <c r="AN76" s="336"/>
      <c r="AO76" s="336"/>
      <c r="AP76" s="336"/>
      <c r="AQ76" s="336"/>
      <c r="AR76" s="336"/>
      <c r="AS76" s="336"/>
      <c r="AT76" s="336"/>
      <c r="AU76" s="336"/>
      <c r="AV76" s="336"/>
      <c r="AW76" s="336"/>
      <c r="AX76" s="336">
        <f ca="1">AX28+AX36</f>
        <v>-57.597242020086313</v>
      </c>
      <c r="AY76" s="336">
        <f t="shared" ca="1" si="155"/>
        <v>-57.597242020086313</v>
      </c>
      <c r="BA76" s="337"/>
      <c r="BB76" s="337"/>
      <c r="BC76" s="337">
        <f t="shared" si="168"/>
        <v>0</v>
      </c>
      <c r="BE76" s="568"/>
      <c r="BF76" s="568"/>
      <c r="BG76" s="569"/>
      <c r="BH76" s="570"/>
      <c r="BI76" s="570"/>
      <c r="BJ76" s="570"/>
      <c r="BK76" s="570"/>
      <c r="BL76" s="570"/>
      <c r="BM76" s="570"/>
      <c r="BN76" s="570"/>
      <c r="BO76" s="570"/>
      <c r="BP76" s="570"/>
      <c r="BQ76" s="570"/>
      <c r="BR76" s="570"/>
      <c r="BS76" s="570"/>
      <c r="BT76" s="570"/>
      <c r="BU76" s="570"/>
      <c r="BV76" s="570"/>
      <c r="BW76" s="570"/>
      <c r="BX76" s="570"/>
      <c r="BY76" s="570"/>
      <c r="BZ76" s="570"/>
      <c r="CA76" s="570"/>
      <c r="CB76" s="570"/>
      <c r="CC76" s="570"/>
      <c r="CD76" s="570"/>
      <c r="CE76" s="570"/>
      <c r="CF76" s="570"/>
      <c r="CG76" s="570"/>
      <c r="CH76" s="570"/>
      <c r="CI76" s="570"/>
      <c r="CJ76" s="570"/>
      <c r="CK76" s="570"/>
      <c r="CL76" s="570"/>
      <c r="CM76" s="570"/>
      <c r="CN76" s="570"/>
      <c r="CO76" s="570"/>
      <c r="CP76" s="570"/>
      <c r="CQ76" s="570"/>
      <c r="CR76" s="570"/>
      <c r="CS76" s="570"/>
      <c r="CT76" s="570"/>
      <c r="CU76" s="570"/>
      <c r="CW76" s="569">
        <f t="shared" si="185"/>
        <v>0</v>
      </c>
    </row>
    <row r="77" spans="1:101" s="882" customFormat="1" ht="12.75" customHeight="1" outlineLevel="1" x14ac:dyDescent="0.2">
      <c r="A77" s="879"/>
      <c r="B77" s="879"/>
      <c r="C77" s="880" t="s">
        <v>400</v>
      </c>
      <c r="D77" s="881" t="str">
        <f>INDEX(Modules[Module], MATCH($C77, Modules[Code], 0))</f>
        <v>Types of fuel from Biomass</v>
      </c>
      <c r="E77" s="881"/>
      <c r="G77" s="326">
        <f t="shared" ref="G77:O79" ca="1" si="187">IFERROR(INDEX(INDIRECT($C77&amp;".Outputs["&amp;this.Year&amp;"]"), MATCH(G$5, INDIRECT($C77&amp;".Outputs[Vector]"), 0)), 0)</f>
        <v>0</v>
      </c>
      <c r="H77" s="326">
        <f t="shared" ca="1" si="187"/>
        <v>0</v>
      </c>
      <c r="I77" s="326">
        <f t="shared" ca="1" si="187"/>
        <v>0</v>
      </c>
      <c r="J77" s="326">
        <f t="shared" ca="1" si="187"/>
        <v>0</v>
      </c>
      <c r="K77" s="326">
        <f t="shared" ca="1" si="187"/>
        <v>0</v>
      </c>
      <c r="L77" s="326">
        <f t="shared" ca="1" si="187"/>
        <v>0</v>
      </c>
      <c r="M77" s="326">
        <f t="shared" ca="1" si="187"/>
        <v>0</v>
      </c>
      <c r="N77" s="326">
        <f t="shared" ca="1" si="187"/>
        <v>0</v>
      </c>
      <c r="O77" s="326">
        <f t="shared" ca="1" si="187"/>
        <v>0</v>
      </c>
      <c r="P77" s="326">
        <f t="shared" ca="1" si="144"/>
        <v>0</v>
      </c>
      <c r="R77" s="327">
        <f t="shared" ref="R77:AG79" ca="1" si="188">IFERROR(INDEX(INDIRECT($C77&amp;".Outputs["&amp;this.Year&amp;"]"), MATCH(R$5, INDIRECT($C77&amp;".Outputs[Vector]"), 0)), 0)</f>
        <v>0</v>
      </c>
      <c r="S77" s="327">
        <f t="shared" ca="1" si="188"/>
        <v>0</v>
      </c>
      <c r="T77" s="327">
        <f t="shared" ca="1" si="188"/>
        <v>0</v>
      </c>
      <c r="U77" s="327">
        <f t="shared" ca="1" si="188"/>
        <v>2.6727687466666672</v>
      </c>
      <c r="V77" s="327">
        <f t="shared" ca="1" si="188"/>
        <v>376.72040258292134</v>
      </c>
      <c r="W77" s="327">
        <f t="shared" ca="1" si="188"/>
        <v>1083.4180256737777</v>
      </c>
      <c r="X77" s="327">
        <f t="shared" ca="1" si="188"/>
        <v>0</v>
      </c>
      <c r="Y77" s="327">
        <f t="shared" ca="1" si="188"/>
        <v>0</v>
      </c>
      <c r="Z77" s="327">
        <f t="shared" ca="1" si="188"/>
        <v>0</v>
      </c>
      <c r="AA77" s="327">
        <f t="shared" ca="1" si="188"/>
        <v>0</v>
      </c>
      <c r="AB77" s="327">
        <f t="shared" ca="1" si="188"/>
        <v>0</v>
      </c>
      <c r="AC77" s="327">
        <f t="shared" ca="1" si="188"/>
        <v>-1662.4488171111111</v>
      </c>
      <c r="AD77" s="327">
        <f t="shared" ca="1" si="188"/>
        <v>-10.777293333333335</v>
      </c>
      <c r="AE77" s="327">
        <f t="shared" ca="1" si="188"/>
        <v>-32.417971204444449</v>
      </c>
      <c r="AF77" s="327">
        <f t="shared" ca="1" si="188"/>
        <v>-8.9312228459752419</v>
      </c>
      <c r="AG77" s="327">
        <f t="shared" ca="1" si="188"/>
        <v>-12.32445930299996</v>
      </c>
      <c r="AH77" s="328">
        <f t="shared" ca="1" si="167"/>
        <v>-264.08856679449832</v>
      </c>
      <c r="AJ77" s="329">
        <f t="shared" ref="AJ77:AX79" ca="1" si="189">IFERROR(INDEX(INDIRECT($C77&amp;".Outputs["&amp;this.Year&amp;"]"), MATCH(AJ$5, INDIRECT($C77&amp;".Outputs[Vector]"), 0)), 0)</f>
        <v>0</v>
      </c>
      <c r="AK77" s="329">
        <f t="shared" ca="1" si="189"/>
        <v>0</v>
      </c>
      <c r="AL77" s="329">
        <f t="shared" ca="1" si="189"/>
        <v>0</v>
      </c>
      <c r="AM77" s="329">
        <f t="shared" ca="1" si="189"/>
        <v>0</v>
      </c>
      <c r="AN77" s="329">
        <f t="shared" ca="1" si="189"/>
        <v>0</v>
      </c>
      <c r="AO77" s="329">
        <f t="shared" ca="1" si="189"/>
        <v>0</v>
      </c>
      <c r="AP77" s="329">
        <f t="shared" ca="1" si="189"/>
        <v>0</v>
      </c>
      <c r="AQ77" s="329">
        <f t="shared" ca="1" si="189"/>
        <v>0</v>
      </c>
      <c r="AR77" s="329">
        <f t="shared" ca="1" si="189"/>
        <v>0</v>
      </c>
      <c r="AS77" s="329">
        <f t="shared" ca="1" si="189"/>
        <v>0</v>
      </c>
      <c r="AT77" s="329">
        <f t="shared" ca="1" si="189"/>
        <v>0</v>
      </c>
      <c r="AU77" s="329">
        <f t="shared" ca="1" si="189"/>
        <v>0</v>
      </c>
      <c r="AV77" s="329">
        <f t="shared" ca="1" si="189"/>
        <v>0</v>
      </c>
      <c r="AW77" s="329">
        <f t="shared" ca="1" si="189"/>
        <v>0</v>
      </c>
      <c r="AX77" s="329">
        <f t="shared" ca="1" si="189"/>
        <v>0</v>
      </c>
      <c r="AY77" s="330">
        <f t="shared" ca="1" si="155"/>
        <v>0</v>
      </c>
      <c r="BA77" s="331">
        <f ca="1">IFERROR(INDEX(INDIRECT($C77&amp;".Outputs["&amp;this.Year&amp;"]"), MATCH(BA$5, INDIRECT($C77&amp;".Outputs[Vector]"), 0)), 0)</f>
        <v>264.08856679449832</v>
      </c>
      <c r="BB77" s="331">
        <f ca="1">IFERROR(INDEX(INDIRECT($C77&amp;".Outputs["&amp;this.Year&amp;"]"), MATCH(BB$5, INDIRECT($C77&amp;".Outputs[Vector]"), 0)), 0)</f>
        <v>0</v>
      </c>
      <c r="BC77" s="332">
        <f t="shared" ca="1" si="168"/>
        <v>264.08856679449832</v>
      </c>
      <c r="BE77" s="883">
        <f ca="1">P77+AH77+AY77+BC77</f>
        <v>0</v>
      </c>
      <c r="BF77" s="883"/>
      <c r="BG77" s="884"/>
      <c r="BH77" s="885">
        <f t="shared" ref="BH77:CU79" ca="1" si="190">IFERROR(SUMIFS(INDIRECT($C77&amp;".Emissions["&amp;this.Year&amp;"]"), INDIRECT($C77&amp;".Emissions[GHG]"), BH$6, INDIRECT($C77&amp;".Emissions[IPCC Sector]"), BH$5),0)</f>
        <v>0</v>
      </c>
      <c r="BI77" s="886">
        <f t="shared" ca="1" si="190"/>
        <v>0</v>
      </c>
      <c r="BJ77" s="886">
        <f t="shared" ca="1" si="190"/>
        <v>0</v>
      </c>
      <c r="BK77" s="886">
        <f t="shared" ca="1" si="190"/>
        <v>0</v>
      </c>
      <c r="BL77" s="886">
        <f t="shared" ca="1" si="190"/>
        <v>0</v>
      </c>
      <c r="BM77" s="886">
        <f t="shared" ca="1" si="190"/>
        <v>0</v>
      </c>
      <c r="BN77" s="886">
        <f t="shared" ca="1" si="190"/>
        <v>0</v>
      </c>
      <c r="BO77" s="886">
        <f t="shared" ca="1" si="190"/>
        <v>0</v>
      </c>
      <c r="BP77" s="886">
        <f t="shared" ca="1" si="190"/>
        <v>0</v>
      </c>
      <c r="BQ77" s="886">
        <f t="shared" ca="1" si="190"/>
        <v>0</v>
      </c>
      <c r="BR77" s="886">
        <f t="shared" ca="1" si="190"/>
        <v>0</v>
      </c>
      <c r="BS77" s="886">
        <f t="shared" ca="1" si="190"/>
        <v>0</v>
      </c>
      <c r="BT77" s="886">
        <f t="shared" ca="1" si="190"/>
        <v>0</v>
      </c>
      <c r="BU77" s="886">
        <f t="shared" ca="1" si="190"/>
        <v>0</v>
      </c>
      <c r="BV77" s="886">
        <f t="shared" ca="1" si="190"/>
        <v>0</v>
      </c>
      <c r="BW77" s="886">
        <f t="shared" ca="1" si="190"/>
        <v>0</v>
      </c>
      <c r="BX77" s="886">
        <f t="shared" ca="1" si="190"/>
        <v>0</v>
      </c>
      <c r="BY77" s="886">
        <f t="shared" ca="1" si="190"/>
        <v>0</v>
      </c>
      <c r="BZ77" s="886">
        <f t="shared" ca="1" si="190"/>
        <v>0</v>
      </c>
      <c r="CA77" s="886">
        <f t="shared" ca="1" si="190"/>
        <v>0</v>
      </c>
      <c r="CB77" s="886">
        <f t="shared" ca="1" si="190"/>
        <v>0</v>
      </c>
      <c r="CC77" s="886">
        <f t="shared" ca="1" si="190"/>
        <v>0</v>
      </c>
      <c r="CD77" s="886">
        <f t="shared" ca="1" si="190"/>
        <v>0</v>
      </c>
      <c r="CE77" s="886">
        <f t="shared" ca="1" si="190"/>
        <v>0</v>
      </c>
      <c r="CF77" s="886">
        <f t="shared" ca="1" si="190"/>
        <v>0</v>
      </c>
      <c r="CG77" s="886">
        <f t="shared" ca="1" si="190"/>
        <v>0</v>
      </c>
      <c r="CH77" s="886">
        <f t="shared" ca="1" si="190"/>
        <v>0</v>
      </c>
      <c r="CI77" s="886">
        <f t="shared" ca="1" si="190"/>
        <v>0</v>
      </c>
      <c r="CJ77" s="886">
        <f t="shared" ca="1" si="190"/>
        <v>0</v>
      </c>
      <c r="CK77" s="886">
        <f t="shared" ca="1" si="190"/>
        <v>0</v>
      </c>
      <c r="CL77" s="886">
        <f t="shared" ca="1" si="190"/>
        <v>0</v>
      </c>
      <c r="CM77" s="886">
        <f t="shared" ca="1" si="190"/>
        <v>0</v>
      </c>
      <c r="CN77" s="886">
        <f t="shared" ca="1" si="190"/>
        <v>-69.984746261924187</v>
      </c>
      <c r="CO77" s="886">
        <f t="shared" ca="1" si="190"/>
        <v>0</v>
      </c>
      <c r="CP77" s="886">
        <f t="shared" ca="1" si="190"/>
        <v>0</v>
      </c>
      <c r="CQ77" s="886">
        <f t="shared" ca="1" si="190"/>
        <v>0</v>
      </c>
      <c r="CR77" s="886">
        <f t="shared" ca="1" si="190"/>
        <v>0</v>
      </c>
      <c r="CS77" s="886">
        <f t="shared" ca="1" si="190"/>
        <v>0</v>
      </c>
      <c r="CT77" s="886">
        <f t="shared" ca="1" si="190"/>
        <v>0</v>
      </c>
      <c r="CU77" s="886">
        <f t="shared" ca="1" si="190"/>
        <v>0</v>
      </c>
      <c r="CW77" s="887">
        <f t="shared" ca="1" si="185"/>
        <v>-69.984746261924187</v>
      </c>
    </row>
    <row r="78" spans="1:101" s="550" customFormat="1" ht="12.75" customHeight="1" outlineLevel="1" x14ac:dyDescent="0.2">
      <c r="C78" s="566" t="s">
        <v>860</v>
      </c>
      <c r="D78" s="567" t="s">
        <v>817</v>
      </c>
      <c r="E78" s="567"/>
      <c r="G78" s="333"/>
      <c r="H78" s="333"/>
      <c r="I78" s="333"/>
      <c r="J78" s="333"/>
      <c r="K78" s="333"/>
      <c r="L78" s="334"/>
      <c r="M78" s="333"/>
      <c r="N78" s="333"/>
      <c r="O78" s="333"/>
      <c r="P78" s="333">
        <f t="shared" si="144"/>
        <v>0</v>
      </c>
      <c r="R78" s="335"/>
      <c r="S78" s="335"/>
      <c r="T78" s="335">
        <f ca="1">T$76+T$77</f>
        <v>-1.5203815348896348</v>
      </c>
      <c r="U78" s="335">
        <f ca="1">U$76+U$77</f>
        <v>-301.24472631181249</v>
      </c>
      <c r="V78" s="335">
        <f ca="1">V$76+V$77</f>
        <v>-49.495361509295321</v>
      </c>
      <c r="W78" s="335">
        <f ca="1">W$76+W$77</f>
        <v>875.52051462475561</v>
      </c>
      <c r="X78" s="335"/>
      <c r="Y78" s="335"/>
      <c r="Z78" s="335"/>
      <c r="AA78" s="335"/>
      <c r="AB78" s="335">
        <f t="shared" ref="AB78:AG78" ca="1" si="191">AB$76+AB$77</f>
        <v>0</v>
      </c>
      <c r="AC78" s="335">
        <f t="shared" ca="1" si="191"/>
        <v>0</v>
      </c>
      <c r="AD78" s="335">
        <f t="shared" ca="1" si="191"/>
        <v>0</v>
      </c>
      <c r="AE78" s="335">
        <f t="shared" ca="1" si="191"/>
        <v>0</v>
      </c>
      <c r="AF78" s="335">
        <f t="shared" ca="1" si="191"/>
        <v>0</v>
      </c>
      <c r="AG78" s="335">
        <f t="shared" ca="1" si="191"/>
        <v>0</v>
      </c>
      <c r="AH78" s="335">
        <f t="shared" ca="1" si="167"/>
        <v>523.26004526875818</v>
      </c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  <c r="AT78" s="336"/>
      <c r="AU78" s="336"/>
      <c r="AV78" s="336"/>
      <c r="AW78" s="336"/>
      <c r="AX78" s="336">
        <f ca="1">AX30+AX34+AX38</f>
        <v>-26.823463173419647</v>
      </c>
      <c r="AY78" s="336">
        <f t="shared" ca="1" si="155"/>
        <v>-26.823463173419647</v>
      </c>
      <c r="BA78" s="337"/>
      <c r="BB78" s="337"/>
      <c r="BC78" s="337">
        <f t="shared" si="168"/>
        <v>0</v>
      </c>
      <c r="BE78" s="568"/>
      <c r="BF78" s="568"/>
      <c r="BG78" s="569"/>
      <c r="BH78" s="570"/>
      <c r="BI78" s="570"/>
      <c r="BJ78" s="570"/>
      <c r="BK78" s="570"/>
      <c r="BL78" s="570"/>
      <c r="BM78" s="570"/>
      <c r="BN78" s="570"/>
      <c r="BO78" s="570"/>
      <c r="BP78" s="570"/>
      <c r="BQ78" s="570"/>
      <c r="BR78" s="570"/>
      <c r="BS78" s="570"/>
      <c r="BT78" s="570"/>
      <c r="BU78" s="570"/>
      <c r="BV78" s="570"/>
      <c r="BW78" s="570"/>
      <c r="BX78" s="570"/>
      <c r="BY78" s="570"/>
      <c r="BZ78" s="570"/>
      <c r="CA78" s="570"/>
      <c r="CB78" s="570"/>
      <c r="CC78" s="570"/>
      <c r="CD78" s="570"/>
      <c r="CE78" s="570"/>
      <c r="CF78" s="570"/>
      <c r="CG78" s="570"/>
      <c r="CH78" s="570"/>
      <c r="CI78" s="570"/>
      <c r="CJ78" s="570"/>
      <c r="CK78" s="570"/>
      <c r="CL78" s="570"/>
      <c r="CM78" s="570"/>
      <c r="CN78" s="570"/>
      <c r="CO78" s="570"/>
      <c r="CP78" s="570"/>
      <c r="CQ78" s="570"/>
      <c r="CR78" s="570"/>
      <c r="CS78" s="570"/>
      <c r="CT78" s="570"/>
      <c r="CU78" s="570"/>
      <c r="CW78" s="569">
        <f>SUM(BH78:CU78)</f>
        <v>0</v>
      </c>
    </row>
    <row r="79" spans="1:101" s="2685" customFormat="1" ht="15" customHeight="1" outlineLevel="1" x14ac:dyDescent="0.2">
      <c r="C79" s="319" t="s">
        <v>838</v>
      </c>
      <c r="D79" s="881" t="str">
        <f>INDEX(Modules[Module], MATCH($C79, Modules[Code], 0))</f>
        <v>Bioenergy imports</v>
      </c>
      <c r="E79" s="163"/>
      <c r="G79" s="326">
        <f t="shared" ca="1" si="187"/>
        <v>0</v>
      </c>
      <c r="H79" s="326">
        <f t="shared" ca="1" si="187"/>
        <v>0</v>
      </c>
      <c r="I79" s="326">
        <f t="shared" ca="1" si="187"/>
        <v>0</v>
      </c>
      <c r="J79" s="326">
        <f t="shared" ca="1" si="187"/>
        <v>0</v>
      </c>
      <c r="K79" s="326">
        <f t="shared" ca="1" si="187"/>
        <v>0</v>
      </c>
      <c r="L79" s="326">
        <f t="shared" ca="1" si="187"/>
        <v>0</v>
      </c>
      <c r="M79" s="326">
        <f t="shared" ca="1" si="187"/>
        <v>0</v>
      </c>
      <c r="N79" s="326">
        <f t="shared" ca="1" si="187"/>
        <v>0</v>
      </c>
      <c r="O79" s="326">
        <f t="shared" ca="1" si="187"/>
        <v>0</v>
      </c>
      <c r="P79" s="326">
        <f t="shared" ref="P79" ca="1" si="192">SUM(G79:O79)</f>
        <v>0</v>
      </c>
      <c r="Q79" s="882"/>
      <c r="R79" s="327">
        <f t="shared" ca="1" si="188"/>
        <v>0</v>
      </c>
      <c r="S79" s="327">
        <f t="shared" ca="1" si="188"/>
        <v>0</v>
      </c>
      <c r="T79" s="327">
        <f t="shared" ca="1" si="188"/>
        <v>0</v>
      </c>
      <c r="U79" s="327">
        <f t="shared" ca="1" si="188"/>
        <v>0</v>
      </c>
      <c r="V79" s="327">
        <f t="shared" ca="1" si="188"/>
        <v>0</v>
      </c>
      <c r="W79" s="327">
        <f t="shared" ca="1" si="188"/>
        <v>-875.52051462475561</v>
      </c>
      <c r="X79" s="327">
        <f t="shared" ca="1" si="188"/>
        <v>0</v>
      </c>
      <c r="Y79" s="327">
        <f t="shared" ca="1" si="188"/>
        <v>0</v>
      </c>
      <c r="Z79" s="327">
        <f t="shared" ca="1" si="188"/>
        <v>0</v>
      </c>
      <c r="AA79" s="327">
        <f t="shared" ca="1" si="188"/>
        <v>0</v>
      </c>
      <c r="AB79" s="327">
        <f t="shared" ca="1" si="188"/>
        <v>0</v>
      </c>
      <c r="AC79" s="327">
        <f t="shared" ca="1" si="188"/>
        <v>0</v>
      </c>
      <c r="AD79" s="327">
        <f t="shared" ca="1" si="188"/>
        <v>0</v>
      </c>
      <c r="AE79" s="327">
        <f t="shared" ca="1" si="188"/>
        <v>0</v>
      </c>
      <c r="AF79" s="327">
        <f t="shared" ca="1" si="188"/>
        <v>0</v>
      </c>
      <c r="AG79" s="327">
        <f t="shared" ca="1" si="188"/>
        <v>0</v>
      </c>
      <c r="AH79" s="328">
        <f t="shared" ref="AH79" ca="1" si="193">SUM(R79:AG79)</f>
        <v>-875.52051462475561</v>
      </c>
      <c r="AI79" s="882"/>
      <c r="AJ79" s="329">
        <f t="shared" ca="1" si="189"/>
        <v>0</v>
      </c>
      <c r="AK79" s="329">
        <f t="shared" ca="1" si="189"/>
        <v>0</v>
      </c>
      <c r="AL79" s="329">
        <f t="shared" ca="1" si="189"/>
        <v>0</v>
      </c>
      <c r="AM79" s="329">
        <f t="shared" ca="1" si="189"/>
        <v>875.52051462475561</v>
      </c>
      <c r="AN79" s="329">
        <f t="shared" ca="1" si="189"/>
        <v>0</v>
      </c>
      <c r="AO79" s="329">
        <f t="shared" ca="1" si="189"/>
        <v>0</v>
      </c>
      <c r="AP79" s="329">
        <f t="shared" ca="1" si="189"/>
        <v>0</v>
      </c>
      <c r="AQ79" s="329">
        <f t="shared" ca="1" si="189"/>
        <v>0</v>
      </c>
      <c r="AR79" s="329">
        <f t="shared" ca="1" si="189"/>
        <v>0</v>
      </c>
      <c r="AS79" s="329">
        <f t="shared" ca="1" si="189"/>
        <v>0</v>
      </c>
      <c r="AT79" s="329">
        <f t="shared" ca="1" si="189"/>
        <v>0</v>
      </c>
      <c r="AU79" s="329">
        <f t="shared" ca="1" si="189"/>
        <v>0</v>
      </c>
      <c r="AV79" s="329">
        <f t="shared" ca="1" si="189"/>
        <v>0</v>
      </c>
      <c r="AW79" s="329">
        <f t="shared" ca="1" si="189"/>
        <v>0</v>
      </c>
      <c r="AX79" s="329">
        <f t="shared" ca="1" si="189"/>
        <v>0</v>
      </c>
      <c r="AY79" s="330">
        <f t="shared" ref="AY79" ca="1" si="194">SUM(AJ79:AX79)</f>
        <v>875.52051462475561</v>
      </c>
      <c r="AZ79" s="882"/>
      <c r="BA79" s="331">
        <f ca="1">IFERROR(INDEX(INDIRECT($C79&amp;".Outputs["&amp;this.Year&amp;"]"), MATCH(BA$5, INDIRECT($C79&amp;".Outputs[Vector]"), 0)), 0)</f>
        <v>0</v>
      </c>
      <c r="BB79" s="331">
        <f ca="1">IFERROR(INDEX(INDIRECT($C79&amp;".Outputs["&amp;this.Year&amp;"]"), MATCH(BB$5, INDIRECT($C79&amp;".Outputs[Vector]"), 0)), 0)</f>
        <v>0</v>
      </c>
      <c r="BC79" s="332">
        <f t="shared" ref="BC79" ca="1" si="195">SUM(BA79:BB79)</f>
        <v>0</v>
      </c>
      <c r="BD79" s="882"/>
      <c r="BE79" s="883">
        <f ca="1">P79+AH79+AY79+BC79</f>
        <v>0</v>
      </c>
      <c r="BF79" s="883"/>
      <c r="BG79" s="884"/>
      <c r="BH79" s="885">
        <f t="shared" ca="1" si="190"/>
        <v>0</v>
      </c>
      <c r="BI79" s="886">
        <f t="shared" ca="1" si="190"/>
        <v>0</v>
      </c>
      <c r="BJ79" s="886">
        <f t="shared" ca="1" si="190"/>
        <v>0</v>
      </c>
      <c r="BK79" s="886">
        <f t="shared" ca="1" si="190"/>
        <v>0</v>
      </c>
      <c r="BL79" s="886">
        <f t="shared" ca="1" si="190"/>
        <v>0</v>
      </c>
      <c r="BM79" s="886">
        <f t="shared" ca="1" si="190"/>
        <v>0</v>
      </c>
      <c r="BN79" s="886">
        <f t="shared" ca="1" si="190"/>
        <v>0</v>
      </c>
      <c r="BO79" s="886">
        <f t="shared" ca="1" si="190"/>
        <v>0</v>
      </c>
      <c r="BP79" s="886">
        <f t="shared" ca="1" si="190"/>
        <v>0</v>
      </c>
      <c r="BQ79" s="886">
        <f t="shared" ca="1" si="190"/>
        <v>0</v>
      </c>
      <c r="BR79" s="886">
        <f t="shared" ca="1" si="190"/>
        <v>0</v>
      </c>
      <c r="BS79" s="886">
        <f t="shared" ca="1" si="190"/>
        <v>0</v>
      </c>
      <c r="BT79" s="886">
        <f t="shared" ca="1" si="190"/>
        <v>0</v>
      </c>
      <c r="BU79" s="886">
        <f t="shared" ca="1" si="190"/>
        <v>0</v>
      </c>
      <c r="BV79" s="886">
        <f t="shared" ca="1" si="190"/>
        <v>0</v>
      </c>
      <c r="BW79" s="886">
        <f t="shared" ca="1" si="190"/>
        <v>0</v>
      </c>
      <c r="BX79" s="886">
        <f t="shared" ca="1" si="190"/>
        <v>0</v>
      </c>
      <c r="BY79" s="886">
        <f t="shared" ca="1" si="190"/>
        <v>0</v>
      </c>
      <c r="BZ79" s="886">
        <f t="shared" ca="1" si="190"/>
        <v>0</v>
      </c>
      <c r="CA79" s="886">
        <f t="shared" ca="1" si="190"/>
        <v>0</v>
      </c>
      <c r="CB79" s="886">
        <f t="shared" ca="1" si="190"/>
        <v>0</v>
      </c>
      <c r="CC79" s="886">
        <f t="shared" ca="1" si="190"/>
        <v>0</v>
      </c>
      <c r="CD79" s="886">
        <f t="shared" ca="1" si="190"/>
        <v>0</v>
      </c>
      <c r="CE79" s="886">
        <f t="shared" ca="1" si="190"/>
        <v>0</v>
      </c>
      <c r="CF79" s="886">
        <f t="shared" ca="1" si="190"/>
        <v>0</v>
      </c>
      <c r="CG79" s="886">
        <f t="shared" ca="1" si="190"/>
        <v>0</v>
      </c>
      <c r="CH79" s="886">
        <f t="shared" ca="1" si="190"/>
        <v>0</v>
      </c>
      <c r="CI79" s="886">
        <f t="shared" ca="1" si="190"/>
        <v>0</v>
      </c>
      <c r="CJ79" s="886">
        <f t="shared" ca="1" si="190"/>
        <v>0</v>
      </c>
      <c r="CK79" s="886">
        <f t="shared" ca="1" si="190"/>
        <v>0</v>
      </c>
      <c r="CL79" s="886">
        <f t="shared" ca="1" si="190"/>
        <v>0</v>
      </c>
      <c r="CM79" s="886">
        <f t="shared" ca="1" si="190"/>
        <v>0</v>
      </c>
      <c r="CN79" s="886">
        <f t="shared" ca="1" si="190"/>
        <v>0</v>
      </c>
      <c r="CO79" s="886">
        <f t="shared" ca="1" si="190"/>
        <v>0</v>
      </c>
      <c r="CP79" s="886">
        <f t="shared" ca="1" si="190"/>
        <v>0</v>
      </c>
      <c r="CQ79" s="886">
        <f t="shared" ca="1" si="190"/>
        <v>0</v>
      </c>
      <c r="CR79" s="886">
        <f t="shared" ca="1" si="190"/>
        <v>0</v>
      </c>
      <c r="CS79" s="886">
        <f t="shared" ca="1" si="190"/>
        <v>0</v>
      </c>
      <c r="CT79" s="886">
        <f t="shared" ca="1" si="190"/>
        <v>0</v>
      </c>
      <c r="CU79" s="886">
        <f t="shared" ca="1" si="190"/>
        <v>0</v>
      </c>
      <c r="CV79" s="882"/>
      <c r="CW79" s="887">
        <f t="shared" ref="CW79" ca="1" si="196">SUM(BH79:CU79)</f>
        <v>0</v>
      </c>
    </row>
    <row r="80" spans="1:101" s="84" customFormat="1" ht="15" customHeight="1" x14ac:dyDescent="0.2">
      <c r="A80" s="18"/>
      <c r="B80" s="89"/>
      <c r="C80" s="85" t="s">
        <v>224</v>
      </c>
      <c r="D80" s="57" t="str">
        <f>INDEX(Workstreams[Workstream], MATCH($C80, Workstreams[Code], 0))</f>
        <v>Bioenergy</v>
      </c>
      <c r="E80" s="53"/>
      <c r="G80" s="300">
        <f ca="1">G$77+G79</f>
        <v>0</v>
      </c>
      <c r="H80" s="300">
        <f t="shared" ref="H80:O80" ca="1" si="197">H$77+H79</f>
        <v>0</v>
      </c>
      <c r="I80" s="300">
        <f t="shared" ca="1" si="197"/>
        <v>0</v>
      </c>
      <c r="J80" s="300">
        <f t="shared" ca="1" si="197"/>
        <v>0</v>
      </c>
      <c r="K80" s="300">
        <f t="shared" ca="1" si="197"/>
        <v>0</v>
      </c>
      <c r="L80" s="300">
        <f t="shared" ca="1" si="197"/>
        <v>0</v>
      </c>
      <c r="M80" s="300">
        <f t="shared" ca="1" si="197"/>
        <v>0</v>
      </c>
      <c r="N80" s="300">
        <f t="shared" ca="1" si="197"/>
        <v>0</v>
      </c>
      <c r="O80" s="300">
        <f t="shared" ca="1" si="197"/>
        <v>0</v>
      </c>
      <c r="P80" s="300">
        <f t="shared" ca="1" si="144"/>
        <v>0</v>
      </c>
      <c r="R80" s="257">
        <f ca="1">R$77+R79</f>
        <v>0</v>
      </c>
      <c r="S80" s="257">
        <f t="shared" ref="S80:AG80" ca="1" si="198">S$77+S79</f>
        <v>0</v>
      </c>
      <c r="T80" s="257">
        <f t="shared" ca="1" si="198"/>
        <v>0</v>
      </c>
      <c r="U80" s="257">
        <f t="shared" ca="1" si="198"/>
        <v>2.6727687466666672</v>
      </c>
      <c r="V80" s="257">
        <f t="shared" ca="1" si="198"/>
        <v>376.72040258292134</v>
      </c>
      <c r="W80" s="257">
        <f t="shared" ca="1" si="198"/>
        <v>207.89751104902211</v>
      </c>
      <c r="X80" s="257">
        <f t="shared" ca="1" si="198"/>
        <v>0</v>
      </c>
      <c r="Y80" s="257">
        <f t="shared" ca="1" si="198"/>
        <v>0</v>
      </c>
      <c r="Z80" s="257">
        <f t="shared" ca="1" si="198"/>
        <v>0</v>
      </c>
      <c r="AA80" s="257">
        <f t="shared" ca="1" si="198"/>
        <v>0</v>
      </c>
      <c r="AB80" s="257">
        <f t="shared" ca="1" si="198"/>
        <v>0</v>
      </c>
      <c r="AC80" s="257">
        <f t="shared" ca="1" si="198"/>
        <v>-1662.4488171111111</v>
      </c>
      <c r="AD80" s="257">
        <f t="shared" ca="1" si="198"/>
        <v>-10.777293333333335</v>
      </c>
      <c r="AE80" s="257">
        <f t="shared" ca="1" si="198"/>
        <v>-32.417971204444449</v>
      </c>
      <c r="AF80" s="257">
        <f t="shared" ca="1" si="198"/>
        <v>-8.9312228459752419</v>
      </c>
      <c r="AG80" s="257">
        <f t="shared" ca="1" si="198"/>
        <v>-12.32445930299996</v>
      </c>
      <c r="AH80" s="257">
        <f t="shared" ca="1" si="167"/>
        <v>-1139.6090814192539</v>
      </c>
      <c r="AJ80" s="263">
        <f ca="1">AJ$77+AJ79</f>
        <v>0</v>
      </c>
      <c r="AK80" s="263">
        <f t="shared" ref="AK80:AX80" ca="1" si="199">AK$77+AK79</f>
        <v>0</v>
      </c>
      <c r="AL80" s="263">
        <f t="shared" ca="1" si="199"/>
        <v>0</v>
      </c>
      <c r="AM80" s="263">
        <f t="shared" ca="1" si="199"/>
        <v>875.52051462475561</v>
      </c>
      <c r="AN80" s="263">
        <f t="shared" ca="1" si="199"/>
        <v>0</v>
      </c>
      <c r="AO80" s="263">
        <f t="shared" ca="1" si="199"/>
        <v>0</v>
      </c>
      <c r="AP80" s="263">
        <f t="shared" ca="1" si="199"/>
        <v>0</v>
      </c>
      <c r="AQ80" s="263">
        <f t="shared" ca="1" si="199"/>
        <v>0</v>
      </c>
      <c r="AR80" s="263">
        <f t="shared" ca="1" si="199"/>
        <v>0</v>
      </c>
      <c r="AS80" s="263">
        <f t="shared" ca="1" si="199"/>
        <v>0</v>
      </c>
      <c r="AT80" s="263">
        <f t="shared" ca="1" si="199"/>
        <v>0</v>
      </c>
      <c r="AU80" s="263">
        <f t="shared" ca="1" si="199"/>
        <v>0</v>
      </c>
      <c r="AV80" s="263">
        <f t="shared" ca="1" si="199"/>
        <v>0</v>
      </c>
      <c r="AW80" s="263">
        <f t="shared" ca="1" si="199"/>
        <v>0</v>
      </c>
      <c r="AX80" s="263">
        <f t="shared" ca="1" si="199"/>
        <v>0</v>
      </c>
      <c r="AY80" s="263">
        <f t="shared" ca="1" si="155"/>
        <v>875.52051462475561</v>
      </c>
      <c r="BA80" s="277">
        <f ca="1">BA$77+BA79</f>
        <v>264.08856679449832</v>
      </c>
      <c r="BB80" s="277">
        <f ca="1">BB$77+BB79</f>
        <v>0</v>
      </c>
      <c r="BC80" s="277">
        <f t="shared" ca="1" si="168"/>
        <v>264.08856679449832</v>
      </c>
      <c r="BE80" s="55">
        <f ca="1">P80+AH80+AY80+BC80</f>
        <v>0</v>
      </c>
      <c r="BF80" s="55"/>
      <c r="BG80" s="153"/>
      <c r="BH80" s="542">
        <f ca="1">BH$77+BH79</f>
        <v>0</v>
      </c>
      <c r="BI80" s="542">
        <f t="shared" ref="BI80:CU80" ca="1" si="200">BI$77+BI79</f>
        <v>0</v>
      </c>
      <c r="BJ80" s="542">
        <f t="shared" ca="1" si="200"/>
        <v>0</v>
      </c>
      <c r="BK80" s="542">
        <f t="shared" ca="1" si="200"/>
        <v>0</v>
      </c>
      <c r="BL80" s="542">
        <f t="shared" ca="1" si="200"/>
        <v>0</v>
      </c>
      <c r="BM80" s="542">
        <f t="shared" ca="1" si="200"/>
        <v>0</v>
      </c>
      <c r="BN80" s="542">
        <f t="shared" ca="1" si="200"/>
        <v>0</v>
      </c>
      <c r="BO80" s="542">
        <f t="shared" ca="1" si="200"/>
        <v>0</v>
      </c>
      <c r="BP80" s="542">
        <f t="shared" ca="1" si="200"/>
        <v>0</v>
      </c>
      <c r="BQ80" s="542">
        <f t="shared" ca="1" si="200"/>
        <v>0</v>
      </c>
      <c r="BR80" s="542">
        <f t="shared" ca="1" si="200"/>
        <v>0</v>
      </c>
      <c r="BS80" s="542">
        <f t="shared" ca="1" si="200"/>
        <v>0</v>
      </c>
      <c r="BT80" s="542">
        <f t="shared" ca="1" si="200"/>
        <v>0</v>
      </c>
      <c r="BU80" s="542">
        <f t="shared" ca="1" si="200"/>
        <v>0</v>
      </c>
      <c r="BV80" s="542">
        <f t="shared" ca="1" si="200"/>
        <v>0</v>
      </c>
      <c r="BW80" s="542">
        <f t="shared" ca="1" si="200"/>
        <v>0</v>
      </c>
      <c r="BX80" s="542">
        <f t="shared" ca="1" si="200"/>
        <v>0</v>
      </c>
      <c r="BY80" s="542">
        <f t="shared" ca="1" si="200"/>
        <v>0</v>
      </c>
      <c r="BZ80" s="542">
        <f t="shared" ca="1" si="200"/>
        <v>0</v>
      </c>
      <c r="CA80" s="542">
        <f t="shared" ca="1" si="200"/>
        <v>0</v>
      </c>
      <c r="CB80" s="542">
        <f t="shared" ca="1" si="200"/>
        <v>0</v>
      </c>
      <c r="CC80" s="542">
        <f t="shared" ca="1" si="200"/>
        <v>0</v>
      </c>
      <c r="CD80" s="542">
        <f t="shared" ca="1" si="200"/>
        <v>0</v>
      </c>
      <c r="CE80" s="542">
        <f t="shared" ca="1" si="200"/>
        <v>0</v>
      </c>
      <c r="CF80" s="542">
        <f t="shared" ca="1" si="200"/>
        <v>0</v>
      </c>
      <c r="CG80" s="542">
        <f t="shared" ca="1" si="200"/>
        <v>0</v>
      </c>
      <c r="CH80" s="542">
        <f t="shared" ca="1" si="200"/>
        <v>0</v>
      </c>
      <c r="CI80" s="542">
        <f t="shared" ca="1" si="200"/>
        <v>0</v>
      </c>
      <c r="CJ80" s="542">
        <f t="shared" ca="1" si="200"/>
        <v>0</v>
      </c>
      <c r="CK80" s="542">
        <f t="shared" ca="1" si="200"/>
        <v>0</v>
      </c>
      <c r="CL80" s="542">
        <f t="shared" ca="1" si="200"/>
        <v>0</v>
      </c>
      <c r="CM80" s="542">
        <f t="shared" ca="1" si="200"/>
        <v>0</v>
      </c>
      <c r="CN80" s="542">
        <f t="shared" ca="1" si="200"/>
        <v>-69.984746261924187</v>
      </c>
      <c r="CO80" s="542">
        <f t="shared" ca="1" si="200"/>
        <v>0</v>
      </c>
      <c r="CP80" s="542">
        <f t="shared" ca="1" si="200"/>
        <v>0</v>
      </c>
      <c r="CQ80" s="542">
        <f t="shared" ca="1" si="200"/>
        <v>0</v>
      </c>
      <c r="CR80" s="542">
        <f t="shared" ca="1" si="200"/>
        <v>0</v>
      </c>
      <c r="CS80" s="542">
        <f t="shared" ca="1" si="200"/>
        <v>0</v>
      </c>
      <c r="CT80" s="542">
        <f t="shared" ca="1" si="200"/>
        <v>0</v>
      </c>
      <c r="CU80" s="542">
        <f t="shared" ca="1" si="200"/>
        <v>0</v>
      </c>
      <c r="CW80" s="151">
        <f t="shared" ca="1" si="185"/>
        <v>-69.984746261924187</v>
      </c>
    </row>
    <row r="81" spans="2:101" s="18" customFormat="1" ht="15" customHeight="1" outlineLevel="1" x14ac:dyDescent="0.2">
      <c r="B81" s="89"/>
      <c r="C81" s="85"/>
      <c r="D81" s="57"/>
      <c r="E81" s="53"/>
      <c r="F81" s="84"/>
      <c r="G81" s="245"/>
      <c r="H81" s="245"/>
      <c r="I81" s="245"/>
      <c r="J81" s="245"/>
      <c r="K81" s="245"/>
      <c r="L81" s="247"/>
      <c r="M81" s="245"/>
      <c r="N81" s="245"/>
      <c r="O81" s="245"/>
      <c r="P81" s="245">
        <f t="shared" si="144"/>
        <v>0</v>
      </c>
      <c r="Q81" s="84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>
        <f t="shared" si="167"/>
        <v>0</v>
      </c>
      <c r="AI81" s="84"/>
      <c r="AJ81" s="263"/>
      <c r="AK81" s="263"/>
      <c r="AL81" s="263"/>
      <c r="AM81" s="263"/>
      <c r="AN81" s="263"/>
      <c r="AO81" s="263"/>
      <c r="AP81" s="263"/>
      <c r="AQ81" s="263"/>
      <c r="AR81" s="263"/>
      <c r="AS81" s="263"/>
      <c r="AT81" s="263"/>
      <c r="AU81" s="263"/>
      <c r="AV81" s="263"/>
      <c r="AW81" s="263"/>
      <c r="AX81" s="263"/>
      <c r="AY81" s="263">
        <f t="shared" si="155"/>
        <v>0</v>
      </c>
      <c r="AZ81" s="84"/>
      <c r="BA81" s="277"/>
      <c r="BB81" s="277"/>
      <c r="BC81" s="277">
        <f t="shared" si="168"/>
        <v>0</v>
      </c>
      <c r="BD81" s="84"/>
      <c r="BE81" s="55"/>
      <c r="BF81" s="55"/>
      <c r="BH81" s="542"/>
      <c r="BI81" s="542"/>
      <c r="BJ81" s="542"/>
      <c r="BK81" s="542"/>
      <c r="BL81" s="542"/>
      <c r="BM81" s="542"/>
      <c r="BN81" s="542"/>
      <c r="BO81" s="542"/>
      <c r="BP81" s="542"/>
      <c r="BQ81" s="542"/>
      <c r="BR81" s="542"/>
      <c r="BS81" s="542"/>
      <c r="BT81" s="542"/>
      <c r="BU81" s="542"/>
      <c r="BV81" s="542"/>
      <c r="BW81" s="542"/>
      <c r="BX81" s="542"/>
      <c r="BY81" s="542"/>
      <c r="BZ81" s="542"/>
      <c r="CA81" s="542"/>
      <c r="CB81" s="542"/>
      <c r="CC81" s="542"/>
      <c r="CD81" s="542"/>
      <c r="CE81" s="542"/>
      <c r="CF81" s="542"/>
      <c r="CG81" s="542"/>
      <c r="CH81" s="542"/>
      <c r="CI81" s="542"/>
      <c r="CJ81" s="542"/>
      <c r="CK81" s="542"/>
      <c r="CL81" s="542"/>
      <c r="CM81" s="542"/>
      <c r="CN81" s="542"/>
      <c r="CO81" s="542"/>
      <c r="CP81" s="542"/>
      <c r="CQ81" s="542"/>
      <c r="CR81" s="542"/>
      <c r="CS81" s="542"/>
      <c r="CT81" s="542"/>
      <c r="CU81" s="542"/>
      <c r="CW81" s="151">
        <f t="shared" si="185"/>
        <v>0</v>
      </c>
    </row>
    <row r="82" spans="2:101" s="547" customFormat="1" ht="15" customHeight="1" outlineLevel="1" x14ac:dyDescent="0.2">
      <c r="C82" s="319" t="s">
        <v>861</v>
      </c>
      <c r="D82" s="163" t="s">
        <v>817</v>
      </c>
      <c r="E82" s="163"/>
      <c r="G82" s="333"/>
      <c r="H82" s="333"/>
      <c r="I82" s="333"/>
      <c r="J82" s="333"/>
      <c r="K82" s="333"/>
      <c r="L82" s="334"/>
      <c r="M82" s="333"/>
      <c r="N82" s="333"/>
      <c r="O82" s="333"/>
      <c r="P82" s="333">
        <f t="shared" si="144"/>
        <v>0</v>
      </c>
      <c r="Q82" s="550"/>
      <c r="R82" s="335">
        <f t="shared" ref="R82:W82" ca="1" si="201">(R$28+R$66+R$74+R$80)</f>
        <v>-117.07862642129547</v>
      </c>
      <c r="S82" s="335">
        <f t="shared" ca="1" si="201"/>
        <v>117.07862642129547</v>
      </c>
      <c r="T82" s="335">
        <f t="shared" ca="1" si="201"/>
        <v>-1.5203815348896348</v>
      </c>
      <c r="U82" s="335">
        <f t="shared" ca="1" si="201"/>
        <v>-301.24472631181249</v>
      </c>
      <c r="V82" s="335">
        <f t="shared" ca="1" si="201"/>
        <v>-49.495361509295321</v>
      </c>
      <c r="W82" s="335">
        <f t="shared" ca="1" si="201"/>
        <v>0</v>
      </c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>
        <f t="shared" ca="1" si="167"/>
        <v>-352.26046935599743</v>
      </c>
      <c r="AI82" s="550"/>
      <c r="AJ82" s="336"/>
      <c r="AK82" s="336"/>
      <c r="AL82" s="336"/>
      <c r="AM82" s="336"/>
      <c r="AN82" s="336"/>
      <c r="AO82" s="336"/>
      <c r="AP82" s="336"/>
      <c r="AQ82" s="336"/>
      <c r="AR82" s="336"/>
      <c r="AS82" s="336"/>
      <c r="AT82" s="336"/>
      <c r="AU82" s="336"/>
      <c r="AV82" s="336"/>
      <c r="AW82" s="336"/>
      <c r="AX82" s="336"/>
      <c r="AY82" s="336">
        <f t="shared" si="155"/>
        <v>0</v>
      </c>
      <c r="AZ82" s="550"/>
      <c r="BA82" s="337"/>
      <c r="BB82" s="337"/>
      <c r="BC82" s="337">
        <f t="shared" si="168"/>
        <v>0</v>
      </c>
      <c r="BE82" s="164"/>
      <c r="BF82" s="164"/>
      <c r="BH82" s="549"/>
      <c r="BI82" s="549"/>
      <c r="BJ82" s="549"/>
      <c r="BK82" s="549"/>
      <c r="BL82" s="549"/>
      <c r="BM82" s="549"/>
      <c r="BN82" s="549"/>
      <c r="BO82" s="549"/>
      <c r="BP82" s="549"/>
      <c r="BQ82" s="549"/>
      <c r="BR82" s="549"/>
      <c r="BS82" s="549"/>
      <c r="BT82" s="549"/>
      <c r="BU82" s="549"/>
      <c r="BV82" s="549"/>
      <c r="BW82" s="549"/>
      <c r="BX82" s="549"/>
      <c r="BY82" s="549"/>
      <c r="BZ82" s="549"/>
      <c r="CA82" s="549"/>
      <c r="CB82" s="549"/>
      <c r="CC82" s="549"/>
      <c r="CD82" s="549"/>
      <c r="CE82" s="549"/>
      <c r="CF82" s="549"/>
      <c r="CG82" s="549"/>
      <c r="CH82" s="549"/>
      <c r="CI82" s="549"/>
      <c r="CJ82" s="549"/>
      <c r="CK82" s="549"/>
      <c r="CL82" s="549"/>
      <c r="CM82" s="549"/>
      <c r="CN82" s="549"/>
      <c r="CO82" s="549"/>
      <c r="CP82" s="549"/>
      <c r="CQ82" s="549"/>
      <c r="CR82" s="549"/>
      <c r="CS82" s="549"/>
      <c r="CT82" s="549"/>
      <c r="CU82" s="549"/>
      <c r="CW82" s="151">
        <f t="shared" si="185"/>
        <v>0</v>
      </c>
    </row>
    <row r="83" spans="2:101" s="543" customFormat="1" ht="15" customHeight="1" outlineLevel="1" x14ac:dyDescent="0.2">
      <c r="B83" s="551"/>
      <c r="C83" s="62" t="s">
        <v>439</v>
      </c>
      <c r="D83" s="61" t="str">
        <f>INDEX(Modules[Module], MATCH($C83, Modules[Code], 0))</f>
        <v>Fossil fuel transfers</v>
      </c>
      <c r="E83" s="61"/>
      <c r="F83" s="84"/>
      <c r="G83" s="250">
        <f t="shared" ref="G83:O83" ca="1" si="202">IFERROR(INDEX(INDIRECT($C83&amp;".Outputs["&amp;this.Year&amp;"]"), MATCH(G$5, INDIRECT($C83&amp;".Outputs[Vector]"), 0)), 0)</f>
        <v>0</v>
      </c>
      <c r="H83" s="250">
        <f t="shared" ca="1" si="202"/>
        <v>0</v>
      </c>
      <c r="I83" s="250">
        <f t="shared" ca="1" si="202"/>
        <v>0</v>
      </c>
      <c r="J83" s="250">
        <f t="shared" ca="1" si="202"/>
        <v>0</v>
      </c>
      <c r="K83" s="250">
        <f t="shared" ca="1" si="202"/>
        <v>0</v>
      </c>
      <c r="L83" s="251">
        <f t="shared" ca="1" si="202"/>
        <v>0</v>
      </c>
      <c r="M83" s="250">
        <f t="shared" ca="1" si="202"/>
        <v>0</v>
      </c>
      <c r="N83" s="250">
        <f t="shared" ca="1" si="202"/>
        <v>0</v>
      </c>
      <c r="O83" s="250">
        <f t="shared" ca="1" si="202"/>
        <v>0</v>
      </c>
      <c r="P83" s="250">
        <f t="shared" ca="1" si="144"/>
        <v>0</v>
      </c>
      <c r="Q83" s="84"/>
      <c r="R83" s="259">
        <f t="shared" ref="R83:AG83" ca="1" si="203">IFERROR(INDEX(INDIRECT($C83&amp;".Outputs["&amp;this.Year&amp;"]"), MATCH(R$5, INDIRECT($C83&amp;".Outputs[Vector]"), 0)), 0)</f>
        <v>0</v>
      </c>
      <c r="S83" s="259">
        <f t="shared" ca="1" si="203"/>
        <v>0</v>
      </c>
      <c r="T83" s="259">
        <f t="shared" ca="1" si="203"/>
        <v>1.5203815348896348</v>
      </c>
      <c r="U83" s="259">
        <f t="shared" ca="1" si="203"/>
        <v>301.24472631181249</v>
      </c>
      <c r="V83" s="259">
        <f t="shared" ca="1" si="203"/>
        <v>49.495361509295321</v>
      </c>
      <c r="W83" s="259">
        <f t="shared" ca="1" si="203"/>
        <v>0</v>
      </c>
      <c r="X83" s="259">
        <f t="shared" ca="1" si="203"/>
        <v>-1.5203815348896348</v>
      </c>
      <c r="Y83" s="259">
        <f t="shared" ca="1" si="203"/>
        <v>-301.24472631181249</v>
      </c>
      <c r="Z83" s="259">
        <f t="shared" ca="1" si="203"/>
        <v>-50.089305847406862</v>
      </c>
      <c r="AA83" s="259">
        <f t="shared" ca="1" si="203"/>
        <v>0</v>
      </c>
      <c r="AB83" s="259">
        <f t="shared" ca="1" si="203"/>
        <v>0</v>
      </c>
      <c r="AC83" s="259">
        <f t="shared" ca="1" si="203"/>
        <v>0</v>
      </c>
      <c r="AD83" s="259">
        <f t="shared" ca="1" si="203"/>
        <v>0</v>
      </c>
      <c r="AE83" s="259">
        <f t="shared" ca="1" si="203"/>
        <v>0</v>
      </c>
      <c r="AF83" s="259">
        <f t="shared" ca="1" si="203"/>
        <v>0</v>
      </c>
      <c r="AG83" s="259">
        <f t="shared" ca="1" si="203"/>
        <v>0</v>
      </c>
      <c r="AH83" s="259">
        <f t="shared" ca="1" si="167"/>
        <v>-0.59394433811154101</v>
      </c>
      <c r="AI83" s="84"/>
      <c r="AJ83" s="266">
        <f t="shared" ref="AJ83:AX83" ca="1" si="204">IFERROR(INDEX(INDIRECT($C83&amp;".Outputs["&amp;this.Year&amp;"]"), MATCH(AJ$5, INDIRECT($C83&amp;".Outputs[Vector]"), 0)), 0)</f>
        <v>0</v>
      </c>
      <c r="AK83" s="266">
        <f t="shared" ca="1" si="204"/>
        <v>0</v>
      </c>
      <c r="AL83" s="266">
        <f t="shared" ca="1" si="204"/>
        <v>0</v>
      </c>
      <c r="AM83" s="266">
        <f t="shared" ca="1" si="204"/>
        <v>0</v>
      </c>
      <c r="AN83" s="266">
        <f t="shared" ca="1" si="204"/>
        <v>0</v>
      </c>
      <c r="AO83" s="266">
        <f t="shared" ca="1" si="204"/>
        <v>0</v>
      </c>
      <c r="AP83" s="266">
        <f t="shared" ca="1" si="204"/>
        <v>0</v>
      </c>
      <c r="AQ83" s="266">
        <f t="shared" ca="1" si="204"/>
        <v>0</v>
      </c>
      <c r="AR83" s="266">
        <f t="shared" ca="1" si="204"/>
        <v>0</v>
      </c>
      <c r="AS83" s="266">
        <f t="shared" ca="1" si="204"/>
        <v>0</v>
      </c>
      <c r="AT83" s="266">
        <f t="shared" ca="1" si="204"/>
        <v>0</v>
      </c>
      <c r="AU83" s="266">
        <f t="shared" ca="1" si="204"/>
        <v>0</v>
      </c>
      <c r="AV83" s="266">
        <f t="shared" ca="1" si="204"/>
        <v>0</v>
      </c>
      <c r="AW83" s="266">
        <f t="shared" ca="1" si="204"/>
        <v>0</v>
      </c>
      <c r="AX83" s="266">
        <f t="shared" ca="1" si="204"/>
        <v>0</v>
      </c>
      <c r="AY83" s="266">
        <f t="shared" ca="1" si="155"/>
        <v>0</v>
      </c>
      <c r="AZ83" s="84"/>
      <c r="BA83" s="279">
        <f ca="1">IFERROR(INDEX(INDIRECT($C83&amp;".Outputs["&amp;this.Year&amp;"]"), MATCH(BA$5, INDIRECT($C83&amp;".Outputs[Vector]"), 0)), 0)</f>
        <v>0</v>
      </c>
      <c r="BB83" s="279">
        <f ca="1">IFERROR(INDEX(INDIRECT($C83&amp;".Outputs["&amp;this.Year&amp;"]"), MATCH(BB$5, INDIRECT($C83&amp;".Outputs[Vector]"), 0)), 0)</f>
        <v>0.5939443381115439</v>
      </c>
      <c r="BC83" s="279">
        <f t="shared" ca="1" si="168"/>
        <v>0.5939443381115439</v>
      </c>
      <c r="BD83" s="84"/>
      <c r="BE83" s="55">
        <f t="shared" ref="BE83:BE90" ca="1" si="205">P83+AH83+AY83+BC83</f>
        <v>2.886579864025407E-15</v>
      </c>
      <c r="BF83" s="135"/>
      <c r="BH83" s="541">
        <f t="shared" ref="BH83:BQ84" ca="1" si="206">IFERROR(SUMIFS(INDIRECT($C83&amp;".Emissions["&amp;this.Year&amp;"]"), INDIRECT($C83&amp;".Emissions[GHG]"), BH$6, INDIRECT($C83&amp;".Emissions[IPCC Sector]"), BH$5),0)</f>
        <v>0</v>
      </c>
      <c r="BI83" s="542">
        <f t="shared" ca="1" si="206"/>
        <v>0</v>
      </c>
      <c r="BJ83" s="542">
        <f t="shared" ca="1" si="206"/>
        <v>0</v>
      </c>
      <c r="BK83" s="542">
        <f t="shared" ca="1" si="206"/>
        <v>0</v>
      </c>
      <c r="BL83" s="542">
        <f t="shared" ca="1" si="206"/>
        <v>0</v>
      </c>
      <c r="BM83" s="542">
        <f t="shared" ca="1" si="206"/>
        <v>4.3706513640884639</v>
      </c>
      <c r="BN83" s="542">
        <f t="shared" ca="1" si="206"/>
        <v>0</v>
      </c>
      <c r="BO83" s="542">
        <f t="shared" ca="1" si="206"/>
        <v>0</v>
      </c>
      <c r="BP83" s="542">
        <f t="shared" ca="1" si="206"/>
        <v>0</v>
      </c>
      <c r="BQ83" s="542">
        <f t="shared" ca="1" si="206"/>
        <v>0</v>
      </c>
      <c r="BR83" s="542">
        <f t="shared" ref="BR83:CA84" ca="1" si="207">IFERROR(SUMIFS(INDIRECT($C83&amp;".Emissions["&amp;this.Year&amp;"]"), INDIRECT($C83&amp;".Emissions[GHG]"), BR$6, INDIRECT($C83&amp;".Emissions[IPCC Sector]"), BR$5),0)</f>
        <v>0</v>
      </c>
      <c r="BS83" s="542">
        <f t="shared" ca="1" si="207"/>
        <v>0</v>
      </c>
      <c r="BT83" s="542">
        <f t="shared" ca="1" si="207"/>
        <v>0</v>
      </c>
      <c r="BU83" s="542">
        <f t="shared" ca="1" si="207"/>
        <v>0</v>
      </c>
      <c r="BV83" s="542">
        <f t="shared" ca="1" si="207"/>
        <v>0</v>
      </c>
      <c r="BW83" s="542">
        <f t="shared" ca="1" si="207"/>
        <v>0</v>
      </c>
      <c r="BX83" s="542">
        <f t="shared" ca="1" si="207"/>
        <v>0</v>
      </c>
      <c r="BY83" s="542">
        <f t="shared" ca="1" si="207"/>
        <v>0</v>
      </c>
      <c r="BZ83" s="542">
        <f t="shared" ca="1" si="207"/>
        <v>0</v>
      </c>
      <c r="CA83" s="542">
        <f t="shared" ca="1" si="207"/>
        <v>0</v>
      </c>
      <c r="CB83" s="542">
        <f t="shared" ref="CB83:CK84" ca="1" si="208">IFERROR(SUMIFS(INDIRECT($C83&amp;".Emissions["&amp;this.Year&amp;"]"), INDIRECT($C83&amp;".Emissions[GHG]"), CB$6, INDIRECT($C83&amp;".Emissions[IPCC Sector]"), CB$5),0)</f>
        <v>0</v>
      </c>
      <c r="CC83" s="542">
        <f t="shared" ca="1" si="208"/>
        <v>0</v>
      </c>
      <c r="CD83" s="542">
        <f t="shared" ca="1" si="208"/>
        <v>0</v>
      </c>
      <c r="CE83" s="542">
        <f t="shared" ca="1" si="208"/>
        <v>0</v>
      </c>
      <c r="CF83" s="542">
        <f t="shared" ca="1" si="208"/>
        <v>0</v>
      </c>
      <c r="CG83" s="542">
        <f t="shared" ca="1" si="208"/>
        <v>0</v>
      </c>
      <c r="CH83" s="542">
        <f t="shared" ca="1" si="208"/>
        <v>0</v>
      </c>
      <c r="CI83" s="542">
        <f t="shared" ca="1" si="208"/>
        <v>0</v>
      </c>
      <c r="CJ83" s="542">
        <f t="shared" ca="1" si="208"/>
        <v>0</v>
      </c>
      <c r="CK83" s="542">
        <f t="shared" ca="1" si="208"/>
        <v>0</v>
      </c>
      <c r="CL83" s="542">
        <f t="shared" ref="CL83:CU84" ca="1" si="209">IFERROR(SUMIFS(INDIRECT($C83&amp;".Emissions["&amp;this.Year&amp;"]"), INDIRECT($C83&amp;".Emissions[GHG]"), CL$6, INDIRECT($C83&amp;".Emissions[IPCC Sector]"), CL$5),0)</f>
        <v>0</v>
      </c>
      <c r="CM83" s="542">
        <f t="shared" ca="1" si="209"/>
        <v>0</v>
      </c>
      <c r="CN83" s="542">
        <f t="shared" ca="1" si="209"/>
        <v>0</v>
      </c>
      <c r="CO83" s="542">
        <f t="shared" ca="1" si="209"/>
        <v>0</v>
      </c>
      <c r="CP83" s="542">
        <f t="shared" ca="1" si="209"/>
        <v>0</v>
      </c>
      <c r="CQ83" s="542">
        <f t="shared" ca="1" si="209"/>
        <v>0</v>
      </c>
      <c r="CR83" s="542">
        <f t="shared" ca="1" si="209"/>
        <v>0</v>
      </c>
      <c r="CS83" s="542">
        <f t="shared" ca="1" si="209"/>
        <v>0</v>
      </c>
      <c r="CT83" s="542">
        <f t="shared" ca="1" si="209"/>
        <v>0</v>
      </c>
      <c r="CU83" s="542">
        <f t="shared" ca="1" si="209"/>
        <v>0</v>
      </c>
      <c r="CW83" s="151">
        <f t="shared" ca="1" si="185"/>
        <v>4.3706513640884639</v>
      </c>
    </row>
    <row r="84" spans="2:101" s="543" customFormat="1" ht="15" customHeight="1" outlineLevel="1" x14ac:dyDescent="0.2">
      <c r="B84" s="551" t="s">
        <v>322</v>
      </c>
      <c r="C84" s="62" t="s">
        <v>440</v>
      </c>
      <c r="D84" s="292" t="str">
        <f>INDEX(Modules[Module], MATCH($C84, Modules[Code], 0))</f>
        <v>Balancing imports</v>
      </c>
      <c r="E84" s="292"/>
      <c r="F84" s="84"/>
      <c r="G84" s="361"/>
      <c r="H84" s="361"/>
      <c r="I84" s="361"/>
      <c r="J84" s="361"/>
      <c r="K84" s="361"/>
      <c r="L84" s="362"/>
      <c r="M84" s="361"/>
      <c r="N84" s="361"/>
      <c r="O84" s="361"/>
      <c r="P84" s="361">
        <f t="shared" si="144"/>
        <v>0</v>
      </c>
      <c r="Q84" s="84"/>
      <c r="R84" s="363"/>
      <c r="S84" s="363">
        <f ca="1">-(S$82+R$82)</f>
        <v>0</v>
      </c>
      <c r="T84" s="363"/>
      <c r="U84" s="363"/>
      <c r="V84" s="363"/>
      <c r="W84" s="363"/>
      <c r="X84" s="363">
        <f ca="1">-(X$28+X$66+X$74+X$80+X$83)</f>
        <v>-8.5753578045170311</v>
      </c>
      <c r="Y84" s="363">
        <f ca="1">-(Y$28+Y$66+Y$74+Y$80+Y$83)</f>
        <v>-1157.6931375681877</v>
      </c>
      <c r="Z84" s="363">
        <f ca="1">-(Z$28+Z$66+Z$74+Z$80+Z$83)</f>
        <v>-711.34280526370412</v>
      </c>
      <c r="AA84" s="363"/>
      <c r="AB84" s="363"/>
      <c r="AC84" s="363"/>
      <c r="AD84" s="363"/>
      <c r="AE84" s="363"/>
      <c r="AF84" s="363"/>
      <c r="AG84" s="363"/>
      <c r="AH84" s="363">
        <f t="shared" ca="1" si="167"/>
        <v>-1877.6113006364089</v>
      </c>
      <c r="AI84" s="84"/>
      <c r="AJ84" s="293"/>
      <c r="AK84" s="293"/>
      <c r="AL84" s="293"/>
      <c r="AM84" s="293"/>
      <c r="AN84" s="293">
        <f ca="1">-S84</f>
        <v>0</v>
      </c>
      <c r="AO84" s="293">
        <f>-U84</f>
        <v>0</v>
      </c>
      <c r="AP84" s="293">
        <f ca="1">-X84</f>
        <v>8.5753578045170311</v>
      </c>
      <c r="AQ84" s="293">
        <f ca="1">-Y84</f>
        <v>1157.6931375681877</v>
      </c>
      <c r="AR84" s="293">
        <f ca="1">-Z84</f>
        <v>711.34280526370412</v>
      </c>
      <c r="AS84" s="293"/>
      <c r="AT84" s="293"/>
      <c r="AU84" s="293"/>
      <c r="AV84" s="293"/>
      <c r="AW84" s="293"/>
      <c r="AX84" s="293"/>
      <c r="AY84" s="293">
        <f t="shared" ca="1" si="155"/>
        <v>1877.6113006364089</v>
      </c>
      <c r="AZ84" s="84"/>
      <c r="BA84" s="364"/>
      <c r="BB84" s="364"/>
      <c r="BC84" s="364">
        <f t="shared" si="168"/>
        <v>0</v>
      </c>
      <c r="BD84" s="84"/>
      <c r="BE84" s="55">
        <f t="shared" ca="1" si="205"/>
        <v>0</v>
      </c>
      <c r="BF84" s="135"/>
      <c r="BH84" s="544">
        <f t="shared" ca="1" si="206"/>
        <v>0</v>
      </c>
      <c r="BI84" s="545">
        <f t="shared" ca="1" si="206"/>
        <v>0</v>
      </c>
      <c r="BJ84" s="545">
        <f t="shared" ca="1" si="206"/>
        <v>0</v>
      </c>
      <c r="BK84" s="545">
        <f t="shared" ca="1" si="206"/>
        <v>0</v>
      </c>
      <c r="BL84" s="545">
        <f t="shared" ca="1" si="206"/>
        <v>0</v>
      </c>
      <c r="BM84" s="545">
        <f t="shared" ca="1" si="206"/>
        <v>0</v>
      </c>
      <c r="BN84" s="545">
        <f t="shared" ca="1" si="206"/>
        <v>0</v>
      </c>
      <c r="BO84" s="545">
        <f t="shared" ca="1" si="206"/>
        <v>0</v>
      </c>
      <c r="BP84" s="545">
        <f t="shared" ca="1" si="206"/>
        <v>0</v>
      </c>
      <c r="BQ84" s="545">
        <f t="shared" ca="1" si="206"/>
        <v>0</v>
      </c>
      <c r="BR84" s="545">
        <f t="shared" ca="1" si="207"/>
        <v>0</v>
      </c>
      <c r="BS84" s="545">
        <f t="shared" ca="1" si="207"/>
        <v>0</v>
      </c>
      <c r="BT84" s="545">
        <f t="shared" ca="1" si="207"/>
        <v>0</v>
      </c>
      <c r="BU84" s="545">
        <f t="shared" ca="1" si="207"/>
        <v>0</v>
      </c>
      <c r="BV84" s="545">
        <f t="shared" ca="1" si="207"/>
        <v>0</v>
      </c>
      <c r="BW84" s="545">
        <f t="shared" ca="1" si="207"/>
        <v>0</v>
      </c>
      <c r="BX84" s="545">
        <f t="shared" ca="1" si="207"/>
        <v>0</v>
      </c>
      <c r="BY84" s="545">
        <f t="shared" ca="1" si="207"/>
        <v>0</v>
      </c>
      <c r="BZ84" s="545">
        <f t="shared" ca="1" si="207"/>
        <v>0</v>
      </c>
      <c r="CA84" s="545">
        <f t="shared" ca="1" si="207"/>
        <v>0</v>
      </c>
      <c r="CB84" s="545">
        <f t="shared" ca="1" si="208"/>
        <v>0</v>
      </c>
      <c r="CC84" s="545">
        <f t="shared" ca="1" si="208"/>
        <v>0</v>
      </c>
      <c r="CD84" s="545">
        <f t="shared" ca="1" si="208"/>
        <v>0</v>
      </c>
      <c r="CE84" s="545">
        <f t="shared" ca="1" si="208"/>
        <v>0</v>
      </c>
      <c r="CF84" s="545">
        <f t="shared" ca="1" si="208"/>
        <v>0</v>
      </c>
      <c r="CG84" s="545">
        <f t="shared" ca="1" si="208"/>
        <v>0</v>
      </c>
      <c r="CH84" s="545">
        <f t="shared" ca="1" si="208"/>
        <v>0</v>
      </c>
      <c r="CI84" s="545">
        <f t="shared" ca="1" si="208"/>
        <v>0</v>
      </c>
      <c r="CJ84" s="545">
        <f t="shared" ca="1" si="208"/>
        <v>0</v>
      </c>
      <c r="CK84" s="545">
        <f t="shared" ca="1" si="208"/>
        <v>0</v>
      </c>
      <c r="CL84" s="545">
        <f t="shared" ca="1" si="209"/>
        <v>0</v>
      </c>
      <c r="CM84" s="545">
        <f t="shared" ca="1" si="209"/>
        <v>0</v>
      </c>
      <c r="CN84" s="545">
        <f t="shared" ca="1" si="209"/>
        <v>0</v>
      </c>
      <c r="CO84" s="545">
        <f t="shared" ca="1" si="209"/>
        <v>0</v>
      </c>
      <c r="CP84" s="545">
        <f t="shared" ca="1" si="209"/>
        <v>0</v>
      </c>
      <c r="CQ84" s="545">
        <f t="shared" ca="1" si="209"/>
        <v>0</v>
      </c>
      <c r="CR84" s="545">
        <f t="shared" ca="1" si="209"/>
        <v>0</v>
      </c>
      <c r="CS84" s="545">
        <f t="shared" ca="1" si="209"/>
        <v>0</v>
      </c>
      <c r="CT84" s="545">
        <f t="shared" ca="1" si="209"/>
        <v>0</v>
      </c>
      <c r="CU84" s="545">
        <f t="shared" ca="1" si="209"/>
        <v>0</v>
      </c>
      <c r="CW84" s="151">
        <f t="shared" ca="1" si="185"/>
        <v>0</v>
      </c>
    </row>
    <row r="85" spans="2:101" s="84" customFormat="1" ht="15" customHeight="1" x14ac:dyDescent="0.2">
      <c r="B85" s="89" t="s">
        <v>322</v>
      </c>
      <c r="C85" s="56" t="s">
        <v>438</v>
      </c>
      <c r="D85" s="57" t="str">
        <f>INDEX(Workstreams[Workstream], MATCH($C85, Workstreams[Code], 0))</f>
        <v>Transfers</v>
      </c>
      <c r="E85" s="51"/>
      <c r="G85" s="300">
        <f ca="1">SUM(G83:G84)</f>
        <v>0</v>
      </c>
      <c r="H85" s="300">
        <f t="shared" ref="H85:N85" ca="1" si="210">SUM(H83:H84)</f>
        <v>0</v>
      </c>
      <c r="I85" s="300">
        <f t="shared" ref="I85" ca="1" si="211">SUM(I83:I84)</f>
        <v>0</v>
      </c>
      <c r="J85" s="300">
        <f t="shared" ca="1" si="210"/>
        <v>0</v>
      </c>
      <c r="K85" s="300">
        <f t="shared" ca="1" si="210"/>
        <v>0</v>
      </c>
      <c r="L85" s="300">
        <f t="shared" ca="1" si="210"/>
        <v>0</v>
      </c>
      <c r="M85" s="300">
        <f t="shared" ca="1" si="210"/>
        <v>0</v>
      </c>
      <c r="N85" s="300">
        <f t="shared" ca="1" si="210"/>
        <v>0</v>
      </c>
      <c r="O85" s="300">
        <f t="shared" ref="O85" ca="1" si="212">SUM(O83:O84)</f>
        <v>0</v>
      </c>
      <c r="P85" s="300">
        <f t="shared" ca="1" si="144"/>
        <v>0</v>
      </c>
      <c r="R85" s="257">
        <f t="shared" ref="R85:AE85" ca="1" si="213">SUM(R83:R84)</f>
        <v>0</v>
      </c>
      <c r="S85" s="257">
        <f t="shared" ca="1" si="213"/>
        <v>0</v>
      </c>
      <c r="T85" s="257">
        <f t="shared" ca="1" si="213"/>
        <v>1.5203815348896348</v>
      </c>
      <c r="U85" s="257">
        <f t="shared" ca="1" si="213"/>
        <v>301.24472631181249</v>
      </c>
      <c r="V85" s="257">
        <f t="shared" ca="1" si="213"/>
        <v>49.495361509295321</v>
      </c>
      <c r="W85" s="257">
        <f ca="1">SUM(W83:W84)</f>
        <v>0</v>
      </c>
      <c r="X85" s="257">
        <f t="shared" ca="1" si="213"/>
        <v>-10.095739339406666</v>
      </c>
      <c r="Y85" s="257">
        <f t="shared" ca="1" si="213"/>
        <v>-1458.9378638800001</v>
      </c>
      <c r="Z85" s="257">
        <f t="shared" ca="1" si="213"/>
        <v>-761.432111111111</v>
      </c>
      <c r="AA85" s="257">
        <f t="shared" ca="1" si="213"/>
        <v>0</v>
      </c>
      <c r="AB85" s="257">
        <f t="shared" ca="1" si="213"/>
        <v>0</v>
      </c>
      <c r="AC85" s="257">
        <f ca="1">SUM(AC83:AC84)</f>
        <v>0</v>
      </c>
      <c r="AD85" s="257">
        <f ca="1">SUM(AD83:AD84)</f>
        <v>0</v>
      </c>
      <c r="AE85" s="257">
        <f t="shared" ca="1" si="213"/>
        <v>0</v>
      </c>
      <c r="AF85" s="257">
        <f ca="1">SUM(AF83:AF84)</f>
        <v>0</v>
      </c>
      <c r="AG85" s="257">
        <f ca="1">SUM(AG83:AG84)</f>
        <v>0</v>
      </c>
      <c r="AH85" s="257">
        <f t="shared" ca="1" si="167"/>
        <v>-1878.2052449745204</v>
      </c>
      <c r="AJ85" s="263">
        <f t="shared" ref="AJ85:AX85" ca="1" si="214">SUM(AJ83:AJ84)</f>
        <v>0</v>
      </c>
      <c r="AK85" s="263">
        <f t="shared" ca="1" si="214"/>
        <v>0</v>
      </c>
      <c r="AL85" s="263">
        <f t="shared" ca="1" si="214"/>
        <v>0</v>
      </c>
      <c r="AM85" s="263">
        <f t="shared" ca="1" si="214"/>
        <v>0</v>
      </c>
      <c r="AN85" s="263">
        <f t="shared" ca="1" si="214"/>
        <v>0</v>
      </c>
      <c r="AO85" s="263">
        <f t="shared" ca="1" si="214"/>
        <v>0</v>
      </c>
      <c r="AP85" s="263">
        <f t="shared" ca="1" si="214"/>
        <v>8.5753578045170311</v>
      </c>
      <c r="AQ85" s="263">
        <f t="shared" ca="1" si="214"/>
        <v>1157.6931375681877</v>
      </c>
      <c r="AR85" s="263">
        <f t="shared" ca="1" si="214"/>
        <v>711.34280526370412</v>
      </c>
      <c r="AS85" s="263">
        <f t="shared" ca="1" si="214"/>
        <v>0</v>
      </c>
      <c r="AT85" s="263">
        <f t="shared" ca="1" si="214"/>
        <v>0</v>
      </c>
      <c r="AU85" s="263">
        <f t="shared" ca="1" si="214"/>
        <v>0</v>
      </c>
      <c r="AV85" s="263">
        <f t="shared" ca="1" si="214"/>
        <v>0</v>
      </c>
      <c r="AW85" s="263">
        <f t="shared" ca="1" si="214"/>
        <v>0</v>
      </c>
      <c r="AX85" s="263">
        <f t="shared" ca="1" si="214"/>
        <v>0</v>
      </c>
      <c r="AY85" s="263">
        <f t="shared" ca="1" si="155"/>
        <v>1877.6113006364089</v>
      </c>
      <c r="BA85" s="277">
        <f ca="1">SUM(BA83:BA84)</f>
        <v>0</v>
      </c>
      <c r="BB85" s="277">
        <f ca="1">SUM(BB83:BB84)</f>
        <v>0.5939443381115439</v>
      </c>
      <c r="BC85" s="277">
        <f t="shared" ca="1" si="168"/>
        <v>0.5939443381115439</v>
      </c>
      <c r="BE85" s="55">
        <f t="shared" ca="1" si="205"/>
        <v>1.0236256287043943E-13</v>
      </c>
      <c r="BF85" s="55"/>
      <c r="BG85" s="153"/>
      <c r="BH85" s="542">
        <f t="shared" ref="BH85:CU85" ca="1" si="215">SUM(BH83:BH84)</f>
        <v>0</v>
      </c>
      <c r="BI85" s="542">
        <f t="shared" ca="1" si="215"/>
        <v>0</v>
      </c>
      <c r="BJ85" s="542">
        <f t="shared" ca="1" si="215"/>
        <v>0</v>
      </c>
      <c r="BK85" s="542">
        <f t="shared" ca="1" si="215"/>
        <v>0</v>
      </c>
      <c r="BL85" s="542">
        <f t="shared" ca="1" si="215"/>
        <v>0</v>
      </c>
      <c r="BM85" s="542">
        <f t="shared" ca="1" si="215"/>
        <v>4.3706513640884639</v>
      </c>
      <c r="BN85" s="542">
        <f t="shared" ca="1" si="215"/>
        <v>0</v>
      </c>
      <c r="BO85" s="542">
        <f t="shared" ca="1" si="215"/>
        <v>0</v>
      </c>
      <c r="BP85" s="542">
        <f t="shared" ca="1" si="215"/>
        <v>0</v>
      </c>
      <c r="BQ85" s="542">
        <f t="shared" ca="1" si="215"/>
        <v>0</v>
      </c>
      <c r="BR85" s="542">
        <f t="shared" ca="1" si="215"/>
        <v>0</v>
      </c>
      <c r="BS85" s="542">
        <f t="shared" ca="1" si="215"/>
        <v>0</v>
      </c>
      <c r="BT85" s="542">
        <f t="shared" ca="1" si="215"/>
        <v>0</v>
      </c>
      <c r="BU85" s="542">
        <f t="shared" ca="1" si="215"/>
        <v>0</v>
      </c>
      <c r="BV85" s="542">
        <f t="shared" ca="1" si="215"/>
        <v>0</v>
      </c>
      <c r="BW85" s="542">
        <f t="shared" ca="1" si="215"/>
        <v>0</v>
      </c>
      <c r="BX85" s="542">
        <f t="shared" ca="1" si="215"/>
        <v>0</v>
      </c>
      <c r="BY85" s="542">
        <f t="shared" ca="1" si="215"/>
        <v>0</v>
      </c>
      <c r="BZ85" s="542">
        <f t="shared" ca="1" si="215"/>
        <v>0</v>
      </c>
      <c r="CA85" s="542">
        <f t="shared" ca="1" si="215"/>
        <v>0</v>
      </c>
      <c r="CB85" s="542">
        <f t="shared" ca="1" si="215"/>
        <v>0</v>
      </c>
      <c r="CC85" s="542">
        <f t="shared" ca="1" si="215"/>
        <v>0</v>
      </c>
      <c r="CD85" s="542">
        <f t="shared" ca="1" si="215"/>
        <v>0</v>
      </c>
      <c r="CE85" s="542">
        <f t="shared" ca="1" si="215"/>
        <v>0</v>
      </c>
      <c r="CF85" s="542">
        <f t="shared" ca="1" si="215"/>
        <v>0</v>
      </c>
      <c r="CG85" s="542">
        <f t="shared" ca="1" si="215"/>
        <v>0</v>
      </c>
      <c r="CH85" s="542">
        <f t="shared" ca="1" si="215"/>
        <v>0</v>
      </c>
      <c r="CI85" s="542">
        <f t="shared" ca="1" si="215"/>
        <v>0</v>
      </c>
      <c r="CJ85" s="542">
        <f t="shared" ca="1" si="215"/>
        <v>0</v>
      </c>
      <c r="CK85" s="542">
        <f t="shared" ca="1" si="215"/>
        <v>0</v>
      </c>
      <c r="CL85" s="542">
        <f t="shared" ca="1" si="215"/>
        <v>0</v>
      </c>
      <c r="CM85" s="542">
        <f t="shared" ca="1" si="215"/>
        <v>0</v>
      </c>
      <c r="CN85" s="542">
        <f t="shared" ca="1" si="215"/>
        <v>0</v>
      </c>
      <c r="CO85" s="542">
        <f t="shared" ca="1" si="215"/>
        <v>0</v>
      </c>
      <c r="CP85" s="542">
        <f t="shared" ca="1" si="215"/>
        <v>0</v>
      </c>
      <c r="CQ85" s="542">
        <f t="shared" ca="1" si="215"/>
        <v>0</v>
      </c>
      <c r="CR85" s="542">
        <f t="shared" ca="1" si="215"/>
        <v>0</v>
      </c>
      <c r="CS85" s="542">
        <f t="shared" ca="1" si="215"/>
        <v>0</v>
      </c>
      <c r="CT85" s="542">
        <f t="shared" ca="1" si="215"/>
        <v>0</v>
      </c>
      <c r="CU85" s="542">
        <f t="shared" ca="1" si="215"/>
        <v>0</v>
      </c>
      <c r="CW85" s="151">
        <f t="shared" ca="1" si="185"/>
        <v>4.3706513640884639</v>
      </c>
    </row>
    <row r="86" spans="2:101" s="84" customFormat="1" ht="15" customHeight="1" x14ac:dyDescent="0.2">
      <c r="C86" s="50"/>
      <c r="D86" s="51"/>
      <c r="E86" s="51"/>
      <c r="G86" s="245"/>
      <c r="H86" s="245"/>
      <c r="I86" s="245"/>
      <c r="J86" s="245"/>
      <c r="K86" s="245"/>
      <c r="L86" s="247"/>
      <c r="M86" s="245"/>
      <c r="N86" s="245"/>
      <c r="O86" s="245"/>
      <c r="P86" s="245">
        <f t="shared" si="144"/>
        <v>0</v>
      </c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>
        <f t="shared" si="167"/>
        <v>0</v>
      </c>
      <c r="AJ86" s="263"/>
      <c r="AK86" s="263"/>
      <c r="AL86" s="263"/>
      <c r="AM86" s="263"/>
      <c r="AN86" s="263"/>
      <c r="AO86" s="263"/>
      <c r="AP86" s="263"/>
      <c r="AQ86" s="263"/>
      <c r="AR86" s="263"/>
      <c r="AS86" s="263"/>
      <c r="AT86" s="263"/>
      <c r="AU86" s="263"/>
      <c r="AV86" s="263"/>
      <c r="AW86" s="263"/>
      <c r="AX86" s="263"/>
      <c r="AY86" s="263">
        <f t="shared" si="155"/>
        <v>0</v>
      </c>
      <c r="BA86" s="277"/>
      <c r="BB86" s="277"/>
      <c r="BC86" s="277">
        <f t="shared" si="168"/>
        <v>0</v>
      </c>
      <c r="BE86" s="55">
        <f t="shared" si="205"/>
        <v>0</v>
      </c>
      <c r="BF86" s="55"/>
      <c r="BH86" s="542"/>
      <c r="BI86" s="542"/>
      <c r="BJ86" s="542"/>
      <c r="BK86" s="542"/>
      <c r="BL86" s="542"/>
      <c r="BM86" s="542"/>
      <c r="BN86" s="542"/>
      <c r="BO86" s="542"/>
      <c r="BP86" s="542"/>
      <c r="BQ86" s="542"/>
      <c r="BR86" s="542"/>
      <c r="BS86" s="542"/>
      <c r="BT86" s="542"/>
      <c r="BU86" s="542"/>
      <c r="BV86" s="542"/>
      <c r="BW86" s="542"/>
      <c r="BX86" s="542"/>
      <c r="BY86" s="542"/>
      <c r="BZ86" s="542"/>
      <c r="CA86" s="542"/>
      <c r="CB86" s="542"/>
      <c r="CC86" s="542"/>
      <c r="CD86" s="542"/>
      <c r="CE86" s="542"/>
      <c r="CF86" s="542"/>
      <c r="CG86" s="542"/>
      <c r="CH86" s="542"/>
      <c r="CI86" s="542"/>
      <c r="CJ86" s="542"/>
      <c r="CK86" s="542"/>
      <c r="CL86" s="542"/>
      <c r="CM86" s="542"/>
      <c r="CN86" s="542"/>
      <c r="CO86" s="542"/>
      <c r="CP86" s="542"/>
      <c r="CQ86" s="542"/>
      <c r="CR86" s="542"/>
      <c r="CS86" s="542"/>
      <c r="CT86" s="542"/>
      <c r="CU86" s="542"/>
      <c r="CW86" s="151"/>
    </row>
    <row r="87" spans="2:101" s="84" customFormat="1" ht="15" customHeight="1" x14ac:dyDescent="0.2">
      <c r="B87" s="89"/>
      <c r="C87" s="923" t="s">
        <v>885</v>
      </c>
      <c r="D87" s="69" t="s">
        <v>442</v>
      </c>
      <c r="E87" s="70"/>
      <c r="G87" s="338">
        <f ca="1">G$74+G$80+G$85</f>
        <v>0</v>
      </c>
      <c r="H87" s="338">
        <f ca="1">H$74+H$80+H$85</f>
        <v>0</v>
      </c>
      <c r="I87" s="338">
        <f ca="1">I$74+I$80+I$85</f>
        <v>0</v>
      </c>
      <c r="J87" s="338">
        <f t="shared" ref="J87:O87" ca="1" si="216">J$74+J$80+J$85</f>
        <v>0</v>
      </c>
      <c r="K87" s="338">
        <f t="shared" ca="1" si="216"/>
        <v>0</v>
      </c>
      <c r="L87" s="339">
        <f t="shared" ca="1" si="216"/>
        <v>0</v>
      </c>
      <c r="M87" s="338">
        <f t="shared" ca="1" si="216"/>
        <v>0</v>
      </c>
      <c r="N87" s="338">
        <f t="shared" ca="1" si="216"/>
        <v>0</v>
      </c>
      <c r="O87" s="338">
        <f t="shared" ca="1" si="216"/>
        <v>0</v>
      </c>
      <c r="P87" s="338">
        <f t="shared" ca="1" si="144"/>
        <v>0</v>
      </c>
      <c r="R87" s="294">
        <f t="shared" ref="R87:AG87" ca="1" si="217">R$74+R$80+R$85</f>
        <v>0</v>
      </c>
      <c r="S87" s="294">
        <f t="shared" ca="1" si="217"/>
        <v>-24.504959628458117</v>
      </c>
      <c r="T87" s="294">
        <f t="shared" ca="1" si="217"/>
        <v>1.5203815348896348</v>
      </c>
      <c r="U87" s="294">
        <f t="shared" ca="1" si="217"/>
        <v>303.91749505847918</v>
      </c>
      <c r="V87" s="294">
        <f t="shared" ca="1" si="217"/>
        <v>426.21576409221666</v>
      </c>
      <c r="W87" s="294">
        <f t="shared" ca="1" si="217"/>
        <v>207.89751104902211</v>
      </c>
      <c r="X87" s="294">
        <f t="shared" ca="1" si="217"/>
        <v>-10.095739339406666</v>
      </c>
      <c r="Y87" s="294">
        <f t="shared" ca="1" si="217"/>
        <v>-1458.9378638800001</v>
      </c>
      <c r="Z87" s="294">
        <f t="shared" ca="1" si="217"/>
        <v>-761.432111111111</v>
      </c>
      <c r="AA87" s="294">
        <f t="shared" ca="1" si="217"/>
        <v>0</v>
      </c>
      <c r="AB87" s="294">
        <f t="shared" ca="1" si="217"/>
        <v>0</v>
      </c>
      <c r="AC87" s="294">
        <f t="shared" ca="1" si="217"/>
        <v>-1662.4488171111111</v>
      </c>
      <c r="AD87" s="294">
        <f t="shared" ca="1" si="217"/>
        <v>-10.777293333333335</v>
      </c>
      <c r="AE87" s="294">
        <f t="shared" ca="1" si="217"/>
        <v>-32.417971204444449</v>
      </c>
      <c r="AF87" s="294">
        <f t="shared" ca="1" si="217"/>
        <v>-8.9312228459752419</v>
      </c>
      <c r="AG87" s="294">
        <f t="shared" ca="1" si="217"/>
        <v>-12.32445930299996</v>
      </c>
      <c r="AH87" s="294">
        <f t="shared" ca="1" si="167"/>
        <v>-3042.3192860222325</v>
      </c>
      <c r="AJ87" s="295">
        <f t="shared" ref="AJ87:AX87" ca="1" si="218">AJ$74+AJ$80+AJ$85</f>
        <v>0</v>
      </c>
      <c r="AK87" s="295">
        <f t="shared" ca="1" si="218"/>
        <v>0</v>
      </c>
      <c r="AL87" s="295">
        <f t="shared" ca="1" si="218"/>
        <v>0</v>
      </c>
      <c r="AM87" s="295">
        <f t="shared" ca="1" si="218"/>
        <v>875.52051462475561</v>
      </c>
      <c r="AN87" s="295">
        <f t="shared" ca="1" si="218"/>
        <v>0.52500000000000002</v>
      </c>
      <c r="AO87" s="295">
        <f t="shared" ca="1" si="218"/>
        <v>0</v>
      </c>
      <c r="AP87" s="295">
        <f t="shared" ca="1" si="218"/>
        <v>8.5753578045170311</v>
      </c>
      <c r="AQ87" s="295">
        <f t="shared" ca="1" si="218"/>
        <v>1157.6931375681877</v>
      </c>
      <c r="AR87" s="295">
        <f t="shared" ca="1" si="218"/>
        <v>711.34280526370412</v>
      </c>
      <c r="AS87" s="295">
        <f t="shared" ca="1" si="218"/>
        <v>0</v>
      </c>
      <c r="AT87" s="295">
        <f t="shared" ca="1" si="218"/>
        <v>0</v>
      </c>
      <c r="AU87" s="295">
        <f t="shared" ca="1" si="218"/>
        <v>0</v>
      </c>
      <c r="AV87" s="295">
        <f t="shared" ca="1" si="218"/>
        <v>0</v>
      </c>
      <c r="AW87" s="295">
        <f t="shared" ca="1" si="218"/>
        <v>0</v>
      </c>
      <c r="AX87" s="295">
        <f t="shared" ca="1" si="218"/>
        <v>0</v>
      </c>
      <c r="AY87" s="295">
        <f t="shared" ca="1" si="155"/>
        <v>2753.6568152611644</v>
      </c>
      <c r="BA87" s="296">
        <f ca="1">BA$74+BA$80+BA$85</f>
        <v>264.08856679449832</v>
      </c>
      <c r="BB87" s="296">
        <f ca="1">BB$74+BB$80+BB$85</f>
        <v>24.573903966569656</v>
      </c>
      <c r="BC87" s="296">
        <f t="shared" ca="1" si="168"/>
        <v>288.66247076106799</v>
      </c>
      <c r="BE87" s="58">
        <f t="shared" ca="1" si="205"/>
        <v>0</v>
      </c>
      <c r="BF87" s="58"/>
      <c r="BH87" s="546">
        <f t="shared" ref="BH87:CT87" ca="1" si="219">BH$74+BH$80+BH$85</f>
        <v>0</v>
      </c>
      <c r="BI87" s="546">
        <f t="shared" ca="1" si="219"/>
        <v>0</v>
      </c>
      <c r="BJ87" s="546">
        <f t="shared" ca="1" si="219"/>
        <v>0</v>
      </c>
      <c r="BK87" s="546">
        <f t="shared" ca="1" si="219"/>
        <v>0</v>
      </c>
      <c r="BL87" s="546">
        <f t="shared" ca="1" si="219"/>
        <v>0</v>
      </c>
      <c r="BM87" s="546">
        <f t="shared" ca="1" si="219"/>
        <v>4.3706513640884639</v>
      </c>
      <c r="BN87" s="546">
        <f t="shared" ca="1" si="219"/>
        <v>0</v>
      </c>
      <c r="BO87" s="546">
        <f t="shared" ca="1" si="219"/>
        <v>0</v>
      </c>
      <c r="BP87" s="546">
        <f t="shared" ca="1" si="219"/>
        <v>0</v>
      </c>
      <c r="BQ87" s="546">
        <f t="shared" ca="1" si="219"/>
        <v>0</v>
      </c>
      <c r="BR87" s="546">
        <f t="shared" ca="1" si="219"/>
        <v>0</v>
      </c>
      <c r="BS87" s="546">
        <f t="shared" ca="1" si="219"/>
        <v>0</v>
      </c>
      <c r="BT87" s="546">
        <f t="shared" ca="1" si="219"/>
        <v>0</v>
      </c>
      <c r="BU87" s="546">
        <f t="shared" ca="1" si="219"/>
        <v>0</v>
      </c>
      <c r="BV87" s="546">
        <f t="shared" ca="1" si="219"/>
        <v>0</v>
      </c>
      <c r="BW87" s="546">
        <f t="shared" ca="1" si="219"/>
        <v>0</v>
      </c>
      <c r="BX87" s="546">
        <f t="shared" ca="1" si="219"/>
        <v>0</v>
      </c>
      <c r="BY87" s="546">
        <f t="shared" ca="1" si="219"/>
        <v>0</v>
      </c>
      <c r="BZ87" s="546">
        <f t="shared" ca="1" si="219"/>
        <v>0</v>
      </c>
      <c r="CA87" s="546">
        <f t="shared" ca="1" si="219"/>
        <v>0</v>
      </c>
      <c r="CB87" s="546">
        <f t="shared" ca="1" si="219"/>
        <v>0</v>
      </c>
      <c r="CC87" s="546">
        <f t="shared" ca="1" si="219"/>
        <v>0</v>
      </c>
      <c r="CD87" s="546">
        <f t="shared" ca="1" si="219"/>
        <v>0</v>
      </c>
      <c r="CE87" s="546">
        <f t="shared" ca="1" si="219"/>
        <v>0</v>
      </c>
      <c r="CF87" s="546">
        <f t="shared" ca="1" si="219"/>
        <v>0</v>
      </c>
      <c r="CG87" s="546">
        <f t="shared" ca="1" si="219"/>
        <v>0</v>
      </c>
      <c r="CH87" s="546">
        <f t="shared" ca="1" si="219"/>
        <v>0</v>
      </c>
      <c r="CI87" s="546">
        <f t="shared" ca="1" si="219"/>
        <v>0</v>
      </c>
      <c r="CJ87" s="546">
        <f t="shared" ca="1" si="219"/>
        <v>0</v>
      </c>
      <c r="CK87" s="546">
        <f t="shared" ca="1" si="219"/>
        <v>0</v>
      </c>
      <c r="CL87" s="546">
        <f t="shared" ca="1" si="219"/>
        <v>0</v>
      </c>
      <c r="CM87" s="546">
        <f t="shared" ca="1" si="219"/>
        <v>0</v>
      </c>
      <c r="CN87" s="546">
        <f t="shared" ca="1" si="219"/>
        <v>-69.984746261924187</v>
      </c>
      <c r="CO87" s="546">
        <f t="shared" ca="1" si="219"/>
        <v>0</v>
      </c>
      <c r="CP87" s="546">
        <f t="shared" ca="1" si="219"/>
        <v>0</v>
      </c>
      <c r="CQ87" s="546">
        <f t="shared" ca="1" si="219"/>
        <v>0</v>
      </c>
      <c r="CR87" s="546">
        <f t="shared" ca="1" si="219"/>
        <v>0</v>
      </c>
      <c r="CS87" s="546">
        <f t="shared" ca="1" si="219"/>
        <v>0</v>
      </c>
      <c r="CT87" s="546">
        <f t="shared" ca="1" si="219"/>
        <v>0</v>
      </c>
      <c r="CU87" s="546">
        <f ca="1">CU$74+CU$85</f>
        <v>0</v>
      </c>
      <c r="CW87" s="148">
        <f ca="1">SUM(BH87:CU87)</f>
        <v>-65.614094897835727</v>
      </c>
    </row>
    <row r="88" spans="2:101" s="84" customFormat="1" ht="15" customHeight="1" x14ac:dyDescent="0.2">
      <c r="C88" s="50"/>
      <c r="D88" s="51"/>
      <c r="E88" s="51"/>
      <c r="G88" s="245"/>
      <c r="H88" s="245"/>
      <c r="I88" s="245"/>
      <c r="J88" s="245"/>
      <c r="K88" s="245"/>
      <c r="L88" s="247"/>
      <c r="M88" s="245"/>
      <c r="N88" s="245"/>
      <c r="O88" s="245"/>
      <c r="P88" s="245">
        <f t="shared" si="144"/>
        <v>0</v>
      </c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>
        <f t="shared" si="167"/>
        <v>0</v>
      </c>
      <c r="AJ88" s="263"/>
      <c r="AK88" s="263"/>
      <c r="AL88" s="263"/>
      <c r="AM88" s="263"/>
      <c r="AN88" s="263"/>
      <c r="AO88" s="263"/>
      <c r="AP88" s="263"/>
      <c r="AQ88" s="263"/>
      <c r="AR88" s="263"/>
      <c r="AS88" s="263"/>
      <c r="AT88" s="263"/>
      <c r="AU88" s="263"/>
      <c r="AV88" s="263"/>
      <c r="AW88" s="263"/>
      <c r="AX88" s="263"/>
      <c r="AY88" s="263">
        <f t="shared" si="155"/>
        <v>0</v>
      </c>
      <c r="BA88" s="277"/>
      <c r="BB88" s="277"/>
      <c r="BC88" s="277">
        <f t="shared" si="168"/>
        <v>0</v>
      </c>
      <c r="BE88" s="55">
        <f t="shared" si="205"/>
        <v>0</v>
      </c>
      <c r="BF88" s="55"/>
      <c r="BH88" s="542"/>
      <c r="BI88" s="542"/>
      <c r="BJ88" s="542"/>
      <c r="BK88" s="542"/>
      <c r="BL88" s="542"/>
      <c r="BM88" s="542"/>
      <c r="BN88" s="542"/>
      <c r="BO88" s="542"/>
      <c r="BP88" s="542"/>
      <c r="BQ88" s="542"/>
      <c r="BR88" s="542"/>
      <c r="BS88" s="542"/>
      <c r="BT88" s="542"/>
      <c r="BU88" s="542"/>
      <c r="BV88" s="542"/>
      <c r="BW88" s="542"/>
      <c r="BX88" s="542"/>
      <c r="BY88" s="542"/>
      <c r="BZ88" s="542"/>
      <c r="CA88" s="542"/>
      <c r="CB88" s="542"/>
      <c r="CC88" s="542"/>
      <c r="CD88" s="542"/>
      <c r="CE88" s="542"/>
      <c r="CF88" s="542"/>
      <c r="CG88" s="542"/>
      <c r="CH88" s="542"/>
      <c r="CI88" s="542"/>
      <c r="CJ88" s="542"/>
      <c r="CK88" s="542"/>
      <c r="CL88" s="542"/>
      <c r="CM88" s="542"/>
      <c r="CN88" s="542"/>
      <c r="CO88" s="542"/>
      <c r="CP88" s="542"/>
      <c r="CQ88" s="542"/>
      <c r="CR88" s="542"/>
      <c r="CS88" s="542"/>
      <c r="CT88" s="542"/>
      <c r="CU88" s="542"/>
      <c r="CW88" s="151"/>
    </row>
    <row r="89" spans="2:101" s="84" customFormat="1" ht="15" customHeight="1" thickBot="1" x14ac:dyDescent="0.25">
      <c r="C89" s="50"/>
      <c r="D89" s="51"/>
      <c r="E89" s="51"/>
      <c r="G89" s="245"/>
      <c r="H89" s="245"/>
      <c r="I89" s="245"/>
      <c r="J89" s="245"/>
      <c r="K89" s="245"/>
      <c r="L89" s="247"/>
      <c r="M89" s="245"/>
      <c r="N89" s="245"/>
      <c r="O89" s="245"/>
      <c r="P89" s="245">
        <f t="shared" si="144"/>
        <v>0</v>
      </c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>
        <f t="shared" si="167"/>
        <v>0</v>
      </c>
      <c r="AJ89" s="263"/>
      <c r="AK89" s="263"/>
      <c r="AL89" s="263"/>
      <c r="AM89" s="263"/>
      <c r="AN89" s="263"/>
      <c r="AO89" s="263"/>
      <c r="AP89" s="263"/>
      <c r="AQ89" s="263"/>
      <c r="AR89" s="263"/>
      <c r="AS89" s="263"/>
      <c r="AT89" s="263"/>
      <c r="AU89" s="263"/>
      <c r="AV89" s="263"/>
      <c r="AW89" s="263"/>
      <c r="AX89" s="263"/>
      <c r="AY89" s="263">
        <f t="shared" si="155"/>
        <v>0</v>
      </c>
      <c r="BA89" s="277"/>
      <c r="BB89" s="277"/>
      <c r="BC89" s="277">
        <f t="shared" si="168"/>
        <v>0</v>
      </c>
      <c r="BE89" s="55">
        <f t="shared" si="205"/>
        <v>0</v>
      </c>
      <c r="BF89" s="55"/>
      <c r="BH89" s="542"/>
      <c r="BI89" s="542"/>
      <c r="BJ89" s="542"/>
      <c r="BK89" s="542"/>
      <c r="BL89" s="542"/>
      <c r="BM89" s="542"/>
      <c r="BN89" s="542"/>
      <c r="BO89" s="542"/>
      <c r="BP89" s="542"/>
      <c r="BQ89" s="542"/>
      <c r="BR89" s="542"/>
      <c r="BS89" s="542"/>
      <c r="BT89" s="542"/>
      <c r="BU89" s="542"/>
      <c r="BV89" s="542"/>
      <c r="BW89" s="542"/>
      <c r="BX89" s="542"/>
      <c r="BY89" s="542"/>
      <c r="BZ89" s="542"/>
      <c r="CA89" s="542"/>
      <c r="CB89" s="542"/>
      <c r="CC89" s="542"/>
      <c r="CD89" s="542"/>
      <c r="CE89" s="542"/>
      <c r="CF89" s="542"/>
      <c r="CG89" s="542"/>
      <c r="CH89" s="542"/>
      <c r="CI89" s="542"/>
      <c r="CJ89" s="542"/>
      <c r="CK89" s="542"/>
      <c r="CL89" s="542"/>
      <c r="CM89" s="542"/>
      <c r="CN89" s="542"/>
      <c r="CO89" s="542"/>
      <c r="CP89" s="542"/>
      <c r="CQ89" s="542"/>
      <c r="CR89" s="542"/>
      <c r="CS89" s="542"/>
      <c r="CT89" s="542"/>
      <c r="CU89" s="542"/>
      <c r="CW89" s="151"/>
    </row>
    <row r="90" spans="2:101" s="84" customFormat="1" ht="15" customHeight="1" thickBot="1" x14ac:dyDescent="0.25">
      <c r="C90" s="67" t="s">
        <v>189</v>
      </c>
      <c r="D90" s="67"/>
      <c r="E90" s="67"/>
      <c r="G90" s="357">
        <f ca="1">G$28+G$66+G$87</f>
        <v>46.191013019682934</v>
      </c>
      <c r="H90" s="357">
        <f ca="1">H$28+H$66+H$87</f>
        <v>31.295223413352669</v>
      </c>
      <c r="I90" s="357">
        <f ca="1">I$28+I$66+I$87</f>
        <v>244.94029459261003</v>
      </c>
      <c r="J90" s="357">
        <f t="shared" ref="J90:O90" ca="1" si="220">J$28+J$66+J$87</f>
        <v>419.34528169394542</v>
      </c>
      <c r="K90" s="357">
        <f t="shared" ca="1" si="220"/>
        <v>102.3149280766313</v>
      </c>
      <c r="L90" s="357">
        <f t="shared" ca="1" si="220"/>
        <v>25.076957917110953</v>
      </c>
      <c r="M90" s="357">
        <f t="shared" ca="1" si="220"/>
        <v>0</v>
      </c>
      <c r="N90" s="357">
        <f t="shared" ca="1" si="220"/>
        <v>0</v>
      </c>
      <c r="O90" s="357">
        <f t="shared" ca="1" si="220"/>
        <v>1.0449356110119832</v>
      </c>
      <c r="P90" s="357">
        <f t="shared" ref="P90" ca="1" si="221">SUM(G90:O90)</f>
        <v>870.20863432434521</v>
      </c>
      <c r="R90" s="358">
        <f t="shared" ref="R90:AG90" ca="1" si="222">R$28+R$66+R$87</f>
        <v>-117.07862642129547</v>
      </c>
      <c r="S90" s="358">
        <f t="shared" ca="1" si="222"/>
        <v>117.07862642129547</v>
      </c>
      <c r="T90" s="358">
        <f t="shared" ca="1" si="222"/>
        <v>0</v>
      </c>
      <c r="U90" s="358">
        <f t="shared" ca="1" si="222"/>
        <v>0</v>
      </c>
      <c r="V90" s="358">
        <f t="shared" ca="1" si="222"/>
        <v>0</v>
      </c>
      <c r="W90" s="358">
        <f t="shared" ca="1" si="222"/>
        <v>0</v>
      </c>
      <c r="X90" s="358">
        <f t="shared" ca="1" si="222"/>
        <v>0</v>
      </c>
      <c r="Y90" s="358">
        <f t="shared" ca="1" si="222"/>
        <v>0</v>
      </c>
      <c r="Z90" s="358">
        <f t="shared" ca="1" si="222"/>
        <v>0</v>
      </c>
      <c r="AA90" s="358">
        <f t="shared" ca="1" si="222"/>
        <v>0</v>
      </c>
      <c r="AB90" s="358">
        <f t="shared" ca="1" si="222"/>
        <v>0</v>
      </c>
      <c r="AC90" s="358">
        <f t="shared" ca="1" si="222"/>
        <v>0</v>
      </c>
      <c r="AD90" s="358">
        <f t="shared" ca="1" si="222"/>
        <v>0</v>
      </c>
      <c r="AE90" s="358">
        <f t="shared" ca="1" si="222"/>
        <v>0</v>
      </c>
      <c r="AF90" s="358">
        <f t="shared" ca="1" si="222"/>
        <v>0</v>
      </c>
      <c r="AG90" s="358">
        <f t="shared" ca="1" si="222"/>
        <v>0</v>
      </c>
      <c r="AH90" s="358">
        <f t="shared" ca="1" si="167"/>
        <v>0</v>
      </c>
      <c r="AJ90" s="359">
        <f t="shared" ref="AJ90:AX90" ca="1" si="223">AJ$28+AJ$66+AJ$87</f>
        <v>-6.17215067274</v>
      </c>
      <c r="AK90" s="359">
        <f t="shared" ca="1" si="223"/>
        <v>-1458.9378638800001</v>
      </c>
      <c r="AL90" s="359">
        <f t="shared" ca="1" si="223"/>
        <v>-761.432111111111</v>
      </c>
      <c r="AM90" s="359">
        <f t="shared" ca="1" si="223"/>
        <v>875.52051462475561</v>
      </c>
      <c r="AN90" s="359">
        <f t="shared" ca="1" si="223"/>
        <v>0.52500000000000002</v>
      </c>
      <c r="AO90" s="359">
        <f t="shared" ca="1" si="223"/>
        <v>0</v>
      </c>
      <c r="AP90" s="359">
        <f t="shared" ca="1" si="223"/>
        <v>8.5753578045170311</v>
      </c>
      <c r="AQ90" s="359">
        <f t="shared" ca="1" si="223"/>
        <v>1157.6931375681877</v>
      </c>
      <c r="AR90" s="359">
        <f t="shared" ca="1" si="223"/>
        <v>711.34280526370412</v>
      </c>
      <c r="AS90" s="359">
        <f t="shared" ca="1" si="223"/>
        <v>0</v>
      </c>
      <c r="AT90" s="359">
        <f t="shared" ca="1" si="223"/>
        <v>-2.7612899999999996E-2</v>
      </c>
      <c r="AU90" s="359">
        <f t="shared" ca="1" si="223"/>
        <v>0</v>
      </c>
      <c r="AV90" s="359">
        <f t="shared" ca="1" si="223"/>
        <v>-10.273751999999998</v>
      </c>
      <c r="AW90" s="359">
        <f t="shared" ca="1" si="223"/>
        <v>-1673.2261104444444</v>
      </c>
      <c r="AX90" s="359">
        <f t="shared" ca="1" si="223"/>
        <v>-57.597242020086313</v>
      </c>
      <c r="AY90" s="359">
        <f t="shared" ca="1" si="155"/>
        <v>-1214.010027767217</v>
      </c>
      <c r="BA90" s="360">
        <f ca="1">BA$28+BA$66+BA$87</f>
        <v>311.91818613481109</v>
      </c>
      <c r="BB90" s="360">
        <f ca="1">BB$28+BB$66+BB$87</f>
        <v>31.883207308061046</v>
      </c>
      <c r="BC90" s="360">
        <f t="shared" ca="1" si="168"/>
        <v>343.80139344287215</v>
      </c>
      <c r="BE90" s="54">
        <f t="shared" ca="1" si="205"/>
        <v>0</v>
      </c>
      <c r="BF90" s="54"/>
      <c r="BH90" s="552">
        <f t="shared" ref="BH90:CU90" ca="1" si="224">BH$28+BH$66+BH$87</f>
        <v>122.8066750812059</v>
      </c>
      <c r="BI90" s="552">
        <f ca="1">BI$28+BI$66+BI$87</f>
        <v>8.9974519184945425</v>
      </c>
      <c r="BJ90" s="552">
        <f t="shared" ca="1" si="224"/>
        <v>9.6345067046174435</v>
      </c>
      <c r="BK90" s="552">
        <f t="shared" ca="1" si="224"/>
        <v>0</v>
      </c>
      <c r="BL90" s="552">
        <f t="shared" ca="1" si="224"/>
        <v>6.66</v>
      </c>
      <c r="BM90" s="552">
        <f t="shared" ca="1" si="224"/>
        <v>4.3790513640884638</v>
      </c>
      <c r="BN90" s="552">
        <f t="shared" ca="1" si="224"/>
        <v>0</v>
      </c>
      <c r="BO90" s="552">
        <f t="shared" ca="1" si="224"/>
        <v>0</v>
      </c>
      <c r="BP90" s="552">
        <f t="shared" ca="1" si="224"/>
        <v>14.39565925511863</v>
      </c>
      <c r="BQ90" s="552">
        <f t="shared" ca="1" si="224"/>
        <v>0.11288744235152412</v>
      </c>
      <c r="BR90" s="552">
        <f t="shared" ca="1" si="224"/>
        <v>2.7624692105907238</v>
      </c>
      <c r="BS90" s="552">
        <f t="shared" ca="1" si="224"/>
        <v>10.620296151887526</v>
      </c>
      <c r="BT90" s="552">
        <f t="shared" ca="1" si="224"/>
        <v>0</v>
      </c>
      <c r="BU90" s="552">
        <f t="shared" ca="1" si="224"/>
        <v>0</v>
      </c>
      <c r="BV90" s="552">
        <f t="shared" ca="1" si="224"/>
        <v>0</v>
      </c>
      <c r="BW90" s="552">
        <f t="shared" ca="1" si="224"/>
        <v>0</v>
      </c>
      <c r="BX90" s="552">
        <f t="shared" ca="1" si="224"/>
        <v>0</v>
      </c>
      <c r="BY90" s="552">
        <f t="shared" ca="1" si="224"/>
        <v>0</v>
      </c>
      <c r="BZ90" s="552">
        <f t="shared" ca="1" si="224"/>
        <v>23.28</v>
      </c>
      <c r="CA90" s="552">
        <f t="shared" ca="1" si="224"/>
        <v>0</v>
      </c>
      <c r="CB90" s="552">
        <f t="shared" ca="1" si="224"/>
        <v>1.902062868</v>
      </c>
      <c r="CC90" s="552">
        <f t="shared" ca="1" si="224"/>
        <v>0</v>
      </c>
      <c r="CD90" s="552">
        <f t="shared" ca="1" si="224"/>
        <v>0</v>
      </c>
      <c r="CE90" s="552">
        <f t="shared" ca="1" si="224"/>
        <v>0</v>
      </c>
      <c r="CF90" s="552">
        <f t="shared" ca="1" si="224"/>
        <v>0</v>
      </c>
      <c r="CG90" s="552">
        <f t="shared" ca="1" si="224"/>
        <v>13.121211328991082</v>
      </c>
      <c r="CH90" s="552">
        <f t="shared" ca="1" si="224"/>
        <v>0</v>
      </c>
      <c r="CI90" s="552">
        <f t="shared" ca="1" si="224"/>
        <v>0</v>
      </c>
      <c r="CJ90" s="552">
        <f t="shared" ca="1" si="224"/>
        <v>0</v>
      </c>
      <c r="CK90" s="552">
        <f t="shared" ca="1" si="224"/>
        <v>0</v>
      </c>
      <c r="CL90" s="552">
        <f t="shared" ca="1" si="224"/>
        <v>0</v>
      </c>
      <c r="CM90" s="552">
        <f t="shared" ca="1" si="224"/>
        <v>0</v>
      </c>
      <c r="CN90" s="552">
        <f t="shared" ca="1" si="224"/>
        <v>-69.984746261924187</v>
      </c>
      <c r="CO90" s="552">
        <f t="shared" ca="1" si="224"/>
        <v>0</v>
      </c>
      <c r="CP90" s="552">
        <f t="shared" ca="1" si="224"/>
        <v>0</v>
      </c>
      <c r="CQ90" s="552">
        <f t="shared" ca="1" si="224"/>
        <v>0</v>
      </c>
      <c r="CR90" s="552">
        <f t="shared" ca="1" si="224"/>
        <v>0</v>
      </c>
      <c r="CS90" s="552">
        <f t="shared" ca="1" si="224"/>
        <v>0</v>
      </c>
      <c r="CT90" s="552">
        <f t="shared" ca="1" si="224"/>
        <v>0</v>
      </c>
      <c r="CU90" s="552">
        <f t="shared" ca="1" si="224"/>
        <v>0</v>
      </c>
      <c r="CW90" s="148">
        <f ca="1">SUM(BH90:CU90)</f>
        <v>148.68752506342165</v>
      </c>
    </row>
    <row r="91" spans="2:101" s="84" customFormat="1" ht="15" customHeight="1" x14ac:dyDescent="0.2">
      <c r="C91" s="50"/>
      <c r="D91" s="51"/>
      <c r="E91" s="51"/>
      <c r="G91" s="282"/>
      <c r="H91" s="282"/>
      <c r="I91" s="282"/>
      <c r="J91" s="282"/>
      <c r="K91" s="282"/>
      <c r="L91" s="283"/>
      <c r="M91" s="282"/>
      <c r="N91" s="282"/>
      <c r="O91" s="282"/>
      <c r="P91" s="282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BA91" s="289"/>
      <c r="BB91" s="289"/>
      <c r="BC91" s="289"/>
      <c r="BE91" s="55"/>
      <c r="BF91" s="55"/>
      <c r="BH91" s="553"/>
      <c r="BI91" s="553"/>
      <c r="BJ91" s="553"/>
      <c r="BK91" s="553"/>
      <c r="BL91" s="553"/>
      <c r="BM91" s="553"/>
      <c r="BN91" s="553"/>
      <c r="BO91" s="553"/>
      <c r="BP91" s="553"/>
      <c r="BQ91" s="553"/>
      <c r="BR91" s="553"/>
      <c r="BS91" s="553"/>
      <c r="BT91" s="553"/>
      <c r="BU91" s="553"/>
      <c r="BV91" s="553"/>
      <c r="BW91" s="553"/>
      <c r="BX91" s="553"/>
      <c r="BY91" s="553"/>
      <c r="BZ91" s="553"/>
      <c r="CA91" s="553"/>
      <c r="CB91" s="553"/>
      <c r="CC91" s="553"/>
      <c r="CD91" s="553"/>
      <c r="CE91" s="553"/>
      <c r="CF91" s="553"/>
      <c r="CG91" s="553"/>
      <c r="CH91" s="553"/>
      <c r="CI91" s="553"/>
      <c r="CJ91" s="553"/>
      <c r="CK91" s="553"/>
      <c r="CL91" s="553"/>
      <c r="CM91" s="553"/>
      <c r="CN91" s="553"/>
      <c r="CO91" s="553"/>
      <c r="CP91" s="553"/>
      <c r="CQ91" s="553"/>
      <c r="CR91" s="553"/>
      <c r="CS91" s="553"/>
      <c r="CT91" s="553"/>
      <c r="CU91" s="553"/>
    </row>
    <row r="92" spans="2:101" x14ac:dyDescent="0.2">
      <c r="G92" s="55"/>
      <c r="H92" s="55"/>
      <c r="I92" s="55"/>
      <c r="J92" s="55"/>
      <c r="K92" s="55"/>
      <c r="L92" s="59"/>
      <c r="M92" s="55"/>
      <c r="N92" s="55"/>
      <c r="O92" s="55"/>
      <c r="P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BA92" s="55"/>
      <c r="BB92" s="55"/>
      <c r="BC92" s="55"/>
      <c r="BE92" s="55"/>
      <c r="BF92" s="55"/>
    </row>
    <row r="93" spans="2:101" x14ac:dyDescent="0.2">
      <c r="G93" s="55"/>
      <c r="H93" s="55"/>
      <c r="I93" s="55"/>
      <c r="J93" s="55"/>
      <c r="K93" s="55"/>
      <c r="L93" s="59"/>
      <c r="M93" s="55"/>
      <c r="N93" s="55"/>
      <c r="O93" s="55"/>
      <c r="P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BA93" s="55"/>
      <c r="BB93" s="55"/>
      <c r="BC93" s="55"/>
      <c r="BE93" s="55"/>
      <c r="BF93" s="55"/>
      <c r="CU93" s="16" t="s">
        <v>1183</v>
      </c>
      <c r="CW93" s="1025">
        <f ca="1">SUM(CW47,CW50,CW54,CW64)</f>
        <v>10.773783422309908</v>
      </c>
    </row>
    <row r="94" spans="2:101" x14ac:dyDescent="0.2">
      <c r="B94" s="38" t="s">
        <v>322</v>
      </c>
      <c r="C94" s="355" t="s">
        <v>443</v>
      </c>
      <c r="G94" s="55"/>
      <c r="H94" s="55"/>
      <c r="I94" s="55"/>
      <c r="J94" s="55"/>
      <c r="K94" s="55"/>
      <c r="L94" s="59"/>
      <c r="M94" s="55"/>
      <c r="N94" s="55"/>
      <c r="O94" s="55"/>
      <c r="P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BA94" s="55"/>
      <c r="BB94" s="55"/>
      <c r="BC94" s="55"/>
      <c r="BE94" s="55"/>
      <c r="BF94" s="55"/>
      <c r="CU94" s="16" t="s">
        <v>1184</v>
      </c>
      <c r="CW94" s="1025">
        <f ca="1">S90-MIN(S84,0)</f>
        <v>117.07862642129547</v>
      </c>
    </row>
    <row r="95" spans="2:101" ht="15.75" x14ac:dyDescent="0.25">
      <c r="B95" s="3"/>
      <c r="G95" s="55"/>
      <c r="H95" s="55"/>
      <c r="I95" s="55"/>
      <c r="J95" s="55"/>
      <c r="K95" s="55"/>
      <c r="L95" s="59"/>
      <c r="M95" s="55"/>
      <c r="N95" s="55"/>
      <c r="O95" s="55"/>
      <c r="P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BA95" s="55"/>
      <c r="BB95" s="55"/>
      <c r="BC95" s="55"/>
      <c r="BE95" s="55"/>
      <c r="BF95" s="55"/>
      <c r="CU95" s="16" t="s">
        <v>1185</v>
      </c>
      <c r="CW95" s="38">
        <f ca="1">CW93/CW94</f>
        <v>9.2021778454604936E-2</v>
      </c>
    </row>
    <row r="96" spans="2:101" x14ac:dyDescent="0.2">
      <c r="G96" s="55"/>
      <c r="H96" s="55"/>
      <c r="I96" s="55"/>
      <c r="J96" s="55"/>
      <c r="K96" s="55"/>
      <c r="L96" s="59"/>
      <c r="M96" s="55"/>
      <c r="N96" s="55"/>
      <c r="O96" s="55"/>
      <c r="P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BA96" s="55"/>
      <c r="BB96" s="55"/>
      <c r="BC96" s="55"/>
      <c r="BE96" s="55"/>
      <c r="BF96" s="55"/>
    </row>
    <row r="97" spans="2:58" ht="15.75" x14ac:dyDescent="0.25">
      <c r="B97" s="3"/>
      <c r="G97" s="55"/>
      <c r="H97" s="55"/>
      <c r="I97" s="55"/>
      <c r="J97" s="55"/>
      <c r="K97" s="55"/>
      <c r="L97" s="59"/>
      <c r="M97" s="55"/>
      <c r="N97" s="55"/>
      <c r="O97" s="55"/>
      <c r="P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BA97" s="55"/>
      <c r="BB97" s="55"/>
      <c r="BC97" s="55"/>
      <c r="BE97" s="55"/>
      <c r="BF97" s="55"/>
    </row>
    <row r="98" spans="2:58" ht="15.75" x14ac:dyDescent="0.25">
      <c r="B98" s="3"/>
      <c r="G98" s="55"/>
      <c r="H98" s="55"/>
      <c r="I98" s="55"/>
      <c r="J98" s="55"/>
      <c r="K98" s="55"/>
      <c r="L98" s="59"/>
      <c r="M98" s="55"/>
      <c r="N98" s="55"/>
      <c r="O98" s="55"/>
      <c r="P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BA98" s="55"/>
      <c r="BB98" s="55"/>
      <c r="BC98" s="55"/>
      <c r="BE98" s="55"/>
      <c r="BF98" s="55"/>
    </row>
    <row r="99" spans="2:58" ht="15.75" x14ac:dyDescent="0.25">
      <c r="B99" s="3"/>
      <c r="G99" s="55"/>
      <c r="H99" s="55"/>
      <c r="I99" s="55"/>
      <c r="J99" s="55"/>
      <c r="K99" s="55"/>
      <c r="L99" s="59"/>
      <c r="M99" s="55"/>
      <c r="N99" s="55"/>
      <c r="O99" s="55"/>
      <c r="P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BA99" s="55"/>
      <c r="BB99" s="55"/>
      <c r="BC99" s="55"/>
      <c r="BE99" s="55"/>
      <c r="BF99" s="55"/>
    </row>
    <row r="100" spans="2:58" ht="15.75" x14ac:dyDescent="0.25">
      <c r="B100" s="3"/>
      <c r="G100" s="55"/>
      <c r="H100" s="55"/>
      <c r="I100" s="55"/>
      <c r="J100" s="55"/>
      <c r="K100" s="55"/>
      <c r="L100" s="59"/>
      <c r="M100" s="55"/>
      <c r="N100" s="55"/>
      <c r="O100" s="55"/>
      <c r="P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BA100" s="55"/>
      <c r="BB100" s="55"/>
      <c r="BC100" s="55"/>
      <c r="BE100" s="55"/>
      <c r="BF100" s="55"/>
    </row>
    <row r="101" spans="2:58" ht="15.75" x14ac:dyDescent="0.25">
      <c r="B101" s="3"/>
      <c r="G101" s="55"/>
      <c r="H101" s="55"/>
      <c r="I101" s="55"/>
      <c r="J101" s="55"/>
      <c r="K101" s="55"/>
      <c r="L101" s="59"/>
      <c r="M101" s="55"/>
      <c r="N101" s="55"/>
      <c r="O101" s="55"/>
      <c r="P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BA101" s="55"/>
      <c r="BB101" s="55"/>
      <c r="BC101" s="55"/>
      <c r="BE101" s="55"/>
      <c r="BF101" s="55"/>
    </row>
    <row r="102" spans="2:58" ht="15.75" x14ac:dyDescent="0.25">
      <c r="B102" s="3"/>
      <c r="G102" s="55"/>
      <c r="H102" s="55"/>
      <c r="I102" s="55"/>
      <c r="J102" s="55"/>
      <c r="K102" s="55"/>
      <c r="L102" s="59"/>
      <c r="M102" s="55"/>
      <c r="N102" s="55"/>
      <c r="O102" s="55"/>
      <c r="P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BA102" s="55"/>
      <c r="BB102" s="55"/>
      <c r="BC102" s="55"/>
      <c r="BE102" s="55"/>
      <c r="BF102" s="55"/>
    </row>
    <row r="103" spans="2:58" x14ac:dyDescent="0.2">
      <c r="G103" s="55"/>
      <c r="H103" s="55"/>
      <c r="I103" s="55"/>
      <c r="J103" s="55"/>
      <c r="K103" s="55"/>
      <c r="L103" s="59"/>
      <c r="M103" s="55"/>
      <c r="N103" s="55"/>
      <c r="O103" s="55"/>
      <c r="P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BA103" s="55"/>
      <c r="BB103" s="55"/>
      <c r="BC103" s="55"/>
      <c r="BE103" s="55"/>
      <c r="BF103" s="55"/>
    </row>
    <row r="104" spans="2:58" ht="24" customHeight="1" x14ac:dyDescent="0.2">
      <c r="G104" s="55"/>
      <c r="H104" s="55"/>
      <c r="I104" s="55"/>
      <c r="J104" s="55"/>
      <c r="K104" s="55"/>
      <c r="L104" s="59"/>
      <c r="M104" s="55"/>
      <c r="N104" s="55"/>
      <c r="O104" s="55"/>
      <c r="P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BA104" s="55"/>
      <c r="BB104" s="55"/>
      <c r="BC104" s="55"/>
      <c r="BE104" s="55"/>
      <c r="BF104" s="55"/>
    </row>
    <row r="105" spans="2:58" x14ac:dyDescent="0.2">
      <c r="G105" s="55"/>
      <c r="H105" s="55"/>
      <c r="I105" s="55"/>
      <c r="J105" s="55"/>
      <c r="K105" s="55"/>
      <c r="L105" s="59"/>
      <c r="M105" s="55"/>
      <c r="N105" s="55"/>
      <c r="O105" s="55"/>
      <c r="P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BA105" s="55"/>
      <c r="BB105" s="55"/>
      <c r="BC105" s="55"/>
      <c r="BE105" s="55"/>
      <c r="BF105" s="55"/>
    </row>
    <row r="106" spans="2:58" x14ac:dyDescent="0.2">
      <c r="C106" s="60"/>
      <c r="D106" s="34"/>
      <c r="G106" s="55"/>
      <c r="H106" s="55"/>
      <c r="I106" s="55"/>
      <c r="J106" s="55"/>
      <c r="K106" s="55"/>
      <c r="L106" s="59"/>
      <c r="M106" s="55"/>
      <c r="N106" s="55"/>
      <c r="O106" s="55"/>
      <c r="P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BA106" s="55"/>
      <c r="BB106" s="55"/>
      <c r="BC106" s="55"/>
      <c r="BE106" s="55"/>
      <c r="BF106" s="55"/>
    </row>
    <row r="107" spans="2:58" x14ac:dyDescent="0.2">
      <c r="G107" s="55"/>
      <c r="H107" s="55"/>
      <c r="I107" s="55"/>
      <c r="J107" s="55"/>
      <c r="K107" s="55"/>
      <c r="L107" s="59"/>
      <c r="M107" s="55"/>
      <c r="N107" s="55"/>
      <c r="O107" s="55"/>
      <c r="P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BA107" s="55"/>
      <c r="BB107" s="55"/>
      <c r="BC107" s="55"/>
      <c r="BE107" s="55"/>
      <c r="BF107" s="55"/>
    </row>
    <row r="108" spans="2:58" x14ac:dyDescent="0.2">
      <c r="G108" s="55"/>
      <c r="H108" s="55"/>
      <c r="I108" s="55"/>
      <c r="J108" s="55"/>
      <c r="K108" s="55"/>
      <c r="L108" s="59"/>
      <c r="M108" s="55"/>
      <c r="N108" s="55"/>
      <c r="O108" s="55"/>
      <c r="P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BA108" s="55"/>
      <c r="BB108" s="55"/>
      <c r="BC108" s="55"/>
      <c r="BE108" s="55"/>
      <c r="BF108" s="55"/>
    </row>
    <row r="109" spans="2:58" x14ac:dyDescent="0.2">
      <c r="G109" s="55"/>
      <c r="H109" s="55"/>
      <c r="I109" s="55"/>
      <c r="J109" s="55"/>
      <c r="K109" s="55"/>
      <c r="L109" s="59"/>
      <c r="M109" s="55"/>
      <c r="N109" s="55"/>
      <c r="O109" s="55"/>
      <c r="P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BA109" s="55"/>
      <c r="BB109" s="55"/>
      <c r="BC109" s="55"/>
      <c r="BE109" s="55"/>
      <c r="BF109" s="55"/>
    </row>
    <row r="110" spans="2:58" x14ac:dyDescent="0.2">
      <c r="G110" s="55"/>
      <c r="H110" s="55"/>
      <c r="I110" s="55"/>
      <c r="J110" s="55"/>
      <c r="K110" s="55"/>
      <c r="L110" s="59"/>
      <c r="M110" s="55"/>
      <c r="N110" s="55"/>
      <c r="O110" s="55"/>
      <c r="P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BA110" s="55"/>
      <c r="BB110" s="55"/>
      <c r="BC110" s="55"/>
      <c r="BE110" s="55"/>
      <c r="BF110" s="55"/>
    </row>
    <row r="111" spans="2:58" x14ac:dyDescent="0.2">
      <c r="G111" s="55"/>
      <c r="H111" s="55"/>
      <c r="I111" s="55"/>
      <c r="J111" s="55"/>
      <c r="K111" s="55"/>
      <c r="L111" s="59"/>
      <c r="M111" s="55"/>
      <c r="N111" s="55"/>
      <c r="O111" s="55"/>
      <c r="P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BA111" s="55"/>
      <c r="BB111" s="55"/>
      <c r="BC111" s="55"/>
      <c r="BE111" s="55"/>
      <c r="BF111" s="55"/>
    </row>
    <row r="112" spans="2:58" x14ac:dyDescent="0.2">
      <c r="G112" s="55"/>
      <c r="H112" s="55"/>
      <c r="I112" s="55"/>
      <c r="J112" s="55"/>
      <c r="K112" s="55"/>
      <c r="L112" s="59"/>
      <c r="M112" s="55"/>
      <c r="N112" s="55"/>
      <c r="O112" s="55"/>
      <c r="P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BA112" s="55"/>
      <c r="BB112" s="55"/>
      <c r="BC112" s="55"/>
      <c r="BE112" s="55"/>
      <c r="BF112" s="55"/>
    </row>
    <row r="113" spans="7:58" s="38" customFormat="1" x14ac:dyDescent="0.2">
      <c r="G113" s="55"/>
      <c r="H113" s="55"/>
      <c r="I113" s="55"/>
      <c r="J113" s="55"/>
      <c r="K113" s="55"/>
      <c r="L113" s="59"/>
      <c r="M113" s="55"/>
      <c r="N113" s="55"/>
      <c r="O113" s="55"/>
      <c r="P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BA113" s="55"/>
      <c r="BB113" s="55"/>
      <c r="BC113" s="55"/>
      <c r="BE113" s="55"/>
      <c r="BF113" s="55"/>
    </row>
    <row r="114" spans="7:58" s="38" customFormat="1" x14ac:dyDescent="0.2">
      <c r="G114" s="55"/>
      <c r="H114" s="55"/>
      <c r="I114" s="55"/>
      <c r="J114" s="55"/>
      <c r="K114" s="55"/>
      <c r="L114" s="59"/>
      <c r="M114" s="55"/>
      <c r="N114" s="55"/>
      <c r="O114" s="55"/>
      <c r="P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BA114" s="55"/>
      <c r="BB114" s="55"/>
      <c r="BC114" s="55"/>
      <c r="BE114" s="55"/>
      <c r="BF114" s="55"/>
    </row>
    <row r="115" spans="7:58" s="38" customFormat="1" x14ac:dyDescent="0.2">
      <c r="G115" s="55"/>
      <c r="H115" s="55"/>
      <c r="I115" s="55"/>
      <c r="J115" s="55"/>
      <c r="K115" s="55"/>
      <c r="L115" s="59"/>
      <c r="M115" s="55"/>
      <c r="N115" s="55"/>
      <c r="O115" s="55"/>
      <c r="P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BA115" s="55"/>
      <c r="BB115" s="55"/>
      <c r="BC115" s="55"/>
      <c r="BE115" s="55"/>
      <c r="BF115" s="55"/>
    </row>
    <row r="116" spans="7:58" s="38" customFormat="1" x14ac:dyDescent="0.2">
      <c r="G116" s="55"/>
      <c r="H116" s="55"/>
      <c r="I116" s="55"/>
      <c r="J116" s="55"/>
      <c r="K116" s="55"/>
      <c r="L116" s="59"/>
      <c r="M116" s="55"/>
      <c r="N116" s="55"/>
      <c r="O116" s="55"/>
      <c r="P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BA116" s="55"/>
      <c r="BB116" s="55"/>
      <c r="BC116" s="55"/>
      <c r="BE116" s="55"/>
      <c r="BF116" s="55"/>
    </row>
    <row r="117" spans="7:58" s="38" customFormat="1" x14ac:dyDescent="0.2">
      <c r="G117" s="55"/>
      <c r="H117" s="55"/>
      <c r="I117" s="55"/>
      <c r="J117" s="55"/>
      <c r="K117" s="55"/>
      <c r="L117" s="59"/>
      <c r="M117" s="55"/>
      <c r="N117" s="55"/>
      <c r="O117" s="55"/>
      <c r="P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BA117" s="55"/>
      <c r="BB117" s="55"/>
      <c r="BC117" s="55"/>
      <c r="BE117" s="55"/>
      <c r="BF117" s="55"/>
    </row>
    <row r="118" spans="7:58" s="38" customFormat="1" x14ac:dyDescent="0.2">
      <c r="G118" s="55"/>
      <c r="H118" s="55"/>
      <c r="I118" s="55"/>
      <c r="J118" s="55"/>
      <c r="K118" s="55"/>
      <c r="L118" s="59"/>
      <c r="M118" s="55"/>
      <c r="N118" s="55"/>
      <c r="O118" s="55"/>
      <c r="P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BA118" s="55"/>
      <c r="BB118" s="55"/>
      <c r="BC118" s="55"/>
      <c r="BE118" s="55"/>
      <c r="BF118" s="55"/>
    </row>
    <row r="119" spans="7:58" s="38" customFormat="1" x14ac:dyDescent="0.2">
      <c r="G119" s="55"/>
      <c r="H119" s="55"/>
      <c r="I119" s="55"/>
      <c r="J119" s="55"/>
      <c r="K119" s="55"/>
      <c r="L119" s="59"/>
      <c r="M119" s="55"/>
      <c r="N119" s="55"/>
      <c r="O119" s="55"/>
      <c r="P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BA119" s="55"/>
      <c r="BB119" s="55"/>
      <c r="BC119" s="55"/>
      <c r="BE119" s="55"/>
      <c r="BF119" s="55"/>
    </row>
    <row r="120" spans="7:58" s="38" customFormat="1" x14ac:dyDescent="0.2">
      <c r="G120" s="55"/>
      <c r="H120" s="55"/>
      <c r="I120" s="55"/>
      <c r="J120" s="55"/>
      <c r="K120" s="55"/>
      <c r="L120" s="59"/>
      <c r="M120" s="55"/>
      <c r="N120" s="55"/>
      <c r="O120" s="55"/>
      <c r="P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BA120" s="55"/>
      <c r="BB120" s="55"/>
      <c r="BC120" s="55"/>
      <c r="BE120" s="55"/>
      <c r="BF120" s="55"/>
    </row>
    <row r="121" spans="7:58" s="38" customFormat="1" x14ac:dyDescent="0.2">
      <c r="G121" s="55"/>
      <c r="H121" s="55"/>
      <c r="I121" s="55"/>
      <c r="J121" s="55"/>
      <c r="K121" s="55"/>
      <c r="L121" s="59"/>
      <c r="M121" s="55"/>
      <c r="N121" s="55"/>
      <c r="O121" s="55"/>
      <c r="P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BA121" s="55"/>
      <c r="BB121" s="55"/>
      <c r="BC121" s="55"/>
      <c r="BE121" s="55"/>
      <c r="BF121" s="55"/>
    </row>
    <row r="122" spans="7:58" s="38" customFormat="1" x14ac:dyDescent="0.2">
      <c r="G122" s="55"/>
      <c r="H122" s="55"/>
      <c r="I122" s="55"/>
      <c r="J122" s="55"/>
      <c r="K122" s="55"/>
      <c r="L122" s="59"/>
      <c r="M122" s="55"/>
      <c r="N122" s="55"/>
      <c r="O122" s="55"/>
      <c r="P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BA122" s="55"/>
      <c r="BB122" s="55"/>
      <c r="BC122" s="55"/>
      <c r="BE122" s="55"/>
      <c r="BF122" s="55"/>
    </row>
    <row r="123" spans="7:58" s="38" customFormat="1" x14ac:dyDescent="0.2">
      <c r="G123" s="55"/>
      <c r="H123" s="55"/>
      <c r="I123" s="55"/>
      <c r="J123" s="55"/>
      <c r="K123" s="55"/>
      <c r="L123" s="59"/>
      <c r="M123" s="55"/>
      <c r="N123" s="55"/>
      <c r="O123" s="55"/>
      <c r="P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BA123" s="55"/>
      <c r="BB123" s="55"/>
      <c r="BC123" s="55"/>
      <c r="BE123" s="55"/>
      <c r="BF123" s="55"/>
    </row>
    <row r="124" spans="7:58" s="38" customFormat="1" x14ac:dyDescent="0.2">
      <c r="G124" s="55"/>
      <c r="H124" s="55"/>
      <c r="I124" s="55"/>
      <c r="J124" s="55"/>
      <c r="K124" s="55"/>
      <c r="L124" s="59"/>
      <c r="M124" s="55"/>
      <c r="N124" s="55"/>
      <c r="O124" s="55"/>
      <c r="P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BA124" s="55"/>
      <c r="BB124" s="55"/>
      <c r="BC124" s="55"/>
      <c r="BE124" s="55"/>
      <c r="BF124" s="55"/>
    </row>
    <row r="125" spans="7:58" s="38" customFormat="1" x14ac:dyDescent="0.2">
      <c r="G125" s="55"/>
      <c r="H125" s="55"/>
      <c r="I125" s="55"/>
      <c r="J125" s="55"/>
      <c r="K125" s="55"/>
      <c r="L125" s="59"/>
      <c r="M125" s="55"/>
      <c r="N125" s="55"/>
      <c r="O125" s="55"/>
      <c r="P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BA125" s="55"/>
      <c r="BB125" s="55"/>
      <c r="BC125" s="55"/>
      <c r="BE125" s="55"/>
      <c r="BF125" s="55"/>
    </row>
    <row r="126" spans="7:58" s="38" customFormat="1" x14ac:dyDescent="0.2">
      <c r="G126" s="55"/>
      <c r="H126" s="55"/>
      <c r="I126" s="55"/>
      <c r="J126" s="55"/>
      <c r="K126" s="55"/>
      <c r="L126" s="59"/>
      <c r="M126" s="55"/>
      <c r="N126" s="55"/>
      <c r="O126" s="55"/>
      <c r="P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BA126" s="55"/>
      <c r="BB126" s="55"/>
      <c r="BC126" s="55"/>
      <c r="BE126" s="55"/>
      <c r="BF126" s="55"/>
    </row>
    <row r="127" spans="7:58" s="38" customFormat="1" x14ac:dyDescent="0.2">
      <c r="G127" s="55"/>
      <c r="H127" s="55"/>
      <c r="I127" s="55"/>
      <c r="J127" s="55"/>
      <c r="K127" s="55"/>
      <c r="L127" s="59"/>
      <c r="M127" s="55"/>
      <c r="N127" s="55"/>
      <c r="O127" s="55"/>
      <c r="P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BA127" s="55"/>
      <c r="BB127" s="55"/>
      <c r="BC127" s="55"/>
      <c r="BE127" s="55"/>
      <c r="BF127" s="55"/>
    </row>
    <row r="128" spans="7:58" s="38" customFormat="1" x14ac:dyDescent="0.2">
      <c r="G128" s="55"/>
      <c r="H128" s="55"/>
      <c r="I128" s="55"/>
      <c r="J128" s="55"/>
      <c r="K128" s="55"/>
      <c r="L128" s="59"/>
      <c r="M128" s="55"/>
      <c r="N128" s="55"/>
      <c r="O128" s="55"/>
      <c r="P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BA128" s="55"/>
      <c r="BB128" s="55"/>
      <c r="BC128" s="55"/>
      <c r="BE128" s="55"/>
      <c r="BF128" s="55"/>
    </row>
    <row r="129" spans="7:58" s="38" customFormat="1" x14ac:dyDescent="0.2">
      <c r="G129" s="55"/>
      <c r="H129" s="55"/>
      <c r="I129" s="55"/>
      <c r="J129" s="55"/>
      <c r="K129" s="55"/>
      <c r="L129" s="59"/>
      <c r="M129" s="55"/>
      <c r="N129" s="55"/>
      <c r="O129" s="55"/>
      <c r="P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BA129" s="55"/>
      <c r="BB129" s="55"/>
      <c r="BC129" s="55"/>
      <c r="BE129" s="55"/>
      <c r="BF129" s="55"/>
    </row>
  </sheetData>
  <pageMargins left="0.25" right="0.25" top="0.75" bottom="0.75" header="0.3" footer="0.3"/>
  <pageSetup orientation="portrait" horizontalDpi="1200" verticalDpi="1200" r:id="rId1"/>
  <headerFooter>
    <oddFooter>&amp;L&amp;"+,Regular"Pathways to 2050 -- Energy Flow Model&amp;R&amp;"+,Regular"&amp;F  |  This version printed &amp;D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autoPageBreaks="0"/>
  </sheetPr>
  <dimension ref="A1:CW129"/>
  <sheetViews>
    <sheetView windowProtection="1" zoomScale="106" zoomScaleNormal="106" workbookViewId="0">
      <pane xSplit="6" ySplit="5" topLeftCell="G6" activePane="bottomRight" state="frozen"/>
      <selection pane="topRight" activeCell="G1" sqref="G1"/>
      <selection pane="bottomLeft" activeCell="A6" sqref="A6"/>
      <selection pane="bottomRight"/>
    </sheetView>
  </sheetViews>
  <sheetFormatPr defaultColWidth="8.7109375" defaultRowHeight="12.75" outlineLevelRow="2" outlineLevelCol="2" x14ac:dyDescent="0.2"/>
  <cols>
    <col min="1" max="1" width="1.7109375" style="2479" customWidth="1"/>
    <col min="2" max="2" width="1.42578125" style="2479" customWidth="1"/>
    <col min="3" max="3" width="4.42578125" style="50" customWidth="1"/>
    <col min="4" max="4" width="6.7109375" style="51" customWidth="1"/>
    <col min="5" max="5" width="41.7109375" style="51" customWidth="1"/>
    <col min="6" max="6" width="1.140625" style="2479" customWidth="1" outlineLevel="1"/>
    <col min="7" max="11" width="10" style="51" customWidth="1" outlineLevel="2"/>
    <col min="12" max="12" width="10" style="65" customWidth="1" outlineLevel="2"/>
    <col min="13" max="15" width="10" style="51" customWidth="1" outlineLevel="2"/>
    <col min="16" max="16" width="10" style="51" customWidth="1" outlineLevel="1"/>
    <col min="17" max="17" width="1.140625" style="2479" customWidth="1" outlineLevel="1"/>
    <col min="18" max="33" width="10" style="51" customWidth="1" outlineLevel="2"/>
    <col min="34" max="34" width="10" style="51" customWidth="1" outlineLevel="1"/>
    <col min="35" max="35" width="1.140625" style="2479" customWidth="1" outlineLevel="1"/>
    <col min="36" max="50" width="10" style="51" customWidth="1" outlineLevel="2"/>
    <col min="51" max="51" width="10" style="51" customWidth="1" outlineLevel="1"/>
    <col min="52" max="52" width="1.140625" style="2479" customWidth="1" outlineLevel="1"/>
    <col min="53" max="54" width="10" style="51" customWidth="1" outlineLevel="2"/>
    <col min="55" max="55" width="10" style="51" customWidth="1" outlineLevel="1"/>
    <col min="56" max="56" width="1.140625" style="2479" customWidth="1" outlineLevel="1"/>
    <col min="57" max="57" width="11" style="51" customWidth="1" outlineLevel="1"/>
    <col min="58" max="58" width="5.28515625" style="51" customWidth="1"/>
    <col min="59" max="59" width="8.7109375" style="2479"/>
    <col min="60" max="99" width="7.42578125" style="2479" customWidth="1"/>
    <col min="100" max="100" width="2.42578125" style="2479" customWidth="1"/>
    <col min="101" max="16384" width="8.7109375" style="2479"/>
  </cols>
  <sheetData>
    <row r="1" spans="1:101" ht="6" customHeight="1" x14ac:dyDescent="0.2"/>
    <row r="2" spans="1:101" ht="21" customHeight="1" x14ac:dyDescent="0.2">
      <c r="D2" s="43"/>
      <c r="E2" s="252">
        <v>2015</v>
      </c>
      <c r="G2" s="2479"/>
      <c r="H2" s="2479"/>
      <c r="I2" s="2479"/>
      <c r="J2" s="2479"/>
      <c r="K2" s="2479"/>
      <c r="L2" s="2479"/>
      <c r="M2" s="2479"/>
      <c r="N2" s="2479"/>
      <c r="O2" s="2479"/>
      <c r="P2" s="2479"/>
      <c r="R2" s="2479"/>
      <c r="S2" s="2479"/>
      <c r="T2" s="2479"/>
      <c r="U2" s="2479"/>
      <c r="V2" s="2479"/>
      <c r="W2" s="2479"/>
      <c r="X2" s="2479"/>
      <c r="Y2" s="2479"/>
      <c r="Z2" s="2479"/>
      <c r="AA2" s="2479"/>
      <c r="AB2" s="2479"/>
      <c r="AC2" s="2479"/>
      <c r="AD2" s="2479"/>
      <c r="AE2" s="2479"/>
      <c r="AF2" s="2479"/>
      <c r="AG2" s="2479"/>
      <c r="AH2" s="2479"/>
      <c r="AJ2" s="2479"/>
      <c r="AK2" s="2479"/>
      <c r="AL2" s="2479"/>
      <c r="AM2" s="2479"/>
      <c r="AN2" s="2479"/>
      <c r="AO2" s="2479"/>
      <c r="AP2" s="2479"/>
      <c r="AQ2" s="2479"/>
      <c r="AR2" s="2479"/>
      <c r="AS2" s="2479"/>
      <c r="AT2" s="2479"/>
      <c r="AU2" s="2479"/>
      <c r="AV2" s="2479"/>
      <c r="AW2" s="2479"/>
      <c r="AX2" s="2479"/>
      <c r="AY2" s="2479"/>
      <c r="BA2" s="2479"/>
      <c r="BB2" s="2479"/>
      <c r="BC2" s="2479"/>
      <c r="BE2" s="2479"/>
      <c r="BF2" s="72"/>
    </row>
    <row r="3" spans="1:101" ht="39" customHeight="1" x14ac:dyDescent="0.2">
      <c r="A3" s="90"/>
      <c r="B3" s="90"/>
      <c r="C3" s="90"/>
      <c r="D3" s="44"/>
      <c r="E3" s="133" t="str">
        <f>Preferences.EnergyUnits</f>
        <v>TWh</v>
      </c>
      <c r="G3" s="281" t="s">
        <v>293</v>
      </c>
      <c r="H3" s="281"/>
      <c r="I3" s="281"/>
      <c r="J3" s="281"/>
      <c r="K3" s="281"/>
      <c r="L3" s="281"/>
      <c r="M3" s="281"/>
      <c r="N3" s="281"/>
      <c r="O3" s="281"/>
      <c r="P3" s="281"/>
      <c r="R3" s="375" t="s">
        <v>239</v>
      </c>
      <c r="S3" s="376"/>
      <c r="T3" s="376"/>
      <c r="U3" s="376"/>
      <c r="V3" s="376"/>
      <c r="W3" s="376"/>
      <c r="X3" s="380"/>
      <c r="Y3" s="376"/>
      <c r="Z3" s="376"/>
      <c r="AA3" s="376"/>
      <c r="AB3" s="376"/>
      <c r="AC3" s="376"/>
      <c r="AD3" s="376"/>
      <c r="AE3" s="376"/>
      <c r="AF3" s="376"/>
      <c r="AG3" s="376"/>
      <c r="AH3" s="379"/>
      <c r="AJ3" s="377" t="s">
        <v>481</v>
      </c>
      <c r="AK3" s="378"/>
      <c r="AL3" s="378"/>
      <c r="AM3" s="381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82"/>
      <c r="BA3" s="303" t="s">
        <v>387</v>
      </c>
      <c r="BB3" s="290"/>
      <c r="BC3" s="290"/>
      <c r="BE3" s="47"/>
      <c r="BF3" s="47"/>
      <c r="BG3" s="90"/>
      <c r="BH3" s="384" t="s">
        <v>485</v>
      </c>
      <c r="BI3" s="385"/>
      <c r="BJ3" s="385"/>
      <c r="BK3" s="385"/>
      <c r="BL3" s="385"/>
      <c r="BM3" s="385"/>
      <c r="BN3" s="385"/>
      <c r="BO3" s="385"/>
      <c r="BP3" s="385"/>
      <c r="BQ3" s="385"/>
      <c r="BR3" s="385"/>
      <c r="BS3" s="385"/>
      <c r="BT3" s="385"/>
      <c r="BU3" s="385"/>
      <c r="BV3" s="385"/>
      <c r="BW3" s="385"/>
      <c r="BX3" s="385"/>
      <c r="BY3" s="385"/>
      <c r="BZ3" s="385"/>
      <c r="CA3" s="385"/>
      <c r="CB3" s="385"/>
      <c r="CC3" s="385"/>
      <c r="CD3" s="385"/>
      <c r="CE3" s="385"/>
      <c r="CF3" s="385"/>
      <c r="CG3" s="385"/>
      <c r="CH3" s="385"/>
      <c r="CI3" s="385"/>
      <c r="CJ3" s="385"/>
      <c r="CK3" s="385"/>
      <c r="CL3" s="385"/>
      <c r="CM3" s="385"/>
      <c r="CN3" s="385"/>
      <c r="CO3" s="385"/>
      <c r="CP3" s="385"/>
      <c r="CQ3" s="385"/>
      <c r="CR3" s="514"/>
      <c r="CS3" s="514"/>
      <c r="CT3" s="514"/>
      <c r="CU3" s="514"/>
    </row>
    <row r="4" spans="1:101" ht="36.75" customHeight="1" x14ac:dyDescent="0.2">
      <c r="C4" s="48"/>
      <c r="D4" s="48"/>
      <c r="G4" s="253" t="str">
        <f>INDEX(Vectors[Description], MATCH(G$5,Vectors[Code],FALSE))</f>
        <v>Cooling</v>
      </c>
      <c r="H4" s="253" t="str">
        <f>INDEX(Vectors[Description], MATCH(H$5,Vectors[Code],FALSE))</f>
        <v>Lighting &amp; appliances</v>
      </c>
      <c r="I4" s="253" t="str">
        <f>INDEX(Vectors[Description], MATCH(I$5,Vectors[Code],FALSE))</f>
        <v>Cooking</v>
      </c>
      <c r="J4" s="253" t="str">
        <f>INDEX(Vectors[Description], MATCH(J$5,Vectors[Code],FALSE))</f>
        <v>Industry</v>
      </c>
      <c r="K4" s="253" t="str">
        <f>INDEX(Vectors[Description], MATCH(K$5,Vectors[Code],FALSE))</f>
        <v>Road transport</v>
      </c>
      <c r="L4" s="253" t="str">
        <f>INDEX(Vectors[Description], MATCH(L$5,Vectors[Code],FALSE))</f>
        <v>Rail transport</v>
      </c>
      <c r="M4" s="253" t="str">
        <f>INDEX(Vectors[Description], MATCH(M$5,Vectors[Code],FALSE))</f>
        <v>Domestic aviation</v>
      </c>
      <c r="N4" s="253" t="str">
        <f>INDEX(Vectors[Description], MATCH(N$5,Vectors[Code],FALSE))</f>
        <v>Berge</v>
      </c>
      <c r="O4" s="253" t="str">
        <f>INDEX(Vectors[Description], MATCH(O$5,Vectors[Code],FALSE))</f>
        <v>Pipeline</v>
      </c>
      <c r="P4" s="270" t="s">
        <v>391</v>
      </c>
      <c r="R4" s="254" t="str">
        <f>INDEX(Vectors[Description], MATCH(R$5,Vectors[Code],FALSE))</f>
        <v>Electricity (delivered to end user)</v>
      </c>
      <c r="S4" s="254" t="str">
        <f>INDEX(Vectors[Description], MATCH(S$5,Vectors[Code],FALSE))</f>
        <v>Electricity (supplied to grid)</v>
      </c>
      <c r="T4" s="254" t="str">
        <f>INDEX(Vectors[Description], MATCH(T$5,Vectors[Code],FALSE))</f>
        <v>Solid hydrocarbons</v>
      </c>
      <c r="U4" s="254" t="str">
        <f>INDEX(Vectors[Description], MATCH(U$5,Vectors[Code],FALSE))</f>
        <v>Liquid hydrocarbons</v>
      </c>
      <c r="V4" s="254" t="str">
        <f>INDEX(Vectors[Description], MATCH(V$5,Vectors[Code],FALSE))</f>
        <v>Gaseous hydrocarbons</v>
      </c>
      <c r="W4" s="254" t="str">
        <f>INDEX(Vectors[Description], MATCH(W$5,Vectors[Code],FALSE))</f>
        <v>Traditional Fuel</v>
      </c>
      <c r="X4" s="254" t="str">
        <f>INDEX(Vectors[Description], MATCH(X$5,Vectors[Code],FALSE))</f>
        <v>Coal and fossil waste</v>
      </c>
      <c r="Y4" s="254" t="str">
        <f>INDEX(Vectors[Description], MATCH(Y$5,Vectors[Code],FALSE))</f>
        <v>Oil and petroleum products</v>
      </c>
      <c r="Z4" s="254" t="str">
        <f>INDEX(Vectors[Description], MATCH(Z$5,Vectors[Code],FALSE))</f>
        <v>Natural gas</v>
      </c>
      <c r="AA4" s="254" t="str">
        <f>INDEX(Vectors[Description], MATCH(AA$5,Vectors[Code],FALSE))</f>
        <v>Blast furnace gas</v>
      </c>
      <c r="AB4" s="254" t="str">
        <f>INDEX(Vectors[Description], MATCH(AB$5,Vectors[Code],FALSE))</f>
        <v>Edible biomass</v>
      </c>
      <c r="AC4" s="254" t="str">
        <f>INDEX(Vectors[Description], MATCH(AC$5,Vectors[Code],FALSE))</f>
        <v>Energy crops (second generation)</v>
      </c>
      <c r="AD4" s="254" t="str">
        <f>INDEX(Vectors[Description], MATCH(AD$5,Vectors[Code],FALSE))</f>
        <v>Energy crops (first generation)</v>
      </c>
      <c r="AE4" s="254" t="str">
        <f>INDEX(Vectors[Description], MATCH(AE$5,Vectors[Code],FALSE))</f>
        <v>Dry biomass and waste</v>
      </c>
      <c r="AF4" s="254" t="str">
        <f>INDEX(Vectors[Description], MATCH(AF$5,Vectors[Code],FALSE))</f>
        <v>Wet biomass and waste</v>
      </c>
      <c r="AG4" s="254" t="str">
        <f>INDEX(Vectors[Description], MATCH(AG$5,Vectors[Code],FALSE))</f>
        <v>Gaseous waste</v>
      </c>
      <c r="AH4" s="284" t="s">
        <v>237</v>
      </c>
      <c r="AJ4" s="268" t="str">
        <f>INDEX(Vectors[Description], MATCH(AJ$5,Vectors[Code],FALSE))</f>
        <v>Coal reserves</v>
      </c>
      <c r="AK4" s="268" t="str">
        <f>INDEX(Vectors[Description], MATCH(AK$5,Vectors[Code],FALSE))</f>
        <v>Oil reserves</v>
      </c>
      <c r="AL4" s="268" t="str">
        <f>INDEX(Vectors[Description], MATCH(AL$5,Vectors[Code],FALSE))</f>
        <v>Gas reserves</v>
      </c>
      <c r="AM4" s="268" t="str">
        <f>INDEX(Vectors[Description], MATCH(AM$5,Vectors[Code],FALSE))</f>
        <v>Biomass oversupply (imports)</v>
      </c>
      <c r="AN4" s="268" t="str">
        <f>INDEX(Vectors[Description], MATCH(AN$5,Vectors[Code],FALSE))</f>
        <v>Electricity oversupply (imports)</v>
      </c>
      <c r="AO4" s="268" t="str">
        <f>INDEX(Vectors[Description], MATCH(AO$5,Vectors[Code],FALSE))</f>
        <v>Petroleum products oversupply</v>
      </c>
      <c r="AP4" s="268" t="str">
        <f>INDEX(Vectors[Description], MATCH(AP$5,Vectors[Code],FALSE))</f>
        <v>Coal oversupply (imports)</v>
      </c>
      <c r="AQ4" s="268" t="str">
        <f>INDEX(Vectors[Description], MATCH(AQ$5,Vectors[Code],FALSE))</f>
        <v>Oil and petroleum products oversupply (imports)</v>
      </c>
      <c r="AR4" s="268" t="str">
        <f>INDEX(Vectors[Description], MATCH(AR$5,Vectors[Code],FALSE))</f>
        <v>Gas oversupply (imports)</v>
      </c>
      <c r="AS4" s="268" t="str">
        <f>INDEX(Vectors[Description], MATCH(AS$5,Vectors[Code],FALSE))</f>
        <v>Nuclear fission</v>
      </c>
      <c r="AT4" s="268" t="str">
        <f>INDEX(Vectors[Description], MATCH(AT$5,Vectors[Code],FALSE))</f>
        <v>Solar</v>
      </c>
      <c r="AU4" s="268" t="str">
        <f>INDEX(Vectors[Description], MATCH(AU$5,Vectors[Code],FALSE))</f>
        <v>Wind</v>
      </c>
      <c r="AV4" s="268" t="str">
        <f>INDEX(Vectors[Description], MATCH(AV$5,Vectors[Code],FALSE))</f>
        <v>Hydro</v>
      </c>
      <c r="AW4" s="268" t="str">
        <f>INDEX(Vectors[Description], MATCH(AW$5,Vectors[Code],FALSE))</f>
        <v>Agriculture</v>
      </c>
      <c r="AX4" s="268" t="str">
        <f>INDEX(Vectors[Description], MATCH(AX$5,Vectors[Code],FALSE))</f>
        <v>Waste</v>
      </c>
      <c r="AY4" s="286" t="s">
        <v>238</v>
      </c>
      <c r="BA4" s="273" t="str">
        <f>INDEX(Vectors[Description], MATCH(BA$5,Vectors[Code],FALSE))</f>
        <v>Conversion losses</v>
      </c>
      <c r="BB4" s="273" t="str">
        <f>INDEX(Vectors[Description], MATCH(BB$5,Vectors[Code],FALSE))</f>
        <v>Distribution losses and own use</v>
      </c>
      <c r="BC4" s="288" t="s">
        <v>386</v>
      </c>
      <c r="BE4" s="49" t="str">
        <f>INDEX(Vectors[Description], MATCH(BE$5,Vectors[Code],FALSE))</f>
        <v>Unallocated</v>
      </c>
      <c r="BF4" s="49"/>
      <c r="BH4" s="389" t="str">
        <f>INDEX(IPCC[Sector_description], MATCH(BH$5, IPCC[Sector_code], 0))</f>
        <v>Fuel Combustion</v>
      </c>
      <c r="BI4" s="390"/>
      <c r="BJ4" s="390"/>
      <c r="BK4" s="391"/>
      <c r="BL4" s="389" t="str">
        <f>INDEX(IPCC[Sector_description], MATCH(BL$5, IPCC[Sector_code], 0))</f>
        <v>Fugitive Emissions from Fuels</v>
      </c>
      <c r="BM4" s="390"/>
      <c r="BN4" s="390"/>
      <c r="BO4" s="391"/>
      <c r="BP4" s="389" t="str">
        <f>INDEX(IPCC[Sector_description], MATCH(BP$5, IPCC[Sector_code], 0))</f>
        <v>Industrial Processes</v>
      </c>
      <c r="BQ4" s="390"/>
      <c r="BR4" s="390"/>
      <c r="BS4" s="391"/>
      <c r="BT4" s="389" t="str">
        <f>INDEX(IPCC[Sector_description], MATCH(BT$5, IPCC[Sector_code], 0))</f>
        <v>Solvent and Other Product Use</v>
      </c>
      <c r="BU4" s="390"/>
      <c r="BV4" s="390"/>
      <c r="BW4" s="391"/>
      <c r="BX4" s="389" t="str">
        <f>INDEX(IPCC[Sector_description], MATCH(BX$5, IPCC[Sector_code], 0))</f>
        <v>Agriculture</v>
      </c>
      <c r="BY4" s="390"/>
      <c r="BZ4" s="390"/>
      <c r="CA4" s="391"/>
      <c r="CB4" s="389" t="str">
        <f>INDEX(IPCC[Sector_description], MATCH(CB$5, IPCC[Sector_code], 0))</f>
        <v>LULUCF</v>
      </c>
      <c r="CC4" s="390"/>
      <c r="CD4" s="390"/>
      <c r="CE4" s="391"/>
      <c r="CF4" s="389" t="str">
        <f>INDEX(IPCC[Sector_description], MATCH(CF$5, IPCC[Sector_code], 0))</f>
        <v>Waste</v>
      </c>
      <c r="CG4" s="390"/>
      <c r="CH4" s="390"/>
      <c r="CI4" s="391"/>
      <c r="CJ4" s="389" t="str">
        <f>INDEX(IPCC[Sector_description], MATCH(CJ$5, IPCC[Sector_code], 0))</f>
        <v>Other</v>
      </c>
      <c r="CK4" s="390"/>
      <c r="CL4" s="390"/>
      <c r="CM4" s="391"/>
      <c r="CN4" s="389" t="str">
        <f>INDEX(IPCC[Sector_description], MATCH(CN$5, IPCC[Sector_code], 0))</f>
        <v>Bioenergy credit</v>
      </c>
      <c r="CO4" s="390"/>
      <c r="CP4" s="390"/>
      <c r="CQ4" s="391"/>
      <c r="CR4" s="389" t="str">
        <f>INDEX(IPCC[Sector_description], MATCH(CR$5, IPCC[Sector_code], 0))</f>
        <v>Carbon capture</v>
      </c>
      <c r="CS4" s="390"/>
      <c r="CT4" s="390"/>
      <c r="CU4" s="391"/>
      <c r="CW4" s="539" t="s">
        <v>105</v>
      </c>
    </row>
    <row r="5" spans="1:101" x14ac:dyDescent="0.2">
      <c r="D5" s="239" t="s">
        <v>117</v>
      </c>
      <c r="G5" s="271" t="s">
        <v>5</v>
      </c>
      <c r="H5" s="271" t="s">
        <v>44</v>
      </c>
      <c r="I5" s="271" t="s">
        <v>2205</v>
      </c>
      <c r="J5" s="271" t="s">
        <v>9</v>
      </c>
      <c r="K5" s="271" t="s">
        <v>28</v>
      </c>
      <c r="L5" s="271" t="s">
        <v>29</v>
      </c>
      <c r="M5" s="271" t="s">
        <v>30</v>
      </c>
      <c r="N5" s="271" t="s">
        <v>31</v>
      </c>
      <c r="O5" s="271" t="s">
        <v>2336</v>
      </c>
      <c r="P5" s="271"/>
      <c r="R5" s="272" t="s">
        <v>34</v>
      </c>
      <c r="S5" s="272" t="s">
        <v>35</v>
      </c>
      <c r="T5" s="272" t="s">
        <v>36</v>
      </c>
      <c r="U5" s="272" t="s">
        <v>38</v>
      </c>
      <c r="V5" s="272" t="s">
        <v>39</v>
      </c>
      <c r="W5" s="272" t="s">
        <v>2184</v>
      </c>
      <c r="X5" s="272" t="s">
        <v>51</v>
      </c>
      <c r="Y5" s="272" t="s">
        <v>52</v>
      </c>
      <c r="Z5" s="272" t="s">
        <v>53</v>
      </c>
      <c r="AA5" s="272" t="s">
        <v>92</v>
      </c>
      <c r="AB5" s="272" t="s">
        <v>295</v>
      </c>
      <c r="AC5" s="272" t="s">
        <v>871</v>
      </c>
      <c r="AD5" s="272" t="s">
        <v>1161</v>
      </c>
      <c r="AE5" s="272" t="s">
        <v>296</v>
      </c>
      <c r="AF5" s="272" t="s">
        <v>383</v>
      </c>
      <c r="AG5" s="272" t="s">
        <v>1164</v>
      </c>
      <c r="AH5" s="272"/>
      <c r="AJ5" s="269" t="s">
        <v>425</v>
      </c>
      <c r="AK5" s="269" t="s">
        <v>426</v>
      </c>
      <c r="AL5" s="269" t="s">
        <v>427</v>
      </c>
      <c r="AM5" s="269" t="s">
        <v>46</v>
      </c>
      <c r="AN5" s="269" t="s">
        <v>47</v>
      </c>
      <c r="AO5" s="269" t="s">
        <v>323</v>
      </c>
      <c r="AP5" s="269" t="s">
        <v>417</v>
      </c>
      <c r="AQ5" s="269" t="s">
        <v>418</v>
      </c>
      <c r="AR5" s="269" t="s">
        <v>419</v>
      </c>
      <c r="AS5" s="269" t="s">
        <v>6</v>
      </c>
      <c r="AT5" s="269" t="s">
        <v>25</v>
      </c>
      <c r="AU5" s="269" t="s">
        <v>7</v>
      </c>
      <c r="AV5" s="269" t="s">
        <v>8</v>
      </c>
      <c r="AW5" s="269" t="s">
        <v>451</v>
      </c>
      <c r="AX5" s="269" t="s">
        <v>42</v>
      </c>
      <c r="AY5" s="269"/>
      <c r="BA5" s="274" t="s">
        <v>26</v>
      </c>
      <c r="BB5" s="274" t="s">
        <v>27</v>
      </c>
      <c r="BC5" s="274"/>
      <c r="BE5" s="46" t="s">
        <v>48</v>
      </c>
      <c r="BF5" s="46"/>
      <c r="BH5" s="392" t="s">
        <v>483</v>
      </c>
      <c r="BI5" s="393" t="s">
        <v>483</v>
      </c>
      <c r="BJ5" s="393" t="s">
        <v>483</v>
      </c>
      <c r="BK5" s="394" t="s">
        <v>483</v>
      </c>
      <c r="BL5" s="392" t="s">
        <v>482</v>
      </c>
      <c r="BM5" s="393" t="s">
        <v>482</v>
      </c>
      <c r="BN5" s="393" t="s">
        <v>482</v>
      </c>
      <c r="BO5" s="394" t="s">
        <v>482</v>
      </c>
      <c r="BP5" s="392">
        <v>2</v>
      </c>
      <c r="BQ5" s="393">
        <v>2</v>
      </c>
      <c r="BR5" s="393">
        <v>2</v>
      </c>
      <c r="BS5" s="394">
        <v>2</v>
      </c>
      <c r="BT5" s="392">
        <v>3</v>
      </c>
      <c r="BU5" s="393">
        <v>3</v>
      </c>
      <c r="BV5" s="393">
        <v>3</v>
      </c>
      <c r="BW5" s="394">
        <v>3</v>
      </c>
      <c r="BX5" s="392">
        <v>4</v>
      </c>
      <c r="BY5" s="393">
        <v>4</v>
      </c>
      <c r="BZ5" s="393">
        <v>4</v>
      </c>
      <c r="CA5" s="394">
        <v>4</v>
      </c>
      <c r="CB5" s="392">
        <v>5</v>
      </c>
      <c r="CC5" s="393">
        <v>5</v>
      </c>
      <c r="CD5" s="393">
        <v>5</v>
      </c>
      <c r="CE5" s="394">
        <v>5</v>
      </c>
      <c r="CF5" s="392">
        <v>6</v>
      </c>
      <c r="CG5" s="393">
        <v>6</v>
      </c>
      <c r="CH5" s="393">
        <v>6</v>
      </c>
      <c r="CI5" s="394">
        <v>6</v>
      </c>
      <c r="CJ5" s="392">
        <v>7</v>
      </c>
      <c r="CK5" s="393">
        <v>7</v>
      </c>
      <c r="CL5" s="393">
        <v>7</v>
      </c>
      <c r="CM5" s="394">
        <v>7</v>
      </c>
      <c r="CN5" s="392" t="s">
        <v>469</v>
      </c>
      <c r="CO5" s="393" t="s">
        <v>469</v>
      </c>
      <c r="CP5" s="393" t="s">
        <v>469</v>
      </c>
      <c r="CQ5" s="394" t="s">
        <v>469</v>
      </c>
      <c r="CR5" s="392" t="s">
        <v>495</v>
      </c>
      <c r="CS5" s="393" t="s">
        <v>495</v>
      </c>
      <c r="CT5" s="393" t="s">
        <v>495</v>
      </c>
      <c r="CU5" s="394" t="s">
        <v>495</v>
      </c>
    </row>
    <row r="6" spans="1:101" ht="15.75" customHeight="1" x14ac:dyDescent="0.2">
      <c r="G6" s="242"/>
      <c r="H6" s="242"/>
      <c r="I6" s="242"/>
      <c r="J6" s="242"/>
      <c r="K6" s="242"/>
      <c r="L6" s="243"/>
      <c r="M6" s="242"/>
      <c r="N6" s="242"/>
      <c r="O6" s="242"/>
      <c r="P6" s="242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261"/>
      <c r="AV6" s="261"/>
      <c r="AW6" s="261"/>
      <c r="AX6" s="261"/>
      <c r="AY6" s="261"/>
      <c r="BA6" s="275"/>
      <c r="BB6" s="275"/>
      <c r="BC6" s="275"/>
      <c r="BE6" s="52"/>
      <c r="BF6" s="52"/>
      <c r="BH6" s="386" t="s">
        <v>473</v>
      </c>
      <c r="BI6" s="386" t="s">
        <v>474</v>
      </c>
      <c r="BJ6" s="386" t="s">
        <v>475</v>
      </c>
      <c r="BK6" s="386" t="s">
        <v>476</v>
      </c>
      <c r="BL6" s="386" t="s">
        <v>473</v>
      </c>
      <c r="BM6" s="386" t="s">
        <v>474</v>
      </c>
      <c r="BN6" s="386" t="s">
        <v>475</v>
      </c>
      <c r="BO6" s="386" t="s">
        <v>476</v>
      </c>
      <c r="BP6" s="386" t="s">
        <v>473</v>
      </c>
      <c r="BQ6" s="386" t="s">
        <v>474</v>
      </c>
      <c r="BR6" s="386" t="s">
        <v>475</v>
      </c>
      <c r="BS6" s="386" t="s">
        <v>476</v>
      </c>
      <c r="BT6" s="386" t="s">
        <v>473</v>
      </c>
      <c r="BU6" s="386" t="s">
        <v>474</v>
      </c>
      <c r="BV6" s="386" t="s">
        <v>475</v>
      </c>
      <c r="BW6" s="386" t="s">
        <v>476</v>
      </c>
      <c r="BX6" s="386" t="s">
        <v>473</v>
      </c>
      <c r="BY6" s="386" t="s">
        <v>474</v>
      </c>
      <c r="BZ6" s="386" t="s">
        <v>475</v>
      </c>
      <c r="CA6" s="386" t="s">
        <v>476</v>
      </c>
      <c r="CB6" s="386" t="s">
        <v>473</v>
      </c>
      <c r="CC6" s="386" t="s">
        <v>474</v>
      </c>
      <c r="CD6" s="386" t="s">
        <v>475</v>
      </c>
      <c r="CE6" s="386" t="s">
        <v>476</v>
      </c>
      <c r="CF6" s="386" t="s">
        <v>473</v>
      </c>
      <c r="CG6" s="386" t="s">
        <v>474</v>
      </c>
      <c r="CH6" s="386" t="s">
        <v>475</v>
      </c>
      <c r="CI6" s="386" t="s">
        <v>476</v>
      </c>
      <c r="CJ6" s="386" t="s">
        <v>473</v>
      </c>
      <c r="CK6" s="386" t="s">
        <v>474</v>
      </c>
      <c r="CL6" s="386" t="s">
        <v>475</v>
      </c>
      <c r="CM6" s="386" t="s">
        <v>476</v>
      </c>
      <c r="CN6" s="386" t="s">
        <v>473</v>
      </c>
      <c r="CO6" s="386" t="s">
        <v>474</v>
      </c>
      <c r="CP6" s="386" t="s">
        <v>475</v>
      </c>
      <c r="CQ6" s="386" t="s">
        <v>476</v>
      </c>
      <c r="CR6" s="386" t="s">
        <v>473</v>
      </c>
      <c r="CS6" s="386" t="s">
        <v>474</v>
      </c>
      <c r="CT6" s="386" t="s">
        <v>475</v>
      </c>
      <c r="CU6" s="386" t="s">
        <v>476</v>
      </c>
    </row>
    <row r="7" spans="1:101" ht="18" customHeight="1" x14ac:dyDescent="0.2">
      <c r="C7" s="45" t="s">
        <v>188</v>
      </c>
      <c r="D7" s="45"/>
      <c r="E7" s="68"/>
      <c r="G7" s="244"/>
      <c r="H7" s="244"/>
      <c r="I7" s="244"/>
      <c r="J7" s="244"/>
      <c r="K7" s="244"/>
      <c r="L7" s="244"/>
      <c r="M7" s="244"/>
      <c r="N7" s="244"/>
      <c r="O7" s="244"/>
      <c r="P7" s="244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BA7" s="276"/>
      <c r="BB7" s="276"/>
      <c r="BC7" s="276"/>
      <c r="BE7" s="54"/>
      <c r="BF7" s="54"/>
      <c r="BH7" s="387"/>
      <c r="BI7" s="387"/>
      <c r="BJ7" s="387"/>
      <c r="BK7" s="387"/>
      <c r="BL7" s="387"/>
      <c r="BM7" s="387"/>
      <c r="BN7" s="387"/>
      <c r="BO7" s="387"/>
      <c r="BP7" s="387"/>
      <c r="BQ7" s="387"/>
      <c r="BR7" s="387"/>
      <c r="BS7" s="387"/>
      <c r="BT7" s="387"/>
      <c r="BU7" s="387"/>
      <c r="BV7" s="387"/>
      <c r="BW7" s="387"/>
      <c r="BX7" s="387"/>
      <c r="BY7" s="387"/>
      <c r="BZ7" s="387"/>
      <c r="CA7" s="387"/>
      <c r="CB7" s="387"/>
      <c r="CC7" s="387"/>
      <c r="CD7" s="387"/>
      <c r="CE7" s="387"/>
      <c r="CF7" s="387"/>
      <c r="CG7" s="387"/>
      <c r="CH7" s="387"/>
      <c r="CI7" s="387"/>
      <c r="CJ7" s="387"/>
      <c r="CK7" s="387"/>
      <c r="CL7" s="387"/>
      <c r="CM7" s="387"/>
      <c r="CN7" s="387"/>
      <c r="CO7" s="387"/>
      <c r="CP7" s="387"/>
      <c r="CQ7" s="387"/>
      <c r="CR7" s="387"/>
      <c r="CS7" s="387"/>
      <c r="CT7" s="387"/>
      <c r="CU7" s="387"/>
    </row>
    <row r="8" spans="1:101" outlineLevel="1" x14ac:dyDescent="0.2">
      <c r="G8" s="245"/>
      <c r="H8" s="245"/>
      <c r="I8" s="245"/>
      <c r="J8" s="245"/>
      <c r="K8" s="245"/>
      <c r="L8" s="246"/>
      <c r="M8" s="245"/>
      <c r="N8" s="245"/>
      <c r="O8" s="245"/>
      <c r="P8" s="245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J8" s="263"/>
      <c r="AK8" s="263"/>
      <c r="AL8" s="263"/>
      <c r="AM8" s="263"/>
      <c r="AN8" s="263"/>
      <c r="AO8" s="263"/>
      <c r="AP8" s="263"/>
      <c r="AQ8" s="263"/>
      <c r="AR8" s="263"/>
      <c r="AS8" s="263"/>
      <c r="AT8" s="263"/>
      <c r="AU8" s="263"/>
      <c r="AV8" s="263"/>
      <c r="AW8" s="263"/>
      <c r="AX8" s="263"/>
      <c r="AY8" s="263"/>
      <c r="BA8" s="277"/>
      <c r="BB8" s="277"/>
      <c r="BC8" s="277"/>
      <c r="BE8" s="55"/>
      <c r="BF8" s="55"/>
      <c r="BH8" s="388"/>
      <c r="BI8" s="388"/>
      <c r="BJ8" s="388"/>
      <c r="BK8" s="388"/>
      <c r="BL8" s="388"/>
      <c r="BM8" s="388"/>
      <c r="BN8" s="388"/>
      <c r="BO8" s="388"/>
      <c r="BP8" s="388"/>
      <c r="BQ8" s="388"/>
      <c r="BR8" s="388"/>
      <c r="BS8" s="388"/>
      <c r="BT8" s="388"/>
      <c r="BU8" s="388"/>
      <c r="BV8" s="388"/>
      <c r="BW8" s="388"/>
      <c r="BX8" s="388"/>
      <c r="BY8" s="388"/>
      <c r="BZ8" s="388"/>
      <c r="CA8" s="388"/>
      <c r="CB8" s="388"/>
      <c r="CC8" s="388"/>
      <c r="CD8" s="388"/>
      <c r="CE8" s="388"/>
      <c r="CF8" s="388"/>
      <c r="CG8" s="388"/>
      <c r="CH8" s="388"/>
      <c r="CI8" s="388"/>
      <c r="CJ8" s="388"/>
      <c r="CK8" s="388"/>
      <c r="CL8" s="388"/>
      <c r="CM8" s="388"/>
      <c r="CN8" s="388"/>
      <c r="CO8" s="388"/>
      <c r="CP8" s="388"/>
      <c r="CQ8" s="388"/>
      <c r="CR8" s="388"/>
      <c r="CS8" s="388"/>
      <c r="CT8" s="388"/>
      <c r="CU8" s="388"/>
    </row>
    <row r="9" spans="1:101" s="84" customFormat="1" ht="10.5" customHeight="1" outlineLevel="2" x14ac:dyDescent="0.2">
      <c r="A9" s="540"/>
      <c r="B9" s="540"/>
      <c r="C9" s="86" t="s">
        <v>341</v>
      </c>
      <c r="D9" s="540" t="str">
        <f>INDEX(Modules[Module], MATCH($C9, Modules[Code], 0))</f>
        <v>Residential Cooling</v>
      </c>
      <c r="E9" s="61"/>
      <c r="G9" s="297">
        <f ca="1">IFERROR(INDEX(INDIRECT($C9&amp;".Outputs["&amp;this.Year&amp;"]"), MATCH(G$5, INDIRECT($C9&amp;".Outputs[Vector]"), 0)), 0)</f>
        <v>42.35519366304365</v>
      </c>
      <c r="H9" s="297">
        <f t="shared" ref="G9:O11" ca="1" si="0">IFERROR(INDEX(INDIRECT($C9&amp;".Outputs["&amp;this.Year&amp;"]"), MATCH(H$5, INDIRECT($C9&amp;".Outputs[Vector]"), 0)), 0)</f>
        <v>0</v>
      </c>
      <c r="I9" s="297">
        <f t="shared" ca="1" si="0"/>
        <v>0</v>
      </c>
      <c r="J9" s="297">
        <f t="shared" ca="1" si="0"/>
        <v>0</v>
      </c>
      <c r="K9" s="297">
        <f t="shared" ca="1" si="0"/>
        <v>0</v>
      </c>
      <c r="L9" s="297">
        <f t="shared" ca="1" si="0"/>
        <v>0</v>
      </c>
      <c r="M9" s="297">
        <f t="shared" ca="1" si="0"/>
        <v>0</v>
      </c>
      <c r="N9" s="297">
        <f t="shared" ca="1" si="0"/>
        <v>0</v>
      </c>
      <c r="O9" s="297">
        <f t="shared" ca="1" si="0"/>
        <v>0</v>
      </c>
      <c r="P9" s="297">
        <f t="shared" ref="P9:P23" ca="1" si="1">SUM(G9:O9)</f>
        <v>42.35519366304365</v>
      </c>
      <c r="R9" s="304">
        <f t="shared" ref="R9:W9" ca="1" si="2">IFERROR(INDEX(INDIRECT($C9&amp;".Outputs["&amp;this.Year&amp;"]"), MATCH(R$5, INDIRECT($C9&amp;".Outputs[Vector]"), 0)), 0)</f>
        <v>-42.35519366304365</v>
      </c>
      <c r="S9" s="304">
        <f t="shared" ca="1" si="2"/>
        <v>0</v>
      </c>
      <c r="T9" s="304">
        <f t="shared" ca="1" si="2"/>
        <v>0</v>
      </c>
      <c r="U9" s="304">
        <f t="shared" ca="1" si="2"/>
        <v>0</v>
      </c>
      <c r="V9" s="304">
        <f t="shared" ca="1" si="2"/>
        <v>0</v>
      </c>
      <c r="W9" s="304">
        <f t="shared" ca="1" si="2"/>
        <v>0</v>
      </c>
      <c r="X9" s="304">
        <f t="shared" ref="X9:Z9" ca="1" si="3">IFERROR(INDEX(INDIRECT($C9&amp;".Outputs["&amp;this.Year&amp;"]"), MATCH(X$5, INDIRECT($C9&amp;".Outputs[Vector]"), 0)), 0)</f>
        <v>0</v>
      </c>
      <c r="Y9" s="304">
        <f t="shared" ca="1" si="3"/>
        <v>0</v>
      </c>
      <c r="Z9" s="304">
        <f t="shared" ca="1" si="3"/>
        <v>0</v>
      </c>
      <c r="AA9" s="304">
        <f t="shared" ref="AA9:AG9" ca="1" si="4">IFERROR(INDEX(INDIRECT($C9&amp;".Outputs["&amp;this.Year&amp;"]"), MATCH(AA$5, INDIRECT($C9&amp;".Outputs[Vector]"), 0)), 0)</f>
        <v>0</v>
      </c>
      <c r="AB9" s="304">
        <f t="shared" ca="1" si="4"/>
        <v>0</v>
      </c>
      <c r="AC9" s="304">
        <f t="shared" ca="1" si="4"/>
        <v>0</v>
      </c>
      <c r="AD9" s="304">
        <f t="shared" ca="1" si="4"/>
        <v>0</v>
      </c>
      <c r="AE9" s="304">
        <f t="shared" ca="1" si="4"/>
        <v>0</v>
      </c>
      <c r="AF9" s="304">
        <f t="shared" ca="1" si="4"/>
        <v>0</v>
      </c>
      <c r="AG9" s="304">
        <f t="shared" ca="1" si="4"/>
        <v>0</v>
      </c>
      <c r="AH9" s="305">
        <f t="shared" ref="AH9:AH66" ca="1" si="5">SUM(R9:AG9)</f>
        <v>-42.35519366304365</v>
      </c>
      <c r="AJ9" s="312">
        <f t="shared" ref="AJ9:AR9" ca="1" si="6">IFERROR(INDEX(INDIRECT($C9&amp;".Outputs["&amp;this.Year&amp;"]"), MATCH(AJ$5, INDIRECT($C9&amp;".Outputs[Vector]"), 0)), 0)</f>
        <v>0</v>
      </c>
      <c r="AK9" s="312">
        <f t="shared" ca="1" si="6"/>
        <v>0</v>
      </c>
      <c r="AL9" s="312">
        <f t="shared" ca="1" si="6"/>
        <v>0</v>
      </c>
      <c r="AM9" s="312">
        <f t="shared" ca="1" si="6"/>
        <v>0</v>
      </c>
      <c r="AN9" s="312">
        <f t="shared" ca="1" si="6"/>
        <v>0</v>
      </c>
      <c r="AO9" s="312">
        <f t="shared" ca="1" si="6"/>
        <v>0</v>
      </c>
      <c r="AP9" s="312">
        <f t="shared" ca="1" si="6"/>
        <v>0</v>
      </c>
      <c r="AQ9" s="312">
        <f t="shared" ca="1" si="6"/>
        <v>0</v>
      </c>
      <c r="AR9" s="312">
        <f t="shared" ca="1" si="6"/>
        <v>0</v>
      </c>
      <c r="AS9" s="312">
        <f t="shared" ref="AS9:AX9" ca="1" si="7">IFERROR(INDEX(INDIRECT($C9&amp;".Outputs["&amp;this.Year&amp;"]"), MATCH(AS$5, INDIRECT($C9&amp;".Outputs[Vector]"), 0)), 0)</f>
        <v>0</v>
      </c>
      <c r="AT9" s="312">
        <f t="shared" ca="1" si="7"/>
        <v>0</v>
      </c>
      <c r="AU9" s="312">
        <f t="shared" ca="1" si="7"/>
        <v>0</v>
      </c>
      <c r="AV9" s="312">
        <f t="shared" ca="1" si="7"/>
        <v>0</v>
      </c>
      <c r="AW9" s="312">
        <f t="shared" ca="1" si="7"/>
        <v>0</v>
      </c>
      <c r="AX9" s="312">
        <f t="shared" ca="1" si="7"/>
        <v>0</v>
      </c>
      <c r="AY9" s="264">
        <f t="shared" ref="AY9:AY23" ca="1" si="8">SUM(AJ9:AX9)</f>
        <v>0</v>
      </c>
      <c r="BA9" s="308">
        <f t="shared" ref="BA9:BB11" ca="1" si="9">IFERROR(INDEX(INDIRECT($C9&amp;".Outputs["&amp;this.Year&amp;"]"), MATCH(BA$5, INDIRECT($C9&amp;".Outputs[Vector]"), 0)), 0)</f>
        <v>0</v>
      </c>
      <c r="BB9" s="308">
        <f t="shared" ca="1" si="9"/>
        <v>0</v>
      </c>
      <c r="BC9" s="309">
        <f t="shared" ref="BC9:BC66" ca="1" si="10">SUM(BA9:BB9)</f>
        <v>0</v>
      </c>
      <c r="BE9" s="64">
        <f t="shared" ref="BE9:BE33" ca="1" si="11">P9+AH9+AY9+BC9</f>
        <v>0</v>
      </c>
      <c r="BF9" s="64"/>
      <c r="BG9" s="1428"/>
      <c r="BH9" s="541">
        <f t="shared" ref="BH9:BQ9" ca="1" si="12">IFERROR(SUMIFS(INDIRECT($C9&amp;".Emissions["&amp;this.Year&amp;"]"), INDIRECT($C9&amp;".Emissions[GHG]"), BH$6, INDIRECT($C9&amp;".Emissions[IPCC Sector]"), BH$5),0)</f>
        <v>0</v>
      </c>
      <c r="BI9" s="542">
        <f t="shared" ca="1" si="12"/>
        <v>0</v>
      </c>
      <c r="BJ9" s="542">
        <f t="shared" ca="1" si="12"/>
        <v>0</v>
      </c>
      <c r="BK9" s="542">
        <f t="shared" ca="1" si="12"/>
        <v>0</v>
      </c>
      <c r="BL9" s="542">
        <f t="shared" ca="1" si="12"/>
        <v>0</v>
      </c>
      <c r="BM9" s="542">
        <f t="shared" ca="1" si="12"/>
        <v>0</v>
      </c>
      <c r="BN9" s="542">
        <f t="shared" ca="1" si="12"/>
        <v>0</v>
      </c>
      <c r="BO9" s="542">
        <f t="shared" ca="1" si="12"/>
        <v>0</v>
      </c>
      <c r="BP9" s="542">
        <f t="shared" ca="1" si="12"/>
        <v>0</v>
      </c>
      <c r="BQ9" s="542">
        <f t="shared" ca="1" si="12"/>
        <v>0</v>
      </c>
      <c r="BR9" s="542">
        <f t="shared" ref="BR9:CA9" ca="1" si="13">IFERROR(SUMIFS(INDIRECT($C9&amp;".Emissions["&amp;this.Year&amp;"]"), INDIRECT($C9&amp;".Emissions[GHG]"), BR$6, INDIRECT($C9&amp;".Emissions[IPCC Sector]"), BR$5),0)</f>
        <v>0</v>
      </c>
      <c r="BS9" s="542">
        <f t="shared" ca="1" si="13"/>
        <v>0</v>
      </c>
      <c r="BT9" s="542">
        <f t="shared" ca="1" si="13"/>
        <v>0</v>
      </c>
      <c r="BU9" s="542">
        <f t="shared" ca="1" si="13"/>
        <v>0</v>
      </c>
      <c r="BV9" s="542">
        <f t="shared" ca="1" si="13"/>
        <v>0</v>
      </c>
      <c r="BW9" s="542">
        <f t="shared" ca="1" si="13"/>
        <v>0</v>
      </c>
      <c r="BX9" s="542">
        <f t="shared" ca="1" si="13"/>
        <v>0</v>
      </c>
      <c r="BY9" s="542">
        <f t="shared" ca="1" si="13"/>
        <v>0</v>
      </c>
      <c r="BZ9" s="542">
        <f t="shared" ca="1" si="13"/>
        <v>0</v>
      </c>
      <c r="CA9" s="542">
        <f t="shared" ca="1" si="13"/>
        <v>0</v>
      </c>
      <c r="CB9" s="542">
        <f t="shared" ref="CB9:CK9" ca="1" si="14">IFERROR(SUMIFS(INDIRECT($C9&amp;".Emissions["&amp;this.Year&amp;"]"), INDIRECT($C9&amp;".Emissions[GHG]"), CB$6, INDIRECT($C9&amp;".Emissions[IPCC Sector]"), CB$5),0)</f>
        <v>0</v>
      </c>
      <c r="CC9" s="542">
        <f t="shared" ca="1" si="14"/>
        <v>0</v>
      </c>
      <c r="CD9" s="542">
        <f t="shared" ca="1" si="14"/>
        <v>0</v>
      </c>
      <c r="CE9" s="542">
        <f t="shared" ca="1" si="14"/>
        <v>0</v>
      </c>
      <c r="CF9" s="542">
        <f t="shared" ca="1" si="14"/>
        <v>0</v>
      </c>
      <c r="CG9" s="542">
        <f t="shared" ca="1" si="14"/>
        <v>0</v>
      </c>
      <c r="CH9" s="542">
        <f t="shared" ca="1" si="14"/>
        <v>0</v>
      </c>
      <c r="CI9" s="542">
        <f t="shared" ca="1" si="14"/>
        <v>0</v>
      </c>
      <c r="CJ9" s="542">
        <f t="shared" ca="1" si="14"/>
        <v>0</v>
      </c>
      <c r="CK9" s="542">
        <f t="shared" ca="1" si="14"/>
        <v>0</v>
      </c>
      <c r="CL9" s="542">
        <f t="shared" ref="CL9:CU9" ca="1" si="15">IFERROR(SUMIFS(INDIRECT($C9&amp;".Emissions["&amp;this.Year&amp;"]"), INDIRECT($C9&amp;".Emissions[GHG]"), CL$6, INDIRECT($C9&amp;".Emissions[IPCC Sector]"), CL$5),0)</f>
        <v>0</v>
      </c>
      <c r="CM9" s="542">
        <f t="shared" ca="1" si="15"/>
        <v>0</v>
      </c>
      <c r="CN9" s="542">
        <f t="shared" ca="1" si="15"/>
        <v>0</v>
      </c>
      <c r="CO9" s="542">
        <f t="shared" ca="1" si="15"/>
        <v>0</v>
      </c>
      <c r="CP9" s="542">
        <f t="shared" ca="1" si="15"/>
        <v>0</v>
      </c>
      <c r="CQ9" s="542">
        <f t="shared" ca="1" si="15"/>
        <v>0</v>
      </c>
      <c r="CR9" s="542">
        <f t="shared" ca="1" si="15"/>
        <v>0</v>
      </c>
      <c r="CS9" s="542">
        <f t="shared" ca="1" si="15"/>
        <v>0</v>
      </c>
      <c r="CT9" s="542">
        <f t="shared" ca="1" si="15"/>
        <v>0</v>
      </c>
      <c r="CU9" s="542">
        <f t="shared" ca="1" si="15"/>
        <v>0</v>
      </c>
      <c r="CW9" s="151"/>
    </row>
    <row r="10" spans="1:101" s="84" customFormat="1" ht="12.75" customHeight="1" outlineLevel="1" x14ac:dyDescent="0.2">
      <c r="A10" s="543"/>
      <c r="B10" s="543"/>
      <c r="C10" s="86"/>
      <c r="D10" s="543" t="s">
        <v>389</v>
      </c>
      <c r="E10" s="61"/>
      <c r="G10" s="298">
        <f t="shared" ref="G10:O10" ca="1" si="16">SUM(G9:G9)</f>
        <v>42.35519366304365</v>
      </c>
      <c r="H10" s="298">
        <f t="shared" ca="1" si="16"/>
        <v>0</v>
      </c>
      <c r="I10" s="298">
        <f t="shared" ca="1" si="16"/>
        <v>0</v>
      </c>
      <c r="J10" s="298">
        <f t="shared" ca="1" si="16"/>
        <v>0</v>
      </c>
      <c r="K10" s="298">
        <f t="shared" ca="1" si="16"/>
        <v>0</v>
      </c>
      <c r="L10" s="298">
        <f t="shared" ca="1" si="16"/>
        <v>0</v>
      </c>
      <c r="M10" s="298">
        <f t="shared" ca="1" si="16"/>
        <v>0</v>
      </c>
      <c r="N10" s="298">
        <f t="shared" ca="1" si="16"/>
        <v>0</v>
      </c>
      <c r="O10" s="298">
        <f t="shared" ca="1" si="16"/>
        <v>0</v>
      </c>
      <c r="P10" s="298">
        <f t="shared" ca="1" si="1"/>
        <v>42.35519366304365</v>
      </c>
      <c r="R10" s="305">
        <f t="shared" ref="R10:AG10" ca="1" si="17">SUM(R9:R9)</f>
        <v>-42.35519366304365</v>
      </c>
      <c r="S10" s="305">
        <f t="shared" ca="1" si="17"/>
        <v>0</v>
      </c>
      <c r="T10" s="305">
        <f t="shared" ca="1" si="17"/>
        <v>0</v>
      </c>
      <c r="U10" s="305">
        <f t="shared" ca="1" si="17"/>
        <v>0</v>
      </c>
      <c r="V10" s="305">
        <f t="shared" ca="1" si="17"/>
        <v>0</v>
      </c>
      <c r="W10" s="305">
        <f t="shared" ca="1" si="17"/>
        <v>0</v>
      </c>
      <c r="X10" s="305">
        <f t="shared" ca="1" si="17"/>
        <v>0</v>
      </c>
      <c r="Y10" s="305">
        <f t="shared" ca="1" si="17"/>
        <v>0</v>
      </c>
      <c r="Z10" s="305">
        <f t="shared" ca="1" si="17"/>
        <v>0</v>
      </c>
      <c r="AA10" s="305">
        <f t="shared" ca="1" si="17"/>
        <v>0</v>
      </c>
      <c r="AB10" s="305">
        <f t="shared" ca="1" si="17"/>
        <v>0</v>
      </c>
      <c r="AC10" s="305">
        <f t="shared" ca="1" si="17"/>
        <v>0</v>
      </c>
      <c r="AD10" s="305">
        <f t="shared" ca="1" si="17"/>
        <v>0</v>
      </c>
      <c r="AE10" s="305">
        <f t="shared" ca="1" si="17"/>
        <v>0</v>
      </c>
      <c r="AF10" s="305">
        <f t="shared" ca="1" si="17"/>
        <v>0</v>
      </c>
      <c r="AG10" s="305">
        <f t="shared" ca="1" si="17"/>
        <v>0</v>
      </c>
      <c r="AH10" s="305">
        <f t="shared" ca="1" si="5"/>
        <v>-42.35519366304365</v>
      </c>
      <c r="AJ10" s="313">
        <f t="shared" ref="AJ10:AX10" ca="1" si="18">SUM(AJ9:AJ9)</f>
        <v>0</v>
      </c>
      <c r="AK10" s="313">
        <f t="shared" ca="1" si="18"/>
        <v>0</v>
      </c>
      <c r="AL10" s="313">
        <f t="shared" ca="1" si="18"/>
        <v>0</v>
      </c>
      <c r="AM10" s="313">
        <f t="shared" ca="1" si="18"/>
        <v>0</v>
      </c>
      <c r="AN10" s="313">
        <f t="shared" ca="1" si="18"/>
        <v>0</v>
      </c>
      <c r="AO10" s="313">
        <f t="shared" ca="1" si="18"/>
        <v>0</v>
      </c>
      <c r="AP10" s="313">
        <f t="shared" ca="1" si="18"/>
        <v>0</v>
      </c>
      <c r="AQ10" s="313">
        <f t="shared" ca="1" si="18"/>
        <v>0</v>
      </c>
      <c r="AR10" s="313">
        <f t="shared" ca="1" si="18"/>
        <v>0</v>
      </c>
      <c r="AS10" s="313">
        <f t="shared" ca="1" si="18"/>
        <v>0</v>
      </c>
      <c r="AT10" s="313">
        <f t="shared" ca="1" si="18"/>
        <v>0</v>
      </c>
      <c r="AU10" s="313">
        <f t="shared" ca="1" si="18"/>
        <v>0</v>
      </c>
      <c r="AV10" s="313">
        <f t="shared" ca="1" si="18"/>
        <v>0</v>
      </c>
      <c r="AW10" s="313">
        <f t="shared" ca="1" si="18"/>
        <v>0</v>
      </c>
      <c r="AX10" s="313">
        <f t="shared" ca="1" si="18"/>
        <v>0</v>
      </c>
      <c r="AY10" s="266">
        <f t="shared" ca="1" si="8"/>
        <v>0</v>
      </c>
      <c r="BA10" s="309">
        <f ca="1">SUM(BA9:BA9)</f>
        <v>0</v>
      </c>
      <c r="BB10" s="309">
        <f ca="1">SUM(BB9:BB9)</f>
        <v>0</v>
      </c>
      <c r="BC10" s="309">
        <f t="shared" ca="1" si="10"/>
        <v>0</v>
      </c>
      <c r="BE10" s="135">
        <f t="shared" ca="1" si="11"/>
        <v>0</v>
      </c>
      <c r="BF10" s="135"/>
      <c r="BG10" s="1428"/>
      <c r="BH10" s="541">
        <f t="shared" ref="BH10:CU10" ca="1" si="19">SUM(BH9:BH9)</f>
        <v>0</v>
      </c>
      <c r="BI10" s="542">
        <f t="shared" ca="1" si="19"/>
        <v>0</v>
      </c>
      <c r="BJ10" s="542">
        <f t="shared" ca="1" si="19"/>
        <v>0</v>
      </c>
      <c r="BK10" s="542">
        <f t="shared" ca="1" si="19"/>
        <v>0</v>
      </c>
      <c r="BL10" s="542">
        <f t="shared" ca="1" si="19"/>
        <v>0</v>
      </c>
      <c r="BM10" s="542">
        <f t="shared" ca="1" si="19"/>
        <v>0</v>
      </c>
      <c r="BN10" s="542">
        <f t="shared" ca="1" si="19"/>
        <v>0</v>
      </c>
      <c r="BO10" s="542">
        <f t="shared" ca="1" si="19"/>
        <v>0</v>
      </c>
      <c r="BP10" s="542">
        <f t="shared" ca="1" si="19"/>
        <v>0</v>
      </c>
      <c r="BQ10" s="542">
        <f t="shared" ca="1" si="19"/>
        <v>0</v>
      </c>
      <c r="BR10" s="542">
        <f t="shared" ca="1" si="19"/>
        <v>0</v>
      </c>
      <c r="BS10" s="542">
        <f t="shared" ca="1" si="19"/>
        <v>0</v>
      </c>
      <c r="BT10" s="542">
        <f t="shared" ca="1" si="19"/>
        <v>0</v>
      </c>
      <c r="BU10" s="542">
        <f t="shared" ca="1" si="19"/>
        <v>0</v>
      </c>
      <c r="BV10" s="542">
        <f t="shared" ca="1" si="19"/>
        <v>0</v>
      </c>
      <c r="BW10" s="542">
        <f t="shared" ca="1" si="19"/>
        <v>0</v>
      </c>
      <c r="BX10" s="542">
        <f t="shared" ca="1" si="19"/>
        <v>0</v>
      </c>
      <c r="BY10" s="542">
        <f t="shared" ca="1" si="19"/>
        <v>0</v>
      </c>
      <c r="BZ10" s="542">
        <f t="shared" ca="1" si="19"/>
        <v>0</v>
      </c>
      <c r="CA10" s="542">
        <f t="shared" ca="1" si="19"/>
        <v>0</v>
      </c>
      <c r="CB10" s="542">
        <f t="shared" ca="1" si="19"/>
        <v>0</v>
      </c>
      <c r="CC10" s="542">
        <f t="shared" ca="1" si="19"/>
        <v>0</v>
      </c>
      <c r="CD10" s="542">
        <f t="shared" ca="1" si="19"/>
        <v>0</v>
      </c>
      <c r="CE10" s="542">
        <f t="shared" ca="1" si="19"/>
        <v>0</v>
      </c>
      <c r="CF10" s="542">
        <f t="shared" ca="1" si="19"/>
        <v>0</v>
      </c>
      <c r="CG10" s="542">
        <f t="shared" ca="1" si="19"/>
        <v>0</v>
      </c>
      <c r="CH10" s="542">
        <f t="shared" ca="1" si="19"/>
        <v>0</v>
      </c>
      <c r="CI10" s="542">
        <f t="shared" ca="1" si="19"/>
        <v>0</v>
      </c>
      <c r="CJ10" s="542">
        <f t="shared" ca="1" si="19"/>
        <v>0</v>
      </c>
      <c r="CK10" s="542">
        <f t="shared" ca="1" si="19"/>
        <v>0</v>
      </c>
      <c r="CL10" s="542">
        <f t="shared" ca="1" si="19"/>
        <v>0</v>
      </c>
      <c r="CM10" s="542">
        <f t="shared" ca="1" si="19"/>
        <v>0</v>
      </c>
      <c r="CN10" s="542">
        <f t="shared" ca="1" si="19"/>
        <v>0</v>
      </c>
      <c r="CO10" s="542">
        <f t="shared" ca="1" si="19"/>
        <v>0</v>
      </c>
      <c r="CP10" s="542">
        <f t="shared" ca="1" si="19"/>
        <v>0</v>
      </c>
      <c r="CQ10" s="542">
        <f t="shared" ca="1" si="19"/>
        <v>0</v>
      </c>
      <c r="CR10" s="542">
        <f t="shared" ca="1" si="19"/>
        <v>0</v>
      </c>
      <c r="CS10" s="542">
        <f t="shared" ca="1" si="19"/>
        <v>0</v>
      </c>
      <c r="CT10" s="542">
        <f t="shared" ca="1" si="19"/>
        <v>0</v>
      </c>
      <c r="CU10" s="542">
        <f t="shared" ca="1" si="19"/>
        <v>0</v>
      </c>
      <c r="CW10" s="151"/>
    </row>
    <row r="11" spans="1:101" s="84" customFormat="1" ht="10.5" customHeight="1" outlineLevel="2" x14ac:dyDescent="0.2">
      <c r="A11" s="540"/>
      <c r="B11" s="540"/>
      <c r="C11" s="86" t="s">
        <v>388</v>
      </c>
      <c r="D11" s="540" t="str">
        <f>INDEX(Modules[Module], MATCH($C11, Modules[Code], 0))</f>
        <v>Service Sector Cooling</v>
      </c>
      <c r="E11" s="291"/>
      <c r="G11" s="297">
        <f t="shared" ca="1" si="0"/>
        <v>11.164654317475202</v>
      </c>
      <c r="H11" s="297">
        <f t="shared" ca="1" si="0"/>
        <v>0</v>
      </c>
      <c r="I11" s="297">
        <f t="shared" ca="1" si="0"/>
        <v>0</v>
      </c>
      <c r="J11" s="297">
        <f t="shared" ca="1" si="0"/>
        <v>0</v>
      </c>
      <c r="K11" s="297">
        <f t="shared" ca="1" si="0"/>
        <v>0</v>
      </c>
      <c r="L11" s="297">
        <f t="shared" ca="1" si="0"/>
        <v>0</v>
      </c>
      <c r="M11" s="297">
        <f t="shared" ca="1" si="0"/>
        <v>0</v>
      </c>
      <c r="N11" s="297">
        <f t="shared" ca="1" si="0"/>
        <v>0</v>
      </c>
      <c r="O11" s="297">
        <f t="shared" ca="1" si="0"/>
        <v>0</v>
      </c>
      <c r="P11" s="297">
        <f t="shared" ca="1" si="1"/>
        <v>11.164654317475202</v>
      </c>
      <c r="R11" s="304">
        <f t="shared" ref="R11:W11" ca="1" si="20">IFERROR(INDEX(INDIRECT($C11&amp;".Outputs["&amp;this.Year&amp;"]"), MATCH(R$5, INDIRECT($C11&amp;".Outputs[Vector]"), 0)), 0)</f>
        <v>-11.164654317475202</v>
      </c>
      <c r="S11" s="304">
        <f t="shared" ca="1" si="20"/>
        <v>0</v>
      </c>
      <c r="T11" s="304">
        <f t="shared" ca="1" si="20"/>
        <v>0</v>
      </c>
      <c r="U11" s="304">
        <f t="shared" ca="1" si="20"/>
        <v>0</v>
      </c>
      <c r="V11" s="304">
        <f t="shared" ca="1" si="20"/>
        <v>0</v>
      </c>
      <c r="W11" s="304">
        <f t="shared" ca="1" si="20"/>
        <v>0</v>
      </c>
      <c r="X11" s="304">
        <f t="shared" ref="X11:Z11" ca="1" si="21">IFERROR(INDEX(INDIRECT($C11&amp;".Outputs["&amp;this.Year&amp;"]"), MATCH(X$5, INDIRECT($C11&amp;".Outputs[Vector]"), 0)), 0)</f>
        <v>0</v>
      </c>
      <c r="Y11" s="304">
        <f t="shared" ca="1" si="21"/>
        <v>0</v>
      </c>
      <c r="Z11" s="304">
        <f t="shared" ca="1" si="21"/>
        <v>0</v>
      </c>
      <c r="AA11" s="304">
        <f t="shared" ref="AA11:AG11" ca="1" si="22">IFERROR(INDEX(INDIRECT($C11&amp;".Outputs["&amp;this.Year&amp;"]"), MATCH(AA$5, INDIRECT($C11&amp;".Outputs[Vector]"), 0)), 0)</f>
        <v>0</v>
      </c>
      <c r="AB11" s="304">
        <f t="shared" ca="1" si="22"/>
        <v>0</v>
      </c>
      <c r="AC11" s="304">
        <f t="shared" ca="1" si="22"/>
        <v>0</v>
      </c>
      <c r="AD11" s="304">
        <f t="shared" ca="1" si="22"/>
        <v>0</v>
      </c>
      <c r="AE11" s="304">
        <f t="shared" ca="1" si="22"/>
        <v>0</v>
      </c>
      <c r="AF11" s="304">
        <f t="shared" ca="1" si="22"/>
        <v>0</v>
      </c>
      <c r="AG11" s="304">
        <f t="shared" ca="1" si="22"/>
        <v>0</v>
      </c>
      <c r="AH11" s="305">
        <f t="shared" ca="1" si="5"/>
        <v>-11.164654317475202</v>
      </c>
      <c r="AJ11" s="312">
        <f t="shared" ref="AJ11:AR11" ca="1" si="23">IFERROR(INDEX(INDIRECT($C11&amp;".Outputs["&amp;this.Year&amp;"]"), MATCH(AJ$5, INDIRECT($C11&amp;".Outputs[Vector]"), 0)), 0)</f>
        <v>0</v>
      </c>
      <c r="AK11" s="312">
        <f t="shared" ca="1" si="23"/>
        <v>0</v>
      </c>
      <c r="AL11" s="312">
        <f t="shared" ca="1" si="23"/>
        <v>0</v>
      </c>
      <c r="AM11" s="312">
        <f t="shared" ca="1" si="23"/>
        <v>0</v>
      </c>
      <c r="AN11" s="312">
        <f t="shared" ca="1" si="23"/>
        <v>0</v>
      </c>
      <c r="AO11" s="312">
        <f t="shared" ca="1" si="23"/>
        <v>0</v>
      </c>
      <c r="AP11" s="312">
        <f t="shared" ca="1" si="23"/>
        <v>0</v>
      </c>
      <c r="AQ11" s="312">
        <f t="shared" ca="1" si="23"/>
        <v>0</v>
      </c>
      <c r="AR11" s="312">
        <f t="shared" ca="1" si="23"/>
        <v>0</v>
      </c>
      <c r="AS11" s="312">
        <f t="shared" ref="AS11:AX11" ca="1" si="24">IFERROR(INDEX(INDIRECT($C11&amp;".Outputs["&amp;this.Year&amp;"]"), MATCH(AS$5, INDIRECT($C11&amp;".Outputs[Vector]"), 0)), 0)</f>
        <v>0</v>
      </c>
      <c r="AT11" s="312">
        <f t="shared" ca="1" si="24"/>
        <v>0</v>
      </c>
      <c r="AU11" s="312">
        <f t="shared" ca="1" si="24"/>
        <v>0</v>
      </c>
      <c r="AV11" s="312">
        <f t="shared" ca="1" si="24"/>
        <v>0</v>
      </c>
      <c r="AW11" s="312">
        <f t="shared" ca="1" si="24"/>
        <v>0</v>
      </c>
      <c r="AX11" s="312">
        <f t="shared" ca="1" si="24"/>
        <v>0</v>
      </c>
      <c r="AY11" s="264">
        <f t="shared" ca="1" si="8"/>
        <v>0</v>
      </c>
      <c r="BA11" s="308">
        <f t="shared" ca="1" si="9"/>
        <v>0</v>
      </c>
      <c r="BB11" s="308">
        <f t="shared" ca="1" si="9"/>
        <v>0</v>
      </c>
      <c r="BC11" s="309">
        <f t="shared" ca="1" si="10"/>
        <v>0</v>
      </c>
      <c r="BE11" s="64">
        <f t="shared" ca="1" si="11"/>
        <v>0</v>
      </c>
      <c r="BF11" s="64"/>
      <c r="BG11" s="1428"/>
      <c r="BH11" s="541">
        <f t="shared" ref="BH11:BQ11" ca="1" si="25">IFERROR(SUMIFS(INDIRECT($C11&amp;".Emissions["&amp;this.Year&amp;"]"), INDIRECT($C11&amp;".Emissions[GHG]"), BH$6, INDIRECT($C11&amp;".Emissions[IPCC Sector]"), BH$5),0)</f>
        <v>0</v>
      </c>
      <c r="BI11" s="542">
        <f t="shared" ca="1" si="25"/>
        <v>0</v>
      </c>
      <c r="BJ11" s="542">
        <f t="shared" ca="1" si="25"/>
        <v>0</v>
      </c>
      <c r="BK11" s="542">
        <f t="shared" ca="1" si="25"/>
        <v>0</v>
      </c>
      <c r="BL11" s="542">
        <f t="shared" ca="1" si="25"/>
        <v>0</v>
      </c>
      <c r="BM11" s="542">
        <f t="shared" ca="1" si="25"/>
        <v>0</v>
      </c>
      <c r="BN11" s="542">
        <f t="shared" ca="1" si="25"/>
        <v>0</v>
      </c>
      <c r="BO11" s="542">
        <f t="shared" ca="1" si="25"/>
        <v>0</v>
      </c>
      <c r="BP11" s="542">
        <f t="shared" ca="1" si="25"/>
        <v>0</v>
      </c>
      <c r="BQ11" s="542">
        <f t="shared" ca="1" si="25"/>
        <v>0</v>
      </c>
      <c r="BR11" s="542">
        <f t="shared" ref="BR11:CA11" ca="1" si="26">IFERROR(SUMIFS(INDIRECT($C11&amp;".Emissions["&amp;this.Year&amp;"]"), INDIRECT($C11&amp;".Emissions[GHG]"), BR$6, INDIRECT($C11&amp;".Emissions[IPCC Sector]"), BR$5),0)</f>
        <v>0</v>
      </c>
      <c r="BS11" s="542">
        <f t="shared" ca="1" si="26"/>
        <v>0</v>
      </c>
      <c r="BT11" s="542">
        <f t="shared" ca="1" si="26"/>
        <v>0</v>
      </c>
      <c r="BU11" s="542">
        <f t="shared" ca="1" si="26"/>
        <v>0</v>
      </c>
      <c r="BV11" s="542">
        <f t="shared" ca="1" si="26"/>
        <v>0</v>
      </c>
      <c r="BW11" s="542">
        <f t="shared" ca="1" si="26"/>
        <v>0</v>
      </c>
      <c r="BX11" s="542">
        <f t="shared" ca="1" si="26"/>
        <v>0</v>
      </c>
      <c r="BY11" s="542">
        <f t="shared" ca="1" si="26"/>
        <v>0</v>
      </c>
      <c r="BZ11" s="542">
        <f t="shared" ca="1" si="26"/>
        <v>0</v>
      </c>
      <c r="CA11" s="542">
        <f t="shared" ca="1" si="26"/>
        <v>0</v>
      </c>
      <c r="CB11" s="542">
        <f t="shared" ref="CB11:CK11" ca="1" si="27">IFERROR(SUMIFS(INDIRECT($C11&amp;".Emissions["&amp;this.Year&amp;"]"), INDIRECT($C11&amp;".Emissions[GHG]"), CB$6, INDIRECT($C11&amp;".Emissions[IPCC Sector]"), CB$5),0)</f>
        <v>0</v>
      </c>
      <c r="CC11" s="542">
        <f t="shared" ca="1" si="27"/>
        <v>0</v>
      </c>
      <c r="CD11" s="542">
        <f t="shared" ca="1" si="27"/>
        <v>0</v>
      </c>
      <c r="CE11" s="542">
        <f t="shared" ca="1" si="27"/>
        <v>0</v>
      </c>
      <c r="CF11" s="542">
        <f t="shared" ca="1" si="27"/>
        <v>0</v>
      </c>
      <c r="CG11" s="542">
        <f t="shared" ca="1" si="27"/>
        <v>0</v>
      </c>
      <c r="CH11" s="542">
        <f t="shared" ca="1" si="27"/>
        <v>0</v>
      </c>
      <c r="CI11" s="542">
        <f t="shared" ca="1" si="27"/>
        <v>0</v>
      </c>
      <c r="CJ11" s="542">
        <f t="shared" ca="1" si="27"/>
        <v>0</v>
      </c>
      <c r="CK11" s="542">
        <f t="shared" ca="1" si="27"/>
        <v>0</v>
      </c>
      <c r="CL11" s="542">
        <f t="shared" ref="CL11:CU11" ca="1" si="28">IFERROR(SUMIFS(INDIRECT($C11&amp;".Emissions["&amp;this.Year&amp;"]"), INDIRECT($C11&amp;".Emissions[GHG]"), CL$6, INDIRECT($C11&amp;".Emissions[IPCC Sector]"), CL$5),0)</f>
        <v>0</v>
      </c>
      <c r="CM11" s="542">
        <f t="shared" ca="1" si="28"/>
        <v>0</v>
      </c>
      <c r="CN11" s="542">
        <f t="shared" ca="1" si="28"/>
        <v>0</v>
      </c>
      <c r="CO11" s="542">
        <f t="shared" ca="1" si="28"/>
        <v>0</v>
      </c>
      <c r="CP11" s="542">
        <f t="shared" ca="1" si="28"/>
        <v>0</v>
      </c>
      <c r="CQ11" s="542">
        <f t="shared" ca="1" si="28"/>
        <v>0</v>
      </c>
      <c r="CR11" s="542">
        <f t="shared" ca="1" si="28"/>
        <v>0</v>
      </c>
      <c r="CS11" s="542">
        <f t="shared" ca="1" si="28"/>
        <v>0</v>
      </c>
      <c r="CT11" s="542">
        <f t="shared" ca="1" si="28"/>
        <v>0</v>
      </c>
      <c r="CU11" s="542">
        <f t="shared" ca="1" si="28"/>
        <v>0</v>
      </c>
      <c r="CW11" s="151"/>
    </row>
    <row r="12" spans="1:101" s="84" customFormat="1" ht="12.75" customHeight="1" outlineLevel="1" x14ac:dyDescent="0.2">
      <c r="A12" s="543"/>
      <c r="B12" s="543"/>
      <c r="C12" s="86"/>
      <c r="D12" s="292" t="s">
        <v>390</v>
      </c>
      <c r="E12" s="292"/>
      <c r="G12" s="299">
        <f t="shared" ref="G12:O12" ca="1" si="29">SUM(G11:G11)</f>
        <v>11.164654317475202</v>
      </c>
      <c r="H12" s="299">
        <f t="shared" ca="1" si="29"/>
        <v>0</v>
      </c>
      <c r="I12" s="299">
        <f t="shared" ca="1" si="29"/>
        <v>0</v>
      </c>
      <c r="J12" s="299">
        <f t="shared" ca="1" si="29"/>
        <v>0</v>
      </c>
      <c r="K12" s="299">
        <f t="shared" ca="1" si="29"/>
        <v>0</v>
      </c>
      <c r="L12" s="299">
        <f t="shared" ca="1" si="29"/>
        <v>0</v>
      </c>
      <c r="M12" s="299">
        <f t="shared" ca="1" si="29"/>
        <v>0</v>
      </c>
      <c r="N12" s="299">
        <f t="shared" ca="1" si="29"/>
        <v>0</v>
      </c>
      <c r="O12" s="299">
        <f t="shared" ca="1" si="29"/>
        <v>0</v>
      </c>
      <c r="P12" s="299">
        <f t="shared" ca="1" si="1"/>
        <v>11.164654317475202</v>
      </c>
      <c r="R12" s="306">
        <f t="shared" ref="R12:AG12" ca="1" si="30">SUM(R11:R11)</f>
        <v>-11.164654317475202</v>
      </c>
      <c r="S12" s="306">
        <f t="shared" ca="1" si="30"/>
        <v>0</v>
      </c>
      <c r="T12" s="306">
        <f t="shared" ca="1" si="30"/>
        <v>0</v>
      </c>
      <c r="U12" s="306">
        <f t="shared" ca="1" si="30"/>
        <v>0</v>
      </c>
      <c r="V12" s="306">
        <f t="shared" ca="1" si="30"/>
        <v>0</v>
      </c>
      <c r="W12" s="306">
        <f t="shared" ca="1" si="30"/>
        <v>0</v>
      </c>
      <c r="X12" s="306">
        <f t="shared" ca="1" si="30"/>
        <v>0</v>
      </c>
      <c r="Y12" s="306">
        <f t="shared" ca="1" si="30"/>
        <v>0</v>
      </c>
      <c r="Z12" s="306">
        <f t="shared" ca="1" si="30"/>
        <v>0</v>
      </c>
      <c r="AA12" s="306">
        <f t="shared" ca="1" si="30"/>
        <v>0</v>
      </c>
      <c r="AB12" s="306">
        <f t="shared" ca="1" si="30"/>
        <v>0</v>
      </c>
      <c r="AC12" s="306">
        <f t="shared" ca="1" si="30"/>
        <v>0</v>
      </c>
      <c r="AD12" s="306">
        <f t="shared" ca="1" si="30"/>
        <v>0</v>
      </c>
      <c r="AE12" s="306">
        <f t="shared" ca="1" si="30"/>
        <v>0</v>
      </c>
      <c r="AF12" s="306">
        <f t="shared" ca="1" si="30"/>
        <v>0</v>
      </c>
      <c r="AG12" s="306">
        <f t="shared" ca="1" si="30"/>
        <v>0</v>
      </c>
      <c r="AH12" s="306">
        <f t="shared" ca="1" si="5"/>
        <v>-11.164654317475202</v>
      </c>
      <c r="AJ12" s="314">
        <f t="shared" ref="AJ12:AX12" ca="1" si="31">SUM(AJ11:AJ11)</f>
        <v>0</v>
      </c>
      <c r="AK12" s="314">
        <f t="shared" ca="1" si="31"/>
        <v>0</v>
      </c>
      <c r="AL12" s="314">
        <f t="shared" ca="1" si="31"/>
        <v>0</v>
      </c>
      <c r="AM12" s="314">
        <f t="shared" ca="1" si="31"/>
        <v>0</v>
      </c>
      <c r="AN12" s="314">
        <f t="shared" ca="1" si="31"/>
        <v>0</v>
      </c>
      <c r="AO12" s="314">
        <f t="shared" ca="1" si="31"/>
        <v>0</v>
      </c>
      <c r="AP12" s="314">
        <f t="shared" ca="1" si="31"/>
        <v>0</v>
      </c>
      <c r="AQ12" s="314">
        <f t="shared" ca="1" si="31"/>
        <v>0</v>
      </c>
      <c r="AR12" s="314">
        <f t="shared" ca="1" si="31"/>
        <v>0</v>
      </c>
      <c r="AS12" s="314">
        <f t="shared" ca="1" si="31"/>
        <v>0</v>
      </c>
      <c r="AT12" s="314">
        <f t="shared" ca="1" si="31"/>
        <v>0</v>
      </c>
      <c r="AU12" s="314">
        <f t="shared" ca="1" si="31"/>
        <v>0</v>
      </c>
      <c r="AV12" s="314">
        <f t="shared" ca="1" si="31"/>
        <v>0</v>
      </c>
      <c r="AW12" s="314">
        <f t="shared" ca="1" si="31"/>
        <v>0</v>
      </c>
      <c r="AX12" s="314">
        <f t="shared" ca="1" si="31"/>
        <v>0</v>
      </c>
      <c r="AY12" s="293">
        <f t="shared" ca="1" si="8"/>
        <v>0</v>
      </c>
      <c r="BA12" s="310">
        <f ca="1">SUM(BA11:BA11)</f>
        <v>0</v>
      </c>
      <c r="BB12" s="310">
        <f ca="1">SUM(BB11:BB11)</f>
        <v>0</v>
      </c>
      <c r="BC12" s="310">
        <f t="shared" ca="1" si="10"/>
        <v>0</v>
      </c>
      <c r="BE12" s="135">
        <f t="shared" ca="1" si="11"/>
        <v>0</v>
      </c>
      <c r="BF12" s="135"/>
      <c r="BG12" s="1428"/>
      <c r="BH12" s="544">
        <f t="shared" ref="BH12:CU12" ca="1" si="32">SUM(BH11:BH11)</f>
        <v>0</v>
      </c>
      <c r="BI12" s="545">
        <f t="shared" ca="1" si="32"/>
        <v>0</v>
      </c>
      <c r="BJ12" s="545">
        <f t="shared" ca="1" si="32"/>
        <v>0</v>
      </c>
      <c r="BK12" s="545">
        <f t="shared" ca="1" si="32"/>
        <v>0</v>
      </c>
      <c r="BL12" s="545">
        <f t="shared" ca="1" si="32"/>
        <v>0</v>
      </c>
      <c r="BM12" s="545">
        <f t="shared" ca="1" si="32"/>
        <v>0</v>
      </c>
      <c r="BN12" s="545">
        <f t="shared" ca="1" si="32"/>
        <v>0</v>
      </c>
      <c r="BO12" s="545">
        <f t="shared" ca="1" si="32"/>
        <v>0</v>
      </c>
      <c r="BP12" s="545">
        <f t="shared" ca="1" si="32"/>
        <v>0</v>
      </c>
      <c r="BQ12" s="545">
        <f t="shared" ca="1" si="32"/>
        <v>0</v>
      </c>
      <c r="BR12" s="545">
        <f t="shared" ca="1" si="32"/>
        <v>0</v>
      </c>
      <c r="BS12" s="545">
        <f t="shared" ca="1" si="32"/>
        <v>0</v>
      </c>
      <c r="BT12" s="545">
        <f t="shared" ca="1" si="32"/>
        <v>0</v>
      </c>
      <c r="BU12" s="545">
        <f t="shared" ca="1" si="32"/>
        <v>0</v>
      </c>
      <c r="BV12" s="545">
        <f t="shared" ca="1" si="32"/>
        <v>0</v>
      </c>
      <c r="BW12" s="545">
        <f t="shared" ca="1" si="32"/>
        <v>0</v>
      </c>
      <c r="BX12" s="545">
        <f t="shared" ca="1" si="32"/>
        <v>0</v>
      </c>
      <c r="BY12" s="545">
        <f t="shared" ca="1" si="32"/>
        <v>0</v>
      </c>
      <c r="BZ12" s="545">
        <f t="shared" ca="1" si="32"/>
        <v>0</v>
      </c>
      <c r="CA12" s="545">
        <f t="shared" ca="1" si="32"/>
        <v>0</v>
      </c>
      <c r="CB12" s="545">
        <f t="shared" ca="1" si="32"/>
        <v>0</v>
      </c>
      <c r="CC12" s="545">
        <f t="shared" ca="1" si="32"/>
        <v>0</v>
      </c>
      <c r="CD12" s="545">
        <f t="shared" ca="1" si="32"/>
        <v>0</v>
      </c>
      <c r="CE12" s="545">
        <f t="shared" ca="1" si="32"/>
        <v>0</v>
      </c>
      <c r="CF12" s="545">
        <f t="shared" ca="1" si="32"/>
        <v>0</v>
      </c>
      <c r="CG12" s="545">
        <f t="shared" ca="1" si="32"/>
        <v>0</v>
      </c>
      <c r="CH12" s="545">
        <f t="shared" ca="1" si="32"/>
        <v>0</v>
      </c>
      <c r="CI12" s="545">
        <f t="shared" ca="1" si="32"/>
        <v>0</v>
      </c>
      <c r="CJ12" s="545">
        <f t="shared" ca="1" si="32"/>
        <v>0</v>
      </c>
      <c r="CK12" s="545">
        <f t="shared" ca="1" si="32"/>
        <v>0</v>
      </c>
      <c r="CL12" s="545">
        <f t="shared" ca="1" si="32"/>
        <v>0</v>
      </c>
      <c r="CM12" s="545">
        <f t="shared" ca="1" si="32"/>
        <v>0</v>
      </c>
      <c r="CN12" s="545">
        <f t="shared" ca="1" si="32"/>
        <v>0</v>
      </c>
      <c r="CO12" s="545">
        <f t="shared" ca="1" si="32"/>
        <v>0</v>
      </c>
      <c r="CP12" s="545">
        <f t="shared" ca="1" si="32"/>
        <v>0</v>
      </c>
      <c r="CQ12" s="545">
        <f t="shared" ca="1" si="32"/>
        <v>0</v>
      </c>
      <c r="CR12" s="545">
        <f t="shared" ca="1" si="32"/>
        <v>0</v>
      </c>
      <c r="CS12" s="545">
        <f t="shared" ca="1" si="32"/>
        <v>0</v>
      </c>
      <c r="CT12" s="545">
        <f t="shared" ca="1" si="32"/>
        <v>0</v>
      </c>
      <c r="CU12" s="545">
        <f t="shared" ca="1" si="32"/>
        <v>0</v>
      </c>
      <c r="CW12" s="151"/>
    </row>
    <row r="13" spans="1:101" s="84" customFormat="1" ht="15.75" x14ac:dyDescent="0.2">
      <c r="A13" s="18"/>
      <c r="B13" s="89"/>
      <c r="C13" s="85" t="s">
        <v>229</v>
      </c>
      <c r="D13" s="57" t="str">
        <f>INDEX(Workstreams[Workstream], MATCH($C13, Workstreams[Code], 0))</f>
        <v>Cooling</v>
      </c>
      <c r="E13" s="53"/>
      <c r="G13" s="300">
        <f t="shared" ref="G13:O13" ca="1" si="33">G12+G10</f>
        <v>53.519847980518854</v>
      </c>
      <c r="H13" s="300">
        <f t="shared" ca="1" si="33"/>
        <v>0</v>
      </c>
      <c r="I13" s="300">
        <f t="shared" ca="1" si="33"/>
        <v>0</v>
      </c>
      <c r="J13" s="300">
        <f t="shared" ca="1" si="33"/>
        <v>0</v>
      </c>
      <c r="K13" s="300">
        <f t="shared" ca="1" si="33"/>
        <v>0</v>
      </c>
      <c r="L13" s="300">
        <f t="shared" ca="1" si="33"/>
        <v>0</v>
      </c>
      <c r="M13" s="300">
        <f t="shared" ca="1" si="33"/>
        <v>0</v>
      </c>
      <c r="N13" s="300">
        <f t="shared" ca="1" si="33"/>
        <v>0</v>
      </c>
      <c r="O13" s="300">
        <f t="shared" ca="1" si="33"/>
        <v>0</v>
      </c>
      <c r="P13" s="300">
        <f t="shared" ca="1" si="1"/>
        <v>53.519847980518854</v>
      </c>
      <c r="R13" s="257">
        <f t="shared" ref="R13:AG13" ca="1" si="34">R12+R10</f>
        <v>-53.519847980518854</v>
      </c>
      <c r="S13" s="257">
        <f t="shared" ca="1" si="34"/>
        <v>0</v>
      </c>
      <c r="T13" s="257">
        <f t="shared" ca="1" si="34"/>
        <v>0</v>
      </c>
      <c r="U13" s="257">
        <f t="shared" ca="1" si="34"/>
        <v>0</v>
      </c>
      <c r="V13" s="257">
        <f t="shared" ca="1" si="34"/>
        <v>0</v>
      </c>
      <c r="W13" s="257">
        <f t="shared" ca="1" si="34"/>
        <v>0</v>
      </c>
      <c r="X13" s="257">
        <f t="shared" ca="1" si="34"/>
        <v>0</v>
      </c>
      <c r="Y13" s="257">
        <f t="shared" ca="1" si="34"/>
        <v>0</v>
      </c>
      <c r="Z13" s="257">
        <f t="shared" ca="1" si="34"/>
        <v>0</v>
      </c>
      <c r="AA13" s="257">
        <f t="shared" ca="1" si="34"/>
        <v>0</v>
      </c>
      <c r="AB13" s="257">
        <f t="shared" ca="1" si="34"/>
        <v>0</v>
      </c>
      <c r="AC13" s="257">
        <f t="shared" ca="1" si="34"/>
        <v>0</v>
      </c>
      <c r="AD13" s="257">
        <f t="shared" ca="1" si="34"/>
        <v>0</v>
      </c>
      <c r="AE13" s="257">
        <f t="shared" ca="1" si="34"/>
        <v>0</v>
      </c>
      <c r="AF13" s="257">
        <f t="shared" ca="1" si="34"/>
        <v>0</v>
      </c>
      <c r="AG13" s="257">
        <f t="shared" ca="1" si="34"/>
        <v>0</v>
      </c>
      <c r="AH13" s="257">
        <f t="shared" ca="1" si="5"/>
        <v>-53.519847980518854</v>
      </c>
      <c r="AJ13" s="263">
        <f t="shared" ref="AJ13:AX13" ca="1" si="35">AJ12+AJ10</f>
        <v>0</v>
      </c>
      <c r="AK13" s="263">
        <f t="shared" ca="1" si="35"/>
        <v>0</v>
      </c>
      <c r="AL13" s="263">
        <f t="shared" ca="1" si="35"/>
        <v>0</v>
      </c>
      <c r="AM13" s="263">
        <f t="shared" ca="1" si="35"/>
        <v>0</v>
      </c>
      <c r="AN13" s="263">
        <f t="shared" ca="1" si="35"/>
        <v>0</v>
      </c>
      <c r="AO13" s="263">
        <f t="shared" ca="1" si="35"/>
        <v>0</v>
      </c>
      <c r="AP13" s="263">
        <f t="shared" ca="1" si="35"/>
        <v>0</v>
      </c>
      <c r="AQ13" s="263">
        <f t="shared" ca="1" si="35"/>
        <v>0</v>
      </c>
      <c r="AR13" s="263">
        <f t="shared" ca="1" si="35"/>
        <v>0</v>
      </c>
      <c r="AS13" s="263">
        <f t="shared" ca="1" si="35"/>
        <v>0</v>
      </c>
      <c r="AT13" s="263">
        <f t="shared" ca="1" si="35"/>
        <v>0</v>
      </c>
      <c r="AU13" s="263">
        <f t="shared" ca="1" si="35"/>
        <v>0</v>
      </c>
      <c r="AV13" s="263">
        <f t="shared" ca="1" si="35"/>
        <v>0</v>
      </c>
      <c r="AW13" s="263">
        <f t="shared" ca="1" si="35"/>
        <v>0</v>
      </c>
      <c r="AX13" s="263">
        <f t="shared" ca="1" si="35"/>
        <v>0</v>
      </c>
      <c r="AY13" s="263">
        <f t="shared" ca="1" si="8"/>
        <v>0</v>
      </c>
      <c r="BA13" s="277">
        <f ca="1">BA12+BA10</f>
        <v>0</v>
      </c>
      <c r="BB13" s="277">
        <f ca="1">BB12+BB10</f>
        <v>0</v>
      </c>
      <c r="BC13" s="277">
        <f t="shared" ca="1" si="10"/>
        <v>0</v>
      </c>
      <c r="BE13" s="55">
        <f t="shared" ca="1" si="11"/>
        <v>0</v>
      </c>
      <c r="BF13" s="55"/>
      <c r="BG13" s="1428"/>
      <c r="BH13" s="542">
        <f t="shared" ref="BH13:CU13" ca="1" si="36">BH12+BH10</f>
        <v>0</v>
      </c>
      <c r="BI13" s="542">
        <f t="shared" ca="1" si="36"/>
        <v>0</v>
      </c>
      <c r="BJ13" s="542">
        <f t="shared" ca="1" si="36"/>
        <v>0</v>
      </c>
      <c r="BK13" s="542">
        <f t="shared" ca="1" si="36"/>
        <v>0</v>
      </c>
      <c r="BL13" s="542">
        <f t="shared" ca="1" si="36"/>
        <v>0</v>
      </c>
      <c r="BM13" s="542">
        <f t="shared" ca="1" si="36"/>
        <v>0</v>
      </c>
      <c r="BN13" s="542">
        <f t="shared" ca="1" si="36"/>
        <v>0</v>
      </c>
      <c r="BO13" s="542">
        <f t="shared" ca="1" si="36"/>
        <v>0</v>
      </c>
      <c r="BP13" s="542">
        <f t="shared" ca="1" si="36"/>
        <v>0</v>
      </c>
      <c r="BQ13" s="542">
        <f t="shared" ca="1" si="36"/>
        <v>0</v>
      </c>
      <c r="BR13" s="542">
        <f t="shared" ca="1" si="36"/>
        <v>0</v>
      </c>
      <c r="BS13" s="542">
        <f t="shared" ca="1" si="36"/>
        <v>0</v>
      </c>
      <c r="BT13" s="542">
        <f t="shared" ca="1" si="36"/>
        <v>0</v>
      </c>
      <c r="BU13" s="542">
        <f t="shared" ca="1" si="36"/>
        <v>0</v>
      </c>
      <c r="BV13" s="542">
        <f t="shared" ca="1" si="36"/>
        <v>0</v>
      </c>
      <c r="BW13" s="542">
        <f t="shared" ca="1" si="36"/>
        <v>0</v>
      </c>
      <c r="BX13" s="542">
        <f t="shared" ca="1" si="36"/>
        <v>0</v>
      </c>
      <c r="BY13" s="542">
        <f t="shared" ca="1" si="36"/>
        <v>0</v>
      </c>
      <c r="BZ13" s="542">
        <f t="shared" ca="1" si="36"/>
        <v>0</v>
      </c>
      <c r="CA13" s="542">
        <f t="shared" ca="1" si="36"/>
        <v>0</v>
      </c>
      <c r="CB13" s="542">
        <f t="shared" ca="1" si="36"/>
        <v>0</v>
      </c>
      <c r="CC13" s="542">
        <f t="shared" ca="1" si="36"/>
        <v>0</v>
      </c>
      <c r="CD13" s="542">
        <f t="shared" ca="1" si="36"/>
        <v>0</v>
      </c>
      <c r="CE13" s="542">
        <f t="shared" ca="1" si="36"/>
        <v>0</v>
      </c>
      <c r="CF13" s="542">
        <f t="shared" ca="1" si="36"/>
        <v>0</v>
      </c>
      <c r="CG13" s="542">
        <f t="shared" ca="1" si="36"/>
        <v>0</v>
      </c>
      <c r="CH13" s="542">
        <f t="shared" ca="1" si="36"/>
        <v>0</v>
      </c>
      <c r="CI13" s="542">
        <f t="shared" ca="1" si="36"/>
        <v>0</v>
      </c>
      <c r="CJ13" s="542">
        <f t="shared" ca="1" si="36"/>
        <v>0</v>
      </c>
      <c r="CK13" s="542">
        <f t="shared" ca="1" si="36"/>
        <v>0</v>
      </c>
      <c r="CL13" s="542">
        <f t="shared" ca="1" si="36"/>
        <v>0</v>
      </c>
      <c r="CM13" s="542">
        <f t="shared" ca="1" si="36"/>
        <v>0</v>
      </c>
      <c r="CN13" s="542">
        <f t="shared" ca="1" si="36"/>
        <v>0</v>
      </c>
      <c r="CO13" s="542">
        <f t="shared" ca="1" si="36"/>
        <v>0</v>
      </c>
      <c r="CP13" s="542">
        <f t="shared" ca="1" si="36"/>
        <v>0</v>
      </c>
      <c r="CQ13" s="542">
        <f t="shared" ca="1" si="36"/>
        <v>0</v>
      </c>
      <c r="CR13" s="542">
        <f t="shared" ca="1" si="36"/>
        <v>0</v>
      </c>
      <c r="CS13" s="542">
        <f t="shared" ca="1" si="36"/>
        <v>0</v>
      </c>
      <c r="CT13" s="542">
        <f t="shared" ca="1" si="36"/>
        <v>0</v>
      </c>
      <c r="CU13" s="542">
        <f t="shared" ca="1" si="36"/>
        <v>0</v>
      </c>
      <c r="CW13" s="151">
        <f t="shared" ref="CW13:CW26" ca="1" si="37">SUM(BH13:CU13)</f>
        <v>0</v>
      </c>
    </row>
    <row r="14" spans="1:101" s="84" customFormat="1" outlineLevel="1" x14ac:dyDescent="0.2">
      <c r="A14" s="543"/>
      <c r="B14" s="543"/>
      <c r="C14" s="86"/>
      <c r="D14" s="61"/>
      <c r="E14" s="61"/>
      <c r="G14" s="298"/>
      <c r="H14" s="298"/>
      <c r="I14" s="298"/>
      <c r="J14" s="298"/>
      <c r="K14" s="298"/>
      <c r="L14" s="298"/>
      <c r="M14" s="298"/>
      <c r="N14" s="298"/>
      <c r="O14" s="298"/>
      <c r="P14" s="298">
        <f t="shared" si="1"/>
        <v>0</v>
      </c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5">
        <f t="shared" si="5"/>
        <v>0</v>
      </c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266">
        <f t="shared" si="8"/>
        <v>0</v>
      </c>
      <c r="BA14" s="309"/>
      <c r="BB14" s="309"/>
      <c r="BC14" s="309">
        <f t="shared" si="10"/>
        <v>0</v>
      </c>
      <c r="BE14" s="135">
        <f t="shared" si="11"/>
        <v>0</v>
      </c>
      <c r="BF14" s="135"/>
      <c r="BG14" s="543"/>
      <c r="BH14" s="541"/>
      <c r="BI14" s="542"/>
      <c r="BJ14" s="542"/>
      <c r="BK14" s="542"/>
      <c r="BL14" s="542"/>
      <c r="BM14" s="542"/>
      <c r="BN14" s="542"/>
      <c r="BO14" s="542"/>
      <c r="BP14" s="542"/>
      <c r="BQ14" s="542"/>
      <c r="BR14" s="542"/>
      <c r="BS14" s="542"/>
      <c r="BT14" s="542"/>
      <c r="BU14" s="542"/>
      <c r="BV14" s="542"/>
      <c r="BW14" s="542"/>
      <c r="BX14" s="542"/>
      <c r="BY14" s="542"/>
      <c r="BZ14" s="542"/>
      <c r="CA14" s="542"/>
      <c r="CB14" s="542"/>
      <c r="CC14" s="542"/>
      <c r="CD14" s="542"/>
      <c r="CE14" s="542"/>
      <c r="CF14" s="542"/>
      <c r="CG14" s="542"/>
      <c r="CH14" s="542"/>
      <c r="CI14" s="542"/>
      <c r="CJ14" s="542"/>
      <c r="CK14" s="542"/>
      <c r="CL14" s="542"/>
      <c r="CM14" s="542"/>
      <c r="CN14" s="542"/>
      <c r="CO14" s="542"/>
      <c r="CP14" s="542"/>
      <c r="CQ14" s="542"/>
      <c r="CR14" s="542"/>
      <c r="CS14" s="542"/>
      <c r="CT14" s="542"/>
      <c r="CU14" s="542"/>
      <c r="CW14" s="151">
        <f t="shared" si="37"/>
        <v>0</v>
      </c>
    </row>
    <row r="15" spans="1:101" s="84" customFormat="1" ht="12.75" customHeight="1" outlineLevel="1" x14ac:dyDescent="0.2">
      <c r="A15" s="543"/>
      <c r="B15" s="543"/>
      <c r="C15" s="86" t="s">
        <v>392</v>
      </c>
      <c r="D15" s="540" t="str">
        <f>INDEX(Modules[Module], MATCH($C15, Modules[Code], 0))</f>
        <v>Residential Lighting, Appliances, and Cooking</v>
      </c>
      <c r="E15" s="291"/>
      <c r="G15" s="297">
        <f t="shared" ref="G15:O16" ca="1" si="38">IFERROR(INDEX(INDIRECT($C15&amp;".Outputs["&amp;this.Year&amp;"]"), MATCH(G$5, INDIRECT($C15&amp;".Outputs[Vector]"), 0)), 0)</f>
        <v>0</v>
      </c>
      <c r="H15" s="297">
        <f t="shared" ca="1" si="38"/>
        <v>25.874855693842626</v>
      </c>
      <c r="I15" s="297">
        <f t="shared" ca="1" si="38"/>
        <v>217.12135510668645</v>
      </c>
      <c r="J15" s="297">
        <f t="shared" ca="1" si="38"/>
        <v>0</v>
      </c>
      <c r="K15" s="297">
        <f t="shared" ca="1" si="38"/>
        <v>0</v>
      </c>
      <c r="L15" s="297">
        <f t="shared" ca="1" si="38"/>
        <v>0</v>
      </c>
      <c r="M15" s="297">
        <f t="shared" ca="1" si="38"/>
        <v>0</v>
      </c>
      <c r="N15" s="297">
        <f t="shared" ca="1" si="38"/>
        <v>0</v>
      </c>
      <c r="O15" s="297">
        <f t="shared" ca="1" si="38"/>
        <v>0</v>
      </c>
      <c r="P15" s="297">
        <f t="shared" ca="1" si="1"/>
        <v>242.99621080052907</v>
      </c>
      <c r="R15" s="304">
        <f t="shared" ref="R15:AX16" ca="1" si="39">IFERROR(INDEX(INDIRECT($C15&amp;".Outputs["&amp;this.Year&amp;"]"), MATCH(R$5, INDIRECT($C15&amp;".Outputs[Vector]"), 0)), 0)</f>
        <v>-37.002325143060304</v>
      </c>
      <c r="S15" s="304">
        <f t="shared" ca="1" si="39"/>
        <v>0</v>
      </c>
      <c r="T15" s="304">
        <f t="shared" ca="1" si="39"/>
        <v>0</v>
      </c>
      <c r="U15" s="304">
        <f t="shared" ca="1" si="39"/>
        <v>-29.311382939402673</v>
      </c>
      <c r="V15" s="304">
        <f t="shared" ca="1" si="39"/>
        <v>-20.355127041251855</v>
      </c>
      <c r="W15" s="304">
        <f t="shared" ca="1" si="39"/>
        <v>-156.32737567681426</v>
      </c>
      <c r="X15" s="304">
        <f t="shared" ref="X15:Z16" ca="1" si="40">IFERROR(INDEX(INDIRECT($C15&amp;".Outputs["&amp;this.Year&amp;"]"), MATCH(X$5, INDIRECT($C15&amp;".Outputs[Vector]"), 0)), 0)</f>
        <v>0</v>
      </c>
      <c r="Y15" s="304">
        <f t="shared" ca="1" si="40"/>
        <v>0</v>
      </c>
      <c r="Z15" s="304">
        <f t="shared" ca="1" si="40"/>
        <v>0</v>
      </c>
      <c r="AA15" s="304">
        <f t="shared" ca="1" si="39"/>
        <v>0</v>
      </c>
      <c r="AB15" s="304">
        <f t="shared" ca="1" si="39"/>
        <v>0</v>
      </c>
      <c r="AC15" s="304">
        <f t="shared" ca="1" si="39"/>
        <v>0</v>
      </c>
      <c r="AD15" s="304">
        <f t="shared" ca="1" si="39"/>
        <v>0</v>
      </c>
      <c r="AE15" s="304">
        <f t="shared" ca="1" si="39"/>
        <v>0</v>
      </c>
      <c r="AF15" s="304">
        <f t="shared" ca="1" si="39"/>
        <v>0</v>
      </c>
      <c r="AG15" s="304">
        <f t="shared" ca="1" si="39"/>
        <v>0</v>
      </c>
      <c r="AH15" s="305">
        <f t="shared" ca="1" si="5"/>
        <v>-242.9962108005291</v>
      </c>
      <c r="AJ15" s="312">
        <f t="shared" ref="AJ15:AR16" ca="1" si="41">IFERROR(INDEX(INDIRECT($C15&amp;".Outputs["&amp;this.Year&amp;"]"), MATCH(AJ$5, INDIRECT($C15&amp;".Outputs[Vector]"), 0)), 0)</f>
        <v>0</v>
      </c>
      <c r="AK15" s="312">
        <f t="shared" ca="1" si="41"/>
        <v>0</v>
      </c>
      <c r="AL15" s="312">
        <f t="shared" ca="1" si="41"/>
        <v>0</v>
      </c>
      <c r="AM15" s="312">
        <f t="shared" ca="1" si="41"/>
        <v>0</v>
      </c>
      <c r="AN15" s="312">
        <f t="shared" ca="1" si="41"/>
        <v>0</v>
      </c>
      <c r="AO15" s="312">
        <f t="shared" ca="1" si="41"/>
        <v>0</v>
      </c>
      <c r="AP15" s="312">
        <f t="shared" ca="1" si="41"/>
        <v>0</v>
      </c>
      <c r="AQ15" s="312">
        <f t="shared" ca="1" si="41"/>
        <v>0</v>
      </c>
      <c r="AR15" s="312">
        <f t="shared" ca="1" si="41"/>
        <v>0</v>
      </c>
      <c r="AS15" s="312">
        <f t="shared" ca="1" si="39"/>
        <v>0</v>
      </c>
      <c r="AT15" s="312">
        <f t="shared" ca="1" si="39"/>
        <v>0</v>
      </c>
      <c r="AU15" s="312">
        <f t="shared" ca="1" si="39"/>
        <v>0</v>
      </c>
      <c r="AV15" s="312">
        <f t="shared" ca="1" si="39"/>
        <v>0</v>
      </c>
      <c r="AW15" s="312">
        <f t="shared" ca="1" si="39"/>
        <v>0</v>
      </c>
      <c r="AX15" s="312">
        <f t="shared" ca="1" si="39"/>
        <v>0</v>
      </c>
      <c r="AY15" s="266">
        <f t="shared" ca="1" si="8"/>
        <v>0</v>
      </c>
      <c r="BA15" s="308">
        <f ca="1">IFERROR(INDEX(INDIRECT($C15&amp;".Outputs["&amp;this.Year&amp;"]"), MATCH(BA$5, INDIRECT($C15&amp;".Outputs[Vector]"), 0)), 0)</f>
        <v>0</v>
      </c>
      <c r="BB15" s="308">
        <f ca="1">IFERROR(INDEX(INDIRECT($C15&amp;".Outputs["&amp;this.Year&amp;"]"), MATCH(BB$5, INDIRECT($C15&amp;".Outputs[Vector]"), 0)), 0)</f>
        <v>0</v>
      </c>
      <c r="BC15" s="309">
        <f t="shared" ca="1" si="10"/>
        <v>0</v>
      </c>
      <c r="BE15" s="135">
        <f t="shared" ca="1" si="11"/>
        <v>-2.8421709430404007E-14</v>
      </c>
      <c r="BF15" s="135"/>
      <c r="BG15" s="1428"/>
      <c r="BH15" s="541">
        <f t="shared" ref="BH15:BQ16" ca="1" si="42">IFERROR(SUMIFS(INDIRECT($C15&amp;".Emissions["&amp;this.Year&amp;"]"), INDIRECT($C15&amp;".Emissions[GHG]"), BH$6, INDIRECT($C15&amp;".Emissions[IPCC Sector]"), BH$5),0)</f>
        <v>11.073189110441009</v>
      </c>
      <c r="BI15" s="542">
        <f t="shared" ca="1" si="42"/>
        <v>11.073189110441009</v>
      </c>
      <c r="BJ15" s="542">
        <f t="shared" ca="1" si="42"/>
        <v>11.073189110441009</v>
      </c>
      <c r="BK15" s="542">
        <f t="shared" ca="1" si="42"/>
        <v>0</v>
      </c>
      <c r="BL15" s="542">
        <f t="shared" ca="1" si="42"/>
        <v>0</v>
      </c>
      <c r="BM15" s="542">
        <f t="shared" ca="1" si="42"/>
        <v>0</v>
      </c>
      <c r="BN15" s="542">
        <f t="shared" ca="1" si="42"/>
        <v>0</v>
      </c>
      <c r="BO15" s="542">
        <f t="shared" ca="1" si="42"/>
        <v>0</v>
      </c>
      <c r="BP15" s="542">
        <f t="shared" ca="1" si="42"/>
        <v>0</v>
      </c>
      <c r="BQ15" s="542">
        <f t="shared" ca="1" si="42"/>
        <v>0</v>
      </c>
      <c r="BR15" s="542">
        <f t="shared" ref="BR15:CA16" ca="1" si="43">IFERROR(SUMIFS(INDIRECT($C15&amp;".Emissions["&amp;this.Year&amp;"]"), INDIRECT($C15&amp;".Emissions[GHG]"), BR$6, INDIRECT($C15&amp;".Emissions[IPCC Sector]"), BR$5),0)</f>
        <v>0</v>
      </c>
      <c r="BS15" s="542">
        <f t="shared" ca="1" si="43"/>
        <v>0</v>
      </c>
      <c r="BT15" s="542">
        <f t="shared" ca="1" si="43"/>
        <v>0</v>
      </c>
      <c r="BU15" s="542">
        <f t="shared" ca="1" si="43"/>
        <v>0</v>
      </c>
      <c r="BV15" s="542">
        <f t="shared" ca="1" si="43"/>
        <v>0</v>
      </c>
      <c r="BW15" s="542">
        <f t="shared" ca="1" si="43"/>
        <v>0</v>
      </c>
      <c r="BX15" s="542">
        <f t="shared" ca="1" si="43"/>
        <v>0</v>
      </c>
      <c r="BY15" s="542">
        <f t="shared" ca="1" si="43"/>
        <v>0</v>
      </c>
      <c r="BZ15" s="542">
        <f t="shared" ca="1" si="43"/>
        <v>0</v>
      </c>
      <c r="CA15" s="542">
        <f t="shared" ca="1" si="43"/>
        <v>0</v>
      </c>
      <c r="CB15" s="542">
        <f t="shared" ref="CB15:CK16" ca="1" si="44">IFERROR(SUMIFS(INDIRECT($C15&amp;".Emissions["&amp;this.Year&amp;"]"), INDIRECT($C15&amp;".Emissions[GHG]"), CB$6, INDIRECT($C15&amp;".Emissions[IPCC Sector]"), CB$5),0)</f>
        <v>0</v>
      </c>
      <c r="CC15" s="542">
        <f t="shared" ca="1" si="44"/>
        <v>0</v>
      </c>
      <c r="CD15" s="542">
        <f t="shared" ca="1" si="44"/>
        <v>0</v>
      </c>
      <c r="CE15" s="542">
        <f t="shared" ca="1" si="44"/>
        <v>0</v>
      </c>
      <c r="CF15" s="542">
        <f t="shared" ca="1" si="44"/>
        <v>0</v>
      </c>
      <c r="CG15" s="542">
        <f t="shared" ca="1" si="44"/>
        <v>0</v>
      </c>
      <c r="CH15" s="542">
        <f t="shared" ca="1" si="44"/>
        <v>0</v>
      </c>
      <c r="CI15" s="542">
        <f t="shared" ca="1" si="44"/>
        <v>0</v>
      </c>
      <c r="CJ15" s="542">
        <f t="shared" ca="1" si="44"/>
        <v>0</v>
      </c>
      <c r="CK15" s="542">
        <f t="shared" ca="1" si="44"/>
        <v>0</v>
      </c>
      <c r="CL15" s="542">
        <f t="shared" ref="CL15:CU16" ca="1" si="45">IFERROR(SUMIFS(INDIRECT($C15&amp;".Emissions["&amp;this.Year&amp;"]"), INDIRECT($C15&amp;".Emissions[GHG]"), CL$6, INDIRECT($C15&amp;".Emissions[IPCC Sector]"), CL$5),0)</f>
        <v>0</v>
      </c>
      <c r="CM15" s="542">
        <f t="shared" ca="1" si="45"/>
        <v>0</v>
      </c>
      <c r="CN15" s="542">
        <f t="shared" ca="1" si="45"/>
        <v>0</v>
      </c>
      <c r="CO15" s="542">
        <f t="shared" ca="1" si="45"/>
        <v>0</v>
      </c>
      <c r="CP15" s="542">
        <f t="shared" ca="1" si="45"/>
        <v>0</v>
      </c>
      <c r="CQ15" s="542">
        <f t="shared" ca="1" si="45"/>
        <v>0</v>
      </c>
      <c r="CR15" s="542">
        <f t="shared" ca="1" si="45"/>
        <v>0</v>
      </c>
      <c r="CS15" s="542">
        <f t="shared" ca="1" si="45"/>
        <v>0</v>
      </c>
      <c r="CT15" s="542">
        <f t="shared" ca="1" si="45"/>
        <v>0</v>
      </c>
      <c r="CU15" s="542">
        <f t="shared" ca="1" si="45"/>
        <v>0</v>
      </c>
      <c r="CW15" s="151">
        <f t="shared" ca="1" si="37"/>
        <v>33.219567331323027</v>
      </c>
    </row>
    <row r="16" spans="1:101" s="84" customFormat="1" ht="12.75" customHeight="1" outlineLevel="1" x14ac:dyDescent="0.2">
      <c r="A16" s="543"/>
      <c r="B16" s="543"/>
      <c r="C16" s="86" t="s">
        <v>393</v>
      </c>
      <c r="D16" s="292" t="str">
        <f>INDEX(Modules[Module], MATCH($C16, Modules[Code], 0))</f>
        <v>Service Sector Lighting, Appliances, and Cooking</v>
      </c>
      <c r="E16" s="292"/>
      <c r="G16" s="301">
        <f t="shared" ca="1" si="38"/>
        <v>0</v>
      </c>
      <c r="H16" s="301">
        <f t="shared" ca="1" si="38"/>
        <v>10.811260509847999</v>
      </c>
      <c r="I16" s="301">
        <f t="shared" ca="1" si="38"/>
        <v>20.813839854599998</v>
      </c>
      <c r="J16" s="301">
        <f t="shared" ca="1" si="38"/>
        <v>0</v>
      </c>
      <c r="K16" s="301">
        <f t="shared" ca="1" si="38"/>
        <v>0</v>
      </c>
      <c r="L16" s="301">
        <f t="shared" ca="1" si="38"/>
        <v>0</v>
      </c>
      <c r="M16" s="301">
        <f t="shared" ca="1" si="38"/>
        <v>0</v>
      </c>
      <c r="N16" s="301">
        <f t="shared" ca="1" si="38"/>
        <v>0</v>
      </c>
      <c r="O16" s="301">
        <f t="shared" ca="1" si="38"/>
        <v>0</v>
      </c>
      <c r="P16" s="301">
        <f t="shared" ca="1" si="1"/>
        <v>31.625100364447995</v>
      </c>
      <c r="R16" s="307">
        <f t="shared" ca="1" si="39"/>
        <v>-11.877969802396249</v>
      </c>
      <c r="S16" s="307">
        <f t="shared" ca="1" si="39"/>
        <v>0</v>
      </c>
      <c r="T16" s="307">
        <f t="shared" ca="1" si="39"/>
        <v>0</v>
      </c>
      <c r="U16" s="307">
        <f t="shared" ca="1" si="39"/>
        <v>-2.8098683803709998</v>
      </c>
      <c r="V16" s="307">
        <f t="shared" ca="1" si="39"/>
        <v>-1.9512974863687498</v>
      </c>
      <c r="W16" s="307">
        <f t="shared" ca="1" si="39"/>
        <v>-14.985964695312001</v>
      </c>
      <c r="X16" s="307">
        <f t="shared" ca="1" si="40"/>
        <v>0</v>
      </c>
      <c r="Y16" s="307">
        <f t="shared" ca="1" si="40"/>
        <v>0</v>
      </c>
      <c r="Z16" s="307">
        <f t="shared" ca="1" si="40"/>
        <v>0</v>
      </c>
      <c r="AA16" s="307">
        <f t="shared" ca="1" si="39"/>
        <v>0</v>
      </c>
      <c r="AB16" s="307">
        <f t="shared" ca="1" si="39"/>
        <v>0</v>
      </c>
      <c r="AC16" s="307">
        <f t="shared" ca="1" si="39"/>
        <v>0</v>
      </c>
      <c r="AD16" s="307">
        <f t="shared" ca="1" si="39"/>
        <v>0</v>
      </c>
      <c r="AE16" s="307">
        <f t="shared" ca="1" si="39"/>
        <v>0</v>
      </c>
      <c r="AF16" s="307">
        <f t="shared" ca="1" si="39"/>
        <v>0</v>
      </c>
      <c r="AG16" s="307">
        <f t="shared" ca="1" si="39"/>
        <v>0</v>
      </c>
      <c r="AH16" s="306">
        <f t="shared" ca="1" si="5"/>
        <v>-31.625100364448002</v>
      </c>
      <c r="AJ16" s="315">
        <f t="shared" ca="1" si="41"/>
        <v>0</v>
      </c>
      <c r="AK16" s="315">
        <f t="shared" ca="1" si="41"/>
        <v>0</v>
      </c>
      <c r="AL16" s="315">
        <f t="shared" ca="1" si="41"/>
        <v>0</v>
      </c>
      <c r="AM16" s="315">
        <f t="shared" ca="1" si="41"/>
        <v>0</v>
      </c>
      <c r="AN16" s="315">
        <f t="shared" ca="1" si="41"/>
        <v>0</v>
      </c>
      <c r="AO16" s="315">
        <f t="shared" ca="1" si="41"/>
        <v>0</v>
      </c>
      <c r="AP16" s="315">
        <f t="shared" ca="1" si="41"/>
        <v>0</v>
      </c>
      <c r="AQ16" s="315">
        <f t="shared" ca="1" si="41"/>
        <v>0</v>
      </c>
      <c r="AR16" s="315">
        <f t="shared" ca="1" si="41"/>
        <v>0</v>
      </c>
      <c r="AS16" s="315">
        <f t="shared" ca="1" si="39"/>
        <v>0</v>
      </c>
      <c r="AT16" s="315">
        <f t="shared" ca="1" si="39"/>
        <v>0</v>
      </c>
      <c r="AU16" s="315">
        <f t="shared" ca="1" si="39"/>
        <v>0</v>
      </c>
      <c r="AV16" s="315">
        <f t="shared" ca="1" si="39"/>
        <v>0</v>
      </c>
      <c r="AW16" s="315">
        <f t="shared" ca="1" si="39"/>
        <v>0</v>
      </c>
      <c r="AX16" s="315">
        <f t="shared" ca="1" si="39"/>
        <v>0</v>
      </c>
      <c r="AY16" s="293">
        <f t="shared" ca="1" si="8"/>
        <v>0</v>
      </c>
      <c r="BA16" s="311">
        <f ca="1">IFERROR(INDEX(INDIRECT($C16&amp;".Outputs["&amp;this.Year&amp;"]"), MATCH(BA$5, INDIRECT($C16&amp;".Outputs[Vector]"), 0)), 0)</f>
        <v>0</v>
      </c>
      <c r="BB16" s="311">
        <f ca="1">IFERROR(INDEX(INDIRECT($C16&amp;".Outputs["&amp;this.Year&amp;"]"), MATCH(BB$5, INDIRECT($C16&amp;".Outputs[Vector]"), 0)), 0)</f>
        <v>0</v>
      </c>
      <c r="BC16" s="310">
        <f t="shared" ca="1" si="10"/>
        <v>0</v>
      </c>
      <c r="BE16" s="135">
        <f t="shared" ca="1" si="11"/>
        <v>-7.1054273576010019E-15</v>
      </c>
      <c r="BF16" s="135"/>
      <c r="BG16" s="1428"/>
      <c r="BH16" s="544">
        <f t="shared" ca="1" si="42"/>
        <v>1.0615058325845999</v>
      </c>
      <c r="BI16" s="545">
        <f t="shared" ca="1" si="42"/>
        <v>1.5942567782625146E-3</v>
      </c>
      <c r="BJ16" s="545">
        <f t="shared" ca="1" si="42"/>
        <v>1.3412881911597329E-2</v>
      </c>
      <c r="BK16" s="545">
        <f t="shared" ca="1" si="42"/>
        <v>0</v>
      </c>
      <c r="BL16" s="545">
        <f t="shared" ca="1" si="42"/>
        <v>0</v>
      </c>
      <c r="BM16" s="545">
        <f t="shared" ca="1" si="42"/>
        <v>0</v>
      </c>
      <c r="BN16" s="545">
        <f t="shared" ca="1" si="42"/>
        <v>0</v>
      </c>
      <c r="BO16" s="545">
        <f t="shared" ca="1" si="42"/>
        <v>0</v>
      </c>
      <c r="BP16" s="545">
        <f t="shared" ca="1" si="42"/>
        <v>0</v>
      </c>
      <c r="BQ16" s="545">
        <f t="shared" ca="1" si="42"/>
        <v>0</v>
      </c>
      <c r="BR16" s="545">
        <f t="shared" ca="1" si="43"/>
        <v>0</v>
      </c>
      <c r="BS16" s="545">
        <f t="shared" ca="1" si="43"/>
        <v>0</v>
      </c>
      <c r="BT16" s="545">
        <f t="shared" ca="1" si="43"/>
        <v>0</v>
      </c>
      <c r="BU16" s="545">
        <f t="shared" ca="1" si="43"/>
        <v>0</v>
      </c>
      <c r="BV16" s="545">
        <f t="shared" ca="1" si="43"/>
        <v>0</v>
      </c>
      <c r="BW16" s="545">
        <f t="shared" ca="1" si="43"/>
        <v>0</v>
      </c>
      <c r="BX16" s="545">
        <f t="shared" ca="1" si="43"/>
        <v>0</v>
      </c>
      <c r="BY16" s="545">
        <f t="shared" ca="1" si="43"/>
        <v>0</v>
      </c>
      <c r="BZ16" s="545">
        <f t="shared" ca="1" si="43"/>
        <v>0</v>
      </c>
      <c r="CA16" s="545">
        <f t="shared" ca="1" si="43"/>
        <v>0</v>
      </c>
      <c r="CB16" s="545">
        <f t="shared" ca="1" si="44"/>
        <v>0</v>
      </c>
      <c r="CC16" s="545">
        <f t="shared" ca="1" si="44"/>
        <v>0</v>
      </c>
      <c r="CD16" s="545">
        <f t="shared" ca="1" si="44"/>
        <v>0</v>
      </c>
      <c r="CE16" s="545">
        <f t="shared" ca="1" si="44"/>
        <v>0</v>
      </c>
      <c r="CF16" s="545">
        <f t="shared" ca="1" si="44"/>
        <v>0</v>
      </c>
      <c r="CG16" s="545">
        <f t="shared" ca="1" si="44"/>
        <v>0</v>
      </c>
      <c r="CH16" s="545">
        <f t="shared" ca="1" si="44"/>
        <v>0</v>
      </c>
      <c r="CI16" s="545">
        <f t="shared" ca="1" si="44"/>
        <v>0</v>
      </c>
      <c r="CJ16" s="545">
        <f t="shared" ca="1" si="44"/>
        <v>0</v>
      </c>
      <c r="CK16" s="545">
        <f t="shared" ca="1" si="44"/>
        <v>0</v>
      </c>
      <c r="CL16" s="545">
        <f t="shared" ca="1" si="45"/>
        <v>0</v>
      </c>
      <c r="CM16" s="545">
        <f t="shared" ca="1" si="45"/>
        <v>0</v>
      </c>
      <c r="CN16" s="545">
        <f t="shared" ca="1" si="45"/>
        <v>0</v>
      </c>
      <c r="CO16" s="545">
        <f t="shared" ca="1" si="45"/>
        <v>0</v>
      </c>
      <c r="CP16" s="545">
        <f t="shared" ca="1" si="45"/>
        <v>0</v>
      </c>
      <c r="CQ16" s="545">
        <f t="shared" ca="1" si="45"/>
        <v>0</v>
      </c>
      <c r="CR16" s="545">
        <f t="shared" ca="1" si="45"/>
        <v>0</v>
      </c>
      <c r="CS16" s="545">
        <f t="shared" ca="1" si="45"/>
        <v>0</v>
      </c>
      <c r="CT16" s="545">
        <f t="shared" ca="1" si="45"/>
        <v>0</v>
      </c>
      <c r="CU16" s="545">
        <f t="shared" ca="1" si="45"/>
        <v>0</v>
      </c>
      <c r="CW16" s="151">
        <f t="shared" ca="1" si="37"/>
        <v>1.0765129712744597</v>
      </c>
    </row>
    <row r="17" spans="1:101" s="84" customFormat="1" ht="15.75" x14ac:dyDescent="0.2">
      <c r="A17" s="18"/>
      <c r="B17" s="89"/>
      <c r="C17" s="85" t="s">
        <v>230</v>
      </c>
      <c r="D17" s="57" t="str">
        <f>INDEX(Workstreams[Workstream], MATCH($C17, Workstreams[Code], 0))</f>
        <v>Lighting, Appliances &amp; Cooking</v>
      </c>
      <c r="E17" s="53"/>
      <c r="G17" s="300">
        <f ca="1">G15+G16</f>
        <v>0</v>
      </c>
      <c r="H17" s="300">
        <f t="shared" ref="H17:O17" ca="1" si="46">H15+H16</f>
        <v>36.686116203690624</v>
      </c>
      <c r="I17" s="300">
        <f ca="1">I15+I16</f>
        <v>237.93519496128644</v>
      </c>
      <c r="J17" s="300">
        <f t="shared" ca="1" si="46"/>
        <v>0</v>
      </c>
      <c r="K17" s="300">
        <f t="shared" ca="1" si="46"/>
        <v>0</v>
      </c>
      <c r="L17" s="300">
        <f t="shared" ca="1" si="46"/>
        <v>0</v>
      </c>
      <c r="M17" s="300">
        <f t="shared" ca="1" si="46"/>
        <v>0</v>
      </c>
      <c r="N17" s="300">
        <f t="shared" ca="1" si="46"/>
        <v>0</v>
      </c>
      <c r="O17" s="300">
        <f t="shared" ca="1" si="46"/>
        <v>0</v>
      </c>
      <c r="P17" s="300">
        <f t="shared" ca="1" si="1"/>
        <v>274.62131116497704</v>
      </c>
      <c r="R17" s="257">
        <f ca="1">R15+R16</f>
        <v>-48.880294945456555</v>
      </c>
      <c r="S17" s="257">
        <f t="shared" ref="S17:AE17" ca="1" si="47">S15+S16</f>
        <v>0</v>
      </c>
      <c r="T17" s="257">
        <f t="shared" ca="1" si="47"/>
        <v>0</v>
      </c>
      <c r="U17" s="257">
        <f t="shared" ca="1" si="47"/>
        <v>-32.12125131977367</v>
      </c>
      <c r="V17" s="257">
        <f t="shared" ca="1" si="47"/>
        <v>-22.306424527620603</v>
      </c>
      <c r="W17" s="257">
        <f ca="1">W15+W16</f>
        <v>-171.31334037212625</v>
      </c>
      <c r="X17" s="257">
        <f ca="1">X15+X16</f>
        <v>0</v>
      </c>
      <c r="Y17" s="257">
        <f ca="1">Y15+Y16</f>
        <v>0</v>
      </c>
      <c r="Z17" s="257">
        <f ca="1">Z15+Z16</f>
        <v>0</v>
      </c>
      <c r="AA17" s="257">
        <f t="shared" ca="1" si="47"/>
        <v>0</v>
      </c>
      <c r="AB17" s="257">
        <f t="shared" ca="1" si="47"/>
        <v>0</v>
      </c>
      <c r="AC17" s="257">
        <f ca="1">AC15+AC16</f>
        <v>0</v>
      </c>
      <c r="AD17" s="257">
        <f ca="1">AD15+AD16</f>
        <v>0</v>
      </c>
      <c r="AE17" s="257">
        <f t="shared" ca="1" si="47"/>
        <v>0</v>
      </c>
      <c r="AF17" s="257">
        <f ca="1">AF15+AF16</f>
        <v>0</v>
      </c>
      <c r="AG17" s="257">
        <f ca="1">AG15+AG16</f>
        <v>0</v>
      </c>
      <c r="AH17" s="257">
        <f t="shared" ca="1" si="5"/>
        <v>-274.6213111649771</v>
      </c>
      <c r="AJ17" s="263">
        <f t="shared" ref="AJ17:AX17" ca="1" si="48">AJ15+AJ16</f>
        <v>0</v>
      </c>
      <c r="AK17" s="263">
        <f t="shared" ca="1" si="48"/>
        <v>0</v>
      </c>
      <c r="AL17" s="263">
        <f t="shared" ca="1" si="48"/>
        <v>0</v>
      </c>
      <c r="AM17" s="263">
        <f t="shared" ca="1" si="48"/>
        <v>0</v>
      </c>
      <c r="AN17" s="263">
        <f t="shared" ca="1" si="48"/>
        <v>0</v>
      </c>
      <c r="AO17" s="263">
        <f t="shared" ca="1" si="48"/>
        <v>0</v>
      </c>
      <c r="AP17" s="263">
        <f t="shared" ca="1" si="48"/>
        <v>0</v>
      </c>
      <c r="AQ17" s="263">
        <f t="shared" ca="1" si="48"/>
        <v>0</v>
      </c>
      <c r="AR17" s="263">
        <f t="shared" ca="1" si="48"/>
        <v>0</v>
      </c>
      <c r="AS17" s="263">
        <f t="shared" ca="1" si="48"/>
        <v>0</v>
      </c>
      <c r="AT17" s="263">
        <f t="shared" ca="1" si="48"/>
        <v>0</v>
      </c>
      <c r="AU17" s="263">
        <f t="shared" ca="1" si="48"/>
        <v>0</v>
      </c>
      <c r="AV17" s="263">
        <f t="shared" ca="1" si="48"/>
        <v>0</v>
      </c>
      <c r="AW17" s="263">
        <f t="shared" ca="1" si="48"/>
        <v>0</v>
      </c>
      <c r="AX17" s="263">
        <f t="shared" ca="1" si="48"/>
        <v>0</v>
      </c>
      <c r="AY17" s="263">
        <f t="shared" ca="1" si="8"/>
        <v>0</v>
      </c>
      <c r="BA17" s="277">
        <f ca="1">BA15+BA16</f>
        <v>0</v>
      </c>
      <c r="BB17" s="277">
        <f ca="1">BB15+BB16</f>
        <v>0</v>
      </c>
      <c r="BC17" s="277">
        <f t="shared" ca="1" si="10"/>
        <v>0</v>
      </c>
      <c r="BE17" s="55">
        <f t="shared" ca="1" si="11"/>
        <v>-5.6843418860808015E-14</v>
      </c>
      <c r="BF17" s="55"/>
      <c r="BG17" s="1428"/>
      <c r="BH17" s="542">
        <f t="shared" ref="BH17:CU17" ca="1" si="49">BH15+BH16</f>
        <v>12.134694943025607</v>
      </c>
      <c r="BI17" s="542">
        <f t="shared" ca="1" si="49"/>
        <v>11.07478336721927</v>
      </c>
      <c r="BJ17" s="542">
        <f t="shared" ca="1" si="49"/>
        <v>11.086601992352605</v>
      </c>
      <c r="BK17" s="542">
        <f t="shared" ca="1" si="49"/>
        <v>0</v>
      </c>
      <c r="BL17" s="542">
        <f t="shared" ca="1" si="49"/>
        <v>0</v>
      </c>
      <c r="BM17" s="542">
        <f t="shared" ca="1" si="49"/>
        <v>0</v>
      </c>
      <c r="BN17" s="542">
        <f t="shared" ca="1" si="49"/>
        <v>0</v>
      </c>
      <c r="BO17" s="542">
        <f t="shared" ca="1" si="49"/>
        <v>0</v>
      </c>
      <c r="BP17" s="542">
        <f t="shared" ca="1" si="49"/>
        <v>0</v>
      </c>
      <c r="BQ17" s="542">
        <f t="shared" ca="1" si="49"/>
        <v>0</v>
      </c>
      <c r="BR17" s="542">
        <f t="shared" ca="1" si="49"/>
        <v>0</v>
      </c>
      <c r="BS17" s="542">
        <f t="shared" ca="1" si="49"/>
        <v>0</v>
      </c>
      <c r="BT17" s="542">
        <f t="shared" ca="1" si="49"/>
        <v>0</v>
      </c>
      <c r="BU17" s="542">
        <f t="shared" ca="1" si="49"/>
        <v>0</v>
      </c>
      <c r="BV17" s="542">
        <f t="shared" ca="1" si="49"/>
        <v>0</v>
      </c>
      <c r="BW17" s="542">
        <f t="shared" ca="1" si="49"/>
        <v>0</v>
      </c>
      <c r="BX17" s="542">
        <f t="shared" ca="1" si="49"/>
        <v>0</v>
      </c>
      <c r="BY17" s="542">
        <f t="shared" ca="1" si="49"/>
        <v>0</v>
      </c>
      <c r="BZ17" s="542">
        <f t="shared" ca="1" si="49"/>
        <v>0</v>
      </c>
      <c r="CA17" s="542">
        <f t="shared" ca="1" si="49"/>
        <v>0</v>
      </c>
      <c r="CB17" s="542">
        <f t="shared" ca="1" si="49"/>
        <v>0</v>
      </c>
      <c r="CC17" s="542">
        <f t="shared" ca="1" si="49"/>
        <v>0</v>
      </c>
      <c r="CD17" s="542">
        <f t="shared" ca="1" si="49"/>
        <v>0</v>
      </c>
      <c r="CE17" s="542">
        <f t="shared" ca="1" si="49"/>
        <v>0</v>
      </c>
      <c r="CF17" s="542">
        <f t="shared" ca="1" si="49"/>
        <v>0</v>
      </c>
      <c r="CG17" s="542">
        <f t="shared" ca="1" si="49"/>
        <v>0</v>
      </c>
      <c r="CH17" s="542">
        <f t="shared" ca="1" si="49"/>
        <v>0</v>
      </c>
      <c r="CI17" s="542">
        <f t="shared" ca="1" si="49"/>
        <v>0</v>
      </c>
      <c r="CJ17" s="542">
        <f t="shared" ca="1" si="49"/>
        <v>0</v>
      </c>
      <c r="CK17" s="542">
        <f t="shared" ca="1" si="49"/>
        <v>0</v>
      </c>
      <c r="CL17" s="542">
        <f t="shared" ca="1" si="49"/>
        <v>0</v>
      </c>
      <c r="CM17" s="542">
        <f t="shared" ca="1" si="49"/>
        <v>0</v>
      </c>
      <c r="CN17" s="542">
        <f t="shared" ca="1" si="49"/>
        <v>0</v>
      </c>
      <c r="CO17" s="542">
        <f t="shared" ca="1" si="49"/>
        <v>0</v>
      </c>
      <c r="CP17" s="542">
        <f t="shared" ca="1" si="49"/>
        <v>0</v>
      </c>
      <c r="CQ17" s="542">
        <f t="shared" ca="1" si="49"/>
        <v>0</v>
      </c>
      <c r="CR17" s="542">
        <f t="shared" ca="1" si="49"/>
        <v>0</v>
      </c>
      <c r="CS17" s="542">
        <f t="shared" ca="1" si="49"/>
        <v>0</v>
      </c>
      <c r="CT17" s="542">
        <f t="shared" ca="1" si="49"/>
        <v>0</v>
      </c>
      <c r="CU17" s="542">
        <f t="shared" ca="1" si="49"/>
        <v>0</v>
      </c>
      <c r="CW17" s="151">
        <f t="shared" ca="1" si="37"/>
        <v>34.296080302597481</v>
      </c>
    </row>
    <row r="18" spans="1:101" s="84" customFormat="1" ht="12.75" customHeight="1" outlineLevel="1" x14ac:dyDescent="0.2">
      <c r="A18" s="543"/>
      <c r="B18" s="543"/>
      <c r="C18" s="86"/>
      <c r="D18" s="61"/>
      <c r="E18" s="61"/>
      <c r="G18" s="298"/>
      <c r="H18" s="298"/>
      <c r="I18" s="298"/>
      <c r="J18" s="298"/>
      <c r="K18" s="298"/>
      <c r="L18" s="298"/>
      <c r="M18" s="298"/>
      <c r="N18" s="298"/>
      <c r="O18" s="298"/>
      <c r="P18" s="298">
        <f t="shared" si="1"/>
        <v>0</v>
      </c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>
        <f t="shared" si="5"/>
        <v>0</v>
      </c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266">
        <f t="shared" si="8"/>
        <v>0</v>
      </c>
      <c r="BA18" s="309"/>
      <c r="BB18" s="309"/>
      <c r="BC18" s="309">
        <f t="shared" si="10"/>
        <v>0</v>
      </c>
      <c r="BE18" s="135">
        <f t="shared" si="11"/>
        <v>0</v>
      </c>
      <c r="BF18" s="135"/>
      <c r="BG18" s="543"/>
      <c r="BH18" s="541"/>
      <c r="BI18" s="542"/>
      <c r="BJ18" s="542"/>
      <c r="BK18" s="542"/>
      <c r="BL18" s="542"/>
      <c r="BM18" s="542"/>
      <c r="BN18" s="542"/>
      <c r="BO18" s="542"/>
      <c r="BP18" s="542"/>
      <c r="BQ18" s="542"/>
      <c r="BR18" s="542"/>
      <c r="BS18" s="542"/>
      <c r="BT18" s="542"/>
      <c r="BU18" s="542"/>
      <c r="BV18" s="542"/>
      <c r="BW18" s="542"/>
      <c r="BX18" s="542"/>
      <c r="BY18" s="542"/>
      <c r="BZ18" s="542"/>
      <c r="CA18" s="542"/>
      <c r="CB18" s="542"/>
      <c r="CC18" s="542"/>
      <c r="CD18" s="542"/>
      <c r="CE18" s="542"/>
      <c r="CF18" s="542"/>
      <c r="CG18" s="542"/>
      <c r="CH18" s="542"/>
      <c r="CI18" s="542"/>
      <c r="CJ18" s="542"/>
      <c r="CK18" s="542"/>
      <c r="CL18" s="542"/>
      <c r="CM18" s="542"/>
      <c r="CN18" s="542"/>
      <c r="CO18" s="542"/>
      <c r="CP18" s="542"/>
      <c r="CQ18" s="542"/>
      <c r="CR18" s="542"/>
      <c r="CS18" s="542"/>
      <c r="CT18" s="542"/>
      <c r="CU18" s="542"/>
      <c r="CW18" s="151">
        <f t="shared" si="37"/>
        <v>0</v>
      </c>
    </row>
    <row r="19" spans="1:101" s="84" customFormat="1" ht="12.75" customHeight="1" outlineLevel="1" x14ac:dyDescent="0.2">
      <c r="A19" s="543"/>
      <c r="B19" s="543"/>
      <c r="C19" s="86" t="s">
        <v>360</v>
      </c>
      <c r="D19" s="292" t="str">
        <f>INDEX(Modules[Module], MATCH($C19, Modules[Code], 0))</f>
        <v>Industrial processes</v>
      </c>
      <c r="E19" s="292"/>
      <c r="G19" s="301">
        <f t="shared" ref="G19:O19" ca="1" si="50">IFERROR(INDEX(INDIRECT($C19&amp;".Outputs["&amp;this.Year&amp;"]"), MATCH(G$5, INDIRECT($C19&amp;".Outputs[Vector]"), 0)), 0)</f>
        <v>0</v>
      </c>
      <c r="H19" s="301">
        <f t="shared" ca="1" si="50"/>
        <v>0</v>
      </c>
      <c r="I19" s="301">
        <f t="shared" ca="1" si="50"/>
        <v>0</v>
      </c>
      <c r="J19" s="301">
        <f t="shared" ca="1" si="50"/>
        <v>63.851868255101593</v>
      </c>
      <c r="K19" s="301">
        <f t="shared" ca="1" si="50"/>
        <v>0</v>
      </c>
      <c r="L19" s="301">
        <f t="shared" ca="1" si="50"/>
        <v>0</v>
      </c>
      <c r="M19" s="301">
        <f t="shared" ca="1" si="50"/>
        <v>0</v>
      </c>
      <c r="N19" s="301">
        <f t="shared" ca="1" si="50"/>
        <v>0</v>
      </c>
      <c r="O19" s="301">
        <f t="shared" ca="1" si="50"/>
        <v>0</v>
      </c>
      <c r="P19" s="301">
        <f t="shared" ca="1" si="1"/>
        <v>63.851868255101593</v>
      </c>
      <c r="R19" s="307">
        <f t="shared" ref="R19:AX19" ca="1" si="51">IFERROR(INDEX(INDIRECT($C19&amp;".Outputs["&amp;this.Year&amp;"]"), MATCH(R$5, INDIRECT($C19&amp;".Outputs[Vector]"), 0)), 0)</f>
        <v>-24.982561473647642</v>
      </c>
      <c r="S19" s="307">
        <f t="shared" ca="1" si="51"/>
        <v>0</v>
      </c>
      <c r="T19" s="307">
        <f t="shared" ca="1" si="51"/>
        <v>-1.7966139938633079</v>
      </c>
      <c r="U19" s="307">
        <f t="shared" ca="1" si="51"/>
        <v>-5.5980872615772128</v>
      </c>
      <c r="V19" s="307">
        <f t="shared" ca="1" si="51"/>
        <v>-24.77249686514882</v>
      </c>
      <c r="W19" s="307">
        <f t="shared" ca="1" si="51"/>
        <v>-6.7021086608646065</v>
      </c>
      <c r="X19" s="307">
        <f ca="1">IFERROR(INDEX(INDIRECT($C19&amp;".Outputs["&amp;this.Year&amp;"]"), MATCH(X$5, INDIRECT($C19&amp;".Outputs[Vector]"), 0)), 0)</f>
        <v>0</v>
      </c>
      <c r="Y19" s="307">
        <f ca="1">IFERROR(INDEX(INDIRECT($C19&amp;".Outputs["&amp;this.Year&amp;"]"), MATCH(Y$5, INDIRECT($C19&amp;".Outputs[Vector]"), 0)), 0)</f>
        <v>0</v>
      </c>
      <c r="Z19" s="307">
        <f ca="1">IFERROR(INDEX(INDIRECT($C19&amp;".Outputs["&amp;this.Year&amp;"]"), MATCH(Z$5, INDIRECT($C19&amp;".Outputs[Vector]"), 0)), 0)</f>
        <v>0</v>
      </c>
      <c r="AA19" s="307">
        <f t="shared" ca="1" si="51"/>
        <v>0</v>
      </c>
      <c r="AB19" s="307">
        <f t="shared" ca="1" si="51"/>
        <v>0</v>
      </c>
      <c r="AC19" s="307">
        <f t="shared" ca="1" si="51"/>
        <v>0</v>
      </c>
      <c r="AD19" s="307">
        <f t="shared" ca="1" si="51"/>
        <v>0</v>
      </c>
      <c r="AE19" s="307">
        <f t="shared" ca="1" si="51"/>
        <v>0</v>
      </c>
      <c r="AF19" s="307">
        <f t="shared" ca="1" si="51"/>
        <v>0</v>
      </c>
      <c r="AG19" s="307">
        <f t="shared" ca="1" si="51"/>
        <v>0</v>
      </c>
      <c r="AH19" s="306">
        <f t="shared" ca="1" si="5"/>
        <v>-63.851868255101593</v>
      </c>
      <c r="AJ19" s="315">
        <f t="shared" ref="AJ19:AR19" ca="1" si="52">IFERROR(INDEX(INDIRECT($C19&amp;".Outputs["&amp;this.Year&amp;"]"), MATCH(AJ$5, INDIRECT($C19&amp;".Outputs[Vector]"), 0)), 0)</f>
        <v>0</v>
      </c>
      <c r="AK19" s="315">
        <f t="shared" ca="1" si="52"/>
        <v>0</v>
      </c>
      <c r="AL19" s="315">
        <f t="shared" ca="1" si="52"/>
        <v>0</v>
      </c>
      <c r="AM19" s="315">
        <f t="shared" ca="1" si="52"/>
        <v>0</v>
      </c>
      <c r="AN19" s="315">
        <f t="shared" ca="1" si="52"/>
        <v>0</v>
      </c>
      <c r="AO19" s="315">
        <f t="shared" ca="1" si="52"/>
        <v>0</v>
      </c>
      <c r="AP19" s="315">
        <f t="shared" ca="1" si="52"/>
        <v>0</v>
      </c>
      <c r="AQ19" s="315">
        <f t="shared" ca="1" si="52"/>
        <v>0</v>
      </c>
      <c r="AR19" s="315">
        <f t="shared" ca="1" si="52"/>
        <v>0</v>
      </c>
      <c r="AS19" s="315">
        <f t="shared" ca="1" si="51"/>
        <v>0</v>
      </c>
      <c r="AT19" s="315">
        <f t="shared" ca="1" si="51"/>
        <v>0</v>
      </c>
      <c r="AU19" s="315">
        <f t="shared" ca="1" si="51"/>
        <v>0</v>
      </c>
      <c r="AV19" s="315">
        <f t="shared" ca="1" si="51"/>
        <v>0</v>
      </c>
      <c r="AW19" s="315">
        <f t="shared" ca="1" si="51"/>
        <v>0</v>
      </c>
      <c r="AX19" s="315">
        <f t="shared" ca="1" si="51"/>
        <v>0</v>
      </c>
      <c r="AY19" s="293">
        <f t="shared" ca="1" si="8"/>
        <v>0</v>
      </c>
      <c r="BA19" s="311">
        <f ca="1">IFERROR(INDEX(INDIRECT($C19&amp;".Outputs["&amp;this.Year&amp;"]"), MATCH(BA$5, INDIRECT($C19&amp;".Outputs[Vector]"), 0)), 0)</f>
        <v>0</v>
      </c>
      <c r="BB19" s="311">
        <f ca="1">IFERROR(INDEX(INDIRECT($C19&amp;".Outputs["&amp;this.Year&amp;"]"), MATCH(BB$5, INDIRECT($C19&amp;".Outputs[Vector]"), 0)), 0)</f>
        <v>0</v>
      </c>
      <c r="BC19" s="310">
        <f t="shared" ca="1" si="10"/>
        <v>0</v>
      </c>
      <c r="BE19" s="135">
        <f t="shared" ca="1" si="11"/>
        <v>0</v>
      </c>
      <c r="BF19" s="135"/>
      <c r="BG19" s="1428"/>
      <c r="BH19" s="544">
        <f t="shared" ref="BH19:CU19" ca="1" si="53">IFERROR(SUMIFS(INDIRECT($C19&amp;".Emissions["&amp;this.Year&amp;"]"), INDIRECT($C19&amp;".Emissions[GHG]"), BH$6, INDIRECT($C19&amp;".Emissions[IPCC Sector]"), BH$5),0)</f>
        <v>6.511018348691584</v>
      </c>
      <c r="BI19" s="545">
        <f t="shared" ca="1" si="53"/>
        <v>1.2504687684956557E-2</v>
      </c>
      <c r="BJ19" s="545">
        <f t="shared" ca="1" si="53"/>
        <v>3.9909178889935393E-2</v>
      </c>
      <c r="BK19" s="545">
        <f t="shared" ca="1" si="53"/>
        <v>0</v>
      </c>
      <c r="BL19" s="545">
        <f t="shared" ca="1" si="53"/>
        <v>0</v>
      </c>
      <c r="BM19" s="545">
        <f t="shared" ca="1" si="53"/>
        <v>0</v>
      </c>
      <c r="BN19" s="545">
        <f t="shared" ca="1" si="53"/>
        <v>0</v>
      </c>
      <c r="BO19" s="545">
        <f t="shared" ca="1" si="53"/>
        <v>0</v>
      </c>
      <c r="BP19" s="545">
        <f t="shared" ca="1" si="53"/>
        <v>14.52967271905924</v>
      </c>
      <c r="BQ19" s="545">
        <f t="shared" ca="1" si="53"/>
        <v>0.11798280493516192</v>
      </c>
      <c r="BR19" s="545">
        <f t="shared" ca="1" si="53"/>
        <v>2.9347205573011266</v>
      </c>
      <c r="BS19" s="545">
        <f t="shared" ca="1" si="53"/>
        <v>10.275715048133547</v>
      </c>
      <c r="BT19" s="545">
        <f t="shared" ca="1" si="53"/>
        <v>0</v>
      </c>
      <c r="BU19" s="545">
        <f t="shared" ca="1" si="53"/>
        <v>0</v>
      </c>
      <c r="BV19" s="545">
        <f t="shared" ca="1" si="53"/>
        <v>0</v>
      </c>
      <c r="BW19" s="545">
        <f t="shared" ca="1" si="53"/>
        <v>0</v>
      </c>
      <c r="BX19" s="545">
        <f t="shared" ca="1" si="53"/>
        <v>0</v>
      </c>
      <c r="BY19" s="545">
        <f t="shared" ca="1" si="53"/>
        <v>0</v>
      </c>
      <c r="BZ19" s="545">
        <f t="shared" ca="1" si="53"/>
        <v>0</v>
      </c>
      <c r="CA19" s="545">
        <f t="shared" ca="1" si="53"/>
        <v>0</v>
      </c>
      <c r="CB19" s="545">
        <f t="shared" ca="1" si="53"/>
        <v>0</v>
      </c>
      <c r="CC19" s="545">
        <f t="shared" ca="1" si="53"/>
        <v>0</v>
      </c>
      <c r="CD19" s="545">
        <f t="shared" ca="1" si="53"/>
        <v>0</v>
      </c>
      <c r="CE19" s="545">
        <f t="shared" ca="1" si="53"/>
        <v>0</v>
      </c>
      <c r="CF19" s="545">
        <f t="shared" ca="1" si="53"/>
        <v>0</v>
      </c>
      <c r="CG19" s="545">
        <f t="shared" ca="1" si="53"/>
        <v>0</v>
      </c>
      <c r="CH19" s="545">
        <f t="shared" ca="1" si="53"/>
        <v>0</v>
      </c>
      <c r="CI19" s="545">
        <f t="shared" ca="1" si="53"/>
        <v>0</v>
      </c>
      <c r="CJ19" s="545">
        <f t="shared" ca="1" si="53"/>
        <v>0</v>
      </c>
      <c r="CK19" s="545">
        <f t="shared" ca="1" si="53"/>
        <v>0</v>
      </c>
      <c r="CL19" s="545">
        <f t="shared" ca="1" si="53"/>
        <v>0</v>
      </c>
      <c r="CM19" s="545">
        <f t="shared" ca="1" si="53"/>
        <v>0</v>
      </c>
      <c r="CN19" s="545">
        <f t="shared" ca="1" si="53"/>
        <v>0</v>
      </c>
      <c r="CO19" s="545">
        <f t="shared" ca="1" si="53"/>
        <v>0</v>
      </c>
      <c r="CP19" s="545">
        <f t="shared" ca="1" si="53"/>
        <v>0</v>
      </c>
      <c r="CQ19" s="545">
        <f t="shared" ca="1" si="53"/>
        <v>0</v>
      </c>
      <c r="CR19" s="545">
        <f t="shared" ca="1" si="53"/>
        <v>0</v>
      </c>
      <c r="CS19" s="545">
        <f t="shared" ca="1" si="53"/>
        <v>0</v>
      </c>
      <c r="CT19" s="545">
        <f t="shared" ca="1" si="53"/>
        <v>0</v>
      </c>
      <c r="CU19" s="545">
        <f t="shared" ca="1" si="53"/>
        <v>0</v>
      </c>
      <c r="CW19" s="151">
        <f t="shared" ca="1" si="37"/>
        <v>34.421523344695551</v>
      </c>
    </row>
    <row r="20" spans="1:101" s="84" customFormat="1" ht="15.75" x14ac:dyDescent="0.2">
      <c r="A20" s="18"/>
      <c r="B20" s="89"/>
      <c r="C20" s="85" t="s">
        <v>231</v>
      </c>
      <c r="D20" s="57" t="str">
        <f>INDEX(Workstreams[Workstream], MATCH($C20, Workstreams[Code], 0))</f>
        <v>Industry</v>
      </c>
      <c r="E20" s="53"/>
      <c r="G20" s="300">
        <f ca="1">G19</f>
        <v>0</v>
      </c>
      <c r="H20" s="300">
        <f t="shared" ref="H20:O20" ca="1" si="54">H19</f>
        <v>0</v>
      </c>
      <c r="I20" s="300">
        <f ca="1">I19</f>
        <v>0</v>
      </c>
      <c r="J20" s="300">
        <f t="shared" ca="1" si="54"/>
        <v>63.851868255101593</v>
      </c>
      <c r="K20" s="300">
        <f t="shared" ca="1" si="54"/>
        <v>0</v>
      </c>
      <c r="L20" s="300">
        <f t="shared" ca="1" si="54"/>
        <v>0</v>
      </c>
      <c r="M20" s="300">
        <f t="shared" ca="1" si="54"/>
        <v>0</v>
      </c>
      <c r="N20" s="300">
        <f t="shared" ca="1" si="54"/>
        <v>0</v>
      </c>
      <c r="O20" s="300">
        <f t="shared" ca="1" si="54"/>
        <v>0</v>
      </c>
      <c r="P20" s="300">
        <f t="shared" ca="1" si="1"/>
        <v>63.851868255101593</v>
      </c>
      <c r="R20" s="257">
        <f t="shared" ref="R20:AG20" ca="1" si="55">R19</f>
        <v>-24.982561473647642</v>
      </c>
      <c r="S20" s="257">
        <f t="shared" ca="1" si="55"/>
        <v>0</v>
      </c>
      <c r="T20" s="257">
        <f t="shared" ca="1" si="55"/>
        <v>-1.7966139938633079</v>
      </c>
      <c r="U20" s="257">
        <f t="shared" ca="1" si="55"/>
        <v>-5.5980872615772128</v>
      </c>
      <c r="V20" s="257">
        <f t="shared" ca="1" si="55"/>
        <v>-24.77249686514882</v>
      </c>
      <c r="W20" s="257">
        <f ca="1">W19</f>
        <v>-6.7021086608646065</v>
      </c>
      <c r="X20" s="257">
        <f t="shared" ca="1" si="55"/>
        <v>0</v>
      </c>
      <c r="Y20" s="257">
        <f t="shared" ca="1" si="55"/>
        <v>0</v>
      </c>
      <c r="Z20" s="257">
        <f t="shared" ca="1" si="55"/>
        <v>0</v>
      </c>
      <c r="AA20" s="257">
        <f t="shared" ca="1" si="55"/>
        <v>0</v>
      </c>
      <c r="AB20" s="257">
        <f t="shared" ca="1" si="55"/>
        <v>0</v>
      </c>
      <c r="AC20" s="257">
        <f t="shared" ca="1" si="55"/>
        <v>0</v>
      </c>
      <c r="AD20" s="257">
        <f t="shared" ca="1" si="55"/>
        <v>0</v>
      </c>
      <c r="AE20" s="257">
        <f t="shared" ca="1" si="55"/>
        <v>0</v>
      </c>
      <c r="AF20" s="257">
        <f t="shared" ca="1" si="55"/>
        <v>0</v>
      </c>
      <c r="AG20" s="257">
        <f t="shared" ca="1" si="55"/>
        <v>0</v>
      </c>
      <c r="AH20" s="257">
        <f t="shared" ca="1" si="5"/>
        <v>-63.851868255101593</v>
      </c>
      <c r="AJ20" s="263">
        <f t="shared" ref="AJ20:AX20" ca="1" si="56">AJ19</f>
        <v>0</v>
      </c>
      <c r="AK20" s="263">
        <f t="shared" ca="1" si="56"/>
        <v>0</v>
      </c>
      <c r="AL20" s="263">
        <f t="shared" ca="1" si="56"/>
        <v>0</v>
      </c>
      <c r="AM20" s="263">
        <f t="shared" ca="1" si="56"/>
        <v>0</v>
      </c>
      <c r="AN20" s="263">
        <f t="shared" ca="1" si="56"/>
        <v>0</v>
      </c>
      <c r="AO20" s="263">
        <f t="shared" ca="1" si="56"/>
        <v>0</v>
      </c>
      <c r="AP20" s="263">
        <f t="shared" ca="1" si="56"/>
        <v>0</v>
      </c>
      <c r="AQ20" s="263">
        <f t="shared" ca="1" si="56"/>
        <v>0</v>
      </c>
      <c r="AR20" s="263">
        <f t="shared" ca="1" si="56"/>
        <v>0</v>
      </c>
      <c r="AS20" s="263">
        <f t="shared" ca="1" si="56"/>
        <v>0</v>
      </c>
      <c r="AT20" s="263">
        <f t="shared" ca="1" si="56"/>
        <v>0</v>
      </c>
      <c r="AU20" s="263">
        <f t="shared" ca="1" si="56"/>
        <v>0</v>
      </c>
      <c r="AV20" s="263">
        <f t="shared" ca="1" si="56"/>
        <v>0</v>
      </c>
      <c r="AW20" s="263">
        <f t="shared" ca="1" si="56"/>
        <v>0</v>
      </c>
      <c r="AX20" s="263">
        <f t="shared" ca="1" si="56"/>
        <v>0</v>
      </c>
      <c r="AY20" s="263">
        <f t="shared" ca="1" si="8"/>
        <v>0</v>
      </c>
      <c r="BA20" s="277">
        <f ca="1">BA19</f>
        <v>0</v>
      </c>
      <c r="BB20" s="277">
        <f ca="1">BB19</f>
        <v>0</v>
      </c>
      <c r="BC20" s="277">
        <f t="shared" ca="1" si="10"/>
        <v>0</v>
      </c>
      <c r="BE20" s="55">
        <f t="shared" ca="1" si="11"/>
        <v>0</v>
      </c>
      <c r="BF20" s="55"/>
      <c r="BG20" s="1428"/>
      <c r="BH20" s="542">
        <f t="shared" ref="BH20:CU20" ca="1" si="57">BH19</f>
        <v>6.511018348691584</v>
      </c>
      <c r="BI20" s="542">
        <f t="shared" ca="1" si="57"/>
        <v>1.2504687684956557E-2</v>
      </c>
      <c r="BJ20" s="542">
        <f t="shared" ca="1" si="57"/>
        <v>3.9909178889935393E-2</v>
      </c>
      <c r="BK20" s="542">
        <f t="shared" ca="1" si="57"/>
        <v>0</v>
      </c>
      <c r="BL20" s="542">
        <f t="shared" ca="1" si="57"/>
        <v>0</v>
      </c>
      <c r="BM20" s="542">
        <f t="shared" ca="1" si="57"/>
        <v>0</v>
      </c>
      <c r="BN20" s="542">
        <f t="shared" ca="1" si="57"/>
        <v>0</v>
      </c>
      <c r="BO20" s="542">
        <f t="shared" ca="1" si="57"/>
        <v>0</v>
      </c>
      <c r="BP20" s="542">
        <f t="shared" ca="1" si="57"/>
        <v>14.52967271905924</v>
      </c>
      <c r="BQ20" s="542">
        <f t="shared" ca="1" si="57"/>
        <v>0.11798280493516192</v>
      </c>
      <c r="BR20" s="542">
        <f t="shared" ca="1" si="57"/>
        <v>2.9347205573011266</v>
      </c>
      <c r="BS20" s="542">
        <f t="shared" ca="1" si="57"/>
        <v>10.275715048133547</v>
      </c>
      <c r="BT20" s="542">
        <f t="shared" ca="1" si="57"/>
        <v>0</v>
      </c>
      <c r="BU20" s="542">
        <f t="shared" ca="1" si="57"/>
        <v>0</v>
      </c>
      <c r="BV20" s="542">
        <f t="shared" ca="1" si="57"/>
        <v>0</v>
      </c>
      <c r="BW20" s="542">
        <f t="shared" ca="1" si="57"/>
        <v>0</v>
      </c>
      <c r="BX20" s="542">
        <f t="shared" ca="1" si="57"/>
        <v>0</v>
      </c>
      <c r="BY20" s="542">
        <f t="shared" ca="1" si="57"/>
        <v>0</v>
      </c>
      <c r="BZ20" s="542">
        <f t="shared" ca="1" si="57"/>
        <v>0</v>
      </c>
      <c r="CA20" s="542">
        <f t="shared" ca="1" si="57"/>
        <v>0</v>
      </c>
      <c r="CB20" s="542">
        <f t="shared" ca="1" si="57"/>
        <v>0</v>
      </c>
      <c r="CC20" s="542">
        <f t="shared" ca="1" si="57"/>
        <v>0</v>
      </c>
      <c r="CD20" s="542">
        <f t="shared" ca="1" si="57"/>
        <v>0</v>
      </c>
      <c r="CE20" s="542">
        <f t="shared" ca="1" si="57"/>
        <v>0</v>
      </c>
      <c r="CF20" s="542">
        <f t="shared" ca="1" si="57"/>
        <v>0</v>
      </c>
      <c r="CG20" s="542">
        <f t="shared" ca="1" si="57"/>
        <v>0</v>
      </c>
      <c r="CH20" s="542">
        <f t="shared" ca="1" si="57"/>
        <v>0</v>
      </c>
      <c r="CI20" s="542">
        <f t="shared" ca="1" si="57"/>
        <v>0</v>
      </c>
      <c r="CJ20" s="542">
        <f t="shared" ca="1" si="57"/>
        <v>0</v>
      </c>
      <c r="CK20" s="542">
        <f t="shared" ca="1" si="57"/>
        <v>0</v>
      </c>
      <c r="CL20" s="542">
        <f t="shared" ca="1" si="57"/>
        <v>0</v>
      </c>
      <c r="CM20" s="542">
        <f t="shared" ca="1" si="57"/>
        <v>0</v>
      </c>
      <c r="CN20" s="542">
        <f t="shared" ca="1" si="57"/>
        <v>0</v>
      </c>
      <c r="CO20" s="542">
        <f t="shared" ca="1" si="57"/>
        <v>0</v>
      </c>
      <c r="CP20" s="542">
        <f t="shared" ca="1" si="57"/>
        <v>0</v>
      </c>
      <c r="CQ20" s="542">
        <f t="shared" ca="1" si="57"/>
        <v>0</v>
      </c>
      <c r="CR20" s="542">
        <f t="shared" ca="1" si="57"/>
        <v>0</v>
      </c>
      <c r="CS20" s="542">
        <f t="shared" ca="1" si="57"/>
        <v>0</v>
      </c>
      <c r="CT20" s="542">
        <f t="shared" ca="1" si="57"/>
        <v>0</v>
      </c>
      <c r="CU20" s="542">
        <f t="shared" ca="1" si="57"/>
        <v>0</v>
      </c>
      <c r="CW20" s="151">
        <f t="shared" ca="1" si="37"/>
        <v>34.421523344695551</v>
      </c>
    </row>
    <row r="21" spans="1:101" s="84" customFormat="1" ht="12.75" customHeight="1" outlineLevel="1" x14ac:dyDescent="0.2">
      <c r="A21" s="18"/>
      <c r="B21" s="18"/>
      <c r="C21" s="87"/>
      <c r="D21" s="53"/>
      <c r="E21" s="53"/>
      <c r="G21" s="300"/>
      <c r="H21" s="300"/>
      <c r="I21" s="300"/>
      <c r="J21" s="300"/>
      <c r="K21" s="300"/>
      <c r="L21" s="300"/>
      <c r="M21" s="300"/>
      <c r="N21" s="300"/>
      <c r="O21" s="300"/>
      <c r="P21" s="300">
        <f t="shared" si="1"/>
        <v>0</v>
      </c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>
        <f t="shared" si="5"/>
        <v>0</v>
      </c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>
        <f t="shared" si="8"/>
        <v>0</v>
      </c>
      <c r="BA21" s="277"/>
      <c r="BB21" s="277"/>
      <c r="BC21" s="277">
        <f t="shared" si="10"/>
        <v>0</v>
      </c>
      <c r="BE21" s="55">
        <f t="shared" si="11"/>
        <v>0</v>
      </c>
      <c r="BF21" s="55"/>
      <c r="BG21" s="18"/>
      <c r="BH21" s="542"/>
      <c r="BI21" s="542"/>
      <c r="BJ21" s="542"/>
      <c r="BK21" s="542"/>
      <c r="BL21" s="542"/>
      <c r="BM21" s="542"/>
      <c r="BN21" s="542"/>
      <c r="BO21" s="542"/>
      <c r="BP21" s="542"/>
      <c r="BQ21" s="542"/>
      <c r="BR21" s="542"/>
      <c r="BS21" s="542"/>
      <c r="BT21" s="542"/>
      <c r="BU21" s="542"/>
      <c r="BV21" s="542"/>
      <c r="BW21" s="542"/>
      <c r="BX21" s="542"/>
      <c r="BY21" s="542"/>
      <c r="BZ21" s="542"/>
      <c r="CA21" s="542"/>
      <c r="CB21" s="542"/>
      <c r="CC21" s="542"/>
      <c r="CD21" s="542"/>
      <c r="CE21" s="542"/>
      <c r="CF21" s="542"/>
      <c r="CG21" s="542"/>
      <c r="CH21" s="542"/>
      <c r="CI21" s="542"/>
      <c r="CJ21" s="542"/>
      <c r="CK21" s="542"/>
      <c r="CL21" s="542"/>
      <c r="CM21" s="542"/>
      <c r="CN21" s="542"/>
      <c r="CO21" s="542"/>
      <c r="CP21" s="542"/>
      <c r="CQ21" s="542"/>
      <c r="CR21" s="542"/>
      <c r="CS21" s="542"/>
      <c r="CT21" s="542"/>
      <c r="CU21" s="542"/>
      <c r="CW21" s="151">
        <f t="shared" si="37"/>
        <v>0</v>
      </c>
    </row>
    <row r="22" spans="1:101" s="84" customFormat="1" ht="12.75" customHeight="1" outlineLevel="1" x14ac:dyDescent="0.2">
      <c r="A22" s="543"/>
      <c r="B22" s="543"/>
      <c r="C22" s="86" t="s">
        <v>362</v>
      </c>
      <c r="D22" s="63" t="str">
        <f>INDEX(Modules[Module], MATCH($C22, Modules[Code], 0))</f>
        <v>Domestic passenger transport</v>
      </c>
      <c r="E22" s="291"/>
      <c r="G22" s="297">
        <f t="shared" ref="G22:O23" ca="1" si="58">IFERROR(INDEX(INDIRECT($C22&amp;".Outputs["&amp;this.Year&amp;"]"), MATCH(G$5, INDIRECT($C22&amp;".Outputs[Vector]"), 0)), 0)</f>
        <v>0</v>
      </c>
      <c r="H22" s="297">
        <f t="shared" ca="1" si="58"/>
        <v>0</v>
      </c>
      <c r="I22" s="297">
        <f t="shared" ca="1" si="58"/>
        <v>0</v>
      </c>
      <c r="J22" s="297">
        <f t="shared" ca="1" si="58"/>
        <v>0</v>
      </c>
      <c r="K22" s="297">
        <f t="shared" ca="1" si="58"/>
        <v>80.394360387544751</v>
      </c>
      <c r="L22" s="297">
        <f t="shared" ca="1" si="58"/>
        <v>40.56519953071362</v>
      </c>
      <c r="M22" s="297">
        <f t="shared" ca="1" si="58"/>
        <v>0</v>
      </c>
      <c r="N22" s="297">
        <f t="shared" ca="1" si="58"/>
        <v>0</v>
      </c>
      <c r="O22" s="297">
        <f t="shared" ca="1" si="58"/>
        <v>0</v>
      </c>
      <c r="P22" s="297">
        <f t="shared" ca="1" si="1"/>
        <v>120.95955991825838</v>
      </c>
      <c r="R22" s="304">
        <f t="shared" ref="R22:AX23" ca="1" si="59">IFERROR(INDEX(INDIRECT($C22&amp;".Outputs["&amp;this.Year&amp;"]"), MATCH(R$5, INDIRECT($C22&amp;".Outputs[Vector]"), 0)), 0)</f>
        <v>-0.7600709018011822</v>
      </c>
      <c r="S22" s="304">
        <f t="shared" ca="1" si="59"/>
        <v>0</v>
      </c>
      <c r="T22" s="304">
        <f t="shared" ca="1" si="59"/>
        <v>0</v>
      </c>
      <c r="U22" s="304">
        <f t="shared" ca="1" si="59"/>
        <v>-118.92067191369577</v>
      </c>
      <c r="V22" s="304">
        <f t="shared" ca="1" si="59"/>
        <v>-1.2788171027614021</v>
      </c>
      <c r="W22" s="304">
        <f t="shared" ca="1" si="59"/>
        <v>0</v>
      </c>
      <c r="X22" s="304">
        <f t="shared" ref="X22:Z23" ca="1" si="60">IFERROR(INDEX(INDIRECT($C22&amp;".Outputs["&amp;this.Year&amp;"]"), MATCH(X$5, INDIRECT($C22&amp;".Outputs[Vector]"), 0)), 0)</f>
        <v>0</v>
      </c>
      <c r="Y22" s="304">
        <f t="shared" ca="1" si="60"/>
        <v>0</v>
      </c>
      <c r="Z22" s="304">
        <f t="shared" ca="1" si="60"/>
        <v>0</v>
      </c>
      <c r="AA22" s="304">
        <f t="shared" ca="1" si="59"/>
        <v>0</v>
      </c>
      <c r="AB22" s="304">
        <f t="shared" ca="1" si="59"/>
        <v>0</v>
      </c>
      <c r="AC22" s="304">
        <f t="shared" ca="1" si="59"/>
        <v>0</v>
      </c>
      <c r="AD22" s="304">
        <f t="shared" ca="1" si="59"/>
        <v>0</v>
      </c>
      <c r="AE22" s="304">
        <f t="shared" ca="1" si="59"/>
        <v>0</v>
      </c>
      <c r="AF22" s="304">
        <f t="shared" ca="1" si="59"/>
        <v>0</v>
      </c>
      <c r="AG22" s="304">
        <f t="shared" ca="1" si="59"/>
        <v>0</v>
      </c>
      <c r="AH22" s="305">
        <f t="shared" ca="1" si="5"/>
        <v>-120.95955991825836</v>
      </c>
      <c r="AJ22" s="312">
        <f t="shared" ref="AJ22:AR23" ca="1" si="61">IFERROR(INDEX(INDIRECT($C22&amp;".Outputs["&amp;this.Year&amp;"]"), MATCH(AJ$5, INDIRECT($C22&amp;".Outputs[Vector]"), 0)), 0)</f>
        <v>0</v>
      </c>
      <c r="AK22" s="312">
        <f t="shared" ca="1" si="61"/>
        <v>0</v>
      </c>
      <c r="AL22" s="312">
        <f t="shared" ca="1" si="61"/>
        <v>0</v>
      </c>
      <c r="AM22" s="312">
        <f t="shared" ca="1" si="61"/>
        <v>0</v>
      </c>
      <c r="AN22" s="312">
        <f t="shared" ca="1" si="61"/>
        <v>0</v>
      </c>
      <c r="AO22" s="312">
        <f t="shared" ca="1" si="61"/>
        <v>0</v>
      </c>
      <c r="AP22" s="312">
        <f t="shared" ca="1" si="61"/>
        <v>0</v>
      </c>
      <c r="AQ22" s="312">
        <f t="shared" ca="1" si="61"/>
        <v>0</v>
      </c>
      <c r="AR22" s="312">
        <f t="shared" ca="1" si="61"/>
        <v>0</v>
      </c>
      <c r="AS22" s="312">
        <f t="shared" ca="1" si="59"/>
        <v>0</v>
      </c>
      <c r="AT22" s="312">
        <f t="shared" ca="1" si="59"/>
        <v>0</v>
      </c>
      <c r="AU22" s="312">
        <f t="shared" ca="1" si="59"/>
        <v>0</v>
      </c>
      <c r="AV22" s="312">
        <f t="shared" ca="1" si="59"/>
        <v>0</v>
      </c>
      <c r="AW22" s="312">
        <f t="shared" ca="1" si="59"/>
        <v>0</v>
      </c>
      <c r="AX22" s="312">
        <f t="shared" ca="1" si="59"/>
        <v>0</v>
      </c>
      <c r="AY22" s="266">
        <f t="shared" ca="1" si="8"/>
        <v>0</v>
      </c>
      <c r="BA22" s="308">
        <f t="shared" ref="BA22:BB23" ca="1" si="62">IFERROR(INDEX(INDIRECT($C22&amp;".Outputs["&amp;this.Year&amp;"]"), MATCH(BA$5, INDIRECT($C22&amp;".Outputs[Vector]"), 0)), 0)</f>
        <v>0</v>
      </c>
      <c r="BB22" s="308">
        <f t="shared" ca="1" si="62"/>
        <v>0</v>
      </c>
      <c r="BC22" s="309">
        <f t="shared" ca="1" si="10"/>
        <v>0</v>
      </c>
      <c r="BE22" s="135">
        <f t="shared" ca="1" si="11"/>
        <v>1.4210854715202004E-14</v>
      </c>
      <c r="BF22" s="135"/>
      <c r="BG22" s="1428"/>
      <c r="BH22" s="541">
        <f t="shared" ref="BH22:BQ23" ca="1" si="63">IFERROR(SUMIFS(INDIRECT($C22&amp;".Emissions["&amp;this.Year&amp;"]"), INDIRECT($C22&amp;".Emissions[GHG]"), BH$6, INDIRECT($C22&amp;".Emissions[IPCC Sector]"), BH$5),0)</f>
        <v>29.730167978423943</v>
      </c>
      <c r="BI22" s="542">
        <f t="shared" ca="1" si="63"/>
        <v>3.7013941765832475E-2</v>
      </c>
      <c r="BJ22" s="542">
        <f t="shared" ca="1" si="63"/>
        <v>0.53490664174054081</v>
      </c>
      <c r="BK22" s="542">
        <f t="shared" ca="1" si="63"/>
        <v>0</v>
      </c>
      <c r="BL22" s="542">
        <f t="shared" ca="1" si="63"/>
        <v>0</v>
      </c>
      <c r="BM22" s="542">
        <f t="shared" ca="1" si="63"/>
        <v>0</v>
      </c>
      <c r="BN22" s="542">
        <f t="shared" ca="1" si="63"/>
        <v>0</v>
      </c>
      <c r="BO22" s="542">
        <f t="shared" ca="1" si="63"/>
        <v>0</v>
      </c>
      <c r="BP22" s="542">
        <f t="shared" ca="1" si="63"/>
        <v>0</v>
      </c>
      <c r="BQ22" s="542">
        <f t="shared" ca="1" si="63"/>
        <v>0</v>
      </c>
      <c r="BR22" s="542">
        <f t="shared" ref="BR22:CA23" ca="1" si="64">IFERROR(SUMIFS(INDIRECT($C22&amp;".Emissions["&amp;this.Year&amp;"]"), INDIRECT($C22&amp;".Emissions[GHG]"), BR$6, INDIRECT($C22&amp;".Emissions[IPCC Sector]"), BR$5),0)</f>
        <v>0</v>
      </c>
      <c r="BS22" s="542">
        <f t="shared" ca="1" si="64"/>
        <v>0</v>
      </c>
      <c r="BT22" s="542">
        <f t="shared" ca="1" si="64"/>
        <v>0</v>
      </c>
      <c r="BU22" s="542">
        <f t="shared" ca="1" si="64"/>
        <v>0</v>
      </c>
      <c r="BV22" s="542">
        <f t="shared" ca="1" si="64"/>
        <v>0</v>
      </c>
      <c r="BW22" s="542">
        <f t="shared" ca="1" si="64"/>
        <v>0</v>
      </c>
      <c r="BX22" s="542">
        <f t="shared" ca="1" si="64"/>
        <v>0</v>
      </c>
      <c r="BY22" s="542">
        <f t="shared" ca="1" si="64"/>
        <v>0</v>
      </c>
      <c r="BZ22" s="542">
        <f t="shared" ca="1" si="64"/>
        <v>0</v>
      </c>
      <c r="CA22" s="542">
        <f t="shared" ca="1" si="64"/>
        <v>0</v>
      </c>
      <c r="CB22" s="542">
        <f t="shared" ref="CB22:CK23" ca="1" si="65">IFERROR(SUMIFS(INDIRECT($C22&amp;".Emissions["&amp;this.Year&amp;"]"), INDIRECT($C22&amp;".Emissions[GHG]"), CB$6, INDIRECT($C22&amp;".Emissions[IPCC Sector]"), CB$5),0)</f>
        <v>0</v>
      </c>
      <c r="CC22" s="542">
        <f t="shared" ca="1" si="65"/>
        <v>0</v>
      </c>
      <c r="CD22" s="542">
        <f t="shared" ca="1" si="65"/>
        <v>0</v>
      </c>
      <c r="CE22" s="542">
        <f t="shared" ca="1" si="65"/>
        <v>0</v>
      </c>
      <c r="CF22" s="542">
        <f t="shared" ca="1" si="65"/>
        <v>0</v>
      </c>
      <c r="CG22" s="542">
        <f t="shared" ca="1" si="65"/>
        <v>0</v>
      </c>
      <c r="CH22" s="542">
        <f t="shared" ca="1" si="65"/>
        <v>0</v>
      </c>
      <c r="CI22" s="542">
        <f t="shared" ca="1" si="65"/>
        <v>0</v>
      </c>
      <c r="CJ22" s="542">
        <f t="shared" ca="1" si="65"/>
        <v>0</v>
      </c>
      <c r="CK22" s="542">
        <f t="shared" ca="1" si="65"/>
        <v>0</v>
      </c>
      <c r="CL22" s="542">
        <f t="shared" ref="CL22:CU23" ca="1" si="66">IFERROR(SUMIFS(INDIRECT($C22&amp;".Emissions["&amp;this.Year&amp;"]"), INDIRECT($C22&amp;".Emissions[GHG]"), CL$6, INDIRECT($C22&amp;".Emissions[IPCC Sector]"), CL$5),0)</f>
        <v>0</v>
      </c>
      <c r="CM22" s="542">
        <f t="shared" ca="1" si="66"/>
        <v>0</v>
      </c>
      <c r="CN22" s="542">
        <f t="shared" ca="1" si="66"/>
        <v>0</v>
      </c>
      <c r="CO22" s="542">
        <f t="shared" ca="1" si="66"/>
        <v>0</v>
      </c>
      <c r="CP22" s="542">
        <f t="shared" ca="1" si="66"/>
        <v>0</v>
      </c>
      <c r="CQ22" s="542">
        <f t="shared" ca="1" si="66"/>
        <v>0</v>
      </c>
      <c r="CR22" s="542">
        <f t="shared" ca="1" si="66"/>
        <v>0</v>
      </c>
      <c r="CS22" s="542">
        <f t="shared" ca="1" si="66"/>
        <v>0</v>
      </c>
      <c r="CT22" s="542">
        <f t="shared" ca="1" si="66"/>
        <v>0</v>
      </c>
      <c r="CU22" s="542">
        <f t="shared" ca="1" si="66"/>
        <v>0</v>
      </c>
      <c r="CW22" s="151">
        <f t="shared" ca="1" si="37"/>
        <v>30.302088561930315</v>
      </c>
    </row>
    <row r="23" spans="1:101" s="84" customFormat="1" ht="12.75" customHeight="1" outlineLevel="1" x14ac:dyDescent="0.2">
      <c r="A23" s="543"/>
      <c r="B23" s="543"/>
      <c r="C23" s="86" t="s">
        <v>375</v>
      </c>
      <c r="D23" s="63" t="str">
        <f>INDEX(Modules[Module], MATCH($C23, Modules[Code], 0))</f>
        <v>Domestic freight</v>
      </c>
      <c r="E23" s="291"/>
      <c r="G23" s="297">
        <f t="shared" ca="1" si="58"/>
        <v>0</v>
      </c>
      <c r="H23" s="297">
        <f t="shared" ca="1" si="58"/>
        <v>0</v>
      </c>
      <c r="I23" s="297">
        <f t="shared" ca="1" si="58"/>
        <v>0</v>
      </c>
      <c r="J23" s="297">
        <f t="shared" ca="1" si="58"/>
        <v>0</v>
      </c>
      <c r="K23" s="297">
        <f t="shared" ca="1" si="58"/>
        <v>18.179353144592984</v>
      </c>
      <c r="L23" s="297">
        <f t="shared" ca="1" si="58"/>
        <v>1.9107377147231626</v>
      </c>
      <c r="M23" s="297">
        <f t="shared" ca="1" si="58"/>
        <v>0</v>
      </c>
      <c r="N23" s="297">
        <f t="shared" ca="1" si="58"/>
        <v>1.2059144801278183E-13</v>
      </c>
      <c r="O23" s="297">
        <f t="shared" ca="1" si="58"/>
        <v>2.2204881734004642</v>
      </c>
      <c r="P23" s="297">
        <f t="shared" ca="1" si="1"/>
        <v>22.310579032716731</v>
      </c>
      <c r="R23" s="304">
        <f t="shared" ca="1" si="59"/>
        <v>-3.2109678001263453</v>
      </c>
      <c r="S23" s="304">
        <f t="shared" ca="1" si="59"/>
        <v>0</v>
      </c>
      <c r="T23" s="304">
        <f t="shared" ca="1" si="59"/>
        <v>0</v>
      </c>
      <c r="U23" s="304">
        <f t="shared" ca="1" si="59"/>
        <v>-18.643348833441564</v>
      </c>
      <c r="V23" s="304">
        <f t="shared" ca="1" si="59"/>
        <v>-0.45626239914882288</v>
      </c>
      <c r="W23" s="304">
        <f t="shared" ca="1" si="59"/>
        <v>0</v>
      </c>
      <c r="X23" s="304">
        <f t="shared" ca="1" si="60"/>
        <v>0</v>
      </c>
      <c r="Y23" s="304">
        <f t="shared" ca="1" si="60"/>
        <v>0</v>
      </c>
      <c r="Z23" s="304">
        <f t="shared" ca="1" si="60"/>
        <v>0</v>
      </c>
      <c r="AA23" s="304">
        <f t="shared" ca="1" si="59"/>
        <v>0</v>
      </c>
      <c r="AB23" s="304">
        <f t="shared" ca="1" si="59"/>
        <v>0</v>
      </c>
      <c r="AC23" s="304">
        <f t="shared" ca="1" si="59"/>
        <v>0</v>
      </c>
      <c r="AD23" s="304">
        <f t="shared" ca="1" si="59"/>
        <v>0</v>
      </c>
      <c r="AE23" s="304">
        <f t="shared" ca="1" si="59"/>
        <v>0</v>
      </c>
      <c r="AF23" s="304">
        <f t="shared" ca="1" si="59"/>
        <v>0</v>
      </c>
      <c r="AG23" s="304">
        <f t="shared" ca="1" si="59"/>
        <v>0</v>
      </c>
      <c r="AH23" s="305">
        <f t="shared" ca="1" si="5"/>
        <v>-22.310579032716731</v>
      </c>
      <c r="AJ23" s="312">
        <f t="shared" ca="1" si="61"/>
        <v>0</v>
      </c>
      <c r="AK23" s="312">
        <f t="shared" ca="1" si="61"/>
        <v>0</v>
      </c>
      <c r="AL23" s="312">
        <f t="shared" ca="1" si="61"/>
        <v>0</v>
      </c>
      <c r="AM23" s="312">
        <f t="shared" ca="1" si="61"/>
        <v>0</v>
      </c>
      <c r="AN23" s="312">
        <f t="shared" ca="1" si="61"/>
        <v>0</v>
      </c>
      <c r="AO23" s="312">
        <f t="shared" ca="1" si="61"/>
        <v>0</v>
      </c>
      <c r="AP23" s="312">
        <f t="shared" ca="1" si="61"/>
        <v>0</v>
      </c>
      <c r="AQ23" s="312">
        <f t="shared" ca="1" si="61"/>
        <v>0</v>
      </c>
      <c r="AR23" s="312">
        <f t="shared" ca="1" si="61"/>
        <v>0</v>
      </c>
      <c r="AS23" s="312">
        <f t="shared" ca="1" si="59"/>
        <v>0</v>
      </c>
      <c r="AT23" s="312">
        <f t="shared" ca="1" si="59"/>
        <v>0</v>
      </c>
      <c r="AU23" s="312">
        <f t="shared" ca="1" si="59"/>
        <v>0</v>
      </c>
      <c r="AV23" s="312">
        <f t="shared" ca="1" si="59"/>
        <v>0</v>
      </c>
      <c r="AW23" s="312">
        <f t="shared" ca="1" si="59"/>
        <v>0</v>
      </c>
      <c r="AX23" s="312">
        <f t="shared" ca="1" si="59"/>
        <v>0</v>
      </c>
      <c r="AY23" s="266">
        <f t="shared" ca="1" si="8"/>
        <v>0</v>
      </c>
      <c r="BA23" s="308">
        <f t="shared" ca="1" si="62"/>
        <v>0</v>
      </c>
      <c r="BB23" s="308">
        <f t="shared" ca="1" si="62"/>
        <v>0</v>
      </c>
      <c r="BC23" s="309">
        <f t="shared" ca="1" si="10"/>
        <v>0</v>
      </c>
      <c r="BE23" s="135">
        <f t="shared" ca="1" si="11"/>
        <v>0</v>
      </c>
      <c r="BF23" s="135"/>
      <c r="BG23" s="1428"/>
      <c r="BH23" s="541">
        <f t="shared" ca="1" si="63"/>
        <v>4.7749028081475968</v>
      </c>
      <c r="BI23" s="542">
        <f t="shared" ca="1" si="63"/>
        <v>5.9447351460156245E-3</v>
      </c>
      <c r="BJ23" s="542">
        <f t="shared" ca="1" si="63"/>
        <v>8.5910285727188423E-2</v>
      </c>
      <c r="BK23" s="542">
        <f t="shared" ca="1" si="63"/>
        <v>0</v>
      </c>
      <c r="BL23" s="542">
        <f t="shared" ca="1" si="63"/>
        <v>0</v>
      </c>
      <c r="BM23" s="542">
        <f t="shared" ca="1" si="63"/>
        <v>0</v>
      </c>
      <c r="BN23" s="542">
        <f t="shared" ca="1" si="63"/>
        <v>0</v>
      </c>
      <c r="BO23" s="542">
        <f t="shared" ca="1" si="63"/>
        <v>0</v>
      </c>
      <c r="BP23" s="542">
        <f t="shared" ca="1" si="63"/>
        <v>0</v>
      </c>
      <c r="BQ23" s="542">
        <f t="shared" ca="1" si="63"/>
        <v>0</v>
      </c>
      <c r="BR23" s="542">
        <f t="shared" ca="1" si="64"/>
        <v>0</v>
      </c>
      <c r="BS23" s="542">
        <f t="shared" ca="1" si="64"/>
        <v>0</v>
      </c>
      <c r="BT23" s="542">
        <f t="shared" ca="1" si="64"/>
        <v>0</v>
      </c>
      <c r="BU23" s="542">
        <f t="shared" ca="1" si="64"/>
        <v>0</v>
      </c>
      <c r="BV23" s="542">
        <f t="shared" ca="1" si="64"/>
        <v>0</v>
      </c>
      <c r="BW23" s="542">
        <f t="shared" ca="1" si="64"/>
        <v>0</v>
      </c>
      <c r="BX23" s="542">
        <f t="shared" ca="1" si="64"/>
        <v>0</v>
      </c>
      <c r="BY23" s="542">
        <f t="shared" ca="1" si="64"/>
        <v>0</v>
      </c>
      <c r="BZ23" s="542">
        <f t="shared" ca="1" si="64"/>
        <v>0</v>
      </c>
      <c r="CA23" s="542">
        <f t="shared" ca="1" si="64"/>
        <v>0</v>
      </c>
      <c r="CB23" s="542">
        <f t="shared" ca="1" si="65"/>
        <v>0</v>
      </c>
      <c r="CC23" s="542">
        <f t="shared" ca="1" si="65"/>
        <v>0</v>
      </c>
      <c r="CD23" s="542">
        <f t="shared" ca="1" si="65"/>
        <v>0</v>
      </c>
      <c r="CE23" s="542">
        <f t="shared" ca="1" si="65"/>
        <v>0</v>
      </c>
      <c r="CF23" s="542">
        <f t="shared" ca="1" si="65"/>
        <v>0</v>
      </c>
      <c r="CG23" s="542">
        <f t="shared" ca="1" si="65"/>
        <v>0</v>
      </c>
      <c r="CH23" s="542">
        <f t="shared" ca="1" si="65"/>
        <v>0</v>
      </c>
      <c r="CI23" s="542">
        <f t="shared" ca="1" si="65"/>
        <v>0</v>
      </c>
      <c r="CJ23" s="542">
        <f t="shared" ca="1" si="65"/>
        <v>0</v>
      </c>
      <c r="CK23" s="542">
        <f t="shared" ca="1" si="65"/>
        <v>0</v>
      </c>
      <c r="CL23" s="542">
        <f t="shared" ca="1" si="66"/>
        <v>0</v>
      </c>
      <c r="CM23" s="542">
        <f t="shared" ca="1" si="66"/>
        <v>0</v>
      </c>
      <c r="CN23" s="542">
        <f t="shared" ca="1" si="66"/>
        <v>0</v>
      </c>
      <c r="CO23" s="542">
        <f t="shared" ca="1" si="66"/>
        <v>0</v>
      </c>
      <c r="CP23" s="542">
        <f t="shared" ca="1" si="66"/>
        <v>0</v>
      </c>
      <c r="CQ23" s="542">
        <f t="shared" ca="1" si="66"/>
        <v>0</v>
      </c>
      <c r="CR23" s="542">
        <f t="shared" ca="1" si="66"/>
        <v>0</v>
      </c>
      <c r="CS23" s="542">
        <f t="shared" ca="1" si="66"/>
        <v>0</v>
      </c>
      <c r="CT23" s="542">
        <f t="shared" ca="1" si="66"/>
        <v>0</v>
      </c>
      <c r="CU23" s="542">
        <f t="shared" ca="1" si="66"/>
        <v>0</v>
      </c>
      <c r="CW23" s="151">
        <f t="shared" ca="1" si="37"/>
        <v>4.8667578290208011</v>
      </c>
    </row>
    <row r="24" spans="1:101" s="84" customFormat="1" ht="15.75" x14ac:dyDescent="0.2">
      <c r="A24" s="18"/>
      <c r="B24" s="89"/>
      <c r="C24" s="85" t="s">
        <v>232</v>
      </c>
      <c r="D24" s="57" t="str">
        <f>INDEX(Workstreams[Workstream], MATCH($C24, Workstreams[Code], 0))</f>
        <v>Transport</v>
      </c>
      <c r="E24" s="53"/>
      <c r="G24" s="300">
        <f ca="1">G22+G23</f>
        <v>0</v>
      </c>
      <c r="H24" s="300">
        <f t="shared" ref="H24:AG24" ca="1" si="67">H22+H23</f>
        <v>0</v>
      </c>
      <c r="I24" s="300">
        <f t="shared" ca="1" si="67"/>
        <v>0</v>
      </c>
      <c r="J24" s="300">
        <f t="shared" ca="1" si="67"/>
        <v>0</v>
      </c>
      <c r="K24" s="300">
        <f t="shared" ca="1" si="67"/>
        <v>98.573713532137731</v>
      </c>
      <c r="L24" s="300">
        <f t="shared" ca="1" si="67"/>
        <v>42.475937245436782</v>
      </c>
      <c r="M24" s="300">
        <f t="shared" ca="1" si="67"/>
        <v>0</v>
      </c>
      <c r="N24" s="300">
        <f t="shared" ca="1" si="67"/>
        <v>1.2059144801278183E-13</v>
      </c>
      <c r="O24" s="300">
        <f t="shared" ca="1" si="67"/>
        <v>2.2204881734004642</v>
      </c>
      <c r="P24" s="300">
        <f t="shared" ca="1" si="67"/>
        <v>143.27013895097511</v>
      </c>
      <c r="Q24" s="300">
        <f t="shared" si="67"/>
        <v>0</v>
      </c>
      <c r="R24" s="300">
        <f t="shared" ca="1" si="67"/>
        <v>-3.9710387019275277</v>
      </c>
      <c r="S24" s="300">
        <f t="shared" ca="1" si="67"/>
        <v>0</v>
      </c>
      <c r="T24" s="300">
        <f t="shared" ca="1" si="67"/>
        <v>0</v>
      </c>
      <c r="U24" s="300">
        <f t="shared" ca="1" si="67"/>
        <v>-137.56402074713733</v>
      </c>
      <c r="V24" s="300">
        <f t="shared" ca="1" si="67"/>
        <v>-1.735079501910225</v>
      </c>
      <c r="W24" s="300">
        <f t="shared" ca="1" si="67"/>
        <v>0</v>
      </c>
      <c r="X24" s="300">
        <f t="shared" ca="1" si="67"/>
        <v>0</v>
      </c>
      <c r="Y24" s="300">
        <f t="shared" ca="1" si="67"/>
        <v>0</v>
      </c>
      <c r="Z24" s="300">
        <f t="shared" ca="1" si="67"/>
        <v>0</v>
      </c>
      <c r="AA24" s="300">
        <f t="shared" ca="1" si="67"/>
        <v>0</v>
      </c>
      <c r="AB24" s="300">
        <f t="shared" ca="1" si="67"/>
        <v>0</v>
      </c>
      <c r="AC24" s="300">
        <f t="shared" ca="1" si="67"/>
        <v>0</v>
      </c>
      <c r="AD24" s="300">
        <f t="shared" ca="1" si="67"/>
        <v>0</v>
      </c>
      <c r="AE24" s="300">
        <f t="shared" ca="1" si="67"/>
        <v>0</v>
      </c>
      <c r="AF24" s="300">
        <f t="shared" ca="1" si="67"/>
        <v>0</v>
      </c>
      <c r="AG24" s="300">
        <f t="shared" ca="1" si="67"/>
        <v>0</v>
      </c>
      <c r="AH24" s="257">
        <f t="shared" ca="1" si="5"/>
        <v>-143.27013895097511</v>
      </c>
      <c r="AJ24" s="263">
        <f ca="1">AJ22+AJ23</f>
        <v>0</v>
      </c>
      <c r="AK24" s="263">
        <f t="shared" ref="AK24:BB24" ca="1" si="68">AK22+AK23</f>
        <v>0</v>
      </c>
      <c r="AL24" s="263">
        <f t="shared" ca="1" si="68"/>
        <v>0</v>
      </c>
      <c r="AM24" s="263">
        <f t="shared" ca="1" si="68"/>
        <v>0</v>
      </c>
      <c r="AN24" s="263">
        <f t="shared" ca="1" si="68"/>
        <v>0</v>
      </c>
      <c r="AO24" s="263">
        <f t="shared" ca="1" si="68"/>
        <v>0</v>
      </c>
      <c r="AP24" s="263">
        <f t="shared" ca="1" si="68"/>
        <v>0</v>
      </c>
      <c r="AQ24" s="263">
        <f t="shared" ca="1" si="68"/>
        <v>0</v>
      </c>
      <c r="AR24" s="263">
        <f t="shared" ca="1" si="68"/>
        <v>0</v>
      </c>
      <c r="AS24" s="263">
        <f t="shared" ca="1" si="68"/>
        <v>0</v>
      </c>
      <c r="AT24" s="263">
        <f t="shared" ca="1" si="68"/>
        <v>0</v>
      </c>
      <c r="AU24" s="263">
        <f t="shared" ca="1" si="68"/>
        <v>0</v>
      </c>
      <c r="AV24" s="263">
        <f t="shared" ca="1" si="68"/>
        <v>0</v>
      </c>
      <c r="AW24" s="263">
        <f t="shared" ca="1" si="68"/>
        <v>0</v>
      </c>
      <c r="AX24" s="263">
        <f t="shared" ca="1" si="68"/>
        <v>0</v>
      </c>
      <c r="AY24" s="263">
        <f t="shared" ca="1" si="68"/>
        <v>0</v>
      </c>
      <c r="AZ24" s="263">
        <f t="shared" si="68"/>
        <v>0</v>
      </c>
      <c r="BA24" s="263">
        <f t="shared" ca="1" si="68"/>
        <v>0</v>
      </c>
      <c r="BB24" s="263">
        <f t="shared" ca="1" si="68"/>
        <v>0</v>
      </c>
      <c r="BC24" s="277">
        <f t="shared" ca="1" si="10"/>
        <v>0</v>
      </c>
      <c r="BE24" s="55">
        <f t="shared" ca="1" si="11"/>
        <v>0</v>
      </c>
      <c r="BF24" s="55"/>
      <c r="BG24" s="1428"/>
      <c r="BH24" s="542">
        <f ca="1">BH22+BH23</f>
        <v>34.505070786571537</v>
      </c>
      <c r="BI24" s="542">
        <f t="shared" ref="BI24:CV24" ca="1" si="69">BI22+BI23</f>
        <v>4.2958676911848098E-2</v>
      </c>
      <c r="BJ24" s="542">
        <f t="shared" ca="1" si="69"/>
        <v>0.62081692746772921</v>
      </c>
      <c r="BK24" s="542">
        <f t="shared" ca="1" si="69"/>
        <v>0</v>
      </c>
      <c r="BL24" s="542">
        <f t="shared" ca="1" si="69"/>
        <v>0</v>
      </c>
      <c r="BM24" s="542">
        <f t="shared" ca="1" si="69"/>
        <v>0</v>
      </c>
      <c r="BN24" s="542">
        <f t="shared" ca="1" si="69"/>
        <v>0</v>
      </c>
      <c r="BO24" s="542">
        <f t="shared" ca="1" si="69"/>
        <v>0</v>
      </c>
      <c r="BP24" s="542">
        <f t="shared" ca="1" si="69"/>
        <v>0</v>
      </c>
      <c r="BQ24" s="542">
        <f t="shared" ca="1" si="69"/>
        <v>0</v>
      </c>
      <c r="BR24" s="542">
        <f t="shared" ca="1" si="69"/>
        <v>0</v>
      </c>
      <c r="BS24" s="542">
        <f t="shared" ca="1" si="69"/>
        <v>0</v>
      </c>
      <c r="BT24" s="542">
        <f t="shared" ca="1" si="69"/>
        <v>0</v>
      </c>
      <c r="BU24" s="542">
        <f t="shared" ca="1" si="69"/>
        <v>0</v>
      </c>
      <c r="BV24" s="542">
        <f t="shared" ca="1" si="69"/>
        <v>0</v>
      </c>
      <c r="BW24" s="542">
        <f t="shared" ca="1" si="69"/>
        <v>0</v>
      </c>
      <c r="BX24" s="542">
        <f t="shared" ca="1" si="69"/>
        <v>0</v>
      </c>
      <c r="BY24" s="542">
        <f t="shared" ca="1" si="69"/>
        <v>0</v>
      </c>
      <c r="BZ24" s="542">
        <f t="shared" ca="1" si="69"/>
        <v>0</v>
      </c>
      <c r="CA24" s="542">
        <f t="shared" ca="1" si="69"/>
        <v>0</v>
      </c>
      <c r="CB24" s="542">
        <f t="shared" ca="1" si="69"/>
        <v>0</v>
      </c>
      <c r="CC24" s="542">
        <f t="shared" ca="1" si="69"/>
        <v>0</v>
      </c>
      <c r="CD24" s="542">
        <f t="shared" ca="1" si="69"/>
        <v>0</v>
      </c>
      <c r="CE24" s="542">
        <f t="shared" ca="1" si="69"/>
        <v>0</v>
      </c>
      <c r="CF24" s="542">
        <f t="shared" ca="1" si="69"/>
        <v>0</v>
      </c>
      <c r="CG24" s="542">
        <f t="shared" ca="1" si="69"/>
        <v>0</v>
      </c>
      <c r="CH24" s="542">
        <f t="shared" ca="1" si="69"/>
        <v>0</v>
      </c>
      <c r="CI24" s="542">
        <f t="shared" ca="1" si="69"/>
        <v>0</v>
      </c>
      <c r="CJ24" s="542">
        <f t="shared" ca="1" si="69"/>
        <v>0</v>
      </c>
      <c r="CK24" s="542">
        <f t="shared" ca="1" si="69"/>
        <v>0</v>
      </c>
      <c r="CL24" s="542">
        <f t="shared" ca="1" si="69"/>
        <v>0</v>
      </c>
      <c r="CM24" s="542">
        <f t="shared" ca="1" si="69"/>
        <v>0</v>
      </c>
      <c r="CN24" s="542">
        <f t="shared" ca="1" si="69"/>
        <v>0</v>
      </c>
      <c r="CO24" s="542">
        <f t="shared" ca="1" si="69"/>
        <v>0</v>
      </c>
      <c r="CP24" s="542">
        <f t="shared" ca="1" si="69"/>
        <v>0</v>
      </c>
      <c r="CQ24" s="542">
        <f t="shared" ca="1" si="69"/>
        <v>0</v>
      </c>
      <c r="CR24" s="542">
        <f t="shared" ca="1" si="69"/>
        <v>0</v>
      </c>
      <c r="CS24" s="542">
        <f t="shared" ca="1" si="69"/>
        <v>0</v>
      </c>
      <c r="CT24" s="542">
        <f t="shared" ca="1" si="69"/>
        <v>0</v>
      </c>
      <c r="CU24" s="542">
        <f t="shared" ca="1" si="69"/>
        <v>0</v>
      </c>
      <c r="CV24" s="542">
        <f t="shared" si="69"/>
        <v>0</v>
      </c>
      <c r="CW24" s="151">
        <f t="shared" ca="1" si="37"/>
        <v>35.168846390951117</v>
      </c>
    </row>
    <row r="25" spans="1:101" s="84" customFormat="1" ht="12.75" customHeight="1" outlineLevel="1" x14ac:dyDescent="0.2">
      <c r="A25" s="18"/>
      <c r="B25" s="18"/>
      <c r="C25" s="87"/>
      <c r="D25" s="53"/>
      <c r="E25" s="53"/>
      <c r="G25" s="300"/>
      <c r="H25" s="300"/>
      <c r="I25" s="300"/>
      <c r="J25" s="300"/>
      <c r="K25" s="300"/>
      <c r="L25" s="300"/>
      <c r="M25" s="300"/>
      <c r="N25" s="300"/>
      <c r="O25" s="300"/>
      <c r="P25" s="300">
        <f t="shared" ref="P25:P56" si="70">SUM(G25:O25)</f>
        <v>0</v>
      </c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>
        <f t="shared" si="5"/>
        <v>0</v>
      </c>
      <c r="AJ25" s="263"/>
      <c r="AK25" s="263"/>
      <c r="AL25" s="263"/>
      <c r="AM25" s="263"/>
      <c r="AN25" s="263"/>
      <c r="AO25" s="263"/>
      <c r="AP25" s="263"/>
      <c r="AQ25" s="263"/>
      <c r="AR25" s="263"/>
      <c r="AS25" s="263"/>
      <c r="AT25" s="263"/>
      <c r="AU25" s="263"/>
      <c r="AV25" s="263"/>
      <c r="AW25" s="263"/>
      <c r="AX25" s="263"/>
      <c r="AY25" s="263">
        <f>SUM(AJ25:AX25)</f>
        <v>0</v>
      </c>
      <c r="BA25" s="277"/>
      <c r="BB25" s="277"/>
      <c r="BC25" s="277">
        <f t="shared" si="10"/>
        <v>0</v>
      </c>
      <c r="BE25" s="55">
        <f t="shared" si="11"/>
        <v>0</v>
      </c>
      <c r="BF25" s="55"/>
      <c r="BG25" s="18"/>
      <c r="BH25" s="542"/>
      <c r="BI25" s="542"/>
      <c r="BJ25" s="542"/>
      <c r="BK25" s="542"/>
      <c r="BL25" s="542"/>
      <c r="BM25" s="542"/>
      <c r="BN25" s="542"/>
      <c r="BO25" s="542"/>
      <c r="BP25" s="542"/>
      <c r="BQ25" s="542"/>
      <c r="BR25" s="542"/>
      <c r="BS25" s="542"/>
      <c r="BT25" s="542"/>
      <c r="BU25" s="542"/>
      <c r="BV25" s="542"/>
      <c r="BW25" s="542"/>
      <c r="BX25" s="542"/>
      <c r="BY25" s="542"/>
      <c r="BZ25" s="542"/>
      <c r="CA25" s="542"/>
      <c r="CB25" s="542"/>
      <c r="CC25" s="542"/>
      <c r="CD25" s="542"/>
      <c r="CE25" s="542"/>
      <c r="CF25" s="542"/>
      <c r="CG25" s="542"/>
      <c r="CH25" s="542"/>
      <c r="CI25" s="542"/>
      <c r="CJ25" s="542"/>
      <c r="CK25" s="542"/>
      <c r="CL25" s="542"/>
      <c r="CM25" s="542"/>
      <c r="CN25" s="542"/>
      <c r="CO25" s="542"/>
      <c r="CP25" s="542"/>
      <c r="CQ25" s="542"/>
      <c r="CR25" s="542"/>
      <c r="CS25" s="542"/>
      <c r="CT25" s="542"/>
      <c r="CU25" s="542"/>
      <c r="CW25" s="151">
        <f t="shared" si="37"/>
        <v>0</v>
      </c>
    </row>
    <row r="26" spans="1:101" s="84" customFormat="1" ht="12.75" customHeight="1" outlineLevel="1" x14ac:dyDescent="0.2">
      <c r="A26" s="18"/>
      <c r="B26" s="18"/>
      <c r="C26" s="87"/>
      <c r="D26" s="53"/>
      <c r="E26" s="53"/>
      <c r="G26" s="300"/>
      <c r="H26" s="300"/>
      <c r="I26" s="300"/>
      <c r="J26" s="300"/>
      <c r="K26" s="300"/>
      <c r="L26" s="300"/>
      <c r="M26" s="300"/>
      <c r="N26" s="300"/>
      <c r="O26" s="300"/>
      <c r="P26" s="300">
        <f t="shared" si="70"/>
        <v>0</v>
      </c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>
        <f t="shared" si="5"/>
        <v>0</v>
      </c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3"/>
      <c r="AY26" s="263">
        <f>SUM(AJ26:AX26)</f>
        <v>0</v>
      </c>
      <c r="BA26" s="277"/>
      <c r="BB26" s="277"/>
      <c r="BC26" s="277">
        <f t="shared" si="10"/>
        <v>0</v>
      </c>
      <c r="BE26" s="55">
        <f t="shared" si="11"/>
        <v>0</v>
      </c>
      <c r="BF26" s="55"/>
      <c r="BG26" s="18"/>
      <c r="BH26" s="541"/>
      <c r="BI26" s="542"/>
      <c r="BJ26" s="542"/>
      <c r="BK26" s="542"/>
      <c r="BL26" s="542"/>
      <c r="BM26" s="542"/>
      <c r="BN26" s="542"/>
      <c r="BO26" s="542"/>
      <c r="BP26" s="542"/>
      <c r="BQ26" s="542"/>
      <c r="BR26" s="542"/>
      <c r="BS26" s="542"/>
      <c r="BT26" s="542"/>
      <c r="BU26" s="542"/>
      <c r="BV26" s="542"/>
      <c r="BW26" s="542"/>
      <c r="BX26" s="542"/>
      <c r="BY26" s="542"/>
      <c r="BZ26" s="542"/>
      <c r="CA26" s="542"/>
      <c r="CB26" s="542"/>
      <c r="CC26" s="542"/>
      <c r="CD26" s="542"/>
      <c r="CE26" s="542"/>
      <c r="CF26" s="542"/>
      <c r="CG26" s="542"/>
      <c r="CH26" s="542"/>
      <c r="CI26" s="542"/>
      <c r="CJ26" s="542"/>
      <c r="CK26" s="542"/>
      <c r="CL26" s="542"/>
      <c r="CM26" s="542"/>
      <c r="CN26" s="542"/>
      <c r="CO26" s="542"/>
      <c r="CP26" s="542"/>
      <c r="CQ26" s="542"/>
      <c r="CR26" s="542"/>
      <c r="CS26" s="542"/>
      <c r="CT26" s="542"/>
      <c r="CU26" s="542"/>
      <c r="CW26" s="151">
        <f t="shared" si="37"/>
        <v>0</v>
      </c>
    </row>
    <row r="27" spans="1:101" s="84" customFormat="1" ht="7.5" customHeight="1" x14ac:dyDescent="0.2">
      <c r="C27" s="56"/>
      <c r="D27" s="57"/>
      <c r="E27" s="51"/>
      <c r="G27" s="300"/>
      <c r="H27" s="300"/>
      <c r="I27" s="300"/>
      <c r="J27" s="300"/>
      <c r="K27" s="300"/>
      <c r="L27" s="300"/>
      <c r="M27" s="300"/>
      <c r="N27" s="300"/>
      <c r="O27" s="300"/>
      <c r="P27" s="300">
        <f t="shared" si="70"/>
        <v>0</v>
      </c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>
        <f t="shared" si="5"/>
        <v>0</v>
      </c>
      <c r="AJ27" s="263"/>
      <c r="AK27" s="263"/>
      <c r="AL27" s="263"/>
      <c r="AM27" s="263"/>
      <c r="AN27" s="263"/>
      <c r="AO27" s="263"/>
      <c r="AP27" s="263"/>
      <c r="AQ27" s="263"/>
      <c r="AR27" s="263"/>
      <c r="AS27" s="263"/>
      <c r="AT27" s="263"/>
      <c r="AU27" s="263"/>
      <c r="AV27" s="263"/>
      <c r="AW27" s="263"/>
      <c r="AX27" s="263"/>
      <c r="AY27" s="263">
        <f>SUM(AJ27:AX27)</f>
        <v>0</v>
      </c>
      <c r="BA27" s="277"/>
      <c r="BB27" s="277"/>
      <c r="BC27" s="277">
        <f t="shared" si="10"/>
        <v>0</v>
      </c>
      <c r="BE27" s="55">
        <f t="shared" si="11"/>
        <v>0</v>
      </c>
      <c r="BF27" s="55"/>
      <c r="BH27" s="542"/>
      <c r="BI27" s="542"/>
      <c r="BJ27" s="542"/>
      <c r="BK27" s="542"/>
      <c r="BL27" s="542"/>
      <c r="BM27" s="542"/>
      <c r="BN27" s="542"/>
      <c r="BO27" s="542"/>
      <c r="BP27" s="542"/>
      <c r="BQ27" s="542"/>
      <c r="BR27" s="542"/>
      <c r="BS27" s="542"/>
      <c r="BT27" s="542"/>
      <c r="BU27" s="542"/>
      <c r="BV27" s="542"/>
      <c r="BW27" s="542"/>
      <c r="BX27" s="542"/>
      <c r="BY27" s="542"/>
      <c r="BZ27" s="542"/>
      <c r="CA27" s="542"/>
      <c r="CB27" s="542"/>
      <c r="CC27" s="542"/>
      <c r="CD27" s="542"/>
      <c r="CE27" s="542"/>
      <c r="CF27" s="542"/>
      <c r="CG27" s="542"/>
      <c r="CH27" s="542"/>
      <c r="CI27" s="542"/>
      <c r="CJ27" s="542"/>
      <c r="CK27" s="542"/>
      <c r="CL27" s="542"/>
      <c r="CM27" s="542"/>
      <c r="CN27" s="542"/>
      <c r="CO27" s="542"/>
      <c r="CP27" s="542"/>
      <c r="CQ27" s="542"/>
      <c r="CR27" s="542"/>
      <c r="CS27" s="542"/>
      <c r="CT27" s="542"/>
      <c r="CU27" s="542"/>
      <c r="CW27" s="151"/>
    </row>
    <row r="28" spans="1:101" s="84" customFormat="1" ht="15.75" x14ac:dyDescent="0.2">
      <c r="B28" s="89"/>
      <c r="C28" s="923" t="s">
        <v>883</v>
      </c>
      <c r="D28" s="69" t="s">
        <v>190</v>
      </c>
      <c r="E28" s="70"/>
      <c r="G28" s="302">
        <f ca="1">G$13+G$17+G$20+G$24</f>
        <v>53.519847980518854</v>
      </c>
      <c r="H28" s="302">
        <f t="shared" ref="H28:AG28" ca="1" si="71">H$13+H$17+H$20+H$24</f>
        <v>36.686116203690624</v>
      </c>
      <c r="I28" s="302">
        <f t="shared" ca="1" si="71"/>
        <v>237.93519496128644</v>
      </c>
      <c r="J28" s="302">
        <f t="shared" ca="1" si="71"/>
        <v>63.851868255101593</v>
      </c>
      <c r="K28" s="302">
        <f t="shared" ca="1" si="71"/>
        <v>98.573713532137731</v>
      </c>
      <c r="L28" s="302">
        <f t="shared" ca="1" si="71"/>
        <v>42.475937245436782</v>
      </c>
      <c r="M28" s="302">
        <f t="shared" ca="1" si="71"/>
        <v>0</v>
      </c>
      <c r="N28" s="302">
        <f t="shared" ca="1" si="71"/>
        <v>1.2059144801278183E-13</v>
      </c>
      <c r="O28" s="302">
        <f t="shared" ca="1" si="71"/>
        <v>2.2204881734004642</v>
      </c>
      <c r="P28" s="300">
        <f t="shared" ca="1" si="70"/>
        <v>535.26316635157252</v>
      </c>
      <c r="Q28" s="302">
        <f t="shared" si="71"/>
        <v>0</v>
      </c>
      <c r="R28" s="302">
        <f t="shared" ca="1" si="71"/>
        <v>-131.35374310155061</v>
      </c>
      <c r="S28" s="302">
        <f t="shared" ca="1" si="71"/>
        <v>0</v>
      </c>
      <c r="T28" s="302">
        <f t="shared" ca="1" si="71"/>
        <v>-1.7966139938633079</v>
      </c>
      <c r="U28" s="302">
        <f t="shared" ca="1" si="71"/>
        <v>-175.28335932848822</v>
      </c>
      <c r="V28" s="302">
        <f t="shared" ca="1" si="71"/>
        <v>-48.814000894679651</v>
      </c>
      <c r="W28" s="302">
        <f t="shared" ca="1" si="71"/>
        <v>-178.01544903299086</v>
      </c>
      <c r="X28" s="302">
        <f t="shared" ca="1" si="71"/>
        <v>0</v>
      </c>
      <c r="Y28" s="302">
        <f t="shared" ca="1" si="71"/>
        <v>0</v>
      </c>
      <c r="Z28" s="302">
        <f t="shared" ca="1" si="71"/>
        <v>0</v>
      </c>
      <c r="AA28" s="302">
        <f t="shared" ca="1" si="71"/>
        <v>0</v>
      </c>
      <c r="AB28" s="302">
        <f t="shared" ca="1" si="71"/>
        <v>0</v>
      </c>
      <c r="AC28" s="302">
        <f t="shared" ca="1" si="71"/>
        <v>0</v>
      </c>
      <c r="AD28" s="302">
        <f t="shared" ca="1" si="71"/>
        <v>0</v>
      </c>
      <c r="AE28" s="302">
        <f t="shared" ca="1" si="71"/>
        <v>0</v>
      </c>
      <c r="AF28" s="302">
        <f t="shared" ca="1" si="71"/>
        <v>0</v>
      </c>
      <c r="AG28" s="302">
        <f t="shared" ca="1" si="71"/>
        <v>0</v>
      </c>
      <c r="AH28" s="294">
        <f t="shared" ca="1" si="5"/>
        <v>-535.26316635157264</v>
      </c>
      <c r="AJ28" s="295">
        <f ca="1">AJ$13+AJ$17+AJ$20+AJ$24</f>
        <v>0</v>
      </c>
      <c r="AK28" s="295">
        <f t="shared" ref="AK28:BD28" ca="1" si="72">AK$13+AK$17+AK$20+AK$24</f>
        <v>0</v>
      </c>
      <c r="AL28" s="295">
        <f t="shared" ca="1" si="72"/>
        <v>0</v>
      </c>
      <c r="AM28" s="295">
        <f t="shared" ca="1" si="72"/>
        <v>0</v>
      </c>
      <c r="AN28" s="295">
        <f t="shared" ca="1" si="72"/>
        <v>0</v>
      </c>
      <c r="AO28" s="295">
        <f t="shared" ca="1" si="72"/>
        <v>0</v>
      </c>
      <c r="AP28" s="295">
        <f t="shared" ca="1" si="72"/>
        <v>0</v>
      </c>
      <c r="AQ28" s="295">
        <f t="shared" ca="1" si="72"/>
        <v>0</v>
      </c>
      <c r="AR28" s="295">
        <f t="shared" ca="1" si="72"/>
        <v>0</v>
      </c>
      <c r="AS28" s="295">
        <f t="shared" ca="1" si="72"/>
        <v>0</v>
      </c>
      <c r="AT28" s="295">
        <f t="shared" ca="1" si="72"/>
        <v>0</v>
      </c>
      <c r="AU28" s="295">
        <f t="shared" ca="1" si="72"/>
        <v>0</v>
      </c>
      <c r="AV28" s="295">
        <f t="shared" ca="1" si="72"/>
        <v>0</v>
      </c>
      <c r="AW28" s="295">
        <f t="shared" ca="1" si="72"/>
        <v>0</v>
      </c>
      <c r="AX28" s="295">
        <f t="shared" ca="1" si="72"/>
        <v>0</v>
      </c>
      <c r="AY28" s="295">
        <f t="shared" ca="1" si="72"/>
        <v>0</v>
      </c>
      <c r="AZ28" s="295">
        <f t="shared" si="72"/>
        <v>0</v>
      </c>
      <c r="BA28" s="295">
        <f t="shared" ca="1" si="72"/>
        <v>0</v>
      </c>
      <c r="BB28" s="295">
        <f t="shared" ca="1" si="72"/>
        <v>0</v>
      </c>
      <c r="BC28" s="277">
        <f t="shared" ca="1" si="10"/>
        <v>0</v>
      </c>
      <c r="BD28" s="295">
        <f t="shared" si="72"/>
        <v>0</v>
      </c>
      <c r="BE28" s="58">
        <f t="shared" ca="1" si="11"/>
        <v>-1.1368683772161603E-13</v>
      </c>
      <c r="BF28" s="58"/>
      <c r="BH28" s="546">
        <f ca="1">BH$13+BH$17+BH$20+BH$24</f>
        <v>53.15078407828873</v>
      </c>
      <c r="BI28" s="546">
        <f t="shared" ref="BI28:CU28" ca="1" si="73">BI$13+BI$17+BI$20+BI$24</f>
        <v>11.130246731816074</v>
      </c>
      <c r="BJ28" s="546">
        <f t="shared" ca="1" si="73"/>
        <v>11.74732809871027</v>
      </c>
      <c r="BK28" s="546">
        <f t="shared" ca="1" si="73"/>
        <v>0</v>
      </c>
      <c r="BL28" s="546">
        <f t="shared" ca="1" si="73"/>
        <v>0</v>
      </c>
      <c r="BM28" s="546">
        <f t="shared" ca="1" si="73"/>
        <v>0</v>
      </c>
      <c r="BN28" s="546">
        <f t="shared" ca="1" si="73"/>
        <v>0</v>
      </c>
      <c r="BO28" s="546">
        <f t="shared" ca="1" si="73"/>
        <v>0</v>
      </c>
      <c r="BP28" s="546">
        <f t="shared" ca="1" si="73"/>
        <v>14.52967271905924</v>
      </c>
      <c r="BQ28" s="546">
        <f t="shared" ca="1" si="73"/>
        <v>0.11798280493516192</v>
      </c>
      <c r="BR28" s="546">
        <f t="shared" ca="1" si="73"/>
        <v>2.9347205573011266</v>
      </c>
      <c r="BS28" s="546">
        <f t="shared" ca="1" si="73"/>
        <v>10.275715048133547</v>
      </c>
      <c r="BT28" s="546">
        <f t="shared" ca="1" si="73"/>
        <v>0</v>
      </c>
      <c r="BU28" s="546">
        <f t="shared" ca="1" si="73"/>
        <v>0</v>
      </c>
      <c r="BV28" s="546">
        <f t="shared" ca="1" si="73"/>
        <v>0</v>
      </c>
      <c r="BW28" s="546">
        <f t="shared" ca="1" si="73"/>
        <v>0</v>
      </c>
      <c r="BX28" s="546">
        <f t="shared" ca="1" si="73"/>
        <v>0</v>
      </c>
      <c r="BY28" s="546">
        <f t="shared" ca="1" si="73"/>
        <v>0</v>
      </c>
      <c r="BZ28" s="546">
        <f t="shared" ca="1" si="73"/>
        <v>0</v>
      </c>
      <c r="CA28" s="546">
        <f t="shared" ca="1" si="73"/>
        <v>0</v>
      </c>
      <c r="CB28" s="546">
        <f t="shared" ca="1" si="73"/>
        <v>0</v>
      </c>
      <c r="CC28" s="546">
        <f t="shared" ca="1" si="73"/>
        <v>0</v>
      </c>
      <c r="CD28" s="546">
        <f t="shared" ca="1" si="73"/>
        <v>0</v>
      </c>
      <c r="CE28" s="546">
        <f t="shared" ca="1" si="73"/>
        <v>0</v>
      </c>
      <c r="CF28" s="546">
        <f t="shared" ca="1" si="73"/>
        <v>0</v>
      </c>
      <c r="CG28" s="546">
        <f t="shared" ca="1" si="73"/>
        <v>0</v>
      </c>
      <c r="CH28" s="546">
        <f t="shared" ca="1" si="73"/>
        <v>0</v>
      </c>
      <c r="CI28" s="546">
        <f t="shared" ca="1" si="73"/>
        <v>0</v>
      </c>
      <c r="CJ28" s="546">
        <f t="shared" ca="1" si="73"/>
        <v>0</v>
      </c>
      <c r="CK28" s="546">
        <f t="shared" ca="1" si="73"/>
        <v>0</v>
      </c>
      <c r="CL28" s="546">
        <f t="shared" ca="1" si="73"/>
        <v>0</v>
      </c>
      <c r="CM28" s="546">
        <f t="shared" ca="1" si="73"/>
        <v>0</v>
      </c>
      <c r="CN28" s="546">
        <f t="shared" ca="1" si="73"/>
        <v>0</v>
      </c>
      <c r="CO28" s="546">
        <f t="shared" ca="1" si="73"/>
        <v>0</v>
      </c>
      <c r="CP28" s="546">
        <f t="shared" ca="1" si="73"/>
        <v>0</v>
      </c>
      <c r="CQ28" s="546">
        <f t="shared" ca="1" si="73"/>
        <v>0</v>
      </c>
      <c r="CR28" s="546">
        <f t="shared" ca="1" si="73"/>
        <v>0</v>
      </c>
      <c r="CS28" s="546">
        <f t="shared" ca="1" si="73"/>
        <v>0</v>
      </c>
      <c r="CT28" s="546">
        <f t="shared" ca="1" si="73"/>
        <v>0</v>
      </c>
      <c r="CU28" s="546">
        <f t="shared" ca="1" si="73"/>
        <v>0</v>
      </c>
      <c r="CW28" s="148">
        <f ca="1">SUM(BH28:CU28)</f>
        <v>103.88645003824416</v>
      </c>
    </row>
    <row r="29" spans="1:101" s="84" customFormat="1" ht="6" customHeight="1" x14ac:dyDescent="0.2">
      <c r="C29" s="51"/>
      <c r="D29" s="51"/>
      <c r="E29" s="51"/>
      <c r="G29" s="245"/>
      <c r="H29" s="245"/>
      <c r="I29" s="245"/>
      <c r="J29" s="245"/>
      <c r="K29" s="245"/>
      <c r="L29" s="247"/>
      <c r="M29" s="245"/>
      <c r="N29" s="245"/>
      <c r="O29" s="245"/>
      <c r="P29" s="245">
        <f t="shared" si="70"/>
        <v>0</v>
      </c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>
        <f t="shared" si="5"/>
        <v>0</v>
      </c>
      <c r="AJ29" s="263"/>
      <c r="AK29" s="263"/>
      <c r="AL29" s="263"/>
      <c r="AM29" s="263"/>
      <c r="AN29" s="263"/>
      <c r="AO29" s="263"/>
      <c r="AP29" s="263"/>
      <c r="AQ29" s="263"/>
      <c r="AR29" s="263"/>
      <c r="AS29" s="263"/>
      <c r="AT29" s="263"/>
      <c r="AU29" s="263"/>
      <c r="AV29" s="263"/>
      <c r="AW29" s="263"/>
      <c r="AX29" s="263"/>
      <c r="AY29" s="263">
        <f t="shared" ref="AY29:AY60" si="74">SUM(AJ29:AX29)</f>
        <v>0</v>
      </c>
      <c r="BA29" s="277"/>
      <c r="BB29" s="277"/>
      <c r="BC29" s="277">
        <f t="shared" si="10"/>
        <v>0</v>
      </c>
      <c r="BE29" s="55">
        <f t="shared" si="11"/>
        <v>0</v>
      </c>
      <c r="BF29" s="55"/>
      <c r="BH29" s="542"/>
      <c r="BI29" s="542"/>
      <c r="BJ29" s="542"/>
      <c r="BK29" s="542"/>
      <c r="BL29" s="542"/>
      <c r="BM29" s="542"/>
      <c r="BN29" s="542"/>
      <c r="BO29" s="542"/>
      <c r="BP29" s="542"/>
      <c r="BQ29" s="542"/>
      <c r="BR29" s="542"/>
      <c r="BS29" s="542"/>
      <c r="BT29" s="542"/>
      <c r="BU29" s="542"/>
      <c r="BV29" s="542"/>
      <c r="BW29" s="542"/>
      <c r="BX29" s="542"/>
      <c r="BY29" s="542"/>
      <c r="BZ29" s="542"/>
      <c r="CA29" s="542"/>
      <c r="CB29" s="542"/>
      <c r="CC29" s="542"/>
      <c r="CD29" s="542"/>
      <c r="CE29" s="542"/>
      <c r="CF29" s="542"/>
      <c r="CG29" s="542"/>
      <c r="CH29" s="542"/>
      <c r="CI29" s="542"/>
      <c r="CJ29" s="542"/>
      <c r="CK29" s="542"/>
      <c r="CL29" s="542"/>
      <c r="CM29" s="542"/>
      <c r="CN29" s="542"/>
      <c r="CO29" s="542"/>
      <c r="CP29" s="542"/>
      <c r="CQ29" s="542"/>
      <c r="CR29" s="542"/>
      <c r="CS29" s="542"/>
      <c r="CT29" s="542"/>
      <c r="CU29" s="542"/>
      <c r="CW29" s="151"/>
    </row>
    <row r="30" spans="1:101" s="84" customFormat="1" ht="24" customHeight="1" x14ac:dyDescent="0.2">
      <c r="C30" s="45" t="s">
        <v>58</v>
      </c>
      <c r="D30" s="45"/>
      <c r="E30" s="68"/>
      <c r="G30" s="244"/>
      <c r="H30" s="244"/>
      <c r="I30" s="244"/>
      <c r="J30" s="244"/>
      <c r="K30" s="244"/>
      <c r="L30" s="244"/>
      <c r="M30" s="244"/>
      <c r="N30" s="244"/>
      <c r="O30" s="244"/>
      <c r="P30" s="244">
        <f t="shared" si="70"/>
        <v>0</v>
      </c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>
        <f t="shared" si="5"/>
        <v>0</v>
      </c>
      <c r="AJ30" s="262"/>
      <c r="AK30" s="262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>
        <f t="shared" si="74"/>
        <v>0</v>
      </c>
      <c r="BA30" s="276"/>
      <c r="BB30" s="276"/>
      <c r="BC30" s="276">
        <f t="shared" si="10"/>
        <v>0</v>
      </c>
      <c r="BE30" s="54">
        <f t="shared" si="11"/>
        <v>0</v>
      </c>
      <c r="BF30" s="54"/>
      <c r="BH30" s="542"/>
      <c r="BI30" s="542"/>
      <c r="BJ30" s="542"/>
      <c r="BK30" s="542"/>
      <c r="BL30" s="542"/>
      <c r="BM30" s="542"/>
      <c r="BN30" s="542"/>
      <c r="BO30" s="542"/>
      <c r="BP30" s="542"/>
      <c r="BQ30" s="542"/>
      <c r="BR30" s="542"/>
      <c r="BS30" s="542"/>
      <c r="BT30" s="542"/>
      <c r="BU30" s="542"/>
      <c r="BV30" s="542"/>
      <c r="BW30" s="542"/>
      <c r="BX30" s="542"/>
      <c r="BY30" s="542"/>
      <c r="BZ30" s="542"/>
      <c r="CA30" s="542"/>
      <c r="CB30" s="542"/>
      <c r="CC30" s="542"/>
      <c r="CD30" s="542"/>
      <c r="CE30" s="542"/>
      <c r="CF30" s="542"/>
      <c r="CG30" s="542"/>
      <c r="CH30" s="542"/>
      <c r="CI30" s="542"/>
      <c r="CJ30" s="542"/>
      <c r="CK30" s="542"/>
      <c r="CL30" s="542"/>
      <c r="CM30" s="542"/>
      <c r="CN30" s="542"/>
      <c r="CO30" s="542"/>
      <c r="CP30" s="542"/>
      <c r="CQ30" s="542"/>
      <c r="CR30" s="542"/>
      <c r="CS30" s="542"/>
      <c r="CT30" s="542"/>
      <c r="CU30" s="542"/>
      <c r="CW30" s="151"/>
    </row>
    <row r="31" spans="1:101" s="84" customFormat="1" ht="12.75" customHeight="1" outlineLevel="1" x14ac:dyDescent="0.2">
      <c r="A31" s="18"/>
      <c r="B31" s="18"/>
      <c r="C31" s="87"/>
      <c r="D31" s="53"/>
      <c r="E31" s="53"/>
      <c r="G31" s="245"/>
      <c r="H31" s="245"/>
      <c r="I31" s="245"/>
      <c r="J31" s="245"/>
      <c r="K31" s="245"/>
      <c r="L31" s="247"/>
      <c r="M31" s="245"/>
      <c r="N31" s="245"/>
      <c r="O31" s="245"/>
      <c r="P31" s="245">
        <f t="shared" si="70"/>
        <v>0</v>
      </c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>
        <f t="shared" si="5"/>
        <v>0</v>
      </c>
      <c r="AJ31" s="263"/>
      <c r="AK31" s="263"/>
      <c r="AL31" s="263"/>
      <c r="AM31" s="263"/>
      <c r="AN31" s="263"/>
      <c r="AO31" s="263"/>
      <c r="AP31" s="263"/>
      <c r="AQ31" s="263"/>
      <c r="AR31" s="263"/>
      <c r="AS31" s="263"/>
      <c r="AT31" s="263"/>
      <c r="AU31" s="263"/>
      <c r="AV31" s="263"/>
      <c r="AW31" s="263"/>
      <c r="AX31" s="263"/>
      <c r="AY31" s="263">
        <f t="shared" si="74"/>
        <v>0</v>
      </c>
      <c r="BA31" s="277"/>
      <c r="BB31" s="277"/>
      <c r="BC31" s="277">
        <f t="shared" si="10"/>
        <v>0</v>
      </c>
      <c r="BE31" s="55">
        <f t="shared" si="11"/>
        <v>0</v>
      </c>
      <c r="BF31" s="55"/>
      <c r="BG31" s="18"/>
      <c r="BH31" s="542"/>
      <c r="BI31" s="542"/>
      <c r="BJ31" s="542"/>
      <c r="BK31" s="542"/>
      <c r="BL31" s="542"/>
      <c r="BM31" s="542"/>
      <c r="BN31" s="542"/>
      <c r="BO31" s="542"/>
      <c r="BP31" s="542"/>
      <c r="BQ31" s="542"/>
      <c r="BR31" s="542"/>
      <c r="BS31" s="542"/>
      <c r="BT31" s="542"/>
      <c r="BU31" s="542"/>
      <c r="BV31" s="542"/>
      <c r="BW31" s="542"/>
      <c r="BX31" s="542"/>
      <c r="BY31" s="542"/>
      <c r="BZ31" s="542"/>
      <c r="CA31" s="542"/>
      <c r="CB31" s="542"/>
      <c r="CC31" s="542"/>
      <c r="CD31" s="542"/>
      <c r="CE31" s="542"/>
      <c r="CF31" s="542"/>
      <c r="CG31" s="542"/>
      <c r="CH31" s="542"/>
      <c r="CI31" s="542"/>
      <c r="CJ31" s="542"/>
      <c r="CK31" s="542"/>
      <c r="CL31" s="542"/>
      <c r="CM31" s="542"/>
      <c r="CN31" s="542"/>
      <c r="CO31" s="542"/>
      <c r="CP31" s="542"/>
      <c r="CQ31" s="542"/>
      <c r="CR31" s="542"/>
      <c r="CS31" s="542"/>
      <c r="CT31" s="542"/>
      <c r="CU31" s="542"/>
      <c r="CW31" s="151"/>
    </row>
    <row r="32" spans="1:101" s="550" customFormat="1" ht="12.75" customHeight="1" outlineLevel="1" x14ac:dyDescent="0.2">
      <c r="C32" s="566" t="s">
        <v>945</v>
      </c>
      <c r="D32" s="567" t="s">
        <v>946</v>
      </c>
      <c r="E32" s="567"/>
      <c r="F32" s="882"/>
      <c r="G32" s="333"/>
      <c r="H32" s="333"/>
      <c r="I32" s="333"/>
      <c r="J32" s="333"/>
      <c r="K32" s="333"/>
      <c r="L32" s="334"/>
      <c r="M32" s="333"/>
      <c r="N32" s="333"/>
      <c r="O32" s="333"/>
      <c r="P32" s="333">
        <f t="shared" si="70"/>
        <v>0</v>
      </c>
      <c r="Q32" s="882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>
        <f t="shared" si="5"/>
        <v>0</v>
      </c>
      <c r="AI32" s="882"/>
      <c r="AJ32" s="336"/>
      <c r="AK32" s="336"/>
      <c r="AL32" s="336"/>
      <c r="AM32" s="336"/>
      <c r="AN32" s="336"/>
      <c r="AO32" s="336"/>
      <c r="AP32" s="336"/>
      <c r="AQ32" s="336"/>
      <c r="AR32" s="336"/>
      <c r="AS32" s="336"/>
      <c r="AT32" s="336"/>
      <c r="AU32" s="336"/>
      <c r="AV32" s="336"/>
      <c r="AW32" s="336"/>
      <c r="AX32" s="336"/>
      <c r="AY32" s="336">
        <f t="shared" si="74"/>
        <v>0</v>
      </c>
      <c r="AZ32" s="882"/>
      <c r="BA32" s="337"/>
      <c r="BB32" s="337"/>
      <c r="BC32" s="337">
        <f t="shared" si="10"/>
        <v>0</v>
      </c>
      <c r="BD32" s="882"/>
      <c r="BE32" s="568">
        <f t="shared" si="11"/>
        <v>0</v>
      </c>
      <c r="BF32" s="568"/>
      <c r="BH32" s="888"/>
      <c r="BI32" s="888"/>
      <c r="BJ32" s="888"/>
      <c r="BK32" s="888"/>
      <c r="BL32" s="888"/>
      <c r="BM32" s="888"/>
      <c r="BN32" s="888"/>
      <c r="BO32" s="888"/>
      <c r="BP32" s="888"/>
      <c r="BQ32" s="888"/>
      <c r="BR32" s="888"/>
      <c r="BS32" s="888"/>
      <c r="BT32" s="888"/>
      <c r="BU32" s="888"/>
      <c r="BV32" s="888"/>
      <c r="BW32" s="888"/>
      <c r="BX32" s="888"/>
      <c r="BY32" s="888"/>
      <c r="BZ32" s="888"/>
      <c r="CA32" s="888"/>
      <c r="CB32" s="888"/>
      <c r="CC32" s="888"/>
      <c r="CD32" s="888"/>
      <c r="CE32" s="888"/>
      <c r="CF32" s="888"/>
      <c r="CG32" s="888"/>
      <c r="CH32" s="888"/>
      <c r="CI32" s="888"/>
      <c r="CJ32" s="888"/>
      <c r="CK32" s="888"/>
      <c r="CL32" s="888"/>
      <c r="CM32" s="888"/>
      <c r="CN32" s="888"/>
      <c r="CO32" s="888"/>
      <c r="CP32" s="888"/>
      <c r="CQ32" s="888"/>
      <c r="CR32" s="888"/>
      <c r="CS32" s="888"/>
      <c r="CT32" s="888"/>
      <c r="CU32" s="888"/>
      <c r="CW32" s="887">
        <f t="shared" ref="CW32:CW43" si="75">SUM(BH32:CU32)</f>
        <v>0</v>
      </c>
    </row>
    <row r="33" spans="1:101" s="84" customFormat="1" outlineLevel="1" x14ac:dyDescent="0.2">
      <c r="C33" s="50"/>
      <c r="D33" s="51"/>
      <c r="E33" s="51"/>
      <c r="G33" s="245"/>
      <c r="H33" s="245"/>
      <c r="I33" s="245"/>
      <c r="J33" s="245"/>
      <c r="K33" s="245"/>
      <c r="L33" s="247"/>
      <c r="M33" s="245"/>
      <c r="N33" s="245"/>
      <c r="O33" s="245"/>
      <c r="P33" s="245">
        <f t="shared" si="70"/>
        <v>0</v>
      </c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>
        <f t="shared" si="5"/>
        <v>0</v>
      </c>
      <c r="AJ33" s="263"/>
      <c r="AK33" s="263"/>
      <c r="AL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  <c r="AW33" s="263"/>
      <c r="AX33" s="263"/>
      <c r="AY33" s="263">
        <f t="shared" si="74"/>
        <v>0</v>
      </c>
      <c r="BA33" s="277"/>
      <c r="BB33" s="277"/>
      <c r="BC33" s="277">
        <f t="shared" si="10"/>
        <v>0</v>
      </c>
      <c r="BE33" s="55">
        <f t="shared" si="11"/>
        <v>0</v>
      </c>
      <c r="BF33" s="55"/>
      <c r="BH33" s="542"/>
      <c r="BI33" s="542"/>
      <c r="BJ33" s="542"/>
      <c r="BK33" s="542"/>
      <c r="BL33" s="542"/>
      <c r="BM33" s="542"/>
      <c r="BN33" s="542"/>
      <c r="BO33" s="542"/>
      <c r="BP33" s="542"/>
      <c r="BQ33" s="542"/>
      <c r="BR33" s="542"/>
      <c r="BS33" s="542"/>
      <c r="BT33" s="542"/>
      <c r="BU33" s="542"/>
      <c r="BV33" s="542"/>
      <c r="BW33" s="542"/>
      <c r="BX33" s="542"/>
      <c r="BY33" s="542"/>
      <c r="BZ33" s="542"/>
      <c r="CA33" s="542"/>
      <c r="CB33" s="542"/>
      <c r="CC33" s="542"/>
      <c r="CD33" s="542"/>
      <c r="CE33" s="542"/>
      <c r="CF33" s="542"/>
      <c r="CG33" s="542"/>
      <c r="CH33" s="542"/>
      <c r="CI33" s="542"/>
      <c r="CJ33" s="542"/>
      <c r="CK33" s="542"/>
      <c r="CL33" s="542"/>
      <c r="CM33" s="542"/>
      <c r="CN33" s="542"/>
      <c r="CO33" s="542"/>
      <c r="CP33" s="542"/>
      <c r="CQ33" s="542"/>
      <c r="CR33" s="542"/>
      <c r="CS33" s="542"/>
      <c r="CT33" s="542"/>
      <c r="CU33" s="542"/>
      <c r="CW33" s="151">
        <f t="shared" si="75"/>
        <v>0</v>
      </c>
    </row>
    <row r="34" spans="1:101" s="84" customFormat="1" outlineLevel="1" x14ac:dyDescent="0.2">
      <c r="A34" s="543"/>
      <c r="B34" s="543"/>
      <c r="C34" s="86" t="s">
        <v>402</v>
      </c>
      <c r="D34" s="61" t="str">
        <f>INDEX(Modules[Module], MATCH($C34, Modules[Code], 0))</f>
        <v>Volume of Waste &amp; Recycling</v>
      </c>
      <c r="E34" s="61"/>
      <c r="G34" s="297">
        <f t="shared" ref="G34:O34" ca="1" si="76">IFERROR(INDEX(INDIRECT($C34&amp;".Outputs["&amp;this.Year&amp;"]"), MATCH(G$5, INDIRECT($C34&amp;".Outputs[Vector]"), 0)), 0)</f>
        <v>0</v>
      </c>
      <c r="H34" s="297">
        <f t="shared" ca="1" si="76"/>
        <v>0</v>
      </c>
      <c r="I34" s="297">
        <f t="shared" ca="1" si="76"/>
        <v>0</v>
      </c>
      <c r="J34" s="297">
        <f t="shared" ca="1" si="76"/>
        <v>0</v>
      </c>
      <c r="K34" s="297">
        <f t="shared" ca="1" si="76"/>
        <v>0</v>
      </c>
      <c r="L34" s="297">
        <f t="shared" ca="1" si="76"/>
        <v>0</v>
      </c>
      <c r="M34" s="297">
        <f t="shared" ca="1" si="76"/>
        <v>0</v>
      </c>
      <c r="N34" s="297">
        <f t="shared" ca="1" si="76"/>
        <v>0</v>
      </c>
      <c r="O34" s="297">
        <f t="shared" ca="1" si="76"/>
        <v>0</v>
      </c>
      <c r="P34" s="297">
        <f t="shared" ca="1" si="70"/>
        <v>0</v>
      </c>
      <c r="R34" s="304">
        <f t="shared" ref="R34:AX34" ca="1" si="77">IFERROR(INDEX(INDIRECT($C34&amp;".Outputs["&amp;this.Year&amp;"]"), MATCH(R$5, INDIRECT($C34&amp;".Outputs[Vector]"), 0)), 0)</f>
        <v>0</v>
      </c>
      <c r="S34" s="304">
        <f t="shared" ca="1" si="77"/>
        <v>0</v>
      </c>
      <c r="T34" s="304">
        <f t="shared" ca="1" si="77"/>
        <v>0</v>
      </c>
      <c r="U34" s="304">
        <f t="shared" ca="1" si="77"/>
        <v>0</v>
      </c>
      <c r="V34" s="304">
        <f t="shared" ca="1" si="77"/>
        <v>0</v>
      </c>
      <c r="W34" s="304">
        <f t="shared" ca="1" si="77"/>
        <v>0</v>
      </c>
      <c r="X34" s="304">
        <f t="shared" ref="X34:Z35" ca="1" si="78">IFERROR(INDEX(INDIRECT($C34&amp;".Outputs["&amp;this.Year&amp;"]"), MATCH(X$5, INDIRECT($C34&amp;".Outputs[Vector]"), 0)), 0)</f>
        <v>4.8865862500000006</v>
      </c>
      <c r="Y34" s="304">
        <f t="shared" ca="1" si="78"/>
        <v>0</v>
      </c>
      <c r="Z34" s="304">
        <f t="shared" ca="1" si="78"/>
        <v>0</v>
      </c>
      <c r="AA34" s="304">
        <f t="shared" ca="1" si="77"/>
        <v>0</v>
      </c>
      <c r="AB34" s="304">
        <f t="shared" ca="1" si="77"/>
        <v>0</v>
      </c>
      <c r="AC34" s="304">
        <f t="shared" ca="1" si="77"/>
        <v>0</v>
      </c>
      <c r="AD34" s="304">
        <f t="shared" ca="1" si="77"/>
        <v>0</v>
      </c>
      <c r="AE34" s="304">
        <f t="shared" ca="1" si="77"/>
        <v>8.1272039500000002</v>
      </c>
      <c r="AF34" s="304">
        <f t="shared" ca="1" si="77"/>
        <v>4.7925767988322612</v>
      </c>
      <c r="AG34" s="304">
        <f t="shared" ca="1" si="77"/>
        <v>11.254146912530599</v>
      </c>
      <c r="AH34" s="305">
        <f t="shared" ca="1" si="5"/>
        <v>29.060513911362861</v>
      </c>
      <c r="AJ34" s="312">
        <f t="shared" ref="AJ34:AR35" ca="1" si="79">IFERROR(INDEX(INDIRECT($C34&amp;".Outputs["&amp;this.Year&amp;"]"), MATCH(AJ$5, INDIRECT($C34&amp;".Outputs[Vector]"), 0)), 0)</f>
        <v>0</v>
      </c>
      <c r="AK34" s="312">
        <f t="shared" ca="1" si="79"/>
        <v>0</v>
      </c>
      <c r="AL34" s="312">
        <f t="shared" ca="1" si="79"/>
        <v>0</v>
      </c>
      <c r="AM34" s="312">
        <f t="shared" ca="1" si="79"/>
        <v>0</v>
      </c>
      <c r="AN34" s="312">
        <f t="shared" ca="1" si="79"/>
        <v>0</v>
      </c>
      <c r="AO34" s="312">
        <f t="shared" ca="1" si="79"/>
        <v>0</v>
      </c>
      <c r="AP34" s="312">
        <f t="shared" ca="1" si="79"/>
        <v>0</v>
      </c>
      <c r="AQ34" s="312">
        <f t="shared" ca="1" si="79"/>
        <v>0</v>
      </c>
      <c r="AR34" s="312">
        <f t="shared" ca="1" si="79"/>
        <v>0</v>
      </c>
      <c r="AS34" s="312">
        <f t="shared" ca="1" si="77"/>
        <v>0</v>
      </c>
      <c r="AT34" s="312">
        <f t="shared" ca="1" si="77"/>
        <v>0</v>
      </c>
      <c r="AU34" s="312">
        <f t="shared" ca="1" si="77"/>
        <v>0</v>
      </c>
      <c r="AV34" s="312">
        <f t="shared" ca="1" si="77"/>
        <v>0</v>
      </c>
      <c r="AW34" s="312">
        <f t="shared" ca="1" si="77"/>
        <v>0</v>
      </c>
      <c r="AX34" s="312">
        <f t="shared" ca="1" si="77"/>
        <v>-29.060513911362861</v>
      </c>
      <c r="AY34" s="266">
        <f t="shared" ca="1" si="74"/>
        <v>-29.060513911362861</v>
      </c>
      <c r="BA34" s="308">
        <f t="shared" ref="BA34:BB35" ca="1" si="80">IFERROR(INDEX(INDIRECT($C34&amp;".Outputs["&amp;this.Year&amp;"]"), MATCH(BA$5, INDIRECT($C34&amp;".Outputs[Vector]"), 0)), 0)</f>
        <v>0</v>
      </c>
      <c r="BB34" s="308">
        <f t="shared" ca="1" si="80"/>
        <v>0</v>
      </c>
      <c r="BC34" s="309">
        <f t="shared" ca="1" si="10"/>
        <v>0</v>
      </c>
      <c r="BE34" s="135"/>
      <c r="BF34" s="135"/>
      <c r="BG34" s="1428"/>
      <c r="BH34" s="541">
        <f t="shared" ref="BH34:BQ35" ca="1" si="81">IFERROR(SUMIFS(INDIRECT($C34&amp;".Emissions["&amp;this.Year&amp;"]"), INDIRECT($C34&amp;".Emissions[GHG]"), BH$6, INDIRECT($C34&amp;".Emissions[IPCC Sector]"), BH$5),0)</f>
        <v>0</v>
      </c>
      <c r="BI34" s="542">
        <f t="shared" ca="1" si="81"/>
        <v>0</v>
      </c>
      <c r="BJ34" s="542">
        <f t="shared" ca="1" si="81"/>
        <v>0</v>
      </c>
      <c r="BK34" s="542">
        <f t="shared" ca="1" si="81"/>
        <v>0</v>
      </c>
      <c r="BL34" s="542">
        <f t="shared" ca="1" si="81"/>
        <v>0</v>
      </c>
      <c r="BM34" s="542">
        <f t="shared" ca="1" si="81"/>
        <v>0</v>
      </c>
      <c r="BN34" s="542">
        <f t="shared" ca="1" si="81"/>
        <v>0</v>
      </c>
      <c r="BO34" s="542">
        <f t="shared" ca="1" si="81"/>
        <v>0</v>
      </c>
      <c r="BP34" s="542">
        <f t="shared" ca="1" si="81"/>
        <v>0</v>
      </c>
      <c r="BQ34" s="542">
        <f t="shared" ca="1" si="81"/>
        <v>0</v>
      </c>
      <c r="BR34" s="542">
        <f t="shared" ref="BR34:CA35" ca="1" si="82">IFERROR(SUMIFS(INDIRECT($C34&amp;".Emissions["&amp;this.Year&amp;"]"), INDIRECT($C34&amp;".Emissions[GHG]"), BR$6, INDIRECT($C34&amp;".Emissions[IPCC Sector]"), BR$5),0)</f>
        <v>0</v>
      </c>
      <c r="BS34" s="542">
        <f t="shared" ca="1" si="82"/>
        <v>0</v>
      </c>
      <c r="BT34" s="542">
        <f t="shared" ca="1" si="82"/>
        <v>0</v>
      </c>
      <c r="BU34" s="542">
        <f t="shared" ca="1" si="82"/>
        <v>0</v>
      </c>
      <c r="BV34" s="542">
        <f t="shared" ca="1" si="82"/>
        <v>0</v>
      </c>
      <c r="BW34" s="542">
        <f t="shared" ca="1" si="82"/>
        <v>0</v>
      </c>
      <c r="BX34" s="542">
        <f t="shared" ca="1" si="82"/>
        <v>0</v>
      </c>
      <c r="BY34" s="542">
        <f t="shared" ca="1" si="82"/>
        <v>0</v>
      </c>
      <c r="BZ34" s="542">
        <f t="shared" ca="1" si="82"/>
        <v>0</v>
      </c>
      <c r="CA34" s="542">
        <f t="shared" ca="1" si="82"/>
        <v>0</v>
      </c>
      <c r="CB34" s="542">
        <f t="shared" ref="CB34:CK35" ca="1" si="83">IFERROR(SUMIFS(INDIRECT($C34&amp;".Emissions["&amp;this.Year&amp;"]"), INDIRECT($C34&amp;".Emissions[GHG]"), CB$6, INDIRECT($C34&amp;".Emissions[IPCC Sector]"), CB$5),0)</f>
        <v>0</v>
      </c>
      <c r="CC34" s="542">
        <f t="shared" ca="1" si="83"/>
        <v>0</v>
      </c>
      <c r="CD34" s="542">
        <f t="shared" ca="1" si="83"/>
        <v>0</v>
      </c>
      <c r="CE34" s="542">
        <f t="shared" ca="1" si="83"/>
        <v>0</v>
      </c>
      <c r="CF34" s="542">
        <f t="shared" ca="1" si="83"/>
        <v>0</v>
      </c>
      <c r="CG34" s="542">
        <f t="shared" ca="1" si="83"/>
        <v>10.807028354917669</v>
      </c>
      <c r="CH34" s="542">
        <f t="shared" ca="1" si="83"/>
        <v>0</v>
      </c>
      <c r="CI34" s="542">
        <f t="shared" ca="1" si="83"/>
        <v>0</v>
      </c>
      <c r="CJ34" s="542">
        <f t="shared" ca="1" si="83"/>
        <v>0</v>
      </c>
      <c r="CK34" s="542">
        <f t="shared" ca="1" si="83"/>
        <v>0</v>
      </c>
      <c r="CL34" s="542">
        <f t="shared" ref="CL34:CU35" ca="1" si="84">IFERROR(SUMIFS(INDIRECT($C34&amp;".Emissions["&amp;this.Year&amp;"]"), INDIRECT($C34&amp;".Emissions[GHG]"), CL$6, INDIRECT($C34&amp;".Emissions[IPCC Sector]"), CL$5),0)</f>
        <v>0</v>
      </c>
      <c r="CM34" s="542">
        <f t="shared" ca="1" si="84"/>
        <v>0</v>
      </c>
      <c r="CN34" s="542">
        <f t="shared" ca="1" si="84"/>
        <v>0</v>
      </c>
      <c r="CO34" s="542">
        <f t="shared" ca="1" si="84"/>
        <v>0</v>
      </c>
      <c r="CP34" s="542">
        <f t="shared" ca="1" si="84"/>
        <v>0</v>
      </c>
      <c r="CQ34" s="542">
        <f t="shared" ca="1" si="84"/>
        <v>0</v>
      </c>
      <c r="CR34" s="542">
        <f t="shared" ca="1" si="84"/>
        <v>0</v>
      </c>
      <c r="CS34" s="542">
        <f t="shared" ca="1" si="84"/>
        <v>0</v>
      </c>
      <c r="CT34" s="542">
        <f t="shared" ca="1" si="84"/>
        <v>0</v>
      </c>
      <c r="CU34" s="542">
        <f t="shared" ca="1" si="84"/>
        <v>0</v>
      </c>
      <c r="CW34" s="151">
        <f t="shared" ca="1" si="75"/>
        <v>10.807028354917669</v>
      </c>
    </row>
    <row r="35" spans="1:101" s="84" customFormat="1" ht="12.75" customHeight="1" outlineLevel="1" x14ac:dyDescent="0.2">
      <c r="A35" s="543"/>
      <c r="B35" s="543"/>
      <c r="C35" s="86" t="s">
        <v>380</v>
      </c>
      <c r="D35" s="292" t="str">
        <f>INDEX(Modules[Module], MATCH($C35, Modules[Code], 0))</f>
        <v>Agriculture and land use</v>
      </c>
      <c r="E35" s="292"/>
      <c r="G35" s="301">
        <f t="shared" ref="G35:O35" ca="1" si="85">IFERROR(INDEX(INDIRECT($C35&amp;".Outputs["&amp;this.Year&amp;"]"), MATCH(G$5, INDIRECT($C35&amp;".Outputs[Vector]"), 0)), 0)</f>
        <v>0</v>
      </c>
      <c r="H35" s="301">
        <f t="shared" ca="1" si="85"/>
        <v>0</v>
      </c>
      <c r="I35" s="301">
        <f t="shared" ca="1" si="85"/>
        <v>0</v>
      </c>
      <c r="J35" s="301">
        <f t="shared" ca="1" si="85"/>
        <v>10.911989139998241</v>
      </c>
      <c r="K35" s="301">
        <f t="shared" ca="1" si="85"/>
        <v>0</v>
      </c>
      <c r="L35" s="301">
        <f t="shared" ca="1" si="85"/>
        <v>0</v>
      </c>
      <c r="M35" s="301">
        <f t="shared" ca="1" si="85"/>
        <v>0</v>
      </c>
      <c r="N35" s="301">
        <f t="shared" ca="1" si="85"/>
        <v>0</v>
      </c>
      <c r="O35" s="301">
        <f t="shared" ca="1" si="85"/>
        <v>0</v>
      </c>
      <c r="P35" s="301">
        <f t="shared" ca="1" si="70"/>
        <v>10.911989139998241</v>
      </c>
      <c r="R35" s="307">
        <f t="shared" ref="R35:AG35" ca="1" si="86">IFERROR(INDEX(INDIRECT($C35&amp;".Outputs["&amp;this.Year&amp;"]"), MATCH(R$5, INDIRECT($C35&amp;".Outputs[Vector]"), 0)), 0)</f>
        <v>-1.2985267076597906</v>
      </c>
      <c r="S35" s="307">
        <f t="shared" ca="1" si="86"/>
        <v>0</v>
      </c>
      <c r="T35" s="307">
        <f t="shared" ca="1" si="86"/>
        <v>-1.0911989139998241E-2</v>
      </c>
      <c r="U35" s="307">
        <f t="shared" ca="1" si="86"/>
        <v>-2.0732779365996659</v>
      </c>
      <c r="V35" s="307">
        <f t="shared" ca="1" si="86"/>
        <v>-0.98207902259984159</v>
      </c>
      <c r="W35" s="307">
        <f t="shared" ca="1" si="86"/>
        <v>-6.5471934839989441</v>
      </c>
      <c r="X35" s="307">
        <f t="shared" ca="1" si="78"/>
        <v>0</v>
      </c>
      <c r="Y35" s="307">
        <f t="shared" ca="1" si="78"/>
        <v>0</v>
      </c>
      <c r="Z35" s="307">
        <f t="shared" ca="1" si="78"/>
        <v>0</v>
      </c>
      <c r="AA35" s="307">
        <f t="shared" ca="1" si="86"/>
        <v>0</v>
      </c>
      <c r="AB35" s="307">
        <f t="shared" ca="1" si="86"/>
        <v>0</v>
      </c>
      <c r="AC35" s="307">
        <f t="shared" ca="1" si="86"/>
        <v>1790.9295179502994</v>
      </c>
      <c r="AD35" s="307">
        <f t="shared" ca="1" si="86"/>
        <v>12.388265322112064</v>
      </c>
      <c r="AE35" s="307">
        <f t="shared" ca="1" si="86"/>
        <v>64.933125773562409</v>
      </c>
      <c r="AF35" s="307">
        <f t="shared" ca="1" si="86"/>
        <v>27.127007092722703</v>
      </c>
      <c r="AG35" s="307">
        <f t="shared" ca="1" si="86"/>
        <v>0</v>
      </c>
      <c r="AH35" s="306">
        <f t="shared" ca="1" si="5"/>
        <v>1884.4659269986985</v>
      </c>
      <c r="AJ35" s="315">
        <f t="shared" ca="1" si="79"/>
        <v>0</v>
      </c>
      <c r="AK35" s="315">
        <f t="shared" ca="1" si="79"/>
        <v>0</v>
      </c>
      <c r="AL35" s="315">
        <f t="shared" ca="1" si="79"/>
        <v>0</v>
      </c>
      <c r="AM35" s="315">
        <f t="shared" ca="1" si="79"/>
        <v>0</v>
      </c>
      <c r="AN35" s="315">
        <f t="shared" ca="1" si="79"/>
        <v>0</v>
      </c>
      <c r="AO35" s="315">
        <f t="shared" ca="1" si="79"/>
        <v>0</v>
      </c>
      <c r="AP35" s="315">
        <f t="shared" ca="1" si="79"/>
        <v>0</v>
      </c>
      <c r="AQ35" s="315">
        <f t="shared" ca="1" si="79"/>
        <v>0</v>
      </c>
      <c r="AR35" s="315">
        <f t="shared" ca="1" si="79"/>
        <v>0</v>
      </c>
      <c r="AS35" s="315">
        <f t="shared" ref="AS35:AX35" ca="1" si="87">IFERROR(INDEX(INDIRECT($C35&amp;".Outputs["&amp;this.Year&amp;"]"), MATCH(AS$5, INDIRECT($C35&amp;".Outputs[Vector]"), 0)), 0)</f>
        <v>0</v>
      </c>
      <c r="AT35" s="315">
        <f t="shared" ca="1" si="87"/>
        <v>0</v>
      </c>
      <c r="AU35" s="315">
        <f t="shared" ca="1" si="87"/>
        <v>0</v>
      </c>
      <c r="AV35" s="315">
        <f t="shared" ca="1" si="87"/>
        <v>0</v>
      </c>
      <c r="AW35" s="315">
        <f t="shared" ca="1" si="87"/>
        <v>-1803.3177832724116</v>
      </c>
      <c r="AX35" s="315">
        <f t="shared" ca="1" si="87"/>
        <v>-92.060132866285116</v>
      </c>
      <c r="AY35" s="293">
        <f t="shared" ca="1" si="74"/>
        <v>-1895.3779161386967</v>
      </c>
      <c r="BA35" s="311">
        <f t="shared" ca="1" si="80"/>
        <v>0</v>
      </c>
      <c r="BB35" s="311">
        <f t="shared" ca="1" si="80"/>
        <v>0</v>
      </c>
      <c r="BC35" s="310">
        <f t="shared" ca="1" si="10"/>
        <v>0</v>
      </c>
      <c r="BE35" s="135">
        <f ca="1">P35+AH35+AY35+BC35</f>
        <v>0</v>
      </c>
      <c r="BF35" s="135"/>
      <c r="BG35" s="1428"/>
      <c r="BH35" s="544">
        <f t="shared" ca="1" si="81"/>
        <v>0.70238291696340671</v>
      </c>
      <c r="BI35" s="545">
        <f t="shared" ca="1" si="81"/>
        <v>1.0173944588499034E-3</v>
      </c>
      <c r="BJ35" s="545">
        <f t="shared" ca="1" si="81"/>
        <v>9.7449826673462192E-3</v>
      </c>
      <c r="BK35" s="545">
        <f t="shared" ca="1" si="81"/>
        <v>0</v>
      </c>
      <c r="BL35" s="545">
        <f t="shared" ca="1" si="81"/>
        <v>0</v>
      </c>
      <c r="BM35" s="545">
        <f t="shared" ca="1" si="81"/>
        <v>0</v>
      </c>
      <c r="BN35" s="545">
        <f t="shared" ca="1" si="81"/>
        <v>0</v>
      </c>
      <c r="BO35" s="545">
        <f t="shared" ca="1" si="81"/>
        <v>0</v>
      </c>
      <c r="BP35" s="545">
        <f t="shared" ca="1" si="81"/>
        <v>0</v>
      </c>
      <c r="BQ35" s="545">
        <f t="shared" ca="1" si="81"/>
        <v>0</v>
      </c>
      <c r="BR35" s="545">
        <f t="shared" ca="1" si="82"/>
        <v>0</v>
      </c>
      <c r="BS35" s="545">
        <f t="shared" ca="1" si="82"/>
        <v>0</v>
      </c>
      <c r="BT35" s="545">
        <f t="shared" ca="1" si="82"/>
        <v>0</v>
      </c>
      <c r="BU35" s="545">
        <f t="shared" ca="1" si="82"/>
        <v>0</v>
      </c>
      <c r="BV35" s="545">
        <f t="shared" ca="1" si="82"/>
        <v>0</v>
      </c>
      <c r="BW35" s="545">
        <f t="shared" ca="1" si="82"/>
        <v>0</v>
      </c>
      <c r="BX35" s="545">
        <f t="shared" ca="1" si="82"/>
        <v>0</v>
      </c>
      <c r="BY35" s="545">
        <f t="shared" ca="1" si="82"/>
        <v>0</v>
      </c>
      <c r="BZ35" s="545">
        <f t="shared" ca="1" si="82"/>
        <v>22.545258398704277</v>
      </c>
      <c r="CA35" s="545">
        <f t="shared" ca="1" si="82"/>
        <v>0</v>
      </c>
      <c r="CB35" s="545">
        <f t="shared" ca="1" si="83"/>
        <v>4.9966990495666685</v>
      </c>
      <c r="CC35" s="545">
        <f t="shared" ca="1" si="83"/>
        <v>0</v>
      </c>
      <c r="CD35" s="545">
        <f t="shared" ca="1" si="83"/>
        <v>0</v>
      </c>
      <c r="CE35" s="545">
        <f t="shared" ca="1" si="83"/>
        <v>0</v>
      </c>
      <c r="CF35" s="545">
        <f t="shared" ca="1" si="83"/>
        <v>0</v>
      </c>
      <c r="CG35" s="545">
        <f t="shared" ca="1" si="83"/>
        <v>0</v>
      </c>
      <c r="CH35" s="545">
        <f t="shared" ca="1" si="83"/>
        <v>0</v>
      </c>
      <c r="CI35" s="545">
        <f t="shared" ca="1" si="83"/>
        <v>0</v>
      </c>
      <c r="CJ35" s="545">
        <f t="shared" ca="1" si="83"/>
        <v>0</v>
      </c>
      <c r="CK35" s="545">
        <f t="shared" ca="1" si="83"/>
        <v>0</v>
      </c>
      <c r="CL35" s="545">
        <f t="shared" ca="1" si="84"/>
        <v>0</v>
      </c>
      <c r="CM35" s="545">
        <f t="shared" ca="1" si="84"/>
        <v>0</v>
      </c>
      <c r="CN35" s="545">
        <f t="shared" ca="1" si="84"/>
        <v>0</v>
      </c>
      <c r="CO35" s="545">
        <f t="shared" ca="1" si="84"/>
        <v>0</v>
      </c>
      <c r="CP35" s="545">
        <f t="shared" ca="1" si="84"/>
        <v>0</v>
      </c>
      <c r="CQ35" s="545">
        <f t="shared" ca="1" si="84"/>
        <v>0</v>
      </c>
      <c r="CR35" s="545">
        <f t="shared" ca="1" si="84"/>
        <v>0</v>
      </c>
      <c r="CS35" s="545">
        <f t="shared" ca="1" si="84"/>
        <v>0</v>
      </c>
      <c r="CT35" s="545">
        <f t="shared" ca="1" si="84"/>
        <v>0</v>
      </c>
      <c r="CU35" s="545">
        <f t="shared" ca="1" si="84"/>
        <v>0</v>
      </c>
      <c r="CW35" s="151">
        <f t="shared" ca="1" si="75"/>
        <v>28.255102742360549</v>
      </c>
    </row>
    <row r="36" spans="1:101" s="84" customFormat="1" ht="15.75" x14ac:dyDescent="0.2">
      <c r="A36" s="18"/>
      <c r="B36" s="89"/>
      <c r="C36" s="85" t="s">
        <v>225</v>
      </c>
      <c r="D36" s="57" t="str">
        <f>INDEX(Workstreams[Workstream], MATCH($C36, Workstreams[Code], 0))</f>
        <v>Agriculture &amp; waste</v>
      </c>
      <c r="E36" s="53"/>
      <c r="G36" s="300">
        <f t="shared" ref="G36:O36" ca="1" si="88">SUM(G34:G35)</f>
        <v>0</v>
      </c>
      <c r="H36" s="300">
        <f t="shared" ca="1" si="88"/>
        <v>0</v>
      </c>
      <c r="I36" s="300">
        <f t="shared" ca="1" si="88"/>
        <v>0</v>
      </c>
      <c r="J36" s="300">
        <f t="shared" ca="1" si="88"/>
        <v>10.911989139998241</v>
      </c>
      <c r="K36" s="300">
        <f t="shared" ca="1" si="88"/>
        <v>0</v>
      </c>
      <c r="L36" s="300">
        <f t="shared" ca="1" si="88"/>
        <v>0</v>
      </c>
      <c r="M36" s="300">
        <f t="shared" ca="1" si="88"/>
        <v>0</v>
      </c>
      <c r="N36" s="300">
        <f t="shared" ca="1" si="88"/>
        <v>0</v>
      </c>
      <c r="O36" s="300">
        <f t="shared" ca="1" si="88"/>
        <v>0</v>
      </c>
      <c r="P36" s="300">
        <f t="shared" ca="1" si="70"/>
        <v>10.911989139998241</v>
      </c>
      <c r="R36" s="257">
        <f t="shared" ref="R36:AG36" ca="1" si="89">SUM(R34:R35)</f>
        <v>-1.2985267076597906</v>
      </c>
      <c r="S36" s="257">
        <f t="shared" ca="1" si="89"/>
        <v>0</v>
      </c>
      <c r="T36" s="257">
        <f t="shared" ca="1" si="89"/>
        <v>-1.0911989139998241E-2</v>
      </c>
      <c r="U36" s="257">
        <f t="shared" ca="1" si="89"/>
        <v>-2.0732779365996659</v>
      </c>
      <c r="V36" s="257">
        <f t="shared" ca="1" si="89"/>
        <v>-0.98207902259984159</v>
      </c>
      <c r="W36" s="257">
        <f t="shared" ca="1" si="89"/>
        <v>-6.5471934839989441</v>
      </c>
      <c r="X36" s="257">
        <f t="shared" ca="1" si="89"/>
        <v>4.8865862500000006</v>
      </c>
      <c r="Y36" s="257">
        <f t="shared" ca="1" si="89"/>
        <v>0</v>
      </c>
      <c r="Z36" s="257">
        <f t="shared" ca="1" si="89"/>
        <v>0</v>
      </c>
      <c r="AA36" s="257">
        <f t="shared" ca="1" si="89"/>
        <v>0</v>
      </c>
      <c r="AB36" s="257">
        <f t="shared" ca="1" si="89"/>
        <v>0</v>
      </c>
      <c r="AC36" s="257">
        <f t="shared" ca="1" si="89"/>
        <v>1790.9295179502994</v>
      </c>
      <c r="AD36" s="257">
        <f t="shared" ca="1" si="89"/>
        <v>12.388265322112064</v>
      </c>
      <c r="AE36" s="257">
        <f t="shared" ca="1" si="89"/>
        <v>73.060329723562404</v>
      </c>
      <c r="AF36" s="257">
        <f t="shared" ca="1" si="89"/>
        <v>31.919583891554964</v>
      </c>
      <c r="AG36" s="257">
        <f t="shared" ca="1" si="89"/>
        <v>11.254146912530599</v>
      </c>
      <c r="AH36" s="257">
        <f t="shared" ca="1" si="5"/>
        <v>1913.5264409100614</v>
      </c>
      <c r="AJ36" s="263">
        <f t="shared" ref="AJ36:AX36" ca="1" si="90">SUM(AJ34:AJ35)</f>
        <v>0</v>
      </c>
      <c r="AK36" s="263">
        <f t="shared" ca="1" si="90"/>
        <v>0</v>
      </c>
      <c r="AL36" s="263">
        <f t="shared" ca="1" si="90"/>
        <v>0</v>
      </c>
      <c r="AM36" s="263">
        <f t="shared" ca="1" si="90"/>
        <v>0</v>
      </c>
      <c r="AN36" s="263">
        <f t="shared" ca="1" si="90"/>
        <v>0</v>
      </c>
      <c r="AO36" s="263">
        <f t="shared" ca="1" si="90"/>
        <v>0</v>
      </c>
      <c r="AP36" s="263">
        <f t="shared" ca="1" si="90"/>
        <v>0</v>
      </c>
      <c r="AQ36" s="263">
        <f t="shared" ca="1" si="90"/>
        <v>0</v>
      </c>
      <c r="AR36" s="263">
        <f t="shared" ca="1" si="90"/>
        <v>0</v>
      </c>
      <c r="AS36" s="263">
        <f t="shared" ca="1" si="90"/>
        <v>0</v>
      </c>
      <c r="AT36" s="263">
        <f t="shared" ca="1" si="90"/>
        <v>0</v>
      </c>
      <c r="AU36" s="263">
        <f t="shared" ca="1" si="90"/>
        <v>0</v>
      </c>
      <c r="AV36" s="263">
        <f t="shared" ca="1" si="90"/>
        <v>0</v>
      </c>
      <c r="AW36" s="263">
        <f t="shared" ca="1" si="90"/>
        <v>-1803.3177832724116</v>
      </c>
      <c r="AX36" s="263">
        <f t="shared" ca="1" si="90"/>
        <v>-121.12064677764798</v>
      </c>
      <c r="AY36" s="263">
        <f t="shared" ca="1" si="74"/>
        <v>-1924.4384300500597</v>
      </c>
      <c r="BA36" s="277">
        <f ca="1">SUM(BA34:BA35)</f>
        <v>0</v>
      </c>
      <c r="BB36" s="277">
        <f ca="1">SUM(BB34:BB35)</f>
        <v>0</v>
      </c>
      <c r="BC36" s="277">
        <f t="shared" ca="1" si="10"/>
        <v>0</v>
      </c>
      <c r="BE36" s="55">
        <f ca="1">P36+AH36+AY36+BC36</f>
        <v>0</v>
      </c>
      <c r="BF36" s="55"/>
      <c r="BG36" s="1428"/>
      <c r="BH36" s="542">
        <f t="shared" ref="BH36:CU36" ca="1" si="91">SUM(BH34:BH35)</f>
        <v>0.70238291696340671</v>
      </c>
      <c r="BI36" s="542">
        <f t="shared" ca="1" si="91"/>
        <v>1.0173944588499034E-3</v>
      </c>
      <c r="BJ36" s="542">
        <f t="shared" ca="1" si="91"/>
        <v>9.7449826673462192E-3</v>
      </c>
      <c r="BK36" s="542">
        <f t="shared" ca="1" si="91"/>
        <v>0</v>
      </c>
      <c r="BL36" s="542">
        <f t="shared" ca="1" si="91"/>
        <v>0</v>
      </c>
      <c r="BM36" s="542">
        <f t="shared" ca="1" si="91"/>
        <v>0</v>
      </c>
      <c r="BN36" s="542">
        <f t="shared" ca="1" si="91"/>
        <v>0</v>
      </c>
      <c r="BO36" s="542">
        <f t="shared" ca="1" si="91"/>
        <v>0</v>
      </c>
      <c r="BP36" s="542">
        <f t="shared" ca="1" si="91"/>
        <v>0</v>
      </c>
      <c r="BQ36" s="542">
        <f t="shared" ca="1" si="91"/>
        <v>0</v>
      </c>
      <c r="BR36" s="542">
        <f t="shared" ca="1" si="91"/>
        <v>0</v>
      </c>
      <c r="BS36" s="542">
        <f t="shared" ca="1" si="91"/>
        <v>0</v>
      </c>
      <c r="BT36" s="542">
        <f t="shared" ca="1" si="91"/>
        <v>0</v>
      </c>
      <c r="BU36" s="542">
        <f t="shared" ca="1" si="91"/>
        <v>0</v>
      </c>
      <c r="BV36" s="542">
        <f t="shared" ca="1" si="91"/>
        <v>0</v>
      </c>
      <c r="BW36" s="542">
        <f t="shared" ca="1" si="91"/>
        <v>0</v>
      </c>
      <c r="BX36" s="542">
        <f t="shared" ca="1" si="91"/>
        <v>0</v>
      </c>
      <c r="BY36" s="542">
        <f t="shared" ca="1" si="91"/>
        <v>0</v>
      </c>
      <c r="BZ36" s="542">
        <f t="shared" ca="1" si="91"/>
        <v>22.545258398704277</v>
      </c>
      <c r="CA36" s="542">
        <f t="shared" ca="1" si="91"/>
        <v>0</v>
      </c>
      <c r="CB36" s="542">
        <f t="shared" ca="1" si="91"/>
        <v>4.9966990495666685</v>
      </c>
      <c r="CC36" s="542">
        <f t="shared" ca="1" si="91"/>
        <v>0</v>
      </c>
      <c r="CD36" s="542">
        <f t="shared" ca="1" si="91"/>
        <v>0</v>
      </c>
      <c r="CE36" s="542">
        <f t="shared" ca="1" si="91"/>
        <v>0</v>
      </c>
      <c r="CF36" s="542">
        <f t="shared" ca="1" si="91"/>
        <v>0</v>
      </c>
      <c r="CG36" s="542">
        <f t="shared" ca="1" si="91"/>
        <v>10.807028354917669</v>
      </c>
      <c r="CH36" s="542">
        <f t="shared" ca="1" si="91"/>
        <v>0</v>
      </c>
      <c r="CI36" s="542">
        <f t="shared" ca="1" si="91"/>
        <v>0</v>
      </c>
      <c r="CJ36" s="542">
        <f t="shared" ca="1" si="91"/>
        <v>0</v>
      </c>
      <c r="CK36" s="542">
        <f t="shared" ca="1" si="91"/>
        <v>0</v>
      </c>
      <c r="CL36" s="542">
        <f t="shared" ca="1" si="91"/>
        <v>0</v>
      </c>
      <c r="CM36" s="542">
        <f t="shared" ca="1" si="91"/>
        <v>0</v>
      </c>
      <c r="CN36" s="542">
        <f t="shared" ca="1" si="91"/>
        <v>0</v>
      </c>
      <c r="CO36" s="542">
        <f t="shared" ca="1" si="91"/>
        <v>0</v>
      </c>
      <c r="CP36" s="542">
        <f t="shared" ca="1" si="91"/>
        <v>0</v>
      </c>
      <c r="CQ36" s="542">
        <f t="shared" ca="1" si="91"/>
        <v>0</v>
      </c>
      <c r="CR36" s="542">
        <f t="shared" ca="1" si="91"/>
        <v>0</v>
      </c>
      <c r="CS36" s="542">
        <f t="shared" ca="1" si="91"/>
        <v>0</v>
      </c>
      <c r="CT36" s="542">
        <f t="shared" ca="1" si="91"/>
        <v>0</v>
      </c>
      <c r="CU36" s="542">
        <f t="shared" ca="1" si="91"/>
        <v>0</v>
      </c>
      <c r="CW36" s="151">
        <f t="shared" ca="1" si="75"/>
        <v>39.062131097278218</v>
      </c>
    </row>
    <row r="37" spans="1:101" s="84" customFormat="1" ht="12.75" customHeight="1" outlineLevel="1" x14ac:dyDescent="0.2">
      <c r="A37" s="18"/>
      <c r="B37" s="18"/>
      <c r="C37" s="87"/>
      <c r="D37" s="53"/>
      <c r="E37" s="53"/>
      <c r="G37" s="245"/>
      <c r="H37" s="245"/>
      <c r="I37" s="245"/>
      <c r="J37" s="245"/>
      <c r="K37" s="245"/>
      <c r="L37" s="247"/>
      <c r="M37" s="245"/>
      <c r="N37" s="245"/>
      <c r="O37" s="245"/>
      <c r="P37" s="245">
        <f t="shared" si="70"/>
        <v>0</v>
      </c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>
        <f t="shared" si="5"/>
        <v>0</v>
      </c>
      <c r="AJ37" s="263"/>
      <c r="AK37" s="263"/>
      <c r="AL37" s="263"/>
      <c r="AM37" s="263"/>
      <c r="AN37" s="263"/>
      <c r="AO37" s="263"/>
      <c r="AP37" s="263"/>
      <c r="AQ37" s="263"/>
      <c r="AR37" s="263"/>
      <c r="AS37" s="263"/>
      <c r="AT37" s="263"/>
      <c r="AU37" s="263"/>
      <c r="AV37" s="263"/>
      <c r="AW37" s="263"/>
      <c r="AX37" s="263"/>
      <c r="AY37" s="263">
        <f t="shared" si="74"/>
        <v>0</v>
      </c>
      <c r="BA37" s="277"/>
      <c r="BB37" s="277"/>
      <c r="BC37" s="277">
        <f t="shared" si="10"/>
        <v>0</v>
      </c>
      <c r="BE37" s="55">
        <f>P37+AH37+AY37+BC37</f>
        <v>0</v>
      </c>
      <c r="BF37" s="55"/>
      <c r="BG37" s="18"/>
      <c r="BH37" s="542"/>
      <c r="BI37" s="542"/>
      <c r="BJ37" s="542"/>
      <c r="BK37" s="542"/>
      <c r="BL37" s="542"/>
      <c r="BM37" s="542"/>
      <c r="BN37" s="542"/>
      <c r="BO37" s="542"/>
      <c r="BP37" s="542"/>
      <c r="BQ37" s="542"/>
      <c r="BR37" s="542"/>
      <c r="BS37" s="542"/>
      <c r="BT37" s="542"/>
      <c r="BU37" s="542"/>
      <c r="BV37" s="542"/>
      <c r="BW37" s="542"/>
      <c r="BX37" s="542"/>
      <c r="BY37" s="542"/>
      <c r="BZ37" s="542"/>
      <c r="CA37" s="542"/>
      <c r="CB37" s="542"/>
      <c r="CC37" s="542"/>
      <c r="CD37" s="542"/>
      <c r="CE37" s="542"/>
      <c r="CF37" s="542"/>
      <c r="CG37" s="542"/>
      <c r="CH37" s="542"/>
      <c r="CI37" s="542"/>
      <c r="CJ37" s="542"/>
      <c r="CK37" s="542"/>
      <c r="CL37" s="542"/>
      <c r="CM37" s="542"/>
      <c r="CN37" s="542"/>
      <c r="CO37" s="542"/>
      <c r="CP37" s="542"/>
      <c r="CQ37" s="542"/>
      <c r="CR37" s="542"/>
      <c r="CS37" s="542"/>
      <c r="CT37" s="542"/>
      <c r="CU37" s="542"/>
      <c r="CW37" s="151">
        <f t="shared" si="75"/>
        <v>0</v>
      </c>
    </row>
    <row r="38" spans="1:101" s="84" customFormat="1" outlineLevel="1" x14ac:dyDescent="0.2">
      <c r="A38" s="543"/>
      <c r="B38" s="543"/>
      <c r="C38" s="62" t="s">
        <v>405</v>
      </c>
      <c r="D38" s="61" t="str">
        <f>INDEX(Modules[Module], MATCH($C38, Modules[Code], 0))</f>
        <v>Petroleum refineries</v>
      </c>
      <c r="E38" s="61"/>
      <c r="G38" s="297">
        <f t="shared" ref="G38:O39" ca="1" si="92">IFERROR(INDEX(INDIRECT($C38&amp;".Outputs["&amp;this.Year&amp;"]"), MATCH(G$5, INDIRECT($C38&amp;".Outputs[Vector]"), 0)), 0)</f>
        <v>0</v>
      </c>
      <c r="H38" s="297">
        <f t="shared" ca="1" si="92"/>
        <v>0</v>
      </c>
      <c r="I38" s="297">
        <f t="shared" ca="1" si="92"/>
        <v>0</v>
      </c>
      <c r="J38" s="297">
        <f t="shared" ca="1" si="92"/>
        <v>0</v>
      </c>
      <c r="K38" s="297">
        <f t="shared" ca="1" si="92"/>
        <v>0</v>
      </c>
      <c r="L38" s="297">
        <f t="shared" ca="1" si="92"/>
        <v>0</v>
      </c>
      <c r="M38" s="297">
        <f t="shared" ca="1" si="92"/>
        <v>0</v>
      </c>
      <c r="N38" s="297">
        <f t="shared" ca="1" si="92"/>
        <v>0</v>
      </c>
      <c r="O38" s="297">
        <f t="shared" ca="1" si="92"/>
        <v>0</v>
      </c>
      <c r="P38" s="297">
        <f t="shared" ca="1" si="70"/>
        <v>0</v>
      </c>
      <c r="R38" s="304">
        <f t="shared" ref="R38:AX39" ca="1" si="93">IFERROR(INDEX(INDIRECT($C38&amp;".Outputs["&amp;this.Year&amp;"]"), MATCH(R$5, INDIRECT($C38&amp;".Outputs[Vector]"), 0)), 0)</f>
        <v>-4.6221216487887027</v>
      </c>
      <c r="S38" s="304">
        <f t="shared" ca="1" si="93"/>
        <v>0</v>
      </c>
      <c r="T38" s="304">
        <f t="shared" ca="1" si="93"/>
        <v>0</v>
      </c>
      <c r="U38" s="304">
        <f t="shared" ca="1" si="93"/>
        <v>-0.2101405410269232</v>
      </c>
      <c r="V38" s="304">
        <f t="shared" ca="1" si="93"/>
        <v>-0.42787494017823025</v>
      </c>
      <c r="W38" s="304">
        <f t="shared" ca="1" si="93"/>
        <v>0</v>
      </c>
      <c r="X38" s="304">
        <f t="shared" ref="X38:Z39" ca="1" si="94">IFERROR(INDEX(INDIRECT($C38&amp;".Outputs["&amp;this.Year&amp;"]"), MATCH(X$5, INDIRECT($C38&amp;".Outputs[Vector]"), 0)), 0)</f>
        <v>0</v>
      </c>
      <c r="Y38" s="304">
        <f t="shared" ca="1" si="94"/>
        <v>0</v>
      </c>
      <c r="Z38" s="304">
        <f t="shared" ca="1" si="94"/>
        <v>0</v>
      </c>
      <c r="AA38" s="304">
        <f t="shared" ca="1" si="93"/>
        <v>0</v>
      </c>
      <c r="AB38" s="304">
        <f t="shared" ca="1" si="93"/>
        <v>0</v>
      </c>
      <c r="AC38" s="304">
        <f t="shared" ca="1" si="93"/>
        <v>0</v>
      </c>
      <c r="AD38" s="304">
        <f t="shared" ca="1" si="93"/>
        <v>0</v>
      </c>
      <c r="AE38" s="304">
        <f t="shared" ca="1" si="93"/>
        <v>0</v>
      </c>
      <c r="AF38" s="304">
        <f t="shared" ca="1" si="93"/>
        <v>0</v>
      </c>
      <c r="AG38" s="304">
        <f t="shared" ca="1" si="93"/>
        <v>0</v>
      </c>
      <c r="AH38" s="305">
        <f t="shared" ca="1" si="5"/>
        <v>-5.260137129993856</v>
      </c>
      <c r="AJ38" s="312">
        <f t="shared" ref="AJ38:AR39" ca="1" si="95">IFERROR(INDEX(INDIRECT($C38&amp;".Outputs["&amp;this.Year&amp;"]"), MATCH(AJ$5, INDIRECT($C38&amp;".Outputs[Vector]"), 0)), 0)</f>
        <v>0</v>
      </c>
      <c r="AK38" s="312">
        <f t="shared" ca="1" si="95"/>
        <v>0</v>
      </c>
      <c r="AL38" s="312">
        <f t="shared" ca="1" si="95"/>
        <v>0</v>
      </c>
      <c r="AM38" s="312">
        <f t="shared" ca="1" si="95"/>
        <v>0</v>
      </c>
      <c r="AN38" s="312">
        <f t="shared" ca="1" si="95"/>
        <v>0</v>
      </c>
      <c r="AO38" s="312">
        <f t="shared" ca="1" si="95"/>
        <v>0</v>
      </c>
      <c r="AP38" s="312">
        <f t="shared" ca="1" si="95"/>
        <v>0</v>
      </c>
      <c r="AQ38" s="312">
        <f t="shared" ca="1" si="95"/>
        <v>0</v>
      </c>
      <c r="AR38" s="312">
        <f t="shared" ca="1" si="95"/>
        <v>0</v>
      </c>
      <c r="AS38" s="312">
        <f t="shared" ca="1" si="93"/>
        <v>0</v>
      </c>
      <c r="AT38" s="312">
        <f t="shared" ca="1" si="93"/>
        <v>0</v>
      </c>
      <c r="AU38" s="312">
        <f t="shared" ca="1" si="93"/>
        <v>0</v>
      </c>
      <c r="AV38" s="312">
        <f t="shared" ca="1" si="93"/>
        <v>0</v>
      </c>
      <c r="AW38" s="312">
        <f t="shared" ca="1" si="93"/>
        <v>0</v>
      </c>
      <c r="AX38" s="312">
        <f t="shared" ca="1" si="93"/>
        <v>0</v>
      </c>
      <c r="AY38" s="266">
        <f t="shared" ca="1" si="74"/>
        <v>0</v>
      </c>
      <c r="BA38" s="308">
        <f ca="1">IFERROR(INDEX(INDIRECT($C38&amp;".Outputs["&amp;this.Year&amp;"]"), MATCH(BA$5, INDIRECT($C38&amp;".Outputs[Vector]"), 0)), 0)</f>
        <v>0</v>
      </c>
      <c r="BB38" s="308">
        <f ca="1">IFERROR(INDEX(INDIRECT($C38&amp;".Outputs["&amp;this.Year&amp;"]"), MATCH(BB$5, INDIRECT($C38&amp;".Outputs[Vector]"), 0)), 0)</f>
        <v>5.260137129993856</v>
      </c>
      <c r="BC38" s="309">
        <f t="shared" ca="1" si="10"/>
        <v>5.260137129993856</v>
      </c>
      <c r="BE38" s="135">
        <f ca="1">P38+AH38+AY38+BC38</f>
        <v>0</v>
      </c>
      <c r="BF38" s="135"/>
      <c r="BG38" s="1428"/>
      <c r="BH38" s="541">
        <f t="shared" ref="BH38:BQ39" ca="1" si="96">IFERROR(SUMIFS(INDIRECT($C38&amp;".Emissions["&amp;this.Year&amp;"]"), INDIRECT($C38&amp;".Emissions[GHG]"), BH$6, INDIRECT($C38&amp;".Emissions[IPCC Sector]"), BH$5),0)</f>
        <v>0.13126412424952516</v>
      </c>
      <c r="BI38" s="542">
        <f t="shared" ca="1" si="96"/>
        <v>2.2321716926589251E-4</v>
      </c>
      <c r="BJ38" s="542">
        <f t="shared" ca="1" si="96"/>
        <v>1.1149482785806966E-3</v>
      </c>
      <c r="BK38" s="542">
        <f t="shared" ca="1" si="96"/>
        <v>0</v>
      </c>
      <c r="BL38" s="542">
        <f t="shared" ca="1" si="96"/>
        <v>0</v>
      </c>
      <c r="BM38" s="542">
        <f t="shared" ca="1" si="96"/>
        <v>0</v>
      </c>
      <c r="BN38" s="542">
        <f t="shared" ca="1" si="96"/>
        <v>0</v>
      </c>
      <c r="BO38" s="542">
        <f t="shared" ca="1" si="96"/>
        <v>0</v>
      </c>
      <c r="BP38" s="542">
        <f t="shared" ca="1" si="96"/>
        <v>0</v>
      </c>
      <c r="BQ38" s="542">
        <f t="shared" ca="1" si="96"/>
        <v>0</v>
      </c>
      <c r="BR38" s="542">
        <f t="shared" ref="BR38:CA39" ca="1" si="97">IFERROR(SUMIFS(INDIRECT($C38&amp;".Emissions["&amp;this.Year&amp;"]"), INDIRECT($C38&amp;".Emissions[GHG]"), BR$6, INDIRECT($C38&amp;".Emissions[IPCC Sector]"), BR$5),0)</f>
        <v>0</v>
      </c>
      <c r="BS38" s="542">
        <f t="shared" ca="1" si="97"/>
        <v>0</v>
      </c>
      <c r="BT38" s="542">
        <f t="shared" ca="1" si="97"/>
        <v>0</v>
      </c>
      <c r="BU38" s="542">
        <f t="shared" ca="1" si="97"/>
        <v>0</v>
      </c>
      <c r="BV38" s="542">
        <f t="shared" ca="1" si="97"/>
        <v>0</v>
      </c>
      <c r="BW38" s="542">
        <f t="shared" ca="1" si="97"/>
        <v>0</v>
      </c>
      <c r="BX38" s="542">
        <f t="shared" ca="1" si="97"/>
        <v>0</v>
      </c>
      <c r="BY38" s="542">
        <f t="shared" ca="1" si="97"/>
        <v>0</v>
      </c>
      <c r="BZ38" s="542">
        <f t="shared" ca="1" si="97"/>
        <v>0</v>
      </c>
      <c r="CA38" s="542">
        <f t="shared" ca="1" si="97"/>
        <v>0</v>
      </c>
      <c r="CB38" s="542">
        <f t="shared" ref="CB38:CK39" ca="1" si="98">IFERROR(SUMIFS(INDIRECT($C38&amp;".Emissions["&amp;this.Year&amp;"]"), INDIRECT($C38&amp;".Emissions[GHG]"), CB$6, INDIRECT($C38&amp;".Emissions[IPCC Sector]"), CB$5),0)</f>
        <v>0</v>
      </c>
      <c r="CC38" s="542">
        <f t="shared" ca="1" si="98"/>
        <v>0</v>
      </c>
      <c r="CD38" s="542">
        <f t="shared" ca="1" si="98"/>
        <v>0</v>
      </c>
      <c r="CE38" s="542">
        <f t="shared" ca="1" si="98"/>
        <v>0</v>
      </c>
      <c r="CF38" s="542">
        <f t="shared" ca="1" si="98"/>
        <v>0</v>
      </c>
      <c r="CG38" s="542">
        <f t="shared" ca="1" si="98"/>
        <v>0</v>
      </c>
      <c r="CH38" s="542">
        <f t="shared" ca="1" si="98"/>
        <v>0</v>
      </c>
      <c r="CI38" s="542">
        <f t="shared" ca="1" si="98"/>
        <v>0</v>
      </c>
      <c r="CJ38" s="542">
        <f t="shared" ca="1" si="98"/>
        <v>0</v>
      </c>
      <c r="CK38" s="542">
        <f t="shared" ca="1" si="98"/>
        <v>0</v>
      </c>
      <c r="CL38" s="542">
        <f t="shared" ref="CL38:CU39" ca="1" si="99">IFERROR(SUMIFS(INDIRECT($C38&amp;".Emissions["&amp;this.Year&amp;"]"), INDIRECT($C38&amp;".Emissions[GHG]"), CL$6, INDIRECT($C38&amp;".Emissions[IPCC Sector]"), CL$5),0)</f>
        <v>0</v>
      </c>
      <c r="CM38" s="542">
        <f t="shared" ca="1" si="99"/>
        <v>0</v>
      </c>
      <c r="CN38" s="542">
        <f t="shared" ca="1" si="99"/>
        <v>0</v>
      </c>
      <c r="CO38" s="542">
        <f t="shared" ca="1" si="99"/>
        <v>0</v>
      </c>
      <c r="CP38" s="542">
        <f t="shared" ca="1" si="99"/>
        <v>0</v>
      </c>
      <c r="CQ38" s="542">
        <f t="shared" ca="1" si="99"/>
        <v>0</v>
      </c>
      <c r="CR38" s="542">
        <f t="shared" ca="1" si="99"/>
        <v>0</v>
      </c>
      <c r="CS38" s="542">
        <f t="shared" ca="1" si="99"/>
        <v>0</v>
      </c>
      <c r="CT38" s="542">
        <f t="shared" ca="1" si="99"/>
        <v>0</v>
      </c>
      <c r="CU38" s="542">
        <f t="shared" ca="1" si="99"/>
        <v>0</v>
      </c>
      <c r="CW38" s="151">
        <f t="shared" ca="1" si="75"/>
        <v>0.13260228969737176</v>
      </c>
    </row>
    <row r="39" spans="1:101" s="84" customFormat="1" outlineLevel="1" x14ac:dyDescent="0.2">
      <c r="A39" s="543"/>
      <c r="B39" s="543"/>
      <c r="C39" s="62" t="s">
        <v>415</v>
      </c>
      <c r="D39" s="292" t="str">
        <f>INDEX(Modules[Module], MATCH($C39, Modules[Code], 0))</f>
        <v>Indigenous fossil-fuel production</v>
      </c>
      <c r="E39" s="292"/>
      <c r="G39" s="301">
        <f t="shared" ca="1" si="92"/>
        <v>0</v>
      </c>
      <c r="H39" s="301">
        <f t="shared" ca="1" si="92"/>
        <v>0</v>
      </c>
      <c r="I39" s="301">
        <f t="shared" ca="1" si="92"/>
        <v>0</v>
      </c>
      <c r="J39" s="301">
        <f t="shared" ca="1" si="92"/>
        <v>320.21829572784031</v>
      </c>
      <c r="K39" s="301">
        <f t="shared" ca="1" si="92"/>
        <v>0</v>
      </c>
      <c r="L39" s="301">
        <f t="shared" ca="1" si="92"/>
        <v>0</v>
      </c>
      <c r="M39" s="301">
        <f t="shared" ca="1" si="92"/>
        <v>0</v>
      </c>
      <c r="N39" s="301">
        <f t="shared" ca="1" si="92"/>
        <v>0</v>
      </c>
      <c r="O39" s="301">
        <f t="shared" ca="1" si="92"/>
        <v>0</v>
      </c>
      <c r="P39" s="301">
        <f t="shared" ca="1" si="70"/>
        <v>320.21829572784031</v>
      </c>
      <c r="R39" s="307">
        <f t="shared" ca="1" si="93"/>
        <v>-0.88653810768169206</v>
      </c>
      <c r="S39" s="307">
        <f t="shared" ca="1" si="93"/>
        <v>0</v>
      </c>
      <c r="T39" s="307">
        <f t="shared" ca="1" si="93"/>
        <v>-2.2175097251858548E-3</v>
      </c>
      <c r="U39" s="307">
        <f t="shared" ca="1" si="93"/>
        <v>0</v>
      </c>
      <c r="V39" s="307">
        <f t="shared" ca="1" si="93"/>
        <v>-319.32954011043341</v>
      </c>
      <c r="W39" s="307">
        <f t="shared" ca="1" si="93"/>
        <v>0</v>
      </c>
      <c r="X39" s="307">
        <f t="shared" ca="1" si="94"/>
        <v>6.17215067274</v>
      </c>
      <c r="Y39" s="307">
        <f t="shared" ca="1" si="94"/>
        <v>1458.9378638800001</v>
      </c>
      <c r="Z39" s="307">
        <f t="shared" ca="1" si="94"/>
        <v>844.92033333333336</v>
      </c>
      <c r="AA39" s="307">
        <f t="shared" ca="1" si="93"/>
        <v>0</v>
      </c>
      <c r="AB39" s="307">
        <f t="shared" ca="1" si="93"/>
        <v>0</v>
      </c>
      <c r="AC39" s="307">
        <f t="shared" ca="1" si="93"/>
        <v>0</v>
      </c>
      <c r="AD39" s="307">
        <f t="shared" ca="1" si="93"/>
        <v>0</v>
      </c>
      <c r="AE39" s="307">
        <f t="shared" ca="1" si="93"/>
        <v>0</v>
      </c>
      <c r="AF39" s="307">
        <f t="shared" ca="1" si="93"/>
        <v>0</v>
      </c>
      <c r="AG39" s="307">
        <f t="shared" ca="1" si="93"/>
        <v>0</v>
      </c>
      <c r="AH39" s="306">
        <f t="shared" ca="1" si="5"/>
        <v>1989.8120521582332</v>
      </c>
      <c r="AJ39" s="315">
        <f t="shared" ca="1" si="95"/>
        <v>-6.17215067274</v>
      </c>
      <c r="AK39" s="315">
        <f t="shared" ca="1" si="95"/>
        <v>-1458.9378638800001</v>
      </c>
      <c r="AL39" s="315">
        <f t="shared" ca="1" si="95"/>
        <v>-844.92033333333336</v>
      </c>
      <c r="AM39" s="315">
        <f t="shared" ca="1" si="95"/>
        <v>0</v>
      </c>
      <c r="AN39" s="315">
        <f t="shared" ca="1" si="95"/>
        <v>0</v>
      </c>
      <c r="AO39" s="315">
        <f t="shared" ca="1" si="95"/>
        <v>0</v>
      </c>
      <c r="AP39" s="315">
        <f t="shared" ca="1" si="95"/>
        <v>0</v>
      </c>
      <c r="AQ39" s="315">
        <f t="shared" ca="1" si="95"/>
        <v>0</v>
      </c>
      <c r="AR39" s="315">
        <f t="shared" ca="1" si="95"/>
        <v>0</v>
      </c>
      <c r="AS39" s="315">
        <f t="shared" ca="1" si="93"/>
        <v>0</v>
      </c>
      <c r="AT39" s="315">
        <f t="shared" ca="1" si="93"/>
        <v>0</v>
      </c>
      <c r="AU39" s="315">
        <f t="shared" ca="1" si="93"/>
        <v>0</v>
      </c>
      <c r="AV39" s="315">
        <f t="shared" ca="1" si="93"/>
        <v>0</v>
      </c>
      <c r="AW39" s="315">
        <f t="shared" ca="1" si="93"/>
        <v>0</v>
      </c>
      <c r="AX39" s="315">
        <f t="shared" ca="1" si="93"/>
        <v>0</v>
      </c>
      <c r="AY39" s="293">
        <f t="shared" ca="1" si="74"/>
        <v>-2310.0303478860733</v>
      </c>
      <c r="BA39" s="311">
        <f ca="1">IFERROR(INDEX(INDIRECT($C39&amp;".Outputs["&amp;this.Year&amp;"]"), MATCH(BA$5, INDIRECT($C39&amp;".Outputs[Vector]"), 0)), 0)</f>
        <v>0</v>
      </c>
      <c r="BB39" s="311">
        <f ca="1">IFERROR(INDEX(INDIRECT($C39&amp;".Outputs["&amp;this.Year&amp;"]"), MATCH(BB$5, INDIRECT($C39&amp;".Outputs[Vector]"), 0)), 0)</f>
        <v>0</v>
      </c>
      <c r="BC39" s="310">
        <f t="shared" ca="1" si="10"/>
        <v>0</v>
      </c>
      <c r="BE39" s="135"/>
      <c r="BF39" s="135"/>
      <c r="BG39" s="1428"/>
      <c r="BH39" s="544">
        <f t="shared" ca="1" si="96"/>
        <v>58.755804592039226</v>
      </c>
      <c r="BI39" s="545">
        <f t="shared" ca="1" si="96"/>
        <v>0.1177751705858579</v>
      </c>
      <c r="BJ39" s="545">
        <f t="shared" ca="1" si="96"/>
        <v>0.12667292178546605</v>
      </c>
      <c r="BK39" s="545">
        <f t="shared" ca="1" si="96"/>
        <v>0</v>
      </c>
      <c r="BL39" s="545">
        <f t="shared" ca="1" si="96"/>
        <v>6.66</v>
      </c>
      <c r="BM39" s="545">
        <f t="shared" ca="1" si="96"/>
        <v>8.4000000000000012E-3</v>
      </c>
      <c r="BN39" s="545">
        <f t="shared" ca="1" si="96"/>
        <v>0</v>
      </c>
      <c r="BO39" s="545">
        <f t="shared" ca="1" si="96"/>
        <v>0</v>
      </c>
      <c r="BP39" s="545">
        <f t="shared" ca="1" si="96"/>
        <v>0</v>
      </c>
      <c r="BQ39" s="545">
        <f t="shared" ca="1" si="96"/>
        <v>0</v>
      </c>
      <c r="BR39" s="545">
        <f t="shared" ca="1" si="97"/>
        <v>0</v>
      </c>
      <c r="BS39" s="545">
        <f t="shared" ca="1" si="97"/>
        <v>0</v>
      </c>
      <c r="BT39" s="545">
        <f t="shared" ca="1" si="97"/>
        <v>0</v>
      </c>
      <c r="BU39" s="545">
        <f t="shared" ca="1" si="97"/>
        <v>0</v>
      </c>
      <c r="BV39" s="545">
        <f t="shared" ca="1" si="97"/>
        <v>0</v>
      </c>
      <c r="BW39" s="545">
        <f t="shared" ca="1" si="97"/>
        <v>0</v>
      </c>
      <c r="BX39" s="545">
        <f t="shared" ca="1" si="97"/>
        <v>0</v>
      </c>
      <c r="BY39" s="545">
        <f t="shared" ca="1" si="97"/>
        <v>0</v>
      </c>
      <c r="BZ39" s="545">
        <f t="shared" ca="1" si="97"/>
        <v>0</v>
      </c>
      <c r="CA39" s="545">
        <f t="shared" ca="1" si="97"/>
        <v>0</v>
      </c>
      <c r="CB39" s="545">
        <f t="shared" ca="1" si="98"/>
        <v>0</v>
      </c>
      <c r="CC39" s="545">
        <f t="shared" ca="1" si="98"/>
        <v>0</v>
      </c>
      <c r="CD39" s="545">
        <f t="shared" ca="1" si="98"/>
        <v>0</v>
      </c>
      <c r="CE39" s="545">
        <f t="shared" ca="1" si="98"/>
        <v>0</v>
      </c>
      <c r="CF39" s="545">
        <f t="shared" ca="1" si="98"/>
        <v>0</v>
      </c>
      <c r="CG39" s="545">
        <f t="shared" ca="1" si="98"/>
        <v>0</v>
      </c>
      <c r="CH39" s="545">
        <f t="shared" ca="1" si="98"/>
        <v>0</v>
      </c>
      <c r="CI39" s="545">
        <f t="shared" ca="1" si="98"/>
        <v>0</v>
      </c>
      <c r="CJ39" s="545">
        <f t="shared" ca="1" si="98"/>
        <v>0</v>
      </c>
      <c r="CK39" s="545">
        <f t="shared" ca="1" si="98"/>
        <v>0</v>
      </c>
      <c r="CL39" s="545">
        <f t="shared" ca="1" si="99"/>
        <v>0</v>
      </c>
      <c r="CM39" s="545">
        <f t="shared" ca="1" si="99"/>
        <v>0</v>
      </c>
      <c r="CN39" s="545">
        <f t="shared" ca="1" si="99"/>
        <v>0</v>
      </c>
      <c r="CO39" s="545">
        <f t="shared" ca="1" si="99"/>
        <v>0</v>
      </c>
      <c r="CP39" s="545">
        <f t="shared" ca="1" si="99"/>
        <v>0</v>
      </c>
      <c r="CQ39" s="545">
        <f t="shared" ca="1" si="99"/>
        <v>0</v>
      </c>
      <c r="CR39" s="545">
        <f t="shared" ca="1" si="99"/>
        <v>0</v>
      </c>
      <c r="CS39" s="545">
        <f t="shared" ca="1" si="99"/>
        <v>0</v>
      </c>
      <c r="CT39" s="545">
        <f t="shared" ca="1" si="99"/>
        <v>0</v>
      </c>
      <c r="CU39" s="545">
        <f t="shared" ca="1" si="99"/>
        <v>0</v>
      </c>
      <c r="CW39" s="151">
        <f t="shared" ca="1" si="75"/>
        <v>65.668652684410546</v>
      </c>
    </row>
    <row r="40" spans="1:101" s="84" customFormat="1" ht="15.75" x14ac:dyDescent="0.2">
      <c r="A40" s="547"/>
      <c r="B40" s="548"/>
      <c r="C40" s="85" t="s">
        <v>403</v>
      </c>
      <c r="D40" s="57" t="str">
        <f>INDEX(Workstreams[Workstream], MATCH($C40, Workstreams[Code], 0))</f>
        <v>Fossil fuel production</v>
      </c>
      <c r="E40" s="53"/>
      <c r="G40" s="300">
        <f ca="1">SUM(G38:G39)</f>
        <v>0</v>
      </c>
      <c r="H40" s="300">
        <f t="shared" ref="H40:O40" ca="1" si="100">SUM(H38:H39)</f>
        <v>0</v>
      </c>
      <c r="I40" s="300">
        <f ca="1">SUM(I38:I39)</f>
        <v>0</v>
      </c>
      <c r="J40" s="300">
        <f t="shared" ca="1" si="100"/>
        <v>320.21829572784031</v>
      </c>
      <c r="K40" s="300">
        <f t="shared" ca="1" si="100"/>
        <v>0</v>
      </c>
      <c r="L40" s="300">
        <f t="shared" ca="1" si="100"/>
        <v>0</v>
      </c>
      <c r="M40" s="300">
        <f t="shared" ca="1" si="100"/>
        <v>0</v>
      </c>
      <c r="N40" s="300">
        <f t="shared" ca="1" si="100"/>
        <v>0</v>
      </c>
      <c r="O40" s="300">
        <f t="shared" ca="1" si="100"/>
        <v>0</v>
      </c>
      <c r="P40" s="300">
        <f t="shared" ca="1" si="70"/>
        <v>320.21829572784031</v>
      </c>
      <c r="R40" s="257">
        <f t="shared" ref="R40:AE40" ca="1" si="101">SUM(R38:R39)</f>
        <v>-5.5086597564703945</v>
      </c>
      <c r="S40" s="257">
        <f t="shared" ca="1" si="101"/>
        <v>0</v>
      </c>
      <c r="T40" s="257">
        <f t="shared" ca="1" si="101"/>
        <v>-2.2175097251858548E-3</v>
      </c>
      <c r="U40" s="257">
        <f t="shared" ca="1" si="101"/>
        <v>-0.2101405410269232</v>
      </c>
      <c r="V40" s="257">
        <f t="shared" ca="1" si="101"/>
        <v>-319.75741505061166</v>
      </c>
      <c r="W40" s="257">
        <f ca="1">SUM(W38:W39)</f>
        <v>0</v>
      </c>
      <c r="X40" s="257">
        <f ca="1">SUM(X38:X39)</f>
        <v>6.17215067274</v>
      </c>
      <c r="Y40" s="257">
        <f ca="1">SUM(Y38:Y39)</f>
        <v>1458.9378638800001</v>
      </c>
      <c r="Z40" s="257">
        <f ca="1">SUM(Z38:Z39)</f>
        <v>844.92033333333336</v>
      </c>
      <c r="AA40" s="257">
        <f t="shared" ca="1" si="101"/>
        <v>0</v>
      </c>
      <c r="AB40" s="257">
        <f t="shared" ca="1" si="101"/>
        <v>0</v>
      </c>
      <c r="AC40" s="257">
        <f ca="1">SUM(AC38:AC39)</f>
        <v>0</v>
      </c>
      <c r="AD40" s="257">
        <f ca="1">SUM(AD38:AD39)</f>
        <v>0</v>
      </c>
      <c r="AE40" s="257">
        <f t="shared" ca="1" si="101"/>
        <v>0</v>
      </c>
      <c r="AF40" s="257">
        <f ca="1">SUM(AF38:AF39)</f>
        <v>0</v>
      </c>
      <c r="AG40" s="257">
        <f ca="1">SUM(AG38:AG39)</f>
        <v>0</v>
      </c>
      <c r="AH40" s="257">
        <f t="shared" ca="1" si="5"/>
        <v>1984.5519150282394</v>
      </c>
      <c r="AJ40" s="263">
        <f t="shared" ref="AJ40:AX40" ca="1" si="102">SUM(AJ38:AJ39)</f>
        <v>-6.17215067274</v>
      </c>
      <c r="AK40" s="263">
        <f t="shared" ca="1" si="102"/>
        <v>-1458.9378638800001</v>
      </c>
      <c r="AL40" s="263">
        <f t="shared" ca="1" si="102"/>
        <v>-844.92033333333336</v>
      </c>
      <c r="AM40" s="263">
        <f t="shared" ca="1" si="102"/>
        <v>0</v>
      </c>
      <c r="AN40" s="263">
        <f t="shared" ca="1" si="102"/>
        <v>0</v>
      </c>
      <c r="AO40" s="263">
        <f t="shared" ca="1" si="102"/>
        <v>0</v>
      </c>
      <c r="AP40" s="263">
        <f t="shared" ca="1" si="102"/>
        <v>0</v>
      </c>
      <c r="AQ40" s="263">
        <f t="shared" ca="1" si="102"/>
        <v>0</v>
      </c>
      <c r="AR40" s="263">
        <f t="shared" ca="1" si="102"/>
        <v>0</v>
      </c>
      <c r="AS40" s="263">
        <f t="shared" ca="1" si="102"/>
        <v>0</v>
      </c>
      <c r="AT40" s="263">
        <f t="shared" ca="1" si="102"/>
        <v>0</v>
      </c>
      <c r="AU40" s="263">
        <f t="shared" ca="1" si="102"/>
        <v>0</v>
      </c>
      <c r="AV40" s="263">
        <f t="shared" ca="1" si="102"/>
        <v>0</v>
      </c>
      <c r="AW40" s="263">
        <f t="shared" ca="1" si="102"/>
        <v>0</v>
      </c>
      <c r="AX40" s="263">
        <f t="shared" ca="1" si="102"/>
        <v>0</v>
      </c>
      <c r="AY40" s="263">
        <f t="shared" ca="1" si="74"/>
        <v>-2310.0303478860733</v>
      </c>
      <c r="BA40" s="277">
        <f ca="1">SUM(BA38:BA39)</f>
        <v>0</v>
      </c>
      <c r="BB40" s="277">
        <f ca="1">SUM(BB38:BB39)</f>
        <v>5.260137129993856</v>
      </c>
      <c r="BC40" s="277">
        <f t="shared" ca="1" si="10"/>
        <v>5.260137129993856</v>
      </c>
      <c r="BE40" s="55">
        <f t="shared" ref="BE40:BE47" ca="1" si="103">P40+AH40+AY40+BC40</f>
        <v>4.7428727611986687E-13</v>
      </c>
      <c r="BF40" s="164"/>
      <c r="BG40" s="1428"/>
      <c r="BH40" s="541">
        <f t="shared" ref="BH40:CU40" ca="1" si="104">SUM(BH38:BH39)</f>
        <v>58.887068716288752</v>
      </c>
      <c r="BI40" s="542">
        <f t="shared" ca="1" si="104"/>
        <v>0.11799838775512379</v>
      </c>
      <c r="BJ40" s="542">
        <f t="shared" ca="1" si="104"/>
        <v>0.12778787006404674</v>
      </c>
      <c r="BK40" s="542">
        <f t="shared" ca="1" si="104"/>
        <v>0</v>
      </c>
      <c r="BL40" s="542">
        <f t="shared" ca="1" si="104"/>
        <v>6.66</v>
      </c>
      <c r="BM40" s="542">
        <f t="shared" ca="1" si="104"/>
        <v>8.4000000000000012E-3</v>
      </c>
      <c r="BN40" s="542">
        <f t="shared" ca="1" si="104"/>
        <v>0</v>
      </c>
      <c r="BO40" s="542">
        <f t="shared" ca="1" si="104"/>
        <v>0</v>
      </c>
      <c r="BP40" s="542">
        <f t="shared" ca="1" si="104"/>
        <v>0</v>
      </c>
      <c r="BQ40" s="542">
        <f t="shared" ca="1" si="104"/>
        <v>0</v>
      </c>
      <c r="BR40" s="542">
        <f t="shared" ca="1" si="104"/>
        <v>0</v>
      </c>
      <c r="BS40" s="542">
        <f t="shared" ca="1" si="104"/>
        <v>0</v>
      </c>
      <c r="BT40" s="542">
        <f t="shared" ca="1" si="104"/>
        <v>0</v>
      </c>
      <c r="BU40" s="542">
        <f t="shared" ca="1" si="104"/>
        <v>0</v>
      </c>
      <c r="BV40" s="542">
        <f t="shared" ca="1" si="104"/>
        <v>0</v>
      </c>
      <c r="BW40" s="542">
        <f t="shared" ca="1" si="104"/>
        <v>0</v>
      </c>
      <c r="BX40" s="542">
        <f t="shared" ca="1" si="104"/>
        <v>0</v>
      </c>
      <c r="BY40" s="542">
        <f t="shared" ca="1" si="104"/>
        <v>0</v>
      </c>
      <c r="BZ40" s="542">
        <f t="shared" ca="1" si="104"/>
        <v>0</v>
      </c>
      <c r="CA40" s="542">
        <f t="shared" ca="1" si="104"/>
        <v>0</v>
      </c>
      <c r="CB40" s="542">
        <f t="shared" ca="1" si="104"/>
        <v>0</v>
      </c>
      <c r="CC40" s="542">
        <f t="shared" ca="1" si="104"/>
        <v>0</v>
      </c>
      <c r="CD40" s="542">
        <f t="shared" ca="1" si="104"/>
        <v>0</v>
      </c>
      <c r="CE40" s="542">
        <f t="shared" ca="1" si="104"/>
        <v>0</v>
      </c>
      <c r="CF40" s="542">
        <f t="shared" ca="1" si="104"/>
        <v>0</v>
      </c>
      <c r="CG40" s="542">
        <f t="shared" ca="1" si="104"/>
        <v>0</v>
      </c>
      <c r="CH40" s="542">
        <f t="shared" ca="1" si="104"/>
        <v>0</v>
      </c>
      <c r="CI40" s="542">
        <f t="shared" ca="1" si="104"/>
        <v>0</v>
      </c>
      <c r="CJ40" s="542">
        <f t="shared" ca="1" si="104"/>
        <v>0</v>
      </c>
      <c r="CK40" s="542">
        <f t="shared" ca="1" si="104"/>
        <v>0</v>
      </c>
      <c r="CL40" s="542">
        <f t="shared" ca="1" si="104"/>
        <v>0</v>
      </c>
      <c r="CM40" s="542">
        <f t="shared" ca="1" si="104"/>
        <v>0</v>
      </c>
      <c r="CN40" s="542">
        <f t="shared" ca="1" si="104"/>
        <v>0</v>
      </c>
      <c r="CO40" s="542">
        <f t="shared" ca="1" si="104"/>
        <v>0</v>
      </c>
      <c r="CP40" s="542">
        <f t="shared" ca="1" si="104"/>
        <v>0</v>
      </c>
      <c r="CQ40" s="542">
        <f t="shared" ca="1" si="104"/>
        <v>0</v>
      </c>
      <c r="CR40" s="542">
        <f t="shared" ca="1" si="104"/>
        <v>0</v>
      </c>
      <c r="CS40" s="542">
        <f t="shared" ca="1" si="104"/>
        <v>0</v>
      </c>
      <c r="CT40" s="542">
        <f t="shared" ca="1" si="104"/>
        <v>0</v>
      </c>
      <c r="CU40" s="542">
        <f t="shared" ca="1" si="104"/>
        <v>0</v>
      </c>
      <c r="CW40" s="151">
        <f t="shared" ca="1" si="75"/>
        <v>65.80125497410792</v>
      </c>
    </row>
    <row r="41" spans="1:101" s="84" customFormat="1" outlineLevel="1" x14ac:dyDescent="0.2">
      <c r="C41" s="60"/>
      <c r="D41" s="34"/>
      <c r="E41" s="51"/>
      <c r="G41" s="245"/>
      <c r="H41" s="245"/>
      <c r="I41" s="245"/>
      <c r="J41" s="245"/>
      <c r="K41" s="245"/>
      <c r="L41" s="247"/>
      <c r="M41" s="245"/>
      <c r="N41" s="245"/>
      <c r="O41" s="245"/>
      <c r="P41" s="245">
        <f t="shared" si="70"/>
        <v>0</v>
      </c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>
        <f t="shared" si="5"/>
        <v>0</v>
      </c>
      <c r="AJ41" s="263"/>
      <c r="AK41" s="263"/>
      <c r="AL41" s="263"/>
      <c r="AM41" s="263"/>
      <c r="AN41" s="263"/>
      <c r="AO41" s="263"/>
      <c r="AP41" s="263"/>
      <c r="AQ41" s="263"/>
      <c r="AR41" s="263"/>
      <c r="AS41" s="263"/>
      <c r="AT41" s="263"/>
      <c r="AU41" s="263"/>
      <c r="AV41" s="263"/>
      <c r="AW41" s="263"/>
      <c r="AX41" s="263"/>
      <c r="AY41" s="263">
        <f t="shared" si="74"/>
        <v>0</v>
      </c>
      <c r="BA41" s="277"/>
      <c r="BB41" s="277"/>
      <c r="BC41" s="277">
        <f t="shared" si="10"/>
        <v>0</v>
      </c>
      <c r="BE41" s="55">
        <f t="shared" si="103"/>
        <v>0</v>
      </c>
      <c r="BF41" s="55"/>
      <c r="BH41" s="542"/>
      <c r="BI41" s="542"/>
      <c r="BJ41" s="542"/>
      <c r="BK41" s="542"/>
      <c r="BL41" s="542"/>
      <c r="BM41" s="542"/>
      <c r="BN41" s="542"/>
      <c r="BO41" s="542"/>
      <c r="BP41" s="542"/>
      <c r="BQ41" s="542"/>
      <c r="BR41" s="542"/>
      <c r="BS41" s="542"/>
      <c r="BT41" s="542"/>
      <c r="BU41" s="542"/>
      <c r="BV41" s="542"/>
      <c r="BW41" s="542"/>
      <c r="BX41" s="542"/>
      <c r="BY41" s="542"/>
      <c r="BZ41" s="542"/>
      <c r="CA41" s="542"/>
      <c r="CB41" s="542"/>
      <c r="CC41" s="542"/>
      <c r="CD41" s="542"/>
      <c r="CE41" s="542"/>
      <c r="CF41" s="542"/>
      <c r="CG41" s="542"/>
      <c r="CH41" s="542"/>
      <c r="CI41" s="542"/>
      <c r="CJ41" s="542"/>
      <c r="CK41" s="542"/>
      <c r="CL41" s="542"/>
      <c r="CM41" s="542"/>
      <c r="CN41" s="542"/>
      <c r="CO41" s="542"/>
      <c r="CP41" s="542"/>
      <c r="CQ41" s="542"/>
      <c r="CR41" s="542"/>
      <c r="CS41" s="542"/>
      <c r="CT41" s="542"/>
      <c r="CU41" s="542"/>
      <c r="CW41" s="151">
        <f t="shared" si="75"/>
        <v>0</v>
      </c>
    </row>
    <row r="42" spans="1:101" s="543" customFormat="1" ht="12.75" customHeight="1" outlineLevel="1" x14ac:dyDescent="0.2">
      <c r="C42" s="86" t="s">
        <v>864</v>
      </c>
      <c r="D42" s="61" t="str">
        <f>INDEX(Modules[Module], MATCH($C42, Modules[Code], 0))</f>
        <v xml:space="preserve">Wind </v>
      </c>
      <c r="E42" s="61"/>
      <c r="F42" s="84"/>
      <c r="G42" s="297">
        <f t="shared" ref="G42:O46" ca="1" si="105">IFERROR(INDEX(INDIRECT($C42&amp;".Outputs["&amp;this.Year&amp;"]"), MATCH(G$5, INDIRECT($C42&amp;".Outputs[Vector]"), 0)), 0)</f>
        <v>0</v>
      </c>
      <c r="H42" s="297">
        <f t="shared" ca="1" si="105"/>
        <v>0</v>
      </c>
      <c r="I42" s="297">
        <f t="shared" ca="1" si="105"/>
        <v>0</v>
      </c>
      <c r="J42" s="297">
        <f t="shared" ca="1" si="105"/>
        <v>0</v>
      </c>
      <c r="K42" s="297">
        <f t="shared" ca="1" si="105"/>
        <v>0</v>
      </c>
      <c r="L42" s="297">
        <f t="shared" ca="1" si="105"/>
        <v>0</v>
      </c>
      <c r="M42" s="297">
        <f t="shared" ca="1" si="105"/>
        <v>0</v>
      </c>
      <c r="N42" s="297">
        <f t="shared" ca="1" si="105"/>
        <v>0</v>
      </c>
      <c r="O42" s="297">
        <f t="shared" ca="1" si="105"/>
        <v>0</v>
      </c>
      <c r="P42" s="297">
        <f t="shared" ca="1" si="70"/>
        <v>0</v>
      </c>
      <c r="Q42" s="84"/>
      <c r="R42" s="304">
        <f t="shared" ref="R42:AX46" ca="1" si="106">IFERROR(INDEX(INDIRECT($C42&amp;".Outputs["&amp;this.Year&amp;"]"), MATCH(R$5, INDIRECT($C42&amp;".Outputs[Vector]"), 0)), 0)</f>
        <v>0</v>
      </c>
      <c r="S42" s="304">
        <f t="shared" ca="1" si="106"/>
        <v>0</v>
      </c>
      <c r="T42" s="304">
        <f t="shared" ca="1" si="106"/>
        <v>0</v>
      </c>
      <c r="U42" s="304">
        <f t="shared" ca="1" si="106"/>
        <v>0</v>
      </c>
      <c r="V42" s="304">
        <f t="shared" ca="1" si="106"/>
        <v>0</v>
      </c>
      <c r="W42" s="304">
        <f t="shared" ca="1" si="106"/>
        <v>0</v>
      </c>
      <c r="X42" s="304">
        <f t="shared" ref="X42:Z46" ca="1" si="107">IFERROR(INDEX(INDIRECT($C42&amp;".Outputs["&amp;this.Year&amp;"]"), MATCH(X$5, INDIRECT($C42&amp;".Outputs[Vector]"), 0)), 0)</f>
        <v>0</v>
      </c>
      <c r="Y42" s="304">
        <f t="shared" ca="1" si="107"/>
        <v>0</v>
      </c>
      <c r="Z42" s="304">
        <f t="shared" ca="1" si="107"/>
        <v>0</v>
      </c>
      <c r="AA42" s="304">
        <f t="shared" ca="1" si="106"/>
        <v>0</v>
      </c>
      <c r="AB42" s="304">
        <f t="shared" ca="1" si="106"/>
        <v>0</v>
      </c>
      <c r="AC42" s="304">
        <f t="shared" ca="1" si="106"/>
        <v>0</v>
      </c>
      <c r="AD42" s="304">
        <f t="shared" ca="1" si="106"/>
        <v>0</v>
      </c>
      <c r="AE42" s="304">
        <f t="shared" ca="1" si="106"/>
        <v>0</v>
      </c>
      <c r="AF42" s="304">
        <f t="shared" ca="1" si="106"/>
        <v>0</v>
      </c>
      <c r="AG42" s="304">
        <f t="shared" ca="1" si="106"/>
        <v>0</v>
      </c>
      <c r="AH42" s="305">
        <f t="shared" ca="1" si="5"/>
        <v>0</v>
      </c>
      <c r="AI42" s="84"/>
      <c r="AJ42" s="312">
        <f t="shared" ref="AJ42:AR46" ca="1" si="108">IFERROR(INDEX(INDIRECT($C42&amp;".Outputs["&amp;this.Year&amp;"]"), MATCH(AJ$5, INDIRECT($C42&amp;".Outputs[Vector]"), 0)), 0)</f>
        <v>0</v>
      </c>
      <c r="AK42" s="312">
        <f t="shared" ca="1" si="108"/>
        <v>0</v>
      </c>
      <c r="AL42" s="312">
        <f t="shared" ca="1" si="108"/>
        <v>0</v>
      </c>
      <c r="AM42" s="312">
        <f t="shared" ca="1" si="108"/>
        <v>0</v>
      </c>
      <c r="AN42" s="312">
        <f t="shared" ca="1" si="108"/>
        <v>0</v>
      </c>
      <c r="AO42" s="312">
        <f t="shared" ca="1" si="108"/>
        <v>0</v>
      </c>
      <c r="AP42" s="312">
        <f t="shared" ca="1" si="108"/>
        <v>0</v>
      </c>
      <c r="AQ42" s="312">
        <f t="shared" ca="1" si="108"/>
        <v>0</v>
      </c>
      <c r="AR42" s="312">
        <f t="shared" ca="1" si="108"/>
        <v>0</v>
      </c>
      <c r="AS42" s="312">
        <f t="shared" ca="1" si="106"/>
        <v>0</v>
      </c>
      <c r="AT42" s="312">
        <f t="shared" ca="1" si="106"/>
        <v>0</v>
      </c>
      <c r="AU42" s="312">
        <f t="shared" ca="1" si="106"/>
        <v>0</v>
      </c>
      <c r="AV42" s="312">
        <f t="shared" ca="1" si="106"/>
        <v>0</v>
      </c>
      <c r="AW42" s="312">
        <f t="shared" ca="1" si="106"/>
        <v>0</v>
      </c>
      <c r="AX42" s="312">
        <f t="shared" ca="1" si="106"/>
        <v>0</v>
      </c>
      <c r="AY42" s="266">
        <f t="shared" ca="1" si="74"/>
        <v>0</v>
      </c>
      <c r="AZ42" s="84"/>
      <c r="BA42" s="308">
        <f t="shared" ref="BA42:BB46" ca="1" si="109">IFERROR(INDEX(INDIRECT($C42&amp;".Outputs["&amp;this.Year&amp;"]"), MATCH(BA$5, INDIRECT($C42&amp;".Outputs[Vector]"), 0)), 0)</f>
        <v>0</v>
      </c>
      <c r="BB42" s="308">
        <f t="shared" ca="1" si="109"/>
        <v>0</v>
      </c>
      <c r="BC42" s="309">
        <f t="shared" ca="1" si="10"/>
        <v>0</v>
      </c>
      <c r="BD42" s="84"/>
      <c r="BE42" s="135">
        <f t="shared" ca="1" si="103"/>
        <v>0</v>
      </c>
      <c r="BF42" s="135"/>
      <c r="BG42" s="1428"/>
      <c r="BH42" s="541">
        <f t="shared" ref="BH42:BQ46" ca="1" si="110">IFERROR(SUMIFS(INDIRECT($C42&amp;".Emissions["&amp;this.Year&amp;"]"), INDIRECT($C42&amp;".Emissions[GHG]"), BH$6, INDIRECT($C42&amp;".Emissions[IPCC Sector]"), BH$5),0)</f>
        <v>0</v>
      </c>
      <c r="BI42" s="542">
        <f t="shared" ca="1" si="110"/>
        <v>0</v>
      </c>
      <c r="BJ42" s="542">
        <f t="shared" ca="1" si="110"/>
        <v>0</v>
      </c>
      <c r="BK42" s="542">
        <f t="shared" ca="1" si="110"/>
        <v>0</v>
      </c>
      <c r="BL42" s="542">
        <f t="shared" ca="1" si="110"/>
        <v>0</v>
      </c>
      <c r="BM42" s="542">
        <f t="shared" ca="1" si="110"/>
        <v>0</v>
      </c>
      <c r="BN42" s="542">
        <f t="shared" ca="1" si="110"/>
        <v>0</v>
      </c>
      <c r="BO42" s="542">
        <f t="shared" ca="1" si="110"/>
        <v>0</v>
      </c>
      <c r="BP42" s="542">
        <f t="shared" ca="1" si="110"/>
        <v>0</v>
      </c>
      <c r="BQ42" s="542">
        <f t="shared" ca="1" si="110"/>
        <v>0</v>
      </c>
      <c r="BR42" s="542">
        <f t="shared" ref="BR42:CA46" ca="1" si="111">IFERROR(SUMIFS(INDIRECT($C42&amp;".Emissions["&amp;this.Year&amp;"]"), INDIRECT($C42&amp;".Emissions[GHG]"), BR$6, INDIRECT($C42&amp;".Emissions[IPCC Sector]"), BR$5),0)</f>
        <v>0</v>
      </c>
      <c r="BS42" s="542">
        <f t="shared" ca="1" si="111"/>
        <v>0</v>
      </c>
      <c r="BT42" s="542">
        <f t="shared" ca="1" si="111"/>
        <v>0</v>
      </c>
      <c r="BU42" s="542">
        <f t="shared" ca="1" si="111"/>
        <v>0</v>
      </c>
      <c r="BV42" s="542">
        <f t="shared" ca="1" si="111"/>
        <v>0</v>
      </c>
      <c r="BW42" s="542">
        <f t="shared" ca="1" si="111"/>
        <v>0</v>
      </c>
      <c r="BX42" s="542">
        <f t="shared" ca="1" si="111"/>
        <v>0</v>
      </c>
      <c r="BY42" s="542">
        <f t="shared" ca="1" si="111"/>
        <v>0</v>
      </c>
      <c r="BZ42" s="542">
        <f t="shared" ca="1" si="111"/>
        <v>0</v>
      </c>
      <c r="CA42" s="542">
        <f t="shared" ca="1" si="111"/>
        <v>0</v>
      </c>
      <c r="CB42" s="542">
        <f t="shared" ref="CB42:CK46" ca="1" si="112">IFERROR(SUMIFS(INDIRECT($C42&amp;".Emissions["&amp;this.Year&amp;"]"), INDIRECT($C42&amp;".Emissions[GHG]"), CB$6, INDIRECT($C42&amp;".Emissions[IPCC Sector]"), CB$5),0)</f>
        <v>0</v>
      </c>
      <c r="CC42" s="542">
        <f t="shared" ca="1" si="112"/>
        <v>0</v>
      </c>
      <c r="CD42" s="542">
        <f t="shared" ca="1" si="112"/>
        <v>0</v>
      </c>
      <c r="CE42" s="542">
        <f t="shared" ca="1" si="112"/>
        <v>0</v>
      </c>
      <c r="CF42" s="542">
        <f t="shared" ca="1" si="112"/>
        <v>0</v>
      </c>
      <c r="CG42" s="542">
        <f t="shared" ca="1" si="112"/>
        <v>0</v>
      </c>
      <c r="CH42" s="542">
        <f t="shared" ca="1" si="112"/>
        <v>0</v>
      </c>
      <c r="CI42" s="542">
        <f t="shared" ca="1" si="112"/>
        <v>0</v>
      </c>
      <c r="CJ42" s="542">
        <f t="shared" ca="1" si="112"/>
        <v>0</v>
      </c>
      <c r="CK42" s="542">
        <f t="shared" ca="1" si="112"/>
        <v>0</v>
      </c>
      <c r="CL42" s="542">
        <f t="shared" ref="CL42:CU46" ca="1" si="113">IFERROR(SUMIFS(INDIRECT($C42&amp;".Emissions["&amp;this.Year&amp;"]"), INDIRECT($C42&amp;".Emissions[GHG]"), CL$6, INDIRECT($C42&amp;".Emissions[IPCC Sector]"), CL$5),0)</f>
        <v>0</v>
      </c>
      <c r="CM42" s="542">
        <f t="shared" ca="1" si="113"/>
        <v>0</v>
      </c>
      <c r="CN42" s="542">
        <f t="shared" ca="1" si="113"/>
        <v>0</v>
      </c>
      <c r="CO42" s="542">
        <f t="shared" ca="1" si="113"/>
        <v>0</v>
      </c>
      <c r="CP42" s="542">
        <f t="shared" ca="1" si="113"/>
        <v>0</v>
      </c>
      <c r="CQ42" s="542">
        <f t="shared" ca="1" si="113"/>
        <v>0</v>
      </c>
      <c r="CR42" s="542">
        <f t="shared" ca="1" si="113"/>
        <v>0</v>
      </c>
      <c r="CS42" s="542">
        <f t="shared" ca="1" si="113"/>
        <v>0</v>
      </c>
      <c r="CT42" s="542">
        <f t="shared" ca="1" si="113"/>
        <v>0</v>
      </c>
      <c r="CU42" s="542">
        <f t="shared" ca="1" si="113"/>
        <v>0</v>
      </c>
      <c r="CW42" s="151">
        <f t="shared" ca="1" si="75"/>
        <v>0</v>
      </c>
    </row>
    <row r="43" spans="1:101" s="543" customFormat="1" ht="12.75" customHeight="1" outlineLevel="1" x14ac:dyDescent="0.2">
      <c r="C43" s="86" t="s">
        <v>2366</v>
      </c>
      <c r="D43" s="61" t="str">
        <f>INDEX(Modules[Module], MATCH($C43, Modules[Code], 0))</f>
        <v>Large Hydroelectric power stations</v>
      </c>
      <c r="E43" s="61"/>
      <c r="F43" s="84"/>
      <c r="G43" s="297">
        <f t="shared" ca="1" si="105"/>
        <v>0</v>
      </c>
      <c r="H43" s="297">
        <f t="shared" ca="1" si="105"/>
        <v>0</v>
      </c>
      <c r="I43" s="297">
        <f t="shared" ca="1" si="105"/>
        <v>0</v>
      </c>
      <c r="J43" s="297">
        <f t="shared" ca="1" si="105"/>
        <v>0</v>
      </c>
      <c r="K43" s="297">
        <f t="shared" ca="1" si="105"/>
        <v>0</v>
      </c>
      <c r="L43" s="297">
        <f t="shared" ca="1" si="105"/>
        <v>0</v>
      </c>
      <c r="M43" s="297">
        <f t="shared" ca="1" si="105"/>
        <v>0</v>
      </c>
      <c r="N43" s="297">
        <f t="shared" ca="1" si="105"/>
        <v>0</v>
      </c>
      <c r="O43" s="297">
        <f t="shared" ca="1" si="105"/>
        <v>0</v>
      </c>
      <c r="P43" s="297">
        <f t="shared" ca="1" si="70"/>
        <v>0</v>
      </c>
      <c r="Q43" s="84"/>
      <c r="R43" s="304">
        <f t="shared" ca="1" si="106"/>
        <v>0</v>
      </c>
      <c r="S43" s="304">
        <f t="shared" ca="1" si="106"/>
        <v>9.9932399999999983</v>
      </c>
      <c r="T43" s="304">
        <f t="shared" ca="1" si="106"/>
        <v>0</v>
      </c>
      <c r="U43" s="304">
        <f t="shared" ca="1" si="106"/>
        <v>0</v>
      </c>
      <c r="V43" s="304">
        <f t="shared" ca="1" si="106"/>
        <v>0</v>
      </c>
      <c r="W43" s="304">
        <f t="shared" ca="1" si="106"/>
        <v>0</v>
      </c>
      <c r="X43" s="304">
        <f t="shared" ca="1" si="107"/>
        <v>0</v>
      </c>
      <c r="Y43" s="304">
        <f t="shared" ca="1" si="107"/>
        <v>0</v>
      </c>
      <c r="Z43" s="304">
        <f t="shared" ca="1" si="107"/>
        <v>0</v>
      </c>
      <c r="AA43" s="304">
        <f t="shared" ca="1" si="106"/>
        <v>0</v>
      </c>
      <c r="AB43" s="304">
        <f t="shared" ca="1" si="106"/>
        <v>0</v>
      </c>
      <c r="AC43" s="304">
        <f t="shared" ca="1" si="106"/>
        <v>0</v>
      </c>
      <c r="AD43" s="304">
        <f t="shared" ca="1" si="106"/>
        <v>0</v>
      </c>
      <c r="AE43" s="304">
        <f t="shared" ca="1" si="106"/>
        <v>0</v>
      </c>
      <c r="AF43" s="304">
        <f t="shared" ca="1" si="106"/>
        <v>0</v>
      </c>
      <c r="AG43" s="304">
        <f t="shared" ca="1" si="106"/>
        <v>0</v>
      </c>
      <c r="AH43" s="305">
        <f t="shared" ca="1" si="5"/>
        <v>9.9932399999999983</v>
      </c>
      <c r="AI43" s="84"/>
      <c r="AJ43" s="312">
        <f t="shared" ca="1" si="108"/>
        <v>0</v>
      </c>
      <c r="AK43" s="312">
        <f t="shared" ca="1" si="108"/>
        <v>0</v>
      </c>
      <c r="AL43" s="312">
        <f t="shared" ca="1" si="108"/>
        <v>0</v>
      </c>
      <c r="AM43" s="312">
        <f t="shared" ca="1" si="108"/>
        <v>0</v>
      </c>
      <c r="AN43" s="312">
        <f t="shared" ca="1" si="108"/>
        <v>0</v>
      </c>
      <c r="AO43" s="312">
        <f t="shared" ca="1" si="108"/>
        <v>0</v>
      </c>
      <c r="AP43" s="312">
        <f t="shared" ca="1" si="108"/>
        <v>0</v>
      </c>
      <c r="AQ43" s="312">
        <f t="shared" ca="1" si="108"/>
        <v>0</v>
      </c>
      <c r="AR43" s="312">
        <f t="shared" ca="1" si="108"/>
        <v>0</v>
      </c>
      <c r="AS43" s="312">
        <f t="shared" ca="1" si="106"/>
        <v>0</v>
      </c>
      <c r="AT43" s="312">
        <f t="shared" ca="1" si="106"/>
        <v>0</v>
      </c>
      <c r="AU43" s="312">
        <f t="shared" ca="1" si="106"/>
        <v>0</v>
      </c>
      <c r="AV43" s="312">
        <f t="shared" ca="1" si="106"/>
        <v>-9.9932399999999983</v>
      </c>
      <c r="AW43" s="312">
        <f t="shared" ca="1" si="106"/>
        <v>0</v>
      </c>
      <c r="AX43" s="312">
        <f t="shared" ca="1" si="106"/>
        <v>0</v>
      </c>
      <c r="AY43" s="266">
        <f t="shared" ca="1" si="74"/>
        <v>-9.9932399999999983</v>
      </c>
      <c r="AZ43" s="84"/>
      <c r="BA43" s="308">
        <f t="shared" ca="1" si="109"/>
        <v>0</v>
      </c>
      <c r="BB43" s="308">
        <f t="shared" ca="1" si="109"/>
        <v>0</v>
      </c>
      <c r="BC43" s="309">
        <f t="shared" ca="1" si="10"/>
        <v>0</v>
      </c>
      <c r="BD43" s="84"/>
      <c r="BE43" s="135">
        <f t="shared" ca="1" si="103"/>
        <v>0</v>
      </c>
      <c r="BF43" s="135"/>
      <c r="BG43" s="1428"/>
      <c r="BH43" s="541">
        <f t="shared" ca="1" si="110"/>
        <v>0</v>
      </c>
      <c r="BI43" s="542">
        <f t="shared" ca="1" si="110"/>
        <v>0</v>
      </c>
      <c r="BJ43" s="542">
        <f t="shared" ca="1" si="110"/>
        <v>0</v>
      </c>
      <c r="BK43" s="542">
        <f t="shared" ca="1" si="110"/>
        <v>0</v>
      </c>
      <c r="BL43" s="542">
        <f t="shared" ca="1" si="110"/>
        <v>0</v>
      </c>
      <c r="BM43" s="542">
        <f t="shared" ca="1" si="110"/>
        <v>0</v>
      </c>
      <c r="BN43" s="542">
        <f t="shared" ca="1" si="110"/>
        <v>0</v>
      </c>
      <c r="BO43" s="542">
        <f t="shared" ca="1" si="110"/>
        <v>0</v>
      </c>
      <c r="BP43" s="542">
        <f t="shared" ca="1" si="110"/>
        <v>0</v>
      </c>
      <c r="BQ43" s="542">
        <f t="shared" ca="1" si="110"/>
        <v>0</v>
      </c>
      <c r="BR43" s="542">
        <f t="shared" ca="1" si="111"/>
        <v>0</v>
      </c>
      <c r="BS43" s="542">
        <f t="shared" ca="1" si="111"/>
        <v>0</v>
      </c>
      <c r="BT43" s="542">
        <f t="shared" ca="1" si="111"/>
        <v>0</v>
      </c>
      <c r="BU43" s="542">
        <f t="shared" ca="1" si="111"/>
        <v>0</v>
      </c>
      <c r="BV43" s="542">
        <f t="shared" ca="1" si="111"/>
        <v>0</v>
      </c>
      <c r="BW43" s="542">
        <f t="shared" ca="1" si="111"/>
        <v>0</v>
      </c>
      <c r="BX43" s="542">
        <f t="shared" ca="1" si="111"/>
        <v>0</v>
      </c>
      <c r="BY43" s="542">
        <f t="shared" ca="1" si="111"/>
        <v>0</v>
      </c>
      <c r="BZ43" s="542">
        <f t="shared" ca="1" si="111"/>
        <v>0</v>
      </c>
      <c r="CA43" s="542">
        <f t="shared" ca="1" si="111"/>
        <v>0</v>
      </c>
      <c r="CB43" s="542">
        <f t="shared" ca="1" si="112"/>
        <v>0</v>
      </c>
      <c r="CC43" s="542">
        <f t="shared" ca="1" si="112"/>
        <v>0</v>
      </c>
      <c r="CD43" s="542">
        <f t="shared" ca="1" si="112"/>
        <v>0</v>
      </c>
      <c r="CE43" s="542">
        <f t="shared" ca="1" si="112"/>
        <v>0</v>
      </c>
      <c r="CF43" s="542">
        <f t="shared" ca="1" si="112"/>
        <v>0</v>
      </c>
      <c r="CG43" s="542">
        <f t="shared" ca="1" si="112"/>
        <v>0</v>
      </c>
      <c r="CH43" s="542">
        <f t="shared" ca="1" si="112"/>
        <v>0</v>
      </c>
      <c r="CI43" s="542">
        <f t="shared" ca="1" si="112"/>
        <v>0</v>
      </c>
      <c r="CJ43" s="542">
        <f t="shared" ca="1" si="112"/>
        <v>0</v>
      </c>
      <c r="CK43" s="542">
        <f t="shared" ca="1" si="112"/>
        <v>0</v>
      </c>
      <c r="CL43" s="542">
        <f t="shared" ca="1" si="113"/>
        <v>0</v>
      </c>
      <c r="CM43" s="542">
        <f t="shared" ca="1" si="113"/>
        <v>0</v>
      </c>
      <c r="CN43" s="542">
        <f t="shared" ca="1" si="113"/>
        <v>0</v>
      </c>
      <c r="CO43" s="542">
        <f t="shared" ca="1" si="113"/>
        <v>0</v>
      </c>
      <c r="CP43" s="542">
        <f t="shared" ca="1" si="113"/>
        <v>0</v>
      </c>
      <c r="CQ43" s="542">
        <f t="shared" ca="1" si="113"/>
        <v>0</v>
      </c>
      <c r="CR43" s="542">
        <f t="shared" ca="1" si="113"/>
        <v>0</v>
      </c>
      <c r="CS43" s="542">
        <f t="shared" ca="1" si="113"/>
        <v>0</v>
      </c>
      <c r="CT43" s="542">
        <f t="shared" ca="1" si="113"/>
        <v>0</v>
      </c>
      <c r="CU43" s="542">
        <f t="shared" ca="1" si="113"/>
        <v>0</v>
      </c>
      <c r="CW43" s="151">
        <f t="shared" ca="1" si="75"/>
        <v>0</v>
      </c>
    </row>
    <row r="44" spans="1:101" s="543" customFormat="1" ht="12.75" customHeight="1" outlineLevel="1" x14ac:dyDescent="0.2">
      <c r="C44" s="86" t="s">
        <v>2365</v>
      </c>
      <c r="D44" s="61" t="str">
        <f>INDEX(Modules[Module], MATCH($C44, Modules[Code], 0))</f>
        <v>Small Hydroelectric power stations</v>
      </c>
      <c r="E44" s="61"/>
      <c r="F44" s="84"/>
      <c r="G44" s="297">
        <f t="shared" ca="1" si="105"/>
        <v>0</v>
      </c>
      <c r="H44" s="297">
        <f t="shared" ca="1" si="105"/>
        <v>0</v>
      </c>
      <c r="I44" s="297">
        <f t="shared" ca="1" si="105"/>
        <v>0</v>
      </c>
      <c r="J44" s="297">
        <f t="shared" ca="1" si="105"/>
        <v>0</v>
      </c>
      <c r="K44" s="297">
        <f t="shared" ca="1" si="105"/>
        <v>0</v>
      </c>
      <c r="L44" s="297">
        <f t="shared" ca="1" si="105"/>
        <v>0</v>
      </c>
      <c r="M44" s="297">
        <f t="shared" ca="1" si="105"/>
        <v>0</v>
      </c>
      <c r="N44" s="297">
        <f t="shared" ca="1" si="105"/>
        <v>0</v>
      </c>
      <c r="O44" s="297">
        <f t="shared" ca="1" si="105"/>
        <v>0</v>
      </c>
      <c r="P44" s="297">
        <f t="shared" ca="1" si="70"/>
        <v>0</v>
      </c>
      <c r="Q44" s="84"/>
      <c r="R44" s="304">
        <f t="shared" ca="1" si="106"/>
        <v>0</v>
      </c>
      <c r="S44" s="304">
        <f t="shared" ca="1" si="106"/>
        <v>0.28051199999999998</v>
      </c>
      <c r="T44" s="304">
        <f t="shared" ca="1" si="106"/>
        <v>0</v>
      </c>
      <c r="U44" s="304">
        <f t="shared" ca="1" si="106"/>
        <v>0</v>
      </c>
      <c r="V44" s="304">
        <f t="shared" ca="1" si="106"/>
        <v>0</v>
      </c>
      <c r="W44" s="304">
        <f t="shared" ca="1" si="106"/>
        <v>0</v>
      </c>
      <c r="X44" s="304">
        <f t="shared" ca="1" si="107"/>
        <v>0</v>
      </c>
      <c r="Y44" s="304">
        <f t="shared" ca="1" si="107"/>
        <v>0</v>
      </c>
      <c r="Z44" s="304">
        <f t="shared" ca="1" si="107"/>
        <v>0</v>
      </c>
      <c r="AA44" s="304">
        <f t="shared" ca="1" si="106"/>
        <v>0</v>
      </c>
      <c r="AB44" s="304">
        <f t="shared" ca="1" si="106"/>
        <v>0</v>
      </c>
      <c r="AC44" s="304">
        <f t="shared" ca="1" si="106"/>
        <v>0</v>
      </c>
      <c r="AD44" s="304">
        <f t="shared" ca="1" si="106"/>
        <v>0</v>
      </c>
      <c r="AE44" s="304">
        <f t="shared" ca="1" si="106"/>
        <v>0</v>
      </c>
      <c r="AF44" s="304">
        <f t="shared" ca="1" si="106"/>
        <v>0</v>
      </c>
      <c r="AG44" s="304">
        <f t="shared" ca="1" si="106"/>
        <v>0</v>
      </c>
      <c r="AH44" s="305">
        <f t="shared" ca="1" si="5"/>
        <v>0.28051199999999998</v>
      </c>
      <c r="AI44" s="84"/>
      <c r="AJ44" s="312">
        <f t="shared" ca="1" si="108"/>
        <v>0</v>
      </c>
      <c r="AK44" s="312">
        <f t="shared" ca="1" si="108"/>
        <v>0</v>
      </c>
      <c r="AL44" s="312">
        <f t="shared" ca="1" si="108"/>
        <v>0</v>
      </c>
      <c r="AM44" s="312">
        <f t="shared" ca="1" si="108"/>
        <v>0</v>
      </c>
      <c r="AN44" s="312">
        <f t="shared" ca="1" si="108"/>
        <v>0</v>
      </c>
      <c r="AO44" s="312">
        <f t="shared" ca="1" si="108"/>
        <v>0</v>
      </c>
      <c r="AP44" s="312">
        <f t="shared" ca="1" si="108"/>
        <v>0</v>
      </c>
      <c r="AQ44" s="312">
        <f t="shared" ca="1" si="108"/>
        <v>0</v>
      </c>
      <c r="AR44" s="312">
        <f t="shared" ca="1" si="108"/>
        <v>0</v>
      </c>
      <c r="AS44" s="312">
        <f t="shared" ca="1" si="106"/>
        <v>0</v>
      </c>
      <c r="AT44" s="312">
        <f t="shared" ca="1" si="106"/>
        <v>0</v>
      </c>
      <c r="AU44" s="312">
        <f t="shared" ca="1" si="106"/>
        <v>0</v>
      </c>
      <c r="AV44" s="312">
        <f t="shared" ca="1" si="106"/>
        <v>-0.28051199999999998</v>
      </c>
      <c r="AW44" s="312">
        <f t="shared" ca="1" si="106"/>
        <v>0</v>
      </c>
      <c r="AX44" s="312">
        <f t="shared" ca="1" si="106"/>
        <v>0</v>
      </c>
      <c r="AY44" s="266">
        <f t="shared" ca="1" si="74"/>
        <v>-0.28051199999999998</v>
      </c>
      <c r="AZ44" s="84"/>
      <c r="BA44" s="308">
        <f t="shared" ca="1" si="109"/>
        <v>0</v>
      </c>
      <c r="BB44" s="308">
        <f t="shared" ca="1" si="109"/>
        <v>0</v>
      </c>
      <c r="BC44" s="309">
        <f t="shared" ca="1" si="10"/>
        <v>0</v>
      </c>
      <c r="BD44" s="84"/>
      <c r="BE44" s="135">
        <f t="shared" ca="1" si="103"/>
        <v>0</v>
      </c>
      <c r="BF44" s="135"/>
      <c r="BG44" s="1428"/>
      <c r="BH44" s="541">
        <f t="shared" ca="1" si="110"/>
        <v>0</v>
      </c>
      <c r="BI44" s="542">
        <f t="shared" ca="1" si="110"/>
        <v>0</v>
      </c>
      <c r="BJ44" s="542">
        <f t="shared" ca="1" si="110"/>
        <v>0</v>
      </c>
      <c r="BK44" s="542">
        <f t="shared" ca="1" si="110"/>
        <v>0</v>
      </c>
      <c r="BL44" s="542">
        <f t="shared" ca="1" si="110"/>
        <v>0</v>
      </c>
      <c r="BM44" s="542">
        <f t="shared" ca="1" si="110"/>
        <v>0</v>
      </c>
      <c r="BN44" s="542">
        <f t="shared" ca="1" si="110"/>
        <v>0</v>
      </c>
      <c r="BO44" s="542">
        <f t="shared" ca="1" si="110"/>
        <v>0</v>
      </c>
      <c r="BP44" s="542">
        <f t="shared" ca="1" si="110"/>
        <v>0</v>
      </c>
      <c r="BQ44" s="542">
        <f t="shared" ca="1" si="110"/>
        <v>0</v>
      </c>
      <c r="BR44" s="542">
        <f t="shared" ca="1" si="111"/>
        <v>0</v>
      </c>
      <c r="BS44" s="542">
        <f t="shared" ca="1" si="111"/>
        <v>0</v>
      </c>
      <c r="BT44" s="542">
        <f t="shared" ca="1" si="111"/>
        <v>0</v>
      </c>
      <c r="BU44" s="542">
        <f t="shared" ca="1" si="111"/>
        <v>0</v>
      </c>
      <c r="BV44" s="542">
        <f t="shared" ca="1" si="111"/>
        <v>0</v>
      </c>
      <c r="BW44" s="542">
        <f t="shared" ca="1" si="111"/>
        <v>0</v>
      </c>
      <c r="BX44" s="542">
        <f t="shared" ca="1" si="111"/>
        <v>0</v>
      </c>
      <c r="BY44" s="542">
        <f t="shared" ca="1" si="111"/>
        <v>0</v>
      </c>
      <c r="BZ44" s="542">
        <f t="shared" ca="1" si="111"/>
        <v>0</v>
      </c>
      <c r="CA44" s="542">
        <f t="shared" ca="1" si="111"/>
        <v>0</v>
      </c>
      <c r="CB44" s="542">
        <f t="shared" ca="1" si="112"/>
        <v>0</v>
      </c>
      <c r="CC44" s="542">
        <f t="shared" ca="1" si="112"/>
        <v>0</v>
      </c>
      <c r="CD44" s="542">
        <f t="shared" ca="1" si="112"/>
        <v>0</v>
      </c>
      <c r="CE44" s="542">
        <f t="shared" ca="1" si="112"/>
        <v>0</v>
      </c>
      <c r="CF44" s="542">
        <f t="shared" ca="1" si="112"/>
        <v>0</v>
      </c>
      <c r="CG44" s="542">
        <f t="shared" ca="1" si="112"/>
        <v>0</v>
      </c>
      <c r="CH44" s="542">
        <f t="shared" ca="1" si="112"/>
        <v>0</v>
      </c>
      <c r="CI44" s="542">
        <f t="shared" ca="1" si="112"/>
        <v>0</v>
      </c>
      <c r="CJ44" s="542">
        <f t="shared" ca="1" si="112"/>
        <v>0</v>
      </c>
      <c r="CK44" s="542">
        <f t="shared" ca="1" si="112"/>
        <v>0</v>
      </c>
      <c r="CL44" s="542">
        <f t="shared" ca="1" si="113"/>
        <v>0</v>
      </c>
      <c r="CM44" s="542">
        <f t="shared" ca="1" si="113"/>
        <v>0</v>
      </c>
      <c r="CN44" s="542">
        <f t="shared" ca="1" si="113"/>
        <v>0</v>
      </c>
      <c r="CO44" s="542">
        <f t="shared" ca="1" si="113"/>
        <v>0</v>
      </c>
      <c r="CP44" s="542">
        <f t="shared" ca="1" si="113"/>
        <v>0</v>
      </c>
      <c r="CQ44" s="542">
        <f t="shared" ca="1" si="113"/>
        <v>0</v>
      </c>
      <c r="CR44" s="542">
        <f t="shared" ca="1" si="113"/>
        <v>0</v>
      </c>
      <c r="CS44" s="542">
        <f t="shared" ca="1" si="113"/>
        <v>0</v>
      </c>
      <c r="CT44" s="542">
        <f t="shared" ca="1" si="113"/>
        <v>0</v>
      </c>
      <c r="CU44" s="542">
        <f t="shared" ca="1" si="113"/>
        <v>0</v>
      </c>
      <c r="CW44" s="151">
        <f ca="1">SUM(BH44:CU44)</f>
        <v>0</v>
      </c>
    </row>
    <row r="45" spans="1:101" s="543" customFormat="1" ht="12.75" customHeight="1" outlineLevel="1" x14ac:dyDescent="0.2">
      <c r="C45" s="86" t="s">
        <v>2364</v>
      </c>
      <c r="D45" s="61" t="str">
        <f>INDEX(Modules[Module], MATCH($C45, Modules[Code], 0))</f>
        <v>Grid Connected Solar PV</v>
      </c>
      <c r="E45" s="61"/>
      <c r="F45" s="84"/>
      <c r="G45" s="297">
        <f t="shared" ca="1" si="105"/>
        <v>0</v>
      </c>
      <c r="H45" s="297">
        <f t="shared" ca="1" si="105"/>
        <v>0</v>
      </c>
      <c r="I45" s="297">
        <f t="shared" ca="1" si="105"/>
        <v>0</v>
      </c>
      <c r="J45" s="297">
        <f t="shared" ca="1" si="105"/>
        <v>0</v>
      </c>
      <c r="K45" s="297">
        <f t="shared" ca="1" si="105"/>
        <v>0</v>
      </c>
      <c r="L45" s="297">
        <f t="shared" ca="1" si="105"/>
        <v>0</v>
      </c>
      <c r="M45" s="297">
        <f t="shared" ca="1" si="105"/>
        <v>0</v>
      </c>
      <c r="N45" s="297">
        <f t="shared" ca="1" si="105"/>
        <v>0</v>
      </c>
      <c r="O45" s="297">
        <f t="shared" ca="1" si="105"/>
        <v>0</v>
      </c>
      <c r="P45" s="297">
        <f t="shared" ca="1" si="70"/>
        <v>0</v>
      </c>
      <c r="Q45" s="84"/>
      <c r="R45" s="304">
        <f t="shared" ca="1" si="106"/>
        <v>0</v>
      </c>
      <c r="S45" s="304">
        <f t="shared" ca="1" si="106"/>
        <v>0</v>
      </c>
      <c r="T45" s="304">
        <f t="shared" ca="1" si="106"/>
        <v>0</v>
      </c>
      <c r="U45" s="304">
        <f t="shared" ca="1" si="106"/>
        <v>0</v>
      </c>
      <c r="V45" s="304">
        <f t="shared" ca="1" si="106"/>
        <v>0</v>
      </c>
      <c r="W45" s="304">
        <f t="shared" ca="1" si="106"/>
        <v>0</v>
      </c>
      <c r="X45" s="304">
        <f t="shared" ca="1" si="107"/>
        <v>0</v>
      </c>
      <c r="Y45" s="304">
        <f t="shared" ca="1" si="107"/>
        <v>0</v>
      </c>
      <c r="Z45" s="304">
        <f t="shared" ca="1" si="107"/>
        <v>0</v>
      </c>
      <c r="AA45" s="304">
        <f t="shared" ca="1" si="106"/>
        <v>0</v>
      </c>
      <c r="AB45" s="304">
        <f t="shared" ca="1" si="106"/>
        <v>0</v>
      </c>
      <c r="AC45" s="304">
        <f t="shared" ca="1" si="106"/>
        <v>0</v>
      </c>
      <c r="AD45" s="304">
        <f t="shared" ca="1" si="106"/>
        <v>0</v>
      </c>
      <c r="AE45" s="304">
        <f t="shared" ca="1" si="106"/>
        <v>0</v>
      </c>
      <c r="AF45" s="304">
        <f t="shared" ca="1" si="106"/>
        <v>0</v>
      </c>
      <c r="AG45" s="304">
        <f t="shared" ca="1" si="106"/>
        <v>0</v>
      </c>
      <c r="AH45" s="305">
        <f t="shared" ca="1" si="5"/>
        <v>0</v>
      </c>
      <c r="AI45" s="84"/>
      <c r="AJ45" s="312">
        <f t="shared" ca="1" si="108"/>
        <v>0</v>
      </c>
      <c r="AK45" s="312">
        <f t="shared" ca="1" si="108"/>
        <v>0</v>
      </c>
      <c r="AL45" s="312">
        <f t="shared" ca="1" si="108"/>
        <v>0</v>
      </c>
      <c r="AM45" s="312">
        <f t="shared" ca="1" si="108"/>
        <v>0</v>
      </c>
      <c r="AN45" s="312">
        <f t="shared" ca="1" si="108"/>
        <v>0</v>
      </c>
      <c r="AO45" s="312">
        <f t="shared" ca="1" si="108"/>
        <v>0</v>
      </c>
      <c r="AP45" s="312">
        <f t="shared" ca="1" si="108"/>
        <v>0</v>
      </c>
      <c r="AQ45" s="312">
        <f t="shared" ca="1" si="108"/>
        <v>0</v>
      </c>
      <c r="AR45" s="312">
        <f t="shared" ca="1" si="108"/>
        <v>0</v>
      </c>
      <c r="AS45" s="312">
        <f t="shared" ca="1" si="106"/>
        <v>0</v>
      </c>
      <c r="AT45" s="312">
        <f t="shared" ca="1" si="106"/>
        <v>0</v>
      </c>
      <c r="AU45" s="312">
        <f t="shared" ca="1" si="106"/>
        <v>0</v>
      </c>
      <c r="AV45" s="312">
        <f t="shared" ca="1" si="106"/>
        <v>0</v>
      </c>
      <c r="AW45" s="312">
        <f t="shared" ca="1" si="106"/>
        <v>0</v>
      </c>
      <c r="AX45" s="312">
        <f t="shared" ca="1" si="106"/>
        <v>0</v>
      </c>
      <c r="AY45" s="266">
        <f t="shared" ca="1" si="74"/>
        <v>0</v>
      </c>
      <c r="AZ45" s="84"/>
      <c r="BA45" s="308">
        <f t="shared" ca="1" si="109"/>
        <v>0</v>
      </c>
      <c r="BB45" s="308">
        <f t="shared" ca="1" si="109"/>
        <v>0</v>
      </c>
      <c r="BC45" s="309">
        <f t="shared" ca="1" si="10"/>
        <v>0</v>
      </c>
      <c r="BD45" s="84"/>
      <c r="BE45" s="135">
        <f t="shared" ca="1" si="103"/>
        <v>0</v>
      </c>
      <c r="BF45" s="135"/>
      <c r="BG45" s="1428"/>
      <c r="BH45" s="541">
        <f t="shared" ca="1" si="110"/>
        <v>0</v>
      </c>
      <c r="BI45" s="542">
        <f t="shared" ca="1" si="110"/>
        <v>0</v>
      </c>
      <c r="BJ45" s="542">
        <f t="shared" ca="1" si="110"/>
        <v>0</v>
      </c>
      <c r="BK45" s="542">
        <f t="shared" ca="1" si="110"/>
        <v>0</v>
      </c>
      <c r="BL45" s="542">
        <f t="shared" ca="1" si="110"/>
        <v>0</v>
      </c>
      <c r="BM45" s="542">
        <f t="shared" ca="1" si="110"/>
        <v>0</v>
      </c>
      <c r="BN45" s="542">
        <f t="shared" ca="1" si="110"/>
        <v>0</v>
      </c>
      <c r="BO45" s="542">
        <f t="shared" ca="1" si="110"/>
        <v>0</v>
      </c>
      <c r="BP45" s="542">
        <f t="shared" ca="1" si="110"/>
        <v>0</v>
      </c>
      <c r="BQ45" s="542">
        <f t="shared" ca="1" si="110"/>
        <v>0</v>
      </c>
      <c r="BR45" s="542">
        <f t="shared" ca="1" si="111"/>
        <v>0</v>
      </c>
      <c r="BS45" s="542">
        <f t="shared" ca="1" si="111"/>
        <v>0</v>
      </c>
      <c r="BT45" s="542">
        <f t="shared" ca="1" si="111"/>
        <v>0</v>
      </c>
      <c r="BU45" s="542">
        <f t="shared" ca="1" si="111"/>
        <v>0</v>
      </c>
      <c r="BV45" s="542">
        <f t="shared" ca="1" si="111"/>
        <v>0</v>
      </c>
      <c r="BW45" s="542">
        <f t="shared" ca="1" si="111"/>
        <v>0</v>
      </c>
      <c r="BX45" s="542">
        <f t="shared" ca="1" si="111"/>
        <v>0</v>
      </c>
      <c r="BY45" s="542">
        <f t="shared" ca="1" si="111"/>
        <v>0</v>
      </c>
      <c r="BZ45" s="542">
        <f t="shared" ca="1" si="111"/>
        <v>0</v>
      </c>
      <c r="CA45" s="542">
        <f t="shared" ca="1" si="111"/>
        <v>0</v>
      </c>
      <c r="CB45" s="542">
        <f t="shared" ca="1" si="112"/>
        <v>0</v>
      </c>
      <c r="CC45" s="542">
        <f t="shared" ca="1" si="112"/>
        <v>0</v>
      </c>
      <c r="CD45" s="542">
        <f t="shared" ca="1" si="112"/>
        <v>0</v>
      </c>
      <c r="CE45" s="542">
        <f t="shared" ca="1" si="112"/>
        <v>0</v>
      </c>
      <c r="CF45" s="542">
        <f t="shared" ca="1" si="112"/>
        <v>0</v>
      </c>
      <c r="CG45" s="542">
        <f t="shared" ca="1" si="112"/>
        <v>0</v>
      </c>
      <c r="CH45" s="542">
        <f t="shared" ca="1" si="112"/>
        <v>0</v>
      </c>
      <c r="CI45" s="542">
        <f t="shared" ca="1" si="112"/>
        <v>0</v>
      </c>
      <c r="CJ45" s="542">
        <f t="shared" ca="1" si="112"/>
        <v>0</v>
      </c>
      <c r="CK45" s="542">
        <f t="shared" ca="1" si="112"/>
        <v>0</v>
      </c>
      <c r="CL45" s="542">
        <f t="shared" ca="1" si="113"/>
        <v>0</v>
      </c>
      <c r="CM45" s="542">
        <f t="shared" ca="1" si="113"/>
        <v>0</v>
      </c>
      <c r="CN45" s="542">
        <f t="shared" ca="1" si="113"/>
        <v>0</v>
      </c>
      <c r="CO45" s="542">
        <f t="shared" ca="1" si="113"/>
        <v>0</v>
      </c>
      <c r="CP45" s="542">
        <f t="shared" ca="1" si="113"/>
        <v>0</v>
      </c>
      <c r="CQ45" s="542">
        <f t="shared" ca="1" si="113"/>
        <v>0</v>
      </c>
      <c r="CR45" s="542">
        <f t="shared" ca="1" si="113"/>
        <v>0</v>
      </c>
      <c r="CS45" s="542">
        <f t="shared" ca="1" si="113"/>
        <v>0</v>
      </c>
      <c r="CT45" s="542">
        <f t="shared" ca="1" si="113"/>
        <v>0</v>
      </c>
      <c r="CU45" s="542">
        <f t="shared" ca="1" si="113"/>
        <v>0</v>
      </c>
      <c r="CW45" s="151">
        <f t="shared" ref="CW45:CW57" ca="1" si="114">SUM(BH45:CU45)</f>
        <v>0</v>
      </c>
    </row>
    <row r="46" spans="1:101" s="84" customFormat="1" ht="12.75" customHeight="1" outlineLevel="1" x14ac:dyDescent="0.2">
      <c r="A46" s="543"/>
      <c r="B46" s="543"/>
      <c r="C46" s="86" t="s">
        <v>2376</v>
      </c>
      <c r="D46" s="292" t="str">
        <f>INDEX(Modules[Module], MATCH($C46, Modules[Code], 0))</f>
        <v>Concentrated Solar Power</v>
      </c>
      <c r="E46" s="292"/>
      <c r="G46" s="301">
        <f t="shared" ca="1" si="105"/>
        <v>0</v>
      </c>
      <c r="H46" s="301">
        <f t="shared" ca="1" si="105"/>
        <v>0</v>
      </c>
      <c r="I46" s="301">
        <f t="shared" ca="1" si="105"/>
        <v>0</v>
      </c>
      <c r="J46" s="301">
        <f t="shared" ca="1" si="105"/>
        <v>0</v>
      </c>
      <c r="K46" s="301">
        <f t="shared" ca="1" si="105"/>
        <v>0</v>
      </c>
      <c r="L46" s="301">
        <f t="shared" ca="1" si="105"/>
        <v>0</v>
      </c>
      <c r="M46" s="301">
        <f t="shared" ca="1" si="105"/>
        <v>0</v>
      </c>
      <c r="N46" s="301">
        <f t="shared" ca="1" si="105"/>
        <v>0</v>
      </c>
      <c r="O46" s="301">
        <f t="shared" ca="1" si="105"/>
        <v>0</v>
      </c>
      <c r="P46" s="301">
        <f t="shared" ca="1" si="70"/>
        <v>0</v>
      </c>
      <c r="R46" s="307">
        <f t="shared" ca="1" si="106"/>
        <v>0</v>
      </c>
      <c r="S46" s="307">
        <f t="shared" ca="1" si="106"/>
        <v>0</v>
      </c>
      <c r="T46" s="307">
        <f t="shared" ca="1" si="106"/>
        <v>0</v>
      </c>
      <c r="U46" s="307">
        <f t="shared" ca="1" si="106"/>
        <v>0</v>
      </c>
      <c r="V46" s="307">
        <f t="shared" ca="1" si="106"/>
        <v>0</v>
      </c>
      <c r="W46" s="307">
        <f t="shared" ca="1" si="106"/>
        <v>0</v>
      </c>
      <c r="X46" s="307">
        <f t="shared" ca="1" si="107"/>
        <v>0</v>
      </c>
      <c r="Y46" s="307">
        <f t="shared" ca="1" si="107"/>
        <v>0</v>
      </c>
      <c r="Z46" s="307">
        <f t="shared" ca="1" si="107"/>
        <v>0</v>
      </c>
      <c r="AA46" s="307">
        <f t="shared" ca="1" si="106"/>
        <v>0</v>
      </c>
      <c r="AB46" s="307">
        <f t="shared" ca="1" si="106"/>
        <v>0</v>
      </c>
      <c r="AC46" s="307">
        <f t="shared" ca="1" si="106"/>
        <v>0</v>
      </c>
      <c r="AD46" s="307">
        <f t="shared" ca="1" si="106"/>
        <v>0</v>
      </c>
      <c r="AE46" s="307">
        <f t="shared" ca="1" si="106"/>
        <v>0</v>
      </c>
      <c r="AF46" s="307">
        <f t="shared" ca="1" si="106"/>
        <v>0</v>
      </c>
      <c r="AG46" s="307">
        <f t="shared" ca="1" si="106"/>
        <v>0</v>
      </c>
      <c r="AH46" s="306">
        <f t="shared" ca="1" si="5"/>
        <v>0</v>
      </c>
      <c r="AJ46" s="315">
        <f t="shared" ca="1" si="108"/>
        <v>0</v>
      </c>
      <c r="AK46" s="315">
        <f t="shared" ca="1" si="108"/>
        <v>0</v>
      </c>
      <c r="AL46" s="315">
        <f t="shared" ca="1" si="108"/>
        <v>0</v>
      </c>
      <c r="AM46" s="315">
        <f t="shared" ca="1" si="108"/>
        <v>0</v>
      </c>
      <c r="AN46" s="315">
        <f t="shared" ca="1" si="108"/>
        <v>0</v>
      </c>
      <c r="AO46" s="315">
        <f t="shared" ca="1" si="108"/>
        <v>0</v>
      </c>
      <c r="AP46" s="315">
        <f t="shared" ca="1" si="108"/>
        <v>0</v>
      </c>
      <c r="AQ46" s="315">
        <f t="shared" ca="1" si="108"/>
        <v>0</v>
      </c>
      <c r="AR46" s="315">
        <f t="shared" ca="1" si="108"/>
        <v>0</v>
      </c>
      <c r="AS46" s="315">
        <f t="shared" ca="1" si="106"/>
        <v>0</v>
      </c>
      <c r="AT46" s="315">
        <f t="shared" ca="1" si="106"/>
        <v>0</v>
      </c>
      <c r="AU46" s="315">
        <f t="shared" ca="1" si="106"/>
        <v>0</v>
      </c>
      <c r="AV46" s="315">
        <f t="shared" ca="1" si="106"/>
        <v>0</v>
      </c>
      <c r="AW46" s="315">
        <f t="shared" ca="1" si="106"/>
        <v>0</v>
      </c>
      <c r="AX46" s="315">
        <f t="shared" ca="1" si="106"/>
        <v>0</v>
      </c>
      <c r="AY46" s="293">
        <f t="shared" ca="1" si="74"/>
        <v>0</v>
      </c>
      <c r="BA46" s="311">
        <f t="shared" ca="1" si="109"/>
        <v>0</v>
      </c>
      <c r="BB46" s="311">
        <f t="shared" ca="1" si="109"/>
        <v>0</v>
      </c>
      <c r="BC46" s="310">
        <f t="shared" ca="1" si="10"/>
        <v>0</v>
      </c>
      <c r="BE46" s="135">
        <f t="shared" ca="1" si="103"/>
        <v>0</v>
      </c>
      <c r="BF46" s="135"/>
      <c r="BG46" s="1428"/>
      <c r="BH46" s="544">
        <f t="shared" ca="1" si="110"/>
        <v>0</v>
      </c>
      <c r="BI46" s="545">
        <f t="shared" ca="1" si="110"/>
        <v>0</v>
      </c>
      <c r="BJ46" s="545">
        <f t="shared" ca="1" si="110"/>
        <v>0</v>
      </c>
      <c r="BK46" s="545">
        <f t="shared" ca="1" si="110"/>
        <v>0</v>
      </c>
      <c r="BL46" s="545">
        <f t="shared" ca="1" si="110"/>
        <v>0</v>
      </c>
      <c r="BM46" s="545">
        <f t="shared" ca="1" si="110"/>
        <v>0</v>
      </c>
      <c r="BN46" s="545">
        <f t="shared" ca="1" si="110"/>
        <v>0</v>
      </c>
      <c r="BO46" s="545">
        <f t="shared" ca="1" si="110"/>
        <v>0</v>
      </c>
      <c r="BP46" s="545">
        <f t="shared" ca="1" si="110"/>
        <v>0</v>
      </c>
      <c r="BQ46" s="545">
        <f t="shared" ca="1" si="110"/>
        <v>0</v>
      </c>
      <c r="BR46" s="545">
        <f t="shared" ca="1" si="111"/>
        <v>0</v>
      </c>
      <c r="BS46" s="545">
        <f t="shared" ca="1" si="111"/>
        <v>0</v>
      </c>
      <c r="BT46" s="545">
        <f t="shared" ca="1" si="111"/>
        <v>0</v>
      </c>
      <c r="BU46" s="545">
        <f t="shared" ca="1" si="111"/>
        <v>0</v>
      </c>
      <c r="BV46" s="545">
        <f t="shared" ca="1" si="111"/>
        <v>0</v>
      </c>
      <c r="BW46" s="545">
        <f t="shared" ca="1" si="111"/>
        <v>0</v>
      </c>
      <c r="BX46" s="545">
        <f t="shared" ca="1" si="111"/>
        <v>0</v>
      </c>
      <c r="BY46" s="545">
        <f t="shared" ca="1" si="111"/>
        <v>0</v>
      </c>
      <c r="BZ46" s="545">
        <f t="shared" ca="1" si="111"/>
        <v>0</v>
      </c>
      <c r="CA46" s="545">
        <f t="shared" ca="1" si="111"/>
        <v>0</v>
      </c>
      <c r="CB46" s="545">
        <f t="shared" ca="1" si="112"/>
        <v>0</v>
      </c>
      <c r="CC46" s="545">
        <f t="shared" ca="1" si="112"/>
        <v>0</v>
      </c>
      <c r="CD46" s="545">
        <f t="shared" ca="1" si="112"/>
        <v>0</v>
      </c>
      <c r="CE46" s="545">
        <f t="shared" ca="1" si="112"/>
        <v>0</v>
      </c>
      <c r="CF46" s="545">
        <f t="shared" ca="1" si="112"/>
        <v>0</v>
      </c>
      <c r="CG46" s="545">
        <f t="shared" ca="1" si="112"/>
        <v>0</v>
      </c>
      <c r="CH46" s="545">
        <f t="shared" ca="1" si="112"/>
        <v>0</v>
      </c>
      <c r="CI46" s="545">
        <f t="shared" ca="1" si="112"/>
        <v>0</v>
      </c>
      <c r="CJ46" s="545">
        <f t="shared" ca="1" si="112"/>
        <v>0</v>
      </c>
      <c r="CK46" s="545">
        <f t="shared" ca="1" si="112"/>
        <v>0</v>
      </c>
      <c r="CL46" s="545">
        <f t="shared" ca="1" si="113"/>
        <v>0</v>
      </c>
      <c r="CM46" s="545">
        <f t="shared" ca="1" si="113"/>
        <v>0</v>
      </c>
      <c r="CN46" s="545">
        <f t="shared" ca="1" si="113"/>
        <v>0</v>
      </c>
      <c r="CO46" s="545">
        <f t="shared" ca="1" si="113"/>
        <v>0</v>
      </c>
      <c r="CP46" s="545">
        <f t="shared" ca="1" si="113"/>
        <v>0</v>
      </c>
      <c r="CQ46" s="545">
        <f t="shared" ca="1" si="113"/>
        <v>0</v>
      </c>
      <c r="CR46" s="545">
        <f t="shared" ca="1" si="113"/>
        <v>0</v>
      </c>
      <c r="CS46" s="545">
        <f t="shared" ca="1" si="113"/>
        <v>0</v>
      </c>
      <c r="CT46" s="545">
        <f t="shared" ca="1" si="113"/>
        <v>0</v>
      </c>
      <c r="CU46" s="545">
        <f t="shared" ca="1" si="113"/>
        <v>0</v>
      </c>
      <c r="CW46" s="151">
        <f t="shared" ca="1" si="114"/>
        <v>0</v>
      </c>
    </row>
    <row r="47" spans="1:101" s="84" customFormat="1" ht="15.75" x14ac:dyDescent="0.2">
      <c r="A47" s="18"/>
      <c r="B47" s="89"/>
      <c r="C47" s="85" t="s">
        <v>62</v>
      </c>
      <c r="D47" s="57" t="str">
        <f>INDEX(Workstreams[Workstream], MATCH($C47, Workstreams[Code], 0))</f>
        <v>National renewable power generation</v>
      </c>
      <c r="E47" s="53"/>
      <c r="G47" s="245">
        <f t="shared" ref="G47:O47" ca="1" si="115">SUM(G42:G46)</f>
        <v>0</v>
      </c>
      <c r="H47" s="245">
        <f t="shared" ca="1" si="115"/>
        <v>0</v>
      </c>
      <c r="I47" s="245">
        <f ca="1">SUM(I42:I46)</f>
        <v>0</v>
      </c>
      <c r="J47" s="245">
        <f t="shared" ca="1" si="115"/>
        <v>0</v>
      </c>
      <c r="K47" s="245">
        <f t="shared" ca="1" si="115"/>
        <v>0</v>
      </c>
      <c r="L47" s="245">
        <f t="shared" ca="1" si="115"/>
        <v>0</v>
      </c>
      <c r="M47" s="245">
        <f t="shared" ca="1" si="115"/>
        <v>0</v>
      </c>
      <c r="N47" s="245">
        <f t="shared" ca="1" si="115"/>
        <v>0</v>
      </c>
      <c r="O47" s="245">
        <f t="shared" ca="1" si="115"/>
        <v>0</v>
      </c>
      <c r="P47" s="245">
        <f t="shared" ca="1" si="70"/>
        <v>0</v>
      </c>
      <c r="R47" s="257">
        <f t="shared" ref="R47:AF47" ca="1" si="116">SUM(R42:R46)</f>
        <v>0</v>
      </c>
      <c r="S47" s="257">
        <f t="shared" ca="1" si="116"/>
        <v>10.273751999999998</v>
      </c>
      <c r="T47" s="257">
        <f t="shared" ca="1" si="116"/>
        <v>0</v>
      </c>
      <c r="U47" s="257">
        <f t="shared" ca="1" si="116"/>
        <v>0</v>
      </c>
      <c r="V47" s="257">
        <f t="shared" ca="1" si="116"/>
        <v>0</v>
      </c>
      <c r="W47" s="257">
        <f ca="1">SUM(W42:W46)</f>
        <v>0</v>
      </c>
      <c r="X47" s="257">
        <f t="shared" ca="1" si="116"/>
        <v>0</v>
      </c>
      <c r="Y47" s="257">
        <f t="shared" ca="1" si="116"/>
        <v>0</v>
      </c>
      <c r="Z47" s="257">
        <f t="shared" ca="1" si="116"/>
        <v>0</v>
      </c>
      <c r="AA47" s="257">
        <f t="shared" ca="1" si="116"/>
        <v>0</v>
      </c>
      <c r="AB47" s="257">
        <f t="shared" ca="1" si="116"/>
        <v>0</v>
      </c>
      <c r="AC47" s="257">
        <f t="shared" ca="1" si="116"/>
        <v>0</v>
      </c>
      <c r="AD47" s="257">
        <f ca="1">SUM(AD42:AD46)</f>
        <v>0</v>
      </c>
      <c r="AE47" s="257">
        <f t="shared" ca="1" si="116"/>
        <v>0</v>
      </c>
      <c r="AF47" s="257">
        <f t="shared" ca="1" si="116"/>
        <v>0</v>
      </c>
      <c r="AG47" s="257">
        <f ca="1">SUM(AG42:AG46)</f>
        <v>0</v>
      </c>
      <c r="AH47" s="257">
        <f t="shared" ca="1" si="5"/>
        <v>10.273751999999998</v>
      </c>
      <c r="AJ47" s="263">
        <f t="shared" ref="AJ47:AX47" ca="1" si="117">SUM(AJ42:AJ46)</f>
        <v>0</v>
      </c>
      <c r="AK47" s="263">
        <f t="shared" ca="1" si="117"/>
        <v>0</v>
      </c>
      <c r="AL47" s="263">
        <f t="shared" ca="1" si="117"/>
        <v>0</v>
      </c>
      <c r="AM47" s="263">
        <f t="shared" ca="1" si="117"/>
        <v>0</v>
      </c>
      <c r="AN47" s="263">
        <f t="shared" ca="1" si="117"/>
        <v>0</v>
      </c>
      <c r="AO47" s="263">
        <f t="shared" ca="1" si="117"/>
        <v>0</v>
      </c>
      <c r="AP47" s="263">
        <f t="shared" ca="1" si="117"/>
        <v>0</v>
      </c>
      <c r="AQ47" s="263">
        <f t="shared" ca="1" si="117"/>
        <v>0</v>
      </c>
      <c r="AR47" s="263">
        <f t="shared" ca="1" si="117"/>
        <v>0</v>
      </c>
      <c r="AS47" s="263">
        <f t="shared" ca="1" si="117"/>
        <v>0</v>
      </c>
      <c r="AT47" s="263">
        <f t="shared" ca="1" si="117"/>
        <v>0</v>
      </c>
      <c r="AU47" s="263">
        <f t="shared" ca="1" si="117"/>
        <v>0</v>
      </c>
      <c r="AV47" s="263">
        <f t="shared" ca="1" si="117"/>
        <v>-10.273751999999998</v>
      </c>
      <c r="AW47" s="263">
        <f t="shared" ca="1" si="117"/>
        <v>0</v>
      </c>
      <c r="AX47" s="263">
        <f t="shared" ca="1" si="117"/>
        <v>0</v>
      </c>
      <c r="AY47" s="263">
        <f t="shared" ca="1" si="74"/>
        <v>-10.273751999999998</v>
      </c>
      <c r="BA47" s="277">
        <f ca="1">SUM(BA42:BA46)</f>
        <v>0</v>
      </c>
      <c r="BB47" s="277">
        <f ca="1">SUM(BB42:BB46)</f>
        <v>0</v>
      </c>
      <c r="BC47" s="277">
        <f t="shared" ca="1" si="10"/>
        <v>0</v>
      </c>
      <c r="BE47" s="55">
        <f t="shared" ca="1" si="103"/>
        <v>0</v>
      </c>
      <c r="BF47" s="55"/>
      <c r="BG47" s="1428"/>
      <c r="BH47" s="542">
        <f t="shared" ref="BH47:CU47" ca="1" si="118">SUM(BH42:BH46)</f>
        <v>0</v>
      </c>
      <c r="BI47" s="542">
        <f t="shared" ca="1" si="118"/>
        <v>0</v>
      </c>
      <c r="BJ47" s="542">
        <f t="shared" ca="1" si="118"/>
        <v>0</v>
      </c>
      <c r="BK47" s="542">
        <f t="shared" ca="1" si="118"/>
        <v>0</v>
      </c>
      <c r="BL47" s="542">
        <f t="shared" ca="1" si="118"/>
        <v>0</v>
      </c>
      <c r="BM47" s="542">
        <f t="shared" ca="1" si="118"/>
        <v>0</v>
      </c>
      <c r="BN47" s="542">
        <f t="shared" ca="1" si="118"/>
        <v>0</v>
      </c>
      <c r="BO47" s="542">
        <f t="shared" ca="1" si="118"/>
        <v>0</v>
      </c>
      <c r="BP47" s="542">
        <f t="shared" ca="1" si="118"/>
        <v>0</v>
      </c>
      <c r="BQ47" s="542">
        <f t="shared" ca="1" si="118"/>
        <v>0</v>
      </c>
      <c r="BR47" s="542">
        <f t="shared" ca="1" si="118"/>
        <v>0</v>
      </c>
      <c r="BS47" s="542">
        <f t="shared" ca="1" si="118"/>
        <v>0</v>
      </c>
      <c r="BT47" s="542">
        <f t="shared" ca="1" si="118"/>
        <v>0</v>
      </c>
      <c r="BU47" s="542">
        <f t="shared" ca="1" si="118"/>
        <v>0</v>
      </c>
      <c r="BV47" s="542">
        <f t="shared" ca="1" si="118"/>
        <v>0</v>
      </c>
      <c r="BW47" s="542">
        <f t="shared" ca="1" si="118"/>
        <v>0</v>
      </c>
      <c r="BX47" s="542">
        <f t="shared" ca="1" si="118"/>
        <v>0</v>
      </c>
      <c r="BY47" s="542">
        <f t="shared" ca="1" si="118"/>
        <v>0</v>
      </c>
      <c r="BZ47" s="542">
        <f t="shared" ca="1" si="118"/>
        <v>0</v>
      </c>
      <c r="CA47" s="542">
        <f t="shared" ca="1" si="118"/>
        <v>0</v>
      </c>
      <c r="CB47" s="542">
        <f t="shared" ca="1" si="118"/>
        <v>0</v>
      </c>
      <c r="CC47" s="542">
        <f t="shared" ca="1" si="118"/>
        <v>0</v>
      </c>
      <c r="CD47" s="542">
        <f t="shared" ca="1" si="118"/>
        <v>0</v>
      </c>
      <c r="CE47" s="542">
        <f t="shared" ca="1" si="118"/>
        <v>0</v>
      </c>
      <c r="CF47" s="542">
        <f t="shared" ca="1" si="118"/>
        <v>0</v>
      </c>
      <c r="CG47" s="542">
        <f t="shared" ca="1" si="118"/>
        <v>0</v>
      </c>
      <c r="CH47" s="542">
        <f t="shared" ca="1" si="118"/>
        <v>0</v>
      </c>
      <c r="CI47" s="542">
        <f t="shared" ca="1" si="118"/>
        <v>0</v>
      </c>
      <c r="CJ47" s="542">
        <f t="shared" ca="1" si="118"/>
        <v>0</v>
      </c>
      <c r="CK47" s="542">
        <f t="shared" ca="1" si="118"/>
        <v>0</v>
      </c>
      <c r="CL47" s="542">
        <f t="shared" ca="1" si="118"/>
        <v>0</v>
      </c>
      <c r="CM47" s="542">
        <f t="shared" ca="1" si="118"/>
        <v>0</v>
      </c>
      <c r="CN47" s="542">
        <f t="shared" ca="1" si="118"/>
        <v>0</v>
      </c>
      <c r="CO47" s="542">
        <f t="shared" ca="1" si="118"/>
        <v>0</v>
      </c>
      <c r="CP47" s="542">
        <f t="shared" ca="1" si="118"/>
        <v>0</v>
      </c>
      <c r="CQ47" s="542">
        <f t="shared" ca="1" si="118"/>
        <v>0</v>
      </c>
      <c r="CR47" s="542">
        <f t="shared" ca="1" si="118"/>
        <v>0</v>
      </c>
      <c r="CS47" s="542">
        <f t="shared" ca="1" si="118"/>
        <v>0</v>
      </c>
      <c r="CT47" s="542">
        <f t="shared" ca="1" si="118"/>
        <v>0</v>
      </c>
      <c r="CU47" s="542">
        <f t="shared" ca="1" si="118"/>
        <v>0</v>
      </c>
      <c r="CW47" s="151">
        <f t="shared" ca="1" si="114"/>
        <v>0</v>
      </c>
    </row>
    <row r="48" spans="1:101" s="84" customFormat="1" ht="12.75" customHeight="1" outlineLevel="1" x14ac:dyDescent="0.2">
      <c r="A48" s="18"/>
      <c r="B48" s="18"/>
      <c r="C48" s="87"/>
      <c r="D48" s="53"/>
      <c r="E48" s="53"/>
      <c r="G48" s="245"/>
      <c r="H48" s="245"/>
      <c r="I48" s="245"/>
      <c r="J48" s="245"/>
      <c r="K48" s="245"/>
      <c r="L48" s="247"/>
      <c r="M48" s="245"/>
      <c r="N48" s="245"/>
      <c r="O48" s="245"/>
      <c r="P48" s="245">
        <f t="shared" si="70"/>
        <v>0</v>
      </c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>
        <f t="shared" si="5"/>
        <v>0</v>
      </c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>
        <f t="shared" si="74"/>
        <v>0</v>
      </c>
      <c r="BA48" s="277"/>
      <c r="BB48" s="277"/>
      <c r="BC48" s="277">
        <f t="shared" si="10"/>
        <v>0</v>
      </c>
      <c r="BE48" s="55"/>
      <c r="BF48" s="55"/>
      <c r="BG48" s="18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W48" s="151">
        <f t="shared" si="114"/>
        <v>0</v>
      </c>
    </row>
    <row r="49" spans="1:101" s="543" customFormat="1" ht="12.75" customHeight="1" outlineLevel="1" x14ac:dyDescent="0.2">
      <c r="C49" s="86" t="s">
        <v>409</v>
      </c>
      <c r="D49" s="61" t="str">
        <f>INDEX(Modules[Module], MATCH($C49, Modules[Code], 0))</f>
        <v>Stand-Alone Solar PV</v>
      </c>
      <c r="E49" s="61"/>
      <c r="G49" s="595">
        <f t="shared" ref="G49:O49" ca="1" si="119">IFERROR(INDEX(INDIRECT($C49&amp;".Outputs["&amp;this.Year&amp;"]"), MATCH(G$5, INDIRECT($C49&amp;".Outputs[Vector]"), 0)), 0)</f>
        <v>0</v>
      </c>
      <c r="H49" s="595">
        <f t="shared" ca="1" si="119"/>
        <v>0</v>
      </c>
      <c r="I49" s="595">
        <f t="shared" ca="1" si="119"/>
        <v>0</v>
      </c>
      <c r="J49" s="595">
        <f t="shared" ca="1" si="119"/>
        <v>0</v>
      </c>
      <c r="K49" s="595">
        <f t="shared" ca="1" si="119"/>
        <v>0</v>
      </c>
      <c r="L49" s="596">
        <f t="shared" ca="1" si="119"/>
        <v>0</v>
      </c>
      <c r="M49" s="595">
        <f t="shared" ca="1" si="119"/>
        <v>0</v>
      </c>
      <c r="N49" s="595">
        <f t="shared" ca="1" si="119"/>
        <v>0</v>
      </c>
      <c r="O49" s="595">
        <f t="shared" ca="1" si="119"/>
        <v>0</v>
      </c>
      <c r="P49" s="595">
        <f t="shared" ca="1" si="70"/>
        <v>0</v>
      </c>
      <c r="R49" s="597">
        <f t="shared" ref="R49:AX49" ca="1" si="120">IFERROR(INDEX(INDIRECT($C49&amp;".Outputs["&amp;this.Year&amp;"]"), MATCH(R$5, INDIRECT($C49&amp;".Outputs[Vector]"), 0)), 0)</f>
        <v>0</v>
      </c>
      <c r="S49" s="597">
        <f t="shared" ca="1" si="120"/>
        <v>0.92042999999999997</v>
      </c>
      <c r="T49" s="597">
        <f t="shared" ca="1" si="120"/>
        <v>0</v>
      </c>
      <c r="U49" s="597">
        <f t="shared" ca="1" si="120"/>
        <v>0</v>
      </c>
      <c r="V49" s="597">
        <f t="shared" ca="1" si="120"/>
        <v>0</v>
      </c>
      <c r="W49" s="597">
        <f t="shared" ca="1" si="120"/>
        <v>0</v>
      </c>
      <c r="X49" s="597">
        <f ca="1">IFERROR(INDEX(INDIRECT($C49&amp;".Outputs["&amp;this.Year&amp;"]"), MATCH(X$5, INDIRECT($C49&amp;".Outputs[Vector]"), 0)), 0)</f>
        <v>0</v>
      </c>
      <c r="Y49" s="597">
        <f ca="1">IFERROR(INDEX(INDIRECT($C49&amp;".Outputs["&amp;this.Year&amp;"]"), MATCH(Y$5, INDIRECT($C49&amp;".Outputs[Vector]"), 0)), 0)</f>
        <v>0</v>
      </c>
      <c r="Z49" s="597">
        <f ca="1">IFERROR(INDEX(INDIRECT($C49&amp;".Outputs["&amp;this.Year&amp;"]"), MATCH(Z$5, INDIRECT($C49&amp;".Outputs[Vector]"), 0)), 0)</f>
        <v>0</v>
      </c>
      <c r="AA49" s="597">
        <f t="shared" ca="1" si="120"/>
        <v>0</v>
      </c>
      <c r="AB49" s="597">
        <f t="shared" ca="1" si="120"/>
        <v>0</v>
      </c>
      <c r="AC49" s="597">
        <f t="shared" ca="1" si="120"/>
        <v>0</v>
      </c>
      <c r="AD49" s="597">
        <f t="shared" ca="1" si="120"/>
        <v>0</v>
      </c>
      <c r="AE49" s="597">
        <f t="shared" ca="1" si="120"/>
        <v>0</v>
      </c>
      <c r="AF49" s="597">
        <f t="shared" ca="1" si="120"/>
        <v>0</v>
      </c>
      <c r="AG49" s="597">
        <f t="shared" ca="1" si="120"/>
        <v>0</v>
      </c>
      <c r="AH49" s="259">
        <f t="shared" ca="1" si="5"/>
        <v>0.92042999999999997</v>
      </c>
      <c r="AJ49" s="598">
        <f t="shared" ref="AJ49:AR49" ca="1" si="121">IFERROR(INDEX(INDIRECT($C49&amp;".Outputs["&amp;this.Year&amp;"]"), MATCH(AJ$5, INDIRECT($C49&amp;".Outputs[Vector]"), 0)), 0)</f>
        <v>0</v>
      </c>
      <c r="AK49" s="598">
        <f t="shared" ca="1" si="121"/>
        <v>0</v>
      </c>
      <c r="AL49" s="598">
        <f t="shared" ca="1" si="121"/>
        <v>0</v>
      </c>
      <c r="AM49" s="598">
        <f t="shared" ca="1" si="121"/>
        <v>0</v>
      </c>
      <c r="AN49" s="598">
        <f t="shared" ca="1" si="121"/>
        <v>0</v>
      </c>
      <c r="AO49" s="598">
        <f t="shared" ca="1" si="121"/>
        <v>0</v>
      </c>
      <c r="AP49" s="598">
        <f t="shared" ca="1" si="121"/>
        <v>0</v>
      </c>
      <c r="AQ49" s="598">
        <f t="shared" ca="1" si="121"/>
        <v>0</v>
      </c>
      <c r="AR49" s="598">
        <f t="shared" ca="1" si="121"/>
        <v>0</v>
      </c>
      <c r="AS49" s="598">
        <f t="shared" ca="1" si="120"/>
        <v>0</v>
      </c>
      <c r="AT49" s="598">
        <f t="shared" ca="1" si="120"/>
        <v>-0.92042999999999997</v>
      </c>
      <c r="AU49" s="598">
        <f t="shared" ca="1" si="120"/>
        <v>0</v>
      </c>
      <c r="AV49" s="598">
        <f t="shared" ca="1" si="120"/>
        <v>0</v>
      </c>
      <c r="AW49" s="598">
        <f t="shared" ca="1" si="120"/>
        <v>0</v>
      </c>
      <c r="AX49" s="598">
        <f t="shared" ca="1" si="120"/>
        <v>0</v>
      </c>
      <c r="AY49" s="266">
        <f t="shared" ca="1" si="74"/>
        <v>-0.92042999999999997</v>
      </c>
      <c r="BA49" s="599">
        <f ca="1">IFERROR(INDEX(INDIRECT($C49&amp;".Outputs["&amp;this.Year&amp;"]"), MATCH(BA$5, INDIRECT($C49&amp;".Outputs[Vector]"), 0)), 0)</f>
        <v>0</v>
      </c>
      <c r="BB49" s="599">
        <f ca="1">IFERROR(INDEX(INDIRECT($C49&amp;".Outputs["&amp;this.Year&amp;"]"), MATCH(BB$5, INDIRECT($C49&amp;".Outputs[Vector]"), 0)), 0)</f>
        <v>0</v>
      </c>
      <c r="BC49" s="279">
        <f t="shared" ca="1" si="10"/>
        <v>0</v>
      </c>
      <c r="BE49" s="135">
        <f ca="1">P49+AH49+AY49+BC49</f>
        <v>0</v>
      </c>
      <c r="BF49" s="135"/>
      <c r="BH49" s="593">
        <f t="shared" ref="BH49:CU49" ca="1" si="122">IFERROR(SUMIFS(INDIRECT($C49&amp;".Emissions["&amp;this.Year&amp;"]"), INDIRECT($C49&amp;".Emissions[GHG]"), BH$6, INDIRECT($C49&amp;".Emissions[IPCC Sector]"), BH$5),0)</f>
        <v>0</v>
      </c>
      <c r="BI49" s="593">
        <f t="shared" ca="1" si="122"/>
        <v>0</v>
      </c>
      <c r="BJ49" s="593">
        <f t="shared" ca="1" si="122"/>
        <v>0</v>
      </c>
      <c r="BK49" s="593">
        <f t="shared" ca="1" si="122"/>
        <v>0</v>
      </c>
      <c r="BL49" s="593">
        <f t="shared" ca="1" si="122"/>
        <v>0</v>
      </c>
      <c r="BM49" s="593">
        <f t="shared" ca="1" si="122"/>
        <v>0</v>
      </c>
      <c r="BN49" s="593">
        <f t="shared" ca="1" si="122"/>
        <v>0</v>
      </c>
      <c r="BO49" s="593">
        <f t="shared" ca="1" si="122"/>
        <v>0</v>
      </c>
      <c r="BP49" s="593">
        <f t="shared" ca="1" si="122"/>
        <v>0</v>
      </c>
      <c r="BQ49" s="593">
        <f t="shared" ca="1" si="122"/>
        <v>0</v>
      </c>
      <c r="BR49" s="593">
        <f t="shared" ca="1" si="122"/>
        <v>0</v>
      </c>
      <c r="BS49" s="593">
        <f t="shared" ca="1" si="122"/>
        <v>0</v>
      </c>
      <c r="BT49" s="593">
        <f t="shared" ca="1" si="122"/>
        <v>0</v>
      </c>
      <c r="BU49" s="593">
        <f t="shared" ca="1" si="122"/>
        <v>0</v>
      </c>
      <c r="BV49" s="593">
        <f t="shared" ca="1" si="122"/>
        <v>0</v>
      </c>
      <c r="BW49" s="593">
        <f t="shared" ca="1" si="122"/>
        <v>0</v>
      </c>
      <c r="BX49" s="593">
        <f t="shared" ca="1" si="122"/>
        <v>0</v>
      </c>
      <c r="BY49" s="593">
        <f t="shared" ca="1" si="122"/>
        <v>0</v>
      </c>
      <c r="BZ49" s="593">
        <f t="shared" ca="1" si="122"/>
        <v>0</v>
      </c>
      <c r="CA49" s="593">
        <f t="shared" ca="1" si="122"/>
        <v>0</v>
      </c>
      <c r="CB49" s="593">
        <f t="shared" ca="1" si="122"/>
        <v>0</v>
      </c>
      <c r="CC49" s="593">
        <f t="shared" ca="1" si="122"/>
        <v>0</v>
      </c>
      <c r="CD49" s="593">
        <f t="shared" ca="1" si="122"/>
        <v>0</v>
      </c>
      <c r="CE49" s="593">
        <f t="shared" ca="1" si="122"/>
        <v>0</v>
      </c>
      <c r="CF49" s="593">
        <f t="shared" ca="1" si="122"/>
        <v>0</v>
      </c>
      <c r="CG49" s="593">
        <f t="shared" ca="1" si="122"/>
        <v>0</v>
      </c>
      <c r="CH49" s="593">
        <f t="shared" ca="1" si="122"/>
        <v>0</v>
      </c>
      <c r="CI49" s="593">
        <f t="shared" ca="1" si="122"/>
        <v>0</v>
      </c>
      <c r="CJ49" s="593">
        <f t="shared" ca="1" si="122"/>
        <v>0</v>
      </c>
      <c r="CK49" s="593">
        <f t="shared" ca="1" si="122"/>
        <v>0</v>
      </c>
      <c r="CL49" s="593">
        <f t="shared" ca="1" si="122"/>
        <v>0</v>
      </c>
      <c r="CM49" s="593">
        <f t="shared" ca="1" si="122"/>
        <v>0</v>
      </c>
      <c r="CN49" s="593">
        <f t="shared" ca="1" si="122"/>
        <v>0</v>
      </c>
      <c r="CO49" s="593">
        <f t="shared" ca="1" si="122"/>
        <v>0</v>
      </c>
      <c r="CP49" s="593">
        <f t="shared" ca="1" si="122"/>
        <v>0</v>
      </c>
      <c r="CQ49" s="593">
        <f t="shared" ca="1" si="122"/>
        <v>0</v>
      </c>
      <c r="CR49" s="593">
        <f t="shared" ca="1" si="122"/>
        <v>0</v>
      </c>
      <c r="CS49" s="593">
        <f t="shared" ca="1" si="122"/>
        <v>0</v>
      </c>
      <c r="CT49" s="593">
        <f t="shared" ca="1" si="122"/>
        <v>0</v>
      </c>
      <c r="CU49" s="593">
        <f t="shared" ca="1" si="122"/>
        <v>0</v>
      </c>
      <c r="CW49" s="594">
        <f t="shared" ca="1" si="114"/>
        <v>0</v>
      </c>
    </row>
    <row r="50" spans="1:101" s="84" customFormat="1" ht="15.75" x14ac:dyDescent="0.2">
      <c r="A50" s="18"/>
      <c r="B50" s="89"/>
      <c r="C50" s="85" t="s">
        <v>63</v>
      </c>
      <c r="D50" s="57" t="str">
        <f>INDEX(Workstreams[Workstream], MATCH($C50, Workstreams[Code], 0))</f>
        <v>Distributed renewable power generation</v>
      </c>
      <c r="E50" s="53"/>
      <c r="G50" s="300">
        <f t="shared" ref="G50:O50" ca="1" si="123">SUM(G49:G49)</f>
        <v>0</v>
      </c>
      <c r="H50" s="300">
        <f t="shared" ca="1" si="123"/>
        <v>0</v>
      </c>
      <c r="I50" s="300">
        <f t="shared" ca="1" si="123"/>
        <v>0</v>
      </c>
      <c r="J50" s="300">
        <f t="shared" ca="1" si="123"/>
        <v>0</v>
      </c>
      <c r="K50" s="300">
        <f t="shared" ca="1" si="123"/>
        <v>0</v>
      </c>
      <c r="L50" s="300">
        <f t="shared" ca="1" si="123"/>
        <v>0</v>
      </c>
      <c r="M50" s="300">
        <f t="shared" ca="1" si="123"/>
        <v>0</v>
      </c>
      <c r="N50" s="300">
        <f t="shared" ca="1" si="123"/>
        <v>0</v>
      </c>
      <c r="O50" s="300">
        <f t="shared" ca="1" si="123"/>
        <v>0</v>
      </c>
      <c r="P50" s="300">
        <f t="shared" ca="1" si="70"/>
        <v>0</v>
      </c>
      <c r="R50" s="257">
        <f t="shared" ref="R50:AG50" ca="1" si="124">SUM(R49:R49)</f>
        <v>0</v>
      </c>
      <c r="S50" s="257">
        <f t="shared" ca="1" si="124"/>
        <v>0.92042999999999997</v>
      </c>
      <c r="T50" s="257">
        <f t="shared" ca="1" si="124"/>
        <v>0</v>
      </c>
      <c r="U50" s="257">
        <f t="shared" ca="1" si="124"/>
        <v>0</v>
      </c>
      <c r="V50" s="257">
        <f t="shared" ca="1" si="124"/>
        <v>0</v>
      </c>
      <c r="W50" s="257">
        <f t="shared" ca="1" si="124"/>
        <v>0</v>
      </c>
      <c r="X50" s="257">
        <f t="shared" ca="1" si="124"/>
        <v>0</v>
      </c>
      <c r="Y50" s="257">
        <f t="shared" ca="1" si="124"/>
        <v>0</v>
      </c>
      <c r="Z50" s="257">
        <f t="shared" ca="1" si="124"/>
        <v>0</v>
      </c>
      <c r="AA50" s="257">
        <f t="shared" ca="1" si="124"/>
        <v>0</v>
      </c>
      <c r="AB50" s="257">
        <f t="shared" ca="1" si="124"/>
        <v>0</v>
      </c>
      <c r="AC50" s="257">
        <f t="shared" ca="1" si="124"/>
        <v>0</v>
      </c>
      <c r="AD50" s="257">
        <f t="shared" ca="1" si="124"/>
        <v>0</v>
      </c>
      <c r="AE50" s="257">
        <f t="shared" ca="1" si="124"/>
        <v>0</v>
      </c>
      <c r="AF50" s="257">
        <f t="shared" ca="1" si="124"/>
        <v>0</v>
      </c>
      <c r="AG50" s="257">
        <f t="shared" ca="1" si="124"/>
        <v>0</v>
      </c>
      <c r="AH50" s="257">
        <f t="shared" ca="1" si="5"/>
        <v>0.92042999999999997</v>
      </c>
      <c r="AJ50" s="263">
        <f t="shared" ref="AJ50:AX50" ca="1" si="125">SUM(AJ49:AJ49)</f>
        <v>0</v>
      </c>
      <c r="AK50" s="263">
        <f t="shared" ca="1" si="125"/>
        <v>0</v>
      </c>
      <c r="AL50" s="263">
        <f t="shared" ca="1" si="125"/>
        <v>0</v>
      </c>
      <c r="AM50" s="263">
        <f t="shared" ca="1" si="125"/>
        <v>0</v>
      </c>
      <c r="AN50" s="263">
        <f t="shared" ca="1" si="125"/>
        <v>0</v>
      </c>
      <c r="AO50" s="263">
        <f t="shared" ca="1" si="125"/>
        <v>0</v>
      </c>
      <c r="AP50" s="263">
        <f t="shared" ca="1" si="125"/>
        <v>0</v>
      </c>
      <c r="AQ50" s="263">
        <f t="shared" ca="1" si="125"/>
        <v>0</v>
      </c>
      <c r="AR50" s="263">
        <f t="shared" ca="1" si="125"/>
        <v>0</v>
      </c>
      <c r="AS50" s="263">
        <f t="shared" ca="1" si="125"/>
        <v>0</v>
      </c>
      <c r="AT50" s="263">
        <f t="shared" ca="1" si="125"/>
        <v>-0.92042999999999997</v>
      </c>
      <c r="AU50" s="263">
        <f t="shared" ca="1" si="125"/>
        <v>0</v>
      </c>
      <c r="AV50" s="263">
        <f t="shared" ca="1" si="125"/>
        <v>0</v>
      </c>
      <c r="AW50" s="263">
        <f t="shared" ca="1" si="125"/>
        <v>0</v>
      </c>
      <c r="AX50" s="263">
        <f t="shared" ca="1" si="125"/>
        <v>0</v>
      </c>
      <c r="AY50" s="263">
        <f t="shared" ca="1" si="74"/>
        <v>-0.92042999999999997</v>
      </c>
      <c r="BA50" s="277">
        <f ca="1">SUM(BA49:BA49)</f>
        <v>0</v>
      </c>
      <c r="BB50" s="277">
        <f ca="1">SUM(BB49:BB49)</f>
        <v>0</v>
      </c>
      <c r="BC50" s="277">
        <f t="shared" ca="1" si="10"/>
        <v>0</v>
      </c>
      <c r="BE50" s="55">
        <f ca="1">P50+AH50+AY50+BC50</f>
        <v>0</v>
      </c>
      <c r="BF50" s="55"/>
      <c r="BG50" s="1428"/>
      <c r="BH50" s="542">
        <f t="shared" ref="BH50:CU50" ca="1" si="126">SUM(BH49:BH49)</f>
        <v>0</v>
      </c>
      <c r="BI50" s="542">
        <f t="shared" ca="1" si="126"/>
        <v>0</v>
      </c>
      <c r="BJ50" s="542">
        <f t="shared" ca="1" si="126"/>
        <v>0</v>
      </c>
      <c r="BK50" s="542">
        <f t="shared" ca="1" si="126"/>
        <v>0</v>
      </c>
      <c r="BL50" s="542">
        <f t="shared" ca="1" si="126"/>
        <v>0</v>
      </c>
      <c r="BM50" s="542">
        <f t="shared" ca="1" si="126"/>
        <v>0</v>
      </c>
      <c r="BN50" s="542">
        <f t="shared" ca="1" si="126"/>
        <v>0</v>
      </c>
      <c r="BO50" s="542">
        <f t="shared" ca="1" si="126"/>
        <v>0</v>
      </c>
      <c r="BP50" s="542">
        <f t="shared" ca="1" si="126"/>
        <v>0</v>
      </c>
      <c r="BQ50" s="542">
        <f t="shared" ca="1" si="126"/>
        <v>0</v>
      </c>
      <c r="BR50" s="542">
        <f t="shared" ca="1" si="126"/>
        <v>0</v>
      </c>
      <c r="BS50" s="542">
        <f t="shared" ca="1" si="126"/>
        <v>0</v>
      </c>
      <c r="BT50" s="542">
        <f t="shared" ca="1" si="126"/>
        <v>0</v>
      </c>
      <c r="BU50" s="542">
        <f t="shared" ca="1" si="126"/>
        <v>0</v>
      </c>
      <c r="BV50" s="542">
        <f t="shared" ca="1" si="126"/>
        <v>0</v>
      </c>
      <c r="BW50" s="542">
        <f t="shared" ca="1" si="126"/>
        <v>0</v>
      </c>
      <c r="BX50" s="542">
        <f t="shared" ca="1" si="126"/>
        <v>0</v>
      </c>
      <c r="BY50" s="542">
        <f t="shared" ca="1" si="126"/>
        <v>0</v>
      </c>
      <c r="BZ50" s="542">
        <f t="shared" ca="1" si="126"/>
        <v>0</v>
      </c>
      <c r="CA50" s="542">
        <f t="shared" ca="1" si="126"/>
        <v>0</v>
      </c>
      <c r="CB50" s="542">
        <f t="shared" ca="1" si="126"/>
        <v>0</v>
      </c>
      <c r="CC50" s="542">
        <f t="shared" ca="1" si="126"/>
        <v>0</v>
      </c>
      <c r="CD50" s="542">
        <f t="shared" ca="1" si="126"/>
        <v>0</v>
      </c>
      <c r="CE50" s="542">
        <f t="shared" ca="1" si="126"/>
        <v>0</v>
      </c>
      <c r="CF50" s="542">
        <f t="shared" ca="1" si="126"/>
        <v>0</v>
      </c>
      <c r="CG50" s="542">
        <f t="shared" ca="1" si="126"/>
        <v>0</v>
      </c>
      <c r="CH50" s="542">
        <f t="shared" ca="1" si="126"/>
        <v>0</v>
      </c>
      <c r="CI50" s="542">
        <f t="shared" ca="1" si="126"/>
        <v>0</v>
      </c>
      <c r="CJ50" s="542">
        <f t="shared" ca="1" si="126"/>
        <v>0</v>
      </c>
      <c r="CK50" s="542">
        <f t="shared" ca="1" si="126"/>
        <v>0</v>
      </c>
      <c r="CL50" s="542">
        <f t="shared" ca="1" si="126"/>
        <v>0</v>
      </c>
      <c r="CM50" s="542">
        <f t="shared" ca="1" si="126"/>
        <v>0</v>
      </c>
      <c r="CN50" s="542">
        <f t="shared" ca="1" si="126"/>
        <v>0</v>
      </c>
      <c r="CO50" s="542">
        <f t="shared" ca="1" si="126"/>
        <v>0</v>
      </c>
      <c r="CP50" s="542">
        <f t="shared" ca="1" si="126"/>
        <v>0</v>
      </c>
      <c r="CQ50" s="542">
        <f t="shared" ca="1" si="126"/>
        <v>0</v>
      </c>
      <c r="CR50" s="542">
        <f t="shared" ca="1" si="126"/>
        <v>0</v>
      </c>
      <c r="CS50" s="542">
        <f t="shared" ca="1" si="126"/>
        <v>0</v>
      </c>
      <c r="CT50" s="542">
        <f t="shared" ca="1" si="126"/>
        <v>0</v>
      </c>
      <c r="CU50" s="542">
        <f t="shared" ca="1" si="126"/>
        <v>0</v>
      </c>
      <c r="CW50" s="151">
        <f t="shared" ca="1" si="114"/>
        <v>0</v>
      </c>
    </row>
    <row r="51" spans="1:101" s="84" customFormat="1" ht="12.75" customHeight="1" outlineLevel="1" x14ac:dyDescent="0.2">
      <c r="A51" s="18"/>
      <c r="B51" s="18"/>
      <c r="C51" s="87"/>
      <c r="D51" s="53"/>
      <c r="E51" s="53"/>
      <c r="G51" s="245"/>
      <c r="H51" s="245"/>
      <c r="I51" s="245"/>
      <c r="J51" s="245"/>
      <c r="K51" s="245"/>
      <c r="L51" s="247"/>
      <c r="M51" s="245"/>
      <c r="N51" s="245"/>
      <c r="O51" s="245"/>
      <c r="P51" s="245">
        <f t="shared" si="70"/>
        <v>0</v>
      </c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>
        <f t="shared" si="5"/>
        <v>0</v>
      </c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>
        <f t="shared" si="74"/>
        <v>0</v>
      </c>
      <c r="BA51" s="277"/>
      <c r="BB51" s="277"/>
      <c r="BC51" s="277">
        <f t="shared" si="10"/>
        <v>0</v>
      </c>
      <c r="BE51" s="55"/>
      <c r="BF51" s="55"/>
      <c r="BG51" s="18"/>
      <c r="BH51" s="542"/>
      <c r="BI51" s="542"/>
      <c r="BJ51" s="542"/>
      <c r="BK51" s="542"/>
      <c r="BL51" s="542"/>
      <c r="BM51" s="542"/>
      <c r="BN51" s="542"/>
      <c r="BO51" s="542"/>
      <c r="BP51" s="542"/>
      <c r="BQ51" s="542"/>
      <c r="BR51" s="542"/>
      <c r="BS51" s="542"/>
      <c r="BT51" s="542"/>
      <c r="BU51" s="542"/>
      <c r="BV51" s="542"/>
      <c r="BW51" s="542"/>
      <c r="BX51" s="542"/>
      <c r="BY51" s="542"/>
      <c r="BZ51" s="542"/>
      <c r="CA51" s="542"/>
      <c r="CB51" s="542"/>
      <c r="CC51" s="542"/>
      <c r="CD51" s="542"/>
      <c r="CE51" s="542"/>
      <c r="CF51" s="542"/>
      <c r="CG51" s="542"/>
      <c r="CH51" s="542"/>
      <c r="CI51" s="542"/>
      <c r="CJ51" s="542"/>
      <c r="CK51" s="542"/>
      <c r="CL51" s="542"/>
      <c r="CM51" s="542"/>
      <c r="CN51" s="542"/>
      <c r="CO51" s="542"/>
      <c r="CP51" s="542"/>
      <c r="CQ51" s="542"/>
      <c r="CR51" s="542"/>
      <c r="CS51" s="542"/>
      <c r="CT51" s="542"/>
      <c r="CU51" s="542"/>
      <c r="CW51" s="151">
        <f t="shared" si="114"/>
        <v>0</v>
      </c>
    </row>
    <row r="52" spans="1:101" s="547" customFormat="1" ht="12.75" customHeight="1" outlineLevel="1" x14ac:dyDescent="0.2">
      <c r="C52" s="319" t="s">
        <v>855</v>
      </c>
      <c r="D52" s="320" t="s">
        <v>587</v>
      </c>
      <c r="E52" s="320"/>
      <c r="F52" s="84"/>
      <c r="G52" s="321"/>
      <c r="H52" s="321"/>
      <c r="I52" s="321"/>
      <c r="J52" s="321"/>
      <c r="K52" s="321"/>
      <c r="L52" s="322"/>
      <c r="M52" s="321"/>
      <c r="N52" s="321"/>
      <c r="O52" s="321"/>
      <c r="P52" s="321">
        <f t="shared" si="70"/>
        <v>0</v>
      </c>
      <c r="Q52" s="84"/>
      <c r="R52" s="323">
        <f ca="1">R$28+R$36+R$80+R$40+R$74+R$47+R$50</f>
        <v>-138.16092956568079</v>
      </c>
      <c r="S52" s="323">
        <f ca="1">S$28+S$36+S$80+S$40+S$74+S$47+S$50</f>
        <v>-17.628839718271969</v>
      </c>
      <c r="T52" s="323"/>
      <c r="U52" s="323"/>
      <c r="V52" s="323"/>
      <c r="W52" s="323"/>
      <c r="X52" s="323"/>
      <c r="Y52" s="323"/>
      <c r="Z52" s="323"/>
      <c r="AA52" s="323"/>
      <c r="AB52" s="323"/>
      <c r="AC52" s="323"/>
      <c r="AD52" s="323"/>
      <c r="AE52" s="323"/>
      <c r="AF52" s="323"/>
      <c r="AG52" s="323"/>
      <c r="AH52" s="323">
        <f t="shared" ca="1" si="5"/>
        <v>-155.78976928395275</v>
      </c>
      <c r="AI52" s="84"/>
      <c r="AJ52" s="324"/>
      <c r="AK52" s="324"/>
      <c r="AL52" s="324"/>
      <c r="AM52" s="324"/>
      <c r="AN52" s="324"/>
      <c r="AO52" s="324"/>
      <c r="AP52" s="324"/>
      <c r="AQ52" s="324"/>
      <c r="AR52" s="324"/>
      <c r="AS52" s="324"/>
      <c r="AT52" s="324"/>
      <c r="AU52" s="324"/>
      <c r="AV52" s="324"/>
      <c r="AW52" s="324"/>
      <c r="AX52" s="324"/>
      <c r="AY52" s="324">
        <f t="shared" si="74"/>
        <v>0</v>
      </c>
      <c r="AZ52" s="84"/>
      <c r="BA52" s="325"/>
      <c r="BB52" s="325"/>
      <c r="BC52" s="325">
        <f t="shared" si="10"/>
        <v>0</v>
      </c>
      <c r="BD52" s="84"/>
      <c r="BE52" s="164"/>
      <c r="BF52" s="164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  <c r="CG52" s="549"/>
      <c r="CH52" s="549"/>
      <c r="CI52" s="549"/>
      <c r="CJ52" s="549"/>
      <c r="CK52" s="549"/>
      <c r="CL52" s="549"/>
      <c r="CM52" s="549"/>
      <c r="CN52" s="549"/>
      <c r="CO52" s="549"/>
      <c r="CP52" s="549"/>
      <c r="CQ52" s="549"/>
      <c r="CR52" s="549"/>
      <c r="CS52" s="549"/>
      <c r="CT52" s="549"/>
      <c r="CU52" s="549"/>
      <c r="CW52" s="151">
        <f t="shared" si="114"/>
        <v>0</v>
      </c>
    </row>
    <row r="53" spans="1:101" s="543" customFormat="1" ht="12.75" customHeight="1" outlineLevel="1" x14ac:dyDescent="0.2">
      <c r="C53" s="86" t="s">
        <v>297</v>
      </c>
      <c r="D53" s="292" t="str">
        <f>INDEX(Modules[Module], MATCH($C53, Modules[Code], 0))</f>
        <v>Nuclear power</v>
      </c>
      <c r="E53" s="292"/>
      <c r="F53" s="84"/>
      <c r="G53" s="301">
        <f t="shared" ref="G53:O53" ca="1" si="127">IFERROR(INDEX(INDIRECT($C53&amp;".Outputs["&amp;this.Year&amp;"]"), MATCH(G$5, INDIRECT($C53&amp;".Outputs[Vector]"), 0)), 0)</f>
        <v>0</v>
      </c>
      <c r="H53" s="301">
        <f t="shared" ca="1" si="127"/>
        <v>0</v>
      </c>
      <c r="I53" s="301">
        <f t="shared" ca="1" si="127"/>
        <v>0</v>
      </c>
      <c r="J53" s="301">
        <f t="shared" ca="1" si="127"/>
        <v>0</v>
      </c>
      <c r="K53" s="301">
        <f t="shared" ca="1" si="127"/>
        <v>0</v>
      </c>
      <c r="L53" s="301">
        <f t="shared" ca="1" si="127"/>
        <v>0</v>
      </c>
      <c r="M53" s="301">
        <f t="shared" ca="1" si="127"/>
        <v>0</v>
      </c>
      <c r="N53" s="301">
        <f t="shared" ca="1" si="127"/>
        <v>0</v>
      </c>
      <c r="O53" s="301">
        <f t="shared" ca="1" si="127"/>
        <v>0</v>
      </c>
      <c r="P53" s="301">
        <f t="shared" ca="1" si="70"/>
        <v>0</v>
      </c>
      <c r="Q53" s="84"/>
      <c r="R53" s="307">
        <f t="shared" ref="R53:AX53" ca="1" si="128">IFERROR(INDEX(INDIRECT($C53&amp;".Outputs["&amp;this.Year&amp;"]"), MATCH(R$5, INDIRECT($C53&amp;".Outputs[Vector]"), 0)), 0)</f>
        <v>0</v>
      </c>
      <c r="S53" s="307">
        <f t="shared" ca="1" si="128"/>
        <v>0</v>
      </c>
      <c r="T53" s="307">
        <f t="shared" ca="1" si="128"/>
        <v>0</v>
      </c>
      <c r="U53" s="307">
        <f t="shared" ca="1" si="128"/>
        <v>0</v>
      </c>
      <c r="V53" s="307">
        <f t="shared" ca="1" si="128"/>
        <v>0</v>
      </c>
      <c r="W53" s="307">
        <f t="shared" ca="1" si="128"/>
        <v>0</v>
      </c>
      <c r="X53" s="307">
        <f ca="1">IFERROR(INDEX(INDIRECT($C53&amp;".Outputs["&amp;this.Year&amp;"]"), MATCH(X$5, INDIRECT($C53&amp;".Outputs[Vector]"), 0)), 0)</f>
        <v>0</v>
      </c>
      <c r="Y53" s="307">
        <f ca="1">IFERROR(INDEX(INDIRECT($C53&amp;".Outputs["&amp;this.Year&amp;"]"), MATCH(Y$5, INDIRECT($C53&amp;".Outputs[Vector]"), 0)), 0)</f>
        <v>0</v>
      </c>
      <c r="Z53" s="307">
        <f ca="1">IFERROR(INDEX(INDIRECT($C53&amp;".Outputs["&amp;this.Year&amp;"]"), MATCH(Z$5, INDIRECT($C53&amp;".Outputs[Vector]"), 0)), 0)</f>
        <v>0</v>
      </c>
      <c r="AA53" s="307">
        <f t="shared" ca="1" si="128"/>
        <v>0</v>
      </c>
      <c r="AB53" s="307">
        <f t="shared" ca="1" si="128"/>
        <v>0</v>
      </c>
      <c r="AC53" s="307">
        <f t="shared" ca="1" si="128"/>
        <v>0</v>
      </c>
      <c r="AD53" s="307">
        <f t="shared" ca="1" si="128"/>
        <v>0</v>
      </c>
      <c r="AE53" s="307">
        <f t="shared" ca="1" si="128"/>
        <v>0</v>
      </c>
      <c r="AF53" s="307">
        <f t="shared" ca="1" si="128"/>
        <v>0</v>
      </c>
      <c r="AG53" s="307">
        <f t="shared" ca="1" si="128"/>
        <v>0</v>
      </c>
      <c r="AH53" s="306">
        <f t="shared" ca="1" si="5"/>
        <v>0</v>
      </c>
      <c r="AI53" s="84"/>
      <c r="AJ53" s="315">
        <f t="shared" ref="AJ53:AR53" ca="1" si="129">IFERROR(INDEX(INDIRECT($C53&amp;".Outputs["&amp;this.Year&amp;"]"), MATCH(AJ$5, INDIRECT($C53&amp;".Outputs[Vector]"), 0)), 0)</f>
        <v>0</v>
      </c>
      <c r="AK53" s="315">
        <f t="shared" ca="1" si="129"/>
        <v>0</v>
      </c>
      <c r="AL53" s="315">
        <f t="shared" ca="1" si="129"/>
        <v>0</v>
      </c>
      <c r="AM53" s="315">
        <f t="shared" ca="1" si="129"/>
        <v>0</v>
      </c>
      <c r="AN53" s="315">
        <f t="shared" ca="1" si="129"/>
        <v>0</v>
      </c>
      <c r="AO53" s="315">
        <f t="shared" ca="1" si="129"/>
        <v>0</v>
      </c>
      <c r="AP53" s="315">
        <f t="shared" ca="1" si="129"/>
        <v>0</v>
      </c>
      <c r="AQ53" s="315">
        <f t="shared" ca="1" si="129"/>
        <v>0</v>
      </c>
      <c r="AR53" s="315">
        <f t="shared" ca="1" si="129"/>
        <v>0</v>
      </c>
      <c r="AS53" s="315">
        <f t="shared" ca="1" si="128"/>
        <v>0</v>
      </c>
      <c r="AT53" s="315">
        <f t="shared" ca="1" si="128"/>
        <v>0</v>
      </c>
      <c r="AU53" s="315">
        <f t="shared" ca="1" si="128"/>
        <v>0</v>
      </c>
      <c r="AV53" s="315">
        <f t="shared" ca="1" si="128"/>
        <v>0</v>
      </c>
      <c r="AW53" s="315">
        <f t="shared" ca="1" si="128"/>
        <v>0</v>
      </c>
      <c r="AX53" s="315">
        <f t="shared" ca="1" si="128"/>
        <v>0</v>
      </c>
      <c r="AY53" s="293">
        <f t="shared" ca="1" si="74"/>
        <v>0</v>
      </c>
      <c r="AZ53" s="84"/>
      <c r="BA53" s="311">
        <f ca="1">IFERROR(INDEX(INDIRECT($C53&amp;".Outputs["&amp;this.Year&amp;"]"), MATCH(BA$5, INDIRECT($C53&amp;".Outputs[Vector]"), 0)), 0)</f>
        <v>0</v>
      </c>
      <c r="BB53" s="311">
        <f ca="1">IFERROR(INDEX(INDIRECT($C53&amp;".Outputs["&amp;this.Year&amp;"]"), MATCH(BB$5, INDIRECT($C53&amp;".Outputs[Vector]"), 0)), 0)</f>
        <v>0</v>
      </c>
      <c r="BC53" s="310">
        <f t="shared" ca="1" si="10"/>
        <v>0</v>
      </c>
      <c r="BD53" s="84"/>
      <c r="BE53" s="135">
        <f ca="1">P53+AH53+AY53+BC53</f>
        <v>0</v>
      </c>
      <c r="BF53" s="135"/>
      <c r="BG53" s="1428"/>
      <c r="BH53" s="544">
        <f t="shared" ref="BH53:CU53" ca="1" si="130">IFERROR(SUMIFS(INDIRECT($C53&amp;".Emissions["&amp;this.Year&amp;"]"), INDIRECT($C53&amp;".Emissions[GHG]"), BH$6, INDIRECT($C53&amp;".Emissions[IPCC Sector]"), BH$5),0)</f>
        <v>0</v>
      </c>
      <c r="BI53" s="545">
        <f t="shared" ca="1" si="130"/>
        <v>0</v>
      </c>
      <c r="BJ53" s="545">
        <f t="shared" ca="1" si="130"/>
        <v>0</v>
      </c>
      <c r="BK53" s="545">
        <f t="shared" ca="1" si="130"/>
        <v>0</v>
      </c>
      <c r="BL53" s="545">
        <f t="shared" ca="1" si="130"/>
        <v>0</v>
      </c>
      <c r="BM53" s="545">
        <f t="shared" ca="1" si="130"/>
        <v>0</v>
      </c>
      <c r="BN53" s="545">
        <f t="shared" ca="1" si="130"/>
        <v>0</v>
      </c>
      <c r="BO53" s="545">
        <f t="shared" ca="1" si="130"/>
        <v>0</v>
      </c>
      <c r="BP53" s="545">
        <f t="shared" ca="1" si="130"/>
        <v>0</v>
      </c>
      <c r="BQ53" s="545">
        <f t="shared" ca="1" si="130"/>
        <v>0</v>
      </c>
      <c r="BR53" s="545">
        <f t="shared" ca="1" si="130"/>
        <v>0</v>
      </c>
      <c r="BS53" s="545">
        <f t="shared" ca="1" si="130"/>
        <v>0</v>
      </c>
      <c r="BT53" s="545">
        <f t="shared" ca="1" si="130"/>
        <v>0</v>
      </c>
      <c r="BU53" s="545">
        <f t="shared" ca="1" si="130"/>
        <v>0</v>
      </c>
      <c r="BV53" s="545">
        <f t="shared" ca="1" si="130"/>
        <v>0</v>
      </c>
      <c r="BW53" s="545">
        <f t="shared" ca="1" si="130"/>
        <v>0</v>
      </c>
      <c r="BX53" s="545">
        <f t="shared" ca="1" si="130"/>
        <v>0</v>
      </c>
      <c r="BY53" s="545">
        <f t="shared" ca="1" si="130"/>
        <v>0</v>
      </c>
      <c r="BZ53" s="545">
        <f t="shared" ca="1" si="130"/>
        <v>0</v>
      </c>
      <c r="CA53" s="545">
        <f t="shared" ca="1" si="130"/>
        <v>0</v>
      </c>
      <c r="CB53" s="545">
        <f t="shared" ca="1" si="130"/>
        <v>0</v>
      </c>
      <c r="CC53" s="545">
        <f t="shared" ca="1" si="130"/>
        <v>0</v>
      </c>
      <c r="CD53" s="545">
        <f t="shared" ca="1" si="130"/>
        <v>0</v>
      </c>
      <c r="CE53" s="545">
        <f t="shared" ca="1" si="130"/>
        <v>0</v>
      </c>
      <c r="CF53" s="545">
        <f t="shared" ca="1" si="130"/>
        <v>0</v>
      </c>
      <c r="CG53" s="545">
        <f t="shared" ca="1" si="130"/>
        <v>0</v>
      </c>
      <c r="CH53" s="545">
        <f t="shared" ca="1" si="130"/>
        <v>0</v>
      </c>
      <c r="CI53" s="545">
        <f t="shared" ca="1" si="130"/>
        <v>0</v>
      </c>
      <c r="CJ53" s="545">
        <f t="shared" ca="1" si="130"/>
        <v>0</v>
      </c>
      <c r="CK53" s="545">
        <f t="shared" ca="1" si="130"/>
        <v>0</v>
      </c>
      <c r="CL53" s="545">
        <f t="shared" ca="1" si="130"/>
        <v>0</v>
      </c>
      <c r="CM53" s="545">
        <f t="shared" ca="1" si="130"/>
        <v>0</v>
      </c>
      <c r="CN53" s="545">
        <f t="shared" ca="1" si="130"/>
        <v>0</v>
      </c>
      <c r="CO53" s="545">
        <f t="shared" ca="1" si="130"/>
        <v>0</v>
      </c>
      <c r="CP53" s="545">
        <f t="shared" ca="1" si="130"/>
        <v>0</v>
      </c>
      <c r="CQ53" s="545">
        <f t="shared" ca="1" si="130"/>
        <v>0</v>
      </c>
      <c r="CR53" s="545">
        <f t="shared" ca="1" si="130"/>
        <v>0</v>
      </c>
      <c r="CS53" s="545">
        <f t="shared" ca="1" si="130"/>
        <v>0</v>
      </c>
      <c r="CT53" s="545">
        <f t="shared" ca="1" si="130"/>
        <v>0</v>
      </c>
      <c r="CU53" s="545">
        <f t="shared" ca="1" si="130"/>
        <v>0</v>
      </c>
      <c r="CW53" s="151">
        <f t="shared" ca="1" si="114"/>
        <v>0</v>
      </c>
    </row>
    <row r="54" spans="1:101" s="84" customFormat="1" ht="15.75" x14ac:dyDescent="0.2">
      <c r="A54" s="18"/>
      <c r="B54" s="89"/>
      <c r="C54" s="85" t="s">
        <v>61</v>
      </c>
      <c r="D54" s="57" t="str">
        <f>INDEX(Workstreams[Workstream], MATCH($C54, Workstreams[Code], 0))</f>
        <v>Nuclear power generation</v>
      </c>
      <c r="E54" s="53"/>
      <c r="G54" s="300">
        <f ca="1">G53</f>
        <v>0</v>
      </c>
      <c r="H54" s="300">
        <f t="shared" ref="H54:O54" ca="1" si="131">H53</f>
        <v>0</v>
      </c>
      <c r="I54" s="300">
        <f ca="1">I53</f>
        <v>0</v>
      </c>
      <c r="J54" s="300">
        <f t="shared" ca="1" si="131"/>
        <v>0</v>
      </c>
      <c r="K54" s="300">
        <f t="shared" ca="1" si="131"/>
        <v>0</v>
      </c>
      <c r="L54" s="300">
        <f t="shared" ca="1" si="131"/>
        <v>0</v>
      </c>
      <c r="M54" s="300">
        <f t="shared" ca="1" si="131"/>
        <v>0</v>
      </c>
      <c r="N54" s="300">
        <f t="shared" ca="1" si="131"/>
        <v>0</v>
      </c>
      <c r="O54" s="300">
        <f t="shared" ca="1" si="131"/>
        <v>0</v>
      </c>
      <c r="P54" s="300">
        <f t="shared" ca="1" si="70"/>
        <v>0</v>
      </c>
      <c r="R54" s="257">
        <f t="shared" ref="R54:AE54" ca="1" si="132">R53</f>
        <v>0</v>
      </c>
      <c r="S54" s="257">
        <f t="shared" ca="1" si="132"/>
        <v>0</v>
      </c>
      <c r="T54" s="257">
        <f t="shared" ca="1" si="132"/>
        <v>0</v>
      </c>
      <c r="U54" s="257">
        <f t="shared" ca="1" si="132"/>
        <v>0</v>
      </c>
      <c r="V54" s="257">
        <f t="shared" ca="1" si="132"/>
        <v>0</v>
      </c>
      <c r="W54" s="257">
        <f ca="1">W53</f>
        <v>0</v>
      </c>
      <c r="X54" s="257">
        <f t="shared" ca="1" si="132"/>
        <v>0</v>
      </c>
      <c r="Y54" s="257">
        <f t="shared" ca="1" si="132"/>
        <v>0</v>
      </c>
      <c r="Z54" s="257">
        <f t="shared" ca="1" si="132"/>
        <v>0</v>
      </c>
      <c r="AA54" s="257">
        <f t="shared" ca="1" si="132"/>
        <v>0</v>
      </c>
      <c r="AB54" s="257">
        <f t="shared" ca="1" si="132"/>
        <v>0</v>
      </c>
      <c r="AC54" s="257">
        <f ca="1">AC53</f>
        <v>0</v>
      </c>
      <c r="AD54" s="257">
        <f ca="1">AD53</f>
        <v>0</v>
      </c>
      <c r="AE54" s="257">
        <f t="shared" ca="1" si="132"/>
        <v>0</v>
      </c>
      <c r="AF54" s="257">
        <f ca="1">AF53</f>
        <v>0</v>
      </c>
      <c r="AG54" s="257">
        <f ca="1">AG53</f>
        <v>0</v>
      </c>
      <c r="AH54" s="257">
        <f t="shared" ca="1" si="5"/>
        <v>0</v>
      </c>
      <c r="AJ54" s="263">
        <f ca="1">AJ53</f>
        <v>0</v>
      </c>
      <c r="AK54" s="263">
        <f t="shared" ref="AK54:AX54" ca="1" si="133">AK53</f>
        <v>0</v>
      </c>
      <c r="AL54" s="263">
        <f t="shared" ca="1" si="133"/>
        <v>0</v>
      </c>
      <c r="AM54" s="263">
        <f t="shared" ca="1" si="133"/>
        <v>0</v>
      </c>
      <c r="AN54" s="263">
        <f t="shared" ca="1" si="133"/>
        <v>0</v>
      </c>
      <c r="AO54" s="263">
        <f t="shared" ca="1" si="133"/>
        <v>0</v>
      </c>
      <c r="AP54" s="263">
        <f t="shared" ca="1" si="133"/>
        <v>0</v>
      </c>
      <c r="AQ54" s="263">
        <f t="shared" ca="1" si="133"/>
        <v>0</v>
      </c>
      <c r="AR54" s="263">
        <f t="shared" ca="1" si="133"/>
        <v>0</v>
      </c>
      <c r="AS54" s="263">
        <f t="shared" ca="1" si="133"/>
        <v>0</v>
      </c>
      <c r="AT54" s="263">
        <f t="shared" ca="1" si="133"/>
        <v>0</v>
      </c>
      <c r="AU54" s="263">
        <f t="shared" ca="1" si="133"/>
        <v>0</v>
      </c>
      <c r="AV54" s="263">
        <f t="shared" ca="1" si="133"/>
        <v>0</v>
      </c>
      <c r="AW54" s="263">
        <f t="shared" ca="1" si="133"/>
        <v>0</v>
      </c>
      <c r="AX54" s="263">
        <f t="shared" ca="1" si="133"/>
        <v>0</v>
      </c>
      <c r="AY54" s="263">
        <f t="shared" ca="1" si="74"/>
        <v>0</v>
      </c>
      <c r="BA54" s="277">
        <f ca="1">BA53</f>
        <v>0</v>
      </c>
      <c r="BB54" s="277">
        <f ca="1">BB53</f>
        <v>0</v>
      </c>
      <c r="BC54" s="277">
        <f t="shared" ca="1" si="10"/>
        <v>0</v>
      </c>
      <c r="BE54" s="55">
        <f ca="1">P54+AH54+AY54+BC54</f>
        <v>0</v>
      </c>
      <c r="BF54" s="55"/>
      <c r="BG54" s="1428"/>
      <c r="BH54" s="542">
        <f t="shared" ref="BH54:CU54" ca="1" si="134">BH53</f>
        <v>0</v>
      </c>
      <c r="BI54" s="542">
        <f t="shared" ca="1" si="134"/>
        <v>0</v>
      </c>
      <c r="BJ54" s="542">
        <f t="shared" ca="1" si="134"/>
        <v>0</v>
      </c>
      <c r="BK54" s="542">
        <f t="shared" ca="1" si="134"/>
        <v>0</v>
      </c>
      <c r="BL54" s="542">
        <f t="shared" ca="1" si="134"/>
        <v>0</v>
      </c>
      <c r="BM54" s="542">
        <f t="shared" ca="1" si="134"/>
        <v>0</v>
      </c>
      <c r="BN54" s="542">
        <f t="shared" ca="1" si="134"/>
        <v>0</v>
      </c>
      <c r="BO54" s="542">
        <f t="shared" ca="1" si="134"/>
        <v>0</v>
      </c>
      <c r="BP54" s="542">
        <f t="shared" ca="1" si="134"/>
        <v>0</v>
      </c>
      <c r="BQ54" s="542">
        <f t="shared" ca="1" si="134"/>
        <v>0</v>
      </c>
      <c r="BR54" s="542">
        <f t="shared" ca="1" si="134"/>
        <v>0</v>
      </c>
      <c r="BS54" s="542">
        <f t="shared" ca="1" si="134"/>
        <v>0</v>
      </c>
      <c r="BT54" s="542">
        <f t="shared" ca="1" si="134"/>
        <v>0</v>
      </c>
      <c r="BU54" s="542">
        <f t="shared" ca="1" si="134"/>
        <v>0</v>
      </c>
      <c r="BV54" s="542">
        <f t="shared" ca="1" si="134"/>
        <v>0</v>
      </c>
      <c r="BW54" s="542">
        <f t="shared" ca="1" si="134"/>
        <v>0</v>
      </c>
      <c r="BX54" s="542">
        <f t="shared" ca="1" si="134"/>
        <v>0</v>
      </c>
      <c r="BY54" s="542">
        <f t="shared" ca="1" si="134"/>
        <v>0</v>
      </c>
      <c r="BZ54" s="542">
        <f t="shared" ca="1" si="134"/>
        <v>0</v>
      </c>
      <c r="CA54" s="542">
        <f t="shared" ca="1" si="134"/>
        <v>0</v>
      </c>
      <c r="CB54" s="542">
        <f t="shared" ca="1" si="134"/>
        <v>0</v>
      </c>
      <c r="CC54" s="542">
        <f t="shared" ca="1" si="134"/>
        <v>0</v>
      </c>
      <c r="CD54" s="542">
        <f t="shared" ca="1" si="134"/>
        <v>0</v>
      </c>
      <c r="CE54" s="542">
        <f t="shared" ca="1" si="134"/>
        <v>0</v>
      </c>
      <c r="CF54" s="542">
        <f t="shared" ca="1" si="134"/>
        <v>0</v>
      </c>
      <c r="CG54" s="542">
        <f t="shared" ca="1" si="134"/>
        <v>0</v>
      </c>
      <c r="CH54" s="542">
        <f t="shared" ca="1" si="134"/>
        <v>0</v>
      </c>
      <c r="CI54" s="542">
        <f t="shared" ca="1" si="134"/>
        <v>0</v>
      </c>
      <c r="CJ54" s="542">
        <f t="shared" ca="1" si="134"/>
        <v>0</v>
      </c>
      <c r="CK54" s="542">
        <f t="shared" ca="1" si="134"/>
        <v>0</v>
      </c>
      <c r="CL54" s="542">
        <f t="shared" ca="1" si="134"/>
        <v>0</v>
      </c>
      <c r="CM54" s="542">
        <f t="shared" ca="1" si="134"/>
        <v>0</v>
      </c>
      <c r="CN54" s="542">
        <f t="shared" ca="1" si="134"/>
        <v>0</v>
      </c>
      <c r="CO54" s="542">
        <f t="shared" ca="1" si="134"/>
        <v>0</v>
      </c>
      <c r="CP54" s="542">
        <f t="shared" ca="1" si="134"/>
        <v>0</v>
      </c>
      <c r="CQ54" s="542">
        <f t="shared" ca="1" si="134"/>
        <v>0</v>
      </c>
      <c r="CR54" s="542">
        <f t="shared" ca="1" si="134"/>
        <v>0</v>
      </c>
      <c r="CS54" s="542">
        <f t="shared" ca="1" si="134"/>
        <v>0</v>
      </c>
      <c r="CT54" s="542">
        <f t="shared" ca="1" si="134"/>
        <v>0</v>
      </c>
      <c r="CU54" s="542">
        <f t="shared" ca="1" si="134"/>
        <v>0</v>
      </c>
      <c r="CW54" s="151">
        <f t="shared" ca="1" si="114"/>
        <v>0</v>
      </c>
    </row>
    <row r="55" spans="1:101" s="84" customFormat="1" ht="12.75" customHeight="1" outlineLevel="1" x14ac:dyDescent="0.2">
      <c r="A55" s="18"/>
      <c r="B55" s="18"/>
      <c r="C55" s="87"/>
      <c r="D55" s="53"/>
      <c r="E55" s="53"/>
      <c r="G55" s="245"/>
      <c r="H55" s="245"/>
      <c r="I55" s="245"/>
      <c r="J55" s="245"/>
      <c r="K55" s="245"/>
      <c r="L55" s="247"/>
      <c r="M55" s="245"/>
      <c r="N55" s="245"/>
      <c r="O55" s="245"/>
      <c r="P55" s="245">
        <f t="shared" si="70"/>
        <v>0</v>
      </c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>
        <f t="shared" si="5"/>
        <v>0</v>
      </c>
      <c r="AJ55" s="263"/>
      <c r="AK55" s="263"/>
      <c r="AL55" s="263"/>
      <c r="AM55" s="263"/>
      <c r="AN55" s="263"/>
      <c r="AO55" s="263"/>
      <c r="AP55" s="263"/>
      <c r="AQ55" s="263"/>
      <c r="AR55" s="263"/>
      <c r="AS55" s="263"/>
      <c r="AT55" s="263"/>
      <c r="AU55" s="263"/>
      <c r="AV55" s="263"/>
      <c r="AW55" s="263"/>
      <c r="AX55" s="263"/>
      <c r="AY55" s="263">
        <f t="shared" si="74"/>
        <v>0</v>
      </c>
      <c r="BA55" s="277"/>
      <c r="BB55" s="277"/>
      <c r="BC55" s="277">
        <f t="shared" si="10"/>
        <v>0</v>
      </c>
      <c r="BE55" s="55">
        <f>P55+AH55+AY55+BC55</f>
        <v>0</v>
      </c>
      <c r="BF55" s="55"/>
      <c r="BG55" s="18"/>
      <c r="BH55" s="542"/>
      <c r="BI55" s="542"/>
      <c r="BJ55" s="542"/>
      <c r="BK55" s="542"/>
      <c r="BL55" s="542"/>
      <c r="BM55" s="542"/>
      <c r="BN55" s="542"/>
      <c r="BO55" s="542"/>
      <c r="BP55" s="542"/>
      <c r="BQ55" s="542"/>
      <c r="BR55" s="542"/>
      <c r="BS55" s="542"/>
      <c r="BT55" s="542"/>
      <c r="BU55" s="542"/>
      <c r="BV55" s="542"/>
      <c r="BW55" s="542"/>
      <c r="BX55" s="542"/>
      <c r="BY55" s="542"/>
      <c r="BZ55" s="542"/>
      <c r="CA55" s="542"/>
      <c r="CB55" s="542"/>
      <c r="CC55" s="542"/>
      <c r="CD55" s="542"/>
      <c r="CE55" s="542"/>
      <c r="CF55" s="542"/>
      <c r="CG55" s="542"/>
      <c r="CH55" s="542"/>
      <c r="CI55" s="542"/>
      <c r="CJ55" s="542"/>
      <c r="CK55" s="542"/>
      <c r="CL55" s="542"/>
      <c r="CM55" s="542"/>
      <c r="CN55" s="542"/>
      <c r="CO55" s="542"/>
      <c r="CP55" s="542"/>
      <c r="CQ55" s="542"/>
      <c r="CR55" s="542"/>
      <c r="CS55" s="542"/>
      <c r="CT55" s="542"/>
      <c r="CU55" s="542"/>
      <c r="CW55" s="151">
        <f t="shared" si="114"/>
        <v>0</v>
      </c>
    </row>
    <row r="56" spans="1:101" s="547" customFormat="1" ht="12.75" customHeight="1" outlineLevel="1" x14ac:dyDescent="0.2">
      <c r="C56" s="319" t="s">
        <v>856</v>
      </c>
      <c r="D56" s="320" t="s">
        <v>587</v>
      </c>
      <c r="E56" s="320"/>
      <c r="F56" s="84"/>
      <c r="G56" s="321"/>
      <c r="H56" s="321"/>
      <c r="I56" s="321"/>
      <c r="J56" s="321"/>
      <c r="K56" s="321"/>
      <c r="L56" s="322"/>
      <c r="M56" s="321"/>
      <c r="N56" s="321"/>
      <c r="O56" s="321"/>
      <c r="P56" s="321">
        <f t="shared" si="70"/>
        <v>0</v>
      </c>
      <c r="Q56" s="84"/>
      <c r="R56" s="323">
        <f ca="1">R$52+R$54</f>
        <v>-138.16092956568079</v>
      </c>
      <c r="S56" s="323">
        <f ca="1">S$52+S$54</f>
        <v>-17.628839718271969</v>
      </c>
      <c r="T56" s="323"/>
      <c r="U56" s="323"/>
      <c r="V56" s="323"/>
      <c r="W56" s="323"/>
      <c r="X56" s="323"/>
      <c r="Y56" s="323"/>
      <c r="Z56" s="323"/>
      <c r="AA56" s="323"/>
      <c r="AB56" s="323"/>
      <c r="AC56" s="323"/>
      <c r="AD56" s="323"/>
      <c r="AE56" s="323"/>
      <c r="AF56" s="323"/>
      <c r="AG56" s="323"/>
      <c r="AH56" s="323">
        <f t="shared" ca="1" si="5"/>
        <v>-155.78976928395275</v>
      </c>
      <c r="AI56" s="84"/>
      <c r="AJ56" s="324"/>
      <c r="AK56" s="324"/>
      <c r="AL56" s="324"/>
      <c r="AM56" s="324"/>
      <c r="AN56" s="324"/>
      <c r="AO56" s="324"/>
      <c r="AP56" s="324"/>
      <c r="AQ56" s="324"/>
      <c r="AR56" s="324"/>
      <c r="AS56" s="324"/>
      <c r="AT56" s="324"/>
      <c r="AU56" s="324"/>
      <c r="AV56" s="324"/>
      <c r="AW56" s="324"/>
      <c r="AX56" s="324"/>
      <c r="AY56" s="324">
        <f t="shared" si="74"/>
        <v>0</v>
      </c>
      <c r="AZ56" s="84"/>
      <c r="BA56" s="325"/>
      <c r="BB56" s="325"/>
      <c r="BC56" s="325">
        <f t="shared" si="10"/>
        <v>0</v>
      </c>
      <c r="BD56" s="84"/>
      <c r="BE56" s="164"/>
      <c r="BF56" s="164"/>
      <c r="BH56" s="549"/>
      <c r="BI56" s="549"/>
      <c r="BJ56" s="549"/>
      <c r="BK56" s="549"/>
      <c r="BL56" s="549"/>
      <c r="BM56" s="549"/>
      <c r="BN56" s="549"/>
      <c r="BO56" s="549"/>
      <c r="BP56" s="549"/>
      <c r="BQ56" s="549"/>
      <c r="BR56" s="549"/>
      <c r="BS56" s="549"/>
      <c r="BT56" s="549"/>
      <c r="BU56" s="549"/>
      <c r="BV56" s="549"/>
      <c r="BW56" s="549"/>
      <c r="BX56" s="549"/>
      <c r="BY56" s="549"/>
      <c r="BZ56" s="549"/>
      <c r="CA56" s="549"/>
      <c r="CB56" s="549"/>
      <c r="CC56" s="549"/>
      <c r="CD56" s="549"/>
      <c r="CE56" s="549"/>
      <c r="CF56" s="549"/>
      <c r="CG56" s="549"/>
      <c r="CH56" s="549"/>
      <c r="CI56" s="549"/>
      <c r="CJ56" s="549"/>
      <c r="CK56" s="549"/>
      <c r="CL56" s="549"/>
      <c r="CM56" s="549"/>
      <c r="CN56" s="549"/>
      <c r="CO56" s="549"/>
      <c r="CP56" s="549"/>
      <c r="CQ56" s="549"/>
      <c r="CR56" s="549"/>
      <c r="CS56" s="549"/>
      <c r="CT56" s="549"/>
      <c r="CU56" s="549"/>
      <c r="CW56" s="151">
        <f t="shared" si="114"/>
        <v>0</v>
      </c>
    </row>
    <row r="57" spans="1:101" s="543" customFormat="1" ht="12.75" customHeight="1" outlineLevel="1" x14ac:dyDescent="0.2">
      <c r="C57" s="86" t="s">
        <v>352</v>
      </c>
      <c r="D57" s="61" t="str">
        <f>INDEX(Modules[Module], MATCH($C57, Modules[Code], 0))</f>
        <v>Biomass power station</v>
      </c>
      <c r="E57" s="61"/>
      <c r="F57" s="84"/>
      <c r="G57" s="892">
        <f t="shared" ref="G57:O59" ca="1" si="135">IFERROR(INDEX(INDIRECT($C57&amp;".Outputs["&amp;this.Year&amp;"]"), MATCH(G$5, INDIRECT($C57&amp;".Outputs[Vector]"), 0)), 0)</f>
        <v>0</v>
      </c>
      <c r="H57" s="892">
        <f t="shared" ca="1" si="135"/>
        <v>0</v>
      </c>
      <c r="I57" s="892">
        <f t="shared" ca="1" si="135"/>
        <v>0</v>
      </c>
      <c r="J57" s="892">
        <f t="shared" ca="1" si="135"/>
        <v>0</v>
      </c>
      <c r="K57" s="892">
        <f t="shared" ca="1" si="135"/>
        <v>0</v>
      </c>
      <c r="L57" s="892">
        <f t="shared" ca="1" si="135"/>
        <v>0</v>
      </c>
      <c r="M57" s="892">
        <f t="shared" ca="1" si="135"/>
        <v>0</v>
      </c>
      <c r="N57" s="892">
        <f t="shared" ca="1" si="135"/>
        <v>0</v>
      </c>
      <c r="O57" s="892">
        <f t="shared" ca="1" si="135"/>
        <v>0</v>
      </c>
      <c r="P57" s="892">
        <f t="shared" ref="P57:P89" ca="1" si="136">SUM(G57:O57)</f>
        <v>0</v>
      </c>
      <c r="Q57" s="84"/>
      <c r="R57" s="893">
        <f t="shared" ref="R57:AG57" ca="1" si="137">IFERROR(INDEX(INDIRECT($C57&amp;".Outputs["&amp;this.Year&amp;"]"), MATCH(R$5, INDIRECT($C57&amp;".Outputs[Vector]"), 0)), 0)</f>
        <v>0</v>
      </c>
      <c r="S57" s="893">
        <f t="shared" ca="1" si="137"/>
        <v>0</v>
      </c>
      <c r="T57" s="893">
        <f t="shared" ca="1" si="137"/>
        <v>0</v>
      </c>
      <c r="U57" s="893">
        <f t="shared" ca="1" si="137"/>
        <v>0</v>
      </c>
      <c r="V57" s="893">
        <f t="shared" ca="1" si="137"/>
        <v>0</v>
      </c>
      <c r="W57" s="893">
        <f t="shared" ca="1" si="137"/>
        <v>0</v>
      </c>
      <c r="X57" s="893">
        <f t="shared" ca="1" si="137"/>
        <v>0</v>
      </c>
      <c r="Y57" s="893">
        <f t="shared" ca="1" si="137"/>
        <v>0</v>
      </c>
      <c r="Z57" s="893">
        <f t="shared" ca="1" si="137"/>
        <v>0</v>
      </c>
      <c r="AA57" s="893">
        <f t="shared" ca="1" si="137"/>
        <v>0</v>
      </c>
      <c r="AB57" s="893">
        <f t="shared" ca="1" si="137"/>
        <v>0</v>
      </c>
      <c r="AC57" s="893">
        <f t="shared" ca="1" si="137"/>
        <v>0</v>
      </c>
      <c r="AD57" s="893">
        <f t="shared" ca="1" si="137"/>
        <v>0</v>
      </c>
      <c r="AE57" s="893">
        <f t="shared" ca="1" si="137"/>
        <v>0</v>
      </c>
      <c r="AF57" s="893">
        <f t="shared" ca="1" si="137"/>
        <v>0</v>
      </c>
      <c r="AG57" s="893">
        <f t="shared" ca="1" si="137"/>
        <v>0</v>
      </c>
      <c r="AH57" s="894">
        <f t="shared" ca="1" si="5"/>
        <v>0</v>
      </c>
      <c r="AI57" s="84"/>
      <c r="AJ57" s="895">
        <f t="shared" ref="AJ57:AR59" ca="1" si="138">IFERROR(INDEX(INDIRECT($C57&amp;".Outputs["&amp;this.Year&amp;"]"), MATCH(AJ$5, INDIRECT($C57&amp;".Outputs[Vector]"), 0)), 0)</f>
        <v>0</v>
      </c>
      <c r="AK57" s="895">
        <f t="shared" ca="1" si="138"/>
        <v>0</v>
      </c>
      <c r="AL57" s="895">
        <f t="shared" ca="1" si="138"/>
        <v>0</v>
      </c>
      <c r="AM57" s="895">
        <f t="shared" ca="1" si="138"/>
        <v>0</v>
      </c>
      <c r="AN57" s="895">
        <f t="shared" ca="1" si="138"/>
        <v>0</v>
      </c>
      <c r="AO57" s="895">
        <f t="shared" ca="1" si="138"/>
        <v>0</v>
      </c>
      <c r="AP57" s="895">
        <f t="shared" ca="1" si="138"/>
        <v>0</v>
      </c>
      <c r="AQ57" s="895">
        <f t="shared" ca="1" si="138"/>
        <v>0</v>
      </c>
      <c r="AR57" s="895">
        <f t="shared" ca="1" si="138"/>
        <v>0</v>
      </c>
      <c r="AS57" s="895">
        <f t="shared" ref="AS57:AX57" ca="1" si="139">IFERROR(INDEX(INDIRECT($C57&amp;".Outputs["&amp;this.Year&amp;"]"), MATCH(AS$5, INDIRECT($C57&amp;".Outputs[Vector]"), 0)), 0)</f>
        <v>0</v>
      </c>
      <c r="AT57" s="895">
        <f t="shared" ca="1" si="139"/>
        <v>0</v>
      </c>
      <c r="AU57" s="895">
        <f t="shared" ca="1" si="139"/>
        <v>0</v>
      </c>
      <c r="AV57" s="895">
        <f t="shared" ca="1" si="139"/>
        <v>0</v>
      </c>
      <c r="AW57" s="895">
        <f t="shared" ca="1" si="139"/>
        <v>0</v>
      </c>
      <c r="AX57" s="895">
        <f t="shared" ca="1" si="139"/>
        <v>0</v>
      </c>
      <c r="AY57" s="896">
        <f t="shared" ca="1" si="74"/>
        <v>0</v>
      </c>
      <c r="AZ57" s="84"/>
      <c r="BA57" s="897">
        <f ca="1">IFERROR(INDEX(INDIRECT($C57&amp;".Outputs["&amp;this.Year&amp;"]"), MATCH(BA$5, INDIRECT($C57&amp;".Outputs[Vector]"), 0)), 0)</f>
        <v>0</v>
      </c>
      <c r="BB57" s="897">
        <f ca="1">IFERROR(INDEX(INDIRECT($C57&amp;".Outputs["&amp;this.Year&amp;"]"), MATCH(BB$5, INDIRECT($C57&amp;".Outputs[Vector]"), 0)), 0)</f>
        <v>0</v>
      </c>
      <c r="BC57" s="898">
        <f t="shared" ca="1" si="10"/>
        <v>0</v>
      </c>
      <c r="BD57" s="84"/>
      <c r="BE57" s="135">
        <f ca="1">P57+AH57+AY57+BC57</f>
        <v>0</v>
      </c>
      <c r="BF57" s="135"/>
      <c r="BG57" s="1428"/>
      <c r="BH57" s="541">
        <f t="shared" ref="BH57:CU59" ca="1" si="140">IFERROR(SUMIFS(INDIRECT($C57&amp;".Emissions["&amp;this.Year&amp;"]"), INDIRECT($C57&amp;".Emissions[GHG]"), BH$6, INDIRECT($C57&amp;".Emissions[IPCC Sector]"), BH$5),0)</f>
        <v>0</v>
      </c>
      <c r="BI57" s="542">
        <f t="shared" ca="1" si="140"/>
        <v>0</v>
      </c>
      <c r="BJ57" s="542">
        <f t="shared" ca="1" si="140"/>
        <v>0</v>
      </c>
      <c r="BK57" s="542">
        <f t="shared" ca="1" si="140"/>
        <v>0</v>
      </c>
      <c r="BL57" s="542">
        <f t="shared" ca="1" si="140"/>
        <v>0</v>
      </c>
      <c r="BM57" s="542">
        <f t="shared" ca="1" si="140"/>
        <v>0</v>
      </c>
      <c r="BN57" s="542">
        <f t="shared" ca="1" si="140"/>
        <v>0</v>
      </c>
      <c r="BO57" s="542">
        <f t="shared" ca="1" si="140"/>
        <v>0</v>
      </c>
      <c r="BP57" s="542">
        <f t="shared" ca="1" si="140"/>
        <v>0</v>
      </c>
      <c r="BQ57" s="542">
        <f t="shared" ca="1" si="140"/>
        <v>0</v>
      </c>
      <c r="BR57" s="542">
        <f t="shared" ca="1" si="140"/>
        <v>0</v>
      </c>
      <c r="BS57" s="542">
        <f t="shared" ca="1" si="140"/>
        <v>0</v>
      </c>
      <c r="BT57" s="542">
        <f t="shared" ca="1" si="140"/>
        <v>0</v>
      </c>
      <c r="BU57" s="542">
        <f t="shared" ca="1" si="140"/>
        <v>0</v>
      </c>
      <c r="BV57" s="542">
        <f t="shared" ca="1" si="140"/>
        <v>0</v>
      </c>
      <c r="BW57" s="542">
        <f t="shared" ca="1" si="140"/>
        <v>0</v>
      </c>
      <c r="BX57" s="542">
        <f t="shared" ca="1" si="140"/>
        <v>0</v>
      </c>
      <c r="BY57" s="542">
        <f t="shared" ca="1" si="140"/>
        <v>0</v>
      </c>
      <c r="BZ57" s="542">
        <f t="shared" ca="1" si="140"/>
        <v>0</v>
      </c>
      <c r="CA57" s="542">
        <f t="shared" ca="1" si="140"/>
        <v>0</v>
      </c>
      <c r="CB57" s="542">
        <f t="shared" ca="1" si="140"/>
        <v>0</v>
      </c>
      <c r="CC57" s="542">
        <f t="shared" ca="1" si="140"/>
        <v>0</v>
      </c>
      <c r="CD57" s="542">
        <f t="shared" ca="1" si="140"/>
        <v>0</v>
      </c>
      <c r="CE57" s="542">
        <f t="shared" ca="1" si="140"/>
        <v>0</v>
      </c>
      <c r="CF57" s="542">
        <f t="shared" ca="1" si="140"/>
        <v>0</v>
      </c>
      <c r="CG57" s="542">
        <f t="shared" ca="1" si="140"/>
        <v>0</v>
      </c>
      <c r="CH57" s="542">
        <f t="shared" ca="1" si="140"/>
        <v>0</v>
      </c>
      <c r="CI57" s="542">
        <f t="shared" ca="1" si="140"/>
        <v>0</v>
      </c>
      <c r="CJ57" s="542">
        <f t="shared" ca="1" si="140"/>
        <v>0</v>
      </c>
      <c r="CK57" s="542">
        <f t="shared" ca="1" si="140"/>
        <v>0</v>
      </c>
      <c r="CL57" s="542">
        <f t="shared" ca="1" si="140"/>
        <v>0</v>
      </c>
      <c r="CM57" s="542">
        <f t="shared" ca="1" si="140"/>
        <v>0</v>
      </c>
      <c r="CN57" s="542">
        <f t="shared" ca="1" si="140"/>
        <v>0</v>
      </c>
      <c r="CO57" s="542">
        <f t="shared" ca="1" si="140"/>
        <v>0</v>
      </c>
      <c r="CP57" s="542">
        <f t="shared" ca="1" si="140"/>
        <v>0</v>
      </c>
      <c r="CQ57" s="542">
        <f t="shared" ca="1" si="140"/>
        <v>0</v>
      </c>
      <c r="CR57" s="542">
        <f t="shared" ca="1" si="140"/>
        <v>0</v>
      </c>
      <c r="CS57" s="542">
        <f t="shared" ca="1" si="140"/>
        <v>0</v>
      </c>
      <c r="CT57" s="542">
        <f t="shared" ca="1" si="140"/>
        <v>0</v>
      </c>
      <c r="CU57" s="542">
        <f t="shared" ca="1" si="140"/>
        <v>0</v>
      </c>
      <c r="CW57" s="151">
        <f t="shared" ca="1" si="114"/>
        <v>0</v>
      </c>
    </row>
    <row r="58" spans="1:101" s="543" customFormat="1" ht="12.75" customHeight="1" outlineLevel="1" x14ac:dyDescent="0.2">
      <c r="C58" s="319" t="s">
        <v>2381</v>
      </c>
      <c r="D58" s="320" t="s">
        <v>587</v>
      </c>
      <c r="E58" s="61"/>
      <c r="F58" s="84"/>
      <c r="G58" s="892"/>
      <c r="H58" s="892"/>
      <c r="I58" s="892"/>
      <c r="J58" s="892"/>
      <c r="K58" s="892"/>
      <c r="L58" s="892"/>
      <c r="M58" s="892"/>
      <c r="N58" s="892"/>
      <c r="O58" s="892"/>
      <c r="P58" s="892">
        <f t="shared" si="136"/>
        <v>0</v>
      </c>
      <c r="Q58" s="84"/>
      <c r="R58" s="893">
        <f ca="1">R56+R57</f>
        <v>-138.16092956568079</v>
      </c>
      <c r="S58" s="893">
        <f ca="1">S56+S57</f>
        <v>-17.628839718271969</v>
      </c>
      <c r="T58" s="893"/>
      <c r="U58" s="893"/>
      <c r="V58" s="893"/>
      <c r="W58" s="893"/>
      <c r="X58" s="893"/>
      <c r="Y58" s="893"/>
      <c r="Z58" s="893"/>
      <c r="AA58" s="893"/>
      <c r="AB58" s="893"/>
      <c r="AC58" s="893"/>
      <c r="AD58" s="893"/>
      <c r="AE58" s="893"/>
      <c r="AF58" s="893"/>
      <c r="AG58" s="893"/>
      <c r="AH58" s="894">
        <f t="shared" ca="1" si="5"/>
        <v>-155.78976928395275</v>
      </c>
      <c r="AI58" s="84"/>
      <c r="AJ58" s="895"/>
      <c r="AK58" s="895"/>
      <c r="AL58" s="895"/>
      <c r="AM58" s="895"/>
      <c r="AN58" s="895"/>
      <c r="AO58" s="895"/>
      <c r="AP58" s="895"/>
      <c r="AQ58" s="895"/>
      <c r="AR58" s="895"/>
      <c r="AS58" s="895"/>
      <c r="AT58" s="895"/>
      <c r="AU58" s="895"/>
      <c r="AV58" s="895"/>
      <c r="AW58" s="895"/>
      <c r="AX58" s="895"/>
      <c r="AY58" s="896">
        <f t="shared" si="74"/>
        <v>0</v>
      </c>
      <c r="AZ58" s="84"/>
      <c r="BA58" s="897"/>
      <c r="BB58" s="897"/>
      <c r="BC58" s="898">
        <f t="shared" si="10"/>
        <v>0</v>
      </c>
      <c r="BD58" s="84"/>
      <c r="BE58" s="135"/>
      <c r="BF58" s="135"/>
      <c r="BG58" s="1428"/>
      <c r="BH58" s="541"/>
      <c r="BI58" s="542"/>
      <c r="BJ58" s="542"/>
      <c r="BK58" s="542"/>
      <c r="BL58" s="542"/>
      <c r="BM58" s="542"/>
      <c r="BN58" s="542"/>
      <c r="BO58" s="542"/>
      <c r="BP58" s="542"/>
      <c r="BQ58" s="542"/>
      <c r="BR58" s="542"/>
      <c r="BS58" s="542"/>
      <c r="BT58" s="542"/>
      <c r="BU58" s="542"/>
      <c r="BV58" s="542"/>
      <c r="BW58" s="542"/>
      <c r="BX58" s="542"/>
      <c r="BY58" s="542"/>
      <c r="BZ58" s="542"/>
      <c r="CA58" s="542"/>
      <c r="CB58" s="542"/>
      <c r="CC58" s="542"/>
      <c r="CD58" s="542"/>
      <c r="CE58" s="542"/>
      <c r="CF58" s="542"/>
      <c r="CG58" s="542"/>
      <c r="CH58" s="542"/>
      <c r="CI58" s="542"/>
      <c r="CJ58" s="542"/>
      <c r="CK58" s="542"/>
      <c r="CL58" s="542"/>
      <c r="CM58" s="542"/>
      <c r="CN58" s="542"/>
      <c r="CO58" s="542"/>
      <c r="CP58" s="542"/>
      <c r="CQ58" s="542"/>
      <c r="CR58" s="542"/>
      <c r="CS58" s="542"/>
      <c r="CT58" s="542"/>
      <c r="CU58" s="542"/>
      <c r="CW58" s="151"/>
    </row>
    <row r="59" spans="1:101" s="543" customFormat="1" ht="12.75" customHeight="1" outlineLevel="1" x14ac:dyDescent="0.2">
      <c r="C59" s="86" t="s">
        <v>2146</v>
      </c>
      <c r="D59" s="61" t="str">
        <f>INDEX(Modules[Module], MATCH($C59, Modules[Code], 0))</f>
        <v>Coal power stations</v>
      </c>
      <c r="E59" s="61"/>
      <c r="F59" s="84"/>
      <c r="G59" s="892">
        <f t="shared" ca="1" si="135"/>
        <v>0</v>
      </c>
      <c r="H59" s="892">
        <f t="shared" ca="1" si="135"/>
        <v>0</v>
      </c>
      <c r="I59" s="892">
        <f t="shared" ca="1" si="135"/>
        <v>0</v>
      </c>
      <c r="J59" s="892">
        <f t="shared" ca="1" si="135"/>
        <v>0</v>
      </c>
      <c r="K59" s="892">
        <f t="shared" ca="1" si="135"/>
        <v>0</v>
      </c>
      <c r="L59" s="892">
        <f t="shared" ca="1" si="135"/>
        <v>0</v>
      </c>
      <c r="M59" s="892">
        <f t="shared" ca="1" si="135"/>
        <v>0</v>
      </c>
      <c r="N59" s="892">
        <f t="shared" ca="1" si="135"/>
        <v>0</v>
      </c>
      <c r="O59" s="892">
        <f t="shared" ca="1" si="135"/>
        <v>0</v>
      </c>
      <c r="P59" s="892">
        <f t="shared" ca="1" si="136"/>
        <v>0</v>
      </c>
      <c r="Q59" s="84"/>
      <c r="R59" s="893">
        <f t="shared" ref="R59:AG59" ca="1" si="141">IFERROR(INDEX(INDIRECT($C59&amp;".Outputs["&amp;this.Year&amp;"]"), MATCH(R$5, INDIRECT($C59&amp;".Outputs[Vector]"), 0)), 0)</f>
        <v>0</v>
      </c>
      <c r="S59" s="893">
        <f t="shared" ca="1" si="141"/>
        <v>0</v>
      </c>
      <c r="T59" s="893">
        <f t="shared" ca="1" si="141"/>
        <v>0</v>
      </c>
      <c r="U59" s="893">
        <f t="shared" ca="1" si="141"/>
        <v>0</v>
      </c>
      <c r="V59" s="893">
        <f t="shared" ca="1" si="141"/>
        <v>0</v>
      </c>
      <c r="W59" s="893">
        <f t="shared" ca="1" si="141"/>
        <v>0</v>
      </c>
      <c r="X59" s="893">
        <f t="shared" ca="1" si="141"/>
        <v>0</v>
      </c>
      <c r="Y59" s="893">
        <f t="shared" ca="1" si="141"/>
        <v>0</v>
      </c>
      <c r="Z59" s="893">
        <f t="shared" ca="1" si="141"/>
        <v>0</v>
      </c>
      <c r="AA59" s="893">
        <f t="shared" ca="1" si="141"/>
        <v>0</v>
      </c>
      <c r="AB59" s="893">
        <f t="shared" ca="1" si="141"/>
        <v>0</v>
      </c>
      <c r="AC59" s="893">
        <f t="shared" ca="1" si="141"/>
        <v>0</v>
      </c>
      <c r="AD59" s="893">
        <f t="shared" ca="1" si="141"/>
        <v>0</v>
      </c>
      <c r="AE59" s="893">
        <f t="shared" ca="1" si="141"/>
        <v>0</v>
      </c>
      <c r="AF59" s="893">
        <f t="shared" ca="1" si="141"/>
        <v>0</v>
      </c>
      <c r="AG59" s="893">
        <f t="shared" ca="1" si="141"/>
        <v>0</v>
      </c>
      <c r="AH59" s="894">
        <f t="shared" ca="1" si="5"/>
        <v>0</v>
      </c>
      <c r="AI59" s="84"/>
      <c r="AJ59" s="895">
        <f t="shared" ca="1" si="138"/>
        <v>0</v>
      </c>
      <c r="AK59" s="895">
        <f t="shared" ca="1" si="138"/>
        <v>0</v>
      </c>
      <c r="AL59" s="895">
        <f t="shared" ca="1" si="138"/>
        <v>0</v>
      </c>
      <c r="AM59" s="895">
        <f t="shared" ca="1" si="138"/>
        <v>0</v>
      </c>
      <c r="AN59" s="895">
        <f t="shared" ca="1" si="138"/>
        <v>0</v>
      </c>
      <c r="AO59" s="895">
        <f t="shared" ca="1" si="138"/>
        <v>0</v>
      </c>
      <c r="AP59" s="895">
        <f t="shared" ca="1" si="138"/>
        <v>0</v>
      </c>
      <c r="AQ59" s="895">
        <f t="shared" ca="1" si="138"/>
        <v>0</v>
      </c>
      <c r="AR59" s="895">
        <f t="shared" ca="1" si="138"/>
        <v>0</v>
      </c>
      <c r="AS59" s="895">
        <f t="shared" ref="AS59:AX59" ca="1" si="142">IFERROR(INDEX(INDIRECT($C59&amp;".Outputs["&amp;this.Year&amp;"]"), MATCH(AS$5, INDIRECT($C59&amp;".Outputs[Vector]"), 0)), 0)</f>
        <v>0</v>
      </c>
      <c r="AT59" s="895">
        <f t="shared" ca="1" si="142"/>
        <v>0</v>
      </c>
      <c r="AU59" s="895">
        <f t="shared" ca="1" si="142"/>
        <v>0</v>
      </c>
      <c r="AV59" s="895">
        <f t="shared" ca="1" si="142"/>
        <v>0</v>
      </c>
      <c r="AW59" s="895">
        <f t="shared" ca="1" si="142"/>
        <v>0</v>
      </c>
      <c r="AX59" s="895">
        <f t="shared" ca="1" si="142"/>
        <v>0</v>
      </c>
      <c r="AY59" s="896">
        <f t="shared" ca="1" si="74"/>
        <v>0</v>
      </c>
      <c r="AZ59" s="84"/>
      <c r="BA59" s="897">
        <f ca="1">IFERROR(INDEX(INDIRECT($C59&amp;".Outputs["&amp;this.Year&amp;"]"), MATCH(BA$5, INDIRECT($C59&amp;".Outputs[Vector]"), 0)), 0)</f>
        <v>0</v>
      </c>
      <c r="BB59" s="897">
        <f ca="1">IFERROR(INDEX(INDIRECT($C59&amp;".Outputs["&amp;this.Year&amp;"]"), MATCH(BB$5, INDIRECT($C59&amp;".Outputs[Vector]"), 0)), 0)</f>
        <v>0</v>
      </c>
      <c r="BC59" s="898">
        <f t="shared" ca="1" si="10"/>
        <v>0</v>
      </c>
      <c r="BD59" s="84"/>
      <c r="BE59" s="135">
        <f ca="1">P59+AH59+AY59+BC59</f>
        <v>0</v>
      </c>
      <c r="BF59" s="135"/>
      <c r="BG59" s="1428"/>
      <c r="BH59" s="541">
        <f t="shared" ca="1" si="140"/>
        <v>0</v>
      </c>
      <c r="BI59" s="542">
        <f t="shared" ca="1" si="140"/>
        <v>0</v>
      </c>
      <c r="BJ59" s="542">
        <f t="shared" ca="1" si="140"/>
        <v>0</v>
      </c>
      <c r="BK59" s="542">
        <f t="shared" ca="1" si="140"/>
        <v>0</v>
      </c>
      <c r="BL59" s="542">
        <f t="shared" ca="1" si="140"/>
        <v>0</v>
      </c>
      <c r="BM59" s="542">
        <f t="shared" ca="1" si="140"/>
        <v>0</v>
      </c>
      <c r="BN59" s="542">
        <f t="shared" ca="1" si="140"/>
        <v>0</v>
      </c>
      <c r="BO59" s="542">
        <f t="shared" ca="1" si="140"/>
        <v>0</v>
      </c>
      <c r="BP59" s="542">
        <f t="shared" ca="1" si="140"/>
        <v>0</v>
      </c>
      <c r="BQ59" s="542">
        <f t="shared" ca="1" si="140"/>
        <v>0</v>
      </c>
      <c r="BR59" s="542">
        <f t="shared" ca="1" si="140"/>
        <v>0</v>
      </c>
      <c r="BS59" s="542">
        <f t="shared" ca="1" si="140"/>
        <v>0</v>
      </c>
      <c r="BT59" s="542">
        <f t="shared" ca="1" si="140"/>
        <v>0</v>
      </c>
      <c r="BU59" s="542">
        <f t="shared" ca="1" si="140"/>
        <v>0</v>
      </c>
      <c r="BV59" s="542">
        <f t="shared" ca="1" si="140"/>
        <v>0</v>
      </c>
      <c r="BW59" s="542">
        <f t="shared" ca="1" si="140"/>
        <v>0</v>
      </c>
      <c r="BX59" s="542">
        <f t="shared" ca="1" si="140"/>
        <v>0</v>
      </c>
      <c r="BY59" s="542">
        <f t="shared" ca="1" si="140"/>
        <v>0</v>
      </c>
      <c r="BZ59" s="542">
        <f t="shared" ca="1" si="140"/>
        <v>0</v>
      </c>
      <c r="CA59" s="542">
        <f t="shared" ca="1" si="140"/>
        <v>0</v>
      </c>
      <c r="CB59" s="542">
        <f t="shared" ca="1" si="140"/>
        <v>0</v>
      </c>
      <c r="CC59" s="542">
        <f t="shared" ca="1" si="140"/>
        <v>0</v>
      </c>
      <c r="CD59" s="542">
        <f t="shared" ca="1" si="140"/>
        <v>0</v>
      </c>
      <c r="CE59" s="542">
        <f t="shared" ca="1" si="140"/>
        <v>0</v>
      </c>
      <c r="CF59" s="542">
        <f t="shared" ca="1" si="140"/>
        <v>0</v>
      </c>
      <c r="CG59" s="542">
        <f t="shared" ca="1" si="140"/>
        <v>0</v>
      </c>
      <c r="CH59" s="542">
        <f t="shared" ca="1" si="140"/>
        <v>0</v>
      </c>
      <c r="CI59" s="542">
        <f t="shared" ca="1" si="140"/>
        <v>0</v>
      </c>
      <c r="CJ59" s="542">
        <f t="shared" ca="1" si="140"/>
        <v>0</v>
      </c>
      <c r="CK59" s="542">
        <f t="shared" ca="1" si="140"/>
        <v>0</v>
      </c>
      <c r="CL59" s="542">
        <f t="shared" ca="1" si="140"/>
        <v>0</v>
      </c>
      <c r="CM59" s="542">
        <f t="shared" ca="1" si="140"/>
        <v>0</v>
      </c>
      <c r="CN59" s="542">
        <f t="shared" ca="1" si="140"/>
        <v>0</v>
      </c>
      <c r="CO59" s="542">
        <f t="shared" ca="1" si="140"/>
        <v>0</v>
      </c>
      <c r="CP59" s="542">
        <f t="shared" ca="1" si="140"/>
        <v>0</v>
      </c>
      <c r="CQ59" s="542">
        <f t="shared" ca="1" si="140"/>
        <v>0</v>
      </c>
      <c r="CR59" s="542">
        <f t="shared" ca="1" si="140"/>
        <v>0</v>
      </c>
      <c r="CS59" s="542">
        <f t="shared" ca="1" si="140"/>
        <v>0</v>
      </c>
      <c r="CT59" s="542">
        <f t="shared" ca="1" si="140"/>
        <v>0</v>
      </c>
      <c r="CU59" s="542">
        <f t="shared" ca="1" si="140"/>
        <v>0</v>
      </c>
      <c r="CW59" s="151">
        <f t="shared" ref="CW59:CW64" ca="1" si="143">SUM(BH59:CU59)</f>
        <v>0</v>
      </c>
    </row>
    <row r="60" spans="1:101" s="550" customFormat="1" ht="12.75" customHeight="1" outlineLevel="1" x14ac:dyDescent="0.2">
      <c r="C60" s="566" t="s">
        <v>857</v>
      </c>
      <c r="D60" s="320" t="s">
        <v>587</v>
      </c>
      <c r="E60" s="567"/>
      <c r="F60" s="882"/>
      <c r="G60" s="333"/>
      <c r="H60" s="333"/>
      <c r="I60" s="333"/>
      <c r="J60" s="333"/>
      <c r="K60" s="333"/>
      <c r="L60" s="334"/>
      <c r="M60" s="333"/>
      <c r="N60" s="333"/>
      <c r="O60" s="333"/>
      <c r="P60" s="333">
        <f t="shared" si="136"/>
        <v>0</v>
      </c>
      <c r="Q60" s="882"/>
      <c r="R60" s="335">
        <f ca="1">R58+R59</f>
        <v>-138.16092956568079</v>
      </c>
      <c r="S60" s="335">
        <f ca="1">S58+S59</f>
        <v>-17.628839718271969</v>
      </c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>
        <f t="shared" ca="1" si="5"/>
        <v>-155.78976928395275</v>
      </c>
      <c r="AI60" s="882"/>
      <c r="AJ60" s="336"/>
      <c r="AK60" s="336"/>
      <c r="AL60" s="336"/>
      <c r="AM60" s="336"/>
      <c r="AN60" s="336"/>
      <c r="AO60" s="336"/>
      <c r="AP60" s="336"/>
      <c r="AQ60" s="336"/>
      <c r="AR60" s="336"/>
      <c r="AS60" s="336"/>
      <c r="AT60" s="336"/>
      <c r="AU60" s="336"/>
      <c r="AV60" s="336"/>
      <c r="AW60" s="336"/>
      <c r="AX60" s="336"/>
      <c r="AY60" s="336">
        <f t="shared" si="74"/>
        <v>0</v>
      </c>
      <c r="AZ60" s="882"/>
      <c r="BA60" s="337"/>
      <c r="BB60" s="337"/>
      <c r="BC60" s="337">
        <f t="shared" si="10"/>
        <v>0</v>
      </c>
      <c r="BD60" s="882"/>
      <c r="BE60" s="568"/>
      <c r="BF60" s="568"/>
      <c r="BH60" s="888"/>
      <c r="BI60" s="888"/>
      <c r="BJ60" s="888"/>
      <c r="BK60" s="888"/>
      <c r="BL60" s="888"/>
      <c r="BM60" s="888"/>
      <c r="BN60" s="888"/>
      <c r="BO60" s="888"/>
      <c r="BP60" s="888"/>
      <c r="BQ60" s="888"/>
      <c r="BR60" s="888"/>
      <c r="BS60" s="888"/>
      <c r="BT60" s="888"/>
      <c r="BU60" s="888"/>
      <c r="BV60" s="888"/>
      <c r="BW60" s="888"/>
      <c r="BX60" s="888"/>
      <c r="BY60" s="888"/>
      <c r="BZ60" s="888"/>
      <c r="CA60" s="888"/>
      <c r="CB60" s="888"/>
      <c r="CC60" s="888"/>
      <c r="CD60" s="888"/>
      <c r="CE60" s="888"/>
      <c r="CF60" s="888"/>
      <c r="CG60" s="888"/>
      <c r="CH60" s="888"/>
      <c r="CI60" s="888"/>
      <c r="CJ60" s="888"/>
      <c r="CK60" s="888"/>
      <c r="CL60" s="888"/>
      <c r="CM60" s="888"/>
      <c r="CN60" s="888"/>
      <c r="CO60" s="888"/>
      <c r="CP60" s="888"/>
      <c r="CQ60" s="888"/>
      <c r="CR60" s="888"/>
      <c r="CS60" s="888"/>
      <c r="CT60" s="888"/>
      <c r="CU60" s="888"/>
      <c r="CW60" s="887">
        <f t="shared" si="143"/>
        <v>0</v>
      </c>
    </row>
    <row r="61" spans="1:101" s="543" customFormat="1" ht="12.75" customHeight="1" outlineLevel="1" x14ac:dyDescent="0.2">
      <c r="C61" s="86" t="s">
        <v>288</v>
      </c>
      <c r="D61" s="61" t="str">
        <f>INDEX(Modules[Module], MATCH($C61, Modules[Code], 0))</f>
        <v>Natural gas power stations</v>
      </c>
      <c r="E61" s="61"/>
      <c r="F61" s="84"/>
      <c r="G61" s="301">
        <f t="shared" ref="G61:O61" ca="1" si="144">IFERROR(INDEX(INDIRECT($C61&amp;".Outputs["&amp;this.Year&amp;"]"), MATCH(G$5, INDIRECT($C61&amp;".Outputs[Vector]"), 0)), 0)</f>
        <v>0</v>
      </c>
      <c r="H61" s="301">
        <f t="shared" ca="1" si="144"/>
        <v>0</v>
      </c>
      <c r="I61" s="301">
        <f t="shared" ca="1" si="144"/>
        <v>0</v>
      </c>
      <c r="J61" s="301">
        <f t="shared" ca="1" si="144"/>
        <v>0</v>
      </c>
      <c r="K61" s="301">
        <f t="shared" ca="1" si="144"/>
        <v>0</v>
      </c>
      <c r="L61" s="301">
        <f t="shared" ca="1" si="144"/>
        <v>0</v>
      </c>
      <c r="M61" s="301">
        <f t="shared" ca="1" si="144"/>
        <v>0</v>
      </c>
      <c r="N61" s="301">
        <f t="shared" ca="1" si="144"/>
        <v>0</v>
      </c>
      <c r="O61" s="301">
        <f t="shared" ca="1" si="144"/>
        <v>0</v>
      </c>
      <c r="P61" s="301">
        <f t="shared" ca="1" si="136"/>
        <v>0</v>
      </c>
      <c r="Q61" s="84"/>
      <c r="R61" s="307">
        <f t="shared" ref="R61:AX61" ca="1" si="145">IFERROR(INDEX(INDIRECT($C61&amp;".Outputs["&amp;this.Year&amp;"]"), MATCH(R$5, INDIRECT($C61&amp;".Outputs[Vector]"), 0)), 0)</f>
        <v>0</v>
      </c>
      <c r="S61" s="307">
        <f t="shared" ca="1" si="145"/>
        <v>49.089599999999997</v>
      </c>
      <c r="T61" s="307">
        <f t="shared" ca="1" si="145"/>
        <v>0</v>
      </c>
      <c r="U61" s="307">
        <f t="shared" ca="1" si="145"/>
        <v>0</v>
      </c>
      <c r="V61" s="307">
        <f t="shared" ca="1" si="145"/>
        <v>-103.08815999999999</v>
      </c>
      <c r="W61" s="307">
        <f t="shared" ca="1" si="145"/>
        <v>0</v>
      </c>
      <c r="X61" s="307">
        <f ca="1">IFERROR(INDEX(INDIRECT($C61&amp;".Outputs["&amp;this.Year&amp;"]"), MATCH(X$5, INDIRECT($C61&amp;".Outputs[Vector]"), 0)), 0)</f>
        <v>0</v>
      </c>
      <c r="Y61" s="307">
        <f ca="1">IFERROR(INDEX(INDIRECT($C61&amp;".Outputs["&amp;this.Year&amp;"]"), MATCH(Y$5, INDIRECT($C61&amp;".Outputs[Vector]"), 0)), 0)</f>
        <v>0</v>
      </c>
      <c r="Z61" s="307">
        <f ca="1">IFERROR(INDEX(INDIRECT($C61&amp;".Outputs["&amp;this.Year&amp;"]"), MATCH(Z$5, INDIRECT($C61&amp;".Outputs[Vector]"), 0)), 0)</f>
        <v>0</v>
      </c>
      <c r="AA61" s="307">
        <f t="shared" ca="1" si="145"/>
        <v>0</v>
      </c>
      <c r="AB61" s="307">
        <f t="shared" ca="1" si="145"/>
        <v>0</v>
      </c>
      <c r="AC61" s="307">
        <f t="shared" ca="1" si="145"/>
        <v>0</v>
      </c>
      <c r="AD61" s="307">
        <f t="shared" ca="1" si="145"/>
        <v>0</v>
      </c>
      <c r="AE61" s="307">
        <f t="shared" ca="1" si="145"/>
        <v>0</v>
      </c>
      <c r="AF61" s="307">
        <f t="shared" ca="1" si="145"/>
        <v>0</v>
      </c>
      <c r="AG61" s="307">
        <f t="shared" ca="1" si="145"/>
        <v>0</v>
      </c>
      <c r="AH61" s="306">
        <f t="shared" ca="1" si="5"/>
        <v>-53.998559999999991</v>
      </c>
      <c r="AI61" s="84"/>
      <c r="AJ61" s="315">
        <f t="shared" ref="AJ61:AR61" ca="1" si="146">IFERROR(INDEX(INDIRECT($C61&amp;".Outputs["&amp;this.Year&amp;"]"), MATCH(AJ$5, INDIRECT($C61&amp;".Outputs[Vector]"), 0)), 0)</f>
        <v>0</v>
      </c>
      <c r="AK61" s="315">
        <f t="shared" ca="1" si="146"/>
        <v>0</v>
      </c>
      <c r="AL61" s="315">
        <f t="shared" ca="1" si="146"/>
        <v>0</v>
      </c>
      <c r="AM61" s="315">
        <f t="shared" ca="1" si="146"/>
        <v>0</v>
      </c>
      <c r="AN61" s="315">
        <f t="shared" ca="1" si="146"/>
        <v>0</v>
      </c>
      <c r="AO61" s="315">
        <f t="shared" ca="1" si="146"/>
        <v>0</v>
      </c>
      <c r="AP61" s="315">
        <f t="shared" ca="1" si="146"/>
        <v>0</v>
      </c>
      <c r="AQ61" s="315">
        <f t="shared" ca="1" si="146"/>
        <v>0</v>
      </c>
      <c r="AR61" s="315">
        <f t="shared" ca="1" si="146"/>
        <v>0</v>
      </c>
      <c r="AS61" s="315">
        <f t="shared" ca="1" si="145"/>
        <v>0</v>
      </c>
      <c r="AT61" s="315">
        <f t="shared" ca="1" si="145"/>
        <v>0</v>
      </c>
      <c r="AU61" s="315">
        <f t="shared" ca="1" si="145"/>
        <v>0</v>
      </c>
      <c r="AV61" s="315">
        <f t="shared" ca="1" si="145"/>
        <v>0</v>
      </c>
      <c r="AW61" s="315">
        <f t="shared" ca="1" si="145"/>
        <v>0</v>
      </c>
      <c r="AX61" s="315">
        <f t="shared" ca="1" si="145"/>
        <v>0</v>
      </c>
      <c r="AY61" s="293">
        <f t="shared" ref="AY61:AY90" ca="1" si="147">SUM(AJ61:AX61)</f>
        <v>0</v>
      </c>
      <c r="AZ61" s="84"/>
      <c r="BA61" s="311">
        <f ca="1">IFERROR(INDEX(INDIRECT($C61&amp;".Outputs["&amp;this.Year&amp;"]"), MATCH(BA$5, INDIRECT($C61&amp;".Outputs[Vector]"), 0)), 0)</f>
        <v>51.544079999999994</v>
      </c>
      <c r="BB61" s="311">
        <f ca="1">IFERROR(INDEX(INDIRECT($C61&amp;".Outputs["&amp;this.Year&amp;"]"), MATCH(BB$5, INDIRECT($C61&amp;".Outputs[Vector]"), 0)), 0)</f>
        <v>2.4544800000000002</v>
      </c>
      <c r="BC61" s="310">
        <f t="shared" ca="1" si="10"/>
        <v>53.998559999999998</v>
      </c>
      <c r="BD61" s="84"/>
      <c r="BE61" s="135">
        <f ca="1">P61+AH61+AY61+BC61</f>
        <v>0</v>
      </c>
      <c r="BF61" s="135"/>
      <c r="BG61" s="1428"/>
      <c r="BH61" s="544">
        <f t="shared" ref="BH61:CU61" ca="1" si="148">IFERROR(SUMIFS(INDIRECT($C61&amp;".Emissions["&amp;this.Year&amp;"]"), INDIRECT($C61&amp;".Emissions[GHG]"), BH$6, INDIRECT($C61&amp;".Emissions[IPCC Sector]"), BH$5),0)</f>
        <v>18.968221439999994</v>
      </c>
      <c r="BI61" s="545">
        <f t="shared" ca="1" si="148"/>
        <v>3.8021528788817018E-2</v>
      </c>
      <c r="BJ61" s="545">
        <f t="shared" ca="1" si="148"/>
        <v>4.089400268725224E-2</v>
      </c>
      <c r="BK61" s="545">
        <f t="shared" ca="1" si="148"/>
        <v>0</v>
      </c>
      <c r="BL61" s="545">
        <f t="shared" ca="1" si="148"/>
        <v>0</v>
      </c>
      <c r="BM61" s="545">
        <f t="shared" ca="1" si="148"/>
        <v>0</v>
      </c>
      <c r="BN61" s="545">
        <f t="shared" ca="1" si="148"/>
        <v>0</v>
      </c>
      <c r="BO61" s="545">
        <f t="shared" ca="1" si="148"/>
        <v>0</v>
      </c>
      <c r="BP61" s="545">
        <f t="shared" ca="1" si="148"/>
        <v>0</v>
      </c>
      <c r="BQ61" s="545">
        <f t="shared" ca="1" si="148"/>
        <v>0</v>
      </c>
      <c r="BR61" s="545">
        <f t="shared" ca="1" si="148"/>
        <v>0</v>
      </c>
      <c r="BS61" s="545">
        <f t="shared" ca="1" si="148"/>
        <v>0</v>
      </c>
      <c r="BT61" s="545">
        <f t="shared" ca="1" si="148"/>
        <v>0</v>
      </c>
      <c r="BU61" s="545">
        <f t="shared" ca="1" si="148"/>
        <v>0</v>
      </c>
      <c r="BV61" s="545">
        <f t="shared" ca="1" si="148"/>
        <v>0</v>
      </c>
      <c r="BW61" s="545">
        <f t="shared" ca="1" si="148"/>
        <v>0</v>
      </c>
      <c r="BX61" s="545">
        <f t="shared" ca="1" si="148"/>
        <v>0</v>
      </c>
      <c r="BY61" s="545">
        <f t="shared" ca="1" si="148"/>
        <v>0</v>
      </c>
      <c r="BZ61" s="545">
        <f t="shared" ca="1" si="148"/>
        <v>0</v>
      </c>
      <c r="CA61" s="545">
        <f t="shared" ca="1" si="148"/>
        <v>0</v>
      </c>
      <c r="CB61" s="545">
        <f t="shared" ca="1" si="148"/>
        <v>0</v>
      </c>
      <c r="CC61" s="545">
        <f t="shared" ca="1" si="148"/>
        <v>0</v>
      </c>
      <c r="CD61" s="545">
        <f t="shared" ca="1" si="148"/>
        <v>0</v>
      </c>
      <c r="CE61" s="545">
        <f t="shared" ca="1" si="148"/>
        <v>0</v>
      </c>
      <c r="CF61" s="545">
        <f t="shared" ca="1" si="148"/>
        <v>0</v>
      </c>
      <c r="CG61" s="545">
        <f t="shared" ca="1" si="148"/>
        <v>0</v>
      </c>
      <c r="CH61" s="545">
        <f t="shared" ca="1" si="148"/>
        <v>0</v>
      </c>
      <c r="CI61" s="545">
        <f t="shared" ca="1" si="148"/>
        <v>0</v>
      </c>
      <c r="CJ61" s="545">
        <f t="shared" ca="1" si="148"/>
        <v>0</v>
      </c>
      <c r="CK61" s="545">
        <f t="shared" ca="1" si="148"/>
        <v>0</v>
      </c>
      <c r="CL61" s="545">
        <f t="shared" ca="1" si="148"/>
        <v>0</v>
      </c>
      <c r="CM61" s="545">
        <f t="shared" ca="1" si="148"/>
        <v>0</v>
      </c>
      <c r="CN61" s="545">
        <f t="shared" ca="1" si="148"/>
        <v>0</v>
      </c>
      <c r="CO61" s="545">
        <f t="shared" ca="1" si="148"/>
        <v>0</v>
      </c>
      <c r="CP61" s="545">
        <f t="shared" ca="1" si="148"/>
        <v>0</v>
      </c>
      <c r="CQ61" s="545">
        <f t="shared" ca="1" si="148"/>
        <v>0</v>
      </c>
      <c r="CR61" s="545">
        <f t="shared" ca="1" si="148"/>
        <v>0</v>
      </c>
      <c r="CS61" s="545">
        <f t="shared" ca="1" si="148"/>
        <v>0</v>
      </c>
      <c r="CT61" s="545">
        <f t="shared" ca="1" si="148"/>
        <v>0</v>
      </c>
      <c r="CU61" s="545">
        <f t="shared" ca="1" si="148"/>
        <v>0</v>
      </c>
      <c r="CW61" s="151">
        <f t="shared" ca="1" si="143"/>
        <v>19.047136971476064</v>
      </c>
    </row>
    <row r="62" spans="1:101" s="543" customFormat="1" ht="12.75" customHeight="1" outlineLevel="1" x14ac:dyDescent="0.2">
      <c r="C62" s="319" t="s">
        <v>2402</v>
      </c>
      <c r="D62" s="320" t="s">
        <v>587</v>
      </c>
      <c r="E62" s="61"/>
      <c r="F62" s="84"/>
      <c r="G62" s="333"/>
      <c r="H62" s="333"/>
      <c r="I62" s="333"/>
      <c r="J62" s="333"/>
      <c r="K62" s="333"/>
      <c r="L62" s="334"/>
      <c r="M62" s="333"/>
      <c r="N62" s="333"/>
      <c r="O62" s="333"/>
      <c r="P62" s="333">
        <f t="shared" si="136"/>
        <v>0</v>
      </c>
      <c r="Q62" s="882"/>
      <c r="R62" s="335">
        <f ca="1">R60+R61</f>
        <v>-138.16092956568079</v>
      </c>
      <c r="S62" s="335">
        <f ca="1">S60+S61</f>
        <v>31.460760281728028</v>
      </c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>
        <f t="shared" ca="1" si="5"/>
        <v>-106.70016928395276</v>
      </c>
      <c r="AI62" s="882"/>
      <c r="AJ62" s="336"/>
      <c r="AK62" s="336"/>
      <c r="AL62" s="336"/>
      <c r="AM62" s="336"/>
      <c r="AN62" s="336"/>
      <c r="AO62" s="336"/>
      <c r="AP62" s="336"/>
      <c r="AQ62" s="336"/>
      <c r="AR62" s="336"/>
      <c r="AS62" s="336"/>
      <c r="AT62" s="336"/>
      <c r="AU62" s="336"/>
      <c r="AV62" s="336"/>
      <c r="AW62" s="336"/>
      <c r="AX62" s="336"/>
      <c r="AY62" s="336">
        <f t="shared" si="147"/>
        <v>0</v>
      </c>
      <c r="AZ62" s="882"/>
      <c r="BA62" s="337"/>
      <c r="BB62" s="337"/>
      <c r="BC62" s="337">
        <f t="shared" si="10"/>
        <v>0</v>
      </c>
      <c r="BD62" s="882"/>
      <c r="BE62" s="568"/>
      <c r="BF62" s="568"/>
      <c r="BG62" s="550"/>
      <c r="BH62" s="888"/>
      <c r="BI62" s="888"/>
      <c r="BJ62" s="888"/>
      <c r="BK62" s="888"/>
      <c r="BL62" s="888"/>
      <c r="BM62" s="888"/>
      <c r="BN62" s="888"/>
      <c r="BO62" s="888"/>
      <c r="BP62" s="888"/>
      <c r="BQ62" s="888"/>
      <c r="BR62" s="888"/>
      <c r="BS62" s="888"/>
      <c r="BT62" s="888"/>
      <c r="BU62" s="888"/>
      <c r="BV62" s="888"/>
      <c r="BW62" s="888"/>
      <c r="BX62" s="888"/>
      <c r="BY62" s="888"/>
      <c r="BZ62" s="888"/>
      <c r="CA62" s="888"/>
      <c r="CB62" s="888"/>
      <c r="CC62" s="888"/>
      <c r="CD62" s="888"/>
      <c r="CE62" s="888"/>
      <c r="CF62" s="888"/>
      <c r="CG62" s="888"/>
      <c r="CH62" s="888"/>
      <c r="CI62" s="888"/>
      <c r="CJ62" s="888"/>
      <c r="CK62" s="888"/>
      <c r="CL62" s="888"/>
      <c r="CM62" s="888"/>
      <c r="CN62" s="888"/>
      <c r="CO62" s="888"/>
      <c r="CP62" s="888"/>
      <c r="CQ62" s="888"/>
      <c r="CR62" s="888"/>
      <c r="CS62" s="888"/>
      <c r="CT62" s="888"/>
      <c r="CU62" s="888"/>
      <c r="CV62" s="550"/>
      <c r="CW62" s="887">
        <f t="shared" si="143"/>
        <v>0</v>
      </c>
    </row>
    <row r="63" spans="1:101" s="543" customFormat="1" ht="12.75" customHeight="1" outlineLevel="1" x14ac:dyDescent="0.2">
      <c r="C63" s="86" t="s">
        <v>2382</v>
      </c>
      <c r="D63" s="61" t="str">
        <f>INDEX(Modules[Module], MATCH($C63, Modules[Code], 0))</f>
        <v xml:space="preserve">Self Generation </v>
      </c>
      <c r="E63" s="61"/>
      <c r="F63" s="84"/>
      <c r="G63" s="892">
        <f t="shared" ref="G63:O63" ca="1" si="149">IFERROR(INDEX(INDIRECT($C63&amp;".Outputs["&amp;this.Year&amp;"]"), MATCH(G$5, INDIRECT($C63&amp;".Outputs[Vector]"), 0)), 0)</f>
        <v>0</v>
      </c>
      <c r="H63" s="892">
        <f t="shared" ca="1" si="149"/>
        <v>0</v>
      </c>
      <c r="I63" s="892">
        <f t="shared" ca="1" si="149"/>
        <v>0</v>
      </c>
      <c r="J63" s="892">
        <f t="shared" ca="1" si="149"/>
        <v>0</v>
      </c>
      <c r="K63" s="892">
        <f t="shared" ca="1" si="149"/>
        <v>0</v>
      </c>
      <c r="L63" s="892">
        <f t="shared" ca="1" si="149"/>
        <v>0</v>
      </c>
      <c r="M63" s="892">
        <f t="shared" ca="1" si="149"/>
        <v>0</v>
      </c>
      <c r="N63" s="892">
        <f t="shared" ca="1" si="149"/>
        <v>0</v>
      </c>
      <c r="O63" s="892">
        <f t="shared" ca="1" si="149"/>
        <v>0</v>
      </c>
      <c r="P63" s="892">
        <f t="shared" ca="1" si="136"/>
        <v>0</v>
      </c>
      <c r="Q63" s="84"/>
      <c r="R63" s="893">
        <f t="shared" ref="R63:AX63" ca="1" si="150">IFERROR(INDEX(INDIRECT($C63&amp;".Outputs["&amp;this.Year&amp;"]"), MATCH(R$5, INDIRECT($C63&amp;".Outputs[Vector]"), 0)), 0)</f>
        <v>0</v>
      </c>
      <c r="S63" s="893">
        <f t="shared" ca="1" si="150"/>
        <v>106.70016928395276</v>
      </c>
      <c r="T63" s="893">
        <f t="shared" ca="1" si="150"/>
        <v>0</v>
      </c>
      <c r="U63" s="893">
        <f t="shared" ca="1" si="150"/>
        <v>-134.70896372099034</v>
      </c>
      <c r="V63" s="893">
        <f t="shared" ca="1" si="150"/>
        <v>0</v>
      </c>
      <c r="W63" s="893">
        <f t="shared" ca="1" si="150"/>
        <v>0</v>
      </c>
      <c r="X63" s="893">
        <f ca="1">IFERROR(INDEX(INDIRECT($C63&amp;".Outputs["&amp;this.Year&amp;"]"), MATCH(X$5, INDIRECT($C63&amp;".Outputs[Vector]"), 0)), 0)</f>
        <v>0</v>
      </c>
      <c r="Y63" s="893">
        <f ca="1">IFERROR(INDEX(INDIRECT($C63&amp;".Outputs["&amp;this.Year&amp;"]"), MATCH(Y$5, INDIRECT($C63&amp;".Outputs[Vector]"), 0)), 0)</f>
        <v>0</v>
      </c>
      <c r="Z63" s="893">
        <f ca="1">IFERROR(INDEX(INDIRECT($C63&amp;".Outputs["&amp;this.Year&amp;"]"), MATCH(Z$5, INDIRECT($C63&amp;".Outputs[Vector]"), 0)), 0)</f>
        <v>0</v>
      </c>
      <c r="AA63" s="893">
        <f t="shared" ca="1" si="150"/>
        <v>0</v>
      </c>
      <c r="AB63" s="893">
        <f t="shared" ca="1" si="150"/>
        <v>0</v>
      </c>
      <c r="AC63" s="893">
        <f t="shared" ca="1" si="150"/>
        <v>0</v>
      </c>
      <c r="AD63" s="893">
        <f t="shared" ca="1" si="150"/>
        <v>0</v>
      </c>
      <c r="AE63" s="893">
        <f t="shared" ca="1" si="150"/>
        <v>0</v>
      </c>
      <c r="AF63" s="893">
        <f t="shared" ca="1" si="150"/>
        <v>0</v>
      </c>
      <c r="AG63" s="893">
        <f t="shared" ca="1" si="150"/>
        <v>0</v>
      </c>
      <c r="AH63" s="894">
        <f t="shared" ca="1" si="5"/>
        <v>-28.008794437037579</v>
      </c>
      <c r="AI63" s="84"/>
      <c r="AJ63" s="895">
        <f t="shared" ref="AJ63:AR63" ca="1" si="151">IFERROR(INDEX(INDIRECT($C63&amp;".Outputs["&amp;this.Year&amp;"]"), MATCH(AJ$5, INDIRECT($C63&amp;".Outputs[Vector]"), 0)), 0)</f>
        <v>0</v>
      </c>
      <c r="AK63" s="895">
        <f t="shared" ca="1" si="151"/>
        <v>0</v>
      </c>
      <c r="AL63" s="895">
        <f t="shared" ca="1" si="151"/>
        <v>0</v>
      </c>
      <c r="AM63" s="895">
        <f t="shared" ca="1" si="151"/>
        <v>0</v>
      </c>
      <c r="AN63" s="895">
        <f t="shared" ca="1" si="151"/>
        <v>0</v>
      </c>
      <c r="AO63" s="895">
        <f t="shared" ca="1" si="151"/>
        <v>0</v>
      </c>
      <c r="AP63" s="895">
        <f t="shared" ca="1" si="151"/>
        <v>0</v>
      </c>
      <c r="AQ63" s="895">
        <f t="shared" ca="1" si="151"/>
        <v>0</v>
      </c>
      <c r="AR63" s="895">
        <f t="shared" ca="1" si="151"/>
        <v>0</v>
      </c>
      <c r="AS63" s="895">
        <f t="shared" ca="1" si="150"/>
        <v>0</v>
      </c>
      <c r="AT63" s="895">
        <f t="shared" ca="1" si="150"/>
        <v>0</v>
      </c>
      <c r="AU63" s="895">
        <f t="shared" ca="1" si="150"/>
        <v>0</v>
      </c>
      <c r="AV63" s="895">
        <f t="shared" ca="1" si="150"/>
        <v>0</v>
      </c>
      <c r="AW63" s="895">
        <f t="shared" ca="1" si="150"/>
        <v>0</v>
      </c>
      <c r="AX63" s="895">
        <f t="shared" ca="1" si="150"/>
        <v>0</v>
      </c>
      <c r="AY63" s="896">
        <f t="shared" ca="1" si="147"/>
        <v>0</v>
      </c>
      <c r="AZ63" s="84"/>
      <c r="BA63" s="897">
        <f ca="1">IFERROR(INDEX(INDIRECT($C63&amp;".Outputs["&amp;this.Year&amp;"]"), MATCH(BA$5, INDIRECT($C63&amp;".Outputs[Vector]"), 0)), 0)</f>
        <v>26.941792744198054</v>
      </c>
      <c r="BB63" s="897">
        <f ca="1">IFERROR(INDEX(INDIRECT($C63&amp;".Outputs["&amp;this.Year&amp;"]"), MATCH(BB$5, INDIRECT($C63&amp;".Outputs[Vector]"), 0)), 0)</f>
        <v>1.0670016928395276</v>
      </c>
      <c r="BC63" s="898">
        <f t="shared" ca="1" si="10"/>
        <v>28.008794437037583</v>
      </c>
      <c r="BD63" s="84"/>
      <c r="BE63" s="135">
        <f ca="1">P63+AH63+AY63+BC63</f>
        <v>0</v>
      </c>
      <c r="BF63" s="135"/>
      <c r="BG63" s="1428"/>
      <c r="BH63" s="541">
        <f t="shared" ref="BH63:CU63" ca="1" si="152">IFERROR(SUMIFS(INDIRECT($C63&amp;".Emissions["&amp;this.Year&amp;"]"), INDIRECT($C63&amp;".Emissions[GHG]"), BH$6, INDIRECT($C63&amp;".Emissions[IPCC Sector]"), BH$5),0)</f>
        <v>3.3677240930247585</v>
      </c>
      <c r="BI63" s="542">
        <f t="shared" ca="1" si="152"/>
        <v>4.1928032008791052E-3</v>
      </c>
      <c r="BJ63" s="542">
        <f t="shared" ca="1" si="152"/>
        <v>6.0592257205405772E-2</v>
      </c>
      <c r="BK63" s="542">
        <f t="shared" ca="1" si="152"/>
        <v>0</v>
      </c>
      <c r="BL63" s="542">
        <f t="shared" ca="1" si="152"/>
        <v>0</v>
      </c>
      <c r="BM63" s="542">
        <f t="shared" ca="1" si="152"/>
        <v>0</v>
      </c>
      <c r="BN63" s="542">
        <f t="shared" ca="1" si="152"/>
        <v>0</v>
      </c>
      <c r="BO63" s="542">
        <f t="shared" ca="1" si="152"/>
        <v>0</v>
      </c>
      <c r="BP63" s="542">
        <f t="shared" ca="1" si="152"/>
        <v>0</v>
      </c>
      <c r="BQ63" s="542">
        <f t="shared" ca="1" si="152"/>
        <v>0</v>
      </c>
      <c r="BR63" s="542">
        <f t="shared" ca="1" si="152"/>
        <v>0</v>
      </c>
      <c r="BS63" s="542">
        <f t="shared" ca="1" si="152"/>
        <v>0</v>
      </c>
      <c r="BT63" s="542">
        <f t="shared" ca="1" si="152"/>
        <v>0</v>
      </c>
      <c r="BU63" s="542">
        <f t="shared" ca="1" si="152"/>
        <v>0</v>
      </c>
      <c r="BV63" s="542">
        <f t="shared" ca="1" si="152"/>
        <v>0</v>
      </c>
      <c r="BW63" s="542">
        <f t="shared" ca="1" si="152"/>
        <v>0</v>
      </c>
      <c r="BX63" s="542">
        <f t="shared" ca="1" si="152"/>
        <v>0</v>
      </c>
      <c r="BY63" s="542">
        <f t="shared" ca="1" si="152"/>
        <v>0</v>
      </c>
      <c r="BZ63" s="542">
        <f t="shared" ca="1" si="152"/>
        <v>0</v>
      </c>
      <c r="CA63" s="542">
        <f t="shared" ca="1" si="152"/>
        <v>0</v>
      </c>
      <c r="CB63" s="542">
        <f t="shared" ca="1" si="152"/>
        <v>0</v>
      </c>
      <c r="CC63" s="542">
        <f t="shared" ca="1" si="152"/>
        <v>0</v>
      </c>
      <c r="CD63" s="542">
        <f t="shared" ca="1" si="152"/>
        <v>0</v>
      </c>
      <c r="CE63" s="542">
        <f t="shared" ca="1" si="152"/>
        <v>0</v>
      </c>
      <c r="CF63" s="542">
        <f t="shared" ca="1" si="152"/>
        <v>0</v>
      </c>
      <c r="CG63" s="542">
        <f t="shared" ca="1" si="152"/>
        <v>0</v>
      </c>
      <c r="CH63" s="542">
        <f t="shared" ca="1" si="152"/>
        <v>0</v>
      </c>
      <c r="CI63" s="542">
        <f t="shared" ca="1" si="152"/>
        <v>0</v>
      </c>
      <c r="CJ63" s="542">
        <f t="shared" ca="1" si="152"/>
        <v>0</v>
      </c>
      <c r="CK63" s="542">
        <f t="shared" ca="1" si="152"/>
        <v>0</v>
      </c>
      <c r="CL63" s="542">
        <f t="shared" ca="1" si="152"/>
        <v>0</v>
      </c>
      <c r="CM63" s="542">
        <f t="shared" ca="1" si="152"/>
        <v>0</v>
      </c>
      <c r="CN63" s="542">
        <f t="shared" ca="1" si="152"/>
        <v>0</v>
      </c>
      <c r="CO63" s="542">
        <f t="shared" ca="1" si="152"/>
        <v>0</v>
      </c>
      <c r="CP63" s="542">
        <f t="shared" ca="1" si="152"/>
        <v>0</v>
      </c>
      <c r="CQ63" s="542">
        <f t="shared" ca="1" si="152"/>
        <v>0</v>
      </c>
      <c r="CR63" s="542">
        <f t="shared" ca="1" si="152"/>
        <v>0</v>
      </c>
      <c r="CS63" s="542">
        <f t="shared" ca="1" si="152"/>
        <v>0</v>
      </c>
      <c r="CT63" s="542">
        <f t="shared" ca="1" si="152"/>
        <v>0</v>
      </c>
      <c r="CU63" s="542">
        <f t="shared" ca="1" si="152"/>
        <v>0</v>
      </c>
      <c r="CW63" s="151">
        <f t="shared" ca="1" si="143"/>
        <v>3.432509153431043</v>
      </c>
    </row>
    <row r="64" spans="1:101" s="84" customFormat="1" ht="15.75" x14ac:dyDescent="0.2">
      <c r="A64" s="18"/>
      <c r="B64" s="89"/>
      <c r="C64" s="85" t="s">
        <v>60</v>
      </c>
      <c r="D64" s="57" t="str">
        <f>INDEX(Workstreams[Workstream], MATCH($C64, Workstreams[Code], 0))</f>
        <v>Hydrocarbon fuel power generation</v>
      </c>
      <c r="E64" s="53"/>
      <c r="G64" s="300">
        <f ca="1">G57+G61+G63+G59</f>
        <v>0</v>
      </c>
      <c r="H64" s="300">
        <f t="shared" ref="H64:BS64" ca="1" si="153">H57+H61+H63+H59</f>
        <v>0</v>
      </c>
      <c r="I64" s="300">
        <f t="shared" ca="1" si="153"/>
        <v>0</v>
      </c>
      <c r="J64" s="300">
        <f t="shared" ca="1" si="153"/>
        <v>0</v>
      </c>
      <c r="K64" s="300">
        <f t="shared" ca="1" si="153"/>
        <v>0</v>
      </c>
      <c r="L64" s="300">
        <f t="shared" ca="1" si="153"/>
        <v>0</v>
      </c>
      <c r="M64" s="300">
        <f t="shared" ca="1" si="153"/>
        <v>0</v>
      </c>
      <c r="N64" s="300">
        <f t="shared" ca="1" si="153"/>
        <v>0</v>
      </c>
      <c r="O64" s="300">
        <f t="shared" ca="1" si="153"/>
        <v>0</v>
      </c>
      <c r="P64" s="300">
        <f t="shared" ca="1" si="136"/>
        <v>0</v>
      </c>
      <c r="Q64" s="300">
        <f t="shared" si="153"/>
        <v>0</v>
      </c>
      <c r="R64" s="300">
        <f t="shared" ca="1" si="153"/>
        <v>0</v>
      </c>
      <c r="S64" s="300">
        <f t="shared" ca="1" si="153"/>
        <v>155.78976928395275</v>
      </c>
      <c r="T64" s="300">
        <f t="shared" ca="1" si="153"/>
        <v>0</v>
      </c>
      <c r="U64" s="300">
        <f t="shared" ca="1" si="153"/>
        <v>-134.70896372099034</v>
      </c>
      <c r="V64" s="300">
        <f t="shared" ca="1" si="153"/>
        <v>-103.08815999999999</v>
      </c>
      <c r="W64" s="300">
        <f t="shared" ca="1" si="153"/>
        <v>0</v>
      </c>
      <c r="X64" s="300">
        <f t="shared" ca="1" si="153"/>
        <v>0</v>
      </c>
      <c r="Y64" s="300">
        <f t="shared" ca="1" si="153"/>
        <v>0</v>
      </c>
      <c r="Z64" s="300">
        <f t="shared" ca="1" si="153"/>
        <v>0</v>
      </c>
      <c r="AA64" s="300">
        <f t="shared" ca="1" si="153"/>
        <v>0</v>
      </c>
      <c r="AB64" s="300">
        <f t="shared" ca="1" si="153"/>
        <v>0</v>
      </c>
      <c r="AC64" s="300">
        <f t="shared" ca="1" si="153"/>
        <v>0</v>
      </c>
      <c r="AD64" s="300">
        <f t="shared" ca="1" si="153"/>
        <v>0</v>
      </c>
      <c r="AE64" s="300">
        <f t="shared" ca="1" si="153"/>
        <v>0</v>
      </c>
      <c r="AF64" s="300">
        <f t="shared" ca="1" si="153"/>
        <v>0</v>
      </c>
      <c r="AG64" s="300">
        <f t="shared" ca="1" si="153"/>
        <v>0</v>
      </c>
      <c r="AH64" s="300">
        <f t="shared" ca="1" si="5"/>
        <v>-82.007354437037577</v>
      </c>
      <c r="AI64" s="300">
        <f t="shared" si="153"/>
        <v>0</v>
      </c>
      <c r="AJ64" s="300">
        <f t="shared" ca="1" si="153"/>
        <v>0</v>
      </c>
      <c r="AK64" s="300">
        <f t="shared" ca="1" si="153"/>
        <v>0</v>
      </c>
      <c r="AL64" s="300">
        <f t="shared" ca="1" si="153"/>
        <v>0</v>
      </c>
      <c r="AM64" s="300">
        <f t="shared" ca="1" si="153"/>
        <v>0</v>
      </c>
      <c r="AN64" s="300">
        <f t="shared" ca="1" si="153"/>
        <v>0</v>
      </c>
      <c r="AO64" s="300">
        <f t="shared" ca="1" si="153"/>
        <v>0</v>
      </c>
      <c r="AP64" s="300">
        <f t="shared" ca="1" si="153"/>
        <v>0</v>
      </c>
      <c r="AQ64" s="300">
        <f t="shared" ca="1" si="153"/>
        <v>0</v>
      </c>
      <c r="AR64" s="300">
        <f t="shared" ca="1" si="153"/>
        <v>0</v>
      </c>
      <c r="AS64" s="300">
        <f t="shared" ca="1" si="153"/>
        <v>0</v>
      </c>
      <c r="AT64" s="300">
        <f t="shared" ca="1" si="153"/>
        <v>0</v>
      </c>
      <c r="AU64" s="300">
        <f t="shared" ca="1" si="153"/>
        <v>0</v>
      </c>
      <c r="AV64" s="300">
        <f t="shared" ca="1" si="153"/>
        <v>0</v>
      </c>
      <c r="AW64" s="300">
        <f t="shared" ca="1" si="153"/>
        <v>0</v>
      </c>
      <c r="AX64" s="300">
        <f t="shared" ca="1" si="153"/>
        <v>0</v>
      </c>
      <c r="AY64" s="300">
        <f t="shared" ca="1" si="147"/>
        <v>0</v>
      </c>
      <c r="AZ64" s="300">
        <f t="shared" si="153"/>
        <v>0</v>
      </c>
      <c r="BA64" s="300">
        <f t="shared" ca="1" si="153"/>
        <v>78.485872744198048</v>
      </c>
      <c r="BB64" s="300">
        <f t="shared" ca="1" si="153"/>
        <v>3.5214816928395276</v>
      </c>
      <c r="BC64" s="300">
        <f t="shared" ca="1" si="10"/>
        <v>82.007354437037577</v>
      </c>
      <c r="BD64" s="300">
        <f t="shared" si="153"/>
        <v>0</v>
      </c>
      <c r="BE64" s="300">
        <f t="shared" ca="1" si="153"/>
        <v>0</v>
      </c>
      <c r="BF64" s="300">
        <f t="shared" si="153"/>
        <v>0</v>
      </c>
      <c r="BG64" s="300">
        <f t="shared" si="153"/>
        <v>0</v>
      </c>
      <c r="BH64" s="300">
        <f t="shared" ca="1" si="153"/>
        <v>22.335945533024752</v>
      </c>
      <c r="BI64" s="300">
        <f t="shared" ca="1" si="153"/>
        <v>4.2214331989696124E-2</v>
      </c>
      <c r="BJ64" s="300">
        <f t="shared" ca="1" si="153"/>
        <v>0.10148625989265801</v>
      </c>
      <c r="BK64" s="300">
        <f t="shared" ca="1" si="153"/>
        <v>0</v>
      </c>
      <c r="BL64" s="300">
        <f t="shared" ca="1" si="153"/>
        <v>0</v>
      </c>
      <c r="BM64" s="300">
        <f t="shared" ca="1" si="153"/>
        <v>0</v>
      </c>
      <c r="BN64" s="300">
        <f t="shared" ca="1" si="153"/>
        <v>0</v>
      </c>
      <c r="BO64" s="300">
        <f t="shared" ca="1" si="153"/>
        <v>0</v>
      </c>
      <c r="BP64" s="300">
        <f t="shared" ca="1" si="153"/>
        <v>0</v>
      </c>
      <c r="BQ64" s="300">
        <f t="shared" ca="1" si="153"/>
        <v>0</v>
      </c>
      <c r="BR64" s="300">
        <f t="shared" ca="1" si="153"/>
        <v>0</v>
      </c>
      <c r="BS64" s="300">
        <f t="shared" ca="1" si="153"/>
        <v>0</v>
      </c>
      <c r="BT64" s="300">
        <f t="shared" ref="BT64:CU64" ca="1" si="154">BT57+BT61+BT63+BT59</f>
        <v>0</v>
      </c>
      <c r="BU64" s="300">
        <f t="shared" ca="1" si="154"/>
        <v>0</v>
      </c>
      <c r="BV64" s="300">
        <f t="shared" ca="1" si="154"/>
        <v>0</v>
      </c>
      <c r="BW64" s="300">
        <f t="shared" ca="1" si="154"/>
        <v>0</v>
      </c>
      <c r="BX64" s="300">
        <f t="shared" ca="1" si="154"/>
        <v>0</v>
      </c>
      <c r="BY64" s="300">
        <f t="shared" ca="1" si="154"/>
        <v>0</v>
      </c>
      <c r="BZ64" s="300">
        <f t="shared" ca="1" si="154"/>
        <v>0</v>
      </c>
      <c r="CA64" s="300">
        <f t="shared" ca="1" si="154"/>
        <v>0</v>
      </c>
      <c r="CB64" s="300">
        <f t="shared" ca="1" si="154"/>
        <v>0</v>
      </c>
      <c r="CC64" s="300">
        <f t="shared" ca="1" si="154"/>
        <v>0</v>
      </c>
      <c r="CD64" s="300">
        <f t="shared" ca="1" si="154"/>
        <v>0</v>
      </c>
      <c r="CE64" s="300">
        <f t="shared" ca="1" si="154"/>
        <v>0</v>
      </c>
      <c r="CF64" s="300">
        <f t="shared" ca="1" si="154"/>
        <v>0</v>
      </c>
      <c r="CG64" s="300">
        <f t="shared" ca="1" si="154"/>
        <v>0</v>
      </c>
      <c r="CH64" s="300">
        <f t="shared" ca="1" si="154"/>
        <v>0</v>
      </c>
      <c r="CI64" s="300">
        <f t="shared" ca="1" si="154"/>
        <v>0</v>
      </c>
      <c r="CJ64" s="300">
        <f t="shared" ca="1" si="154"/>
        <v>0</v>
      </c>
      <c r="CK64" s="300">
        <f t="shared" ca="1" si="154"/>
        <v>0</v>
      </c>
      <c r="CL64" s="300">
        <f t="shared" ca="1" si="154"/>
        <v>0</v>
      </c>
      <c r="CM64" s="300">
        <f t="shared" ca="1" si="154"/>
        <v>0</v>
      </c>
      <c r="CN64" s="300">
        <f t="shared" ca="1" si="154"/>
        <v>0</v>
      </c>
      <c r="CO64" s="300">
        <f t="shared" ca="1" si="154"/>
        <v>0</v>
      </c>
      <c r="CP64" s="300">
        <f t="shared" ca="1" si="154"/>
        <v>0</v>
      </c>
      <c r="CQ64" s="300">
        <f t="shared" ca="1" si="154"/>
        <v>0</v>
      </c>
      <c r="CR64" s="300">
        <f t="shared" ca="1" si="154"/>
        <v>0</v>
      </c>
      <c r="CS64" s="300">
        <f t="shared" ca="1" si="154"/>
        <v>0</v>
      </c>
      <c r="CT64" s="300">
        <f t="shared" ca="1" si="154"/>
        <v>0</v>
      </c>
      <c r="CU64" s="300">
        <f t="shared" ca="1" si="154"/>
        <v>0</v>
      </c>
      <c r="CW64" s="151">
        <f t="shared" ca="1" si="143"/>
        <v>22.479646124907106</v>
      </c>
    </row>
    <row r="65" spans="1:101" s="84" customFormat="1" ht="6" customHeight="1" x14ac:dyDescent="0.2">
      <c r="C65" s="56"/>
      <c r="D65" s="57"/>
      <c r="E65" s="51"/>
      <c r="G65" s="245"/>
      <c r="H65" s="245"/>
      <c r="I65" s="245"/>
      <c r="J65" s="245"/>
      <c r="K65" s="245"/>
      <c r="L65" s="247"/>
      <c r="M65" s="245"/>
      <c r="N65" s="245"/>
      <c r="O65" s="245"/>
      <c r="P65" s="245">
        <f t="shared" si="136"/>
        <v>0</v>
      </c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>
        <f t="shared" si="5"/>
        <v>0</v>
      </c>
      <c r="AJ65" s="263"/>
      <c r="AK65" s="263"/>
      <c r="AL65" s="263"/>
      <c r="AM65" s="263"/>
      <c r="AN65" s="263"/>
      <c r="AO65" s="263"/>
      <c r="AP65" s="263"/>
      <c r="AQ65" s="263"/>
      <c r="AR65" s="263"/>
      <c r="AS65" s="263"/>
      <c r="AT65" s="263"/>
      <c r="AU65" s="263"/>
      <c r="AV65" s="263"/>
      <c r="AW65" s="263"/>
      <c r="AX65" s="263"/>
      <c r="AY65" s="263">
        <f t="shared" si="147"/>
        <v>0</v>
      </c>
      <c r="BA65" s="277"/>
      <c r="BB65" s="277"/>
      <c r="BC65" s="277">
        <f t="shared" si="10"/>
        <v>0</v>
      </c>
      <c r="BE65" s="55">
        <f>P65+AH65+AY65+BC65</f>
        <v>0</v>
      </c>
      <c r="BF65" s="55"/>
      <c r="BH65" s="542"/>
      <c r="BI65" s="542"/>
      <c r="BJ65" s="542"/>
      <c r="BK65" s="542"/>
      <c r="BL65" s="542"/>
      <c r="BM65" s="542"/>
      <c r="BN65" s="542"/>
      <c r="BO65" s="542"/>
      <c r="BP65" s="542"/>
      <c r="BQ65" s="542"/>
      <c r="BR65" s="542"/>
      <c r="BS65" s="542"/>
      <c r="BT65" s="542"/>
      <c r="BU65" s="542"/>
      <c r="BV65" s="542"/>
      <c r="BW65" s="542"/>
      <c r="BX65" s="542"/>
      <c r="BY65" s="542"/>
      <c r="BZ65" s="542"/>
      <c r="CA65" s="542"/>
      <c r="CB65" s="542"/>
      <c r="CC65" s="542"/>
      <c r="CD65" s="542"/>
      <c r="CE65" s="542"/>
      <c r="CF65" s="542"/>
      <c r="CG65" s="542"/>
      <c r="CH65" s="542"/>
      <c r="CI65" s="542"/>
      <c r="CJ65" s="542"/>
      <c r="CK65" s="542"/>
      <c r="CL65" s="542"/>
      <c r="CM65" s="542"/>
      <c r="CN65" s="542"/>
      <c r="CO65" s="542"/>
      <c r="CP65" s="542"/>
      <c r="CQ65" s="542"/>
      <c r="CR65" s="542"/>
      <c r="CS65" s="542"/>
      <c r="CT65" s="542"/>
      <c r="CU65" s="542"/>
      <c r="CW65" s="151"/>
    </row>
    <row r="66" spans="1:101" s="84" customFormat="1" ht="15.75" x14ac:dyDescent="0.2">
      <c r="B66" s="89"/>
      <c r="C66" s="923" t="s">
        <v>884</v>
      </c>
      <c r="D66" s="69" t="s">
        <v>124</v>
      </c>
      <c r="E66" s="70"/>
      <c r="G66" s="338">
        <f t="shared" ref="G66:O66" ca="1" si="155">G$36+G$40+G$47+G$50+G$54+G$64</f>
        <v>0</v>
      </c>
      <c r="H66" s="338">
        <f t="shared" ca="1" si="155"/>
        <v>0</v>
      </c>
      <c r="I66" s="338">
        <f t="shared" ca="1" si="155"/>
        <v>0</v>
      </c>
      <c r="J66" s="338">
        <f t="shared" ca="1" si="155"/>
        <v>331.13028486783855</v>
      </c>
      <c r="K66" s="338">
        <f t="shared" ca="1" si="155"/>
        <v>0</v>
      </c>
      <c r="L66" s="338">
        <f t="shared" ca="1" si="155"/>
        <v>0</v>
      </c>
      <c r="M66" s="338">
        <f t="shared" ca="1" si="155"/>
        <v>0</v>
      </c>
      <c r="N66" s="338">
        <f t="shared" ca="1" si="155"/>
        <v>0</v>
      </c>
      <c r="O66" s="338">
        <f t="shared" ca="1" si="155"/>
        <v>0</v>
      </c>
      <c r="P66" s="338">
        <f t="shared" ca="1" si="136"/>
        <v>331.13028486783855</v>
      </c>
      <c r="R66" s="294">
        <f t="shared" ref="R66:AG66" ca="1" si="156">R$36+R$40+R$47+R$50+R$54+R$64</f>
        <v>-6.8071864641301847</v>
      </c>
      <c r="S66" s="294">
        <f ca="1">S$36+S$40+S$47+S$50+S$54+S$64</f>
        <v>166.98395128395276</v>
      </c>
      <c r="T66" s="294">
        <f t="shared" ca="1" si="156"/>
        <v>-1.3129498865184096E-2</v>
      </c>
      <c r="U66" s="294">
        <f t="shared" ca="1" si="156"/>
        <v>-136.99238219861692</v>
      </c>
      <c r="V66" s="294">
        <f t="shared" ca="1" si="156"/>
        <v>-423.82765407321153</v>
      </c>
      <c r="W66" s="294">
        <f t="shared" ca="1" si="156"/>
        <v>-6.5471934839989441</v>
      </c>
      <c r="X66" s="294">
        <f t="shared" ca="1" si="156"/>
        <v>11.05873692274</v>
      </c>
      <c r="Y66" s="294">
        <f t="shared" ca="1" si="156"/>
        <v>1458.9378638800001</v>
      </c>
      <c r="Z66" s="294">
        <f t="shared" ca="1" si="156"/>
        <v>844.92033333333336</v>
      </c>
      <c r="AA66" s="294">
        <f t="shared" ca="1" si="156"/>
        <v>0</v>
      </c>
      <c r="AB66" s="294">
        <f t="shared" ca="1" si="156"/>
        <v>0</v>
      </c>
      <c r="AC66" s="294">
        <f t="shared" ca="1" si="156"/>
        <v>1790.9295179502994</v>
      </c>
      <c r="AD66" s="294">
        <f t="shared" ca="1" si="156"/>
        <v>12.388265322112064</v>
      </c>
      <c r="AE66" s="294">
        <f t="shared" ca="1" si="156"/>
        <v>73.060329723562404</v>
      </c>
      <c r="AF66" s="294">
        <f t="shared" ca="1" si="156"/>
        <v>31.919583891554964</v>
      </c>
      <c r="AG66" s="294">
        <f t="shared" ca="1" si="156"/>
        <v>11.254146912530599</v>
      </c>
      <c r="AH66" s="294">
        <f t="shared" ca="1" si="5"/>
        <v>3827.265183501263</v>
      </c>
      <c r="AJ66" s="295">
        <f t="shared" ref="AJ66:AX66" ca="1" si="157">AJ$36+AJ$40+AJ$47+AJ$50+AJ$54+AJ$64</f>
        <v>-6.17215067274</v>
      </c>
      <c r="AK66" s="295">
        <f t="shared" ca="1" si="157"/>
        <v>-1458.9378638800001</v>
      </c>
      <c r="AL66" s="295">
        <f t="shared" ca="1" si="157"/>
        <v>-844.92033333333336</v>
      </c>
      <c r="AM66" s="295">
        <f t="shared" ca="1" si="157"/>
        <v>0</v>
      </c>
      <c r="AN66" s="295">
        <f t="shared" ca="1" si="157"/>
        <v>0</v>
      </c>
      <c r="AO66" s="295">
        <f t="shared" ca="1" si="157"/>
        <v>0</v>
      </c>
      <c r="AP66" s="295">
        <f t="shared" ca="1" si="157"/>
        <v>0</v>
      </c>
      <c r="AQ66" s="295">
        <f t="shared" ca="1" si="157"/>
        <v>0</v>
      </c>
      <c r="AR66" s="295">
        <f t="shared" ca="1" si="157"/>
        <v>0</v>
      </c>
      <c r="AS66" s="295">
        <f t="shared" ca="1" si="157"/>
        <v>0</v>
      </c>
      <c r="AT66" s="295">
        <f t="shared" ca="1" si="157"/>
        <v>-0.92042999999999997</v>
      </c>
      <c r="AU66" s="295">
        <f t="shared" ca="1" si="157"/>
        <v>0</v>
      </c>
      <c r="AV66" s="295">
        <f t="shared" ca="1" si="157"/>
        <v>-10.273751999999998</v>
      </c>
      <c r="AW66" s="295">
        <f t="shared" ca="1" si="157"/>
        <v>-1803.3177832724116</v>
      </c>
      <c r="AX66" s="295">
        <f t="shared" ca="1" si="157"/>
        <v>-121.12064677764798</v>
      </c>
      <c r="AY66" s="295">
        <f t="shared" ca="1" si="147"/>
        <v>-4245.6629599361331</v>
      </c>
      <c r="BA66" s="296">
        <f ca="1">BA$36+BA$40+BA$47+BA$50+BA$54+BA$64</f>
        <v>78.485872744198048</v>
      </c>
      <c r="BB66" s="296">
        <f ca="1">BB$36+BB$40+BB$47+BB$50+BB$54+BB$64</f>
        <v>8.7816188228333836</v>
      </c>
      <c r="BC66" s="296">
        <f t="shared" ca="1" si="10"/>
        <v>87.267491567031428</v>
      </c>
      <c r="BE66" s="58">
        <f ca="1">P66+AH66+AY66+BC66</f>
        <v>0</v>
      </c>
      <c r="BF66" s="58"/>
      <c r="BH66" s="546">
        <f t="shared" ref="BH66:CU66" ca="1" si="158">BH$36+BH$40+BH$47+BH$50+BH$54+BH$64</f>
        <v>81.925397166276909</v>
      </c>
      <c r="BI66" s="546">
        <f t="shared" ca="1" si="158"/>
        <v>0.16123011420366984</v>
      </c>
      <c r="BJ66" s="546">
        <f t="shared" ca="1" si="158"/>
        <v>0.23901911262405096</v>
      </c>
      <c r="BK66" s="546">
        <f t="shared" ca="1" si="158"/>
        <v>0</v>
      </c>
      <c r="BL66" s="546">
        <f t="shared" ca="1" si="158"/>
        <v>6.66</v>
      </c>
      <c r="BM66" s="546">
        <f t="shared" ca="1" si="158"/>
        <v>8.4000000000000012E-3</v>
      </c>
      <c r="BN66" s="546">
        <f t="shared" ca="1" si="158"/>
        <v>0</v>
      </c>
      <c r="BO66" s="546">
        <f t="shared" ca="1" si="158"/>
        <v>0</v>
      </c>
      <c r="BP66" s="546">
        <f t="shared" ca="1" si="158"/>
        <v>0</v>
      </c>
      <c r="BQ66" s="546">
        <f t="shared" ca="1" si="158"/>
        <v>0</v>
      </c>
      <c r="BR66" s="546">
        <f t="shared" ca="1" si="158"/>
        <v>0</v>
      </c>
      <c r="BS66" s="546">
        <f t="shared" ca="1" si="158"/>
        <v>0</v>
      </c>
      <c r="BT66" s="546">
        <f t="shared" ca="1" si="158"/>
        <v>0</v>
      </c>
      <c r="BU66" s="546">
        <f t="shared" ca="1" si="158"/>
        <v>0</v>
      </c>
      <c r="BV66" s="546">
        <f t="shared" ca="1" si="158"/>
        <v>0</v>
      </c>
      <c r="BW66" s="546">
        <f t="shared" ca="1" si="158"/>
        <v>0</v>
      </c>
      <c r="BX66" s="546">
        <f t="shared" ca="1" si="158"/>
        <v>0</v>
      </c>
      <c r="BY66" s="546">
        <f t="shared" ca="1" si="158"/>
        <v>0</v>
      </c>
      <c r="BZ66" s="546">
        <f t="shared" ca="1" si="158"/>
        <v>22.545258398704277</v>
      </c>
      <c r="CA66" s="546">
        <f t="shared" ca="1" si="158"/>
        <v>0</v>
      </c>
      <c r="CB66" s="546">
        <f t="shared" ca="1" si="158"/>
        <v>4.9966990495666685</v>
      </c>
      <c r="CC66" s="546">
        <f t="shared" ca="1" si="158"/>
        <v>0</v>
      </c>
      <c r="CD66" s="546">
        <f t="shared" ca="1" si="158"/>
        <v>0</v>
      </c>
      <c r="CE66" s="546">
        <f t="shared" ca="1" si="158"/>
        <v>0</v>
      </c>
      <c r="CF66" s="546">
        <f t="shared" ca="1" si="158"/>
        <v>0</v>
      </c>
      <c r="CG66" s="546">
        <f t="shared" ca="1" si="158"/>
        <v>10.807028354917669</v>
      </c>
      <c r="CH66" s="546">
        <f t="shared" ca="1" si="158"/>
        <v>0</v>
      </c>
      <c r="CI66" s="546">
        <f t="shared" ca="1" si="158"/>
        <v>0</v>
      </c>
      <c r="CJ66" s="546">
        <f t="shared" ca="1" si="158"/>
        <v>0</v>
      </c>
      <c r="CK66" s="546">
        <f t="shared" ca="1" si="158"/>
        <v>0</v>
      </c>
      <c r="CL66" s="546">
        <f t="shared" ca="1" si="158"/>
        <v>0</v>
      </c>
      <c r="CM66" s="546">
        <f t="shared" ca="1" si="158"/>
        <v>0</v>
      </c>
      <c r="CN66" s="546">
        <f t="shared" ca="1" si="158"/>
        <v>0</v>
      </c>
      <c r="CO66" s="546">
        <f t="shared" ca="1" si="158"/>
        <v>0</v>
      </c>
      <c r="CP66" s="546">
        <f t="shared" ca="1" si="158"/>
        <v>0</v>
      </c>
      <c r="CQ66" s="546">
        <f t="shared" ca="1" si="158"/>
        <v>0</v>
      </c>
      <c r="CR66" s="546">
        <f t="shared" ca="1" si="158"/>
        <v>0</v>
      </c>
      <c r="CS66" s="546">
        <f t="shared" ca="1" si="158"/>
        <v>0</v>
      </c>
      <c r="CT66" s="546">
        <f t="shared" ca="1" si="158"/>
        <v>0</v>
      </c>
      <c r="CU66" s="546">
        <f t="shared" ca="1" si="158"/>
        <v>0</v>
      </c>
      <c r="CW66" s="148">
        <f ca="1">SUM(BH66:CU66)</f>
        <v>127.34303219629325</v>
      </c>
    </row>
    <row r="67" spans="1:101" s="84" customFormat="1" ht="6" customHeight="1" x14ac:dyDescent="0.2">
      <c r="C67" s="56"/>
      <c r="D67" s="57"/>
      <c r="E67" s="51"/>
      <c r="G67" s="245"/>
      <c r="H67" s="245"/>
      <c r="I67" s="245"/>
      <c r="J67" s="245"/>
      <c r="K67" s="245"/>
      <c r="L67" s="247"/>
      <c r="M67" s="245"/>
      <c r="N67" s="245"/>
      <c r="O67" s="245"/>
      <c r="P67" s="245">
        <f t="shared" si="136"/>
        <v>0</v>
      </c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>
        <f t="shared" ref="AH67:AH90" si="159">SUM(R67:AG67)</f>
        <v>0</v>
      </c>
      <c r="AJ67" s="263"/>
      <c r="AK67" s="263"/>
      <c r="AL67" s="263"/>
      <c r="AM67" s="263"/>
      <c r="AN67" s="263"/>
      <c r="AO67" s="263"/>
      <c r="AP67" s="263"/>
      <c r="AQ67" s="263"/>
      <c r="AR67" s="263"/>
      <c r="AS67" s="263"/>
      <c r="AT67" s="263"/>
      <c r="AU67" s="263"/>
      <c r="AV67" s="263"/>
      <c r="AW67" s="263"/>
      <c r="AX67" s="263"/>
      <c r="AY67" s="263">
        <f t="shared" si="147"/>
        <v>0</v>
      </c>
      <c r="BA67" s="277"/>
      <c r="BB67" s="277"/>
      <c r="BC67" s="277">
        <f t="shared" ref="BC67:BC90" si="160">SUM(BA67:BB67)</f>
        <v>0</v>
      </c>
      <c r="BE67" s="55">
        <f>P67+AH67+AY67+BC67</f>
        <v>0</v>
      </c>
      <c r="BF67" s="55"/>
      <c r="BH67" s="542"/>
      <c r="BI67" s="542"/>
      <c r="BJ67" s="542"/>
      <c r="BK67" s="542"/>
      <c r="BL67" s="542"/>
      <c r="BM67" s="542"/>
      <c r="BN67" s="542"/>
      <c r="BO67" s="542"/>
      <c r="BP67" s="542"/>
      <c r="BQ67" s="542"/>
      <c r="BR67" s="542"/>
      <c r="BS67" s="542"/>
      <c r="BT67" s="542"/>
      <c r="BU67" s="542"/>
      <c r="BV67" s="542"/>
      <c r="BW67" s="542"/>
      <c r="BX67" s="542"/>
      <c r="BY67" s="542"/>
      <c r="BZ67" s="542"/>
      <c r="CA67" s="542"/>
      <c r="CB67" s="542"/>
      <c r="CC67" s="542"/>
      <c r="CD67" s="542"/>
      <c r="CE67" s="542"/>
      <c r="CF67" s="542"/>
      <c r="CG67" s="542"/>
      <c r="CH67" s="542"/>
      <c r="CI67" s="542"/>
      <c r="CJ67" s="542"/>
      <c r="CK67" s="542"/>
      <c r="CL67" s="542"/>
      <c r="CM67" s="542"/>
      <c r="CN67" s="542"/>
      <c r="CO67" s="542"/>
      <c r="CP67" s="542"/>
      <c r="CQ67" s="542"/>
      <c r="CR67" s="542"/>
      <c r="CS67" s="542"/>
      <c r="CT67" s="542"/>
      <c r="CU67" s="542"/>
      <c r="CW67" s="151"/>
    </row>
    <row r="68" spans="1:101" s="84" customFormat="1" ht="24" customHeight="1" x14ac:dyDescent="0.2">
      <c r="C68" s="45" t="s">
        <v>414</v>
      </c>
      <c r="D68" s="45"/>
      <c r="E68" s="68"/>
      <c r="G68" s="244"/>
      <c r="H68" s="244"/>
      <c r="I68" s="244"/>
      <c r="J68" s="244"/>
      <c r="K68" s="244"/>
      <c r="L68" s="244"/>
      <c r="M68" s="244"/>
      <c r="N68" s="244"/>
      <c r="O68" s="244"/>
      <c r="P68" s="244">
        <f t="shared" si="136"/>
        <v>0</v>
      </c>
      <c r="R68" s="260"/>
      <c r="S68" s="260"/>
      <c r="T68" s="260"/>
      <c r="U68" s="260"/>
      <c r="V68" s="260"/>
      <c r="W68" s="260"/>
      <c r="X68" s="256"/>
      <c r="Y68" s="256"/>
      <c r="Z68" s="256"/>
      <c r="AA68" s="260"/>
      <c r="AB68" s="260"/>
      <c r="AC68" s="260"/>
      <c r="AD68" s="260"/>
      <c r="AE68" s="260"/>
      <c r="AF68" s="260"/>
      <c r="AG68" s="260"/>
      <c r="AH68" s="260">
        <f t="shared" si="159"/>
        <v>0</v>
      </c>
      <c r="AJ68" s="267"/>
      <c r="AK68" s="267"/>
      <c r="AL68" s="267"/>
      <c r="AM68" s="267"/>
      <c r="AN68" s="267"/>
      <c r="AO68" s="267"/>
      <c r="AP68" s="267"/>
      <c r="AQ68" s="267"/>
      <c r="AR68" s="267"/>
      <c r="AS68" s="267"/>
      <c r="AT68" s="262"/>
      <c r="AU68" s="262"/>
      <c r="AV68" s="262"/>
      <c r="AW68" s="262"/>
      <c r="AX68" s="262"/>
      <c r="AY68" s="267">
        <f t="shared" si="147"/>
        <v>0</v>
      </c>
      <c r="BA68" s="280"/>
      <c r="BB68" s="280"/>
      <c r="BC68" s="280">
        <f t="shared" si="160"/>
        <v>0</v>
      </c>
      <c r="BE68" s="54">
        <f>P68+AH68+AY68+BC68</f>
        <v>0</v>
      </c>
      <c r="BF68" s="54"/>
      <c r="BH68" s="542"/>
      <c r="BI68" s="542"/>
      <c r="BJ68" s="542"/>
      <c r="BK68" s="542"/>
      <c r="BL68" s="542"/>
      <c r="BM68" s="542"/>
      <c r="BN68" s="542"/>
      <c r="BO68" s="542"/>
      <c r="BP68" s="542"/>
      <c r="BQ68" s="542"/>
      <c r="BR68" s="542"/>
      <c r="BS68" s="542"/>
      <c r="BT68" s="542"/>
      <c r="BU68" s="542"/>
      <c r="BV68" s="542"/>
      <c r="BW68" s="542"/>
      <c r="BX68" s="542"/>
      <c r="BY68" s="542"/>
      <c r="BZ68" s="542"/>
      <c r="CA68" s="542"/>
      <c r="CB68" s="542"/>
      <c r="CC68" s="542"/>
      <c r="CD68" s="542"/>
      <c r="CE68" s="542"/>
      <c r="CF68" s="542"/>
      <c r="CG68" s="542"/>
      <c r="CH68" s="542"/>
      <c r="CI68" s="542"/>
      <c r="CJ68" s="542"/>
      <c r="CK68" s="542"/>
      <c r="CL68" s="542"/>
      <c r="CM68" s="542"/>
      <c r="CN68" s="542"/>
      <c r="CO68" s="542"/>
      <c r="CP68" s="542"/>
      <c r="CQ68" s="542"/>
      <c r="CR68" s="542"/>
      <c r="CS68" s="542"/>
      <c r="CT68" s="542"/>
      <c r="CU68" s="542"/>
      <c r="CW68" s="151"/>
    </row>
    <row r="69" spans="1:101" s="84" customFormat="1" ht="6" customHeight="1" x14ac:dyDescent="0.2">
      <c r="C69" s="60"/>
      <c r="D69" s="34"/>
      <c r="E69" s="51"/>
      <c r="G69" s="245"/>
      <c r="H69" s="245"/>
      <c r="I69" s="245"/>
      <c r="J69" s="245"/>
      <c r="K69" s="245"/>
      <c r="L69" s="247"/>
      <c r="M69" s="245"/>
      <c r="N69" s="245"/>
      <c r="O69" s="245"/>
      <c r="P69" s="245">
        <f t="shared" si="136"/>
        <v>0</v>
      </c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>
        <f t="shared" si="159"/>
        <v>0</v>
      </c>
      <c r="AJ69" s="263"/>
      <c r="AK69" s="263"/>
      <c r="AL69" s="263"/>
      <c r="AM69" s="263"/>
      <c r="AN69" s="263"/>
      <c r="AO69" s="263"/>
      <c r="AP69" s="263"/>
      <c r="AQ69" s="263"/>
      <c r="AR69" s="263"/>
      <c r="AS69" s="263"/>
      <c r="AT69" s="263"/>
      <c r="AU69" s="263"/>
      <c r="AV69" s="263"/>
      <c r="AW69" s="263"/>
      <c r="AX69" s="263"/>
      <c r="AY69" s="263">
        <f t="shared" si="147"/>
        <v>0</v>
      </c>
      <c r="BA69" s="277"/>
      <c r="BB69" s="277"/>
      <c r="BC69" s="277">
        <f t="shared" si="160"/>
        <v>0</v>
      </c>
      <c r="BE69" s="55">
        <f>P69+AH69+AY69+BC69</f>
        <v>0</v>
      </c>
      <c r="BF69" s="55"/>
      <c r="BH69" s="542"/>
      <c r="BI69" s="542"/>
      <c r="BJ69" s="542"/>
      <c r="BK69" s="542"/>
      <c r="BL69" s="542"/>
      <c r="BM69" s="542"/>
      <c r="BN69" s="542"/>
      <c r="BO69" s="542"/>
      <c r="BP69" s="542"/>
      <c r="BQ69" s="542"/>
      <c r="BR69" s="542"/>
      <c r="BS69" s="542"/>
      <c r="BT69" s="542"/>
      <c r="BU69" s="542"/>
      <c r="BV69" s="542"/>
      <c r="BW69" s="542"/>
      <c r="BX69" s="542"/>
      <c r="BY69" s="542"/>
      <c r="BZ69" s="542"/>
      <c r="CA69" s="542"/>
      <c r="CB69" s="542"/>
      <c r="CC69" s="542"/>
      <c r="CD69" s="542"/>
      <c r="CE69" s="542"/>
      <c r="CF69" s="542"/>
      <c r="CG69" s="542"/>
      <c r="CH69" s="542"/>
      <c r="CI69" s="542"/>
      <c r="CJ69" s="542"/>
      <c r="CK69" s="542"/>
      <c r="CL69" s="542"/>
      <c r="CM69" s="542"/>
      <c r="CN69" s="542"/>
      <c r="CO69" s="542"/>
      <c r="CP69" s="542"/>
      <c r="CQ69" s="542"/>
      <c r="CR69" s="542"/>
      <c r="CS69" s="542"/>
      <c r="CT69" s="542"/>
      <c r="CU69" s="542"/>
      <c r="CW69" s="151"/>
    </row>
    <row r="70" spans="1:101" s="84" customFormat="1" outlineLevel="1" x14ac:dyDescent="0.2">
      <c r="A70" s="547"/>
      <c r="B70" s="547"/>
      <c r="C70" s="162"/>
      <c r="D70" s="163"/>
      <c r="E70" s="163"/>
      <c r="G70" s="248"/>
      <c r="H70" s="248"/>
      <c r="I70" s="248"/>
      <c r="J70" s="248"/>
      <c r="K70" s="248"/>
      <c r="L70" s="249"/>
      <c r="M70" s="248"/>
      <c r="N70" s="248"/>
      <c r="O70" s="248"/>
      <c r="P70" s="248">
        <f t="shared" si="136"/>
        <v>0</v>
      </c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>
        <f t="shared" si="159"/>
        <v>0</v>
      </c>
      <c r="AJ70" s="265"/>
      <c r="AK70" s="265"/>
      <c r="AL70" s="265"/>
      <c r="AM70" s="265"/>
      <c r="AN70" s="265"/>
      <c r="AO70" s="265"/>
      <c r="AP70" s="265"/>
      <c r="AQ70" s="265"/>
      <c r="AR70" s="265"/>
      <c r="AS70" s="265"/>
      <c r="AT70" s="265"/>
      <c r="AU70" s="265"/>
      <c r="AV70" s="265"/>
      <c r="AW70" s="265"/>
      <c r="AX70" s="265"/>
      <c r="AY70" s="265">
        <f t="shared" si="147"/>
        <v>0</v>
      </c>
      <c r="BA70" s="278"/>
      <c r="BB70" s="278"/>
      <c r="BC70" s="278">
        <f t="shared" si="160"/>
        <v>0</v>
      </c>
      <c r="BE70" s="164"/>
      <c r="BF70" s="164"/>
      <c r="BG70" s="547"/>
      <c r="BH70" s="549"/>
      <c r="BI70" s="542"/>
      <c r="BJ70" s="542"/>
      <c r="BK70" s="542"/>
      <c r="BL70" s="542"/>
      <c r="BM70" s="542"/>
      <c r="BN70" s="542"/>
      <c r="BO70" s="542"/>
      <c r="BP70" s="542"/>
      <c r="BQ70" s="542"/>
      <c r="BR70" s="542"/>
      <c r="BS70" s="542"/>
      <c r="BT70" s="542"/>
      <c r="BU70" s="542"/>
      <c r="BV70" s="542"/>
      <c r="BW70" s="542"/>
      <c r="BX70" s="542"/>
      <c r="BY70" s="542"/>
      <c r="BZ70" s="542"/>
      <c r="CA70" s="542"/>
      <c r="CB70" s="542"/>
      <c r="CC70" s="542"/>
      <c r="CD70" s="542"/>
      <c r="CE70" s="542"/>
      <c r="CF70" s="542"/>
      <c r="CG70" s="542"/>
      <c r="CH70" s="542"/>
      <c r="CI70" s="542"/>
      <c r="CJ70" s="542"/>
      <c r="CK70" s="542"/>
      <c r="CL70" s="542"/>
      <c r="CM70" s="542"/>
      <c r="CN70" s="542"/>
      <c r="CO70" s="542"/>
      <c r="CP70" s="542"/>
      <c r="CQ70" s="542"/>
      <c r="CR70" s="542"/>
      <c r="CS70" s="542"/>
      <c r="CT70" s="542"/>
      <c r="CU70" s="542"/>
      <c r="CW70" s="151"/>
    </row>
    <row r="71" spans="1:101" s="543" customFormat="1" outlineLevel="1" x14ac:dyDescent="0.2">
      <c r="C71" s="62" t="s">
        <v>305</v>
      </c>
      <c r="D71" s="61" t="str">
        <f>INDEX(Modules[Module], MATCH($C71, Modules[Code], 0))</f>
        <v>Electricity imports</v>
      </c>
      <c r="E71" s="61"/>
      <c r="F71" s="84"/>
      <c r="G71" s="297">
        <f t="shared" ref="G71:O71" ca="1" si="161">IFERROR(INDEX(INDIRECT($C71&amp;".Outputs["&amp;this.Year&amp;"]"), MATCH(G$5, INDIRECT($C71&amp;".Outputs[Vector]"), 0)), 0)</f>
        <v>0</v>
      </c>
      <c r="H71" s="297">
        <f t="shared" ca="1" si="161"/>
        <v>0</v>
      </c>
      <c r="I71" s="297">
        <f t="shared" ca="1" si="161"/>
        <v>0</v>
      </c>
      <c r="J71" s="297">
        <f t="shared" ca="1" si="161"/>
        <v>0</v>
      </c>
      <c r="K71" s="297">
        <f t="shared" ca="1" si="161"/>
        <v>0</v>
      </c>
      <c r="L71" s="297">
        <f t="shared" ca="1" si="161"/>
        <v>0</v>
      </c>
      <c r="M71" s="297">
        <f t="shared" ca="1" si="161"/>
        <v>0</v>
      </c>
      <c r="N71" s="297">
        <f t="shared" ca="1" si="161"/>
        <v>0</v>
      </c>
      <c r="O71" s="297">
        <f t="shared" ca="1" si="161"/>
        <v>0</v>
      </c>
      <c r="P71" s="297">
        <f t="shared" ca="1" si="136"/>
        <v>0</v>
      </c>
      <c r="Q71" s="84"/>
      <c r="R71" s="304">
        <f t="shared" ref="R71:AG71" ca="1" si="162">IFERROR(INDEX(INDIRECT($C71&amp;".Outputs["&amp;this.Year&amp;"]"), MATCH(R$5, INDIRECT($C71&amp;".Outputs[Vector]"), 0)), 0)</f>
        <v>0</v>
      </c>
      <c r="S71" s="304">
        <f t="shared" ca="1" si="162"/>
        <v>-0.52500000000000002</v>
      </c>
      <c r="T71" s="304">
        <f t="shared" ca="1" si="162"/>
        <v>0</v>
      </c>
      <c r="U71" s="304">
        <f t="shared" ca="1" si="162"/>
        <v>0</v>
      </c>
      <c r="V71" s="304">
        <f t="shared" ca="1" si="162"/>
        <v>0</v>
      </c>
      <c r="W71" s="304">
        <f t="shared" ca="1" si="162"/>
        <v>0</v>
      </c>
      <c r="X71" s="304">
        <f ca="1">IFERROR(INDEX(INDIRECT($C71&amp;".Outputs["&amp;this.Year&amp;"]"), MATCH(X$5, INDIRECT($C71&amp;".Outputs[Vector]"), 0)), 0)</f>
        <v>0</v>
      </c>
      <c r="Y71" s="304">
        <f ca="1">IFERROR(INDEX(INDIRECT($C71&amp;".Outputs["&amp;this.Year&amp;"]"), MATCH(Y$5, INDIRECT($C71&amp;".Outputs[Vector]"), 0)), 0)</f>
        <v>0</v>
      </c>
      <c r="Z71" s="304">
        <f ca="1">IFERROR(INDEX(INDIRECT($C71&amp;".Outputs["&amp;this.Year&amp;"]"), MATCH(Z$5, INDIRECT($C71&amp;".Outputs[Vector]"), 0)), 0)</f>
        <v>0</v>
      </c>
      <c r="AA71" s="304">
        <f t="shared" ca="1" si="162"/>
        <v>0</v>
      </c>
      <c r="AB71" s="304">
        <f t="shared" ca="1" si="162"/>
        <v>0</v>
      </c>
      <c r="AC71" s="304">
        <f t="shared" ca="1" si="162"/>
        <v>0</v>
      </c>
      <c r="AD71" s="304">
        <f t="shared" ca="1" si="162"/>
        <v>0</v>
      </c>
      <c r="AE71" s="304">
        <f t="shared" ca="1" si="162"/>
        <v>0</v>
      </c>
      <c r="AF71" s="304">
        <f t="shared" ca="1" si="162"/>
        <v>0</v>
      </c>
      <c r="AG71" s="304">
        <f t="shared" ca="1" si="162"/>
        <v>0</v>
      </c>
      <c r="AH71" s="305">
        <f t="shared" ca="1" si="159"/>
        <v>-0.52500000000000002</v>
      </c>
      <c r="AI71" s="84"/>
      <c r="AJ71" s="312">
        <f t="shared" ref="AJ71:AR71" ca="1" si="163">IFERROR(INDEX(INDIRECT($C71&amp;".Outputs["&amp;this.Year&amp;"]"), MATCH(AJ$5, INDIRECT($C71&amp;".Outputs[Vector]"), 0)), 0)</f>
        <v>0</v>
      </c>
      <c r="AK71" s="312">
        <f t="shared" ca="1" si="163"/>
        <v>0</v>
      </c>
      <c r="AL71" s="312">
        <f t="shared" ca="1" si="163"/>
        <v>0</v>
      </c>
      <c r="AM71" s="312">
        <f t="shared" ca="1" si="163"/>
        <v>0</v>
      </c>
      <c r="AN71" s="312">
        <f t="shared" ca="1" si="163"/>
        <v>0.52500000000000002</v>
      </c>
      <c r="AO71" s="312">
        <f t="shared" ca="1" si="163"/>
        <v>0</v>
      </c>
      <c r="AP71" s="312">
        <f t="shared" ca="1" si="163"/>
        <v>0</v>
      </c>
      <c r="AQ71" s="312">
        <f t="shared" ca="1" si="163"/>
        <v>0</v>
      </c>
      <c r="AR71" s="312">
        <f t="shared" ca="1" si="163"/>
        <v>0</v>
      </c>
      <c r="AS71" s="312">
        <f t="shared" ref="AS71:AX71" ca="1" si="164">IFERROR(INDEX(INDIRECT($C71&amp;".Outputs["&amp;this.Year&amp;"]"), MATCH(AS$5, INDIRECT($C71&amp;".Outputs[Vector]"), 0)), 0)</f>
        <v>0</v>
      </c>
      <c r="AT71" s="312">
        <f t="shared" ca="1" si="164"/>
        <v>0</v>
      </c>
      <c r="AU71" s="312">
        <f t="shared" ca="1" si="164"/>
        <v>0</v>
      </c>
      <c r="AV71" s="312">
        <f t="shared" ca="1" si="164"/>
        <v>0</v>
      </c>
      <c r="AW71" s="312">
        <f t="shared" ca="1" si="164"/>
        <v>0</v>
      </c>
      <c r="AX71" s="312">
        <f t="shared" ca="1" si="164"/>
        <v>0</v>
      </c>
      <c r="AY71" s="266">
        <f t="shared" ca="1" si="147"/>
        <v>0.52500000000000002</v>
      </c>
      <c r="AZ71" s="84"/>
      <c r="BA71" s="308">
        <f ca="1">IFERROR(INDEX(INDIRECT($C71&amp;".Outputs["&amp;this.Year&amp;"]"), MATCH(BA$5, INDIRECT($C71&amp;".Outputs[Vector]"), 0)), 0)</f>
        <v>0</v>
      </c>
      <c r="BB71" s="308">
        <f ca="1">IFERROR(INDEX(INDIRECT($C71&amp;".Outputs["&amp;this.Year&amp;"]"), MATCH(BB$5, INDIRECT($C71&amp;".Outputs[Vector]"), 0)), 0)</f>
        <v>0</v>
      </c>
      <c r="BC71" s="309">
        <f t="shared" ca="1" si="160"/>
        <v>0</v>
      </c>
      <c r="BD71" s="84"/>
      <c r="BE71" s="135">
        <f ca="1">P71+AH71+AY71+BC71</f>
        <v>0</v>
      </c>
      <c r="BF71" s="135"/>
      <c r="BH71" s="541">
        <f t="shared" ref="BH71:CU71" ca="1" si="165">IFERROR(SUMIFS(INDIRECT($C71&amp;".Emissions["&amp;this.Year&amp;"]"), INDIRECT($C71&amp;".Emissions[GHG]"), BH$6, INDIRECT($C71&amp;".Emissions[IPCC Sector]"), BH$5),0)</f>
        <v>0</v>
      </c>
      <c r="BI71" s="542">
        <f t="shared" ca="1" si="165"/>
        <v>0</v>
      </c>
      <c r="BJ71" s="542">
        <f t="shared" ca="1" si="165"/>
        <v>0</v>
      </c>
      <c r="BK71" s="542">
        <f t="shared" ca="1" si="165"/>
        <v>0</v>
      </c>
      <c r="BL71" s="542">
        <f t="shared" ca="1" si="165"/>
        <v>0</v>
      </c>
      <c r="BM71" s="542">
        <f t="shared" ca="1" si="165"/>
        <v>0</v>
      </c>
      <c r="BN71" s="542">
        <f t="shared" ca="1" si="165"/>
        <v>0</v>
      </c>
      <c r="BO71" s="542">
        <f t="shared" ca="1" si="165"/>
        <v>0</v>
      </c>
      <c r="BP71" s="542">
        <f t="shared" ca="1" si="165"/>
        <v>0</v>
      </c>
      <c r="BQ71" s="542">
        <f t="shared" ca="1" si="165"/>
        <v>0</v>
      </c>
      <c r="BR71" s="542">
        <f t="shared" ca="1" si="165"/>
        <v>0</v>
      </c>
      <c r="BS71" s="542">
        <f t="shared" ca="1" si="165"/>
        <v>0</v>
      </c>
      <c r="BT71" s="542">
        <f t="shared" ca="1" si="165"/>
        <v>0</v>
      </c>
      <c r="BU71" s="542">
        <f t="shared" ca="1" si="165"/>
        <v>0</v>
      </c>
      <c r="BV71" s="542">
        <f t="shared" ca="1" si="165"/>
        <v>0</v>
      </c>
      <c r="BW71" s="542">
        <f t="shared" ca="1" si="165"/>
        <v>0</v>
      </c>
      <c r="BX71" s="542">
        <f t="shared" ca="1" si="165"/>
        <v>0</v>
      </c>
      <c r="BY71" s="542">
        <f t="shared" ca="1" si="165"/>
        <v>0</v>
      </c>
      <c r="BZ71" s="542">
        <f t="shared" ca="1" si="165"/>
        <v>0</v>
      </c>
      <c r="CA71" s="542">
        <f t="shared" ca="1" si="165"/>
        <v>0</v>
      </c>
      <c r="CB71" s="542">
        <f t="shared" ca="1" si="165"/>
        <v>0</v>
      </c>
      <c r="CC71" s="542">
        <f t="shared" ca="1" si="165"/>
        <v>0</v>
      </c>
      <c r="CD71" s="542">
        <f t="shared" ca="1" si="165"/>
        <v>0</v>
      </c>
      <c r="CE71" s="542">
        <f t="shared" ca="1" si="165"/>
        <v>0</v>
      </c>
      <c r="CF71" s="542">
        <f t="shared" ca="1" si="165"/>
        <v>0</v>
      </c>
      <c r="CG71" s="542">
        <f t="shared" ca="1" si="165"/>
        <v>0</v>
      </c>
      <c r="CH71" s="542">
        <f t="shared" ca="1" si="165"/>
        <v>0</v>
      </c>
      <c r="CI71" s="542">
        <f t="shared" ca="1" si="165"/>
        <v>0</v>
      </c>
      <c r="CJ71" s="542">
        <f t="shared" ca="1" si="165"/>
        <v>0</v>
      </c>
      <c r="CK71" s="542">
        <f t="shared" ca="1" si="165"/>
        <v>0</v>
      </c>
      <c r="CL71" s="542">
        <f t="shared" ca="1" si="165"/>
        <v>0</v>
      </c>
      <c r="CM71" s="542">
        <f t="shared" ca="1" si="165"/>
        <v>0</v>
      </c>
      <c r="CN71" s="542">
        <f t="shared" ca="1" si="165"/>
        <v>0</v>
      </c>
      <c r="CO71" s="542">
        <f t="shared" ca="1" si="165"/>
        <v>0</v>
      </c>
      <c r="CP71" s="542">
        <f t="shared" ca="1" si="165"/>
        <v>0</v>
      </c>
      <c r="CQ71" s="542">
        <f t="shared" ca="1" si="165"/>
        <v>0</v>
      </c>
      <c r="CR71" s="542">
        <f t="shared" ca="1" si="165"/>
        <v>0</v>
      </c>
      <c r="CS71" s="542">
        <f t="shared" ca="1" si="165"/>
        <v>0</v>
      </c>
      <c r="CT71" s="542">
        <f t="shared" ca="1" si="165"/>
        <v>0</v>
      </c>
      <c r="CU71" s="542">
        <f t="shared" ca="1" si="165"/>
        <v>0</v>
      </c>
      <c r="CW71" s="151"/>
    </row>
    <row r="72" spans="1:101" s="547" customFormat="1" ht="12.75" customHeight="1" outlineLevel="1" x14ac:dyDescent="0.2">
      <c r="C72" s="319" t="s">
        <v>858</v>
      </c>
      <c r="D72" s="320" t="s">
        <v>588</v>
      </c>
      <c r="E72" s="320"/>
      <c r="F72" s="84"/>
      <c r="G72" s="333"/>
      <c r="H72" s="333"/>
      <c r="I72" s="333"/>
      <c r="J72" s="333"/>
      <c r="K72" s="333"/>
      <c r="L72" s="334"/>
      <c r="M72" s="333"/>
      <c r="N72" s="333"/>
      <c r="O72" s="333"/>
      <c r="P72" s="333">
        <f t="shared" si="136"/>
        <v>0</v>
      </c>
      <c r="Q72" s="84"/>
      <c r="R72" s="335">
        <f ca="1">R$28+R$36+R$80+R$40+R$71</f>
        <v>-138.16092956568079</v>
      </c>
      <c r="S72" s="335">
        <f ca="1">S$28+S$36+S$80+S$40+S$71</f>
        <v>-0.52500000000000002</v>
      </c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>
        <f t="shared" ca="1" si="159"/>
        <v>-138.68592956568079</v>
      </c>
      <c r="AI72" s="84"/>
      <c r="AJ72" s="336"/>
      <c r="AK72" s="336"/>
      <c r="AL72" s="336"/>
      <c r="AM72" s="336"/>
      <c r="AN72" s="336"/>
      <c r="AO72" s="336"/>
      <c r="AP72" s="336"/>
      <c r="AQ72" s="336"/>
      <c r="AR72" s="336"/>
      <c r="AS72" s="336"/>
      <c r="AT72" s="336"/>
      <c r="AU72" s="336"/>
      <c r="AV72" s="336"/>
      <c r="AW72" s="336"/>
      <c r="AX72" s="336"/>
      <c r="AY72" s="336">
        <f t="shared" si="147"/>
        <v>0</v>
      </c>
      <c r="AZ72" s="84"/>
      <c r="BA72" s="337"/>
      <c r="BB72" s="337"/>
      <c r="BC72" s="337">
        <f t="shared" si="160"/>
        <v>0</v>
      </c>
      <c r="BD72" s="84"/>
      <c r="BE72" s="164"/>
      <c r="BF72" s="164"/>
      <c r="BH72" s="549"/>
      <c r="BI72" s="549"/>
      <c r="BJ72" s="549"/>
      <c r="BK72" s="549"/>
      <c r="BL72" s="549"/>
      <c r="BM72" s="549"/>
      <c r="BN72" s="549"/>
      <c r="BO72" s="549"/>
      <c r="BP72" s="549"/>
      <c r="BQ72" s="549"/>
      <c r="BR72" s="549"/>
      <c r="BS72" s="549"/>
      <c r="BT72" s="549"/>
      <c r="BU72" s="549"/>
      <c r="BV72" s="549"/>
      <c r="BW72" s="549"/>
      <c r="BX72" s="549"/>
      <c r="BY72" s="549"/>
      <c r="BZ72" s="549"/>
      <c r="CA72" s="549"/>
      <c r="CB72" s="549"/>
      <c r="CC72" s="549"/>
      <c r="CD72" s="549"/>
      <c r="CE72" s="549"/>
      <c r="CF72" s="549"/>
      <c r="CG72" s="549"/>
      <c r="CH72" s="549"/>
      <c r="CI72" s="549"/>
      <c r="CJ72" s="549"/>
      <c r="CK72" s="549"/>
      <c r="CL72" s="549"/>
      <c r="CM72" s="549"/>
      <c r="CN72" s="549"/>
      <c r="CO72" s="549"/>
      <c r="CP72" s="549"/>
      <c r="CQ72" s="549"/>
      <c r="CR72" s="549"/>
      <c r="CS72" s="549"/>
      <c r="CT72" s="549"/>
      <c r="CU72" s="549"/>
      <c r="CW72" s="151"/>
    </row>
    <row r="73" spans="1:101" s="543" customFormat="1" outlineLevel="1" x14ac:dyDescent="0.2">
      <c r="C73" s="62" t="s">
        <v>313</v>
      </c>
      <c r="D73" s="61" t="str">
        <f>INDEX(Modules[Module], MATCH($C73, Modules[Code], 0))</f>
        <v>Electricity grid distribution</v>
      </c>
      <c r="E73" s="61"/>
      <c r="F73" s="84"/>
      <c r="G73" s="297">
        <f t="shared" ref="G73:O73" ca="1" si="166">IFERROR(INDEX(INDIRECT($C73&amp;".Outputs["&amp;this.Year&amp;"]"), MATCH(G$5, INDIRECT($C73&amp;".Outputs[Vector]"), 0)), 0)</f>
        <v>0</v>
      </c>
      <c r="H73" s="297">
        <f t="shared" ca="1" si="166"/>
        <v>0</v>
      </c>
      <c r="I73" s="297">
        <f t="shared" ca="1" si="166"/>
        <v>0</v>
      </c>
      <c r="J73" s="297">
        <f t="shared" ca="1" si="166"/>
        <v>0</v>
      </c>
      <c r="K73" s="297">
        <f t="shared" ca="1" si="166"/>
        <v>0</v>
      </c>
      <c r="L73" s="297">
        <f t="shared" ca="1" si="166"/>
        <v>0</v>
      </c>
      <c r="M73" s="297">
        <f t="shared" ca="1" si="166"/>
        <v>0</v>
      </c>
      <c r="N73" s="297">
        <f t="shared" ca="1" si="166"/>
        <v>0</v>
      </c>
      <c r="O73" s="297">
        <f t="shared" ca="1" si="166"/>
        <v>0</v>
      </c>
      <c r="P73" s="297">
        <f t="shared" ca="1" si="136"/>
        <v>0</v>
      </c>
      <c r="Q73" s="84"/>
      <c r="R73" s="304">
        <f t="shared" ref="R73:AG73" ca="1" si="167">IFERROR(INDEX(INDIRECT($C73&amp;".Outputs["&amp;this.Year&amp;"]"), MATCH(R$5, INDIRECT($C73&amp;".Outputs[Vector]"), 0)), 0)</f>
        <v>0</v>
      </c>
      <c r="S73" s="304">
        <f t="shared" ca="1" si="167"/>
        <v>-28.298021718271968</v>
      </c>
      <c r="T73" s="304">
        <f t="shared" ca="1" si="167"/>
        <v>0</v>
      </c>
      <c r="U73" s="304">
        <f t="shared" ca="1" si="167"/>
        <v>0</v>
      </c>
      <c r="V73" s="304">
        <f t="shared" ca="1" si="167"/>
        <v>0</v>
      </c>
      <c r="W73" s="304">
        <f t="shared" ca="1" si="167"/>
        <v>0</v>
      </c>
      <c r="X73" s="304">
        <f t="shared" ref="X73:Z73" ca="1" si="168">IFERROR(INDEX(INDIRECT($C73&amp;".Outputs["&amp;this.Year&amp;"]"), MATCH(X$5, INDIRECT($C73&amp;".Outputs[Vector]"), 0)), 0)</f>
        <v>0</v>
      </c>
      <c r="Y73" s="304">
        <f t="shared" ca="1" si="168"/>
        <v>0</v>
      </c>
      <c r="Z73" s="304">
        <f t="shared" ca="1" si="168"/>
        <v>0</v>
      </c>
      <c r="AA73" s="304">
        <f t="shared" ca="1" si="167"/>
        <v>0</v>
      </c>
      <c r="AB73" s="304">
        <f t="shared" ca="1" si="167"/>
        <v>0</v>
      </c>
      <c r="AC73" s="304">
        <f t="shared" ca="1" si="167"/>
        <v>0</v>
      </c>
      <c r="AD73" s="304">
        <f t="shared" ca="1" si="167"/>
        <v>0</v>
      </c>
      <c r="AE73" s="304">
        <f t="shared" ca="1" si="167"/>
        <v>0</v>
      </c>
      <c r="AF73" s="304">
        <f t="shared" ca="1" si="167"/>
        <v>0</v>
      </c>
      <c r="AG73" s="304">
        <f t="shared" ca="1" si="167"/>
        <v>0</v>
      </c>
      <c r="AH73" s="305">
        <f t="shared" ca="1" si="159"/>
        <v>-28.298021718271968</v>
      </c>
      <c r="AI73" s="84"/>
      <c r="AJ73" s="312">
        <f t="shared" ref="AJ73:AR73" ca="1" si="169">IFERROR(INDEX(INDIRECT($C73&amp;".Outputs["&amp;this.Year&amp;"]"), MATCH(AJ$5, INDIRECT($C73&amp;".Outputs[Vector]"), 0)), 0)</f>
        <v>0</v>
      </c>
      <c r="AK73" s="312">
        <f t="shared" ca="1" si="169"/>
        <v>0</v>
      </c>
      <c r="AL73" s="312">
        <f t="shared" ca="1" si="169"/>
        <v>0</v>
      </c>
      <c r="AM73" s="312">
        <f t="shared" ca="1" si="169"/>
        <v>0</v>
      </c>
      <c r="AN73" s="312">
        <f t="shared" ca="1" si="169"/>
        <v>0</v>
      </c>
      <c r="AO73" s="312">
        <f t="shared" ca="1" si="169"/>
        <v>0</v>
      </c>
      <c r="AP73" s="312">
        <f t="shared" ca="1" si="169"/>
        <v>0</v>
      </c>
      <c r="AQ73" s="312">
        <f t="shared" ca="1" si="169"/>
        <v>0</v>
      </c>
      <c r="AR73" s="312">
        <f t="shared" ca="1" si="169"/>
        <v>0</v>
      </c>
      <c r="AS73" s="312">
        <f t="shared" ref="AS73:AX73" ca="1" si="170">IFERROR(INDEX(INDIRECT($C73&amp;".Outputs["&amp;this.Year&amp;"]"), MATCH(AS$5, INDIRECT($C73&amp;".Outputs[Vector]"), 0)), 0)</f>
        <v>0</v>
      </c>
      <c r="AT73" s="312">
        <f t="shared" ca="1" si="170"/>
        <v>0</v>
      </c>
      <c r="AU73" s="312">
        <f t="shared" ca="1" si="170"/>
        <v>0</v>
      </c>
      <c r="AV73" s="312">
        <f t="shared" ca="1" si="170"/>
        <v>0</v>
      </c>
      <c r="AW73" s="312">
        <f t="shared" ca="1" si="170"/>
        <v>0</v>
      </c>
      <c r="AX73" s="312">
        <f t="shared" ca="1" si="170"/>
        <v>0</v>
      </c>
      <c r="AY73" s="266">
        <f t="shared" ca="1" si="147"/>
        <v>0</v>
      </c>
      <c r="AZ73" s="84"/>
      <c r="BA73" s="308">
        <f ca="1">IFERROR(INDEX(INDIRECT($C73&amp;".Outputs["&amp;this.Year&amp;"]"), MATCH(BA$5, INDIRECT($C73&amp;".Outputs[Vector]"), 0)), 0)</f>
        <v>0</v>
      </c>
      <c r="BB73" s="308">
        <f ca="1">IFERROR(INDEX(INDIRECT($C73&amp;".Outputs["&amp;this.Year&amp;"]"), MATCH(BB$5, INDIRECT($C73&amp;".Outputs[Vector]"), 0)), 0)</f>
        <v>28.298021718271972</v>
      </c>
      <c r="BC73" s="309">
        <f t="shared" ca="1" si="160"/>
        <v>28.298021718271972</v>
      </c>
      <c r="BD73" s="84"/>
      <c r="BE73" s="164">
        <f ca="1">P73+AH73+AY73+BC73</f>
        <v>0</v>
      </c>
      <c r="BF73" s="135"/>
      <c r="BH73" s="541">
        <f t="shared" ref="BH73:BQ73" ca="1" si="171">IFERROR(SUMIFS(INDIRECT($C73&amp;".Emissions["&amp;this.Year&amp;"]"), INDIRECT($C73&amp;".Emissions[GHG]"), BH$6, INDIRECT($C73&amp;".Emissions[IPCC Sector]"), BH$5),0)</f>
        <v>0</v>
      </c>
      <c r="BI73" s="542">
        <f t="shared" ca="1" si="171"/>
        <v>0</v>
      </c>
      <c r="BJ73" s="542">
        <f t="shared" ca="1" si="171"/>
        <v>0</v>
      </c>
      <c r="BK73" s="542">
        <f t="shared" ca="1" si="171"/>
        <v>0</v>
      </c>
      <c r="BL73" s="542">
        <f t="shared" ca="1" si="171"/>
        <v>0</v>
      </c>
      <c r="BM73" s="542">
        <f t="shared" ca="1" si="171"/>
        <v>0</v>
      </c>
      <c r="BN73" s="542">
        <f t="shared" ca="1" si="171"/>
        <v>0</v>
      </c>
      <c r="BO73" s="542">
        <f t="shared" ca="1" si="171"/>
        <v>0</v>
      </c>
      <c r="BP73" s="542">
        <f t="shared" ca="1" si="171"/>
        <v>0</v>
      </c>
      <c r="BQ73" s="542">
        <f t="shared" ca="1" si="171"/>
        <v>0</v>
      </c>
      <c r="BR73" s="542">
        <f t="shared" ref="BR73:CA73" ca="1" si="172">IFERROR(SUMIFS(INDIRECT($C73&amp;".Emissions["&amp;this.Year&amp;"]"), INDIRECT($C73&amp;".Emissions[GHG]"), BR$6, INDIRECT($C73&amp;".Emissions[IPCC Sector]"), BR$5),0)</f>
        <v>0</v>
      </c>
      <c r="BS73" s="542">
        <f t="shared" ca="1" si="172"/>
        <v>0</v>
      </c>
      <c r="BT73" s="542">
        <f t="shared" ca="1" si="172"/>
        <v>0</v>
      </c>
      <c r="BU73" s="542">
        <f t="shared" ca="1" si="172"/>
        <v>0</v>
      </c>
      <c r="BV73" s="542">
        <f t="shared" ca="1" si="172"/>
        <v>0</v>
      </c>
      <c r="BW73" s="542">
        <f t="shared" ca="1" si="172"/>
        <v>0</v>
      </c>
      <c r="BX73" s="542">
        <f t="shared" ca="1" si="172"/>
        <v>0</v>
      </c>
      <c r="BY73" s="542">
        <f t="shared" ca="1" si="172"/>
        <v>0</v>
      </c>
      <c r="BZ73" s="542">
        <f t="shared" ca="1" si="172"/>
        <v>0</v>
      </c>
      <c r="CA73" s="542">
        <f t="shared" ca="1" si="172"/>
        <v>0</v>
      </c>
      <c r="CB73" s="542">
        <f t="shared" ref="CB73:CK73" ca="1" si="173">IFERROR(SUMIFS(INDIRECT($C73&amp;".Emissions["&amp;this.Year&amp;"]"), INDIRECT($C73&amp;".Emissions[GHG]"), CB$6, INDIRECT($C73&amp;".Emissions[IPCC Sector]"), CB$5),0)</f>
        <v>0</v>
      </c>
      <c r="CC73" s="542">
        <f t="shared" ca="1" si="173"/>
        <v>0</v>
      </c>
      <c r="CD73" s="542">
        <f t="shared" ca="1" si="173"/>
        <v>0</v>
      </c>
      <c r="CE73" s="542">
        <f t="shared" ca="1" si="173"/>
        <v>0</v>
      </c>
      <c r="CF73" s="542">
        <f t="shared" ca="1" si="173"/>
        <v>0</v>
      </c>
      <c r="CG73" s="542">
        <f t="shared" ca="1" si="173"/>
        <v>0</v>
      </c>
      <c r="CH73" s="542">
        <f t="shared" ca="1" si="173"/>
        <v>0</v>
      </c>
      <c r="CI73" s="542">
        <f t="shared" ca="1" si="173"/>
        <v>0</v>
      </c>
      <c r="CJ73" s="542">
        <f t="shared" ca="1" si="173"/>
        <v>0</v>
      </c>
      <c r="CK73" s="542">
        <f t="shared" ca="1" si="173"/>
        <v>0</v>
      </c>
      <c r="CL73" s="542">
        <f t="shared" ref="CL73:CU73" ca="1" si="174">IFERROR(SUMIFS(INDIRECT($C73&amp;".Emissions["&amp;this.Year&amp;"]"), INDIRECT($C73&amp;".Emissions[GHG]"), CL$6, INDIRECT($C73&amp;".Emissions[IPCC Sector]"), CL$5),0)</f>
        <v>0</v>
      </c>
      <c r="CM73" s="542">
        <f t="shared" ca="1" si="174"/>
        <v>0</v>
      </c>
      <c r="CN73" s="542">
        <f t="shared" ca="1" si="174"/>
        <v>0</v>
      </c>
      <c r="CO73" s="542">
        <f t="shared" ca="1" si="174"/>
        <v>0</v>
      </c>
      <c r="CP73" s="542">
        <f t="shared" ca="1" si="174"/>
        <v>0</v>
      </c>
      <c r="CQ73" s="542">
        <f t="shared" ca="1" si="174"/>
        <v>0</v>
      </c>
      <c r="CR73" s="542">
        <f t="shared" ca="1" si="174"/>
        <v>0</v>
      </c>
      <c r="CS73" s="542">
        <f t="shared" ca="1" si="174"/>
        <v>0</v>
      </c>
      <c r="CT73" s="542">
        <f t="shared" ca="1" si="174"/>
        <v>0</v>
      </c>
      <c r="CU73" s="542">
        <f t="shared" ca="1" si="174"/>
        <v>0</v>
      </c>
      <c r="CW73" s="151"/>
    </row>
    <row r="74" spans="1:101" s="18" customFormat="1" ht="12.75" customHeight="1" x14ac:dyDescent="0.2">
      <c r="B74" s="89"/>
      <c r="C74" s="85" t="s">
        <v>226</v>
      </c>
      <c r="D74" s="57" t="str">
        <f>INDEX(Workstreams[Workstream], MATCH($C74, Workstreams[Code], 0))</f>
        <v>Electricity distribution, storage &amp; balancing</v>
      </c>
      <c r="E74" s="53"/>
      <c r="F74" s="84"/>
      <c r="G74" s="245">
        <f ca="1">G$71+G$73</f>
        <v>0</v>
      </c>
      <c r="H74" s="245">
        <f t="shared" ref="H74:BS74" ca="1" si="175">H$71+H$73</f>
        <v>0</v>
      </c>
      <c r="I74" s="245">
        <f t="shared" ca="1" si="175"/>
        <v>0</v>
      </c>
      <c r="J74" s="245">
        <f t="shared" ca="1" si="175"/>
        <v>0</v>
      </c>
      <c r="K74" s="245">
        <f t="shared" ca="1" si="175"/>
        <v>0</v>
      </c>
      <c r="L74" s="245">
        <f t="shared" ca="1" si="175"/>
        <v>0</v>
      </c>
      <c r="M74" s="245">
        <f t="shared" ca="1" si="175"/>
        <v>0</v>
      </c>
      <c r="N74" s="245">
        <f t="shared" ca="1" si="175"/>
        <v>0</v>
      </c>
      <c r="O74" s="245">
        <f t="shared" ca="1" si="175"/>
        <v>0</v>
      </c>
      <c r="P74" s="245">
        <f t="shared" ca="1" si="136"/>
        <v>0</v>
      </c>
      <c r="Q74" s="245">
        <f t="shared" si="175"/>
        <v>0</v>
      </c>
      <c r="R74" s="245">
        <f t="shared" ca="1" si="175"/>
        <v>0</v>
      </c>
      <c r="S74" s="245">
        <f t="shared" ca="1" si="175"/>
        <v>-28.823021718271967</v>
      </c>
      <c r="T74" s="245">
        <f t="shared" ca="1" si="175"/>
        <v>0</v>
      </c>
      <c r="U74" s="245">
        <f t="shared" ca="1" si="175"/>
        <v>0</v>
      </c>
      <c r="V74" s="245">
        <f t="shared" ca="1" si="175"/>
        <v>0</v>
      </c>
      <c r="W74" s="245">
        <f t="shared" ca="1" si="175"/>
        <v>0</v>
      </c>
      <c r="X74" s="245">
        <f t="shared" ca="1" si="175"/>
        <v>0</v>
      </c>
      <c r="Y74" s="245">
        <f t="shared" ca="1" si="175"/>
        <v>0</v>
      </c>
      <c r="Z74" s="245">
        <f t="shared" ca="1" si="175"/>
        <v>0</v>
      </c>
      <c r="AA74" s="245">
        <f t="shared" ca="1" si="175"/>
        <v>0</v>
      </c>
      <c r="AB74" s="245">
        <f t="shared" ca="1" si="175"/>
        <v>0</v>
      </c>
      <c r="AC74" s="245">
        <f t="shared" ca="1" si="175"/>
        <v>0</v>
      </c>
      <c r="AD74" s="245">
        <f t="shared" ca="1" si="175"/>
        <v>0</v>
      </c>
      <c r="AE74" s="245">
        <f t="shared" ca="1" si="175"/>
        <v>0</v>
      </c>
      <c r="AF74" s="245">
        <f t="shared" ca="1" si="175"/>
        <v>0</v>
      </c>
      <c r="AG74" s="245">
        <f t="shared" ca="1" si="175"/>
        <v>0</v>
      </c>
      <c r="AH74" s="245">
        <f t="shared" ca="1" si="159"/>
        <v>-28.823021718271967</v>
      </c>
      <c r="AI74" s="245">
        <f t="shared" si="175"/>
        <v>0</v>
      </c>
      <c r="AJ74" s="245">
        <f t="shared" ca="1" si="175"/>
        <v>0</v>
      </c>
      <c r="AK74" s="245">
        <f t="shared" ca="1" si="175"/>
        <v>0</v>
      </c>
      <c r="AL74" s="245">
        <f t="shared" ca="1" si="175"/>
        <v>0</v>
      </c>
      <c r="AM74" s="245">
        <f t="shared" ca="1" si="175"/>
        <v>0</v>
      </c>
      <c r="AN74" s="245">
        <f t="shared" ca="1" si="175"/>
        <v>0.52500000000000002</v>
      </c>
      <c r="AO74" s="245">
        <f t="shared" ca="1" si="175"/>
        <v>0</v>
      </c>
      <c r="AP74" s="245">
        <f t="shared" ca="1" si="175"/>
        <v>0</v>
      </c>
      <c r="AQ74" s="245">
        <f t="shared" ca="1" si="175"/>
        <v>0</v>
      </c>
      <c r="AR74" s="245">
        <f t="shared" ca="1" si="175"/>
        <v>0</v>
      </c>
      <c r="AS74" s="245">
        <f t="shared" ca="1" si="175"/>
        <v>0</v>
      </c>
      <c r="AT74" s="245">
        <f t="shared" ca="1" si="175"/>
        <v>0</v>
      </c>
      <c r="AU74" s="245">
        <f t="shared" ca="1" si="175"/>
        <v>0</v>
      </c>
      <c r="AV74" s="245">
        <f t="shared" ca="1" si="175"/>
        <v>0</v>
      </c>
      <c r="AW74" s="245">
        <f t="shared" ca="1" si="175"/>
        <v>0</v>
      </c>
      <c r="AX74" s="245">
        <f t="shared" ca="1" si="175"/>
        <v>0</v>
      </c>
      <c r="AY74" s="245">
        <f t="shared" ca="1" si="147"/>
        <v>0.52500000000000002</v>
      </c>
      <c r="AZ74" s="245">
        <f t="shared" si="175"/>
        <v>0</v>
      </c>
      <c r="BA74" s="245">
        <f t="shared" ca="1" si="175"/>
        <v>0</v>
      </c>
      <c r="BB74" s="245">
        <f t="shared" ca="1" si="175"/>
        <v>28.298021718271972</v>
      </c>
      <c r="BC74" s="245">
        <f t="shared" ca="1" si="160"/>
        <v>28.298021718271972</v>
      </c>
      <c r="BD74" s="245">
        <f t="shared" si="175"/>
        <v>0</v>
      </c>
      <c r="BE74" s="245">
        <f t="shared" ca="1" si="175"/>
        <v>0</v>
      </c>
      <c r="BF74" s="245">
        <f t="shared" si="175"/>
        <v>0</v>
      </c>
      <c r="BG74" s="245">
        <f t="shared" si="175"/>
        <v>0</v>
      </c>
      <c r="BH74" s="245">
        <f t="shared" ca="1" si="175"/>
        <v>0</v>
      </c>
      <c r="BI74" s="245">
        <f t="shared" ca="1" si="175"/>
        <v>0</v>
      </c>
      <c r="BJ74" s="245">
        <f t="shared" ca="1" si="175"/>
        <v>0</v>
      </c>
      <c r="BK74" s="245">
        <f t="shared" ca="1" si="175"/>
        <v>0</v>
      </c>
      <c r="BL74" s="245">
        <f t="shared" ca="1" si="175"/>
        <v>0</v>
      </c>
      <c r="BM74" s="245">
        <f t="shared" ca="1" si="175"/>
        <v>0</v>
      </c>
      <c r="BN74" s="245">
        <f t="shared" ca="1" si="175"/>
        <v>0</v>
      </c>
      <c r="BO74" s="245">
        <f t="shared" ca="1" si="175"/>
        <v>0</v>
      </c>
      <c r="BP74" s="245">
        <f t="shared" ca="1" si="175"/>
        <v>0</v>
      </c>
      <c r="BQ74" s="245">
        <f t="shared" ca="1" si="175"/>
        <v>0</v>
      </c>
      <c r="BR74" s="245">
        <f t="shared" ca="1" si="175"/>
        <v>0</v>
      </c>
      <c r="BS74" s="245">
        <f t="shared" ca="1" si="175"/>
        <v>0</v>
      </c>
      <c r="BT74" s="245">
        <f t="shared" ref="BT74:CW74" ca="1" si="176">BT$71+BT$73</f>
        <v>0</v>
      </c>
      <c r="BU74" s="245">
        <f t="shared" ca="1" si="176"/>
        <v>0</v>
      </c>
      <c r="BV74" s="245">
        <f t="shared" ca="1" si="176"/>
        <v>0</v>
      </c>
      <c r="BW74" s="245">
        <f t="shared" ca="1" si="176"/>
        <v>0</v>
      </c>
      <c r="BX74" s="245">
        <f t="shared" ca="1" si="176"/>
        <v>0</v>
      </c>
      <c r="BY74" s="245">
        <f t="shared" ca="1" si="176"/>
        <v>0</v>
      </c>
      <c r="BZ74" s="245">
        <f t="shared" ca="1" si="176"/>
        <v>0</v>
      </c>
      <c r="CA74" s="245">
        <f t="shared" ca="1" si="176"/>
        <v>0</v>
      </c>
      <c r="CB74" s="245">
        <f t="shared" ca="1" si="176"/>
        <v>0</v>
      </c>
      <c r="CC74" s="245">
        <f t="shared" ca="1" si="176"/>
        <v>0</v>
      </c>
      <c r="CD74" s="245">
        <f t="shared" ca="1" si="176"/>
        <v>0</v>
      </c>
      <c r="CE74" s="245">
        <f t="shared" ca="1" si="176"/>
        <v>0</v>
      </c>
      <c r="CF74" s="245">
        <f t="shared" ca="1" si="176"/>
        <v>0</v>
      </c>
      <c r="CG74" s="245">
        <f t="shared" ca="1" si="176"/>
        <v>0</v>
      </c>
      <c r="CH74" s="245">
        <f t="shared" ca="1" si="176"/>
        <v>0</v>
      </c>
      <c r="CI74" s="245">
        <f t="shared" ca="1" si="176"/>
        <v>0</v>
      </c>
      <c r="CJ74" s="245">
        <f t="shared" ca="1" si="176"/>
        <v>0</v>
      </c>
      <c r="CK74" s="245">
        <f t="shared" ca="1" si="176"/>
        <v>0</v>
      </c>
      <c r="CL74" s="245">
        <f t="shared" ca="1" si="176"/>
        <v>0</v>
      </c>
      <c r="CM74" s="245">
        <f t="shared" ca="1" si="176"/>
        <v>0</v>
      </c>
      <c r="CN74" s="245">
        <f t="shared" ca="1" si="176"/>
        <v>0</v>
      </c>
      <c r="CO74" s="245">
        <f t="shared" ca="1" si="176"/>
        <v>0</v>
      </c>
      <c r="CP74" s="245">
        <f t="shared" ca="1" si="176"/>
        <v>0</v>
      </c>
      <c r="CQ74" s="245">
        <f t="shared" ca="1" si="176"/>
        <v>0</v>
      </c>
      <c r="CR74" s="245">
        <f t="shared" ca="1" si="176"/>
        <v>0</v>
      </c>
      <c r="CS74" s="245">
        <f t="shared" ca="1" si="176"/>
        <v>0</v>
      </c>
      <c r="CT74" s="245">
        <f t="shared" ca="1" si="176"/>
        <v>0</v>
      </c>
      <c r="CU74" s="245">
        <f t="shared" ca="1" si="176"/>
        <v>0</v>
      </c>
      <c r="CV74" s="245">
        <f t="shared" si="176"/>
        <v>0</v>
      </c>
      <c r="CW74" s="245">
        <f t="shared" si="176"/>
        <v>0</v>
      </c>
    </row>
    <row r="75" spans="1:101" s="84" customFormat="1" ht="12.75" customHeight="1" outlineLevel="1" x14ac:dyDescent="0.2">
      <c r="A75" s="18"/>
      <c r="B75" s="18"/>
      <c r="C75" s="87"/>
      <c r="D75" s="53"/>
      <c r="E75" s="53"/>
      <c r="G75" s="245"/>
      <c r="H75" s="245"/>
      <c r="I75" s="245"/>
      <c r="J75" s="245"/>
      <c r="K75" s="245"/>
      <c r="L75" s="247"/>
      <c r="M75" s="245"/>
      <c r="N75" s="245"/>
      <c r="O75" s="245"/>
      <c r="P75" s="245">
        <f t="shared" si="136"/>
        <v>0</v>
      </c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>
        <f t="shared" si="159"/>
        <v>0</v>
      </c>
      <c r="AJ75" s="263"/>
      <c r="AK75" s="263"/>
      <c r="AL75" s="263"/>
      <c r="AM75" s="263"/>
      <c r="AN75" s="263"/>
      <c r="AO75" s="263"/>
      <c r="AP75" s="263"/>
      <c r="AQ75" s="263"/>
      <c r="AR75" s="263"/>
      <c r="AS75" s="263"/>
      <c r="AT75" s="263"/>
      <c r="AU75" s="263"/>
      <c r="AV75" s="263"/>
      <c r="AW75" s="263"/>
      <c r="AX75" s="263"/>
      <c r="AY75" s="263">
        <f t="shared" si="147"/>
        <v>0</v>
      </c>
      <c r="BA75" s="277"/>
      <c r="BB75" s="277"/>
      <c r="BC75" s="277">
        <f t="shared" si="160"/>
        <v>0</v>
      </c>
      <c r="BE75" s="55">
        <f>P75+AH75+AY75+BC75</f>
        <v>0</v>
      </c>
      <c r="BF75" s="55"/>
      <c r="BG75" s="1428"/>
      <c r="BH75" s="542"/>
      <c r="BI75" s="542"/>
      <c r="BJ75" s="542"/>
      <c r="BK75" s="542"/>
      <c r="BL75" s="542"/>
      <c r="BM75" s="542"/>
      <c r="BN75" s="542"/>
      <c r="BO75" s="542"/>
      <c r="BP75" s="542"/>
      <c r="BQ75" s="542"/>
      <c r="BR75" s="542"/>
      <c r="BS75" s="542"/>
      <c r="BT75" s="542"/>
      <c r="BU75" s="542"/>
      <c r="BV75" s="542"/>
      <c r="BW75" s="542"/>
      <c r="BX75" s="542"/>
      <c r="BY75" s="542"/>
      <c r="BZ75" s="542"/>
      <c r="CA75" s="542"/>
      <c r="CB75" s="542"/>
      <c r="CC75" s="542"/>
      <c r="CD75" s="542"/>
      <c r="CE75" s="542"/>
      <c r="CF75" s="542"/>
      <c r="CG75" s="542"/>
      <c r="CH75" s="542"/>
      <c r="CI75" s="542"/>
      <c r="CJ75" s="542"/>
      <c r="CK75" s="542"/>
      <c r="CL75" s="542"/>
      <c r="CM75" s="542"/>
      <c r="CN75" s="542"/>
      <c r="CO75" s="542"/>
      <c r="CP75" s="542"/>
      <c r="CQ75" s="542"/>
      <c r="CR75" s="542"/>
      <c r="CS75" s="542"/>
      <c r="CT75" s="542"/>
      <c r="CU75" s="542"/>
      <c r="CW75" s="151">
        <f t="shared" ref="CW75:CW85" si="177">SUM(BH75:CU75)</f>
        <v>0</v>
      </c>
    </row>
    <row r="76" spans="1:101" s="550" customFormat="1" ht="12.75" customHeight="1" outlineLevel="1" x14ac:dyDescent="0.2">
      <c r="C76" s="566" t="s">
        <v>859</v>
      </c>
      <c r="D76" s="567" t="s">
        <v>817</v>
      </c>
      <c r="E76" s="567"/>
      <c r="G76" s="333"/>
      <c r="H76" s="333"/>
      <c r="I76" s="333"/>
      <c r="J76" s="333"/>
      <c r="K76" s="333"/>
      <c r="L76" s="334"/>
      <c r="M76" s="333"/>
      <c r="N76" s="333"/>
      <c r="O76" s="333"/>
      <c r="P76" s="333">
        <f t="shared" si="136"/>
        <v>0</v>
      </c>
      <c r="R76" s="335"/>
      <c r="S76" s="335"/>
      <c r="T76" s="335">
        <f ca="1">(T$28+T$66+T$74)</f>
        <v>-1.8097434927284919</v>
      </c>
      <c r="U76" s="335">
        <f ca="1">(U$28+U$66+U$74)</f>
        <v>-312.27574152710514</v>
      </c>
      <c r="V76" s="335">
        <f ca="1">(V$28+V$66+V$74)</f>
        <v>-472.64165496789121</v>
      </c>
      <c r="W76" s="335">
        <f ca="1">(W$28+W$66+W$74)</f>
        <v>-184.5626425169898</v>
      </c>
      <c r="X76" s="335"/>
      <c r="Y76" s="335"/>
      <c r="Z76" s="335"/>
      <c r="AA76" s="335"/>
      <c r="AB76" s="335">
        <f t="shared" ref="AB76:AG76" ca="1" si="178">(AB$28+AB$66+AB$74)</f>
        <v>0</v>
      </c>
      <c r="AC76" s="335">
        <f t="shared" ca="1" si="178"/>
        <v>1790.9295179502994</v>
      </c>
      <c r="AD76" s="335">
        <f t="shared" ca="1" si="178"/>
        <v>12.388265322112064</v>
      </c>
      <c r="AE76" s="335">
        <f t="shared" ca="1" si="178"/>
        <v>73.060329723562404</v>
      </c>
      <c r="AF76" s="335">
        <f t="shared" ca="1" si="178"/>
        <v>31.919583891554964</v>
      </c>
      <c r="AG76" s="335">
        <f t="shared" ca="1" si="178"/>
        <v>11.254146912530599</v>
      </c>
      <c r="AH76" s="335">
        <f t="shared" ca="1" si="159"/>
        <v>948.26206129534489</v>
      </c>
      <c r="AJ76" s="336"/>
      <c r="AK76" s="336"/>
      <c r="AL76" s="336"/>
      <c r="AM76" s="336"/>
      <c r="AN76" s="336"/>
      <c r="AO76" s="336"/>
      <c r="AP76" s="336"/>
      <c r="AQ76" s="336"/>
      <c r="AR76" s="336"/>
      <c r="AS76" s="336"/>
      <c r="AT76" s="336"/>
      <c r="AU76" s="336"/>
      <c r="AV76" s="336"/>
      <c r="AW76" s="336"/>
      <c r="AX76" s="336">
        <f ca="1">AX28+AX36</f>
        <v>-121.12064677764798</v>
      </c>
      <c r="AY76" s="336">
        <f t="shared" ca="1" si="147"/>
        <v>-121.12064677764798</v>
      </c>
      <c r="BA76" s="337"/>
      <c r="BB76" s="337"/>
      <c r="BC76" s="337">
        <f t="shared" si="160"/>
        <v>0</v>
      </c>
      <c r="BE76" s="568"/>
      <c r="BF76" s="568"/>
      <c r="BG76" s="569"/>
      <c r="BH76" s="570"/>
      <c r="BI76" s="570"/>
      <c r="BJ76" s="570"/>
      <c r="BK76" s="570"/>
      <c r="BL76" s="570"/>
      <c r="BM76" s="570"/>
      <c r="BN76" s="570"/>
      <c r="BO76" s="570"/>
      <c r="BP76" s="570"/>
      <c r="BQ76" s="570"/>
      <c r="BR76" s="570"/>
      <c r="BS76" s="570"/>
      <c r="BT76" s="570"/>
      <c r="BU76" s="570"/>
      <c r="BV76" s="570"/>
      <c r="BW76" s="570"/>
      <c r="BX76" s="570"/>
      <c r="BY76" s="570"/>
      <c r="BZ76" s="570"/>
      <c r="CA76" s="570"/>
      <c r="CB76" s="570"/>
      <c r="CC76" s="570"/>
      <c r="CD76" s="570"/>
      <c r="CE76" s="570"/>
      <c r="CF76" s="570"/>
      <c r="CG76" s="570"/>
      <c r="CH76" s="570"/>
      <c r="CI76" s="570"/>
      <c r="CJ76" s="570"/>
      <c r="CK76" s="570"/>
      <c r="CL76" s="570"/>
      <c r="CM76" s="570"/>
      <c r="CN76" s="570"/>
      <c r="CO76" s="570"/>
      <c r="CP76" s="570"/>
      <c r="CQ76" s="570"/>
      <c r="CR76" s="570"/>
      <c r="CS76" s="570"/>
      <c r="CT76" s="570"/>
      <c r="CU76" s="570"/>
      <c r="CW76" s="569">
        <f t="shared" si="177"/>
        <v>0</v>
      </c>
    </row>
    <row r="77" spans="1:101" s="882" customFormat="1" ht="12.75" customHeight="1" outlineLevel="1" x14ac:dyDescent="0.2">
      <c r="A77" s="879"/>
      <c r="B77" s="879"/>
      <c r="C77" s="880" t="s">
        <v>400</v>
      </c>
      <c r="D77" s="881" t="str">
        <f>INDEX(Modules[Module], MATCH($C77, Modules[Code], 0))</f>
        <v>Types of fuel from Biomass</v>
      </c>
      <c r="E77" s="881"/>
      <c r="G77" s="326">
        <f t="shared" ref="G77:O79" ca="1" si="179">IFERROR(INDEX(INDIRECT($C77&amp;".Outputs["&amp;this.Year&amp;"]"), MATCH(G$5, INDIRECT($C77&amp;".Outputs[Vector]"), 0)), 0)</f>
        <v>0</v>
      </c>
      <c r="H77" s="326">
        <f t="shared" ca="1" si="179"/>
        <v>0</v>
      </c>
      <c r="I77" s="326">
        <f t="shared" ca="1" si="179"/>
        <v>0</v>
      </c>
      <c r="J77" s="326">
        <f t="shared" ca="1" si="179"/>
        <v>0</v>
      </c>
      <c r="K77" s="326">
        <f t="shared" ca="1" si="179"/>
        <v>0</v>
      </c>
      <c r="L77" s="326">
        <f t="shared" ca="1" si="179"/>
        <v>0</v>
      </c>
      <c r="M77" s="326">
        <f t="shared" ca="1" si="179"/>
        <v>0</v>
      </c>
      <c r="N77" s="326">
        <f t="shared" ca="1" si="179"/>
        <v>0</v>
      </c>
      <c r="O77" s="326">
        <f t="shared" ca="1" si="179"/>
        <v>0</v>
      </c>
      <c r="P77" s="326">
        <f t="shared" ca="1" si="136"/>
        <v>0</v>
      </c>
      <c r="R77" s="327">
        <f t="shared" ref="R77:AG79" ca="1" si="180">IFERROR(INDEX(INDIRECT($C77&amp;".Outputs["&amp;this.Year&amp;"]"), MATCH(R$5, INDIRECT($C77&amp;".Outputs[Vector]"), 0)), 0)</f>
        <v>0</v>
      </c>
      <c r="S77" s="327">
        <f t="shared" ca="1" si="180"/>
        <v>0</v>
      </c>
      <c r="T77" s="327">
        <f t="shared" ca="1" si="180"/>
        <v>0</v>
      </c>
      <c r="U77" s="327">
        <f t="shared" ca="1" si="180"/>
        <v>3.0722897998837917</v>
      </c>
      <c r="V77" s="327">
        <f t="shared" ca="1" si="180"/>
        <v>429.45970846684344</v>
      </c>
      <c r="W77" s="327">
        <f t="shared" ca="1" si="180"/>
        <v>1190.0310893223291</v>
      </c>
      <c r="X77" s="327">
        <f t="shared" ca="1" si="180"/>
        <v>0</v>
      </c>
      <c r="Y77" s="327">
        <f t="shared" ca="1" si="180"/>
        <v>0</v>
      </c>
      <c r="Z77" s="327">
        <f t="shared" ca="1" si="180"/>
        <v>0</v>
      </c>
      <c r="AA77" s="327">
        <f t="shared" ca="1" si="180"/>
        <v>0</v>
      </c>
      <c r="AB77" s="327">
        <f t="shared" ca="1" si="180"/>
        <v>0</v>
      </c>
      <c r="AC77" s="327">
        <f t="shared" ca="1" si="180"/>
        <v>-1790.9295179502994</v>
      </c>
      <c r="AD77" s="327">
        <f t="shared" ca="1" si="180"/>
        <v>-12.388265322112064</v>
      </c>
      <c r="AE77" s="327">
        <f t="shared" ca="1" si="180"/>
        <v>-73.060329723562404</v>
      </c>
      <c r="AF77" s="327">
        <f t="shared" ca="1" si="180"/>
        <v>-31.919583891554964</v>
      </c>
      <c r="AG77" s="327">
        <f t="shared" ca="1" si="180"/>
        <v>-11.254146912530599</v>
      </c>
      <c r="AH77" s="328">
        <f t="shared" ca="1" si="159"/>
        <v>-296.98875621100319</v>
      </c>
      <c r="AJ77" s="329">
        <f t="shared" ref="AJ77:AX79" ca="1" si="181">IFERROR(INDEX(INDIRECT($C77&amp;".Outputs["&amp;this.Year&amp;"]"), MATCH(AJ$5, INDIRECT($C77&amp;".Outputs[Vector]"), 0)), 0)</f>
        <v>0</v>
      </c>
      <c r="AK77" s="329">
        <f t="shared" ca="1" si="181"/>
        <v>0</v>
      </c>
      <c r="AL77" s="329">
        <f t="shared" ca="1" si="181"/>
        <v>0</v>
      </c>
      <c r="AM77" s="329">
        <f t="shared" ca="1" si="181"/>
        <v>0</v>
      </c>
      <c r="AN77" s="329">
        <f t="shared" ca="1" si="181"/>
        <v>0</v>
      </c>
      <c r="AO77" s="329">
        <f t="shared" ca="1" si="181"/>
        <v>0</v>
      </c>
      <c r="AP77" s="329">
        <f t="shared" ca="1" si="181"/>
        <v>0</v>
      </c>
      <c r="AQ77" s="329">
        <f t="shared" ca="1" si="181"/>
        <v>0</v>
      </c>
      <c r="AR77" s="329">
        <f t="shared" ca="1" si="181"/>
        <v>0</v>
      </c>
      <c r="AS77" s="329">
        <f t="shared" ca="1" si="181"/>
        <v>0</v>
      </c>
      <c r="AT77" s="329">
        <f t="shared" ca="1" si="181"/>
        <v>0</v>
      </c>
      <c r="AU77" s="329">
        <f t="shared" ca="1" si="181"/>
        <v>0</v>
      </c>
      <c r="AV77" s="329">
        <f t="shared" ca="1" si="181"/>
        <v>0</v>
      </c>
      <c r="AW77" s="329">
        <f t="shared" ca="1" si="181"/>
        <v>0</v>
      </c>
      <c r="AX77" s="329">
        <f t="shared" ca="1" si="181"/>
        <v>0</v>
      </c>
      <c r="AY77" s="330">
        <f t="shared" ca="1" si="147"/>
        <v>0</v>
      </c>
      <c r="BA77" s="331">
        <f ca="1">IFERROR(INDEX(INDIRECT($C77&amp;".Outputs["&amp;this.Year&amp;"]"), MATCH(BA$5, INDIRECT($C77&amp;".Outputs[Vector]"), 0)), 0)</f>
        <v>296.98875621100319</v>
      </c>
      <c r="BB77" s="331">
        <f ca="1">IFERROR(INDEX(INDIRECT($C77&amp;".Outputs["&amp;this.Year&amp;"]"), MATCH(BB$5, INDIRECT($C77&amp;".Outputs[Vector]"), 0)), 0)</f>
        <v>0</v>
      </c>
      <c r="BC77" s="332">
        <f t="shared" ca="1" si="160"/>
        <v>296.98875621100319</v>
      </c>
      <c r="BE77" s="883">
        <f ca="1">P77+AH77+AY77+BC77</f>
        <v>0</v>
      </c>
      <c r="BF77" s="883"/>
      <c r="BG77" s="884"/>
      <c r="BH77" s="885">
        <f t="shared" ref="BH77:CU79" ca="1" si="182">IFERROR(SUMIFS(INDIRECT($C77&amp;".Emissions["&amp;this.Year&amp;"]"), INDIRECT($C77&amp;".Emissions[GHG]"), BH$6, INDIRECT($C77&amp;".Emissions[IPCC Sector]"), BH$5),0)</f>
        <v>0</v>
      </c>
      <c r="BI77" s="886">
        <f t="shared" ca="1" si="182"/>
        <v>0</v>
      </c>
      <c r="BJ77" s="886">
        <f t="shared" ca="1" si="182"/>
        <v>0</v>
      </c>
      <c r="BK77" s="886">
        <f t="shared" ca="1" si="182"/>
        <v>0</v>
      </c>
      <c r="BL77" s="886">
        <f t="shared" ca="1" si="182"/>
        <v>0</v>
      </c>
      <c r="BM77" s="886">
        <f t="shared" ca="1" si="182"/>
        <v>0</v>
      </c>
      <c r="BN77" s="886">
        <f t="shared" ca="1" si="182"/>
        <v>0</v>
      </c>
      <c r="BO77" s="886">
        <f t="shared" ca="1" si="182"/>
        <v>0</v>
      </c>
      <c r="BP77" s="886">
        <f t="shared" ca="1" si="182"/>
        <v>0</v>
      </c>
      <c r="BQ77" s="886">
        <f t="shared" ca="1" si="182"/>
        <v>0</v>
      </c>
      <c r="BR77" s="886">
        <f t="shared" ca="1" si="182"/>
        <v>0</v>
      </c>
      <c r="BS77" s="886">
        <f t="shared" ca="1" si="182"/>
        <v>0</v>
      </c>
      <c r="BT77" s="886">
        <f t="shared" ca="1" si="182"/>
        <v>0</v>
      </c>
      <c r="BU77" s="886">
        <f t="shared" ca="1" si="182"/>
        <v>0</v>
      </c>
      <c r="BV77" s="886">
        <f t="shared" ca="1" si="182"/>
        <v>0</v>
      </c>
      <c r="BW77" s="886">
        <f t="shared" ca="1" si="182"/>
        <v>0</v>
      </c>
      <c r="BX77" s="886">
        <f t="shared" ca="1" si="182"/>
        <v>0</v>
      </c>
      <c r="BY77" s="886">
        <f t="shared" ca="1" si="182"/>
        <v>0</v>
      </c>
      <c r="BZ77" s="886">
        <f t="shared" ca="1" si="182"/>
        <v>0</v>
      </c>
      <c r="CA77" s="886">
        <f t="shared" ca="1" si="182"/>
        <v>0</v>
      </c>
      <c r="CB77" s="886">
        <f t="shared" ca="1" si="182"/>
        <v>0</v>
      </c>
      <c r="CC77" s="886">
        <f t="shared" ca="1" si="182"/>
        <v>0</v>
      </c>
      <c r="CD77" s="886">
        <f t="shared" ca="1" si="182"/>
        <v>0</v>
      </c>
      <c r="CE77" s="886">
        <f t="shared" ca="1" si="182"/>
        <v>0</v>
      </c>
      <c r="CF77" s="886">
        <f t="shared" ca="1" si="182"/>
        <v>0</v>
      </c>
      <c r="CG77" s="886">
        <f t="shared" ca="1" si="182"/>
        <v>0</v>
      </c>
      <c r="CH77" s="886">
        <f t="shared" ca="1" si="182"/>
        <v>0</v>
      </c>
      <c r="CI77" s="886">
        <f t="shared" ca="1" si="182"/>
        <v>0</v>
      </c>
      <c r="CJ77" s="886">
        <f t="shared" ca="1" si="182"/>
        <v>0</v>
      </c>
      <c r="CK77" s="886">
        <f t="shared" ca="1" si="182"/>
        <v>0</v>
      </c>
      <c r="CL77" s="886">
        <f t="shared" ca="1" si="182"/>
        <v>0</v>
      </c>
      <c r="CM77" s="886">
        <f t="shared" ca="1" si="182"/>
        <v>0</v>
      </c>
      <c r="CN77" s="886">
        <f t="shared" ca="1" si="182"/>
        <v>-79.788658807870121</v>
      </c>
      <c r="CO77" s="886">
        <f t="shared" ca="1" si="182"/>
        <v>0</v>
      </c>
      <c r="CP77" s="886">
        <f t="shared" ca="1" si="182"/>
        <v>0</v>
      </c>
      <c r="CQ77" s="886">
        <f t="shared" ca="1" si="182"/>
        <v>0</v>
      </c>
      <c r="CR77" s="886">
        <f t="shared" ca="1" si="182"/>
        <v>0</v>
      </c>
      <c r="CS77" s="886">
        <f t="shared" ca="1" si="182"/>
        <v>0</v>
      </c>
      <c r="CT77" s="886">
        <f t="shared" ca="1" si="182"/>
        <v>0</v>
      </c>
      <c r="CU77" s="886">
        <f t="shared" ca="1" si="182"/>
        <v>0</v>
      </c>
      <c r="CW77" s="887">
        <f t="shared" ca="1" si="177"/>
        <v>-79.788658807870121</v>
      </c>
    </row>
    <row r="78" spans="1:101" s="550" customFormat="1" ht="12.75" customHeight="1" outlineLevel="1" x14ac:dyDescent="0.2">
      <c r="C78" s="566" t="s">
        <v>860</v>
      </c>
      <c r="D78" s="567" t="s">
        <v>817</v>
      </c>
      <c r="E78" s="567"/>
      <c r="G78" s="333"/>
      <c r="H78" s="333"/>
      <c r="I78" s="333"/>
      <c r="J78" s="333"/>
      <c r="K78" s="333"/>
      <c r="L78" s="334"/>
      <c r="M78" s="333"/>
      <c r="N78" s="333"/>
      <c r="O78" s="333"/>
      <c r="P78" s="333">
        <f t="shared" si="136"/>
        <v>0</v>
      </c>
      <c r="R78" s="335"/>
      <c r="S78" s="335"/>
      <c r="T78" s="335">
        <f ca="1">T$76+T$77</f>
        <v>-1.8097434927284919</v>
      </c>
      <c r="U78" s="335">
        <f ca="1">U$76+U$77</f>
        <v>-309.20345172722136</v>
      </c>
      <c r="V78" s="335">
        <f ca="1">V$76+V$77</f>
        <v>-43.181946501047776</v>
      </c>
      <c r="W78" s="335">
        <f ca="1">W$76+W$77</f>
        <v>1005.4684468053392</v>
      </c>
      <c r="X78" s="335"/>
      <c r="Y78" s="335"/>
      <c r="Z78" s="335"/>
      <c r="AA78" s="335"/>
      <c r="AB78" s="335">
        <f t="shared" ref="AB78:AG78" ca="1" si="183">AB$76+AB$77</f>
        <v>0</v>
      </c>
      <c r="AC78" s="335">
        <f t="shared" ca="1" si="183"/>
        <v>0</v>
      </c>
      <c r="AD78" s="335">
        <f t="shared" ca="1" si="183"/>
        <v>0</v>
      </c>
      <c r="AE78" s="335">
        <f t="shared" ca="1" si="183"/>
        <v>0</v>
      </c>
      <c r="AF78" s="335">
        <f t="shared" ca="1" si="183"/>
        <v>0</v>
      </c>
      <c r="AG78" s="335">
        <f t="shared" ca="1" si="183"/>
        <v>0</v>
      </c>
      <c r="AH78" s="335">
        <f t="shared" ca="1" si="159"/>
        <v>651.27330508434159</v>
      </c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  <c r="AT78" s="336"/>
      <c r="AU78" s="336"/>
      <c r="AV78" s="336"/>
      <c r="AW78" s="336"/>
      <c r="AX78" s="336">
        <f ca="1">AX30+AX34+AX38</f>
        <v>-29.060513911362861</v>
      </c>
      <c r="AY78" s="336">
        <f t="shared" ca="1" si="147"/>
        <v>-29.060513911362861</v>
      </c>
      <c r="BA78" s="337"/>
      <c r="BB78" s="337"/>
      <c r="BC78" s="337">
        <f t="shared" si="160"/>
        <v>0</v>
      </c>
      <c r="BE78" s="568"/>
      <c r="BF78" s="568"/>
      <c r="BG78" s="569"/>
      <c r="BH78" s="570"/>
      <c r="BI78" s="570"/>
      <c r="BJ78" s="570"/>
      <c r="BK78" s="570"/>
      <c r="BL78" s="570"/>
      <c r="BM78" s="570"/>
      <c r="BN78" s="570"/>
      <c r="BO78" s="570"/>
      <c r="BP78" s="570"/>
      <c r="BQ78" s="570"/>
      <c r="BR78" s="570"/>
      <c r="BS78" s="570"/>
      <c r="BT78" s="570"/>
      <c r="BU78" s="570"/>
      <c r="BV78" s="570"/>
      <c r="BW78" s="570"/>
      <c r="BX78" s="570"/>
      <c r="BY78" s="570"/>
      <c r="BZ78" s="570"/>
      <c r="CA78" s="570"/>
      <c r="CB78" s="570"/>
      <c r="CC78" s="570"/>
      <c r="CD78" s="570"/>
      <c r="CE78" s="570"/>
      <c r="CF78" s="570"/>
      <c r="CG78" s="570"/>
      <c r="CH78" s="570"/>
      <c r="CI78" s="570"/>
      <c r="CJ78" s="570"/>
      <c r="CK78" s="570"/>
      <c r="CL78" s="570"/>
      <c r="CM78" s="570"/>
      <c r="CN78" s="570"/>
      <c r="CO78" s="570"/>
      <c r="CP78" s="570"/>
      <c r="CQ78" s="570"/>
      <c r="CR78" s="570"/>
      <c r="CS78" s="570"/>
      <c r="CT78" s="570"/>
      <c r="CU78" s="570"/>
      <c r="CW78" s="569">
        <f>SUM(BH78:CU78)</f>
        <v>0</v>
      </c>
    </row>
    <row r="79" spans="1:101" s="2685" customFormat="1" ht="12.75" customHeight="1" outlineLevel="1" x14ac:dyDescent="0.2">
      <c r="C79" s="319" t="s">
        <v>838</v>
      </c>
      <c r="D79" s="881" t="str">
        <f>INDEX(Modules[Module], MATCH($C79, Modules[Code], 0))</f>
        <v>Bioenergy imports</v>
      </c>
      <c r="E79" s="163"/>
      <c r="G79" s="326">
        <f t="shared" ca="1" si="179"/>
        <v>0</v>
      </c>
      <c r="H79" s="326">
        <f t="shared" ca="1" si="179"/>
        <v>0</v>
      </c>
      <c r="I79" s="326">
        <f t="shared" ca="1" si="179"/>
        <v>0</v>
      </c>
      <c r="J79" s="326">
        <f t="shared" ca="1" si="179"/>
        <v>0</v>
      </c>
      <c r="K79" s="326">
        <f t="shared" ca="1" si="179"/>
        <v>0</v>
      </c>
      <c r="L79" s="326">
        <f t="shared" ca="1" si="179"/>
        <v>0</v>
      </c>
      <c r="M79" s="326">
        <f t="shared" ca="1" si="179"/>
        <v>0</v>
      </c>
      <c r="N79" s="326">
        <f t="shared" ca="1" si="179"/>
        <v>0</v>
      </c>
      <c r="O79" s="326">
        <f t="shared" ca="1" si="179"/>
        <v>0</v>
      </c>
      <c r="P79" s="326">
        <f t="shared" ref="P79" ca="1" si="184">SUM(G79:O79)</f>
        <v>0</v>
      </c>
      <c r="Q79" s="882"/>
      <c r="R79" s="327">
        <f t="shared" ca="1" si="180"/>
        <v>0</v>
      </c>
      <c r="S79" s="327">
        <f t="shared" ca="1" si="180"/>
        <v>0</v>
      </c>
      <c r="T79" s="327">
        <f t="shared" ca="1" si="180"/>
        <v>0</v>
      </c>
      <c r="U79" s="327">
        <f t="shared" ca="1" si="180"/>
        <v>0</v>
      </c>
      <c r="V79" s="327">
        <f t="shared" ca="1" si="180"/>
        <v>0</v>
      </c>
      <c r="W79" s="327">
        <f t="shared" ca="1" si="180"/>
        <v>-1005.4684468053392</v>
      </c>
      <c r="X79" s="327">
        <f t="shared" ca="1" si="180"/>
        <v>0</v>
      </c>
      <c r="Y79" s="327">
        <f t="shared" ca="1" si="180"/>
        <v>0</v>
      </c>
      <c r="Z79" s="327">
        <f t="shared" ca="1" si="180"/>
        <v>0</v>
      </c>
      <c r="AA79" s="327">
        <f t="shared" ca="1" si="180"/>
        <v>0</v>
      </c>
      <c r="AB79" s="327">
        <f t="shared" ca="1" si="180"/>
        <v>0</v>
      </c>
      <c r="AC79" s="327">
        <f t="shared" ca="1" si="180"/>
        <v>0</v>
      </c>
      <c r="AD79" s="327">
        <f t="shared" ca="1" si="180"/>
        <v>0</v>
      </c>
      <c r="AE79" s="327">
        <f t="shared" ca="1" si="180"/>
        <v>0</v>
      </c>
      <c r="AF79" s="327">
        <f t="shared" ca="1" si="180"/>
        <v>0</v>
      </c>
      <c r="AG79" s="327">
        <f t="shared" ca="1" si="180"/>
        <v>0</v>
      </c>
      <c r="AH79" s="328">
        <f t="shared" ca="1" si="159"/>
        <v>-1005.4684468053392</v>
      </c>
      <c r="AI79" s="882"/>
      <c r="AJ79" s="329">
        <f t="shared" ca="1" si="181"/>
        <v>0</v>
      </c>
      <c r="AK79" s="329">
        <f t="shared" ca="1" si="181"/>
        <v>0</v>
      </c>
      <c r="AL79" s="329">
        <f t="shared" ca="1" si="181"/>
        <v>0</v>
      </c>
      <c r="AM79" s="329">
        <f t="shared" ca="1" si="181"/>
        <v>1005.4684468053392</v>
      </c>
      <c r="AN79" s="329">
        <f t="shared" ca="1" si="181"/>
        <v>0</v>
      </c>
      <c r="AO79" s="329">
        <f t="shared" ca="1" si="181"/>
        <v>0</v>
      </c>
      <c r="AP79" s="329">
        <f t="shared" ca="1" si="181"/>
        <v>0</v>
      </c>
      <c r="AQ79" s="329">
        <f t="shared" ca="1" si="181"/>
        <v>0</v>
      </c>
      <c r="AR79" s="329">
        <f t="shared" ca="1" si="181"/>
        <v>0</v>
      </c>
      <c r="AS79" s="329">
        <f t="shared" ca="1" si="181"/>
        <v>0</v>
      </c>
      <c r="AT79" s="329">
        <f t="shared" ca="1" si="181"/>
        <v>0</v>
      </c>
      <c r="AU79" s="329">
        <f t="shared" ca="1" si="181"/>
        <v>0</v>
      </c>
      <c r="AV79" s="329">
        <f t="shared" ca="1" si="181"/>
        <v>0</v>
      </c>
      <c r="AW79" s="329">
        <f t="shared" ca="1" si="181"/>
        <v>0</v>
      </c>
      <c r="AX79" s="329">
        <f t="shared" ca="1" si="181"/>
        <v>0</v>
      </c>
      <c r="AY79" s="330">
        <f t="shared" ref="AY79" ca="1" si="185">SUM(AJ79:AX79)</f>
        <v>1005.4684468053392</v>
      </c>
      <c r="AZ79" s="882"/>
      <c r="BA79" s="331">
        <f ca="1">IFERROR(INDEX(INDIRECT($C79&amp;".Outputs["&amp;this.Year&amp;"]"), MATCH(BA$5, INDIRECT($C79&amp;".Outputs[Vector]"), 0)), 0)</f>
        <v>0</v>
      </c>
      <c r="BB79" s="331">
        <f ca="1">IFERROR(INDEX(INDIRECT($C79&amp;".Outputs["&amp;this.Year&amp;"]"), MATCH(BB$5, INDIRECT($C79&amp;".Outputs[Vector]"), 0)), 0)</f>
        <v>0</v>
      </c>
      <c r="BC79" s="332">
        <f t="shared" ref="BC79" ca="1" si="186">SUM(BA79:BB79)</f>
        <v>0</v>
      </c>
      <c r="BD79" s="882"/>
      <c r="BE79" s="883">
        <f ca="1">P79+AH79+AY79+BC79</f>
        <v>0</v>
      </c>
      <c r="BF79" s="883"/>
      <c r="BG79" s="884"/>
      <c r="BH79" s="885">
        <f t="shared" ca="1" si="182"/>
        <v>0</v>
      </c>
      <c r="BI79" s="886">
        <f t="shared" ca="1" si="182"/>
        <v>0</v>
      </c>
      <c r="BJ79" s="886">
        <f t="shared" ca="1" si="182"/>
        <v>0</v>
      </c>
      <c r="BK79" s="886">
        <f t="shared" ca="1" si="182"/>
        <v>0</v>
      </c>
      <c r="BL79" s="886">
        <f t="shared" ca="1" si="182"/>
        <v>0</v>
      </c>
      <c r="BM79" s="886">
        <f t="shared" ca="1" si="182"/>
        <v>0</v>
      </c>
      <c r="BN79" s="886">
        <f t="shared" ca="1" si="182"/>
        <v>0</v>
      </c>
      <c r="BO79" s="886">
        <f t="shared" ca="1" si="182"/>
        <v>0</v>
      </c>
      <c r="BP79" s="886">
        <f t="shared" ca="1" si="182"/>
        <v>0</v>
      </c>
      <c r="BQ79" s="886">
        <f t="shared" ca="1" si="182"/>
        <v>0</v>
      </c>
      <c r="BR79" s="886">
        <f t="shared" ca="1" si="182"/>
        <v>0</v>
      </c>
      <c r="BS79" s="886">
        <f t="shared" ca="1" si="182"/>
        <v>0</v>
      </c>
      <c r="BT79" s="886">
        <f t="shared" ca="1" si="182"/>
        <v>0</v>
      </c>
      <c r="BU79" s="886">
        <f t="shared" ca="1" si="182"/>
        <v>0</v>
      </c>
      <c r="BV79" s="886">
        <f t="shared" ca="1" si="182"/>
        <v>0</v>
      </c>
      <c r="BW79" s="886">
        <f t="shared" ca="1" si="182"/>
        <v>0</v>
      </c>
      <c r="BX79" s="886">
        <f t="shared" ca="1" si="182"/>
        <v>0</v>
      </c>
      <c r="BY79" s="886">
        <f t="shared" ca="1" si="182"/>
        <v>0</v>
      </c>
      <c r="BZ79" s="886">
        <f t="shared" ca="1" si="182"/>
        <v>0</v>
      </c>
      <c r="CA79" s="886">
        <f t="shared" ca="1" si="182"/>
        <v>0</v>
      </c>
      <c r="CB79" s="886">
        <f t="shared" ca="1" si="182"/>
        <v>0</v>
      </c>
      <c r="CC79" s="886">
        <f t="shared" ca="1" si="182"/>
        <v>0</v>
      </c>
      <c r="CD79" s="886">
        <f t="shared" ca="1" si="182"/>
        <v>0</v>
      </c>
      <c r="CE79" s="886">
        <f t="shared" ca="1" si="182"/>
        <v>0</v>
      </c>
      <c r="CF79" s="886">
        <f t="shared" ca="1" si="182"/>
        <v>0</v>
      </c>
      <c r="CG79" s="886">
        <f t="shared" ca="1" si="182"/>
        <v>0</v>
      </c>
      <c r="CH79" s="886">
        <f t="shared" ca="1" si="182"/>
        <v>0</v>
      </c>
      <c r="CI79" s="886">
        <f t="shared" ca="1" si="182"/>
        <v>0</v>
      </c>
      <c r="CJ79" s="886">
        <f t="shared" ca="1" si="182"/>
        <v>0</v>
      </c>
      <c r="CK79" s="886">
        <f t="shared" ca="1" si="182"/>
        <v>0</v>
      </c>
      <c r="CL79" s="886">
        <f t="shared" ca="1" si="182"/>
        <v>0</v>
      </c>
      <c r="CM79" s="886">
        <f t="shared" ca="1" si="182"/>
        <v>0</v>
      </c>
      <c r="CN79" s="886">
        <f t="shared" ca="1" si="182"/>
        <v>0</v>
      </c>
      <c r="CO79" s="886">
        <f t="shared" ca="1" si="182"/>
        <v>0</v>
      </c>
      <c r="CP79" s="886">
        <f t="shared" ca="1" si="182"/>
        <v>0</v>
      </c>
      <c r="CQ79" s="886">
        <f t="shared" ca="1" si="182"/>
        <v>0</v>
      </c>
      <c r="CR79" s="886">
        <f t="shared" ca="1" si="182"/>
        <v>0</v>
      </c>
      <c r="CS79" s="886">
        <f t="shared" ca="1" si="182"/>
        <v>0</v>
      </c>
      <c r="CT79" s="886">
        <f t="shared" ca="1" si="182"/>
        <v>0</v>
      </c>
      <c r="CU79" s="886">
        <f t="shared" ca="1" si="182"/>
        <v>0</v>
      </c>
      <c r="CV79" s="882"/>
      <c r="CW79" s="887">
        <f t="shared" ref="CW79" ca="1" si="187">SUM(BH79:CU79)</f>
        <v>0</v>
      </c>
    </row>
    <row r="80" spans="1:101" s="84" customFormat="1" ht="15.75" x14ac:dyDescent="0.2">
      <c r="A80" s="18"/>
      <c r="B80" s="89"/>
      <c r="C80" s="85" t="s">
        <v>224</v>
      </c>
      <c r="D80" s="57" t="str">
        <f>INDEX(Workstreams[Workstream], MATCH($C80, Workstreams[Code], 0))</f>
        <v>Bioenergy</v>
      </c>
      <c r="E80" s="53"/>
      <c r="G80" s="300">
        <f ca="1">G$77+G79</f>
        <v>0</v>
      </c>
      <c r="H80" s="300">
        <f t="shared" ref="H80:O80" ca="1" si="188">H$77+H79</f>
        <v>0</v>
      </c>
      <c r="I80" s="300">
        <f t="shared" ca="1" si="188"/>
        <v>0</v>
      </c>
      <c r="J80" s="300">
        <f t="shared" ca="1" si="188"/>
        <v>0</v>
      </c>
      <c r="K80" s="300">
        <f t="shared" ca="1" si="188"/>
        <v>0</v>
      </c>
      <c r="L80" s="300">
        <f t="shared" ca="1" si="188"/>
        <v>0</v>
      </c>
      <c r="M80" s="300">
        <f t="shared" ca="1" si="188"/>
        <v>0</v>
      </c>
      <c r="N80" s="300">
        <f t="shared" ca="1" si="188"/>
        <v>0</v>
      </c>
      <c r="O80" s="300">
        <f t="shared" ca="1" si="188"/>
        <v>0</v>
      </c>
      <c r="P80" s="300">
        <f t="shared" ca="1" si="136"/>
        <v>0</v>
      </c>
      <c r="R80" s="257">
        <f ca="1">R$77+R79</f>
        <v>0</v>
      </c>
      <c r="S80" s="257">
        <f t="shared" ref="S80:AG80" ca="1" si="189">S$77+S79</f>
        <v>0</v>
      </c>
      <c r="T80" s="257">
        <f t="shared" ca="1" si="189"/>
        <v>0</v>
      </c>
      <c r="U80" s="257">
        <f t="shared" ca="1" si="189"/>
        <v>3.0722897998837917</v>
      </c>
      <c r="V80" s="257">
        <f t="shared" ca="1" si="189"/>
        <v>429.45970846684344</v>
      </c>
      <c r="W80" s="257">
        <f t="shared" ca="1" si="189"/>
        <v>184.56264251698985</v>
      </c>
      <c r="X80" s="257">
        <f t="shared" ca="1" si="189"/>
        <v>0</v>
      </c>
      <c r="Y80" s="257">
        <f t="shared" ca="1" si="189"/>
        <v>0</v>
      </c>
      <c r="Z80" s="257">
        <f t="shared" ca="1" si="189"/>
        <v>0</v>
      </c>
      <c r="AA80" s="257">
        <f t="shared" ca="1" si="189"/>
        <v>0</v>
      </c>
      <c r="AB80" s="257">
        <f t="shared" ca="1" si="189"/>
        <v>0</v>
      </c>
      <c r="AC80" s="257">
        <f t="shared" ca="1" si="189"/>
        <v>-1790.9295179502994</v>
      </c>
      <c r="AD80" s="257">
        <f t="shared" ca="1" si="189"/>
        <v>-12.388265322112064</v>
      </c>
      <c r="AE80" s="257">
        <f t="shared" ca="1" si="189"/>
        <v>-73.060329723562404</v>
      </c>
      <c r="AF80" s="257">
        <f t="shared" ca="1" si="189"/>
        <v>-31.919583891554964</v>
      </c>
      <c r="AG80" s="257">
        <f t="shared" ca="1" si="189"/>
        <v>-11.254146912530599</v>
      </c>
      <c r="AH80" s="257">
        <f t="shared" ca="1" si="159"/>
        <v>-1302.4572030163426</v>
      </c>
      <c r="AJ80" s="263">
        <f ca="1">AJ$77+AJ79</f>
        <v>0</v>
      </c>
      <c r="AK80" s="263">
        <f t="shared" ref="AK80:AX80" ca="1" si="190">AK$77+AK79</f>
        <v>0</v>
      </c>
      <c r="AL80" s="263">
        <f t="shared" ca="1" si="190"/>
        <v>0</v>
      </c>
      <c r="AM80" s="263">
        <f t="shared" ca="1" si="190"/>
        <v>1005.4684468053392</v>
      </c>
      <c r="AN80" s="263">
        <f t="shared" ca="1" si="190"/>
        <v>0</v>
      </c>
      <c r="AO80" s="263">
        <f t="shared" ca="1" si="190"/>
        <v>0</v>
      </c>
      <c r="AP80" s="263">
        <f t="shared" ca="1" si="190"/>
        <v>0</v>
      </c>
      <c r="AQ80" s="263">
        <f t="shared" ca="1" si="190"/>
        <v>0</v>
      </c>
      <c r="AR80" s="263">
        <f t="shared" ca="1" si="190"/>
        <v>0</v>
      </c>
      <c r="AS80" s="263">
        <f t="shared" ca="1" si="190"/>
        <v>0</v>
      </c>
      <c r="AT80" s="263">
        <f t="shared" ca="1" si="190"/>
        <v>0</v>
      </c>
      <c r="AU80" s="263">
        <f t="shared" ca="1" si="190"/>
        <v>0</v>
      </c>
      <c r="AV80" s="263">
        <f t="shared" ca="1" si="190"/>
        <v>0</v>
      </c>
      <c r="AW80" s="263">
        <f t="shared" ca="1" si="190"/>
        <v>0</v>
      </c>
      <c r="AX80" s="263">
        <f t="shared" ca="1" si="190"/>
        <v>0</v>
      </c>
      <c r="AY80" s="263">
        <f t="shared" ca="1" si="147"/>
        <v>1005.4684468053392</v>
      </c>
      <c r="BA80" s="277">
        <f ca="1">BA$77+BA79</f>
        <v>296.98875621100319</v>
      </c>
      <c r="BB80" s="277">
        <f ca="1">BB$77+BB79</f>
        <v>0</v>
      </c>
      <c r="BC80" s="277">
        <f t="shared" ca="1" si="160"/>
        <v>296.98875621100319</v>
      </c>
      <c r="BE80" s="55">
        <f ca="1">P80+AH80+AY80+BC80</f>
        <v>0</v>
      </c>
      <c r="BF80" s="55"/>
      <c r="BG80" s="1428"/>
      <c r="BH80" s="542">
        <f ca="1">BH$77+BH79</f>
        <v>0</v>
      </c>
      <c r="BI80" s="542">
        <f t="shared" ref="BI80:CU80" ca="1" si="191">BI$77+BI79</f>
        <v>0</v>
      </c>
      <c r="BJ80" s="542">
        <f t="shared" ca="1" si="191"/>
        <v>0</v>
      </c>
      <c r="BK80" s="542">
        <f t="shared" ca="1" si="191"/>
        <v>0</v>
      </c>
      <c r="BL80" s="542">
        <f t="shared" ca="1" si="191"/>
        <v>0</v>
      </c>
      <c r="BM80" s="542">
        <f t="shared" ca="1" si="191"/>
        <v>0</v>
      </c>
      <c r="BN80" s="542">
        <f t="shared" ca="1" si="191"/>
        <v>0</v>
      </c>
      <c r="BO80" s="542">
        <f t="shared" ca="1" si="191"/>
        <v>0</v>
      </c>
      <c r="BP80" s="542">
        <f t="shared" ca="1" si="191"/>
        <v>0</v>
      </c>
      <c r="BQ80" s="542">
        <f t="shared" ca="1" si="191"/>
        <v>0</v>
      </c>
      <c r="BR80" s="542">
        <f t="shared" ca="1" si="191"/>
        <v>0</v>
      </c>
      <c r="BS80" s="542">
        <f t="shared" ca="1" si="191"/>
        <v>0</v>
      </c>
      <c r="BT80" s="542">
        <f t="shared" ca="1" si="191"/>
        <v>0</v>
      </c>
      <c r="BU80" s="542">
        <f t="shared" ca="1" si="191"/>
        <v>0</v>
      </c>
      <c r="BV80" s="542">
        <f t="shared" ca="1" si="191"/>
        <v>0</v>
      </c>
      <c r="BW80" s="542">
        <f t="shared" ca="1" si="191"/>
        <v>0</v>
      </c>
      <c r="BX80" s="542">
        <f t="shared" ca="1" si="191"/>
        <v>0</v>
      </c>
      <c r="BY80" s="542">
        <f t="shared" ca="1" si="191"/>
        <v>0</v>
      </c>
      <c r="BZ80" s="542">
        <f t="shared" ca="1" si="191"/>
        <v>0</v>
      </c>
      <c r="CA80" s="542">
        <f t="shared" ca="1" si="191"/>
        <v>0</v>
      </c>
      <c r="CB80" s="542">
        <f t="shared" ca="1" si="191"/>
        <v>0</v>
      </c>
      <c r="CC80" s="542">
        <f t="shared" ca="1" si="191"/>
        <v>0</v>
      </c>
      <c r="CD80" s="542">
        <f t="shared" ca="1" si="191"/>
        <v>0</v>
      </c>
      <c r="CE80" s="542">
        <f t="shared" ca="1" si="191"/>
        <v>0</v>
      </c>
      <c r="CF80" s="542">
        <f t="shared" ca="1" si="191"/>
        <v>0</v>
      </c>
      <c r="CG80" s="542">
        <f t="shared" ca="1" si="191"/>
        <v>0</v>
      </c>
      <c r="CH80" s="542">
        <f t="shared" ca="1" si="191"/>
        <v>0</v>
      </c>
      <c r="CI80" s="542">
        <f t="shared" ca="1" si="191"/>
        <v>0</v>
      </c>
      <c r="CJ80" s="542">
        <f t="shared" ca="1" si="191"/>
        <v>0</v>
      </c>
      <c r="CK80" s="542">
        <f t="shared" ca="1" si="191"/>
        <v>0</v>
      </c>
      <c r="CL80" s="542">
        <f t="shared" ca="1" si="191"/>
        <v>0</v>
      </c>
      <c r="CM80" s="542">
        <f t="shared" ca="1" si="191"/>
        <v>0</v>
      </c>
      <c r="CN80" s="542">
        <f t="shared" ca="1" si="191"/>
        <v>-79.788658807870121</v>
      </c>
      <c r="CO80" s="542">
        <f t="shared" ca="1" si="191"/>
        <v>0</v>
      </c>
      <c r="CP80" s="542">
        <f t="shared" ca="1" si="191"/>
        <v>0</v>
      </c>
      <c r="CQ80" s="542">
        <f t="shared" ca="1" si="191"/>
        <v>0</v>
      </c>
      <c r="CR80" s="542">
        <f t="shared" ca="1" si="191"/>
        <v>0</v>
      </c>
      <c r="CS80" s="542">
        <f t="shared" ca="1" si="191"/>
        <v>0</v>
      </c>
      <c r="CT80" s="542">
        <f t="shared" ca="1" si="191"/>
        <v>0</v>
      </c>
      <c r="CU80" s="542">
        <f t="shared" ca="1" si="191"/>
        <v>0</v>
      </c>
      <c r="CW80" s="151">
        <f t="shared" ca="1" si="177"/>
        <v>-79.788658807870121</v>
      </c>
    </row>
    <row r="81" spans="2:101" s="18" customFormat="1" ht="12.75" customHeight="1" outlineLevel="1" x14ac:dyDescent="0.2">
      <c r="B81" s="89"/>
      <c r="C81" s="85"/>
      <c r="D81" s="57"/>
      <c r="E81" s="53"/>
      <c r="F81" s="84"/>
      <c r="G81" s="245"/>
      <c r="H81" s="245"/>
      <c r="I81" s="245"/>
      <c r="J81" s="245"/>
      <c r="K81" s="245"/>
      <c r="L81" s="247"/>
      <c r="M81" s="245"/>
      <c r="N81" s="245"/>
      <c r="O81" s="245"/>
      <c r="P81" s="245">
        <f t="shared" si="136"/>
        <v>0</v>
      </c>
      <c r="Q81" s="84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>
        <f t="shared" si="159"/>
        <v>0</v>
      </c>
      <c r="AI81" s="84"/>
      <c r="AJ81" s="263"/>
      <c r="AK81" s="263"/>
      <c r="AL81" s="263"/>
      <c r="AM81" s="263"/>
      <c r="AN81" s="263"/>
      <c r="AO81" s="263"/>
      <c r="AP81" s="263"/>
      <c r="AQ81" s="263"/>
      <c r="AR81" s="263"/>
      <c r="AS81" s="263"/>
      <c r="AT81" s="263"/>
      <c r="AU81" s="263"/>
      <c r="AV81" s="263"/>
      <c r="AW81" s="263"/>
      <c r="AX81" s="263"/>
      <c r="AY81" s="263">
        <f t="shared" si="147"/>
        <v>0</v>
      </c>
      <c r="AZ81" s="84"/>
      <c r="BA81" s="277"/>
      <c r="BB81" s="277"/>
      <c r="BC81" s="277">
        <f t="shared" si="160"/>
        <v>0</v>
      </c>
      <c r="BD81" s="84"/>
      <c r="BE81" s="55"/>
      <c r="BF81" s="55"/>
      <c r="BH81" s="542"/>
      <c r="BI81" s="542"/>
      <c r="BJ81" s="542"/>
      <c r="BK81" s="542"/>
      <c r="BL81" s="542"/>
      <c r="BM81" s="542"/>
      <c r="BN81" s="542"/>
      <c r="BO81" s="542"/>
      <c r="BP81" s="542"/>
      <c r="BQ81" s="542"/>
      <c r="BR81" s="542"/>
      <c r="BS81" s="542"/>
      <c r="BT81" s="542"/>
      <c r="BU81" s="542"/>
      <c r="BV81" s="542"/>
      <c r="BW81" s="542"/>
      <c r="BX81" s="542"/>
      <c r="BY81" s="542"/>
      <c r="BZ81" s="542"/>
      <c r="CA81" s="542"/>
      <c r="CB81" s="542"/>
      <c r="CC81" s="542"/>
      <c r="CD81" s="542"/>
      <c r="CE81" s="542"/>
      <c r="CF81" s="542"/>
      <c r="CG81" s="542"/>
      <c r="CH81" s="542"/>
      <c r="CI81" s="542"/>
      <c r="CJ81" s="542"/>
      <c r="CK81" s="542"/>
      <c r="CL81" s="542"/>
      <c r="CM81" s="542"/>
      <c r="CN81" s="542"/>
      <c r="CO81" s="542"/>
      <c r="CP81" s="542"/>
      <c r="CQ81" s="542"/>
      <c r="CR81" s="542"/>
      <c r="CS81" s="542"/>
      <c r="CT81" s="542"/>
      <c r="CU81" s="542"/>
      <c r="CW81" s="151">
        <f t="shared" si="177"/>
        <v>0</v>
      </c>
    </row>
    <row r="82" spans="2:101" s="547" customFormat="1" ht="12.75" customHeight="1" outlineLevel="1" x14ac:dyDescent="0.2">
      <c r="C82" s="319" t="s">
        <v>861</v>
      </c>
      <c r="D82" s="163" t="s">
        <v>817</v>
      </c>
      <c r="E82" s="163"/>
      <c r="G82" s="333"/>
      <c r="H82" s="333"/>
      <c r="I82" s="333"/>
      <c r="J82" s="333"/>
      <c r="K82" s="333"/>
      <c r="L82" s="334"/>
      <c r="M82" s="333"/>
      <c r="N82" s="333"/>
      <c r="O82" s="333"/>
      <c r="P82" s="333">
        <f t="shared" si="136"/>
        <v>0</v>
      </c>
      <c r="Q82" s="550"/>
      <c r="R82" s="335">
        <f t="shared" ref="R82:W82" ca="1" si="192">(R$28+R$66+R$74+R$80)</f>
        <v>-138.16092956568079</v>
      </c>
      <c r="S82" s="335">
        <f t="shared" ca="1" si="192"/>
        <v>138.16092956568079</v>
      </c>
      <c r="T82" s="335">
        <f t="shared" ca="1" si="192"/>
        <v>-1.8097434927284919</v>
      </c>
      <c r="U82" s="335">
        <f t="shared" ca="1" si="192"/>
        <v>-309.20345172722136</v>
      </c>
      <c r="V82" s="335">
        <f t="shared" ca="1" si="192"/>
        <v>-43.181946501047776</v>
      </c>
      <c r="W82" s="335">
        <f t="shared" ca="1" si="192"/>
        <v>5.6843418860808015E-14</v>
      </c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>
        <f t="shared" ca="1" si="159"/>
        <v>-354.19514172099758</v>
      </c>
      <c r="AI82" s="550"/>
      <c r="AJ82" s="336"/>
      <c r="AK82" s="336"/>
      <c r="AL82" s="336"/>
      <c r="AM82" s="336"/>
      <c r="AN82" s="336"/>
      <c r="AO82" s="336"/>
      <c r="AP82" s="336"/>
      <c r="AQ82" s="336"/>
      <c r="AR82" s="336"/>
      <c r="AS82" s="336"/>
      <c r="AT82" s="336"/>
      <c r="AU82" s="336"/>
      <c r="AV82" s="336"/>
      <c r="AW82" s="336"/>
      <c r="AX82" s="336"/>
      <c r="AY82" s="336">
        <f t="shared" si="147"/>
        <v>0</v>
      </c>
      <c r="AZ82" s="550"/>
      <c r="BA82" s="337"/>
      <c r="BB82" s="337"/>
      <c r="BC82" s="337">
        <f t="shared" si="160"/>
        <v>0</v>
      </c>
      <c r="BE82" s="164"/>
      <c r="BF82" s="164"/>
      <c r="BH82" s="549"/>
      <c r="BI82" s="549"/>
      <c r="BJ82" s="549"/>
      <c r="BK82" s="549"/>
      <c r="BL82" s="549"/>
      <c r="BM82" s="549"/>
      <c r="BN82" s="549"/>
      <c r="BO82" s="549"/>
      <c r="BP82" s="549"/>
      <c r="BQ82" s="549"/>
      <c r="BR82" s="549"/>
      <c r="BS82" s="549"/>
      <c r="BT82" s="549"/>
      <c r="BU82" s="549"/>
      <c r="BV82" s="549"/>
      <c r="BW82" s="549"/>
      <c r="BX82" s="549"/>
      <c r="BY82" s="549"/>
      <c r="BZ82" s="549"/>
      <c r="CA82" s="549"/>
      <c r="CB82" s="549"/>
      <c r="CC82" s="549"/>
      <c r="CD82" s="549"/>
      <c r="CE82" s="549"/>
      <c r="CF82" s="549"/>
      <c r="CG82" s="549"/>
      <c r="CH82" s="549"/>
      <c r="CI82" s="549"/>
      <c r="CJ82" s="549"/>
      <c r="CK82" s="549"/>
      <c r="CL82" s="549"/>
      <c r="CM82" s="549"/>
      <c r="CN82" s="549"/>
      <c r="CO82" s="549"/>
      <c r="CP82" s="549"/>
      <c r="CQ82" s="549"/>
      <c r="CR82" s="549"/>
      <c r="CS82" s="549"/>
      <c r="CT82" s="549"/>
      <c r="CU82" s="549"/>
      <c r="CW82" s="151">
        <f t="shared" si="177"/>
        <v>0</v>
      </c>
    </row>
    <row r="83" spans="2:101" s="543" customFormat="1" ht="12.75" customHeight="1" outlineLevel="1" x14ac:dyDescent="0.2">
      <c r="B83" s="551"/>
      <c r="C83" s="62" t="s">
        <v>439</v>
      </c>
      <c r="D83" s="61" t="str">
        <f>INDEX(Modules[Module], MATCH($C83, Modules[Code], 0))</f>
        <v>Fossil fuel transfers</v>
      </c>
      <c r="E83" s="61"/>
      <c r="F83" s="84"/>
      <c r="G83" s="250">
        <f t="shared" ref="G83:O83" ca="1" si="193">IFERROR(INDEX(INDIRECT($C83&amp;".Outputs["&amp;this.Year&amp;"]"), MATCH(G$5, INDIRECT($C83&amp;".Outputs[Vector]"), 0)), 0)</f>
        <v>0</v>
      </c>
      <c r="H83" s="250">
        <f t="shared" ca="1" si="193"/>
        <v>0</v>
      </c>
      <c r="I83" s="250">
        <f t="shared" ca="1" si="193"/>
        <v>0</v>
      </c>
      <c r="J83" s="250">
        <f t="shared" ca="1" si="193"/>
        <v>0</v>
      </c>
      <c r="K83" s="250">
        <f t="shared" ca="1" si="193"/>
        <v>0</v>
      </c>
      <c r="L83" s="251">
        <f t="shared" ca="1" si="193"/>
        <v>0</v>
      </c>
      <c r="M83" s="250">
        <f t="shared" ca="1" si="193"/>
        <v>0</v>
      </c>
      <c r="N83" s="250">
        <f t="shared" ca="1" si="193"/>
        <v>0</v>
      </c>
      <c r="O83" s="250">
        <f t="shared" ca="1" si="193"/>
        <v>0</v>
      </c>
      <c r="P83" s="250">
        <f t="shared" ca="1" si="136"/>
        <v>0</v>
      </c>
      <c r="Q83" s="84"/>
      <c r="R83" s="259">
        <f t="shared" ref="R83:AG83" ca="1" si="194">IFERROR(INDEX(INDIRECT($C83&amp;".Outputs["&amp;this.Year&amp;"]"), MATCH(R$5, INDIRECT($C83&amp;".Outputs[Vector]"), 0)), 0)</f>
        <v>0</v>
      </c>
      <c r="S83" s="259">
        <f t="shared" ca="1" si="194"/>
        <v>0</v>
      </c>
      <c r="T83" s="259">
        <f t="shared" ca="1" si="194"/>
        <v>1.8097434927284919</v>
      </c>
      <c r="U83" s="259">
        <f t="shared" ca="1" si="194"/>
        <v>309.20345172722136</v>
      </c>
      <c r="V83" s="259">
        <f t="shared" ca="1" si="194"/>
        <v>43.181946501047776</v>
      </c>
      <c r="W83" s="259">
        <f t="shared" ca="1" si="194"/>
        <v>-5.6843418860808015E-14</v>
      </c>
      <c r="X83" s="259">
        <f t="shared" ca="1" si="194"/>
        <v>-1.8097434927284919</v>
      </c>
      <c r="Y83" s="259">
        <f t="shared" ca="1" si="194"/>
        <v>-309.20345172722136</v>
      </c>
      <c r="Z83" s="259">
        <f t="shared" ca="1" si="194"/>
        <v>-43.700129859060347</v>
      </c>
      <c r="AA83" s="259">
        <f t="shared" ca="1" si="194"/>
        <v>0</v>
      </c>
      <c r="AB83" s="259">
        <f t="shared" ca="1" si="194"/>
        <v>0</v>
      </c>
      <c r="AC83" s="259">
        <f t="shared" ca="1" si="194"/>
        <v>0</v>
      </c>
      <c r="AD83" s="259">
        <f t="shared" ca="1" si="194"/>
        <v>0</v>
      </c>
      <c r="AE83" s="259">
        <f t="shared" ca="1" si="194"/>
        <v>0</v>
      </c>
      <c r="AF83" s="259">
        <f t="shared" ca="1" si="194"/>
        <v>0</v>
      </c>
      <c r="AG83" s="259">
        <f t="shared" ca="1" si="194"/>
        <v>0</v>
      </c>
      <c r="AH83" s="259">
        <f t="shared" ca="1" si="159"/>
        <v>-0.51818335801262805</v>
      </c>
      <c r="AI83" s="84"/>
      <c r="AJ83" s="266">
        <f t="shared" ref="AJ83:AX83" ca="1" si="195">IFERROR(INDEX(INDIRECT($C83&amp;".Outputs["&amp;this.Year&amp;"]"), MATCH(AJ$5, INDIRECT($C83&amp;".Outputs[Vector]"), 0)), 0)</f>
        <v>0</v>
      </c>
      <c r="AK83" s="266">
        <f t="shared" ca="1" si="195"/>
        <v>0</v>
      </c>
      <c r="AL83" s="266">
        <f t="shared" ca="1" si="195"/>
        <v>0</v>
      </c>
      <c r="AM83" s="266">
        <f t="shared" ca="1" si="195"/>
        <v>0</v>
      </c>
      <c r="AN83" s="266">
        <f t="shared" ca="1" si="195"/>
        <v>0</v>
      </c>
      <c r="AO83" s="266">
        <f t="shared" ca="1" si="195"/>
        <v>0</v>
      </c>
      <c r="AP83" s="266">
        <f t="shared" ca="1" si="195"/>
        <v>0</v>
      </c>
      <c r="AQ83" s="266">
        <f t="shared" ca="1" si="195"/>
        <v>0</v>
      </c>
      <c r="AR83" s="266">
        <f t="shared" ca="1" si="195"/>
        <v>0</v>
      </c>
      <c r="AS83" s="266">
        <f t="shared" ca="1" si="195"/>
        <v>0</v>
      </c>
      <c r="AT83" s="266">
        <f t="shared" ca="1" si="195"/>
        <v>0</v>
      </c>
      <c r="AU83" s="266">
        <f t="shared" ca="1" si="195"/>
        <v>0</v>
      </c>
      <c r="AV83" s="266">
        <f t="shared" ca="1" si="195"/>
        <v>0</v>
      </c>
      <c r="AW83" s="266">
        <f t="shared" ca="1" si="195"/>
        <v>0</v>
      </c>
      <c r="AX83" s="266">
        <f t="shared" ca="1" si="195"/>
        <v>0</v>
      </c>
      <c r="AY83" s="266">
        <f t="shared" ca="1" si="147"/>
        <v>0</v>
      </c>
      <c r="AZ83" s="84"/>
      <c r="BA83" s="279">
        <f ca="1">IFERROR(INDEX(INDIRECT($C83&amp;".Outputs["&amp;this.Year&amp;"]"), MATCH(BA$5, INDIRECT($C83&amp;".Outputs[Vector]"), 0)), 0)</f>
        <v>0</v>
      </c>
      <c r="BB83" s="279">
        <f ca="1">IFERROR(INDEX(INDIRECT($C83&amp;".Outputs["&amp;this.Year&amp;"]"), MATCH(BB$5, INDIRECT($C83&amp;".Outputs[Vector]"), 0)), 0)</f>
        <v>0.51818335801257331</v>
      </c>
      <c r="BC83" s="279">
        <f t="shared" ca="1" si="160"/>
        <v>0.51818335801257331</v>
      </c>
      <c r="BD83" s="84"/>
      <c r="BE83" s="55">
        <f t="shared" ref="BE83:BE90" ca="1" si="196">P83+AH83+AY83+BC83</f>
        <v>-5.4733995114020217E-14</v>
      </c>
      <c r="BF83" s="135"/>
      <c r="BH83" s="541">
        <f t="shared" ref="BH83:BQ84" ca="1" si="197">IFERROR(SUMIFS(INDIRECT($C83&amp;".Emissions["&amp;this.Year&amp;"]"), INDIRECT($C83&amp;".Emissions[GHG]"), BH$6, INDIRECT($C83&amp;".Emissions[IPCC Sector]"), BH$5),0)</f>
        <v>0</v>
      </c>
      <c r="BI83" s="542">
        <f t="shared" ca="1" si="197"/>
        <v>0</v>
      </c>
      <c r="BJ83" s="542">
        <f t="shared" ca="1" si="197"/>
        <v>0</v>
      </c>
      <c r="BK83" s="542">
        <f t="shared" ca="1" si="197"/>
        <v>0</v>
      </c>
      <c r="BL83" s="542">
        <f t="shared" ca="1" si="197"/>
        <v>0</v>
      </c>
      <c r="BM83" s="542">
        <f t="shared" ca="1" si="197"/>
        <v>3.8131499119034635</v>
      </c>
      <c r="BN83" s="542">
        <f t="shared" ca="1" si="197"/>
        <v>0</v>
      </c>
      <c r="BO83" s="542">
        <f t="shared" ca="1" si="197"/>
        <v>0</v>
      </c>
      <c r="BP83" s="542">
        <f t="shared" ca="1" si="197"/>
        <v>0</v>
      </c>
      <c r="BQ83" s="542">
        <f t="shared" ca="1" si="197"/>
        <v>0</v>
      </c>
      <c r="BR83" s="542">
        <f t="shared" ref="BR83:CA84" ca="1" si="198">IFERROR(SUMIFS(INDIRECT($C83&amp;".Emissions["&amp;this.Year&amp;"]"), INDIRECT($C83&amp;".Emissions[GHG]"), BR$6, INDIRECT($C83&amp;".Emissions[IPCC Sector]"), BR$5),0)</f>
        <v>0</v>
      </c>
      <c r="BS83" s="542">
        <f t="shared" ca="1" si="198"/>
        <v>0</v>
      </c>
      <c r="BT83" s="542">
        <f t="shared" ca="1" si="198"/>
        <v>0</v>
      </c>
      <c r="BU83" s="542">
        <f t="shared" ca="1" si="198"/>
        <v>0</v>
      </c>
      <c r="BV83" s="542">
        <f t="shared" ca="1" si="198"/>
        <v>0</v>
      </c>
      <c r="BW83" s="542">
        <f t="shared" ca="1" si="198"/>
        <v>0</v>
      </c>
      <c r="BX83" s="542">
        <f t="shared" ca="1" si="198"/>
        <v>0</v>
      </c>
      <c r="BY83" s="542">
        <f t="shared" ca="1" si="198"/>
        <v>0</v>
      </c>
      <c r="BZ83" s="542">
        <f t="shared" ca="1" si="198"/>
        <v>0</v>
      </c>
      <c r="CA83" s="542">
        <f t="shared" ca="1" si="198"/>
        <v>0</v>
      </c>
      <c r="CB83" s="542">
        <f t="shared" ref="CB83:CK84" ca="1" si="199">IFERROR(SUMIFS(INDIRECT($C83&amp;".Emissions["&amp;this.Year&amp;"]"), INDIRECT($C83&amp;".Emissions[GHG]"), CB$6, INDIRECT($C83&amp;".Emissions[IPCC Sector]"), CB$5),0)</f>
        <v>0</v>
      </c>
      <c r="CC83" s="542">
        <f t="shared" ca="1" si="199"/>
        <v>0</v>
      </c>
      <c r="CD83" s="542">
        <f t="shared" ca="1" si="199"/>
        <v>0</v>
      </c>
      <c r="CE83" s="542">
        <f t="shared" ca="1" si="199"/>
        <v>0</v>
      </c>
      <c r="CF83" s="542">
        <f t="shared" ca="1" si="199"/>
        <v>0</v>
      </c>
      <c r="CG83" s="542">
        <f t="shared" ca="1" si="199"/>
        <v>0</v>
      </c>
      <c r="CH83" s="542">
        <f t="shared" ca="1" si="199"/>
        <v>0</v>
      </c>
      <c r="CI83" s="542">
        <f t="shared" ca="1" si="199"/>
        <v>0</v>
      </c>
      <c r="CJ83" s="542">
        <f t="shared" ca="1" si="199"/>
        <v>0</v>
      </c>
      <c r="CK83" s="542">
        <f t="shared" ca="1" si="199"/>
        <v>0</v>
      </c>
      <c r="CL83" s="542">
        <f t="shared" ref="CL83:CU84" ca="1" si="200">IFERROR(SUMIFS(INDIRECT($C83&amp;".Emissions["&amp;this.Year&amp;"]"), INDIRECT($C83&amp;".Emissions[GHG]"), CL$6, INDIRECT($C83&amp;".Emissions[IPCC Sector]"), CL$5),0)</f>
        <v>0</v>
      </c>
      <c r="CM83" s="542">
        <f t="shared" ca="1" si="200"/>
        <v>0</v>
      </c>
      <c r="CN83" s="542">
        <f t="shared" ca="1" si="200"/>
        <v>0</v>
      </c>
      <c r="CO83" s="542">
        <f t="shared" ca="1" si="200"/>
        <v>0</v>
      </c>
      <c r="CP83" s="542">
        <f t="shared" ca="1" si="200"/>
        <v>0</v>
      </c>
      <c r="CQ83" s="542">
        <f t="shared" ca="1" si="200"/>
        <v>0</v>
      </c>
      <c r="CR83" s="542">
        <f t="shared" ca="1" si="200"/>
        <v>0</v>
      </c>
      <c r="CS83" s="542">
        <f t="shared" ca="1" si="200"/>
        <v>0</v>
      </c>
      <c r="CT83" s="542">
        <f t="shared" ca="1" si="200"/>
        <v>0</v>
      </c>
      <c r="CU83" s="542">
        <f t="shared" ca="1" si="200"/>
        <v>0</v>
      </c>
      <c r="CW83" s="151">
        <f t="shared" ca="1" si="177"/>
        <v>3.8131499119034635</v>
      </c>
    </row>
    <row r="84" spans="2:101" s="543" customFormat="1" ht="12.75" customHeight="1" outlineLevel="1" x14ac:dyDescent="0.2">
      <c r="B84" s="551" t="s">
        <v>322</v>
      </c>
      <c r="C84" s="62" t="s">
        <v>440</v>
      </c>
      <c r="D84" s="292" t="str">
        <f>INDEX(Modules[Module], MATCH($C84, Modules[Code], 0))</f>
        <v>Balancing imports</v>
      </c>
      <c r="E84" s="292"/>
      <c r="F84" s="84"/>
      <c r="G84" s="361"/>
      <c r="H84" s="361"/>
      <c r="I84" s="361"/>
      <c r="J84" s="361"/>
      <c r="K84" s="361"/>
      <c r="L84" s="362"/>
      <c r="M84" s="361"/>
      <c r="N84" s="361"/>
      <c r="O84" s="361"/>
      <c r="P84" s="361">
        <f t="shared" si="136"/>
        <v>0</v>
      </c>
      <c r="Q84" s="84"/>
      <c r="R84" s="363"/>
      <c r="S84" s="363">
        <f ca="1">-(S$82+R$82)</f>
        <v>0</v>
      </c>
      <c r="T84" s="363"/>
      <c r="U84" s="363"/>
      <c r="V84" s="363"/>
      <c r="W84" s="363"/>
      <c r="X84" s="363">
        <f ca="1">-(X$28+X$66+X$74+X$80+X$83)</f>
        <v>-9.2489934300115078</v>
      </c>
      <c r="Y84" s="363">
        <f ca="1">-(Y$28+Y$66+Y$74+Y$80+Y$83)</f>
        <v>-1149.7344121527788</v>
      </c>
      <c r="Z84" s="363">
        <f ca="1">-(Z$28+Z$66+Z$74+Z$80+Z$83)</f>
        <v>-801.22020347427303</v>
      </c>
      <c r="AA84" s="363"/>
      <c r="AB84" s="363"/>
      <c r="AC84" s="363"/>
      <c r="AD84" s="363"/>
      <c r="AE84" s="363"/>
      <c r="AF84" s="363"/>
      <c r="AG84" s="363"/>
      <c r="AH84" s="363">
        <f t="shared" ca="1" si="159"/>
        <v>-1960.2036090570632</v>
      </c>
      <c r="AI84" s="84"/>
      <c r="AJ84" s="293"/>
      <c r="AK84" s="293"/>
      <c r="AL84" s="293"/>
      <c r="AM84" s="293"/>
      <c r="AN84" s="293">
        <f ca="1">-S84</f>
        <v>0</v>
      </c>
      <c r="AO84" s="293">
        <f>-U84</f>
        <v>0</v>
      </c>
      <c r="AP84" s="293">
        <f ca="1">-X84</f>
        <v>9.2489934300115078</v>
      </c>
      <c r="AQ84" s="293">
        <f ca="1">-Y84</f>
        <v>1149.7344121527788</v>
      </c>
      <c r="AR84" s="293">
        <f ca="1">-Z84</f>
        <v>801.22020347427303</v>
      </c>
      <c r="AS84" s="293"/>
      <c r="AT84" s="293"/>
      <c r="AU84" s="293"/>
      <c r="AV84" s="293"/>
      <c r="AW84" s="293"/>
      <c r="AX84" s="293"/>
      <c r="AY84" s="293">
        <f t="shared" ca="1" si="147"/>
        <v>1960.2036090570632</v>
      </c>
      <c r="AZ84" s="84"/>
      <c r="BA84" s="364"/>
      <c r="BB84" s="364"/>
      <c r="BC84" s="364">
        <f t="shared" si="160"/>
        <v>0</v>
      </c>
      <c r="BD84" s="84"/>
      <c r="BE84" s="55">
        <f t="shared" ca="1" si="196"/>
        <v>0</v>
      </c>
      <c r="BF84" s="135"/>
      <c r="BH84" s="544">
        <f t="shared" ca="1" si="197"/>
        <v>0</v>
      </c>
      <c r="BI84" s="545">
        <f t="shared" ca="1" si="197"/>
        <v>0</v>
      </c>
      <c r="BJ84" s="545">
        <f t="shared" ca="1" si="197"/>
        <v>0</v>
      </c>
      <c r="BK84" s="545">
        <f t="shared" ca="1" si="197"/>
        <v>0</v>
      </c>
      <c r="BL84" s="545">
        <f t="shared" ca="1" si="197"/>
        <v>0</v>
      </c>
      <c r="BM84" s="545">
        <f t="shared" ca="1" si="197"/>
        <v>0</v>
      </c>
      <c r="BN84" s="545">
        <f t="shared" ca="1" si="197"/>
        <v>0</v>
      </c>
      <c r="BO84" s="545">
        <f t="shared" ca="1" si="197"/>
        <v>0</v>
      </c>
      <c r="BP84" s="545">
        <f t="shared" ca="1" si="197"/>
        <v>0</v>
      </c>
      <c r="BQ84" s="545">
        <f t="shared" ca="1" si="197"/>
        <v>0</v>
      </c>
      <c r="BR84" s="545">
        <f t="shared" ca="1" si="198"/>
        <v>0</v>
      </c>
      <c r="BS84" s="545">
        <f t="shared" ca="1" si="198"/>
        <v>0</v>
      </c>
      <c r="BT84" s="545">
        <f t="shared" ca="1" si="198"/>
        <v>0</v>
      </c>
      <c r="BU84" s="545">
        <f t="shared" ca="1" si="198"/>
        <v>0</v>
      </c>
      <c r="BV84" s="545">
        <f t="shared" ca="1" si="198"/>
        <v>0</v>
      </c>
      <c r="BW84" s="545">
        <f t="shared" ca="1" si="198"/>
        <v>0</v>
      </c>
      <c r="BX84" s="545">
        <f t="shared" ca="1" si="198"/>
        <v>0</v>
      </c>
      <c r="BY84" s="545">
        <f t="shared" ca="1" si="198"/>
        <v>0</v>
      </c>
      <c r="BZ84" s="545">
        <f t="shared" ca="1" si="198"/>
        <v>0</v>
      </c>
      <c r="CA84" s="545">
        <f t="shared" ca="1" si="198"/>
        <v>0</v>
      </c>
      <c r="CB84" s="545">
        <f t="shared" ca="1" si="199"/>
        <v>0</v>
      </c>
      <c r="CC84" s="545">
        <f t="shared" ca="1" si="199"/>
        <v>0</v>
      </c>
      <c r="CD84" s="545">
        <f t="shared" ca="1" si="199"/>
        <v>0</v>
      </c>
      <c r="CE84" s="545">
        <f t="shared" ca="1" si="199"/>
        <v>0</v>
      </c>
      <c r="CF84" s="545">
        <f t="shared" ca="1" si="199"/>
        <v>0</v>
      </c>
      <c r="CG84" s="545">
        <f t="shared" ca="1" si="199"/>
        <v>0</v>
      </c>
      <c r="CH84" s="545">
        <f t="shared" ca="1" si="199"/>
        <v>0</v>
      </c>
      <c r="CI84" s="545">
        <f t="shared" ca="1" si="199"/>
        <v>0</v>
      </c>
      <c r="CJ84" s="545">
        <f t="shared" ca="1" si="199"/>
        <v>0</v>
      </c>
      <c r="CK84" s="545">
        <f t="shared" ca="1" si="199"/>
        <v>0</v>
      </c>
      <c r="CL84" s="545">
        <f t="shared" ca="1" si="200"/>
        <v>0</v>
      </c>
      <c r="CM84" s="545">
        <f t="shared" ca="1" si="200"/>
        <v>0</v>
      </c>
      <c r="CN84" s="545">
        <f t="shared" ca="1" si="200"/>
        <v>0</v>
      </c>
      <c r="CO84" s="545">
        <f t="shared" ca="1" si="200"/>
        <v>0</v>
      </c>
      <c r="CP84" s="545">
        <f t="shared" ca="1" si="200"/>
        <v>0</v>
      </c>
      <c r="CQ84" s="545">
        <f t="shared" ca="1" si="200"/>
        <v>0</v>
      </c>
      <c r="CR84" s="545">
        <f t="shared" ca="1" si="200"/>
        <v>0</v>
      </c>
      <c r="CS84" s="545">
        <f t="shared" ca="1" si="200"/>
        <v>0</v>
      </c>
      <c r="CT84" s="545">
        <f t="shared" ca="1" si="200"/>
        <v>0</v>
      </c>
      <c r="CU84" s="545">
        <f t="shared" ca="1" si="200"/>
        <v>0</v>
      </c>
      <c r="CW84" s="151">
        <f t="shared" ca="1" si="177"/>
        <v>0</v>
      </c>
    </row>
    <row r="85" spans="2:101" s="84" customFormat="1" ht="15.75" x14ac:dyDescent="0.2">
      <c r="B85" s="89" t="s">
        <v>322</v>
      </c>
      <c r="C85" s="56" t="s">
        <v>438</v>
      </c>
      <c r="D85" s="57" t="str">
        <f>INDEX(Workstreams[Workstream], MATCH($C85, Workstreams[Code], 0))</f>
        <v>Transfers</v>
      </c>
      <c r="E85" s="51"/>
      <c r="G85" s="300">
        <f ca="1">SUM(G83:G84)</f>
        <v>0</v>
      </c>
      <c r="H85" s="300">
        <f t="shared" ref="H85:O85" ca="1" si="201">SUM(H83:H84)</f>
        <v>0</v>
      </c>
      <c r="I85" s="300">
        <f t="shared" ca="1" si="201"/>
        <v>0</v>
      </c>
      <c r="J85" s="300">
        <f t="shared" ca="1" si="201"/>
        <v>0</v>
      </c>
      <c r="K85" s="300">
        <f t="shared" ca="1" si="201"/>
        <v>0</v>
      </c>
      <c r="L85" s="300">
        <f t="shared" ca="1" si="201"/>
        <v>0</v>
      </c>
      <c r="M85" s="300">
        <f t="shared" ca="1" si="201"/>
        <v>0</v>
      </c>
      <c r="N85" s="300">
        <f t="shared" ca="1" si="201"/>
        <v>0</v>
      </c>
      <c r="O85" s="300">
        <f t="shared" ca="1" si="201"/>
        <v>0</v>
      </c>
      <c r="P85" s="300">
        <f t="shared" ca="1" si="136"/>
        <v>0</v>
      </c>
      <c r="R85" s="257">
        <f t="shared" ref="R85:AE85" ca="1" si="202">SUM(R83:R84)</f>
        <v>0</v>
      </c>
      <c r="S85" s="257">
        <f t="shared" ca="1" si="202"/>
        <v>0</v>
      </c>
      <c r="T85" s="257">
        <f t="shared" ca="1" si="202"/>
        <v>1.8097434927284919</v>
      </c>
      <c r="U85" s="257">
        <f t="shared" ca="1" si="202"/>
        <v>309.20345172722136</v>
      </c>
      <c r="V85" s="257">
        <f t="shared" ca="1" si="202"/>
        <v>43.181946501047776</v>
      </c>
      <c r="W85" s="257">
        <f ca="1">SUM(W83:W84)</f>
        <v>-5.6843418860808015E-14</v>
      </c>
      <c r="X85" s="257">
        <f t="shared" ca="1" si="202"/>
        <v>-11.05873692274</v>
      </c>
      <c r="Y85" s="257">
        <f t="shared" ca="1" si="202"/>
        <v>-1458.9378638800001</v>
      </c>
      <c r="Z85" s="257">
        <f t="shared" ca="1" si="202"/>
        <v>-844.92033333333336</v>
      </c>
      <c r="AA85" s="257">
        <f t="shared" ca="1" si="202"/>
        <v>0</v>
      </c>
      <c r="AB85" s="257">
        <f t="shared" ca="1" si="202"/>
        <v>0</v>
      </c>
      <c r="AC85" s="257">
        <f ca="1">SUM(AC83:AC84)</f>
        <v>0</v>
      </c>
      <c r="AD85" s="257">
        <f ca="1">SUM(AD83:AD84)</f>
        <v>0</v>
      </c>
      <c r="AE85" s="257">
        <f t="shared" ca="1" si="202"/>
        <v>0</v>
      </c>
      <c r="AF85" s="257">
        <f ca="1">SUM(AF83:AF84)</f>
        <v>0</v>
      </c>
      <c r="AG85" s="257">
        <f ca="1">SUM(AG83:AG84)</f>
        <v>0</v>
      </c>
      <c r="AH85" s="257">
        <f t="shared" ca="1" si="159"/>
        <v>-1960.7217924150759</v>
      </c>
      <c r="AJ85" s="263">
        <f t="shared" ref="AJ85:AX85" ca="1" si="203">SUM(AJ83:AJ84)</f>
        <v>0</v>
      </c>
      <c r="AK85" s="263">
        <f t="shared" ca="1" si="203"/>
        <v>0</v>
      </c>
      <c r="AL85" s="263">
        <f t="shared" ca="1" si="203"/>
        <v>0</v>
      </c>
      <c r="AM85" s="263">
        <f t="shared" ca="1" si="203"/>
        <v>0</v>
      </c>
      <c r="AN85" s="263">
        <f t="shared" ca="1" si="203"/>
        <v>0</v>
      </c>
      <c r="AO85" s="263">
        <f t="shared" ca="1" si="203"/>
        <v>0</v>
      </c>
      <c r="AP85" s="263">
        <f t="shared" ca="1" si="203"/>
        <v>9.2489934300115078</v>
      </c>
      <c r="AQ85" s="263">
        <f t="shared" ca="1" si="203"/>
        <v>1149.7344121527788</v>
      </c>
      <c r="AR85" s="263">
        <f t="shared" ca="1" si="203"/>
        <v>801.22020347427303</v>
      </c>
      <c r="AS85" s="263">
        <f t="shared" ca="1" si="203"/>
        <v>0</v>
      </c>
      <c r="AT85" s="263">
        <f t="shared" ca="1" si="203"/>
        <v>0</v>
      </c>
      <c r="AU85" s="263">
        <f t="shared" ca="1" si="203"/>
        <v>0</v>
      </c>
      <c r="AV85" s="263">
        <f t="shared" ca="1" si="203"/>
        <v>0</v>
      </c>
      <c r="AW85" s="263">
        <f t="shared" ca="1" si="203"/>
        <v>0</v>
      </c>
      <c r="AX85" s="263">
        <f t="shared" ca="1" si="203"/>
        <v>0</v>
      </c>
      <c r="AY85" s="263">
        <f t="shared" ca="1" si="147"/>
        <v>1960.2036090570632</v>
      </c>
      <c r="BA85" s="277">
        <f ca="1">SUM(BA83:BA84)</f>
        <v>0</v>
      </c>
      <c r="BB85" s="277">
        <f ca="1">SUM(BB83:BB84)</f>
        <v>0.51818335801257331</v>
      </c>
      <c r="BC85" s="277">
        <f t="shared" ca="1" si="160"/>
        <v>0.51818335801257331</v>
      </c>
      <c r="BE85" s="55">
        <f t="shared" ca="1" si="196"/>
        <v>-1.4710455076283324E-13</v>
      </c>
      <c r="BF85" s="55"/>
      <c r="BG85" s="1428"/>
      <c r="BH85" s="542">
        <f t="shared" ref="BH85:CU85" ca="1" si="204">SUM(BH83:BH84)</f>
        <v>0</v>
      </c>
      <c r="BI85" s="542">
        <f t="shared" ca="1" si="204"/>
        <v>0</v>
      </c>
      <c r="BJ85" s="542">
        <f t="shared" ca="1" si="204"/>
        <v>0</v>
      </c>
      <c r="BK85" s="542">
        <f t="shared" ca="1" si="204"/>
        <v>0</v>
      </c>
      <c r="BL85" s="542">
        <f t="shared" ca="1" si="204"/>
        <v>0</v>
      </c>
      <c r="BM85" s="542">
        <f t="shared" ca="1" si="204"/>
        <v>3.8131499119034635</v>
      </c>
      <c r="BN85" s="542">
        <f t="shared" ca="1" si="204"/>
        <v>0</v>
      </c>
      <c r="BO85" s="542">
        <f t="shared" ca="1" si="204"/>
        <v>0</v>
      </c>
      <c r="BP85" s="542">
        <f t="shared" ca="1" si="204"/>
        <v>0</v>
      </c>
      <c r="BQ85" s="542">
        <f t="shared" ca="1" si="204"/>
        <v>0</v>
      </c>
      <c r="BR85" s="542">
        <f t="shared" ca="1" si="204"/>
        <v>0</v>
      </c>
      <c r="BS85" s="542">
        <f t="shared" ca="1" si="204"/>
        <v>0</v>
      </c>
      <c r="BT85" s="542">
        <f t="shared" ca="1" si="204"/>
        <v>0</v>
      </c>
      <c r="BU85" s="542">
        <f t="shared" ca="1" si="204"/>
        <v>0</v>
      </c>
      <c r="BV85" s="542">
        <f t="shared" ca="1" si="204"/>
        <v>0</v>
      </c>
      <c r="BW85" s="542">
        <f t="shared" ca="1" si="204"/>
        <v>0</v>
      </c>
      <c r="BX85" s="542">
        <f t="shared" ca="1" si="204"/>
        <v>0</v>
      </c>
      <c r="BY85" s="542">
        <f t="shared" ca="1" si="204"/>
        <v>0</v>
      </c>
      <c r="BZ85" s="542">
        <f t="shared" ca="1" si="204"/>
        <v>0</v>
      </c>
      <c r="CA85" s="542">
        <f t="shared" ca="1" si="204"/>
        <v>0</v>
      </c>
      <c r="CB85" s="542">
        <f t="shared" ca="1" si="204"/>
        <v>0</v>
      </c>
      <c r="CC85" s="542">
        <f t="shared" ca="1" si="204"/>
        <v>0</v>
      </c>
      <c r="CD85" s="542">
        <f t="shared" ca="1" si="204"/>
        <v>0</v>
      </c>
      <c r="CE85" s="542">
        <f t="shared" ca="1" si="204"/>
        <v>0</v>
      </c>
      <c r="CF85" s="542">
        <f t="shared" ca="1" si="204"/>
        <v>0</v>
      </c>
      <c r="CG85" s="542">
        <f t="shared" ca="1" si="204"/>
        <v>0</v>
      </c>
      <c r="CH85" s="542">
        <f t="shared" ca="1" si="204"/>
        <v>0</v>
      </c>
      <c r="CI85" s="542">
        <f t="shared" ca="1" si="204"/>
        <v>0</v>
      </c>
      <c r="CJ85" s="542">
        <f t="shared" ca="1" si="204"/>
        <v>0</v>
      </c>
      <c r="CK85" s="542">
        <f t="shared" ca="1" si="204"/>
        <v>0</v>
      </c>
      <c r="CL85" s="542">
        <f t="shared" ca="1" si="204"/>
        <v>0</v>
      </c>
      <c r="CM85" s="542">
        <f t="shared" ca="1" si="204"/>
        <v>0</v>
      </c>
      <c r="CN85" s="542">
        <f t="shared" ca="1" si="204"/>
        <v>0</v>
      </c>
      <c r="CO85" s="542">
        <f t="shared" ca="1" si="204"/>
        <v>0</v>
      </c>
      <c r="CP85" s="542">
        <f t="shared" ca="1" si="204"/>
        <v>0</v>
      </c>
      <c r="CQ85" s="542">
        <f t="shared" ca="1" si="204"/>
        <v>0</v>
      </c>
      <c r="CR85" s="542">
        <f t="shared" ca="1" si="204"/>
        <v>0</v>
      </c>
      <c r="CS85" s="542">
        <f t="shared" ca="1" si="204"/>
        <v>0</v>
      </c>
      <c r="CT85" s="542">
        <f t="shared" ca="1" si="204"/>
        <v>0</v>
      </c>
      <c r="CU85" s="542">
        <f t="shared" ca="1" si="204"/>
        <v>0</v>
      </c>
      <c r="CW85" s="151">
        <f t="shared" ca="1" si="177"/>
        <v>3.8131499119034635</v>
      </c>
    </row>
    <row r="86" spans="2:101" s="84" customFormat="1" ht="6" customHeight="1" x14ac:dyDescent="0.2">
      <c r="C86" s="50"/>
      <c r="D86" s="51"/>
      <c r="E86" s="51"/>
      <c r="G86" s="245"/>
      <c r="H86" s="245"/>
      <c r="I86" s="245"/>
      <c r="J86" s="245"/>
      <c r="K86" s="245"/>
      <c r="L86" s="247"/>
      <c r="M86" s="245"/>
      <c r="N86" s="245"/>
      <c r="O86" s="245"/>
      <c r="P86" s="245">
        <f t="shared" si="136"/>
        <v>0</v>
      </c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>
        <f t="shared" si="159"/>
        <v>0</v>
      </c>
      <c r="AJ86" s="263"/>
      <c r="AK86" s="263"/>
      <c r="AL86" s="263"/>
      <c r="AM86" s="263"/>
      <c r="AN86" s="263"/>
      <c r="AO86" s="263"/>
      <c r="AP86" s="263"/>
      <c r="AQ86" s="263"/>
      <c r="AR86" s="263"/>
      <c r="AS86" s="263"/>
      <c r="AT86" s="263"/>
      <c r="AU86" s="263"/>
      <c r="AV86" s="263"/>
      <c r="AW86" s="263"/>
      <c r="AX86" s="263"/>
      <c r="AY86" s="263">
        <f t="shared" si="147"/>
        <v>0</v>
      </c>
      <c r="BA86" s="277"/>
      <c r="BB86" s="277"/>
      <c r="BC86" s="277">
        <f t="shared" si="160"/>
        <v>0</v>
      </c>
      <c r="BE86" s="55">
        <f t="shared" si="196"/>
        <v>0</v>
      </c>
      <c r="BF86" s="55"/>
      <c r="BH86" s="542"/>
      <c r="BI86" s="542"/>
      <c r="BJ86" s="542"/>
      <c r="BK86" s="542"/>
      <c r="BL86" s="542"/>
      <c r="BM86" s="542"/>
      <c r="BN86" s="542"/>
      <c r="BO86" s="542"/>
      <c r="BP86" s="542"/>
      <c r="BQ86" s="542"/>
      <c r="BR86" s="542"/>
      <c r="BS86" s="542"/>
      <c r="BT86" s="542"/>
      <c r="BU86" s="542"/>
      <c r="BV86" s="542"/>
      <c r="BW86" s="542"/>
      <c r="BX86" s="542"/>
      <c r="BY86" s="542"/>
      <c r="BZ86" s="542"/>
      <c r="CA86" s="542"/>
      <c r="CB86" s="542"/>
      <c r="CC86" s="542"/>
      <c r="CD86" s="542"/>
      <c r="CE86" s="542"/>
      <c r="CF86" s="542"/>
      <c r="CG86" s="542"/>
      <c r="CH86" s="542"/>
      <c r="CI86" s="542"/>
      <c r="CJ86" s="542"/>
      <c r="CK86" s="542"/>
      <c r="CL86" s="542"/>
      <c r="CM86" s="542"/>
      <c r="CN86" s="542"/>
      <c r="CO86" s="542"/>
      <c r="CP86" s="542"/>
      <c r="CQ86" s="542"/>
      <c r="CR86" s="542"/>
      <c r="CS86" s="542"/>
      <c r="CT86" s="542"/>
      <c r="CU86" s="542"/>
      <c r="CW86" s="151"/>
    </row>
    <row r="87" spans="2:101" s="84" customFormat="1" ht="15.75" x14ac:dyDescent="0.2">
      <c r="B87" s="89"/>
      <c r="C87" s="923" t="s">
        <v>885</v>
      </c>
      <c r="D87" s="69" t="s">
        <v>442</v>
      </c>
      <c r="E87" s="70"/>
      <c r="G87" s="338">
        <f ca="1">G$74+G$80+G$85</f>
        <v>0</v>
      </c>
      <c r="H87" s="338">
        <f ca="1">H$74+H$80+H$85</f>
        <v>0</v>
      </c>
      <c r="I87" s="338">
        <f ca="1">I$74+I$80+I$85</f>
        <v>0</v>
      </c>
      <c r="J87" s="338">
        <f t="shared" ref="J87:O87" ca="1" si="205">J$74+J$80+J$85</f>
        <v>0</v>
      </c>
      <c r="K87" s="338">
        <f t="shared" ca="1" si="205"/>
        <v>0</v>
      </c>
      <c r="L87" s="339">
        <f t="shared" ca="1" si="205"/>
        <v>0</v>
      </c>
      <c r="M87" s="338">
        <f t="shared" ca="1" si="205"/>
        <v>0</v>
      </c>
      <c r="N87" s="338">
        <f t="shared" ca="1" si="205"/>
        <v>0</v>
      </c>
      <c r="O87" s="338">
        <f t="shared" ca="1" si="205"/>
        <v>0</v>
      </c>
      <c r="P87" s="338">
        <f t="shared" ca="1" si="136"/>
        <v>0</v>
      </c>
      <c r="R87" s="294">
        <f t="shared" ref="R87:AG87" ca="1" si="206">R$74+R$80+R$85</f>
        <v>0</v>
      </c>
      <c r="S87" s="294">
        <f t="shared" ca="1" si="206"/>
        <v>-28.823021718271967</v>
      </c>
      <c r="T87" s="294">
        <f t="shared" ca="1" si="206"/>
        <v>1.8097434927284919</v>
      </c>
      <c r="U87" s="294">
        <f t="shared" ca="1" si="206"/>
        <v>312.27574152710514</v>
      </c>
      <c r="V87" s="294">
        <f t="shared" ca="1" si="206"/>
        <v>472.64165496789121</v>
      </c>
      <c r="W87" s="294">
        <f t="shared" ca="1" si="206"/>
        <v>184.5626425169898</v>
      </c>
      <c r="X87" s="294">
        <f t="shared" ca="1" si="206"/>
        <v>-11.05873692274</v>
      </c>
      <c r="Y87" s="294">
        <f t="shared" ca="1" si="206"/>
        <v>-1458.9378638800001</v>
      </c>
      <c r="Z87" s="294">
        <f t="shared" ca="1" si="206"/>
        <v>-844.92033333333336</v>
      </c>
      <c r="AA87" s="294">
        <f t="shared" ca="1" si="206"/>
        <v>0</v>
      </c>
      <c r="AB87" s="294">
        <f t="shared" ca="1" si="206"/>
        <v>0</v>
      </c>
      <c r="AC87" s="294">
        <f t="shared" ca="1" si="206"/>
        <v>-1790.9295179502994</v>
      </c>
      <c r="AD87" s="294">
        <f t="shared" ca="1" si="206"/>
        <v>-12.388265322112064</v>
      </c>
      <c r="AE87" s="294">
        <f t="shared" ca="1" si="206"/>
        <v>-73.060329723562404</v>
      </c>
      <c r="AF87" s="294">
        <f t="shared" ca="1" si="206"/>
        <v>-31.919583891554964</v>
      </c>
      <c r="AG87" s="294">
        <f t="shared" ca="1" si="206"/>
        <v>-11.254146912530599</v>
      </c>
      <c r="AH87" s="294">
        <f t="shared" ca="1" si="159"/>
        <v>-3292.0020171496908</v>
      </c>
      <c r="AJ87" s="295">
        <f t="shared" ref="AJ87:AX87" ca="1" si="207">AJ$74+AJ$80+AJ$85</f>
        <v>0</v>
      </c>
      <c r="AK87" s="295">
        <f t="shared" ca="1" si="207"/>
        <v>0</v>
      </c>
      <c r="AL87" s="295">
        <f t="shared" ca="1" si="207"/>
        <v>0</v>
      </c>
      <c r="AM87" s="295">
        <f t="shared" ca="1" si="207"/>
        <v>1005.4684468053392</v>
      </c>
      <c r="AN87" s="295">
        <f t="shared" ca="1" si="207"/>
        <v>0.52500000000000002</v>
      </c>
      <c r="AO87" s="295">
        <f t="shared" ca="1" si="207"/>
        <v>0</v>
      </c>
      <c r="AP87" s="295">
        <f t="shared" ca="1" si="207"/>
        <v>9.2489934300115078</v>
      </c>
      <c r="AQ87" s="295">
        <f t="shared" ca="1" si="207"/>
        <v>1149.7344121527788</v>
      </c>
      <c r="AR87" s="295">
        <f t="shared" ca="1" si="207"/>
        <v>801.22020347427303</v>
      </c>
      <c r="AS87" s="295">
        <f t="shared" ca="1" si="207"/>
        <v>0</v>
      </c>
      <c r="AT87" s="295">
        <f t="shared" ca="1" si="207"/>
        <v>0</v>
      </c>
      <c r="AU87" s="295">
        <f t="shared" ca="1" si="207"/>
        <v>0</v>
      </c>
      <c r="AV87" s="295">
        <f t="shared" ca="1" si="207"/>
        <v>0</v>
      </c>
      <c r="AW87" s="295">
        <f t="shared" ca="1" si="207"/>
        <v>0</v>
      </c>
      <c r="AX87" s="295">
        <f t="shared" ca="1" si="207"/>
        <v>0</v>
      </c>
      <c r="AY87" s="295">
        <f t="shared" ca="1" si="147"/>
        <v>2966.1970558624025</v>
      </c>
      <c r="BA87" s="296">
        <f ca="1">BA$74+BA$80+BA$85</f>
        <v>296.98875621100319</v>
      </c>
      <c r="BB87" s="296">
        <f ca="1">BB$74+BB$80+BB$85</f>
        <v>28.816205076284547</v>
      </c>
      <c r="BC87" s="296">
        <f t="shared" ca="1" si="160"/>
        <v>325.80496128728771</v>
      </c>
      <c r="BE87" s="58">
        <f t="shared" ca="1" si="196"/>
        <v>-5.6843418860808015E-13</v>
      </c>
      <c r="BF87" s="58"/>
      <c r="BH87" s="546">
        <f t="shared" ref="BH87:CT87" ca="1" si="208">BH$74+BH$80+BH$85</f>
        <v>0</v>
      </c>
      <c r="BI87" s="546">
        <f t="shared" ca="1" si="208"/>
        <v>0</v>
      </c>
      <c r="BJ87" s="546">
        <f t="shared" ca="1" si="208"/>
        <v>0</v>
      </c>
      <c r="BK87" s="546">
        <f t="shared" ca="1" si="208"/>
        <v>0</v>
      </c>
      <c r="BL87" s="546">
        <f t="shared" ca="1" si="208"/>
        <v>0</v>
      </c>
      <c r="BM87" s="546">
        <f t="shared" ca="1" si="208"/>
        <v>3.8131499119034635</v>
      </c>
      <c r="BN87" s="546">
        <f t="shared" ca="1" si="208"/>
        <v>0</v>
      </c>
      <c r="BO87" s="546">
        <f t="shared" ca="1" si="208"/>
        <v>0</v>
      </c>
      <c r="BP87" s="546">
        <f t="shared" ca="1" si="208"/>
        <v>0</v>
      </c>
      <c r="BQ87" s="546">
        <f t="shared" ca="1" si="208"/>
        <v>0</v>
      </c>
      <c r="BR87" s="546">
        <f t="shared" ca="1" si="208"/>
        <v>0</v>
      </c>
      <c r="BS87" s="546">
        <f t="shared" ca="1" si="208"/>
        <v>0</v>
      </c>
      <c r="BT87" s="546">
        <f t="shared" ca="1" si="208"/>
        <v>0</v>
      </c>
      <c r="BU87" s="546">
        <f t="shared" ca="1" si="208"/>
        <v>0</v>
      </c>
      <c r="BV87" s="546">
        <f t="shared" ca="1" si="208"/>
        <v>0</v>
      </c>
      <c r="BW87" s="546">
        <f t="shared" ca="1" si="208"/>
        <v>0</v>
      </c>
      <c r="BX87" s="546">
        <f t="shared" ca="1" si="208"/>
        <v>0</v>
      </c>
      <c r="BY87" s="546">
        <f t="shared" ca="1" si="208"/>
        <v>0</v>
      </c>
      <c r="BZ87" s="546">
        <f t="shared" ca="1" si="208"/>
        <v>0</v>
      </c>
      <c r="CA87" s="546">
        <f t="shared" ca="1" si="208"/>
        <v>0</v>
      </c>
      <c r="CB87" s="546">
        <f t="shared" ca="1" si="208"/>
        <v>0</v>
      </c>
      <c r="CC87" s="546">
        <f t="shared" ca="1" si="208"/>
        <v>0</v>
      </c>
      <c r="CD87" s="546">
        <f t="shared" ca="1" si="208"/>
        <v>0</v>
      </c>
      <c r="CE87" s="546">
        <f t="shared" ca="1" si="208"/>
        <v>0</v>
      </c>
      <c r="CF87" s="546">
        <f t="shared" ca="1" si="208"/>
        <v>0</v>
      </c>
      <c r="CG87" s="546">
        <f t="shared" ca="1" si="208"/>
        <v>0</v>
      </c>
      <c r="CH87" s="546">
        <f t="shared" ca="1" si="208"/>
        <v>0</v>
      </c>
      <c r="CI87" s="546">
        <f t="shared" ca="1" si="208"/>
        <v>0</v>
      </c>
      <c r="CJ87" s="546">
        <f t="shared" ca="1" si="208"/>
        <v>0</v>
      </c>
      <c r="CK87" s="546">
        <f t="shared" ca="1" si="208"/>
        <v>0</v>
      </c>
      <c r="CL87" s="546">
        <f t="shared" ca="1" si="208"/>
        <v>0</v>
      </c>
      <c r="CM87" s="546">
        <f t="shared" ca="1" si="208"/>
        <v>0</v>
      </c>
      <c r="CN87" s="546">
        <f t="shared" ca="1" si="208"/>
        <v>-79.788658807870121</v>
      </c>
      <c r="CO87" s="546">
        <f t="shared" ca="1" si="208"/>
        <v>0</v>
      </c>
      <c r="CP87" s="546">
        <f t="shared" ca="1" si="208"/>
        <v>0</v>
      </c>
      <c r="CQ87" s="546">
        <f t="shared" ca="1" si="208"/>
        <v>0</v>
      </c>
      <c r="CR87" s="546">
        <f t="shared" ca="1" si="208"/>
        <v>0</v>
      </c>
      <c r="CS87" s="546">
        <f t="shared" ca="1" si="208"/>
        <v>0</v>
      </c>
      <c r="CT87" s="546">
        <f t="shared" ca="1" si="208"/>
        <v>0</v>
      </c>
      <c r="CU87" s="546">
        <f ca="1">CU$74+CU$85</f>
        <v>0</v>
      </c>
      <c r="CW87" s="148">
        <f ca="1">SUM(BH87:CU87)</f>
        <v>-75.975508895966655</v>
      </c>
    </row>
    <row r="88" spans="2:101" s="84" customFormat="1" x14ac:dyDescent="0.2">
      <c r="C88" s="50"/>
      <c r="D88" s="51"/>
      <c r="E88" s="51"/>
      <c r="G88" s="245"/>
      <c r="H88" s="245"/>
      <c r="I88" s="245"/>
      <c r="J88" s="245"/>
      <c r="K88" s="245"/>
      <c r="L88" s="247"/>
      <c r="M88" s="245"/>
      <c r="N88" s="245"/>
      <c r="O88" s="245"/>
      <c r="P88" s="245">
        <f t="shared" si="136"/>
        <v>0</v>
      </c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>
        <f t="shared" si="159"/>
        <v>0</v>
      </c>
      <c r="AJ88" s="263"/>
      <c r="AK88" s="263"/>
      <c r="AL88" s="263"/>
      <c r="AM88" s="263"/>
      <c r="AN88" s="263"/>
      <c r="AO88" s="263"/>
      <c r="AP88" s="263"/>
      <c r="AQ88" s="263"/>
      <c r="AR88" s="263"/>
      <c r="AS88" s="263"/>
      <c r="AT88" s="263"/>
      <c r="AU88" s="263"/>
      <c r="AV88" s="263"/>
      <c r="AW88" s="263"/>
      <c r="AX88" s="263"/>
      <c r="AY88" s="263">
        <f t="shared" si="147"/>
        <v>0</v>
      </c>
      <c r="BA88" s="277"/>
      <c r="BB88" s="277"/>
      <c r="BC88" s="277">
        <f t="shared" si="160"/>
        <v>0</v>
      </c>
      <c r="BE88" s="55">
        <f t="shared" si="196"/>
        <v>0</v>
      </c>
      <c r="BF88" s="55"/>
      <c r="BH88" s="542"/>
      <c r="BI88" s="542"/>
      <c r="BJ88" s="542"/>
      <c r="BK88" s="542"/>
      <c r="BL88" s="542"/>
      <c r="BM88" s="542"/>
      <c r="BN88" s="542"/>
      <c r="BO88" s="542"/>
      <c r="BP88" s="542"/>
      <c r="BQ88" s="542"/>
      <c r="BR88" s="542"/>
      <c r="BS88" s="542"/>
      <c r="BT88" s="542"/>
      <c r="BU88" s="542"/>
      <c r="BV88" s="542"/>
      <c r="BW88" s="542"/>
      <c r="BX88" s="542"/>
      <c r="BY88" s="542"/>
      <c r="BZ88" s="542"/>
      <c r="CA88" s="542"/>
      <c r="CB88" s="542"/>
      <c r="CC88" s="542"/>
      <c r="CD88" s="542"/>
      <c r="CE88" s="542"/>
      <c r="CF88" s="542"/>
      <c r="CG88" s="542"/>
      <c r="CH88" s="542"/>
      <c r="CI88" s="542"/>
      <c r="CJ88" s="542"/>
      <c r="CK88" s="542"/>
      <c r="CL88" s="542"/>
      <c r="CM88" s="542"/>
      <c r="CN88" s="542"/>
      <c r="CO88" s="542"/>
      <c r="CP88" s="542"/>
      <c r="CQ88" s="542"/>
      <c r="CR88" s="542"/>
      <c r="CS88" s="542"/>
      <c r="CT88" s="542"/>
      <c r="CU88" s="542"/>
      <c r="CW88" s="151"/>
    </row>
    <row r="89" spans="2:101" s="84" customFormat="1" ht="13.5" thickBot="1" x14ac:dyDescent="0.25">
      <c r="C89" s="50"/>
      <c r="D89" s="51"/>
      <c r="E89" s="51"/>
      <c r="G89" s="245"/>
      <c r="H89" s="245"/>
      <c r="I89" s="245"/>
      <c r="J89" s="245"/>
      <c r="K89" s="245"/>
      <c r="L89" s="247"/>
      <c r="M89" s="245"/>
      <c r="N89" s="245"/>
      <c r="O89" s="245"/>
      <c r="P89" s="245">
        <f t="shared" si="136"/>
        <v>0</v>
      </c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>
        <f t="shared" si="159"/>
        <v>0</v>
      </c>
      <c r="AJ89" s="263"/>
      <c r="AK89" s="263"/>
      <c r="AL89" s="263"/>
      <c r="AM89" s="263"/>
      <c r="AN89" s="263"/>
      <c r="AO89" s="263"/>
      <c r="AP89" s="263"/>
      <c r="AQ89" s="263"/>
      <c r="AR89" s="263"/>
      <c r="AS89" s="263"/>
      <c r="AT89" s="263"/>
      <c r="AU89" s="263"/>
      <c r="AV89" s="263"/>
      <c r="AW89" s="263"/>
      <c r="AX89" s="263"/>
      <c r="AY89" s="263">
        <f t="shared" si="147"/>
        <v>0</v>
      </c>
      <c r="BA89" s="277"/>
      <c r="BB89" s="277"/>
      <c r="BC89" s="277">
        <f t="shared" si="160"/>
        <v>0</v>
      </c>
      <c r="BE89" s="55">
        <f t="shared" si="196"/>
        <v>0</v>
      </c>
      <c r="BF89" s="55"/>
      <c r="BH89" s="542"/>
      <c r="BI89" s="542"/>
      <c r="BJ89" s="542"/>
      <c r="BK89" s="542"/>
      <c r="BL89" s="542"/>
      <c r="BM89" s="542"/>
      <c r="BN89" s="542"/>
      <c r="BO89" s="542"/>
      <c r="BP89" s="542"/>
      <c r="BQ89" s="542"/>
      <c r="BR89" s="542"/>
      <c r="BS89" s="542"/>
      <c r="BT89" s="542"/>
      <c r="BU89" s="542"/>
      <c r="BV89" s="542"/>
      <c r="BW89" s="542"/>
      <c r="BX89" s="542"/>
      <c r="BY89" s="542"/>
      <c r="BZ89" s="542"/>
      <c r="CA89" s="542"/>
      <c r="CB89" s="542"/>
      <c r="CC89" s="542"/>
      <c r="CD89" s="542"/>
      <c r="CE89" s="542"/>
      <c r="CF89" s="542"/>
      <c r="CG89" s="542"/>
      <c r="CH89" s="542"/>
      <c r="CI89" s="542"/>
      <c r="CJ89" s="542"/>
      <c r="CK89" s="542"/>
      <c r="CL89" s="542"/>
      <c r="CM89" s="542"/>
      <c r="CN89" s="542"/>
      <c r="CO89" s="542"/>
      <c r="CP89" s="542"/>
      <c r="CQ89" s="542"/>
      <c r="CR89" s="542"/>
      <c r="CS89" s="542"/>
      <c r="CT89" s="542"/>
      <c r="CU89" s="542"/>
      <c r="CW89" s="151"/>
    </row>
    <row r="90" spans="2:101" s="84" customFormat="1" ht="24" customHeight="1" thickBot="1" x14ac:dyDescent="0.25">
      <c r="C90" s="67" t="s">
        <v>189</v>
      </c>
      <c r="D90" s="67"/>
      <c r="E90" s="67"/>
      <c r="G90" s="357">
        <f ca="1">G$28+G$66+G$87</f>
        <v>53.519847980518854</v>
      </c>
      <c r="H90" s="357">
        <f ca="1">H$28+H$66+H$87</f>
        <v>36.686116203690624</v>
      </c>
      <c r="I90" s="357">
        <f ca="1">I$28+I$66+I$87</f>
        <v>237.93519496128644</v>
      </c>
      <c r="J90" s="357">
        <f t="shared" ref="J90:O90" ca="1" si="209">J$28+J$66+J$87</f>
        <v>394.98215312294013</v>
      </c>
      <c r="K90" s="357">
        <f t="shared" ca="1" si="209"/>
        <v>98.573713532137731</v>
      </c>
      <c r="L90" s="357">
        <f t="shared" ca="1" si="209"/>
        <v>42.475937245436782</v>
      </c>
      <c r="M90" s="357">
        <f t="shared" ca="1" si="209"/>
        <v>0</v>
      </c>
      <c r="N90" s="357">
        <f t="shared" ca="1" si="209"/>
        <v>1.2059144801278183E-13</v>
      </c>
      <c r="O90" s="357">
        <f t="shared" ca="1" si="209"/>
        <v>2.2204881734004642</v>
      </c>
      <c r="P90" s="357">
        <f t="shared" ref="P90" ca="1" si="210">SUM(G90:O90)</f>
        <v>866.39345121941108</v>
      </c>
      <c r="R90" s="358">
        <f t="shared" ref="R90:AG90" ca="1" si="211">R$28+R$66+R$87</f>
        <v>-138.16092956568079</v>
      </c>
      <c r="S90" s="358">
        <f t="shared" ca="1" si="211"/>
        <v>138.16092956568079</v>
      </c>
      <c r="T90" s="358">
        <f t="shared" ca="1" si="211"/>
        <v>0</v>
      </c>
      <c r="U90" s="358">
        <f t="shared" ca="1" si="211"/>
        <v>0</v>
      </c>
      <c r="V90" s="358">
        <f t="shared" ca="1" si="211"/>
        <v>0</v>
      </c>
      <c r="W90" s="358">
        <f t="shared" ca="1" si="211"/>
        <v>0</v>
      </c>
      <c r="X90" s="358">
        <f t="shared" ca="1" si="211"/>
        <v>0</v>
      </c>
      <c r="Y90" s="358">
        <f t="shared" ca="1" si="211"/>
        <v>0</v>
      </c>
      <c r="Z90" s="358">
        <f t="shared" ca="1" si="211"/>
        <v>0</v>
      </c>
      <c r="AA90" s="358">
        <f t="shared" ca="1" si="211"/>
        <v>0</v>
      </c>
      <c r="AB90" s="358">
        <f t="shared" ca="1" si="211"/>
        <v>0</v>
      </c>
      <c r="AC90" s="358">
        <f t="shared" ca="1" si="211"/>
        <v>0</v>
      </c>
      <c r="AD90" s="358">
        <f t="shared" ca="1" si="211"/>
        <v>0</v>
      </c>
      <c r="AE90" s="358">
        <f t="shared" ca="1" si="211"/>
        <v>0</v>
      </c>
      <c r="AF90" s="358">
        <f t="shared" ca="1" si="211"/>
        <v>0</v>
      </c>
      <c r="AG90" s="358">
        <f t="shared" ca="1" si="211"/>
        <v>0</v>
      </c>
      <c r="AH90" s="358">
        <f t="shared" ca="1" si="159"/>
        <v>0</v>
      </c>
      <c r="AJ90" s="359">
        <f t="shared" ref="AJ90:AX90" ca="1" si="212">AJ$28+AJ$66+AJ$87</f>
        <v>-6.17215067274</v>
      </c>
      <c r="AK90" s="359">
        <f t="shared" ca="1" si="212"/>
        <v>-1458.9378638800001</v>
      </c>
      <c r="AL90" s="359">
        <f t="shared" ca="1" si="212"/>
        <v>-844.92033333333336</v>
      </c>
      <c r="AM90" s="359">
        <f t="shared" ca="1" si="212"/>
        <v>1005.4684468053392</v>
      </c>
      <c r="AN90" s="359">
        <f t="shared" ca="1" si="212"/>
        <v>0.52500000000000002</v>
      </c>
      <c r="AO90" s="359">
        <f t="shared" ca="1" si="212"/>
        <v>0</v>
      </c>
      <c r="AP90" s="359">
        <f t="shared" ca="1" si="212"/>
        <v>9.2489934300115078</v>
      </c>
      <c r="AQ90" s="359">
        <f t="shared" ca="1" si="212"/>
        <v>1149.7344121527788</v>
      </c>
      <c r="AR90" s="359">
        <f t="shared" ca="1" si="212"/>
        <v>801.22020347427303</v>
      </c>
      <c r="AS90" s="359">
        <f t="shared" ca="1" si="212"/>
        <v>0</v>
      </c>
      <c r="AT90" s="359">
        <f t="shared" ca="1" si="212"/>
        <v>-0.92042999999999997</v>
      </c>
      <c r="AU90" s="359">
        <f t="shared" ca="1" si="212"/>
        <v>0</v>
      </c>
      <c r="AV90" s="359">
        <f t="shared" ca="1" si="212"/>
        <v>-10.273751999999998</v>
      </c>
      <c r="AW90" s="359">
        <f t="shared" ca="1" si="212"/>
        <v>-1803.3177832724116</v>
      </c>
      <c r="AX90" s="359">
        <f t="shared" ca="1" si="212"/>
        <v>-121.12064677764798</v>
      </c>
      <c r="AY90" s="359">
        <f t="shared" ca="1" si="147"/>
        <v>-1279.4659040737304</v>
      </c>
      <c r="BA90" s="360">
        <f ca="1">BA$28+BA$66+BA$87</f>
        <v>375.47462895520124</v>
      </c>
      <c r="BB90" s="360">
        <f ca="1">BB$28+BB$66+BB$87</f>
        <v>37.597823899117927</v>
      </c>
      <c r="BC90" s="360">
        <f t="shared" ca="1" si="160"/>
        <v>413.07245285431918</v>
      </c>
      <c r="BE90" s="54">
        <f t="shared" ca="1" si="196"/>
        <v>0</v>
      </c>
      <c r="BF90" s="54"/>
      <c r="BH90" s="552">
        <f t="shared" ref="BH90:CU90" ca="1" si="213">BH$28+BH$66+BH$87</f>
        <v>135.07618124456565</v>
      </c>
      <c r="BI90" s="552">
        <f ca="1">BI$28+BI$66+BI$87</f>
        <v>11.291476846019744</v>
      </c>
      <c r="BJ90" s="552">
        <f t="shared" ca="1" si="213"/>
        <v>11.986347211334321</v>
      </c>
      <c r="BK90" s="552">
        <f t="shared" ca="1" si="213"/>
        <v>0</v>
      </c>
      <c r="BL90" s="552">
        <f t="shared" ca="1" si="213"/>
        <v>6.66</v>
      </c>
      <c r="BM90" s="552">
        <f t="shared" ca="1" si="213"/>
        <v>3.8215499119034635</v>
      </c>
      <c r="BN90" s="552">
        <f t="shared" ca="1" si="213"/>
        <v>0</v>
      </c>
      <c r="BO90" s="552">
        <f t="shared" ca="1" si="213"/>
        <v>0</v>
      </c>
      <c r="BP90" s="552">
        <f t="shared" ca="1" si="213"/>
        <v>14.52967271905924</v>
      </c>
      <c r="BQ90" s="552">
        <f t="shared" ca="1" si="213"/>
        <v>0.11798280493516192</v>
      </c>
      <c r="BR90" s="552">
        <f t="shared" ca="1" si="213"/>
        <v>2.9347205573011266</v>
      </c>
      <c r="BS90" s="552">
        <f t="shared" ca="1" si="213"/>
        <v>10.275715048133547</v>
      </c>
      <c r="BT90" s="552">
        <f t="shared" ca="1" si="213"/>
        <v>0</v>
      </c>
      <c r="BU90" s="552">
        <f t="shared" ca="1" si="213"/>
        <v>0</v>
      </c>
      <c r="BV90" s="552">
        <f t="shared" ca="1" si="213"/>
        <v>0</v>
      </c>
      <c r="BW90" s="552">
        <f t="shared" ca="1" si="213"/>
        <v>0</v>
      </c>
      <c r="BX90" s="552">
        <f t="shared" ca="1" si="213"/>
        <v>0</v>
      </c>
      <c r="BY90" s="552">
        <f t="shared" ca="1" si="213"/>
        <v>0</v>
      </c>
      <c r="BZ90" s="552">
        <f t="shared" ca="1" si="213"/>
        <v>22.545258398704277</v>
      </c>
      <c r="CA90" s="552">
        <f t="shared" ca="1" si="213"/>
        <v>0</v>
      </c>
      <c r="CB90" s="552">
        <f t="shared" ca="1" si="213"/>
        <v>4.9966990495666685</v>
      </c>
      <c r="CC90" s="552">
        <f t="shared" ca="1" si="213"/>
        <v>0</v>
      </c>
      <c r="CD90" s="552">
        <f t="shared" ca="1" si="213"/>
        <v>0</v>
      </c>
      <c r="CE90" s="552">
        <f t="shared" ca="1" si="213"/>
        <v>0</v>
      </c>
      <c r="CF90" s="552">
        <f t="shared" ca="1" si="213"/>
        <v>0</v>
      </c>
      <c r="CG90" s="552">
        <f t="shared" ca="1" si="213"/>
        <v>10.807028354917669</v>
      </c>
      <c r="CH90" s="552">
        <f t="shared" ca="1" si="213"/>
        <v>0</v>
      </c>
      <c r="CI90" s="552">
        <f t="shared" ca="1" si="213"/>
        <v>0</v>
      </c>
      <c r="CJ90" s="552">
        <f t="shared" ca="1" si="213"/>
        <v>0</v>
      </c>
      <c r="CK90" s="552">
        <f t="shared" ca="1" si="213"/>
        <v>0</v>
      </c>
      <c r="CL90" s="552">
        <f t="shared" ca="1" si="213"/>
        <v>0</v>
      </c>
      <c r="CM90" s="552">
        <f t="shared" ca="1" si="213"/>
        <v>0</v>
      </c>
      <c r="CN90" s="552">
        <f t="shared" ca="1" si="213"/>
        <v>-79.788658807870121</v>
      </c>
      <c r="CO90" s="552">
        <f t="shared" ca="1" si="213"/>
        <v>0</v>
      </c>
      <c r="CP90" s="552">
        <f t="shared" ca="1" si="213"/>
        <v>0</v>
      </c>
      <c r="CQ90" s="552">
        <f t="shared" ca="1" si="213"/>
        <v>0</v>
      </c>
      <c r="CR90" s="552">
        <f t="shared" ca="1" si="213"/>
        <v>0</v>
      </c>
      <c r="CS90" s="552">
        <f t="shared" ca="1" si="213"/>
        <v>0</v>
      </c>
      <c r="CT90" s="552">
        <f t="shared" ca="1" si="213"/>
        <v>0</v>
      </c>
      <c r="CU90" s="552">
        <f t="shared" ca="1" si="213"/>
        <v>0</v>
      </c>
      <c r="CW90" s="148">
        <f ca="1">SUM(BH90:CU90)</f>
        <v>155.25397333857077</v>
      </c>
    </row>
    <row r="91" spans="2:101" s="84" customFormat="1" x14ac:dyDescent="0.2">
      <c r="C91" s="50"/>
      <c r="D91" s="51"/>
      <c r="E91" s="51"/>
      <c r="G91" s="282"/>
      <c r="H91" s="282"/>
      <c r="I91" s="282"/>
      <c r="J91" s="282"/>
      <c r="K91" s="282"/>
      <c r="L91" s="283"/>
      <c r="M91" s="282"/>
      <c r="N91" s="282"/>
      <c r="O91" s="282"/>
      <c r="P91" s="282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BA91" s="289"/>
      <c r="BB91" s="289"/>
      <c r="BC91" s="289"/>
      <c r="BE91" s="55"/>
      <c r="BF91" s="55"/>
      <c r="BH91" s="553"/>
      <c r="BI91" s="553"/>
      <c r="BJ91" s="553"/>
      <c r="BK91" s="553"/>
      <c r="BL91" s="553"/>
      <c r="BM91" s="553"/>
      <c r="BN91" s="553"/>
      <c r="BO91" s="553"/>
      <c r="BP91" s="553"/>
      <c r="BQ91" s="553"/>
      <c r="BR91" s="553"/>
      <c r="BS91" s="553"/>
      <c r="BT91" s="553"/>
      <c r="BU91" s="553"/>
      <c r="BV91" s="553"/>
      <c r="BW91" s="553"/>
      <c r="BX91" s="553"/>
      <c r="BY91" s="553"/>
      <c r="BZ91" s="553"/>
      <c r="CA91" s="553"/>
      <c r="CB91" s="553"/>
      <c r="CC91" s="553"/>
      <c r="CD91" s="553"/>
      <c r="CE91" s="553"/>
      <c r="CF91" s="553"/>
      <c r="CG91" s="553"/>
      <c r="CH91" s="553"/>
      <c r="CI91" s="553"/>
      <c r="CJ91" s="553"/>
      <c r="CK91" s="553"/>
      <c r="CL91" s="553"/>
      <c r="CM91" s="553"/>
      <c r="CN91" s="553"/>
      <c r="CO91" s="553"/>
      <c r="CP91" s="553"/>
      <c r="CQ91" s="553"/>
      <c r="CR91" s="553"/>
      <c r="CS91" s="553"/>
      <c r="CT91" s="553"/>
      <c r="CU91" s="553"/>
    </row>
    <row r="92" spans="2:101" x14ac:dyDescent="0.2">
      <c r="G92" s="55"/>
      <c r="H92" s="55"/>
      <c r="I92" s="55"/>
      <c r="J92" s="55"/>
      <c r="K92" s="55"/>
      <c r="L92" s="59"/>
      <c r="M92" s="55"/>
      <c r="N92" s="55"/>
      <c r="O92" s="55"/>
      <c r="P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BA92" s="55"/>
      <c r="BB92" s="55"/>
      <c r="BC92" s="55"/>
      <c r="BE92" s="55"/>
      <c r="BF92" s="55"/>
    </row>
    <row r="93" spans="2:101" x14ac:dyDescent="0.2">
      <c r="G93" s="55"/>
      <c r="H93" s="55"/>
      <c r="I93" s="55"/>
      <c r="J93" s="55"/>
      <c r="K93" s="55"/>
      <c r="L93" s="59"/>
      <c r="M93" s="55"/>
      <c r="N93" s="55"/>
      <c r="O93" s="55"/>
      <c r="P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BA93" s="55"/>
      <c r="BB93" s="55"/>
      <c r="BC93" s="55"/>
      <c r="BE93" s="55"/>
      <c r="BF93" s="55"/>
      <c r="CU93" s="1426" t="s">
        <v>1183</v>
      </c>
      <c r="CW93" s="2480">
        <f ca="1">SUM(CW47,CW50,CW54,CW64)</f>
        <v>22.479646124907106</v>
      </c>
    </row>
    <row r="94" spans="2:101" x14ac:dyDescent="0.2">
      <c r="B94" s="2479" t="s">
        <v>322</v>
      </c>
      <c r="C94" s="355" t="s">
        <v>443</v>
      </c>
      <c r="G94" s="55"/>
      <c r="H94" s="55"/>
      <c r="I94" s="55"/>
      <c r="J94" s="55"/>
      <c r="K94" s="55"/>
      <c r="L94" s="59"/>
      <c r="M94" s="55"/>
      <c r="N94" s="55"/>
      <c r="O94" s="55"/>
      <c r="P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BA94" s="55"/>
      <c r="BB94" s="55"/>
      <c r="BC94" s="55"/>
      <c r="BE94" s="55"/>
      <c r="BF94" s="55"/>
      <c r="CU94" s="1426" t="s">
        <v>1184</v>
      </c>
      <c r="CW94" s="2480">
        <f ca="1">S90-MIN(S84,0)</f>
        <v>138.16092956568079</v>
      </c>
    </row>
    <row r="95" spans="2:101" ht="15.75" x14ac:dyDescent="0.25">
      <c r="B95" s="3"/>
      <c r="G95" s="55"/>
      <c r="H95" s="55"/>
      <c r="I95" s="55"/>
      <c r="J95" s="55"/>
      <c r="K95" s="55"/>
      <c r="L95" s="59"/>
      <c r="M95" s="55"/>
      <c r="N95" s="55"/>
      <c r="O95" s="55"/>
      <c r="P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BA95" s="55"/>
      <c r="BB95" s="55"/>
      <c r="BC95" s="55"/>
      <c r="BE95" s="55"/>
      <c r="BF95" s="55"/>
      <c r="CU95" s="1426" t="s">
        <v>1185</v>
      </c>
      <c r="CW95" s="2479">
        <f ca="1">CW93/CW94</f>
        <v>0.16270624550351212</v>
      </c>
    </row>
    <row r="96" spans="2:101" x14ac:dyDescent="0.2">
      <c r="G96" s="55"/>
      <c r="H96" s="55"/>
      <c r="I96" s="55"/>
      <c r="J96" s="55"/>
      <c r="K96" s="55"/>
      <c r="L96" s="59"/>
      <c r="M96" s="55"/>
      <c r="N96" s="55"/>
      <c r="O96" s="55"/>
      <c r="P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BA96" s="55"/>
      <c r="BB96" s="55"/>
      <c r="BC96" s="55"/>
      <c r="BE96" s="55"/>
      <c r="BF96" s="55"/>
    </row>
    <row r="97" spans="2:58" ht="15.75" x14ac:dyDescent="0.25">
      <c r="B97" s="3"/>
      <c r="G97" s="55"/>
      <c r="H97" s="55"/>
      <c r="I97" s="55"/>
      <c r="J97" s="55"/>
      <c r="K97" s="55"/>
      <c r="L97" s="59"/>
      <c r="M97" s="55"/>
      <c r="N97" s="55"/>
      <c r="O97" s="55"/>
      <c r="P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BA97" s="55"/>
      <c r="BB97" s="55"/>
      <c r="BC97" s="55"/>
      <c r="BE97" s="55"/>
      <c r="BF97" s="55"/>
    </row>
    <row r="98" spans="2:58" ht="15.75" x14ac:dyDescent="0.25">
      <c r="B98" s="3"/>
      <c r="G98" s="55"/>
      <c r="H98" s="55"/>
      <c r="I98" s="55"/>
      <c r="J98" s="55"/>
      <c r="K98" s="55"/>
      <c r="L98" s="59"/>
      <c r="M98" s="55"/>
      <c r="N98" s="55"/>
      <c r="O98" s="55"/>
      <c r="P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BA98" s="55"/>
      <c r="BB98" s="55"/>
      <c r="BC98" s="55"/>
      <c r="BE98" s="55"/>
      <c r="BF98" s="55"/>
    </row>
    <row r="99" spans="2:58" ht="15.75" x14ac:dyDescent="0.25">
      <c r="B99" s="3"/>
      <c r="G99" s="55"/>
      <c r="H99" s="55"/>
      <c r="I99" s="55"/>
      <c r="J99" s="55"/>
      <c r="K99" s="55"/>
      <c r="L99" s="59"/>
      <c r="M99" s="55"/>
      <c r="N99" s="55"/>
      <c r="O99" s="55"/>
      <c r="P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BA99" s="55"/>
      <c r="BB99" s="55"/>
      <c r="BC99" s="55"/>
      <c r="BE99" s="55"/>
      <c r="BF99" s="55"/>
    </row>
    <row r="100" spans="2:58" ht="15.75" x14ac:dyDescent="0.25">
      <c r="B100" s="3"/>
      <c r="G100" s="55"/>
      <c r="H100" s="55"/>
      <c r="I100" s="55"/>
      <c r="J100" s="55"/>
      <c r="K100" s="55"/>
      <c r="L100" s="59"/>
      <c r="M100" s="55"/>
      <c r="N100" s="55"/>
      <c r="O100" s="55"/>
      <c r="P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BA100" s="55"/>
      <c r="BB100" s="55"/>
      <c r="BC100" s="55"/>
      <c r="BE100" s="55"/>
      <c r="BF100" s="55"/>
    </row>
    <row r="101" spans="2:58" ht="15.75" x14ac:dyDescent="0.25">
      <c r="B101" s="3"/>
      <c r="G101" s="55"/>
      <c r="H101" s="55"/>
      <c r="I101" s="55"/>
      <c r="J101" s="55"/>
      <c r="K101" s="55"/>
      <c r="L101" s="59"/>
      <c r="M101" s="55"/>
      <c r="N101" s="55"/>
      <c r="O101" s="55"/>
      <c r="P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BA101" s="55"/>
      <c r="BB101" s="55"/>
      <c r="BC101" s="55"/>
      <c r="BE101" s="55"/>
      <c r="BF101" s="55"/>
    </row>
    <row r="102" spans="2:58" ht="15.75" x14ac:dyDescent="0.25">
      <c r="B102" s="3"/>
      <c r="G102" s="55"/>
      <c r="H102" s="55"/>
      <c r="I102" s="55"/>
      <c r="J102" s="55"/>
      <c r="K102" s="55"/>
      <c r="L102" s="59"/>
      <c r="M102" s="55"/>
      <c r="N102" s="55"/>
      <c r="O102" s="55"/>
      <c r="P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BA102" s="55"/>
      <c r="BB102" s="55"/>
      <c r="BC102" s="55"/>
      <c r="BE102" s="55"/>
      <c r="BF102" s="55"/>
    </row>
    <row r="103" spans="2:58" ht="24" customHeight="1" x14ac:dyDescent="0.2">
      <c r="G103" s="55"/>
      <c r="H103" s="55"/>
      <c r="I103" s="55"/>
      <c r="J103" s="55"/>
      <c r="K103" s="55"/>
      <c r="L103" s="59"/>
      <c r="M103" s="55"/>
      <c r="N103" s="55"/>
      <c r="O103" s="55"/>
      <c r="P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BA103" s="55"/>
      <c r="BB103" s="55"/>
      <c r="BC103" s="55"/>
      <c r="BE103" s="55"/>
      <c r="BF103" s="55"/>
    </row>
    <row r="104" spans="2:58" x14ac:dyDescent="0.2">
      <c r="G104" s="55"/>
      <c r="H104" s="55"/>
      <c r="I104" s="55"/>
      <c r="J104" s="55"/>
      <c r="K104" s="55"/>
      <c r="L104" s="59"/>
      <c r="M104" s="55"/>
      <c r="N104" s="55"/>
      <c r="O104" s="55"/>
      <c r="P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BA104" s="55"/>
      <c r="BB104" s="55"/>
      <c r="BC104" s="55"/>
      <c r="BE104" s="55"/>
      <c r="BF104" s="55"/>
    </row>
    <row r="105" spans="2:58" x14ac:dyDescent="0.2">
      <c r="G105" s="55"/>
      <c r="H105" s="55"/>
      <c r="I105" s="55"/>
      <c r="J105" s="55"/>
      <c r="K105" s="55"/>
      <c r="L105" s="59"/>
      <c r="M105" s="55"/>
      <c r="N105" s="55"/>
      <c r="O105" s="55"/>
      <c r="P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BA105" s="55"/>
      <c r="BB105" s="55"/>
      <c r="BC105" s="55"/>
      <c r="BE105" s="55"/>
      <c r="BF105" s="55"/>
    </row>
    <row r="106" spans="2:58" x14ac:dyDescent="0.2">
      <c r="C106" s="60"/>
      <c r="D106" s="34"/>
      <c r="G106" s="55"/>
      <c r="H106" s="55"/>
      <c r="I106" s="55"/>
      <c r="J106" s="55"/>
      <c r="K106" s="55"/>
      <c r="L106" s="59"/>
      <c r="M106" s="55"/>
      <c r="N106" s="55"/>
      <c r="O106" s="55"/>
      <c r="P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BA106" s="55"/>
      <c r="BB106" s="55"/>
      <c r="BC106" s="55"/>
      <c r="BE106" s="55"/>
      <c r="BF106" s="55"/>
    </row>
    <row r="107" spans="2:58" x14ac:dyDescent="0.2">
      <c r="G107" s="55"/>
      <c r="H107" s="55"/>
      <c r="I107" s="55"/>
      <c r="J107" s="55"/>
      <c r="K107" s="55"/>
      <c r="L107" s="59"/>
      <c r="M107" s="55"/>
      <c r="N107" s="55"/>
      <c r="O107" s="55"/>
      <c r="P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BA107" s="55"/>
      <c r="BB107" s="55"/>
      <c r="BC107" s="55"/>
      <c r="BE107" s="55"/>
      <c r="BF107" s="55"/>
    </row>
    <row r="108" spans="2:58" x14ac:dyDescent="0.2">
      <c r="G108" s="55"/>
      <c r="H108" s="55"/>
      <c r="I108" s="55"/>
      <c r="J108" s="55"/>
      <c r="K108" s="55"/>
      <c r="L108" s="59"/>
      <c r="M108" s="55"/>
      <c r="N108" s="55"/>
      <c r="O108" s="55"/>
      <c r="P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BA108" s="55"/>
      <c r="BB108" s="55"/>
      <c r="BC108" s="55"/>
      <c r="BE108" s="55"/>
      <c r="BF108" s="55"/>
    </row>
    <row r="109" spans="2:58" x14ac:dyDescent="0.2">
      <c r="G109" s="55"/>
      <c r="H109" s="55"/>
      <c r="I109" s="55"/>
      <c r="J109" s="55"/>
      <c r="K109" s="55"/>
      <c r="L109" s="59"/>
      <c r="M109" s="55"/>
      <c r="N109" s="55"/>
      <c r="O109" s="55"/>
      <c r="P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BA109" s="55"/>
      <c r="BB109" s="55"/>
      <c r="BC109" s="55"/>
      <c r="BE109" s="55"/>
      <c r="BF109" s="55"/>
    </row>
    <row r="110" spans="2:58" x14ac:dyDescent="0.2">
      <c r="G110" s="55"/>
      <c r="H110" s="55"/>
      <c r="I110" s="55"/>
      <c r="J110" s="55"/>
      <c r="K110" s="55"/>
      <c r="L110" s="59"/>
      <c r="M110" s="55"/>
      <c r="N110" s="55"/>
      <c r="O110" s="55"/>
      <c r="P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BA110" s="55"/>
      <c r="BB110" s="55"/>
      <c r="BC110" s="55"/>
      <c r="BE110" s="55"/>
      <c r="BF110" s="55"/>
    </row>
    <row r="111" spans="2:58" x14ac:dyDescent="0.2">
      <c r="G111" s="55"/>
      <c r="H111" s="55"/>
      <c r="I111" s="55"/>
      <c r="J111" s="55"/>
      <c r="K111" s="55"/>
      <c r="L111" s="59"/>
      <c r="M111" s="55"/>
      <c r="N111" s="55"/>
      <c r="O111" s="55"/>
      <c r="P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BA111" s="55"/>
      <c r="BB111" s="55"/>
      <c r="BC111" s="55"/>
      <c r="BE111" s="55"/>
      <c r="BF111" s="55"/>
    </row>
    <row r="112" spans="2:58" x14ac:dyDescent="0.2">
      <c r="G112" s="55"/>
      <c r="H112" s="55"/>
      <c r="I112" s="55"/>
      <c r="J112" s="55"/>
      <c r="K112" s="55"/>
      <c r="L112" s="59"/>
      <c r="M112" s="55"/>
      <c r="N112" s="55"/>
      <c r="O112" s="55"/>
      <c r="P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BA112" s="55"/>
      <c r="BB112" s="55"/>
      <c r="BC112" s="55"/>
      <c r="BE112" s="55"/>
      <c r="BF112" s="55"/>
    </row>
    <row r="113" spans="7:58" s="2479" customFormat="1" x14ac:dyDescent="0.2">
      <c r="G113" s="55"/>
      <c r="H113" s="55"/>
      <c r="I113" s="55"/>
      <c r="J113" s="55"/>
      <c r="K113" s="55"/>
      <c r="L113" s="59"/>
      <c r="M113" s="55"/>
      <c r="N113" s="55"/>
      <c r="O113" s="55"/>
      <c r="P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BA113" s="55"/>
      <c r="BB113" s="55"/>
      <c r="BC113" s="55"/>
      <c r="BE113" s="55"/>
      <c r="BF113" s="55"/>
    </row>
    <row r="114" spans="7:58" s="2479" customFormat="1" x14ac:dyDescent="0.2">
      <c r="G114" s="55"/>
      <c r="H114" s="55"/>
      <c r="I114" s="55"/>
      <c r="J114" s="55"/>
      <c r="K114" s="55"/>
      <c r="L114" s="59"/>
      <c r="M114" s="55"/>
      <c r="N114" s="55"/>
      <c r="O114" s="55"/>
      <c r="P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BA114" s="55"/>
      <c r="BB114" s="55"/>
      <c r="BC114" s="55"/>
      <c r="BE114" s="55"/>
      <c r="BF114" s="55"/>
    </row>
    <row r="115" spans="7:58" s="2479" customFormat="1" x14ac:dyDescent="0.2">
      <c r="G115" s="55"/>
      <c r="H115" s="55"/>
      <c r="I115" s="55"/>
      <c r="J115" s="55"/>
      <c r="K115" s="55"/>
      <c r="L115" s="59"/>
      <c r="M115" s="55"/>
      <c r="N115" s="55"/>
      <c r="O115" s="55"/>
      <c r="P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BA115" s="55"/>
      <c r="BB115" s="55"/>
      <c r="BC115" s="55"/>
      <c r="BE115" s="55"/>
      <c r="BF115" s="55"/>
    </row>
    <row r="116" spans="7:58" s="2479" customFormat="1" x14ac:dyDescent="0.2">
      <c r="G116" s="55"/>
      <c r="H116" s="55"/>
      <c r="I116" s="55"/>
      <c r="J116" s="55"/>
      <c r="K116" s="55"/>
      <c r="L116" s="59"/>
      <c r="M116" s="55"/>
      <c r="N116" s="55"/>
      <c r="O116" s="55"/>
      <c r="P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BA116" s="55"/>
      <c r="BB116" s="55"/>
      <c r="BC116" s="55"/>
      <c r="BE116" s="55"/>
      <c r="BF116" s="55"/>
    </row>
    <row r="117" spans="7:58" s="2479" customFormat="1" x14ac:dyDescent="0.2">
      <c r="G117" s="55"/>
      <c r="H117" s="55"/>
      <c r="I117" s="55"/>
      <c r="J117" s="55"/>
      <c r="K117" s="55"/>
      <c r="L117" s="59"/>
      <c r="M117" s="55"/>
      <c r="N117" s="55"/>
      <c r="O117" s="55"/>
      <c r="P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BA117" s="55"/>
      <c r="BB117" s="55"/>
      <c r="BC117" s="55"/>
      <c r="BE117" s="55"/>
      <c r="BF117" s="55"/>
    </row>
    <row r="118" spans="7:58" s="2479" customFormat="1" x14ac:dyDescent="0.2">
      <c r="G118" s="55"/>
      <c r="H118" s="55"/>
      <c r="I118" s="55"/>
      <c r="J118" s="55"/>
      <c r="K118" s="55"/>
      <c r="L118" s="59"/>
      <c r="M118" s="55"/>
      <c r="N118" s="55"/>
      <c r="O118" s="55"/>
      <c r="P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BA118" s="55"/>
      <c r="BB118" s="55"/>
      <c r="BC118" s="55"/>
      <c r="BE118" s="55"/>
      <c r="BF118" s="55"/>
    </row>
    <row r="119" spans="7:58" s="2479" customFormat="1" x14ac:dyDescent="0.2">
      <c r="G119" s="55"/>
      <c r="H119" s="55"/>
      <c r="I119" s="55"/>
      <c r="J119" s="55"/>
      <c r="K119" s="55"/>
      <c r="L119" s="59"/>
      <c r="M119" s="55"/>
      <c r="N119" s="55"/>
      <c r="O119" s="55"/>
      <c r="P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BA119" s="55"/>
      <c r="BB119" s="55"/>
      <c r="BC119" s="55"/>
      <c r="BE119" s="55"/>
      <c r="BF119" s="55"/>
    </row>
    <row r="120" spans="7:58" s="2479" customFormat="1" x14ac:dyDescent="0.2">
      <c r="G120" s="55"/>
      <c r="H120" s="55"/>
      <c r="I120" s="55"/>
      <c r="J120" s="55"/>
      <c r="K120" s="55"/>
      <c r="L120" s="59"/>
      <c r="M120" s="55"/>
      <c r="N120" s="55"/>
      <c r="O120" s="55"/>
      <c r="P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BA120" s="55"/>
      <c r="BB120" s="55"/>
      <c r="BC120" s="55"/>
      <c r="BE120" s="55"/>
      <c r="BF120" s="55"/>
    </row>
    <row r="121" spans="7:58" s="2479" customFormat="1" x14ac:dyDescent="0.2">
      <c r="G121" s="55"/>
      <c r="H121" s="55"/>
      <c r="I121" s="55"/>
      <c r="J121" s="55"/>
      <c r="K121" s="55"/>
      <c r="L121" s="59"/>
      <c r="M121" s="55"/>
      <c r="N121" s="55"/>
      <c r="O121" s="55"/>
      <c r="P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BA121" s="55"/>
      <c r="BB121" s="55"/>
      <c r="BC121" s="55"/>
      <c r="BE121" s="55"/>
      <c r="BF121" s="55"/>
    </row>
    <row r="122" spans="7:58" s="2479" customFormat="1" x14ac:dyDescent="0.2">
      <c r="G122" s="55"/>
      <c r="H122" s="55"/>
      <c r="I122" s="55"/>
      <c r="J122" s="55"/>
      <c r="K122" s="55"/>
      <c r="L122" s="59"/>
      <c r="M122" s="55"/>
      <c r="N122" s="55"/>
      <c r="O122" s="55"/>
      <c r="P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BA122" s="55"/>
      <c r="BB122" s="55"/>
      <c r="BC122" s="55"/>
      <c r="BE122" s="55"/>
      <c r="BF122" s="55"/>
    </row>
    <row r="123" spans="7:58" s="2479" customFormat="1" x14ac:dyDescent="0.2">
      <c r="G123" s="55"/>
      <c r="H123" s="55"/>
      <c r="I123" s="55"/>
      <c r="J123" s="55"/>
      <c r="K123" s="55"/>
      <c r="L123" s="59"/>
      <c r="M123" s="55"/>
      <c r="N123" s="55"/>
      <c r="O123" s="55"/>
      <c r="P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BA123" s="55"/>
      <c r="BB123" s="55"/>
      <c r="BC123" s="55"/>
      <c r="BE123" s="55"/>
      <c r="BF123" s="55"/>
    </row>
    <row r="124" spans="7:58" s="2479" customFormat="1" x14ac:dyDescent="0.2">
      <c r="G124" s="55"/>
      <c r="H124" s="55"/>
      <c r="I124" s="55"/>
      <c r="J124" s="55"/>
      <c r="K124" s="55"/>
      <c r="L124" s="59"/>
      <c r="M124" s="55"/>
      <c r="N124" s="55"/>
      <c r="O124" s="55"/>
      <c r="P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BA124" s="55"/>
      <c r="BB124" s="55"/>
      <c r="BC124" s="55"/>
      <c r="BE124" s="55"/>
      <c r="BF124" s="55"/>
    </row>
    <row r="125" spans="7:58" s="2479" customFormat="1" x14ac:dyDescent="0.2">
      <c r="G125" s="55"/>
      <c r="H125" s="55"/>
      <c r="I125" s="55"/>
      <c r="J125" s="55"/>
      <c r="K125" s="55"/>
      <c r="L125" s="59"/>
      <c r="M125" s="55"/>
      <c r="N125" s="55"/>
      <c r="O125" s="55"/>
      <c r="P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BA125" s="55"/>
      <c r="BB125" s="55"/>
      <c r="BC125" s="55"/>
      <c r="BE125" s="55"/>
      <c r="BF125" s="55"/>
    </row>
    <row r="126" spans="7:58" s="2479" customFormat="1" x14ac:dyDescent="0.2">
      <c r="G126" s="55"/>
      <c r="H126" s="55"/>
      <c r="I126" s="55"/>
      <c r="J126" s="55"/>
      <c r="K126" s="55"/>
      <c r="L126" s="59"/>
      <c r="M126" s="55"/>
      <c r="N126" s="55"/>
      <c r="O126" s="55"/>
      <c r="P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BA126" s="55"/>
      <c r="BB126" s="55"/>
      <c r="BC126" s="55"/>
      <c r="BE126" s="55"/>
      <c r="BF126" s="55"/>
    </row>
    <row r="127" spans="7:58" s="2479" customFormat="1" x14ac:dyDescent="0.2">
      <c r="G127" s="55"/>
      <c r="H127" s="55"/>
      <c r="I127" s="55"/>
      <c r="J127" s="55"/>
      <c r="K127" s="55"/>
      <c r="L127" s="59"/>
      <c r="M127" s="55"/>
      <c r="N127" s="55"/>
      <c r="O127" s="55"/>
      <c r="P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BA127" s="55"/>
      <c r="BB127" s="55"/>
      <c r="BC127" s="55"/>
      <c r="BE127" s="55"/>
      <c r="BF127" s="55"/>
    </row>
    <row r="128" spans="7:58" s="2479" customFormat="1" x14ac:dyDescent="0.2">
      <c r="G128" s="55"/>
      <c r="H128" s="55"/>
      <c r="I128" s="55"/>
      <c r="J128" s="55"/>
      <c r="K128" s="55"/>
      <c r="L128" s="59"/>
      <c r="M128" s="55"/>
      <c r="N128" s="55"/>
      <c r="O128" s="55"/>
      <c r="P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BA128" s="55"/>
      <c r="BB128" s="55"/>
      <c r="BC128" s="55"/>
      <c r="BE128" s="55"/>
      <c r="BF128" s="55"/>
    </row>
    <row r="129" spans="7:58" s="2479" customFormat="1" x14ac:dyDescent="0.2">
      <c r="G129" s="55"/>
      <c r="H129" s="55"/>
      <c r="I129" s="55"/>
      <c r="J129" s="55"/>
      <c r="K129" s="55"/>
      <c r="L129" s="59"/>
      <c r="M129" s="55"/>
      <c r="N129" s="55"/>
      <c r="O129" s="55"/>
      <c r="P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BA129" s="55"/>
      <c r="BB129" s="55"/>
      <c r="BC129" s="55"/>
      <c r="BE129" s="55"/>
      <c r="BF129" s="55"/>
    </row>
  </sheetData>
  <pageMargins left="0.25" right="0.25" top="0.75" bottom="0.75" header="0.3" footer="0.3"/>
  <pageSetup orientation="portrait" horizontalDpi="1200" verticalDpi="1200" r:id="rId1"/>
  <headerFooter>
    <oddFooter>&amp;L&amp;"+,Regular"Pathways to 2050 -- Energy Flow Model&amp;R&amp;"+,Regular"&amp;F  |  This version printed &amp;D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autoPageBreaks="0"/>
  </sheetPr>
  <dimension ref="A1:CW129"/>
  <sheetViews>
    <sheetView windowProtection="1" zoomScale="106" zoomScaleNormal="106" workbookViewId="0"/>
  </sheetViews>
  <sheetFormatPr defaultColWidth="8.7109375" defaultRowHeight="12.75" outlineLevelRow="2" outlineLevelCol="2" x14ac:dyDescent="0.2"/>
  <cols>
    <col min="1" max="1" width="1.7109375" style="2479" customWidth="1"/>
    <col min="2" max="2" width="1.42578125" style="2479" customWidth="1"/>
    <col min="3" max="3" width="4.42578125" style="50" customWidth="1"/>
    <col min="4" max="4" width="6.7109375" style="51" customWidth="1"/>
    <col min="5" max="5" width="41.7109375" style="51" customWidth="1"/>
    <col min="6" max="6" width="1.140625" style="2479" customWidth="1" outlineLevel="1"/>
    <col min="7" max="11" width="10" style="51" customWidth="1" outlineLevel="2"/>
    <col min="12" max="12" width="10" style="65" customWidth="1" outlineLevel="2"/>
    <col min="13" max="15" width="10" style="51" customWidth="1" outlineLevel="2"/>
    <col min="16" max="16" width="10" style="51" customWidth="1" outlineLevel="1"/>
    <col min="17" max="17" width="1.140625" style="2479" customWidth="1" outlineLevel="1"/>
    <col min="18" max="33" width="10" style="51" customWidth="1" outlineLevel="2"/>
    <col min="34" max="34" width="10" style="51" customWidth="1" outlineLevel="1"/>
    <col min="35" max="35" width="1.140625" style="2479" customWidth="1" outlineLevel="1"/>
    <col min="36" max="50" width="10" style="51" customWidth="1" outlineLevel="2"/>
    <col min="51" max="51" width="10" style="51" customWidth="1" outlineLevel="1"/>
    <col min="52" max="52" width="1.140625" style="2479" customWidth="1" outlineLevel="1"/>
    <col min="53" max="54" width="10" style="51" customWidth="1" outlineLevel="2"/>
    <col min="55" max="55" width="10" style="51" customWidth="1" outlineLevel="1"/>
    <col min="56" max="56" width="1.140625" style="2479" customWidth="1" outlineLevel="1"/>
    <col min="57" max="57" width="11" style="51" customWidth="1" outlineLevel="1"/>
    <col min="58" max="58" width="5.28515625" style="51" customWidth="1"/>
    <col min="59" max="59" width="8.7109375" style="2479"/>
    <col min="60" max="99" width="7.42578125" style="2479" customWidth="1"/>
    <col min="100" max="100" width="2.42578125" style="2479" customWidth="1"/>
    <col min="101" max="16384" width="8.7109375" style="2479"/>
  </cols>
  <sheetData>
    <row r="1" spans="1:101" ht="6" customHeight="1" x14ac:dyDescent="0.2"/>
    <row r="2" spans="1:101" ht="21" customHeight="1" x14ac:dyDescent="0.2">
      <c r="D2" s="43"/>
      <c r="E2" s="252">
        <v>2020</v>
      </c>
      <c r="G2" s="2479"/>
      <c r="H2" s="2479"/>
      <c r="I2" s="2479"/>
      <c r="J2" s="2479"/>
      <c r="K2" s="2479"/>
      <c r="L2" s="2479"/>
      <c r="M2" s="2479"/>
      <c r="N2" s="2479"/>
      <c r="O2" s="2479"/>
      <c r="P2" s="2479"/>
      <c r="R2" s="2479"/>
      <c r="S2" s="2479"/>
      <c r="T2" s="2479"/>
      <c r="U2" s="2479"/>
      <c r="V2" s="2479"/>
      <c r="W2" s="2479"/>
      <c r="X2" s="2479"/>
      <c r="Y2" s="2479"/>
      <c r="Z2" s="2479"/>
      <c r="AA2" s="2479"/>
      <c r="AB2" s="2479"/>
      <c r="AC2" s="2479"/>
      <c r="AD2" s="2479"/>
      <c r="AE2" s="2479"/>
      <c r="AF2" s="2479"/>
      <c r="AG2" s="2479"/>
      <c r="AH2" s="2479"/>
      <c r="AJ2" s="2479"/>
      <c r="AK2" s="2479"/>
      <c r="AL2" s="2479"/>
      <c r="AM2" s="2479"/>
      <c r="AN2" s="2479"/>
      <c r="AO2" s="2479"/>
      <c r="AP2" s="2479"/>
      <c r="AQ2" s="2479"/>
      <c r="AR2" s="2479"/>
      <c r="AS2" s="2479"/>
      <c r="AT2" s="2479"/>
      <c r="AU2" s="2479"/>
      <c r="AV2" s="2479"/>
      <c r="AW2" s="2479"/>
      <c r="AX2" s="2479"/>
      <c r="AY2" s="2479"/>
      <c r="BA2" s="2479"/>
      <c r="BB2" s="2479"/>
      <c r="BC2" s="2479"/>
      <c r="BE2" s="2479"/>
      <c r="BF2" s="72"/>
    </row>
    <row r="3" spans="1:101" ht="39" customHeight="1" x14ac:dyDescent="0.2">
      <c r="A3" s="90"/>
      <c r="B3" s="90"/>
      <c r="C3" s="90"/>
      <c r="D3" s="44"/>
      <c r="E3" s="133" t="str">
        <f>Preferences.EnergyUnits</f>
        <v>TWh</v>
      </c>
      <c r="G3" s="281" t="s">
        <v>293</v>
      </c>
      <c r="H3" s="281"/>
      <c r="I3" s="281"/>
      <c r="J3" s="281"/>
      <c r="K3" s="281"/>
      <c r="L3" s="281"/>
      <c r="M3" s="281"/>
      <c r="N3" s="281"/>
      <c r="O3" s="281"/>
      <c r="P3" s="281"/>
      <c r="R3" s="375" t="s">
        <v>239</v>
      </c>
      <c r="S3" s="376"/>
      <c r="T3" s="376"/>
      <c r="U3" s="376"/>
      <c r="V3" s="376"/>
      <c r="W3" s="376"/>
      <c r="X3" s="380"/>
      <c r="Y3" s="376"/>
      <c r="Z3" s="376"/>
      <c r="AA3" s="376"/>
      <c r="AB3" s="376"/>
      <c r="AC3" s="376"/>
      <c r="AD3" s="376"/>
      <c r="AE3" s="376"/>
      <c r="AF3" s="376"/>
      <c r="AG3" s="376"/>
      <c r="AH3" s="379"/>
      <c r="AJ3" s="377" t="s">
        <v>481</v>
      </c>
      <c r="AK3" s="378"/>
      <c r="AL3" s="378"/>
      <c r="AM3" s="381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82"/>
      <c r="BA3" s="303" t="s">
        <v>387</v>
      </c>
      <c r="BB3" s="290"/>
      <c r="BC3" s="290"/>
      <c r="BE3" s="47"/>
      <c r="BF3" s="47"/>
      <c r="BG3" s="90"/>
      <c r="BH3" s="384" t="s">
        <v>485</v>
      </c>
      <c r="BI3" s="385"/>
      <c r="BJ3" s="385"/>
      <c r="BK3" s="385"/>
      <c r="BL3" s="385"/>
      <c r="BM3" s="385"/>
      <c r="BN3" s="385"/>
      <c r="BO3" s="385"/>
      <c r="BP3" s="385"/>
      <c r="BQ3" s="385"/>
      <c r="BR3" s="385"/>
      <c r="BS3" s="385"/>
      <c r="BT3" s="385"/>
      <c r="BU3" s="385"/>
      <c r="BV3" s="385"/>
      <c r="BW3" s="385"/>
      <c r="BX3" s="385"/>
      <c r="BY3" s="385"/>
      <c r="BZ3" s="385"/>
      <c r="CA3" s="385"/>
      <c r="CB3" s="385"/>
      <c r="CC3" s="385"/>
      <c r="CD3" s="385"/>
      <c r="CE3" s="385"/>
      <c r="CF3" s="385"/>
      <c r="CG3" s="385"/>
      <c r="CH3" s="385"/>
      <c r="CI3" s="385"/>
      <c r="CJ3" s="385"/>
      <c r="CK3" s="385"/>
      <c r="CL3" s="385"/>
      <c r="CM3" s="385"/>
      <c r="CN3" s="385"/>
      <c r="CO3" s="385"/>
      <c r="CP3" s="385"/>
      <c r="CQ3" s="385"/>
      <c r="CR3" s="514"/>
      <c r="CS3" s="514"/>
      <c r="CT3" s="514"/>
      <c r="CU3" s="514"/>
    </row>
    <row r="4" spans="1:101" ht="36.75" customHeight="1" x14ac:dyDescent="0.2">
      <c r="C4" s="48"/>
      <c r="D4" s="48"/>
      <c r="G4" s="253" t="str">
        <f>INDEX(Vectors[Description], MATCH(G$5,Vectors[Code],FALSE))</f>
        <v>Cooling</v>
      </c>
      <c r="H4" s="253" t="str">
        <f>INDEX(Vectors[Description], MATCH(H$5,Vectors[Code],FALSE))</f>
        <v>Lighting &amp; appliances</v>
      </c>
      <c r="I4" s="253" t="str">
        <f>INDEX(Vectors[Description], MATCH(I$5,Vectors[Code],FALSE))</f>
        <v>Cooking</v>
      </c>
      <c r="J4" s="253" t="str">
        <f>INDEX(Vectors[Description], MATCH(J$5,Vectors[Code],FALSE))</f>
        <v>Industry</v>
      </c>
      <c r="K4" s="253" t="str">
        <f>INDEX(Vectors[Description], MATCH(K$5,Vectors[Code],FALSE))</f>
        <v>Road transport</v>
      </c>
      <c r="L4" s="253" t="str">
        <f>INDEX(Vectors[Description], MATCH(L$5,Vectors[Code],FALSE))</f>
        <v>Rail transport</v>
      </c>
      <c r="M4" s="253" t="str">
        <f>INDEX(Vectors[Description], MATCH(M$5,Vectors[Code],FALSE))</f>
        <v>Domestic aviation</v>
      </c>
      <c r="N4" s="253" t="str">
        <f>INDEX(Vectors[Description], MATCH(N$5,Vectors[Code],FALSE))</f>
        <v>Berge</v>
      </c>
      <c r="O4" s="253" t="str">
        <f>INDEX(Vectors[Description], MATCH(O$5,Vectors[Code],FALSE))</f>
        <v>Pipeline</v>
      </c>
      <c r="P4" s="270" t="s">
        <v>391</v>
      </c>
      <c r="R4" s="254" t="str">
        <f>INDEX(Vectors[Description], MATCH(R$5,Vectors[Code],FALSE))</f>
        <v>Electricity (delivered to end user)</v>
      </c>
      <c r="S4" s="254" t="str">
        <f>INDEX(Vectors[Description], MATCH(S$5,Vectors[Code],FALSE))</f>
        <v>Electricity (supplied to grid)</v>
      </c>
      <c r="T4" s="254" t="str">
        <f>INDEX(Vectors[Description], MATCH(T$5,Vectors[Code],FALSE))</f>
        <v>Solid hydrocarbons</v>
      </c>
      <c r="U4" s="254" t="str">
        <f>INDEX(Vectors[Description], MATCH(U$5,Vectors[Code],FALSE))</f>
        <v>Liquid hydrocarbons</v>
      </c>
      <c r="V4" s="254" t="str">
        <f>INDEX(Vectors[Description], MATCH(V$5,Vectors[Code],FALSE))</f>
        <v>Gaseous hydrocarbons</v>
      </c>
      <c r="W4" s="254" t="str">
        <f>INDEX(Vectors[Description], MATCH(W$5,Vectors[Code],FALSE))</f>
        <v>Traditional Fuel</v>
      </c>
      <c r="X4" s="254" t="str">
        <f>INDEX(Vectors[Description], MATCH(X$5,Vectors[Code],FALSE))</f>
        <v>Coal and fossil waste</v>
      </c>
      <c r="Y4" s="254" t="str">
        <f>INDEX(Vectors[Description], MATCH(Y$5,Vectors[Code],FALSE))</f>
        <v>Oil and petroleum products</v>
      </c>
      <c r="Z4" s="254" t="str">
        <f>INDEX(Vectors[Description], MATCH(Z$5,Vectors[Code],FALSE))</f>
        <v>Natural gas</v>
      </c>
      <c r="AA4" s="254" t="str">
        <f>INDEX(Vectors[Description], MATCH(AA$5,Vectors[Code],FALSE))</f>
        <v>Blast furnace gas</v>
      </c>
      <c r="AB4" s="254" t="str">
        <f>INDEX(Vectors[Description], MATCH(AB$5,Vectors[Code],FALSE))</f>
        <v>Edible biomass</v>
      </c>
      <c r="AC4" s="254" t="str">
        <f>INDEX(Vectors[Description], MATCH(AC$5,Vectors[Code],FALSE))</f>
        <v>Energy crops (second generation)</v>
      </c>
      <c r="AD4" s="254" t="str">
        <f>INDEX(Vectors[Description], MATCH(AD$5,Vectors[Code],FALSE))</f>
        <v>Energy crops (first generation)</v>
      </c>
      <c r="AE4" s="254" t="str">
        <f>INDEX(Vectors[Description], MATCH(AE$5,Vectors[Code],FALSE))</f>
        <v>Dry biomass and waste</v>
      </c>
      <c r="AF4" s="254" t="str">
        <f>INDEX(Vectors[Description], MATCH(AF$5,Vectors[Code],FALSE))</f>
        <v>Wet biomass and waste</v>
      </c>
      <c r="AG4" s="254" t="str">
        <f>INDEX(Vectors[Description], MATCH(AG$5,Vectors[Code],FALSE))</f>
        <v>Gaseous waste</v>
      </c>
      <c r="AH4" s="284" t="s">
        <v>237</v>
      </c>
      <c r="AJ4" s="268" t="str">
        <f>INDEX(Vectors[Description], MATCH(AJ$5,Vectors[Code],FALSE))</f>
        <v>Coal reserves</v>
      </c>
      <c r="AK4" s="268" t="str">
        <f>INDEX(Vectors[Description], MATCH(AK$5,Vectors[Code],FALSE))</f>
        <v>Oil reserves</v>
      </c>
      <c r="AL4" s="268" t="str">
        <f>INDEX(Vectors[Description], MATCH(AL$5,Vectors[Code],FALSE))</f>
        <v>Gas reserves</v>
      </c>
      <c r="AM4" s="268" t="str">
        <f>INDEX(Vectors[Description], MATCH(AM$5,Vectors[Code],FALSE))</f>
        <v>Biomass oversupply (imports)</v>
      </c>
      <c r="AN4" s="268" t="str">
        <f>INDEX(Vectors[Description], MATCH(AN$5,Vectors[Code],FALSE))</f>
        <v>Electricity oversupply (imports)</v>
      </c>
      <c r="AO4" s="268" t="str">
        <f>INDEX(Vectors[Description], MATCH(AO$5,Vectors[Code],FALSE))</f>
        <v>Petroleum products oversupply</v>
      </c>
      <c r="AP4" s="268" t="str">
        <f>INDEX(Vectors[Description], MATCH(AP$5,Vectors[Code],FALSE))</f>
        <v>Coal oversupply (imports)</v>
      </c>
      <c r="AQ4" s="268" t="str">
        <f>INDEX(Vectors[Description], MATCH(AQ$5,Vectors[Code],FALSE))</f>
        <v>Oil and petroleum products oversupply (imports)</v>
      </c>
      <c r="AR4" s="268" t="str">
        <f>INDEX(Vectors[Description], MATCH(AR$5,Vectors[Code],FALSE))</f>
        <v>Gas oversupply (imports)</v>
      </c>
      <c r="AS4" s="268" t="str">
        <f>INDEX(Vectors[Description], MATCH(AS$5,Vectors[Code],FALSE))</f>
        <v>Nuclear fission</v>
      </c>
      <c r="AT4" s="268" t="str">
        <f>INDEX(Vectors[Description], MATCH(AT$5,Vectors[Code],FALSE))</f>
        <v>Solar</v>
      </c>
      <c r="AU4" s="268" t="str">
        <f>INDEX(Vectors[Description], MATCH(AU$5,Vectors[Code],FALSE))</f>
        <v>Wind</v>
      </c>
      <c r="AV4" s="268" t="str">
        <f>INDEX(Vectors[Description], MATCH(AV$5,Vectors[Code],FALSE))</f>
        <v>Hydro</v>
      </c>
      <c r="AW4" s="268" t="str">
        <f>INDEX(Vectors[Description], MATCH(AW$5,Vectors[Code],FALSE))</f>
        <v>Agriculture</v>
      </c>
      <c r="AX4" s="268" t="str">
        <f>INDEX(Vectors[Description], MATCH(AX$5,Vectors[Code],FALSE))</f>
        <v>Waste</v>
      </c>
      <c r="AY4" s="286" t="s">
        <v>238</v>
      </c>
      <c r="BA4" s="273" t="str">
        <f>INDEX(Vectors[Description], MATCH(BA$5,Vectors[Code],FALSE))</f>
        <v>Conversion losses</v>
      </c>
      <c r="BB4" s="273" t="str">
        <f>INDEX(Vectors[Description], MATCH(BB$5,Vectors[Code],FALSE))</f>
        <v>Distribution losses and own use</v>
      </c>
      <c r="BC4" s="288" t="s">
        <v>386</v>
      </c>
      <c r="BE4" s="49" t="str">
        <f>INDEX(Vectors[Description], MATCH(BE$5,Vectors[Code],FALSE))</f>
        <v>Unallocated</v>
      </c>
      <c r="BF4" s="49"/>
      <c r="BH4" s="389" t="str">
        <f>INDEX(IPCC[Sector_description], MATCH(BH$5, IPCC[Sector_code], 0))</f>
        <v>Fuel Combustion</v>
      </c>
      <c r="BI4" s="390"/>
      <c r="BJ4" s="390"/>
      <c r="BK4" s="391"/>
      <c r="BL4" s="389" t="str">
        <f>INDEX(IPCC[Sector_description], MATCH(BL$5, IPCC[Sector_code], 0))</f>
        <v>Fugitive Emissions from Fuels</v>
      </c>
      <c r="BM4" s="390"/>
      <c r="BN4" s="390"/>
      <c r="BO4" s="391"/>
      <c r="BP4" s="389" t="str">
        <f>INDEX(IPCC[Sector_description], MATCH(BP$5, IPCC[Sector_code], 0))</f>
        <v>Industrial Processes</v>
      </c>
      <c r="BQ4" s="390"/>
      <c r="BR4" s="390"/>
      <c r="BS4" s="391"/>
      <c r="BT4" s="389" t="str">
        <f>INDEX(IPCC[Sector_description], MATCH(BT$5, IPCC[Sector_code], 0))</f>
        <v>Solvent and Other Product Use</v>
      </c>
      <c r="BU4" s="390"/>
      <c r="BV4" s="390"/>
      <c r="BW4" s="391"/>
      <c r="BX4" s="389" t="str">
        <f>INDEX(IPCC[Sector_description], MATCH(BX$5, IPCC[Sector_code], 0))</f>
        <v>Agriculture</v>
      </c>
      <c r="BY4" s="390"/>
      <c r="BZ4" s="390"/>
      <c r="CA4" s="391"/>
      <c r="CB4" s="389" t="str">
        <f>INDEX(IPCC[Sector_description], MATCH(CB$5, IPCC[Sector_code], 0))</f>
        <v>LULUCF</v>
      </c>
      <c r="CC4" s="390"/>
      <c r="CD4" s="390"/>
      <c r="CE4" s="391"/>
      <c r="CF4" s="389" t="str">
        <f>INDEX(IPCC[Sector_description], MATCH(CF$5, IPCC[Sector_code], 0))</f>
        <v>Waste</v>
      </c>
      <c r="CG4" s="390"/>
      <c r="CH4" s="390"/>
      <c r="CI4" s="391"/>
      <c r="CJ4" s="389" t="str">
        <f>INDEX(IPCC[Sector_description], MATCH(CJ$5, IPCC[Sector_code], 0))</f>
        <v>Other</v>
      </c>
      <c r="CK4" s="390"/>
      <c r="CL4" s="390"/>
      <c r="CM4" s="391"/>
      <c r="CN4" s="389" t="str">
        <f>INDEX(IPCC[Sector_description], MATCH(CN$5, IPCC[Sector_code], 0))</f>
        <v>Bioenergy credit</v>
      </c>
      <c r="CO4" s="390"/>
      <c r="CP4" s="390"/>
      <c r="CQ4" s="391"/>
      <c r="CR4" s="389" t="str">
        <f>INDEX(IPCC[Sector_description], MATCH(CR$5, IPCC[Sector_code], 0))</f>
        <v>Carbon capture</v>
      </c>
      <c r="CS4" s="390"/>
      <c r="CT4" s="390"/>
      <c r="CU4" s="391"/>
      <c r="CW4" s="539" t="s">
        <v>105</v>
      </c>
    </row>
    <row r="5" spans="1:101" x14ac:dyDescent="0.2">
      <c r="D5" s="239" t="s">
        <v>117</v>
      </c>
      <c r="G5" s="271" t="s">
        <v>5</v>
      </c>
      <c r="H5" s="271" t="s">
        <v>44</v>
      </c>
      <c r="I5" s="271" t="s">
        <v>2205</v>
      </c>
      <c r="J5" s="271" t="s">
        <v>9</v>
      </c>
      <c r="K5" s="271" t="s">
        <v>28</v>
      </c>
      <c r="L5" s="271" t="s">
        <v>29</v>
      </c>
      <c r="M5" s="271" t="s">
        <v>30</v>
      </c>
      <c r="N5" s="271" t="s">
        <v>31</v>
      </c>
      <c r="O5" s="271" t="s">
        <v>2336</v>
      </c>
      <c r="P5" s="271"/>
      <c r="R5" s="272" t="s">
        <v>34</v>
      </c>
      <c r="S5" s="272" t="s">
        <v>35</v>
      </c>
      <c r="T5" s="272" t="s">
        <v>36</v>
      </c>
      <c r="U5" s="272" t="s">
        <v>38</v>
      </c>
      <c r="V5" s="272" t="s">
        <v>39</v>
      </c>
      <c r="W5" s="272" t="s">
        <v>2184</v>
      </c>
      <c r="X5" s="272" t="s">
        <v>51</v>
      </c>
      <c r="Y5" s="272" t="s">
        <v>52</v>
      </c>
      <c r="Z5" s="272" t="s">
        <v>53</v>
      </c>
      <c r="AA5" s="272" t="s">
        <v>92</v>
      </c>
      <c r="AB5" s="272" t="s">
        <v>295</v>
      </c>
      <c r="AC5" s="272" t="s">
        <v>871</v>
      </c>
      <c r="AD5" s="272" t="s">
        <v>1161</v>
      </c>
      <c r="AE5" s="272" t="s">
        <v>296</v>
      </c>
      <c r="AF5" s="272" t="s">
        <v>383</v>
      </c>
      <c r="AG5" s="272" t="s">
        <v>1164</v>
      </c>
      <c r="AH5" s="272"/>
      <c r="AJ5" s="269" t="s">
        <v>425</v>
      </c>
      <c r="AK5" s="269" t="s">
        <v>426</v>
      </c>
      <c r="AL5" s="269" t="s">
        <v>427</v>
      </c>
      <c r="AM5" s="269" t="s">
        <v>46</v>
      </c>
      <c r="AN5" s="269" t="s">
        <v>47</v>
      </c>
      <c r="AO5" s="269" t="s">
        <v>323</v>
      </c>
      <c r="AP5" s="269" t="s">
        <v>417</v>
      </c>
      <c r="AQ5" s="269" t="s">
        <v>418</v>
      </c>
      <c r="AR5" s="269" t="s">
        <v>419</v>
      </c>
      <c r="AS5" s="269" t="s">
        <v>6</v>
      </c>
      <c r="AT5" s="269" t="s">
        <v>25</v>
      </c>
      <c r="AU5" s="269" t="s">
        <v>7</v>
      </c>
      <c r="AV5" s="269" t="s">
        <v>8</v>
      </c>
      <c r="AW5" s="269" t="s">
        <v>451</v>
      </c>
      <c r="AX5" s="269" t="s">
        <v>42</v>
      </c>
      <c r="AY5" s="269"/>
      <c r="BA5" s="274" t="s">
        <v>26</v>
      </c>
      <c r="BB5" s="274" t="s">
        <v>27</v>
      </c>
      <c r="BC5" s="274"/>
      <c r="BE5" s="46" t="s">
        <v>48</v>
      </c>
      <c r="BF5" s="46"/>
      <c r="BH5" s="392" t="s">
        <v>483</v>
      </c>
      <c r="BI5" s="393" t="s">
        <v>483</v>
      </c>
      <c r="BJ5" s="393" t="s">
        <v>483</v>
      </c>
      <c r="BK5" s="394" t="s">
        <v>483</v>
      </c>
      <c r="BL5" s="392" t="s">
        <v>482</v>
      </c>
      <c r="BM5" s="393" t="s">
        <v>482</v>
      </c>
      <c r="BN5" s="393" t="s">
        <v>482</v>
      </c>
      <c r="BO5" s="394" t="s">
        <v>482</v>
      </c>
      <c r="BP5" s="392">
        <v>2</v>
      </c>
      <c r="BQ5" s="393">
        <v>2</v>
      </c>
      <c r="BR5" s="393">
        <v>2</v>
      </c>
      <c r="BS5" s="394">
        <v>2</v>
      </c>
      <c r="BT5" s="392">
        <v>3</v>
      </c>
      <c r="BU5" s="393">
        <v>3</v>
      </c>
      <c r="BV5" s="393">
        <v>3</v>
      </c>
      <c r="BW5" s="394">
        <v>3</v>
      </c>
      <c r="BX5" s="392">
        <v>4</v>
      </c>
      <c r="BY5" s="393">
        <v>4</v>
      </c>
      <c r="BZ5" s="393">
        <v>4</v>
      </c>
      <c r="CA5" s="394">
        <v>4</v>
      </c>
      <c r="CB5" s="392">
        <v>5</v>
      </c>
      <c r="CC5" s="393">
        <v>5</v>
      </c>
      <c r="CD5" s="393">
        <v>5</v>
      </c>
      <c r="CE5" s="394">
        <v>5</v>
      </c>
      <c r="CF5" s="392">
        <v>6</v>
      </c>
      <c r="CG5" s="393">
        <v>6</v>
      </c>
      <c r="CH5" s="393">
        <v>6</v>
      </c>
      <c r="CI5" s="394">
        <v>6</v>
      </c>
      <c r="CJ5" s="392">
        <v>7</v>
      </c>
      <c r="CK5" s="393">
        <v>7</v>
      </c>
      <c r="CL5" s="393">
        <v>7</v>
      </c>
      <c r="CM5" s="394">
        <v>7</v>
      </c>
      <c r="CN5" s="392" t="s">
        <v>469</v>
      </c>
      <c r="CO5" s="393" t="s">
        <v>469</v>
      </c>
      <c r="CP5" s="393" t="s">
        <v>469</v>
      </c>
      <c r="CQ5" s="394" t="s">
        <v>469</v>
      </c>
      <c r="CR5" s="392" t="s">
        <v>495</v>
      </c>
      <c r="CS5" s="393" t="s">
        <v>495</v>
      </c>
      <c r="CT5" s="393" t="s">
        <v>495</v>
      </c>
      <c r="CU5" s="394" t="s">
        <v>495</v>
      </c>
    </row>
    <row r="6" spans="1:101" ht="15.75" customHeight="1" x14ac:dyDescent="0.2">
      <c r="G6" s="242"/>
      <c r="H6" s="242"/>
      <c r="I6" s="242"/>
      <c r="J6" s="242"/>
      <c r="K6" s="242"/>
      <c r="L6" s="243"/>
      <c r="M6" s="242"/>
      <c r="N6" s="242"/>
      <c r="O6" s="242"/>
      <c r="P6" s="242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261"/>
      <c r="AV6" s="261"/>
      <c r="AW6" s="261"/>
      <c r="AX6" s="261"/>
      <c r="AY6" s="261"/>
      <c r="BA6" s="275"/>
      <c r="BB6" s="275"/>
      <c r="BC6" s="275"/>
      <c r="BE6" s="52"/>
      <c r="BF6" s="52"/>
      <c r="BH6" s="386" t="s">
        <v>473</v>
      </c>
      <c r="BI6" s="386" t="s">
        <v>474</v>
      </c>
      <c r="BJ6" s="386" t="s">
        <v>475</v>
      </c>
      <c r="BK6" s="386" t="s">
        <v>476</v>
      </c>
      <c r="BL6" s="386" t="s">
        <v>473</v>
      </c>
      <c r="BM6" s="386" t="s">
        <v>474</v>
      </c>
      <c r="BN6" s="386" t="s">
        <v>475</v>
      </c>
      <c r="BO6" s="386" t="s">
        <v>476</v>
      </c>
      <c r="BP6" s="386" t="s">
        <v>473</v>
      </c>
      <c r="BQ6" s="386" t="s">
        <v>474</v>
      </c>
      <c r="BR6" s="386" t="s">
        <v>475</v>
      </c>
      <c r="BS6" s="386" t="s">
        <v>476</v>
      </c>
      <c r="BT6" s="386" t="s">
        <v>473</v>
      </c>
      <c r="BU6" s="386" t="s">
        <v>474</v>
      </c>
      <c r="BV6" s="386" t="s">
        <v>475</v>
      </c>
      <c r="BW6" s="386" t="s">
        <v>476</v>
      </c>
      <c r="BX6" s="386" t="s">
        <v>473</v>
      </c>
      <c r="BY6" s="386" t="s">
        <v>474</v>
      </c>
      <c r="BZ6" s="386" t="s">
        <v>475</v>
      </c>
      <c r="CA6" s="386" t="s">
        <v>476</v>
      </c>
      <c r="CB6" s="386" t="s">
        <v>473</v>
      </c>
      <c r="CC6" s="386" t="s">
        <v>474</v>
      </c>
      <c r="CD6" s="386" t="s">
        <v>475</v>
      </c>
      <c r="CE6" s="386" t="s">
        <v>476</v>
      </c>
      <c r="CF6" s="386" t="s">
        <v>473</v>
      </c>
      <c r="CG6" s="386" t="s">
        <v>474</v>
      </c>
      <c r="CH6" s="386" t="s">
        <v>475</v>
      </c>
      <c r="CI6" s="386" t="s">
        <v>476</v>
      </c>
      <c r="CJ6" s="386" t="s">
        <v>473</v>
      </c>
      <c r="CK6" s="386" t="s">
        <v>474</v>
      </c>
      <c r="CL6" s="386" t="s">
        <v>475</v>
      </c>
      <c r="CM6" s="386" t="s">
        <v>476</v>
      </c>
      <c r="CN6" s="386" t="s">
        <v>473</v>
      </c>
      <c r="CO6" s="386" t="s">
        <v>474</v>
      </c>
      <c r="CP6" s="386" t="s">
        <v>475</v>
      </c>
      <c r="CQ6" s="386" t="s">
        <v>476</v>
      </c>
      <c r="CR6" s="386" t="s">
        <v>473</v>
      </c>
      <c r="CS6" s="386" t="s">
        <v>474</v>
      </c>
      <c r="CT6" s="386" t="s">
        <v>475</v>
      </c>
      <c r="CU6" s="386" t="s">
        <v>476</v>
      </c>
    </row>
    <row r="7" spans="1:101" ht="18" customHeight="1" x14ac:dyDescent="0.2">
      <c r="C7" s="45" t="s">
        <v>188</v>
      </c>
      <c r="D7" s="45"/>
      <c r="E7" s="68"/>
      <c r="G7" s="244"/>
      <c r="H7" s="244"/>
      <c r="I7" s="244"/>
      <c r="J7" s="244"/>
      <c r="K7" s="244"/>
      <c r="L7" s="244"/>
      <c r="M7" s="244"/>
      <c r="N7" s="244"/>
      <c r="O7" s="244"/>
      <c r="P7" s="244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BA7" s="276"/>
      <c r="BB7" s="276"/>
      <c r="BC7" s="276"/>
      <c r="BE7" s="54"/>
      <c r="BF7" s="54"/>
      <c r="BH7" s="387"/>
      <c r="BI7" s="387"/>
      <c r="BJ7" s="387"/>
      <c r="BK7" s="387"/>
      <c r="BL7" s="387"/>
      <c r="BM7" s="387"/>
      <c r="BN7" s="387"/>
      <c r="BO7" s="387"/>
      <c r="BP7" s="387"/>
      <c r="BQ7" s="387"/>
      <c r="BR7" s="387"/>
      <c r="BS7" s="387"/>
      <c r="BT7" s="387"/>
      <c r="BU7" s="387"/>
      <c r="BV7" s="387"/>
      <c r="BW7" s="387"/>
      <c r="BX7" s="387"/>
      <c r="BY7" s="387"/>
      <c r="BZ7" s="387"/>
      <c r="CA7" s="387"/>
      <c r="CB7" s="387"/>
      <c r="CC7" s="387"/>
      <c r="CD7" s="387"/>
      <c r="CE7" s="387"/>
      <c r="CF7" s="387"/>
      <c r="CG7" s="387"/>
      <c r="CH7" s="387"/>
      <c r="CI7" s="387"/>
      <c r="CJ7" s="387"/>
      <c r="CK7" s="387"/>
      <c r="CL7" s="387"/>
      <c r="CM7" s="387"/>
      <c r="CN7" s="387"/>
      <c r="CO7" s="387"/>
      <c r="CP7" s="387"/>
      <c r="CQ7" s="387"/>
      <c r="CR7" s="387"/>
      <c r="CS7" s="387"/>
      <c r="CT7" s="387"/>
      <c r="CU7" s="387"/>
    </row>
    <row r="8" spans="1:101" outlineLevel="1" x14ac:dyDescent="0.2">
      <c r="G8" s="245"/>
      <c r="H8" s="245"/>
      <c r="I8" s="245"/>
      <c r="J8" s="245"/>
      <c r="K8" s="245"/>
      <c r="L8" s="246"/>
      <c r="M8" s="245"/>
      <c r="N8" s="245"/>
      <c r="O8" s="245"/>
      <c r="P8" s="245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J8" s="263"/>
      <c r="AK8" s="263"/>
      <c r="AL8" s="263"/>
      <c r="AM8" s="263"/>
      <c r="AN8" s="263"/>
      <c r="AO8" s="263"/>
      <c r="AP8" s="263"/>
      <c r="AQ8" s="263"/>
      <c r="AR8" s="263"/>
      <c r="AS8" s="263"/>
      <c r="AT8" s="263"/>
      <c r="AU8" s="263"/>
      <c r="AV8" s="263"/>
      <c r="AW8" s="263"/>
      <c r="AX8" s="263"/>
      <c r="AY8" s="263"/>
      <c r="BA8" s="277"/>
      <c r="BB8" s="277"/>
      <c r="BC8" s="277"/>
      <c r="BE8" s="55"/>
      <c r="BF8" s="55"/>
      <c r="BH8" s="388"/>
      <c r="BI8" s="388"/>
      <c r="BJ8" s="388"/>
      <c r="BK8" s="388"/>
      <c r="BL8" s="388"/>
      <c r="BM8" s="388"/>
      <c r="BN8" s="388"/>
      <c r="BO8" s="388"/>
      <c r="BP8" s="388"/>
      <c r="BQ8" s="388"/>
      <c r="BR8" s="388"/>
      <c r="BS8" s="388"/>
      <c r="BT8" s="388"/>
      <c r="BU8" s="388"/>
      <c r="BV8" s="388"/>
      <c r="BW8" s="388"/>
      <c r="BX8" s="388"/>
      <c r="BY8" s="388"/>
      <c r="BZ8" s="388"/>
      <c r="CA8" s="388"/>
      <c r="CB8" s="388"/>
      <c r="CC8" s="388"/>
      <c r="CD8" s="388"/>
      <c r="CE8" s="388"/>
      <c r="CF8" s="388"/>
      <c r="CG8" s="388"/>
      <c r="CH8" s="388"/>
      <c r="CI8" s="388"/>
      <c r="CJ8" s="388"/>
      <c r="CK8" s="388"/>
      <c r="CL8" s="388"/>
      <c r="CM8" s="388"/>
      <c r="CN8" s="388"/>
      <c r="CO8" s="388"/>
      <c r="CP8" s="388"/>
      <c r="CQ8" s="388"/>
      <c r="CR8" s="388"/>
      <c r="CS8" s="388"/>
      <c r="CT8" s="388"/>
      <c r="CU8" s="388"/>
    </row>
    <row r="9" spans="1:101" s="84" customFormat="1" ht="10.5" customHeight="1" outlineLevel="2" x14ac:dyDescent="0.2">
      <c r="A9" s="540"/>
      <c r="B9" s="540"/>
      <c r="C9" s="86" t="s">
        <v>341</v>
      </c>
      <c r="D9" s="540" t="str">
        <f>INDEX(Modules[Module], MATCH($C9, Modules[Code], 0))</f>
        <v>Residential Cooling</v>
      </c>
      <c r="E9" s="61"/>
      <c r="G9" s="297">
        <f ca="1">IFERROR(INDEX(INDIRECT($C9&amp;".Outputs["&amp;this.Year&amp;"]"), MATCH(G$5, INDIRECT($C9&amp;".Outputs[Vector]"), 0)), 0)</f>
        <v>50.714523094931813</v>
      </c>
      <c r="H9" s="297">
        <f t="shared" ref="G9:O11" ca="1" si="0">IFERROR(INDEX(INDIRECT($C9&amp;".Outputs["&amp;this.Year&amp;"]"), MATCH(H$5, INDIRECT($C9&amp;".Outputs[Vector]"), 0)), 0)</f>
        <v>0</v>
      </c>
      <c r="I9" s="297">
        <f t="shared" ca="1" si="0"/>
        <v>0</v>
      </c>
      <c r="J9" s="297">
        <f t="shared" ca="1" si="0"/>
        <v>0</v>
      </c>
      <c r="K9" s="297">
        <f t="shared" ca="1" si="0"/>
        <v>0</v>
      </c>
      <c r="L9" s="297">
        <f t="shared" ca="1" si="0"/>
        <v>0</v>
      </c>
      <c r="M9" s="297">
        <f t="shared" ca="1" si="0"/>
        <v>0</v>
      </c>
      <c r="N9" s="297">
        <f t="shared" ca="1" si="0"/>
        <v>0</v>
      </c>
      <c r="O9" s="297">
        <f t="shared" ca="1" si="0"/>
        <v>0</v>
      </c>
      <c r="P9" s="297">
        <f t="shared" ref="P9:P23" ca="1" si="1">SUM(G9:O9)</f>
        <v>50.714523094931813</v>
      </c>
      <c r="R9" s="304">
        <f t="shared" ref="R9:W9" ca="1" si="2">IFERROR(INDEX(INDIRECT($C9&amp;".Outputs["&amp;this.Year&amp;"]"), MATCH(R$5, INDIRECT($C9&amp;".Outputs[Vector]"), 0)), 0)</f>
        <v>-50.714523094931813</v>
      </c>
      <c r="S9" s="304">
        <f t="shared" ca="1" si="2"/>
        <v>0</v>
      </c>
      <c r="T9" s="304">
        <f t="shared" ca="1" si="2"/>
        <v>0</v>
      </c>
      <c r="U9" s="304">
        <f t="shared" ca="1" si="2"/>
        <v>0</v>
      </c>
      <c r="V9" s="304">
        <f t="shared" ca="1" si="2"/>
        <v>0</v>
      </c>
      <c r="W9" s="304">
        <f t="shared" ca="1" si="2"/>
        <v>0</v>
      </c>
      <c r="X9" s="304">
        <f t="shared" ref="X9:Z9" ca="1" si="3">IFERROR(INDEX(INDIRECT($C9&amp;".Outputs["&amp;this.Year&amp;"]"), MATCH(X$5, INDIRECT($C9&amp;".Outputs[Vector]"), 0)), 0)</f>
        <v>0</v>
      </c>
      <c r="Y9" s="304">
        <f t="shared" ca="1" si="3"/>
        <v>0</v>
      </c>
      <c r="Z9" s="304">
        <f t="shared" ca="1" si="3"/>
        <v>0</v>
      </c>
      <c r="AA9" s="304">
        <f t="shared" ref="AA9:AG9" ca="1" si="4">IFERROR(INDEX(INDIRECT($C9&amp;".Outputs["&amp;this.Year&amp;"]"), MATCH(AA$5, INDIRECT($C9&amp;".Outputs[Vector]"), 0)), 0)</f>
        <v>0</v>
      </c>
      <c r="AB9" s="304">
        <f t="shared" ca="1" si="4"/>
        <v>0</v>
      </c>
      <c r="AC9" s="304">
        <f t="shared" ca="1" si="4"/>
        <v>0</v>
      </c>
      <c r="AD9" s="304">
        <f t="shared" ca="1" si="4"/>
        <v>0</v>
      </c>
      <c r="AE9" s="304">
        <f t="shared" ca="1" si="4"/>
        <v>0</v>
      </c>
      <c r="AF9" s="304">
        <f t="shared" ca="1" si="4"/>
        <v>0</v>
      </c>
      <c r="AG9" s="304">
        <f t="shared" ca="1" si="4"/>
        <v>0</v>
      </c>
      <c r="AH9" s="305">
        <f t="shared" ref="AH9:AH66" ca="1" si="5">SUM(R9:AG9)</f>
        <v>-50.714523094931813</v>
      </c>
      <c r="AJ9" s="312">
        <f t="shared" ref="AJ9:AR9" ca="1" si="6">IFERROR(INDEX(INDIRECT($C9&amp;".Outputs["&amp;this.Year&amp;"]"), MATCH(AJ$5, INDIRECT($C9&amp;".Outputs[Vector]"), 0)), 0)</f>
        <v>0</v>
      </c>
      <c r="AK9" s="312">
        <f t="shared" ca="1" si="6"/>
        <v>0</v>
      </c>
      <c r="AL9" s="312">
        <f t="shared" ca="1" si="6"/>
        <v>0</v>
      </c>
      <c r="AM9" s="312">
        <f t="shared" ca="1" si="6"/>
        <v>0</v>
      </c>
      <c r="AN9" s="312">
        <f t="shared" ca="1" si="6"/>
        <v>0</v>
      </c>
      <c r="AO9" s="312">
        <f t="shared" ca="1" si="6"/>
        <v>0</v>
      </c>
      <c r="AP9" s="312">
        <f t="shared" ca="1" si="6"/>
        <v>0</v>
      </c>
      <c r="AQ9" s="312">
        <f t="shared" ca="1" si="6"/>
        <v>0</v>
      </c>
      <c r="AR9" s="312">
        <f t="shared" ca="1" si="6"/>
        <v>0</v>
      </c>
      <c r="AS9" s="312">
        <f t="shared" ref="AS9:AX9" ca="1" si="7">IFERROR(INDEX(INDIRECT($C9&amp;".Outputs["&amp;this.Year&amp;"]"), MATCH(AS$5, INDIRECT($C9&amp;".Outputs[Vector]"), 0)), 0)</f>
        <v>0</v>
      </c>
      <c r="AT9" s="312">
        <f t="shared" ca="1" si="7"/>
        <v>0</v>
      </c>
      <c r="AU9" s="312">
        <f t="shared" ca="1" si="7"/>
        <v>0</v>
      </c>
      <c r="AV9" s="312">
        <f t="shared" ca="1" si="7"/>
        <v>0</v>
      </c>
      <c r="AW9" s="312">
        <f t="shared" ca="1" si="7"/>
        <v>0</v>
      </c>
      <c r="AX9" s="312">
        <f t="shared" ca="1" si="7"/>
        <v>0</v>
      </c>
      <c r="AY9" s="264">
        <f t="shared" ref="AY9:AY23" ca="1" si="8">SUM(AJ9:AX9)</f>
        <v>0</v>
      </c>
      <c r="BA9" s="308">
        <f t="shared" ref="BA9:BB11" ca="1" si="9">IFERROR(INDEX(INDIRECT($C9&amp;".Outputs["&amp;this.Year&amp;"]"), MATCH(BA$5, INDIRECT($C9&amp;".Outputs[Vector]"), 0)), 0)</f>
        <v>0</v>
      </c>
      <c r="BB9" s="308">
        <f t="shared" ca="1" si="9"/>
        <v>0</v>
      </c>
      <c r="BC9" s="309">
        <f t="shared" ref="BC9:BC66" ca="1" si="10">SUM(BA9:BB9)</f>
        <v>0</v>
      </c>
      <c r="BE9" s="64">
        <f t="shared" ref="BE9:BE33" ca="1" si="11">P9+AH9+AY9+BC9</f>
        <v>0</v>
      </c>
      <c r="BF9" s="64"/>
      <c r="BG9" s="1428"/>
      <c r="BH9" s="541">
        <f t="shared" ref="BH9:BQ9" ca="1" si="12">IFERROR(SUMIFS(INDIRECT($C9&amp;".Emissions["&amp;this.Year&amp;"]"), INDIRECT($C9&amp;".Emissions[GHG]"), BH$6, INDIRECT($C9&amp;".Emissions[IPCC Sector]"), BH$5),0)</f>
        <v>0</v>
      </c>
      <c r="BI9" s="542">
        <f t="shared" ca="1" si="12"/>
        <v>0</v>
      </c>
      <c r="BJ9" s="542">
        <f t="shared" ca="1" si="12"/>
        <v>0</v>
      </c>
      <c r="BK9" s="542">
        <f t="shared" ca="1" si="12"/>
        <v>0</v>
      </c>
      <c r="BL9" s="542">
        <f t="shared" ca="1" si="12"/>
        <v>0</v>
      </c>
      <c r="BM9" s="542">
        <f t="shared" ca="1" si="12"/>
        <v>0</v>
      </c>
      <c r="BN9" s="542">
        <f t="shared" ca="1" si="12"/>
        <v>0</v>
      </c>
      <c r="BO9" s="542">
        <f t="shared" ca="1" si="12"/>
        <v>0</v>
      </c>
      <c r="BP9" s="542">
        <f t="shared" ca="1" si="12"/>
        <v>0</v>
      </c>
      <c r="BQ9" s="542">
        <f t="shared" ca="1" si="12"/>
        <v>0</v>
      </c>
      <c r="BR9" s="542">
        <f t="shared" ref="BR9:CA9" ca="1" si="13">IFERROR(SUMIFS(INDIRECT($C9&amp;".Emissions["&amp;this.Year&amp;"]"), INDIRECT($C9&amp;".Emissions[GHG]"), BR$6, INDIRECT($C9&amp;".Emissions[IPCC Sector]"), BR$5),0)</f>
        <v>0</v>
      </c>
      <c r="BS9" s="542">
        <f t="shared" ca="1" si="13"/>
        <v>0</v>
      </c>
      <c r="BT9" s="542">
        <f t="shared" ca="1" si="13"/>
        <v>0</v>
      </c>
      <c r="BU9" s="542">
        <f t="shared" ca="1" si="13"/>
        <v>0</v>
      </c>
      <c r="BV9" s="542">
        <f t="shared" ca="1" si="13"/>
        <v>0</v>
      </c>
      <c r="BW9" s="542">
        <f t="shared" ca="1" si="13"/>
        <v>0</v>
      </c>
      <c r="BX9" s="542">
        <f t="shared" ca="1" si="13"/>
        <v>0</v>
      </c>
      <c r="BY9" s="542">
        <f t="shared" ca="1" si="13"/>
        <v>0</v>
      </c>
      <c r="BZ9" s="542">
        <f t="shared" ca="1" si="13"/>
        <v>0</v>
      </c>
      <c r="CA9" s="542">
        <f t="shared" ca="1" si="13"/>
        <v>0</v>
      </c>
      <c r="CB9" s="542">
        <f t="shared" ref="CB9:CK9" ca="1" si="14">IFERROR(SUMIFS(INDIRECT($C9&amp;".Emissions["&amp;this.Year&amp;"]"), INDIRECT($C9&amp;".Emissions[GHG]"), CB$6, INDIRECT($C9&amp;".Emissions[IPCC Sector]"), CB$5),0)</f>
        <v>0</v>
      </c>
      <c r="CC9" s="542">
        <f t="shared" ca="1" si="14"/>
        <v>0</v>
      </c>
      <c r="CD9" s="542">
        <f t="shared" ca="1" si="14"/>
        <v>0</v>
      </c>
      <c r="CE9" s="542">
        <f t="shared" ca="1" si="14"/>
        <v>0</v>
      </c>
      <c r="CF9" s="542">
        <f t="shared" ca="1" si="14"/>
        <v>0</v>
      </c>
      <c r="CG9" s="542">
        <f t="shared" ca="1" si="14"/>
        <v>0</v>
      </c>
      <c r="CH9" s="542">
        <f t="shared" ca="1" si="14"/>
        <v>0</v>
      </c>
      <c r="CI9" s="542">
        <f t="shared" ca="1" si="14"/>
        <v>0</v>
      </c>
      <c r="CJ9" s="542">
        <f t="shared" ca="1" si="14"/>
        <v>0</v>
      </c>
      <c r="CK9" s="542">
        <f t="shared" ca="1" si="14"/>
        <v>0</v>
      </c>
      <c r="CL9" s="542">
        <f t="shared" ref="CL9:CU9" ca="1" si="15">IFERROR(SUMIFS(INDIRECT($C9&amp;".Emissions["&amp;this.Year&amp;"]"), INDIRECT($C9&amp;".Emissions[GHG]"), CL$6, INDIRECT($C9&amp;".Emissions[IPCC Sector]"), CL$5),0)</f>
        <v>0</v>
      </c>
      <c r="CM9" s="542">
        <f t="shared" ca="1" si="15"/>
        <v>0</v>
      </c>
      <c r="CN9" s="542">
        <f t="shared" ca="1" si="15"/>
        <v>0</v>
      </c>
      <c r="CO9" s="542">
        <f t="shared" ca="1" si="15"/>
        <v>0</v>
      </c>
      <c r="CP9" s="542">
        <f t="shared" ca="1" si="15"/>
        <v>0</v>
      </c>
      <c r="CQ9" s="542">
        <f t="shared" ca="1" si="15"/>
        <v>0</v>
      </c>
      <c r="CR9" s="542">
        <f t="shared" ca="1" si="15"/>
        <v>0</v>
      </c>
      <c r="CS9" s="542">
        <f t="shared" ca="1" si="15"/>
        <v>0</v>
      </c>
      <c r="CT9" s="542">
        <f t="shared" ca="1" si="15"/>
        <v>0</v>
      </c>
      <c r="CU9" s="542">
        <f t="shared" ca="1" si="15"/>
        <v>0</v>
      </c>
      <c r="CW9" s="151"/>
    </row>
    <row r="10" spans="1:101" s="84" customFormat="1" ht="12.75" customHeight="1" outlineLevel="1" x14ac:dyDescent="0.2">
      <c r="A10" s="543"/>
      <c r="B10" s="543"/>
      <c r="C10" s="86"/>
      <c r="D10" s="543" t="s">
        <v>389</v>
      </c>
      <c r="E10" s="61"/>
      <c r="G10" s="298">
        <f t="shared" ref="G10:O10" ca="1" si="16">SUM(G9:G9)</f>
        <v>50.714523094931813</v>
      </c>
      <c r="H10" s="298">
        <f t="shared" ca="1" si="16"/>
        <v>0</v>
      </c>
      <c r="I10" s="298">
        <f t="shared" ca="1" si="16"/>
        <v>0</v>
      </c>
      <c r="J10" s="298">
        <f t="shared" ca="1" si="16"/>
        <v>0</v>
      </c>
      <c r="K10" s="298">
        <f t="shared" ca="1" si="16"/>
        <v>0</v>
      </c>
      <c r="L10" s="298">
        <f t="shared" ca="1" si="16"/>
        <v>0</v>
      </c>
      <c r="M10" s="298">
        <f t="shared" ca="1" si="16"/>
        <v>0</v>
      </c>
      <c r="N10" s="298">
        <f t="shared" ca="1" si="16"/>
        <v>0</v>
      </c>
      <c r="O10" s="298">
        <f t="shared" ca="1" si="16"/>
        <v>0</v>
      </c>
      <c r="P10" s="298">
        <f t="shared" ca="1" si="1"/>
        <v>50.714523094931813</v>
      </c>
      <c r="R10" s="305">
        <f t="shared" ref="R10:AG10" ca="1" si="17">SUM(R9:R9)</f>
        <v>-50.714523094931813</v>
      </c>
      <c r="S10" s="305">
        <f t="shared" ca="1" si="17"/>
        <v>0</v>
      </c>
      <c r="T10" s="305">
        <f t="shared" ca="1" si="17"/>
        <v>0</v>
      </c>
      <c r="U10" s="305">
        <f t="shared" ca="1" si="17"/>
        <v>0</v>
      </c>
      <c r="V10" s="305">
        <f t="shared" ca="1" si="17"/>
        <v>0</v>
      </c>
      <c r="W10" s="305">
        <f t="shared" ca="1" si="17"/>
        <v>0</v>
      </c>
      <c r="X10" s="305">
        <f t="shared" ca="1" si="17"/>
        <v>0</v>
      </c>
      <c r="Y10" s="305">
        <f t="shared" ca="1" si="17"/>
        <v>0</v>
      </c>
      <c r="Z10" s="305">
        <f t="shared" ca="1" si="17"/>
        <v>0</v>
      </c>
      <c r="AA10" s="305">
        <f t="shared" ca="1" si="17"/>
        <v>0</v>
      </c>
      <c r="AB10" s="305">
        <f t="shared" ca="1" si="17"/>
        <v>0</v>
      </c>
      <c r="AC10" s="305">
        <f t="shared" ca="1" si="17"/>
        <v>0</v>
      </c>
      <c r="AD10" s="305">
        <f t="shared" ca="1" si="17"/>
        <v>0</v>
      </c>
      <c r="AE10" s="305">
        <f t="shared" ca="1" si="17"/>
        <v>0</v>
      </c>
      <c r="AF10" s="305">
        <f t="shared" ca="1" si="17"/>
        <v>0</v>
      </c>
      <c r="AG10" s="305">
        <f t="shared" ca="1" si="17"/>
        <v>0</v>
      </c>
      <c r="AH10" s="305">
        <f t="shared" ca="1" si="5"/>
        <v>-50.714523094931813</v>
      </c>
      <c r="AJ10" s="313">
        <f t="shared" ref="AJ10:AX10" ca="1" si="18">SUM(AJ9:AJ9)</f>
        <v>0</v>
      </c>
      <c r="AK10" s="313">
        <f t="shared" ca="1" si="18"/>
        <v>0</v>
      </c>
      <c r="AL10" s="313">
        <f t="shared" ca="1" si="18"/>
        <v>0</v>
      </c>
      <c r="AM10" s="313">
        <f t="shared" ca="1" si="18"/>
        <v>0</v>
      </c>
      <c r="AN10" s="313">
        <f t="shared" ca="1" si="18"/>
        <v>0</v>
      </c>
      <c r="AO10" s="313">
        <f t="shared" ca="1" si="18"/>
        <v>0</v>
      </c>
      <c r="AP10" s="313">
        <f t="shared" ca="1" si="18"/>
        <v>0</v>
      </c>
      <c r="AQ10" s="313">
        <f t="shared" ca="1" si="18"/>
        <v>0</v>
      </c>
      <c r="AR10" s="313">
        <f t="shared" ca="1" si="18"/>
        <v>0</v>
      </c>
      <c r="AS10" s="313">
        <f t="shared" ca="1" si="18"/>
        <v>0</v>
      </c>
      <c r="AT10" s="313">
        <f t="shared" ca="1" si="18"/>
        <v>0</v>
      </c>
      <c r="AU10" s="313">
        <f t="shared" ca="1" si="18"/>
        <v>0</v>
      </c>
      <c r="AV10" s="313">
        <f t="shared" ca="1" si="18"/>
        <v>0</v>
      </c>
      <c r="AW10" s="313">
        <f t="shared" ca="1" si="18"/>
        <v>0</v>
      </c>
      <c r="AX10" s="313">
        <f t="shared" ca="1" si="18"/>
        <v>0</v>
      </c>
      <c r="AY10" s="266">
        <f t="shared" ca="1" si="8"/>
        <v>0</v>
      </c>
      <c r="BA10" s="309">
        <f ca="1">SUM(BA9:BA9)</f>
        <v>0</v>
      </c>
      <c r="BB10" s="309">
        <f ca="1">SUM(BB9:BB9)</f>
        <v>0</v>
      </c>
      <c r="BC10" s="309">
        <f t="shared" ca="1" si="10"/>
        <v>0</v>
      </c>
      <c r="BE10" s="135">
        <f t="shared" ca="1" si="11"/>
        <v>0</v>
      </c>
      <c r="BF10" s="135"/>
      <c r="BG10" s="1428"/>
      <c r="BH10" s="541">
        <f t="shared" ref="BH10:CU10" ca="1" si="19">SUM(BH9:BH9)</f>
        <v>0</v>
      </c>
      <c r="BI10" s="542">
        <f t="shared" ca="1" si="19"/>
        <v>0</v>
      </c>
      <c r="BJ10" s="542">
        <f t="shared" ca="1" si="19"/>
        <v>0</v>
      </c>
      <c r="BK10" s="542">
        <f t="shared" ca="1" si="19"/>
        <v>0</v>
      </c>
      <c r="BL10" s="542">
        <f t="shared" ca="1" si="19"/>
        <v>0</v>
      </c>
      <c r="BM10" s="542">
        <f t="shared" ca="1" si="19"/>
        <v>0</v>
      </c>
      <c r="BN10" s="542">
        <f t="shared" ca="1" si="19"/>
        <v>0</v>
      </c>
      <c r="BO10" s="542">
        <f t="shared" ca="1" si="19"/>
        <v>0</v>
      </c>
      <c r="BP10" s="542">
        <f t="shared" ca="1" si="19"/>
        <v>0</v>
      </c>
      <c r="BQ10" s="542">
        <f t="shared" ca="1" si="19"/>
        <v>0</v>
      </c>
      <c r="BR10" s="542">
        <f t="shared" ca="1" si="19"/>
        <v>0</v>
      </c>
      <c r="BS10" s="542">
        <f t="shared" ca="1" si="19"/>
        <v>0</v>
      </c>
      <c r="BT10" s="542">
        <f t="shared" ca="1" si="19"/>
        <v>0</v>
      </c>
      <c r="BU10" s="542">
        <f t="shared" ca="1" si="19"/>
        <v>0</v>
      </c>
      <c r="BV10" s="542">
        <f t="shared" ca="1" si="19"/>
        <v>0</v>
      </c>
      <c r="BW10" s="542">
        <f t="shared" ca="1" si="19"/>
        <v>0</v>
      </c>
      <c r="BX10" s="542">
        <f t="shared" ca="1" si="19"/>
        <v>0</v>
      </c>
      <c r="BY10" s="542">
        <f t="shared" ca="1" si="19"/>
        <v>0</v>
      </c>
      <c r="BZ10" s="542">
        <f t="shared" ca="1" si="19"/>
        <v>0</v>
      </c>
      <c r="CA10" s="542">
        <f t="shared" ca="1" si="19"/>
        <v>0</v>
      </c>
      <c r="CB10" s="542">
        <f t="shared" ca="1" si="19"/>
        <v>0</v>
      </c>
      <c r="CC10" s="542">
        <f t="shared" ca="1" si="19"/>
        <v>0</v>
      </c>
      <c r="CD10" s="542">
        <f t="shared" ca="1" si="19"/>
        <v>0</v>
      </c>
      <c r="CE10" s="542">
        <f t="shared" ca="1" si="19"/>
        <v>0</v>
      </c>
      <c r="CF10" s="542">
        <f t="shared" ca="1" si="19"/>
        <v>0</v>
      </c>
      <c r="CG10" s="542">
        <f t="shared" ca="1" si="19"/>
        <v>0</v>
      </c>
      <c r="CH10" s="542">
        <f t="shared" ca="1" si="19"/>
        <v>0</v>
      </c>
      <c r="CI10" s="542">
        <f t="shared" ca="1" si="19"/>
        <v>0</v>
      </c>
      <c r="CJ10" s="542">
        <f t="shared" ca="1" si="19"/>
        <v>0</v>
      </c>
      <c r="CK10" s="542">
        <f t="shared" ca="1" si="19"/>
        <v>0</v>
      </c>
      <c r="CL10" s="542">
        <f t="shared" ca="1" si="19"/>
        <v>0</v>
      </c>
      <c r="CM10" s="542">
        <f t="shared" ca="1" si="19"/>
        <v>0</v>
      </c>
      <c r="CN10" s="542">
        <f t="shared" ca="1" si="19"/>
        <v>0</v>
      </c>
      <c r="CO10" s="542">
        <f t="shared" ca="1" si="19"/>
        <v>0</v>
      </c>
      <c r="CP10" s="542">
        <f t="shared" ca="1" si="19"/>
        <v>0</v>
      </c>
      <c r="CQ10" s="542">
        <f t="shared" ca="1" si="19"/>
        <v>0</v>
      </c>
      <c r="CR10" s="542">
        <f t="shared" ca="1" si="19"/>
        <v>0</v>
      </c>
      <c r="CS10" s="542">
        <f t="shared" ca="1" si="19"/>
        <v>0</v>
      </c>
      <c r="CT10" s="542">
        <f t="shared" ca="1" si="19"/>
        <v>0</v>
      </c>
      <c r="CU10" s="542">
        <f t="shared" ca="1" si="19"/>
        <v>0</v>
      </c>
      <c r="CW10" s="151"/>
    </row>
    <row r="11" spans="1:101" s="84" customFormat="1" ht="10.5" customHeight="1" outlineLevel="2" x14ac:dyDescent="0.2">
      <c r="A11" s="540"/>
      <c r="B11" s="540"/>
      <c r="C11" s="86" t="s">
        <v>388</v>
      </c>
      <c r="D11" s="540" t="str">
        <f>INDEX(Modules[Module], MATCH($C11, Modules[Code], 0))</f>
        <v>Service Sector Cooling</v>
      </c>
      <c r="E11" s="291"/>
      <c r="G11" s="297">
        <f t="shared" ca="1" si="0"/>
        <v>14.39449468289782</v>
      </c>
      <c r="H11" s="297">
        <f t="shared" ca="1" si="0"/>
        <v>0</v>
      </c>
      <c r="I11" s="297">
        <f t="shared" ca="1" si="0"/>
        <v>0</v>
      </c>
      <c r="J11" s="297">
        <f t="shared" ca="1" si="0"/>
        <v>0</v>
      </c>
      <c r="K11" s="297">
        <f t="shared" ca="1" si="0"/>
        <v>0</v>
      </c>
      <c r="L11" s="297">
        <f t="shared" ca="1" si="0"/>
        <v>0</v>
      </c>
      <c r="M11" s="297">
        <f t="shared" ca="1" si="0"/>
        <v>0</v>
      </c>
      <c r="N11" s="297">
        <f t="shared" ca="1" si="0"/>
        <v>0</v>
      </c>
      <c r="O11" s="297">
        <f t="shared" ca="1" si="0"/>
        <v>0</v>
      </c>
      <c r="P11" s="297">
        <f t="shared" ca="1" si="1"/>
        <v>14.39449468289782</v>
      </c>
      <c r="R11" s="304">
        <f t="shared" ref="R11:W11" ca="1" si="20">IFERROR(INDEX(INDIRECT($C11&amp;".Outputs["&amp;this.Year&amp;"]"), MATCH(R$5, INDIRECT($C11&amp;".Outputs[Vector]"), 0)), 0)</f>
        <v>-14.39449468289782</v>
      </c>
      <c r="S11" s="304">
        <f t="shared" ca="1" si="20"/>
        <v>0</v>
      </c>
      <c r="T11" s="304">
        <f t="shared" ca="1" si="20"/>
        <v>0</v>
      </c>
      <c r="U11" s="304">
        <f t="shared" ca="1" si="20"/>
        <v>0</v>
      </c>
      <c r="V11" s="304">
        <f t="shared" ca="1" si="20"/>
        <v>0</v>
      </c>
      <c r="W11" s="304">
        <f t="shared" ca="1" si="20"/>
        <v>0</v>
      </c>
      <c r="X11" s="304">
        <f t="shared" ref="X11:Z11" ca="1" si="21">IFERROR(INDEX(INDIRECT($C11&amp;".Outputs["&amp;this.Year&amp;"]"), MATCH(X$5, INDIRECT($C11&amp;".Outputs[Vector]"), 0)), 0)</f>
        <v>0</v>
      </c>
      <c r="Y11" s="304">
        <f t="shared" ca="1" si="21"/>
        <v>0</v>
      </c>
      <c r="Z11" s="304">
        <f t="shared" ca="1" si="21"/>
        <v>0</v>
      </c>
      <c r="AA11" s="304">
        <f t="shared" ref="AA11:AG11" ca="1" si="22">IFERROR(INDEX(INDIRECT($C11&amp;".Outputs["&amp;this.Year&amp;"]"), MATCH(AA$5, INDIRECT($C11&amp;".Outputs[Vector]"), 0)), 0)</f>
        <v>0</v>
      </c>
      <c r="AB11" s="304">
        <f t="shared" ca="1" si="22"/>
        <v>0</v>
      </c>
      <c r="AC11" s="304">
        <f t="shared" ca="1" si="22"/>
        <v>0</v>
      </c>
      <c r="AD11" s="304">
        <f t="shared" ca="1" si="22"/>
        <v>0</v>
      </c>
      <c r="AE11" s="304">
        <f t="shared" ca="1" si="22"/>
        <v>0</v>
      </c>
      <c r="AF11" s="304">
        <f t="shared" ca="1" si="22"/>
        <v>0</v>
      </c>
      <c r="AG11" s="304">
        <f t="shared" ca="1" si="22"/>
        <v>0</v>
      </c>
      <c r="AH11" s="305">
        <f t="shared" ca="1" si="5"/>
        <v>-14.39449468289782</v>
      </c>
      <c r="AJ11" s="312">
        <f t="shared" ref="AJ11:AR11" ca="1" si="23">IFERROR(INDEX(INDIRECT($C11&amp;".Outputs["&amp;this.Year&amp;"]"), MATCH(AJ$5, INDIRECT($C11&amp;".Outputs[Vector]"), 0)), 0)</f>
        <v>0</v>
      </c>
      <c r="AK11" s="312">
        <f t="shared" ca="1" si="23"/>
        <v>0</v>
      </c>
      <c r="AL11" s="312">
        <f t="shared" ca="1" si="23"/>
        <v>0</v>
      </c>
      <c r="AM11" s="312">
        <f t="shared" ca="1" si="23"/>
        <v>0</v>
      </c>
      <c r="AN11" s="312">
        <f t="shared" ca="1" si="23"/>
        <v>0</v>
      </c>
      <c r="AO11" s="312">
        <f t="shared" ca="1" si="23"/>
        <v>0</v>
      </c>
      <c r="AP11" s="312">
        <f t="shared" ca="1" si="23"/>
        <v>0</v>
      </c>
      <c r="AQ11" s="312">
        <f t="shared" ca="1" si="23"/>
        <v>0</v>
      </c>
      <c r="AR11" s="312">
        <f t="shared" ca="1" si="23"/>
        <v>0</v>
      </c>
      <c r="AS11" s="312">
        <f t="shared" ref="AS11:AX11" ca="1" si="24">IFERROR(INDEX(INDIRECT($C11&amp;".Outputs["&amp;this.Year&amp;"]"), MATCH(AS$5, INDIRECT($C11&amp;".Outputs[Vector]"), 0)), 0)</f>
        <v>0</v>
      </c>
      <c r="AT11" s="312">
        <f t="shared" ca="1" si="24"/>
        <v>0</v>
      </c>
      <c r="AU11" s="312">
        <f t="shared" ca="1" si="24"/>
        <v>0</v>
      </c>
      <c r="AV11" s="312">
        <f t="shared" ca="1" si="24"/>
        <v>0</v>
      </c>
      <c r="AW11" s="312">
        <f t="shared" ca="1" si="24"/>
        <v>0</v>
      </c>
      <c r="AX11" s="312">
        <f t="shared" ca="1" si="24"/>
        <v>0</v>
      </c>
      <c r="AY11" s="264">
        <f t="shared" ca="1" si="8"/>
        <v>0</v>
      </c>
      <c r="BA11" s="308">
        <f t="shared" ca="1" si="9"/>
        <v>0</v>
      </c>
      <c r="BB11" s="308">
        <f t="shared" ca="1" si="9"/>
        <v>0</v>
      </c>
      <c r="BC11" s="309">
        <f t="shared" ca="1" si="10"/>
        <v>0</v>
      </c>
      <c r="BE11" s="64">
        <f t="shared" ca="1" si="11"/>
        <v>0</v>
      </c>
      <c r="BF11" s="64"/>
      <c r="BG11" s="1428"/>
      <c r="BH11" s="541">
        <f t="shared" ref="BH11:BQ11" ca="1" si="25">IFERROR(SUMIFS(INDIRECT($C11&amp;".Emissions["&amp;this.Year&amp;"]"), INDIRECT($C11&amp;".Emissions[GHG]"), BH$6, INDIRECT($C11&amp;".Emissions[IPCC Sector]"), BH$5),0)</f>
        <v>0</v>
      </c>
      <c r="BI11" s="542">
        <f t="shared" ca="1" si="25"/>
        <v>0</v>
      </c>
      <c r="BJ11" s="542">
        <f t="shared" ca="1" si="25"/>
        <v>0</v>
      </c>
      <c r="BK11" s="542">
        <f t="shared" ca="1" si="25"/>
        <v>0</v>
      </c>
      <c r="BL11" s="542">
        <f t="shared" ca="1" si="25"/>
        <v>0</v>
      </c>
      <c r="BM11" s="542">
        <f t="shared" ca="1" si="25"/>
        <v>0</v>
      </c>
      <c r="BN11" s="542">
        <f t="shared" ca="1" si="25"/>
        <v>0</v>
      </c>
      <c r="BO11" s="542">
        <f t="shared" ca="1" si="25"/>
        <v>0</v>
      </c>
      <c r="BP11" s="542">
        <f t="shared" ca="1" si="25"/>
        <v>0</v>
      </c>
      <c r="BQ11" s="542">
        <f t="shared" ca="1" si="25"/>
        <v>0</v>
      </c>
      <c r="BR11" s="542">
        <f t="shared" ref="BR11:CA11" ca="1" si="26">IFERROR(SUMIFS(INDIRECT($C11&amp;".Emissions["&amp;this.Year&amp;"]"), INDIRECT($C11&amp;".Emissions[GHG]"), BR$6, INDIRECT($C11&amp;".Emissions[IPCC Sector]"), BR$5),0)</f>
        <v>0</v>
      </c>
      <c r="BS11" s="542">
        <f t="shared" ca="1" si="26"/>
        <v>0</v>
      </c>
      <c r="BT11" s="542">
        <f t="shared" ca="1" si="26"/>
        <v>0</v>
      </c>
      <c r="BU11" s="542">
        <f t="shared" ca="1" si="26"/>
        <v>0</v>
      </c>
      <c r="BV11" s="542">
        <f t="shared" ca="1" si="26"/>
        <v>0</v>
      </c>
      <c r="BW11" s="542">
        <f t="shared" ca="1" si="26"/>
        <v>0</v>
      </c>
      <c r="BX11" s="542">
        <f t="shared" ca="1" si="26"/>
        <v>0</v>
      </c>
      <c r="BY11" s="542">
        <f t="shared" ca="1" si="26"/>
        <v>0</v>
      </c>
      <c r="BZ11" s="542">
        <f t="shared" ca="1" si="26"/>
        <v>0</v>
      </c>
      <c r="CA11" s="542">
        <f t="shared" ca="1" si="26"/>
        <v>0</v>
      </c>
      <c r="CB11" s="542">
        <f t="shared" ref="CB11:CK11" ca="1" si="27">IFERROR(SUMIFS(INDIRECT($C11&amp;".Emissions["&amp;this.Year&amp;"]"), INDIRECT($C11&amp;".Emissions[GHG]"), CB$6, INDIRECT($C11&amp;".Emissions[IPCC Sector]"), CB$5),0)</f>
        <v>0</v>
      </c>
      <c r="CC11" s="542">
        <f t="shared" ca="1" si="27"/>
        <v>0</v>
      </c>
      <c r="CD11" s="542">
        <f t="shared" ca="1" si="27"/>
        <v>0</v>
      </c>
      <c r="CE11" s="542">
        <f t="shared" ca="1" si="27"/>
        <v>0</v>
      </c>
      <c r="CF11" s="542">
        <f t="shared" ca="1" si="27"/>
        <v>0</v>
      </c>
      <c r="CG11" s="542">
        <f t="shared" ca="1" si="27"/>
        <v>0</v>
      </c>
      <c r="CH11" s="542">
        <f t="shared" ca="1" si="27"/>
        <v>0</v>
      </c>
      <c r="CI11" s="542">
        <f t="shared" ca="1" si="27"/>
        <v>0</v>
      </c>
      <c r="CJ11" s="542">
        <f t="shared" ca="1" si="27"/>
        <v>0</v>
      </c>
      <c r="CK11" s="542">
        <f t="shared" ca="1" si="27"/>
        <v>0</v>
      </c>
      <c r="CL11" s="542">
        <f t="shared" ref="CL11:CU11" ca="1" si="28">IFERROR(SUMIFS(INDIRECT($C11&amp;".Emissions["&amp;this.Year&amp;"]"), INDIRECT($C11&amp;".Emissions[GHG]"), CL$6, INDIRECT($C11&amp;".Emissions[IPCC Sector]"), CL$5),0)</f>
        <v>0</v>
      </c>
      <c r="CM11" s="542">
        <f t="shared" ca="1" si="28"/>
        <v>0</v>
      </c>
      <c r="CN11" s="542">
        <f t="shared" ca="1" si="28"/>
        <v>0</v>
      </c>
      <c r="CO11" s="542">
        <f t="shared" ca="1" si="28"/>
        <v>0</v>
      </c>
      <c r="CP11" s="542">
        <f t="shared" ca="1" si="28"/>
        <v>0</v>
      </c>
      <c r="CQ11" s="542">
        <f t="shared" ca="1" si="28"/>
        <v>0</v>
      </c>
      <c r="CR11" s="542">
        <f t="shared" ca="1" si="28"/>
        <v>0</v>
      </c>
      <c r="CS11" s="542">
        <f t="shared" ca="1" si="28"/>
        <v>0</v>
      </c>
      <c r="CT11" s="542">
        <f t="shared" ca="1" si="28"/>
        <v>0</v>
      </c>
      <c r="CU11" s="542">
        <f t="shared" ca="1" si="28"/>
        <v>0</v>
      </c>
      <c r="CW11" s="151"/>
    </row>
    <row r="12" spans="1:101" s="84" customFormat="1" ht="12.75" customHeight="1" outlineLevel="1" x14ac:dyDescent="0.2">
      <c r="A12" s="543"/>
      <c r="B12" s="543"/>
      <c r="C12" s="86"/>
      <c r="D12" s="292" t="s">
        <v>390</v>
      </c>
      <c r="E12" s="292"/>
      <c r="G12" s="299">
        <f t="shared" ref="G12:O12" ca="1" si="29">SUM(G11:G11)</f>
        <v>14.39449468289782</v>
      </c>
      <c r="H12" s="299">
        <f t="shared" ca="1" si="29"/>
        <v>0</v>
      </c>
      <c r="I12" s="299">
        <f t="shared" ca="1" si="29"/>
        <v>0</v>
      </c>
      <c r="J12" s="299">
        <f t="shared" ca="1" si="29"/>
        <v>0</v>
      </c>
      <c r="K12" s="299">
        <f t="shared" ca="1" si="29"/>
        <v>0</v>
      </c>
      <c r="L12" s="299">
        <f t="shared" ca="1" si="29"/>
        <v>0</v>
      </c>
      <c r="M12" s="299">
        <f t="shared" ca="1" si="29"/>
        <v>0</v>
      </c>
      <c r="N12" s="299">
        <f t="shared" ca="1" si="29"/>
        <v>0</v>
      </c>
      <c r="O12" s="299">
        <f t="shared" ca="1" si="29"/>
        <v>0</v>
      </c>
      <c r="P12" s="299">
        <f t="shared" ca="1" si="1"/>
        <v>14.39449468289782</v>
      </c>
      <c r="R12" s="306">
        <f t="shared" ref="R12:AG12" ca="1" si="30">SUM(R11:R11)</f>
        <v>-14.39449468289782</v>
      </c>
      <c r="S12" s="306">
        <f t="shared" ca="1" si="30"/>
        <v>0</v>
      </c>
      <c r="T12" s="306">
        <f t="shared" ca="1" si="30"/>
        <v>0</v>
      </c>
      <c r="U12" s="306">
        <f t="shared" ca="1" si="30"/>
        <v>0</v>
      </c>
      <c r="V12" s="306">
        <f t="shared" ca="1" si="30"/>
        <v>0</v>
      </c>
      <c r="W12" s="306">
        <f t="shared" ca="1" si="30"/>
        <v>0</v>
      </c>
      <c r="X12" s="306">
        <f t="shared" ca="1" si="30"/>
        <v>0</v>
      </c>
      <c r="Y12" s="306">
        <f t="shared" ca="1" si="30"/>
        <v>0</v>
      </c>
      <c r="Z12" s="306">
        <f t="shared" ca="1" si="30"/>
        <v>0</v>
      </c>
      <c r="AA12" s="306">
        <f t="shared" ca="1" si="30"/>
        <v>0</v>
      </c>
      <c r="AB12" s="306">
        <f t="shared" ca="1" si="30"/>
        <v>0</v>
      </c>
      <c r="AC12" s="306">
        <f t="shared" ca="1" si="30"/>
        <v>0</v>
      </c>
      <c r="AD12" s="306">
        <f t="shared" ca="1" si="30"/>
        <v>0</v>
      </c>
      <c r="AE12" s="306">
        <f t="shared" ca="1" si="30"/>
        <v>0</v>
      </c>
      <c r="AF12" s="306">
        <f t="shared" ca="1" si="30"/>
        <v>0</v>
      </c>
      <c r="AG12" s="306">
        <f t="shared" ca="1" si="30"/>
        <v>0</v>
      </c>
      <c r="AH12" s="306">
        <f t="shared" ca="1" si="5"/>
        <v>-14.39449468289782</v>
      </c>
      <c r="AJ12" s="314">
        <f t="shared" ref="AJ12:AX12" ca="1" si="31">SUM(AJ11:AJ11)</f>
        <v>0</v>
      </c>
      <c r="AK12" s="314">
        <f t="shared" ca="1" si="31"/>
        <v>0</v>
      </c>
      <c r="AL12" s="314">
        <f t="shared" ca="1" si="31"/>
        <v>0</v>
      </c>
      <c r="AM12" s="314">
        <f t="shared" ca="1" si="31"/>
        <v>0</v>
      </c>
      <c r="AN12" s="314">
        <f t="shared" ca="1" si="31"/>
        <v>0</v>
      </c>
      <c r="AO12" s="314">
        <f t="shared" ca="1" si="31"/>
        <v>0</v>
      </c>
      <c r="AP12" s="314">
        <f t="shared" ca="1" si="31"/>
        <v>0</v>
      </c>
      <c r="AQ12" s="314">
        <f t="shared" ca="1" si="31"/>
        <v>0</v>
      </c>
      <c r="AR12" s="314">
        <f t="shared" ca="1" si="31"/>
        <v>0</v>
      </c>
      <c r="AS12" s="314">
        <f t="shared" ca="1" si="31"/>
        <v>0</v>
      </c>
      <c r="AT12" s="314">
        <f t="shared" ca="1" si="31"/>
        <v>0</v>
      </c>
      <c r="AU12" s="314">
        <f t="shared" ca="1" si="31"/>
        <v>0</v>
      </c>
      <c r="AV12" s="314">
        <f t="shared" ca="1" si="31"/>
        <v>0</v>
      </c>
      <c r="AW12" s="314">
        <f t="shared" ca="1" si="31"/>
        <v>0</v>
      </c>
      <c r="AX12" s="314">
        <f t="shared" ca="1" si="31"/>
        <v>0</v>
      </c>
      <c r="AY12" s="293">
        <f t="shared" ca="1" si="8"/>
        <v>0</v>
      </c>
      <c r="BA12" s="310">
        <f ca="1">SUM(BA11:BA11)</f>
        <v>0</v>
      </c>
      <c r="BB12" s="310">
        <f ca="1">SUM(BB11:BB11)</f>
        <v>0</v>
      </c>
      <c r="BC12" s="310">
        <f t="shared" ca="1" si="10"/>
        <v>0</v>
      </c>
      <c r="BE12" s="135">
        <f t="shared" ca="1" si="11"/>
        <v>0</v>
      </c>
      <c r="BF12" s="135"/>
      <c r="BG12" s="1428"/>
      <c r="BH12" s="544">
        <f t="shared" ref="BH12:CU12" ca="1" si="32">SUM(BH11:BH11)</f>
        <v>0</v>
      </c>
      <c r="BI12" s="545">
        <f t="shared" ca="1" si="32"/>
        <v>0</v>
      </c>
      <c r="BJ12" s="545">
        <f t="shared" ca="1" si="32"/>
        <v>0</v>
      </c>
      <c r="BK12" s="545">
        <f t="shared" ca="1" si="32"/>
        <v>0</v>
      </c>
      <c r="BL12" s="545">
        <f t="shared" ca="1" si="32"/>
        <v>0</v>
      </c>
      <c r="BM12" s="545">
        <f t="shared" ca="1" si="32"/>
        <v>0</v>
      </c>
      <c r="BN12" s="545">
        <f t="shared" ca="1" si="32"/>
        <v>0</v>
      </c>
      <c r="BO12" s="545">
        <f t="shared" ca="1" si="32"/>
        <v>0</v>
      </c>
      <c r="BP12" s="545">
        <f t="shared" ca="1" si="32"/>
        <v>0</v>
      </c>
      <c r="BQ12" s="545">
        <f t="shared" ca="1" si="32"/>
        <v>0</v>
      </c>
      <c r="BR12" s="545">
        <f t="shared" ca="1" si="32"/>
        <v>0</v>
      </c>
      <c r="BS12" s="545">
        <f t="shared" ca="1" si="32"/>
        <v>0</v>
      </c>
      <c r="BT12" s="545">
        <f t="shared" ca="1" si="32"/>
        <v>0</v>
      </c>
      <c r="BU12" s="545">
        <f t="shared" ca="1" si="32"/>
        <v>0</v>
      </c>
      <c r="BV12" s="545">
        <f t="shared" ca="1" si="32"/>
        <v>0</v>
      </c>
      <c r="BW12" s="545">
        <f t="shared" ca="1" si="32"/>
        <v>0</v>
      </c>
      <c r="BX12" s="545">
        <f t="shared" ca="1" si="32"/>
        <v>0</v>
      </c>
      <c r="BY12" s="545">
        <f t="shared" ca="1" si="32"/>
        <v>0</v>
      </c>
      <c r="BZ12" s="545">
        <f t="shared" ca="1" si="32"/>
        <v>0</v>
      </c>
      <c r="CA12" s="545">
        <f t="shared" ca="1" si="32"/>
        <v>0</v>
      </c>
      <c r="CB12" s="545">
        <f t="shared" ca="1" si="32"/>
        <v>0</v>
      </c>
      <c r="CC12" s="545">
        <f t="shared" ca="1" si="32"/>
        <v>0</v>
      </c>
      <c r="CD12" s="545">
        <f t="shared" ca="1" si="32"/>
        <v>0</v>
      </c>
      <c r="CE12" s="545">
        <f t="shared" ca="1" si="32"/>
        <v>0</v>
      </c>
      <c r="CF12" s="545">
        <f t="shared" ca="1" si="32"/>
        <v>0</v>
      </c>
      <c r="CG12" s="545">
        <f t="shared" ca="1" si="32"/>
        <v>0</v>
      </c>
      <c r="CH12" s="545">
        <f t="shared" ca="1" si="32"/>
        <v>0</v>
      </c>
      <c r="CI12" s="545">
        <f t="shared" ca="1" si="32"/>
        <v>0</v>
      </c>
      <c r="CJ12" s="545">
        <f t="shared" ca="1" si="32"/>
        <v>0</v>
      </c>
      <c r="CK12" s="545">
        <f t="shared" ca="1" si="32"/>
        <v>0</v>
      </c>
      <c r="CL12" s="545">
        <f t="shared" ca="1" si="32"/>
        <v>0</v>
      </c>
      <c r="CM12" s="545">
        <f t="shared" ca="1" si="32"/>
        <v>0</v>
      </c>
      <c r="CN12" s="545">
        <f t="shared" ca="1" si="32"/>
        <v>0</v>
      </c>
      <c r="CO12" s="545">
        <f t="shared" ca="1" si="32"/>
        <v>0</v>
      </c>
      <c r="CP12" s="545">
        <f t="shared" ca="1" si="32"/>
        <v>0</v>
      </c>
      <c r="CQ12" s="545">
        <f t="shared" ca="1" si="32"/>
        <v>0</v>
      </c>
      <c r="CR12" s="545">
        <f t="shared" ca="1" si="32"/>
        <v>0</v>
      </c>
      <c r="CS12" s="545">
        <f t="shared" ca="1" si="32"/>
        <v>0</v>
      </c>
      <c r="CT12" s="545">
        <f t="shared" ca="1" si="32"/>
        <v>0</v>
      </c>
      <c r="CU12" s="545">
        <f t="shared" ca="1" si="32"/>
        <v>0</v>
      </c>
      <c r="CW12" s="151"/>
    </row>
    <row r="13" spans="1:101" s="84" customFormat="1" ht="15.75" x14ac:dyDescent="0.2">
      <c r="A13" s="18"/>
      <c r="B13" s="89"/>
      <c r="C13" s="85" t="s">
        <v>229</v>
      </c>
      <c r="D13" s="57" t="str">
        <f>INDEX(Workstreams[Workstream], MATCH($C13, Workstreams[Code], 0))</f>
        <v>Cooling</v>
      </c>
      <c r="E13" s="53"/>
      <c r="G13" s="300">
        <f t="shared" ref="G13:O13" ca="1" si="33">G12+G10</f>
        <v>65.109017777829635</v>
      </c>
      <c r="H13" s="300">
        <f t="shared" ca="1" si="33"/>
        <v>0</v>
      </c>
      <c r="I13" s="300">
        <f t="shared" ca="1" si="33"/>
        <v>0</v>
      </c>
      <c r="J13" s="300">
        <f t="shared" ca="1" si="33"/>
        <v>0</v>
      </c>
      <c r="K13" s="300">
        <f t="shared" ca="1" si="33"/>
        <v>0</v>
      </c>
      <c r="L13" s="300">
        <f t="shared" ca="1" si="33"/>
        <v>0</v>
      </c>
      <c r="M13" s="300">
        <f t="shared" ca="1" si="33"/>
        <v>0</v>
      </c>
      <c r="N13" s="300">
        <f t="shared" ca="1" si="33"/>
        <v>0</v>
      </c>
      <c r="O13" s="300">
        <f t="shared" ca="1" si="33"/>
        <v>0</v>
      </c>
      <c r="P13" s="300">
        <f t="shared" ca="1" si="1"/>
        <v>65.109017777829635</v>
      </c>
      <c r="R13" s="257">
        <f t="shared" ref="R13:AG13" ca="1" si="34">R12+R10</f>
        <v>-65.109017777829635</v>
      </c>
      <c r="S13" s="257">
        <f t="shared" ca="1" si="34"/>
        <v>0</v>
      </c>
      <c r="T13" s="257">
        <f t="shared" ca="1" si="34"/>
        <v>0</v>
      </c>
      <c r="U13" s="257">
        <f t="shared" ca="1" si="34"/>
        <v>0</v>
      </c>
      <c r="V13" s="257">
        <f t="shared" ca="1" si="34"/>
        <v>0</v>
      </c>
      <c r="W13" s="257">
        <f t="shared" ca="1" si="34"/>
        <v>0</v>
      </c>
      <c r="X13" s="257">
        <f t="shared" ca="1" si="34"/>
        <v>0</v>
      </c>
      <c r="Y13" s="257">
        <f t="shared" ca="1" si="34"/>
        <v>0</v>
      </c>
      <c r="Z13" s="257">
        <f t="shared" ca="1" si="34"/>
        <v>0</v>
      </c>
      <c r="AA13" s="257">
        <f t="shared" ca="1" si="34"/>
        <v>0</v>
      </c>
      <c r="AB13" s="257">
        <f t="shared" ca="1" si="34"/>
        <v>0</v>
      </c>
      <c r="AC13" s="257">
        <f t="shared" ca="1" si="34"/>
        <v>0</v>
      </c>
      <c r="AD13" s="257">
        <f t="shared" ca="1" si="34"/>
        <v>0</v>
      </c>
      <c r="AE13" s="257">
        <f t="shared" ca="1" si="34"/>
        <v>0</v>
      </c>
      <c r="AF13" s="257">
        <f t="shared" ca="1" si="34"/>
        <v>0</v>
      </c>
      <c r="AG13" s="257">
        <f t="shared" ca="1" si="34"/>
        <v>0</v>
      </c>
      <c r="AH13" s="257">
        <f t="shared" ca="1" si="5"/>
        <v>-65.109017777829635</v>
      </c>
      <c r="AJ13" s="263">
        <f t="shared" ref="AJ13:AX13" ca="1" si="35">AJ12+AJ10</f>
        <v>0</v>
      </c>
      <c r="AK13" s="263">
        <f t="shared" ca="1" si="35"/>
        <v>0</v>
      </c>
      <c r="AL13" s="263">
        <f t="shared" ca="1" si="35"/>
        <v>0</v>
      </c>
      <c r="AM13" s="263">
        <f t="shared" ca="1" si="35"/>
        <v>0</v>
      </c>
      <c r="AN13" s="263">
        <f t="shared" ca="1" si="35"/>
        <v>0</v>
      </c>
      <c r="AO13" s="263">
        <f t="shared" ca="1" si="35"/>
        <v>0</v>
      </c>
      <c r="AP13" s="263">
        <f t="shared" ca="1" si="35"/>
        <v>0</v>
      </c>
      <c r="AQ13" s="263">
        <f t="shared" ca="1" si="35"/>
        <v>0</v>
      </c>
      <c r="AR13" s="263">
        <f t="shared" ca="1" si="35"/>
        <v>0</v>
      </c>
      <c r="AS13" s="263">
        <f t="shared" ca="1" si="35"/>
        <v>0</v>
      </c>
      <c r="AT13" s="263">
        <f t="shared" ca="1" si="35"/>
        <v>0</v>
      </c>
      <c r="AU13" s="263">
        <f t="shared" ca="1" si="35"/>
        <v>0</v>
      </c>
      <c r="AV13" s="263">
        <f t="shared" ca="1" si="35"/>
        <v>0</v>
      </c>
      <c r="AW13" s="263">
        <f t="shared" ca="1" si="35"/>
        <v>0</v>
      </c>
      <c r="AX13" s="263">
        <f t="shared" ca="1" si="35"/>
        <v>0</v>
      </c>
      <c r="AY13" s="263">
        <f t="shared" ca="1" si="8"/>
        <v>0</v>
      </c>
      <c r="BA13" s="277">
        <f ca="1">BA12+BA10</f>
        <v>0</v>
      </c>
      <c r="BB13" s="277">
        <f ca="1">BB12+BB10</f>
        <v>0</v>
      </c>
      <c r="BC13" s="277">
        <f t="shared" ca="1" si="10"/>
        <v>0</v>
      </c>
      <c r="BE13" s="55">
        <f t="shared" ca="1" si="11"/>
        <v>0</v>
      </c>
      <c r="BF13" s="55"/>
      <c r="BG13" s="1428"/>
      <c r="BH13" s="542">
        <f t="shared" ref="BH13:CU13" ca="1" si="36">BH12+BH10</f>
        <v>0</v>
      </c>
      <c r="BI13" s="542">
        <f t="shared" ca="1" si="36"/>
        <v>0</v>
      </c>
      <c r="BJ13" s="542">
        <f t="shared" ca="1" si="36"/>
        <v>0</v>
      </c>
      <c r="BK13" s="542">
        <f t="shared" ca="1" si="36"/>
        <v>0</v>
      </c>
      <c r="BL13" s="542">
        <f t="shared" ca="1" si="36"/>
        <v>0</v>
      </c>
      <c r="BM13" s="542">
        <f t="shared" ca="1" si="36"/>
        <v>0</v>
      </c>
      <c r="BN13" s="542">
        <f t="shared" ca="1" si="36"/>
        <v>0</v>
      </c>
      <c r="BO13" s="542">
        <f t="shared" ca="1" si="36"/>
        <v>0</v>
      </c>
      <c r="BP13" s="542">
        <f t="shared" ca="1" si="36"/>
        <v>0</v>
      </c>
      <c r="BQ13" s="542">
        <f t="shared" ca="1" si="36"/>
        <v>0</v>
      </c>
      <c r="BR13" s="542">
        <f t="shared" ca="1" si="36"/>
        <v>0</v>
      </c>
      <c r="BS13" s="542">
        <f t="shared" ca="1" si="36"/>
        <v>0</v>
      </c>
      <c r="BT13" s="542">
        <f t="shared" ca="1" si="36"/>
        <v>0</v>
      </c>
      <c r="BU13" s="542">
        <f t="shared" ca="1" si="36"/>
        <v>0</v>
      </c>
      <c r="BV13" s="542">
        <f t="shared" ca="1" si="36"/>
        <v>0</v>
      </c>
      <c r="BW13" s="542">
        <f t="shared" ca="1" si="36"/>
        <v>0</v>
      </c>
      <c r="BX13" s="542">
        <f t="shared" ca="1" si="36"/>
        <v>0</v>
      </c>
      <c r="BY13" s="542">
        <f t="shared" ca="1" si="36"/>
        <v>0</v>
      </c>
      <c r="BZ13" s="542">
        <f t="shared" ca="1" si="36"/>
        <v>0</v>
      </c>
      <c r="CA13" s="542">
        <f t="shared" ca="1" si="36"/>
        <v>0</v>
      </c>
      <c r="CB13" s="542">
        <f t="shared" ca="1" si="36"/>
        <v>0</v>
      </c>
      <c r="CC13" s="542">
        <f t="shared" ca="1" si="36"/>
        <v>0</v>
      </c>
      <c r="CD13" s="542">
        <f t="shared" ca="1" si="36"/>
        <v>0</v>
      </c>
      <c r="CE13" s="542">
        <f t="shared" ca="1" si="36"/>
        <v>0</v>
      </c>
      <c r="CF13" s="542">
        <f t="shared" ca="1" si="36"/>
        <v>0</v>
      </c>
      <c r="CG13" s="542">
        <f t="shared" ca="1" si="36"/>
        <v>0</v>
      </c>
      <c r="CH13" s="542">
        <f t="shared" ca="1" si="36"/>
        <v>0</v>
      </c>
      <c r="CI13" s="542">
        <f t="shared" ca="1" si="36"/>
        <v>0</v>
      </c>
      <c r="CJ13" s="542">
        <f t="shared" ca="1" si="36"/>
        <v>0</v>
      </c>
      <c r="CK13" s="542">
        <f t="shared" ca="1" si="36"/>
        <v>0</v>
      </c>
      <c r="CL13" s="542">
        <f t="shared" ca="1" si="36"/>
        <v>0</v>
      </c>
      <c r="CM13" s="542">
        <f t="shared" ca="1" si="36"/>
        <v>0</v>
      </c>
      <c r="CN13" s="542">
        <f t="shared" ca="1" si="36"/>
        <v>0</v>
      </c>
      <c r="CO13" s="542">
        <f t="shared" ca="1" si="36"/>
        <v>0</v>
      </c>
      <c r="CP13" s="542">
        <f t="shared" ca="1" si="36"/>
        <v>0</v>
      </c>
      <c r="CQ13" s="542">
        <f t="shared" ca="1" si="36"/>
        <v>0</v>
      </c>
      <c r="CR13" s="542">
        <f t="shared" ca="1" si="36"/>
        <v>0</v>
      </c>
      <c r="CS13" s="542">
        <f t="shared" ca="1" si="36"/>
        <v>0</v>
      </c>
      <c r="CT13" s="542">
        <f t="shared" ca="1" si="36"/>
        <v>0</v>
      </c>
      <c r="CU13" s="542">
        <f t="shared" ca="1" si="36"/>
        <v>0</v>
      </c>
      <c r="CW13" s="151">
        <f t="shared" ref="CW13:CW26" ca="1" si="37">SUM(BH13:CU13)</f>
        <v>0</v>
      </c>
    </row>
    <row r="14" spans="1:101" s="84" customFormat="1" outlineLevel="1" x14ac:dyDescent="0.2">
      <c r="A14" s="543"/>
      <c r="B14" s="543"/>
      <c r="C14" s="86"/>
      <c r="D14" s="61"/>
      <c r="E14" s="61"/>
      <c r="G14" s="298"/>
      <c r="H14" s="298"/>
      <c r="I14" s="298"/>
      <c r="J14" s="298"/>
      <c r="K14" s="298"/>
      <c r="L14" s="298"/>
      <c r="M14" s="298"/>
      <c r="N14" s="298"/>
      <c r="O14" s="298"/>
      <c r="P14" s="298">
        <f t="shared" si="1"/>
        <v>0</v>
      </c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5">
        <f t="shared" si="5"/>
        <v>0</v>
      </c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266">
        <f t="shared" si="8"/>
        <v>0</v>
      </c>
      <c r="BA14" s="309"/>
      <c r="BB14" s="309"/>
      <c r="BC14" s="309">
        <f t="shared" si="10"/>
        <v>0</v>
      </c>
      <c r="BE14" s="135">
        <f t="shared" si="11"/>
        <v>0</v>
      </c>
      <c r="BF14" s="135"/>
      <c r="BG14" s="543"/>
      <c r="BH14" s="541"/>
      <c r="BI14" s="542"/>
      <c r="BJ14" s="542"/>
      <c r="BK14" s="542"/>
      <c r="BL14" s="542"/>
      <c r="BM14" s="542"/>
      <c r="BN14" s="542"/>
      <c r="BO14" s="542"/>
      <c r="BP14" s="542"/>
      <c r="BQ14" s="542"/>
      <c r="BR14" s="542"/>
      <c r="BS14" s="542"/>
      <c r="BT14" s="542"/>
      <c r="BU14" s="542"/>
      <c r="BV14" s="542"/>
      <c r="BW14" s="542"/>
      <c r="BX14" s="542"/>
      <c r="BY14" s="542"/>
      <c r="BZ14" s="542"/>
      <c r="CA14" s="542"/>
      <c r="CB14" s="542"/>
      <c r="CC14" s="542"/>
      <c r="CD14" s="542"/>
      <c r="CE14" s="542"/>
      <c r="CF14" s="542"/>
      <c r="CG14" s="542"/>
      <c r="CH14" s="542"/>
      <c r="CI14" s="542"/>
      <c r="CJ14" s="542"/>
      <c r="CK14" s="542"/>
      <c r="CL14" s="542"/>
      <c r="CM14" s="542"/>
      <c r="CN14" s="542"/>
      <c r="CO14" s="542"/>
      <c r="CP14" s="542"/>
      <c r="CQ14" s="542"/>
      <c r="CR14" s="542"/>
      <c r="CS14" s="542"/>
      <c r="CT14" s="542"/>
      <c r="CU14" s="542"/>
      <c r="CW14" s="151">
        <f t="shared" si="37"/>
        <v>0</v>
      </c>
    </row>
    <row r="15" spans="1:101" s="84" customFormat="1" ht="12.75" customHeight="1" outlineLevel="1" x14ac:dyDescent="0.2">
      <c r="A15" s="543"/>
      <c r="B15" s="543"/>
      <c r="C15" s="86" t="s">
        <v>392</v>
      </c>
      <c r="D15" s="540" t="str">
        <f>INDEX(Modules[Module], MATCH($C15, Modules[Code], 0))</f>
        <v>Residential Lighting, Appliances, and Cooking</v>
      </c>
      <c r="E15" s="291"/>
      <c r="G15" s="297">
        <f t="shared" ref="G15:O16" ca="1" si="38">IFERROR(INDEX(INDIRECT($C15&amp;".Outputs["&amp;this.Year&amp;"]"), MATCH(G$5, INDIRECT($C15&amp;".Outputs[Vector]"), 0)), 0)</f>
        <v>0</v>
      </c>
      <c r="H15" s="297">
        <f t="shared" ca="1" si="38"/>
        <v>57.506758714249123</v>
      </c>
      <c r="I15" s="297">
        <f t="shared" ca="1" si="38"/>
        <v>227.56291231552359</v>
      </c>
      <c r="J15" s="297">
        <f t="shared" ca="1" si="38"/>
        <v>0</v>
      </c>
      <c r="K15" s="297">
        <f t="shared" ca="1" si="38"/>
        <v>0</v>
      </c>
      <c r="L15" s="297">
        <f t="shared" ca="1" si="38"/>
        <v>0</v>
      </c>
      <c r="M15" s="297">
        <f t="shared" ca="1" si="38"/>
        <v>0</v>
      </c>
      <c r="N15" s="297">
        <f t="shared" ca="1" si="38"/>
        <v>0</v>
      </c>
      <c r="O15" s="297">
        <f t="shared" ca="1" si="38"/>
        <v>0</v>
      </c>
      <c r="P15" s="297">
        <f t="shared" ca="1" si="1"/>
        <v>285.06967102977273</v>
      </c>
      <c r="R15" s="304">
        <f t="shared" ref="R15:AX16" ca="1" si="39">IFERROR(INDEX(INDIRECT($C15&amp;".Outputs["&amp;this.Year&amp;"]"), MATCH(R$5, INDIRECT($C15&amp;".Outputs[Vector]"), 0)), 0)</f>
        <v>-74.005069857124582</v>
      </c>
      <c r="S15" s="304">
        <f t="shared" ca="1" si="39"/>
        <v>0</v>
      </c>
      <c r="T15" s="304">
        <f t="shared" ca="1" si="39"/>
        <v>0</v>
      </c>
      <c r="U15" s="304">
        <f t="shared" ca="1" si="39"/>
        <v>-34.134436847328544</v>
      </c>
      <c r="V15" s="304">
        <f t="shared" ca="1" si="39"/>
        <v>-31.289900443384496</v>
      </c>
      <c r="W15" s="304">
        <f t="shared" ca="1" si="39"/>
        <v>-145.64026388193511</v>
      </c>
      <c r="X15" s="304">
        <f t="shared" ref="X15:Z16" ca="1" si="40">IFERROR(INDEX(INDIRECT($C15&amp;".Outputs["&amp;this.Year&amp;"]"), MATCH(X$5, INDIRECT($C15&amp;".Outputs[Vector]"), 0)), 0)</f>
        <v>0</v>
      </c>
      <c r="Y15" s="304">
        <f t="shared" ca="1" si="40"/>
        <v>0</v>
      </c>
      <c r="Z15" s="304">
        <f t="shared" ca="1" si="40"/>
        <v>0</v>
      </c>
      <c r="AA15" s="304">
        <f t="shared" ca="1" si="39"/>
        <v>0</v>
      </c>
      <c r="AB15" s="304">
        <f t="shared" ca="1" si="39"/>
        <v>0</v>
      </c>
      <c r="AC15" s="304">
        <f t="shared" ca="1" si="39"/>
        <v>0</v>
      </c>
      <c r="AD15" s="304">
        <f t="shared" ca="1" si="39"/>
        <v>0</v>
      </c>
      <c r="AE15" s="304">
        <f t="shared" ca="1" si="39"/>
        <v>0</v>
      </c>
      <c r="AF15" s="304">
        <f t="shared" ca="1" si="39"/>
        <v>0</v>
      </c>
      <c r="AG15" s="304">
        <f t="shared" ca="1" si="39"/>
        <v>0</v>
      </c>
      <c r="AH15" s="305">
        <f t="shared" ca="1" si="5"/>
        <v>-285.06967102977273</v>
      </c>
      <c r="AJ15" s="312">
        <f t="shared" ref="AJ15:AR16" ca="1" si="41">IFERROR(INDEX(INDIRECT($C15&amp;".Outputs["&amp;this.Year&amp;"]"), MATCH(AJ$5, INDIRECT($C15&amp;".Outputs[Vector]"), 0)), 0)</f>
        <v>0</v>
      </c>
      <c r="AK15" s="312">
        <f t="shared" ca="1" si="41"/>
        <v>0</v>
      </c>
      <c r="AL15" s="312">
        <f t="shared" ca="1" si="41"/>
        <v>0</v>
      </c>
      <c r="AM15" s="312">
        <f t="shared" ca="1" si="41"/>
        <v>0</v>
      </c>
      <c r="AN15" s="312">
        <f t="shared" ca="1" si="41"/>
        <v>0</v>
      </c>
      <c r="AO15" s="312">
        <f t="shared" ca="1" si="41"/>
        <v>0</v>
      </c>
      <c r="AP15" s="312">
        <f t="shared" ca="1" si="41"/>
        <v>0</v>
      </c>
      <c r="AQ15" s="312">
        <f t="shared" ca="1" si="41"/>
        <v>0</v>
      </c>
      <c r="AR15" s="312">
        <f t="shared" ca="1" si="41"/>
        <v>0</v>
      </c>
      <c r="AS15" s="312">
        <f t="shared" ca="1" si="39"/>
        <v>0</v>
      </c>
      <c r="AT15" s="312">
        <f t="shared" ca="1" si="39"/>
        <v>0</v>
      </c>
      <c r="AU15" s="312">
        <f t="shared" ca="1" si="39"/>
        <v>0</v>
      </c>
      <c r="AV15" s="312">
        <f t="shared" ca="1" si="39"/>
        <v>0</v>
      </c>
      <c r="AW15" s="312">
        <f t="shared" ca="1" si="39"/>
        <v>0</v>
      </c>
      <c r="AX15" s="312">
        <f t="shared" ca="1" si="39"/>
        <v>0</v>
      </c>
      <c r="AY15" s="266">
        <f t="shared" ca="1" si="8"/>
        <v>0</v>
      </c>
      <c r="BA15" s="308">
        <f ca="1">IFERROR(INDEX(INDIRECT($C15&amp;".Outputs["&amp;this.Year&amp;"]"), MATCH(BA$5, INDIRECT($C15&amp;".Outputs[Vector]"), 0)), 0)</f>
        <v>0</v>
      </c>
      <c r="BB15" s="308">
        <f ca="1">IFERROR(INDEX(INDIRECT($C15&amp;".Outputs["&amp;this.Year&amp;"]"), MATCH(BB$5, INDIRECT($C15&amp;".Outputs[Vector]"), 0)), 0)</f>
        <v>0</v>
      </c>
      <c r="BC15" s="309">
        <f t="shared" ca="1" si="10"/>
        <v>0</v>
      </c>
      <c r="BE15" s="135">
        <f t="shared" ca="1" si="11"/>
        <v>0</v>
      </c>
      <c r="BF15" s="135"/>
      <c r="BG15" s="1428"/>
      <c r="BH15" s="541">
        <f t="shared" ref="BH15:BQ16" ca="1" si="42">IFERROR(SUMIFS(INDIRECT($C15&amp;".Emissions["&amp;this.Year&amp;"]"), INDIRECT($C15&amp;".Emissions[GHG]"), BH$6, INDIRECT($C15&amp;".Emissions[IPCC Sector]"), BH$5),0)</f>
        <v>14.290950893414882</v>
      </c>
      <c r="BI15" s="542">
        <f t="shared" ca="1" si="42"/>
        <v>14.290950893414882</v>
      </c>
      <c r="BJ15" s="542">
        <f t="shared" ca="1" si="42"/>
        <v>14.290950893414882</v>
      </c>
      <c r="BK15" s="542">
        <f t="shared" ca="1" si="42"/>
        <v>0</v>
      </c>
      <c r="BL15" s="542">
        <f t="shared" ca="1" si="42"/>
        <v>0</v>
      </c>
      <c r="BM15" s="542">
        <f t="shared" ca="1" si="42"/>
        <v>0</v>
      </c>
      <c r="BN15" s="542">
        <f t="shared" ca="1" si="42"/>
        <v>0</v>
      </c>
      <c r="BO15" s="542">
        <f t="shared" ca="1" si="42"/>
        <v>0</v>
      </c>
      <c r="BP15" s="542">
        <f t="shared" ca="1" si="42"/>
        <v>0</v>
      </c>
      <c r="BQ15" s="542">
        <f t="shared" ca="1" si="42"/>
        <v>0</v>
      </c>
      <c r="BR15" s="542">
        <f t="shared" ref="BR15:CA16" ca="1" si="43">IFERROR(SUMIFS(INDIRECT($C15&amp;".Emissions["&amp;this.Year&amp;"]"), INDIRECT($C15&amp;".Emissions[GHG]"), BR$6, INDIRECT($C15&amp;".Emissions[IPCC Sector]"), BR$5),0)</f>
        <v>0</v>
      </c>
      <c r="BS15" s="542">
        <f t="shared" ca="1" si="43"/>
        <v>0</v>
      </c>
      <c r="BT15" s="542">
        <f t="shared" ca="1" si="43"/>
        <v>0</v>
      </c>
      <c r="BU15" s="542">
        <f t="shared" ca="1" si="43"/>
        <v>0</v>
      </c>
      <c r="BV15" s="542">
        <f t="shared" ca="1" si="43"/>
        <v>0</v>
      </c>
      <c r="BW15" s="542">
        <f t="shared" ca="1" si="43"/>
        <v>0</v>
      </c>
      <c r="BX15" s="542">
        <f t="shared" ca="1" si="43"/>
        <v>0</v>
      </c>
      <c r="BY15" s="542">
        <f t="shared" ca="1" si="43"/>
        <v>0</v>
      </c>
      <c r="BZ15" s="542">
        <f t="shared" ca="1" si="43"/>
        <v>0</v>
      </c>
      <c r="CA15" s="542">
        <f t="shared" ca="1" si="43"/>
        <v>0</v>
      </c>
      <c r="CB15" s="542">
        <f t="shared" ref="CB15:CK16" ca="1" si="44">IFERROR(SUMIFS(INDIRECT($C15&amp;".Emissions["&amp;this.Year&amp;"]"), INDIRECT($C15&amp;".Emissions[GHG]"), CB$6, INDIRECT($C15&amp;".Emissions[IPCC Sector]"), CB$5),0)</f>
        <v>0</v>
      </c>
      <c r="CC15" s="542">
        <f t="shared" ca="1" si="44"/>
        <v>0</v>
      </c>
      <c r="CD15" s="542">
        <f t="shared" ca="1" si="44"/>
        <v>0</v>
      </c>
      <c r="CE15" s="542">
        <f t="shared" ca="1" si="44"/>
        <v>0</v>
      </c>
      <c r="CF15" s="542">
        <f t="shared" ca="1" si="44"/>
        <v>0</v>
      </c>
      <c r="CG15" s="542">
        <f t="shared" ca="1" si="44"/>
        <v>0</v>
      </c>
      <c r="CH15" s="542">
        <f t="shared" ca="1" si="44"/>
        <v>0</v>
      </c>
      <c r="CI15" s="542">
        <f t="shared" ca="1" si="44"/>
        <v>0</v>
      </c>
      <c r="CJ15" s="542">
        <f t="shared" ca="1" si="44"/>
        <v>0</v>
      </c>
      <c r="CK15" s="542">
        <f t="shared" ca="1" si="44"/>
        <v>0</v>
      </c>
      <c r="CL15" s="542">
        <f t="shared" ref="CL15:CU16" ca="1" si="45">IFERROR(SUMIFS(INDIRECT($C15&amp;".Emissions["&amp;this.Year&amp;"]"), INDIRECT($C15&amp;".Emissions[GHG]"), CL$6, INDIRECT($C15&amp;".Emissions[IPCC Sector]"), CL$5),0)</f>
        <v>0</v>
      </c>
      <c r="CM15" s="542">
        <f t="shared" ca="1" si="45"/>
        <v>0</v>
      </c>
      <c r="CN15" s="542">
        <f t="shared" ca="1" si="45"/>
        <v>0</v>
      </c>
      <c r="CO15" s="542">
        <f t="shared" ca="1" si="45"/>
        <v>0</v>
      </c>
      <c r="CP15" s="542">
        <f t="shared" ca="1" si="45"/>
        <v>0</v>
      </c>
      <c r="CQ15" s="542">
        <f t="shared" ca="1" si="45"/>
        <v>0</v>
      </c>
      <c r="CR15" s="542">
        <f t="shared" ca="1" si="45"/>
        <v>0</v>
      </c>
      <c r="CS15" s="542">
        <f t="shared" ca="1" si="45"/>
        <v>0</v>
      </c>
      <c r="CT15" s="542">
        <f t="shared" ca="1" si="45"/>
        <v>0</v>
      </c>
      <c r="CU15" s="542">
        <f t="shared" ca="1" si="45"/>
        <v>0</v>
      </c>
      <c r="CW15" s="151">
        <f t="shared" ca="1" si="37"/>
        <v>42.872852680244648</v>
      </c>
    </row>
    <row r="16" spans="1:101" s="84" customFormat="1" ht="12.75" customHeight="1" outlineLevel="1" x14ac:dyDescent="0.2">
      <c r="A16" s="543"/>
      <c r="B16" s="543"/>
      <c r="C16" s="86" t="s">
        <v>393</v>
      </c>
      <c r="D16" s="292" t="str">
        <f>INDEX(Modules[Module], MATCH($C16, Modules[Code], 0))</f>
        <v>Service Sector Lighting, Appliances, and Cooking</v>
      </c>
      <c r="E16" s="292"/>
      <c r="G16" s="301">
        <f t="shared" ca="1" si="38"/>
        <v>0</v>
      </c>
      <c r="H16" s="301">
        <f t="shared" ca="1" si="38"/>
        <v>11.612625036999997</v>
      </c>
      <c r="I16" s="301">
        <f t="shared" ca="1" si="38"/>
        <v>21.6328066341</v>
      </c>
      <c r="J16" s="301">
        <f t="shared" ca="1" si="38"/>
        <v>0</v>
      </c>
      <c r="K16" s="301">
        <f t="shared" ca="1" si="38"/>
        <v>0</v>
      </c>
      <c r="L16" s="301">
        <f t="shared" ca="1" si="38"/>
        <v>0</v>
      </c>
      <c r="M16" s="301">
        <f t="shared" ca="1" si="38"/>
        <v>0</v>
      </c>
      <c r="N16" s="301">
        <f t="shared" ca="1" si="38"/>
        <v>0</v>
      </c>
      <c r="O16" s="301">
        <f t="shared" ca="1" si="38"/>
        <v>0</v>
      </c>
      <c r="P16" s="301">
        <f t="shared" ca="1" si="1"/>
        <v>33.245431671099993</v>
      </c>
      <c r="R16" s="307">
        <f t="shared" ca="1" si="39"/>
        <v>-13.181003517972247</v>
      </c>
      <c r="S16" s="307">
        <f t="shared" ca="1" si="39"/>
        <v>0</v>
      </c>
      <c r="T16" s="307">
        <f t="shared" ca="1" si="39"/>
        <v>0</v>
      </c>
      <c r="U16" s="307">
        <f t="shared" ca="1" si="39"/>
        <v>-3.2449209951149998</v>
      </c>
      <c r="V16" s="307">
        <f t="shared" ca="1" si="39"/>
        <v>-2.9745109121887503</v>
      </c>
      <c r="W16" s="307">
        <f t="shared" ca="1" si="39"/>
        <v>-13.844996245823999</v>
      </c>
      <c r="X16" s="307">
        <f t="shared" ca="1" si="40"/>
        <v>0</v>
      </c>
      <c r="Y16" s="307">
        <f t="shared" ca="1" si="40"/>
        <v>0</v>
      </c>
      <c r="Z16" s="307">
        <f t="shared" ca="1" si="40"/>
        <v>0</v>
      </c>
      <c r="AA16" s="307">
        <f t="shared" ca="1" si="39"/>
        <v>0</v>
      </c>
      <c r="AB16" s="307">
        <f t="shared" ca="1" si="39"/>
        <v>0</v>
      </c>
      <c r="AC16" s="307">
        <f t="shared" ca="1" si="39"/>
        <v>0</v>
      </c>
      <c r="AD16" s="307">
        <f t="shared" ca="1" si="39"/>
        <v>0</v>
      </c>
      <c r="AE16" s="307">
        <f t="shared" ca="1" si="39"/>
        <v>0</v>
      </c>
      <c r="AF16" s="307">
        <f t="shared" ca="1" si="39"/>
        <v>0</v>
      </c>
      <c r="AG16" s="307">
        <f t="shared" ca="1" si="39"/>
        <v>0</v>
      </c>
      <c r="AH16" s="306">
        <f t="shared" ca="1" si="5"/>
        <v>-33.245431671099993</v>
      </c>
      <c r="AJ16" s="315">
        <f t="shared" ca="1" si="41"/>
        <v>0</v>
      </c>
      <c r="AK16" s="315">
        <f t="shared" ca="1" si="41"/>
        <v>0</v>
      </c>
      <c r="AL16" s="315">
        <f t="shared" ca="1" si="41"/>
        <v>0</v>
      </c>
      <c r="AM16" s="315">
        <f t="shared" ca="1" si="41"/>
        <v>0</v>
      </c>
      <c r="AN16" s="315">
        <f t="shared" ca="1" si="41"/>
        <v>0</v>
      </c>
      <c r="AO16" s="315">
        <f t="shared" ca="1" si="41"/>
        <v>0</v>
      </c>
      <c r="AP16" s="315">
        <f t="shared" ca="1" si="41"/>
        <v>0</v>
      </c>
      <c r="AQ16" s="315">
        <f t="shared" ca="1" si="41"/>
        <v>0</v>
      </c>
      <c r="AR16" s="315">
        <f t="shared" ca="1" si="41"/>
        <v>0</v>
      </c>
      <c r="AS16" s="315">
        <f t="shared" ca="1" si="39"/>
        <v>0</v>
      </c>
      <c r="AT16" s="315">
        <f t="shared" ca="1" si="39"/>
        <v>0</v>
      </c>
      <c r="AU16" s="315">
        <f t="shared" ca="1" si="39"/>
        <v>0</v>
      </c>
      <c r="AV16" s="315">
        <f t="shared" ca="1" si="39"/>
        <v>0</v>
      </c>
      <c r="AW16" s="315">
        <f t="shared" ca="1" si="39"/>
        <v>0</v>
      </c>
      <c r="AX16" s="315">
        <f t="shared" ca="1" si="39"/>
        <v>0</v>
      </c>
      <c r="AY16" s="293">
        <f t="shared" ca="1" si="8"/>
        <v>0</v>
      </c>
      <c r="BA16" s="311">
        <f ca="1">IFERROR(INDEX(INDIRECT($C16&amp;".Outputs["&amp;this.Year&amp;"]"), MATCH(BA$5, INDIRECT($C16&amp;".Outputs[Vector]"), 0)), 0)</f>
        <v>0</v>
      </c>
      <c r="BB16" s="311">
        <f ca="1">IFERROR(INDEX(INDIRECT($C16&amp;".Outputs["&amp;this.Year&amp;"]"), MATCH(BB$5, INDIRECT($C16&amp;".Outputs[Vector]"), 0)), 0)</f>
        <v>0</v>
      </c>
      <c r="BC16" s="310">
        <f t="shared" ca="1" si="10"/>
        <v>0</v>
      </c>
      <c r="BE16" s="135">
        <f t="shared" ca="1" si="11"/>
        <v>0</v>
      </c>
      <c r="BF16" s="135"/>
      <c r="BG16" s="1428"/>
      <c r="BH16" s="544">
        <f t="shared" ca="1" si="42"/>
        <v>1.3585402566214799</v>
      </c>
      <c r="BI16" s="545">
        <f t="shared" ca="1" si="42"/>
        <v>2.1070535459381812E-3</v>
      </c>
      <c r="BJ16" s="545">
        <f t="shared" ca="1" si="42"/>
        <v>1.5775652053763283E-2</v>
      </c>
      <c r="BK16" s="545">
        <f t="shared" ca="1" si="42"/>
        <v>0</v>
      </c>
      <c r="BL16" s="545">
        <f t="shared" ca="1" si="42"/>
        <v>0</v>
      </c>
      <c r="BM16" s="545">
        <f t="shared" ca="1" si="42"/>
        <v>0</v>
      </c>
      <c r="BN16" s="545">
        <f t="shared" ca="1" si="42"/>
        <v>0</v>
      </c>
      <c r="BO16" s="545">
        <f t="shared" ca="1" si="42"/>
        <v>0</v>
      </c>
      <c r="BP16" s="545">
        <f t="shared" ca="1" si="42"/>
        <v>0</v>
      </c>
      <c r="BQ16" s="545">
        <f t="shared" ca="1" si="42"/>
        <v>0</v>
      </c>
      <c r="BR16" s="545">
        <f t="shared" ca="1" si="43"/>
        <v>0</v>
      </c>
      <c r="BS16" s="545">
        <f t="shared" ca="1" si="43"/>
        <v>0</v>
      </c>
      <c r="BT16" s="545">
        <f t="shared" ca="1" si="43"/>
        <v>0</v>
      </c>
      <c r="BU16" s="545">
        <f t="shared" ca="1" si="43"/>
        <v>0</v>
      </c>
      <c r="BV16" s="545">
        <f t="shared" ca="1" si="43"/>
        <v>0</v>
      </c>
      <c r="BW16" s="545">
        <f t="shared" ca="1" si="43"/>
        <v>0</v>
      </c>
      <c r="BX16" s="545">
        <f t="shared" ca="1" si="43"/>
        <v>0</v>
      </c>
      <c r="BY16" s="545">
        <f t="shared" ca="1" si="43"/>
        <v>0</v>
      </c>
      <c r="BZ16" s="545">
        <f t="shared" ca="1" si="43"/>
        <v>0</v>
      </c>
      <c r="CA16" s="545">
        <f t="shared" ca="1" si="43"/>
        <v>0</v>
      </c>
      <c r="CB16" s="545">
        <f t="shared" ca="1" si="44"/>
        <v>0</v>
      </c>
      <c r="CC16" s="545">
        <f t="shared" ca="1" si="44"/>
        <v>0</v>
      </c>
      <c r="CD16" s="545">
        <f t="shared" ca="1" si="44"/>
        <v>0</v>
      </c>
      <c r="CE16" s="545">
        <f t="shared" ca="1" si="44"/>
        <v>0</v>
      </c>
      <c r="CF16" s="545">
        <f t="shared" ca="1" si="44"/>
        <v>0</v>
      </c>
      <c r="CG16" s="545">
        <f t="shared" ca="1" si="44"/>
        <v>0</v>
      </c>
      <c r="CH16" s="545">
        <f t="shared" ca="1" si="44"/>
        <v>0</v>
      </c>
      <c r="CI16" s="545">
        <f t="shared" ca="1" si="44"/>
        <v>0</v>
      </c>
      <c r="CJ16" s="545">
        <f t="shared" ca="1" si="44"/>
        <v>0</v>
      </c>
      <c r="CK16" s="545">
        <f t="shared" ca="1" si="44"/>
        <v>0</v>
      </c>
      <c r="CL16" s="545">
        <f t="shared" ca="1" si="45"/>
        <v>0</v>
      </c>
      <c r="CM16" s="545">
        <f t="shared" ca="1" si="45"/>
        <v>0</v>
      </c>
      <c r="CN16" s="545">
        <f t="shared" ca="1" si="45"/>
        <v>0</v>
      </c>
      <c r="CO16" s="545">
        <f t="shared" ca="1" si="45"/>
        <v>0</v>
      </c>
      <c r="CP16" s="545">
        <f t="shared" ca="1" si="45"/>
        <v>0</v>
      </c>
      <c r="CQ16" s="545">
        <f t="shared" ca="1" si="45"/>
        <v>0</v>
      </c>
      <c r="CR16" s="545">
        <f t="shared" ca="1" si="45"/>
        <v>0</v>
      </c>
      <c r="CS16" s="545">
        <f t="shared" ca="1" si="45"/>
        <v>0</v>
      </c>
      <c r="CT16" s="545">
        <f t="shared" ca="1" si="45"/>
        <v>0</v>
      </c>
      <c r="CU16" s="545">
        <f t="shared" ca="1" si="45"/>
        <v>0</v>
      </c>
      <c r="CW16" s="151">
        <f t="shared" ca="1" si="37"/>
        <v>1.3764229622211814</v>
      </c>
    </row>
    <row r="17" spans="1:101" s="84" customFormat="1" ht="15.75" x14ac:dyDescent="0.2">
      <c r="A17" s="18"/>
      <c r="B17" s="89"/>
      <c r="C17" s="85" t="s">
        <v>230</v>
      </c>
      <c r="D17" s="57" t="str">
        <f>INDEX(Workstreams[Workstream], MATCH($C17, Workstreams[Code], 0))</f>
        <v>Lighting, Appliances &amp; Cooking</v>
      </c>
      <c r="E17" s="53"/>
      <c r="G17" s="300">
        <f ca="1">G15+G16</f>
        <v>0</v>
      </c>
      <c r="H17" s="300">
        <f t="shared" ref="H17:O17" ca="1" si="46">H15+H16</f>
        <v>69.119383751249117</v>
      </c>
      <c r="I17" s="300">
        <f ca="1">I15+I16</f>
        <v>249.1957189496236</v>
      </c>
      <c r="J17" s="300">
        <f t="shared" ca="1" si="46"/>
        <v>0</v>
      </c>
      <c r="K17" s="300">
        <f t="shared" ca="1" si="46"/>
        <v>0</v>
      </c>
      <c r="L17" s="300">
        <f t="shared" ca="1" si="46"/>
        <v>0</v>
      </c>
      <c r="M17" s="300">
        <f t="shared" ca="1" si="46"/>
        <v>0</v>
      </c>
      <c r="N17" s="300">
        <f t="shared" ca="1" si="46"/>
        <v>0</v>
      </c>
      <c r="O17" s="300">
        <f t="shared" ca="1" si="46"/>
        <v>0</v>
      </c>
      <c r="P17" s="300">
        <f t="shared" ca="1" si="1"/>
        <v>318.31510270087273</v>
      </c>
      <c r="R17" s="257">
        <f ca="1">R15+R16</f>
        <v>-87.186073375096825</v>
      </c>
      <c r="S17" s="257">
        <f t="shared" ref="S17:AE17" ca="1" si="47">S15+S16</f>
        <v>0</v>
      </c>
      <c r="T17" s="257">
        <f t="shared" ca="1" si="47"/>
        <v>0</v>
      </c>
      <c r="U17" s="257">
        <f t="shared" ca="1" si="47"/>
        <v>-37.379357842443547</v>
      </c>
      <c r="V17" s="257">
        <f t="shared" ca="1" si="47"/>
        <v>-34.264411355573245</v>
      </c>
      <c r="W17" s="257">
        <f ca="1">W15+W16</f>
        <v>-159.48526012775912</v>
      </c>
      <c r="X17" s="257">
        <f ca="1">X15+X16</f>
        <v>0</v>
      </c>
      <c r="Y17" s="257">
        <f ca="1">Y15+Y16</f>
        <v>0</v>
      </c>
      <c r="Z17" s="257">
        <f ca="1">Z15+Z16</f>
        <v>0</v>
      </c>
      <c r="AA17" s="257">
        <f t="shared" ca="1" si="47"/>
        <v>0</v>
      </c>
      <c r="AB17" s="257">
        <f t="shared" ca="1" si="47"/>
        <v>0</v>
      </c>
      <c r="AC17" s="257">
        <f ca="1">AC15+AC16</f>
        <v>0</v>
      </c>
      <c r="AD17" s="257">
        <f ca="1">AD15+AD16</f>
        <v>0</v>
      </c>
      <c r="AE17" s="257">
        <f t="shared" ca="1" si="47"/>
        <v>0</v>
      </c>
      <c r="AF17" s="257">
        <f ca="1">AF15+AF16</f>
        <v>0</v>
      </c>
      <c r="AG17" s="257">
        <f ca="1">AG15+AG16</f>
        <v>0</v>
      </c>
      <c r="AH17" s="257">
        <f t="shared" ca="1" si="5"/>
        <v>-318.31510270087279</v>
      </c>
      <c r="AJ17" s="263">
        <f t="shared" ref="AJ17:AX17" ca="1" si="48">AJ15+AJ16</f>
        <v>0</v>
      </c>
      <c r="AK17" s="263">
        <f t="shared" ca="1" si="48"/>
        <v>0</v>
      </c>
      <c r="AL17" s="263">
        <f t="shared" ca="1" si="48"/>
        <v>0</v>
      </c>
      <c r="AM17" s="263">
        <f t="shared" ca="1" si="48"/>
        <v>0</v>
      </c>
      <c r="AN17" s="263">
        <f t="shared" ca="1" si="48"/>
        <v>0</v>
      </c>
      <c r="AO17" s="263">
        <f t="shared" ca="1" si="48"/>
        <v>0</v>
      </c>
      <c r="AP17" s="263">
        <f t="shared" ca="1" si="48"/>
        <v>0</v>
      </c>
      <c r="AQ17" s="263">
        <f t="shared" ca="1" si="48"/>
        <v>0</v>
      </c>
      <c r="AR17" s="263">
        <f t="shared" ca="1" si="48"/>
        <v>0</v>
      </c>
      <c r="AS17" s="263">
        <f t="shared" ca="1" si="48"/>
        <v>0</v>
      </c>
      <c r="AT17" s="263">
        <f t="shared" ca="1" si="48"/>
        <v>0</v>
      </c>
      <c r="AU17" s="263">
        <f t="shared" ca="1" si="48"/>
        <v>0</v>
      </c>
      <c r="AV17" s="263">
        <f t="shared" ca="1" si="48"/>
        <v>0</v>
      </c>
      <c r="AW17" s="263">
        <f t="shared" ca="1" si="48"/>
        <v>0</v>
      </c>
      <c r="AX17" s="263">
        <f t="shared" ca="1" si="48"/>
        <v>0</v>
      </c>
      <c r="AY17" s="263">
        <f t="shared" ca="1" si="8"/>
        <v>0</v>
      </c>
      <c r="BA17" s="277">
        <f ca="1">BA15+BA16</f>
        <v>0</v>
      </c>
      <c r="BB17" s="277">
        <f ca="1">BB15+BB16</f>
        <v>0</v>
      </c>
      <c r="BC17" s="277">
        <f t="shared" ca="1" si="10"/>
        <v>0</v>
      </c>
      <c r="BE17" s="55">
        <f t="shared" ca="1" si="11"/>
        <v>-5.6843418860808015E-14</v>
      </c>
      <c r="BF17" s="55"/>
      <c r="BG17" s="1428"/>
      <c r="BH17" s="542">
        <f t="shared" ref="BH17:CU17" ca="1" si="49">BH15+BH16</f>
        <v>15.649491150036361</v>
      </c>
      <c r="BI17" s="542">
        <f t="shared" ca="1" si="49"/>
        <v>14.29305794696082</v>
      </c>
      <c r="BJ17" s="542">
        <f t="shared" ca="1" si="49"/>
        <v>14.306726545468646</v>
      </c>
      <c r="BK17" s="542">
        <f t="shared" ca="1" si="49"/>
        <v>0</v>
      </c>
      <c r="BL17" s="542">
        <f t="shared" ca="1" si="49"/>
        <v>0</v>
      </c>
      <c r="BM17" s="542">
        <f t="shared" ca="1" si="49"/>
        <v>0</v>
      </c>
      <c r="BN17" s="542">
        <f t="shared" ca="1" si="49"/>
        <v>0</v>
      </c>
      <c r="BO17" s="542">
        <f t="shared" ca="1" si="49"/>
        <v>0</v>
      </c>
      <c r="BP17" s="542">
        <f t="shared" ca="1" si="49"/>
        <v>0</v>
      </c>
      <c r="BQ17" s="542">
        <f t="shared" ca="1" si="49"/>
        <v>0</v>
      </c>
      <c r="BR17" s="542">
        <f t="shared" ca="1" si="49"/>
        <v>0</v>
      </c>
      <c r="BS17" s="542">
        <f t="shared" ca="1" si="49"/>
        <v>0</v>
      </c>
      <c r="BT17" s="542">
        <f t="shared" ca="1" si="49"/>
        <v>0</v>
      </c>
      <c r="BU17" s="542">
        <f t="shared" ca="1" si="49"/>
        <v>0</v>
      </c>
      <c r="BV17" s="542">
        <f t="shared" ca="1" si="49"/>
        <v>0</v>
      </c>
      <c r="BW17" s="542">
        <f t="shared" ca="1" si="49"/>
        <v>0</v>
      </c>
      <c r="BX17" s="542">
        <f t="shared" ca="1" si="49"/>
        <v>0</v>
      </c>
      <c r="BY17" s="542">
        <f t="shared" ca="1" si="49"/>
        <v>0</v>
      </c>
      <c r="BZ17" s="542">
        <f t="shared" ca="1" si="49"/>
        <v>0</v>
      </c>
      <c r="CA17" s="542">
        <f t="shared" ca="1" si="49"/>
        <v>0</v>
      </c>
      <c r="CB17" s="542">
        <f t="shared" ca="1" si="49"/>
        <v>0</v>
      </c>
      <c r="CC17" s="542">
        <f t="shared" ca="1" si="49"/>
        <v>0</v>
      </c>
      <c r="CD17" s="542">
        <f t="shared" ca="1" si="49"/>
        <v>0</v>
      </c>
      <c r="CE17" s="542">
        <f t="shared" ca="1" si="49"/>
        <v>0</v>
      </c>
      <c r="CF17" s="542">
        <f t="shared" ca="1" si="49"/>
        <v>0</v>
      </c>
      <c r="CG17" s="542">
        <f t="shared" ca="1" si="49"/>
        <v>0</v>
      </c>
      <c r="CH17" s="542">
        <f t="shared" ca="1" si="49"/>
        <v>0</v>
      </c>
      <c r="CI17" s="542">
        <f t="shared" ca="1" si="49"/>
        <v>0</v>
      </c>
      <c r="CJ17" s="542">
        <f t="shared" ca="1" si="49"/>
        <v>0</v>
      </c>
      <c r="CK17" s="542">
        <f t="shared" ca="1" si="49"/>
        <v>0</v>
      </c>
      <c r="CL17" s="542">
        <f t="shared" ca="1" si="49"/>
        <v>0</v>
      </c>
      <c r="CM17" s="542">
        <f t="shared" ca="1" si="49"/>
        <v>0</v>
      </c>
      <c r="CN17" s="542">
        <f t="shared" ca="1" si="49"/>
        <v>0</v>
      </c>
      <c r="CO17" s="542">
        <f t="shared" ca="1" si="49"/>
        <v>0</v>
      </c>
      <c r="CP17" s="542">
        <f t="shared" ca="1" si="49"/>
        <v>0</v>
      </c>
      <c r="CQ17" s="542">
        <f t="shared" ca="1" si="49"/>
        <v>0</v>
      </c>
      <c r="CR17" s="542">
        <f t="shared" ca="1" si="49"/>
        <v>0</v>
      </c>
      <c r="CS17" s="542">
        <f t="shared" ca="1" si="49"/>
        <v>0</v>
      </c>
      <c r="CT17" s="542">
        <f t="shared" ca="1" si="49"/>
        <v>0</v>
      </c>
      <c r="CU17" s="542">
        <f t="shared" ca="1" si="49"/>
        <v>0</v>
      </c>
      <c r="CW17" s="151">
        <f t="shared" ca="1" si="37"/>
        <v>44.249275642465832</v>
      </c>
    </row>
    <row r="18" spans="1:101" s="84" customFormat="1" ht="12.75" customHeight="1" outlineLevel="1" x14ac:dyDescent="0.2">
      <c r="A18" s="543"/>
      <c r="B18" s="543"/>
      <c r="C18" s="86"/>
      <c r="D18" s="61"/>
      <c r="E18" s="61"/>
      <c r="G18" s="298"/>
      <c r="H18" s="298"/>
      <c r="I18" s="298"/>
      <c r="J18" s="298"/>
      <c r="K18" s="298"/>
      <c r="L18" s="298"/>
      <c r="M18" s="298"/>
      <c r="N18" s="298"/>
      <c r="O18" s="298"/>
      <c r="P18" s="298">
        <f t="shared" si="1"/>
        <v>0</v>
      </c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>
        <f t="shared" si="5"/>
        <v>0</v>
      </c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266">
        <f t="shared" si="8"/>
        <v>0</v>
      </c>
      <c r="BA18" s="309"/>
      <c r="BB18" s="309"/>
      <c r="BC18" s="309">
        <f t="shared" si="10"/>
        <v>0</v>
      </c>
      <c r="BE18" s="135">
        <f t="shared" si="11"/>
        <v>0</v>
      </c>
      <c r="BF18" s="135"/>
      <c r="BG18" s="543"/>
      <c r="BH18" s="541"/>
      <c r="BI18" s="542"/>
      <c r="BJ18" s="542"/>
      <c r="BK18" s="542"/>
      <c r="BL18" s="542"/>
      <c r="BM18" s="542"/>
      <c r="BN18" s="542"/>
      <c r="BO18" s="542"/>
      <c r="BP18" s="542"/>
      <c r="BQ18" s="542"/>
      <c r="BR18" s="542"/>
      <c r="BS18" s="542"/>
      <c r="BT18" s="542"/>
      <c r="BU18" s="542"/>
      <c r="BV18" s="542"/>
      <c r="BW18" s="542"/>
      <c r="BX18" s="542"/>
      <c r="BY18" s="542"/>
      <c r="BZ18" s="542"/>
      <c r="CA18" s="542"/>
      <c r="CB18" s="542"/>
      <c r="CC18" s="542"/>
      <c r="CD18" s="542"/>
      <c r="CE18" s="542"/>
      <c r="CF18" s="542"/>
      <c r="CG18" s="542"/>
      <c r="CH18" s="542"/>
      <c r="CI18" s="542"/>
      <c r="CJ18" s="542"/>
      <c r="CK18" s="542"/>
      <c r="CL18" s="542"/>
      <c r="CM18" s="542"/>
      <c r="CN18" s="542"/>
      <c r="CO18" s="542"/>
      <c r="CP18" s="542"/>
      <c r="CQ18" s="542"/>
      <c r="CR18" s="542"/>
      <c r="CS18" s="542"/>
      <c r="CT18" s="542"/>
      <c r="CU18" s="542"/>
      <c r="CW18" s="151">
        <f t="shared" si="37"/>
        <v>0</v>
      </c>
    </row>
    <row r="19" spans="1:101" s="84" customFormat="1" ht="12.75" customHeight="1" outlineLevel="1" x14ac:dyDescent="0.2">
      <c r="A19" s="543"/>
      <c r="B19" s="543"/>
      <c r="C19" s="86" t="s">
        <v>360</v>
      </c>
      <c r="D19" s="292" t="str">
        <f>INDEX(Modules[Module], MATCH($C19, Modules[Code], 0))</f>
        <v>Industrial processes</v>
      </c>
      <c r="E19" s="292"/>
      <c r="G19" s="301">
        <f t="shared" ref="G19:O19" ca="1" si="50">IFERROR(INDEX(INDIRECT($C19&amp;".Outputs["&amp;this.Year&amp;"]"), MATCH(G$5, INDIRECT($C19&amp;".Outputs[Vector]"), 0)), 0)</f>
        <v>0</v>
      </c>
      <c r="H19" s="301">
        <f t="shared" ca="1" si="50"/>
        <v>0</v>
      </c>
      <c r="I19" s="301">
        <f t="shared" ca="1" si="50"/>
        <v>0</v>
      </c>
      <c r="J19" s="301">
        <f t="shared" ca="1" si="50"/>
        <v>76.26761509483751</v>
      </c>
      <c r="K19" s="301">
        <f t="shared" ca="1" si="50"/>
        <v>0</v>
      </c>
      <c r="L19" s="301">
        <f t="shared" ca="1" si="50"/>
        <v>0</v>
      </c>
      <c r="M19" s="301">
        <f t="shared" ca="1" si="50"/>
        <v>0</v>
      </c>
      <c r="N19" s="301">
        <f t="shared" ca="1" si="50"/>
        <v>0</v>
      </c>
      <c r="O19" s="301">
        <f t="shared" ca="1" si="50"/>
        <v>0</v>
      </c>
      <c r="P19" s="301">
        <f t="shared" ca="1" si="1"/>
        <v>76.26761509483751</v>
      </c>
      <c r="R19" s="307">
        <f t="shared" ref="R19:AX19" ca="1" si="51">IFERROR(INDEX(INDIRECT($C19&amp;".Outputs["&amp;this.Year&amp;"]"), MATCH(R$5, INDIRECT($C19&amp;".Outputs[Vector]"), 0)), 0)</f>
        <v>-24.8255212104248</v>
      </c>
      <c r="S19" s="307">
        <f t="shared" ca="1" si="51"/>
        <v>0</v>
      </c>
      <c r="T19" s="307">
        <f t="shared" ca="1" si="51"/>
        <v>-2.1424701278326816</v>
      </c>
      <c r="U19" s="307">
        <f t="shared" ca="1" si="51"/>
        <v>-9.8981655461306968</v>
      </c>
      <c r="V19" s="307">
        <f t="shared" ca="1" si="51"/>
        <v>-31.496910128840543</v>
      </c>
      <c r="W19" s="307">
        <f t="shared" ca="1" si="51"/>
        <v>-7.9045480816087821</v>
      </c>
      <c r="X19" s="307">
        <f ca="1">IFERROR(INDEX(INDIRECT($C19&amp;".Outputs["&amp;this.Year&amp;"]"), MATCH(X$5, INDIRECT($C19&amp;".Outputs[Vector]"), 0)), 0)</f>
        <v>0</v>
      </c>
      <c r="Y19" s="307">
        <f ca="1">IFERROR(INDEX(INDIRECT($C19&amp;".Outputs["&amp;this.Year&amp;"]"), MATCH(Y$5, INDIRECT($C19&amp;".Outputs[Vector]"), 0)), 0)</f>
        <v>0</v>
      </c>
      <c r="Z19" s="307">
        <f ca="1">IFERROR(INDEX(INDIRECT($C19&amp;".Outputs["&amp;this.Year&amp;"]"), MATCH(Z$5, INDIRECT($C19&amp;".Outputs[Vector]"), 0)), 0)</f>
        <v>0</v>
      </c>
      <c r="AA19" s="307">
        <f t="shared" ca="1" si="51"/>
        <v>0</v>
      </c>
      <c r="AB19" s="307">
        <f t="shared" ca="1" si="51"/>
        <v>0</v>
      </c>
      <c r="AC19" s="307">
        <f t="shared" ca="1" si="51"/>
        <v>0</v>
      </c>
      <c r="AD19" s="307">
        <f t="shared" ca="1" si="51"/>
        <v>0</v>
      </c>
      <c r="AE19" s="307">
        <f t="shared" ca="1" si="51"/>
        <v>0</v>
      </c>
      <c r="AF19" s="307">
        <f t="shared" ca="1" si="51"/>
        <v>0</v>
      </c>
      <c r="AG19" s="307">
        <f t="shared" ca="1" si="51"/>
        <v>0</v>
      </c>
      <c r="AH19" s="306">
        <f t="shared" ca="1" si="5"/>
        <v>-76.267615094837495</v>
      </c>
      <c r="AJ19" s="315">
        <f t="shared" ref="AJ19:AR19" ca="1" si="52">IFERROR(INDEX(INDIRECT($C19&amp;".Outputs["&amp;this.Year&amp;"]"), MATCH(AJ$5, INDIRECT($C19&amp;".Outputs[Vector]"), 0)), 0)</f>
        <v>0</v>
      </c>
      <c r="AK19" s="315">
        <f t="shared" ca="1" si="52"/>
        <v>0</v>
      </c>
      <c r="AL19" s="315">
        <f t="shared" ca="1" si="52"/>
        <v>0</v>
      </c>
      <c r="AM19" s="315">
        <f t="shared" ca="1" si="52"/>
        <v>0</v>
      </c>
      <c r="AN19" s="315">
        <f t="shared" ca="1" si="52"/>
        <v>0</v>
      </c>
      <c r="AO19" s="315">
        <f t="shared" ca="1" si="52"/>
        <v>0</v>
      </c>
      <c r="AP19" s="315">
        <f t="shared" ca="1" si="52"/>
        <v>0</v>
      </c>
      <c r="AQ19" s="315">
        <f t="shared" ca="1" si="52"/>
        <v>0</v>
      </c>
      <c r="AR19" s="315">
        <f t="shared" ca="1" si="52"/>
        <v>0</v>
      </c>
      <c r="AS19" s="315">
        <f t="shared" ca="1" si="51"/>
        <v>0</v>
      </c>
      <c r="AT19" s="315">
        <f t="shared" ca="1" si="51"/>
        <v>0</v>
      </c>
      <c r="AU19" s="315">
        <f t="shared" ca="1" si="51"/>
        <v>0</v>
      </c>
      <c r="AV19" s="315">
        <f t="shared" ca="1" si="51"/>
        <v>0</v>
      </c>
      <c r="AW19" s="315">
        <f t="shared" ca="1" si="51"/>
        <v>0</v>
      </c>
      <c r="AX19" s="315">
        <f t="shared" ca="1" si="51"/>
        <v>0</v>
      </c>
      <c r="AY19" s="293">
        <f t="shared" ca="1" si="8"/>
        <v>0</v>
      </c>
      <c r="BA19" s="311">
        <f ca="1">IFERROR(INDEX(INDIRECT($C19&amp;".Outputs["&amp;this.Year&amp;"]"), MATCH(BA$5, INDIRECT($C19&amp;".Outputs[Vector]"), 0)), 0)</f>
        <v>0</v>
      </c>
      <c r="BB19" s="311">
        <f ca="1">IFERROR(INDEX(INDIRECT($C19&amp;".Outputs["&amp;this.Year&amp;"]"), MATCH(BB$5, INDIRECT($C19&amp;".Outputs[Vector]"), 0)), 0)</f>
        <v>0</v>
      </c>
      <c r="BC19" s="310">
        <f t="shared" ca="1" si="10"/>
        <v>0</v>
      </c>
      <c r="BE19" s="135">
        <f t="shared" ca="1" si="11"/>
        <v>1.4210854715202004E-14</v>
      </c>
      <c r="BF19" s="135"/>
      <c r="BG19" s="1428"/>
      <c r="BH19" s="544">
        <f t="shared" ref="BH19:CU19" ca="1" si="53">IFERROR(SUMIFS(INDIRECT($C19&amp;".Emissions["&amp;this.Year&amp;"]"), INDIRECT($C19&amp;".Emissions[GHG]"), BH$6, INDIRECT($C19&amp;".Emissions[IPCC Sector]"), BH$5),0)</f>
        <v>8.9298536496117986</v>
      </c>
      <c r="BI19" s="545">
        <f t="shared" ca="1" si="53"/>
        <v>1.6636145123288308E-2</v>
      </c>
      <c r="BJ19" s="545">
        <f t="shared" ca="1" si="53"/>
        <v>6.2862130240715366E-2</v>
      </c>
      <c r="BK19" s="545">
        <f t="shared" ca="1" si="53"/>
        <v>0</v>
      </c>
      <c r="BL19" s="545">
        <f t="shared" ca="1" si="53"/>
        <v>0</v>
      </c>
      <c r="BM19" s="545">
        <f t="shared" ca="1" si="53"/>
        <v>0</v>
      </c>
      <c r="BN19" s="545">
        <f t="shared" ca="1" si="53"/>
        <v>0</v>
      </c>
      <c r="BO19" s="545">
        <f t="shared" ca="1" si="53"/>
        <v>0</v>
      </c>
      <c r="BP19" s="545">
        <f t="shared" ca="1" si="53"/>
        <v>14.682038301883917</v>
      </c>
      <c r="BQ19" s="545">
        <f t="shared" ca="1" si="53"/>
        <v>0.12340583618450737</v>
      </c>
      <c r="BR19" s="545">
        <f t="shared" ca="1" si="53"/>
        <v>3.1177186281139675</v>
      </c>
      <c r="BS19" s="545">
        <f t="shared" ca="1" si="53"/>
        <v>9.9423140598270283</v>
      </c>
      <c r="BT19" s="545">
        <f t="shared" ca="1" si="53"/>
        <v>0</v>
      </c>
      <c r="BU19" s="545">
        <f t="shared" ca="1" si="53"/>
        <v>0</v>
      </c>
      <c r="BV19" s="545">
        <f t="shared" ca="1" si="53"/>
        <v>0</v>
      </c>
      <c r="BW19" s="545">
        <f t="shared" ca="1" si="53"/>
        <v>0</v>
      </c>
      <c r="BX19" s="545">
        <f t="shared" ca="1" si="53"/>
        <v>0</v>
      </c>
      <c r="BY19" s="545">
        <f t="shared" ca="1" si="53"/>
        <v>0</v>
      </c>
      <c r="BZ19" s="545">
        <f t="shared" ca="1" si="53"/>
        <v>0</v>
      </c>
      <c r="CA19" s="545">
        <f t="shared" ca="1" si="53"/>
        <v>0</v>
      </c>
      <c r="CB19" s="545">
        <f t="shared" ca="1" si="53"/>
        <v>0</v>
      </c>
      <c r="CC19" s="545">
        <f t="shared" ca="1" si="53"/>
        <v>0</v>
      </c>
      <c r="CD19" s="545">
        <f t="shared" ca="1" si="53"/>
        <v>0</v>
      </c>
      <c r="CE19" s="545">
        <f t="shared" ca="1" si="53"/>
        <v>0</v>
      </c>
      <c r="CF19" s="545">
        <f t="shared" ca="1" si="53"/>
        <v>0</v>
      </c>
      <c r="CG19" s="545">
        <f t="shared" ca="1" si="53"/>
        <v>0</v>
      </c>
      <c r="CH19" s="545">
        <f t="shared" ca="1" si="53"/>
        <v>0</v>
      </c>
      <c r="CI19" s="545">
        <f t="shared" ca="1" si="53"/>
        <v>0</v>
      </c>
      <c r="CJ19" s="545">
        <f t="shared" ca="1" si="53"/>
        <v>0</v>
      </c>
      <c r="CK19" s="545">
        <f t="shared" ca="1" si="53"/>
        <v>0</v>
      </c>
      <c r="CL19" s="545">
        <f t="shared" ca="1" si="53"/>
        <v>0</v>
      </c>
      <c r="CM19" s="545">
        <f t="shared" ca="1" si="53"/>
        <v>0</v>
      </c>
      <c r="CN19" s="545">
        <f t="shared" ca="1" si="53"/>
        <v>0</v>
      </c>
      <c r="CO19" s="545">
        <f t="shared" ca="1" si="53"/>
        <v>0</v>
      </c>
      <c r="CP19" s="545">
        <f t="shared" ca="1" si="53"/>
        <v>0</v>
      </c>
      <c r="CQ19" s="545">
        <f t="shared" ca="1" si="53"/>
        <v>0</v>
      </c>
      <c r="CR19" s="545">
        <f t="shared" ca="1" si="53"/>
        <v>0</v>
      </c>
      <c r="CS19" s="545">
        <f t="shared" ca="1" si="53"/>
        <v>0</v>
      </c>
      <c r="CT19" s="545">
        <f t="shared" ca="1" si="53"/>
        <v>0</v>
      </c>
      <c r="CU19" s="545">
        <f t="shared" ca="1" si="53"/>
        <v>0</v>
      </c>
      <c r="CW19" s="151">
        <f t="shared" ca="1" si="37"/>
        <v>36.874828750985216</v>
      </c>
    </row>
    <row r="20" spans="1:101" s="84" customFormat="1" ht="15.75" x14ac:dyDescent="0.2">
      <c r="A20" s="18"/>
      <c r="B20" s="89"/>
      <c r="C20" s="85" t="s">
        <v>231</v>
      </c>
      <c r="D20" s="57" t="str">
        <f>INDEX(Workstreams[Workstream], MATCH($C20, Workstreams[Code], 0))</f>
        <v>Industry</v>
      </c>
      <c r="E20" s="53"/>
      <c r="G20" s="300">
        <f ca="1">G19</f>
        <v>0</v>
      </c>
      <c r="H20" s="300">
        <f t="shared" ref="H20:O20" ca="1" si="54">H19</f>
        <v>0</v>
      </c>
      <c r="I20" s="300">
        <f ca="1">I19</f>
        <v>0</v>
      </c>
      <c r="J20" s="300">
        <f t="shared" ca="1" si="54"/>
        <v>76.26761509483751</v>
      </c>
      <c r="K20" s="300">
        <f t="shared" ca="1" si="54"/>
        <v>0</v>
      </c>
      <c r="L20" s="300">
        <f t="shared" ca="1" si="54"/>
        <v>0</v>
      </c>
      <c r="M20" s="300">
        <f t="shared" ca="1" si="54"/>
        <v>0</v>
      </c>
      <c r="N20" s="300">
        <f t="shared" ca="1" si="54"/>
        <v>0</v>
      </c>
      <c r="O20" s="300">
        <f t="shared" ca="1" si="54"/>
        <v>0</v>
      </c>
      <c r="P20" s="300">
        <f t="shared" ca="1" si="1"/>
        <v>76.26761509483751</v>
      </c>
      <c r="R20" s="257">
        <f t="shared" ref="R20:AG20" ca="1" si="55">R19</f>
        <v>-24.8255212104248</v>
      </c>
      <c r="S20" s="257">
        <f t="shared" ca="1" si="55"/>
        <v>0</v>
      </c>
      <c r="T20" s="257">
        <f t="shared" ca="1" si="55"/>
        <v>-2.1424701278326816</v>
      </c>
      <c r="U20" s="257">
        <f t="shared" ca="1" si="55"/>
        <v>-9.8981655461306968</v>
      </c>
      <c r="V20" s="257">
        <f t="shared" ca="1" si="55"/>
        <v>-31.496910128840543</v>
      </c>
      <c r="W20" s="257">
        <f ca="1">W19</f>
        <v>-7.9045480816087821</v>
      </c>
      <c r="X20" s="257">
        <f t="shared" ca="1" si="55"/>
        <v>0</v>
      </c>
      <c r="Y20" s="257">
        <f t="shared" ca="1" si="55"/>
        <v>0</v>
      </c>
      <c r="Z20" s="257">
        <f t="shared" ca="1" si="55"/>
        <v>0</v>
      </c>
      <c r="AA20" s="257">
        <f t="shared" ca="1" si="55"/>
        <v>0</v>
      </c>
      <c r="AB20" s="257">
        <f t="shared" ca="1" si="55"/>
        <v>0</v>
      </c>
      <c r="AC20" s="257">
        <f t="shared" ca="1" si="55"/>
        <v>0</v>
      </c>
      <c r="AD20" s="257">
        <f t="shared" ca="1" si="55"/>
        <v>0</v>
      </c>
      <c r="AE20" s="257">
        <f t="shared" ca="1" si="55"/>
        <v>0</v>
      </c>
      <c r="AF20" s="257">
        <f t="shared" ca="1" si="55"/>
        <v>0</v>
      </c>
      <c r="AG20" s="257">
        <f t="shared" ca="1" si="55"/>
        <v>0</v>
      </c>
      <c r="AH20" s="257">
        <f t="shared" ca="1" si="5"/>
        <v>-76.267615094837495</v>
      </c>
      <c r="AJ20" s="263">
        <f t="shared" ref="AJ20:AX20" ca="1" si="56">AJ19</f>
        <v>0</v>
      </c>
      <c r="AK20" s="263">
        <f t="shared" ca="1" si="56"/>
        <v>0</v>
      </c>
      <c r="AL20" s="263">
        <f t="shared" ca="1" si="56"/>
        <v>0</v>
      </c>
      <c r="AM20" s="263">
        <f t="shared" ca="1" si="56"/>
        <v>0</v>
      </c>
      <c r="AN20" s="263">
        <f t="shared" ca="1" si="56"/>
        <v>0</v>
      </c>
      <c r="AO20" s="263">
        <f t="shared" ca="1" si="56"/>
        <v>0</v>
      </c>
      <c r="AP20" s="263">
        <f t="shared" ca="1" si="56"/>
        <v>0</v>
      </c>
      <c r="AQ20" s="263">
        <f t="shared" ca="1" si="56"/>
        <v>0</v>
      </c>
      <c r="AR20" s="263">
        <f t="shared" ca="1" si="56"/>
        <v>0</v>
      </c>
      <c r="AS20" s="263">
        <f t="shared" ca="1" si="56"/>
        <v>0</v>
      </c>
      <c r="AT20" s="263">
        <f t="shared" ca="1" si="56"/>
        <v>0</v>
      </c>
      <c r="AU20" s="263">
        <f t="shared" ca="1" si="56"/>
        <v>0</v>
      </c>
      <c r="AV20" s="263">
        <f t="shared" ca="1" si="56"/>
        <v>0</v>
      </c>
      <c r="AW20" s="263">
        <f t="shared" ca="1" si="56"/>
        <v>0</v>
      </c>
      <c r="AX20" s="263">
        <f t="shared" ca="1" si="56"/>
        <v>0</v>
      </c>
      <c r="AY20" s="263">
        <f t="shared" ca="1" si="8"/>
        <v>0</v>
      </c>
      <c r="BA20" s="277">
        <f ca="1">BA19</f>
        <v>0</v>
      </c>
      <c r="BB20" s="277">
        <f ca="1">BB19</f>
        <v>0</v>
      </c>
      <c r="BC20" s="277">
        <f t="shared" ca="1" si="10"/>
        <v>0</v>
      </c>
      <c r="BE20" s="55">
        <f t="shared" ca="1" si="11"/>
        <v>1.4210854715202004E-14</v>
      </c>
      <c r="BF20" s="55"/>
      <c r="BG20" s="1428"/>
      <c r="BH20" s="542">
        <f t="shared" ref="BH20:CU20" ca="1" si="57">BH19</f>
        <v>8.9298536496117986</v>
      </c>
      <c r="BI20" s="542">
        <f t="shared" ca="1" si="57"/>
        <v>1.6636145123288308E-2</v>
      </c>
      <c r="BJ20" s="542">
        <f t="shared" ca="1" si="57"/>
        <v>6.2862130240715366E-2</v>
      </c>
      <c r="BK20" s="542">
        <f t="shared" ca="1" si="57"/>
        <v>0</v>
      </c>
      <c r="BL20" s="542">
        <f t="shared" ca="1" si="57"/>
        <v>0</v>
      </c>
      <c r="BM20" s="542">
        <f t="shared" ca="1" si="57"/>
        <v>0</v>
      </c>
      <c r="BN20" s="542">
        <f t="shared" ca="1" si="57"/>
        <v>0</v>
      </c>
      <c r="BO20" s="542">
        <f t="shared" ca="1" si="57"/>
        <v>0</v>
      </c>
      <c r="BP20" s="542">
        <f t="shared" ca="1" si="57"/>
        <v>14.682038301883917</v>
      </c>
      <c r="BQ20" s="542">
        <f t="shared" ca="1" si="57"/>
        <v>0.12340583618450737</v>
      </c>
      <c r="BR20" s="542">
        <f t="shared" ca="1" si="57"/>
        <v>3.1177186281139675</v>
      </c>
      <c r="BS20" s="542">
        <f t="shared" ca="1" si="57"/>
        <v>9.9423140598270283</v>
      </c>
      <c r="BT20" s="542">
        <f t="shared" ca="1" si="57"/>
        <v>0</v>
      </c>
      <c r="BU20" s="542">
        <f t="shared" ca="1" si="57"/>
        <v>0</v>
      </c>
      <c r="BV20" s="542">
        <f t="shared" ca="1" si="57"/>
        <v>0</v>
      </c>
      <c r="BW20" s="542">
        <f t="shared" ca="1" si="57"/>
        <v>0</v>
      </c>
      <c r="BX20" s="542">
        <f t="shared" ca="1" si="57"/>
        <v>0</v>
      </c>
      <c r="BY20" s="542">
        <f t="shared" ca="1" si="57"/>
        <v>0</v>
      </c>
      <c r="BZ20" s="542">
        <f t="shared" ca="1" si="57"/>
        <v>0</v>
      </c>
      <c r="CA20" s="542">
        <f t="shared" ca="1" si="57"/>
        <v>0</v>
      </c>
      <c r="CB20" s="542">
        <f t="shared" ca="1" si="57"/>
        <v>0</v>
      </c>
      <c r="CC20" s="542">
        <f t="shared" ca="1" si="57"/>
        <v>0</v>
      </c>
      <c r="CD20" s="542">
        <f t="shared" ca="1" si="57"/>
        <v>0</v>
      </c>
      <c r="CE20" s="542">
        <f t="shared" ca="1" si="57"/>
        <v>0</v>
      </c>
      <c r="CF20" s="542">
        <f t="shared" ca="1" si="57"/>
        <v>0</v>
      </c>
      <c r="CG20" s="542">
        <f t="shared" ca="1" si="57"/>
        <v>0</v>
      </c>
      <c r="CH20" s="542">
        <f t="shared" ca="1" si="57"/>
        <v>0</v>
      </c>
      <c r="CI20" s="542">
        <f t="shared" ca="1" si="57"/>
        <v>0</v>
      </c>
      <c r="CJ20" s="542">
        <f t="shared" ca="1" si="57"/>
        <v>0</v>
      </c>
      <c r="CK20" s="542">
        <f t="shared" ca="1" si="57"/>
        <v>0</v>
      </c>
      <c r="CL20" s="542">
        <f t="shared" ca="1" si="57"/>
        <v>0</v>
      </c>
      <c r="CM20" s="542">
        <f t="shared" ca="1" si="57"/>
        <v>0</v>
      </c>
      <c r="CN20" s="542">
        <f t="shared" ca="1" si="57"/>
        <v>0</v>
      </c>
      <c r="CO20" s="542">
        <f t="shared" ca="1" si="57"/>
        <v>0</v>
      </c>
      <c r="CP20" s="542">
        <f t="shared" ca="1" si="57"/>
        <v>0</v>
      </c>
      <c r="CQ20" s="542">
        <f t="shared" ca="1" si="57"/>
        <v>0</v>
      </c>
      <c r="CR20" s="542">
        <f t="shared" ca="1" si="57"/>
        <v>0</v>
      </c>
      <c r="CS20" s="542">
        <f t="shared" ca="1" si="57"/>
        <v>0</v>
      </c>
      <c r="CT20" s="542">
        <f t="shared" ca="1" si="57"/>
        <v>0</v>
      </c>
      <c r="CU20" s="542">
        <f t="shared" ca="1" si="57"/>
        <v>0</v>
      </c>
      <c r="CW20" s="151">
        <f t="shared" ca="1" si="37"/>
        <v>36.874828750985216</v>
      </c>
    </row>
    <row r="21" spans="1:101" s="84" customFormat="1" ht="12.75" customHeight="1" outlineLevel="1" x14ac:dyDescent="0.2">
      <c r="A21" s="18"/>
      <c r="B21" s="18"/>
      <c r="C21" s="87"/>
      <c r="D21" s="53"/>
      <c r="E21" s="53"/>
      <c r="G21" s="300"/>
      <c r="H21" s="300"/>
      <c r="I21" s="300"/>
      <c r="J21" s="300"/>
      <c r="K21" s="300"/>
      <c r="L21" s="300"/>
      <c r="M21" s="300"/>
      <c r="N21" s="300"/>
      <c r="O21" s="300"/>
      <c r="P21" s="300">
        <f t="shared" si="1"/>
        <v>0</v>
      </c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>
        <f t="shared" si="5"/>
        <v>0</v>
      </c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>
        <f t="shared" si="8"/>
        <v>0</v>
      </c>
      <c r="BA21" s="277"/>
      <c r="BB21" s="277"/>
      <c r="BC21" s="277">
        <f t="shared" si="10"/>
        <v>0</v>
      </c>
      <c r="BE21" s="55">
        <f t="shared" si="11"/>
        <v>0</v>
      </c>
      <c r="BF21" s="55"/>
      <c r="BG21" s="18"/>
      <c r="BH21" s="542"/>
      <c r="BI21" s="542"/>
      <c r="BJ21" s="542"/>
      <c r="BK21" s="542"/>
      <c r="BL21" s="542"/>
      <c r="BM21" s="542"/>
      <c r="BN21" s="542"/>
      <c r="BO21" s="542"/>
      <c r="BP21" s="542"/>
      <c r="BQ21" s="542"/>
      <c r="BR21" s="542"/>
      <c r="BS21" s="542"/>
      <c r="BT21" s="542"/>
      <c r="BU21" s="542"/>
      <c r="BV21" s="542"/>
      <c r="BW21" s="542"/>
      <c r="BX21" s="542"/>
      <c r="BY21" s="542"/>
      <c r="BZ21" s="542"/>
      <c r="CA21" s="542"/>
      <c r="CB21" s="542"/>
      <c r="CC21" s="542"/>
      <c r="CD21" s="542"/>
      <c r="CE21" s="542"/>
      <c r="CF21" s="542"/>
      <c r="CG21" s="542"/>
      <c r="CH21" s="542"/>
      <c r="CI21" s="542"/>
      <c r="CJ21" s="542"/>
      <c r="CK21" s="542"/>
      <c r="CL21" s="542"/>
      <c r="CM21" s="542"/>
      <c r="CN21" s="542"/>
      <c r="CO21" s="542"/>
      <c r="CP21" s="542"/>
      <c r="CQ21" s="542"/>
      <c r="CR21" s="542"/>
      <c r="CS21" s="542"/>
      <c r="CT21" s="542"/>
      <c r="CU21" s="542"/>
      <c r="CW21" s="151">
        <f t="shared" si="37"/>
        <v>0</v>
      </c>
    </row>
    <row r="22" spans="1:101" s="84" customFormat="1" ht="12.75" customHeight="1" outlineLevel="1" x14ac:dyDescent="0.2">
      <c r="A22" s="543"/>
      <c r="B22" s="543"/>
      <c r="C22" s="86" t="s">
        <v>362</v>
      </c>
      <c r="D22" s="63" t="str">
        <f>INDEX(Modules[Module], MATCH($C22, Modules[Code], 0))</f>
        <v>Domestic passenger transport</v>
      </c>
      <c r="E22" s="291"/>
      <c r="G22" s="297">
        <f t="shared" ref="G22:O23" ca="1" si="58">IFERROR(INDEX(INDIRECT($C22&amp;".Outputs["&amp;this.Year&amp;"]"), MATCH(G$5, INDIRECT($C22&amp;".Outputs[Vector]"), 0)), 0)</f>
        <v>0</v>
      </c>
      <c r="H22" s="297">
        <f t="shared" ca="1" si="58"/>
        <v>0</v>
      </c>
      <c r="I22" s="297">
        <f t="shared" ca="1" si="58"/>
        <v>0</v>
      </c>
      <c r="J22" s="297">
        <f t="shared" ca="1" si="58"/>
        <v>0</v>
      </c>
      <c r="K22" s="297">
        <f t="shared" ca="1" si="58"/>
        <v>78.262451568737916</v>
      </c>
      <c r="L22" s="297">
        <f t="shared" ca="1" si="58"/>
        <v>46.371799176650626</v>
      </c>
      <c r="M22" s="297">
        <f t="shared" ca="1" si="58"/>
        <v>0</v>
      </c>
      <c r="N22" s="297">
        <f t="shared" ca="1" si="58"/>
        <v>0</v>
      </c>
      <c r="O22" s="297">
        <f t="shared" ca="1" si="58"/>
        <v>0</v>
      </c>
      <c r="P22" s="297">
        <f t="shared" ca="1" si="1"/>
        <v>124.63425074538854</v>
      </c>
      <c r="R22" s="304">
        <f t="shared" ref="R22:AX23" ca="1" si="59">IFERROR(INDEX(INDIRECT($C22&amp;".Outputs["&amp;this.Year&amp;"]"), MATCH(R$5, INDIRECT($C22&amp;".Outputs[Vector]"), 0)), 0)</f>
        <v>-3.1879620186467812</v>
      </c>
      <c r="S22" s="304">
        <f t="shared" ca="1" si="59"/>
        <v>0</v>
      </c>
      <c r="T22" s="304">
        <f t="shared" ca="1" si="59"/>
        <v>0</v>
      </c>
      <c r="U22" s="304">
        <f t="shared" ca="1" si="59"/>
        <v>-118.5692719154053</v>
      </c>
      <c r="V22" s="304">
        <f t="shared" ca="1" si="59"/>
        <v>-2.8770168113364658</v>
      </c>
      <c r="W22" s="304">
        <f t="shared" ca="1" si="59"/>
        <v>0</v>
      </c>
      <c r="X22" s="304">
        <f t="shared" ref="X22:Z23" ca="1" si="60">IFERROR(INDEX(INDIRECT($C22&amp;".Outputs["&amp;this.Year&amp;"]"), MATCH(X$5, INDIRECT($C22&amp;".Outputs[Vector]"), 0)), 0)</f>
        <v>0</v>
      </c>
      <c r="Y22" s="304">
        <f t="shared" ca="1" si="60"/>
        <v>0</v>
      </c>
      <c r="Z22" s="304">
        <f t="shared" ca="1" si="60"/>
        <v>0</v>
      </c>
      <c r="AA22" s="304">
        <f t="shared" ca="1" si="59"/>
        <v>0</v>
      </c>
      <c r="AB22" s="304">
        <f t="shared" ca="1" si="59"/>
        <v>0</v>
      </c>
      <c r="AC22" s="304">
        <f t="shared" ca="1" si="59"/>
        <v>0</v>
      </c>
      <c r="AD22" s="304">
        <f t="shared" ca="1" si="59"/>
        <v>0</v>
      </c>
      <c r="AE22" s="304">
        <f t="shared" ca="1" si="59"/>
        <v>0</v>
      </c>
      <c r="AF22" s="304">
        <f t="shared" ca="1" si="59"/>
        <v>0</v>
      </c>
      <c r="AG22" s="304">
        <f t="shared" ca="1" si="59"/>
        <v>0</v>
      </c>
      <c r="AH22" s="305">
        <f t="shared" ca="1" si="5"/>
        <v>-124.63425074538854</v>
      </c>
      <c r="AJ22" s="312">
        <f t="shared" ref="AJ22:AR23" ca="1" si="61">IFERROR(INDEX(INDIRECT($C22&amp;".Outputs["&amp;this.Year&amp;"]"), MATCH(AJ$5, INDIRECT($C22&amp;".Outputs[Vector]"), 0)), 0)</f>
        <v>0</v>
      </c>
      <c r="AK22" s="312">
        <f t="shared" ca="1" si="61"/>
        <v>0</v>
      </c>
      <c r="AL22" s="312">
        <f t="shared" ca="1" si="61"/>
        <v>0</v>
      </c>
      <c r="AM22" s="312">
        <f t="shared" ca="1" si="61"/>
        <v>0</v>
      </c>
      <c r="AN22" s="312">
        <f t="shared" ca="1" si="61"/>
        <v>0</v>
      </c>
      <c r="AO22" s="312">
        <f t="shared" ca="1" si="61"/>
        <v>0</v>
      </c>
      <c r="AP22" s="312">
        <f t="shared" ca="1" si="61"/>
        <v>0</v>
      </c>
      <c r="AQ22" s="312">
        <f t="shared" ca="1" si="61"/>
        <v>0</v>
      </c>
      <c r="AR22" s="312">
        <f t="shared" ca="1" si="61"/>
        <v>0</v>
      </c>
      <c r="AS22" s="312">
        <f t="shared" ca="1" si="59"/>
        <v>0</v>
      </c>
      <c r="AT22" s="312">
        <f t="shared" ca="1" si="59"/>
        <v>0</v>
      </c>
      <c r="AU22" s="312">
        <f t="shared" ca="1" si="59"/>
        <v>0</v>
      </c>
      <c r="AV22" s="312">
        <f t="shared" ca="1" si="59"/>
        <v>0</v>
      </c>
      <c r="AW22" s="312">
        <f t="shared" ca="1" si="59"/>
        <v>0</v>
      </c>
      <c r="AX22" s="312">
        <f t="shared" ca="1" si="59"/>
        <v>0</v>
      </c>
      <c r="AY22" s="266">
        <f t="shared" ca="1" si="8"/>
        <v>0</v>
      </c>
      <c r="BA22" s="308">
        <f t="shared" ref="BA22:BB23" ca="1" si="62">IFERROR(INDEX(INDIRECT($C22&amp;".Outputs["&amp;this.Year&amp;"]"), MATCH(BA$5, INDIRECT($C22&amp;".Outputs[Vector]"), 0)), 0)</f>
        <v>0</v>
      </c>
      <c r="BB22" s="308">
        <f t="shared" ca="1" si="62"/>
        <v>0</v>
      </c>
      <c r="BC22" s="309">
        <f t="shared" ca="1" si="10"/>
        <v>0</v>
      </c>
      <c r="BE22" s="135">
        <f t="shared" ca="1" si="11"/>
        <v>0</v>
      </c>
      <c r="BF22" s="135"/>
      <c r="BG22" s="1428"/>
      <c r="BH22" s="541">
        <f t="shared" ref="BH22:BQ23" ca="1" si="63">IFERROR(SUMIFS(INDIRECT($C22&amp;".Emissions["&amp;this.Year&amp;"]"), INDIRECT($C22&amp;".Emissions[GHG]"), BH$6, INDIRECT($C22&amp;".Emissions[IPCC Sector]"), BH$5),0)</f>
        <v>29.642317978851324</v>
      </c>
      <c r="BI22" s="542">
        <f t="shared" ca="1" si="63"/>
        <v>3.6904568863174503E-2</v>
      </c>
      <c r="BJ22" s="542">
        <f t="shared" ca="1" si="63"/>
        <v>0.53332604023561825</v>
      </c>
      <c r="BK22" s="542">
        <f t="shared" ca="1" si="63"/>
        <v>0</v>
      </c>
      <c r="BL22" s="542">
        <f t="shared" ca="1" si="63"/>
        <v>0</v>
      </c>
      <c r="BM22" s="542">
        <f t="shared" ca="1" si="63"/>
        <v>0</v>
      </c>
      <c r="BN22" s="542">
        <f t="shared" ca="1" si="63"/>
        <v>0</v>
      </c>
      <c r="BO22" s="542">
        <f t="shared" ca="1" si="63"/>
        <v>0</v>
      </c>
      <c r="BP22" s="542">
        <f t="shared" ca="1" si="63"/>
        <v>0</v>
      </c>
      <c r="BQ22" s="542">
        <f t="shared" ca="1" si="63"/>
        <v>0</v>
      </c>
      <c r="BR22" s="542">
        <f t="shared" ref="BR22:CA23" ca="1" si="64">IFERROR(SUMIFS(INDIRECT($C22&amp;".Emissions["&amp;this.Year&amp;"]"), INDIRECT($C22&amp;".Emissions[GHG]"), BR$6, INDIRECT($C22&amp;".Emissions[IPCC Sector]"), BR$5),0)</f>
        <v>0</v>
      </c>
      <c r="BS22" s="542">
        <f t="shared" ca="1" si="64"/>
        <v>0</v>
      </c>
      <c r="BT22" s="542">
        <f t="shared" ca="1" si="64"/>
        <v>0</v>
      </c>
      <c r="BU22" s="542">
        <f t="shared" ca="1" si="64"/>
        <v>0</v>
      </c>
      <c r="BV22" s="542">
        <f t="shared" ca="1" si="64"/>
        <v>0</v>
      </c>
      <c r="BW22" s="542">
        <f t="shared" ca="1" si="64"/>
        <v>0</v>
      </c>
      <c r="BX22" s="542">
        <f t="shared" ca="1" si="64"/>
        <v>0</v>
      </c>
      <c r="BY22" s="542">
        <f t="shared" ca="1" si="64"/>
        <v>0</v>
      </c>
      <c r="BZ22" s="542">
        <f t="shared" ca="1" si="64"/>
        <v>0</v>
      </c>
      <c r="CA22" s="542">
        <f t="shared" ca="1" si="64"/>
        <v>0</v>
      </c>
      <c r="CB22" s="542">
        <f t="shared" ref="CB22:CK23" ca="1" si="65">IFERROR(SUMIFS(INDIRECT($C22&amp;".Emissions["&amp;this.Year&amp;"]"), INDIRECT($C22&amp;".Emissions[GHG]"), CB$6, INDIRECT($C22&amp;".Emissions[IPCC Sector]"), CB$5),0)</f>
        <v>0</v>
      </c>
      <c r="CC22" s="542">
        <f t="shared" ca="1" si="65"/>
        <v>0</v>
      </c>
      <c r="CD22" s="542">
        <f t="shared" ca="1" si="65"/>
        <v>0</v>
      </c>
      <c r="CE22" s="542">
        <f t="shared" ca="1" si="65"/>
        <v>0</v>
      </c>
      <c r="CF22" s="542">
        <f t="shared" ca="1" si="65"/>
        <v>0</v>
      </c>
      <c r="CG22" s="542">
        <f t="shared" ca="1" si="65"/>
        <v>0</v>
      </c>
      <c r="CH22" s="542">
        <f t="shared" ca="1" si="65"/>
        <v>0</v>
      </c>
      <c r="CI22" s="542">
        <f t="shared" ca="1" si="65"/>
        <v>0</v>
      </c>
      <c r="CJ22" s="542">
        <f t="shared" ca="1" si="65"/>
        <v>0</v>
      </c>
      <c r="CK22" s="542">
        <f t="shared" ca="1" si="65"/>
        <v>0</v>
      </c>
      <c r="CL22" s="542">
        <f t="shared" ref="CL22:CU23" ca="1" si="66">IFERROR(SUMIFS(INDIRECT($C22&amp;".Emissions["&amp;this.Year&amp;"]"), INDIRECT($C22&amp;".Emissions[GHG]"), CL$6, INDIRECT($C22&amp;".Emissions[IPCC Sector]"), CL$5),0)</f>
        <v>0</v>
      </c>
      <c r="CM22" s="542">
        <f t="shared" ca="1" si="66"/>
        <v>0</v>
      </c>
      <c r="CN22" s="542">
        <f t="shared" ca="1" si="66"/>
        <v>0</v>
      </c>
      <c r="CO22" s="542">
        <f t="shared" ca="1" si="66"/>
        <v>0</v>
      </c>
      <c r="CP22" s="542">
        <f t="shared" ca="1" si="66"/>
        <v>0</v>
      </c>
      <c r="CQ22" s="542">
        <f t="shared" ca="1" si="66"/>
        <v>0</v>
      </c>
      <c r="CR22" s="542">
        <f t="shared" ca="1" si="66"/>
        <v>0</v>
      </c>
      <c r="CS22" s="542">
        <f t="shared" ca="1" si="66"/>
        <v>0</v>
      </c>
      <c r="CT22" s="542">
        <f t="shared" ca="1" si="66"/>
        <v>0</v>
      </c>
      <c r="CU22" s="542">
        <f t="shared" ca="1" si="66"/>
        <v>0</v>
      </c>
      <c r="CW22" s="151">
        <f t="shared" ca="1" si="37"/>
        <v>30.212548587950117</v>
      </c>
    </row>
    <row r="23" spans="1:101" s="84" customFormat="1" ht="12.75" customHeight="1" outlineLevel="1" x14ac:dyDescent="0.2">
      <c r="A23" s="543"/>
      <c r="B23" s="543"/>
      <c r="C23" s="86" t="s">
        <v>375</v>
      </c>
      <c r="D23" s="63" t="str">
        <f>INDEX(Modules[Module], MATCH($C23, Modules[Code], 0))</f>
        <v>Domestic freight</v>
      </c>
      <c r="E23" s="291"/>
      <c r="G23" s="297">
        <f t="shared" ca="1" si="58"/>
        <v>0</v>
      </c>
      <c r="H23" s="297">
        <f t="shared" ca="1" si="58"/>
        <v>0</v>
      </c>
      <c r="I23" s="297">
        <f t="shared" ca="1" si="58"/>
        <v>0</v>
      </c>
      <c r="J23" s="297">
        <f t="shared" ca="1" si="58"/>
        <v>0</v>
      </c>
      <c r="K23" s="297">
        <f t="shared" ca="1" si="58"/>
        <v>16.934484295505136</v>
      </c>
      <c r="L23" s="297">
        <f t="shared" ca="1" si="58"/>
        <v>3.5455908133279781</v>
      </c>
      <c r="M23" s="297">
        <f t="shared" ca="1" si="58"/>
        <v>0</v>
      </c>
      <c r="N23" s="297">
        <f t="shared" ca="1" si="58"/>
        <v>2.4118289602556366E-13</v>
      </c>
      <c r="O23" s="297">
        <f t="shared" ca="1" si="58"/>
        <v>3.3960407357889455</v>
      </c>
      <c r="P23" s="297">
        <f t="shared" ca="1" si="1"/>
        <v>23.876115844622298</v>
      </c>
      <c r="R23" s="304">
        <f t="shared" ca="1" si="59"/>
        <v>-5.3768830392493072</v>
      </c>
      <c r="S23" s="304">
        <f t="shared" ca="1" si="59"/>
        <v>0</v>
      </c>
      <c r="T23" s="304">
        <f t="shared" ca="1" si="59"/>
        <v>0</v>
      </c>
      <c r="U23" s="304">
        <f t="shared" ca="1" si="59"/>
        <v>-17.723314593186153</v>
      </c>
      <c r="V23" s="304">
        <f t="shared" ca="1" si="59"/>
        <v>-0.77591821218683832</v>
      </c>
      <c r="W23" s="304">
        <f t="shared" ca="1" si="59"/>
        <v>0</v>
      </c>
      <c r="X23" s="304">
        <f t="shared" ca="1" si="60"/>
        <v>0</v>
      </c>
      <c r="Y23" s="304">
        <f t="shared" ca="1" si="60"/>
        <v>0</v>
      </c>
      <c r="Z23" s="304">
        <f t="shared" ca="1" si="60"/>
        <v>0</v>
      </c>
      <c r="AA23" s="304">
        <f t="shared" ca="1" si="59"/>
        <v>0</v>
      </c>
      <c r="AB23" s="304">
        <f t="shared" ca="1" si="59"/>
        <v>0</v>
      </c>
      <c r="AC23" s="304">
        <f t="shared" ca="1" si="59"/>
        <v>0</v>
      </c>
      <c r="AD23" s="304">
        <f t="shared" ca="1" si="59"/>
        <v>0</v>
      </c>
      <c r="AE23" s="304">
        <f t="shared" ca="1" si="59"/>
        <v>0</v>
      </c>
      <c r="AF23" s="304">
        <f t="shared" ca="1" si="59"/>
        <v>0</v>
      </c>
      <c r="AG23" s="304">
        <f t="shared" ca="1" si="59"/>
        <v>0</v>
      </c>
      <c r="AH23" s="305">
        <f t="shared" ca="1" si="5"/>
        <v>-23.876115844622298</v>
      </c>
      <c r="AJ23" s="312">
        <f t="shared" ca="1" si="61"/>
        <v>0</v>
      </c>
      <c r="AK23" s="312">
        <f t="shared" ca="1" si="61"/>
        <v>0</v>
      </c>
      <c r="AL23" s="312">
        <f t="shared" ca="1" si="61"/>
        <v>0</v>
      </c>
      <c r="AM23" s="312">
        <f t="shared" ca="1" si="61"/>
        <v>0</v>
      </c>
      <c r="AN23" s="312">
        <f t="shared" ca="1" si="61"/>
        <v>0</v>
      </c>
      <c r="AO23" s="312">
        <f t="shared" ca="1" si="61"/>
        <v>0</v>
      </c>
      <c r="AP23" s="312">
        <f t="shared" ca="1" si="61"/>
        <v>0</v>
      </c>
      <c r="AQ23" s="312">
        <f t="shared" ca="1" si="61"/>
        <v>0</v>
      </c>
      <c r="AR23" s="312">
        <f t="shared" ca="1" si="61"/>
        <v>0</v>
      </c>
      <c r="AS23" s="312">
        <f t="shared" ca="1" si="59"/>
        <v>0</v>
      </c>
      <c r="AT23" s="312">
        <f t="shared" ca="1" si="59"/>
        <v>0</v>
      </c>
      <c r="AU23" s="312">
        <f t="shared" ca="1" si="59"/>
        <v>0</v>
      </c>
      <c r="AV23" s="312">
        <f t="shared" ca="1" si="59"/>
        <v>0</v>
      </c>
      <c r="AW23" s="312">
        <f t="shared" ca="1" si="59"/>
        <v>0</v>
      </c>
      <c r="AX23" s="312">
        <f t="shared" ca="1" si="59"/>
        <v>0</v>
      </c>
      <c r="AY23" s="266">
        <f t="shared" ca="1" si="8"/>
        <v>0</v>
      </c>
      <c r="BA23" s="308">
        <f t="shared" ca="1" si="62"/>
        <v>0</v>
      </c>
      <c r="BB23" s="308">
        <f t="shared" ca="1" si="62"/>
        <v>0</v>
      </c>
      <c r="BC23" s="309">
        <f t="shared" ca="1" si="10"/>
        <v>0</v>
      </c>
      <c r="BE23" s="135">
        <f t="shared" ca="1" si="11"/>
        <v>0</v>
      </c>
      <c r="BF23" s="135"/>
      <c r="BG23" s="1428"/>
      <c r="BH23" s="541">
        <f t="shared" ca="1" si="63"/>
        <v>4.6248082013432477</v>
      </c>
      <c r="BI23" s="542">
        <f t="shared" ca="1" si="63"/>
        <v>5.7578679530803697E-3</v>
      </c>
      <c r="BJ23" s="542">
        <f t="shared" ca="1" si="63"/>
        <v>8.3209776193325452E-2</v>
      </c>
      <c r="BK23" s="542">
        <f t="shared" ca="1" si="63"/>
        <v>0</v>
      </c>
      <c r="BL23" s="542">
        <f t="shared" ca="1" si="63"/>
        <v>0</v>
      </c>
      <c r="BM23" s="542">
        <f t="shared" ca="1" si="63"/>
        <v>0</v>
      </c>
      <c r="BN23" s="542">
        <f t="shared" ca="1" si="63"/>
        <v>0</v>
      </c>
      <c r="BO23" s="542">
        <f t="shared" ca="1" si="63"/>
        <v>0</v>
      </c>
      <c r="BP23" s="542">
        <f t="shared" ca="1" si="63"/>
        <v>0</v>
      </c>
      <c r="BQ23" s="542">
        <f t="shared" ca="1" si="63"/>
        <v>0</v>
      </c>
      <c r="BR23" s="542">
        <f t="shared" ca="1" si="64"/>
        <v>0</v>
      </c>
      <c r="BS23" s="542">
        <f t="shared" ca="1" si="64"/>
        <v>0</v>
      </c>
      <c r="BT23" s="542">
        <f t="shared" ca="1" si="64"/>
        <v>0</v>
      </c>
      <c r="BU23" s="542">
        <f t="shared" ca="1" si="64"/>
        <v>0</v>
      </c>
      <c r="BV23" s="542">
        <f t="shared" ca="1" si="64"/>
        <v>0</v>
      </c>
      <c r="BW23" s="542">
        <f t="shared" ca="1" si="64"/>
        <v>0</v>
      </c>
      <c r="BX23" s="542">
        <f t="shared" ca="1" si="64"/>
        <v>0</v>
      </c>
      <c r="BY23" s="542">
        <f t="shared" ca="1" si="64"/>
        <v>0</v>
      </c>
      <c r="BZ23" s="542">
        <f t="shared" ca="1" si="64"/>
        <v>0</v>
      </c>
      <c r="CA23" s="542">
        <f t="shared" ca="1" si="64"/>
        <v>0</v>
      </c>
      <c r="CB23" s="542">
        <f t="shared" ca="1" si="65"/>
        <v>0</v>
      </c>
      <c r="CC23" s="542">
        <f t="shared" ca="1" si="65"/>
        <v>0</v>
      </c>
      <c r="CD23" s="542">
        <f t="shared" ca="1" si="65"/>
        <v>0</v>
      </c>
      <c r="CE23" s="542">
        <f t="shared" ca="1" si="65"/>
        <v>0</v>
      </c>
      <c r="CF23" s="542">
        <f t="shared" ca="1" si="65"/>
        <v>0</v>
      </c>
      <c r="CG23" s="542">
        <f t="shared" ca="1" si="65"/>
        <v>0</v>
      </c>
      <c r="CH23" s="542">
        <f t="shared" ca="1" si="65"/>
        <v>0</v>
      </c>
      <c r="CI23" s="542">
        <f t="shared" ca="1" si="65"/>
        <v>0</v>
      </c>
      <c r="CJ23" s="542">
        <f t="shared" ca="1" si="65"/>
        <v>0</v>
      </c>
      <c r="CK23" s="542">
        <f t="shared" ca="1" si="65"/>
        <v>0</v>
      </c>
      <c r="CL23" s="542">
        <f t="shared" ca="1" si="66"/>
        <v>0</v>
      </c>
      <c r="CM23" s="542">
        <f t="shared" ca="1" si="66"/>
        <v>0</v>
      </c>
      <c r="CN23" s="542">
        <f t="shared" ca="1" si="66"/>
        <v>0</v>
      </c>
      <c r="CO23" s="542">
        <f t="shared" ca="1" si="66"/>
        <v>0</v>
      </c>
      <c r="CP23" s="542">
        <f t="shared" ca="1" si="66"/>
        <v>0</v>
      </c>
      <c r="CQ23" s="542">
        <f t="shared" ca="1" si="66"/>
        <v>0</v>
      </c>
      <c r="CR23" s="542">
        <f t="shared" ca="1" si="66"/>
        <v>0</v>
      </c>
      <c r="CS23" s="542">
        <f t="shared" ca="1" si="66"/>
        <v>0</v>
      </c>
      <c r="CT23" s="542">
        <f t="shared" ca="1" si="66"/>
        <v>0</v>
      </c>
      <c r="CU23" s="542">
        <f t="shared" ca="1" si="66"/>
        <v>0</v>
      </c>
      <c r="CW23" s="151">
        <f t="shared" ca="1" si="37"/>
        <v>4.7137758454896534</v>
      </c>
    </row>
    <row r="24" spans="1:101" s="84" customFormat="1" ht="15.75" x14ac:dyDescent="0.2">
      <c r="A24" s="18"/>
      <c r="B24" s="89"/>
      <c r="C24" s="85" t="s">
        <v>232</v>
      </c>
      <c r="D24" s="57" t="str">
        <f>INDEX(Workstreams[Workstream], MATCH($C24, Workstreams[Code], 0))</f>
        <v>Transport</v>
      </c>
      <c r="E24" s="53"/>
      <c r="G24" s="300">
        <f ca="1">G22+G23</f>
        <v>0</v>
      </c>
      <c r="H24" s="300">
        <f t="shared" ref="H24:AG24" ca="1" si="67">H22+H23</f>
        <v>0</v>
      </c>
      <c r="I24" s="300">
        <f t="shared" ca="1" si="67"/>
        <v>0</v>
      </c>
      <c r="J24" s="300">
        <f t="shared" ca="1" si="67"/>
        <v>0</v>
      </c>
      <c r="K24" s="300">
        <f t="shared" ca="1" si="67"/>
        <v>95.196935864243045</v>
      </c>
      <c r="L24" s="300">
        <f t="shared" ca="1" si="67"/>
        <v>49.917389989978602</v>
      </c>
      <c r="M24" s="300">
        <f t="shared" ca="1" si="67"/>
        <v>0</v>
      </c>
      <c r="N24" s="300">
        <f t="shared" ca="1" si="67"/>
        <v>2.4118289602556366E-13</v>
      </c>
      <c r="O24" s="300">
        <f t="shared" ca="1" si="67"/>
        <v>3.3960407357889455</v>
      </c>
      <c r="P24" s="300">
        <f t="shared" ca="1" si="67"/>
        <v>148.51036659001085</v>
      </c>
      <c r="Q24" s="300">
        <f t="shared" si="67"/>
        <v>0</v>
      </c>
      <c r="R24" s="300">
        <f t="shared" ca="1" si="67"/>
        <v>-8.564845057896088</v>
      </c>
      <c r="S24" s="300">
        <f t="shared" ca="1" si="67"/>
        <v>0</v>
      </c>
      <c r="T24" s="300">
        <f t="shared" ca="1" si="67"/>
        <v>0</v>
      </c>
      <c r="U24" s="300">
        <f t="shared" ca="1" si="67"/>
        <v>-136.29258650859146</v>
      </c>
      <c r="V24" s="300">
        <f t="shared" ca="1" si="67"/>
        <v>-3.652935023523304</v>
      </c>
      <c r="W24" s="300">
        <f t="shared" ca="1" si="67"/>
        <v>0</v>
      </c>
      <c r="X24" s="300">
        <f t="shared" ca="1" si="67"/>
        <v>0</v>
      </c>
      <c r="Y24" s="300">
        <f t="shared" ca="1" si="67"/>
        <v>0</v>
      </c>
      <c r="Z24" s="300">
        <f t="shared" ca="1" si="67"/>
        <v>0</v>
      </c>
      <c r="AA24" s="300">
        <f t="shared" ca="1" si="67"/>
        <v>0</v>
      </c>
      <c r="AB24" s="300">
        <f t="shared" ca="1" si="67"/>
        <v>0</v>
      </c>
      <c r="AC24" s="300">
        <f t="shared" ca="1" si="67"/>
        <v>0</v>
      </c>
      <c r="AD24" s="300">
        <f t="shared" ca="1" si="67"/>
        <v>0</v>
      </c>
      <c r="AE24" s="300">
        <f t="shared" ca="1" si="67"/>
        <v>0</v>
      </c>
      <c r="AF24" s="300">
        <f t="shared" ca="1" si="67"/>
        <v>0</v>
      </c>
      <c r="AG24" s="300">
        <f t="shared" ca="1" si="67"/>
        <v>0</v>
      </c>
      <c r="AH24" s="257">
        <f t="shared" ca="1" si="5"/>
        <v>-148.51036659001085</v>
      </c>
      <c r="AJ24" s="263">
        <f ca="1">AJ22+AJ23</f>
        <v>0</v>
      </c>
      <c r="AK24" s="263">
        <f t="shared" ref="AK24:BB24" ca="1" si="68">AK22+AK23</f>
        <v>0</v>
      </c>
      <c r="AL24" s="263">
        <f t="shared" ca="1" si="68"/>
        <v>0</v>
      </c>
      <c r="AM24" s="263">
        <f t="shared" ca="1" si="68"/>
        <v>0</v>
      </c>
      <c r="AN24" s="263">
        <f t="shared" ca="1" si="68"/>
        <v>0</v>
      </c>
      <c r="AO24" s="263">
        <f t="shared" ca="1" si="68"/>
        <v>0</v>
      </c>
      <c r="AP24" s="263">
        <f t="shared" ca="1" si="68"/>
        <v>0</v>
      </c>
      <c r="AQ24" s="263">
        <f t="shared" ca="1" si="68"/>
        <v>0</v>
      </c>
      <c r="AR24" s="263">
        <f t="shared" ca="1" si="68"/>
        <v>0</v>
      </c>
      <c r="AS24" s="263">
        <f t="shared" ca="1" si="68"/>
        <v>0</v>
      </c>
      <c r="AT24" s="263">
        <f t="shared" ca="1" si="68"/>
        <v>0</v>
      </c>
      <c r="AU24" s="263">
        <f t="shared" ca="1" si="68"/>
        <v>0</v>
      </c>
      <c r="AV24" s="263">
        <f t="shared" ca="1" si="68"/>
        <v>0</v>
      </c>
      <c r="AW24" s="263">
        <f t="shared" ca="1" si="68"/>
        <v>0</v>
      </c>
      <c r="AX24" s="263">
        <f t="shared" ca="1" si="68"/>
        <v>0</v>
      </c>
      <c r="AY24" s="263">
        <f t="shared" ca="1" si="68"/>
        <v>0</v>
      </c>
      <c r="AZ24" s="263">
        <f t="shared" si="68"/>
        <v>0</v>
      </c>
      <c r="BA24" s="263">
        <f t="shared" ca="1" si="68"/>
        <v>0</v>
      </c>
      <c r="BB24" s="263">
        <f t="shared" ca="1" si="68"/>
        <v>0</v>
      </c>
      <c r="BC24" s="277">
        <f t="shared" ca="1" si="10"/>
        <v>0</v>
      </c>
      <c r="BE24" s="55">
        <f t="shared" ca="1" si="11"/>
        <v>0</v>
      </c>
      <c r="BF24" s="55"/>
      <c r="BG24" s="1428"/>
      <c r="BH24" s="542">
        <f ca="1">BH22+BH23</f>
        <v>34.267126180194573</v>
      </c>
      <c r="BI24" s="542">
        <f t="shared" ref="BI24:CV24" ca="1" si="69">BI22+BI23</f>
        <v>4.2662436816254874E-2</v>
      </c>
      <c r="BJ24" s="542">
        <f t="shared" ca="1" si="69"/>
        <v>0.61653581642894373</v>
      </c>
      <c r="BK24" s="542">
        <f t="shared" ca="1" si="69"/>
        <v>0</v>
      </c>
      <c r="BL24" s="542">
        <f t="shared" ca="1" si="69"/>
        <v>0</v>
      </c>
      <c r="BM24" s="542">
        <f t="shared" ca="1" si="69"/>
        <v>0</v>
      </c>
      <c r="BN24" s="542">
        <f t="shared" ca="1" si="69"/>
        <v>0</v>
      </c>
      <c r="BO24" s="542">
        <f t="shared" ca="1" si="69"/>
        <v>0</v>
      </c>
      <c r="BP24" s="542">
        <f t="shared" ca="1" si="69"/>
        <v>0</v>
      </c>
      <c r="BQ24" s="542">
        <f t="shared" ca="1" si="69"/>
        <v>0</v>
      </c>
      <c r="BR24" s="542">
        <f t="shared" ca="1" si="69"/>
        <v>0</v>
      </c>
      <c r="BS24" s="542">
        <f t="shared" ca="1" si="69"/>
        <v>0</v>
      </c>
      <c r="BT24" s="542">
        <f t="shared" ca="1" si="69"/>
        <v>0</v>
      </c>
      <c r="BU24" s="542">
        <f t="shared" ca="1" si="69"/>
        <v>0</v>
      </c>
      <c r="BV24" s="542">
        <f t="shared" ca="1" si="69"/>
        <v>0</v>
      </c>
      <c r="BW24" s="542">
        <f t="shared" ca="1" si="69"/>
        <v>0</v>
      </c>
      <c r="BX24" s="542">
        <f t="shared" ca="1" si="69"/>
        <v>0</v>
      </c>
      <c r="BY24" s="542">
        <f t="shared" ca="1" si="69"/>
        <v>0</v>
      </c>
      <c r="BZ24" s="542">
        <f t="shared" ca="1" si="69"/>
        <v>0</v>
      </c>
      <c r="CA24" s="542">
        <f t="shared" ca="1" si="69"/>
        <v>0</v>
      </c>
      <c r="CB24" s="542">
        <f t="shared" ca="1" si="69"/>
        <v>0</v>
      </c>
      <c r="CC24" s="542">
        <f t="shared" ca="1" si="69"/>
        <v>0</v>
      </c>
      <c r="CD24" s="542">
        <f t="shared" ca="1" si="69"/>
        <v>0</v>
      </c>
      <c r="CE24" s="542">
        <f t="shared" ca="1" si="69"/>
        <v>0</v>
      </c>
      <c r="CF24" s="542">
        <f t="shared" ca="1" si="69"/>
        <v>0</v>
      </c>
      <c r="CG24" s="542">
        <f t="shared" ca="1" si="69"/>
        <v>0</v>
      </c>
      <c r="CH24" s="542">
        <f t="shared" ca="1" si="69"/>
        <v>0</v>
      </c>
      <c r="CI24" s="542">
        <f t="shared" ca="1" si="69"/>
        <v>0</v>
      </c>
      <c r="CJ24" s="542">
        <f t="shared" ca="1" si="69"/>
        <v>0</v>
      </c>
      <c r="CK24" s="542">
        <f t="shared" ca="1" si="69"/>
        <v>0</v>
      </c>
      <c r="CL24" s="542">
        <f t="shared" ca="1" si="69"/>
        <v>0</v>
      </c>
      <c r="CM24" s="542">
        <f t="shared" ca="1" si="69"/>
        <v>0</v>
      </c>
      <c r="CN24" s="542">
        <f t="shared" ca="1" si="69"/>
        <v>0</v>
      </c>
      <c r="CO24" s="542">
        <f t="shared" ca="1" si="69"/>
        <v>0</v>
      </c>
      <c r="CP24" s="542">
        <f t="shared" ca="1" si="69"/>
        <v>0</v>
      </c>
      <c r="CQ24" s="542">
        <f t="shared" ca="1" si="69"/>
        <v>0</v>
      </c>
      <c r="CR24" s="542">
        <f t="shared" ca="1" si="69"/>
        <v>0</v>
      </c>
      <c r="CS24" s="542">
        <f t="shared" ca="1" si="69"/>
        <v>0</v>
      </c>
      <c r="CT24" s="542">
        <f t="shared" ca="1" si="69"/>
        <v>0</v>
      </c>
      <c r="CU24" s="542">
        <f t="shared" ca="1" si="69"/>
        <v>0</v>
      </c>
      <c r="CV24" s="542">
        <f t="shared" si="69"/>
        <v>0</v>
      </c>
      <c r="CW24" s="151">
        <f t="shared" ca="1" si="37"/>
        <v>34.926324433439774</v>
      </c>
    </row>
    <row r="25" spans="1:101" s="84" customFormat="1" ht="12.75" customHeight="1" outlineLevel="1" x14ac:dyDescent="0.2">
      <c r="A25" s="18"/>
      <c r="B25" s="18"/>
      <c r="C25" s="87"/>
      <c r="D25" s="53"/>
      <c r="E25" s="53"/>
      <c r="G25" s="300"/>
      <c r="H25" s="300"/>
      <c r="I25" s="300"/>
      <c r="J25" s="300"/>
      <c r="K25" s="300"/>
      <c r="L25" s="300"/>
      <c r="M25" s="300"/>
      <c r="N25" s="300"/>
      <c r="O25" s="300"/>
      <c r="P25" s="300">
        <f t="shared" ref="P25:P56" si="70">SUM(G25:O25)</f>
        <v>0</v>
      </c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>
        <f t="shared" si="5"/>
        <v>0</v>
      </c>
      <c r="AJ25" s="263"/>
      <c r="AK25" s="263"/>
      <c r="AL25" s="263"/>
      <c r="AM25" s="263"/>
      <c r="AN25" s="263"/>
      <c r="AO25" s="263"/>
      <c r="AP25" s="263"/>
      <c r="AQ25" s="263"/>
      <c r="AR25" s="263"/>
      <c r="AS25" s="263"/>
      <c r="AT25" s="263"/>
      <c r="AU25" s="263"/>
      <c r="AV25" s="263"/>
      <c r="AW25" s="263"/>
      <c r="AX25" s="263"/>
      <c r="AY25" s="263">
        <f>SUM(AJ25:AX25)</f>
        <v>0</v>
      </c>
      <c r="BA25" s="277"/>
      <c r="BB25" s="277"/>
      <c r="BC25" s="277">
        <f t="shared" si="10"/>
        <v>0</v>
      </c>
      <c r="BE25" s="55">
        <f t="shared" si="11"/>
        <v>0</v>
      </c>
      <c r="BF25" s="55"/>
      <c r="BG25" s="18"/>
      <c r="BH25" s="542"/>
      <c r="BI25" s="542"/>
      <c r="BJ25" s="542"/>
      <c r="BK25" s="542"/>
      <c r="BL25" s="542"/>
      <c r="BM25" s="542"/>
      <c r="BN25" s="542"/>
      <c r="BO25" s="542"/>
      <c r="BP25" s="542"/>
      <c r="BQ25" s="542"/>
      <c r="BR25" s="542"/>
      <c r="BS25" s="542"/>
      <c r="BT25" s="542"/>
      <c r="BU25" s="542"/>
      <c r="BV25" s="542"/>
      <c r="BW25" s="542"/>
      <c r="BX25" s="542"/>
      <c r="BY25" s="542"/>
      <c r="BZ25" s="542"/>
      <c r="CA25" s="542"/>
      <c r="CB25" s="542"/>
      <c r="CC25" s="542"/>
      <c r="CD25" s="542"/>
      <c r="CE25" s="542"/>
      <c r="CF25" s="542"/>
      <c r="CG25" s="542"/>
      <c r="CH25" s="542"/>
      <c r="CI25" s="542"/>
      <c r="CJ25" s="542"/>
      <c r="CK25" s="542"/>
      <c r="CL25" s="542"/>
      <c r="CM25" s="542"/>
      <c r="CN25" s="542"/>
      <c r="CO25" s="542"/>
      <c r="CP25" s="542"/>
      <c r="CQ25" s="542"/>
      <c r="CR25" s="542"/>
      <c r="CS25" s="542"/>
      <c r="CT25" s="542"/>
      <c r="CU25" s="542"/>
      <c r="CW25" s="151">
        <f t="shared" si="37"/>
        <v>0</v>
      </c>
    </row>
    <row r="26" spans="1:101" s="84" customFormat="1" ht="12.75" customHeight="1" outlineLevel="1" x14ac:dyDescent="0.2">
      <c r="A26" s="18"/>
      <c r="B26" s="18"/>
      <c r="C26" s="87"/>
      <c r="D26" s="53"/>
      <c r="E26" s="53"/>
      <c r="G26" s="300"/>
      <c r="H26" s="300"/>
      <c r="I26" s="300"/>
      <c r="J26" s="300"/>
      <c r="K26" s="300"/>
      <c r="L26" s="300"/>
      <c r="M26" s="300"/>
      <c r="N26" s="300"/>
      <c r="O26" s="300"/>
      <c r="P26" s="300">
        <f t="shared" si="70"/>
        <v>0</v>
      </c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>
        <f t="shared" si="5"/>
        <v>0</v>
      </c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3"/>
      <c r="AY26" s="263">
        <f>SUM(AJ26:AX26)</f>
        <v>0</v>
      </c>
      <c r="BA26" s="277"/>
      <c r="BB26" s="277"/>
      <c r="BC26" s="277">
        <f t="shared" si="10"/>
        <v>0</v>
      </c>
      <c r="BE26" s="55">
        <f t="shared" si="11"/>
        <v>0</v>
      </c>
      <c r="BF26" s="55"/>
      <c r="BG26" s="18"/>
      <c r="BH26" s="541"/>
      <c r="BI26" s="542"/>
      <c r="BJ26" s="542"/>
      <c r="BK26" s="542"/>
      <c r="BL26" s="542"/>
      <c r="BM26" s="542"/>
      <c r="BN26" s="542"/>
      <c r="BO26" s="542"/>
      <c r="BP26" s="542"/>
      <c r="BQ26" s="542"/>
      <c r="BR26" s="542"/>
      <c r="BS26" s="542"/>
      <c r="BT26" s="542"/>
      <c r="BU26" s="542"/>
      <c r="BV26" s="542"/>
      <c r="BW26" s="542"/>
      <c r="BX26" s="542"/>
      <c r="BY26" s="542"/>
      <c r="BZ26" s="542"/>
      <c r="CA26" s="542"/>
      <c r="CB26" s="542"/>
      <c r="CC26" s="542"/>
      <c r="CD26" s="542"/>
      <c r="CE26" s="542"/>
      <c r="CF26" s="542"/>
      <c r="CG26" s="542"/>
      <c r="CH26" s="542"/>
      <c r="CI26" s="542"/>
      <c r="CJ26" s="542"/>
      <c r="CK26" s="542"/>
      <c r="CL26" s="542"/>
      <c r="CM26" s="542"/>
      <c r="CN26" s="542"/>
      <c r="CO26" s="542"/>
      <c r="CP26" s="542"/>
      <c r="CQ26" s="542"/>
      <c r="CR26" s="542"/>
      <c r="CS26" s="542"/>
      <c r="CT26" s="542"/>
      <c r="CU26" s="542"/>
      <c r="CW26" s="151">
        <f t="shared" si="37"/>
        <v>0</v>
      </c>
    </row>
    <row r="27" spans="1:101" s="84" customFormat="1" ht="7.5" customHeight="1" x14ac:dyDescent="0.2">
      <c r="C27" s="56"/>
      <c r="D27" s="57"/>
      <c r="E27" s="51"/>
      <c r="G27" s="300"/>
      <c r="H27" s="300"/>
      <c r="I27" s="300"/>
      <c r="J27" s="300"/>
      <c r="K27" s="300"/>
      <c r="L27" s="300"/>
      <c r="M27" s="300"/>
      <c r="N27" s="300"/>
      <c r="O27" s="300"/>
      <c r="P27" s="300">
        <f t="shared" si="70"/>
        <v>0</v>
      </c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>
        <f t="shared" si="5"/>
        <v>0</v>
      </c>
      <c r="AJ27" s="263"/>
      <c r="AK27" s="263"/>
      <c r="AL27" s="263"/>
      <c r="AM27" s="263"/>
      <c r="AN27" s="263"/>
      <c r="AO27" s="263"/>
      <c r="AP27" s="263"/>
      <c r="AQ27" s="263"/>
      <c r="AR27" s="263"/>
      <c r="AS27" s="263"/>
      <c r="AT27" s="263"/>
      <c r="AU27" s="263"/>
      <c r="AV27" s="263"/>
      <c r="AW27" s="263"/>
      <c r="AX27" s="263"/>
      <c r="AY27" s="263">
        <f>SUM(AJ27:AX27)</f>
        <v>0</v>
      </c>
      <c r="BA27" s="277"/>
      <c r="BB27" s="277"/>
      <c r="BC27" s="277">
        <f t="shared" si="10"/>
        <v>0</v>
      </c>
      <c r="BE27" s="55">
        <f t="shared" si="11"/>
        <v>0</v>
      </c>
      <c r="BF27" s="55"/>
      <c r="BH27" s="542"/>
      <c r="BI27" s="542"/>
      <c r="BJ27" s="542"/>
      <c r="BK27" s="542"/>
      <c r="BL27" s="542"/>
      <c r="BM27" s="542"/>
      <c r="BN27" s="542"/>
      <c r="BO27" s="542"/>
      <c r="BP27" s="542"/>
      <c r="BQ27" s="542"/>
      <c r="BR27" s="542"/>
      <c r="BS27" s="542"/>
      <c r="BT27" s="542"/>
      <c r="BU27" s="542"/>
      <c r="BV27" s="542"/>
      <c r="BW27" s="542"/>
      <c r="BX27" s="542"/>
      <c r="BY27" s="542"/>
      <c r="BZ27" s="542"/>
      <c r="CA27" s="542"/>
      <c r="CB27" s="542"/>
      <c r="CC27" s="542"/>
      <c r="CD27" s="542"/>
      <c r="CE27" s="542"/>
      <c r="CF27" s="542"/>
      <c r="CG27" s="542"/>
      <c r="CH27" s="542"/>
      <c r="CI27" s="542"/>
      <c r="CJ27" s="542"/>
      <c r="CK27" s="542"/>
      <c r="CL27" s="542"/>
      <c r="CM27" s="542"/>
      <c r="CN27" s="542"/>
      <c r="CO27" s="542"/>
      <c r="CP27" s="542"/>
      <c r="CQ27" s="542"/>
      <c r="CR27" s="542"/>
      <c r="CS27" s="542"/>
      <c r="CT27" s="542"/>
      <c r="CU27" s="542"/>
      <c r="CW27" s="151"/>
    </row>
    <row r="28" spans="1:101" s="84" customFormat="1" ht="15.75" x14ac:dyDescent="0.2">
      <c r="B28" s="89"/>
      <c r="C28" s="923" t="s">
        <v>883</v>
      </c>
      <c r="D28" s="69" t="s">
        <v>190</v>
      </c>
      <c r="E28" s="70"/>
      <c r="G28" s="302">
        <f ca="1">G$13+G$17+G$20+G$24</f>
        <v>65.109017777829635</v>
      </c>
      <c r="H28" s="302">
        <f t="shared" ref="H28:AG28" ca="1" si="71">H$13+H$17+H$20+H$24</f>
        <v>69.119383751249117</v>
      </c>
      <c r="I28" s="302">
        <f t="shared" ca="1" si="71"/>
        <v>249.1957189496236</v>
      </c>
      <c r="J28" s="302">
        <f t="shared" ca="1" si="71"/>
        <v>76.26761509483751</v>
      </c>
      <c r="K28" s="302">
        <f t="shared" ca="1" si="71"/>
        <v>95.196935864243045</v>
      </c>
      <c r="L28" s="302">
        <f t="shared" ca="1" si="71"/>
        <v>49.917389989978602</v>
      </c>
      <c r="M28" s="302">
        <f t="shared" ca="1" si="71"/>
        <v>0</v>
      </c>
      <c r="N28" s="302">
        <f t="shared" ca="1" si="71"/>
        <v>2.4118289602556366E-13</v>
      </c>
      <c r="O28" s="302">
        <f t="shared" ca="1" si="71"/>
        <v>3.3960407357889455</v>
      </c>
      <c r="P28" s="300">
        <f t="shared" ca="1" si="70"/>
        <v>608.20210216355065</v>
      </c>
      <c r="Q28" s="302">
        <f t="shared" si="71"/>
        <v>0</v>
      </c>
      <c r="R28" s="302">
        <f t="shared" ca="1" si="71"/>
        <v>-185.68545742124735</v>
      </c>
      <c r="S28" s="302">
        <f t="shared" ca="1" si="71"/>
        <v>0</v>
      </c>
      <c r="T28" s="302">
        <f t="shared" ca="1" si="71"/>
        <v>-2.1424701278326816</v>
      </c>
      <c r="U28" s="302">
        <f t="shared" ca="1" si="71"/>
        <v>-183.57010989716571</v>
      </c>
      <c r="V28" s="302">
        <f t="shared" ca="1" si="71"/>
        <v>-69.414256507937083</v>
      </c>
      <c r="W28" s="302">
        <f t="shared" ca="1" si="71"/>
        <v>-167.38980820936791</v>
      </c>
      <c r="X28" s="302">
        <f t="shared" ca="1" si="71"/>
        <v>0</v>
      </c>
      <c r="Y28" s="302">
        <f t="shared" ca="1" si="71"/>
        <v>0</v>
      </c>
      <c r="Z28" s="302">
        <f t="shared" ca="1" si="71"/>
        <v>0</v>
      </c>
      <c r="AA28" s="302">
        <f t="shared" ca="1" si="71"/>
        <v>0</v>
      </c>
      <c r="AB28" s="302">
        <f t="shared" ca="1" si="71"/>
        <v>0</v>
      </c>
      <c r="AC28" s="302">
        <f t="shared" ca="1" si="71"/>
        <v>0</v>
      </c>
      <c r="AD28" s="302">
        <f t="shared" ca="1" si="71"/>
        <v>0</v>
      </c>
      <c r="AE28" s="302">
        <f t="shared" ca="1" si="71"/>
        <v>0</v>
      </c>
      <c r="AF28" s="302">
        <f t="shared" ca="1" si="71"/>
        <v>0</v>
      </c>
      <c r="AG28" s="302">
        <f t="shared" ca="1" si="71"/>
        <v>0</v>
      </c>
      <c r="AH28" s="294">
        <f t="shared" ca="1" si="5"/>
        <v>-608.20210216355076</v>
      </c>
      <c r="AJ28" s="295">
        <f ca="1">AJ$13+AJ$17+AJ$20+AJ$24</f>
        <v>0</v>
      </c>
      <c r="AK28" s="295">
        <f t="shared" ref="AK28:BD28" ca="1" si="72">AK$13+AK$17+AK$20+AK$24</f>
        <v>0</v>
      </c>
      <c r="AL28" s="295">
        <f t="shared" ca="1" si="72"/>
        <v>0</v>
      </c>
      <c r="AM28" s="295">
        <f t="shared" ca="1" si="72"/>
        <v>0</v>
      </c>
      <c r="AN28" s="295">
        <f t="shared" ca="1" si="72"/>
        <v>0</v>
      </c>
      <c r="AO28" s="295">
        <f t="shared" ca="1" si="72"/>
        <v>0</v>
      </c>
      <c r="AP28" s="295">
        <f t="shared" ca="1" si="72"/>
        <v>0</v>
      </c>
      <c r="AQ28" s="295">
        <f t="shared" ca="1" si="72"/>
        <v>0</v>
      </c>
      <c r="AR28" s="295">
        <f t="shared" ca="1" si="72"/>
        <v>0</v>
      </c>
      <c r="AS28" s="295">
        <f t="shared" ca="1" si="72"/>
        <v>0</v>
      </c>
      <c r="AT28" s="295">
        <f t="shared" ca="1" si="72"/>
        <v>0</v>
      </c>
      <c r="AU28" s="295">
        <f t="shared" ca="1" si="72"/>
        <v>0</v>
      </c>
      <c r="AV28" s="295">
        <f t="shared" ca="1" si="72"/>
        <v>0</v>
      </c>
      <c r="AW28" s="295">
        <f t="shared" ca="1" si="72"/>
        <v>0</v>
      </c>
      <c r="AX28" s="295">
        <f t="shared" ca="1" si="72"/>
        <v>0</v>
      </c>
      <c r="AY28" s="295">
        <f t="shared" ca="1" si="72"/>
        <v>0</v>
      </c>
      <c r="AZ28" s="295">
        <f t="shared" si="72"/>
        <v>0</v>
      </c>
      <c r="BA28" s="295">
        <f t="shared" ca="1" si="72"/>
        <v>0</v>
      </c>
      <c r="BB28" s="295">
        <f t="shared" ca="1" si="72"/>
        <v>0</v>
      </c>
      <c r="BC28" s="277">
        <f t="shared" ca="1" si="10"/>
        <v>0</v>
      </c>
      <c r="BD28" s="295">
        <f t="shared" si="72"/>
        <v>0</v>
      </c>
      <c r="BE28" s="58">
        <f t="shared" ca="1" si="11"/>
        <v>-1.1368683772161603E-13</v>
      </c>
      <c r="BF28" s="58"/>
      <c r="BH28" s="546">
        <f ca="1">BH$13+BH$17+BH$20+BH$24</f>
        <v>58.846470979842735</v>
      </c>
      <c r="BI28" s="546">
        <f t="shared" ref="BI28:CU28" ca="1" si="73">BI$13+BI$17+BI$20+BI$24</f>
        <v>14.352356528900362</v>
      </c>
      <c r="BJ28" s="546">
        <f t="shared" ca="1" si="73"/>
        <v>14.986124492138304</v>
      </c>
      <c r="BK28" s="546">
        <f t="shared" ca="1" si="73"/>
        <v>0</v>
      </c>
      <c r="BL28" s="546">
        <f t="shared" ca="1" si="73"/>
        <v>0</v>
      </c>
      <c r="BM28" s="546">
        <f t="shared" ca="1" si="73"/>
        <v>0</v>
      </c>
      <c r="BN28" s="546">
        <f t="shared" ca="1" si="73"/>
        <v>0</v>
      </c>
      <c r="BO28" s="546">
        <f t="shared" ca="1" si="73"/>
        <v>0</v>
      </c>
      <c r="BP28" s="546">
        <f t="shared" ca="1" si="73"/>
        <v>14.682038301883917</v>
      </c>
      <c r="BQ28" s="546">
        <f t="shared" ca="1" si="73"/>
        <v>0.12340583618450737</v>
      </c>
      <c r="BR28" s="546">
        <f t="shared" ca="1" si="73"/>
        <v>3.1177186281139675</v>
      </c>
      <c r="BS28" s="546">
        <f t="shared" ca="1" si="73"/>
        <v>9.9423140598270283</v>
      </c>
      <c r="BT28" s="546">
        <f t="shared" ca="1" si="73"/>
        <v>0</v>
      </c>
      <c r="BU28" s="546">
        <f t="shared" ca="1" si="73"/>
        <v>0</v>
      </c>
      <c r="BV28" s="546">
        <f t="shared" ca="1" si="73"/>
        <v>0</v>
      </c>
      <c r="BW28" s="546">
        <f t="shared" ca="1" si="73"/>
        <v>0</v>
      </c>
      <c r="BX28" s="546">
        <f t="shared" ca="1" si="73"/>
        <v>0</v>
      </c>
      <c r="BY28" s="546">
        <f t="shared" ca="1" si="73"/>
        <v>0</v>
      </c>
      <c r="BZ28" s="546">
        <f t="shared" ca="1" si="73"/>
        <v>0</v>
      </c>
      <c r="CA28" s="546">
        <f t="shared" ca="1" si="73"/>
        <v>0</v>
      </c>
      <c r="CB28" s="546">
        <f t="shared" ca="1" si="73"/>
        <v>0</v>
      </c>
      <c r="CC28" s="546">
        <f t="shared" ca="1" si="73"/>
        <v>0</v>
      </c>
      <c r="CD28" s="546">
        <f t="shared" ca="1" si="73"/>
        <v>0</v>
      </c>
      <c r="CE28" s="546">
        <f t="shared" ca="1" si="73"/>
        <v>0</v>
      </c>
      <c r="CF28" s="546">
        <f t="shared" ca="1" si="73"/>
        <v>0</v>
      </c>
      <c r="CG28" s="546">
        <f t="shared" ca="1" si="73"/>
        <v>0</v>
      </c>
      <c r="CH28" s="546">
        <f t="shared" ca="1" si="73"/>
        <v>0</v>
      </c>
      <c r="CI28" s="546">
        <f t="shared" ca="1" si="73"/>
        <v>0</v>
      </c>
      <c r="CJ28" s="546">
        <f t="shared" ca="1" si="73"/>
        <v>0</v>
      </c>
      <c r="CK28" s="546">
        <f t="shared" ca="1" si="73"/>
        <v>0</v>
      </c>
      <c r="CL28" s="546">
        <f t="shared" ca="1" si="73"/>
        <v>0</v>
      </c>
      <c r="CM28" s="546">
        <f t="shared" ca="1" si="73"/>
        <v>0</v>
      </c>
      <c r="CN28" s="546">
        <f t="shared" ca="1" si="73"/>
        <v>0</v>
      </c>
      <c r="CO28" s="546">
        <f t="shared" ca="1" si="73"/>
        <v>0</v>
      </c>
      <c r="CP28" s="546">
        <f t="shared" ca="1" si="73"/>
        <v>0</v>
      </c>
      <c r="CQ28" s="546">
        <f t="shared" ca="1" si="73"/>
        <v>0</v>
      </c>
      <c r="CR28" s="546">
        <f t="shared" ca="1" si="73"/>
        <v>0</v>
      </c>
      <c r="CS28" s="546">
        <f t="shared" ca="1" si="73"/>
        <v>0</v>
      </c>
      <c r="CT28" s="546">
        <f t="shared" ca="1" si="73"/>
        <v>0</v>
      </c>
      <c r="CU28" s="546">
        <f t="shared" ca="1" si="73"/>
        <v>0</v>
      </c>
      <c r="CW28" s="148">
        <f ca="1">SUM(BH28:CU28)</f>
        <v>116.05042882689081</v>
      </c>
    </row>
    <row r="29" spans="1:101" s="84" customFormat="1" ht="6" customHeight="1" x14ac:dyDescent="0.2">
      <c r="C29" s="51"/>
      <c r="D29" s="51"/>
      <c r="E29" s="51"/>
      <c r="G29" s="245"/>
      <c r="H29" s="245"/>
      <c r="I29" s="245"/>
      <c r="J29" s="245"/>
      <c r="K29" s="245"/>
      <c r="L29" s="247"/>
      <c r="M29" s="245"/>
      <c r="N29" s="245"/>
      <c r="O29" s="245"/>
      <c r="P29" s="245">
        <f t="shared" si="70"/>
        <v>0</v>
      </c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>
        <f t="shared" si="5"/>
        <v>0</v>
      </c>
      <c r="AJ29" s="263"/>
      <c r="AK29" s="263"/>
      <c r="AL29" s="263"/>
      <c r="AM29" s="263"/>
      <c r="AN29" s="263"/>
      <c r="AO29" s="263"/>
      <c r="AP29" s="263"/>
      <c r="AQ29" s="263"/>
      <c r="AR29" s="263"/>
      <c r="AS29" s="263"/>
      <c r="AT29" s="263"/>
      <c r="AU29" s="263"/>
      <c r="AV29" s="263"/>
      <c r="AW29" s="263"/>
      <c r="AX29" s="263"/>
      <c r="AY29" s="263">
        <f t="shared" ref="AY29:AY60" si="74">SUM(AJ29:AX29)</f>
        <v>0</v>
      </c>
      <c r="BA29" s="277"/>
      <c r="BB29" s="277"/>
      <c r="BC29" s="277">
        <f t="shared" si="10"/>
        <v>0</v>
      </c>
      <c r="BE29" s="55">
        <f t="shared" si="11"/>
        <v>0</v>
      </c>
      <c r="BF29" s="55"/>
      <c r="BH29" s="542"/>
      <c r="BI29" s="542"/>
      <c r="BJ29" s="542"/>
      <c r="BK29" s="542"/>
      <c r="BL29" s="542"/>
      <c r="BM29" s="542"/>
      <c r="BN29" s="542"/>
      <c r="BO29" s="542"/>
      <c r="BP29" s="542"/>
      <c r="BQ29" s="542"/>
      <c r="BR29" s="542"/>
      <c r="BS29" s="542"/>
      <c r="BT29" s="542"/>
      <c r="BU29" s="542"/>
      <c r="BV29" s="542"/>
      <c r="BW29" s="542"/>
      <c r="BX29" s="542"/>
      <c r="BY29" s="542"/>
      <c r="BZ29" s="542"/>
      <c r="CA29" s="542"/>
      <c r="CB29" s="542"/>
      <c r="CC29" s="542"/>
      <c r="CD29" s="542"/>
      <c r="CE29" s="542"/>
      <c r="CF29" s="542"/>
      <c r="CG29" s="542"/>
      <c r="CH29" s="542"/>
      <c r="CI29" s="542"/>
      <c r="CJ29" s="542"/>
      <c r="CK29" s="542"/>
      <c r="CL29" s="542"/>
      <c r="CM29" s="542"/>
      <c r="CN29" s="542"/>
      <c r="CO29" s="542"/>
      <c r="CP29" s="542"/>
      <c r="CQ29" s="542"/>
      <c r="CR29" s="542"/>
      <c r="CS29" s="542"/>
      <c r="CT29" s="542"/>
      <c r="CU29" s="542"/>
      <c r="CW29" s="151"/>
    </row>
    <row r="30" spans="1:101" s="84" customFormat="1" ht="24" customHeight="1" x14ac:dyDescent="0.2">
      <c r="C30" s="45" t="s">
        <v>58</v>
      </c>
      <c r="D30" s="45"/>
      <c r="E30" s="68"/>
      <c r="G30" s="244"/>
      <c r="H30" s="244"/>
      <c r="I30" s="244"/>
      <c r="J30" s="244"/>
      <c r="K30" s="244"/>
      <c r="L30" s="244"/>
      <c r="M30" s="244"/>
      <c r="N30" s="244"/>
      <c r="O30" s="244"/>
      <c r="P30" s="244">
        <f t="shared" si="70"/>
        <v>0</v>
      </c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>
        <f t="shared" si="5"/>
        <v>0</v>
      </c>
      <c r="AJ30" s="262"/>
      <c r="AK30" s="262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>
        <f t="shared" si="74"/>
        <v>0</v>
      </c>
      <c r="BA30" s="276"/>
      <c r="BB30" s="276"/>
      <c r="BC30" s="276">
        <f t="shared" si="10"/>
        <v>0</v>
      </c>
      <c r="BE30" s="54">
        <f t="shared" si="11"/>
        <v>0</v>
      </c>
      <c r="BF30" s="54"/>
      <c r="BH30" s="542"/>
      <c r="BI30" s="542"/>
      <c r="BJ30" s="542"/>
      <c r="BK30" s="542"/>
      <c r="BL30" s="542"/>
      <c r="BM30" s="542"/>
      <c r="BN30" s="542"/>
      <c r="BO30" s="542"/>
      <c r="BP30" s="542"/>
      <c r="BQ30" s="542"/>
      <c r="BR30" s="542"/>
      <c r="BS30" s="542"/>
      <c r="BT30" s="542"/>
      <c r="BU30" s="542"/>
      <c r="BV30" s="542"/>
      <c r="BW30" s="542"/>
      <c r="BX30" s="542"/>
      <c r="BY30" s="542"/>
      <c r="BZ30" s="542"/>
      <c r="CA30" s="542"/>
      <c r="CB30" s="542"/>
      <c r="CC30" s="542"/>
      <c r="CD30" s="542"/>
      <c r="CE30" s="542"/>
      <c r="CF30" s="542"/>
      <c r="CG30" s="542"/>
      <c r="CH30" s="542"/>
      <c r="CI30" s="542"/>
      <c r="CJ30" s="542"/>
      <c r="CK30" s="542"/>
      <c r="CL30" s="542"/>
      <c r="CM30" s="542"/>
      <c r="CN30" s="542"/>
      <c r="CO30" s="542"/>
      <c r="CP30" s="542"/>
      <c r="CQ30" s="542"/>
      <c r="CR30" s="542"/>
      <c r="CS30" s="542"/>
      <c r="CT30" s="542"/>
      <c r="CU30" s="542"/>
      <c r="CW30" s="151"/>
    </row>
    <row r="31" spans="1:101" s="84" customFormat="1" ht="12.75" customHeight="1" outlineLevel="1" x14ac:dyDescent="0.2">
      <c r="A31" s="18"/>
      <c r="B31" s="18"/>
      <c r="C31" s="87"/>
      <c r="D31" s="53"/>
      <c r="E31" s="53"/>
      <c r="G31" s="245"/>
      <c r="H31" s="245"/>
      <c r="I31" s="245"/>
      <c r="J31" s="245"/>
      <c r="K31" s="245"/>
      <c r="L31" s="247"/>
      <c r="M31" s="245"/>
      <c r="N31" s="245"/>
      <c r="O31" s="245"/>
      <c r="P31" s="245">
        <f t="shared" si="70"/>
        <v>0</v>
      </c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>
        <f t="shared" si="5"/>
        <v>0</v>
      </c>
      <c r="AJ31" s="263"/>
      <c r="AK31" s="263"/>
      <c r="AL31" s="263"/>
      <c r="AM31" s="263"/>
      <c r="AN31" s="263"/>
      <c r="AO31" s="263"/>
      <c r="AP31" s="263"/>
      <c r="AQ31" s="263"/>
      <c r="AR31" s="263"/>
      <c r="AS31" s="263"/>
      <c r="AT31" s="263"/>
      <c r="AU31" s="263"/>
      <c r="AV31" s="263"/>
      <c r="AW31" s="263"/>
      <c r="AX31" s="263"/>
      <c r="AY31" s="263">
        <f t="shared" si="74"/>
        <v>0</v>
      </c>
      <c r="BA31" s="277"/>
      <c r="BB31" s="277"/>
      <c r="BC31" s="277">
        <f t="shared" si="10"/>
        <v>0</v>
      </c>
      <c r="BE31" s="55">
        <f t="shared" si="11"/>
        <v>0</v>
      </c>
      <c r="BF31" s="55"/>
      <c r="BG31" s="18"/>
      <c r="BH31" s="542"/>
      <c r="BI31" s="542"/>
      <c r="BJ31" s="542"/>
      <c r="BK31" s="542"/>
      <c r="BL31" s="542"/>
      <c r="BM31" s="542"/>
      <c r="BN31" s="542"/>
      <c r="BO31" s="542"/>
      <c r="BP31" s="542"/>
      <c r="BQ31" s="542"/>
      <c r="BR31" s="542"/>
      <c r="BS31" s="542"/>
      <c r="BT31" s="542"/>
      <c r="BU31" s="542"/>
      <c r="BV31" s="542"/>
      <c r="BW31" s="542"/>
      <c r="BX31" s="542"/>
      <c r="BY31" s="542"/>
      <c r="BZ31" s="542"/>
      <c r="CA31" s="542"/>
      <c r="CB31" s="542"/>
      <c r="CC31" s="542"/>
      <c r="CD31" s="542"/>
      <c r="CE31" s="542"/>
      <c r="CF31" s="542"/>
      <c r="CG31" s="542"/>
      <c r="CH31" s="542"/>
      <c r="CI31" s="542"/>
      <c r="CJ31" s="542"/>
      <c r="CK31" s="542"/>
      <c r="CL31" s="542"/>
      <c r="CM31" s="542"/>
      <c r="CN31" s="542"/>
      <c r="CO31" s="542"/>
      <c r="CP31" s="542"/>
      <c r="CQ31" s="542"/>
      <c r="CR31" s="542"/>
      <c r="CS31" s="542"/>
      <c r="CT31" s="542"/>
      <c r="CU31" s="542"/>
      <c r="CW31" s="151"/>
    </row>
    <row r="32" spans="1:101" s="550" customFormat="1" ht="12.75" customHeight="1" outlineLevel="1" x14ac:dyDescent="0.2">
      <c r="C32" s="566" t="s">
        <v>945</v>
      </c>
      <c r="D32" s="567" t="s">
        <v>946</v>
      </c>
      <c r="E32" s="567"/>
      <c r="F32" s="882"/>
      <c r="G32" s="333"/>
      <c r="H32" s="333"/>
      <c r="I32" s="333"/>
      <c r="J32" s="333"/>
      <c r="K32" s="333"/>
      <c r="L32" s="334"/>
      <c r="M32" s="333"/>
      <c r="N32" s="333"/>
      <c r="O32" s="333"/>
      <c r="P32" s="333">
        <f t="shared" si="70"/>
        <v>0</v>
      </c>
      <c r="Q32" s="882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>
        <f t="shared" si="5"/>
        <v>0</v>
      </c>
      <c r="AI32" s="882"/>
      <c r="AJ32" s="336"/>
      <c r="AK32" s="336"/>
      <c r="AL32" s="336"/>
      <c r="AM32" s="336"/>
      <c r="AN32" s="336"/>
      <c r="AO32" s="336"/>
      <c r="AP32" s="336"/>
      <c r="AQ32" s="336"/>
      <c r="AR32" s="336"/>
      <c r="AS32" s="336"/>
      <c r="AT32" s="336"/>
      <c r="AU32" s="336"/>
      <c r="AV32" s="336"/>
      <c r="AW32" s="336"/>
      <c r="AX32" s="336"/>
      <c r="AY32" s="336">
        <f t="shared" si="74"/>
        <v>0</v>
      </c>
      <c r="AZ32" s="882"/>
      <c r="BA32" s="337"/>
      <c r="BB32" s="337"/>
      <c r="BC32" s="337">
        <f t="shared" si="10"/>
        <v>0</v>
      </c>
      <c r="BD32" s="882"/>
      <c r="BE32" s="568">
        <f t="shared" si="11"/>
        <v>0</v>
      </c>
      <c r="BF32" s="568"/>
      <c r="BH32" s="888"/>
      <c r="BI32" s="888"/>
      <c r="BJ32" s="888"/>
      <c r="BK32" s="888"/>
      <c r="BL32" s="888"/>
      <c r="BM32" s="888"/>
      <c r="BN32" s="888"/>
      <c r="BO32" s="888"/>
      <c r="BP32" s="888"/>
      <c r="BQ32" s="888"/>
      <c r="BR32" s="888"/>
      <c r="BS32" s="888"/>
      <c r="BT32" s="888"/>
      <c r="BU32" s="888"/>
      <c r="BV32" s="888"/>
      <c r="BW32" s="888"/>
      <c r="BX32" s="888"/>
      <c r="BY32" s="888"/>
      <c r="BZ32" s="888"/>
      <c r="CA32" s="888"/>
      <c r="CB32" s="888"/>
      <c r="CC32" s="888"/>
      <c r="CD32" s="888"/>
      <c r="CE32" s="888"/>
      <c r="CF32" s="888"/>
      <c r="CG32" s="888"/>
      <c r="CH32" s="888"/>
      <c r="CI32" s="888"/>
      <c r="CJ32" s="888"/>
      <c r="CK32" s="888"/>
      <c r="CL32" s="888"/>
      <c r="CM32" s="888"/>
      <c r="CN32" s="888"/>
      <c r="CO32" s="888"/>
      <c r="CP32" s="888"/>
      <c r="CQ32" s="888"/>
      <c r="CR32" s="888"/>
      <c r="CS32" s="888"/>
      <c r="CT32" s="888"/>
      <c r="CU32" s="888"/>
      <c r="CW32" s="887">
        <f t="shared" ref="CW32:CW43" si="75">SUM(BH32:CU32)</f>
        <v>0</v>
      </c>
    </row>
    <row r="33" spans="1:101" s="84" customFormat="1" outlineLevel="1" x14ac:dyDescent="0.2">
      <c r="C33" s="50"/>
      <c r="D33" s="51"/>
      <c r="E33" s="51"/>
      <c r="G33" s="245"/>
      <c r="H33" s="245"/>
      <c r="I33" s="245"/>
      <c r="J33" s="245"/>
      <c r="K33" s="245"/>
      <c r="L33" s="247"/>
      <c r="M33" s="245"/>
      <c r="N33" s="245"/>
      <c r="O33" s="245"/>
      <c r="P33" s="245">
        <f t="shared" si="70"/>
        <v>0</v>
      </c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>
        <f t="shared" si="5"/>
        <v>0</v>
      </c>
      <c r="AJ33" s="263"/>
      <c r="AK33" s="263"/>
      <c r="AL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  <c r="AW33" s="263"/>
      <c r="AX33" s="263"/>
      <c r="AY33" s="263">
        <f t="shared" si="74"/>
        <v>0</v>
      </c>
      <c r="BA33" s="277"/>
      <c r="BB33" s="277"/>
      <c r="BC33" s="277">
        <f t="shared" si="10"/>
        <v>0</v>
      </c>
      <c r="BE33" s="55">
        <f t="shared" si="11"/>
        <v>0</v>
      </c>
      <c r="BF33" s="55"/>
      <c r="BH33" s="542"/>
      <c r="BI33" s="542"/>
      <c r="BJ33" s="542"/>
      <c r="BK33" s="542"/>
      <c r="BL33" s="542"/>
      <c r="BM33" s="542"/>
      <c r="BN33" s="542"/>
      <c r="BO33" s="542"/>
      <c r="BP33" s="542"/>
      <c r="BQ33" s="542"/>
      <c r="BR33" s="542"/>
      <c r="BS33" s="542"/>
      <c r="BT33" s="542"/>
      <c r="BU33" s="542"/>
      <c r="BV33" s="542"/>
      <c r="BW33" s="542"/>
      <c r="BX33" s="542"/>
      <c r="BY33" s="542"/>
      <c r="BZ33" s="542"/>
      <c r="CA33" s="542"/>
      <c r="CB33" s="542"/>
      <c r="CC33" s="542"/>
      <c r="CD33" s="542"/>
      <c r="CE33" s="542"/>
      <c r="CF33" s="542"/>
      <c r="CG33" s="542"/>
      <c r="CH33" s="542"/>
      <c r="CI33" s="542"/>
      <c r="CJ33" s="542"/>
      <c r="CK33" s="542"/>
      <c r="CL33" s="542"/>
      <c r="CM33" s="542"/>
      <c r="CN33" s="542"/>
      <c r="CO33" s="542"/>
      <c r="CP33" s="542"/>
      <c r="CQ33" s="542"/>
      <c r="CR33" s="542"/>
      <c r="CS33" s="542"/>
      <c r="CT33" s="542"/>
      <c r="CU33" s="542"/>
      <c r="CW33" s="151">
        <f t="shared" si="75"/>
        <v>0</v>
      </c>
    </row>
    <row r="34" spans="1:101" s="84" customFormat="1" outlineLevel="1" x14ac:dyDescent="0.2">
      <c r="A34" s="543"/>
      <c r="B34" s="543"/>
      <c r="C34" s="86" t="s">
        <v>402</v>
      </c>
      <c r="D34" s="61" t="str">
        <f>INDEX(Modules[Module], MATCH($C34, Modules[Code], 0))</f>
        <v>Volume of Waste &amp; Recycling</v>
      </c>
      <c r="E34" s="61"/>
      <c r="G34" s="297">
        <f t="shared" ref="G34:O34" ca="1" si="76">IFERROR(INDEX(INDIRECT($C34&amp;".Outputs["&amp;this.Year&amp;"]"), MATCH(G$5, INDIRECT($C34&amp;".Outputs[Vector]"), 0)), 0)</f>
        <v>0</v>
      </c>
      <c r="H34" s="297">
        <f t="shared" ca="1" si="76"/>
        <v>0</v>
      </c>
      <c r="I34" s="297">
        <f t="shared" ca="1" si="76"/>
        <v>0</v>
      </c>
      <c r="J34" s="297">
        <f t="shared" ca="1" si="76"/>
        <v>0</v>
      </c>
      <c r="K34" s="297">
        <f t="shared" ca="1" si="76"/>
        <v>0</v>
      </c>
      <c r="L34" s="297">
        <f t="shared" ca="1" si="76"/>
        <v>0</v>
      </c>
      <c r="M34" s="297">
        <f t="shared" ca="1" si="76"/>
        <v>0</v>
      </c>
      <c r="N34" s="297">
        <f t="shared" ca="1" si="76"/>
        <v>0</v>
      </c>
      <c r="O34" s="297">
        <f t="shared" ca="1" si="76"/>
        <v>0</v>
      </c>
      <c r="P34" s="297">
        <f t="shared" ca="1" si="70"/>
        <v>0</v>
      </c>
      <c r="R34" s="304">
        <f t="shared" ref="R34:AX34" ca="1" si="77">IFERROR(INDEX(INDIRECT($C34&amp;".Outputs["&amp;this.Year&amp;"]"), MATCH(R$5, INDIRECT($C34&amp;".Outputs[Vector]"), 0)), 0)</f>
        <v>0</v>
      </c>
      <c r="S34" s="304">
        <f t="shared" ca="1" si="77"/>
        <v>0</v>
      </c>
      <c r="T34" s="304">
        <f t="shared" ca="1" si="77"/>
        <v>0</v>
      </c>
      <c r="U34" s="304">
        <f t="shared" ca="1" si="77"/>
        <v>0</v>
      </c>
      <c r="V34" s="304">
        <f t="shared" ca="1" si="77"/>
        <v>0</v>
      </c>
      <c r="W34" s="304">
        <f t="shared" ca="1" si="77"/>
        <v>0</v>
      </c>
      <c r="X34" s="304">
        <f t="shared" ref="X34:Z35" ca="1" si="78">IFERROR(INDEX(INDIRECT($C34&amp;".Outputs["&amp;this.Year&amp;"]"), MATCH(X$5, INDIRECT($C34&amp;".Outputs[Vector]"), 0)), 0)</f>
        <v>5.849583833333333</v>
      </c>
      <c r="Y34" s="304">
        <f t="shared" ca="1" si="78"/>
        <v>0</v>
      </c>
      <c r="Z34" s="304">
        <f t="shared" ca="1" si="78"/>
        <v>0</v>
      </c>
      <c r="AA34" s="304">
        <f t="shared" ca="1" si="77"/>
        <v>0</v>
      </c>
      <c r="AB34" s="304">
        <f t="shared" ca="1" si="77"/>
        <v>0</v>
      </c>
      <c r="AC34" s="304">
        <f t="shared" ca="1" si="77"/>
        <v>0</v>
      </c>
      <c r="AD34" s="304">
        <f t="shared" ca="1" si="77"/>
        <v>0</v>
      </c>
      <c r="AE34" s="304">
        <f t="shared" ca="1" si="77"/>
        <v>9.7580242644444439</v>
      </c>
      <c r="AF34" s="304">
        <f t="shared" ca="1" si="77"/>
        <v>5.6566202182635328</v>
      </c>
      <c r="AG34" s="304">
        <f t="shared" ca="1" si="77"/>
        <v>9.7112997118455926</v>
      </c>
      <c r="AH34" s="305">
        <f t="shared" ca="1" si="5"/>
        <v>30.975528027886902</v>
      </c>
      <c r="AJ34" s="312">
        <f t="shared" ref="AJ34:AR35" ca="1" si="79">IFERROR(INDEX(INDIRECT($C34&amp;".Outputs["&amp;this.Year&amp;"]"), MATCH(AJ$5, INDIRECT($C34&amp;".Outputs[Vector]"), 0)), 0)</f>
        <v>0</v>
      </c>
      <c r="AK34" s="312">
        <f t="shared" ca="1" si="79"/>
        <v>0</v>
      </c>
      <c r="AL34" s="312">
        <f t="shared" ca="1" si="79"/>
        <v>0</v>
      </c>
      <c r="AM34" s="312">
        <f t="shared" ca="1" si="79"/>
        <v>0</v>
      </c>
      <c r="AN34" s="312">
        <f t="shared" ca="1" si="79"/>
        <v>0</v>
      </c>
      <c r="AO34" s="312">
        <f t="shared" ca="1" si="79"/>
        <v>0</v>
      </c>
      <c r="AP34" s="312">
        <f t="shared" ca="1" si="79"/>
        <v>0</v>
      </c>
      <c r="AQ34" s="312">
        <f t="shared" ca="1" si="79"/>
        <v>0</v>
      </c>
      <c r="AR34" s="312">
        <f t="shared" ca="1" si="79"/>
        <v>0</v>
      </c>
      <c r="AS34" s="312">
        <f t="shared" ca="1" si="77"/>
        <v>0</v>
      </c>
      <c r="AT34" s="312">
        <f t="shared" ca="1" si="77"/>
        <v>0</v>
      </c>
      <c r="AU34" s="312">
        <f t="shared" ca="1" si="77"/>
        <v>0</v>
      </c>
      <c r="AV34" s="312">
        <f t="shared" ca="1" si="77"/>
        <v>0</v>
      </c>
      <c r="AW34" s="312">
        <f t="shared" ca="1" si="77"/>
        <v>0</v>
      </c>
      <c r="AX34" s="312">
        <f t="shared" ca="1" si="77"/>
        <v>-30.975528027886902</v>
      </c>
      <c r="AY34" s="266">
        <f t="shared" ca="1" si="74"/>
        <v>-30.975528027886902</v>
      </c>
      <c r="BA34" s="308">
        <f t="shared" ref="BA34:BB35" ca="1" si="80">IFERROR(INDEX(INDIRECT($C34&amp;".Outputs["&amp;this.Year&amp;"]"), MATCH(BA$5, INDIRECT($C34&amp;".Outputs[Vector]"), 0)), 0)</f>
        <v>0</v>
      </c>
      <c r="BB34" s="308">
        <f t="shared" ca="1" si="80"/>
        <v>0</v>
      </c>
      <c r="BC34" s="309">
        <f t="shared" ca="1" si="10"/>
        <v>0</v>
      </c>
      <c r="BE34" s="135"/>
      <c r="BF34" s="135"/>
      <c r="BG34" s="1428"/>
      <c r="BH34" s="541">
        <f t="shared" ref="BH34:BQ35" ca="1" si="81">IFERROR(SUMIFS(INDIRECT($C34&amp;".Emissions["&amp;this.Year&amp;"]"), INDIRECT($C34&amp;".Emissions[GHG]"), BH$6, INDIRECT($C34&amp;".Emissions[IPCC Sector]"), BH$5),0)</f>
        <v>0</v>
      </c>
      <c r="BI34" s="542">
        <f t="shared" ca="1" si="81"/>
        <v>0</v>
      </c>
      <c r="BJ34" s="542">
        <f t="shared" ca="1" si="81"/>
        <v>0</v>
      </c>
      <c r="BK34" s="542">
        <f t="shared" ca="1" si="81"/>
        <v>0</v>
      </c>
      <c r="BL34" s="542">
        <f t="shared" ca="1" si="81"/>
        <v>0</v>
      </c>
      <c r="BM34" s="542">
        <f t="shared" ca="1" si="81"/>
        <v>0</v>
      </c>
      <c r="BN34" s="542">
        <f t="shared" ca="1" si="81"/>
        <v>0</v>
      </c>
      <c r="BO34" s="542">
        <f t="shared" ca="1" si="81"/>
        <v>0</v>
      </c>
      <c r="BP34" s="542">
        <f t="shared" ca="1" si="81"/>
        <v>0</v>
      </c>
      <c r="BQ34" s="542">
        <f t="shared" ca="1" si="81"/>
        <v>0</v>
      </c>
      <c r="BR34" s="542">
        <f t="shared" ref="BR34:CA35" ca="1" si="82">IFERROR(SUMIFS(INDIRECT($C34&amp;".Emissions["&amp;this.Year&amp;"]"), INDIRECT($C34&amp;".Emissions[GHG]"), BR$6, INDIRECT($C34&amp;".Emissions[IPCC Sector]"), BR$5),0)</f>
        <v>0</v>
      </c>
      <c r="BS34" s="542">
        <f t="shared" ca="1" si="82"/>
        <v>0</v>
      </c>
      <c r="BT34" s="542">
        <f t="shared" ca="1" si="82"/>
        <v>0</v>
      </c>
      <c r="BU34" s="542">
        <f t="shared" ca="1" si="82"/>
        <v>0</v>
      </c>
      <c r="BV34" s="542">
        <f t="shared" ca="1" si="82"/>
        <v>0</v>
      </c>
      <c r="BW34" s="542">
        <f t="shared" ca="1" si="82"/>
        <v>0</v>
      </c>
      <c r="BX34" s="542">
        <f t="shared" ca="1" si="82"/>
        <v>0</v>
      </c>
      <c r="BY34" s="542">
        <f t="shared" ca="1" si="82"/>
        <v>0</v>
      </c>
      <c r="BZ34" s="542">
        <f t="shared" ca="1" si="82"/>
        <v>0</v>
      </c>
      <c r="CA34" s="542">
        <f t="shared" ca="1" si="82"/>
        <v>0</v>
      </c>
      <c r="CB34" s="542">
        <f t="shared" ref="CB34:CK35" ca="1" si="83">IFERROR(SUMIFS(INDIRECT($C34&amp;".Emissions["&amp;this.Year&amp;"]"), INDIRECT($C34&amp;".Emissions[GHG]"), CB$6, INDIRECT($C34&amp;".Emissions[IPCC Sector]"), CB$5),0)</f>
        <v>0</v>
      </c>
      <c r="CC34" s="542">
        <f t="shared" ca="1" si="83"/>
        <v>0</v>
      </c>
      <c r="CD34" s="542">
        <f t="shared" ca="1" si="83"/>
        <v>0</v>
      </c>
      <c r="CE34" s="542">
        <f t="shared" ca="1" si="83"/>
        <v>0</v>
      </c>
      <c r="CF34" s="542">
        <f t="shared" ca="1" si="83"/>
        <v>0</v>
      </c>
      <c r="CG34" s="542">
        <f t="shared" ca="1" si="83"/>
        <v>8.4928453808442548</v>
      </c>
      <c r="CH34" s="542">
        <f t="shared" ca="1" si="83"/>
        <v>0</v>
      </c>
      <c r="CI34" s="542">
        <f t="shared" ca="1" si="83"/>
        <v>0</v>
      </c>
      <c r="CJ34" s="542">
        <f t="shared" ca="1" si="83"/>
        <v>0</v>
      </c>
      <c r="CK34" s="542">
        <f t="shared" ca="1" si="83"/>
        <v>0</v>
      </c>
      <c r="CL34" s="542">
        <f t="shared" ref="CL34:CU35" ca="1" si="84">IFERROR(SUMIFS(INDIRECT($C34&amp;".Emissions["&amp;this.Year&amp;"]"), INDIRECT($C34&amp;".Emissions[GHG]"), CL$6, INDIRECT($C34&amp;".Emissions[IPCC Sector]"), CL$5),0)</f>
        <v>0</v>
      </c>
      <c r="CM34" s="542">
        <f t="shared" ca="1" si="84"/>
        <v>0</v>
      </c>
      <c r="CN34" s="542">
        <f t="shared" ca="1" si="84"/>
        <v>0</v>
      </c>
      <c r="CO34" s="542">
        <f t="shared" ca="1" si="84"/>
        <v>0</v>
      </c>
      <c r="CP34" s="542">
        <f t="shared" ca="1" si="84"/>
        <v>0</v>
      </c>
      <c r="CQ34" s="542">
        <f t="shared" ca="1" si="84"/>
        <v>0</v>
      </c>
      <c r="CR34" s="542">
        <f t="shared" ca="1" si="84"/>
        <v>0</v>
      </c>
      <c r="CS34" s="542">
        <f t="shared" ca="1" si="84"/>
        <v>0</v>
      </c>
      <c r="CT34" s="542">
        <f t="shared" ca="1" si="84"/>
        <v>0</v>
      </c>
      <c r="CU34" s="542">
        <f t="shared" ca="1" si="84"/>
        <v>0</v>
      </c>
      <c r="CW34" s="151">
        <f t="shared" ca="1" si="75"/>
        <v>8.4928453808442548</v>
      </c>
    </row>
    <row r="35" spans="1:101" s="84" customFormat="1" ht="12.75" customHeight="1" outlineLevel="1" x14ac:dyDescent="0.2">
      <c r="A35" s="543"/>
      <c r="B35" s="543"/>
      <c r="C35" s="86" t="s">
        <v>380</v>
      </c>
      <c r="D35" s="292" t="str">
        <f>INDEX(Modules[Module], MATCH($C35, Modules[Code], 0))</f>
        <v>Agriculture and land use</v>
      </c>
      <c r="E35" s="292"/>
      <c r="G35" s="301">
        <f t="shared" ref="G35:O35" ca="1" si="85">IFERROR(INDEX(INDIRECT($C35&amp;".Outputs["&amp;this.Year&amp;"]"), MATCH(G$5, INDIRECT($C35&amp;".Outputs[Vector]"), 0)), 0)</f>
        <v>0</v>
      </c>
      <c r="H35" s="301">
        <f t="shared" ca="1" si="85"/>
        <v>0</v>
      </c>
      <c r="I35" s="301">
        <f t="shared" ca="1" si="85"/>
        <v>0</v>
      </c>
      <c r="J35" s="301">
        <f t="shared" ca="1" si="85"/>
        <v>11.454928340187141</v>
      </c>
      <c r="K35" s="301">
        <f t="shared" ca="1" si="85"/>
        <v>0</v>
      </c>
      <c r="L35" s="301">
        <f t="shared" ca="1" si="85"/>
        <v>0</v>
      </c>
      <c r="M35" s="301">
        <f t="shared" ca="1" si="85"/>
        <v>0</v>
      </c>
      <c r="N35" s="301">
        <f t="shared" ca="1" si="85"/>
        <v>0</v>
      </c>
      <c r="O35" s="301">
        <f t="shared" ca="1" si="85"/>
        <v>0</v>
      </c>
      <c r="P35" s="301">
        <f t="shared" ca="1" si="70"/>
        <v>11.454928340187141</v>
      </c>
      <c r="R35" s="307">
        <f t="shared" ref="R35:AG35" ca="1" si="86">IFERROR(INDEX(INDIRECT($C35&amp;".Outputs["&amp;this.Year&amp;"]"), MATCH(R$5, INDIRECT($C35&amp;".Outputs[Vector]"), 0)), 0)</f>
        <v>-1.3631364724822697</v>
      </c>
      <c r="S35" s="307">
        <f t="shared" ca="1" si="86"/>
        <v>0</v>
      </c>
      <c r="T35" s="307">
        <f t="shared" ca="1" si="86"/>
        <v>-1.1454928340187142E-2</v>
      </c>
      <c r="U35" s="307">
        <f t="shared" ca="1" si="86"/>
        <v>-2.176436384635557</v>
      </c>
      <c r="V35" s="307">
        <f t="shared" ca="1" si="86"/>
        <v>-1.0309435506168427</v>
      </c>
      <c r="W35" s="307">
        <f t="shared" ca="1" si="86"/>
        <v>-6.8729570041122843</v>
      </c>
      <c r="X35" s="307">
        <f t="shared" ca="1" si="78"/>
        <v>0</v>
      </c>
      <c r="Y35" s="307">
        <f t="shared" ca="1" si="78"/>
        <v>0</v>
      </c>
      <c r="Z35" s="307">
        <f t="shared" ca="1" si="78"/>
        <v>0</v>
      </c>
      <c r="AA35" s="307">
        <f t="shared" ca="1" si="86"/>
        <v>0</v>
      </c>
      <c r="AB35" s="307">
        <f t="shared" ca="1" si="86"/>
        <v>0</v>
      </c>
      <c r="AC35" s="307">
        <f t="shared" ca="1" si="86"/>
        <v>1929.3397217722111</v>
      </c>
      <c r="AD35" s="307">
        <f t="shared" ca="1" si="86"/>
        <v>14.240042740265427</v>
      </c>
      <c r="AE35" s="307">
        <f t="shared" ca="1" si="86"/>
        <v>134.16689974767002</v>
      </c>
      <c r="AF35" s="307">
        <f t="shared" ca="1" si="86"/>
        <v>54.504306148138028</v>
      </c>
      <c r="AG35" s="307">
        <f t="shared" ca="1" si="86"/>
        <v>0</v>
      </c>
      <c r="AH35" s="306">
        <f t="shared" ca="1" si="5"/>
        <v>2120.7960420680974</v>
      </c>
      <c r="AJ35" s="315">
        <f t="shared" ca="1" si="79"/>
        <v>0</v>
      </c>
      <c r="AK35" s="315">
        <f t="shared" ca="1" si="79"/>
        <v>0</v>
      </c>
      <c r="AL35" s="315">
        <f t="shared" ca="1" si="79"/>
        <v>0</v>
      </c>
      <c r="AM35" s="315">
        <f t="shared" ca="1" si="79"/>
        <v>0</v>
      </c>
      <c r="AN35" s="315">
        <f t="shared" ca="1" si="79"/>
        <v>0</v>
      </c>
      <c r="AO35" s="315">
        <f t="shared" ca="1" si="79"/>
        <v>0</v>
      </c>
      <c r="AP35" s="315">
        <f t="shared" ca="1" si="79"/>
        <v>0</v>
      </c>
      <c r="AQ35" s="315">
        <f t="shared" ca="1" si="79"/>
        <v>0</v>
      </c>
      <c r="AR35" s="315">
        <f t="shared" ca="1" si="79"/>
        <v>0</v>
      </c>
      <c r="AS35" s="315">
        <f t="shared" ref="AS35:AX35" ca="1" si="87">IFERROR(INDEX(INDIRECT($C35&amp;".Outputs["&amp;this.Year&amp;"]"), MATCH(AS$5, INDIRECT($C35&amp;".Outputs[Vector]"), 0)), 0)</f>
        <v>0</v>
      </c>
      <c r="AT35" s="315">
        <f t="shared" ca="1" si="87"/>
        <v>0</v>
      </c>
      <c r="AU35" s="315">
        <f t="shared" ca="1" si="87"/>
        <v>0</v>
      </c>
      <c r="AV35" s="315">
        <f t="shared" ca="1" si="87"/>
        <v>0</v>
      </c>
      <c r="AW35" s="315">
        <f t="shared" ca="1" si="87"/>
        <v>-1943.5797645124765</v>
      </c>
      <c r="AX35" s="315">
        <f t="shared" ca="1" si="87"/>
        <v>-188.67120589580804</v>
      </c>
      <c r="AY35" s="293">
        <f t="shared" ca="1" si="74"/>
        <v>-2132.2509704082845</v>
      </c>
      <c r="BA35" s="311">
        <f t="shared" ca="1" si="80"/>
        <v>0</v>
      </c>
      <c r="BB35" s="311">
        <f t="shared" ca="1" si="80"/>
        <v>0</v>
      </c>
      <c r="BC35" s="310">
        <f t="shared" ca="1" si="10"/>
        <v>0</v>
      </c>
      <c r="BE35" s="135">
        <f ca="1">P35+AH35+AY35+BC35</f>
        <v>0</v>
      </c>
      <c r="BF35" s="135"/>
      <c r="BG35" s="1428"/>
      <c r="BH35" s="544">
        <f t="shared" ca="1" si="81"/>
        <v>0.73733082740116584</v>
      </c>
      <c r="BI35" s="545">
        <f t="shared" ca="1" si="81"/>
        <v>1.0680161490548366E-3</v>
      </c>
      <c r="BJ35" s="545">
        <f t="shared" ca="1" si="81"/>
        <v>1.0229856050867982E-2</v>
      </c>
      <c r="BK35" s="545">
        <f t="shared" ca="1" si="81"/>
        <v>0</v>
      </c>
      <c r="BL35" s="545">
        <f t="shared" ca="1" si="81"/>
        <v>0</v>
      </c>
      <c r="BM35" s="545">
        <f t="shared" ca="1" si="81"/>
        <v>0</v>
      </c>
      <c r="BN35" s="545">
        <f t="shared" ca="1" si="81"/>
        <v>0</v>
      </c>
      <c r="BO35" s="545">
        <f t="shared" ca="1" si="81"/>
        <v>0</v>
      </c>
      <c r="BP35" s="545">
        <f t="shared" ca="1" si="81"/>
        <v>0</v>
      </c>
      <c r="BQ35" s="545">
        <f t="shared" ca="1" si="81"/>
        <v>0</v>
      </c>
      <c r="BR35" s="545">
        <f t="shared" ca="1" si="82"/>
        <v>0</v>
      </c>
      <c r="BS35" s="545">
        <f t="shared" ca="1" si="82"/>
        <v>0</v>
      </c>
      <c r="BT35" s="545">
        <f t="shared" ca="1" si="82"/>
        <v>0</v>
      </c>
      <c r="BU35" s="545">
        <f t="shared" ca="1" si="82"/>
        <v>0</v>
      </c>
      <c r="BV35" s="545">
        <f t="shared" ca="1" si="82"/>
        <v>0</v>
      </c>
      <c r="BW35" s="545">
        <f t="shared" ca="1" si="82"/>
        <v>0</v>
      </c>
      <c r="BX35" s="545">
        <f t="shared" ca="1" si="82"/>
        <v>0</v>
      </c>
      <c r="BY35" s="545">
        <f t="shared" ca="1" si="82"/>
        <v>0</v>
      </c>
      <c r="BZ35" s="545">
        <f t="shared" ca="1" si="82"/>
        <v>21.83370602510076</v>
      </c>
      <c r="CA35" s="545">
        <f t="shared" ca="1" si="82"/>
        <v>0</v>
      </c>
      <c r="CB35" s="545">
        <f t="shared" ca="1" si="83"/>
        <v>7.3100835966666686</v>
      </c>
      <c r="CC35" s="545">
        <f t="shared" ca="1" si="83"/>
        <v>0</v>
      </c>
      <c r="CD35" s="545">
        <f t="shared" ca="1" si="83"/>
        <v>0</v>
      </c>
      <c r="CE35" s="545">
        <f t="shared" ca="1" si="83"/>
        <v>0</v>
      </c>
      <c r="CF35" s="545">
        <f t="shared" ca="1" si="83"/>
        <v>0</v>
      </c>
      <c r="CG35" s="545">
        <f t="shared" ca="1" si="83"/>
        <v>0</v>
      </c>
      <c r="CH35" s="545">
        <f t="shared" ca="1" si="83"/>
        <v>0</v>
      </c>
      <c r="CI35" s="545">
        <f t="shared" ca="1" si="83"/>
        <v>0</v>
      </c>
      <c r="CJ35" s="545">
        <f t="shared" ca="1" si="83"/>
        <v>0</v>
      </c>
      <c r="CK35" s="545">
        <f t="shared" ca="1" si="83"/>
        <v>0</v>
      </c>
      <c r="CL35" s="545">
        <f t="shared" ca="1" si="84"/>
        <v>0</v>
      </c>
      <c r="CM35" s="545">
        <f t="shared" ca="1" si="84"/>
        <v>0</v>
      </c>
      <c r="CN35" s="545">
        <f t="shared" ca="1" si="84"/>
        <v>0</v>
      </c>
      <c r="CO35" s="545">
        <f t="shared" ca="1" si="84"/>
        <v>0</v>
      </c>
      <c r="CP35" s="545">
        <f t="shared" ca="1" si="84"/>
        <v>0</v>
      </c>
      <c r="CQ35" s="545">
        <f t="shared" ca="1" si="84"/>
        <v>0</v>
      </c>
      <c r="CR35" s="545">
        <f t="shared" ca="1" si="84"/>
        <v>0</v>
      </c>
      <c r="CS35" s="545">
        <f t="shared" ca="1" si="84"/>
        <v>0</v>
      </c>
      <c r="CT35" s="545">
        <f t="shared" ca="1" si="84"/>
        <v>0</v>
      </c>
      <c r="CU35" s="545">
        <f t="shared" ca="1" si="84"/>
        <v>0</v>
      </c>
      <c r="CW35" s="151">
        <f t="shared" ca="1" si="75"/>
        <v>29.892418321368517</v>
      </c>
    </row>
    <row r="36" spans="1:101" s="84" customFormat="1" ht="15.75" x14ac:dyDescent="0.2">
      <c r="A36" s="18"/>
      <c r="B36" s="89"/>
      <c r="C36" s="85" t="s">
        <v>225</v>
      </c>
      <c r="D36" s="57" t="str">
        <f>INDEX(Workstreams[Workstream], MATCH($C36, Workstreams[Code], 0))</f>
        <v>Agriculture &amp; waste</v>
      </c>
      <c r="E36" s="53"/>
      <c r="G36" s="300">
        <f t="shared" ref="G36:O36" ca="1" si="88">SUM(G34:G35)</f>
        <v>0</v>
      </c>
      <c r="H36" s="300">
        <f t="shared" ca="1" si="88"/>
        <v>0</v>
      </c>
      <c r="I36" s="300">
        <f t="shared" ca="1" si="88"/>
        <v>0</v>
      </c>
      <c r="J36" s="300">
        <f t="shared" ca="1" si="88"/>
        <v>11.454928340187141</v>
      </c>
      <c r="K36" s="300">
        <f t="shared" ca="1" si="88"/>
        <v>0</v>
      </c>
      <c r="L36" s="300">
        <f t="shared" ca="1" si="88"/>
        <v>0</v>
      </c>
      <c r="M36" s="300">
        <f t="shared" ca="1" si="88"/>
        <v>0</v>
      </c>
      <c r="N36" s="300">
        <f t="shared" ca="1" si="88"/>
        <v>0</v>
      </c>
      <c r="O36" s="300">
        <f t="shared" ca="1" si="88"/>
        <v>0</v>
      </c>
      <c r="P36" s="300">
        <f t="shared" ca="1" si="70"/>
        <v>11.454928340187141</v>
      </c>
      <c r="R36" s="257">
        <f t="shared" ref="R36:AG36" ca="1" si="89">SUM(R34:R35)</f>
        <v>-1.3631364724822697</v>
      </c>
      <c r="S36" s="257">
        <f t="shared" ca="1" si="89"/>
        <v>0</v>
      </c>
      <c r="T36" s="257">
        <f t="shared" ca="1" si="89"/>
        <v>-1.1454928340187142E-2</v>
      </c>
      <c r="U36" s="257">
        <f t="shared" ca="1" si="89"/>
        <v>-2.176436384635557</v>
      </c>
      <c r="V36" s="257">
        <f t="shared" ca="1" si="89"/>
        <v>-1.0309435506168427</v>
      </c>
      <c r="W36" s="257">
        <f t="shared" ca="1" si="89"/>
        <v>-6.8729570041122843</v>
      </c>
      <c r="X36" s="257">
        <f t="shared" ca="1" si="89"/>
        <v>5.849583833333333</v>
      </c>
      <c r="Y36" s="257">
        <f t="shared" ca="1" si="89"/>
        <v>0</v>
      </c>
      <c r="Z36" s="257">
        <f t="shared" ca="1" si="89"/>
        <v>0</v>
      </c>
      <c r="AA36" s="257">
        <f t="shared" ca="1" si="89"/>
        <v>0</v>
      </c>
      <c r="AB36" s="257">
        <f t="shared" ca="1" si="89"/>
        <v>0</v>
      </c>
      <c r="AC36" s="257">
        <f t="shared" ca="1" si="89"/>
        <v>1929.3397217722111</v>
      </c>
      <c r="AD36" s="257">
        <f t="shared" ca="1" si="89"/>
        <v>14.240042740265427</v>
      </c>
      <c r="AE36" s="257">
        <f t="shared" ca="1" si="89"/>
        <v>143.92492401211445</v>
      </c>
      <c r="AF36" s="257">
        <f t="shared" ca="1" si="89"/>
        <v>60.160926366401561</v>
      </c>
      <c r="AG36" s="257">
        <f t="shared" ca="1" si="89"/>
        <v>9.7112997118455926</v>
      </c>
      <c r="AH36" s="257">
        <f t="shared" ca="1" si="5"/>
        <v>2151.7715700959848</v>
      </c>
      <c r="AJ36" s="263">
        <f t="shared" ref="AJ36:AX36" ca="1" si="90">SUM(AJ34:AJ35)</f>
        <v>0</v>
      </c>
      <c r="AK36" s="263">
        <f t="shared" ca="1" si="90"/>
        <v>0</v>
      </c>
      <c r="AL36" s="263">
        <f t="shared" ca="1" si="90"/>
        <v>0</v>
      </c>
      <c r="AM36" s="263">
        <f t="shared" ca="1" si="90"/>
        <v>0</v>
      </c>
      <c r="AN36" s="263">
        <f t="shared" ca="1" si="90"/>
        <v>0</v>
      </c>
      <c r="AO36" s="263">
        <f t="shared" ca="1" si="90"/>
        <v>0</v>
      </c>
      <c r="AP36" s="263">
        <f t="shared" ca="1" si="90"/>
        <v>0</v>
      </c>
      <c r="AQ36" s="263">
        <f t="shared" ca="1" si="90"/>
        <v>0</v>
      </c>
      <c r="AR36" s="263">
        <f t="shared" ca="1" si="90"/>
        <v>0</v>
      </c>
      <c r="AS36" s="263">
        <f t="shared" ca="1" si="90"/>
        <v>0</v>
      </c>
      <c r="AT36" s="263">
        <f t="shared" ca="1" si="90"/>
        <v>0</v>
      </c>
      <c r="AU36" s="263">
        <f t="shared" ca="1" si="90"/>
        <v>0</v>
      </c>
      <c r="AV36" s="263">
        <f t="shared" ca="1" si="90"/>
        <v>0</v>
      </c>
      <c r="AW36" s="263">
        <f t="shared" ca="1" si="90"/>
        <v>-1943.5797645124765</v>
      </c>
      <c r="AX36" s="263">
        <f t="shared" ca="1" si="90"/>
        <v>-219.64673392369494</v>
      </c>
      <c r="AY36" s="263">
        <f t="shared" ca="1" si="74"/>
        <v>-2163.2264984361714</v>
      </c>
      <c r="BA36" s="277">
        <f ca="1">SUM(BA34:BA35)</f>
        <v>0</v>
      </c>
      <c r="BB36" s="277">
        <f ca="1">SUM(BB34:BB35)</f>
        <v>0</v>
      </c>
      <c r="BC36" s="277">
        <f t="shared" ca="1" si="10"/>
        <v>0</v>
      </c>
      <c r="BE36" s="55">
        <f ca="1">P36+AH36+AY36+BC36</f>
        <v>4.5474735088646412E-13</v>
      </c>
      <c r="BF36" s="55"/>
      <c r="BG36" s="1428"/>
      <c r="BH36" s="542">
        <f t="shared" ref="BH36:CU36" ca="1" si="91">SUM(BH34:BH35)</f>
        <v>0.73733082740116584</v>
      </c>
      <c r="BI36" s="542">
        <f t="shared" ca="1" si="91"/>
        <v>1.0680161490548366E-3</v>
      </c>
      <c r="BJ36" s="542">
        <f t="shared" ca="1" si="91"/>
        <v>1.0229856050867982E-2</v>
      </c>
      <c r="BK36" s="542">
        <f t="shared" ca="1" si="91"/>
        <v>0</v>
      </c>
      <c r="BL36" s="542">
        <f t="shared" ca="1" si="91"/>
        <v>0</v>
      </c>
      <c r="BM36" s="542">
        <f t="shared" ca="1" si="91"/>
        <v>0</v>
      </c>
      <c r="BN36" s="542">
        <f t="shared" ca="1" si="91"/>
        <v>0</v>
      </c>
      <c r="BO36" s="542">
        <f t="shared" ca="1" si="91"/>
        <v>0</v>
      </c>
      <c r="BP36" s="542">
        <f t="shared" ca="1" si="91"/>
        <v>0</v>
      </c>
      <c r="BQ36" s="542">
        <f t="shared" ca="1" si="91"/>
        <v>0</v>
      </c>
      <c r="BR36" s="542">
        <f t="shared" ca="1" si="91"/>
        <v>0</v>
      </c>
      <c r="BS36" s="542">
        <f t="shared" ca="1" si="91"/>
        <v>0</v>
      </c>
      <c r="BT36" s="542">
        <f t="shared" ca="1" si="91"/>
        <v>0</v>
      </c>
      <c r="BU36" s="542">
        <f t="shared" ca="1" si="91"/>
        <v>0</v>
      </c>
      <c r="BV36" s="542">
        <f t="shared" ca="1" si="91"/>
        <v>0</v>
      </c>
      <c r="BW36" s="542">
        <f t="shared" ca="1" si="91"/>
        <v>0</v>
      </c>
      <c r="BX36" s="542">
        <f t="shared" ca="1" si="91"/>
        <v>0</v>
      </c>
      <c r="BY36" s="542">
        <f t="shared" ca="1" si="91"/>
        <v>0</v>
      </c>
      <c r="BZ36" s="542">
        <f t="shared" ca="1" si="91"/>
        <v>21.83370602510076</v>
      </c>
      <c r="CA36" s="542">
        <f t="shared" ca="1" si="91"/>
        <v>0</v>
      </c>
      <c r="CB36" s="542">
        <f t="shared" ca="1" si="91"/>
        <v>7.3100835966666686</v>
      </c>
      <c r="CC36" s="542">
        <f t="shared" ca="1" si="91"/>
        <v>0</v>
      </c>
      <c r="CD36" s="542">
        <f t="shared" ca="1" si="91"/>
        <v>0</v>
      </c>
      <c r="CE36" s="542">
        <f t="shared" ca="1" si="91"/>
        <v>0</v>
      </c>
      <c r="CF36" s="542">
        <f t="shared" ca="1" si="91"/>
        <v>0</v>
      </c>
      <c r="CG36" s="542">
        <f t="shared" ca="1" si="91"/>
        <v>8.4928453808442548</v>
      </c>
      <c r="CH36" s="542">
        <f t="shared" ca="1" si="91"/>
        <v>0</v>
      </c>
      <c r="CI36" s="542">
        <f t="shared" ca="1" si="91"/>
        <v>0</v>
      </c>
      <c r="CJ36" s="542">
        <f t="shared" ca="1" si="91"/>
        <v>0</v>
      </c>
      <c r="CK36" s="542">
        <f t="shared" ca="1" si="91"/>
        <v>0</v>
      </c>
      <c r="CL36" s="542">
        <f t="shared" ca="1" si="91"/>
        <v>0</v>
      </c>
      <c r="CM36" s="542">
        <f t="shared" ca="1" si="91"/>
        <v>0</v>
      </c>
      <c r="CN36" s="542">
        <f t="shared" ca="1" si="91"/>
        <v>0</v>
      </c>
      <c r="CO36" s="542">
        <f t="shared" ca="1" si="91"/>
        <v>0</v>
      </c>
      <c r="CP36" s="542">
        <f t="shared" ca="1" si="91"/>
        <v>0</v>
      </c>
      <c r="CQ36" s="542">
        <f t="shared" ca="1" si="91"/>
        <v>0</v>
      </c>
      <c r="CR36" s="542">
        <f t="shared" ca="1" si="91"/>
        <v>0</v>
      </c>
      <c r="CS36" s="542">
        <f t="shared" ca="1" si="91"/>
        <v>0</v>
      </c>
      <c r="CT36" s="542">
        <f t="shared" ca="1" si="91"/>
        <v>0</v>
      </c>
      <c r="CU36" s="542">
        <f t="shared" ca="1" si="91"/>
        <v>0</v>
      </c>
      <c r="CW36" s="151">
        <f t="shared" ca="1" si="75"/>
        <v>38.385263702212768</v>
      </c>
    </row>
    <row r="37" spans="1:101" s="84" customFormat="1" ht="12.75" customHeight="1" outlineLevel="1" x14ac:dyDescent="0.2">
      <c r="A37" s="18"/>
      <c r="B37" s="18"/>
      <c r="C37" s="87"/>
      <c r="D37" s="53"/>
      <c r="E37" s="53"/>
      <c r="G37" s="245"/>
      <c r="H37" s="245"/>
      <c r="I37" s="245"/>
      <c r="J37" s="245"/>
      <c r="K37" s="245"/>
      <c r="L37" s="247"/>
      <c r="M37" s="245"/>
      <c r="N37" s="245"/>
      <c r="O37" s="245"/>
      <c r="P37" s="245">
        <f t="shared" si="70"/>
        <v>0</v>
      </c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>
        <f t="shared" si="5"/>
        <v>0</v>
      </c>
      <c r="AJ37" s="263"/>
      <c r="AK37" s="263"/>
      <c r="AL37" s="263"/>
      <c r="AM37" s="263"/>
      <c r="AN37" s="263"/>
      <c r="AO37" s="263"/>
      <c r="AP37" s="263"/>
      <c r="AQ37" s="263"/>
      <c r="AR37" s="263"/>
      <c r="AS37" s="263"/>
      <c r="AT37" s="263"/>
      <c r="AU37" s="263"/>
      <c r="AV37" s="263"/>
      <c r="AW37" s="263"/>
      <c r="AX37" s="263"/>
      <c r="AY37" s="263">
        <f t="shared" si="74"/>
        <v>0</v>
      </c>
      <c r="BA37" s="277"/>
      <c r="BB37" s="277"/>
      <c r="BC37" s="277">
        <f t="shared" si="10"/>
        <v>0</v>
      </c>
      <c r="BE37" s="55">
        <f>P37+AH37+AY37+BC37</f>
        <v>0</v>
      </c>
      <c r="BF37" s="55"/>
      <c r="BG37" s="18"/>
      <c r="BH37" s="542"/>
      <c r="BI37" s="542"/>
      <c r="BJ37" s="542"/>
      <c r="BK37" s="542"/>
      <c r="BL37" s="542"/>
      <c r="BM37" s="542"/>
      <c r="BN37" s="542"/>
      <c r="BO37" s="542"/>
      <c r="BP37" s="542"/>
      <c r="BQ37" s="542"/>
      <c r="BR37" s="542"/>
      <c r="BS37" s="542"/>
      <c r="BT37" s="542"/>
      <c r="BU37" s="542"/>
      <c r="BV37" s="542"/>
      <c r="BW37" s="542"/>
      <c r="BX37" s="542"/>
      <c r="BY37" s="542"/>
      <c r="BZ37" s="542"/>
      <c r="CA37" s="542"/>
      <c r="CB37" s="542"/>
      <c r="CC37" s="542"/>
      <c r="CD37" s="542"/>
      <c r="CE37" s="542"/>
      <c r="CF37" s="542"/>
      <c r="CG37" s="542"/>
      <c r="CH37" s="542"/>
      <c r="CI37" s="542"/>
      <c r="CJ37" s="542"/>
      <c r="CK37" s="542"/>
      <c r="CL37" s="542"/>
      <c r="CM37" s="542"/>
      <c r="CN37" s="542"/>
      <c r="CO37" s="542"/>
      <c r="CP37" s="542"/>
      <c r="CQ37" s="542"/>
      <c r="CR37" s="542"/>
      <c r="CS37" s="542"/>
      <c r="CT37" s="542"/>
      <c r="CU37" s="542"/>
      <c r="CW37" s="151">
        <f t="shared" si="75"/>
        <v>0</v>
      </c>
    </row>
    <row r="38" spans="1:101" s="84" customFormat="1" outlineLevel="1" x14ac:dyDescent="0.2">
      <c r="A38" s="543"/>
      <c r="B38" s="543"/>
      <c r="C38" s="62" t="s">
        <v>405</v>
      </c>
      <c r="D38" s="61" t="str">
        <f>INDEX(Modules[Module], MATCH($C38, Modules[Code], 0))</f>
        <v>Petroleum refineries</v>
      </c>
      <c r="E38" s="61"/>
      <c r="G38" s="297">
        <f t="shared" ref="G38:O39" ca="1" si="92">IFERROR(INDEX(INDIRECT($C38&amp;".Outputs["&amp;this.Year&amp;"]"), MATCH(G$5, INDIRECT($C38&amp;".Outputs[Vector]"), 0)), 0)</f>
        <v>0</v>
      </c>
      <c r="H38" s="297">
        <f t="shared" ca="1" si="92"/>
        <v>0</v>
      </c>
      <c r="I38" s="297">
        <f t="shared" ca="1" si="92"/>
        <v>0</v>
      </c>
      <c r="J38" s="297">
        <f t="shared" ca="1" si="92"/>
        <v>0</v>
      </c>
      <c r="K38" s="297">
        <f t="shared" ca="1" si="92"/>
        <v>0</v>
      </c>
      <c r="L38" s="297">
        <f t="shared" ca="1" si="92"/>
        <v>0</v>
      </c>
      <c r="M38" s="297">
        <f t="shared" ca="1" si="92"/>
        <v>0</v>
      </c>
      <c r="N38" s="297">
        <f t="shared" ca="1" si="92"/>
        <v>0</v>
      </c>
      <c r="O38" s="297">
        <f t="shared" ca="1" si="92"/>
        <v>0</v>
      </c>
      <c r="P38" s="297">
        <f t="shared" ca="1" si="70"/>
        <v>0</v>
      </c>
      <c r="R38" s="304">
        <f t="shared" ref="R38:AX39" ca="1" si="93">IFERROR(INDEX(INDIRECT($C38&amp;".Outputs["&amp;this.Year&amp;"]"), MATCH(R$5, INDIRECT($C38&amp;".Outputs[Vector]"), 0)), 0)</f>
        <v>-4.3037903656873526</v>
      </c>
      <c r="S38" s="304">
        <f t="shared" ca="1" si="93"/>
        <v>0</v>
      </c>
      <c r="T38" s="304">
        <f t="shared" ca="1" si="93"/>
        <v>0</v>
      </c>
      <c r="U38" s="304">
        <f t="shared" ca="1" si="93"/>
        <v>-0.19566789985915059</v>
      </c>
      <c r="V38" s="304">
        <f t="shared" ca="1" si="93"/>
        <v>-0.39840665936187736</v>
      </c>
      <c r="W38" s="304">
        <f t="shared" ca="1" si="93"/>
        <v>0</v>
      </c>
      <c r="X38" s="304">
        <f t="shared" ref="X38:Z39" ca="1" si="94">IFERROR(INDEX(INDIRECT($C38&amp;".Outputs["&amp;this.Year&amp;"]"), MATCH(X$5, INDIRECT($C38&amp;".Outputs[Vector]"), 0)), 0)</f>
        <v>0</v>
      </c>
      <c r="Y38" s="304">
        <f t="shared" ca="1" si="94"/>
        <v>0</v>
      </c>
      <c r="Z38" s="304">
        <f t="shared" ca="1" si="94"/>
        <v>0</v>
      </c>
      <c r="AA38" s="304">
        <f t="shared" ca="1" si="93"/>
        <v>0</v>
      </c>
      <c r="AB38" s="304">
        <f t="shared" ca="1" si="93"/>
        <v>0</v>
      </c>
      <c r="AC38" s="304">
        <f t="shared" ca="1" si="93"/>
        <v>0</v>
      </c>
      <c r="AD38" s="304">
        <f t="shared" ca="1" si="93"/>
        <v>0</v>
      </c>
      <c r="AE38" s="304">
        <f t="shared" ca="1" si="93"/>
        <v>0</v>
      </c>
      <c r="AF38" s="304">
        <f t="shared" ca="1" si="93"/>
        <v>0</v>
      </c>
      <c r="AG38" s="304">
        <f t="shared" ca="1" si="93"/>
        <v>0</v>
      </c>
      <c r="AH38" s="305">
        <f t="shared" ca="1" si="5"/>
        <v>-4.8978649249083812</v>
      </c>
      <c r="AJ38" s="312">
        <f t="shared" ref="AJ38:AR39" ca="1" si="95">IFERROR(INDEX(INDIRECT($C38&amp;".Outputs["&amp;this.Year&amp;"]"), MATCH(AJ$5, INDIRECT($C38&amp;".Outputs[Vector]"), 0)), 0)</f>
        <v>0</v>
      </c>
      <c r="AK38" s="312">
        <f t="shared" ca="1" si="95"/>
        <v>0</v>
      </c>
      <c r="AL38" s="312">
        <f t="shared" ca="1" si="95"/>
        <v>0</v>
      </c>
      <c r="AM38" s="312">
        <f t="shared" ca="1" si="95"/>
        <v>0</v>
      </c>
      <c r="AN38" s="312">
        <f t="shared" ca="1" si="95"/>
        <v>0</v>
      </c>
      <c r="AO38" s="312">
        <f t="shared" ca="1" si="95"/>
        <v>0</v>
      </c>
      <c r="AP38" s="312">
        <f t="shared" ca="1" si="95"/>
        <v>0</v>
      </c>
      <c r="AQ38" s="312">
        <f t="shared" ca="1" si="95"/>
        <v>0</v>
      </c>
      <c r="AR38" s="312">
        <f t="shared" ca="1" si="95"/>
        <v>0</v>
      </c>
      <c r="AS38" s="312">
        <f t="shared" ca="1" si="93"/>
        <v>0</v>
      </c>
      <c r="AT38" s="312">
        <f t="shared" ca="1" si="93"/>
        <v>0</v>
      </c>
      <c r="AU38" s="312">
        <f t="shared" ca="1" si="93"/>
        <v>0</v>
      </c>
      <c r="AV38" s="312">
        <f t="shared" ca="1" si="93"/>
        <v>0</v>
      </c>
      <c r="AW38" s="312">
        <f t="shared" ca="1" si="93"/>
        <v>0</v>
      </c>
      <c r="AX38" s="312">
        <f t="shared" ca="1" si="93"/>
        <v>0</v>
      </c>
      <c r="AY38" s="266">
        <f t="shared" ca="1" si="74"/>
        <v>0</v>
      </c>
      <c r="BA38" s="308">
        <f ca="1">IFERROR(INDEX(INDIRECT($C38&amp;".Outputs["&amp;this.Year&amp;"]"), MATCH(BA$5, INDIRECT($C38&amp;".Outputs[Vector]"), 0)), 0)</f>
        <v>0</v>
      </c>
      <c r="BB38" s="308">
        <f ca="1">IFERROR(INDEX(INDIRECT($C38&amp;".Outputs["&amp;this.Year&amp;"]"), MATCH(BB$5, INDIRECT($C38&amp;".Outputs[Vector]"), 0)), 0)</f>
        <v>4.8978649249083812</v>
      </c>
      <c r="BC38" s="309">
        <f t="shared" ca="1" si="10"/>
        <v>4.8978649249083812</v>
      </c>
      <c r="BE38" s="135">
        <f ca="1">P38+AH38+AY38+BC38</f>
        <v>0</v>
      </c>
      <c r="BF38" s="135"/>
      <c r="BG38" s="1428"/>
      <c r="BH38" s="541">
        <f t="shared" ref="BH38:BQ39" ca="1" si="96">IFERROR(SUMIFS(INDIRECT($C38&amp;".Emissions["&amp;this.Year&amp;"]"), INDIRECT($C38&amp;".Emissions[GHG]"), BH$6, INDIRECT($C38&amp;".Emissions[IPCC Sector]"), BH$5),0)</f>
        <v>0.12222380028737306</v>
      </c>
      <c r="BI38" s="542">
        <f t="shared" ca="1" si="96"/>
        <v>2.0784392440088893E-4</v>
      </c>
      <c r="BJ38" s="542">
        <f t="shared" ca="1" si="96"/>
        <v>1.0381603999654189E-3</v>
      </c>
      <c r="BK38" s="542">
        <f t="shared" ca="1" si="96"/>
        <v>0</v>
      </c>
      <c r="BL38" s="542">
        <f t="shared" ca="1" si="96"/>
        <v>0</v>
      </c>
      <c r="BM38" s="542">
        <f t="shared" ca="1" si="96"/>
        <v>0</v>
      </c>
      <c r="BN38" s="542">
        <f t="shared" ca="1" si="96"/>
        <v>0</v>
      </c>
      <c r="BO38" s="542">
        <f t="shared" ca="1" si="96"/>
        <v>0</v>
      </c>
      <c r="BP38" s="542">
        <f t="shared" ca="1" si="96"/>
        <v>0</v>
      </c>
      <c r="BQ38" s="542">
        <f t="shared" ca="1" si="96"/>
        <v>0</v>
      </c>
      <c r="BR38" s="542">
        <f t="shared" ref="BR38:CA39" ca="1" si="97">IFERROR(SUMIFS(INDIRECT($C38&amp;".Emissions["&amp;this.Year&amp;"]"), INDIRECT($C38&amp;".Emissions[GHG]"), BR$6, INDIRECT($C38&amp;".Emissions[IPCC Sector]"), BR$5),0)</f>
        <v>0</v>
      </c>
      <c r="BS38" s="542">
        <f t="shared" ca="1" si="97"/>
        <v>0</v>
      </c>
      <c r="BT38" s="542">
        <f t="shared" ca="1" si="97"/>
        <v>0</v>
      </c>
      <c r="BU38" s="542">
        <f t="shared" ca="1" si="97"/>
        <v>0</v>
      </c>
      <c r="BV38" s="542">
        <f t="shared" ca="1" si="97"/>
        <v>0</v>
      </c>
      <c r="BW38" s="542">
        <f t="shared" ca="1" si="97"/>
        <v>0</v>
      </c>
      <c r="BX38" s="542">
        <f t="shared" ca="1" si="97"/>
        <v>0</v>
      </c>
      <c r="BY38" s="542">
        <f t="shared" ca="1" si="97"/>
        <v>0</v>
      </c>
      <c r="BZ38" s="542">
        <f t="shared" ca="1" si="97"/>
        <v>0</v>
      </c>
      <c r="CA38" s="542">
        <f t="shared" ca="1" si="97"/>
        <v>0</v>
      </c>
      <c r="CB38" s="542">
        <f t="shared" ref="CB38:CK39" ca="1" si="98">IFERROR(SUMIFS(INDIRECT($C38&amp;".Emissions["&amp;this.Year&amp;"]"), INDIRECT($C38&amp;".Emissions[GHG]"), CB$6, INDIRECT($C38&amp;".Emissions[IPCC Sector]"), CB$5),0)</f>
        <v>0</v>
      </c>
      <c r="CC38" s="542">
        <f t="shared" ca="1" si="98"/>
        <v>0</v>
      </c>
      <c r="CD38" s="542">
        <f t="shared" ca="1" si="98"/>
        <v>0</v>
      </c>
      <c r="CE38" s="542">
        <f t="shared" ca="1" si="98"/>
        <v>0</v>
      </c>
      <c r="CF38" s="542">
        <f t="shared" ca="1" si="98"/>
        <v>0</v>
      </c>
      <c r="CG38" s="542">
        <f t="shared" ca="1" si="98"/>
        <v>0</v>
      </c>
      <c r="CH38" s="542">
        <f t="shared" ca="1" si="98"/>
        <v>0</v>
      </c>
      <c r="CI38" s="542">
        <f t="shared" ca="1" si="98"/>
        <v>0</v>
      </c>
      <c r="CJ38" s="542">
        <f t="shared" ca="1" si="98"/>
        <v>0</v>
      </c>
      <c r="CK38" s="542">
        <f t="shared" ca="1" si="98"/>
        <v>0</v>
      </c>
      <c r="CL38" s="542">
        <f t="shared" ref="CL38:CU39" ca="1" si="99">IFERROR(SUMIFS(INDIRECT($C38&amp;".Emissions["&amp;this.Year&amp;"]"), INDIRECT($C38&amp;".Emissions[GHG]"), CL$6, INDIRECT($C38&amp;".Emissions[IPCC Sector]"), CL$5),0)</f>
        <v>0</v>
      </c>
      <c r="CM38" s="542">
        <f t="shared" ca="1" si="99"/>
        <v>0</v>
      </c>
      <c r="CN38" s="542">
        <f t="shared" ca="1" si="99"/>
        <v>0</v>
      </c>
      <c r="CO38" s="542">
        <f t="shared" ca="1" si="99"/>
        <v>0</v>
      </c>
      <c r="CP38" s="542">
        <f t="shared" ca="1" si="99"/>
        <v>0</v>
      </c>
      <c r="CQ38" s="542">
        <f t="shared" ca="1" si="99"/>
        <v>0</v>
      </c>
      <c r="CR38" s="542">
        <f t="shared" ca="1" si="99"/>
        <v>0</v>
      </c>
      <c r="CS38" s="542">
        <f t="shared" ca="1" si="99"/>
        <v>0</v>
      </c>
      <c r="CT38" s="542">
        <f t="shared" ca="1" si="99"/>
        <v>0</v>
      </c>
      <c r="CU38" s="542">
        <f t="shared" ca="1" si="99"/>
        <v>0</v>
      </c>
      <c r="CW38" s="151">
        <f t="shared" ca="1" si="75"/>
        <v>0.12346980461173937</v>
      </c>
    </row>
    <row r="39" spans="1:101" s="84" customFormat="1" outlineLevel="1" x14ac:dyDescent="0.2">
      <c r="A39" s="543"/>
      <c r="B39" s="543"/>
      <c r="C39" s="62" t="s">
        <v>415</v>
      </c>
      <c r="D39" s="292" t="str">
        <f>INDEX(Modules[Module], MATCH($C39, Modules[Code], 0))</f>
        <v>Indigenous fossil-fuel production</v>
      </c>
      <c r="E39" s="292"/>
      <c r="G39" s="301">
        <f t="shared" ca="1" si="92"/>
        <v>0</v>
      </c>
      <c r="H39" s="301">
        <f t="shared" ca="1" si="92"/>
        <v>0</v>
      </c>
      <c r="I39" s="301">
        <f t="shared" ca="1" si="92"/>
        <v>0</v>
      </c>
      <c r="J39" s="301">
        <f t="shared" ca="1" si="92"/>
        <v>282.99494220190206</v>
      </c>
      <c r="K39" s="301">
        <f t="shared" ca="1" si="92"/>
        <v>0</v>
      </c>
      <c r="L39" s="301">
        <f t="shared" ca="1" si="92"/>
        <v>0</v>
      </c>
      <c r="M39" s="301">
        <f t="shared" ca="1" si="92"/>
        <v>0</v>
      </c>
      <c r="N39" s="301">
        <f t="shared" ca="1" si="92"/>
        <v>0</v>
      </c>
      <c r="O39" s="301">
        <f t="shared" ca="1" si="92"/>
        <v>0</v>
      </c>
      <c r="P39" s="301">
        <f t="shared" ca="1" si="70"/>
        <v>282.99494220190206</v>
      </c>
      <c r="R39" s="307">
        <f t="shared" ca="1" si="93"/>
        <v>-0.88845651315338614</v>
      </c>
      <c r="S39" s="307">
        <f t="shared" ca="1" si="93"/>
        <v>0</v>
      </c>
      <c r="T39" s="307">
        <f t="shared" ca="1" si="93"/>
        <v>-2.5767863927143608E-3</v>
      </c>
      <c r="U39" s="307">
        <f t="shared" ca="1" si="93"/>
        <v>0</v>
      </c>
      <c r="V39" s="307">
        <f t="shared" ca="1" si="93"/>
        <v>-282.10390890235595</v>
      </c>
      <c r="W39" s="307">
        <f t="shared" ca="1" si="93"/>
        <v>0</v>
      </c>
      <c r="X39" s="307">
        <f t="shared" ca="1" si="94"/>
        <v>7.17215067274</v>
      </c>
      <c r="Y39" s="307">
        <f t="shared" ca="1" si="94"/>
        <v>1448.5168791380001</v>
      </c>
      <c r="Z39" s="307">
        <f t="shared" ca="1" si="94"/>
        <v>860.64599999999996</v>
      </c>
      <c r="AA39" s="307">
        <f t="shared" ca="1" si="93"/>
        <v>0</v>
      </c>
      <c r="AB39" s="307">
        <f t="shared" ca="1" si="93"/>
        <v>0</v>
      </c>
      <c r="AC39" s="307">
        <f t="shared" ca="1" si="93"/>
        <v>0</v>
      </c>
      <c r="AD39" s="307">
        <f t="shared" ca="1" si="93"/>
        <v>0</v>
      </c>
      <c r="AE39" s="307">
        <f t="shared" ca="1" si="93"/>
        <v>0</v>
      </c>
      <c r="AF39" s="307">
        <f t="shared" ca="1" si="93"/>
        <v>0</v>
      </c>
      <c r="AG39" s="307">
        <f t="shared" ca="1" si="93"/>
        <v>0</v>
      </c>
      <c r="AH39" s="306">
        <f t="shared" ca="1" si="5"/>
        <v>2033.3400876088381</v>
      </c>
      <c r="AJ39" s="315">
        <f t="shared" ca="1" si="95"/>
        <v>-7.17215067274</v>
      </c>
      <c r="AK39" s="315">
        <f t="shared" ca="1" si="95"/>
        <v>-1448.5168791380001</v>
      </c>
      <c r="AL39" s="315">
        <f t="shared" ca="1" si="95"/>
        <v>-860.64599999999996</v>
      </c>
      <c r="AM39" s="315">
        <f t="shared" ca="1" si="95"/>
        <v>0</v>
      </c>
      <c r="AN39" s="315">
        <f t="shared" ca="1" si="95"/>
        <v>0</v>
      </c>
      <c r="AO39" s="315">
        <f t="shared" ca="1" si="95"/>
        <v>0</v>
      </c>
      <c r="AP39" s="315">
        <f t="shared" ca="1" si="95"/>
        <v>0</v>
      </c>
      <c r="AQ39" s="315">
        <f t="shared" ca="1" si="95"/>
        <v>0</v>
      </c>
      <c r="AR39" s="315">
        <f t="shared" ca="1" si="95"/>
        <v>0</v>
      </c>
      <c r="AS39" s="315">
        <f t="shared" ca="1" si="93"/>
        <v>0</v>
      </c>
      <c r="AT39" s="315">
        <f t="shared" ca="1" si="93"/>
        <v>0</v>
      </c>
      <c r="AU39" s="315">
        <f t="shared" ca="1" si="93"/>
        <v>0</v>
      </c>
      <c r="AV39" s="315">
        <f t="shared" ca="1" si="93"/>
        <v>0</v>
      </c>
      <c r="AW39" s="315">
        <f t="shared" ca="1" si="93"/>
        <v>0</v>
      </c>
      <c r="AX39" s="315">
        <f t="shared" ca="1" si="93"/>
        <v>0</v>
      </c>
      <c r="AY39" s="293">
        <f t="shared" ca="1" si="74"/>
        <v>-2316.3350298107398</v>
      </c>
      <c r="BA39" s="311">
        <f ca="1">IFERROR(INDEX(INDIRECT($C39&amp;".Outputs["&amp;this.Year&amp;"]"), MATCH(BA$5, INDIRECT($C39&amp;".Outputs[Vector]"), 0)), 0)</f>
        <v>0</v>
      </c>
      <c r="BB39" s="311">
        <f ca="1">IFERROR(INDEX(INDIRECT($C39&amp;".Outputs["&amp;this.Year&amp;"]"), MATCH(BB$5, INDIRECT($C39&amp;".Outputs[Vector]"), 0)), 0)</f>
        <v>0</v>
      </c>
      <c r="BC39" s="310">
        <f t="shared" ca="1" si="10"/>
        <v>0</v>
      </c>
      <c r="BE39" s="135"/>
      <c r="BF39" s="135"/>
      <c r="BG39" s="1428"/>
      <c r="BH39" s="544">
        <f t="shared" ca="1" si="96"/>
        <v>51.906153847031078</v>
      </c>
      <c r="BI39" s="545">
        <f t="shared" ca="1" si="96"/>
        <v>0.10404514356047384</v>
      </c>
      <c r="BJ39" s="545">
        <f t="shared" ca="1" si="96"/>
        <v>0.11190561021336419</v>
      </c>
      <c r="BK39" s="545">
        <f t="shared" ca="1" si="96"/>
        <v>0</v>
      </c>
      <c r="BL39" s="545">
        <f t="shared" ca="1" si="96"/>
        <v>6.6124285714285715</v>
      </c>
      <c r="BM39" s="545">
        <f t="shared" ca="1" si="96"/>
        <v>9.7609518700020638E-3</v>
      </c>
      <c r="BN39" s="545">
        <f t="shared" ca="1" si="96"/>
        <v>0</v>
      </c>
      <c r="BO39" s="545">
        <f t="shared" ca="1" si="96"/>
        <v>0</v>
      </c>
      <c r="BP39" s="545">
        <f t="shared" ca="1" si="96"/>
        <v>0</v>
      </c>
      <c r="BQ39" s="545">
        <f t="shared" ca="1" si="96"/>
        <v>0</v>
      </c>
      <c r="BR39" s="545">
        <f t="shared" ca="1" si="97"/>
        <v>0</v>
      </c>
      <c r="BS39" s="545">
        <f t="shared" ca="1" si="97"/>
        <v>0</v>
      </c>
      <c r="BT39" s="545">
        <f t="shared" ca="1" si="97"/>
        <v>0</v>
      </c>
      <c r="BU39" s="545">
        <f t="shared" ca="1" si="97"/>
        <v>0</v>
      </c>
      <c r="BV39" s="545">
        <f t="shared" ca="1" si="97"/>
        <v>0</v>
      </c>
      <c r="BW39" s="545">
        <f t="shared" ca="1" si="97"/>
        <v>0</v>
      </c>
      <c r="BX39" s="545">
        <f t="shared" ca="1" si="97"/>
        <v>0</v>
      </c>
      <c r="BY39" s="545">
        <f t="shared" ca="1" si="97"/>
        <v>0</v>
      </c>
      <c r="BZ39" s="545">
        <f t="shared" ca="1" si="97"/>
        <v>0</v>
      </c>
      <c r="CA39" s="545">
        <f t="shared" ca="1" si="97"/>
        <v>0</v>
      </c>
      <c r="CB39" s="545">
        <f t="shared" ca="1" si="98"/>
        <v>0</v>
      </c>
      <c r="CC39" s="545">
        <f t="shared" ca="1" si="98"/>
        <v>0</v>
      </c>
      <c r="CD39" s="545">
        <f t="shared" ca="1" si="98"/>
        <v>0</v>
      </c>
      <c r="CE39" s="545">
        <f t="shared" ca="1" si="98"/>
        <v>0</v>
      </c>
      <c r="CF39" s="545">
        <f t="shared" ca="1" si="98"/>
        <v>0</v>
      </c>
      <c r="CG39" s="545">
        <f t="shared" ca="1" si="98"/>
        <v>0</v>
      </c>
      <c r="CH39" s="545">
        <f t="shared" ca="1" si="98"/>
        <v>0</v>
      </c>
      <c r="CI39" s="545">
        <f t="shared" ca="1" si="98"/>
        <v>0</v>
      </c>
      <c r="CJ39" s="545">
        <f t="shared" ca="1" si="98"/>
        <v>0</v>
      </c>
      <c r="CK39" s="545">
        <f t="shared" ca="1" si="98"/>
        <v>0</v>
      </c>
      <c r="CL39" s="545">
        <f t="shared" ca="1" si="99"/>
        <v>0</v>
      </c>
      <c r="CM39" s="545">
        <f t="shared" ca="1" si="99"/>
        <v>0</v>
      </c>
      <c r="CN39" s="545">
        <f t="shared" ca="1" si="99"/>
        <v>0</v>
      </c>
      <c r="CO39" s="545">
        <f t="shared" ca="1" si="99"/>
        <v>0</v>
      </c>
      <c r="CP39" s="545">
        <f t="shared" ca="1" si="99"/>
        <v>0</v>
      </c>
      <c r="CQ39" s="545">
        <f t="shared" ca="1" si="99"/>
        <v>0</v>
      </c>
      <c r="CR39" s="545">
        <f t="shared" ca="1" si="99"/>
        <v>0</v>
      </c>
      <c r="CS39" s="545">
        <f t="shared" ca="1" si="99"/>
        <v>0</v>
      </c>
      <c r="CT39" s="545">
        <f t="shared" ca="1" si="99"/>
        <v>0</v>
      </c>
      <c r="CU39" s="545">
        <f t="shared" ca="1" si="99"/>
        <v>0</v>
      </c>
      <c r="CW39" s="151">
        <f t="shared" ca="1" si="75"/>
        <v>58.74429412410349</v>
      </c>
    </row>
    <row r="40" spans="1:101" s="84" customFormat="1" ht="15.75" x14ac:dyDescent="0.2">
      <c r="A40" s="547"/>
      <c r="B40" s="548"/>
      <c r="C40" s="85" t="s">
        <v>403</v>
      </c>
      <c r="D40" s="57" t="str">
        <f>INDEX(Workstreams[Workstream], MATCH($C40, Workstreams[Code], 0))</f>
        <v>Fossil fuel production</v>
      </c>
      <c r="E40" s="53"/>
      <c r="G40" s="300">
        <f ca="1">SUM(G38:G39)</f>
        <v>0</v>
      </c>
      <c r="H40" s="300">
        <f t="shared" ref="H40:O40" ca="1" si="100">SUM(H38:H39)</f>
        <v>0</v>
      </c>
      <c r="I40" s="300">
        <f ca="1">SUM(I38:I39)</f>
        <v>0</v>
      </c>
      <c r="J40" s="300">
        <f t="shared" ca="1" si="100"/>
        <v>282.99494220190206</v>
      </c>
      <c r="K40" s="300">
        <f t="shared" ca="1" si="100"/>
        <v>0</v>
      </c>
      <c r="L40" s="300">
        <f t="shared" ca="1" si="100"/>
        <v>0</v>
      </c>
      <c r="M40" s="300">
        <f t="shared" ca="1" si="100"/>
        <v>0</v>
      </c>
      <c r="N40" s="300">
        <f t="shared" ca="1" si="100"/>
        <v>0</v>
      </c>
      <c r="O40" s="300">
        <f t="shared" ca="1" si="100"/>
        <v>0</v>
      </c>
      <c r="P40" s="300">
        <f t="shared" ca="1" si="70"/>
        <v>282.99494220190206</v>
      </c>
      <c r="R40" s="257">
        <f t="shared" ref="R40:AE40" ca="1" si="101">SUM(R38:R39)</f>
        <v>-5.1922468788407388</v>
      </c>
      <c r="S40" s="257">
        <f t="shared" ca="1" si="101"/>
        <v>0</v>
      </c>
      <c r="T40" s="257">
        <f t="shared" ca="1" si="101"/>
        <v>-2.5767863927143608E-3</v>
      </c>
      <c r="U40" s="257">
        <f t="shared" ca="1" si="101"/>
        <v>-0.19566789985915059</v>
      </c>
      <c r="V40" s="257">
        <f t="shared" ca="1" si="101"/>
        <v>-282.50231556171781</v>
      </c>
      <c r="W40" s="257">
        <f ca="1">SUM(W38:W39)</f>
        <v>0</v>
      </c>
      <c r="X40" s="257">
        <f ca="1">SUM(X38:X39)</f>
        <v>7.17215067274</v>
      </c>
      <c r="Y40" s="257">
        <f ca="1">SUM(Y38:Y39)</f>
        <v>1448.5168791380001</v>
      </c>
      <c r="Z40" s="257">
        <f ca="1">SUM(Z38:Z39)</f>
        <v>860.64599999999996</v>
      </c>
      <c r="AA40" s="257">
        <f t="shared" ca="1" si="101"/>
        <v>0</v>
      </c>
      <c r="AB40" s="257">
        <f t="shared" ca="1" si="101"/>
        <v>0</v>
      </c>
      <c r="AC40" s="257">
        <f ca="1">SUM(AC38:AC39)</f>
        <v>0</v>
      </c>
      <c r="AD40" s="257">
        <f ca="1">SUM(AD38:AD39)</f>
        <v>0</v>
      </c>
      <c r="AE40" s="257">
        <f t="shared" ca="1" si="101"/>
        <v>0</v>
      </c>
      <c r="AF40" s="257">
        <f ca="1">SUM(AF38:AF39)</f>
        <v>0</v>
      </c>
      <c r="AG40" s="257">
        <f ca="1">SUM(AG38:AG39)</f>
        <v>0</v>
      </c>
      <c r="AH40" s="257">
        <f t="shared" ca="1" si="5"/>
        <v>2028.4422226839297</v>
      </c>
      <c r="AJ40" s="263">
        <f t="shared" ref="AJ40:AX40" ca="1" si="102">SUM(AJ38:AJ39)</f>
        <v>-7.17215067274</v>
      </c>
      <c r="AK40" s="263">
        <f t="shared" ca="1" si="102"/>
        <v>-1448.5168791380001</v>
      </c>
      <c r="AL40" s="263">
        <f t="shared" ca="1" si="102"/>
        <v>-860.64599999999996</v>
      </c>
      <c r="AM40" s="263">
        <f t="shared" ca="1" si="102"/>
        <v>0</v>
      </c>
      <c r="AN40" s="263">
        <f t="shared" ca="1" si="102"/>
        <v>0</v>
      </c>
      <c r="AO40" s="263">
        <f t="shared" ca="1" si="102"/>
        <v>0</v>
      </c>
      <c r="AP40" s="263">
        <f t="shared" ca="1" si="102"/>
        <v>0</v>
      </c>
      <c r="AQ40" s="263">
        <f t="shared" ca="1" si="102"/>
        <v>0</v>
      </c>
      <c r="AR40" s="263">
        <f t="shared" ca="1" si="102"/>
        <v>0</v>
      </c>
      <c r="AS40" s="263">
        <f t="shared" ca="1" si="102"/>
        <v>0</v>
      </c>
      <c r="AT40" s="263">
        <f t="shared" ca="1" si="102"/>
        <v>0</v>
      </c>
      <c r="AU40" s="263">
        <f t="shared" ca="1" si="102"/>
        <v>0</v>
      </c>
      <c r="AV40" s="263">
        <f t="shared" ca="1" si="102"/>
        <v>0</v>
      </c>
      <c r="AW40" s="263">
        <f t="shared" ca="1" si="102"/>
        <v>0</v>
      </c>
      <c r="AX40" s="263">
        <f t="shared" ca="1" si="102"/>
        <v>0</v>
      </c>
      <c r="AY40" s="263">
        <f t="shared" ca="1" si="74"/>
        <v>-2316.3350298107398</v>
      </c>
      <c r="BA40" s="277">
        <f ca="1">SUM(BA38:BA39)</f>
        <v>0</v>
      </c>
      <c r="BB40" s="277">
        <f ca="1">SUM(BB38:BB39)</f>
        <v>4.8978649249083812</v>
      </c>
      <c r="BC40" s="277">
        <f t="shared" ca="1" si="10"/>
        <v>4.8978649249083812</v>
      </c>
      <c r="BE40" s="55">
        <f t="shared" ref="BE40:BE47" ca="1" si="103">P40+AH40+AY40+BC40</f>
        <v>4.4586556668946287E-13</v>
      </c>
      <c r="BF40" s="164"/>
      <c r="BG40" s="1428"/>
      <c r="BH40" s="541">
        <f t="shared" ref="BH40:CU40" ca="1" si="104">SUM(BH38:BH39)</f>
        <v>52.02837764731845</v>
      </c>
      <c r="BI40" s="542">
        <f t="shared" ca="1" si="104"/>
        <v>0.10425298748487473</v>
      </c>
      <c r="BJ40" s="542">
        <f t="shared" ca="1" si="104"/>
        <v>0.11294377061332961</v>
      </c>
      <c r="BK40" s="542">
        <f t="shared" ca="1" si="104"/>
        <v>0</v>
      </c>
      <c r="BL40" s="542">
        <f t="shared" ca="1" si="104"/>
        <v>6.6124285714285715</v>
      </c>
      <c r="BM40" s="542">
        <f t="shared" ca="1" si="104"/>
        <v>9.7609518700020638E-3</v>
      </c>
      <c r="BN40" s="542">
        <f t="shared" ca="1" si="104"/>
        <v>0</v>
      </c>
      <c r="BO40" s="542">
        <f t="shared" ca="1" si="104"/>
        <v>0</v>
      </c>
      <c r="BP40" s="542">
        <f t="shared" ca="1" si="104"/>
        <v>0</v>
      </c>
      <c r="BQ40" s="542">
        <f t="shared" ca="1" si="104"/>
        <v>0</v>
      </c>
      <c r="BR40" s="542">
        <f t="shared" ca="1" si="104"/>
        <v>0</v>
      </c>
      <c r="BS40" s="542">
        <f t="shared" ca="1" si="104"/>
        <v>0</v>
      </c>
      <c r="BT40" s="542">
        <f t="shared" ca="1" si="104"/>
        <v>0</v>
      </c>
      <c r="BU40" s="542">
        <f t="shared" ca="1" si="104"/>
        <v>0</v>
      </c>
      <c r="BV40" s="542">
        <f t="shared" ca="1" si="104"/>
        <v>0</v>
      </c>
      <c r="BW40" s="542">
        <f t="shared" ca="1" si="104"/>
        <v>0</v>
      </c>
      <c r="BX40" s="542">
        <f t="shared" ca="1" si="104"/>
        <v>0</v>
      </c>
      <c r="BY40" s="542">
        <f t="shared" ca="1" si="104"/>
        <v>0</v>
      </c>
      <c r="BZ40" s="542">
        <f t="shared" ca="1" si="104"/>
        <v>0</v>
      </c>
      <c r="CA40" s="542">
        <f t="shared" ca="1" si="104"/>
        <v>0</v>
      </c>
      <c r="CB40" s="542">
        <f t="shared" ca="1" si="104"/>
        <v>0</v>
      </c>
      <c r="CC40" s="542">
        <f t="shared" ca="1" si="104"/>
        <v>0</v>
      </c>
      <c r="CD40" s="542">
        <f t="shared" ca="1" si="104"/>
        <v>0</v>
      </c>
      <c r="CE40" s="542">
        <f t="shared" ca="1" si="104"/>
        <v>0</v>
      </c>
      <c r="CF40" s="542">
        <f t="shared" ca="1" si="104"/>
        <v>0</v>
      </c>
      <c r="CG40" s="542">
        <f t="shared" ca="1" si="104"/>
        <v>0</v>
      </c>
      <c r="CH40" s="542">
        <f t="shared" ca="1" si="104"/>
        <v>0</v>
      </c>
      <c r="CI40" s="542">
        <f t="shared" ca="1" si="104"/>
        <v>0</v>
      </c>
      <c r="CJ40" s="542">
        <f t="shared" ca="1" si="104"/>
        <v>0</v>
      </c>
      <c r="CK40" s="542">
        <f t="shared" ca="1" si="104"/>
        <v>0</v>
      </c>
      <c r="CL40" s="542">
        <f t="shared" ca="1" si="104"/>
        <v>0</v>
      </c>
      <c r="CM40" s="542">
        <f t="shared" ca="1" si="104"/>
        <v>0</v>
      </c>
      <c r="CN40" s="542">
        <f t="shared" ca="1" si="104"/>
        <v>0</v>
      </c>
      <c r="CO40" s="542">
        <f t="shared" ca="1" si="104"/>
        <v>0</v>
      </c>
      <c r="CP40" s="542">
        <f t="shared" ca="1" si="104"/>
        <v>0</v>
      </c>
      <c r="CQ40" s="542">
        <f t="shared" ca="1" si="104"/>
        <v>0</v>
      </c>
      <c r="CR40" s="542">
        <f t="shared" ca="1" si="104"/>
        <v>0</v>
      </c>
      <c r="CS40" s="542">
        <f t="shared" ca="1" si="104"/>
        <v>0</v>
      </c>
      <c r="CT40" s="542">
        <f t="shared" ca="1" si="104"/>
        <v>0</v>
      </c>
      <c r="CU40" s="542">
        <f t="shared" ca="1" si="104"/>
        <v>0</v>
      </c>
      <c r="CW40" s="151">
        <f t="shared" ca="1" si="75"/>
        <v>58.867763928715227</v>
      </c>
    </row>
    <row r="41" spans="1:101" s="84" customFormat="1" outlineLevel="1" x14ac:dyDescent="0.2">
      <c r="C41" s="60"/>
      <c r="D41" s="34"/>
      <c r="E41" s="51"/>
      <c r="G41" s="245"/>
      <c r="H41" s="245"/>
      <c r="I41" s="245"/>
      <c r="J41" s="245"/>
      <c r="K41" s="245"/>
      <c r="L41" s="247"/>
      <c r="M41" s="245"/>
      <c r="N41" s="245"/>
      <c r="O41" s="245"/>
      <c r="P41" s="245">
        <f t="shared" si="70"/>
        <v>0</v>
      </c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>
        <f t="shared" si="5"/>
        <v>0</v>
      </c>
      <c r="AJ41" s="263"/>
      <c r="AK41" s="263"/>
      <c r="AL41" s="263"/>
      <c r="AM41" s="263"/>
      <c r="AN41" s="263"/>
      <c r="AO41" s="263"/>
      <c r="AP41" s="263"/>
      <c r="AQ41" s="263"/>
      <c r="AR41" s="263"/>
      <c r="AS41" s="263"/>
      <c r="AT41" s="263"/>
      <c r="AU41" s="263"/>
      <c r="AV41" s="263"/>
      <c r="AW41" s="263"/>
      <c r="AX41" s="263"/>
      <c r="AY41" s="263">
        <f t="shared" si="74"/>
        <v>0</v>
      </c>
      <c r="BA41" s="277"/>
      <c r="BB41" s="277"/>
      <c r="BC41" s="277">
        <f t="shared" si="10"/>
        <v>0</v>
      </c>
      <c r="BE41" s="55">
        <f t="shared" si="103"/>
        <v>0</v>
      </c>
      <c r="BF41" s="55"/>
      <c r="BH41" s="542"/>
      <c r="BI41" s="542"/>
      <c r="BJ41" s="542"/>
      <c r="BK41" s="542"/>
      <c r="BL41" s="542"/>
      <c r="BM41" s="542"/>
      <c r="BN41" s="542"/>
      <c r="BO41" s="542"/>
      <c r="BP41" s="542"/>
      <c r="BQ41" s="542"/>
      <c r="BR41" s="542"/>
      <c r="BS41" s="542"/>
      <c r="BT41" s="542"/>
      <c r="BU41" s="542"/>
      <c r="BV41" s="542"/>
      <c r="BW41" s="542"/>
      <c r="BX41" s="542"/>
      <c r="BY41" s="542"/>
      <c r="BZ41" s="542"/>
      <c r="CA41" s="542"/>
      <c r="CB41" s="542"/>
      <c r="CC41" s="542"/>
      <c r="CD41" s="542"/>
      <c r="CE41" s="542"/>
      <c r="CF41" s="542"/>
      <c r="CG41" s="542"/>
      <c r="CH41" s="542"/>
      <c r="CI41" s="542"/>
      <c r="CJ41" s="542"/>
      <c r="CK41" s="542"/>
      <c r="CL41" s="542"/>
      <c r="CM41" s="542"/>
      <c r="CN41" s="542"/>
      <c r="CO41" s="542"/>
      <c r="CP41" s="542"/>
      <c r="CQ41" s="542"/>
      <c r="CR41" s="542"/>
      <c r="CS41" s="542"/>
      <c r="CT41" s="542"/>
      <c r="CU41" s="542"/>
      <c r="CW41" s="151">
        <f t="shared" si="75"/>
        <v>0</v>
      </c>
    </row>
    <row r="42" spans="1:101" s="543" customFormat="1" ht="12.75" customHeight="1" outlineLevel="1" x14ac:dyDescent="0.2">
      <c r="C42" s="86" t="s">
        <v>864</v>
      </c>
      <c r="D42" s="61" t="str">
        <f>INDEX(Modules[Module], MATCH($C42, Modules[Code], 0))</f>
        <v xml:space="preserve">Wind </v>
      </c>
      <c r="E42" s="61"/>
      <c r="F42" s="84"/>
      <c r="G42" s="297">
        <f t="shared" ref="G42:O46" ca="1" si="105">IFERROR(INDEX(INDIRECT($C42&amp;".Outputs["&amp;this.Year&amp;"]"), MATCH(G$5, INDIRECT($C42&amp;".Outputs[Vector]"), 0)), 0)</f>
        <v>0</v>
      </c>
      <c r="H42" s="297">
        <f t="shared" ca="1" si="105"/>
        <v>0</v>
      </c>
      <c r="I42" s="297">
        <f t="shared" ca="1" si="105"/>
        <v>0</v>
      </c>
      <c r="J42" s="297">
        <f t="shared" ca="1" si="105"/>
        <v>0</v>
      </c>
      <c r="K42" s="297">
        <f t="shared" ca="1" si="105"/>
        <v>0</v>
      </c>
      <c r="L42" s="297">
        <f t="shared" ca="1" si="105"/>
        <v>0</v>
      </c>
      <c r="M42" s="297">
        <f t="shared" ca="1" si="105"/>
        <v>0</v>
      </c>
      <c r="N42" s="297">
        <f t="shared" ca="1" si="105"/>
        <v>0</v>
      </c>
      <c r="O42" s="297">
        <f t="shared" ca="1" si="105"/>
        <v>0</v>
      </c>
      <c r="P42" s="297">
        <f t="shared" ca="1" si="70"/>
        <v>0</v>
      </c>
      <c r="Q42" s="84"/>
      <c r="R42" s="304">
        <f t="shared" ref="R42:AX46" ca="1" si="106">IFERROR(INDEX(INDIRECT($C42&amp;".Outputs["&amp;this.Year&amp;"]"), MATCH(R$5, INDIRECT($C42&amp;".Outputs[Vector]"), 0)), 0)</f>
        <v>0</v>
      </c>
      <c r="S42" s="304">
        <f t="shared" ca="1" si="106"/>
        <v>3.6817200000000003</v>
      </c>
      <c r="T42" s="304">
        <f t="shared" ca="1" si="106"/>
        <v>0</v>
      </c>
      <c r="U42" s="304">
        <f t="shared" ca="1" si="106"/>
        <v>0</v>
      </c>
      <c r="V42" s="304">
        <f t="shared" ca="1" si="106"/>
        <v>0</v>
      </c>
      <c r="W42" s="304">
        <f t="shared" ca="1" si="106"/>
        <v>0</v>
      </c>
      <c r="X42" s="304">
        <f t="shared" ref="X42:Z46" ca="1" si="107">IFERROR(INDEX(INDIRECT($C42&amp;".Outputs["&amp;this.Year&amp;"]"), MATCH(X$5, INDIRECT($C42&amp;".Outputs[Vector]"), 0)), 0)</f>
        <v>0</v>
      </c>
      <c r="Y42" s="304">
        <f t="shared" ca="1" si="107"/>
        <v>0</v>
      </c>
      <c r="Z42" s="304">
        <f t="shared" ca="1" si="107"/>
        <v>0</v>
      </c>
      <c r="AA42" s="304">
        <f t="shared" ca="1" si="106"/>
        <v>0</v>
      </c>
      <c r="AB42" s="304">
        <f t="shared" ca="1" si="106"/>
        <v>0</v>
      </c>
      <c r="AC42" s="304">
        <f t="shared" ca="1" si="106"/>
        <v>0</v>
      </c>
      <c r="AD42" s="304">
        <f t="shared" ca="1" si="106"/>
        <v>0</v>
      </c>
      <c r="AE42" s="304">
        <f t="shared" ca="1" si="106"/>
        <v>0</v>
      </c>
      <c r="AF42" s="304">
        <f t="shared" ca="1" si="106"/>
        <v>0</v>
      </c>
      <c r="AG42" s="304">
        <f t="shared" ca="1" si="106"/>
        <v>0</v>
      </c>
      <c r="AH42" s="305">
        <f t="shared" ca="1" si="5"/>
        <v>3.6817200000000003</v>
      </c>
      <c r="AI42" s="84"/>
      <c r="AJ42" s="312">
        <f t="shared" ref="AJ42:AR46" ca="1" si="108">IFERROR(INDEX(INDIRECT($C42&amp;".Outputs["&amp;this.Year&amp;"]"), MATCH(AJ$5, INDIRECT($C42&amp;".Outputs[Vector]"), 0)), 0)</f>
        <v>0</v>
      </c>
      <c r="AK42" s="312">
        <f t="shared" ca="1" si="108"/>
        <v>0</v>
      </c>
      <c r="AL42" s="312">
        <f t="shared" ca="1" si="108"/>
        <v>0</v>
      </c>
      <c r="AM42" s="312">
        <f t="shared" ca="1" si="108"/>
        <v>0</v>
      </c>
      <c r="AN42" s="312">
        <f t="shared" ca="1" si="108"/>
        <v>0</v>
      </c>
      <c r="AO42" s="312">
        <f t="shared" ca="1" si="108"/>
        <v>0</v>
      </c>
      <c r="AP42" s="312">
        <f t="shared" ca="1" si="108"/>
        <v>0</v>
      </c>
      <c r="AQ42" s="312">
        <f t="shared" ca="1" si="108"/>
        <v>0</v>
      </c>
      <c r="AR42" s="312">
        <f t="shared" ca="1" si="108"/>
        <v>0</v>
      </c>
      <c r="AS42" s="312">
        <f t="shared" ca="1" si="106"/>
        <v>0</v>
      </c>
      <c r="AT42" s="312">
        <f t="shared" ca="1" si="106"/>
        <v>0</v>
      </c>
      <c r="AU42" s="312">
        <f t="shared" ca="1" si="106"/>
        <v>-3.6817200000000003</v>
      </c>
      <c r="AV42" s="312">
        <f t="shared" ca="1" si="106"/>
        <v>0</v>
      </c>
      <c r="AW42" s="312">
        <f t="shared" ca="1" si="106"/>
        <v>0</v>
      </c>
      <c r="AX42" s="312">
        <f t="shared" ca="1" si="106"/>
        <v>0</v>
      </c>
      <c r="AY42" s="266">
        <f t="shared" ca="1" si="74"/>
        <v>-3.6817200000000003</v>
      </c>
      <c r="AZ42" s="84"/>
      <c r="BA42" s="308">
        <f t="shared" ref="BA42:BB46" ca="1" si="109">IFERROR(INDEX(INDIRECT($C42&amp;".Outputs["&amp;this.Year&amp;"]"), MATCH(BA$5, INDIRECT($C42&amp;".Outputs[Vector]"), 0)), 0)</f>
        <v>0</v>
      </c>
      <c r="BB42" s="308">
        <f t="shared" ca="1" si="109"/>
        <v>0</v>
      </c>
      <c r="BC42" s="309">
        <f t="shared" ca="1" si="10"/>
        <v>0</v>
      </c>
      <c r="BD42" s="84"/>
      <c r="BE42" s="135">
        <f t="shared" ca="1" si="103"/>
        <v>0</v>
      </c>
      <c r="BF42" s="135"/>
      <c r="BG42" s="1428"/>
      <c r="BH42" s="541">
        <f t="shared" ref="BH42:BQ46" ca="1" si="110">IFERROR(SUMIFS(INDIRECT($C42&amp;".Emissions["&amp;this.Year&amp;"]"), INDIRECT($C42&amp;".Emissions[GHG]"), BH$6, INDIRECT($C42&amp;".Emissions[IPCC Sector]"), BH$5),0)</f>
        <v>0</v>
      </c>
      <c r="BI42" s="542">
        <f t="shared" ca="1" si="110"/>
        <v>0</v>
      </c>
      <c r="BJ42" s="542">
        <f t="shared" ca="1" si="110"/>
        <v>0</v>
      </c>
      <c r="BK42" s="542">
        <f t="shared" ca="1" si="110"/>
        <v>0</v>
      </c>
      <c r="BL42" s="542">
        <f t="shared" ca="1" si="110"/>
        <v>0</v>
      </c>
      <c r="BM42" s="542">
        <f t="shared" ca="1" si="110"/>
        <v>0</v>
      </c>
      <c r="BN42" s="542">
        <f t="shared" ca="1" si="110"/>
        <v>0</v>
      </c>
      <c r="BO42" s="542">
        <f t="shared" ca="1" si="110"/>
        <v>0</v>
      </c>
      <c r="BP42" s="542">
        <f t="shared" ca="1" si="110"/>
        <v>0</v>
      </c>
      <c r="BQ42" s="542">
        <f t="shared" ca="1" si="110"/>
        <v>0</v>
      </c>
      <c r="BR42" s="542">
        <f t="shared" ref="BR42:CA46" ca="1" si="111">IFERROR(SUMIFS(INDIRECT($C42&amp;".Emissions["&amp;this.Year&amp;"]"), INDIRECT($C42&amp;".Emissions[GHG]"), BR$6, INDIRECT($C42&amp;".Emissions[IPCC Sector]"), BR$5),0)</f>
        <v>0</v>
      </c>
      <c r="BS42" s="542">
        <f t="shared" ca="1" si="111"/>
        <v>0</v>
      </c>
      <c r="BT42" s="542">
        <f t="shared" ca="1" si="111"/>
        <v>0</v>
      </c>
      <c r="BU42" s="542">
        <f t="shared" ca="1" si="111"/>
        <v>0</v>
      </c>
      <c r="BV42" s="542">
        <f t="shared" ca="1" si="111"/>
        <v>0</v>
      </c>
      <c r="BW42" s="542">
        <f t="shared" ca="1" si="111"/>
        <v>0</v>
      </c>
      <c r="BX42" s="542">
        <f t="shared" ca="1" si="111"/>
        <v>0</v>
      </c>
      <c r="BY42" s="542">
        <f t="shared" ca="1" si="111"/>
        <v>0</v>
      </c>
      <c r="BZ42" s="542">
        <f t="shared" ca="1" si="111"/>
        <v>0</v>
      </c>
      <c r="CA42" s="542">
        <f t="shared" ca="1" si="111"/>
        <v>0</v>
      </c>
      <c r="CB42" s="542">
        <f t="shared" ref="CB42:CK46" ca="1" si="112">IFERROR(SUMIFS(INDIRECT($C42&amp;".Emissions["&amp;this.Year&amp;"]"), INDIRECT($C42&amp;".Emissions[GHG]"), CB$6, INDIRECT($C42&amp;".Emissions[IPCC Sector]"), CB$5),0)</f>
        <v>0</v>
      </c>
      <c r="CC42" s="542">
        <f t="shared" ca="1" si="112"/>
        <v>0</v>
      </c>
      <c r="CD42" s="542">
        <f t="shared" ca="1" si="112"/>
        <v>0</v>
      </c>
      <c r="CE42" s="542">
        <f t="shared" ca="1" si="112"/>
        <v>0</v>
      </c>
      <c r="CF42" s="542">
        <f t="shared" ca="1" si="112"/>
        <v>0</v>
      </c>
      <c r="CG42" s="542">
        <f t="shared" ca="1" si="112"/>
        <v>0</v>
      </c>
      <c r="CH42" s="542">
        <f t="shared" ca="1" si="112"/>
        <v>0</v>
      </c>
      <c r="CI42" s="542">
        <f t="shared" ca="1" si="112"/>
        <v>0</v>
      </c>
      <c r="CJ42" s="542">
        <f t="shared" ca="1" si="112"/>
        <v>0</v>
      </c>
      <c r="CK42" s="542">
        <f t="shared" ca="1" si="112"/>
        <v>0</v>
      </c>
      <c r="CL42" s="542">
        <f t="shared" ref="CL42:CU46" ca="1" si="113">IFERROR(SUMIFS(INDIRECT($C42&amp;".Emissions["&amp;this.Year&amp;"]"), INDIRECT($C42&amp;".Emissions[GHG]"), CL$6, INDIRECT($C42&amp;".Emissions[IPCC Sector]"), CL$5),0)</f>
        <v>0</v>
      </c>
      <c r="CM42" s="542">
        <f t="shared" ca="1" si="113"/>
        <v>0</v>
      </c>
      <c r="CN42" s="542">
        <f t="shared" ca="1" si="113"/>
        <v>0</v>
      </c>
      <c r="CO42" s="542">
        <f t="shared" ca="1" si="113"/>
        <v>0</v>
      </c>
      <c r="CP42" s="542">
        <f t="shared" ca="1" si="113"/>
        <v>0</v>
      </c>
      <c r="CQ42" s="542">
        <f t="shared" ca="1" si="113"/>
        <v>0</v>
      </c>
      <c r="CR42" s="542">
        <f t="shared" ca="1" si="113"/>
        <v>0</v>
      </c>
      <c r="CS42" s="542">
        <f t="shared" ca="1" si="113"/>
        <v>0</v>
      </c>
      <c r="CT42" s="542">
        <f t="shared" ca="1" si="113"/>
        <v>0</v>
      </c>
      <c r="CU42" s="542">
        <f t="shared" ca="1" si="113"/>
        <v>0</v>
      </c>
      <c r="CW42" s="151">
        <f t="shared" ca="1" si="75"/>
        <v>0</v>
      </c>
    </row>
    <row r="43" spans="1:101" s="543" customFormat="1" ht="12.75" customHeight="1" outlineLevel="1" x14ac:dyDescent="0.2">
      <c r="C43" s="86" t="s">
        <v>2366</v>
      </c>
      <c r="D43" s="61" t="str">
        <f>INDEX(Modules[Module], MATCH($C43, Modules[Code], 0))</f>
        <v>Large Hydroelectric power stations</v>
      </c>
      <c r="E43" s="61"/>
      <c r="F43" s="84"/>
      <c r="G43" s="297">
        <f t="shared" ca="1" si="105"/>
        <v>0</v>
      </c>
      <c r="H43" s="297">
        <f t="shared" ca="1" si="105"/>
        <v>0</v>
      </c>
      <c r="I43" s="297">
        <f t="shared" ca="1" si="105"/>
        <v>0</v>
      </c>
      <c r="J43" s="297">
        <f t="shared" ca="1" si="105"/>
        <v>0</v>
      </c>
      <c r="K43" s="297">
        <f t="shared" ca="1" si="105"/>
        <v>0</v>
      </c>
      <c r="L43" s="297">
        <f t="shared" ca="1" si="105"/>
        <v>0</v>
      </c>
      <c r="M43" s="297">
        <f t="shared" ca="1" si="105"/>
        <v>0</v>
      </c>
      <c r="N43" s="297">
        <f t="shared" ca="1" si="105"/>
        <v>0</v>
      </c>
      <c r="O43" s="297">
        <f t="shared" ca="1" si="105"/>
        <v>0</v>
      </c>
      <c r="P43" s="297">
        <f t="shared" ca="1" si="70"/>
        <v>0</v>
      </c>
      <c r="Q43" s="84"/>
      <c r="R43" s="304">
        <f t="shared" ca="1" si="106"/>
        <v>0</v>
      </c>
      <c r="S43" s="304">
        <f t="shared" ca="1" si="106"/>
        <v>17.041104000000001</v>
      </c>
      <c r="T43" s="304">
        <f t="shared" ca="1" si="106"/>
        <v>0</v>
      </c>
      <c r="U43" s="304">
        <f t="shared" ca="1" si="106"/>
        <v>0</v>
      </c>
      <c r="V43" s="304">
        <f t="shared" ca="1" si="106"/>
        <v>0</v>
      </c>
      <c r="W43" s="304">
        <f t="shared" ca="1" si="106"/>
        <v>0</v>
      </c>
      <c r="X43" s="304">
        <f t="shared" ca="1" si="107"/>
        <v>0</v>
      </c>
      <c r="Y43" s="304">
        <f t="shared" ca="1" si="107"/>
        <v>0</v>
      </c>
      <c r="Z43" s="304">
        <f t="shared" ca="1" si="107"/>
        <v>0</v>
      </c>
      <c r="AA43" s="304">
        <f t="shared" ca="1" si="106"/>
        <v>0</v>
      </c>
      <c r="AB43" s="304">
        <f t="shared" ca="1" si="106"/>
        <v>0</v>
      </c>
      <c r="AC43" s="304">
        <f t="shared" ca="1" si="106"/>
        <v>0</v>
      </c>
      <c r="AD43" s="304">
        <f t="shared" ca="1" si="106"/>
        <v>0</v>
      </c>
      <c r="AE43" s="304">
        <f t="shared" ca="1" si="106"/>
        <v>0</v>
      </c>
      <c r="AF43" s="304">
        <f t="shared" ca="1" si="106"/>
        <v>0</v>
      </c>
      <c r="AG43" s="304">
        <f t="shared" ca="1" si="106"/>
        <v>0</v>
      </c>
      <c r="AH43" s="305">
        <f t="shared" ca="1" si="5"/>
        <v>17.041104000000001</v>
      </c>
      <c r="AI43" s="84"/>
      <c r="AJ43" s="312">
        <f t="shared" ca="1" si="108"/>
        <v>0</v>
      </c>
      <c r="AK43" s="312">
        <f t="shared" ca="1" si="108"/>
        <v>0</v>
      </c>
      <c r="AL43" s="312">
        <f t="shared" ca="1" si="108"/>
        <v>0</v>
      </c>
      <c r="AM43" s="312">
        <f t="shared" ca="1" si="108"/>
        <v>0</v>
      </c>
      <c r="AN43" s="312">
        <f t="shared" ca="1" si="108"/>
        <v>0</v>
      </c>
      <c r="AO43" s="312">
        <f t="shared" ca="1" si="108"/>
        <v>0</v>
      </c>
      <c r="AP43" s="312">
        <f t="shared" ca="1" si="108"/>
        <v>0</v>
      </c>
      <c r="AQ43" s="312">
        <f t="shared" ca="1" si="108"/>
        <v>0</v>
      </c>
      <c r="AR43" s="312">
        <f t="shared" ca="1" si="108"/>
        <v>0</v>
      </c>
      <c r="AS43" s="312">
        <f t="shared" ca="1" si="106"/>
        <v>0</v>
      </c>
      <c r="AT43" s="312">
        <f t="shared" ca="1" si="106"/>
        <v>0</v>
      </c>
      <c r="AU43" s="312">
        <f t="shared" ca="1" si="106"/>
        <v>0</v>
      </c>
      <c r="AV43" s="312">
        <f t="shared" ca="1" si="106"/>
        <v>-17.041104000000001</v>
      </c>
      <c r="AW43" s="312">
        <f t="shared" ca="1" si="106"/>
        <v>0</v>
      </c>
      <c r="AX43" s="312">
        <f t="shared" ca="1" si="106"/>
        <v>0</v>
      </c>
      <c r="AY43" s="266">
        <f t="shared" ca="1" si="74"/>
        <v>-17.041104000000001</v>
      </c>
      <c r="AZ43" s="84"/>
      <c r="BA43" s="308">
        <f t="shared" ca="1" si="109"/>
        <v>0</v>
      </c>
      <c r="BB43" s="308">
        <f t="shared" ca="1" si="109"/>
        <v>0</v>
      </c>
      <c r="BC43" s="309">
        <f t="shared" ca="1" si="10"/>
        <v>0</v>
      </c>
      <c r="BD43" s="84"/>
      <c r="BE43" s="135">
        <f t="shared" ca="1" si="103"/>
        <v>0</v>
      </c>
      <c r="BF43" s="135"/>
      <c r="BG43" s="1428"/>
      <c r="BH43" s="541">
        <f t="shared" ca="1" si="110"/>
        <v>0</v>
      </c>
      <c r="BI43" s="542">
        <f t="shared" ca="1" si="110"/>
        <v>0</v>
      </c>
      <c r="BJ43" s="542">
        <f t="shared" ca="1" si="110"/>
        <v>0</v>
      </c>
      <c r="BK43" s="542">
        <f t="shared" ca="1" si="110"/>
        <v>0</v>
      </c>
      <c r="BL43" s="542">
        <f t="shared" ca="1" si="110"/>
        <v>0</v>
      </c>
      <c r="BM43" s="542">
        <f t="shared" ca="1" si="110"/>
        <v>0</v>
      </c>
      <c r="BN43" s="542">
        <f t="shared" ca="1" si="110"/>
        <v>0</v>
      </c>
      <c r="BO43" s="542">
        <f t="shared" ca="1" si="110"/>
        <v>0</v>
      </c>
      <c r="BP43" s="542">
        <f t="shared" ca="1" si="110"/>
        <v>0</v>
      </c>
      <c r="BQ43" s="542">
        <f t="shared" ca="1" si="110"/>
        <v>0</v>
      </c>
      <c r="BR43" s="542">
        <f t="shared" ca="1" si="111"/>
        <v>0</v>
      </c>
      <c r="BS43" s="542">
        <f t="shared" ca="1" si="111"/>
        <v>0</v>
      </c>
      <c r="BT43" s="542">
        <f t="shared" ca="1" si="111"/>
        <v>0</v>
      </c>
      <c r="BU43" s="542">
        <f t="shared" ca="1" si="111"/>
        <v>0</v>
      </c>
      <c r="BV43" s="542">
        <f t="shared" ca="1" si="111"/>
        <v>0</v>
      </c>
      <c r="BW43" s="542">
        <f t="shared" ca="1" si="111"/>
        <v>0</v>
      </c>
      <c r="BX43" s="542">
        <f t="shared" ca="1" si="111"/>
        <v>0</v>
      </c>
      <c r="BY43" s="542">
        <f t="shared" ca="1" si="111"/>
        <v>0</v>
      </c>
      <c r="BZ43" s="542">
        <f t="shared" ca="1" si="111"/>
        <v>0</v>
      </c>
      <c r="CA43" s="542">
        <f t="shared" ca="1" si="111"/>
        <v>0</v>
      </c>
      <c r="CB43" s="542">
        <f t="shared" ca="1" si="112"/>
        <v>0</v>
      </c>
      <c r="CC43" s="542">
        <f t="shared" ca="1" si="112"/>
        <v>0</v>
      </c>
      <c r="CD43" s="542">
        <f t="shared" ca="1" si="112"/>
        <v>0</v>
      </c>
      <c r="CE43" s="542">
        <f t="shared" ca="1" si="112"/>
        <v>0</v>
      </c>
      <c r="CF43" s="542">
        <f t="shared" ca="1" si="112"/>
        <v>0</v>
      </c>
      <c r="CG43" s="542">
        <f t="shared" ca="1" si="112"/>
        <v>0</v>
      </c>
      <c r="CH43" s="542">
        <f t="shared" ca="1" si="112"/>
        <v>0</v>
      </c>
      <c r="CI43" s="542">
        <f t="shared" ca="1" si="112"/>
        <v>0</v>
      </c>
      <c r="CJ43" s="542">
        <f t="shared" ca="1" si="112"/>
        <v>0</v>
      </c>
      <c r="CK43" s="542">
        <f t="shared" ca="1" si="112"/>
        <v>0</v>
      </c>
      <c r="CL43" s="542">
        <f t="shared" ca="1" si="113"/>
        <v>0</v>
      </c>
      <c r="CM43" s="542">
        <f t="shared" ca="1" si="113"/>
        <v>0</v>
      </c>
      <c r="CN43" s="542">
        <f t="shared" ca="1" si="113"/>
        <v>0</v>
      </c>
      <c r="CO43" s="542">
        <f t="shared" ca="1" si="113"/>
        <v>0</v>
      </c>
      <c r="CP43" s="542">
        <f t="shared" ca="1" si="113"/>
        <v>0</v>
      </c>
      <c r="CQ43" s="542">
        <f t="shared" ca="1" si="113"/>
        <v>0</v>
      </c>
      <c r="CR43" s="542">
        <f t="shared" ca="1" si="113"/>
        <v>0</v>
      </c>
      <c r="CS43" s="542">
        <f t="shared" ca="1" si="113"/>
        <v>0</v>
      </c>
      <c r="CT43" s="542">
        <f t="shared" ca="1" si="113"/>
        <v>0</v>
      </c>
      <c r="CU43" s="542">
        <f t="shared" ca="1" si="113"/>
        <v>0</v>
      </c>
      <c r="CW43" s="151">
        <f t="shared" ca="1" si="75"/>
        <v>0</v>
      </c>
    </row>
    <row r="44" spans="1:101" s="543" customFormat="1" ht="12.75" customHeight="1" outlineLevel="1" x14ac:dyDescent="0.2">
      <c r="C44" s="86" t="s">
        <v>2365</v>
      </c>
      <c r="D44" s="61" t="str">
        <f>INDEX(Modules[Module], MATCH($C44, Modules[Code], 0))</f>
        <v>Small Hydroelectric power stations</v>
      </c>
      <c r="E44" s="61"/>
      <c r="F44" s="84"/>
      <c r="G44" s="297">
        <f t="shared" ca="1" si="105"/>
        <v>0</v>
      </c>
      <c r="H44" s="297">
        <f t="shared" ca="1" si="105"/>
        <v>0</v>
      </c>
      <c r="I44" s="297">
        <f t="shared" ca="1" si="105"/>
        <v>0</v>
      </c>
      <c r="J44" s="297">
        <f t="shared" ca="1" si="105"/>
        <v>0</v>
      </c>
      <c r="K44" s="297">
        <f t="shared" ca="1" si="105"/>
        <v>0</v>
      </c>
      <c r="L44" s="297">
        <f t="shared" ca="1" si="105"/>
        <v>0</v>
      </c>
      <c r="M44" s="297">
        <f t="shared" ca="1" si="105"/>
        <v>0</v>
      </c>
      <c r="N44" s="297">
        <f t="shared" ca="1" si="105"/>
        <v>0</v>
      </c>
      <c r="O44" s="297">
        <f t="shared" ca="1" si="105"/>
        <v>0</v>
      </c>
      <c r="P44" s="297">
        <f t="shared" ca="1" si="70"/>
        <v>0</v>
      </c>
      <c r="Q44" s="84"/>
      <c r="R44" s="304">
        <f t="shared" ca="1" si="106"/>
        <v>0</v>
      </c>
      <c r="S44" s="304">
        <f t="shared" ca="1" si="106"/>
        <v>0.28051199999999998</v>
      </c>
      <c r="T44" s="304">
        <f t="shared" ca="1" si="106"/>
        <v>0</v>
      </c>
      <c r="U44" s="304">
        <f t="shared" ca="1" si="106"/>
        <v>0</v>
      </c>
      <c r="V44" s="304">
        <f t="shared" ca="1" si="106"/>
        <v>0</v>
      </c>
      <c r="W44" s="304">
        <f t="shared" ca="1" si="106"/>
        <v>0</v>
      </c>
      <c r="X44" s="304">
        <f t="shared" ca="1" si="107"/>
        <v>0</v>
      </c>
      <c r="Y44" s="304">
        <f t="shared" ca="1" si="107"/>
        <v>0</v>
      </c>
      <c r="Z44" s="304">
        <f t="shared" ca="1" si="107"/>
        <v>0</v>
      </c>
      <c r="AA44" s="304">
        <f t="shared" ca="1" si="106"/>
        <v>0</v>
      </c>
      <c r="AB44" s="304">
        <f t="shared" ca="1" si="106"/>
        <v>0</v>
      </c>
      <c r="AC44" s="304">
        <f t="shared" ca="1" si="106"/>
        <v>0</v>
      </c>
      <c r="AD44" s="304">
        <f t="shared" ca="1" si="106"/>
        <v>0</v>
      </c>
      <c r="AE44" s="304">
        <f t="shared" ca="1" si="106"/>
        <v>0</v>
      </c>
      <c r="AF44" s="304">
        <f t="shared" ca="1" si="106"/>
        <v>0</v>
      </c>
      <c r="AG44" s="304">
        <f t="shared" ca="1" si="106"/>
        <v>0</v>
      </c>
      <c r="AH44" s="305">
        <f t="shared" ca="1" si="5"/>
        <v>0.28051199999999998</v>
      </c>
      <c r="AI44" s="84"/>
      <c r="AJ44" s="312">
        <f t="shared" ca="1" si="108"/>
        <v>0</v>
      </c>
      <c r="AK44" s="312">
        <f t="shared" ca="1" si="108"/>
        <v>0</v>
      </c>
      <c r="AL44" s="312">
        <f t="shared" ca="1" si="108"/>
        <v>0</v>
      </c>
      <c r="AM44" s="312">
        <f t="shared" ca="1" si="108"/>
        <v>0</v>
      </c>
      <c r="AN44" s="312">
        <f t="shared" ca="1" si="108"/>
        <v>0</v>
      </c>
      <c r="AO44" s="312">
        <f t="shared" ca="1" si="108"/>
        <v>0</v>
      </c>
      <c r="AP44" s="312">
        <f t="shared" ca="1" si="108"/>
        <v>0</v>
      </c>
      <c r="AQ44" s="312">
        <f t="shared" ca="1" si="108"/>
        <v>0</v>
      </c>
      <c r="AR44" s="312">
        <f t="shared" ca="1" si="108"/>
        <v>0</v>
      </c>
      <c r="AS44" s="312">
        <f t="shared" ca="1" si="106"/>
        <v>0</v>
      </c>
      <c r="AT44" s="312">
        <f t="shared" ca="1" si="106"/>
        <v>0</v>
      </c>
      <c r="AU44" s="312">
        <f t="shared" ca="1" si="106"/>
        <v>0</v>
      </c>
      <c r="AV44" s="312">
        <f t="shared" ca="1" si="106"/>
        <v>-0.28051199999999998</v>
      </c>
      <c r="AW44" s="312">
        <f t="shared" ca="1" si="106"/>
        <v>0</v>
      </c>
      <c r="AX44" s="312">
        <f t="shared" ca="1" si="106"/>
        <v>0</v>
      </c>
      <c r="AY44" s="266">
        <f t="shared" ca="1" si="74"/>
        <v>-0.28051199999999998</v>
      </c>
      <c r="AZ44" s="84"/>
      <c r="BA44" s="308">
        <f t="shared" ca="1" si="109"/>
        <v>0</v>
      </c>
      <c r="BB44" s="308">
        <f t="shared" ca="1" si="109"/>
        <v>0</v>
      </c>
      <c r="BC44" s="309">
        <f t="shared" ca="1" si="10"/>
        <v>0</v>
      </c>
      <c r="BD44" s="84"/>
      <c r="BE44" s="135">
        <f t="shared" ca="1" si="103"/>
        <v>0</v>
      </c>
      <c r="BF44" s="135"/>
      <c r="BG44" s="1428"/>
      <c r="BH44" s="541">
        <f t="shared" ca="1" si="110"/>
        <v>0</v>
      </c>
      <c r="BI44" s="542">
        <f t="shared" ca="1" si="110"/>
        <v>0</v>
      </c>
      <c r="BJ44" s="542">
        <f t="shared" ca="1" si="110"/>
        <v>0</v>
      </c>
      <c r="BK44" s="542">
        <f t="shared" ca="1" si="110"/>
        <v>0</v>
      </c>
      <c r="BL44" s="542">
        <f t="shared" ca="1" si="110"/>
        <v>0</v>
      </c>
      <c r="BM44" s="542">
        <f t="shared" ca="1" si="110"/>
        <v>0</v>
      </c>
      <c r="BN44" s="542">
        <f t="shared" ca="1" si="110"/>
        <v>0</v>
      </c>
      <c r="BO44" s="542">
        <f t="shared" ca="1" si="110"/>
        <v>0</v>
      </c>
      <c r="BP44" s="542">
        <f t="shared" ca="1" si="110"/>
        <v>0</v>
      </c>
      <c r="BQ44" s="542">
        <f t="shared" ca="1" si="110"/>
        <v>0</v>
      </c>
      <c r="BR44" s="542">
        <f t="shared" ca="1" si="111"/>
        <v>0</v>
      </c>
      <c r="BS44" s="542">
        <f t="shared" ca="1" si="111"/>
        <v>0</v>
      </c>
      <c r="BT44" s="542">
        <f t="shared" ca="1" si="111"/>
        <v>0</v>
      </c>
      <c r="BU44" s="542">
        <f t="shared" ca="1" si="111"/>
        <v>0</v>
      </c>
      <c r="BV44" s="542">
        <f t="shared" ca="1" si="111"/>
        <v>0</v>
      </c>
      <c r="BW44" s="542">
        <f t="shared" ca="1" si="111"/>
        <v>0</v>
      </c>
      <c r="BX44" s="542">
        <f t="shared" ca="1" si="111"/>
        <v>0</v>
      </c>
      <c r="BY44" s="542">
        <f t="shared" ca="1" si="111"/>
        <v>0</v>
      </c>
      <c r="BZ44" s="542">
        <f t="shared" ca="1" si="111"/>
        <v>0</v>
      </c>
      <c r="CA44" s="542">
        <f t="shared" ca="1" si="111"/>
        <v>0</v>
      </c>
      <c r="CB44" s="542">
        <f t="shared" ca="1" si="112"/>
        <v>0</v>
      </c>
      <c r="CC44" s="542">
        <f t="shared" ca="1" si="112"/>
        <v>0</v>
      </c>
      <c r="CD44" s="542">
        <f t="shared" ca="1" si="112"/>
        <v>0</v>
      </c>
      <c r="CE44" s="542">
        <f t="shared" ca="1" si="112"/>
        <v>0</v>
      </c>
      <c r="CF44" s="542">
        <f t="shared" ca="1" si="112"/>
        <v>0</v>
      </c>
      <c r="CG44" s="542">
        <f t="shared" ca="1" si="112"/>
        <v>0</v>
      </c>
      <c r="CH44" s="542">
        <f t="shared" ca="1" si="112"/>
        <v>0</v>
      </c>
      <c r="CI44" s="542">
        <f t="shared" ca="1" si="112"/>
        <v>0</v>
      </c>
      <c r="CJ44" s="542">
        <f t="shared" ca="1" si="112"/>
        <v>0</v>
      </c>
      <c r="CK44" s="542">
        <f t="shared" ca="1" si="112"/>
        <v>0</v>
      </c>
      <c r="CL44" s="542">
        <f t="shared" ca="1" si="113"/>
        <v>0</v>
      </c>
      <c r="CM44" s="542">
        <f t="shared" ca="1" si="113"/>
        <v>0</v>
      </c>
      <c r="CN44" s="542">
        <f t="shared" ca="1" si="113"/>
        <v>0</v>
      </c>
      <c r="CO44" s="542">
        <f t="shared" ca="1" si="113"/>
        <v>0</v>
      </c>
      <c r="CP44" s="542">
        <f t="shared" ca="1" si="113"/>
        <v>0</v>
      </c>
      <c r="CQ44" s="542">
        <f t="shared" ca="1" si="113"/>
        <v>0</v>
      </c>
      <c r="CR44" s="542">
        <f t="shared" ca="1" si="113"/>
        <v>0</v>
      </c>
      <c r="CS44" s="542">
        <f t="shared" ca="1" si="113"/>
        <v>0</v>
      </c>
      <c r="CT44" s="542">
        <f t="shared" ca="1" si="113"/>
        <v>0</v>
      </c>
      <c r="CU44" s="542">
        <f t="shared" ca="1" si="113"/>
        <v>0</v>
      </c>
      <c r="CW44" s="151">
        <f ca="1">SUM(BH44:CU44)</f>
        <v>0</v>
      </c>
    </row>
    <row r="45" spans="1:101" s="543" customFormat="1" ht="12.75" customHeight="1" outlineLevel="1" x14ac:dyDescent="0.2">
      <c r="C45" s="86" t="s">
        <v>2364</v>
      </c>
      <c r="D45" s="61" t="str">
        <f>INDEX(Modules[Module], MATCH($C45, Modules[Code], 0))</f>
        <v>Grid Connected Solar PV</v>
      </c>
      <c r="E45" s="61"/>
      <c r="F45" s="84"/>
      <c r="G45" s="297">
        <f t="shared" ca="1" si="105"/>
        <v>0</v>
      </c>
      <c r="H45" s="297">
        <f t="shared" ca="1" si="105"/>
        <v>0</v>
      </c>
      <c r="I45" s="297">
        <f t="shared" ca="1" si="105"/>
        <v>0</v>
      </c>
      <c r="J45" s="297">
        <f t="shared" ca="1" si="105"/>
        <v>0</v>
      </c>
      <c r="K45" s="297">
        <f t="shared" ca="1" si="105"/>
        <v>0</v>
      </c>
      <c r="L45" s="297">
        <f t="shared" ca="1" si="105"/>
        <v>0</v>
      </c>
      <c r="M45" s="297">
        <f t="shared" ca="1" si="105"/>
        <v>0</v>
      </c>
      <c r="N45" s="297">
        <f t="shared" ca="1" si="105"/>
        <v>0</v>
      </c>
      <c r="O45" s="297">
        <f t="shared" ca="1" si="105"/>
        <v>0</v>
      </c>
      <c r="P45" s="297">
        <f t="shared" ca="1" si="70"/>
        <v>0</v>
      </c>
      <c r="Q45" s="84"/>
      <c r="R45" s="304">
        <f t="shared" ca="1" si="106"/>
        <v>0</v>
      </c>
      <c r="S45" s="304">
        <f t="shared" ca="1" si="106"/>
        <v>10.8058482</v>
      </c>
      <c r="T45" s="304">
        <f t="shared" ca="1" si="106"/>
        <v>0</v>
      </c>
      <c r="U45" s="304">
        <f t="shared" ca="1" si="106"/>
        <v>0</v>
      </c>
      <c r="V45" s="304">
        <f t="shared" ca="1" si="106"/>
        <v>0</v>
      </c>
      <c r="W45" s="304">
        <f t="shared" ca="1" si="106"/>
        <v>0</v>
      </c>
      <c r="X45" s="304">
        <f t="shared" ca="1" si="107"/>
        <v>0</v>
      </c>
      <c r="Y45" s="304">
        <f t="shared" ca="1" si="107"/>
        <v>0</v>
      </c>
      <c r="Z45" s="304">
        <f t="shared" ca="1" si="107"/>
        <v>0</v>
      </c>
      <c r="AA45" s="304">
        <f t="shared" ca="1" si="106"/>
        <v>0</v>
      </c>
      <c r="AB45" s="304">
        <f t="shared" ca="1" si="106"/>
        <v>0</v>
      </c>
      <c r="AC45" s="304">
        <f t="shared" ca="1" si="106"/>
        <v>0</v>
      </c>
      <c r="AD45" s="304">
        <f t="shared" ca="1" si="106"/>
        <v>0</v>
      </c>
      <c r="AE45" s="304">
        <f t="shared" ca="1" si="106"/>
        <v>0</v>
      </c>
      <c r="AF45" s="304">
        <f t="shared" ca="1" si="106"/>
        <v>0</v>
      </c>
      <c r="AG45" s="304">
        <f t="shared" ca="1" si="106"/>
        <v>0</v>
      </c>
      <c r="AH45" s="305">
        <f t="shared" ca="1" si="5"/>
        <v>10.8058482</v>
      </c>
      <c r="AI45" s="84"/>
      <c r="AJ45" s="312">
        <f t="shared" ca="1" si="108"/>
        <v>0</v>
      </c>
      <c r="AK45" s="312">
        <f t="shared" ca="1" si="108"/>
        <v>0</v>
      </c>
      <c r="AL45" s="312">
        <f t="shared" ca="1" si="108"/>
        <v>0</v>
      </c>
      <c r="AM45" s="312">
        <f t="shared" ca="1" si="108"/>
        <v>0</v>
      </c>
      <c r="AN45" s="312">
        <f t="shared" ca="1" si="108"/>
        <v>0</v>
      </c>
      <c r="AO45" s="312">
        <f t="shared" ca="1" si="108"/>
        <v>0</v>
      </c>
      <c r="AP45" s="312">
        <f t="shared" ca="1" si="108"/>
        <v>0</v>
      </c>
      <c r="AQ45" s="312">
        <f t="shared" ca="1" si="108"/>
        <v>0</v>
      </c>
      <c r="AR45" s="312">
        <f t="shared" ca="1" si="108"/>
        <v>0</v>
      </c>
      <c r="AS45" s="312">
        <f t="shared" ca="1" si="106"/>
        <v>0</v>
      </c>
      <c r="AT45" s="312">
        <f t="shared" ca="1" si="106"/>
        <v>-10.8058482</v>
      </c>
      <c r="AU45" s="312">
        <f t="shared" ca="1" si="106"/>
        <v>0</v>
      </c>
      <c r="AV45" s="312">
        <f t="shared" ca="1" si="106"/>
        <v>0</v>
      </c>
      <c r="AW45" s="312">
        <f t="shared" ca="1" si="106"/>
        <v>0</v>
      </c>
      <c r="AX45" s="312">
        <f t="shared" ca="1" si="106"/>
        <v>0</v>
      </c>
      <c r="AY45" s="266">
        <f t="shared" ca="1" si="74"/>
        <v>-10.8058482</v>
      </c>
      <c r="AZ45" s="84"/>
      <c r="BA45" s="308">
        <f t="shared" ca="1" si="109"/>
        <v>0</v>
      </c>
      <c r="BB45" s="308">
        <f t="shared" ca="1" si="109"/>
        <v>0</v>
      </c>
      <c r="BC45" s="309">
        <f t="shared" ca="1" si="10"/>
        <v>0</v>
      </c>
      <c r="BD45" s="84"/>
      <c r="BE45" s="135">
        <f t="shared" ca="1" si="103"/>
        <v>0</v>
      </c>
      <c r="BF45" s="135"/>
      <c r="BG45" s="1428"/>
      <c r="BH45" s="541">
        <f t="shared" ca="1" si="110"/>
        <v>0</v>
      </c>
      <c r="BI45" s="542">
        <f t="shared" ca="1" si="110"/>
        <v>0</v>
      </c>
      <c r="BJ45" s="542">
        <f t="shared" ca="1" si="110"/>
        <v>0</v>
      </c>
      <c r="BK45" s="542">
        <f t="shared" ca="1" si="110"/>
        <v>0</v>
      </c>
      <c r="BL45" s="542">
        <f t="shared" ca="1" si="110"/>
        <v>0</v>
      </c>
      <c r="BM45" s="542">
        <f t="shared" ca="1" si="110"/>
        <v>0</v>
      </c>
      <c r="BN45" s="542">
        <f t="shared" ca="1" si="110"/>
        <v>0</v>
      </c>
      <c r="BO45" s="542">
        <f t="shared" ca="1" si="110"/>
        <v>0</v>
      </c>
      <c r="BP45" s="542">
        <f t="shared" ca="1" si="110"/>
        <v>0</v>
      </c>
      <c r="BQ45" s="542">
        <f t="shared" ca="1" si="110"/>
        <v>0</v>
      </c>
      <c r="BR45" s="542">
        <f t="shared" ca="1" si="111"/>
        <v>0</v>
      </c>
      <c r="BS45" s="542">
        <f t="shared" ca="1" si="111"/>
        <v>0</v>
      </c>
      <c r="BT45" s="542">
        <f t="shared" ca="1" si="111"/>
        <v>0</v>
      </c>
      <c r="BU45" s="542">
        <f t="shared" ca="1" si="111"/>
        <v>0</v>
      </c>
      <c r="BV45" s="542">
        <f t="shared" ca="1" si="111"/>
        <v>0</v>
      </c>
      <c r="BW45" s="542">
        <f t="shared" ca="1" si="111"/>
        <v>0</v>
      </c>
      <c r="BX45" s="542">
        <f t="shared" ca="1" si="111"/>
        <v>0</v>
      </c>
      <c r="BY45" s="542">
        <f t="shared" ca="1" si="111"/>
        <v>0</v>
      </c>
      <c r="BZ45" s="542">
        <f t="shared" ca="1" si="111"/>
        <v>0</v>
      </c>
      <c r="CA45" s="542">
        <f t="shared" ca="1" si="111"/>
        <v>0</v>
      </c>
      <c r="CB45" s="542">
        <f t="shared" ca="1" si="112"/>
        <v>0</v>
      </c>
      <c r="CC45" s="542">
        <f t="shared" ca="1" si="112"/>
        <v>0</v>
      </c>
      <c r="CD45" s="542">
        <f t="shared" ca="1" si="112"/>
        <v>0</v>
      </c>
      <c r="CE45" s="542">
        <f t="shared" ca="1" si="112"/>
        <v>0</v>
      </c>
      <c r="CF45" s="542">
        <f t="shared" ca="1" si="112"/>
        <v>0</v>
      </c>
      <c r="CG45" s="542">
        <f t="shared" ca="1" si="112"/>
        <v>0</v>
      </c>
      <c r="CH45" s="542">
        <f t="shared" ca="1" si="112"/>
        <v>0</v>
      </c>
      <c r="CI45" s="542">
        <f t="shared" ca="1" si="112"/>
        <v>0</v>
      </c>
      <c r="CJ45" s="542">
        <f t="shared" ca="1" si="112"/>
        <v>0</v>
      </c>
      <c r="CK45" s="542">
        <f t="shared" ca="1" si="112"/>
        <v>0</v>
      </c>
      <c r="CL45" s="542">
        <f t="shared" ca="1" si="113"/>
        <v>0</v>
      </c>
      <c r="CM45" s="542">
        <f t="shared" ca="1" si="113"/>
        <v>0</v>
      </c>
      <c r="CN45" s="542">
        <f t="shared" ca="1" si="113"/>
        <v>0</v>
      </c>
      <c r="CO45" s="542">
        <f t="shared" ca="1" si="113"/>
        <v>0</v>
      </c>
      <c r="CP45" s="542">
        <f t="shared" ca="1" si="113"/>
        <v>0</v>
      </c>
      <c r="CQ45" s="542">
        <f t="shared" ca="1" si="113"/>
        <v>0</v>
      </c>
      <c r="CR45" s="542">
        <f t="shared" ca="1" si="113"/>
        <v>0</v>
      </c>
      <c r="CS45" s="542">
        <f t="shared" ca="1" si="113"/>
        <v>0</v>
      </c>
      <c r="CT45" s="542">
        <f t="shared" ca="1" si="113"/>
        <v>0</v>
      </c>
      <c r="CU45" s="542">
        <f t="shared" ca="1" si="113"/>
        <v>0</v>
      </c>
      <c r="CW45" s="151">
        <f t="shared" ref="CW45:CW57" ca="1" si="114">SUM(BH45:CU45)</f>
        <v>0</v>
      </c>
    </row>
    <row r="46" spans="1:101" s="84" customFormat="1" ht="12.75" customHeight="1" outlineLevel="1" x14ac:dyDescent="0.2">
      <c r="A46" s="543"/>
      <c r="B46" s="543"/>
      <c r="C46" s="86" t="s">
        <v>2376</v>
      </c>
      <c r="D46" s="292" t="str">
        <f>INDEX(Modules[Module], MATCH($C46, Modules[Code], 0))</f>
        <v>Concentrated Solar Power</v>
      </c>
      <c r="E46" s="292"/>
      <c r="G46" s="301">
        <f t="shared" ca="1" si="105"/>
        <v>0</v>
      </c>
      <c r="H46" s="301">
        <f t="shared" ca="1" si="105"/>
        <v>0</v>
      </c>
      <c r="I46" s="301">
        <f t="shared" ca="1" si="105"/>
        <v>0</v>
      </c>
      <c r="J46" s="301">
        <f t="shared" ca="1" si="105"/>
        <v>0</v>
      </c>
      <c r="K46" s="301">
        <f t="shared" ca="1" si="105"/>
        <v>0</v>
      </c>
      <c r="L46" s="301">
        <f t="shared" ca="1" si="105"/>
        <v>0</v>
      </c>
      <c r="M46" s="301">
        <f t="shared" ca="1" si="105"/>
        <v>0</v>
      </c>
      <c r="N46" s="301">
        <f t="shared" ca="1" si="105"/>
        <v>0</v>
      </c>
      <c r="O46" s="301">
        <f t="shared" ca="1" si="105"/>
        <v>0</v>
      </c>
      <c r="P46" s="301">
        <f t="shared" ca="1" si="70"/>
        <v>0</v>
      </c>
      <c r="R46" s="307">
        <f t="shared" ca="1" si="106"/>
        <v>0</v>
      </c>
      <c r="S46" s="307">
        <f t="shared" ca="1" si="106"/>
        <v>17.518851000000002</v>
      </c>
      <c r="T46" s="307">
        <f t="shared" ca="1" si="106"/>
        <v>0</v>
      </c>
      <c r="U46" s="307">
        <f t="shared" ca="1" si="106"/>
        <v>0</v>
      </c>
      <c r="V46" s="307">
        <f t="shared" ca="1" si="106"/>
        <v>0</v>
      </c>
      <c r="W46" s="307">
        <f t="shared" ca="1" si="106"/>
        <v>0</v>
      </c>
      <c r="X46" s="307">
        <f t="shared" ca="1" si="107"/>
        <v>0</v>
      </c>
      <c r="Y46" s="307">
        <f t="shared" ca="1" si="107"/>
        <v>0</v>
      </c>
      <c r="Z46" s="307">
        <f t="shared" ca="1" si="107"/>
        <v>0</v>
      </c>
      <c r="AA46" s="307">
        <f t="shared" ca="1" si="106"/>
        <v>0</v>
      </c>
      <c r="AB46" s="307">
        <f t="shared" ca="1" si="106"/>
        <v>0</v>
      </c>
      <c r="AC46" s="307">
        <f t="shared" ca="1" si="106"/>
        <v>0</v>
      </c>
      <c r="AD46" s="307">
        <f t="shared" ca="1" si="106"/>
        <v>0</v>
      </c>
      <c r="AE46" s="307">
        <f t="shared" ca="1" si="106"/>
        <v>0</v>
      </c>
      <c r="AF46" s="307">
        <f t="shared" ca="1" si="106"/>
        <v>0</v>
      </c>
      <c r="AG46" s="307">
        <f t="shared" ca="1" si="106"/>
        <v>0</v>
      </c>
      <c r="AH46" s="306">
        <f t="shared" ca="1" si="5"/>
        <v>17.518851000000002</v>
      </c>
      <c r="AJ46" s="315">
        <f t="shared" ca="1" si="108"/>
        <v>0</v>
      </c>
      <c r="AK46" s="315">
        <f t="shared" ca="1" si="108"/>
        <v>0</v>
      </c>
      <c r="AL46" s="315">
        <f t="shared" ca="1" si="108"/>
        <v>0</v>
      </c>
      <c r="AM46" s="315">
        <f t="shared" ca="1" si="108"/>
        <v>0</v>
      </c>
      <c r="AN46" s="315">
        <f t="shared" ca="1" si="108"/>
        <v>0</v>
      </c>
      <c r="AO46" s="315">
        <f t="shared" ca="1" si="108"/>
        <v>0</v>
      </c>
      <c r="AP46" s="315">
        <f t="shared" ca="1" si="108"/>
        <v>0</v>
      </c>
      <c r="AQ46" s="315">
        <f t="shared" ca="1" si="108"/>
        <v>0</v>
      </c>
      <c r="AR46" s="315">
        <f t="shared" ca="1" si="108"/>
        <v>0</v>
      </c>
      <c r="AS46" s="315">
        <f t="shared" ca="1" si="106"/>
        <v>0</v>
      </c>
      <c r="AT46" s="315">
        <f t="shared" ca="1" si="106"/>
        <v>-17.518851000000002</v>
      </c>
      <c r="AU46" s="315">
        <f t="shared" ca="1" si="106"/>
        <v>0</v>
      </c>
      <c r="AV46" s="315">
        <f t="shared" ca="1" si="106"/>
        <v>0</v>
      </c>
      <c r="AW46" s="315">
        <f t="shared" ca="1" si="106"/>
        <v>0</v>
      </c>
      <c r="AX46" s="315">
        <f t="shared" ca="1" si="106"/>
        <v>0</v>
      </c>
      <c r="AY46" s="293">
        <f t="shared" ca="1" si="74"/>
        <v>-17.518851000000002</v>
      </c>
      <c r="BA46" s="311">
        <f t="shared" ca="1" si="109"/>
        <v>0</v>
      </c>
      <c r="BB46" s="311">
        <f t="shared" ca="1" si="109"/>
        <v>0</v>
      </c>
      <c r="BC46" s="310">
        <f t="shared" ca="1" si="10"/>
        <v>0</v>
      </c>
      <c r="BE46" s="135">
        <f t="shared" ca="1" si="103"/>
        <v>0</v>
      </c>
      <c r="BF46" s="135"/>
      <c r="BG46" s="1428"/>
      <c r="BH46" s="544">
        <f t="shared" ca="1" si="110"/>
        <v>0</v>
      </c>
      <c r="BI46" s="545">
        <f t="shared" ca="1" si="110"/>
        <v>0</v>
      </c>
      <c r="BJ46" s="545">
        <f t="shared" ca="1" si="110"/>
        <v>0</v>
      </c>
      <c r="BK46" s="545">
        <f t="shared" ca="1" si="110"/>
        <v>0</v>
      </c>
      <c r="BL46" s="545">
        <f t="shared" ca="1" si="110"/>
        <v>0</v>
      </c>
      <c r="BM46" s="545">
        <f t="shared" ca="1" si="110"/>
        <v>0</v>
      </c>
      <c r="BN46" s="545">
        <f t="shared" ca="1" si="110"/>
        <v>0</v>
      </c>
      <c r="BO46" s="545">
        <f t="shared" ca="1" si="110"/>
        <v>0</v>
      </c>
      <c r="BP46" s="545">
        <f t="shared" ca="1" si="110"/>
        <v>0</v>
      </c>
      <c r="BQ46" s="545">
        <f t="shared" ca="1" si="110"/>
        <v>0</v>
      </c>
      <c r="BR46" s="545">
        <f t="shared" ca="1" si="111"/>
        <v>0</v>
      </c>
      <c r="BS46" s="545">
        <f t="shared" ca="1" si="111"/>
        <v>0</v>
      </c>
      <c r="BT46" s="545">
        <f t="shared" ca="1" si="111"/>
        <v>0</v>
      </c>
      <c r="BU46" s="545">
        <f t="shared" ca="1" si="111"/>
        <v>0</v>
      </c>
      <c r="BV46" s="545">
        <f t="shared" ca="1" si="111"/>
        <v>0</v>
      </c>
      <c r="BW46" s="545">
        <f t="shared" ca="1" si="111"/>
        <v>0</v>
      </c>
      <c r="BX46" s="545">
        <f t="shared" ca="1" si="111"/>
        <v>0</v>
      </c>
      <c r="BY46" s="545">
        <f t="shared" ca="1" si="111"/>
        <v>0</v>
      </c>
      <c r="BZ46" s="545">
        <f t="shared" ca="1" si="111"/>
        <v>0</v>
      </c>
      <c r="CA46" s="545">
        <f t="shared" ca="1" si="111"/>
        <v>0</v>
      </c>
      <c r="CB46" s="545">
        <f t="shared" ca="1" si="112"/>
        <v>0</v>
      </c>
      <c r="CC46" s="545">
        <f t="shared" ca="1" si="112"/>
        <v>0</v>
      </c>
      <c r="CD46" s="545">
        <f t="shared" ca="1" si="112"/>
        <v>0</v>
      </c>
      <c r="CE46" s="545">
        <f t="shared" ca="1" si="112"/>
        <v>0</v>
      </c>
      <c r="CF46" s="545">
        <f t="shared" ca="1" si="112"/>
        <v>0</v>
      </c>
      <c r="CG46" s="545">
        <f t="shared" ca="1" si="112"/>
        <v>0</v>
      </c>
      <c r="CH46" s="545">
        <f t="shared" ca="1" si="112"/>
        <v>0</v>
      </c>
      <c r="CI46" s="545">
        <f t="shared" ca="1" si="112"/>
        <v>0</v>
      </c>
      <c r="CJ46" s="545">
        <f t="shared" ca="1" si="112"/>
        <v>0</v>
      </c>
      <c r="CK46" s="545">
        <f t="shared" ca="1" si="112"/>
        <v>0</v>
      </c>
      <c r="CL46" s="545">
        <f t="shared" ca="1" si="113"/>
        <v>0</v>
      </c>
      <c r="CM46" s="545">
        <f t="shared" ca="1" si="113"/>
        <v>0</v>
      </c>
      <c r="CN46" s="545">
        <f t="shared" ca="1" si="113"/>
        <v>0</v>
      </c>
      <c r="CO46" s="545">
        <f t="shared" ca="1" si="113"/>
        <v>0</v>
      </c>
      <c r="CP46" s="545">
        <f t="shared" ca="1" si="113"/>
        <v>0</v>
      </c>
      <c r="CQ46" s="545">
        <f t="shared" ca="1" si="113"/>
        <v>0</v>
      </c>
      <c r="CR46" s="545">
        <f t="shared" ca="1" si="113"/>
        <v>0</v>
      </c>
      <c r="CS46" s="545">
        <f t="shared" ca="1" si="113"/>
        <v>0</v>
      </c>
      <c r="CT46" s="545">
        <f t="shared" ca="1" si="113"/>
        <v>0</v>
      </c>
      <c r="CU46" s="545">
        <f t="shared" ca="1" si="113"/>
        <v>0</v>
      </c>
      <c r="CW46" s="151">
        <f t="shared" ca="1" si="114"/>
        <v>0</v>
      </c>
    </row>
    <row r="47" spans="1:101" s="84" customFormat="1" ht="15.75" x14ac:dyDescent="0.2">
      <c r="A47" s="18"/>
      <c r="B47" s="89"/>
      <c r="C47" s="85" t="s">
        <v>62</v>
      </c>
      <c r="D47" s="57" t="str">
        <f>INDEX(Workstreams[Workstream], MATCH($C47, Workstreams[Code], 0))</f>
        <v>National renewable power generation</v>
      </c>
      <c r="E47" s="53"/>
      <c r="G47" s="245">
        <f t="shared" ref="G47:O47" ca="1" si="115">SUM(G42:G46)</f>
        <v>0</v>
      </c>
      <c r="H47" s="245">
        <f t="shared" ca="1" si="115"/>
        <v>0</v>
      </c>
      <c r="I47" s="245">
        <f ca="1">SUM(I42:I46)</f>
        <v>0</v>
      </c>
      <c r="J47" s="245">
        <f t="shared" ca="1" si="115"/>
        <v>0</v>
      </c>
      <c r="K47" s="245">
        <f t="shared" ca="1" si="115"/>
        <v>0</v>
      </c>
      <c r="L47" s="245">
        <f t="shared" ca="1" si="115"/>
        <v>0</v>
      </c>
      <c r="M47" s="245">
        <f t="shared" ca="1" si="115"/>
        <v>0</v>
      </c>
      <c r="N47" s="245">
        <f t="shared" ca="1" si="115"/>
        <v>0</v>
      </c>
      <c r="O47" s="245">
        <f t="shared" ca="1" si="115"/>
        <v>0</v>
      </c>
      <c r="P47" s="245">
        <f t="shared" ca="1" si="70"/>
        <v>0</v>
      </c>
      <c r="R47" s="257">
        <f t="shared" ref="R47:AF47" ca="1" si="116">SUM(R42:R46)</f>
        <v>0</v>
      </c>
      <c r="S47" s="257">
        <f t="shared" ca="1" si="116"/>
        <v>49.328035200000002</v>
      </c>
      <c r="T47" s="257">
        <f t="shared" ca="1" si="116"/>
        <v>0</v>
      </c>
      <c r="U47" s="257">
        <f t="shared" ca="1" si="116"/>
        <v>0</v>
      </c>
      <c r="V47" s="257">
        <f t="shared" ca="1" si="116"/>
        <v>0</v>
      </c>
      <c r="W47" s="257">
        <f ca="1">SUM(W42:W46)</f>
        <v>0</v>
      </c>
      <c r="X47" s="257">
        <f t="shared" ca="1" si="116"/>
        <v>0</v>
      </c>
      <c r="Y47" s="257">
        <f t="shared" ca="1" si="116"/>
        <v>0</v>
      </c>
      <c r="Z47" s="257">
        <f t="shared" ca="1" si="116"/>
        <v>0</v>
      </c>
      <c r="AA47" s="257">
        <f t="shared" ca="1" si="116"/>
        <v>0</v>
      </c>
      <c r="AB47" s="257">
        <f t="shared" ca="1" si="116"/>
        <v>0</v>
      </c>
      <c r="AC47" s="257">
        <f t="shared" ca="1" si="116"/>
        <v>0</v>
      </c>
      <c r="AD47" s="257">
        <f ca="1">SUM(AD42:AD46)</f>
        <v>0</v>
      </c>
      <c r="AE47" s="257">
        <f t="shared" ca="1" si="116"/>
        <v>0</v>
      </c>
      <c r="AF47" s="257">
        <f t="shared" ca="1" si="116"/>
        <v>0</v>
      </c>
      <c r="AG47" s="257">
        <f ca="1">SUM(AG42:AG46)</f>
        <v>0</v>
      </c>
      <c r="AH47" s="257">
        <f t="shared" ca="1" si="5"/>
        <v>49.328035200000002</v>
      </c>
      <c r="AJ47" s="263">
        <f t="shared" ref="AJ47:AX47" ca="1" si="117">SUM(AJ42:AJ46)</f>
        <v>0</v>
      </c>
      <c r="AK47" s="263">
        <f t="shared" ca="1" si="117"/>
        <v>0</v>
      </c>
      <c r="AL47" s="263">
        <f t="shared" ca="1" si="117"/>
        <v>0</v>
      </c>
      <c r="AM47" s="263">
        <f t="shared" ca="1" si="117"/>
        <v>0</v>
      </c>
      <c r="AN47" s="263">
        <f t="shared" ca="1" si="117"/>
        <v>0</v>
      </c>
      <c r="AO47" s="263">
        <f t="shared" ca="1" si="117"/>
        <v>0</v>
      </c>
      <c r="AP47" s="263">
        <f t="shared" ca="1" si="117"/>
        <v>0</v>
      </c>
      <c r="AQ47" s="263">
        <f t="shared" ca="1" si="117"/>
        <v>0</v>
      </c>
      <c r="AR47" s="263">
        <f t="shared" ca="1" si="117"/>
        <v>0</v>
      </c>
      <c r="AS47" s="263">
        <f t="shared" ca="1" si="117"/>
        <v>0</v>
      </c>
      <c r="AT47" s="263">
        <f t="shared" ca="1" si="117"/>
        <v>-28.324699200000001</v>
      </c>
      <c r="AU47" s="263">
        <f t="shared" ca="1" si="117"/>
        <v>-3.6817200000000003</v>
      </c>
      <c r="AV47" s="263">
        <f t="shared" ca="1" si="117"/>
        <v>-17.321616000000002</v>
      </c>
      <c r="AW47" s="263">
        <f t="shared" ca="1" si="117"/>
        <v>0</v>
      </c>
      <c r="AX47" s="263">
        <f t="shared" ca="1" si="117"/>
        <v>0</v>
      </c>
      <c r="AY47" s="263">
        <f t="shared" ca="1" si="74"/>
        <v>-49.328035200000002</v>
      </c>
      <c r="BA47" s="277">
        <f ca="1">SUM(BA42:BA46)</f>
        <v>0</v>
      </c>
      <c r="BB47" s="277">
        <f ca="1">SUM(BB42:BB46)</f>
        <v>0</v>
      </c>
      <c r="BC47" s="277">
        <f t="shared" ca="1" si="10"/>
        <v>0</v>
      </c>
      <c r="BE47" s="55">
        <f t="shared" ca="1" si="103"/>
        <v>0</v>
      </c>
      <c r="BF47" s="55"/>
      <c r="BG47" s="1428"/>
      <c r="BH47" s="542">
        <f t="shared" ref="BH47:CU47" ca="1" si="118">SUM(BH42:BH46)</f>
        <v>0</v>
      </c>
      <c r="BI47" s="542">
        <f t="shared" ca="1" si="118"/>
        <v>0</v>
      </c>
      <c r="BJ47" s="542">
        <f t="shared" ca="1" si="118"/>
        <v>0</v>
      </c>
      <c r="BK47" s="542">
        <f t="shared" ca="1" si="118"/>
        <v>0</v>
      </c>
      <c r="BL47" s="542">
        <f t="shared" ca="1" si="118"/>
        <v>0</v>
      </c>
      <c r="BM47" s="542">
        <f t="shared" ca="1" si="118"/>
        <v>0</v>
      </c>
      <c r="BN47" s="542">
        <f t="shared" ca="1" si="118"/>
        <v>0</v>
      </c>
      <c r="BO47" s="542">
        <f t="shared" ca="1" si="118"/>
        <v>0</v>
      </c>
      <c r="BP47" s="542">
        <f t="shared" ca="1" si="118"/>
        <v>0</v>
      </c>
      <c r="BQ47" s="542">
        <f t="shared" ca="1" si="118"/>
        <v>0</v>
      </c>
      <c r="BR47" s="542">
        <f t="shared" ca="1" si="118"/>
        <v>0</v>
      </c>
      <c r="BS47" s="542">
        <f t="shared" ca="1" si="118"/>
        <v>0</v>
      </c>
      <c r="BT47" s="542">
        <f t="shared" ca="1" si="118"/>
        <v>0</v>
      </c>
      <c r="BU47" s="542">
        <f t="shared" ca="1" si="118"/>
        <v>0</v>
      </c>
      <c r="BV47" s="542">
        <f t="shared" ca="1" si="118"/>
        <v>0</v>
      </c>
      <c r="BW47" s="542">
        <f t="shared" ca="1" si="118"/>
        <v>0</v>
      </c>
      <c r="BX47" s="542">
        <f t="shared" ca="1" si="118"/>
        <v>0</v>
      </c>
      <c r="BY47" s="542">
        <f t="shared" ca="1" si="118"/>
        <v>0</v>
      </c>
      <c r="BZ47" s="542">
        <f t="shared" ca="1" si="118"/>
        <v>0</v>
      </c>
      <c r="CA47" s="542">
        <f t="shared" ca="1" si="118"/>
        <v>0</v>
      </c>
      <c r="CB47" s="542">
        <f t="shared" ca="1" si="118"/>
        <v>0</v>
      </c>
      <c r="CC47" s="542">
        <f t="shared" ca="1" si="118"/>
        <v>0</v>
      </c>
      <c r="CD47" s="542">
        <f t="shared" ca="1" si="118"/>
        <v>0</v>
      </c>
      <c r="CE47" s="542">
        <f t="shared" ca="1" si="118"/>
        <v>0</v>
      </c>
      <c r="CF47" s="542">
        <f t="shared" ca="1" si="118"/>
        <v>0</v>
      </c>
      <c r="CG47" s="542">
        <f t="shared" ca="1" si="118"/>
        <v>0</v>
      </c>
      <c r="CH47" s="542">
        <f t="shared" ca="1" si="118"/>
        <v>0</v>
      </c>
      <c r="CI47" s="542">
        <f t="shared" ca="1" si="118"/>
        <v>0</v>
      </c>
      <c r="CJ47" s="542">
        <f t="shared" ca="1" si="118"/>
        <v>0</v>
      </c>
      <c r="CK47" s="542">
        <f t="shared" ca="1" si="118"/>
        <v>0</v>
      </c>
      <c r="CL47" s="542">
        <f t="shared" ca="1" si="118"/>
        <v>0</v>
      </c>
      <c r="CM47" s="542">
        <f t="shared" ca="1" si="118"/>
        <v>0</v>
      </c>
      <c r="CN47" s="542">
        <f t="shared" ca="1" si="118"/>
        <v>0</v>
      </c>
      <c r="CO47" s="542">
        <f t="shared" ca="1" si="118"/>
        <v>0</v>
      </c>
      <c r="CP47" s="542">
        <f t="shared" ca="1" si="118"/>
        <v>0</v>
      </c>
      <c r="CQ47" s="542">
        <f t="shared" ca="1" si="118"/>
        <v>0</v>
      </c>
      <c r="CR47" s="542">
        <f t="shared" ca="1" si="118"/>
        <v>0</v>
      </c>
      <c r="CS47" s="542">
        <f t="shared" ca="1" si="118"/>
        <v>0</v>
      </c>
      <c r="CT47" s="542">
        <f t="shared" ca="1" si="118"/>
        <v>0</v>
      </c>
      <c r="CU47" s="542">
        <f t="shared" ca="1" si="118"/>
        <v>0</v>
      </c>
      <c r="CW47" s="151">
        <f t="shared" ca="1" si="114"/>
        <v>0</v>
      </c>
    </row>
    <row r="48" spans="1:101" s="84" customFormat="1" ht="12.75" customHeight="1" outlineLevel="1" x14ac:dyDescent="0.2">
      <c r="A48" s="18"/>
      <c r="B48" s="18"/>
      <c r="C48" s="87"/>
      <c r="D48" s="53"/>
      <c r="E48" s="53"/>
      <c r="G48" s="245"/>
      <c r="H48" s="245"/>
      <c r="I48" s="245"/>
      <c r="J48" s="245"/>
      <c r="K48" s="245"/>
      <c r="L48" s="247"/>
      <c r="M48" s="245"/>
      <c r="N48" s="245"/>
      <c r="O48" s="245"/>
      <c r="P48" s="245">
        <f t="shared" si="70"/>
        <v>0</v>
      </c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>
        <f t="shared" si="5"/>
        <v>0</v>
      </c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>
        <f t="shared" si="74"/>
        <v>0</v>
      </c>
      <c r="BA48" s="277"/>
      <c r="BB48" s="277"/>
      <c r="BC48" s="277">
        <f t="shared" si="10"/>
        <v>0</v>
      </c>
      <c r="BE48" s="55"/>
      <c r="BF48" s="55"/>
      <c r="BG48" s="18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W48" s="151">
        <f t="shared" si="114"/>
        <v>0</v>
      </c>
    </row>
    <row r="49" spans="1:101" s="543" customFormat="1" ht="12.75" customHeight="1" outlineLevel="1" x14ac:dyDescent="0.2">
      <c r="C49" s="86" t="s">
        <v>409</v>
      </c>
      <c r="D49" s="61" t="str">
        <f>INDEX(Modules[Module], MATCH($C49, Modules[Code], 0))</f>
        <v>Stand-Alone Solar PV</v>
      </c>
      <c r="E49" s="61"/>
      <c r="G49" s="595">
        <f t="shared" ref="G49:O49" ca="1" si="119">IFERROR(INDEX(INDIRECT($C49&amp;".Outputs["&amp;this.Year&amp;"]"), MATCH(G$5, INDIRECT($C49&amp;".Outputs[Vector]"), 0)), 0)</f>
        <v>0</v>
      </c>
      <c r="H49" s="595">
        <f t="shared" ca="1" si="119"/>
        <v>0</v>
      </c>
      <c r="I49" s="595">
        <f t="shared" ca="1" si="119"/>
        <v>0</v>
      </c>
      <c r="J49" s="595">
        <f t="shared" ca="1" si="119"/>
        <v>0</v>
      </c>
      <c r="K49" s="595">
        <f t="shared" ca="1" si="119"/>
        <v>0</v>
      </c>
      <c r="L49" s="596">
        <f t="shared" ca="1" si="119"/>
        <v>0</v>
      </c>
      <c r="M49" s="595">
        <f t="shared" ca="1" si="119"/>
        <v>0</v>
      </c>
      <c r="N49" s="595">
        <f t="shared" ca="1" si="119"/>
        <v>0</v>
      </c>
      <c r="O49" s="595">
        <f t="shared" ca="1" si="119"/>
        <v>0</v>
      </c>
      <c r="P49" s="595">
        <f t="shared" ca="1" si="70"/>
        <v>0</v>
      </c>
      <c r="R49" s="597">
        <f t="shared" ref="R49:AX49" ca="1" si="120">IFERROR(INDEX(INDIRECT($C49&amp;".Outputs["&amp;this.Year&amp;"]"), MATCH(R$5, INDIRECT($C49&amp;".Outputs[Vector]"), 0)), 0)</f>
        <v>0</v>
      </c>
      <c r="S49" s="597">
        <f t="shared" ca="1" si="120"/>
        <v>20.0101482</v>
      </c>
      <c r="T49" s="597">
        <f t="shared" ca="1" si="120"/>
        <v>0</v>
      </c>
      <c r="U49" s="597">
        <f t="shared" ca="1" si="120"/>
        <v>0</v>
      </c>
      <c r="V49" s="597">
        <f t="shared" ca="1" si="120"/>
        <v>0</v>
      </c>
      <c r="W49" s="597">
        <f t="shared" ca="1" si="120"/>
        <v>0</v>
      </c>
      <c r="X49" s="597">
        <f ca="1">IFERROR(INDEX(INDIRECT($C49&amp;".Outputs["&amp;this.Year&amp;"]"), MATCH(X$5, INDIRECT($C49&amp;".Outputs[Vector]"), 0)), 0)</f>
        <v>0</v>
      </c>
      <c r="Y49" s="597">
        <f ca="1">IFERROR(INDEX(INDIRECT($C49&amp;".Outputs["&amp;this.Year&amp;"]"), MATCH(Y$5, INDIRECT($C49&amp;".Outputs[Vector]"), 0)), 0)</f>
        <v>0</v>
      </c>
      <c r="Z49" s="597">
        <f ca="1">IFERROR(INDEX(INDIRECT($C49&amp;".Outputs["&amp;this.Year&amp;"]"), MATCH(Z$5, INDIRECT($C49&amp;".Outputs[Vector]"), 0)), 0)</f>
        <v>0</v>
      </c>
      <c r="AA49" s="597">
        <f t="shared" ca="1" si="120"/>
        <v>0</v>
      </c>
      <c r="AB49" s="597">
        <f t="shared" ca="1" si="120"/>
        <v>0</v>
      </c>
      <c r="AC49" s="597">
        <f t="shared" ca="1" si="120"/>
        <v>0</v>
      </c>
      <c r="AD49" s="597">
        <f t="shared" ca="1" si="120"/>
        <v>0</v>
      </c>
      <c r="AE49" s="597">
        <f t="shared" ca="1" si="120"/>
        <v>0</v>
      </c>
      <c r="AF49" s="597">
        <f t="shared" ca="1" si="120"/>
        <v>0</v>
      </c>
      <c r="AG49" s="597">
        <f t="shared" ca="1" si="120"/>
        <v>0</v>
      </c>
      <c r="AH49" s="259">
        <f t="shared" ca="1" si="5"/>
        <v>20.0101482</v>
      </c>
      <c r="AJ49" s="598">
        <f t="shared" ref="AJ49:AR49" ca="1" si="121">IFERROR(INDEX(INDIRECT($C49&amp;".Outputs["&amp;this.Year&amp;"]"), MATCH(AJ$5, INDIRECT($C49&amp;".Outputs[Vector]"), 0)), 0)</f>
        <v>0</v>
      </c>
      <c r="AK49" s="598">
        <f t="shared" ca="1" si="121"/>
        <v>0</v>
      </c>
      <c r="AL49" s="598">
        <f t="shared" ca="1" si="121"/>
        <v>0</v>
      </c>
      <c r="AM49" s="598">
        <f t="shared" ca="1" si="121"/>
        <v>0</v>
      </c>
      <c r="AN49" s="598">
        <f t="shared" ca="1" si="121"/>
        <v>0</v>
      </c>
      <c r="AO49" s="598">
        <f t="shared" ca="1" si="121"/>
        <v>0</v>
      </c>
      <c r="AP49" s="598">
        <f t="shared" ca="1" si="121"/>
        <v>0</v>
      </c>
      <c r="AQ49" s="598">
        <f t="shared" ca="1" si="121"/>
        <v>0</v>
      </c>
      <c r="AR49" s="598">
        <f t="shared" ca="1" si="121"/>
        <v>0</v>
      </c>
      <c r="AS49" s="598">
        <f t="shared" ca="1" si="120"/>
        <v>0</v>
      </c>
      <c r="AT49" s="598">
        <f t="shared" ca="1" si="120"/>
        <v>-20.0101482</v>
      </c>
      <c r="AU49" s="598">
        <f t="shared" ca="1" si="120"/>
        <v>0</v>
      </c>
      <c r="AV49" s="598">
        <f t="shared" ca="1" si="120"/>
        <v>0</v>
      </c>
      <c r="AW49" s="598">
        <f t="shared" ca="1" si="120"/>
        <v>0</v>
      </c>
      <c r="AX49" s="598">
        <f t="shared" ca="1" si="120"/>
        <v>0</v>
      </c>
      <c r="AY49" s="266">
        <f t="shared" ca="1" si="74"/>
        <v>-20.0101482</v>
      </c>
      <c r="BA49" s="599">
        <f ca="1">IFERROR(INDEX(INDIRECT($C49&amp;".Outputs["&amp;this.Year&amp;"]"), MATCH(BA$5, INDIRECT($C49&amp;".Outputs[Vector]"), 0)), 0)</f>
        <v>0</v>
      </c>
      <c r="BB49" s="599">
        <f ca="1">IFERROR(INDEX(INDIRECT($C49&amp;".Outputs["&amp;this.Year&amp;"]"), MATCH(BB$5, INDIRECT($C49&amp;".Outputs[Vector]"), 0)), 0)</f>
        <v>0</v>
      </c>
      <c r="BC49" s="279">
        <f t="shared" ca="1" si="10"/>
        <v>0</v>
      </c>
      <c r="BE49" s="135">
        <f ca="1">P49+AH49+AY49+BC49</f>
        <v>0</v>
      </c>
      <c r="BF49" s="135"/>
      <c r="BH49" s="593">
        <f t="shared" ref="BH49:CU49" ca="1" si="122">IFERROR(SUMIFS(INDIRECT($C49&amp;".Emissions["&amp;this.Year&amp;"]"), INDIRECT($C49&amp;".Emissions[GHG]"), BH$6, INDIRECT($C49&amp;".Emissions[IPCC Sector]"), BH$5),0)</f>
        <v>0</v>
      </c>
      <c r="BI49" s="593">
        <f t="shared" ca="1" si="122"/>
        <v>0</v>
      </c>
      <c r="BJ49" s="593">
        <f t="shared" ca="1" si="122"/>
        <v>0</v>
      </c>
      <c r="BK49" s="593">
        <f t="shared" ca="1" si="122"/>
        <v>0</v>
      </c>
      <c r="BL49" s="593">
        <f t="shared" ca="1" si="122"/>
        <v>0</v>
      </c>
      <c r="BM49" s="593">
        <f t="shared" ca="1" si="122"/>
        <v>0</v>
      </c>
      <c r="BN49" s="593">
        <f t="shared" ca="1" si="122"/>
        <v>0</v>
      </c>
      <c r="BO49" s="593">
        <f t="shared" ca="1" si="122"/>
        <v>0</v>
      </c>
      <c r="BP49" s="593">
        <f t="shared" ca="1" si="122"/>
        <v>0</v>
      </c>
      <c r="BQ49" s="593">
        <f t="shared" ca="1" si="122"/>
        <v>0</v>
      </c>
      <c r="BR49" s="593">
        <f t="shared" ca="1" si="122"/>
        <v>0</v>
      </c>
      <c r="BS49" s="593">
        <f t="shared" ca="1" si="122"/>
        <v>0</v>
      </c>
      <c r="BT49" s="593">
        <f t="shared" ca="1" si="122"/>
        <v>0</v>
      </c>
      <c r="BU49" s="593">
        <f t="shared" ca="1" si="122"/>
        <v>0</v>
      </c>
      <c r="BV49" s="593">
        <f t="shared" ca="1" si="122"/>
        <v>0</v>
      </c>
      <c r="BW49" s="593">
        <f t="shared" ca="1" si="122"/>
        <v>0</v>
      </c>
      <c r="BX49" s="593">
        <f t="shared" ca="1" si="122"/>
        <v>0</v>
      </c>
      <c r="BY49" s="593">
        <f t="shared" ca="1" si="122"/>
        <v>0</v>
      </c>
      <c r="BZ49" s="593">
        <f t="shared" ca="1" si="122"/>
        <v>0</v>
      </c>
      <c r="CA49" s="593">
        <f t="shared" ca="1" si="122"/>
        <v>0</v>
      </c>
      <c r="CB49" s="593">
        <f t="shared" ca="1" si="122"/>
        <v>0</v>
      </c>
      <c r="CC49" s="593">
        <f t="shared" ca="1" si="122"/>
        <v>0</v>
      </c>
      <c r="CD49" s="593">
        <f t="shared" ca="1" si="122"/>
        <v>0</v>
      </c>
      <c r="CE49" s="593">
        <f t="shared" ca="1" si="122"/>
        <v>0</v>
      </c>
      <c r="CF49" s="593">
        <f t="shared" ca="1" si="122"/>
        <v>0</v>
      </c>
      <c r="CG49" s="593">
        <f t="shared" ca="1" si="122"/>
        <v>0</v>
      </c>
      <c r="CH49" s="593">
        <f t="shared" ca="1" si="122"/>
        <v>0</v>
      </c>
      <c r="CI49" s="593">
        <f t="shared" ca="1" si="122"/>
        <v>0</v>
      </c>
      <c r="CJ49" s="593">
        <f t="shared" ca="1" si="122"/>
        <v>0</v>
      </c>
      <c r="CK49" s="593">
        <f t="shared" ca="1" si="122"/>
        <v>0</v>
      </c>
      <c r="CL49" s="593">
        <f t="shared" ca="1" si="122"/>
        <v>0</v>
      </c>
      <c r="CM49" s="593">
        <f t="shared" ca="1" si="122"/>
        <v>0</v>
      </c>
      <c r="CN49" s="593">
        <f t="shared" ca="1" si="122"/>
        <v>0</v>
      </c>
      <c r="CO49" s="593">
        <f t="shared" ca="1" si="122"/>
        <v>0</v>
      </c>
      <c r="CP49" s="593">
        <f t="shared" ca="1" si="122"/>
        <v>0</v>
      </c>
      <c r="CQ49" s="593">
        <f t="shared" ca="1" si="122"/>
        <v>0</v>
      </c>
      <c r="CR49" s="593">
        <f t="shared" ca="1" si="122"/>
        <v>0</v>
      </c>
      <c r="CS49" s="593">
        <f t="shared" ca="1" si="122"/>
        <v>0</v>
      </c>
      <c r="CT49" s="593">
        <f t="shared" ca="1" si="122"/>
        <v>0</v>
      </c>
      <c r="CU49" s="593">
        <f t="shared" ca="1" si="122"/>
        <v>0</v>
      </c>
      <c r="CW49" s="594">
        <f t="shared" ca="1" si="114"/>
        <v>0</v>
      </c>
    </row>
    <row r="50" spans="1:101" s="84" customFormat="1" ht="15.75" x14ac:dyDescent="0.2">
      <c r="A50" s="18"/>
      <c r="B50" s="89"/>
      <c r="C50" s="85" t="s">
        <v>63</v>
      </c>
      <c r="D50" s="57" t="str">
        <f>INDEX(Workstreams[Workstream], MATCH($C50, Workstreams[Code], 0))</f>
        <v>Distributed renewable power generation</v>
      </c>
      <c r="E50" s="53"/>
      <c r="G50" s="300">
        <f t="shared" ref="G50:O50" ca="1" si="123">SUM(G49:G49)</f>
        <v>0</v>
      </c>
      <c r="H50" s="300">
        <f t="shared" ca="1" si="123"/>
        <v>0</v>
      </c>
      <c r="I50" s="300">
        <f t="shared" ca="1" si="123"/>
        <v>0</v>
      </c>
      <c r="J50" s="300">
        <f t="shared" ca="1" si="123"/>
        <v>0</v>
      </c>
      <c r="K50" s="300">
        <f t="shared" ca="1" si="123"/>
        <v>0</v>
      </c>
      <c r="L50" s="300">
        <f t="shared" ca="1" si="123"/>
        <v>0</v>
      </c>
      <c r="M50" s="300">
        <f t="shared" ca="1" si="123"/>
        <v>0</v>
      </c>
      <c r="N50" s="300">
        <f t="shared" ca="1" si="123"/>
        <v>0</v>
      </c>
      <c r="O50" s="300">
        <f t="shared" ca="1" si="123"/>
        <v>0</v>
      </c>
      <c r="P50" s="300">
        <f t="shared" ca="1" si="70"/>
        <v>0</v>
      </c>
      <c r="R50" s="257">
        <f t="shared" ref="R50:AG50" ca="1" si="124">SUM(R49:R49)</f>
        <v>0</v>
      </c>
      <c r="S50" s="257">
        <f t="shared" ca="1" si="124"/>
        <v>20.0101482</v>
      </c>
      <c r="T50" s="257">
        <f t="shared" ca="1" si="124"/>
        <v>0</v>
      </c>
      <c r="U50" s="257">
        <f t="shared" ca="1" si="124"/>
        <v>0</v>
      </c>
      <c r="V50" s="257">
        <f t="shared" ca="1" si="124"/>
        <v>0</v>
      </c>
      <c r="W50" s="257">
        <f t="shared" ca="1" si="124"/>
        <v>0</v>
      </c>
      <c r="X50" s="257">
        <f t="shared" ca="1" si="124"/>
        <v>0</v>
      </c>
      <c r="Y50" s="257">
        <f t="shared" ca="1" si="124"/>
        <v>0</v>
      </c>
      <c r="Z50" s="257">
        <f t="shared" ca="1" si="124"/>
        <v>0</v>
      </c>
      <c r="AA50" s="257">
        <f t="shared" ca="1" si="124"/>
        <v>0</v>
      </c>
      <c r="AB50" s="257">
        <f t="shared" ca="1" si="124"/>
        <v>0</v>
      </c>
      <c r="AC50" s="257">
        <f t="shared" ca="1" si="124"/>
        <v>0</v>
      </c>
      <c r="AD50" s="257">
        <f t="shared" ca="1" si="124"/>
        <v>0</v>
      </c>
      <c r="AE50" s="257">
        <f t="shared" ca="1" si="124"/>
        <v>0</v>
      </c>
      <c r="AF50" s="257">
        <f t="shared" ca="1" si="124"/>
        <v>0</v>
      </c>
      <c r="AG50" s="257">
        <f t="shared" ca="1" si="124"/>
        <v>0</v>
      </c>
      <c r="AH50" s="257">
        <f t="shared" ca="1" si="5"/>
        <v>20.0101482</v>
      </c>
      <c r="AJ50" s="263">
        <f t="shared" ref="AJ50:AX50" ca="1" si="125">SUM(AJ49:AJ49)</f>
        <v>0</v>
      </c>
      <c r="AK50" s="263">
        <f t="shared" ca="1" si="125"/>
        <v>0</v>
      </c>
      <c r="AL50" s="263">
        <f t="shared" ca="1" si="125"/>
        <v>0</v>
      </c>
      <c r="AM50" s="263">
        <f t="shared" ca="1" si="125"/>
        <v>0</v>
      </c>
      <c r="AN50" s="263">
        <f t="shared" ca="1" si="125"/>
        <v>0</v>
      </c>
      <c r="AO50" s="263">
        <f t="shared" ca="1" si="125"/>
        <v>0</v>
      </c>
      <c r="AP50" s="263">
        <f t="shared" ca="1" si="125"/>
        <v>0</v>
      </c>
      <c r="AQ50" s="263">
        <f t="shared" ca="1" si="125"/>
        <v>0</v>
      </c>
      <c r="AR50" s="263">
        <f t="shared" ca="1" si="125"/>
        <v>0</v>
      </c>
      <c r="AS50" s="263">
        <f t="shared" ca="1" si="125"/>
        <v>0</v>
      </c>
      <c r="AT50" s="263">
        <f t="shared" ca="1" si="125"/>
        <v>-20.0101482</v>
      </c>
      <c r="AU50" s="263">
        <f t="shared" ca="1" si="125"/>
        <v>0</v>
      </c>
      <c r="AV50" s="263">
        <f t="shared" ca="1" si="125"/>
        <v>0</v>
      </c>
      <c r="AW50" s="263">
        <f t="shared" ca="1" si="125"/>
        <v>0</v>
      </c>
      <c r="AX50" s="263">
        <f t="shared" ca="1" si="125"/>
        <v>0</v>
      </c>
      <c r="AY50" s="263">
        <f t="shared" ca="1" si="74"/>
        <v>-20.0101482</v>
      </c>
      <c r="BA50" s="277">
        <f ca="1">SUM(BA49:BA49)</f>
        <v>0</v>
      </c>
      <c r="BB50" s="277">
        <f ca="1">SUM(BB49:BB49)</f>
        <v>0</v>
      </c>
      <c r="BC50" s="277">
        <f t="shared" ca="1" si="10"/>
        <v>0</v>
      </c>
      <c r="BE50" s="55">
        <f ca="1">P50+AH50+AY50+BC50</f>
        <v>0</v>
      </c>
      <c r="BF50" s="55"/>
      <c r="BG50" s="1428"/>
      <c r="BH50" s="542">
        <f t="shared" ref="BH50:CU50" ca="1" si="126">SUM(BH49:BH49)</f>
        <v>0</v>
      </c>
      <c r="BI50" s="542">
        <f t="shared" ca="1" si="126"/>
        <v>0</v>
      </c>
      <c r="BJ50" s="542">
        <f t="shared" ca="1" si="126"/>
        <v>0</v>
      </c>
      <c r="BK50" s="542">
        <f t="shared" ca="1" si="126"/>
        <v>0</v>
      </c>
      <c r="BL50" s="542">
        <f t="shared" ca="1" si="126"/>
        <v>0</v>
      </c>
      <c r="BM50" s="542">
        <f t="shared" ca="1" si="126"/>
        <v>0</v>
      </c>
      <c r="BN50" s="542">
        <f t="shared" ca="1" si="126"/>
        <v>0</v>
      </c>
      <c r="BO50" s="542">
        <f t="shared" ca="1" si="126"/>
        <v>0</v>
      </c>
      <c r="BP50" s="542">
        <f t="shared" ca="1" si="126"/>
        <v>0</v>
      </c>
      <c r="BQ50" s="542">
        <f t="shared" ca="1" si="126"/>
        <v>0</v>
      </c>
      <c r="BR50" s="542">
        <f t="shared" ca="1" si="126"/>
        <v>0</v>
      </c>
      <c r="BS50" s="542">
        <f t="shared" ca="1" si="126"/>
        <v>0</v>
      </c>
      <c r="BT50" s="542">
        <f t="shared" ca="1" si="126"/>
        <v>0</v>
      </c>
      <c r="BU50" s="542">
        <f t="shared" ca="1" si="126"/>
        <v>0</v>
      </c>
      <c r="BV50" s="542">
        <f t="shared" ca="1" si="126"/>
        <v>0</v>
      </c>
      <c r="BW50" s="542">
        <f t="shared" ca="1" si="126"/>
        <v>0</v>
      </c>
      <c r="BX50" s="542">
        <f t="shared" ca="1" si="126"/>
        <v>0</v>
      </c>
      <c r="BY50" s="542">
        <f t="shared" ca="1" si="126"/>
        <v>0</v>
      </c>
      <c r="BZ50" s="542">
        <f t="shared" ca="1" si="126"/>
        <v>0</v>
      </c>
      <c r="CA50" s="542">
        <f t="shared" ca="1" si="126"/>
        <v>0</v>
      </c>
      <c r="CB50" s="542">
        <f t="shared" ca="1" si="126"/>
        <v>0</v>
      </c>
      <c r="CC50" s="542">
        <f t="shared" ca="1" si="126"/>
        <v>0</v>
      </c>
      <c r="CD50" s="542">
        <f t="shared" ca="1" si="126"/>
        <v>0</v>
      </c>
      <c r="CE50" s="542">
        <f t="shared" ca="1" si="126"/>
        <v>0</v>
      </c>
      <c r="CF50" s="542">
        <f t="shared" ca="1" si="126"/>
        <v>0</v>
      </c>
      <c r="CG50" s="542">
        <f t="shared" ca="1" si="126"/>
        <v>0</v>
      </c>
      <c r="CH50" s="542">
        <f t="shared" ca="1" si="126"/>
        <v>0</v>
      </c>
      <c r="CI50" s="542">
        <f t="shared" ca="1" si="126"/>
        <v>0</v>
      </c>
      <c r="CJ50" s="542">
        <f t="shared" ca="1" si="126"/>
        <v>0</v>
      </c>
      <c r="CK50" s="542">
        <f t="shared" ca="1" si="126"/>
        <v>0</v>
      </c>
      <c r="CL50" s="542">
        <f t="shared" ca="1" si="126"/>
        <v>0</v>
      </c>
      <c r="CM50" s="542">
        <f t="shared" ca="1" si="126"/>
        <v>0</v>
      </c>
      <c r="CN50" s="542">
        <f t="shared" ca="1" si="126"/>
        <v>0</v>
      </c>
      <c r="CO50" s="542">
        <f t="shared" ca="1" si="126"/>
        <v>0</v>
      </c>
      <c r="CP50" s="542">
        <f t="shared" ca="1" si="126"/>
        <v>0</v>
      </c>
      <c r="CQ50" s="542">
        <f t="shared" ca="1" si="126"/>
        <v>0</v>
      </c>
      <c r="CR50" s="542">
        <f t="shared" ca="1" si="126"/>
        <v>0</v>
      </c>
      <c r="CS50" s="542">
        <f t="shared" ca="1" si="126"/>
        <v>0</v>
      </c>
      <c r="CT50" s="542">
        <f t="shared" ca="1" si="126"/>
        <v>0</v>
      </c>
      <c r="CU50" s="542">
        <f t="shared" ca="1" si="126"/>
        <v>0</v>
      </c>
      <c r="CW50" s="151">
        <f t="shared" ca="1" si="114"/>
        <v>0</v>
      </c>
    </row>
    <row r="51" spans="1:101" s="84" customFormat="1" ht="12.75" customHeight="1" outlineLevel="1" x14ac:dyDescent="0.2">
      <c r="A51" s="18"/>
      <c r="B51" s="18"/>
      <c r="C51" s="87"/>
      <c r="D51" s="53"/>
      <c r="E51" s="53"/>
      <c r="G51" s="245"/>
      <c r="H51" s="245"/>
      <c r="I51" s="245"/>
      <c r="J51" s="245"/>
      <c r="K51" s="245"/>
      <c r="L51" s="247"/>
      <c r="M51" s="245"/>
      <c r="N51" s="245"/>
      <c r="O51" s="245"/>
      <c r="P51" s="245">
        <f t="shared" si="70"/>
        <v>0</v>
      </c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>
        <f t="shared" si="5"/>
        <v>0</v>
      </c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>
        <f t="shared" si="74"/>
        <v>0</v>
      </c>
      <c r="BA51" s="277"/>
      <c r="BB51" s="277"/>
      <c r="BC51" s="277">
        <f t="shared" si="10"/>
        <v>0</v>
      </c>
      <c r="BE51" s="55"/>
      <c r="BF51" s="55"/>
      <c r="BG51" s="18"/>
      <c r="BH51" s="542"/>
      <c r="BI51" s="542"/>
      <c r="BJ51" s="542"/>
      <c r="BK51" s="542"/>
      <c r="BL51" s="542"/>
      <c r="BM51" s="542"/>
      <c r="BN51" s="542"/>
      <c r="BO51" s="542"/>
      <c r="BP51" s="542"/>
      <c r="BQ51" s="542"/>
      <c r="BR51" s="542"/>
      <c r="BS51" s="542"/>
      <c r="BT51" s="542"/>
      <c r="BU51" s="542"/>
      <c r="BV51" s="542"/>
      <c r="BW51" s="542"/>
      <c r="BX51" s="542"/>
      <c r="BY51" s="542"/>
      <c r="BZ51" s="542"/>
      <c r="CA51" s="542"/>
      <c r="CB51" s="542"/>
      <c r="CC51" s="542"/>
      <c r="CD51" s="542"/>
      <c r="CE51" s="542"/>
      <c r="CF51" s="542"/>
      <c r="CG51" s="542"/>
      <c r="CH51" s="542"/>
      <c r="CI51" s="542"/>
      <c r="CJ51" s="542"/>
      <c r="CK51" s="542"/>
      <c r="CL51" s="542"/>
      <c r="CM51" s="542"/>
      <c r="CN51" s="542"/>
      <c r="CO51" s="542"/>
      <c r="CP51" s="542"/>
      <c r="CQ51" s="542"/>
      <c r="CR51" s="542"/>
      <c r="CS51" s="542"/>
      <c r="CT51" s="542"/>
      <c r="CU51" s="542"/>
      <c r="CW51" s="151">
        <f t="shared" si="114"/>
        <v>0</v>
      </c>
    </row>
    <row r="52" spans="1:101" s="547" customFormat="1" ht="12.75" customHeight="1" outlineLevel="1" x14ac:dyDescent="0.2">
      <c r="C52" s="319" t="s">
        <v>855</v>
      </c>
      <c r="D52" s="320" t="s">
        <v>587</v>
      </c>
      <c r="E52" s="320"/>
      <c r="F52" s="84"/>
      <c r="G52" s="321"/>
      <c r="H52" s="321"/>
      <c r="I52" s="321"/>
      <c r="J52" s="321"/>
      <c r="K52" s="321"/>
      <c r="L52" s="322"/>
      <c r="M52" s="321"/>
      <c r="N52" s="321"/>
      <c r="O52" s="321"/>
      <c r="P52" s="321">
        <f t="shared" si="70"/>
        <v>0</v>
      </c>
      <c r="Q52" s="84"/>
      <c r="R52" s="323">
        <f ca="1">R$28+R$36+R$80+R$40+R$74+R$47+R$50</f>
        <v>-192.24084077257035</v>
      </c>
      <c r="S52" s="323">
        <f ca="1">S$28+S$36+S$80+S$40+S$74+S$47+S$50</f>
        <v>34.888329146017</v>
      </c>
      <c r="T52" s="323"/>
      <c r="U52" s="323"/>
      <c r="V52" s="323"/>
      <c r="W52" s="323"/>
      <c r="X52" s="323"/>
      <c r="Y52" s="323"/>
      <c r="Z52" s="323"/>
      <c r="AA52" s="323"/>
      <c r="AB52" s="323"/>
      <c r="AC52" s="323"/>
      <c r="AD52" s="323"/>
      <c r="AE52" s="323"/>
      <c r="AF52" s="323"/>
      <c r="AG52" s="323"/>
      <c r="AH52" s="323">
        <f t="shared" ca="1" si="5"/>
        <v>-157.35251162655334</v>
      </c>
      <c r="AI52" s="84"/>
      <c r="AJ52" s="324"/>
      <c r="AK52" s="324"/>
      <c r="AL52" s="324"/>
      <c r="AM52" s="324"/>
      <c r="AN52" s="324"/>
      <c r="AO52" s="324"/>
      <c r="AP52" s="324"/>
      <c r="AQ52" s="324"/>
      <c r="AR52" s="324"/>
      <c r="AS52" s="324"/>
      <c r="AT52" s="324"/>
      <c r="AU52" s="324"/>
      <c r="AV52" s="324"/>
      <c r="AW52" s="324"/>
      <c r="AX52" s="324"/>
      <c r="AY52" s="324">
        <f t="shared" si="74"/>
        <v>0</v>
      </c>
      <c r="AZ52" s="84"/>
      <c r="BA52" s="325"/>
      <c r="BB52" s="325"/>
      <c r="BC52" s="325">
        <f t="shared" si="10"/>
        <v>0</v>
      </c>
      <c r="BD52" s="84"/>
      <c r="BE52" s="164"/>
      <c r="BF52" s="164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  <c r="CG52" s="549"/>
      <c r="CH52" s="549"/>
      <c r="CI52" s="549"/>
      <c r="CJ52" s="549"/>
      <c r="CK52" s="549"/>
      <c r="CL52" s="549"/>
      <c r="CM52" s="549"/>
      <c r="CN52" s="549"/>
      <c r="CO52" s="549"/>
      <c r="CP52" s="549"/>
      <c r="CQ52" s="549"/>
      <c r="CR52" s="549"/>
      <c r="CS52" s="549"/>
      <c r="CT52" s="549"/>
      <c r="CU52" s="549"/>
      <c r="CW52" s="151">
        <f t="shared" si="114"/>
        <v>0</v>
      </c>
    </row>
    <row r="53" spans="1:101" s="543" customFormat="1" ht="12.75" customHeight="1" outlineLevel="1" x14ac:dyDescent="0.2">
      <c r="C53" s="86" t="s">
        <v>297</v>
      </c>
      <c r="D53" s="292" t="str">
        <f>INDEX(Modules[Module], MATCH($C53, Modules[Code], 0))</f>
        <v>Nuclear power</v>
      </c>
      <c r="E53" s="292"/>
      <c r="F53" s="84"/>
      <c r="G53" s="301">
        <f t="shared" ref="G53:O53" ca="1" si="127">IFERROR(INDEX(INDIRECT($C53&amp;".Outputs["&amp;this.Year&amp;"]"), MATCH(G$5, INDIRECT($C53&amp;".Outputs[Vector]"), 0)), 0)</f>
        <v>0</v>
      </c>
      <c r="H53" s="301">
        <f t="shared" ca="1" si="127"/>
        <v>0</v>
      </c>
      <c r="I53" s="301">
        <f t="shared" ca="1" si="127"/>
        <v>0</v>
      </c>
      <c r="J53" s="301">
        <f t="shared" ca="1" si="127"/>
        <v>0</v>
      </c>
      <c r="K53" s="301">
        <f t="shared" ca="1" si="127"/>
        <v>0</v>
      </c>
      <c r="L53" s="301">
        <f t="shared" ca="1" si="127"/>
        <v>0</v>
      </c>
      <c r="M53" s="301">
        <f t="shared" ca="1" si="127"/>
        <v>0</v>
      </c>
      <c r="N53" s="301">
        <f t="shared" ca="1" si="127"/>
        <v>0</v>
      </c>
      <c r="O53" s="301">
        <f t="shared" ca="1" si="127"/>
        <v>0</v>
      </c>
      <c r="P53" s="301">
        <f t="shared" ca="1" si="70"/>
        <v>0</v>
      </c>
      <c r="Q53" s="84"/>
      <c r="R53" s="307">
        <f t="shared" ref="R53:AX53" ca="1" si="128">IFERROR(INDEX(INDIRECT($C53&amp;".Outputs["&amp;this.Year&amp;"]"), MATCH(R$5, INDIRECT($C53&amp;".Outputs[Vector]"), 0)), 0)</f>
        <v>0</v>
      </c>
      <c r="S53" s="307">
        <f t="shared" ca="1" si="128"/>
        <v>0</v>
      </c>
      <c r="T53" s="307">
        <f t="shared" ca="1" si="128"/>
        <v>0</v>
      </c>
      <c r="U53" s="307">
        <f t="shared" ca="1" si="128"/>
        <v>0</v>
      </c>
      <c r="V53" s="307">
        <f t="shared" ca="1" si="128"/>
        <v>0</v>
      </c>
      <c r="W53" s="307">
        <f t="shared" ca="1" si="128"/>
        <v>0</v>
      </c>
      <c r="X53" s="307">
        <f ca="1">IFERROR(INDEX(INDIRECT($C53&amp;".Outputs["&amp;this.Year&amp;"]"), MATCH(X$5, INDIRECT($C53&amp;".Outputs[Vector]"), 0)), 0)</f>
        <v>0</v>
      </c>
      <c r="Y53" s="307">
        <f ca="1">IFERROR(INDEX(INDIRECT($C53&amp;".Outputs["&amp;this.Year&amp;"]"), MATCH(Y$5, INDIRECT($C53&amp;".Outputs[Vector]"), 0)), 0)</f>
        <v>0</v>
      </c>
      <c r="Z53" s="307">
        <f ca="1">IFERROR(INDEX(INDIRECT($C53&amp;".Outputs["&amp;this.Year&amp;"]"), MATCH(Z$5, INDIRECT($C53&amp;".Outputs[Vector]"), 0)), 0)</f>
        <v>0</v>
      </c>
      <c r="AA53" s="307">
        <f t="shared" ca="1" si="128"/>
        <v>0</v>
      </c>
      <c r="AB53" s="307">
        <f t="shared" ca="1" si="128"/>
        <v>0</v>
      </c>
      <c r="AC53" s="307">
        <f t="shared" ca="1" si="128"/>
        <v>0</v>
      </c>
      <c r="AD53" s="307">
        <f t="shared" ca="1" si="128"/>
        <v>0</v>
      </c>
      <c r="AE53" s="307">
        <f t="shared" ca="1" si="128"/>
        <v>0</v>
      </c>
      <c r="AF53" s="307">
        <f t="shared" ca="1" si="128"/>
        <v>0</v>
      </c>
      <c r="AG53" s="307">
        <f t="shared" ca="1" si="128"/>
        <v>0</v>
      </c>
      <c r="AH53" s="306">
        <f t="shared" ca="1" si="5"/>
        <v>0</v>
      </c>
      <c r="AI53" s="84"/>
      <c r="AJ53" s="315">
        <f t="shared" ref="AJ53:AR53" ca="1" si="129">IFERROR(INDEX(INDIRECT($C53&amp;".Outputs["&amp;this.Year&amp;"]"), MATCH(AJ$5, INDIRECT($C53&amp;".Outputs[Vector]"), 0)), 0)</f>
        <v>0</v>
      </c>
      <c r="AK53" s="315">
        <f t="shared" ca="1" si="129"/>
        <v>0</v>
      </c>
      <c r="AL53" s="315">
        <f t="shared" ca="1" si="129"/>
        <v>0</v>
      </c>
      <c r="AM53" s="315">
        <f t="shared" ca="1" si="129"/>
        <v>0</v>
      </c>
      <c r="AN53" s="315">
        <f t="shared" ca="1" si="129"/>
        <v>0</v>
      </c>
      <c r="AO53" s="315">
        <f t="shared" ca="1" si="129"/>
        <v>0</v>
      </c>
      <c r="AP53" s="315">
        <f t="shared" ca="1" si="129"/>
        <v>0</v>
      </c>
      <c r="AQ53" s="315">
        <f t="shared" ca="1" si="129"/>
        <v>0</v>
      </c>
      <c r="AR53" s="315">
        <f t="shared" ca="1" si="129"/>
        <v>0</v>
      </c>
      <c r="AS53" s="315">
        <f t="shared" ca="1" si="128"/>
        <v>0</v>
      </c>
      <c r="AT53" s="315">
        <f t="shared" ca="1" si="128"/>
        <v>0</v>
      </c>
      <c r="AU53" s="315">
        <f t="shared" ca="1" si="128"/>
        <v>0</v>
      </c>
      <c r="AV53" s="315">
        <f t="shared" ca="1" si="128"/>
        <v>0</v>
      </c>
      <c r="AW53" s="315">
        <f t="shared" ca="1" si="128"/>
        <v>0</v>
      </c>
      <c r="AX53" s="315">
        <f t="shared" ca="1" si="128"/>
        <v>0</v>
      </c>
      <c r="AY53" s="293">
        <f t="shared" ca="1" si="74"/>
        <v>0</v>
      </c>
      <c r="AZ53" s="84"/>
      <c r="BA53" s="311">
        <f ca="1">IFERROR(INDEX(INDIRECT($C53&amp;".Outputs["&amp;this.Year&amp;"]"), MATCH(BA$5, INDIRECT($C53&amp;".Outputs[Vector]"), 0)), 0)</f>
        <v>0</v>
      </c>
      <c r="BB53" s="311">
        <f ca="1">IFERROR(INDEX(INDIRECT($C53&amp;".Outputs["&amp;this.Year&amp;"]"), MATCH(BB$5, INDIRECT($C53&amp;".Outputs[Vector]"), 0)), 0)</f>
        <v>0</v>
      </c>
      <c r="BC53" s="310">
        <f t="shared" ca="1" si="10"/>
        <v>0</v>
      </c>
      <c r="BD53" s="84"/>
      <c r="BE53" s="135">
        <f ca="1">P53+AH53+AY53+BC53</f>
        <v>0</v>
      </c>
      <c r="BF53" s="135"/>
      <c r="BG53" s="1428"/>
      <c r="BH53" s="544">
        <f t="shared" ref="BH53:CU53" ca="1" si="130">IFERROR(SUMIFS(INDIRECT($C53&amp;".Emissions["&amp;this.Year&amp;"]"), INDIRECT($C53&amp;".Emissions[GHG]"), BH$6, INDIRECT($C53&amp;".Emissions[IPCC Sector]"), BH$5),0)</f>
        <v>0</v>
      </c>
      <c r="BI53" s="545">
        <f t="shared" ca="1" si="130"/>
        <v>0</v>
      </c>
      <c r="BJ53" s="545">
        <f t="shared" ca="1" si="130"/>
        <v>0</v>
      </c>
      <c r="BK53" s="545">
        <f t="shared" ca="1" si="130"/>
        <v>0</v>
      </c>
      <c r="BL53" s="545">
        <f t="shared" ca="1" si="130"/>
        <v>0</v>
      </c>
      <c r="BM53" s="545">
        <f t="shared" ca="1" si="130"/>
        <v>0</v>
      </c>
      <c r="BN53" s="545">
        <f t="shared" ca="1" si="130"/>
        <v>0</v>
      </c>
      <c r="BO53" s="545">
        <f t="shared" ca="1" si="130"/>
        <v>0</v>
      </c>
      <c r="BP53" s="545">
        <f t="shared" ca="1" si="130"/>
        <v>0</v>
      </c>
      <c r="BQ53" s="545">
        <f t="shared" ca="1" si="130"/>
        <v>0</v>
      </c>
      <c r="BR53" s="545">
        <f t="shared" ca="1" si="130"/>
        <v>0</v>
      </c>
      <c r="BS53" s="545">
        <f t="shared" ca="1" si="130"/>
        <v>0</v>
      </c>
      <c r="BT53" s="545">
        <f t="shared" ca="1" si="130"/>
        <v>0</v>
      </c>
      <c r="BU53" s="545">
        <f t="shared" ca="1" si="130"/>
        <v>0</v>
      </c>
      <c r="BV53" s="545">
        <f t="shared" ca="1" si="130"/>
        <v>0</v>
      </c>
      <c r="BW53" s="545">
        <f t="shared" ca="1" si="130"/>
        <v>0</v>
      </c>
      <c r="BX53" s="545">
        <f t="shared" ca="1" si="130"/>
        <v>0</v>
      </c>
      <c r="BY53" s="545">
        <f t="shared" ca="1" si="130"/>
        <v>0</v>
      </c>
      <c r="BZ53" s="545">
        <f t="shared" ca="1" si="130"/>
        <v>0</v>
      </c>
      <c r="CA53" s="545">
        <f t="shared" ca="1" si="130"/>
        <v>0</v>
      </c>
      <c r="CB53" s="545">
        <f t="shared" ca="1" si="130"/>
        <v>0</v>
      </c>
      <c r="CC53" s="545">
        <f t="shared" ca="1" si="130"/>
        <v>0</v>
      </c>
      <c r="CD53" s="545">
        <f t="shared" ca="1" si="130"/>
        <v>0</v>
      </c>
      <c r="CE53" s="545">
        <f t="shared" ca="1" si="130"/>
        <v>0</v>
      </c>
      <c r="CF53" s="545">
        <f t="shared" ca="1" si="130"/>
        <v>0</v>
      </c>
      <c r="CG53" s="545">
        <f t="shared" ca="1" si="130"/>
        <v>0</v>
      </c>
      <c r="CH53" s="545">
        <f t="shared" ca="1" si="130"/>
        <v>0</v>
      </c>
      <c r="CI53" s="545">
        <f t="shared" ca="1" si="130"/>
        <v>0</v>
      </c>
      <c r="CJ53" s="545">
        <f t="shared" ca="1" si="130"/>
        <v>0</v>
      </c>
      <c r="CK53" s="545">
        <f t="shared" ca="1" si="130"/>
        <v>0</v>
      </c>
      <c r="CL53" s="545">
        <f t="shared" ca="1" si="130"/>
        <v>0</v>
      </c>
      <c r="CM53" s="545">
        <f t="shared" ca="1" si="130"/>
        <v>0</v>
      </c>
      <c r="CN53" s="545">
        <f t="shared" ca="1" si="130"/>
        <v>0</v>
      </c>
      <c r="CO53" s="545">
        <f t="shared" ca="1" si="130"/>
        <v>0</v>
      </c>
      <c r="CP53" s="545">
        <f t="shared" ca="1" si="130"/>
        <v>0</v>
      </c>
      <c r="CQ53" s="545">
        <f t="shared" ca="1" si="130"/>
        <v>0</v>
      </c>
      <c r="CR53" s="545">
        <f t="shared" ca="1" si="130"/>
        <v>0</v>
      </c>
      <c r="CS53" s="545">
        <f t="shared" ca="1" si="130"/>
        <v>0</v>
      </c>
      <c r="CT53" s="545">
        <f t="shared" ca="1" si="130"/>
        <v>0</v>
      </c>
      <c r="CU53" s="545">
        <f t="shared" ca="1" si="130"/>
        <v>0</v>
      </c>
      <c r="CW53" s="151">
        <f t="shared" ca="1" si="114"/>
        <v>0</v>
      </c>
    </row>
    <row r="54" spans="1:101" s="84" customFormat="1" ht="15.75" x14ac:dyDescent="0.2">
      <c r="A54" s="18"/>
      <c r="B54" s="89"/>
      <c r="C54" s="85" t="s">
        <v>61</v>
      </c>
      <c r="D54" s="57" t="str">
        <f>INDEX(Workstreams[Workstream], MATCH($C54, Workstreams[Code], 0))</f>
        <v>Nuclear power generation</v>
      </c>
      <c r="E54" s="53"/>
      <c r="G54" s="300">
        <f ca="1">G53</f>
        <v>0</v>
      </c>
      <c r="H54" s="300">
        <f t="shared" ref="H54:O54" ca="1" si="131">H53</f>
        <v>0</v>
      </c>
      <c r="I54" s="300">
        <f ca="1">I53</f>
        <v>0</v>
      </c>
      <c r="J54" s="300">
        <f t="shared" ca="1" si="131"/>
        <v>0</v>
      </c>
      <c r="K54" s="300">
        <f t="shared" ca="1" si="131"/>
        <v>0</v>
      </c>
      <c r="L54" s="300">
        <f t="shared" ca="1" si="131"/>
        <v>0</v>
      </c>
      <c r="M54" s="300">
        <f t="shared" ca="1" si="131"/>
        <v>0</v>
      </c>
      <c r="N54" s="300">
        <f t="shared" ca="1" si="131"/>
        <v>0</v>
      </c>
      <c r="O54" s="300">
        <f t="shared" ca="1" si="131"/>
        <v>0</v>
      </c>
      <c r="P54" s="300">
        <f t="shared" ca="1" si="70"/>
        <v>0</v>
      </c>
      <c r="R54" s="257">
        <f t="shared" ref="R54:AE54" ca="1" si="132">R53</f>
        <v>0</v>
      </c>
      <c r="S54" s="257">
        <f t="shared" ca="1" si="132"/>
        <v>0</v>
      </c>
      <c r="T54" s="257">
        <f t="shared" ca="1" si="132"/>
        <v>0</v>
      </c>
      <c r="U54" s="257">
        <f t="shared" ca="1" si="132"/>
        <v>0</v>
      </c>
      <c r="V54" s="257">
        <f t="shared" ca="1" si="132"/>
        <v>0</v>
      </c>
      <c r="W54" s="257">
        <f ca="1">W53</f>
        <v>0</v>
      </c>
      <c r="X54" s="257">
        <f t="shared" ca="1" si="132"/>
        <v>0</v>
      </c>
      <c r="Y54" s="257">
        <f t="shared" ca="1" si="132"/>
        <v>0</v>
      </c>
      <c r="Z54" s="257">
        <f t="shared" ca="1" si="132"/>
        <v>0</v>
      </c>
      <c r="AA54" s="257">
        <f t="shared" ca="1" si="132"/>
        <v>0</v>
      </c>
      <c r="AB54" s="257">
        <f t="shared" ca="1" si="132"/>
        <v>0</v>
      </c>
      <c r="AC54" s="257">
        <f ca="1">AC53</f>
        <v>0</v>
      </c>
      <c r="AD54" s="257">
        <f ca="1">AD53</f>
        <v>0</v>
      </c>
      <c r="AE54" s="257">
        <f t="shared" ca="1" si="132"/>
        <v>0</v>
      </c>
      <c r="AF54" s="257">
        <f ca="1">AF53</f>
        <v>0</v>
      </c>
      <c r="AG54" s="257">
        <f ca="1">AG53</f>
        <v>0</v>
      </c>
      <c r="AH54" s="257">
        <f t="shared" ca="1" si="5"/>
        <v>0</v>
      </c>
      <c r="AJ54" s="263">
        <f ca="1">AJ53</f>
        <v>0</v>
      </c>
      <c r="AK54" s="263">
        <f t="shared" ref="AK54:AX54" ca="1" si="133">AK53</f>
        <v>0</v>
      </c>
      <c r="AL54" s="263">
        <f t="shared" ca="1" si="133"/>
        <v>0</v>
      </c>
      <c r="AM54" s="263">
        <f t="shared" ca="1" si="133"/>
        <v>0</v>
      </c>
      <c r="AN54" s="263">
        <f t="shared" ca="1" si="133"/>
        <v>0</v>
      </c>
      <c r="AO54" s="263">
        <f t="shared" ca="1" si="133"/>
        <v>0</v>
      </c>
      <c r="AP54" s="263">
        <f t="shared" ca="1" si="133"/>
        <v>0</v>
      </c>
      <c r="AQ54" s="263">
        <f t="shared" ca="1" si="133"/>
        <v>0</v>
      </c>
      <c r="AR54" s="263">
        <f t="shared" ca="1" si="133"/>
        <v>0</v>
      </c>
      <c r="AS54" s="263">
        <f t="shared" ca="1" si="133"/>
        <v>0</v>
      </c>
      <c r="AT54" s="263">
        <f t="shared" ca="1" si="133"/>
        <v>0</v>
      </c>
      <c r="AU54" s="263">
        <f t="shared" ca="1" si="133"/>
        <v>0</v>
      </c>
      <c r="AV54" s="263">
        <f t="shared" ca="1" si="133"/>
        <v>0</v>
      </c>
      <c r="AW54" s="263">
        <f t="shared" ca="1" si="133"/>
        <v>0</v>
      </c>
      <c r="AX54" s="263">
        <f t="shared" ca="1" si="133"/>
        <v>0</v>
      </c>
      <c r="AY54" s="263">
        <f t="shared" ca="1" si="74"/>
        <v>0</v>
      </c>
      <c r="BA54" s="277">
        <f ca="1">BA53</f>
        <v>0</v>
      </c>
      <c r="BB54" s="277">
        <f ca="1">BB53</f>
        <v>0</v>
      </c>
      <c r="BC54" s="277">
        <f t="shared" ca="1" si="10"/>
        <v>0</v>
      </c>
      <c r="BE54" s="55">
        <f ca="1">P54+AH54+AY54+BC54</f>
        <v>0</v>
      </c>
      <c r="BF54" s="55"/>
      <c r="BG54" s="1428"/>
      <c r="BH54" s="542">
        <f t="shared" ref="BH54:CU54" ca="1" si="134">BH53</f>
        <v>0</v>
      </c>
      <c r="BI54" s="542">
        <f t="shared" ca="1" si="134"/>
        <v>0</v>
      </c>
      <c r="BJ54" s="542">
        <f t="shared" ca="1" si="134"/>
        <v>0</v>
      </c>
      <c r="BK54" s="542">
        <f t="shared" ca="1" si="134"/>
        <v>0</v>
      </c>
      <c r="BL54" s="542">
        <f t="shared" ca="1" si="134"/>
        <v>0</v>
      </c>
      <c r="BM54" s="542">
        <f t="shared" ca="1" si="134"/>
        <v>0</v>
      </c>
      <c r="BN54" s="542">
        <f t="shared" ca="1" si="134"/>
        <v>0</v>
      </c>
      <c r="BO54" s="542">
        <f t="shared" ca="1" si="134"/>
        <v>0</v>
      </c>
      <c r="BP54" s="542">
        <f t="shared" ca="1" si="134"/>
        <v>0</v>
      </c>
      <c r="BQ54" s="542">
        <f t="shared" ca="1" si="134"/>
        <v>0</v>
      </c>
      <c r="BR54" s="542">
        <f t="shared" ca="1" si="134"/>
        <v>0</v>
      </c>
      <c r="BS54" s="542">
        <f t="shared" ca="1" si="134"/>
        <v>0</v>
      </c>
      <c r="BT54" s="542">
        <f t="shared" ca="1" si="134"/>
        <v>0</v>
      </c>
      <c r="BU54" s="542">
        <f t="shared" ca="1" si="134"/>
        <v>0</v>
      </c>
      <c r="BV54" s="542">
        <f t="shared" ca="1" si="134"/>
        <v>0</v>
      </c>
      <c r="BW54" s="542">
        <f t="shared" ca="1" si="134"/>
        <v>0</v>
      </c>
      <c r="BX54" s="542">
        <f t="shared" ca="1" si="134"/>
        <v>0</v>
      </c>
      <c r="BY54" s="542">
        <f t="shared" ca="1" si="134"/>
        <v>0</v>
      </c>
      <c r="BZ54" s="542">
        <f t="shared" ca="1" si="134"/>
        <v>0</v>
      </c>
      <c r="CA54" s="542">
        <f t="shared" ca="1" si="134"/>
        <v>0</v>
      </c>
      <c r="CB54" s="542">
        <f t="shared" ca="1" si="134"/>
        <v>0</v>
      </c>
      <c r="CC54" s="542">
        <f t="shared" ca="1" si="134"/>
        <v>0</v>
      </c>
      <c r="CD54" s="542">
        <f t="shared" ca="1" si="134"/>
        <v>0</v>
      </c>
      <c r="CE54" s="542">
        <f t="shared" ca="1" si="134"/>
        <v>0</v>
      </c>
      <c r="CF54" s="542">
        <f t="shared" ca="1" si="134"/>
        <v>0</v>
      </c>
      <c r="CG54" s="542">
        <f t="shared" ca="1" si="134"/>
        <v>0</v>
      </c>
      <c r="CH54" s="542">
        <f t="shared" ca="1" si="134"/>
        <v>0</v>
      </c>
      <c r="CI54" s="542">
        <f t="shared" ca="1" si="134"/>
        <v>0</v>
      </c>
      <c r="CJ54" s="542">
        <f t="shared" ca="1" si="134"/>
        <v>0</v>
      </c>
      <c r="CK54" s="542">
        <f t="shared" ca="1" si="134"/>
        <v>0</v>
      </c>
      <c r="CL54" s="542">
        <f t="shared" ca="1" si="134"/>
        <v>0</v>
      </c>
      <c r="CM54" s="542">
        <f t="shared" ca="1" si="134"/>
        <v>0</v>
      </c>
      <c r="CN54" s="542">
        <f t="shared" ca="1" si="134"/>
        <v>0</v>
      </c>
      <c r="CO54" s="542">
        <f t="shared" ca="1" si="134"/>
        <v>0</v>
      </c>
      <c r="CP54" s="542">
        <f t="shared" ca="1" si="134"/>
        <v>0</v>
      </c>
      <c r="CQ54" s="542">
        <f t="shared" ca="1" si="134"/>
        <v>0</v>
      </c>
      <c r="CR54" s="542">
        <f t="shared" ca="1" si="134"/>
        <v>0</v>
      </c>
      <c r="CS54" s="542">
        <f t="shared" ca="1" si="134"/>
        <v>0</v>
      </c>
      <c r="CT54" s="542">
        <f t="shared" ca="1" si="134"/>
        <v>0</v>
      </c>
      <c r="CU54" s="542">
        <f t="shared" ca="1" si="134"/>
        <v>0</v>
      </c>
      <c r="CW54" s="151">
        <f t="shared" ca="1" si="114"/>
        <v>0</v>
      </c>
    </row>
    <row r="55" spans="1:101" s="84" customFormat="1" ht="12.75" customHeight="1" outlineLevel="1" x14ac:dyDescent="0.2">
      <c r="A55" s="18"/>
      <c r="B55" s="18"/>
      <c r="C55" s="87"/>
      <c r="D55" s="53"/>
      <c r="E55" s="53"/>
      <c r="G55" s="245"/>
      <c r="H55" s="245"/>
      <c r="I55" s="245"/>
      <c r="J55" s="245"/>
      <c r="K55" s="245"/>
      <c r="L55" s="247"/>
      <c r="M55" s="245"/>
      <c r="N55" s="245"/>
      <c r="O55" s="245"/>
      <c r="P55" s="245">
        <f t="shared" si="70"/>
        <v>0</v>
      </c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>
        <f t="shared" si="5"/>
        <v>0</v>
      </c>
      <c r="AJ55" s="263"/>
      <c r="AK55" s="263"/>
      <c r="AL55" s="263"/>
      <c r="AM55" s="263"/>
      <c r="AN55" s="263"/>
      <c r="AO55" s="263"/>
      <c r="AP55" s="263"/>
      <c r="AQ55" s="263"/>
      <c r="AR55" s="263"/>
      <c r="AS55" s="263"/>
      <c r="AT55" s="263"/>
      <c r="AU55" s="263"/>
      <c r="AV55" s="263"/>
      <c r="AW55" s="263"/>
      <c r="AX55" s="263"/>
      <c r="AY55" s="263">
        <f t="shared" si="74"/>
        <v>0</v>
      </c>
      <c r="BA55" s="277"/>
      <c r="BB55" s="277"/>
      <c r="BC55" s="277">
        <f t="shared" si="10"/>
        <v>0</v>
      </c>
      <c r="BE55" s="55">
        <f>P55+AH55+AY55+BC55</f>
        <v>0</v>
      </c>
      <c r="BF55" s="55"/>
      <c r="BG55" s="18"/>
      <c r="BH55" s="542"/>
      <c r="BI55" s="542"/>
      <c r="BJ55" s="542"/>
      <c r="BK55" s="542"/>
      <c r="BL55" s="542"/>
      <c r="BM55" s="542"/>
      <c r="BN55" s="542"/>
      <c r="BO55" s="542"/>
      <c r="BP55" s="542"/>
      <c r="BQ55" s="542"/>
      <c r="BR55" s="542"/>
      <c r="BS55" s="542"/>
      <c r="BT55" s="542"/>
      <c r="BU55" s="542"/>
      <c r="BV55" s="542"/>
      <c r="BW55" s="542"/>
      <c r="BX55" s="542"/>
      <c r="BY55" s="542"/>
      <c r="BZ55" s="542"/>
      <c r="CA55" s="542"/>
      <c r="CB55" s="542"/>
      <c r="CC55" s="542"/>
      <c r="CD55" s="542"/>
      <c r="CE55" s="542"/>
      <c r="CF55" s="542"/>
      <c r="CG55" s="542"/>
      <c r="CH55" s="542"/>
      <c r="CI55" s="542"/>
      <c r="CJ55" s="542"/>
      <c r="CK55" s="542"/>
      <c r="CL55" s="542"/>
      <c r="CM55" s="542"/>
      <c r="CN55" s="542"/>
      <c r="CO55" s="542"/>
      <c r="CP55" s="542"/>
      <c r="CQ55" s="542"/>
      <c r="CR55" s="542"/>
      <c r="CS55" s="542"/>
      <c r="CT55" s="542"/>
      <c r="CU55" s="542"/>
      <c r="CW55" s="151">
        <f t="shared" si="114"/>
        <v>0</v>
      </c>
    </row>
    <row r="56" spans="1:101" s="547" customFormat="1" ht="12.75" customHeight="1" outlineLevel="1" x14ac:dyDescent="0.2">
      <c r="C56" s="319" t="s">
        <v>856</v>
      </c>
      <c r="D56" s="320" t="s">
        <v>587</v>
      </c>
      <c r="E56" s="320"/>
      <c r="F56" s="84"/>
      <c r="G56" s="321"/>
      <c r="H56" s="321"/>
      <c r="I56" s="321"/>
      <c r="J56" s="321"/>
      <c r="K56" s="321"/>
      <c r="L56" s="322"/>
      <c r="M56" s="321"/>
      <c r="N56" s="321"/>
      <c r="O56" s="321"/>
      <c r="P56" s="321">
        <f t="shared" si="70"/>
        <v>0</v>
      </c>
      <c r="Q56" s="84"/>
      <c r="R56" s="323">
        <f ca="1">R$52+R$54</f>
        <v>-192.24084077257035</v>
      </c>
      <c r="S56" s="323">
        <f ca="1">S$52+S$54</f>
        <v>34.888329146017</v>
      </c>
      <c r="T56" s="323"/>
      <c r="U56" s="323"/>
      <c r="V56" s="323"/>
      <c r="W56" s="323"/>
      <c r="X56" s="323"/>
      <c r="Y56" s="323"/>
      <c r="Z56" s="323"/>
      <c r="AA56" s="323"/>
      <c r="AB56" s="323"/>
      <c r="AC56" s="323"/>
      <c r="AD56" s="323"/>
      <c r="AE56" s="323"/>
      <c r="AF56" s="323"/>
      <c r="AG56" s="323"/>
      <c r="AH56" s="323">
        <f t="shared" ca="1" si="5"/>
        <v>-157.35251162655334</v>
      </c>
      <c r="AI56" s="84"/>
      <c r="AJ56" s="324"/>
      <c r="AK56" s="324"/>
      <c r="AL56" s="324"/>
      <c r="AM56" s="324"/>
      <c r="AN56" s="324"/>
      <c r="AO56" s="324"/>
      <c r="AP56" s="324"/>
      <c r="AQ56" s="324"/>
      <c r="AR56" s="324"/>
      <c r="AS56" s="324"/>
      <c r="AT56" s="324"/>
      <c r="AU56" s="324"/>
      <c r="AV56" s="324"/>
      <c r="AW56" s="324"/>
      <c r="AX56" s="324"/>
      <c r="AY56" s="324">
        <f t="shared" si="74"/>
        <v>0</v>
      </c>
      <c r="AZ56" s="84"/>
      <c r="BA56" s="325"/>
      <c r="BB56" s="325"/>
      <c r="BC56" s="325">
        <f t="shared" si="10"/>
        <v>0</v>
      </c>
      <c r="BD56" s="84"/>
      <c r="BE56" s="164"/>
      <c r="BF56" s="164"/>
      <c r="BH56" s="549"/>
      <c r="BI56" s="549"/>
      <c r="BJ56" s="549"/>
      <c r="BK56" s="549"/>
      <c r="BL56" s="549"/>
      <c r="BM56" s="549"/>
      <c r="BN56" s="549"/>
      <c r="BO56" s="549"/>
      <c r="BP56" s="549"/>
      <c r="BQ56" s="549"/>
      <c r="BR56" s="549"/>
      <c r="BS56" s="549"/>
      <c r="BT56" s="549"/>
      <c r="BU56" s="549"/>
      <c r="BV56" s="549"/>
      <c r="BW56" s="549"/>
      <c r="BX56" s="549"/>
      <c r="BY56" s="549"/>
      <c r="BZ56" s="549"/>
      <c r="CA56" s="549"/>
      <c r="CB56" s="549"/>
      <c r="CC56" s="549"/>
      <c r="CD56" s="549"/>
      <c r="CE56" s="549"/>
      <c r="CF56" s="549"/>
      <c r="CG56" s="549"/>
      <c r="CH56" s="549"/>
      <c r="CI56" s="549"/>
      <c r="CJ56" s="549"/>
      <c r="CK56" s="549"/>
      <c r="CL56" s="549"/>
      <c r="CM56" s="549"/>
      <c r="CN56" s="549"/>
      <c r="CO56" s="549"/>
      <c r="CP56" s="549"/>
      <c r="CQ56" s="549"/>
      <c r="CR56" s="549"/>
      <c r="CS56" s="549"/>
      <c r="CT56" s="549"/>
      <c r="CU56" s="549"/>
      <c r="CW56" s="151">
        <f t="shared" si="114"/>
        <v>0</v>
      </c>
    </row>
    <row r="57" spans="1:101" s="543" customFormat="1" ht="12.75" customHeight="1" outlineLevel="1" x14ac:dyDescent="0.2">
      <c r="C57" s="86" t="s">
        <v>352</v>
      </c>
      <c r="D57" s="61" t="str">
        <f>INDEX(Modules[Module], MATCH($C57, Modules[Code], 0))</f>
        <v>Biomass power station</v>
      </c>
      <c r="E57" s="61"/>
      <c r="F57" s="84"/>
      <c r="G57" s="892">
        <f t="shared" ref="G57:O59" ca="1" si="135">IFERROR(INDEX(INDIRECT($C57&amp;".Outputs["&amp;this.Year&amp;"]"), MATCH(G$5, INDIRECT($C57&amp;".Outputs[Vector]"), 0)), 0)</f>
        <v>0</v>
      </c>
      <c r="H57" s="892">
        <f t="shared" ca="1" si="135"/>
        <v>0</v>
      </c>
      <c r="I57" s="892">
        <f t="shared" ca="1" si="135"/>
        <v>0</v>
      </c>
      <c r="J57" s="892">
        <f t="shared" ca="1" si="135"/>
        <v>0</v>
      </c>
      <c r="K57" s="892">
        <f t="shared" ca="1" si="135"/>
        <v>0</v>
      </c>
      <c r="L57" s="892">
        <f t="shared" ca="1" si="135"/>
        <v>0</v>
      </c>
      <c r="M57" s="892">
        <f t="shared" ca="1" si="135"/>
        <v>0</v>
      </c>
      <c r="N57" s="892">
        <f t="shared" ca="1" si="135"/>
        <v>0</v>
      </c>
      <c r="O57" s="892">
        <f t="shared" ca="1" si="135"/>
        <v>0</v>
      </c>
      <c r="P57" s="892">
        <f t="shared" ref="P57:P89" ca="1" si="136">SUM(G57:O57)</f>
        <v>0</v>
      </c>
      <c r="Q57" s="84"/>
      <c r="R57" s="893">
        <f t="shared" ref="R57:AG57" ca="1" si="137">IFERROR(INDEX(INDIRECT($C57&amp;".Outputs["&amp;this.Year&amp;"]"), MATCH(R$5, INDIRECT($C57&amp;".Outputs[Vector]"), 0)), 0)</f>
        <v>0</v>
      </c>
      <c r="S57" s="893">
        <f t="shared" ca="1" si="137"/>
        <v>7.8894000000000002</v>
      </c>
      <c r="T57" s="893">
        <f t="shared" ca="1" si="137"/>
        <v>-23.668200000000002</v>
      </c>
      <c r="U57" s="893">
        <f t="shared" ca="1" si="137"/>
        <v>0</v>
      </c>
      <c r="V57" s="893">
        <f t="shared" ca="1" si="137"/>
        <v>0</v>
      </c>
      <c r="W57" s="893">
        <f t="shared" ca="1" si="137"/>
        <v>0</v>
      </c>
      <c r="X57" s="893">
        <f t="shared" ca="1" si="137"/>
        <v>0</v>
      </c>
      <c r="Y57" s="893">
        <f t="shared" ca="1" si="137"/>
        <v>0</v>
      </c>
      <c r="Z57" s="893">
        <f t="shared" ca="1" si="137"/>
        <v>0</v>
      </c>
      <c r="AA57" s="893">
        <f t="shared" ca="1" si="137"/>
        <v>0</v>
      </c>
      <c r="AB57" s="893">
        <f t="shared" ca="1" si="137"/>
        <v>0</v>
      </c>
      <c r="AC57" s="893">
        <f t="shared" ca="1" si="137"/>
        <v>0</v>
      </c>
      <c r="AD57" s="893">
        <f t="shared" ca="1" si="137"/>
        <v>0</v>
      </c>
      <c r="AE57" s="893">
        <f t="shared" ca="1" si="137"/>
        <v>0</v>
      </c>
      <c r="AF57" s="893">
        <f t="shared" ca="1" si="137"/>
        <v>0</v>
      </c>
      <c r="AG57" s="893">
        <f t="shared" ca="1" si="137"/>
        <v>0</v>
      </c>
      <c r="AH57" s="894">
        <f t="shared" ca="1" si="5"/>
        <v>-15.778800000000002</v>
      </c>
      <c r="AI57" s="84"/>
      <c r="AJ57" s="895">
        <f t="shared" ref="AJ57:AR59" ca="1" si="138">IFERROR(INDEX(INDIRECT($C57&amp;".Outputs["&amp;this.Year&amp;"]"), MATCH(AJ$5, INDIRECT($C57&amp;".Outputs[Vector]"), 0)), 0)</f>
        <v>0</v>
      </c>
      <c r="AK57" s="895">
        <f t="shared" ca="1" si="138"/>
        <v>0</v>
      </c>
      <c r="AL57" s="895">
        <f t="shared" ca="1" si="138"/>
        <v>0</v>
      </c>
      <c r="AM57" s="895">
        <f t="shared" ca="1" si="138"/>
        <v>0</v>
      </c>
      <c r="AN57" s="895">
        <f t="shared" ca="1" si="138"/>
        <v>0</v>
      </c>
      <c r="AO57" s="895">
        <f t="shared" ca="1" si="138"/>
        <v>0</v>
      </c>
      <c r="AP57" s="895">
        <f t="shared" ca="1" si="138"/>
        <v>0</v>
      </c>
      <c r="AQ57" s="895">
        <f t="shared" ca="1" si="138"/>
        <v>0</v>
      </c>
      <c r="AR57" s="895">
        <f t="shared" ca="1" si="138"/>
        <v>0</v>
      </c>
      <c r="AS57" s="895">
        <f t="shared" ref="AS57:AX57" ca="1" si="139">IFERROR(INDEX(INDIRECT($C57&amp;".Outputs["&amp;this.Year&amp;"]"), MATCH(AS$5, INDIRECT($C57&amp;".Outputs[Vector]"), 0)), 0)</f>
        <v>0</v>
      </c>
      <c r="AT57" s="895">
        <f t="shared" ca="1" si="139"/>
        <v>0</v>
      </c>
      <c r="AU57" s="895">
        <f t="shared" ca="1" si="139"/>
        <v>0</v>
      </c>
      <c r="AV57" s="895">
        <f t="shared" ca="1" si="139"/>
        <v>0</v>
      </c>
      <c r="AW57" s="895">
        <f t="shared" ca="1" si="139"/>
        <v>0</v>
      </c>
      <c r="AX57" s="895">
        <f t="shared" ca="1" si="139"/>
        <v>0</v>
      </c>
      <c r="AY57" s="896">
        <f t="shared" ca="1" si="74"/>
        <v>0</v>
      </c>
      <c r="AZ57" s="84"/>
      <c r="BA57" s="897">
        <f ca="1">IFERROR(INDEX(INDIRECT($C57&amp;".Outputs["&amp;this.Year&amp;"]"), MATCH(BA$5, INDIRECT($C57&amp;".Outputs[Vector]"), 0)), 0)</f>
        <v>15.384330000000002</v>
      </c>
      <c r="BB57" s="897">
        <f ca="1">IFERROR(INDEX(INDIRECT($C57&amp;".Outputs["&amp;this.Year&amp;"]"), MATCH(BB$5, INDIRECT($C57&amp;".Outputs[Vector]"), 0)), 0)</f>
        <v>0.39447000000000004</v>
      </c>
      <c r="BC57" s="898">
        <f t="shared" ca="1" si="10"/>
        <v>15.778800000000002</v>
      </c>
      <c r="BD57" s="84"/>
      <c r="BE57" s="135">
        <f ca="1">P57+AH57+AY57+BC57</f>
        <v>0</v>
      </c>
      <c r="BF57" s="135"/>
      <c r="BG57" s="1428"/>
      <c r="BH57" s="541">
        <f t="shared" ref="BH57:CU59" ca="1" si="140">IFERROR(SUMIFS(INDIRECT($C57&amp;".Emissions["&amp;this.Year&amp;"]"), INDIRECT($C57&amp;".Emissions[GHG]"), BH$6, INDIRECT($C57&amp;".Emissions[IPCC Sector]"), BH$5),0)</f>
        <v>7.2898055999999993</v>
      </c>
      <c r="BI57" s="542">
        <f t="shared" ca="1" si="140"/>
        <v>2.1414814490699954E-2</v>
      </c>
      <c r="BJ57" s="542">
        <f t="shared" ca="1" si="140"/>
        <v>6.4576840859545043E-2</v>
      </c>
      <c r="BK57" s="542">
        <f t="shared" ca="1" si="140"/>
        <v>0</v>
      </c>
      <c r="BL57" s="542">
        <f t="shared" ca="1" si="140"/>
        <v>0</v>
      </c>
      <c r="BM57" s="542">
        <f t="shared" ca="1" si="140"/>
        <v>0</v>
      </c>
      <c r="BN57" s="542">
        <f t="shared" ca="1" si="140"/>
        <v>0</v>
      </c>
      <c r="BO57" s="542">
        <f t="shared" ca="1" si="140"/>
        <v>0</v>
      </c>
      <c r="BP57" s="542">
        <f t="shared" ca="1" si="140"/>
        <v>0</v>
      </c>
      <c r="BQ57" s="542">
        <f t="shared" ca="1" si="140"/>
        <v>0</v>
      </c>
      <c r="BR57" s="542">
        <f t="shared" ca="1" si="140"/>
        <v>0</v>
      </c>
      <c r="BS57" s="542">
        <f t="shared" ca="1" si="140"/>
        <v>0</v>
      </c>
      <c r="BT57" s="542">
        <f t="shared" ca="1" si="140"/>
        <v>0</v>
      </c>
      <c r="BU57" s="542">
        <f t="shared" ca="1" si="140"/>
        <v>0</v>
      </c>
      <c r="BV57" s="542">
        <f t="shared" ca="1" si="140"/>
        <v>0</v>
      </c>
      <c r="BW57" s="542">
        <f t="shared" ca="1" si="140"/>
        <v>0</v>
      </c>
      <c r="BX57" s="542">
        <f t="shared" ca="1" si="140"/>
        <v>0</v>
      </c>
      <c r="BY57" s="542">
        <f t="shared" ca="1" si="140"/>
        <v>0</v>
      </c>
      <c r="BZ57" s="542">
        <f t="shared" ca="1" si="140"/>
        <v>0</v>
      </c>
      <c r="CA57" s="542">
        <f t="shared" ca="1" si="140"/>
        <v>0</v>
      </c>
      <c r="CB57" s="542">
        <f t="shared" ca="1" si="140"/>
        <v>0</v>
      </c>
      <c r="CC57" s="542">
        <f t="shared" ca="1" si="140"/>
        <v>0</v>
      </c>
      <c r="CD57" s="542">
        <f t="shared" ca="1" si="140"/>
        <v>0</v>
      </c>
      <c r="CE57" s="542">
        <f t="shared" ca="1" si="140"/>
        <v>0</v>
      </c>
      <c r="CF57" s="542">
        <f t="shared" ca="1" si="140"/>
        <v>0</v>
      </c>
      <c r="CG57" s="542">
        <f t="shared" ca="1" si="140"/>
        <v>0</v>
      </c>
      <c r="CH57" s="542">
        <f t="shared" ca="1" si="140"/>
        <v>0</v>
      </c>
      <c r="CI57" s="542">
        <f t="shared" ca="1" si="140"/>
        <v>0</v>
      </c>
      <c r="CJ57" s="542">
        <f t="shared" ca="1" si="140"/>
        <v>0</v>
      </c>
      <c r="CK57" s="542">
        <f t="shared" ca="1" si="140"/>
        <v>0</v>
      </c>
      <c r="CL57" s="542">
        <f t="shared" ca="1" si="140"/>
        <v>0</v>
      </c>
      <c r="CM57" s="542">
        <f t="shared" ca="1" si="140"/>
        <v>0</v>
      </c>
      <c r="CN57" s="542">
        <f t="shared" ca="1" si="140"/>
        <v>0</v>
      </c>
      <c r="CO57" s="542">
        <f t="shared" ca="1" si="140"/>
        <v>0</v>
      </c>
      <c r="CP57" s="542">
        <f t="shared" ca="1" si="140"/>
        <v>0</v>
      </c>
      <c r="CQ57" s="542">
        <f t="shared" ca="1" si="140"/>
        <v>0</v>
      </c>
      <c r="CR57" s="542">
        <f t="shared" ca="1" si="140"/>
        <v>0</v>
      </c>
      <c r="CS57" s="542">
        <f t="shared" ca="1" si="140"/>
        <v>0</v>
      </c>
      <c r="CT57" s="542">
        <f t="shared" ca="1" si="140"/>
        <v>0</v>
      </c>
      <c r="CU57" s="542">
        <f t="shared" ca="1" si="140"/>
        <v>0</v>
      </c>
      <c r="CW57" s="151">
        <f t="shared" ca="1" si="114"/>
        <v>7.3757972553502444</v>
      </c>
    </row>
    <row r="58" spans="1:101" s="543" customFormat="1" ht="12.75" customHeight="1" outlineLevel="1" x14ac:dyDescent="0.2">
      <c r="C58" s="319" t="s">
        <v>2381</v>
      </c>
      <c r="D58" s="320" t="s">
        <v>587</v>
      </c>
      <c r="E58" s="61"/>
      <c r="F58" s="84"/>
      <c r="G58" s="892"/>
      <c r="H58" s="892"/>
      <c r="I58" s="892"/>
      <c r="J58" s="892"/>
      <c r="K58" s="892"/>
      <c r="L58" s="892"/>
      <c r="M58" s="892"/>
      <c r="N58" s="892"/>
      <c r="O58" s="892"/>
      <c r="P58" s="892">
        <f t="shared" si="136"/>
        <v>0</v>
      </c>
      <c r="Q58" s="84"/>
      <c r="R58" s="893">
        <f ca="1">R56+R57</f>
        <v>-192.24084077257035</v>
      </c>
      <c r="S58" s="893">
        <f ca="1">S56+S57</f>
        <v>42.777729146017002</v>
      </c>
      <c r="T58" s="893"/>
      <c r="U58" s="893"/>
      <c r="V58" s="893"/>
      <c r="W58" s="893"/>
      <c r="X58" s="893"/>
      <c r="Y58" s="893"/>
      <c r="Z58" s="893"/>
      <c r="AA58" s="893"/>
      <c r="AB58" s="893"/>
      <c r="AC58" s="893"/>
      <c r="AD58" s="893"/>
      <c r="AE58" s="893"/>
      <c r="AF58" s="893"/>
      <c r="AG58" s="893"/>
      <c r="AH58" s="894">
        <f t="shared" ca="1" si="5"/>
        <v>-149.46311162655334</v>
      </c>
      <c r="AI58" s="84"/>
      <c r="AJ58" s="895"/>
      <c r="AK58" s="895"/>
      <c r="AL58" s="895"/>
      <c r="AM58" s="895"/>
      <c r="AN58" s="895"/>
      <c r="AO58" s="895"/>
      <c r="AP58" s="895"/>
      <c r="AQ58" s="895"/>
      <c r="AR58" s="895"/>
      <c r="AS58" s="895"/>
      <c r="AT58" s="895"/>
      <c r="AU58" s="895"/>
      <c r="AV58" s="895"/>
      <c r="AW58" s="895"/>
      <c r="AX58" s="895"/>
      <c r="AY58" s="896">
        <f t="shared" si="74"/>
        <v>0</v>
      </c>
      <c r="AZ58" s="84"/>
      <c r="BA58" s="897"/>
      <c r="BB58" s="897"/>
      <c r="BC58" s="898">
        <f t="shared" si="10"/>
        <v>0</v>
      </c>
      <c r="BD58" s="84"/>
      <c r="BE58" s="135"/>
      <c r="BF58" s="135"/>
      <c r="BG58" s="1428"/>
      <c r="BH58" s="541"/>
      <c r="BI58" s="542"/>
      <c r="BJ58" s="542"/>
      <c r="BK58" s="542"/>
      <c r="BL58" s="542"/>
      <c r="BM58" s="542"/>
      <c r="BN58" s="542"/>
      <c r="BO58" s="542"/>
      <c r="BP58" s="542"/>
      <c r="BQ58" s="542"/>
      <c r="BR58" s="542"/>
      <c r="BS58" s="542"/>
      <c r="BT58" s="542"/>
      <c r="BU58" s="542"/>
      <c r="BV58" s="542"/>
      <c r="BW58" s="542"/>
      <c r="BX58" s="542"/>
      <c r="BY58" s="542"/>
      <c r="BZ58" s="542"/>
      <c r="CA58" s="542"/>
      <c r="CB58" s="542"/>
      <c r="CC58" s="542"/>
      <c r="CD58" s="542"/>
      <c r="CE58" s="542"/>
      <c r="CF58" s="542"/>
      <c r="CG58" s="542"/>
      <c r="CH58" s="542"/>
      <c r="CI58" s="542"/>
      <c r="CJ58" s="542"/>
      <c r="CK58" s="542"/>
      <c r="CL58" s="542"/>
      <c r="CM58" s="542"/>
      <c r="CN58" s="542"/>
      <c r="CO58" s="542"/>
      <c r="CP58" s="542"/>
      <c r="CQ58" s="542"/>
      <c r="CR58" s="542"/>
      <c r="CS58" s="542"/>
      <c r="CT58" s="542"/>
      <c r="CU58" s="542"/>
      <c r="CW58" s="151"/>
    </row>
    <row r="59" spans="1:101" s="543" customFormat="1" ht="12.75" customHeight="1" outlineLevel="1" x14ac:dyDescent="0.2">
      <c r="C59" s="86" t="s">
        <v>2146</v>
      </c>
      <c r="D59" s="61" t="str">
        <f>INDEX(Modules[Module], MATCH($C59, Modules[Code], 0))</f>
        <v>Coal power stations</v>
      </c>
      <c r="E59" s="61"/>
      <c r="F59" s="84"/>
      <c r="G59" s="892">
        <f t="shared" ca="1" si="135"/>
        <v>0</v>
      </c>
      <c r="H59" s="892">
        <f t="shared" ca="1" si="135"/>
        <v>0</v>
      </c>
      <c r="I59" s="892">
        <f t="shared" ca="1" si="135"/>
        <v>0</v>
      </c>
      <c r="J59" s="892">
        <f t="shared" ca="1" si="135"/>
        <v>0</v>
      </c>
      <c r="K59" s="892">
        <f t="shared" ca="1" si="135"/>
        <v>0</v>
      </c>
      <c r="L59" s="892">
        <f t="shared" ca="1" si="135"/>
        <v>0</v>
      </c>
      <c r="M59" s="892">
        <f t="shared" ca="1" si="135"/>
        <v>0</v>
      </c>
      <c r="N59" s="892">
        <f t="shared" ca="1" si="135"/>
        <v>0</v>
      </c>
      <c r="O59" s="892">
        <f t="shared" ca="1" si="135"/>
        <v>0</v>
      </c>
      <c r="P59" s="892">
        <f t="shared" ca="1" si="136"/>
        <v>0</v>
      </c>
      <c r="Q59" s="84"/>
      <c r="R59" s="893">
        <f t="shared" ref="R59:AG59" ca="1" si="141">IFERROR(INDEX(INDIRECT($C59&amp;".Outputs["&amp;this.Year&amp;"]"), MATCH(R$5, INDIRECT($C59&amp;".Outputs[Vector]"), 0)), 0)</f>
        <v>0</v>
      </c>
      <c r="S59" s="893">
        <f t="shared" ca="1" si="141"/>
        <v>0</v>
      </c>
      <c r="T59" s="893">
        <f t="shared" ca="1" si="141"/>
        <v>0</v>
      </c>
      <c r="U59" s="893">
        <f t="shared" ca="1" si="141"/>
        <v>0</v>
      </c>
      <c r="V59" s="893">
        <f t="shared" ca="1" si="141"/>
        <v>0</v>
      </c>
      <c r="W59" s="893">
        <f t="shared" ca="1" si="141"/>
        <v>0</v>
      </c>
      <c r="X59" s="893">
        <f t="shared" ca="1" si="141"/>
        <v>0</v>
      </c>
      <c r="Y59" s="893">
        <f t="shared" ca="1" si="141"/>
        <v>0</v>
      </c>
      <c r="Z59" s="893">
        <f t="shared" ca="1" si="141"/>
        <v>0</v>
      </c>
      <c r="AA59" s="893">
        <f t="shared" ca="1" si="141"/>
        <v>0</v>
      </c>
      <c r="AB59" s="893">
        <f t="shared" ca="1" si="141"/>
        <v>0</v>
      </c>
      <c r="AC59" s="893">
        <f t="shared" ca="1" si="141"/>
        <v>0</v>
      </c>
      <c r="AD59" s="893">
        <f t="shared" ca="1" si="141"/>
        <v>0</v>
      </c>
      <c r="AE59" s="893">
        <f t="shared" ca="1" si="141"/>
        <v>0</v>
      </c>
      <c r="AF59" s="893">
        <f t="shared" ca="1" si="141"/>
        <v>0</v>
      </c>
      <c r="AG59" s="893">
        <f t="shared" ca="1" si="141"/>
        <v>0</v>
      </c>
      <c r="AH59" s="894">
        <f t="shared" ca="1" si="5"/>
        <v>0</v>
      </c>
      <c r="AI59" s="84"/>
      <c r="AJ59" s="895">
        <f t="shared" ca="1" si="138"/>
        <v>0</v>
      </c>
      <c r="AK59" s="895">
        <f t="shared" ca="1" si="138"/>
        <v>0</v>
      </c>
      <c r="AL59" s="895">
        <f t="shared" ca="1" si="138"/>
        <v>0</v>
      </c>
      <c r="AM59" s="895">
        <f t="shared" ca="1" si="138"/>
        <v>0</v>
      </c>
      <c r="AN59" s="895">
        <f t="shared" ca="1" si="138"/>
        <v>0</v>
      </c>
      <c r="AO59" s="895">
        <f t="shared" ca="1" si="138"/>
        <v>0</v>
      </c>
      <c r="AP59" s="895">
        <f t="shared" ca="1" si="138"/>
        <v>0</v>
      </c>
      <c r="AQ59" s="895">
        <f t="shared" ca="1" si="138"/>
        <v>0</v>
      </c>
      <c r="AR59" s="895">
        <f t="shared" ca="1" si="138"/>
        <v>0</v>
      </c>
      <c r="AS59" s="895">
        <f t="shared" ref="AS59:AX59" ca="1" si="142">IFERROR(INDEX(INDIRECT($C59&amp;".Outputs["&amp;this.Year&amp;"]"), MATCH(AS$5, INDIRECT($C59&amp;".Outputs[Vector]"), 0)), 0)</f>
        <v>0</v>
      </c>
      <c r="AT59" s="895">
        <f t="shared" ca="1" si="142"/>
        <v>0</v>
      </c>
      <c r="AU59" s="895">
        <f t="shared" ca="1" si="142"/>
        <v>0</v>
      </c>
      <c r="AV59" s="895">
        <f t="shared" ca="1" si="142"/>
        <v>0</v>
      </c>
      <c r="AW59" s="895">
        <f t="shared" ca="1" si="142"/>
        <v>0</v>
      </c>
      <c r="AX59" s="895">
        <f t="shared" ca="1" si="142"/>
        <v>0</v>
      </c>
      <c r="AY59" s="896">
        <f t="shared" ca="1" si="74"/>
        <v>0</v>
      </c>
      <c r="AZ59" s="84"/>
      <c r="BA59" s="897">
        <f ca="1">IFERROR(INDEX(INDIRECT($C59&amp;".Outputs["&amp;this.Year&amp;"]"), MATCH(BA$5, INDIRECT($C59&amp;".Outputs[Vector]"), 0)), 0)</f>
        <v>0</v>
      </c>
      <c r="BB59" s="897">
        <f ca="1">IFERROR(INDEX(INDIRECT($C59&amp;".Outputs["&amp;this.Year&amp;"]"), MATCH(BB$5, INDIRECT($C59&amp;".Outputs[Vector]"), 0)), 0)</f>
        <v>0</v>
      </c>
      <c r="BC59" s="898">
        <f t="shared" ca="1" si="10"/>
        <v>0</v>
      </c>
      <c r="BD59" s="84"/>
      <c r="BE59" s="135">
        <f ca="1">P59+AH59+AY59+BC59</f>
        <v>0</v>
      </c>
      <c r="BF59" s="135"/>
      <c r="BG59" s="1428"/>
      <c r="BH59" s="541">
        <f t="shared" ca="1" si="140"/>
        <v>0</v>
      </c>
      <c r="BI59" s="542">
        <f t="shared" ca="1" si="140"/>
        <v>0</v>
      </c>
      <c r="BJ59" s="542">
        <f t="shared" ca="1" si="140"/>
        <v>0</v>
      </c>
      <c r="BK59" s="542">
        <f t="shared" ca="1" si="140"/>
        <v>0</v>
      </c>
      <c r="BL59" s="542">
        <f t="shared" ca="1" si="140"/>
        <v>0</v>
      </c>
      <c r="BM59" s="542">
        <f t="shared" ca="1" si="140"/>
        <v>0</v>
      </c>
      <c r="BN59" s="542">
        <f t="shared" ca="1" si="140"/>
        <v>0</v>
      </c>
      <c r="BO59" s="542">
        <f t="shared" ca="1" si="140"/>
        <v>0</v>
      </c>
      <c r="BP59" s="542">
        <f t="shared" ca="1" si="140"/>
        <v>0</v>
      </c>
      <c r="BQ59" s="542">
        <f t="shared" ca="1" si="140"/>
        <v>0</v>
      </c>
      <c r="BR59" s="542">
        <f t="shared" ca="1" si="140"/>
        <v>0</v>
      </c>
      <c r="BS59" s="542">
        <f t="shared" ca="1" si="140"/>
        <v>0</v>
      </c>
      <c r="BT59" s="542">
        <f t="shared" ca="1" si="140"/>
        <v>0</v>
      </c>
      <c r="BU59" s="542">
        <f t="shared" ca="1" si="140"/>
        <v>0</v>
      </c>
      <c r="BV59" s="542">
        <f t="shared" ca="1" si="140"/>
        <v>0</v>
      </c>
      <c r="BW59" s="542">
        <f t="shared" ca="1" si="140"/>
        <v>0</v>
      </c>
      <c r="BX59" s="542">
        <f t="shared" ca="1" si="140"/>
        <v>0</v>
      </c>
      <c r="BY59" s="542">
        <f t="shared" ca="1" si="140"/>
        <v>0</v>
      </c>
      <c r="BZ59" s="542">
        <f t="shared" ca="1" si="140"/>
        <v>0</v>
      </c>
      <c r="CA59" s="542">
        <f t="shared" ca="1" si="140"/>
        <v>0</v>
      </c>
      <c r="CB59" s="542">
        <f t="shared" ca="1" si="140"/>
        <v>0</v>
      </c>
      <c r="CC59" s="542">
        <f t="shared" ca="1" si="140"/>
        <v>0</v>
      </c>
      <c r="CD59" s="542">
        <f t="shared" ca="1" si="140"/>
        <v>0</v>
      </c>
      <c r="CE59" s="542">
        <f t="shared" ca="1" si="140"/>
        <v>0</v>
      </c>
      <c r="CF59" s="542">
        <f t="shared" ca="1" si="140"/>
        <v>0</v>
      </c>
      <c r="CG59" s="542">
        <f t="shared" ca="1" si="140"/>
        <v>0</v>
      </c>
      <c r="CH59" s="542">
        <f t="shared" ca="1" si="140"/>
        <v>0</v>
      </c>
      <c r="CI59" s="542">
        <f t="shared" ca="1" si="140"/>
        <v>0</v>
      </c>
      <c r="CJ59" s="542">
        <f t="shared" ca="1" si="140"/>
        <v>0</v>
      </c>
      <c r="CK59" s="542">
        <f t="shared" ca="1" si="140"/>
        <v>0</v>
      </c>
      <c r="CL59" s="542">
        <f t="shared" ca="1" si="140"/>
        <v>0</v>
      </c>
      <c r="CM59" s="542">
        <f t="shared" ca="1" si="140"/>
        <v>0</v>
      </c>
      <c r="CN59" s="542">
        <f t="shared" ca="1" si="140"/>
        <v>0</v>
      </c>
      <c r="CO59" s="542">
        <f t="shared" ca="1" si="140"/>
        <v>0</v>
      </c>
      <c r="CP59" s="542">
        <f t="shared" ca="1" si="140"/>
        <v>0</v>
      </c>
      <c r="CQ59" s="542">
        <f t="shared" ca="1" si="140"/>
        <v>0</v>
      </c>
      <c r="CR59" s="542">
        <f t="shared" ca="1" si="140"/>
        <v>0</v>
      </c>
      <c r="CS59" s="542">
        <f t="shared" ca="1" si="140"/>
        <v>0</v>
      </c>
      <c r="CT59" s="542">
        <f t="shared" ca="1" si="140"/>
        <v>0</v>
      </c>
      <c r="CU59" s="542">
        <f t="shared" ca="1" si="140"/>
        <v>0</v>
      </c>
      <c r="CW59" s="151">
        <f t="shared" ref="CW59:CW64" ca="1" si="143">SUM(BH59:CU59)</f>
        <v>0</v>
      </c>
    </row>
    <row r="60" spans="1:101" s="550" customFormat="1" ht="12.75" customHeight="1" outlineLevel="1" x14ac:dyDescent="0.2">
      <c r="C60" s="566" t="s">
        <v>857</v>
      </c>
      <c r="D60" s="320" t="s">
        <v>587</v>
      </c>
      <c r="E60" s="567"/>
      <c r="F60" s="882"/>
      <c r="G60" s="333"/>
      <c r="H60" s="333"/>
      <c r="I60" s="333"/>
      <c r="J60" s="333"/>
      <c r="K60" s="333"/>
      <c r="L60" s="334"/>
      <c r="M60" s="333"/>
      <c r="N60" s="333"/>
      <c r="O60" s="333"/>
      <c r="P60" s="333">
        <f t="shared" si="136"/>
        <v>0</v>
      </c>
      <c r="Q60" s="882"/>
      <c r="R60" s="335">
        <f ca="1">R58+R59</f>
        <v>-192.24084077257035</v>
      </c>
      <c r="S60" s="335">
        <f ca="1">S58+S59</f>
        <v>42.777729146017002</v>
      </c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>
        <f t="shared" ca="1" si="5"/>
        <v>-149.46311162655334</v>
      </c>
      <c r="AI60" s="882"/>
      <c r="AJ60" s="336"/>
      <c r="AK60" s="336"/>
      <c r="AL60" s="336"/>
      <c r="AM60" s="336"/>
      <c r="AN60" s="336"/>
      <c r="AO60" s="336"/>
      <c r="AP60" s="336"/>
      <c r="AQ60" s="336"/>
      <c r="AR60" s="336"/>
      <c r="AS60" s="336"/>
      <c r="AT60" s="336"/>
      <c r="AU60" s="336"/>
      <c r="AV60" s="336"/>
      <c r="AW60" s="336"/>
      <c r="AX60" s="336"/>
      <c r="AY60" s="336">
        <f t="shared" si="74"/>
        <v>0</v>
      </c>
      <c r="AZ60" s="882"/>
      <c r="BA60" s="337"/>
      <c r="BB60" s="337"/>
      <c r="BC60" s="337">
        <f t="shared" si="10"/>
        <v>0</v>
      </c>
      <c r="BD60" s="882"/>
      <c r="BE60" s="568"/>
      <c r="BF60" s="568"/>
      <c r="BH60" s="888"/>
      <c r="BI60" s="888"/>
      <c r="BJ60" s="888"/>
      <c r="BK60" s="888"/>
      <c r="BL60" s="888"/>
      <c r="BM60" s="888"/>
      <c r="BN60" s="888"/>
      <c r="BO60" s="888"/>
      <c r="BP60" s="888"/>
      <c r="BQ60" s="888"/>
      <c r="BR60" s="888"/>
      <c r="BS60" s="888"/>
      <c r="BT60" s="888"/>
      <c r="BU60" s="888"/>
      <c r="BV60" s="888"/>
      <c r="BW60" s="888"/>
      <c r="BX60" s="888"/>
      <c r="BY60" s="888"/>
      <c r="BZ60" s="888"/>
      <c r="CA60" s="888"/>
      <c r="CB60" s="888"/>
      <c r="CC60" s="888"/>
      <c r="CD60" s="888"/>
      <c r="CE60" s="888"/>
      <c r="CF60" s="888"/>
      <c r="CG60" s="888"/>
      <c r="CH60" s="888"/>
      <c r="CI60" s="888"/>
      <c r="CJ60" s="888"/>
      <c r="CK60" s="888"/>
      <c r="CL60" s="888"/>
      <c r="CM60" s="888"/>
      <c r="CN60" s="888"/>
      <c r="CO60" s="888"/>
      <c r="CP60" s="888"/>
      <c r="CQ60" s="888"/>
      <c r="CR60" s="888"/>
      <c r="CS60" s="888"/>
      <c r="CT60" s="888"/>
      <c r="CU60" s="888"/>
      <c r="CW60" s="887">
        <f t="shared" si="143"/>
        <v>0</v>
      </c>
    </row>
    <row r="61" spans="1:101" s="543" customFormat="1" ht="12.75" customHeight="1" outlineLevel="1" x14ac:dyDescent="0.2">
      <c r="C61" s="86" t="s">
        <v>288</v>
      </c>
      <c r="D61" s="61" t="str">
        <f>INDEX(Modules[Module], MATCH($C61, Modules[Code], 0))</f>
        <v>Natural gas power stations</v>
      </c>
      <c r="E61" s="61"/>
      <c r="F61" s="84"/>
      <c r="G61" s="301">
        <f t="shared" ref="G61:O61" ca="1" si="144">IFERROR(INDEX(INDIRECT($C61&amp;".Outputs["&amp;this.Year&amp;"]"), MATCH(G$5, INDIRECT($C61&amp;".Outputs[Vector]"), 0)), 0)</f>
        <v>0</v>
      </c>
      <c r="H61" s="301">
        <f t="shared" ca="1" si="144"/>
        <v>0</v>
      </c>
      <c r="I61" s="301">
        <f t="shared" ca="1" si="144"/>
        <v>0</v>
      </c>
      <c r="J61" s="301">
        <f t="shared" ca="1" si="144"/>
        <v>0</v>
      </c>
      <c r="K61" s="301">
        <f t="shared" ca="1" si="144"/>
        <v>0</v>
      </c>
      <c r="L61" s="301">
        <f t="shared" ca="1" si="144"/>
        <v>0</v>
      </c>
      <c r="M61" s="301">
        <f t="shared" ca="1" si="144"/>
        <v>0</v>
      </c>
      <c r="N61" s="301">
        <f t="shared" ca="1" si="144"/>
        <v>0</v>
      </c>
      <c r="O61" s="301">
        <f t="shared" ca="1" si="144"/>
        <v>0</v>
      </c>
      <c r="P61" s="301">
        <f t="shared" ca="1" si="136"/>
        <v>0</v>
      </c>
      <c r="Q61" s="84"/>
      <c r="R61" s="307">
        <f t="shared" ref="R61:AX61" ca="1" si="145">IFERROR(INDEX(INDIRECT($C61&amp;".Outputs["&amp;this.Year&amp;"]"), MATCH(R$5, INDIRECT($C61&amp;".Outputs[Vector]"), 0)), 0)</f>
        <v>0</v>
      </c>
      <c r="S61" s="307">
        <f t="shared" ca="1" si="145"/>
        <v>118.612746</v>
      </c>
      <c r="T61" s="307">
        <f t="shared" ca="1" si="145"/>
        <v>0</v>
      </c>
      <c r="U61" s="307">
        <f t="shared" ca="1" si="145"/>
        <v>0</v>
      </c>
      <c r="V61" s="307">
        <f t="shared" ca="1" si="145"/>
        <v>-249.0867666</v>
      </c>
      <c r="W61" s="307">
        <f t="shared" ca="1" si="145"/>
        <v>0</v>
      </c>
      <c r="X61" s="307">
        <f ca="1">IFERROR(INDEX(INDIRECT($C61&amp;".Outputs["&amp;this.Year&amp;"]"), MATCH(X$5, INDIRECT($C61&amp;".Outputs[Vector]"), 0)), 0)</f>
        <v>0</v>
      </c>
      <c r="Y61" s="307">
        <f ca="1">IFERROR(INDEX(INDIRECT($C61&amp;".Outputs["&amp;this.Year&amp;"]"), MATCH(Y$5, INDIRECT($C61&amp;".Outputs[Vector]"), 0)), 0)</f>
        <v>0</v>
      </c>
      <c r="Z61" s="307">
        <f ca="1">IFERROR(INDEX(INDIRECT($C61&amp;".Outputs["&amp;this.Year&amp;"]"), MATCH(Z$5, INDIRECT($C61&amp;".Outputs[Vector]"), 0)), 0)</f>
        <v>0</v>
      </c>
      <c r="AA61" s="307">
        <f t="shared" ca="1" si="145"/>
        <v>0</v>
      </c>
      <c r="AB61" s="307">
        <f t="shared" ca="1" si="145"/>
        <v>0</v>
      </c>
      <c r="AC61" s="307">
        <f t="shared" ca="1" si="145"/>
        <v>0</v>
      </c>
      <c r="AD61" s="307">
        <f t="shared" ca="1" si="145"/>
        <v>0</v>
      </c>
      <c r="AE61" s="307">
        <f t="shared" ca="1" si="145"/>
        <v>0</v>
      </c>
      <c r="AF61" s="307">
        <f t="shared" ca="1" si="145"/>
        <v>0</v>
      </c>
      <c r="AG61" s="307">
        <f t="shared" ca="1" si="145"/>
        <v>0</v>
      </c>
      <c r="AH61" s="306">
        <f t="shared" ca="1" si="5"/>
        <v>-130.47402060000002</v>
      </c>
      <c r="AI61" s="84"/>
      <c r="AJ61" s="315">
        <f t="shared" ref="AJ61:AR61" ca="1" si="146">IFERROR(INDEX(INDIRECT($C61&amp;".Outputs["&amp;this.Year&amp;"]"), MATCH(AJ$5, INDIRECT($C61&amp;".Outputs[Vector]"), 0)), 0)</f>
        <v>0</v>
      </c>
      <c r="AK61" s="315">
        <f t="shared" ca="1" si="146"/>
        <v>0</v>
      </c>
      <c r="AL61" s="315">
        <f t="shared" ca="1" si="146"/>
        <v>0</v>
      </c>
      <c r="AM61" s="315">
        <f t="shared" ca="1" si="146"/>
        <v>0</v>
      </c>
      <c r="AN61" s="315">
        <f t="shared" ca="1" si="146"/>
        <v>0</v>
      </c>
      <c r="AO61" s="315">
        <f t="shared" ca="1" si="146"/>
        <v>0</v>
      </c>
      <c r="AP61" s="315">
        <f t="shared" ca="1" si="146"/>
        <v>0</v>
      </c>
      <c r="AQ61" s="315">
        <f t="shared" ca="1" si="146"/>
        <v>0</v>
      </c>
      <c r="AR61" s="315">
        <f t="shared" ca="1" si="146"/>
        <v>0</v>
      </c>
      <c r="AS61" s="315">
        <f t="shared" ca="1" si="145"/>
        <v>0</v>
      </c>
      <c r="AT61" s="315">
        <f t="shared" ca="1" si="145"/>
        <v>0</v>
      </c>
      <c r="AU61" s="315">
        <f t="shared" ca="1" si="145"/>
        <v>0</v>
      </c>
      <c r="AV61" s="315">
        <f t="shared" ca="1" si="145"/>
        <v>0</v>
      </c>
      <c r="AW61" s="315">
        <f t="shared" ca="1" si="145"/>
        <v>0</v>
      </c>
      <c r="AX61" s="315">
        <f t="shared" ca="1" si="145"/>
        <v>0</v>
      </c>
      <c r="AY61" s="293">
        <f t="shared" ref="AY61:AY90" ca="1" si="147">SUM(AJ61:AX61)</f>
        <v>0</v>
      </c>
      <c r="AZ61" s="84"/>
      <c r="BA61" s="311">
        <f ca="1">IFERROR(INDEX(INDIRECT($C61&amp;".Outputs["&amp;this.Year&amp;"]"), MATCH(BA$5, INDIRECT($C61&amp;".Outputs[Vector]"), 0)), 0)</f>
        <v>124.5433833</v>
      </c>
      <c r="BB61" s="311">
        <f ca="1">IFERROR(INDEX(INDIRECT($C61&amp;".Outputs["&amp;this.Year&amp;"]"), MATCH(BB$5, INDIRECT($C61&amp;".Outputs[Vector]"), 0)), 0)</f>
        <v>5.9306373000000008</v>
      </c>
      <c r="BC61" s="310">
        <f t="shared" ca="1" si="10"/>
        <v>130.47402060000002</v>
      </c>
      <c r="BD61" s="84"/>
      <c r="BE61" s="135">
        <f ca="1">P61+AH61+AY61+BC61</f>
        <v>0</v>
      </c>
      <c r="BF61" s="135"/>
      <c r="BG61" s="1428"/>
      <c r="BH61" s="544">
        <f t="shared" ref="BH61:CU61" ca="1" si="148">IFERROR(SUMIFS(INDIRECT($C61&amp;".Emissions["&amp;this.Year&amp;"]"), INDIRECT($C61&amp;".Emissions[GHG]"), BH$6, INDIRECT($C61&amp;".Emissions[IPCC Sector]"), BH$5),0)</f>
        <v>45.831965054399994</v>
      </c>
      <c r="BI61" s="545">
        <f t="shared" ca="1" si="148"/>
        <v>9.1869518935979125E-2</v>
      </c>
      <c r="BJ61" s="545">
        <f t="shared" ca="1" si="148"/>
        <v>9.8810133993073229E-2</v>
      </c>
      <c r="BK61" s="545">
        <f t="shared" ca="1" si="148"/>
        <v>0</v>
      </c>
      <c r="BL61" s="545">
        <f t="shared" ca="1" si="148"/>
        <v>0</v>
      </c>
      <c r="BM61" s="545">
        <f t="shared" ca="1" si="148"/>
        <v>0</v>
      </c>
      <c r="BN61" s="545">
        <f t="shared" ca="1" si="148"/>
        <v>0</v>
      </c>
      <c r="BO61" s="545">
        <f t="shared" ca="1" si="148"/>
        <v>0</v>
      </c>
      <c r="BP61" s="545">
        <f t="shared" ca="1" si="148"/>
        <v>0</v>
      </c>
      <c r="BQ61" s="545">
        <f t="shared" ca="1" si="148"/>
        <v>0</v>
      </c>
      <c r="BR61" s="545">
        <f t="shared" ca="1" si="148"/>
        <v>0</v>
      </c>
      <c r="BS61" s="545">
        <f t="shared" ca="1" si="148"/>
        <v>0</v>
      </c>
      <c r="BT61" s="545">
        <f t="shared" ca="1" si="148"/>
        <v>0</v>
      </c>
      <c r="BU61" s="545">
        <f t="shared" ca="1" si="148"/>
        <v>0</v>
      </c>
      <c r="BV61" s="545">
        <f t="shared" ca="1" si="148"/>
        <v>0</v>
      </c>
      <c r="BW61" s="545">
        <f t="shared" ca="1" si="148"/>
        <v>0</v>
      </c>
      <c r="BX61" s="545">
        <f t="shared" ca="1" si="148"/>
        <v>0</v>
      </c>
      <c r="BY61" s="545">
        <f t="shared" ca="1" si="148"/>
        <v>0</v>
      </c>
      <c r="BZ61" s="545">
        <f t="shared" ca="1" si="148"/>
        <v>0</v>
      </c>
      <c r="CA61" s="545">
        <f t="shared" ca="1" si="148"/>
        <v>0</v>
      </c>
      <c r="CB61" s="545">
        <f t="shared" ca="1" si="148"/>
        <v>0</v>
      </c>
      <c r="CC61" s="545">
        <f t="shared" ca="1" si="148"/>
        <v>0</v>
      </c>
      <c r="CD61" s="545">
        <f t="shared" ca="1" si="148"/>
        <v>0</v>
      </c>
      <c r="CE61" s="545">
        <f t="shared" ca="1" si="148"/>
        <v>0</v>
      </c>
      <c r="CF61" s="545">
        <f t="shared" ca="1" si="148"/>
        <v>0</v>
      </c>
      <c r="CG61" s="545">
        <f t="shared" ca="1" si="148"/>
        <v>0</v>
      </c>
      <c r="CH61" s="545">
        <f t="shared" ca="1" si="148"/>
        <v>0</v>
      </c>
      <c r="CI61" s="545">
        <f t="shared" ca="1" si="148"/>
        <v>0</v>
      </c>
      <c r="CJ61" s="545">
        <f t="shared" ca="1" si="148"/>
        <v>0</v>
      </c>
      <c r="CK61" s="545">
        <f t="shared" ca="1" si="148"/>
        <v>0</v>
      </c>
      <c r="CL61" s="545">
        <f t="shared" ca="1" si="148"/>
        <v>0</v>
      </c>
      <c r="CM61" s="545">
        <f t="shared" ca="1" si="148"/>
        <v>0</v>
      </c>
      <c r="CN61" s="545">
        <f t="shared" ca="1" si="148"/>
        <v>0</v>
      </c>
      <c r="CO61" s="545">
        <f t="shared" ca="1" si="148"/>
        <v>0</v>
      </c>
      <c r="CP61" s="545">
        <f t="shared" ca="1" si="148"/>
        <v>0</v>
      </c>
      <c r="CQ61" s="545">
        <f t="shared" ca="1" si="148"/>
        <v>0</v>
      </c>
      <c r="CR61" s="545">
        <f t="shared" ca="1" si="148"/>
        <v>0</v>
      </c>
      <c r="CS61" s="545">
        <f t="shared" ca="1" si="148"/>
        <v>0</v>
      </c>
      <c r="CT61" s="545">
        <f t="shared" ca="1" si="148"/>
        <v>0</v>
      </c>
      <c r="CU61" s="545">
        <f t="shared" ca="1" si="148"/>
        <v>0</v>
      </c>
      <c r="CW61" s="151">
        <f t="shared" ca="1" si="143"/>
        <v>46.02264470732905</v>
      </c>
    </row>
    <row r="62" spans="1:101" s="543" customFormat="1" ht="12.75" customHeight="1" outlineLevel="1" x14ac:dyDescent="0.2">
      <c r="C62" s="319" t="s">
        <v>2402</v>
      </c>
      <c r="D62" s="320" t="s">
        <v>587</v>
      </c>
      <c r="E62" s="61"/>
      <c r="F62" s="84"/>
      <c r="G62" s="333"/>
      <c r="H62" s="333"/>
      <c r="I62" s="333"/>
      <c r="J62" s="333"/>
      <c r="K62" s="333"/>
      <c r="L62" s="334"/>
      <c r="M62" s="333"/>
      <c r="N62" s="333"/>
      <c r="O62" s="333"/>
      <c r="P62" s="333">
        <f t="shared" si="136"/>
        <v>0</v>
      </c>
      <c r="Q62" s="882"/>
      <c r="R62" s="335">
        <f ca="1">R60+R61</f>
        <v>-192.24084077257035</v>
      </c>
      <c r="S62" s="335">
        <f ca="1">S60+S61</f>
        <v>161.390475146017</v>
      </c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>
        <f t="shared" ca="1" si="5"/>
        <v>-30.850365626553355</v>
      </c>
      <c r="AI62" s="882"/>
      <c r="AJ62" s="336"/>
      <c r="AK62" s="336"/>
      <c r="AL62" s="336"/>
      <c r="AM62" s="336"/>
      <c r="AN62" s="336"/>
      <c r="AO62" s="336"/>
      <c r="AP62" s="336"/>
      <c r="AQ62" s="336"/>
      <c r="AR62" s="336"/>
      <c r="AS62" s="336"/>
      <c r="AT62" s="336"/>
      <c r="AU62" s="336"/>
      <c r="AV62" s="336"/>
      <c r="AW62" s="336"/>
      <c r="AX62" s="336"/>
      <c r="AY62" s="336">
        <f t="shared" si="147"/>
        <v>0</v>
      </c>
      <c r="AZ62" s="882"/>
      <c r="BA62" s="337"/>
      <c r="BB62" s="337"/>
      <c r="BC62" s="337">
        <f t="shared" si="10"/>
        <v>0</v>
      </c>
      <c r="BD62" s="882"/>
      <c r="BE62" s="568"/>
      <c r="BF62" s="568"/>
      <c r="BG62" s="550"/>
      <c r="BH62" s="888"/>
      <c r="BI62" s="888"/>
      <c r="BJ62" s="888"/>
      <c r="BK62" s="888"/>
      <c r="BL62" s="888"/>
      <c r="BM62" s="888"/>
      <c r="BN62" s="888"/>
      <c r="BO62" s="888"/>
      <c r="BP62" s="888"/>
      <c r="BQ62" s="888"/>
      <c r="BR62" s="888"/>
      <c r="BS62" s="888"/>
      <c r="BT62" s="888"/>
      <c r="BU62" s="888"/>
      <c r="BV62" s="888"/>
      <c r="BW62" s="888"/>
      <c r="BX62" s="888"/>
      <c r="BY62" s="888"/>
      <c r="BZ62" s="888"/>
      <c r="CA62" s="888"/>
      <c r="CB62" s="888"/>
      <c r="CC62" s="888"/>
      <c r="CD62" s="888"/>
      <c r="CE62" s="888"/>
      <c r="CF62" s="888"/>
      <c r="CG62" s="888"/>
      <c r="CH62" s="888"/>
      <c r="CI62" s="888"/>
      <c r="CJ62" s="888"/>
      <c r="CK62" s="888"/>
      <c r="CL62" s="888"/>
      <c r="CM62" s="888"/>
      <c r="CN62" s="888"/>
      <c r="CO62" s="888"/>
      <c r="CP62" s="888"/>
      <c r="CQ62" s="888"/>
      <c r="CR62" s="888"/>
      <c r="CS62" s="888"/>
      <c r="CT62" s="888"/>
      <c r="CU62" s="888"/>
      <c r="CV62" s="550"/>
      <c r="CW62" s="887">
        <f t="shared" si="143"/>
        <v>0</v>
      </c>
    </row>
    <row r="63" spans="1:101" s="543" customFormat="1" ht="12.75" customHeight="1" outlineLevel="1" x14ac:dyDescent="0.2">
      <c r="C63" s="86" t="s">
        <v>2382</v>
      </c>
      <c r="D63" s="61" t="str">
        <f>INDEX(Modules[Module], MATCH($C63, Modules[Code], 0))</f>
        <v xml:space="preserve">Self Generation </v>
      </c>
      <c r="E63" s="61"/>
      <c r="F63" s="84"/>
      <c r="G63" s="892">
        <f t="shared" ref="G63:O63" ca="1" si="149">IFERROR(INDEX(INDIRECT($C63&amp;".Outputs["&amp;this.Year&amp;"]"), MATCH(G$5, INDIRECT($C63&amp;".Outputs[Vector]"), 0)), 0)</f>
        <v>0</v>
      </c>
      <c r="H63" s="892">
        <f t="shared" ca="1" si="149"/>
        <v>0</v>
      </c>
      <c r="I63" s="892">
        <f t="shared" ca="1" si="149"/>
        <v>0</v>
      </c>
      <c r="J63" s="892">
        <f t="shared" ca="1" si="149"/>
        <v>0</v>
      </c>
      <c r="K63" s="892">
        <f t="shared" ca="1" si="149"/>
        <v>0</v>
      </c>
      <c r="L63" s="892">
        <f t="shared" ca="1" si="149"/>
        <v>0</v>
      </c>
      <c r="M63" s="892">
        <f t="shared" ca="1" si="149"/>
        <v>0</v>
      </c>
      <c r="N63" s="892">
        <f t="shared" ca="1" si="149"/>
        <v>0</v>
      </c>
      <c r="O63" s="892">
        <f t="shared" ca="1" si="149"/>
        <v>0</v>
      </c>
      <c r="P63" s="892">
        <f t="shared" ca="1" si="136"/>
        <v>0</v>
      </c>
      <c r="Q63" s="84"/>
      <c r="R63" s="893">
        <f t="shared" ref="R63:AX63" ca="1" si="150">IFERROR(INDEX(INDIRECT($C63&amp;".Outputs["&amp;this.Year&amp;"]"), MATCH(R$5, INDIRECT($C63&amp;".Outputs[Vector]"), 0)), 0)</f>
        <v>0</v>
      </c>
      <c r="S63" s="893">
        <f t="shared" ca="1" si="150"/>
        <v>30.850365626553355</v>
      </c>
      <c r="T63" s="893">
        <f t="shared" ca="1" si="150"/>
        <v>0</v>
      </c>
      <c r="U63" s="893">
        <f t="shared" ca="1" si="150"/>
        <v>-38.948586603523609</v>
      </c>
      <c r="V63" s="893">
        <f t="shared" ca="1" si="150"/>
        <v>0</v>
      </c>
      <c r="W63" s="893">
        <f t="shared" ca="1" si="150"/>
        <v>0</v>
      </c>
      <c r="X63" s="893">
        <f ca="1">IFERROR(INDEX(INDIRECT($C63&amp;".Outputs["&amp;this.Year&amp;"]"), MATCH(X$5, INDIRECT($C63&amp;".Outputs[Vector]"), 0)), 0)</f>
        <v>0</v>
      </c>
      <c r="Y63" s="893">
        <f ca="1">IFERROR(INDEX(INDIRECT($C63&amp;".Outputs["&amp;this.Year&amp;"]"), MATCH(Y$5, INDIRECT($C63&amp;".Outputs[Vector]"), 0)), 0)</f>
        <v>0</v>
      </c>
      <c r="Z63" s="893">
        <f ca="1">IFERROR(INDEX(INDIRECT($C63&amp;".Outputs["&amp;this.Year&amp;"]"), MATCH(Z$5, INDIRECT($C63&amp;".Outputs[Vector]"), 0)), 0)</f>
        <v>0</v>
      </c>
      <c r="AA63" s="893">
        <f t="shared" ca="1" si="150"/>
        <v>0</v>
      </c>
      <c r="AB63" s="893">
        <f t="shared" ca="1" si="150"/>
        <v>0</v>
      </c>
      <c r="AC63" s="893">
        <f t="shared" ca="1" si="150"/>
        <v>0</v>
      </c>
      <c r="AD63" s="893">
        <f t="shared" ca="1" si="150"/>
        <v>0</v>
      </c>
      <c r="AE63" s="893">
        <f t="shared" ca="1" si="150"/>
        <v>0</v>
      </c>
      <c r="AF63" s="893">
        <f t="shared" ca="1" si="150"/>
        <v>0</v>
      </c>
      <c r="AG63" s="893">
        <f t="shared" ca="1" si="150"/>
        <v>0</v>
      </c>
      <c r="AH63" s="894">
        <f t="shared" ca="1" si="5"/>
        <v>-8.0982209769702536</v>
      </c>
      <c r="AI63" s="84"/>
      <c r="AJ63" s="895">
        <f t="shared" ref="AJ63:AR63" ca="1" si="151">IFERROR(INDEX(INDIRECT($C63&amp;".Outputs["&amp;this.Year&amp;"]"), MATCH(AJ$5, INDIRECT($C63&amp;".Outputs[Vector]"), 0)), 0)</f>
        <v>0</v>
      </c>
      <c r="AK63" s="895">
        <f t="shared" ca="1" si="151"/>
        <v>0</v>
      </c>
      <c r="AL63" s="895">
        <f t="shared" ca="1" si="151"/>
        <v>0</v>
      </c>
      <c r="AM63" s="895">
        <f t="shared" ca="1" si="151"/>
        <v>0</v>
      </c>
      <c r="AN63" s="895">
        <f t="shared" ca="1" si="151"/>
        <v>0</v>
      </c>
      <c r="AO63" s="895">
        <f t="shared" ca="1" si="151"/>
        <v>0</v>
      </c>
      <c r="AP63" s="895">
        <f t="shared" ca="1" si="151"/>
        <v>0</v>
      </c>
      <c r="AQ63" s="895">
        <f t="shared" ca="1" si="151"/>
        <v>0</v>
      </c>
      <c r="AR63" s="895">
        <f t="shared" ca="1" si="151"/>
        <v>0</v>
      </c>
      <c r="AS63" s="895">
        <f t="shared" ca="1" si="150"/>
        <v>0</v>
      </c>
      <c r="AT63" s="895">
        <f t="shared" ca="1" si="150"/>
        <v>0</v>
      </c>
      <c r="AU63" s="895">
        <f t="shared" ca="1" si="150"/>
        <v>0</v>
      </c>
      <c r="AV63" s="895">
        <f t="shared" ca="1" si="150"/>
        <v>0</v>
      </c>
      <c r="AW63" s="895">
        <f t="shared" ca="1" si="150"/>
        <v>0</v>
      </c>
      <c r="AX63" s="895">
        <f t="shared" ca="1" si="150"/>
        <v>0</v>
      </c>
      <c r="AY63" s="896">
        <f t="shared" ca="1" si="147"/>
        <v>0</v>
      </c>
      <c r="AZ63" s="84"/>
      <c r="BA63" s="897">
        <f ca="1">IFERROR(INDEX(INDIRECT($C63&amp;".Outputs["&amp;this.Year&amp;"]"), MATCH(BA$5, INDIRECT($C63&amp;".Outputs[Vector]"), 0)), 0)</f>
        <v>7.789717320704721</v>
      </c>
      <c r="BB63" s="897">
        <f ca="1">IFERROR(INDEX(INDIRECT($C63&amp;".Outputs["&amp;this.Year&amp;"]"), MATCH(BB$5, INDIRECT($C63&amp;".Outputs[Vector]"), 0)), 0)</f>
        <v>0.30850365626553355</v>
      </c>
      <c r="BC63" s="898">
        <f t="shared" ca="1" si="10"/>
        <v>8.0982209769702553</v>
      </c>
      <c r="BD63" s="84"/>
      <c r="BE63" s="135">
        <f ca="1">P63+AH63+AY63+BC63</f>
        <v>0</v>
      </c>
      <c r="BF63" s="135"/>
      <c r="BG63" s="1428"/>
      <c r="BH63" s="541">
        <f t="shared" ref="BH63:CU63" ca="1" si="152">IFERROR(SUMIFS(INDIRECT($C63&amp;".Emissions["&amp;this.Year&amp;"]"), INDIRECT($C63&amp;".Emissions[GHG]"), BH$6, INDIRECT($C63&amp;".Emissions[IPCC Sector]"), BH$5),0)</f>
        <v>0.97371466508809024</v>
      </c>
      <c r="BI63" s="542">
        <f t="shared" ca="1" si="152"/>
        <v>1.2122709140514668E-3</v>
      </c>
      <c r="BJ63" s="542">
        <f t="shared" ca="1" si="152"/>
        <v>0.1751912205453327</v>
      </c>
      <c r="BK63" s="542">
        <f t="shared" ca="1" si="152"/>
        <v>0</v>
      </c>
      <c r="BL63" s="542">
        <f t="shared" ca="1" si="152"/>
        <v>0</v>
      </c>
      <c r="BM63" s="542">
        <f t="shared" ca="1" si="152"/>
        <v>0</v>
      </c>
      <c r="BN63" s="542">
        <f t="shared" ca="1" si="152"/>
        <v>0</v>
      </c>
      <c r="BO63" s="542">
        <f t="shared" ca="1" si="152"/>
        <v>0</v>
      </c>
      <c r="BP63" s="542">
        <f t="shared" ca="1" si="152"/>
        <v>0</v>
      </c>
      <c r="BQ63" s="542">
        <f t="shared" ca="1" si="152"/>
        <v>0</v>
      </c>
      <c r="BR63" s="542">
        <f t="shared" ca="1" si="152"/>
        <v>0</v>
      </c>
      <c r="BS63" s="542">
        <f t="shared" ca="1" si="152"/>
        <v>0</v>
      </c>
      <c r="BT63" s="542">
        <f t="shared" ca="1" si="152"/>
        <v>0</v>
      </c>
      <c r="BU63" s="542">
        <f t="shared" ca="1" si="152"/>
        <v>0</v>
      </c>
      <c r="BV63" s="542">
        <f t="shared" ca="1" si="152"/>
        <v>0</v>
      </c>
      <c r="BW63" s="542">
        <f t="shared" ca="1" si="152"/>
        <v>0</v>
      </c>
      <c r="BX63" s="542">
        <f t="shared" ca="1" si="152"/>
        <v>0</v>
      </c>
      <c r="BY63" s="542">
        <f t="shared" ca="1" si="152"/>
        <v>0</v>
      </c>
      <c r="BZ63" s="542">
        <f t="shared" ca="1" si="152"/>
        <v>0</v>
      </c>
      <c r="CA63" s="542">
        <f t="shared" ca="1" si="152"/>
        <v>0</v>
      </c>
      <c r="CB63" s="542">
        <f t="shared" ca="1" si="152"/>
        <v>0</v>
      </c>
      <c r="CC63" s="542">
        <f t="shared" ca="1" si="152"/>
        <v>0</v>
      </c>
      <c r="CD63" s="542">
        <f t="shared" ca="1" si="152"/>
        <v>0</v>
      </c>
      <c r="CE63" s="542">
        <f t="shared" ca="1" si="152"/>
        <v>0</v>
      </c>
      <c r="CF63" s="542">
        <f t="shared" ca="1" si="152"/>
        <v>0</v>
      </c>
      <c r="CG63" s="542">
        <f t="shared" ca="1" si="152"/>
        <v>0</v>
      </c>
      <c r="CH63" s="542">
        <f t="shared" ca="1" si="152"/>
        <v>0</v>
      </c>
      <c r="CI63" s="542">
        <f t="shared" ca="1" si="152"/>
        <v>0</v>
      </c>
      <c r="CJ63" s="542">
        <f t="shared" ca="1" si="152"/>
        <v>0</v>
      </c>
      <c r="CK63" s="542">
        <f t="shared" ca="1" si="152"/>
        <v>0</v>
      </c>
      <c r="CL63" s="542">
        <f t="shared" ca="1" si="152"/>
        <v>0</v>
      </c>
      <c r="CM63" s="542">
        <f t="shared" ca="1" si="152"/>
        <v>0</v>
      </c>
      <c r="CN63" s="542">
        <f t="shared" ca="1" si="152"/>
        <v>0</v>
      </c>
      <c r="CO63" s="542">
        <f t="shared" ca="1" si="152"/>
        <v>0</v>
      </c>
      <c r="CP63" s="542">
        <f t="shared" ca="1" si="152"/>
        <v>0</v>
      </c>
      <c r="CQ63" s="542">
        <f t="shared" ca="1" si="152"/>
        <v>0</v>
      </c>
      <c r="CR63" s="542">
        <f t="shared" ca="1" si="152"/>
        <v>0</v>
      </c>
      <c r="CS63" s="542">
        <f t="shared" ca="1" si="152"/>
        <v>0</v>
      </c>
      <c r="CT63" s="542">
        <f t="shared" ca="1" si="152"/>
        <v>0</v>
      </c>
      <c r="CU63" s="542">
        <f t="shared" ca="1" si="152"/>
        <v>0</v>
      </c>
      <c r="CW63" s="151">
        <f t="shared" ca="1" si="143"/>
        <v>1.1501181565474745</v>
      </c>
    </row>
    <row r="64" spans="1:101" s="84" customFormat="1" ht="15.75" x14ac:dyDescent="0.2">
      <c r="A64" s="18"/>
      <c r="B64" s="89"/>
      <c r="C64" s="85" t="s">
        <v>60</v>
      </c>
      <c r="D64" s="57" t="str">
        <f>INDEX(Workstreams[Workstream], MATCH($C64, Workstreams[Code], 0))</f>
        <v>Hydrocarbon fuel power generation</v>
      </c>
      <c r="E64" s="53"/>
      <c r="G64" s="300">
        <f ca="1">G57+G61+G63+G59</f>
        <v>0</v>
      </c>
      <c r="H64" s="300">
        <f t="shared" ref="H64:BS64" ca="1" si="153">H57+H61+H63+H59</f>
        <v>0</v>
      </c>
      <c r="I64" s="300">
        <f t="shared" ca="1" si="153"/>
        <v>0</v>
      </c>
      <c r="J64" s="300">
        <f t="shared" ca="1" si="153"/>
        <v>0</v>
      </c>
      <c r="K64" s="300">
        <f t="shared" ca="1" si="153"/>
        <v>0</v>
      </c>
      <c r="L64" s="300">
        <f t="shared" ca="1" si="153"/>
        <v>0</v>
      </c>
      <c r="M64" s="300">
        <f t="shared" ca="1" si="153"/>
        <v>0</v>
      </c>
      <c r="N64" s="300">
        <f t="shared" ca="1" si="153"/>
        <v>0</v>
      </c>
      <c r="O64" s="300">
        <f t="shared" ca="1" si="153"/>
        <v>0</v>
      </c>
      <c r="P64" s="300">
        <f t="shared" ca="1" si="136"/>
        <v>0</v>
      </c>
      <c r="Q64" s="300">
        <f t="shared" si="153"/>
        <v>0</v>
      </c>
      <c r="R64" s="300">
        <f t="shared" ca="1" si="153"/>
        <v>0</v>
      </c>
      <c r="S64" s="300">
        <f t="shared" ca="1" si="153"/>
        <v>157.35251162655334</v>
      </c>
      <c r="T64" s="300">
        <f t="shared" ca="1" si="153"/>
        <v>-23.668200000000002</v>
      </c>
      <c r="U64" s="300">
        <f t="shared" ca="1" si="153"/>
        <v>-38.948586603523609</v>
      </c>
      <c r="V64" s="300">
        <f t="shared" ca="1" si="153"/>
        <v>-249.0867666</v>
      </c>
      <c r="W64" s="300">
        <f t="shared" ca="1" si="153"/>
        <v>0</v>
      </c>
      <c r="X64" s="300">
        <f t="shared" ca="1" si="153"/>
        <v>0</v>
      </c>
      <c r="Y64" s="300">
        <f t="shared" ca="1" si="153"/>
        <v>0</v>
      </c>
      <c r="Z64" s="300">
        <f t="shared" ca="1" si="153"/>
        <v>0</v>
      </c>
      <c r="AA64" s="300">
        <f t="shared" ca="1" si="153"/>
        <v>0</v>
      </c>
      <c r="AB64" s="300">
        <f t="shared" ca="1" si="153"/>
        <v>0</v>
      </c>
      <c r="AC64" s="300">
        <f t="shared" ca="1" si="153"/>
        <v>0</v>
      </c>
      <c r="AD64" s="300">
        <f t="shared" ca="1" si="153"/>
        <v>0</v>
      </c>
      <c r="AE64" s="300">
        <f t="shared" ca="1" si="153"/>
        <v>0</v>
      </c>
      <c r="AF64" s="300">
        <f t="shared" ca="1" si="153"/>
        <v>0</v>
      </c>
      <c r="AG64" s="300">
        <f t="shared" ca="1" si="153"/>
        <v>0</v>
      </c>
      <c r="AH64" s="300">
        <f t="shared" ca="1" si="5"/>
        <v>-154.35104157697029</v>
      </c>
      <c r="AI64" s="300">
        <f t="shared" si="153"/>
        <v>0</v>
      </c>
      <c r="AJ64" s="300">
        <f t="shared" ca="1" si="153"/>
        <v>0</v>
      </c>
      <c r="AK64" s="300">
        <f t="shared" ca="1" si="153"/>
        <v>0</v>
      </c>
      <c r="AL64" s="300">
        <f t="shared" ca="1" si="153"/>
        <v>0</v>
      </c>
      <c r="AM64" s="300">
        <f t="shared" ca="1" si="153"/>
        <v>0</v>
      </c>
      <c r="AN64" s="300">
        <f t="shared" ca="1" si="153"/>
        <v>0</v>
      </c>
      <c r="AO64" s="300">
        <f t="shared" ca="1" si="153"/>
        <v>0</v>
      </c>
      <c r="AP64" s="300">
        <f t="shared" ca="1" si="153"/>
        <v>0</v>
      </c>
      <c r="AQ64" s="300">
        <f t="shared" ca="1" si="153"/>
        <v>0</v>
      </c>
      <c r="AR64" s="300">
        <f t="shared" ca="1" si="153"/>
        <v>0</v>
      </c>
      <c r="AS64" s="300">
        <f t="shared" ca="1" si="153"/>
        <v>0</v>
      </c>
      <c r="AT64" s="300">
        <f t="shared" ca="1" si="153"/>
        <v>0</v>
      </c>
      <c r="AU64" s="300">
        <f t="shared" ca="1" si="153"/>
        <v>0</v>
      </c>
      <c r="AV64" s="300">
        <f t="shared" ca="1" si="153"/>
        <v>0</v>
      </c>
      <c r="AW64" s="300">
        <f t="shared" ca="1" si="153"/>
        <v>0</v>
      </c>
      <c r="AX64" s="300">
        <f t="shared" ca="1" si="153"/>
        <v>0</v>
      </c>
      <c r="AY64" s="300">
        <f t="shared" ca="1" si="147"/>
        <v>0</v>
      </c>
      <c r="AZ64" s="300">
        <f t="shared" si="153"/>
        <v>0</v>
      </c>
      <c r="BA64" s="300">
        <f t="shared" ca="1" si="153"/>
        <v>147.7174306207047</v>
      </c>
      <c r="BB64" s="300">
        <f t="shared" ca="1" si="153"/>
        <v>6.6336109562655343</v>
      </c>
      <c r="BC64" s="300">
        <f t="shared" ca="1" si="10"/>
        <v>154.35104157697023</v>
      </c>
      <c r="BD64" s="300">
        <f t="shared" si="153"/>
        <v>0</v>
      </c>
      <c r="BE64" s="300">
        <f t="shared" ca="1" si="153"/>
        <v>0</v>
      </c>
      <c r="BF64" s="300">
        <f t="shared" si="153"/>
        <v>0</v>
      </c>
      <c r="BG64" s="300">
        <f t="shared" si="153"/>
        <v>0</v>
      </c>
      <c r="BH64" s="300">
        <f t="shared" ca="1" si="153"/>
        <v>54.095485319488084</v>
      </c>
      <c r="BI64" s="300">
        <f t="shared" ca="1" si="153"/>
        <v>0.11449660434073054</v>
      </c>
      <c r="BJ64" s="300">
        <f t="shared" ca="1" si="153"/>
        <v>0.33857819539795098</v>
      </c>
      <c r="BK64" s="300">
        <f t="shared" ca="1" si="153"/>
        <v>0</v>
      </c>
      <c r="BL64" s="300">
        <f t="shared" ca="1" si="153"/>
        <v>0</v>
      </c>
      <c r="BM64" s="300">
        <f t="shared" ca="1" si="153"/>
        <v>0</v>
      </c>
      <c r="BN64" s="300">
        <f t="shared" ca="1" si="153"/>
        <v>0</v>
      </c>
      <c r="BO64" s="300">
        <f t="shared" ca="1" si="153"/>
        <v>0</v>
      </c>
      <c r="BP64" s="300">
        <f t="shared" ca="1" si="153"/>
        <v>0</v>
      </c>
      <c r="BQ64" s="300">
        <f t="shared" ca="1" si="153"/>
        <v>0</v>
      </c>
      <c r="BR64" s="300">
        <f t="shared" ca="1" si="153"/>
        <v>0</v>
      </c>
      <c r="BS64" s="300">
        <f t="shared" ca="1" si="153"/>
        <v>0</v>
      </c>
      <c r="BT64" s="300">
        <f t="shared" ref="BT64:CU64" ca="1" si="154">BT57+BT61+BT63+BT59</f>
        <v>0</v>
      </c>
      <c r="BU64" s="300">
        <f t="shared" ca="1" si="154"/>
        <v>0</v>
      </c>
      <c r="BV64" s="300">
        <f t="shared" ca="1" si="154"/>
        <v>0</v>
      </c>
      <c r="BW64" s="300">
        <f t="shared" ca="1" si="154"/>
        <v>0</v>
      </c>
      <c r="BX64" s="300">
        <f t="shared" ca="1" si="154"/>
        <v>0</v>
      </c>
      <c r="BY64" s="300">
        <f t="shared" ca="1" si="154"/>
        <v>0</v>
      </c>
      <c r="BZ64" s="300">
        <f t="shared" ca="1" si="154"/>
        <v>0</v>
      </c>
      <c r="CA64" s="300">
        <f t="shared" ca="1" si="154"/>
        <v>0</v>
      </c>
      <c r="CB64" s="300">
        <f t="shared" ca="1" si="154"/>
        <v>0</v>
      </c>
      <c r="CC64" s="300">
        <f t="shared" ca="1" si="154"/>
        <v>0</v>
      </c>
      <c r="CD64" s="300">
        <f t="shared" ca="1" si="154"/>
        <v>0</v>
      </c>
      <c r="CE64" s="300">
        <f t="shared" ca="1" si="154"/>
        <v>0</v>
      </c>
      <c r="CF64" s="300">
        <f t="shared" ca="1" si="154"/>
        <v>0</v>
      </c>
      <c r="CG64" s="300">
        <f t="shared" ca="1" si="154"/>
        <v>0</v>
      </c>
      <c r="CH64" s="300">
        <f t="shared" ca="1" si="154"/>
        <v>0</v>
      </c>
      <c r="CI64" s="300">
        <f t="shared" ca="1" si="154"/>
        <v>0</v>
      </c>
      <c r="CJ64" s="300">
        <f t="shared" ca="1" si="154"/>
        <v>0</v>
      </c>
      <c r="CK64" s="300">
        <f t="shared" ca="1" si="154"/>
        <v>0</v>
      </c>
      <c r="CL64" s="300">
        <f t="shared" ca="1" si="154"/>
        <v>0</v>
      </c>
      <c r="CM64" s="300">
        <f t="shared" ca="1" si="154"/>
        <v>0</v>
      </c>
      <c r="CN64" s="300">
        <f t="shared" ca="1" si="154"/>
        <v>0</v>
      </c>
      <c r="CO64" s="300">
        <f t="shared" ca="1" si="154"/>
        <v>0</v>
      </c>
      <c r="CP64" s="300">
        <f t="shared" ca="1" si="154"/>
        <v>0</v>
      </c>
      <c r="CQ64" s="300">
        <f t="shared" ca="1" si="154"/>
        <v>0</v>
      </c>
      <c r="CR64" s="300">
        <f t="shared" ca="1" si="154"/>
        <v>0</v>
      </c>
      <c r="CS64" s="300">
        <f t="shared" ca="1" si="154"/>
        <v>0</v>
      </c>
      <c r="CT64" s="300">
        <f t="shared" ca="1" si="154"/>
        <v>0</v>
      </c>
      <c r="CU64" s="300">
        <f t="shared" ca="1" si="154"/>
        <v>0</v>
      </c>
      <c r="CW64" s="151">
        <f t="shared" ca="1" si="143"/>
        <v>54.548560119226764</v>
      </c>
    </row>
    <row r="65" spans="1:101" s="84" customFormat="1" ht="6" customHeight="1" x14ac:dyDescent="0.2">
      <c r="C65" s="56"/>
      <c r="D65" s="57"/>
      <c r="E65" s="51"/>
      <c r="G65" s="245"/>
      <c r="H65" s="245"/>
      <c r="I65" s="245"/>
      <c r="J65" s="245"/>
      <c r="K65" s="245"/>
      <c r="L65" s="247"/>
      <c r="M65" s="245"/>
      <c r="N65" s="245"/>
      <c r="O65" s="245"/>
      <c r="P65" s="245">
        <f t="shared" si="136"/>
        <v>0</v>
      </c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>
        <f t="shared" si="5"/>
        <v>0</v>
      </c>
      <c r="AJ65" s="263"/>
      <c r="AK65" s="263"/>
      <c r="AL65" s="263"/>
      <c r="AM65" s="263"/>
      <c r="AN65" s="263"/>
      <c r="AO65" s="263"/>
      <c r="AP65" s="263"/>
      <c r="AQ65" s="263"/>
      <c r="AR65" s="263"/>
      <c r="AS65" s="263"/>
      <c r="AT65" s="263"/>
      <c r="AU65" s="263"/>
      <c r="AV65" s="263"/>
      <c r="AW65" s="263"/>
      <c r="AX65" s="263"/>
      <c r="AY65" s="263">
        <f t="shared" si="147"/>
        <v>0</v>
      </c>
      <c r="BA65" s="277"/>
      <c r="BB65" s="277"/>
      <c r="BC65" s="277">
        <f t="shared" si="10"/>
        <v>0</v>
      </c>
      <c r="BE65" s="55">
        <f>P65+AH65+AY65+BC65</f>
        <v>0</v>
      </c>
      <c r="BF65" s="55"/>
      <c r="BH65" s="542"/>
      <c r="BI65" s="542"/>
      <c r="BJ65" s="542"/>
      <c r="BK65" s="542"/>
      <c r="BL65" s="542"/>
      <c r="BM65" s="542"/>
      <c r="BN65" s="542"/>
      <c r="BO65" s="542"/>
      <c r="BP65" s="542"/>
      <c r="BQ65" s="542"/>
      <c r="BR65" s="542"/>
      <c r="BS65" s="542"/>
      <c r="BT65" s="542"/>
      <c r="BU65" s="542"/>
      <c r="BV65" s="542"/>
      <c r="BW65" s="542"/>
      <c r="BX65" s="542"/>
      <c r="BY65" s="542"/>
      <c r="BZ65" s="542"/>
      <c r="CA65" s="542"/>
      <c r="CB65" s="542"/>
      <c r="CC65" s="542"/>
      <c r="CD65" s="542"/>
      <c r="CE65" s="542"/>
      <c r="CF65" s="542"/>
      <c r="CG65" s="542"/>
      <c r="CH65" s="542"/>
      <c r="CI65" s="542"/>
      <c r="CJ65" s="542"/>
      <c r="CK65" s="542"/>
      <c r="CL65" s="542"/>
      <c r="CM65" s="542"/>
      <c r="CN65" s="542"/>
      <c r="CO65" s="542"/>
      <c r="CP65" s="542"/>
      <c r="CQ65" s="542"/>
      <c r="CR65" s="542"/>
      <c r="CS65" s="542"/>
      <c r="CT65" s="542"/>
      <c r="CU65" s="542"/>
      <c r="CW65" s="151"/>
    </row>
    <row r="66" spans="1:101" s="84" customFormat="1" ht="15.75" x14ac:dyDescent="0.2">
      <c r="B66" s="89"/>
      <c r="C66" s="923" t="s">
        <v>884</v>
      </c>
      <c r="D66" s="69" t="s">
        <v>124</v>
      </c>
      <c r="E66" s="70"/>
      <c r="G66" s="338">
        <f t="shared" ref="G66:O66" ca="1" si="155">G$36+G$40+G$47+G$50+G$54+G$64</f>
        <v>0</v>
      </c>
      <c r="H66" s="338">
        <f t="shared" ca="1" si="155"/>
        <v>0</v>
      </c>
      <c r="I66" s="338">
        <f t="shared" ca="1" si="155"/>
        <v>0</v>
      </c>
      <c r="J66" s="338">
        <f t="shared" ca="1" si="155"/>
        <v>294.44987054208923</v>
      </c>
      <c r="K66" s="338">
        <f t="shared" ca="1" si="155"/>
        <v>0</v>
      </c>
      <c r="L66" s="338">
        <f t="shared" ca="1" si="155"/>
        <v>0</v>
      </c>
      <c r="M66" s="338">
        <f t="shared" ca="1" si="155"/>
        <v>0</v>
      </c>
      <c r="N66" s="338">
        <f t="shared" ca="1" si="155"/>
        <v>0</v>
      </c>
      <c r="O66" s="338">
        <f t="shared" ca="1" si="155"/>
        <v>0</v>
      </c>
      <c r="P66" s="338">
        <f t="shared" ca="1" si="136"/>
        <v>294.44987054208923</v>
      </c>
      <c r="R66" s="294">
        <f t="shared" ref="R66:AG66" ca="1" si="156">R$36+R$40+R$47+R$50+R$54+R$64</f>
        <v>-6.5553833513230089</v>
      </c>
      <c r="S66" s="294">
        <f ca="1">S$36+S$40+S$47+S$50+S$54+S$64</f>
        <v>226.69069502655333</v>
      </c>
      <c r="T66" s="294">
        <f t="shared" ca="1" si="156"/>
        <v>-23.682231714732904</v>
      </c>
      <c r="U66" s="294">
        <f t="shared" ca="1" si="156"/>
        <v>-41.320690888018319</v>
      </c>
      <c r="V66" s="294">
        <f t="shared" ca="1" si="156"/>
        <v>-532.62002571233461</v>
      </c>
      <c r="W66" s="294">
        <f t="shared" ca="1" si="156"/>
        <v>-6.8729570041122843</v>
      </c>
      <c r="X66" s="294">
        <f t="shared" ca="1" si="156"/>
        <v>13.021734506073333</v>
      </c>
      <c r="Y66" s="294">
        <f t="shared" ca="1" si="156"/>
        <v>1448.5168791380001</v>
      </c>
      <c r="Z66" s="294">
        <f t="shared" ca="1" si="156"/>
        <v>860.64599999999996</v>
      </c>
      <c r="AA66" s="294">
        <f t="shared" ca="1" si="156"/>
        <v>0</v>
      </c>
      <c r="AB66" s="294">
        <f t="shared" ca="1" si="156"/>
        <v>0</v>
      </c>
      <c r="AC66" s="294">
        <f t="shared" ca="1" si="156"/>
        <v>1929.3397217722111</v>
      </c>
      <c r="AD66" s="294">
        <f t="shared" ca="1" si="156"/>
        <v>14.240042740265427</v>
      </c>
      <c r="AE66" s="294">
        <f t="shared" ca="1" si="156"/>
        <v>143.92492401211445</v>
      </c>
      <c r="AF66" s="294">
        <f t="shared" ca="1" si="156"/>
        <v>60.160926366401561</v>
      </c>
      <c r="AG66" s="294">
        <f t="shared" ca="1" si="156"/>
        <v>9.7112997118455926</v>
      </c>
      <c r="AH66" s="294">
        <f t="shared" ca="1" si="5"/>
        <v>4095.200934602944</v>
      </c>
      <c r="AJ66" s="295">
        <f t="shared" ref="AJ66:AX66" ca="1" si="157">AJ$36+AJ$40+AJ$47+AJ$50+AJ$54+AJ$64</f>
        <v>-7.17215067274</v>
      </c>
      <c r="AK66" s="295">
        <f t="shared" ca="1" si="157"/>
        <v>-1448.5168791380001</v>
      </c>
      <c r="AL66" s="295">
        <f t="shared" ca="1" si="157"/>
        <v>-860.64599999999996</v>
      </c>
      <c r="AM66" s="295">
        <f t="shared" ca="1" si="157"/>
        <v>0</v>
      </c>
      <c r="AN66" s="295">
        <f t="shared" ca="1" si="157"/>
        <v>0</v>
      </c>
      <c r="AO66" s="295">
        <f t="shared" ca="1" si="157"/>
        <v>0</v>
      </c>
      <c r="AP66" s="295">
        <f t="shared" ca="1" si="157"/>
        <v>0</v>
      </c>
      <c r="AQ66" s="295">
        <f t="shared" ca="1" si="157"/>
        <v>0</v>
      </c>
      <c r="AR66" s="295">
        <f t="shared" ca="1" si="157"/>
        <v>0</v>
      </c>
      <c r="AS66" s="295">
        <f t="shared" ca="1" si="157"/>
        <v>0</v>
      </c>
      <c r="AT66" s="295">
        <f t="shared" ca="1" si="157"/>
        <v>-48.334847400000001</v>
      </c>
      <c r="AU66" s="295">
        <f t="shared" ca="1" si="157"/>
        <v>-3.6817200000000003</v>
      </c>
      <c r="AV66" s="295">
        <f t="shared" ca="1" si="157"/>
        <v>-17.321616000000002</v>
      </c>
      <c r="AW66" s="295">
        <f t="shared" ca="1" si="157"/>
        <v>-1943.5797645124765</v>
      </c>
      <c r="AX66" s="295">
        <f t="shared" ca="1" si="157"/>
        <v>-219.64673392369494</v>
      </c>
      <c r="AY66" s="295">
        <f t="shared" ca="1" si="147"/>
        <v>-4548.8997116469118</v>
      </c>
      <c r="BA66" s="296">
        <f ca="1">BA$36+BA$40+BA$47+BA$50+BA$54+BA$64</f>
        <v>147.7174306207047</v>
      </c>
      <c r="BB66" s="296">
        <f ca="1">BB$36+BB$40+BB$47+BB$50+BB$54+BB$64</f>
        <v>11.531475881173915</v>
      </c>
      <c r="BC66" s="296">
        <f t="shared" ca="1" si="10"/>
        <v>159.24890650187862</v>
      </c>
      <c r="BE66" s="58">
        <f ca="1">P66+AH66+AY66+BC66</f>
        <v>-3.694822225952521E-13</v>
      </c>
      <c r="BF66" s="58"/>
      <c r="BH66" s="546">
        <f t="shared" ref="BH66:CU66" ca="1" si="158">BH$36+BH$40+BH$47+BH$50+BH$54+BH$64</f>
        <v>106.86119379420771</v>
      </c>
      <c r="BI66" s="546">
        <f t="shared" ca="1" si="158"/>
        <v>0.2198176079746601</v>
      </c>
      <c r="BJ66" s="546">
        <f t="shared" ca="1" si="158"/>
        <v>0.4617518220621486</v>
      </c>
      <c r="BK66" s="546">
        <f t="shared" ca="1" si="158"/>
        <v>0</v>
      </c>
      <c r="BL66" s="546">
        <f t="shared" ca="1" si="158"/>
        <v>6.6124285714285715</v>
      </c>
      <c r="BM66" s="546">
        <f t="shared" ca="1" si="158"/>
        <v>9.7609518700020638E-3</v>
      </c>
      <c r="BN66" s="546">
        <f t="shared" ca="1" si="158"/>
        <v>0</v>
      </c>
      <c r="BO66" s="546">
        <f t="shared" ca="1" si="158"/>
        <v>0</v>
      </c>
      <c r="BP66" s="546">
        <f t="shared" ca="1" si="158"/>
        <v>0</v>
      </c>
      <c r="BQ66" s="546">
        <f t="shared" ca="1" si="158"/>
        <v>0</v>
      </c>
      <c r="BR66" s="546">
        <f t="shared" ca="1" si="158"/>
        <v>0</v>
      </c>
      <c r="BS66" s="546">
        <f t="shared" ca="1" si="158"/>
        <v>0</v>
      </c>
      <c r="BT66" s="546">
        <f t="shared" ca="1" si="158"/>
        <v>0</v>
      </c>
      <c r="BU66" s="546">
        <f t="shared" ca="1" si="158"/>
        <v>0</v>
      </c>
      <c r="BV66" s="546">
        <f t="shared" ca="1" si="158"/>
        <v>0</v>
      </c>
      <c r="BW66" s="546">
        <f t="shared" ca="1" si="158"/>
        <v>0</v>
      </c>
      <c r="BX66" s="546">
        <f t="shared" ca="1" si="158"/>
        <v>0</v>
      </c>
      <c r="BY66" s="546">
        <f t="shared" ca="1" si="158"/>
        <v>0</v>
      </c>
      <c r="BZ66" s="546">
        <f t="shared" ca="1" si="158"/>
        <v>21.83370602510076</v>
      </c>
      <c r="CA66" s="546">
        <f t="shared" ca="1" si="158"/>
        <v>0</v>
      </c>
      <c r="CB66" s="546">
        <f t="shared" ca="1" si="158"/>
        <v>7.3100835966666686</v>
      </c>
      <c r="CC66" s="546">
        <f t="shared" ca="1" si="158"/>
        <v>0</v>
      </c>
      <c r="CD66" s="546">
        <f t="shared" ca="1" si="158"/>
        <v>0</v>
      </c>
      <c r="CE66" s="546">
        <f t="shared" ca="1" si="158"/>
        <v>0</v>
      </c>
      <c r="CF66" s="546">
        <f t="shared" ca="1" si="158"/>
        <v>0</v>
      </c>
      <c r="CG66" s="546">
        <f t="shared" ca="1" si="158"/>
        <v>8.4928453808442548</v>
      </c>
      <c r="CH66" s="546">
        <f t="shared" ca="1" si="158"/>
        <v>0</v>
      </c>
      <c r="CI66" s="546">
        <f t="shared" ca="1" si="158"/>
        <v>0</v>
      </c>
      <c r="CJ66" s="546">
        <f t="shared" ca="1" si="158"/>
        <v>0</v>
      </c>
      <c r="CK66" s="546">
        <f t="shared" ca="1" si="158"/>
        <v>0</v>
      </c>
      <c r="CL66" s="546">
        <f t="shared" ca="1" si="158"/>
        <v>0</v>
      </c>
      <c r="CM66" s="546">
        <f t="shared" ca="1" si="158"/>
        <v>0</v>
      </c>
      <c r="CN66" s="546">
        <f t="shared" ca="1" si="158"/>
        <v>0</v>
      </c>
      <c r="CO66" s="546">
        <f t="shared" ca="1" si="158"/>
        <v>0</v>
      </c>
      <c r="CP66" s="546">
        <f t="shared" ca="1" si="158"/>
        <v>0</v>
      </c>
      <c r="CQ66" s="546">
        <f t="shared" ca="1" si="158"/>
        <v>0</v>
      </c>
      <c r="CR66" s="546">
        <f t="shared" ca="1" si="158"/>
        <v>0</v>
      </c>
      <c r="CS66" s="546">
        <f t="shared" ca="1" si="158"/>
        <v>0</v>
      </c>
      <c r="CT66" s="546">
        <f t="shared" ca="1" si="158"/>
        <v>0</v>
      </c>
      <c r="CU66" s="546">
        <f t="shared" ca="1" si="158"/>
        <v>0</v>
      </c>
      <c r="CW66" s="148">
        <f ca="1">SUM(BH66:CU66)</f>
        <v>151.80158775015477</v>
      </c>
    </row>
    <row r="67" spans="1:101" s="84" customFormat="1" ht="6" customHeight="1" x14ac:dyDescent="0.2">
      <c r="C67" s="56"/>
      <c r="D67" s="57"/>
      <c r="E67" s="51"/>
      <c r="G67" s="245"/>
      <c r="H67" s="245"/>
      <c r="I67" s="245"/>
      <c r="J67" s="245"/>
      <c r="K67" s="245"/>
      <c r="L67" s="247"/>
      <c r="M67" s="245"/>
      <c r="N67" s="245"/>
      <c r="O67" s="245"/>
      <c r="P67" s="245">
        <f t="shared" si="136"/>
        <v>0</v>
      </c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>
        <f t="shared" ref="AH67:AH90" si="159">SUM(R67:AG67)</f>
        <v>0</v>
      </c>
      <c r="AJ67" s="263"/>
      <c r="AK67" s="263"/>
      <c r="AL67" s="263"/>
      <c r="AM67" s="263"/>
      <c r="AN67" s="263"/>
      <c r="AO67" s="263"/>
      <c r="AP67" s="263"/>
      <c r="AQ67" s="263"/>
      <c r="AR67" s="263"/>
      <c r="AS67" s="263"/>
      <c r="AT67" s="263"/>
      <c r="AU67" s="263"/>
      <c r="AV67" s="263"/>
      <c r="AW67" s="263"/>
      <c r="AX67" s="263"/>
      <c r="AY67" s="263">
        <f t="shared" si="147"/>
        <v>0</v>
      </c>
      <c r="BA67" s="277"/>
      <c r="BB67" s="277"/>
      <c r="BC67" s="277">
        <f t="shared" ref="BC67:BC90" si="160">SUM(BA67:BB67)</f>
        <v>0</v>
      </c>
      <c r="BE67" s="55">
        <f>P67+AH67+AY67+BC67</f>
        <v>0</v>
      </c>
      <c r="BF67" s="55"/>
      <c r="BH67" s="542"/>
      <c r="BI67" s="542"/>
      <c r="BJ67" s="542"/>
      <c r="BK67" s="542"/>
      <c r="BL67" s="542"/>
      <c r="BM67" s="542"/>
      <c r="BN67" s="542"/>
      <c r="BO67" s="542"/>
      <c r="BP67" s="542"/>
      <c r="BQ67" s="542"/>
      <c r="BR67" s="542"/>
      <c r="BS67" s="542"/>
      <c r="BT67" s="542"/>
      <c r="BU67" s="542"/>
      <c r="BV67" s="542"/>
      <c r="BW67" s="542"/>
      <c r="BX67" s="542"/>
      <c r="BY67" s="542"/>
      <c r="BZ67" s="542"/>
      <c r="CA67" s="542"/>
      <c r="CB67" s="542"/>
      <c r="CC67" s="542"/>
      <c r="CD67" s="542"/>
      <c r="CE67" s="542"/>
      <c r="CF67" s="542"/>
      <c r="CG67" s="542"/>
      <c r="CH67" s="542"/>
      <c r="CI67" s="542"/>
      <c r="CJ67" s="542"/>
      <c r="CK67" s="542"/>
      <c r="CL67" s="542"/>
      <c r="CM67" s="542"/>
      <c r="CN67" s="542"/>
      <c r="CO67" s="542"/>
      <c r="CP67" s="542"/>
      <c r="CQ67" s="542"/>
      <c r="CR67" s="542"/>
      <c r="CS67" s="542"/>
      <c r="CT67" s="542"/>
      <c r="CU67" s="542"/>
      <c r="CW67" s="151"/>
    </row>
    <row r="68" spans="1:101" s="84" customFormat="1" ht="24" customHeight="1" x14ac:dyDescent="0.2">
      <c r="C68" s="45" t="s">
        <v>414</v>
      </c>
      <c r="D68" s="45"/>
      <c r="E68" s="68"/>
      <c r="G68" s="244"/>
      <c r="H68" s="244"/>
      <c r="I68" s="244"/>
      <c r="J68" s="244"/>
      <c r="K68" s="244"/>
      <c r="L68" s="244"/>
      <c r="M68" s="244"/>
      <c r="N68" s="244"/>
      <c r="O68" s="244"/>
      <c r="P68" s="244">
        <f t="shared" si="136"/>
        <v>0</v>
      </c>
      <c r="R68" s="260"/>
      <c r="S68" s="260"/>
      <c r="T68" s="260"/>
      <c r="U68" s="260"/>
      <c r="V68" s="260"/>
      <c r="W68" s="260"/>
      <c r="X68" s="256"/>
      <c r="Y68" s="256"/>
      <c r="Z68" s="256"/>
      <c r="AA68" s="260"/>
      <c r="AB68" s="260"/>
      <c r="AC68" s="260"/>
      <c r="AD68" s="260"/>
      <c r="AE68" s="260"/>
      <c r="AF68" s="260"/>
      <c r="AG68" s="260"/>
      <c r="AH68" s="260">
        <f t="shared" si="159"/>
        <v>0</v>
      </c>
      <c r="AJ68" s="267"/>
      <c r="AK68" s="267"/>
      <c r="AL68" s="267"/>
      <c r="AM68" s="267"/>
      <c r="AN68" s="267"/>
      <c r="AO68" s="267"/>
      <c r="AP68" s="267"/>
      <c r="AQ68" s="267"/>
      <c r="AR68" s="267"/>
      <c r="AS68" s="267"/>
      <c r="AT68" s="262"/>
      <c r="AU68" s="262"/>
      <c r="AV68" s="262"/>
      <c r="AW68" s="262"/>
      <c r="AX68" s="262"/>
      <c r="AY68" s="267">
        <f t="shared" si="147"/>
        <v>0</v>
      </c>
      <c r="BA68" s="280"/>
      <c r="BB68" s="280"/>
      <c r="BC68" s="280">
        <f t="shared" si="160"/>
        <v>0</v>
      </c>
      <c r="BE68" s="54">
        <f>P68+AH68+AY68+BC68</f>
        <v>0</v>
      </c>
      <c r="BF68" s="54"/>
      <c r="BH68" s="542"/>
      <c r="BI68" s="542"/>
      <c r="BJ68" s="542"/>
      <c r="BK68" s="542"/>
      <c r="BL68" s="542"/>
      <c r="BM68" s="542"/>
      <c r="BN68" s="542"/>
      <c r="BO68" s="542"/>
      <c r="BP68" s="542"/>
      <c r="BQ68" s="542"/>
      <c r="BR68" s="542"/>
      <c r="BS68" s="542"/>
      <c r="BT68" s="542"/>
      <c r="BU68" s="542"/>
      <c r="BV68" s="542"/>
      <c r="BW68" s="542"/>
      <c r="BX68" s="542"/>
      <c r="BY68" s="542"/>
      <c r="BZ68" s="542"/>
      <c r="CA68" s="542"/>
      <c r="CB68" s="542"/>
      <c r="CC68" s="542"/>
      <c r="CD68" s="542"/>
      <c r="CE68" s="542"/>
      <c r="CF68" s="542"/>
      <c r="CG68" s="542"/>
      <c r="CH68" s="542"/>
      <c r="CI68" s="542"/>
      <c r="CJ68" s="542"/>
      <c r="CK68" s="542"/>
      <c r="CL68" s="542"/>
      <c r="CM68" s="542"/>
      <c r="CN68" s="542"/>
      <c r="CO68" s="542"/>
      <c r="CP68" s="542"/>
      <c r="CQ68" s="542"/>
      <c r="CR68" s="542"/>
      <c r="CS68" s="542"/>
      <c r="CT68" s="542"/>
      <c r="CU68" s="542"/>
      <c r="CW68" s="151"/>
    </row>
    <row r="69" spans="1:101" s="84" customFormat="1" ht="6" customHeight="1" x14ac:dyDescent="0.2">
      <c r="C69" s="60"/>
      <c r="D69" s="34"/>
      <c r="E69" s="51"/>
      <c r="G69" s="245"/>
      <c r="H69" s="245"/>
      <c r="I69" s="245"/>
      <c r="J69" s="245"/>
      <c r="K69" s="245"/>
      <c r="L69" s="247"/>
      <c r="M69" s="245"/>
      <c r="N69" s="245"/>
      <c r="O69" s="245"/>
      <c r="P69" s="245">
        <f t="shared" si="136"/>
        <v>0</v>
      </c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>
        <f t="shared" si="159"/>
        <v>0</v>
      </c>
      <c r="AJ69" s="263"/>
      <c r="AK69" s="263"/>
      <c r="AL69" s="263"/>
      <c r="AM69" s="263"/>
      <c r="AN69" s="263"/>
      <c r="AO69" s="263"/>
      <c r="AP69" s="263"/>
      <c r="AQ69" s="263"/>
      <c r="AR69" s="263"/>
      <c r="AS69" s="263"/>
      <c r="AT69" s="263"/>
      <c r="AU69" s="263"/>
      <c r="AV69" s="263"/>
      <c r="AW69" s="263"/>
      <c r="AX69" s="263"/>
      <c r="AY69" s="263">
        <f t="shared" si="147"/>
        <v>0</v>
      </c>
      <c r="BA69" s="277"/>
      <c r="BB69" s="277"/>
      <c r="BC69" s="277">
        <f t="shared" si="160"/>
        <v>0</v>
      </c>
      <c r="BE69" s="55">
        <f>P69+AH69+AY69+BC69</f>
        <v>0</v>
      </c>
      <c r="BF69" s="55"/>
      <c r="BH69" s="542"/>
      <c r="BI69" s="542"/>
      <c r="BJ69" s="542"/>
      <c r="BK69" s="542"/>
      <c r="BL69" s="542"/>
      <c r="BM69" s="542"/>
      <c r="BN69" s="542"/>
      <c r="BO69" s="542"/>
      <c r="BP69" s="542"/>
      <c r="BQ69" s="542"/>
      <c r="BR69" s="542"/>
      <c r="BS69" s="542"/>
      <c r="BT69" s="542"/>
      <c r="BU69" s="542"/>
      <c r="BV69" s="542"/>
      <c r="BW69" s="542"/>
      <c r="BX69" s="542"/>
      <c r="BY69" s="542"/>
      <c r="BZ69" s="542"/>
      <c r="CA69" s="542"/>
      <c r="CB69" s="542"/>
      <c r="CC69" s="542"/>
      <c r="CD69" s="542"/>
      <c r="CE69" s="542"/>
      <c r="CF69" s="542"/>
      <c r="CG69" s="542"/>
      <c r="CH69" s="542"/>
      <c r="CI69" s="542"/>
      <c r="CJ69" s="542"/>
      <c r="CK69" s="542"/>
      <c r="CL69" s="542"/>
      <c r="CM69" s="542"/>
      <c r="CN69" s="542"/>
      <c r="CO69" s="542"/>
      <c r="CP69" s="542"/>
      <c r="CQ69" s="542"/>
      <c r="CR69" s="542"/>
      <c r="CS69" s="542"/>
      <c r="CT69" s="542"/>
      <c r="CU69" s="542"/>
      <c r="CW69" s="151"/>
    </row>
    <row r="70" spans="1:101" s="84" customFormat="1" outlineLevel="1" x14ac:dyDescent="0.2">
      <c r="A70" s="547"/>
      <c r="B70" s="547"/>
      <c r="C70" s="162"/>
      <c r="D70" s="163"/>
      <c r="E70" s="163"/>
      <c r="G70" s="248"/>
      <c r="H70" s="248"/>
      <c r="I70" s="248"/>
      <c r="J70" s="248"/>
      <c r="K70" s="248"/>
      <c r="L70" s="249"/>
      <c r="M70" s="248"/>
      <c r="N70" s="248"/>
      <c r="O70" s="248"/>
      <c r="P70" s="248">
        <f t="shared" si="136"/>
        <v>0</v>
      </c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>
        <f t="shared" si="159"/>
        <v>0</v>
      </c>
      <c r="AJ70" s="265"/>
      <c r="AK70" s="265"/>
      <c r="AL70" s="265"/>
      <c r="AM70" s="265"/>
      <c r="AN70" s="265"/>
      <c r="AO70" s="265"/>
      <c r="AP70" s="265"/>
      <c r="AQ70" s="265"/>
      <c r="AR70" s="265"/>
      <c r="AS70" s="265"/>
      <c r="AT70" s="265"/>
      <c r="AU70" s="265"/>
      <c r="AV70" s="265"/>
      <c r="AW70" s="265"/>
      <c r="AX70" s="265"/>
      <c r="AY70" s="265">
        <f t="shared" si="147"/>
        <v>0</v>
      </c>
      <c r="BA70" s="278"/>
      <c r="BB70" s="278"/>
      <c r="BC70" s="278">
        <f t="shared" si="160"/>
        <v>0</v>
      </c>
      <c r="BE70" s="164"/>
      <c r="BF70" s="164"/>
      <c r="BG70" s="547"/>
      <c r="BH70" s="549"/>
      <c r="BI70" s="542"/>
      <c r="BJ70" s="542"/>
      <c r="BK70" s="542"/>
      <c r="BL70" s="542"/>
      <c r="BM70" s="542"/>
      <c r="BN70" s="542"/>
      <c r="BO70" s="542"/>
      <c r="BP70" s="542"/>
      <c r="BQ70" s="542"/>
      <c r="BR70" s="542"/>
      <c r="BS70" s="542"/>
      <c r="BT70" s="542"/>
      <c r="BU70" s="542"/>
      <c r="BV70" s="542"/>
      <c r="BW70" s="542"/>
      <c r="BX70" s="542"/>
      <c r="BY70" s="542"/>
      <c r="BZ70" s="542"/>
      <c r="CA70" s="542"/>
      <c r="CB70" s="542"/>
      <c r="CC70" s="542"/>
      <c r="CD70" s="542"/>
      <c r="CE70" s="542"/>
      <c r="CF70" s="542"/>
      <c r="CG70" s="542"/>
      <c r="CH70" s="542"/>
      <c r="CI70" s="542"/>
      <c r="CJ70" s="542"/>
      <c r="CK70" s="542"/>
      <c r="CL70" s="542"/>
      <c r="CM70" s="542"/>
      <c r="CN70" s="542"/>
      <c r="CO70" s="542"/>
      <c r="CP70" s="542"/>
      <c r="CQ70" s="542"/>
      <c r="CR70" s="542"/>
      <c r="CS70" s="542"/>
      <c r="CT70" s="542"/>
      <c r="CU70" s="542"/>
      <c r="CW70" s="151"/>
    </row>
    <row r="71" spans="1:101" s="543" customFormat="1" outlineLevel="1" x14ac:dyDescent="0.2">
      <c r="C71" s="62" t="s">
        <v>305</v>
      </c>
      <c r="D71" s="61" t="str">
        <f>INDEX(Modules[Module], MATCH($C71, Modules[Code], 0))</f>
        <v>Electricity imports</v>
      </c>
      <c r="E71" s="61"/>
      <c r="F71" s="84"/>
      <c r="G71" s="297">
        <f t="shared" ref="G71:O71" ca="1" si="161">IFERROR(INDEX(INDIRECT($C71&amp;".Outputs["&amp;this.Year&amp;"]"), MATCH(G$5, INDIRECT($C71&amp;".Outputs[Vector]"), 0)), 0)</f>
        <v>0</v>
      </c>
      <c r="H71" s="297">
        <f t="shared" ca="1" si="161"/>
        <v>0</v>
      </c>
      <c r="I71" s="297">
        <f t="shared" ca="1" si="161"/>
        <v>0</v>
      </c>
      <c r="J71" s="297">
        <f t="shared" ca="1" si="161"/>
        <v>0</v>
      </c>
      <c r="K71" s="297">
        <f t="shared" ca="1" si="161"/>
        <v>0</v>
      </c>
      <c r="L71" s="297">
        <f t="shared" ca="1" si="161"/>
        <v>0</v>
      </c>
      <c r="M71" s="297">
        <f t="shared" ca="1" si="161"/>
        <v>0</v>
      </c>
      <c r="N71" s="297">
        <f t="shared" ca="1" si="161"/>
        <v>0</v>
      </c>
      <c r="O71" s="297">
        <f t="shared" ca="1" si="161"/>
        <v>0</v>
      </c>
      <c r="P71" s="297">
        <f t="shared" ca="1" si="136"/>
        <v>0</v>
      </c>
      <c r="Q71" s="84"/>
      <c r="R71" s="304">
        <f t="shared" ref="R71:AG71" ca="1" si="162">IFERROR(INDEX(INDIRECT($C71&amp;".Outputs["&amp;this.Year&amp;"]"), MATCH(R$5, INDIRECT($C71&amp;".Outputs[Vector]"), 0)), 0)</f>
        <v>0</v>
      </c>
      <c r="S71" s="304">
        <f t="shared" ca="1" si="162"/>
        <v>-0.52500000000000002</v>
      </c>
      <c r="T71" s="304">
        <f t="shared" ca="1" si="162"/>
        <v>0</v>
      </c>
      <c r="U71" s="304">
        <f t="shared" ca="1" si="162"/>
        <v>0</v>
      </c>
      <c r="V71" s="304">
        <f t="shared" ca="1" si="162"/>
        <v>0</v>
      </c>
      <c r="W71" s="304">
        <f t="shared" ca="1" si="162"/>
        <v>0</v>
      </c>
      <c r="X71" s="304">
        <f ca="1">IFERROR(INDEX(INDIRECT($C71&amp;".Outputs["&amp;this.Year&amp;"]"), MATCH(X$5, INDIRECT($C71&amp;".Outputs[Vector]"), 0)), 0)</f>
        <v>0</v>
      </c>
      <c r="Y71" s="304">
        <f ca="1">IFERROR(INDEX(INDIRECT($C71&amp;".Outputs["&amp;this.Year&amp;"]"), MATCH(Y$5, INDIRECT($C71&amp;".Outputs[Vector]"), 0)), 0)</f>
        <v>0</v>
      </c>
      <c r="Z71" s="304">
        <f ca="1">IFERROR(INDEX(INDIRECT($C71&amp;".Outputs["&amp;this.Year&amp;"]"), MATCH(Z$5, INDIRECT($C71&amp;".Outputs[Vector]"), 0)), 0)</f>
        <v>0</v>
      </c>
      <c r="AA71" s="304">
        <f t="shared" ca="1" si="162"/>
        <v>0</v>
      </c>
      <c r="AB71" s="304">
        <f t="shared" ca="1" si="162"/>
        <v>0</v>
      </c>
      <c r="AC71" s="304">
        <f t="shared" ca="1" si="162"/>
        <v>0</v>
      </c>
      <c r="AD71" s="304">
        <f t="shared" ca="1" si="162"/>
        <v>0</v>
      </c>
      <c r="AE71" s="304">
        <f t="shared" ca="1" si="162"/>
        <v>0</v>
      </c>
      <c r="AF71" s="304">
        <f t="shared" ca="1" si="162"/>
        <v>0</v>
      </c>
      <c r="AG71" s="304">
        <f t="shared" ca="1" si="162"/>
        <v>0</v>
      </c>
      <c r="AH71" s="305">
        <f t="shared" ca="1" si="159"/>
        <v>-0.52500000000000002</v>
      </c>
      <c r="AI71" s="84"/>
      <c r="AJ71" s="312">
        <f t="shared" ref="AJ71:AR71" ca="1" si="163">IFERROR(INDEX(INDIRECT($C71&amp;".Outputs["&amp;this.Year&amp;"]"), MATCH(AJ$5, INDIRECT($C71&amp;".Outputs[Vector]"), 0)), 0)</f>
        <v>0</v>
      </c>
      <c r="AK71" s="312">
        <f t="shared" ca="1" si="163"/>
        <v>0</v>
      </c>
      <c r="AL71" s="312">
        <f t="shared" ca="1" si="163"/>
        <v>0</v>
      </c>
      <c r="AM71" s="312">
        <f t="shared" ca="1" si="163"/>
        <v>0</v>
      </c>
      <c r="AN71" s="312">
        <f t="shared" ca="1" si="163"/>
        <v>0.52500000000000002</v>
      </c>
      <c r="AO71" s="312">
        <f t="shared" ca="1" si="163"/>
        <v>0</v>
      </c>
      <c r="AP71" s="312">
        <f t="shared" ca="1" si="163"/>
        <v>0</v>
      </c>
      <c r="AQ71" s="312">
        <f t="shared" ca="1" si="163"/>
        <v>0</v>
      </c>
      <c r="AR71" s="312">
        <f t="shared" ca="1" si="163"/>
        <v>0</v>
      </c>
      <c r="AS71" s="312">
        <f t="shared" ref="AS71:AX71" ca="1" si="164">IFERROR(INDEX(INDIRECT($C71&amp;".Outputs["&amp;this.Year&amp;"]"), MATCH(AS$5, INDIRECT($C71&amp;".Outputs[Vector]"), 0)), 0)</f>
        <v>0</v>
      </c>
      <c r="AT71" s="312">
        <f t="shared" ca="1" si="164"/>
        <v>0</v>
      </c>
      <c r="AU71" s="312">
        <f t="shared" ca="1" si="164"/>
        <v>0</v>
      </c>
      <c r="AV71" s="312">
        <f t="shared" ca="1" si="164"/>
        <v>0</v>
      </c>
      <c r="AW71" s="312">
        <f t="shared" ca="1" si="164"/>
        <v>0</v>
      </c>
      <c r="AX71" s="312">
        <f t="shared" ca="1" si="164"/>
        <v>0</v>
      </c>
      <c r="AY71" s="266">
        <f t="shared" ca="1" si="147"/>
        <v>0.52500000000000002</v>
      </c>
      <c r="AZ71" s="84"/>
      <c r="BA71" s="308">
        <f ca="1">IFERROR(INDEX(INDIRECT($C71&amp;".Outputs["&amp;this.Year&amp;"]"), MATCH(BA$5, INDIRECT($C71&amp;".Outputs[Vector]"), 0)), 0)</f>
        <v>0</v>
      </c>
      <c r="BB71" s="308">
        <f ca="1">IFERROR(INDEX(INDIRECT($C71&amp;".Outputs["&amp;this.Year&amp;"]"), MATCH(BB$5, INDIRECT($C71&amp;".Outputs[Vector]"), 0)), 0)</f>
        <v>0</v>
      </c>
      <c r="BC71" s="309">
        <f t="shared" ca="1" si="160"/>
        <v>0</v>
      </c>
      <c r="BD71" s="84"/>
      <c r="BE71" s="135">
        <f ca="1">P71+AH71+AY71+BC71</f>
        <v>0</v>
      </c>
      <c r="BF71" s="135"/>
      <c r="BH71" s="541">
        <f t="shared" ref="BH71:CU71" ca="1" si="165">IFERROR(SUMIFS(INDIRECT($C71&amp;".Emissions["&amp;this.Year&amp;"]"), INDIRECT($C71&amp;".Emissions[GHG]"), BH$6, INDIRECT($C71&amp;".Emissions[IPCC Sector]"), BH$5),0)</f>
        <v>0</v>
      </c>
      <c r="BI71" s="542">
        <f t="shared" ca="1" si="165"/>
        <v>0</v>
      </c>
      <c r="BJ71" s="542">
        <f t="shared" ca="1" si="165"/>
        <v>0</v>
      </c>
      <c r="BK71" s="542">
        <f t="shared" ca="1" si="165"/>
        <v>0</v>
      </c>
      <c r="BL71" s="542">
        <f t="shared" ca="1" si="165"/>
        <v>0</v>
      </c>
      <c r="BM71" s="542">
        <f t="shared" ca="1" si="165"/>
        <v>0</v>
      </c>
      <c r="BN71" s="542">
        <f t="shared" ca="1" si="165"/>
        <v>0</v>
      </c>
      <c r="BO71" s="542">
        <f t="shared" ca="1" si="165"/>
        <v>0</v>
      </c>
      <c r="BP71" s="542">
        <f t="shared" ca="1" si="165"/>
        <v>0</v>
      </c>
      <c r="BQ71" s="542">
        <f t="shared" ca="1" si="165"/>
        <v>0</v>
      </c>
      <c r="BR71" s="542">
        <f t="shared" ca="1" si="165"/>
        <v>0</v>
      </c>
      <c r="BS71" s="542">
        <f t="shared" ca="1" si="165"/>
        <v>0</v>
      </c>
      <c r="BT71" s="542">
        <f t="shared" ca="1" si="165"/>
        <v>0</v>
      </c>
      <c r="BU71" s="542">
        <f t="shared" ca="1" si="165"/>
        <v>0</v>
      </c>
      <c r="BV71" s="542">
        <f t="shared" ca="1" si="165"/>
        <v>0</v>
      </c>
      <c r="BW71" s="542">
        <f t="shared" ca="1" si="165"/>
        <v>0</v>
      </c>
      <c r="BX71" s="542">
        <f t="shared" ca="1" si="165"/>
        <v>0</v>
      </c>
      <c r="BY71" s="542">
        <f t="shared" ca="1" si="165"/>
        <v>0</v>
      </c>
      <c r="BZ71" s="542">
        <f t="shared" ca="1" si="165"/>
        <v>0</v>
      </c>
      <c r="CA71" s="542">
        <f t="shared" ca="1" si="165"/>
        <v>0</v>
      </c>
      <c r="CB71" s="542">
        <f t="shared" ca="1" si="165"/>
        <v>0</v>
      </c>
      <c r="CC71" s="542">
        <f t="shared" ca="1" si="165"/>
        <v>0</v>
      </c>
      <c r="CD71" s="542">
        <f t="shared" ca="1" si="165"/>
        <v>0</v>
      </c>
      <c r="CE71" s="542">
        <f t="shared" ca="1" si="165"/>
        <v>0</v>
      </c>
      <c r="CF71" s="542">
        <f t="shared" ca="1" si="165"/>
        <v>0</v>
      </c>
      <c r="CG71" s="542">
        <f t="shared" ca="1" si="165"/>
        <v>0</v>
      </c>
      <c r="CH71" s="542">
        <f t="shared" ca="1" si="165"/>
        <v>0</v>
      </c>
      <c r="CI71" s="542">
        <f t="shared" ca="1" si="165"/>
        <v>0</v>
      </c>
      <c r="CJ71" s="542">
        <f t="shared" ca="1" si="165"/>
        <v>0</v>
      </c>
      <c r="CK71" s="542">
        <f t="shared" ca="1" si="165"/>
        <v>0</v>
      </c>
      <c r="CL71" s="542">
        <f t="shared" ca="1" si="165"/>
        <v>0</v>
      </c>
      <c r="CM71" s="542">
        <f t="shared" ca="1" si="165"/>
        <v>0</v>
      </c>
      <c r="CN71" s="542">
        <f t="shared" ca="1" si="165"/>
        <v>0</v>
      </c>
      <c r="CO71" s="542">
        <f t="shared" ca="1" si="165"/>
        <v>0</v>
      </c>
      <c r="CP71" s="542">
        <f t="shared" ca="1" si="165"/>
        <v>0</v>
      </c>
      <c r="CQ71" s="542">
        <f t="shared" ca="1" si="165"/>
        <v>0</v>
      </c>
      <c r="CR71" s="542">
        <f t="shared" ca="1" si="165"/>
        <v>0</v>
      </c>
      <c r="CS71" s="542">
        <f t="shared" ca="1" si="165"/>
        <v>0</v>
      </c>
      <c r="CT71" s="542">
        <f t="shared" ca="1" si="165"/>
        <v>0</v>
      </c>
      <c r="CU71" s="542">
        <f t="shared" ca="1" si="165"/>
        <v>0</v>
      </c>
      <c r="CW71" s="151"/>
    </row>
    <row r="72" spans="1:101" s="547" customFormat="1" ht="12.75" customHeight="1" outlineLevel="1" x14ac:dyDescent="0.2">
      <c r="C72" s="319" t="s">
        <v>858</v>
      </c>
      <c r="D72" s="320" t="s">
        <v>588</v>
      </c>
      <c r="E72" s="320"/>
      <c r="F72" s="84"/>
      <c r="G72" s="333"/>
      <c r="H72" s="333"/>
      <c r="I72" s="333"/>
      <c r="J72" s="333"/>
      <c r="K72" s="333"/>
      <c r="L72" s="334"/>
      <c r="M72" s="333"/>
      <c r="N72" s="333"/>
      <c r="O72" s="333"/>
      <c r="P72" s="333">
        <f t="shared" si="136"/>
        <v>0</v>
      </c>
      <c r="Q72" s="84"/>
      <c r="R72" s="335">
        <f ca="1">R$28+R$36+R$80+R$40+R$71</f>
        <v>-192.24084077257035</v>
      </c>
      <c r="S72" s="335">
        <f ca="1">S$28+S$36+S$80+S$40+S$71</f>
        <v>-0.52500000000000002</v>
      </c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>
        <f t="shared" ca="1" si="159"/>
        <v>-192.76584077257036</v>
      </c>
      <c r="AI72" s="84"/>
      <c r="AJ72" s="336"/>
      <c r="AK72" s="336"/>
      <c r="AL72" s="336"/>
      <c r="AM72" s="336"/>
      <c r="AN72" s="336"/>
      <c r="AO72" s="336"/>
      <c r="AP72" s="336"/>
      <c r="AQ72" s="336"/>
      <c r="AR72" s="336"/>
      <c r="AS72" s="336"/>
      <c r="AT72" s="336"/>
      <c r="AU72" s="336"/>
      <c r="AV72" s="336"/>
      <c r="AW72" s="336"/>
      <c r="AX72" s="336"/>
      <c r="AY72" s="336">
        <f t="shared" si="147"/>
        <v>0</v>
      </c>
      <c r="AZ72" s="84"/>
      <c r="BA72" s="337"/>
      <c r="BB72" s="337"/>
      <c r="BC72" s="337">
        <f t="shared" si="160"/>
        <v>0</v>
      </c>
      <c r="BD72" s="84"/>
      <c r="BE72" s="164"/>
      <c r="BF72" s="164"/>
      <c r="BH72" s="549"/>
      <c r="BI72" s="549"/>
      <c r="BJ72" s="549"/>
      <c r="BK72" s="549"/>
      <c r="BL72" s="549"/>
      <c r="BM72" s="549"/>
      <c r="BN72" s="549"/>
      <c r="BO72" s="549"/>
      <c r="BP72" s="549"/>
      <c r="BQ72" s="549"/>
      <c r="BR72" s="549"/>
      <c r="BS72" s="549"/>
      <c r="BT72" s="549"/>
      <c r="BU72" s="549"/>
      <c r="BV72" s="549"/>
      <c r="BW72" s="549"/>
      <c r="BX72" s="549"/>
      <c r="BY72" s="549"/>
      <c r="BZ72" s="549"/>
      <c r="CA72" s="549"/>
      <c r="CB72" s="549"/>
      <c r="CC72" s="549"/>
      <c r="CD72" s="549"/>
      <c r="CE72" s="549"/>
      <c r="CF72" s="549"/>
      <c r="CG72" s="549"/>
      <c r="CH72" s="549"/>
      <c r="CI72" s="549"/>
      <c r="CJ72" s="549"/>
      <c r="CK72" s="549"/>
      <c r="CL72" s="549"/>
      <c r="CM72" s="549"/>
      <c r="CN72" s="549"/>
      <c r="CO72" s="549"/>
      <c r="CP72" s="549"/>
      <c r="CQ72" s="549"/>
      <c r="CR72" s="549"/>
      <c r="CS72" s="549"/>
      <c r="CT72" s="549"/>
      <c r="CU72" s="549"/>
      <c r="CW72" s="151"/>
    </row>
    <row r="73" spans="1:101" s="543" customFormat="1" outlineLevel="1" x14ac:dyDescent="0.2">
      <c r="C73" s="62" t="s">
        <v>313</v>
      </c>
      <c r="D73" s="61" t="str">
        <f>INDEX(Modules[Module], MATCH($C73, Modules[Code], 0))</f>
        <v>Electricity grid distribution</v>
      </c>
      <c r="E73" s="61"/>
      <c r="F73" s="84"/>
      <c r="G73" s="297">
        <f t="shared" ref="G73:O73" ca="1" si="166">IFERROR(INDEX(INDIRECT($C73&amp;".Outputs["&amp;this.Year&amp;"]"), MATCH(G$5, INDIRECT($C73&amp;".Outputs[Vector]"), 0)), 0)</f>
        <v>0</v>
      </c>
      <c r="H73" s="297">
        <f t="shared" ca="1" si="166"/>
        <v>0</v>
      </c>
      <c r="I73" s="297">
        <f t="shared" ca="1" si="166"/>
        <v>0</v>
      </c>
      <c r="J73" s="297">
        <f t="shared" ca="1" si="166"/>
        <v>0</v>
      </c>
      <c r="K73" s="297">
        <f t="shared" ca="1" si="166"/>
        <v>0</v>
      </c>
      <c r="L73" s="297">
        <f t="shared" ca="1" si="166"/>
        <v>0</v>
      </c>
      <c r="M73" s="297">
        <f t="shared" ca="1" si="166"/>
        <v>0</v>
      </c>
      <c r="N73" s="297">
        <f t="shared" ca="1" si="166"/>
        <v>0</v>
      </c>
      <c r="O73" s="297">
        <f t="shared" ca="1" si="166"/>
        <v>0</v>
      </c>
      <c r="P73" s="297">
        <f t="shared" ca="1" si="136"/>
        <v>0</v>
      </c>
      <c r="Q73" s="84"/>
      <c r="R73" s="304">
        <f t="shared" ref="R73:AG73" ca="1" si="167">IFERROR(INDEX(INDIRECT($C73&amp;".Outputs["&amp;this.Year&amp;"]"), MATCH(R$5, INDIRECT($C73&amp;".Outputs[Vector]"), 0)), 0)</f>
        <v>0</v>
      </c>
      <c r="S73" s="304">
        <f t="shared" ca="1" si="167"/>
        <v>-33.924854253983</v>
      </c>
      <c r="T73" s="304">
        <f t="shared" ca="1" si="167"/>
        <v>0</v>
      </c>
      <c r="U73" s="304">
        <f t="shared" ca="1" si="167"/>
        <v>0</v>
      </c>
      <c r="V73" s="304">
        <f t="shared" ca="1" si="167"/>
        <v>0</v>
      </c>
      <c r="W73" s="304">
        <f t="shared" ca="1" si="167"/>
        <v>0</v>
      </c>
      <c r="X73" s="304">
        <f t="shared" ref="X73:Z73" ca="1" si="168">IFERROR(INDEX(INDIRECT($C73&amp;".Outputs["&amp;this.Year&amp;"]"), MATCH(X$5, INDIRECT($C73&amp;".Outputs[Vector]"), 0)), 0)</f>
        <v>0</v>
      </c>
      <c r="Y73" s="304">
        <f t="shared" ca="1" si="168"/>
        <v>0</v>
      </c>
      <c r="Z73" s="304">
        <f t="shared" ca="1" si="168"/>
        <v>0</v>
      </c>
      <c r="AA73" s="304">
        <f t="shared" ca="1" si="167"/>
        <v>0</v>
      </c>
      <c r="AB73" s="304">
        <f t="shared" ca="1" si="167"/>
        <v>0</v>
      </c>
      <c r="AC73" s="304">
        <f t="shared" ca="1" si="167"/>
        <v>0</v>
      </c>
      <c r="AD73" s="304">
        <f t="shared" ca="1" si="167"/>
        <v>0</v>
      </c>
      <c r="AE73" s="304">
        <f t="shared" ca="1" si="167"/>
        <v>0</v>
      </c>
      <c r="AF73" s="304">
        <f t="shared" ca="1" si="167"/>
        <v>0</v>
      </c>
      <c r="AG73" s="304">
        <f t="shared" ca="1" si="167"/>
        <v>0</v>
      </c>
      <c r="AH73" s="305">
        <f t="shared" ca="1" si="159"/>
        <v>-33.924854253983</v>
      </c>
      <c r="AI73" s="84"/>
      <c r="AJ73" s="312">
        <f t="shared" ref="AJ73:AR73" ca="1" si="169">IFERROR(INDEX(INDIRECT($C73&amp;".Outputs["&amp;this.Year&amp;"]"), MATCH(AJ$5, INDIRECT($C73&amp;".Outputs[Vector]"), 0)), 0)</f>
        <v>0</v>
      </c>
      <c r="AK73" s="312">
        <f t="shared" ca="1" si="169"/>
        <v>0</v>
      </c>
      <c r="AL73" s="312">
        <f t="shared" ca="1" si="169"/>
        <v>0</v>
      </c>
      <c r="AM73" s="312">
        <f t="shared" ca="1" si="169"/>
        <v>0</v>
      </c>
      <c r="AN73" s="312">
        <f t="shared" ca="1" si="169"/>
        <v>0</v>
      </c>
      <c r="AO73" s="312">
        <f t="shared" ca="1" si="169"/>
        <v>0</v>
      </c>
      <c r="AP73" s="312">
        <f t="shared" ca="1" si="169"/>
        <v>0</v>
      </c>
      <c r="AQ73" s="312">
        <f t="shared" ca="1" si="169"/>
        <v>0</v>
      </c>
      <c r="AR73" s="312">
        <f t="shared" ca="1" si="169"/>
        <v>0</v>
      </c>
      <c r="AS73" s="312">
        <f t="shared" ref="AS73:AX73" ca="1" si="170">IFERROR(INDEX(INDIRECT($C73&amp;".Outputs["&amp;this.Year&amp;"]"), MATCH(AS$5, INDIRECT($C73&amp;".Outputs[Vector]"), 0)), 0)</f>
        <v>0</v>
      </c>
      <c r="AT73" s="312">
        <f t="shared" ca="1" si="170"/>
        <v>0</v>
      </c>
      <c r="AU73" s="312">
        <f t="shared" ca="1" si="170"/>
        <v>0</v>
      </c>
      <c r="AV73" s="312">
        <f t="shared" ca="1" si="170"/>
        <v>0</v>
      </c>
      <c r="AW73" s="312">
        <f t="shared" ca="1" si="170"/>
        <v>0</v>
      </c>
      <c r="AX73" s="312">
        <f t="shared" ca="1" si="170"/>
        <v>0</v>
      </c>
      <c r="AY73" s="266">
        <f t="shared" ca="1" si="147"/>
        <v>0</v>
      </c>
      <c r="AZ73" s="84"/>
      <c r="BA73" s="308">
        <f ca="1">IFERROR(INDEX(INDIRECT($C73&amp;".Outputs["&amp;this.Year&amp;"]"), MATCH(BA$5, INDIRECT($C73&amp;".Outputs[Vector]"), 0)), 0)</f>
        <v>0</v>
      </c>
      <c r="BB73" s="308">
        <f ca="1">IFERROR(INDEX(INDIRECT($C73&amp;".Outputs["&amp;this.Year&amp;"]"), MATCH(BB$5, INDIRECT($C73&amp;".Outputs[Vector]"), 0)), 0)</f>
        <v>33.924854253983</v>
      </c>
      <c r="BC73" s="309">
        <f t="shared" ca="1" si="160"/>
        <v>33.924854253983</v>
      </c>
      <c r="BD73" s="84"/>
      <c r="BE73" s="164">
        <f ca="1">P73+AH73+AY73+BC73</f>
        <v>0</v>
      </c>
      <c r="BF73" s="135"/>
      <c r="BH73" s="541">
        <f t="shared" ref="BH73:BQ73" ca="1" si="171">IFERROR(SUMIFS(INDIRECT($C73&amp;".Emissions["&amp;this.Year&amp;"]"), INDIRECT($C73&amp;".Emissions[GHG]"), BH$6, INDIRECT($C73&amp;".Emissions[IPCC Sector]"), BH$5),0)</f>
        <v>0</v>
      </c>
      <c r="BI73" s="542">
        <f t="shared" ca="1" si="171"/>
        <v>0</v>
      </c>
      <c r="BJ73" s="542">
        <f t="shared" ca="1" si="171"/>
        <v>0</v>
      </c>
      <c r="BK73" s="542">
        <f t="shared" ca="1" si="171"/>
        <v>0</v>
      </c>
      <c r="BL73" s="542">
        <f t="shared" ca="1" si="171"/>
        <v>0</v>
      </c>
      <c r="BM73" s="542">
        <f t="shared" ca="1" si="171"/>
        <v>0</v>
      </c>
      <c r="BN73" s="542">
        <f t="shared" ca="1" si="171"/>
        <v>0</v>
      </c>
      <c r="BO73" s="542">
        <f t="shared" ca="1" si="171"/>
        <v>0</v>
      </c>
      <c r="BP73" s="542">
        <f t="shared" ca="1" si="171"/>
        <v>0</v>
      </c>
      <c r="BQ73" s="542">
        <f t="shared" ca="1" si="171"/>
        <v>0</v>
      </c>
      <c r="BR73" s="542">
        <f t="shared" ref="BR73:CA73" ca="1" si="172">IFERROR(SUMIFS(INDIRECT($C73&amp;".Emissions["&amp;this.Year&amp;"]"), INDIRECT($C73&amp;".Emissions[GHG]"), BR$6, INDIRECT($C73&amp;".Emissions[IPCC Sector]"), BR$5),0)</f>
        <v>0</v>
      </c>
      <c r="BS73" s="542">
        <f t="shared" ca="1" si="172"/>
        <v>0</v>
      </c>
      <c r="BT73" s="542">
        <f t="shared" ca="1" si="172"/>
        <v>0</v>
      </c>
      <c r="BU73" s="542">
        <f t="shared" ca="1" si="172"/>
        <v>0</v>
      </c>
      <c r="BV73" s="542">
        <f t="shared" ca="1" si="172"/>
        <v>0</v>
      </c>
      <c r="BW73" s="542">
        <f t="shared" ca="1" si="172"/>
        <v>0</v>
      </c>
      <c r="BX73" s="542">
        <f t="shared" ca="1" si="172"/>
        <v>0</v>
      </c>
      <c r="BY73" s="542">
        <f t="shared" ca="1" si="172"/>
        <v>0</v>
      </c>
      <c r="BZ73" s="542">
        <f t="shared" ca="1" si="172"/>
        <v>0</v>
      </c>
      <c r="CA73" s="542">
        <f t="shared" ca="1" si="172"/>
        <v>0</v>
      </c>
      <c r="CB73" s="542">
        <f t="shared" ref="CB73:CK73" ca="1" si="173">IFERROR(SUMIFS(INDIRECT($C73&amp;".Emissions["&amp;this.Year&amp;"]"), INDIRECT($C73&amp;".Emissions[GHG]"), CB$6, INDIRECT($C73&amp;".Emissions[IPCC Sector]"), CB$5),0)</f>
        <v>0</v>
      </c>
      <c r="CC73" s="542">
        <f t="shared" ca="1" si="173"/>
        <v>0</v>
      </c>
      <c r="CD73" s="542">
        <f t="shared" ca="1" si="173"/>
        <v>0</v>
      </c>
      <c r="CE73" s="542">
        <f t="shared" ca="1" si="173"/>
        <v>0</v>
      </c>
      <c r="CF73" s="542">
        <f t="shared" ca="1" si="173"/>
        <v>0</v>
      </c>
      <c r="CG73" s="542">
        <f t="shared" ca="1" si="173"/>
        <v>0</v>
      </c>
      <c r="CH73" s="542">
        <f t="shared" ca="1" si="173"/>
        <v>0</v>
      </c>
      <c r="CI73" s="542">
        <f t="shared" ca="1" si="173"/>
        <v>0</v>
      </c>
      <c r="CJ73" s="542">
        <f t="shared" ca="1" si="173"/>
        <v>0</v>
      </c>
      <c r="CK73" s="542">
        <f t="shared" ca="1" si="173"/>
        <v>0</v>
      </c>
      <c r="CL73" s="542">
        <f t="shared" ref="CL73:CU73" ca="1" si="174">IFERROR(SUMIFS(INDIRECT($C73&amp;".Emissions["&amp;this.Year&amp;"]"), INDIRECT($C73&amp;".Emissions[GHG]"), CL$6, INDIRECT($C73&amp;".Emissions[IPCC Sector]"), CL$5),0)</f>
        <v>0</v>
      </c>
      <c r="CM73" s="542">
        <f t="shared" ca="1" si="174"/>
        <v>0</v>
      </c>
      <c r="CN73" s="542">
        <f t="shared" ca="1" si="174"/>
        <v>0</v>
      </c>
      <c r="CO73" s="542">
        <f t="shared" ca="1" si="174"/>
        <v>0</v>
      </c>
      <c r="CP73" s="542">
        <f t="shared" ca="1" si="174"/>
        <v>0</v>
      </c>
      <c r="CQ73" s="542">
        <f t="shared" ca="1" si="174"/>
        <v>0</v>
      </c>
      <c r="CR73" s="542">
        <f t="shared" ca="1" si="174"/>
        <v>0</v>
      </c>
      <c r="CS73" s="542">
        <f t="shared" ca="1" si="174"/>
        <v>0</v>
      </c>
      <c r="CT73" s="542">
        <f t="shared" ca="1" si="174"/>
        <v>0</v>
      </c>
      <c r="CU73" s="542">
        <f t="shared" ca="1" si="174"/>
        <v>0</v>
      </c>
      <c r="CW73" s="151"/>
    </row>
    <row r="74" spans="1:101" s="18" customFormat="1" ht="12.75" customHeight="1" x14ac:dyDescent="0.2">
      <c r="B74" s="89"/>
      <c r="C74" s="85" t="s">
        <v>226</v>
      </c>
      <c r="D74" s="57" t="str">
        <f>INDEX(Workstreams[Workstream], MATCH($C74, Workstreams[Code], 0))</f>
        <v>Electricity distribution, storage &amp; balancing</v>
      </c>
      <c r="E74" s="53"/>
      <c r="F74" s="84"/>
      <c r="G74" s="245">
        <f ca="1">G$71+G$73</f>
        <v>0</v>
      </c>
      <c r="H74" s="245">
        <f t="shared" ref="H74:BS74" ca="1" si="175">H$71+H$73</f>
        <v>0</v>
      </c>
      <c r="I74" s="245">
        <f t="shared" ca="1" si="175"/>
        <v>0</v>
      </c>
      <c r="J74" s="245">
        <f t="shared" ca="1" si="175"/>
        <v>0</v>
      </c>
      <c r="K74" s="245">
        <f t="shared" ca="1" si="175"/>
        <v>0</v>
      </c>
      <c r="L74" s="245">
        <f t="shared" ca="1" si="175"/>
        <v>0</v>
      </c>
      <c r="M74" s="245">
        <f t="shared" ca="1" si="175"/>
        <v>0</v>
      </c>
      <c r="N74" s="245">
        <f t="shared" ca="1" si="175"/>
        <v>0</v>
      </c>
      <c r="O74" s="245">
        <f t="shared" ca="1" si="175"/>
        <v>0</v>
      </c>
      <c r="P74" s="245">
        <f t="shared" ca="1" si="136"/>
        <v>0</v>
      </c>
      <c r="Q74" s="245">
        <f t="shared" si="175"/>
        <v>0</v>
      </c>
      <c r="R74" s="245">
        <f t="shared" ca="1" si="175"/>
        <v>0</v>
      </c>
      <c r="S74" s="245">
        <f t="shared" ca="1" si="175"/>
        <v>-34.449854253982998</v>
      </c>
      <c r="T74" s="245">
        <f t="shared" ca="1" si="175"/>
        <v>0</v>
      </c>
      <c r="U74" s="245">
        <f t="shared" ca="1" si="175"/>
        <v>0</v>
      </c>
      <c r="V74" s="245">
        <f t="shared" ca="1" si="175"/>
        <v>0</v>
      </c>
      <c r="W74" s="245">
        <f t="shared" ca="1" si="175"/>
        <v>0</v>
      </c>
      <c r="X74" s="245">
        <f t="shared" ca="1" si="175"/>
        <v>0</v>
      </c>
      <c r="Y74" s="245">
        <f t="shared" ca="1" si="175"/>
        <v>0</v>
      </c>
      <c r="Z74" s="245">
        <f t="shared" ca="1" si="175"/>
        <v>0</v>
      </c>
      <c r="AA74" s="245">
        <f t="shared" ca="1" si="175"/>
        <v>0</v>
      </c>
      <c r="AB74" s="245">
        <f t="shared" ca="1" si="175"/>
        <v>0</v>
      </c>
      <c r="AC74" s="245">
        <f t="shared" ca="1" si="175"/>
        <v>0</v>
      </c>
      <c r="AD74" s="245">
        <f t="shared" ca="1" si="175"/>
        <v>0</v>
      </c>
      <c r="AE74" s="245">
        <f t="shared" ca="1" si="175"/>
        <v>0</v>
      </c>
      <c r="AF74" s="245">
        <f t="shared" ca="1" si="175"/>
        <v>0</v>
      </c>
      <c r="AG74" s="245">
        <f t="shared" ca="1" si="175"/>
        <v>0</v>
      </c>
      <c r="AH74" s="245">
        <f t="shared" ca="1" si="159"/>
        <v>-34.449854253982998</v>
      </c>
      <c r="AI74" s="245">
        <f t="shared" si="175"/>
        <v>0</v>
      </c>
      <c r="AJ74" s="245">
        <f t="shared" ca="1" si="175"/>
        <v>0</v>
      </c>
      <c r="AK74" s="245">
        <f t="shared" ca="1" si="175"/>
        <v>0</v>
      </c>
      <c r="AL74" s="245">
        <f t="shared" ca="1" si="175"/>
        <v>0</v>
      </c>
      <c r="AM74" s="245">
        <f t="shared" ca="1" si="175"/>
        <v>0</v>
      </c>
      <c r="AN74" s="245">
        <f t="shared" ca="1" si="175"/>
        <v>0.52500000000000002</v>
      </c>
      <c r="AO74" s="245">
        <f t="shared" ca="1" si="175"/>
        <v>0</v>
      </c>
      <c r="AP74" s="245">
        <f t="shared" ca="1" si="175"/>
        <v>0</v>
      </c>
      <c r="AQ74" s="245">
        <f t="shared" ca="1" si="175"/>
        <v>0</v>
      </c>
      <c r="AR74" s="245">
        <f t="shared" ca="1" si="175"/>
        <v>0</v>
      </c>
      <c r="AS74" s="245">
        <f t="shared" ca="1" si="175"/>
        <v>0</v>
      </c>
      <c r="AT74" s="245">
        <f t="shared" ca="1" si="175"/>
        <v>0</v>
      </c>
      <c r="AU74" s="245">
        <f t="shared" ca="1" si="175"/>
        <v>0</v>
      </c>
      <c r="AV74" s="245">
        <f t="shared" ca="1" si="175"/>
        <v>0</v>
      </c>
      <c r="AW74" s="245">
        <f t="shared" ca="1" si="175"/>
        <v>0</v>
      </c>
      <c r="AX74" s="245">
        <f t="shared" ca="1" si="175"/>
        <v>0</v>
      </c>
      <c r="AY74" s="245">
        <f t="shared" ca="1" si="147"/>
        <v>0.52500000000000002</v>
      </c>
      <c r="AZ74" s="245">
        <f t="shared" si="175"/>
        <v>0</v>
      </c>
      <c r="BA74" s="245">
        <f t="shared" ca="1" si="175"/>
        <v>0</v>
      </c>
      <c r="BB74" s="245">
        <f t="shared" ca="1" si="175"/>
        <v>33.924854253983</v>
      </c>
      <c r="BC74" s="245">
        <f t="shared" ca="1" si="160"/>
        <v>33.924854253983</v>
      </c>
      <c r="BD74" s="245">
        <f t="shared" si="175"/>
        <v>0</v>
      </c>
      <c r="BE74" s="245">
        <f t="shared" ca="1" si="175"/>
        <v>0</v>
      </c>
      <c r="BF74" s="245">
        <f t="shared" si="175"/>
        <v>0</v>
      </c>
      <c r="BG74" s="245">
        <f t="shared" si="175"/>
        <v>0</v>
      </c>
      <c r="BH74" s="245">
        <f t="shared" ca="1" si="175"/>
        <v>0</v>
      </c>
      <c r="BI74" s="245">
        <f t="shared" ca="1" si="175"/>
        <v>0</v>
      </c>
      <c r="BJ74" s="245">
        <f t="shared" ca="1" si="175"/>
        <v>0</v>
      </c>
      <c r="BK74" s="245">
        <f t="shared" ca="1" si="175"/>
        <v>0</v>
      </c>
      <c r="BL74" s="245">
        <f t="shared" ca="1" si="175"/>
        <v>0</v>
      </c>
      <c r="BM74" s="245">
        <f t="shared" ca="1" si="175"/>
        <v>0</v>
      </c>
      <c r="BN74" s="245">
        <f t="shared" ca="1" si="175"/>
        <v>0</v>
      </c>
      <c r="BO74" s="245">
        <f t="shared" ca="1" si="175"/>
        <v>0</v>
      </c>
      <c r="BP74" s="245">
        <f t="shared" ca="1" si="175"/>
        <v>0</v>
      </c>
      <c r="BQ74" s="245">
        <f t="shared" ca="1" si="175"/>
        <v>0</v>
      </c>
      <c r="BR74" s="245">
        <f t="shared" ca="1" si="175"/>
        <v>0</v>
      </c>
      <c r="BS74" s="245">
        <f t="shared" ca="1" si="175"/>
        <v>0</v>
      </c>
      <c r="BT74" s="245">
        <f t="shared" ref="BT74:CW74" ca="1" si="176">BT$71+BT$73</f>
        <v>0</v>
      </c>
      <c r="BU74" s="245">
        <f t="shared" ca="1" si="176"/>
        <v>0</v>
      </c>
      <c r="BV74" s="245">
        <f t="shared" ca="1" si="176"/>
        <v>0</v>
      </c>
      <c r="BW74" s="245">
        <f t="shared" ca="1" si="176"/>
        <v>0</v>
      </c>
      <c r="BX74" s="245">
        <f t="shared" ca="1" si="176"/>
        <v>0</v>
      </c>
      <c r="BY74" s="245">
        <f t="shared" ca="1" si="176"/>
        <v>0</v>
      </c>
      <c r="BZ74" s="245">
        <f t="shared" ca="1" si="176"/>
        <v>0</v>
      </c>
      <c r="CA74" s="245">
        <f t="shared" ca="1" si="176"/>
        <v>0</v>
      </c>
      <c r="CB74" s="245">
        <f t="shared" ca="1" si="176"/>
        <v>0</v>
      </c>
      <c r="CC74" s="245">
        <f t="shared" ca="1" si="176"/>
        <v>0</v>
      </c>
      <c r="CD74" s="245">
        <f t="shared" ca="1" si="176"/>
        <v>0</v>
      </c>
      <c r="CE74" s="245">
        <f t="shared" ca="1" si="176"/>
        <v>0</v>
      </c>
      <c r="CF74" s="245">
        <f t="shared" ca="1" si="176"/>
        <v>0</v>
      </c>
      <c r="CG74" s="245">
        <f t="shared" ca="1" si="176"/>
        <v>0</v>
      </c>
      <c r="CH74" s="245">
        <f t="shared" ca="1" si="176"/>
        <v>0</v>
      </c>
      <c r="CI74" s="245">
        <f t="shared" ca="1" si="176"/>
        <v>0</v>
      </c>
      <c r="CJ74" s="245">
        <f t="shared" ca="1" si="176"/>
        <v>0</v>
      </c>
      <c r="CK74" s="245">
        <f t="shared" ca="1" si="176"/>
        <v>0</v>
      </c>
      <c r="CL74" s="245">
        <f t="shared" ca="1" si="176"/>
        <v>0</v>
      </c>
      <c r="CM74" s="245">
        <f t="shared" ca="1" si="176"/>
        <v>0</v>
      </c>
      <c r="CN74" s="245">
        <f t="shared" ca="1" si="176"/>
        <v>0</v>
      </c>
      <c r="CO74" s="245">
        <f t="shared" ca="1" si="176"/>
        <v>0</v>
      </c>
      <c r="CP74" s="245">
        <f t="shared" ca="1" si="176"/>
        <v>0</v>
      </c>
      <c r="CQ74" s="245">
        <f t="shared" ca="1" si="176"/>
        <v>0</v>
      </c>
      <c r="CR74" s="245">
        <f t="shared" ca="1" si="176"/>
        <v>0</v>
      </c>
      <c r="CS74" s="245">
        <f t="shared" ca="1" si="176"/>
        <v>0</v>
      </c>
      <c r="CT74" s="245">
        <f t="shared" ca="1" si="176"/>
        <v>0</v>
      </c>
      <c r="CU74" s="245">
        <f t="shared" ca="1" si="176"/>
        <v>0</v>
      </c>
      <c r="CV74" s="245">
        <f t="shared" si="176"/>
        <v>0</v>
      </c>
      <c r="CW74" s="245">
        <f t="shared" si="176"/>
        <v>0</v>
      </c>
    </row>
    <row r="75" spans="1:101" s="84" customFormat="1" ht="12.75" customHeight="1" outlineLevel="1" x14ac:dyDescent="0.2">
      <c r="A75" s="18"/>
      <c r="B75" s="18"/>
      <c r="C75" s="87"/>
      <c r="D75" s="53"/>
      <c r="E75" s="53"/>
      <c r="G75" s="245"/>
      <c r="H75" s="245"/>
      <c r="I75" s="245"/>
      <c r="J75" s="245"/>
      <c r="K75" s="245"/>
      <c r="L75" s="247"/>
      <c r="M75" s="245"/>
      <c r="N75" s="245"/>
      <c r="O75" s="245"/>
      <c r="P75" s="245">
        <f t="shared" si="136"/>
        <v>0</v>
      </c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>
        <f t="shared" si="159"/>
        <v>0</v>
      </c>
      <c r="AJ75" s="263"/>
      <c r="AK75" s="263"/>
      <c r="AL75" s="263"/>
      <c r="AM75" s="263"/>
      <c r="AN75" s="263"/>
      <c r="AO75" s="263"/>
      <c r="AP75" s="263"/>
      <c r="AQ75" s="263"/>
      <c r="AR75" s="263"/>
      <c r="AS75" s="263"/>
      <c r="AT75" s="263"/>
      <c r="AU75" s="263"/>
      <c r="AV75" s="263"/>
      <c r="AW75" s="263"/>
      <c r="AX75" s="263"/>
      <c r="AY75" s="263">
        <f t="shared" si="147"/>
        <v>0</v>
      </c>
      <c r="BA75" s="277"/>
      <c r="BB75" s="277"/>
      <c r="BC75" s="277">
        <f t="shared" si="160"/>
        <v>0</v>
      </c>
      <c r="BE75" s="55">
        <f>P75+AH75+AY75+BC75</f>
        <v>0</v>
      </c>
      <c r="BF75" s="55"/>
      <c r="BG75" s="1428"/>
      <c r="BH75" s="542"/>
      <c r="BI75" s="542"/>
      <c r="BJ75" s="542"/>
      <c r="BK75" s="542"/>
      <c r="BL75" s="542"/>
      <c r="BM75" s="542"/>
      <c r="BN75" s="542"/>
      <c r="BO75" s="542"/>
      <c r="BP75" s="542"/>
      <c r="BQ75" s="542"/>
      <c r="BR75" s="542"/>
      <c r="BS75" s="542"/>
      <c r="BT75" s="542"/>
      <c r="BU75" s="542"/>
      <c r="BV75" s="542"/>
      <c r="BW75" s="542"/>
      <c r="BX75" s="542"/>
      <c r="BY75" s="542"/>
      <c r="BZ75" s="542"/>
      <c r="CA75" s="542"/>
      <c r="CB75" s="542"/>
      <c r="CC75" s="542"/>
      <c r="CD75" s="542"/>
      <c r="CE75" s="542"/>
      <c r="CF75" s="542"/>
      <c r="CG75" s="542"/>
      <c r="CH75" s="542"/>
      <c r="CI75" s="542"/>
      <c r="CJ75" s="542"/>
      <c r="CK75" s="542"/>
      <c r="CL75" s="542"/>
      <c r="CM75" s="542"/>
      <c r="CN75" s="542"/>
      <c r="CO75" s="542"/>
      <c r="CP75" s="542"/>
      <c r="CQ75" s="542"/>
      <c r="CR75" s="542"/>
      <c r="CS75" s="542"/>
      <c r="CT75" s="542"/>
      <c r="CU75" s="542"/>
      <c r="CW75" s="151">
        <f t="shared" ref="CW75:CW85" si="177">SUM(BH75:CU75)</f>
        <v>0</v>
      </c>
    </row>
    <row r="76" spans="1:101" s="550" customFormat="1" ht="12.75" customHeight="1" outlineLevel="1" x14ac:dyDescent="0.2">
      <c r="C76" s="566" t="s">
        <v>859</v>
      </c>
      <c r="D76" s="567" t="s">
        <v>817</v>
      </c>
      <c r="E76" s="567"/>
      <c r="G76" s="333"/>
      <c r="H76" s="333"/>
      <c r="I76" s="333"/>
      <c r="J76" s="333"/>
      <c r="K76" s="333"/>
      <c r="L76" s="334"/>
      <c r="M76" s="333"/>
      <c r="N76" s="333"/>
      <c r="O76" s="333"/>
      <c r="P76" s="333">
        <f t="shared" si="136"/>
        <v>0</v>
      </c>
      <c r="R76" s="335"/>
      <c r="S76" s="335"/>
      <c r="T76" s="335">
        <f ca="1">(T$28+T$66+T$74)</f>
        <v>-25.824701842565585</v>
      </c>
      <c r="U76" s="335">
        <f ca="1">(U$28+U$66+U$74)</f>
        <v>-224.89080078518401</v>
      </c>
      <c r="V76" s="335">
        <f ca="1">(V$28+V$66+V$74)</f>
        <v>-602.03428222027173</v>
      </c>
      <c r="W76" s="335">
        <f ca="1">(W$28+W$66+W$74)</f>
        <v>-174.26276521348021</v>
      </c>
      <c r="X76" s="335"/>
      <c r="Y76" s="335"/>
      <c r="Z76" s="335"/>
      <c r="AA76" s="335"/>
      <c r="AB76" s="335">
        <f t="shared" ref="AB76:AG76" ca="1" si="178">(AB$28+AB$66+AB$74)</f>
        <v>0</v>
      </c>
      <c r="AC76" s="335">
        <f t="shared" ca="1" si="178"/>
        <v>1929.3397217722111</v>
      </c>
      <c r="AD76" s="335">
        <f t="shared" ca="1" si="178"/>
        <v>14.240042740265427</v>
      </c>
      <c r="AE76" s="335">
        <f t="shared" ca="1" si="178"/>
        <v>143.92492401211445</v>
      </c>
      <c r="AF76" s="335">
        <f t="shared" ca="1" si="178"/>
        <v>60.160926366401561</v>
      </c>
      <c r="AG76" s="335">
        <f t="shared" ca="1" si="178"/>
        <v>9.7112997118455926</v>
      </c>
      <c r="AH76" s="335">
        <f t="shared" ca="1" si="159"/>
        <v>1130.3643645413365</v>
      </c>
      <c r="AJ76" s="336"/>
      <c r="AK76" s="336"/>
      <c r="AL76" s="336"/>
      <c r="AM76" s="336"/>
      <c r="AN76" s="336"/>
      <c r="AO76" s="336"/>
      <c r="AP76" s="336"/>
      <c r="AQ76" s="336"/>
      <c r="AR76" s="336"/>
      <c r="AS76" s="336"/>
      <c r="AT76" s="336"/>
      <c r="AU76" s="336"/>
      <c r="AV76" s="336"/>
      <c r="AW76" s="336"/>
      <c r="AX76" s="336">
        <f ca="1">AX28+AX36</f>
        <v>-219.64673392369494</v>
      </c>
      <c r="AY76" s="336">
        <f t="shared" ca="1" si="147"/>
        <v>-219.64673392369494</v>
      </c>
      <c r="BA76" s="337"/>
      <c r="BB76" s="337"/>
      <c r="BC76" s="337">
        <f t="shared" si="160"/>
        <v>0</v>
      </c>
      <c r="BE76" s="568"/>
      <c r="BF76" s="568"/>
      <c r="BG76" s="569"/>
      <c r="BH76" s="570"/>
      <c r="BI76" s="570"/>
      <c r="BJ76" s="570"/>
      <c r="BK76" s="570"/>
      <c r="BL76" s="570"/>
      <c r="BM76" s="570"/>
      <c r="BN76" s="570"/>
      <c r="BO76" s="570"/>
      <c r="BP76" s="570"/>
      <c r="BQ76" s="570"/>
      <c r="BR76" s="570"/>
      <c r="BS76" s="570"/>
      <c r="BT76" s="570"/>
      <c r="BU76" s="570"/>
      <c r="BV76" s="570"/>
      <c r="BW76" s="570"/>
      <c r="BX76" s="570"/>
      <c r="BY76" s="570"/>
      <c r="BZ76" s="570"/>
      <c r="CA76" s="570"/>
      <c r="CB76" s="570"/>
      <c r="CC76" s="570"/>
      <c r="CD76" s="570"/>
      <c r="CE76" s="570"/>
      <c r="CF76" s="570"/>
      <c r="CG76" s="570"/>
      <c r="CH76" s="570"/>
      <c r="CI76" s="570"/>
      <c r="CJ76" s="570"/>
      <c r="CK76" s="570"/>
      <c r="CL76" s="570"/>
      <c r="CM76" s="570"/>
      <c r="CN76" s="570"/>
      <c r="CO76" s="570"/>
      <c r="CP76" s="570"/>
      <c r="CQ76" s="570"/>
      <c r="CR76" s="570"/>
      <c r="CS76" s="570"/>
      <c r="CT76" s="570"/>
      <c r="CU76" s="570"/>
      <c r="CW76" s="569">
        <f t="shared" si="177"/>
        <v>0</v>
      </c>
    </row>
    <row r="77" spans="1:101" s="882" customFormat="1" ht="12.75" customHeight="1" outlineLevel="1" x14ac:dyDescent="0.2">
      <c r="A77" s="879"/>
      <c r="B77" s="879"/>
      <c r="C77" s="880" t="s">
        <v>400</v>
      </c>
      <c r="D77" s="881" t="str">
        <f>INDEX(Modules[Module], MATCH($C77, Modules[Code], 0))</f>
        <v>Types of fuel from Biomass</v>
      </c>
      <c r="E77" s="881"/>
      <c r="G77" s="326">
        <f t="shared" ref="G77:O79" ca="1" si="179">IFERROR(INDEX(INDIRECT($C77&amp;".Outputs["&amp;this.Year&amp;"]"), MATCH(G$5, INDIRECT($C77&amp;".Outputs[Vector]"), 0)), 0)</f>
        <v>0</v>
      </c>
      <c r="H77" s="326">
        <f t="shared" ca="1" si="179"/>
        <v>0</v>
      </c>
      <c r="I77" s="326">
        <f t="shared" ca="1" si="179"/>
        <v>0</v>
      </c>
      <c r="J77" s="326">
        <f t="shared" ca="1" si="179"/>
        <v>0</v>
      </c>
      <c r="K77" s="326">
        <f t="shared" ca="1" si="179"/>
        <v>0</v>
      </c>
      <c r="L77" s="326">
        <f t="shared" ca="1" si="179"/>
        <v>0</v>
      </c>
      <c r="M77" s="326">
        <f t="shared" ca="1" si="179"/>
        <v>0</v>
      </c>
      <c r="N77" s="326">
        <f t="shared" ca="1" si="179"/>
        <v>0</v>
      </c>
      <c r="O77" s="326">
        <f t="shared" ca="1" si="179"/>
        <v>0</v>
      </c>
      <c r="P77" s="326">
        <f t="shared" ca="1" si="136"/>
        <v>0</v>
      </c>
      <c r="R77" s="327">
        <f t="shared" ref="R77:AG79" ca="1" si="180">IFERROR(INDEX(INDIRECT($C77&amp;".Outputs["&amp;this.Year&amp;"]"), MATCH(R$5, INDIRECT($C77&amp;".Outputs[Vector]"), 0)), 0)</f>
        <v>0</v>
      </c>
      <c r="S77" s="327">
        <f t="shared" ca="1" si="180"/>
        <v>0</v>
      </c>
      <c r="T77" s="327">
        <f t="shared" ca="1" si="180"/>
        <v>0</v>
      </c>
      <c r="U77" s="327">
        <f t="shared" ca="1" si="180"/>
        <v>3.5315305995858264</v>
      </c>
      <c r="V77" s="327">
        <f t="shared" ca="1" si="180"/>
        <v>494.82937211070913</v>
      </c>
      <c r="W77" s="327">
        <f t="shared" ca="1" si="180"/>
        <v>1321.1323763414839</v>
      </c>
      <c r="X77" s="327">
        <f t="shared" ca="1" si="180"/>
        <v>0</v>
      </c>
      <c r="Y77" s="327">
        <f t="shared" ca="1" si="180"/>
        <v>0</v>
      </c>
      <c r="Z77" s="327">
        <f t="shared" ca="1" si="180"/>
        <v>0</v>
      </c>
      <c r="AA77" s="327">
        <f t="shared" ca="1" si="180"/>
        <v>0</v>
      </c>
      <c r="AB77" s="327">
        <f t="shared" ca="1" si="180"/>
        <v>0</v>
      </c>
      <c r="AC77" s="327">
        <f t="shared" ca="1" si="180"/>
        <v>-1929.3397217722111</v>
      </c>
      <c r="AD77" s="327">
        <f t="shared" ca="1" si="180"/>
        <v>-14.240042740265427</v>
      </c>
      <c r="AE77" s="327">
        <f t="shared" ca="1" si="180"/>
        <v>-143.92492401211445</v>
      </c>
      <c r="AF77" s="327">
        <f t="shared" ca="1" si="180"/>
        <v>-60.160926366401561</v>
      </c>
      <c r="AG77" s="327">
        <f t="shared" ca="1" si="180"/>
        <v>-9.7112997118455926</v>
      </c>
      <c r="AH77" s="328">
        <f t="shared" ca="1" si="159"/>
        <v>-337.88363555105917</v>
      </c>
      <c r="AJ77" s="329">
        <f t="shared" ref="AJ77:AX79" ca="1" si="181">IFERROR(INDEX(INDIRECT($C77&amp;".Outputs["&amp;this.Year&amp;"]"), MATCH(AJ$5, INDIRECT($C77&amp;".Outputs[Vector]"), 0)), 0)</f>
        <v>0</v>
      </c>
      <c r="AK77" s="329">
        <f t="shared" ca="1" si="181"/>
        <v>0</v>
      </c>
      <c r="AL77" s="329">
        <f t="shared" ca="1" si="181"/>
        <v>0</v>
      </c>
      <c r="AM77" s="329">
        <f t="shared" ca="1" si="181"/>
        <v>0</v>
      </c>
      <c r="AN77" s="329">
        <f t="shared" ca="1" si="181"/>
        <v>0</v>
      </c>
      <c r="AO77" s="329">
        <f t="shared" ca="1" si="181"/>
        <v>0</v>
      </c>
      <c r="AP77" s="329">
        <f t="shared" ca="1" si="181"/>
        <v>0</v>
      </c>
      <c r="AQ77" s="329">
        <f t="shared" ca="1" si="181"/>
        <v>0</v>
      </c>
      <c r="AR77" s="329">
        <f t="shared" ca="1" si="181"/>
        <v>0</v>
      </c>
      <c r="AS77" s="329">
        <f t="shared" ca="1" si="181"/>
        <v>0</v>
      </c>
      <c r="AT77" s="329">
        <f t="shared" ca="1" si="181"/>
        <v>0</v>
      </c>
      <c r="AU77" s="329">
        <f t="shared" ca="1" si="181"/>
        <v>0</v>
      </c>
      <c r="AV77" s="329">
        <f t="shared" ca="1" si="181"/>
        <v>0</v>
      </c>
      <c r="AW77" s="329">
        <f t="shared" ca="1" si="181"/>
        <v>0</v>
      </c>
      <c r="AX77" s="329">
        <f t="shared" ca="1" si="181"/>
        <v>0</v>
      </c>
      <c r="AY77" s="330">
        <f t="shared" ca="1" si="147"/>
        <v>0</v>
      </c>
      <c r="BA77" s="331">
        <f ca="1">IFERROR(INDEX(INDIRECT($C77&amp;".Outputs["&amp;this.Year&amp;"]"), MATCH(BA$5, INDIRECT($C77&amp;".Outputs[Vector]"), 0)), 0)</f>
        <v>337.88363555105911</v>
      </c>
      <c r="BB77" s="331">
        <f ca="1">IFERROR(INDEX(INDIRECT($C77&amp;".Outputs["&amp;this.Year&amp;"]"), MATCH(BB$5, INDIRECT($C77&amp;".Outputs[Vector]"), 0)), 0)</f>
        <v>0</v>
      </c>
      <c r="BC77" s="332">
        <f t="shared" ca="1" si="160"/>
        <v>337.88363555105911</v>
      </c>
      <c r="BE77" s="883">
        <f ca="1">P77+AH77+AY77+BC77</f>
        <v>0</v>
      </c>
      <c r="BF77" s="883"/>
      <c r="BG77" s="884"/>
      <c r="BH77" s="885">
        <f t="shared" ref="BH77:CU79" ca="1" si="182">IFERROR(SUMIFS(INDIRECT($C77&amp;".Emissions["&amp;this.Year&amp;"]"), INDIRECT($C77&amp;".Emissions[GHG]"), BH$6, INDIRECT($C77&amp;".Emissions[IPCC Sector]"), BH$5),0)</f>
        <v>0</v>
      </c>
      <c r="BI77" s="886">
        <f t="shared" ca="1" si="182"/>
        <v>0</v>
      </c>
      <c r="BJ77" s="886">
        <f t="shared" ca="1" si="182"/>
        <v>0</v>
      </c>
      <c r="BK77" s="886">
        <f t="shared" ca="1" si="182"/>
        <v>0</v>
      </c>
      <c r="BL77" s="886">
        <f t="shared" ca="1" si="182"/>
        <v>0</v>
      </c>
      <c r="BM77" s="886">
        <f t="shared" ca="1" si="182"/>
        <v>0</v>
      </c>
      <c r="BN77" s="886">
        <f t="shared" ca="1" si="182"/>
        <v>0</v>
      </c>
      <c r="BO77" s="886">
        <f t="shared" ca="1" si="182"/>
        <v>0</v>
      </c>
      <c r="BP77" s="886">
        <f t="shared" ca="1" si="182"/>
        <v>0</v>
      </c>
      <c r="BQ77" s="886">
        <f t="shared" ca="1" si="182"/>
        <v>0</v>
      </c>
      <c r="BR77" s="886">
        <f t="shared" ca="1" si="182"/>
        <v>0</v>
      </c>
      <c r="BS77" s="886">
        <f t="shared" ca="1" si="182"/>
        <v>0</v>
      </c>
      <c r="BT77" s="886">
        <f t="shared" ca="1" si="182"/>
        <v>0</v>
      </c>
      <c r="BU77" s="886">
        <f t="shared" ca="1" si="182"/>
        <v>0</v>
      </c>
      <c r="BV77" s="886">
        <f t="shared" ca="1" si="182"/>
        <v>0</v>
      </c>
      <c r="BW77" s="886">
        <f t="shared" ca="1" si="182"/>
        <v>0</v>
      </c>
      <c r="BX77" s="886">
        <f t="shared" ca="1" si="182"/>
        <v>0</v>
      </c>
      <c r="BY77" s="886">
        <f t="shared" ca="1" si="182"/>
        <v>0</v>
      </c>
      <c r="BZ77" s="886">
        <f t="shared" ca="1" si="182"/>
        <v>0</v>
      </c>
      <c r="CA77" s="886">
        <f t="shared" ca="1" si="182"/>
        <v>0</v>
      </c>
      <c r="CB77" s="886">
        <f t="shared" ca="1" si="182"/>
        <v>0</v>
      </c>
      <c r="CC77" s="886">
        <f t="shared" ca="1" si="182"/>
        <v>0</v>
      </c>
      <c r="CD77" s="886">
        <f t="shared" ca="1" si="182"/>
        <v>0</v>
      </c>
      <c r="CE77" s="886">
        <f t="shared" ca="1" si="182"/>
        <v>0</v>
      </c>
      <c r="CF77" s="886">
        <f t="shared" ca="1" si="182"/>
        <v>0</v>
      </c>
      <c r="CG77" s="886">
        <f t="shared" ca="1" si="182"/>
        <v>0</v>
      </c>
      <c r="CH77" s="886">
        <f t="shared" ca="1" si="182"/>
        <v>0</v>
      </c>
      <c r="CI77" s="886">
        <f t="shared" ca="1" si="182"/>
        <v>0</v>
      </c>
      <c r="CJ77" s="886">
        <f t="shared" ca="1" si="182"/>
        <v>0</v>
      </c>
      <c r="CK77" s="886">
        <f t="shared" ca="1" si="182"/>
        <v>0</v>
      </c>
      <c r="CL77" s="886">
        <f t="shared" ca="1" si="182"/>
        <v>0</v>
      </c>
      <c r="CM77" s="886">
        <f t="shared" ca="1" si="182"/>
        <v>0</v>
      </c>
      <c r="CN77" s="886">
        <f t="shared" ca="1" si="182"/>
        <v>-91.931487118266929</v>
      </c>
      <c r="CO77" s="886">
        <f t="shared" ca="1" si="182"/>
        <v>0</v>
      </c>
      <c r="CP77" s="886">
        <f t="shared" ca="1" si="182"/>
        <v>0</v>
      </c>
      <c r="CQ77" s="886">
        <f t="shared" ca="1" si="182"/>
        <v>0</v>
      </c>
      <c r="CR77" s="886">
        <f t="shared" ca="1" si="182"/>
        <v>0</v>
      </c>
      <c r="CS77" s="886">
        <f t="shared" ca="1" si="182"/>
        <v>0</v>
      </c>
      <c r="CT77" s="886">
        <f t="shared" ca="1" si="182"/>
        <v>0</v>
      </c>
      <c r="CU77" s="886">
        <f t="shared" ca="1" si="182"/>
        <v>0</v>
      </c>
      <c r="CW77" s="887">
        <f t="shared" ca="1" si="177"/>
        <v>-91.931487118266929</v>
      </c>
    </row>
    <row r="78" spans="1:101" s="550" customFormat="1" ht="12.75" customHeight="1" outlineLevel="1" x14ac:dyDescent="0.2">
      <c r="C78" s="566" t="s">
        <v>860</v>
      </c>
      <c r="D78" s="567" t="s">
        <v>817</v>
      </c>
      <c r="E78" s="567"/>
      <c r="G78" s="333"/>
      <c r="H78" s="333"/>
      <c r="I78" s="333"/>
      <c r="J78" s="333"/>
      <c r="K78" s="333"/>
      <c r="L78" s="334"/>
      <c r="M78" s="333"/>
      <c r="N78" s="333"/>
      <c r="O78" s="333"/>
      <c r="P78" s="333">
        <f t="shared" si="136"/>
        <v>0</v>
      </c>
      <c r="R78" s="335"/>
      <c r="S78" s="335"/>
      <c r="T78" s="335">
        <f ca="1">T$76+T$77</f>
        <v>-25.824701842565585</v>
      </c>
      <c r="U78" s="335">
        <f ca="1">U$76+U$77</f>
        <v>-221.35927018559818</v>
      </c>
      <c r="V78" s="335">
        <f ca="1">V$76+V$77</f>
        <v>-107.2049101095626</v>
      </c>
      <c r="W78" s="335">
        <f ca="1">W$76+W$77</f>
        <v>1146.8696111280037</v>
      </c>
      <c r="X78" s="335"/>
      <c r="Y78" s="335"/>
      <c r="Z78" s="335"/>
      <c r="AA78" s="335"/>
      <c r="AB78" s="335">
        <f t="shared" ref="AB78:AG78" ca="1" si="183">AB$76+AB$77</f>
        <v>0</v>
      </c>
      <c r="AC78" s="335">
        <f t="shared" ca="1" si="183"/>
        <v>0</v>
      </c>
      <c r="AD78" s="335">
        <f t="shared" ca="1" si="183"/>
        <v>0</v>
      </c>
      <c r="AE78" s="335">
        <f t="shared" ca="1" si="183"/>
        <v>0</v>
      </c>
      <c r="AF78" s="335">
        <f t="shared" ca="1" si="183"/>
        <v>0</v>
      </c>
      <c r="AG78" s="335">
        <f t="shared" ca="1" si="183"/>
        <v>0</v>
      </c>
      <c r="AH78" s="335">
        <f t="shared" ca="1" si="159"/>
        <v>792.48072899027738</v>
      </c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  <c r="AT78" s="336"/>
      <c r="AU78" s="336"/>
      <c r="AV78" s="336"/>
      <c r="AW78" s="336"/>
      <c r="AX78" s="336">
        <f ca="1">AX30+AX34+AX38</f>
        <v>-30.975528027886902</v>
      </c>
      <c r="AY78" s="336">
        <f t="shared" ca="1" si="147"/>
        <v>-30.975528027886902</v>
      </c>
      <c r="BA78" s="337"/>
      <c r="BB78" s="337"/>
      <c r="BC78" s="337">
        <f t="shared" si="160"/>
        <v>0</v>
      </c>
      <c r="BE78" s="568"/>
      <c r="BF78" s="568"/>
      <c r="BG78" s="569"/>
      <c r="BH78" s="570"/>
      <c r="BI78" s="570"/>
      <c r="BJ78" s="570"/>
      <c r="BK78" s="570"/>
      <c r="BL78" s="570"/>
      <c r="BM78" s="570"/>
      <c r="BN78" s="570"/>
      <c r="BO78" s="570"/>
      <c r="BP78" s="570"/>
      <c r="BQ78" s="570"/>
      <c r="BR78" s="570"/>
      <c r="BS78" s="570"/>
      <c r="BT78" s="570"/>
      <c r="BU78" s="570"/>
      <c r="BV78" s="570"/>
      <c r="BW78" s="570"/>
      <c r="BX78" s="570"/>
      <c r="BY78" s="570"/>
      <c r="BZ78" s="570"/>
      <c r="CA78" s="570"/>
      <c r="CB78" s="570"/>
      <c r="CC78" s="570"/>
      <c r="CD78" s="570"/>
      <c r="CE78" s="570"/>
      <c r="CF78" s="570"/>
      <c r="CG78" s="570"/>
      <c r="CH78" s="570"/>
      <c r="CI78" s="570"/>
      <c r="CJ78" s="570"/>
      <c r="CK78" s="570"/>
      <c r="CL78" s="570"/>
      <c r="CM78" s="570"/>
      <c r="CN78" s="570"/>
      <c r="CO78" s="570"/>
      <c r="CP78" s="570"/>
      <c r="CQ78" s="570"/>
      <c r="CR78" s="570"/>
      <c r="CS78" s="570"/>
      <c r="CT78" s="570"/>
      <c r="CU78" s="570"/>
      <c r="CW78" s="569">
        <f>SUM(BH78:CU78)</f>
        <v>0</v>
      </c>
    </row>
    <row r="79" spans="1:101" s="2685" customFormat="1" ht="12.75" customHeight="1" outlineLevel="1" x14ac:dyDescent="0.2">
      <c r="C79" s="319" t="s">
        <v>838</v>
      </c>
      <c r="D79" s="881" t="str">
        <f>INDEX(Modules[Module], MATCH($C79, Modules[Code], 0))</f>
        <v>Bioenergy imports</v>
      </c>
      <c r="E79" s="163"/>
      <c r="G79" s="326">
        <f t="shared" ca="1" si="179"/>
        <v>0</v>
      </c>
      <c r="H79" s="326">
        <f t="shared" ca="1" si="179"/>
        <v>0</v>
      </c>
      <c r="I79" s="326">
        <f t="shared" ca="1" si="179"/>
        <v>0</v>
      </c>
      <c r="J79" s="326">
        <f t="shared" ca="1" si="179"/>
        <v>0</v>
      </c>
      <c r="K79" s="326">
        <f t="shared" ca="1" si="179"/>
        <v>0</v>
      </c>
      <c r="L79" s="326">
        <f t="shared" ca="1" si="179"/>
        <v>0</v>
      </c>
      <c r="M79" s="326">
        <f t="shared" ca="1" si="179"/>
        <v>0</v>
      </c>
      <c r="N79" s="326">
        <f t="shared" ca="1" si="179"/>
        <v>0</v>
      </c>
      <c r="O79" s="326">
        <f t="shared" ca="1" si="179"/>
        <v>0</v>
      </c>
      <c r="P79" s="326">
        <f t="shared" ref="P79" ca="1" si="184">SUM(G79:O79)</f>
        <v>0</v>
      </c>
      <c r="Q79" s="882"/>
      <c r="R79" s="327">
        <f t="shared" ca="1" si="180"/>
        <v>0</v>
      </c>
      <c r="S79" s="327">
        <f t="shared" ca="1" si="180"/>
        <v>0</v>
      </c>
      <c r="T79" s="327">
        <f t="shared" ca="1" si="180"/>
        <v>0</v>
      </c>
      <c r="U79" s="327">
        <f t="shared" ca="1" si="180"/>
        <v>0</v>
      </c>
      <c r="V79" s="327">
        <f t="shared" ca="1" si="180"/>
        <v>0</v>
      </c>
      <c r="W79" s="327">
        <f t="shared" ca="1" si="180"/>
        <v>-1146.8696111280037</v>
      </c>
      <c r="X79" s="327">
        <f t="shared" ca="1" si="180"/>
        <v>0</v>
      </c>
      <c r="Y79" s="327">
        <f t="shared" ca="1" si="180"/>
        <v>0</v>
      </c>
      <c r="Z79" s="327">
        <f t="shared" ca="1" si="180"/>
        <v>0</v>
      </c>
      <c r="AA79" s="327">
        <f t="shared" ca="1" si="180"/>
        <v>0</v>
      </c>
      <c r="AB79" s="327">
        <f t="shared" ca="1" si="180"/>
        <v>0</v>
      </c>
      <c r="AC79" s="327">
        <f t="shared" ca="1" si="180"/>
        <v>0</v>
      </c>
      <c r="AD79" s="327">
        <f t="shared" ca="1" si="180"/>
        <v>0</v>
      </c>
      <c r="AE79" s="327">
        <f t="shared" ca="1" si="180"/>
        <v>0</v>
      </c>
      <c r="AF79" s="327">
        <f t="shared" ca="1" si="180"/>
        <v>0</v>
      </c>
      <c r="AG79" s="327">
        <f t="shared" ca="1" si="180"/>
        <v>0</v>
      </c>
      <c r="AH79" s="328">
        <f t="shared" ca="1" si="159"/>
        <v>-1146.8696111280037</v>
      </c>
      <c r="AI79" s="882"/>
      <c r="AJ79" s="329">
        <f t="shared" ca="1" si="181"/>
        <v>0</v>
      </c>
      <c r="AK79" s="329">
        <f t="shared" ca="1" si="181"/>
        <v>0</v>
      </c>
      <c r="AL79" s="329">
        <f t="shared" ca="1" si="181"/>
        <v>0</v>
      </c>
      <c r="AM79" s="329">
        <f t="shared" ca="1" si="181"/>
        <v>1146.8696111280037</v>
      </c>
      <c r="AN79" s="329">
        <f t="shared" ca="1" si="181"/>
        <v>0</v>
      </c>
      <c r="AO79" s="329">
        <f t="shared" ca="1" si="181"/>
        <v>0</v>
      </c>
      <c r="AP79" s="329">
        <f t="shared" ca="1" si="181"/>
        <v>0</v>
      </c>
      <c r="AQ79" s="329">
        <f t="shared" ca="1" si="181"/>
        <v>0</v>
      </c>
      <c r="AR79" s="329">
        <f t="shared" ca="1" si="181"/>
        <v>0</v>
      </c>
      <c r="AS79" s="329">
        <f t="shared" ca="1" si="181"/>
        <v>0</v>
      </c>
      <c r="AT79" s="329">
        <f t="shared" ca="1" si="181"/>
        <v>0</v>
      </c>
      <c r="AU79" s="329">
        <f t="shared" ca="1" si="181"/>
        <v>0</v>
      </c>
      <c r="AV79" s="329">
        <f t="shared" ca="1" si="181"/>
        <v>0</v>
      </c>
      <c r="AW79" s="329">
        <f t="shared" ca="1" si="181"/>
        <v>0</v>
      </c>
      <c r="AX79" s="329">
        <f t="shared" ca="1" si="181"/>
        <v>0</v>
      </c>
      <c r="AY79" s="330">
        <f t="shared" ref="AY79" ca="1" si="185">SUM(AJ79:AX79)</f>
        <v>1146.8696111280037</v>
      </c>
      <c r="AZ79" s="882"/>
      <c r="BA79" s="331">
        <f ca="1">IFERROR(INDEX(INDIRECT($C79&amp;".Outputs["&amp;this.Year&amp;"]"), MATCH(BA$5, INDIRECT($C79&amp;".Outputs[Vector]"), 0)), 0)</f>
        <v>0</v>
      </c>
      <c r="BB79" s="331">
        <f ca="1">IFERROR(INDEX(INDIRECT($C79&amp;".Outputs["&amp;this.Year&amp;"]"), MATCH(BB$5, INDIRECT($C79&amp;".Outputs[Vector]"), 0)), 0)</f>
        <v>0</v>
      </c>
      <c r="BC79" s="332">
        <f t="shared" ref="BC79" ca="1" si="186">SUM(BA79:BB79)</f>
        <v>0</v>
      </c>
      <c r="BD79" s="882"/>
      <c r="BE79" s="883">
        <f ca="1">P79+AH79+AY79+BC79</f>
        <v>0</v>
      </c>
      <c r="BF79" s="883"/>
      <c r="BG79" s="884"/>
      <c r="BH79" s="885">
        <f t="shared" ca="1" si="182"/>
        <v>0</v>
      </c>
      <c r="BI79" s="886">
        <f t="shared" ca="1" si="182"/>
        <v>0</v>
      </c>
      <c r="BJ79" s="886">
        <f t="shared" ca="1" si="182"/>
        <v>0</v>
      </c>
      <c r="BK79" s="886">
        <f t="shared" ca="1" si="182"/>
        <v>0</v>
      </c>
      <c r="BL79" s="886">
        <f t="shared" ca="1" si="182"/>
        <v>0</v>
      </c>
      <c r="BM79" s="886">
        <f t="shared" ca="1" si="182"/>
        <v>0</v>
      </c>
      <c r="BN79" s="886">
        <f t="shared" ca="1" si="182"/>
        <v>0</v>
      </c>
      <c r="BO79" s="886">
        <f t="shared" ca="1" si="182"/>
        <v>0</v>
      </c>
      <c r="BP79" s="886">
        <f t="shared" ca="1" si="182"/>
        <v>0</v>
      </c>
      <c r="BQ79" s="886">
        <f t="shared" ca="1" si="182"/>
        <v>0</v>
      </c>
      <c r="BR79" s="886">
        <f t="shared" ca="1" si="182"/>
        <v>0</v>
      </c>
      <c r="BS79" s="886">
        <f t="shared" ca="1" si="182"/>
        <v>0</v>
      </c>
      <c r="BT79" s="886">
        <f t="shared" ca="1" si="182"/>
        <v>0</v>
      </c>
      <c r="BU79" s="886">
        <f t="shared" ca="1" si="182"/>
        <v>0</v>
      </c>
      <c r="BV79" s="886">
        <f t="shared" ca="1" si="182"/>
        <v>0</v>
      </c>
      <c r="BW79" s="886">
        <f t="shared" ca="1" si="182"/>
        <v>0</v>
      </c>
      <c r="BX79" s="886">
        <f t="shared" ca="1" si="182"/>
        <v>0</v>
      </c>
      <c r="BY79" s="886">
        <f t="shared" ca="1" si="182"/>
        <v>0</v>
      </c>
      <c r="BZ79" s="886">
        <f t="shared" ca="1" si="182"/>
        <v>0</v>
      </c>
      <c r="CA79" s="886">
        <f t="shared" ca="1" si="182"/>
        <v>0</v>
      </c>
      <c r="CB79" s="886">
        <f t="shared" ca="1" si="182"/>
        <v>0</v>
      </c>
      <c r="CC79" s="886">
        <f t="shared" ca="1" si="182"/>
        <v>0</v>
      </c>
      <c r="CD79" s="886">
        <f t="shared" ca="1" si="182"/>
        <v>0</v>
      </c>
      <c r="CE79" s="886">
        <f t="shared" ca="1" si="182"/>
        <v>0</v>
      </c>
      <c r="CF79" s="886">
        <f t="shared" ca="1" si="182"/>
        <v>0</v>
      </c>
      <c r="CG79" s="886">
        <f t="shared" ca="1" si="182"/>
        <v>0</v>
      </c>
      <c r="CH79" s="886">
        <f t="shared" ca="1" si="182"/>
        <v>0</v>
      </c>
      <c r="CI79" s="886">
        <f t="shared" ca="1" si="182"/>
        <v>0</v>
      </c>
      <c r="CJ79" s="886">
        <f t="shared" ca="1" si="182"/>
        <v>0</v>
      </c>
      <c r="CK79" s="886">
        <f t="shared" ca="1" si="182"/>
        <v>0</v>
      </c>
      <c r="CL79" s="886">
        <f t="shared" ca="1" si="182"/>
        <v>0</v>
      </c>
      <c r="CM79" s="886">
        <f t="shared" ca="1" si="182"/>
        <v>0</v>
      </c>
      <c r="CN79" s="886">
        <f t="shared" ca="1" si="182"/>
        <v>0</v>
      </c>
      <c r="CO79" s="886">
        <f t="shared" ca="1" si="182"/>
        <v>0</v>
      </c>
      <c r="CP79" s="886">
        <f t="shared" ca="1" si="182"/>
        <v>0</v>
      </c>
      <c r="CQ79" s="886">
        <f t="shared" ca="1" si="182"/>
        <v>0</v>
      </c>
      <c r="CR79" s="886">
        <f t="shared" ca="1" si="182"/>
        <v>0</v>
      </c>
      <c r="CS79" s="886">
        <f t="shared" ca="1" si="182"/>
        <v>0</v>
      </c>
      <c r="CT79" s="886">
        <f t="shared" ca="1" si="182"/>
        <v>0</v>
      </c>
      <c r="CU79" s="886">
        <f t="shared" ca="1" si="182"/>
        <v>0</v>
      </c>
      <c r="CV79" s="882"/>
      <c r="CW79" s="887">
        <f t="shared" ref="CW79" ca="1" si="187">SUM(BH79:CU79)</f>
        <v>0</v>
      </c>
    </row>
    <row r="80" spans="1:101" s="84" customFormat="1" ht="15.75" x14ac:dyDescent="0.2">
      <c r="A80" s="18"/>
      <c r="B80" s="89"/>
      <c r="C80" s="85" t="s">
        <v>224</v>
      </c>
      <c r="D80" s="57" t="str">
        <f>INDEX(Workstreams[Workstream], MATCH($C80, Workstreams[Code], 0))</f>
        <v>Bioenergy</v>
      </c>
      <c r="E80" s="53"/>
      <c r="G80" s="300">
        <f ca="1">G$77+G79</f>
        <v>0</v>
      </c>
      <c r="H80" s="300">
        <f t="shared" ref="H80:O80" ca="1" si="188">H$77+H79</f>
        <v>0</v>
      </c>
      <c r="I80" s="300">
        <f t="shared" ca="1" si="188"/>
        <v>0</v>
      </c>
      <c r="J80" s="300">
        <f t="shared" ca="1" si="188"/>
        <v>0</v>
      </c>
      <c r="K80" s="300">
        <f t="shared" ca="1" si="188"/>
        <v>0</v>
      </c>
      <c r="L80" s="300">
        <f t="shared" ca="1" si="188"/>
        <v>0</v>
      </c>
      <c r="M80" s="300">
        <f t="shared" ca="1" si="188"/>
        <v>0</v>
      </c>
      <c r="N80" s="300">
        <f t="shared" ca="1" si="188"/>
        <v>0</v>
      </c>
      <c r="O80" s="300">
        <f t="shared" ca="1" si="188"/>
        <v>0</v>
      </c>
      <c r="P80" s="300">
        <f t="shared" ca="1" si="136"/>
        <v>0</v>
      </c>
      <c r="R80" s="257">
        <f ca="1">R$77+R79</f>
        <v>0</v>
      </c>
      <c r="S80" s="257">
        <f t="shared" ref="S80:AG80" ca="1" si="189">S$77+S79</f>
        <v>0</v>
      </c>
      <c r="T80" s="257">
        <f t="shared" ca="1" si="189"/>
        <v>0</v>
      </c>
      <c r="U80" s="257">
        <f t="shared" ca="1" si="189"/>
        <v>3.5315305995858264</v>
      </c>
      <c r="V80" s="257">
        <f t="shared" ca="1" si="189"/>
        <v>494.82937211070913</v>
      </c>
      <c r="W80" s="257">
        <f t="shared" ca="1" si="189"/>
        <v>174.26276521348018</v>
      </c>
      <c r="X80" s="257">
        <f t="shared" ca="1" si="189"/>
        <v>0</v>
      </c>
      <c r="Y80" s="257">
        <f t="shared" ca="1" si="189"/>
        <v>0</v>
      </c>
      <c r="Z80" s="257">
        <f t="shared" ca="1" si="189"/>
        <v>0</v>
      </c>
      <c r="AA80" s="257">
        <f t="shared" ca="1" si="189"/>
        <v>0</v>
      </c>
      <c r="AB80" s="257">
        <f t="shared" ca="1" si="189"/>
        <v>0</v>
      </c>
      <c r="AC80" s="257">
        <f t="shared" ca="1" si="189"/>
        <v>-1929.3397217722111</v>
      </c>
      <c r="AD80" s="257">
        <f t="shared" ca="1" si="189"/>
        <v>-14.240042740265427</v>
      </c>
      <c r="AE80" s="257">
        <f t="shared" ca="1" si="189"/>
        <v>-143.92492401211445</v>
      </c>
      <c r="AF80" s="257">
        <f t="shared" ca="1" si="189"/>
        <v>-60.160926366401561</v>
      </c>
      <c r="AG80" s="257">
        <f t="shared" ca="1" si="189"/>
        <v>-9.7112997118455926</v>
      </c>
      <c r="AH80" s="257">
        <f t="shared" ca="1" si="159"/>
        <v>-1484.7532466790628</v>
      </c>
      <c r="AJ80" s="263">
        <f ca="1">AJ$77+AJ79</f>
        <v>0</v>
      </c>
      <c r="AK80" s="263">
        <f t="shared" ref="AK80:AX80" ca="1" si="190">AK$77+AK79</f>
        <v>0</v>
      </c>
      <c r="AL80" s="263">
        <f t="shared" ca="1" si="190"/>
        <v>0</v>
      </c>
      <c r="AM80" s="263">
        <f t="shared" ca="1" si="190"/>
        <v>1146.8696111280037</v>
      </c>
      <c r="AN80" s="263">
        <f t="shared" ca="1" si="190"/>
        <v>0</v>
      </c>
      <c r="AO80" s="263">
        <f t="shared" ca="1" si="190"/>
        <v>0</v>
      </c>
      <c r="AP80" s="263">
        <f t="shared" ca="1" si="190"/>
        <v>0</v>
      </c>
      <c r="AQ80" s="263">
        <f t="shared" ca="1" si="190"/>
        <v>0</v>
      </c>
      <c r="AR80" s="263">
        <f t="shared" ca="1" si="190"/>
        <v>0</v>
      </c>
      <c r="AS80" s="263">
        <f t="shared" ca="1" si="190"/>
        <v>0</v>
      </c>
      <c r="AT80" s="263">
        <f t="shared" ca="1" si="190"/>
        <v>0</v>
      </c>
      <c r="AU80" s="263">
        <f t="shared" ca="1" si="190"/>
        <v>0</v>
      </c>
      <c r="AV80" s="263">
        <f t="shared" ca="1" si="190"/>
        <v>0</v>
      </c>
      <c r="AW80" s="263">
        <f t="shared" ca="1" si="190"/>
        <v>0</v>
      </c>
      <c r="AX80" s="263">
        <f t="shared" ca="1" si="190"/>
        <v>0</v>
      </c>
      <c r="AY80" s="263">
        <f t="shared" ca="1" si="147"/>
        <v>1146.8696111280037</v>
      </c>
      <c r="BA80" s="277">
        <f ca="1">BA$77+BA79</f>
        <v>337.88363555105911</v>
      </c>
      <c r="BB80" s="277">
        <f ca="1">BB$77+BB79</f>
        <v>0</v>
      </c>
      <c r="BC80" s="277">
        <f t="shared" ca="1" si="160"/>
        <v>337.88363555105911</v>
      </c>
      <c r="BE80" s="55">
        <f ca="1">P80+AH80+AY80+BC80</f>
        <v>0</v>
      </c>
      <c r="BF80" s="55"/>
      <c r="BG80" s="1428"/>
      <c r="BH80" s="542">
        <f ca="1">BH$77+BH79</f>
        <v>0</v>
      </c>
      <c r="BI80" s="542">
        <f t="shared" ref="BI80:CU80" ca="1" si="191">BI$77+BI79</f>
        <v>0</v>
      </c>
      <c r="BJ80" s="542">
        <f t="shared" ca="1" si="191"/>
        <v>0</v>
      </c>
      <c r="BK80" s="542">
        <f t="shared" ca="1" si="191"/>
        <v>0</v>
      </c>
      <c r="BL80" s="542">
        <f t="shared" ca="1" si="191"/>
        <v>0</v>
      </c>
      <c r="BM80" s="542">
        <f t="shared" ca="1" si="191"/>
        <v>0</v>
      </c>
      <c r="BN80" s="542">
        <f t="shared" ca="1" si="191"/>
        <v>0</v>
      </c>
      <c r="BO80" s="542">
        <f t="shared" ca="1" si="191"/>
        <v>0</v>
      </c>
      <c r="BP80" s="542">
        <f t="shared" ca="1" si="191"/>
        <v>0</v>
      </c>
      <c r="BQ80" s="542">
        <f t="shared" ca="1" si="191"/>
        <v>0</v>
      </c>
      <c r="BR80" s="542">
        <f t="shared" ca="1" si="191"/>
        <v>0</v>
      </c>
      <c r="BS80" s="542">
        <f t="shared" ca="1" si="191"/>
        <v>0</v>
      </c>
      <c r="BT80" s="542">
        <f t="shared" ca="1" si="191"/>
        <v>0</v>
      </c>
      <c r="BU80" s="542">
        <f t="shared" ca="1" si="191"/>
        <v>0</v>
      </c>
      <c r="BV80" s="542">
        <f t="shared" ca="1" si="191"/>
        <v>0</v>
      </c>
      <c r="BW80" s="542">
        <f t="shared" ca="1" si="191"/>
        <v>0</v>
      </c>
      <c r="BX80" s="542">
        <f t="shared" ca="1" si="191"/>
        <v>0</v>
      </c>
      <c r="BY80" s="542">
        <f t="shared" ca="1" si="191"/>
        <v>0</v>
      </c>
      <c r="BZ80" s="542">
        <f t="shared" ca="1" si="191"/>
        <v>0</v>
      </c>
      <c r="CA80" s="542">
        <f t="shared" ca="1" si="191"/>
        <v>0</v>
      </c>
      <c r="CB80" s="542">
        <f t="shared" ca="1" si="191"/>
        <v>0</v>
      </c>
      <c r="CC80" s="542">
        <f t="shared" ca="1" si="191"/>
        <v>0</v>
      </c>
      <c r="CD80" s="542">
        <f t="shared" ca="1" si="191"/>
        <v>0</v>
      </c>
      <c r="CE80" s="542">
        <f t="shared" ca="1" si="191"/>
        <v>0</v>
      </c>
      <c r="CF80" s="542">
        <f t="shared" ca="1" si="191"/>
        <v>0</v>
      </c>
      <c r="CG80" s="542">
        <f t="shared" ca="1" si="191"/>
        <v>0</v>
      </c>
      <c r="CH80" s="542">
        <f t="shared" ca="1" si="191"/>
        <v>0</v>
      </c>
      <c r="CI80" s="542">
        <f t="shared" ca="1" si="191"/>
        <v>0</v>
      </c>
      <c r="CJ80" s="542">
        <f t="shared" ca="1" si="191"/>
        <v>0</v>
      </c>
      <c r="CK80" s="542">
        <f t="shared" ca="1" si="191"/>
        <v>0</v>
      </c>
      <c r="CL80" s="542">
        <f t="shared" ca="1" si="191"/>
        <v>0</v>
      </c>
      <c r="CM80" s="542">
        <f t="shared" ca="1" si="191"/>
        <v>0</v>
      </c>
      <c r="CN80" s="542">
        <f t="shared" ca="1" si="191"/>
        <v>-91.931487118266929</v>
      </c>
      <c r="CO80" s="542">
        <f t="shared" ca="1" si="191"/>
        <v>0</v>
      </c>
      <c r="CP80" s="542">
        <f t="shared" ca="1" si="191"/>
        <v>0</v>
      </c>
      <c r="CQ80" s="542">
        <f t="shared" ca="1" si="191"/>
        <v>0</v>
      </c>
      <c r="CR80" s="542">
        <f t="shared" ca="1" si="191"/>
        <v>0</v>
      </c>
      <c r="CS80" s="542">
        <f t="shared" ca="1" si="191"/>
        <v>0</v>
      </c>
      <c r="CT80" s="542">
        <f t="shared" ca="1" si="191"/>
        <v>0</v>
      </c>
      <c r="CU80" s="542">
        <f t="shared" ca="1" si="191"/>
        <v>0</v>
      </c>
      <c r="CW80" s="151">
        <f t="shared" ca="1" si="177"/>
        <v>-91.931487118266929</v>
      </c>
    </row>
    <row r="81" spans="2:101" s="18" customFormat="1" ht="12.75" customHeight="1" outlineLevel="1" x14ac:dyDescent="0.2">
      <c r="B81" s="89"/>
      <c r="C81" s="85"/>
      <c r="D81" s="57"/>
      <c r="E81" s="53"/>
      <c r="F81" s="84"/>
      <c r="G81" s="245"/>
      <c r="H81" s="245"/>
      <c r="I81" s="245"/>
      <c r="J81" s="245"/>
      <c r="K81" s="245"/>
      <c r="L81" s="247"/>
      <c r="M81" s="245"/>
      <c r="N81" s="245"/>
      <c r="O81" s="245"/>
      <c r="P81" s="245">
        <f t="shared" si="136"/>
        <v>0</v>
      </c>
      <c r="Q81" s="84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>
        <f t="shared" si="159"/>
        <v>0</v>
      </c>
      <c r="AI81" s="84"/>
      <c r="AJ81" s="263"/>
      <c r="AK81" s="263"/>
      <c r="AL81" s="263"/>
      <c r="AM81" s="263"/>
      <c r="AN81" s="263"/>
      <c r="AO81" s="263"/>
      <c r="AP81" s="263"/>
      <c r="AQ81" s="263"/>
      <c r="AR81" s="263"/>
      <c r="AS81" s="263"/>
      <c r="AT81" s="263"/>
      <c r="AU81" s="263"/>
      <c r="AV81" s="263"/>
      <c r="AW81" s="263"/>
      <c r="AX81" s="263"/>
      <c r="AY81" s="263">
        <f t="shared" si="147"/>
        <v>0</v>
      </c>
      <c r="AZ81" s="84"/>
      <c r="BA81" s="277"/>
      <c r="BB81" s="277"/>
      <c r="BC81" s="277">
        <f t="shared" si="160"/>
        <v>0</v>
      </c>
      <c r="BD81" s="84"/>
      <c r="BE81" s="55"/>
      <c r="BF81" s="55"/>
      <c r="BH81" s="542"/>
      <c r="BI81" s="542"/>
      <c r="BJ81" s="542"/>
      <c r="BK81" s="542"/>
      <c r="BL81" s="542"/>
      <c r="BM81" s="542"/>
      <c r="BN81" s="542"/>
      <c r="BO81" s="542"/>
      <c r="BP81" s="542"/>
      <c r="BQ81" s="542"/>
      <c r="BR81" s="542"/>
      <c r="BS81" s="542"/>
      <c r="BT81" s="542"/>
      <c r="BU81" s="542"/>
      <c r="BV81" s="542"/>
      <c r="BW81" s="542"/>
      <c r="BX81" s="542"/>
      <c r="BY81" s="542"/>
      <c r="BZ81" s="542"/>
      <c r="CA81" s="542"/>
      <c r="CB81" s="542"/>
      <c r="CC81" s="542"/>
      <c r="CD81" s="542"/>
      <c r="CE81" s="542"/>
      <c r="CF81" s="542"/>
      <c r="CG81" s="542"/>
      <c r="CH81" s="542"/>
      <c r="CI81" s="542"/>
      <c r="CJ81" s="542"/>
      <c r="CK81" s="542"/>
      <c r="CL81" s="542"/>
      <c r="CM81" s="542"/>
      <c r="CN81" s="542"/>
      <c r="CO81" s="542"/>
      <c r="CP81" s="542"/>
      <c r="CQ81" s="542"/>
      <c r="CR81" s="542"/>
      <c r="CS81" s="542"/>
      <c r="CT81" s="542"/>
      <c r="CU81" s="542"/>
      <c r="CW81" s="151">
        <f t="shared" si="177"/>
        <v>0</v>
      </c>
    </row>
    <row r="82" spans="2:101" s="547" customFormat="1" ht="12.75" customHeight="1" outlineLevel="1" x14ac:dyDescent="0.2">
      <c r="C82" s="319" t="s">
        <v>861</v>
      </c>
      <c r="D82" s="163" t="s">
        <v>817</v>
      </c>
      <c r="E82" s="163"/>
      <c r="G82" s="333"/>
      <c r="H82" s="333"/>
      <c r="I82" s="333"/>
      <c r="J82" s="333"/>
      <c r="K82" s="333"/>
      <c r="L82" s="334"/>
      <c r="M82" s="333"/>
      <c r="N82" s="333"/>
      <c r="O82" s="333"/>
      <c r="P82" s="333">
        <f t="shared" si="136"/>
        <v>0</v>
      </c>
      <c r="Q82" s="550"/>
      <c r="R82" s="335">
        <f t="shared" ref="R82:W82" ca="1" si="192">(R$28+R$66+R$74+R$80)</f>
        <v>-192.24084077257035</v>
      </c>
      <c r="S82" s="335">
        <f t="shared" ca="1" si="192"/>
        <v>192.24084077257032</v>
      </c>
      <c r="T82" s="335">
        <f t="shared" ca="1" si="192"/>
        <v>-25.824701842565585</v>
      </c>
      <c r="U82" s="335">
        <f t="shared" ca="1" si="192"/>
        <v>-221.35927018559818</v>
      </c>
      <c r="V82" s="335">
        <f t="shared" ca="1" si="192"/>
        <v>-107.2049101095626</v>
      </c>
      <c r="W82" s="335">
        <f t="shared" ca="1" si="192"/>
        <v>-2.8421709430404007E-14</v>
      </c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>
        <f t="shared" ca="1" si="159"/>
        <v>-354.38888213772645</v>
      </c>
      <c r="AI82" s="550"/>
      <c r="AJ82" s="336"/>
      <c r="AK82" s="336"/>
      <c r="AL82" s="336"/>
      <c r="AM82" s="336"/>
      <c r="AN82" s="336"/>
      <c r="AO82" s="336"/>
      <c r="AP82" s="336"/>
      <c r="AQ82" s="336"/>
      <c r="AR82" s="336"/>
      <c r="AS82" s="336"/>
      <c r="AT82" s="336"/>
      <c r="AU82" s="336"/>
      <c r="AV82" s="336"/>
      <c r="AW82" s="336"/>
      <c r="AX82" s="336"/>
      <c r="AY82" s="336">
        <f t="shared" si="147"/>
        <v>0</v>
      </c>
      <c r="AZ82" s="550"/>
      <c r="BA82" s="337"/>
      <c r="BB82" s="337"/>
      <c r="BC82" s="337">
        <f t="shared" si="160"/>
        <v>0</v>
      </c>
      <c r="BE82" s="164"/>
      <c r="BF82" s="164"/>
      <c r="BH82" s="549"/>
      <c r="BI82" s="549"/>
      <c r="BJ82" s="549"/>
      <c r="BK82" s="549"/>
      <c r="BL82" s="549"/>
      <c r="BM82" s="549"/>
      <c r="BN82" s="549"/>
      <c r="BO82" s="549"/>
      <c r="BP82" s="549"/>
      <c r="BQ82" s="549"/>
      <c r="BR82" s="549"/>
      <c r="BS82" s="549"/>
      <c r="BT82" s="549"/>
      <c r="BU82" s="549"/>
      <c r="BV82" s="549"/>
      <c r="BW82" s="549"/>
      <c r="BX82" s="549"/>
      <c r="BY82" s="549"/>
      <c r="BZ82" s="549"/>
      <c r="CA82" s="549"/>
      <c r="CB82" s="549"/>
      <c r="CC82" s="549"/>
      <c r="CD82" s="549"/>
      <c r="CE82" s="549"/>
      <c r="CF82" s="549"/>
      <c r="CG82" s="549"/>
      <c r="CH82" s="549"/>
      <c r="CI82" s="549"/>
      <c r="CJ82" s="549"/>
      <c r="CK82" s="549"/>
      <c r="CL82" s="549"/>
      <c r="CM82" s="549"/>
      <c r="CN82" s="549"/>
      <c r="CO82" s="549"/>
      <c r="CP82" s="549"/>
      <c r="CQ82" s="549"/>
      <c r="CR82" s="549"/>
      <c r="CS82" s="549"/>
      <c r="CT82" s="549"/>
      <c r="CU82" s="549"/>
      <c r="CW82" s="151">
        <f t="shared" si="177"/>
        <v>0</v>
      </c>
    </row>
    <row r="83" spans="2:101" s="543" customFormat="1" ht="12.75" customHeight="1" outlineLevel="1" x14ac:dyDescent="0.2">
      <c r="B83" s="551"/>
      <c r="C83" s="62" t="s">
        <v>439</v>
      </c>
      <c r="D83" s="61" t="str">
        <f>INDEX(Modules[Module], MATCH($C83, Modules[Code], 0))</f>
        <v>Fossil fuel transfers</v>
      </c>
      <c r="E83" s="61"/>
      <c r="F83" s="84"/>
      <c r="G83" s="250">
        <f t="shared" ref="G83:O83" ca="1" si="193">IFERROR(INDEX(INDIRECT($C83&amp;".Outputs["&amp;this.Year&amp;"]"), MATCH(G$5, INDIRECT($C83&amp;".Outputs[Vector]"), 0)), 0)</f>
        <v>0</v>
      </c>
      <c r="H83" s="250">
        <f t="shared" ca="1" si="193"/>
        <v>0</v>
      </c>
      <c r="I83" s="250">
        <f t="shared" ca="1" si="193"/>
        <v>0</v>
      </c>
      <c r="J83" s="250">
        <f t="shared" ca="1" si="193"/>
        <v>0</v>
      </c>
      <c r="K83" s="250">
        <f t="shared" ca="1" si="193"/>
        <v>0</v>
      </c>
      <c r="L83" s="251">
        <f t="shared" ca="1" si="193"/>
        <v>0</v>
      </c>
      <c r="M83" s="250">
        <f t="shared" ca="1" si="193"/>
        <v>0</v>
      </c>
      <c r="N83" s="250">
        <f t="shared" ca="1" si="193"/>
        <v>0</v>
      </c>
      <c r="O83" s="250">
        <f t="shared" ca="1" si="193"/>
        <v>0</v>
      </c>
      <c r="P83" s="250">
        <f t="shared" ca="1" si="136"/>
        <v>0</v>
      </c>
      <c r="Q83" s="84"/>
      <c r="R83" s="259">
        <f t="shared" ref="R83:AG83" ca="1" si="194">IFERROR(INDEX(INDIRECT($C83&amp;".Outputs["&amp;this.Year&amp;"]"), MATCH(R$5, INDIRECT($C83&amp;".Outputs[Vector]"), 0)), 0)</f>
        <v>0</v>
      </c>
      <c r="S83" s="259">
        <f t="shared" ca="1" si="194"/>
        <v>0</v>
      </c>
      <c r="T83" s="259">
        <f t="shared" ca="1" si="194"/>
        <v>25.824701842565585</v>
      </c>
      <c r="U83" s="259">
        <f t="shared" ca="1" si="194"/>
        <v>221.35927018559818</v>
      </c>
      <c r="V83" s="259">
        <f t="shared" ca="1" si="194"/>
        <v>107.2049101095626</v>
      </c>
      <c r="W83" s="259">
        <f t="shared" ca="1" si="194"/>
        <v>2.8421709430404007E-14</v>
      </c>
      <c r="X83" s="259">
        <f t="shared" ca="1" si="194"/>
        <v>-25.824701842565585</v>
      </c>
      <c r="Y83" s="259">
        <f t="shared" ca="1" si="194"/>
        <v>-221.35927018559818</v>
      </c>
      <c r="Z83" s="259">
        <f t="shared" ca="1" si="194"/>
        <v>-108.49136903087735</v>
      </c>
      <c r="AA83" s="259">
        <f t="shared" ca="1" si="194"/>
        <v>0</v>
      </c>
      <c r="AB83" s="259">
        <f t="shared" ca="1" si="194"/>
        <v>0</v>
      </c>
      <c r="AC83" s="259">
        <f t="shared" ca="1" si="194"/>
        <v>0</v>
      </c>
      <c r="AD83" s="259">
        <f t="shared" ca="1" si="194"/>
        <v>0</v>
      </c>
      <c r="AE83" s="259">
        <f t="shared" ca="1" si="194"/>
        <v>0</v>
      </c>
      <c r="AF83" s="259">
        <f t="shared" ca="1" si="194"/>
        <v>0</v>
      </c>
      <c r="AG83" s="259">
        <f t="shared" ca="1" si="194"/>
        <v>0</v>
      </c>
      <c r="AH83" s="259">
        <f t="shared" ca="1" si="159"/>
        <v>-1.2864589213147468</v>
      </c>
      <c r="AI83" s="84"/>
      <c r="AJ83" s="266">
        <f t="shared" ref="AJ83:AX83" ca="1" si="195">IFERROR(INDEX(INDIRECT($C83&amp;".Outputs["&amp;this.Year&amp;"]"), MATCH(AJ$5, INDIRECT($C83&amp;".Outputs[Vector]"), 0)), 0)</f>
        <v>0</v>
      </c>
      <c r="AK83" s="266">
        <f t="shared" ca="1" si="195"/>
        <v>0</v>
      </c>
      <c r="AL83" s="266">
        <f t="shared" ca="1" si="195"/>
        <v>0</v>
      </c>
      <c r="AM83" s="266">
        <f t="shared" ca="1" si="195"/>
        <v>0</v>
      </c>
      <c r="AN83" s="266">
        <f t="shared" ca="1" si="195"/>
        <v>0</v>
      </c>
      <c r="AO83" s="266">
        <f t="shared" ca="1" si="195"/>
        <v>0</v>
      </c>
      <c r="AP83" s="266">
        <f t="shared" ca="1" si="195"/>
        <v>0</v>
      </c>
      <c r="AQ83" s="266">
        <f t="shared" ca="1" si="195"/>
        <v>0</v>
      </c>
      <c r="AR83" s="266">
        <f t="shared" ca="1" si="195"/>
        <v>0</v>
      </c>
      <c r="AS83" s="266">
        <f t="shared" ca="1" si="195"/>
        <v>0</v>
      </c>
      <c r="AT83" s="266">
        <f t="shared" ca="1" si="195"/>
        <v>0</v>
      </c>
      <c r="AU83" s="266">
        <f t="shared" ca="1" si="195"/>
        <v>0</v>
      </c>
      <c r="AV83" s="266">
        <f t="shared" ca="1" si="195"/>
        <v>0</v>
      </c>
      <c r="AW83" s="266">
        <f t="shared" ca="1" si="195"/>
        <v>0</v>
      </c>
      <c r="AX83" s="266">
        <f t="shared" ca="1" si="195"/>
        <v>0</v>
      </c>
      <c r="AY83" s="266">
        <f t="shared" ca="1" si="147"/>
        <v>0</v>
      </c>
      <c r="AZ83" s="84"/>
      <c r="BA83" s="279">
        <f ca="1">IFERROR(INDEX(INDIRECT($C83&amp;".Outputs["&amp;this.Year&amp;"]"), MATCH(BA$5, INDIRECT($C83&amp;".Outputs[Vector]"), 0)), 0)</f>
        <v>0</v>
      </c>
      <c r="BB83" s="279">
        <f ca="1">IFERROR(INDEX(INDIRECT($C83&amp;".Outputs["&amp;this.Year&amp;"]"), MATCH(BB$5, INDIRECT($C83&amp;".Outputs[Vector]"), 0)), 0)</f>
        <v>1.2864589213147513</v>
      </c>
      <c r="BC83" s="279">
        <f t="shared" ca="1" si="160"/>
        <v>1.2864589213147513</v>
      </c>
      <c r="BD83" s="84"/>
      <c r="BE83" s="55">
        <f t="shared" ref="BE83:BE90" ca="1" si="196">P83+AH83+AY83+BC83</f>
        <v>4.4408920985006262E-15</v>
      </c>
      <c r="BF83" s="135"/>
      <c r="BH83" s="541">
        <f t="shared" ref="BH83:BQ84" ca="1" si="197">IFERROR(SUMIFS(INDIRECT($C83&amp;".Emissions["&amp;this.Year&amp;"]"), INDIRECT($C83&amp;".Emissions[GHG]"), BH$6, INDIRECT($C83&amp;".Emissions[IPCC Sector]"), BH$5),0)</f>
        <v>0</v>
      </c>
      <c r="BI83" s="542">
        <f t="shared" ca="1" si="197"/>
        <v>0</v>
      </c>
      <c r="BJ83" s="542">
        <f t="shared" ca="1" si="197"/>
        <v>0</v>
      </c>
      <c r="BK83" s="542">
        <f t="shared" ca="1" si="197"/>
        <v>0</v>
      </c>
      <c r="BL83" s="542">
        <f t="shared" ca="1" si="197"/>
        <v>0</v>
      </c>
      <c r="BM83" s="542">
        <f t="shared" ca="1" si="197"/>
        <v>9.4666504561108287</v>
      </c>
      <c r="BN83" s="542">
        <f t="shared" ca="1" si="197"/>
        <v>0</v>
      </c>
      <c r="BO83" s="542">
        <f t="shared" ca="1" si="197"/>
        <v>0</v>
      </c>
      <c r="BP83" s="542">
        <f t="shared" ca="1" si="197"/>
        <v>0</v>
      </c>
      <c r="BQ83" s="542">
        <f t="shared" ca="1" si="197"/>
        <v>0</v>
      </c>
      <c r="BR83" s="542">
        <f t="shared" ref="BR83:CA84" ca="1" si="198">IFERROR(SUMIFS(INDIRECT($C83&amp;".Emissions["&amp;this.Year&amp;"]"), INDIRECT($C83&amp;".Emissions[GHG]"), BR$6, INDIRECT($C83&amp;".Emissions[IPCC Sector]"), BR$5),0)</f>
        <v>0</v>
      </c>
      <c r="BS83" s="542">
        <f t="shared" ca="1" si="198"/>
        <v>0</v>
      </c>
      <c r="BT83" s="542">
        <f t="shared" ca="1" si="198"/>
        <v>0</v>
      </c>
      <c r="BU83" s="542">
        <f t="shared" ca="1" si="198"/>
        <v>0</v>
      </c>
      <c r="BV83" s="542">
        <f t="shared" ca="1" si="198"/>
        <v>0</v>
      </c>
      <c r="BW83" s="542">
        <f t="shared" ca="1" si="198"/>
        <v>0</v>
      </c>
      <c r="BX83" s="542">
        <f t="shared" ca="1" si="198"/>
        <v>0</v>
      </c>
      <c r="BY83" s="542">
        <f t="shared" ca="1" si="198"/>
        <v>0</v>
      </c>
      <c r="BZ83" s="542">
        <f t="shared" ca="1" si="198"/>
        <v>0</v>
      </c>
      <c r="CA83" s="542">
        <f t="shared" ca="1" si="198"/>
        <v>0</v>
      </c>
      <c r="CB83" s="542">
        <f t="shared" ref="CB83:CK84" ca="1" si="199">IFERROR(SUMIFS(INDIRECT($C83&amp;".Emissions["&amp;this.Year&amp;"]"), INDIRECT($C83&amp;".Emissions[GHG]"), CB$6, INDIRECT($C83&amp;".Emissions[IPCC Sector]"), CB$5),0)</f>
        <v>0</v>
      </c>
      <c r="CC83" s="542">
        <f t="shared" ca="1" si="199"/>
        <v>0</v>
      </c>
      <c r="CD83" s="542">
        <f t="shared" ca="1" si="199"/>
        <v>0</v>
      </c>
      <c r="CE83" s="542">
        <f t="shared" ca="1" si="199"/>
        <v>0</v>
      </c>
      <c r="CF83" s="542">
        <f t="shared" ca="1" si="199"/>
        <v>0</v>
      </c>
      <c r="CG83" s="542">
        <f t="shared" ca="1" si="199"/>
        <v>0</v>
      </c>
      <c r="CH83" s="542">
        <f t="shared" ca="1" si="199"/>
        <v>0</v>
      </c>
      <c r="CI83" s="542">
        <f t="shared" ca="1" si="199"/>
        <v>0</v>
      </c>
      <c r="CJ83" s="542">
        <f t="shared" ca="1" si="199"/>
        <v>0</v>
      </c>
      <c r="CK83" s="542">
        <f t="shared" ca="1" si="199"/>
        <v>0</v>
      </c>
      <c r="CL83" s="542">
        <f t="shared" ref="CL83:CU84" ca="1" si="200">IFERROR(SUMIFS(INDIRECT($C83&amp;".Emissions["&amp;this.Year&amp;"]"), INDIRECT($C83&amp;".Emissions[GHG]"), CL$6, INDIRECT($C83&amp;".Emissions[IPCC Sector]"), CL$5),0)</f>
        <v>0</v>
      </c>
      <c r="CM83" s="542">
        <f t="shared" ca="1" si="200"/>
        <v>0</v>
      </c>
      <c r="CN83" s="542">
        <f t="shared" ca="1" si="200"/>
        <v>0</v>
      </c>
      <c r="CO83" s="542">
        <f t="shared" ca="1" si="200"/>
        <v>0</v>
      </c>
      <c r="CP83" s="542">
        <f t="shared" ca="1" si="200"/>
        <v>0</v>
      </c>
      <c r="CQ83" s="542">
        <f t="shared" ca="1" si="200"/>
        <v>0</v>
      </c>
      <c r="CR83" s="542">
        <f t="shared" ca="1" si="200"/>
        <v>0</v>
      </c>
      <c r="CS83" s="542">
        <f t="shared" ca="1" si="200"/>
        <v>0</v>
      </c>
      <c r="CT83" s="542">
        <f t="shared" ca="1" si="200"/>
        <v>0</v>
      </c>
      <c r="CU83" s="542">
        <f t="shared" ca="1" si="200"/>
        <v>0</v>
      </c>
      <c r="CW83" s="151">
        <f t="shared" ca="1" si="177"/>
        <v>9.4666504561108287</v>
      </c>
    </row>
    <row r="84" spans="2:101" s="543" customFormat="1" ht="12.75" customHeight="1" outlineLevel="1" x14ac:dyDescent="0.2">
      <c r="B84" s="551" t="s">
        <v>322</v>
      </c>
      <c r="C84" s="62" t="s">
        <v>440</v>
      </c>
      <c r="D84" s="292" t="str">
        <f>INDEX(Modules[Module], MATCH($C84, Modules[Code], 0))</f>
        <v>Balancing imports</v>
      </c>
      <c r="E84" s="292"/>
      <c r="F84" s="84"/>
      <c r="G84" s="361"/>
      <c r="H84" s="361"/>
      <c r="I84" s="361"/>
      <c r="J84" s="361"/>
      <c r="K84" s="361"/>
      <c r="L84" s="362"/>
      <c r="M84" s="361"/>
      <c r="N84" s="361"/>
      <c r="O84" s="361"/>
      <c r="P84" s="361">
        <f t="shared" si="136"/>
        <v>0</v>
      </c>
      <c r="Q84" s="84"/>
      <c r="R84" s="363"/>
      <c r="S84" s="363">
        <f ca="1">-(S$82+R$82)</f>
        <v>2.8421709430404007E-14</v>
      </c>
      <c r="T84" s="363"/>
      <c r="U84" s="363"/>
      <c r="V84" s="363"/>
      <c r="W84" s="363"/>
      <c r="X84" s="363">
        <f ca="1">-(X$28+X$66+X$74+X$80+X$83)</f>
        <v>12.802967336492252</v>
      </c>
      <c r="Y84" s="363">
        <f ca="1">-(Y$28+Y$66+Y$74+Y$80+Y$83)</f>
        <v>-1227.1576089524019</v>
      </c>
      <c r="Z84" s="363">
        <f ca="1">-(Z$28+Z$66+Z$74+Z$80+Z$83)</f>
        <v>-752.15463096912265</v>
      </c>
      <c r="AA84" s="363"/>
      <c r="AB84" s="363"/>
      <c r="AC84" s="363"/>
      <c r="AD84" s="363"/>
      <c r="AE84" s="363"/>
      <c r="AF84" s="363"/>
      <c r="AG84" s="363"/>
      <c r="AH84" s="363">
        <f t="shared" ca="1" si="159"/>
        <v>-1966.5092725850322</v>
      </c>
      <c r="AI84" s="84"/>
      <c r="AJ84" s="293"/>
      <c r="AK84" s="293"/>
      <c r="AL84" s="293"/>
      <c r="AM84" s="293"/>
      <c r="AN84" s="293">
        <f ca="1">-S84</f>
        <v>-2.8421709430404007E-14</v>
      </c>
      <c r="AO84" s="293">
        <f>-U84</f>
        <v>0</v>
      </c>
      <c r="AP84" s="293">
        <f ca="1">-X84</f>
        <v>-12.802967336492252</v>
      </c>
      <c r="AQ84" s="293">
        <f ca="1">-Y84</f>
        <v>1227.1576089524019</v>
      </c>
      <c r="AR84" s="293">
        <f ca="1">-Z84</f>
        <v>752.15463096912265</v>
      </c>
      <c r="AS84" s="293"/>
      <c r="AT84" s="293"/>
      <c r="AU84" s="293"/>
      <c r="AV84" s="293"/>
      <c r="AW84" s="293"/>
      <c r="AX84" s="293"/>
      <c r="AY84" s="293">
        <f t="shared" ca="1" si="147"/>
        <v>1966.5092725850322</v>
      </c>
      <c r="AZ84" s="84"/>
      <c r="BA84" s="364"/>
      <c r="BB84" s="364"/>
      <c r="BC84" s="364">
        <f t="shared" si="160"/>
        <v>0</v>
      </c>
      <c r="BD84" s="84"/>
      <c r="BE84" s="55">
        <f t="shared" ca="1" si="196"/>
        <v>0</v>
      </c>
      <c r="BF84" s="135"/>
      <c r="BH84" s="544">
        <f t="shared" ca="1" si="197"/>
        <v>0</v>
      </c>
      <c r="BI84" s="545">
        <f t="shared" ca="1" si="197"/>
        <v>0</v>
      </c>
      <c r="BJ84" s="545">
        <f t="shared" ca="1" si="197"/>
        <v>0</v>
      </c>
      <c r="BK84" s="545">
        <f t="shared" ca="1" si="197"/>
        <v>0</v>
      </c>
      <c r="BL84" s="545">
        <f t="shared" ca="1" si="197"/>
        <v>0</v>
      </c>
      <c r="BM84" s="545">
        <f t="shared" ca="1" si="197"/>
        <v>0</v>
      </c>
      <c r="BN84" s="545">
        <f t="shared" ca="1" si="197"/>
        <v>0</v>
      </c>
      <c r="BO84" s="545">
        <f t="shared" ca="1" si="197"/>
        <v>0</v>
      </c>
      <c r="BP84" s="545">
        <f t="shared" ca="1" si="197"/>
        <v>0</v>
      </c>
      <c r="BQ84" s="545">
        <f t="shared" ca="1" si="197"/>
        <v>0</v>
      </c>
      <c r="BR84" s="545">
        <f t="shared" ca="1" si="198"/>
        <v>0</v>
      </c>
      <c r="BS84" s="545">
        <f t="shared" ca="1" si="198"/>
        <v>0</v>
      </c>
      <c r="BT84" s="545">
        <f t="shared" ca="1" si="198"/>
        <v>0</v>
      </c>
      <c r="BU84" s="545">
        <f t="shared" ca="1" si="198"/>
        <v>0</v>
      </c>
      <c r="BV84" s="545">
        <f t="shared" ca="1" si="198"/>
        <v>0</v>
      </c>
      <c r="BW84" s="545">
        <f t="shared" ca="1" si="198"/>
        <v>0</v>
      </c>
      <c r="BX84" s="545">
        <f t="shared" ca="1" si="198"/>
        <v>0</v>
      </c>
      <c r="BY84" s="545">
        <f t="shared" ca="1" si="198"/>
        <v>0</v>
      </c>
      <c r="BZ84" s="545">
        <f t="shared" ca="1" si="198"/>
        <v>0</v>
      </c>
      <c r="CA84" s="545">
        <f t="shared" ca="1" si="198"/>
        <v>0</v>
      </c>
      <c r="CB84" s="545">
        <f t="shared" ca="1" si="199"/>
        <v>0</v>
      </c>
      <c r="CC84" s="545">
        <f t="shared" ca="1" si="199"/>
        <v>0</v>
      </c>
      <c r="CD84" s="545">
        <f t="shared" ca="1" si="199"/>
        <v>0</v>
      </c>
      <c r="CE84" s="545">
        <f t="shared" ca="1" si="199"/>
        <v>0</v>
      </c>
      <c r="CF84" s="545">
        <f t="shared" ca="1" si="199"/>
        <v>0</v>
      </c>
      <c r="CG84" s="545">
        <f t="shared" ca="1" si="199"/>
        <v>0</v>
      </c>
      <c r="CH84" s="545">
        <f t="shared" ca="1" si="199"/>
        <v>0</v>
      </c>
      <c r="CI84" s="545">
        <f t="shared" ca="1" si="199"/>
        <v>0</v>
      </c>
      <c r="CJ84" s="545">
        <f t="shared" ca="1" si="199"/>
        <v>0</v>
      </c>
      <c r="CK84" s="545">
        <f t="shared" ca="1" si="199"/>
        <v>0</v>
      </c>
      <c r="CL84" s="545">
        <f t="shared" ca="1" si="200"/>
        <v>0</v>
      </c>
      <c r="CM84" s="545">
        <f t="shared" ca="1" si="200"/>
        <v>0</v>
      </c>
      <c r="CN84" s="545">
        <f t="shared" ca="1" si="200"/>
        <v>0</v>
      </c>
      <c r="CO84" s="545">
        <f t="shared" ca="1" si="200"/>
        <v>0</v>
      </c>
      <c r="CP84" s="545">
        <f t="shared" ca="1" si="200"/>
        <v>0</v>
      </c>
      <c r="CQ84" s="545">
        <f t="shared" ca="1" si="200"/>
        <v>0</v>
      </c>
      <c r="CR84" s="545">
        <f t="shared" ca="1" si="200"/>
        <v>0</v>
      </c>
      <c r="CS84" s="545">
        <f t="shared" ca="1" si="200"/>
        <v>0</v>
      </c>
      <c r="CT84" s="545">
        <f t="shared" ca="1" si="200"/>
        <v>0</v>
      </c>
      <c r="CU84" s="545">
        <f t="shared" ca="1" si="200"/>
        <v>0</v>
      </c>
      <c r="CW84" s="151">
        <f t="shared" ca="1" si="177"/>
        <v>0</v>
      </c>
    </row>
    <row r="85" spans="2:101" s="84" customFormat="1" ht="15.75" x14ac:dyDescent="0.2">
      <c r="B85" s="89" t="s">
        <v>322</v>
      </c>
      <c r="C85" s="56" t="s">
        <v>438</v>
      </c>
      <c r="D85" s="57" t="str">
        <f>INDEX(Workstreams[Workstream], MATCH($C85, Workstreams[Code], 0))</f>
        <v>Transfers</v>
      </c>
      <c r="E85" s="51"/>
      <c r="G85" s="300">
        <f ca="1">SUM(G83:G84)</f>
        <v>0</v>
      </c>
      <c r="H85" s="300">
        <f t="shared" ref="H85:O85" ca="1" si="201">SUM(H83:H84)</f>
        <v>0</v>
      </c>
      <c r="I85" s="300">
        <f t="shared" ca="1" si="201"/>
        <v>0</v>
      </c>
      <c r="J85" s="300">
        <f t="shared" ca="1" si="201"/>
        <v>0</v>
      </c>
      <c r="K85" s="300">
        <f t="shared" ca="1" si="201"/>
        <v>0</v>
      </c>
      <c r="L85" s="300">
        <f t="shared" ca="1" si="201"/>
        <v>0</v>
      </c>
      <c r="M85" s="300">
        <f t="shared" ca="1" si="201"/>
        <v>0</v>
      </c>
      <c r="N85" s="300">
        <f t="shared" ca="1" si="201"/>
        <v>0</v>
      </c>
      <c r="O85" s="300">
        <f t="shared" ca="1" si="201"/>
        <v>0</v>
      </c>
      <c r="P85" s="300">
        <f t="shared" ca="1" si="136"/>
        <v>0</v>
      </c>
      <c r="R85" s="257">
        <f t="shared" ref="R85:AE85" ca="1" si="202">SUM(R83:R84)</f>
        <v>0</v>
      </c>
      <c r="S85" s="257">
        <f t="shared" ca="1" si="202"/>
        <v>2.8421709430404007E-14</v>
      </c>
      <c r="T85" s="257">
        <f t="shared" ca="1" si="202"/>
        <v>25.824701842565585</v>
      </c>
      <c r="U85" s="257">
        <f t="shared" ca="1" si="202"/>
        <v>221.35927018559818</v>
      </c>
      <c r="V85" s="257">
        <f t="shared" ca="1" si="202"/>
        <v>107.2049101095626</v>
      </c>
      <c r="W85" s="257">
        <f ca="1">SUM(W83:W84)</f>
        <v>2.8421709430404007E-14</v>
      </c>
      <c r="X85" s="257">
        <f t="shared" ca="1" si="202"/>
        <v>-13.021734506073333</v>
      </c>
      <c r="Y85" s="257">
        <f t="shared" ca="1" si="202"/>
        <v>-1448.5168791380001</v>
      </c>
      <c r="Z85" s="257">
        <f t="shared" ca="1" si="202"/>
        <v>-860.64599999999996</v>
      </c>
      <c r="AA85" s="257">
        <f t="shared" ca="1" si="202"/>
        <v>0</v>
      </c>
      <c r="AB85" s="257">
        <f t="shared" ca="1" si="202"/>
        <v>0</v>
      </c>
      <c r="AC85" s="257">
        <f ca="1">SUM(AC83:AC84)</f>
        <v>0</v>
      </c>
      <c r="AD85" s="257">
        <f ca="1">SUM(AD83:AD84)</f>
        <v>0</v>
      </c>
      <c r="AE85" s="257">
        <f t="shared" ca="1" si="202"/>
        <v>0</v>
      </c>
      <c r="AF85" s="257">
        <f ca="1">SUM(AF83:AF84)</f>
        <v>0</v>
      </c>
      <c r="AG85" s="257">
        <f ca="1">SUM(AG83:AG84)</f>
        <v>0</v>
      </c>
      <c r="AH85" s="257">
        <f t="shared" ca="1" si="159"/>
        <v>-1967.795731506347</v>
      </c>
      <c r="AJ85" s="263">
        <f t="shared" ref="AJ85:AX85" ca="1" si="203">SUM(AJ83:AJ84)</f>
        <v>0</v>
      </c>
      <c r="AK85" s="263">
        <f t="shared" ca="1" si="203"/>
        <v>0</v>
      </c>
      <c r="AL85" s="263">
        <f t="shared" ca="1" si="203"/>
        <v>0</v>
      </c>
      <c r="AM85" s="263">
        <f t="shared" ca="1" si="203"/>
        <v>0</v>
      </c>
      <c r="AN85" s="263">
        <f t="shared" ca="1" si="203"/>
        <v>-2.8421709430404007E-14</v>
      </c>
      <c r="AO85" s="263">
        <f t="shared" ca="1" si="203"/>
        <v>0</v>
      </c>
      <c r="AP85" s="263">
        <f t="shared" ca="1" si="203"/>
        <v>-12.802967336492252</v>
      </c>
      <c r="AQ85" s="263">
        <f t="shared" ca="1" si="203"/>
        <v>1227.1576089524019</v>
      </c>
      <c r="AR85" s="263">
        <f t="shared" ca="1" si="203"/>
        <v>752.15463096912265</v>
      </c>
      <c r="AS85" s="263">
        <f t="shared" ca="1" si="203"/>
        <v>0</v>
      </c>
      <c r="AT85" s="263">
        <f t="shared" ca="1" si="203"/>
        <v>0</v>
      </c>
      <c r="AU85" s="263">
        <f t="shared" ca="1" si="203"/>
        <v>0</v>
      </c>
      <c r="AV85" s="263">
        <f t="shared" ca="1" si="203"/>
        <v>0</v>
      </c>
      <c r="AW85" s="263">
        <f t="shared" ca="1" si="203"/>
        <v>0</v>
      </c>
      <c r="AX85" s="263">
        <f t="shared" ca="1" si="203"/>
        <v>0</v>
      </c>
      <c r="AY85" s="263">
        <f t="shared" ca="1" si="147"/>
        <v>1966.5092725850322</v>
      </c>
      <c r="BA85" s="277">
        <f ca="1">SUM(BA83:BA84)</f>
        <v>0</v>
      </c>
      <c r="BB85" s="277">
        <f ca="1">SUM(BB83:BB84)</f>
        <v>1.2864589213147513</v>
      </c>
      <c r="BC85" s="277">
        <f t="shared" ca="1" si="160"/>
        <v>1.2864589213147513</v>
      </c>
      <c r="BE85" s="55">
        <f t="shared" ca="1" si="196"/>
        <v>-9.7699626167013776E-15</v>
      </c>
      <c r="BF85" s="55"/>
      <c r="BG85" s="1428"/>
      <c r="BH85" s="542">
        <f t="shared" ref="BH85:CU85" ca="1" si="204">SUM(BH83:BH84)</f>
        <v>0</v>
      </c>
      <c r="BI85" s="542">
        <f t="shared" ca="1" si="204"/>
        <v>0</v>
      </c>
      <c r="BJ85" s="542">
        <f t="shared" ca="1" si="204"/>
        <v>0</v>
      </c>
      <c r="BK85" s="542">
        <f t="shared" ca="1" si="204"/>
        <v>0</v>
      </c>
      <c r="BL85" s="542">
        <f t="shared" ca="1" si="204"/>
        <v>0</v>
      </c>
      <c r="BM85" s="542">
        <f t="shared" ca="1" si="204"/>
        <v>9.4666504561108287</v>
      </c>
      <c r="BN85" s="542">
        <f t="shared" ca="1" si="204"/>
        <v>0</v>
      </c>
      <c r="BO85" s="542">
        <f t="shared" ca="1" si="204"/>
        <v>0</v>
      </c>
      <c r="BP85" s="542">
        <f t="shared" ca="1" si="204"/>
        <v>0</v>
      </c>
      <c r="BQ85" s="542">
        <f t="shared" ca="1" si="204"/>
        <v>0</v>
      </c>
      <c r="BR85" s="542">
        <f t="shared" ca="1" si="204"/>
        <v>0</v>
      </c>
      <c r="BS85" s="542">
        <f t="shared" ca="1" si="204"/>
        <v>0</v>
      </c>
      <c r="BT85" s="542">
        <f t="shared" ca="1" si="204"/>
        <v>0</v>
      </c>
      <c r="BU85" s="542">
        <f t="shared" ca="1" si="204"/>
        <v>0</v>
      </c>
      <c r="BV85" s="542">
        <f t="shared" ca="1" si="204"/>
        <v>0</v>
      </c>
      <c r="BW85" s="542">
        <f t="shared" ca="1" si="204"/>
        <v>0</v>
      </c>
      <c r="BX85" s="542">
        <f t="shared" ca="1" si="204"/>
        <v>0</v>
      </c>
      <c r="BY85" s="542">
        <f t="shared" ca="1" si="204"/>
        <v>0</v>
      </c>
      <c r="BZ85" s="542">
        <f t="shared" ca="1" si="204"/>
        <v>0</v>
      </c>
      <c r="CA85" s="542">
        <f t="shared" ca="1" si="204"/>
        <v>0</v>
      </c>
      <c r="CB85" s="542">
        <f t="shared" ca="1" si="204"/>
        <v>0</v>
      </c>
      <c r="CC85" s="542">
        <f t="shared" ca="1" si="204"/>
        <v>0</v>
      </c>
      <c r="CD85" s="542">
        <f t="shared" ca="1" si="204"/>
        <v>0</v>
      </c>
      <c r="CE85" s="542">
        <f t="shared" ca="1" si="204"/>
        <v>0</v>
      </c>
      <c r="CF85" s="542">
        <f t="shared" ca="1" si="204"/>
        <v>0</v>
      </c>
      <c r="CG85" s="542">
        <f t="shared" ca="1" si="204"/>
        <v>0</v>
      </c>
      <c r="CH85" s="542">
        <f t="shared" ca="1" si="204"/>
        <v>0</v>
      </c>
      <c r="CI85" s="542">
        <f t="shared" ca="1" si="204"/>
        <v>0</v>
      </c>
      <c r="CJ85" s="542">
        <f t="shared" ca="1" si="204"/>
        <v>0</v>
      </c>
      <c r="CK85" s="542">
        <f t="shared" ca="1" si="204"/>
        <v>0</v>
      </c>
      <c r="CL85" s="542">
        <f t="shared" ca="1" si="204"/>
        <v>0</v>
      </c>
      <c r="CM85" s="542">
        <f t="shared" ca="1" si="204"/>
        <v>0</v>
      </c>
      <c r="CN85" s="542">
        <f t="shared" ca="1" si="204"/>
        <v>0</v>
      </c>
      <c r="CO85" s="542">
        <f t="shared" ca="1" si="204"/>
        <v>0</v>
      </c>
      <c r="CP85" s="542">
        <f t="shared" ca="1" si="204"/>
        <v>0</v>
      </c>
      <c r="CQ85" s="542">
        <f t="shared" ca="1" si="204"/>
        <v>0</v>
      </c>
      <c r="CR85" s="542">
        <f t="shared" ca="1" si="204"/>
        <v>0</v>
      </c>
      <c r="CS85" s="542">
        <f t="shared" ca="1" si="204"/>
        <v>0</v>
      </c>
      <c r="CT85" s="542">
        <f t="shared" ca="1" si="204"/>
        <v>0</v>
      </c>
      <c r="CU85" s="542">
        <f t="shared" ca="1" si="204"/>
        <v>0</v>
      </c>
      <c r="CW85" s="151">
        <f t="shared" ca="1" si="177"/>
        <v>9.4666504561108287</v>
      </c>
    </row>
    <row r="86" spans="2:101" s="84" customFormat="1" ht="6" customHeight="1" x14ac:dyDescent="0.2">
      <c r="C86" s="50"/>
      <c r="D86" s="51"/>
      <c r="E86" s="51"/>
      <c r="G86" s="245"/>
      <c r="H86" s="245"/>
      <c r="I86" s="245"/>
      <c r="J86" s="245"/>
      <c r="K86" s="245"/>
      <c r="L86" s="247"/>
      <c r="M86" s="245"/>
      <c r="N86" s="245"/>
      <c r="O86" s="245"/>
      <c r="P86" s="245">
        <f t="shared" si="136"/>
        <v>0</v>
      </c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>
        <f t="shared" si="159"/>
        <v>0</v>
      </c>
      <c r="AJ86" s="263"/>
      <c r="AK86" s="263"/>
      <c r="AL86" s="263"/>
      <c r="AM86" s="263"/>
      <c r="AN86" s="263"/>
      <c r="AO86" s="263"/>
      <c r="AP86" s="263"/>
      <c r="AQ86" s="263"/>
      <c r="AR86" s="263"/>
      <c r="AS86" s="263"/>
      <c r="AT86" s="263"/>
      <c r="AU86" s="263"/>
      <c r="AV86" s="263"/>
      <c r="AW86" s="263"/>
      <c r="AX86" s="263"/>
      <c r="AY86" s="263">
        <f t="shared" si="147"/>
        <v>0</v>
      </c>
      <c r="BA86" s="277"/>
      <c r="BB86" s="277"/>
      <c r="BC86" s="277">
        <f t="shared" si="160"/>
        <v>0</v>
      </c>
      <c r="BE86" s="55">
        <f t="shared" si="196"/>
        <v>0</v>
      </c>
      <c r="BF86" s="55"/>
      <c r="BH86" s="542"/>
      <c r="BI86" s="542"/>
      <c r="BJ86" s="542"/>
      <c r="BK86" s="542"/>
      <c r="BL86" s="542"/>
      <c r="BM86" s="542"/>
      <c r="BN86" s="542"/>
      <c r="BO86" s="542"/>
      <c r="BP86" s="542"/>
      <c r="BQ86" s="542"/>
      <c r="BR86" s="542"/>
      <c r="BS86" s="542"/>
      <c r="BT86" s="542"/>
      <c r="BU86" s="542"/>
      <c r="BV86" s="542"/>
      <c r="BW86" s="542"/>
      <c r="BX86" s="542"/>
      <c r="BY86" s="542"/>
      <c r="BZ86" s="542"/>
      <c r="CA86" s="542"/>
      <c r="CB86" s="542"/>
      <c r="CC86" s="542"/>
      <c r="CD86" s="542"/>
      <c r="CE86" s="542"/>
      <c r="CF86" s="542"/>
      <c r="CG86" s="542"/>
      <c r="CH86" s="542"/>
      <c r="CI86" s="542"/>
      <c r="CJ86" s="542"/>
      <c r="CK86" s="542"/>
      <c r="CL86" s="542"/>
      <c r="CM86" s="542"/>
      <c r="CN86" s="542"/>
      <c r="CO86" s="542"/>
      <c r="CP86" s="542"/>
      <c r="CQ86" s="542"/>
      <c r="CR86" s="542"/>
      <c r="CS86" s="542"/>
      <c r="CT86" s="542"/>
      <c r="CU86" s="542"/>
      <c r="CW86" s="151"/>
    </row>
    <row r="87" spans="2:101" s="84" customFormat="1" ht="15.75" x14ac:dyDescent="0.2">
      <c r="B87" s="89"/>
      <c r="C87" s="923" t="s">
        <v>885</v>
      </c>
      <c r="D87" s="69" t="s">
        <v>442</v>
      </c>
      <c r="E87" s="70"/>
      <c r="G87" s="338">
        <f ca="1">G$74+G$80+G$85</f>
        <v>0</v>
      </c>
      <c r="H87" s="338">
        <f ca="1">H$74+H$80+H$85</f>
        <v>0</v>
      </c>
      <c r="I87" s="338">
        <f ca="1">I$74+I$80+I$85</f>
        <v>0</v>
      </c>
      <c r="J87" s="338">
        <f t="shared" ref="J87:O87" ca="1" si="205">J$74+J$80+J$85</f>
        <v>0</v>
      </c>
      <c r="K87" s="338">
        <f t="shared" ca="1" si="205"/>
        <v>0</v>
      </c>
      <c r="L87" s="339">
        <f t="shared" ca="1" si="205"/>
        <v>0</v>
      </c>
      <c r="M87" s="338">
        <f t="shared" ca="1" si="205"/>
        <v>0</v>
      </c>
      <c r="N87" s="338">
        <f t="shared" ca="1" si="205"/>
        <v>0</v>
      </c>
      <c r="O87" s="338">
        <f t="shared" ca="1" si="205"/>
        <v>0</v>
      </c>
      <c r="P87" s="338">
        <f t="shared" ca="1" si="136"/>
        <v>0</v>
      </c>
      <c r="R87" s="294">
        <f t="shared" ref="R87:AG87" ca="1" si="206">R$74+R$80+R$85</f>
        <v>0</v>
      </c>
      <c r="S87" s="294">
        <f t="shared" ca="1" si="206"/>
        <v>-34.44985425398297</v>
      </c>
      <c r="T87" s="294">
        <f t="shared" ca="1" si="206"/>
        <v>25.824701842565585</v>
      </c>
      <c r="U87" s="294">
        <f t="shared" ca="1" si="206"/>
        <v>224.89080078518401</v>
      </c>
      <c r="V87" s="294">
        <f t="shared" ca="1" si="206"/>
        <v>602.03428222027173</v>
      </c>
      <c r="W87" s="294">
        <f t="shared" ca="1" si="206"/>
        <v>174.26276521348021</v>
      </c>
      <c r="X87" s="294">
        <f t="shared" ca="1" si="206"/>
        <v>-13.021734506073333</v>
      </c>
      <c r="Y87" s="294">
        <f t="shared" ca="1" si="206"/>
        <v>-1448.5168791380001</v>
      </c>
      <c r="Z87" s="294">
        <f t="shared" ca="1" si="206"/>
        <v>-860.64599999999996</v>
      </c>
      <c r="AA87" s="294">
        <f t="shared" ca="1" si="206"/>
        <v>0</v>
      </c>
      <c r="AB87" s="294">
        <f t="shared" ca="1" si="206"/>
        <v>0</v>
      </c>
      <c r="AC87" s="294">
        <f t="shared" ca="1" si="206"/>
        <v>-1929.3397217722111</v>
      </c>
      <c r="AD87" s="294">
        <f t="shared" ca="1" si="206"/>
        <v>-14.240042740265427</v>
      </c>
      <c r="AE87" s="294">
        <f t="shared" ca="1" si="206"/>
        <v>-143.92492401211445</v>
      </c>
      <c r="AF87" s="294">
        <f t="shared" ca="1" si="206"/>
        <v>-60.160926366401561</v>
      </c>
      <c r="AG87" s="294">
        <f t="shared" ca="1" si="206"/>
        <v>-9.7112997118455926</v>
      </c>
      <c r="AH87" s="294">
        <f t="shared" ca="1" si="159"/>
        <v>-3486.998832439393</v>
      </c>
      <c r="AJ87" s="295">
        <f t="shared" ref="AJ87:AX87" ca="1" si="207">AJ$74+AJ$80+AJ$85</f>
        <v>0</v>
      </c>
      <c r="AK87" s="295">
        <f t="shared" ca="1" si="207"/>
        <v>0</v>
      </c>
      <c r="AL87" s="295">
        <f t="shared" ca="1" si="207"/>
        <v>0</v>
      </c>
      <c r="AM87" s="295">
        <f t="shared" ca="1" si="207"/>
        <v>1146.8696111280037</v>
      </c>
      <c r="AN87" s="295">
        <f t="shared" ca="1" si="207"/>
        <v>0.5249999999999716</v>
      </c>
      <c r="AO87" s="295">
        <f t="shared" ca="1" si="207"/>
        <v>0</v>
      </c>
      <c r="AP87" s="295">
        <f t="shared" ca="1" si="207"/>
        <v>-12.802967336492252</v>
      </c>
      <c r="AQ87" s="295">
        <f t="shared" ca="1" si="207"/>
        <v>1227.1576089524019</v>
      </c>
      <c r="AR87" s="295">
        <f t="shared" ca="1" si="207"/>
        <v>752.15463096912265</v>
      </c>
      <c r="AS87" s="295">
        <f t="shared" ca="1" si="207"/>
        <v>0</v>
      </c>
      <c r="AT87" s="295">
        <f t="shared" ca="1" si="207"/>
        <v>0</v>
      </c>
      <c r="AU87" s="295">
        <f t="shared" ca="1" si="207"/>
        <v>0</v>
      </c>
      <c r="AV87" s="295">
        <f t="shared" ca="1" si="207"/>
        <v>0</v>
      </c>
      <c r="AW87" s="295">
        <f t="shared" ca="1" si="207"/>
        <v>0</v>
      </c>
      <c r="AX87" s="295">
        <f t="shared" ca="1" si="207"/>
        <v>0</v>
      </c>
      <c r="AY87" s="295">
        <f t="shared" ca="1" si="147"/>
        <v>3113.9038837130361</v>
      </c>
      <c r="BA87" s="296">
        <f ca="1">BA$74+BA$80+BA$85</f>
        <v>337.88363555105911</v>
      </c>
      <c r="BB87" s="296">
        <f ca="1">BB$74+BB$80+BB$85</f>
        <v>35.211313175297754</v>
      </c>
      <c r="BC87" s="296">
        <f t="shared" ca="1" si="160"/>
        <v>373.09494872635685</v>
      </c>
      <c r="BE87" s="58">
        <f t="shared" ca="1" si="196"/>
        <v>0</v>
      </c>
      <c r="BF87" s="58"/>
      <c r="BH87" s="546">
        <f t="shared" ref="BH87:CT87" ca="1" si="208">BH$74+BH$80+BH$85</f>
        <v>0</v>
      </c>
      <c r="BI87" s="546">
        <f t="shared" ca="1" si="208"/>
        <v>0</v>
      </c>
      <c r="BJ87" s="546">
        <f t="shared" ca="1" si="208"/>
        <v>0</v>
      </c>
      <c r="BK87" s="546">
        <f t="shared" ca="1" si="208"/>
        <v>0</v>
      </c>
      <c r="BL87" s="546">
        <f t="shared" ca="1" si="208"/>
        <v>0</v>
      </c>
      <c r="BM87" s="546">
        <f t="shared" ca="1" si="208"/>
        <v>9.4666504561108287</v>
      </c>
      <c r="BN87" s="546">
        <f t="shared" ca="1" si="208"/>
        <v>0</v>
      </c>
      <c r="BO87" s="546">
        <f t="shared" ca="1" si="208"/>
        <v>0</v>
      </c>
      <c r="BP87" s="546">
        <f t="shared" ca="1" si="208"/>
        <v>0</v>
      </c>
      <c r="BQ87" s="546">
        <f t="shared" ca="1" si="208"/>
        <v>0</v>
      </c>
      <c r="BR87" s="546">
        <f t="shared" ca="1" si="208"/>
        <v>0</v>
      </c>
      <c r="BS87" s="546">
        <f t="shared" ca="1" si="208"/>
        <v>0</v>
      </c>
      <c r="BT87" s="546">
        <f t="shared" ca="1" si="208"/>
        <v>0</v>
      </c>
      <c r="BU87" s="546">
        <f t="shared" ca="1" si="208"/>
        <v>0</v>
      </c>
      <c r="BV87" s="546">
        <f t="shared" ca="1" si="208"/>
        <v>0</v>
      </c>
      <c r="BW87" s="546">
        <f t="shared" ca="1" si="208"/>
        <v>0</v>
      </c>
      <c r="BX87" s="546">
        <f t="shared" ca="1" si="208"/>
        <v>0</v>
      </c>
      <c r="BY87" s="546">
        <f t="shared" ca="1" si="208"/>
        <v>0</v>
      </c>
      <c r="BZ87" s="546">
        <f t="shared" ca="1" si="208"/>
        <v>0</v>
      </c>
      <c r="CA87" s="546">
        <f t="shared" ca="1" si="208"/>
        <v>0</v>
      </c>
      <c r="CB87" s="546">
        <f t="shared" ca="1" si="208"/>
        <v>0</v>
      </c>
      <c r="CC87" s="546">
        <f t="shared" ca="1" si="208"/>
        <v>0</v>
      </c>
      <c r="CD87" s="546">
        <f t="shared" ca="1" si="208"/>
        <v>0</v>
      </c>
      <c r="CE87" s="546">
        <f t="shared" ca="1" si="208"/>
        <v>0</v>
      </c>
      <c r="CF87" s="546">
        <f t="shared" ca="1" si="208"/>
        <v>0</v>
      </c>
      <c r="CG87" s="546">
        <f t="shared" ca="1" si="208"/>
        <v>0</v>
      </c>
      <c r="CH87" s="546">
        <f t="shared" ca="1" si="208"/>
        <v>0</v>
      </c>
      <c r="CI87" s="546">
        <f t="shared" ca="1" si="208"/>
        <v>0</v>
      </c>
      <c r="CJ87" s="546">
        <f t="shared" ca="1" si="208"/>
        <v>0</v>
      </c>
      <c r="CK87" s="546">
        <f t="shared" ca="1" si="208"/>
        <v>0</v>
      </c>
      <c r="CL87" s="546">
        <f t="shared" ca="1" si="208"/>
        <v>0</v>
      </c>
      <c r="CM87" s="546">
        <f t="shared" ca="1" si="208"/>
        <v>0</v>
      </c>
      <c r="CN87" s="546">
        <f t="shared" ca="1" si="208"/>
        <v>-91.931487118266929</v>
      </c>
      <c r="CO87" s="546">
        <f t="shared" ca="1" si="208"/>
        <v>0</v>
      </c>
      <c r="CP87" s="546">
        <f t="shared" ca="1" si="208"/>
        <v>0</v>
      </c>
      <c r="CQ87" s="546">
        <f t="shared" ca="1" si="208"/>
        <v>0</v>
      </c>
      <c r="CR87" s="546">
        <f t="shared" ca="1" si="208"/>
        <v>0</v>
      </c>
      <c r="CS87" s="546">
        <f t="shared" ca="1" si="208"/>
        <v>0</v>
      </c>
      <c r="CT87" s="546">
        <f t="shared" ca="1" si="208"/>
        <v>0</v>
      </c>
      <c r="CU87" s="546">
        <f ca="1">CU$74+CU$85</f>
        <v>0</v>
      </c>
      <c r="CW87" s="148">
        <f ca="1">SUM(BH87:CU87)</f>
        <v>-82.464836662156102</v>
      </c>
    </row>
    <row r="88" spans="2:101" s="84" customFormat="1" x14ac:dyDescent="0.2">
      <c r="C88" s="50"/>
      <c r="D88" s="51"/>
      <c r="E88" s="51"/>
      <c r="G88" s="245"/>
      <c r="H88" s="245"/>
      <c r="I88" s="245"/>
      <c r="J88" s="245"/>
      <c r="K88" s="245"/>
      <c r="L88" s="247"/>
      <c r="M88" s="245"/>
      <c r="N88" s="245"/>
      <c r="O88" s="245"/>
      <c r="P88" s="245">
        <f t="shared" si="136"/>
        <v>0</v>
      </c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>
        <f t="shared" si="159"/>
        <v>0</v>
      </c>
      <c r="AJ88" s="263"/>
      <c r="AK88" s="263"/>
      <c r="AL88" s="263"/>
      <c r="AM88" s="263"/>
      <c r="AN88" s="263"/>
      <c r="AO88" s="263"/>
      <c r="AP88" s="263"/>
      <c r="AQ88" s="263"/>
      <c r="AR88" s="263"/>
      <c r="AS88" s="263"/>
      <c r="AT88" s="263"/>
      <c r="AU88" s="263"/>
      <c r="AV88" s="263"/>
      <c r="AW88" s="263"/>
      <c r="AX88" s="263"/>
      <c r="AY88" s="263">
        <f t="shared" si="147"/>
        <v>0</v>
      </c>
      <c r="BA88" s="277"/>
      <c r="BB88" s="277"/>
      <c r="BC88" s="277">
        <f t="shared" si="160"/>
        <v>0</v>
      </c>
      <c r="BE88" s="55">
        <f t="shared" si="196"/>
        <v>0</v>
      </c>
      <c r="BF88" s="55"/>
      <c r="BH88" s="542"/>
      <c r="BI88" s="542"/>
      <c r="BJ88" s="542"/>
      <c r="BK88" s="542"/>
      <c r="BL88" s="542"/>
      <c r="BM88" s="542"/>
      <c r="BN88" s="542"/>
      <c r="BO88" s="542"/>
      <c r="BP88" s="542"/>
      <c r="BQ88" s="542"/>
      <c r="BR88" s="542"/>
      <c r="BS88" s="542"/>
      <c r="BT88" s="542"/>
      <c r="BU88" s="542"/>
      <c r="BV88" s="542"/>
      <c r="BW88" s="542"/>
      <c r="BX88" s="542"/>
      <c r="BY88" s="542"/>
      <c r="BZ88" s="542"/>
      <c r="CA88" s="542"/>
      <c r="CB88" s="542"/>
      <c r="CC88" s="542"/>
      <c r="CD88" s="542"/>
      <c r="CE88" s="542"/>
      <c r="CF88" s="542"/>
      <c r="CG88" s="542"/>
      <c r="CH88" s="542"/>
      <c r="CI88" s="542"/>
      <c r="CJ88" s="542"/>
      <c r="CK88" s="542"/>
      <c r="CL88" s="542"/>
      <c r="CM88" s="542"/>
      <c r="CN88" s="542"/>
      <c r="CO88" s="542"/>
      <c r="CP88" s="542"/>
      <c r="CQ88" s="542"/>
      <c r="CR88" s="542"/>
      <c r="CS88" s="542"/>
      <c r="CT88" s="542"/>
      <c r="CU88" s="542"/>
      <c r="CW88" s="151"/>
    </row>
    <row r="89" spans="2:101" s="84" customFormat="1" ht="13.5" thickBot="1" x14ac:dyDescent="0.25">
      <c r="C89" s="50"/>
      <c r="D89" s="51"/>
      <c r="E89" s="51"/>
      <c r="G89" s="245"/>
      <c r="H89" s="245"/>
      <c r="I89" s="245"/>
      <c r="J89" s="245"/>
      <c r="K89" s="245"/>
      <c r="L89" s="247"/>
      <c r="M89" s="245"/>
      <c r="N89" s="245"/>
      <c r="O89" s="245"/>
      <c r="P89" s="245">
        <f t="shared" si="136"/>
        <v>0</v>
      </c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>
        <f t="shared" si="159"/>
        <v>0</v>
      </c>
      <c r="AJ89" s="263"/>
      <c r="AK89" s="263"/>
      <c r="AL89" s="263"/>
      <c r="AM89" s="263"/>
      <c r="AN89" s="263"/>
      <c r="AO89" s="263"/>
      <c r="AP89" s="263"/>
      <c r="AQ89" s="263"/>
      <c r="AR89" s="263"/>
      <c r="AS89" s="263"/>
      <c r="AT89" s="263"/>
      <c r="AU89" s="263"/>
      <c r="AV89" s="263"/>
      <c r="AW89" s="263"/>
      <c r="AX89" s="263"/>
      <c r="AY89" s="263">
        <f t="shared" si="147"/>
        <v>0</v>
      </c>
      <c r="BA89" s="277"/>
      <c r="BB89" s="277"/>
      <c r="BC89" s="277">
        <f t="shared" si="160"/>
        <v>0</v>
      </c>
      <c r="BE89" s="55">
        <f t="shared" si="196"/>
        <v>0</v>
      </c>
      <c r="BF89" s="55"/>
      <c r="BH89" s="542"/>
      <c r="BI89" s="542"/>
      <c r="BJ89" s="542"/>
      <c r="BK89" s="542"/>
      <c r="BL89" s="542"/>
      <c r="BM89" s="542"/>
      <c r="BN89" s="542"/>
      <c r="BO89" s="542"/>
      <c r="BP89" s="542"/>
      <c r="BQ89" s="542"/>
      <c r="BR89" s="542"/>
      <c r="BS89" s="542"/>
      <c r="BT89" s="542"/>
      <c r="BU89" s="542"/>
      <c r="BV89" s="542"/>
      <c r="BW89" s="542"/>
      <c r="BX89" s="542"/>
      <c r="BY89" s="542"/>
      <c r="BZ89" s="542"/>
      <c r="CA89" s="542"/>
      <c r="CB89" s="542"/>
      <c r="CC89" s="542"/>
      <c r="CD89" s="542"/>
      <c r="CE89" s="542"/>
      <c r="CF89" s="542"/>
      <c r="CG89" s="542"/>
      <c r="CH89" s="542"/>
      <c r="CI89" s="542"/>
      <c r="CJ89" s="542"/>
      <c r="CK89" s="542"/>
      <c r="CL89" s="542"/>
      <c r="CM89" s="542"/>
      <c r="CN89" s="542"/>
      <c r="CO89" s="542"/>
      <c r="CP89" s="542"/>
      <c r="CQ89" s="542"/>
      <c r="CR89" s="542"/>
      <c r="CS89" s="542"/>
      <c r="CT89" s="542"/>
      <c r="CU89" s="542"/>
      <c r="CW89" s="151"/>
    </row>
    <row r="90" spans="2:101" s="84" customFormat="1" ht="24" customHeight="1" thickBot="1" x14ac:dyDescent="0.25">
      <c r="C90" s="67" t="s">
        <v>189</v>
      </c>
      <c r="D90" s="67"/>
      <c r="E90" s="67"/>
      <c r="G90" s="357">
        <f ca="1">G$28+G$66+G$87</f>
        <v>65.109017777829635</v>
      </c>
      <c r="H90" s="357">
        <f ca="1">H$28+H$66+H$87</f>
        <v>69.119383751249117</v>
      </c>
      <c r="I90" s="357">
        <f ca="1">I$28+I$66+I$87</f>
        <v>249.1957189496236</v>
      </c>
      <c r="J90" s="357">
        <f t="shared" ref="J90:O90" ca="1" si="209">J$28+J$66+J$87</f>
        <v>370.71748563692677</v>
      </c>
      <c r="K90" s="357">
        <f t="shared" ca="1" si="209"/>
        <v>95.196935864243045</v>
      </c>
      <c r="L90" s="357">
        <f t="shared" ca="1" si="209"/>
        <v>49.917389989978602</v>
      </c>
      <c r="M90" s="357">
        <f t="shared" ca="1" si="209"/>
        <v>0</v>
      </c>
      <c r="N90" s="357">
        <f t="shared" ca="1" si="209"/>
        <v>2.4118289602556366E-13</v>
      </c>
      <c r="O90" s="357">
        <f t="shared" ca="1" si="209"/>
        <v>3.3960407357889455</v>
      </c>
      <c r="P90" s="357">
        <f t="shared" ref="P90" ca="1" si="210">SUM(G90:O90)</f>
        <v>902.65197270563988</v>
      </c>
      <c r="R90" s="358">
        <f t="shared" ref="R90:AG90" ca="1" si="211">R$28+R$66+R$87</f>
        <v>-192.24084077257035</v>
      </c>
      <c r="S90" s="358">
        <f t="shared" ca="1" si="211"/>
        <v>192.24084077257035</v>
      </c>
      <c r="T90" s="358">
        <f t="shared" ca="1" si="211"/>
        <v>0</v>
      </c>
      <c r="U90" s="358">
        <f t="shared" ca="1" si="211"/>
        <v>0</v>
      </c>
      <c r="V90" s="358">
        <f t="shared" ca="1" si="211"/>
        <v>0</v>
      </c>
      <c r="W90" s="358">
        <f t="shared" ca="1" si="211"/>
        <v>0</v>
      </c>
      <c r="X90" s="358">
        <f t="shared" ca="1" si="211"/>
        <v>0</v>
      </c>
      <c r="Y90" s="358">
        <f t="shared" ca="1" si="211"/>
        <v>0</v>
      </c>
      <c r="Z90" s="358">
        <f t="shared" ca="1" si="211"/>
        <v>0</v>
      </c>
      <c r="AA90" s="358">
        <f t="shared" ca="1" si="211"/>
        <v>0</v>
      </c>
      <c r="AB90" s="358">
        <f t="shared" ca="1" si="211"/>
        <v>0</v>
      </c>
      <c r="AC90" s="358">
        <f t="shared" ca="1" si="211"/>
        <v>0</v>
      </c>
      <c r="AD90" s="358">
        <f t="shared" ca="1" si="211"/>
        <v>0</v>
      </c>
      <c r="AE90" s="358">
        <f t="shared" ca="1" si="211"/>
        <v>0</v>
      </c>
      <c r="AF90" s="358">
        <f t="shared" ca="1" si="211"/>
        <v>0</v>
      </c>
      <c r="AG90" s="358">
        <f t="shared" ca="1" si="211"/>
        <v>0</v>
      </c>
      <c r="AH90" s="358">
        <f t="shared" ca="1" si="159"/>
        <v>0</v>
      </c>
      <c r="AJ90" s="359">
        <f t="shared" ref="AJ90:AX90" ca="1" si="212">AJ$28+AJ$66+AJ$87</f>
        <v>-7.17215067274</v>
      </c>
      <c r="AK90" s="359">
        <f t="shared" ca="1" si="212"/>
        <v>-1448.5168791380001</v>
      </c>
      <c r="AL90" s="359">
        <f t="shared" ca="1" si="212"/>
        <v>-860.64599999999996</v>
      </c>
      <c r="AM90" s="359">
        <f t="shared" ca="1" si="212"/>
        <v>1146.8696111280037</v>
      </c>
      <c r="AN90" s="359">
        <f t="shared" ca="1" si="212"/>
        <v>0.5249999999999716</v>
      </c>
      <c r="AO90" s="359">
        <f t="shared" ca="1" si="212"/>
        <v>0</v>
      </c>
      <c r="AP90" s="359">
        <f t="shared" ca="1" si="212"/>
        <v>-12.802967336492252</v>
      </c>
      <c r="AQ90" s="359">
        <f t="shared" ca="1" si="212"/>
        <v>1227.1576089524019</v>
      </c>
      <c r="AR90" s="359">
        <f t="shared" ca="1" si="212"/>
        <v>752.15463096912265</v>
      </c>
      <c r="AS90" s="359">
        <f t="shared" ca="1" si="212"/>
        <v>0</v>
      </c>
      <c r="AT90" s="359">
        <f t="shared" ca="1" si="212"/>
        <v>-48.334847400000001</v>
      </c>
      <c r="AU90" s="359">
        <f t="shared" ca="1" si="212"/>
        <v>-3.6817200000000003</v>
      </c>
      <c r="AV90" s="359">
        <f t="shared" ca="1" si="212"/>
        <v>-17.321616000000002</v>
      </c>
      <c r="AW90" s="359">
        <f t="shared" ca="1" si="212"/>
        <v>-1943.5797645124765</v>
      </c>
      <c r="AX90" s="359">
        <f t="shared" ca="1" si="212"/>
        <v>-219.64673392369494</v>
      </c>
      <c r="AY90" s="359">
        <f t="shared" ca="1" si="147"/>
        <v>-1434.9958279338753</v>
      </c>
      <c r="BA90" s="360">
        <f ca="1">BA$28+BA$66+BA$87</f>
        <v>485.60106617176382</v>
      </c>
      <c r="BB90" s="360">
        <f ca="1">BB$28+BB$66+BB$87</f>
        <v>46.742789056471665</v>
      </c>
      <c r="BC90" s="360">
        <f t="shared" ca="1" si="160"/>
        <v>532.3438552282355</v>
      </c>
      <c r="BE90" s="54">
        <f t="shared" ca="1" si="196"/>
        <v>0</v>
      </c>
      <c r="BF90" s="54"/>
      <c r="BH90" s="552">
        <f t="shared" ref="BH90:CU90" ca="1" si="213">BH$28+BH$66+BH$87</f>
        <v>165.70766477405044</v>
      </c>
      <c r="BI90" s="552">
        <f ca="1">BI$28+BI$66+BI$87</f>
        <v>14.572174136875022</v>
      </c>
      <c r="BJ90" s="552">
        <f t="shared" ca="1" si="213"/>
        <v>15.447876314200453</v>
      </c>
      <c r="BK90" s="552">
        <f t="shared" ca="1" si="213"/>
        <v>0</v>
      </c>
      <c r="BL90" s="552">
        <f t="shared" ca="1" si="213"/>
        <v>6.6124285714285715</v>
      </c>
      <c r="BM90" s="552">
        <f t="shared" ca="1" si="213"/>
        <v>9.4764114079808301</v>
      </c>
      <c r="BN90" s="552">
        <f t="shared" ca="1" si="213"/>
        <v>0</v>
      </c>
      <c r="BO90" s="552">
        <f t="shared" ca="1" si="213"/>
        <v>0</v>
      </c>
      <c r="BP90" s="552">
        <f t="shared" ca="1" si="213"/>
        <v>14.682038301883917</v>
      </c>
      <c r="BQ90" s="552">
        <f t="shared" ca="1" si="213"/>
        <v>0.12340583618450737</v>
      </c>
      <c r="BR90" s="552">
        <f t="shared" ca="1" si="213"/>
        <v>3.1177186281139675</v>
      </c>
      <c r="BS90" s="552">
        <f t="shared" ca="1" si="213"/>
        <v>9.9423140598270283</v>
      </c>
      <c r="BT90" s="552">
        <f t="shared" ca="1" si="213"/>
        <v>0</v>
      </c>
      <c r="BU90" s="552">
        <f t="shared" ca="1" si="213"/>
        <v>0</v>
      </c>
      <c r="BV90" s="552">
        <f t="shared" ca="1" si="213"/>
        <v>0</v>
      </c>
      <c r="BW90" s="552">
        <f t="shared" ca="1" si="213"/>
        <v>0</v>
      </c>
      <c r="BX90" s="552">
        <f t="shared" ca="1" si="213"/>
        <v>0</v>
      </c>
      <c r="BY90" s="552">
        <f t="shared" ca="1" si="213"/>
        <v>0</v>
      </c>
      <c r="BZ90" s="552">
        <f t="shared" ca="1" si="213"/>
        <v>21.83370602510076</v>
      </c>
      <c r="CA90" s="552">
        <f t="shared" ca="1" si="213"/>
        <v>0</v>
      </c>
      <c r="CB90" s="552">
        <f t="shared" ca="1" si="213"/>
        <v>7.3100835966666686</v>
      </c>
      <c r="CC90" s="552">
        <f t="shared" ca="1" si="213"/>
        <v>0</v>
      </c>
      <c r="CD90" s="552">
        <f t="shared" ca="1" si="213"/>
        <v>0</v>
      </c>
      <c r="CE90" s="552">
        <f t="shared" ca="1" si="213"/>
        <v>0</v>
      </c>
      <c r="CF90" s="552">
        <f t="shared" ca="1" si="213"/>
        <v>0</v>
      </c>
      <c r="CG90" s="552">
        <f t="shared" ca="1" si="213"/>
        <v>8.4928453808442548</v>
      </c>
      <c r="CH90" s="552">
        <f t="shared" ca="1" si="213"/>
        <v>0</v>
      </c>
      <c r="CI90" s="552">
        <f t="shared" ca="1" si="213"/>
        <v>0</v>
      </c>
      <c r="CJ90" s="552">
        <f t="shared" ca="1" si="213"/>
        <v>0</v>
      </c>
      <c r="CK90" s="552">
        <f t="shared" ca="1" si="213"/>
        <v>0</v>
      </c>
      <c r="CL90" s="552">
        <f t="shared" ca="1" si="213"/>
        <v>0</v>
      </c>
      <c r="CM90" s="552">
        <f t="shared" ca="1" si="213"/>
        <v>0</v>
      </c>
      <c r="CN90" s="552">
        <f t="shared" ca="1" si="213"/>
        <v>-91.931487118266929</v>
      </c>
      <c r="CO90" s="552">
        <f t="shared" ca="1" si="213"/>
        <v>0</v>
      </c>
      <c r="CP90" s="552">
        <f t="shared" ca="1" si="213"/>
        <v>0</v>
      </c>
      <c r="CQ90" s="552">
        <f t="shared" ca="1" si="213"/>
        <v>0</v>
      </c>
      <c r="CR90" s="552">
        <f t="shared" ca="1" si="213"/>
        <v>0</v>
      </c>
      <c r="CS90" s="552">
        <f t="shared" ca="1" si="213"/>
        <v>0</v>
      </c>
      <c r="CT90" s="552">
        <f t="shared" ca="1" si="213"/>
        <v>0</v>
      </c>
      <c r="CU90" s="552">
        <f t="shared" ca="1" si="213"/>
        <v>0</v>
      </c>
      <c r="CW90" s="148">
        <f ca="1">SUM(BH90:CU90)</f>
        <v>185.38717991488949</v>
      </c>
    </row>
    <row r="91" spans="2:101" s="84" customFormat="1" x14ac:dyDescent="0.2">
      <c r="C91" s="50"/>
      <c r="D91" s="51"/>
      <c r="E91" s="51"/>
      <c r="G91" s="282"/>
      <c r="H91" s="282"/>
      <c r="I91" s="282"/>
      <c r="J91" s="282"/>
      <c r="K91" s="282"/>
      <c r="L91" s="283"/>
      <c r="M91" s="282"/>
      <c r="N91" s="282"/>
      <c r="O91" s="282"/>
      <c r="P91" s="282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BA91" s="289"/>
      <c r="BB91" s="289"/>
      <c r="BC91" s="289"/>
      <c r="BE91" s="55"/>
      <c r="BF91" s="55"/>
      <c r="BH91" s="553"/>
      <c r="BI91" s="553"/>
      <c r="BJ91" s="553"/>
      <c r="BK91" s="553"/>
      <c r="BL91" s="553"/>
      <c r="BM91" s="553"/>
      <c r="BN91" s="553"/>
      <c r="BO91" s="553"/>
      <c r="BP91" s="553"/>
      <c r="BQ91" s="553"/>
      <c r="BR91" s="553"/>
      <c r="BS91" s="553"/>
      <c r="BT91" s="553"/>
      <c r="BU91" s="553"/>
      <c r="BV91" s="553"/>
      <c r="BW91" s="553"/>
      <c r="BX91" s="553"/>
      <c r="BY91" s="553"/>
      <c r="BZ91" s="553"/>
      <c r="CA91" s="553"/>
      <c r="CB91" s="553"/>
      <c r="CC91" s="553"/>
      <c r="CD91" s="553"/>
      <c r="CE91" s="553"/>
      <c r="CF91" s="553"/>
      <c r="CG91" s="553"/>
      <c r="CH91" s="553"/>
      <c r="CI91" s="553"/>
      <c r="CJ91" s="553"/>
      <c r="CK91" s="553"/>
      <c r="CL91" s="553"/>
      <c r="CM91" s="553"/>
      <c r="CN91" s="553"/>
      <c r="CO91" s="553"/>
      <c r="CP91" s="553"/>
      <c r="CQ91" s="553"/>
      <c r="CR91" s="553"/>
      <c r="CS91" s="553"/>
      <c r="CT91" s="553"/>
      <c r="CU91" s="553"/>
    </row>
    <row r="92" spans="2:101" x14ac:dyDescent="0.2">
      <c r="G92" s="55"/>
      <c r="H92" s="55"/>
      <c r="I92" s="55"/>
      <c r="J92" s="55"/>
      <c r="K92" s="55"/>
      <c r="L92" s="59"/>
      <c r="M92" s="55"/>
      <c r="N92" s="55"/>
      <c r="O92" s="55"/>
      <c r="P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BA92" s="55"/>
      <c r="BB92" s="55"/>
      <c r="BC92" s="55"/>
      <c r="BE92" s="55"/>
      <c r="BF92" s="55"/>
    </row>
    <row r="93" spans="2:101" x14ac:dyDescent="0.2">
      <c r="G93" s="55"/>
      <c r="H93" s="55"/>
      <c r="I93" s="55"/>
      <c r="J93" s="55"/>
      <c r="K93" s="55"/>
      <c r="L93" s="59"/>
      <c r="M93" s="55"/>
      <c r="N93" s="55"/>
      <c r="O93" s="55"/>
      <c r="P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BA93" s="55"/>
      <c r="BB93" s="55"/>
      <c r="BC93" s="55"/>
      <c r="BE93" s="55"/>
      <c r="BF93" s="55"/>
      <c r="CU93" s="1426" t="s">
        <v>1183</v>
      </c>
      <c r="CW93" s="2480">
        <f ca="1">SUM(CW47,CW50,CW54,CW64)</f>
        <v>54.548560119226764</v>
      </c>
    </row>
    <row r="94" spans="2:101" x14ac:dyDescent="0.2">
      <c r="B94" s="2479" t="s">
        <v>322</v>
      </c>
      <c r="C94" s="355" t="s">
        <v>443</v>
      </c>
      <c r="G94" s="55"/>
      <c r="H94" s="55"/>
      <c r="I94" s="55"/>
      <c r="J94" s="55"/>
      <c r="K94" s="55"/>
      <c r="L94" s="59"/>
      <c r="M94" s="55"/>
      <c r="N94" s="55"/>
      <c r="O94" s="55"/>
      <c r="P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BA94" s="55"/>
      <c r="BB94" s="55"/>
      <c r="BC94" s="55"/>
      <c r="BE94" s="55"/>
      <c r="BF94" s="55"/>
      <c r="CU94" s="1426" t="s">
        <v>1184</v>
      </c>
      <c r="CW94" s="2480">
        <f ca="1">S90-MIN(S84,0)</f>
        <v>192.24084077257035</v>
      </c>
    </row>
    <row r="95" spans="2:101" ht="15.75" x14ac:dyDescent="0.25">
      <c r="B95" s="3"/>
      <c r="G95" s="55"/>
      <c r="H95" s="55"/>
      <c r="I95" s="55"/>
      <c r="J95" s="55"/>
      <c r="K95" s="55"/>
      <c r="L95" s="59"/>
      <c r="M95" s="55"/>
      <c r="N95" s="55"/>
      <c r="O95" s="55"/>
      <c r="P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BA95" s="55"/>
      <c r="BB95" s="55"/>
      <c r="BC95" s="55"/>
      <c r="BE95" s="55"/>
      <c r="BF95" s="55"/>
      <c r="CU95" s="1426" t="s">
        <v>1185</v>
      </c>
      <c r="CW95" s="2479">
        <f ca="1">CW93/CW94</f>
        <v>0.28375115246067922</v>
      </c>
    </row>
    <row r="96" spans="2:101" x14ac:dyDescent="0.2">
      <c r="G96" s="55"/>
      <c r="H96" s="55"/>
      <c r="I96" s="55"/>
      <c r="J96" s="55"/>
      <c r="K96" s="55"/>
      <c r="L96" s="59"/>
      <c r="M96" s="55"/>
      <c r="N96" s="55"/>
      <c r="O96" s="55"/>
      <c r="P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BA96" s="55"/>
      <c r="BB96" s="55"/>
      <c r="BC96" s="55"/>
      <c r="BE96" s="55"/>
      <c r="BF96" s="55"/>
    </row>
    <row r="97" spans="2:58" ht="15.75" x14ac:dyDescent="0.25">
      <c r="B97" s="3"/>
      <c r="G97" s="55"/>
      <c r="H97" s="55"/>
      <c r="I97" s="55"/>
      <c r="J97" s="55"/>
      <c r="K97" s="55"/>
      <c r="L97" s="59"/>
      <c r="M97" s="55"/>
      <c r="N97" s="55"/>
      <c r="O97" s="55"/>
      <c r="P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BA97" s="55"/>
      <c r="BB97" s="55"/>
      <c r="BC97" s="55"/>
      <c r="BE97" s="55"/>
      <c r="BF97" s="55"/>
    </row>
    <row r="98" spans="2:58" ht="15.75" x14ac:dyDescent="0.25">
      <c r="B98" s="3"/>
      <c r="G98" s="55"/>
      <c r="H98" s="55"/>
      <c r="I98" s="55"/>
      <c r="J98" s="55"/>
      <c r="K98" s="55"/>
      <c r="L98" s="59"/>
      <c r="M98" s="55"/>
      <c r="N98" s="55"/>
      <c r="O98" s="55"/>
      <c r="P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BA98" s="55"/>
      <c r="BB98" s="55"/>
      <c r="BC98" s="55"/>
      <c r="BE98" s="55"/>
      <c r="BF98" s="55"/>
    </row>
    <row r="99" spans="2:58" ht="15.75" x14ac:dyDescent="0.25">
      <c r="B99" s="3"/>
      <c r="G99" s="55"/>
      <c r="H99" s="55"/>
      <c r="I99" s="55"/>
      <c r="J99" s="55"/>
      <c r="K99" s="55"/>
      <c r="L99" s="59"/>
      <c r="M99" s="55"/>
      <c r="N99" s="55"/>
      <c r="O99" s="55"/>
      <c r="P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BA99" s="55"/>
      <c r="BB99" s="55"/>
      <c r="BC99" s="55"/>
      <c r="BE99" s="55"/>
      <c r="BF99" s="55"/>
    </row>
    <row r="100" spans="2:58" ht="15.75" x14ac:dyDescent="0.25">
      <c r="B100" s="3"/>
      <c r="G100" s="55"/>
      <c r="H100" s="55"/>
      <c r="I100" s="55"/>
      <c r="J100" s="55"/>
      <c r="K100" s="55"/>
      <c r="L100" s="59"/>
      <c r="M100" s="55"/>
      <c r="N100" s="55"/>
      <c r="O100" s="55"/>
      <c r="P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BA100" s="55"/>
      <c r="BB100" s="55"/>
      <c r="BC100" s="55"/>
      <c r="BE100" s="55"/>
      <c r="BF100" s="55"/>
    </row>
    <row r="101" spans="2:58" ht="15.75" x14ac:dyDescent="0.25">
      <c r="B101" s="3"/>
      <c r="G101" s="55"/>
      <c r="H101" s="55"/>
      <c r="I101" s="55"/>
      <c r="J101" s="55"/>
      <c r="K101" s="55"/>
      <c r="L101" s="59"/>
      <c r="M101" s="55"/>
      <c r="N101" s="55"/>
      <c r="O101" s="55"/>
      <c r="P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BA101" s="55"/>
      <c r="BB101" s="55"/>
      <c r="BC101" s="55"/>
      <c r="BE101" s="55"/>
      <c r="BF101" s="55"/>
    </row>
    <row r="102" spans="2:58" ht="15.75" x14ac:dyDescent="0.25">
      <c r="B102" s="3"/>
      <c r="G102" s="55"/>
      <c r="H102" s="55"/>
      <c r="I102" s="55"/>
      <c r="J102" s="55"/>
      <c r="K102" s="55"/>
      <c r="L102" s="59"/>
      <c r="M102" s="55"/>
      <c r="N102" s="55"/>
      <c r="O102" s="55"/>
      <c r="P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BA102" s="55"/>
      <c r="BB102" s="55"/>
      <c r="BC102" s="55"/>
      <c r="BE102" s="55"/>
      <c r="BF102" s="55"/>
    </row>
    <row r="103" spans="2:58" ht="24" customHeight="1" x14ac:dyDescent="0.2">
      <c r="G103" s="55"/>
      <c r="H103" s="55"/>
      <c r="I103" s="55"/>
      <c r="J103" s="55"/>
      <c r="K103" s="55"/>
      <c r="L103" s="59"/>
      <c r="M103" s="55"/>
      <c r="N103" s="55"/>
      <c r="O103" s="55"/>
      <c r="P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BA103" s="55"/>
      <c r="BB103" s="55"/>
      <c r="BC103" s="55"/>
      <c r="BE103" s="55"/>
      <c r="BF103" s="55"/>
    </row>
    <row r="104" spans="2:58" x14ac:dyDescent="0.2">
      <c r="G104" s="55"/>
      <c r="H104" s="55"/>
      <c r="I104" s="55"/>
      <c r="J104" s="55"/>
      <c r="K104" s="55"/>
      <c r="L104" s="59"/>
      <c r="M104" s="55"/>
      <c r="N104" s="55"/>
      <c r="O104" s="55"/>
      <c r="P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BA104" s="55"/>
      <c r="BB104" s="55"/>
      <c r="BC104" s="55"/>
      <c r="BE104" s="55"/>
      <c r="BF104" s="55"/>
    </row>
    <row r="105" spans="2:58" x14ac:dyDescent="0.2">
      <c r="G105" s="55"/>
      <c r="H105" s="55"/>
      <c r="I105" s="55"/>
      <c r="J105" s="55"/>
      <c r="K105" s="55"/>
      <c r="L105" s="59"/>
      <c r="M105" s="55"/>
      <c r="N105" s="55"/>
      <c r="O105" s="55"/>
      <c r="P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BA105" s="55"/>
      <c r="BB105" s="55"/>
      <c r="BC105" s="55"/>
      <c r="BE105" s="55"/>
      <c r="BF105" s="55"/>
    </row>
    <row r="106" spans="2:58" x14ac:dyDescent="0.2">
      <c r="C106" s="60"/>
      <c r="D106" s="34"/>
      <c r="G106" s="55"/>
      <c r="H106" s="55"/>
      <c r="I106" s="55"/>
      <c r="J106" s="55"/>
      <c r="K106" s="55"/>
      <c r="L106" s="59"/>
      <c r="M106" s="55"/>
      <c r="N106" s="55"/>
      <c r="O106" s="55"/>
      <c r="P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BA106" s="55"/>
      <c r="BB106" s="55"/>
      <c r="BC106" s="55"/>
      <c r="BE106" s="55"/>
      <c r="BF106" s="55"/>
    </row>
    <row r="107" spans="2:58" x14ac:dyDescent="0.2">
      <c r="G107" s="55"/>
      <c r="H107" s="55"/>
      <c r="I107" s="55"/>
      <c r="J107" s="55"/>
      <c r="K107" s="55"/>
      <c r="L107" s="59"/>
      <c r="M107" s="55"/>
      <c r="N107" s="55"/>
      <c r="O107" s="55"/>
      <c r="P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BA107" s="55"/>
      <c r="BB107" s="55"/>
      <c r="BC107" s="55"/>
      <c r="BE107" s="55"/>
      <c r="BF107" s="55"/>
    </row>
    <row r="108" spans="2:58" x14ac:dyDescent="0.2">
      <c r="G108" s="55"/>
      <c r="H108" s="55"/>
      <c r="I108" s="55"/>
      <c r="J108" s="55"/>
      <c r="K108" s="55"/>
      <c r="L108" s="59"/>
      <c r="M108" s="55"/>
      <c r="N108" s="55"/>
      <c r="O108" s="55"/>
      <c r="P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BA108" s="55"/>
      <c r="BB108" s="55"/>
      <c r="BC108" s="55"/>
      <c r="BE108" s="55"/>
      <c r="BF108" s="55"/>
    </row>
    <row r="109" spans="2:58" x14ac:dyDescent="0.2">
      <c r="G109" s="55"/>
      <c r="H109" s="55"/>
      <c r="I109" s="55"/>
      <c r="J109" s="55"/>
      <c r="K109" s="55"/>
      <c r="L109" s="59"/>
      <c r="M109" s="55"/>
      <c r="N109" s="55"/>
      <c r="O109" s="55"/>
      <c r="P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BA109" s="55"/>
      <c r="BB109" s="55"/>
      <c r="BC109" s="55"/>
      <c r="BE109" s="55"/>
      <c r="BF109" s="55"/>
    </row>
    <row r="110" spans="2:58" x14ac:dyDescent="0.2">
      <c r="G110" s="55"/>
      <c r="H110" s="55"/>
      <c r="I110" s="55"/>
      <c r="J110" s="55"/>
      <c r="K110" s="55"/>
      <c r="L110" s="59"/>
      <c r="M110" s="55"/>
      <c r="N110" s="55"/>
      <c r="O110" s="55"/>
      <c r="P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BA110" s="55"/>
      <c r="BB110" s="55"/>
      <c r="BC110" s="55"/>
      <c r="BE110" s="55"/>
      <c r="BF110" s="55"/>
    </row>
    <row r="111" spans="2:58" x14ac:dyDescent="0.2">
      <c r="G111" s="55"/>
      <c r="H111" s="55"/>
      <c r="I111" s="55"/>
      <c r="J111" s="55"/>
      <c r="K111" s="55"/>
      <c r="L111" s="59"/>
      <c r="M111" s="55"/>
      <c r="N111" s="55"/>
      <c r="O111" s="55"/>
      <c r="P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BA111" s="55"/>
      <c r="BB111" s="55"/>
      <c r="BC111" s="55"/>
      <c r="BE111" s="55"/>
      <c r="BF111" s="55"/>
    </row>
    <row r="112" spans="2:58" x14ac:dyDescent="0.2">
      <c r="G112" s="55"/>
      <c r="H112" s="55"/>
      <c r="I112" s="55"/>
      <c r="J112" s="55"/>
      <c r="K112" s="55"/>
      <c r="L112" s="59"/>
      <c r="M112" s="55"/>
      <c r="N112" s="55"/>
      <c r="O112" s="55"/>
      <c r="P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BA112" s="55"/>
      <c r="BB112" s="55"/>
      <c r="BC112" s="55"/>
      <c r="BE112" s="55"/>
      <c r="BF112" s="55"/>
    </row>
    <row r="113" spans="7:58" s="2479" customFormat="1" x14ac:dyDescent="0.2">
      <c r="G113" s="55"/>
      <c r="H113" s="55"/>
      <c r="I113" s="55"/>
      <c r="J113" s="55"/>
      <c r="K113" s="55"/>
      <c r="L113" s="59"/>
      <c r="M113" s="55"/>
      <c r="N113" s="55"/>
      <c r="O113" s="55"/>
      <c r="P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BA113" s="55"/>
      <c r="BB113" s="55"/>
      <c r="BC113" s="55"/>
      <c r="BE113" s="55"/>
      <c r="BF113" s="55"/>
    </row>
    <row r="114" spans="7:58" s="2479" customFormat="1" x14ac:dyDescent="0.2">
      <c r="G114" s="55"/>
      <c r="H114" s="55"/>
      <c r="I114" s="55"/>
      <c r="J114" s="55"/>
      <c r="K114" s="55"/>
      <c r="L114" s="59"/>
      <c r="M114" s="55"/>
      <c r="N114" s="55"/>
      <c r="O114" s="55"/>
      <c r="P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BA114" s="55"/>
      <c r="BB114" s="55"/>
      <c r="BC114" s="55"/>
      <c r="BE114" s="55"/>
      <c r="BF114" s="55"/>
    </row>
    <row r="115" spans="7:58" s="2479" customFormat="1" x14ac:dyDescent="0.2">
      <c r="G115" s="55"/>
      <c r="H115" s="55"/>
      <c r="I115" s="55"/>
      <c r="J115" s="55"/>
      <c r="K115" s="55"/>
      <c r="L115" s="59"/>
      <c r="M115" s="55"/>
      <c r="N115" s="55"/>
      <c r="O115" s="55"/>
      <c r="P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BA115" s="55"/>
      <c r="BB115" s="55"/>
      <c r="BC115" s="55"/>
      <c r="BE115" s="55"/>
      <c r="BF115" s="55"/>
    </row>
    <row r="116" spans="7:58" s="2479" customFormat="1" x14ac:dyDescent="0.2">
      <c r="G116" s="55"/>
      <c r="H116" s="55"/>
      <c r="I116" s="55"/>
      <c r="J116" s="55"/>
      <c r="K116" s="55"/>
      <c r="L116" s="59"/>
      <c r="M116" s="55"/>
      <c r="N116" s="55"/>
      <c r="O116" s="55"/>
      <c r="P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BA116" s="55"/>
      <c r="BB116" s="55"/>
      <c r="BC116" s="55"/>
      <c r="BE116" s="55"/>
      <c r="BF116" s="55"/>
    </row>
    <row r="117" spans="7:58" s="2479" customFormat="1" x14ac:dyDescent="0.2">
      <c r="G117" s="55"/>
      <c r="H117" s="55"/>
      <c r="I117" s="55"/>
      <c r="J117" s="55"/>
      <c r="K117" s="55"/>
      <c r="L117" s="59"/>
      <c r="M117" s="55"/>
      <c r="N117" s="55"/>
      <c r="O117" s="55"/>
      <c r="P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BA117" s="55"/>
      <c r="BB117" s="55"/>
      <c r="BC117" s="55"/>
      <c r="BE117" s="55"/>
      <c r="BF117" s="55"/>
    </row>
    <row r="118" spans="7:58" s="2479" customFormat="1" x14ac:dyDescent="0.2">
      <c r="G118" s="55"/>
      <c r="H118" s="55"/>
      <c r="I118" s="55"/>
      <c r="J118" s="55"/>
      <c r="K118" s="55"/>
      <c r="L118" s="59"/>
      <c r="M118" s="55"/>
      <c r="N118" s="55"/>
      <c r="O118" s="55"/>
      <c r="P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BA118" s="55"/>
      <c r="BB118" s="55"/>
      <c r="BC118" s="55"/>
      <c r="BE118" s="55"/>
      <c r="BF118" s="55"/>
    </row>
    <row r="119" spans="7:58" s="2479" customFormat="1" x14ac:dyDescent="0.2">
      <c r="G119" s="55"/>
      <c r="H119" s="55"/>
      <c r="I119" s="55"/>
      <c r="J119" s="55"/>
      <c r="K119" s="55"/>
      <c r="L119" s="59"/>
      <c r="M119" s="55"/>
      <c r="N119" s="55"/>
      <c r="O119" s="55"/>
      <c r="P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BA119" s="55"/>
      <c r="BB119" s="55"/>
      <c r="BC119" s="55"/>
      <c r="BE119" s="55"/>
      <c r="BF119" s="55"/>
    </row>
    <row r="120" spans="7:58" s="2479" customFormat="1" x14ac:dyDescent="0.2">
      <c r="G120" s="55"/>
      <c r="H120" s="55"/>
      <c r="I120" s="55"/>
      <c r="J120" s="55"/>
      <c r="K120" s="55"/>
      <c r="L120" s="59"/>
      <c r="M120" s="55"/>
      <c r="N120" s="55"/>
      <c r="O120" s="55"/>
      <c r="P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BA120" s="55"/>
      <c r="BB120" s="55"/>
      <c r="BC120" s="55"/>
      <c r="BE120" s="55"/>
      <c r="BF120" s="55"/>
    </row>
    <row r="121" spans="7:58" s="2479" customFormat="1" x14ac:dyDescent="0.2">
      <c r="G121" s="55"/>
      <c r="H121" s="55"/>
      <c r="I121" s="55"/>
      <c r="J121" s="55"/>
      <c r="K121" s="55"/>
      <c r="L121" s="59"/>
      <c r="M121" s="55"/>
      <c r="N121" s="55"/>
      <c r="O121" s="55"/>
      <c r="P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BA121" s="55"/>
      <c r="BB121" s="55"/>
      <c r="BC121" s="55"/>
      <c r="BE121" s="55"/>
      <c r="BF121" s="55"/>
    </row>
    <row r="122" spans="7:58" s="2479" customFormat="1" x14ac:dyDescent="0.2">
      <c r="G122" s="55"/>
      <c r="H122" s="55"/>
      <c r="I122" s="55"/>
      <c r="J122" s="55"/>
      <c r="K122" s="55"/>
      <c r="L122" s="59"/>
      <c r="M122" s="55"/>
      <c r="N122" s="55"/>
      <c r="O122" s="55"/>
      <c r="P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BA122" s="55"/>
      <c r="BB122" s="55"/>
      <c r="BC122" s="55"/>
      <c r="BE122" s="55"/>
      <c r="BF122" s="55"/>
    </row>
    <row r="123" spans="7:58" s="2479" customFormat="1" x14ac:dyDescent="0.2">
      <c r="G123" s="55"/>
      <c r="H123" s="55"/>
      <c r="I123" s="55"/>
      <c r="J123" s="55"/>
      <c r="K123" s="55"/>
      <c r="L123" s="59"/>
      <c r="M123" s="55"/>
      <c r="N123" s="55"/>
      <c r="O123" s="55"/>
      <c r="P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BA123" s="55"/>
      <c r="BB123" s="55"/>
      <c r="BC123" s="55"/>
      <c r="BE123" s="55"/>
      <c r="BF123" s="55"/>
    </row>
    <row r="124" spans="7:58" s="2479" customFormat="1" x14ac:dyDescent="0.2">
      <c r="G124" s="55"/>
      <c r="H124" s="55"/>
      <c r="I124" s="55"/>
      <c r="J124" s="55"/>
      <c r="K124" s="55"/>
      <c r="L124" s="59"/>
      <c r="M124" s="55"/>
      <c r="N124" s="55"/>
      <c r="O124" s="55"/>
      <c r="P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BA124" s="55"/>
      <c r="BB124" s="55"/>
      <c r="BC124" s="55"/>
      <c r="BE124" s="55"/>
      <c r="BF124" s="55"/>
    </row>
    <row r="125" spans="7:58" s="2479" customFormat="1" x14ac:dyDescent="0.2">
      <c r="G125" s="55"/>
      <c r="H125" s="55"/>
      <c r="I125" s="55"/>
      <c r="J125" s="55"/>
      <c r="K125" s="55"/>
      <c r="L125" s="59"/>
      <c r="M125" s="55"/>
      <c r="N125" s="55"/>
      <c r="O125" s="55"/>
      <c r="P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BA125" s="55"/>
      <c r="BB125" s="55"/>
      <c r="BC125" s="55"/>
      <c r="BE125" s="55"/>
      <c r="BF125" s="55"/>
    </row>
    <row r="126" spans="7:58" s="2479" customFormat="1" x14ac:dyDescent="0.2">
      <c r="G126" s="55"/>
      <c r="H126" s="55"/>
      <c r="I126" s="55"/>
      <c r="J126" s="55"/>
      <c r="K126" s="55"/>
      <c r="L126" s="59"/>
      <c r="M126" s="55"/>
      <c r="N126" s="55"/>
      <c r="O126" s="55"/>
      <c r="P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BA126" s="55"/>
      <c r="BB126" s="55"/>
      <c r="BC126" s="55"/>
      <c r="BE126" s="55"/>
      <c r="BF126" s="55"/>
    </row>
    <row r="127" spans="7:58" s="2479" customFormat="1" x14ac:dyDescent="0.2">
      <c r="G127" s="55"/>
      <c r="H127" s="55"/>
      <c r="I127" s="55"/>
      <c r="J127" s="55"/>
      <c r="K127" s="55"/>
      <c r="L127" s="59"/>
      <c r="M127" s="55"/>
      <c r="N127" s="55"/>
      <c r="O127" s="55"/>
      <c r="P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BA127" s="55"/>
      <c r="BB127" s="55"/>
      <c r="BC127" s="55"/>
      <c r="BE127" s="55"/>
      <c r="BF127" s="55"/>
    </row>
    <row r="128" spans="7:58" s="2479" customFormat="1" x14ac:dyDescent="0.2">
      <c r="G128" s="55"/>
      <c r="H128" s="55"/>
      <c r="I128" s="55"/>
      <c r="J128" s="55"/>
      <c r="K128" s="55"/>
      <c r="L128" s="59"/>
      <c r="M128" s="55"/>
      <c r="N128" s="55"/>
      <c r="O128" s="55"/>
      <c r="P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BA128" s="55"/>
      <c r="BB128" s="55"/>
      <c r="BC128" s="55"/>
      <c r="BE128" s="55"/>
      <c r="BF128" s="55"/>
    </row>
    <row r="129" spans="7:58" s="2479" customFormat="1" x14ac:dyDescent="0.2">
      <c r="G129" s="55"/>
      <c r="H129" s="55"/>
      <c r="I129" s="55"/>
      <c r="J129" s="55"/>
      <c r="K129" s="55"/>
      <c r="L129" s="59"/>
      <c r="M129" s="55"/>
      <c r="N129" s="55"/>
      <c r="O129" s="55"/>
      <c r="P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BA129" s="55"/>
      <c r="BB129" s="55"/>
      <c r="BC129" s="55"/>
      <c r="BE129" s="55"/>
      <c r="BF129" s="55"/>
    </row>
  </sheetData>
  <pageMargins left="0.25" right="0.25" top="0.75" bottom="0.75" header="0.3" footer="0.3"/>
  <pageSetup orientation="portrait" horizontalDpi="1200" verticalDpi="1200" r:id="rId1"/>
  <headerFooter>
    <oddFooter>&amp;L&amp;"+,Regular"Pathways to 2050 -- Energy Flow Model&amp;R&amp;"+,Regular"&amp;F  |  This version printed &amp;D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autoPageBreaks="0"/>
  </sheetPr>
  <dimension ref="A1:CW129"/>
  <sheetViews>
    <sheetView windowProtection="1" zoomScale="106" zoomScaleNormal="106" workbookViewId="0">
      <selection activeCell="E3" sqref="E3"/>
    </sheetView>
  </sheetViews>
  <sheetFormatPr defaultColWidth="8.7109375" defaultRowHeight="12.75" outlineLevelRow="2" outlineLevelCol="2" x14ac:dyDescent="0.2"/>
  <cols>
    <col min="1" max="1" width="1.7109375" style="2479" customWidth="1"/>
    <col min="2" max="2" width="1.42578125" style="2479" customWidth="1"/>
    <col min="3" max="3" width="4.42578125" style="50" customWidth="1"/>
    <col min="4" max="4" width="6.7109375" style="51" customWidth="1"/>
    <col min="5" max="5" width="41.7109375" style="51" customWidth="1"/>
    <col min="6" max="6" width="1.140625" style="2479" customWidth="1" outlineLevel="1"/>
    <col min="7" max="11" width="10" style="51" customWidth="1" outlineLevel="2"/>
    <col min="12" max="12" width="10" style="65" customWidth="1" outlineLevel="2"/>
    <col min="13" max="15" width="10" style="51" customWidth="1" outlineLevel="2"/>
    <col min="16" max="16" width="10" style="51" customWidth="1" outlineLevel="1"/>
    <col min="17" max="17" width="1.140625" style="2479" customWidth="1" outlineLevel="1"/>
    <col min="18" max="33" width="10" style="51" customWidth="1" outlineLevel="2"/>
    <col min="34" max="34" width="10" style="51" customWidth="1" outlineLevel="1"/>
    <col min="35" max="35" width="1.140625" style="2479" customWidth="1" outlineLevel="1"/>
    <col min="36" max="50" width="10" style="51" customWidth="1" outlineLevel="2"/>
    <col min="51" max="51" width="10" style="51" customWidth="1" outlineLevel="1"/>
    <col min="52" max="52" width="1.140625" style="2479" customWidth="1" outlineLevel="1"/>
    <col min="53" max="54" width="10" style="51" customWidth="1" outlineLevel="2"/>
    <col min="55" max="55" width="10" style="51" customWidth="1" outlineLevel="1"/>
    <col min="56" max="56" width="1.140625" style="2479" customWidth="1" outlineLevel="1"/>
    <col min="57" max="57" width="11" style="51" customWidth="1" outlineLevel="1"/>
    <col min="58" max="58" width="5.28515625" style="51" customWidth="1"/>
    <col min="59" max="59" width="8.7109375" style="2479"/>
    <col min="60" max="99" width="7.42578125" style="2479" customWidth="1"/>
    <col min="100" max="100" width="2.42578125" style="2479" customWidth="1"/>
    <col min="101" max="16384" width="8.7109375" style="2479"/>
  </cols>
  <sheetData>
    <row r="1" spans="1:101" ht="6" customHeight="1" x14ac:dyDescent="0.2"/>
    <row r="2" spans="1:101" ht="21" customHeight="1" x14ac:dyDescent="0.2">
      <c r="D2" s="43"/>
      <c r="E2" s="252">
        <v>2025</v>
      </c>
      <c r="G2" s="2479"/>
      <c r="H2" s="2479"/>
      <c r="I2" s="2479"/>
      <c r="J2" s="2479"/>
      <c r="K2" s="2479"/>
      <c r="L2" s="2479"/>
      <c r="M2" s="2479"/>
      <c r="N2" s="2479"/>
      <c r="O2" s="2479"/>
      <c r="P2" s="2479"/>
      <c r="R2" s="2479"/>
      <c r="S2" s="2479"/>
      <c r="T2" s="2479"/>
      <c r="U2" s="2479"/>
      <c r="V2" s="2479"/>
      <c r="W2" s="2479"/>
      <c r="X2" s="2479"/>
      <c r="Y2" s="2479"/>
      <c r="Z2" s="2479"/>
      <c r="AA2" s="2479"/>
      <c r="AB2" s="2479"/>
      <c r="AC2" s="2479"/>
      <c r="AD2" s="2479"/>
      <c r="AE2" s="2479"/>
      <c r="AF2" s="2479"/>
      <c r="AG2" s="2479"/>
      <c r="AH2" s="2479"/>
      <c r="AJ2" s="2479"/>
      <c r="AK2" s="2479"/>
      <c r="AL2" s="2479"/>
      <c r="AM2" s="2479"/>
      <c r="AN2" s="2479"/>
      <c r="AO2" s="2479"/>
      <c r="AP2" s="2479"/>
      <c r="AQ2" s="2479"/>
      <c r="AR2" s="2479"/>
      <c r="AS2" s="2479"/>
      <c r="AT2" s="2479"/>
      <c r="AU2" s="2479"/>
      <c r="AV2" s="2479"/>
      <c r="AW2" s="2479"/>
      <c r="AX2" s="2479"/>
      <c r="AY2" s="2479"/>
      <c r="BA2" s="2479"/>
      <c r="BB2" s="2479"/>
      <c r="BC2" s="2479"/>
      <c r="BE2" s="2479"/>
      <c r="BF2" s="72"/>
    </row>
    <row r="3" spans="1:101" ht="39" customHeight="1" x14ac:dyDescent="0.2">
      <c r="A3" s="90"/>
      <c r="B3" s="90"/>
      <c r="C3" s="90"/>
      <c r="D3" s="44"/>
      <c r="E3" s="133" t="str">
        <f>Preferences.EnergyUnits</f>
        <v>TWh</v>
      </c>
      <c r="G3" s="281" t="s">
        <v>293</v>
      </c>
      <c r="H3" s="281"/>
      <c r="I3" s="281"/>
      <c r="J3" s="281"/>
      <c r="K3" s="281"/>
      <c r="L3" s="281"/>
      <c r="M3" s="281"/>
      <c r="N3" s="281"/>
      <c r="O3" s="281"/>
      <c r="P3" s="281"/>
      <c r="R3" s="375" t="s">
        <v>239</v>
      </c>
      <c r="S3" s="376"/>
      <c r="T3" s="376"/>
      <c r="U3" s="376"/>
      <c r="V3" s="376"/>
      <c r="W3" s="376"/>
      <c r="X3" s="380"/>
      <c r="Y3" s="376"/>
      <c r="Z3" s="376"/>
      <c r="AA3" s="376"/>
      <c r="AB3" s="376"/>
      <c r="AC3" s="376"/>
      <c r="AD3" s="376"/>
      <c r="AE3" s="376"/>
      <c r="AF3" s="376"/>
      <c r="AG3" s="376"/>
      <c r="AH3" s="379"/>
      <c r="AJ3" s="377" t="s">
        <v>481</v>
      </c>
      <c r="AK3" s="378"/>
      <c r="AL3" s="378"/>
      <c r="AM3" s="381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82"/>
      <c r="BA3" s="303" t="s">
        <v>387</v>
      </c>
      <c r="BB3" s="290"/>
      <c r="BC3" s="290"/>
      <c r="BE3" s="47"/>
      <c r="BF3" s="47"/>
      <c r="BG3" s="90"/>
      <c r="BH3" s="384" t="s">
        <v>485</v>
      </c>
      <c r="BI3" s="385"/>
      <c r="BJ3" s="385"/>
      <c r="BK3" s="385"/>
      <c r="BL3" s="385"/>
      <c r="BM3" s="385"/>
      <c r="BN3" s="385"/>
      <c r="BO3" s="385"/>
      <c r="BP3" s="385"/>
      <c r="BQ3" s="385"/>
      <c r="BR3" s="385"/>
      <c r="BS3" s="385"/>
      <c r="BT3" s="385"/>
      <c r="BU3" s="385"/>
      <c r="BV3" s="385"/>
      <c r="BW3" s="385"/>
      <c r="BX3" s="385"/>
      <c r="BY3" s="385"/>
      <c r="BZ3" s="385"/>
      <c r="CA3" s="385"/>
      <c r="CB3" s="385"/>
      <c r="CC3" s="385"/>
      <c r="CD3" s="385"/>
      <c r="CE3" s="385"/>
      <c r="CF3" s="385"/>
      <c r="CG3" s="385"/>
      <c r="CH3" s="385"/>
      <c r="CI3" s="385"/>
      <c r="CJ3" s="385"/>
      <c r="CK3" s="385"/>
      <c r="CL3" s="385"/>
      <c r="CM3" s="385"/>
      <c r="CN3" s="385"/>
      <c r="CO3" s="385"/>
      <c r="CP3" s="385"/>
      <c r="CQ3" s="385"/>
      <c r="CR3" s="514"/>
      <c r="CS3" s="514"/>
      <c r="CT3" s="514"/>
      <c r="CU3" s="514"/>
    </row>
    <row r="4" spans="1:101" ht="36.75" customHeight="1" x14ac:dyDescent="0.2">
      <c r="C4" s="48"/>
      <c r="D4" s="48"/>
      <c r="G4" s="253" t="str">
        <f>INDEX(Vectors[Description], MATCH(G$5,Vectors[Code],FALSE))</f>
        <v>Cooling</v>
      </c>
      <c r="H4" s="253" t="str">
        <f>INDEX(Vectors[Description], MATCH(H$5,Vectors[Code],FALSE))</f>
        <v>Lighting &amp; appliances</v>
      </c>
      <c r="I4" s="253" t="str">
        <f>INDEX(Vectors[Description], MATCH(I$5,Vectors[Code],FALSE))</f>
        <v>Cooking</v>
      </c>
      <c r="J4" s="253" t="str">
        <f>INDEX(Vectors[Description], MATCH(J$5,Vectors[Code],FALSE))</f>
        <v>Industry</v>
      </c>
      <c r="K4" s="253" t="str">
        <f>INDEX(Vectors[Description], MATCH(K$5,Vectors[Code],FALSE))</f>
        <v>Road transport</v>
      </c>
      <c r="L4" s="253" t="str">
        <f>INDEX(Vectors[Description], MATCH(L$5,Vectors[Code],FALSE))</f>
        <v>Rail transport</v>
      </c>
      <c r="M4" s="253" t="str">
        <f>INDEX(Vectors[Description], MATCH(M$5,Vectors[Code],FALSE))</f>
        <v>Domestic aviation</v>
      </c>
      <c r="N4" s="253" t="str">
        <f>INDEX(Vectors[Description], MATCH(N$5,Vectors[Code],FALSE))</f>
        <v>Berge</v>
      </c>
      <c r="O4" s="253" t="str">
        <f>INDEX(Vectors[Description], MATCH(O$5,Vectors[Code],FALSE))</f>
        <v>Pipeline</v>
      </c>
      <c r="P4" s="270" t="s">
        <v>391</v>
      </c>
      <c r="R4" s="254" t="str">
        <f>INDEX(Vectors[Description], MATCH(R$5,Vectors[Code],FALSE))</f>
        <v>Electricity (delivered to end user)</v>
      </c>
      <c r="S4" s="254" t="str">
        <f>INDEX(Vectors[Description], MATCH(S$5,Vectors[Code],FALSE))</f>
        <v>Electricity (supplied to grid)</v>
      </c>
      <c r="T4" s="254" t="str">
        <f>INDEX(Vectors[Description], MATCH(T$5,Vectors[Code],FALSE))</f>
        <v>Solid hydrocarbons</v>
      </c>
      <c r="U4" s="254" t="str">
        <f>INDEX(Vectors[Description], MATCH(U$5,Vectors[Code],FALSE))</f>
        <v>Liquid hydrocarbons</v>
      </c>
      <c r="V4" s="254" t="str">
        <f>INDEX(Vectors[Description], MATCH(V$5,Vectors[Code],FALSE))</f>
        <v>Gaseous hydrocarbons</v>
      </c>
      <c r="W4" s="254" t="str">
        <f>INDEX(Vectors[Description], MATCH(W$5,Vectors[Code],FALSE))</f>
        <v>Traditional Fuel</v>
      </c>
      <c r="X4" s="254" t="str">
        <f>INDEX(Vectors[Description], MATCH(X$5,Vectors[Code],FALSE))</f>
        <v>Coal and fossil waste</v>
      </c>
      <c r="Y4" s="254" t="str">
        <f>INDEX(Vectors[Description], MATCH(Y$5,Vectors[Code],FALSE))</f>
        <v>Oil and petroleum products</v>
      </c>
      <c r="Z4" s="254" t="str">
        <f>INDEX(Vectors[Description], MATCH(Z$5,Vectors[Code],FALSE))</f>
        <v>Natural gas</v>
      </c>
      <c r="AA4" s="254" t="str">
        <f>INDEX(Vectors[Description], MATCH(AA$5,Vectors[Code],FALSE))</f>
        <v>Blast furnace gas</v>
      </c>
      <c r="AB4" s="254" t="str">
        <f>INDEX(Vectors[Description], MATCH(AB$5,Vectors[Code],FALSE))</f>
        <v>Edible biomass</v>
      </c>
      <c r="AC4" s="254" t="str">
        <f>INDEX(Vectors[Description], MATCH(AC$5,Vectors[Code],FALSE))</f>
        <v>Energy crops (second generation)</v>
      </c>
      <c r="AD4" s="254" t="str">
        <f>INDEX(Vectors[Description], MATCH(AD$5,Vectors[Code],FALSE))</f>
        <v>Energy crops (first generation)</v>
      </c>
      <c r="AE4" s="254" t="str">
        <f>INDEX(Vectors[Description], MATCH(AE$5,Vectors[Code],FALSE))</f>
        <v>Dry biomass and waste</v>
      </c>
      <c r="AF4" s="254" t="str">
        <f>INDEX(Vectors[Description], MATCH(AF$5,Vectors[Code],FALSE))</f>
        <v>Wet biomass and waste</v>
      </c>
      <c r="AG4" s="254" t="str">
        <f>INDEX(Vectors[Description], MATCH(AG$5,Vectors[Code],FALSE))</f>
        <v>Gaseous waste</v>
      </c>
      <c r="AH4" s="284" t="s">
        <v>237</v>
      </c>
      <c r="AJ4" s="268" t="str">
        <f>INDEX(Vectors[Description], MATCH(AJ$5,Vectors[Code],FALSE))</f>
        <v>Coal reserves</v>
      </c>
      <c r="AK4" s="268" t="str">
        <f>INDEX(Vectors[Description], MATCH(AK$5,Vectors[Code],FALSE))</f>
        <v>Oil reserves</v>
      </c>
      <c r="AL4" s="268" t="str">
        <f>INDEX(Vectors[Description], MATCH(AL$5,Vectors[Code],FALSE))</f>
        <v>Gas reserves</v>
      </c>
      <c r="AM4" s="268" t="str">
        <f>INDEX(Vectors[Description], MATCH(AM$5,Vectors[Code],FALSE))</f>
        <v>Biomass oversupply (imports)</v>
      </c>
      <c r="AN4" s="268" t="str">
        <f>INDEX(Vectors[Description], MATCH(AN$5,Vectors[Code],FALSE))</f>
        <v>Electricity oversupply (imports)</v>
      </c>
      <c r="AO4" s="268" t="str">
        <f>INDEX(Vectors[Description], MATCH(AO$5,Vectors[Code],FALSE))</f>
        <v>Petroleum products oversupply</v>
      </c>
      <c r="AP4" s="268" t="str">
        <f>INDEX(Vectors[Description], MATCH(AP$5,Vectors[Code],FALSE))</f>
        <v>Coal oversupply (imports)</v>
      </c>
      <c r="AQ4" s="268" t="str">
        <f>INDEX(Vectors[Description], MATCH(AQ$5,Vectors[Code],FALSE))</f>
        <v>Oil and petroleum products oversupply (imports)</v>
      </c>
      <c r="AR4" s="268" t="str">
        <f>INDEX(Vectors[Description], MATCH(AR$5,Vectors[Code],FALSE))</f>
        <v>Gas oversupply (imports)</v>
      </c>
      <c r="AS4" s="268" t="str">
        <f>INDEX(Vectors[Description], MATCH(AS$5,Vectors[Code],FALSE))</f>
        <v>Nuclear fission</v>
      </c>
      <c r="AT4" s="268" t="str">
        <f>INDEX(Vectors[Description], MATCH(AT$5,Vectors[Code],FALSE))</f>
        <v>Solar</v>
      </c>
      <c r="AU4" s="268" t="str">
        <f>INDEX(Vectors[Description], MATCH(AU$5,Vectors[Code],FALSE))</f>
        <v>Wind</v>
      </c>
      <c r="AV4" s="268" t="str">
        <f>INDEX(Vectors[Description], MATCH(AV$5,Vectors[Code],FALSE))</f>
        <v>Hydro</v>
      </c>
      <c r="AW4" s="268" t="str">
        <f>INDEX(Vectors[Description], MATCH(AW$5,Vectors[Code],FALSE))</f>
        <v>Agriculture</v>
      </c>
      <c r="AX4" s="268" t="str">
        <f>INDEX(Vectors[Description], MATCH(AX$5,Vectors[Code],FALSE))</f>
        <v>Waste</v>
      </c>
      <c r="AY4" s="286" t="s">
        <v>238</v>
      </c>
      <c r="BA4" s="273" t="str">
        <f>INDEX(Vectors[Description], MATCH(BA$5,Vectors[Code],FALSE))</f>
        <v>Conversion losses</v>
      </c>
      <c r="BB4" s="273" t="str">
        <f>INDEX(Vectors[Description], MATCH(BB$5,Vectors[Code],FALSE))</f>
        <v>Distribution losses and own use</v>
      </c>
      <c r="BC4" s="288" t="s">
        <v>386</v>
      </c>
      <c r="BE4" s="49" t="str">
        <f>INDEX(Vectors[Description], MATCH(BE$5,Vectors[Code],FALSE))</f>
        <v>Unallocated</v>
      </c>
      <c r="BF4" s="49"/>
      <c r="BH4" s="389" t="str">
        <f>INDEX(IPCC[Sector_description], MATCH(BH$5, IPCC[Sector_code], 0))</f>
        <v>Fuel Combustion</v>
      </c>
      <c r="BI4" s="390"/>
      <c r="BJ4" s="390"/>
      <c r="BK4" s="391"/>
      <c r="BL4" s="389" t="str">
        <f>INDEX(IPCC[Sector_description], MATCH(BL$5, IPCC[Sector_code], 0))</f>
        <v>Fugitive Emissions from Fuels</v>
      </c>
      <c r="BM4" s="390"/>
      <c r="BN4" s="390"/>
      <c r="BO4" s="391"/>
      <c r="BP4" s="389" t="str">
        <f>INDEX(IPCC[Sector_description], MATCH(BP$5, IPCC[Sector_code], 0))</f>
        <v>Industrial Processes</v>
      </c>
      <c r="BQ4" s="390"/>
      <c r="BR4" s="390"/>
      <c r="BS4" s="391"/>
      <c r="BT4" s="389" t="str">
        <f>INDEX(IPCC[Sector_description], MATCH(BT$5, IPCC[Sector_code], 0))</f>
        <v>Solvent and Other Product Use</v>
      </c>
      <c r="BU4" s="390"/>
      <c r="BV4" s="390"/>
      <c r="BW4" s="391"/>
      <c r="BX4" s="389" t="str">
        <f>INDEX(IPCC[Sector_description], MATCH(BX$5, IPCC[Sector_code], 0))</f>
        <v>Agriculture</v>
      </c>
      <c r="BY4" s="390"/>
      <c r="BZ4" s="390"/>
      <c r="CA4" s="391"/>
      <c r="CB4" s="389" t="str">
        <f>INDEX(IPCC[Sector_description], MATCH(CB$5, IPCC[Sector_code], 0))</f>
        <v>LULUCF</v>
      </c>
      <c r="CC4" s="390"/>
      <c r="CD4" s="390"/>
      <c r="CE4" s="391"/>
      <c r="CF4" s="389" t="str">
        <f>INDEX(IPCC[Sector_description], MATCH(CF$5, IPCC[Sector_code], 0))</f>
        <v>Waste</v>
      </c>
      <c r="CG4" s="390"/>
      <c r="CH4" s="390"/>
      <c r="CI4" s="391"/>
      <c r="CJ4" s="389" t="str">
        <f>INDEX(IPCC[Sector_description], MATCH(CJ$5, IPCC[Sector_code], 0))</f>
        <v>Other</v>
      </c>
      <c r="CK4" s="390"/>
      <c r="CL4" s="390"/>
      <c r="CM4" s="391"/>
      <c r="CN4" s="389" t="str">
        <f>INDEX(IPCC[Sector_description], MATCH(CN$5, IPCC[Sector_code], 0))</f>
        <v>Bioenergy credit</v>
      </c>
      <c r="CO4" s="390"/>
      <c r="CP4" s="390"/>
      <c r="CQ4" s="391"/>
      <c r="CR4" s="389" t="str">
        <f>INDEX(IPCC[Sector_description], MATCH(CR$5, IPCC[Sector_code], 0))</f>
        <v>Carbon capture</v>
      </c>
      <c r="CS4" s="390"/>
      <c r="CT4" s="390"/>
      <c r="CU4" s="391"/>
      <c r="CW4" s="539" t="s">
        <v>105</v>
      </c>
    </row>
    <row r="5" spans="1:101" x14ac:dyDescent="0.2">
      <c r="D5" s="239" t="s">
        <v>117</v>
      </c>
      <c r="G5" s="271" t="s">
        <v>5</v>
      </c>
      <c r="H5" s="271" t="s">
        <v>44</v>
      </c>
      <c r="I5" s="271" t="s">
        <v>2205</v>
      </c>
      <c r="J5" s="271" t="s">
        <v>9</v>
      </c>
      <c r="K5" s="271" t="s">
        <v>28</v>
      </c>
      <c r="L5" s="271" t="s">
        <v>29</v>
      </c>
      <c r="M5" s="271" t="s">
        <v>30</v>
      </c>
      <c r="N5" s="271" t="s">
        <v>31</v>
      </c>
      <c r="O5" s="271" t="s">
        <v>2336</v>
      </c>
      <c r="P5" s="271"/>
      <c r="R5" s="272" t="s">
        <v>34</v>
      </c>
      <c r="S5" s="272" t="s">
        <v>35</v>
      </c>
      <c r="T5" s="272" t="s">
        <v>36</v>
      </c>
      <c r="U5" s="272" t="s">
        <v>38</v>
      </c>
      <c r="V5" s="272" t="s">
        <v>39</v>
      </c>
      <c r="W5" s="272" t="s">
        <v>2184</v>
      </c>
      <c r="X5" s="272" t="s">
        <v>51</v>
      </c>
      <c r="Y5" s="272" t="s">
        <v>52</v>
      </c>
      <c r="Z5" s="272" t="s">
        <v>53</v>
      </c>
      <c r="AA5" s="272" t="s">
        <v>92</v>
      </c>
      <c r="AB5" s="272" t="s">
        <v>295</v>
      </c>
      <c r="AC5" s="272" t="s">
        <v>871</v>
      </c>
      <c r="AD5" s="272" t="s">
        <v>1161</v>
      </c>
      <c r="AE5" s="272" t="s">
        <v>296</v>
      </c>
      <c r="AF5" s="272" t="s">
        <v>383</v>
      </c>
      <c r="AG5" s="272" t="s">
        <v>1164</v>
      </c>
      <c r="AH5" s="272"/>
      <c r="AJ5" s="269" t="s">
        <v>425</v>
      </c>
      <c r="AK5" s="269" t="s">
        <v>426</v>
      </c>
      <c r="AL5" s="269" t="s">
        <v>427</v>
      </c>
      <c r="AM5" s="269" t="s">
        <v>46</v>
      </c>
      <c r="AN5" s="269" t="s">
        <v>47</v>
      </c>
      <c r="AO5" s="269" t="s">
        <v>323</v>
      </c>
      <c r="AP5" s="269" t="s">
        <v>417</v>
      </c>
      <c r="AQ5" s="269" t="s">
        <v>418</v>
      </c>
      <c r="AR5" s="269" t="s">
        <v>419</v>
      </c>
      <c r="AS5" s="269" t="s">
        <v>6</v>
      </c>
      <c r="AT5" s="269" t="s">
        <v>25</v>
      </c>
      <c r="AU5" s="269" t="s">
        <v>7</v>
      </c>
      <c r="AV5" s="269" t="s">
        <v>8</v>
      </c>
      <c r="AW5" s="269" t="s">
        <v>451</v>
      </c>
      <c r="AX5" s="269" t="s">
        <v>42</v>
      </c>
      <c r="AY5" s="269"/>
      <c r="BA5" s="274" t="s">
        <v>26</v>
      </c>
      <c r="BB5" s="274" t="s">
        <v>27</v>
      </c>
      <c r="BC5" s="274"/>
      <c r="BE5" s="46" t="s">
        <v>48</v>
      </c>
      <c r="BF5" s="46"/>
      <c r="BH5" s="392" t="s">
        <v>483</v>
      </c>
      <c r="BI5" s="393" t="s">
        <v>483</v>
      </c>
      <c r="BJ5" s="393" t="s">
        <v>483</v>
      </c>
      <c r="BK5" s="394" t="s">
        <v>483</v>
      </c>
      <c r="BL5" s="392" t="s">
        <v>482</v>
      </c>
      <c r="BM5" s="393" t="s">
        <v>482</v>
      </c>
      <c r="BN5" s="393" t="s">
        <v>482</v>
      </c>
      <c r="BO5" s="394" t="s">
        <v>482</v>
      </c>
      <c r="BP5" s="392">
        <v>2</v>
      </c>
      <c r="BQ5" s="393">
        <v>2</v>
      </c>
      <c r="BR5" s="393">
        <v>2</v>
      </c>
      <c r="BS5" s="394">
        <v>2</v>
      </c>
      <c r="BT5" s="392">
        <v>3</v>
      </c>
      <c r="BU5" s="393">
        <v>3</v>
      </c>
      <c r="BV5" s="393">
        <v>3</v>
      </c>
      <c r="BW5" s="394">
        <v>3</v>
      </c>
      <c r="BX5" s="392">
        <v>4</v>
      </c>
      <c r="BY5" s="393">
        <v>4</v>
      </c>
      <c r="BZ5" s="393">
        <v>4</v>
      </c>
      <c r="CA5" s="394">
        <v>4</v>
      </c>
      <c r="CB5" s="392">
        <v>5</v>
      </c>
      <c r="CC5" s="393">
        <v>5</v>
      </c>
      <c r="CD5" s="393">
        <v>5</v>
      </c>
      <c r="CE5" s="394">
        <v>5</v>
      </c>
      <c r="CF5" s="392">
        <v>6</v>
      </c>
      <c r="CG5" s="393">
        <v>6</v>
      </c>
      <c r="CH5" s="393">
        <v>6</v>
      </c>
      <c r="CI5" s="394">
        <v>6</v>
      </c>
      <c r="CJ5" s="392">
        <v>7</v>
      </c>
      <c r="CK5" s="393">
        <v>7</v>
      </c>
      <c r="CL5" s="393">
        <v>7</v>
      </c>
      <c r="CM5" s="394">
        <v>7</v>
      </c>
      <c r="CN5" s="392" t="s">
        <v>469</v>
      </c>
      <c r="CO5" s="393" t="s">
        <v>469</v>
      </c>
      <c r="CP5" s="393" t="s">
        <v>469</v>
      </c>
      <c r="CQ5" s="394" t="s">
        <v>469</v>
      </c>
      <c r="CR5" s="392" t="s">
        <v>495</v>
      </c>
      <c r="CS5" s="393" t="s">
        <v>495</v>
      </c>
      <c r="CT5" s="393" t="s">
        <v>495</v>
      </c>
      <c r="CU5" s="394" t="s">
        <v>495</v>
      </c>
    </row>
    <row r="6" spans="1:101" ht="15.75" customHeight="1" x14ac:dyDescent="0.2">
      <c r="G6" s="242"/>
      <c r="H6" s="242"/>
      <c r="I6" s="242"/>
      <c r="J6" s="242"/>
      <c r="K6" s="242"/>
      <c r="L6" s="243"/>
      <c r="M6" s="242"/>
      <c r="N6" s="242"/>
      <c r="O6" s="242"/>
      <c r="P6" s="242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261"/>
      <c r="AV6" s="261"/>
      <c r="AW6" s="261"/>
      <c r="AX6" s="261"/>
      <c r="AY6" s="261"/>
      <c r="BA6" s="275"/>
      <c r="BB6" s="275"/>
      <c r="BC6" s="275"/>
      <c r="BE6" s="52"/>
      <c r="BF6" s="52"/>
      <c r="BH6" s="386" t="s">
        <v>473</v>
      </c>
      <c r="BI6" s="386" t="s">
        <v>474</v>
      </c>
      <c r="BJ6" s="386" t="s">
        <v>475</v>
      </c>
      <c r="BK6" s="386" t="s">
        <v>476</v>
      </c>
      <c r="BL6" s="386" t="s">
        <v>473</v>
      </c>
      <c r="BM6" s="386" t="s">
        <v>474</v>
      </c>
      <c r="BN6" s="386" t="s">
        <v>475</v>
      </c>
      <c r="BO6" s="386" t="s">
        <v>476</v>
      </c>
      <c r="BP6" s="386" t="s">
        <v>473</v>
      </c>
      <c r="BQ6" s="386" t="s">
        <v>474</v>
      </c>
      <c r="BR6" s="386" t="s">
        <v>475</v>
      </c>
      <c r="BS6" s="386" t="s">
        <v>476</v>
      </c>
      <c r="BT6" s="386" t="s">
        <v>473</v>
      </c>
      <c r="BU6" s="386" t="s">
        <v>474</v>
      </c>
      <c r="BV6" s="386" t="s">
        <v>475</v>
      </c>
      <c r="BW6" s="386" t="s">
        <v>476</v>
      </c>
      <c r="BX6" s="386" t="s">
        <v>473</v>
      </c>
      <c r="BY6" s="386" t="s">
        <v>474</v>
      </c>
      <c r="BZ6" s="386" t="s">
        <v>475</v>
      </c>
      <c r="CA6" s="386" t="s">
        <v>476</v>
      </c>
      <c r="CB6" s="386" t="s">
        <v>473</v>
      </c>
      <c r="CC6" s="386" t="s">
        <v>474</v>
      </c>
      <c r="CD6" s="386" t="s">
        <v>475</v>
      </c>
      <c r="CE6" s="386" t="s">
        <v>476</v>
      </c>
      <c r="CF6" s="386" t="s">
        <v>473</v>
      </c>
      <c r="CG6" s="386" t="s">
        <v>474</v>
      </c>
      <c r="CH6" s="386" t="s">
        <v>475</v>
      </c>
      <c r="CI6" s="386" t="s">
        <v>476</v>
      </c>
      <c r="CJ6" s="386" t="s">
        <v>473</v>
      </c>
      <c r="CK6" s="386" t="s">
        <v>474</v>
      </c>
      <c r="CL6" s="386" t="s">
        <v>475</v>
      </c>
      <c r="CM6" s="386" t="s">
        <v>476</v>
      </c>
      <c r="CN6" s="386" t="s">
        <v>473</v>
      </c>
      <c r="CO6" s="386" t="s">
        <v>474</v>
      </c>
      <c r="CP6" s="386" t="s">
        <v>475</v>
      </c>
      <c r="CQ6" s="386" t="s">
        <v>476</v>
      </c>
      <c r="CR6" s="386" t="s">
        <v>473</v>
      </c>
      <c r="CS6" s="386" t="s">
        <v>474</v>
      </c>
      <c r="CT6" s="386" t="s">
        <v>475</v>
      </c>
      <c r="CU6" s="386" t="s">
        <v>476</v>
      </c>
    </row>
    <row r="7" spans="1:101" ht="18" customHeight="1" x14ac:dyDescent="0.2">
      <c r="C7" s="45" t="s">
        <v>188</v>
      </c>
      <c r="D7" s="45"/>
      <c r="E7" s="68"/>
      <c r="G7" s="244"/>
      <c r="H7" s="244"/>
      <c r="I7" s="244"/>
      <c r="J7" s="244"/>
      <c r="K7" s="244"/>
      <c r="L7" s="244"/>
      <c r="M7" s="244"/>
      <c r="N7" s="244"/>
      <c r="O7" s="244"/>
      <c r="P7" s="244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BA7" s="276"/>
      <c r="BB7" s="276"/>
      <c r="BC7" s="276"/>
      <c r="BE7" s="54"/>
      <c r="BF7" s="54"/>
      <c r="BH7" s="387"/>
      <c r="BI7" s="387"/>
      <c r="BJ7" s="387"/>
      <c r="BK7" s="387"/>
      <c r="BL7" s="387"/>
      <c r="BM7" s="387"/>
      <c r="BN7" s="387"/>
      <c r="BO7" s="387"/>
      <c r="BP7" s="387"/>
      <c r="BQ7" s="387"/>
      <c r="BR7" s="387"/>
      <c r="BS7" s="387"/>
      <c r="BT7" s="387"/>
      <c r="BU7" s="387"/>
      <c r="BV7" s="387"/>
      <c r="BW7" s="387"/>
      <c r="BX7" s="387"/>
      <c r="BY7" s="387"/>
      <c r="BZ7" s="387"/>
      <c r="CA7" s="387"/>
      <c r="CB7" s="387"/>
      <c r="CC7" s="387"/>
      <c r="CD7" s="387"/>
      <c r="CE7" s="387"/>
      <c r="CF7" s="387"/>
      <c r="CG7" s="387"/>
      <c r="CH7" s="387"/>
      <c r="CI7" s="387"/>
      <c r="CJ7" s="387"/>
      <c r="CK7" s="387"/>
      <c r="CL7" s="387"/>
      <c r="CM7" s="387"/>
      <c r="CN7" s="387"/>
      <c r="CO7" s="387"/>
      <c r="CP7" s="387"/>
      <c r="CQ7" s="387"/>
      <c r="CR7" s="387"/>
      <c r="CS7" s="387"/>
      <c r="CT7" s="387"/>
      <c r="CU7" s="387"/>
    </row>
    <row r="8" spans="1:101" outlineLevel="1" x14ac:dyDescent="0.2">
      <c r="G8" s="245"/>
      <c r="H8" s="245"/>
      <c r="I8" s="245"/>
      <c r="J8" s="245"/>
      <c r="K8" s="245"/>
      <c r="L8" s="246"/>
      <c r="M8" s="245"/>
      <c r="N8" s="245"/>
      <c r="O8" s="245"/>
      <c r="P8" s="245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J8" s="263"/>
      <c r="AK8" s="263"/>
      <c r="AL8" s="263"/>
      <c r="AM8" s="263"/>
      <c r="AN8" s="263"/>
      <c r="AO8" s="263"/>
      <c r="AP8" s="263"/>
      <c r="AQ8" s="263"/>
      <c r="AR8" s="263"/>
      <c r="AS8" s="263"/>
      <c r="AT8" s="263"/>
      <c r="AU8" s="263"/>
      <c r="AV8" s="263"/>
      <c r="AW8" s="263"/>
      <c r="AX8" s="263"/>
      <c r="AY8" s="263"/>
      <c r="BA8" s="277"/>
      <c r="BB8" s="277"/>
      <c r="BC8" s="277"/>
      <c r="BE8" s="55"/>
      <c r="BF8" s="55"/>
      <c r="BH8" s="388"/>
      <c r="BI8" s="388"/>
      <c r="BJ8" s="388"/>
      <c r="BK8" s="388"/>
      <c r="BL8" s="388"/>
      <c r="BM8" s="388"/>
      <c r="BN8" s="388"/>
      <c r="BO8" s="388"/>
      <c r="BP8" s="388"/>
      <c r="BQ8" s="388"/>
      <c r="BR8" s="388"/>
      <c r="BS8" s="388"/>
      <c r="BT8" s="388"/>
      <c r="BU8" s="388"/>
      <c r="BV8" s="388"/>
      <c r="BW8" s="388"/>
      <c r="BX8" s="388"/>
      <c r="BY8" s="388"/>
      <c r="BZ8" s="388"/>
      <c r="CA8" s="388"/>
      <c r="CB8" s="388"/>
      <c r="CC8" s="388"/>
      <c r="CD8" s="388"/>
      <c r="CE8" s="388"/>
      <c r="CF8" s="388"/>
      <c r="CG8" s="388"/>
      <c r="CH8" s="388"/>
      <c r="CI8" s="388"/>
      <c r="CJ8" s="388"/>
      <c r="CK8" s="388"/>
      <c r="CL8" s="388"/>
      <c r="CM8" s="388"/>
      <c r="CN8" s="388"/>
      <c r="CO8" s="388"/>
      <c r="CP8" s="388"/>
      <c r="CQ8" s="388"/>
      <c r="CR8" s="388"/>
      <c r="CS8" s="388"/>
      <c r="CT8" s="388"/>
      <c r="CU8" s="388"/>
    </row>
    <row r="9" spans="1:101" s="84" customFormat="1" ht="10.5" customHeight="1" outlineLevel="2" x14ac:dyDescent="0.2">
      <c r="A9" s="540"/>
      <c r="B9" s="540"/>
      <c r="C9" s="86" t="s">
        <v>341</v>
      </c>
      <c r="D9" s="540" t="str">
        <f>INDEX(Modules[Module], MATCH($C9, Modules[Code], 0))</f>
        <v>Residential Cooling</v>
      </c>
      <c r="E9" s="61"/>
      <c r="G9" s="297">
        <f ca="1">IFERROR(INDEX(INDIRECT($C9&amp;".Outputs["&amp;this.Year&amp;"]"), MATCH(G$5, INDIRECT($C9&amp;".Outputs[Vector]"), 0)), 0)</f>
        <v>60.501058104296142</v>
      </c>
      <c r="H9" s="297">
        <f t="shared" ref="G9:O11" ca="1" si="0">IFERROR(INDEX(INDIRECT($C9&amp;".Outputs["&amp;this.Year&amp;"]"), MATCH(H$5, INDIRECT($C9&amp;".Outputs[Vector]"), 0)), 0)</f>
        <v>0</v>
      </c>
      <c r="I9" s="297">
        <f t="shared" ca="1" si="0"/>
        <v>0</v>
      </c>
      <c r="J9" s="297">
        <f t="shared" ca="1" si="0"/>
        <v>0</v>
      </c>
      <c r="K9" s="297">
        <f t="shared" ca="1" si="0"/>
        <v>0</v>
      </c>
      <c r="L9" s="297">
        <f t="shared" ca="1" si="0"/>
        <v>0</v>
      </c>
      <c r="M9" s="297">
        <f t="shared" ca="1" si="0"/>
        <v>0</v>
      </c>
      <c r="N9" s="297">
        <f t="shared" ca="1" si="0"/>
        <v>0</v>
      </c>
      <c r="O9" s="297">
        <f t="shared" ca="1" si="0"/>
        <v>0</v>
      </c>
      <c r="P9" s="297">
        <f t="shared" ref="P9:P23" ca="1" si="1">SUM(G9:O9)</f>
        <v>60.501058104296142</v>
      </c>
      <c r="R9" s="304">
        <f t="shared" ref="R9:W9" ca="1" si="2">IFERROR(INDEX(INDIRECT($C9&amp;".Outputs["&amp;this.Year&amp;"]"), MATCH(R$5, INDIRECT($C9&amp;".Outputs[Vector]"), 0)), 0)</f>
        <v>-60.501058104296142</v>
      </c>
      <c r="S9" s="304">
        <f t="shared" ca="1" si="2"/>
        <v>0</v>
      </c>
      <c r="T9" s="304">
        <f t="shared" ca="1" si="2"/>
        <v>0</v>
      </c>
      <c r="U9" s="304">
        <f t="shared" ca="1" si="2"/>
        <v>0</v>
      </c>
      <c r="V9" s="304">
        <f t="shared" ca="1" si="2"/>
        <v>0</v>
      </c>
      <c r="W9" s="304">
        <f t="shared" ca="1" si="2"/>
        <v>0</v>
      </c>
      <c r="X9" s="304">
        <f t="shared" ref="X9:Z9" ca="1" si="3">IFERROR(INDEX(INDIRECT($C9&amp;".Outputs["&amp;this.Year&amp;"]"), MATCH(X$5, INDIRECT($C9&amp;".Outputs[Vector]"), 0)), 0)</f>
        <v>0</v>
      </c>
      <c r="Y9" s="304">
        <f t="shared" ca="1" si="3"/>
        <v>0</v>
      </c>
      <c r="Z9" s="304">
        <f t="shared" ca="1" si="3"/>
        <v>0</v>
      </c>
      <c r="AA9" s="304">
        <f t="shared" ref="AA9:AG9" ca="1" si="4">IFERROR(INDEX(INDIRECT($C9&amp;".Outputs["&amp;this.Year&amp;"]"), MATCH(AA$5, INDIRECT($C9&amp;".Outputs[Vector]"), 0)), 0)</f>
        <v>0</v>
      </c>
      <c r="AB9" s="304">
        <f t="shared" ca="1" si="4"/>
        <v>0</v>
      </c>
      <c r="AC9" s="304">
        <f t="shared" ca="1" si="4"/>
        <v>0</v>
      </c>
      <c r="AD9" s="304">
        <f t="shared" ca="1" si="4"/>
        <v>0</v>
      </c>
      <c r="AE9" s="304">
        <f t="shared" ca="1" si="4"/>
        <v>0</v>
      </c>
      <c r="AF9" s="304">
        <f t="shared" ca="1" si="4"/>
        <v>0</v>
      </c>
      <c r="AG9" s="304">
        <f t="shared" ca="1" si="4"/>
        <v>0</v>
      </c>
      <c r="AH9" s="305">
        <f t="shared" ref="AH9:AH66" ca="1" si="5">SUM(R9:AG9)</f>
        <v>-60.501058104296142</v>
      </c>
      <c r="AJ9" s="312">
        <f t="shared" ref="AJ9:AR9" ca="1" si="6">IFERROR(INDEX(INDIRECT($C9&amp;".Outputs["&amp;this.Year&amp;"]"), MATCH(AJ$5, INDIRECT($C9&amp;".Outputs[Vector]"), 0)), 0)</f>
        <v>0</v>
      </c>
      <c r="AK9" s="312">
        <f t="shared" ca="1" si="6"/>
        <v>0</v>
      </c>
      <c r="AL9" s="312">
        <f t="shared" ca="1" si="6"/>
        <v>0</v>
      </c>
      <c r="AM9" s="312">
        <f t="shared" ca="1" si="6"/>
        <v>0</v>
      </c>
      <c r="AN9" s="312">
        <f t="shared" ca="1" si="6"/>
        <v>0</v>
      </c>
      <c r="AO9" s="312">
        <f t="shared" ca="1" si="6"/>
        <v>0</v>
      </c>
      <c r="AP9" s="312">
        <f t="shared" ca="1" si="6"/>
        <v>0</v>
      </c>
      <c r="AQ9" s="312">
        <f t="shared" ca="1" si="6"/>
        <v>0</v>
      </c>
      <c r="AR9" s="312">
        <f t="shared" ca="1" si="6"/>
        <v>0</v>
      </c>
      <c r="AS9" s="312">
        <f t="shared" ref="AS9:AX9" ca="1" si="7">IFERROR(INDEX(INDIRECT($C9&amp;".Outputs["&amp;this.Year&amp;"]"), MATCH(AS$5, INDIRECT($C9&amp;".Outputs[Vector]"), 0)), 0)</f>
        <v>0</v>
      </c>
      <c r="AT9" s="312">
        <f t="shared" ca="1" si="7"/>
        <v>0</v>
      </c>
      <c r="AU9" s="312">
        <f t="shared" ca="1" si="7"/>
        <v>0</v>
      </c>
      <c r="AV9" s="312">
        <f t="shared" ca="1" si="7"/>
        <v>0</v>
      </c>
      <c r="AW9" s="312">
        <f t="shared" ca="1" si="7"/>
        <v>0</v>
      </c>
      <c r="AX9" s="312">
        <f t="shared" ca="1" si="7"/>
        <v>0</v>
      </c>
      <c r="AY9" s="264">
        <f t="shared" ref="AY9:AY23" ca="1" si="8">SUM(AJ9:AX9)</f>
        <v>0</v>
      </c>
      <c r="BA9" s="308">
        <f t="shared" ref="BA9:BB11" ca="1" si="9">IFERROR(INDEX(INDIRECT($C9&amp;".Outputs["&amp;this.Year&amp;"]"), MATCH(BA$5, INDIRECT($C9&amp;".Outputs[Vector]"), 0)), 0)</f>
        <v>0</v>
      </c>
      <c r="BB9" s="308">
        <f t="shared" ca="1" si="9"/>
        <v>0</v>
      </c>
      <c r="BC9" s="309">
        <f t="shared" ref="BC9:BC66" ca="1" si="10">SUM(BA9:BB9)</f>
        <v>0</v>
      </c>
      <c r="BE9" s="64">
        <f t="shared" ref="BE9:BE33" ca="1" si="11">P9+AH9+AY9+BC9</f>
        <v>0</v>
      </c>
      <c r="BF9" s="64"/>
      <c r="BG9" s="1428"/>
      <c r="BH9" s="541">
        <f t="shared" ref="BH9:BQ9" ca="1" si="12">IFERROR(SUMIFS(INDIRECT($C9&amp;".Emissions["&amp;this.Year&amp;"]"), INDIRECT($C9&amp;".Emissions[GHG]"), BH$6, INDIRECT($C9&amp;".Emissions[IPCC Sector]"), BH$5),0)</f>
        <v>0</v>
      </c>
      <c r="BI9" s="542">
        <f t="shared" ca="1" si="12"/>
        <v>0</v>
      </c>
      <c r="BJ9" s="542">
        <f t="shared" ca="1" si="12"/>
        <v>0</v>
      </c>
      <c r="BK9" s="542">
        <f t="shared" ca="1" si="12"/>
        <v>0</v>
      </c>
      <c r="BL9" s="542">
        <f t="shared" ca="1" si="12"/>
        <v>0</v>
      </c>
      <c r="BM9" s="542">
        <f t="shared" ca="1" si="12"/>
        <v>0</v>
      </c>
      <c r="BN9" s="542">
        <f t="shared" ca="1" si="12"/>
        <v>0</v>
      </c>
      <c r="BO9" s="542">
        <f t="shared" ca="1" si="12"/>
        <v>0</v>
      </c>
      <c r="BP9" s="542">
        <f t="shared" ca="1" si="12"/>
        <v>0</v>
      </c>
      <c r="BQ9" s="542">
        <f t="shared" ca="1" si="12"/>
        <v>0</v>
      </c>
      <c r="BR9" s="542">
        <f t="shared" ref="BR9:CA9" ca="1" si="13">IFERROR(SUMIFS(INDIRECT($C9&amp;".Emissions["&amp;this.Year&amp;"]"), INDIRECT($C9&amp;".Emissions[GHG]"), BR$6, INDIRECT($C9&amp;".Emissions[IPCC Sector]"), BR$5),0)</f>
        <v>0</v>
      </c>
      <c r="BS9" s="542">
        <f t="shared" ca="1" si="13"/>
        <v>0</v>
      </c>
      <c r="BT9" s="542">
        <f t="shared" ca="1" si="13"/>
        <v>0</v>
      </c>
      <c r="BU9" s="542">
        <f t="shared" ca="1" si="13"/>
        <v>0</v>
      </c>
      <c r="BV9" s="542">
        <f t="shared" ca="1" si="13"/>
        <v>0</v>
      </c>
      <c r="BW9" s="542">
        <f t="shared" ca="1" si="13"/>
        <v>0</v>
      </c>
      <c r="BX9" s="542">
        <f t="shared" ca="1" si="13"/>
        <v>0</v>
      </c>
      <c r="BY9" s="542">
        <f t="shared" ca="1" si="13"/>
        <v>0</v>
      </c>
      <c r="BZ9" s="542">
        <f t="shared" ca="1" si="13"/>
        <v>0</v>
      </c>
      <c r="CA9" s="542">
        <f t="shared" ca="1" si="13"/>
        <v>0</v>
      </c>
      <c r="CB9" s="542">
        <f t="shared" ref="CB9:CK9" ca="1" si="14">IFERROR(SUMIFS(INDIRECT($C9&amp;".Emissions["&amp;this.Year&amp;"]"), INDIRECT($C9&amp;".Emissions[GHG]"), CB$6, INDIRECT($C9&amp;".Emissions[IPCC Sector]"), CB$5),0)</f>
        <v>0</v>
      </c>
      <c r="CC9" s="542">
        <f t="shared" ca="1" si="14"/>
        <v>0</v>
      </c>
      <c r="CD9" s="542">
        <f t="shared" ca="1" si="14"/>
        <v>0</v>
      </c>
      <c r="CE9" s="542">
        <f t="shared" ca="1" si="14"/>
        <v>0</v>
      </c>
      <c r="CF9" s="542">
        <f t="shared" ca="1" si="14"/>
        <v>0</v>
      </c>
      <c r="CG9" s="542">
        <f t="shared" ca="1" si="14"/>
        <v>0</v>
      </c>
      <c r="CH9" s="542">
        <f t="shared" ca="1" si="14"/>
        <v>0</v>
      </c>
      <c r="CI9" s="542">
        <f t="shared" ca="1" si="14"/>
        <v>0</v>
      </c>
      <c r="CJ9" s="542">
        <f t="shared" ca="1" si="14"/>
        <v>0</v>
      </c>
      <c r="CK9" s="542">
        <f t="shared" ca="1" si="14"/>
        <v>0</v>
      </c>
      <c r="CL9" s="542">
        <f t="shared" ref="CL9:CU9" ca="1" si="15">IFERROR(SUMIFS(INDIRECT($C9&amp;".Emissions["&amp;this.Year&amp;"]"), INDIRECT($C9&amp;".Emissions[GHG]"), CL$6, INDIRECT($C9&amp;".Emissions[IPCC Sector]"), CL$5),0)</f>
        <v>0</v>
      </c>
      <c r="CM9" s="542">
        <f t="shared" ca="1" si="15"/>
        <v>0</v>
      </c>
      <c r="CN9" s="542">
        <f t="shared" ca="1" si="15"/>
        <v>0</v>
      </c>
      <c r="CO9" s="542">
        <f t="shared" ca="1" si="15"/>
        <v>0</v>
      </c>
      <c r="CP9" s="542">
        <f t="shared" ca="1" si="15"/>
        <v>0</v>
      </c>
      <c r="CQ9" s="542">
        <f t="shared" ca="1" si="15"/>
        <v>0</v>
      </c>
      <c r="CR9" s="542">
        <f t="shared" ca="1" si="15"/>
        <v>0</v>
      </c>
      <c r="CS9" s="542">
        <f t="shared" ca="1" si="15"/>
        <v>0</v>
      </c>
      <c r="CT9" s="542">
        <f t="shared" ca="1" si="15"/>
        <v>0</v>
      </c>
      <c r="CU9" s="542">
        <f t="shared" ca="1" si="15"/>
        <v>0</v>
      </c>
      <c r="CW9" s="151"/>
    </row>
    <row r="10" spans="1:101" s="84" customFormat="1" ht="12.75" customHeight="1" outlineLevel="1" x14ac:dyDescent="0.2">
      <c r="A10" s="543"/>
      <c r="B10" s="543"/>
      <c r="C10" s="86"/>
      <c r="D10" s="543" t="s">
        <v>389</v>
      </c>
      <c r="E10" s="61"/>
      <c r="G10" s="298">
        <f t="shared" ref="G10:O10" ca="1" si="16">SUM(G9:G9)</f>
        <v>60.501058104296142</v>
      </c>
      <c r="H10" s="298">
        <f t="shared" ca="1" si="16"/>
        <v>0</v>
      </c>
      <c r="I10" s="298">
        <f t="shared" ca="1" si="16"/>
        <v>0</v>
      </c>
      <c r="J10" s="298">
        <f t="shared" ca="1" si="16"/>
        <v>0</v>
      </c>
      <c r="K10" s="298">
        <f t="shared" ca="1" si="16"/>
        <v>0</v>
      </c>
      <c r="L10" s="298">
        <f t="shared" ca="1" si="16"/>
        <v>0</v>
      </c>
      <c r="M10" s="298">
        <f t="shared" ca="1" si="16"/>
        <v>0</v>
      </c>
      <c r="N10" s="298">
        <f t="shared" ca="1" si="16"/>
        <v>0</v>
      </c>
      <c r="O10" s="298">
        <f t="shared" ca="1" si="16"/>
        <v>0</v>
      </c>
      <c r="P10" s="298">
        <f t="shared" ca="1" si="1"/>
        <v>60.501058104296142</v>
      </c>
      <c r="R10" s="305">
        <f t="shared" ref="R10:AG10" ca="1" si="17">SUM(R9:R9)</f>
        <v>-60.501058104296142</v>
      </c>
      <c r="S10" s="305">
        <f t="shared" ca="1" si="17"/>
        <v>0</v>
      </c>
      <c r="T10" s="305">
        <f t="shared" ca="1" si="17"/>
        <v>0</v>
      </c>
      <c r="U10" s="305">
        <f t="shared" ca="1" si="17"/>
        <v>0</v>
      </c>
      <c r="V10" s="305">
        <f t="shared" ca="1" si="17"/>
        <v>0</v>
      </c>
      <c r="W10" s="305">
        <f t="shared" ca="1" si="17"/>
        <v>0</v>
      </c>
      <c r="X10" s="305">
        <f t="shared" ca="1" si="17"/>
        <v>0</v>
      </c>
      <c r="Y10" s="305">
        <f t="shared" ca="1" si="17"/>
        <v>0</v>
      </c>
      <c r="Z10" s="305">
        <f t="shared" ca="1" si="17"/>
        <v>0</v>
      </c>
      <c r="AA10" s="305">
        <f t="shared" ca="1" si="17"/>
        <v>0</v>
      </c>
      <c r="AB10" s="305">
        <f t="shared" ca="1" si="17"/>
        <v>0</v>
      </c>
      <c r="AC10" s="305">
        <f t="shared" ca="1" si="17"/>
        <v>0</v>
      </c>
      <c r="AD10" s="305">
        <f t="shared" ca="1" si="17"/>
        <v>0</v>
      </c>
      <c r="AE10" s="305">
        <f t="shared" ca="1" si="17"/>
        <v>0</v>
      </c>
      <c r="AF10" s="305">
        <f t="shared" ca="1" si="17"/>
        <v>0</v>
      </c>
      <c r="AG10" s="305">
        <f t="shared" ca="1" si="17"/>
        <v>0</v>
      </c>
      <c r="AH10" s="305">
        <f t="shared" ca="1" si="5"/>
        <v>-60.501058104296142</v>
      </c>
      <c r="AJ10" s="313">
        <f t="shared" ref="AJ10:AX10" ca="1" si="18">SUM(AJ9:AJ9)</f>
        <v>0</v>
      </c>
      <c r="AK10" s="313">
        <f t="shared" ca="1" si="18"/>
        <v>0</v>
      </c>
      <c r="AL10" s="313">
        <f t="shared" ca="1" si="18"/>
        <v>0</v>
      </c>
      <c r="AM10" s="313">
        <f t="shared" ca="1" si="18"/>
        <v>0</v>
      </c>
      <c r="AN10" s="313">
        <f t="shared" ca="1" si="18"/>
        <v>0</v>
      </c>
      <c r="AO10" s="313">
        <f t="shared" ca="1" si="18"/>
        <v>0</v>
      </c>
      <c r="AP10" s="313">
        <f t="shared" ca="1" si="18"/>
        <v>0</v>
      </c>
      <c r="AQ10" s="313">
        <f t="shared" ca="1" si="18"/>
        <v>0</v>
      </c>
      <c r="AR10" s="313">
        <f t="shared" ca="1" si="18"/>
        <v>0</v>
      </c>
      <c r="AS10" s="313">
        <f t="shared" ca="1" si="18"/>
        <v>0</v>
      </c>
      <c r="AT10" s="313">
        <f t="shared" ca="1" si="18"/>
        <v>0</v>
      </c>
      <c r="AU10" s="313">
        <f t="shared" ca="1" si="18"/>
        <v>0</v>
      </c>
      <c r="AV10" s="313">
        <f t="shared" ca="1" si="18"/>
        <v>0</v>
      </c>
      <c r="AW10" s="313">
        <f t="shared" ca="1" si="18"/>
        <v>0</v>
      </c>
      <c r="AX10" s="313">
        <f t="shared" ca="1" si="18"/>
        <v>0</v>
      </c>
      <c r="AY10" s="266">
        <f t="shared" ca="1" si="8"/>
        <v>0</v>
      </c>
      <c r="BA10" s="309">
        <f ca="1">SUM(BA9:BA9)</f>
        <v>0</v>
      </c>
      <c r="BB10" s="309">
        <f ca="1">SUM(BB9:BB9)</f>
        <v>0</v>
      </c>
      <c r="BC10" s="309">
        <f t="shared" ca="1" si="10"/>
        <v>0</v>
      </c>
      <c r="BE10" s="135">
        <f t="shared" ca="1" si="11"/>
        <v>0</v>
      </c>
      <c r="BF10" s="135"/>
      <c r="BG10" s="1428"/>
      <c r="BH10" s="541">
        <f t="shared" ref="BH10:CU10" ca="1" si="19">SUM(BH9:BH9)</f>
        <v>0</v>
      </c>
      <c r="BI10" s="542">
        <f t="shared" ca="1" si="19"/>
        <v>0</v>
      </c>
      <c r="BJ10" s="542">
        <f t="shared" ca="1" si="19"/>
        <v>0</v>
      </c>
      <c r="BK10" s="542">
        <f t="shared" ca="1" si="19"/>
        <v>0</v>
      </c>
      <c r="BL10" s="542">
        <f t="shared" ca="1" si="19"/>
        <v>0</v>
      </c>
      <c r="BM10" s="542">
        <f t="shared" ca="1" si="19"/>
        <v>0</v>
      </c>
      <c r="BN10" s="542">
        <f t="shared" ca="1" si="19"/>
        <v>0</v>
      </c>
      <c r="BO10" s="542">
        <f t="shared" ca="1" si="19"/>
        <v>0</v>
      </c>
      <c r="BP10" s="542">
        <f t="shared" ca="1" si="19"/>
        <v>0</v>
      </c>
      <c r="BQ10" s="542">
        <f t="shared" ca="1" si="19"/>
        <v>0</v>
      </c>
      <c r="BR10" s="542">
        <f t="shared" ca="1" si="19"/>
        <v>0</v>
      </c>
      <c r="BS10" s="542">
        <f t="shared" ca="1" si="19"/>
        <v>0</v>
      </c>
      <c r="BT10" s="542">
        <f t="shared" ca="1" si="19"/>
        <v>0</v>
      </c>
      <c r="BU10" s="542">
        <f t="shared" ca="1" si="19"/>
        <v>0</v>
      </c>
      <c r="BV10" s="542">
        <f t="shared" ca="1" si="19"/>
        <v>0</v>
      </c>
      <c r="BW10" s="542">
        <f t="shared" ca="1" si="19"/>
        <v>0</v>
      </c>
      <c r="BX10" s="542">
        <f t="shared" ca="1" si="19"/>
        <v>0</v>
      </c>
      <c r="BY10" s="542">
        <f t="shared" ca="1" si="19"/>
        <v>0</v>
      </c>
      <c r="BZ10" s="542">
        <f t="shared" ca="1" si="19"/>
        <v>0</v>
      </c>
      <c r="CA10" s="542">
        <f t="shared" ca="1" si="19"/>
        <v>0</v>
      </c>
      <c r="CB10" s="542">
        <f t="shared" ca="1" si="19"/>
        <v>0</v>
      </c>
      <c r="CC10" s="542">
        <f t="shared" ca="1" si="19"/>
        <v>0</v>
      </c>
      <c r="CD10" s="542">
        <f t="shared" ca="1" si="19"/>
        <v>0</v>
      </c>
      <c r="CE10" s="542">
        <f t="shared" ca="1" si="19"/>
        <v>0</v>
      </c>
      <c r="CF10" s="542">
        <f t="shared" ca="1" si="19"/>
        <v>0</v>
      </c>
      <c r="CG10" s="542">
        <f t="shared" ca="1" si="19"/>
        <v>0</v>
      </c>
      <c r="CH10" s="542">
        <f t="shared" ca="1" si="19"/>
        <v>0</v>
      </c>
      <c r="CI10" s="542">
        <f t="shared" ca="1" si="19"/>
        <v>0</v>
      </c>
      <c r="CJ10" s="542">
        <f t="shared" ca="1" si="19"/>
        <v>0</v>
      </c>
      <c r="CK10" s="542">
        <f t="shared" ca="1" si="19"/>
        <v>0</v>
      </c>
      <c r="CL10" s="542">
        <f t="shared" ca="1" si="19"/>
        <v>0</v>
      </c>
      <c r="CM10" s="542">
        <f t="shared" ca="1" si="19"/>
        <v>0</v>
      </c>
      <c r="CN10" s="542">
        <f t="shared" ca="1" si="19"/>
        <v>0</v>
      </c>
      <c r="CO10" s="542">
        <f t="shared" ca="1" si="19"/>
        <v>0</v>
      </c>
      <c r="CP10" s="542">
        <f t="shared" ca="1" si="19"/>
        <v>0</v>
      </c>
      <c r="CQ10" s="542">
        <f t="shared" ca="1" si="19"/>
        <v>0</v>
      </c>
      <c r="CR10" s="542">
        <f t="shared" ca="1" si="19"/>
        <v>0</v>
      </c>
      <c r="CS10" s="542">
        <f t="shared" ca="1" si="19"/>
        <v>0</v>
      </c>
      <c r="CT10" s="542">
        <f t="shared" ca="1" si="19"/>
        <v>0</v>
      </c>
      <c r="CU10" s="542">
        <f t="shared" ca="1" si="19"/>
        <v>0</v>
      </c>
      <c r="CW10" s="151"/>
    </row>
    <row r="11" spans="1:101" s="84" customFormat="1" ht="10.5" customHeight="1" outlineLevel="2" x14ac:dyDescent="0.2">
      <c r="A11" s="540"/>
      <c r="B11" s="540"/>
      <c r="C11" s="86" t="s">
        <v>388</v>
      </c>
      <c r="D11" s="540" t="str">
        <f>INDEX(Modules[Module], MATCH($C11, Modules[Code], 0))</f>
        <v>Service Sector Cooling</v>
      </c>
      <c r="E11" s="291"/>
      <c r="G11" s="297">
        <f t="shared" ca="1" si="0"/>
        <v>17.327186921514574</v>
      </c>
      <c r="H11" s="297">
        <f t="shared" ca="1" si="0"/>
        <v>0</v>
      </c>
      <c r="I11" s="297">
        <f t="shared" ca="1" si="0"/>
        <v>0</v>
      </c>
      <c r="J11" s="297">
        <f t="shared" ca="1" si="0"/>
        <v>0</v>
      </c>
      <c r="K11" s="297">
        <f t="shared" ca="1" si="0"/>
        <v>0</v>
      </c>
      <c r="L11" s="297">
        <f t="shared" ca="1" si="0"/>
        <v>0</v>
      </c>
      <c r="M11" s="297">
        <f t="shared" ca="1" si="0"/>
        <v>0</v>
      </c>
      <c r="N11" s="297">
        <f t="shared" ca="1" si="0"/>
        <v>0</v>
      </c>
      <c r="O11" s="297">
        <f t="shared" ca="1" si="0"/>
        <v>0</v>
      </c>
      <c r="P11" s="297">
        <f t="shared" ca="1" si="1"/>
        <v>17.327186921514574</v>
      </c>
      <c r="R11" s="304">
        <f t="shared" ref="R11:W11" ca="1" si="20">IFERROR(INDEX(INDIRECT($C11&amp;".Outputs["&amp;this.Year&amp;"]"), MATCH(R$5, INDIRECT($C11&amp;".Outputs[Vector]"), 0)), 0)</f>
        <v>-17.327186921514574</v>
      </c>
      <c r="S11" s="304">
        <f t="shared" ca="1" si="20"/>
        <v>0</v>
      </c>
      <c r="T11" s="304">
        <f t="shared" ca="1" si="20"/>
        <v>0</v>
      </c>
      <c r="U11" s="304">
        <f t="shared" ca="1" si="20"/>
        <v>0</v>
      </c>
      <c r="V11" s="304">
        <f t="shared" ca="1" si="20"/>
        <v>0</v>
      </c>
      <c r="W11" s="304">
        <f t="shared" ca="1" si="20"/>
        <v>0</v>
      </c>
      <c r="X11" s="304">
        <f t="shared" ref="X11:Z11" ca="1" si="21">IFERROR(INDEX(INDIRECT($C11&amp;".Outputs["&amp;this.Year&amp;"]"), MATCH(X$5, INDIRECT($C11&amp;".Outputs[Vector]"), 0)), 0)</f>
        <v>0</v>
      </c>
      <c r="Y11" s="304">
        <f t="shared" ca="1" si="21"/>
        <v>0</v>
      </c>
      <c r="Z11" s="304">
        <f t="shared" ca="1" si="21"/>
        <v>0</v>
      </c>
      <c r="AA11" s="304">
        <f t="shared" ref="AA11:AG11" ca="1" si="22">IFERROR(INDEX(INDIRECT($C11&amp;".Outputs["&amp;this.Year&amp;"]"), MATCH(AA$5, INDIRECT($C11&amp;".Outputs[Vector]"), 0)), 0)</f>
        <v>0</v>
      </c>
      <c r="AB11" s="304">
        <f t="shared" ca="1" si="22"/>
        <v>0</v>
      </c>
      <c r="AC11" s="304">
        <f t="shared" ca="1" si="22"/>
        <v>0</v>
      </c>
      <c r="AD11" s="304">
        <f t="shared" ca="1" si="22"/>
        <v>0</v>
      </c>
      <c r="AE11" s="304">
        <f t="shared" ca="1" si="22"/>
        <v>0</v>
      </c>
      <c r="AF11" s="304">
        <f t="shared" ca="1" si="22"/>
        <v>0</v>
      </c>
      <c r="AG11" s="304">
        <f t="shared" ca="1" si="22"/>
        <v>0</v>
      </c>
      <c r="AH11" s="305">
        <f t="shared" ca="1" si="5"/>
        <v>-17.327186921514574</v>
      </c>
      <c r="AJ11" s="312">
        <f t="shared" ref="AJ11:AR11" ca="1" si="23">IFERROR(INDEX(INDIRECT($C11&amp;".Outputs["&amp;this.Year&amp;"]"), MATCH(AJ$5, INDIRECT($C11&amp;".Outputs[Vector]"), 0)), 0)</f>
        <v>0</v>
      </c>
      <c r="AK11" s="312">
        <f t="shared" ca="1" si="23"/>
        <v>0</v>
      </c>
      <c r="AL11" s="312">
        <f t="shared" ca="1" si="23"/>
        <v>0</v>
      </c>
      <c r="AM11" s="312">
        <f t="shared" ca="1" si="23"/>
        <v>0</v>
      </c>
      <c r="AN11" s="312">
        <f t="shared" ca="1" si="23"/>
        <v>0</v>
      </c>
      <c r="AO11" s="312">
        <f t="shared" ca="1" si="23"/>
        <v>0</v>
      </c>
      <c r="AP11" s="312">
        <f t="shared" ca="1" si="23"/>
        <v>0</v>
      </c>
      <c r="AQ11" s="312">
        <f t="shared" ca="1" si="23"/>
        <v>0</v>
      </c>
      <c r="AR11" s="312">
        <f t="shared" ca="1" si="23"/>
        <v>0</v>
      </c>
      <c r="AS11" s="312">
        <f t="shared" ref="AS11:AX11" ca="1" si="24">IFERROR(INDEX(INDIRECT($C11&amp;".Outputs["&amp;this.Year&amp;"]"), MATCH(AS$5, INDIRECT($C11&amp;".Outputs[Vector]"), 0)), 0)</f>
        <v>0</v>
      </c>
      <c r="AT11" s="312">
        <f t="shared" ca="1" si="24"/>
        <v>0</v>
      </c>
      <c r="AU11" s="312">
        <f t="shared" ca="1" si="24"/>
        <v>0</v>
      </c>
      <c r="AV11" s="312">
        <f t="shared" ca="1" si="24"/>
        <v>0</v>
      </c>
      <c r="AW11" s="312">
        <f t="shared" ca="1" si="24"/>
        <v>0</v>
      </c>
      <c r="AX11" s="312">
        <f t="shared" ca="1" si="24"/>
        <v>0</v>
      </c>
      <c r="AY11" s="264">
        <f t="shared" ca="1" si="8"/>
        <v>0</v>
      </c>
      <c r="BA11" s="308">
        <f t="shared" ca="1" si="9"/>
        <v>0</v>
      </c>
      <c r="BB11" s="308">
        <f t="shared" ca="1" si="9"/>
        <v>0</v>
      </c>
      <c r="BC11" s="309">
        <f t="shared" ca="1" si="10"/>
        <v>0</v>
      </c>
      <c r="BE11" s="64">
        <f t="shared" ca="1" si="11"/>
        <v>0</v>
      </c>
      <c r="BF11" s="64"/>
      <c r="BG11" s="1428"/>
      <c r="BH11" s="541">
        <f t="shared" ref="BH11:BQ11" ca="1" si="25">IFERROR(SUMIFS(INDIRECT($C11&amp;".Emissions["&amp;this.Year&amp;"]"), INDIRECT($C11&amp;".Emissions[GHG]"), BH$6, INDIRECT($C11&amp;".Emissions[IPCC Sector]"), BH$5),0)</f>
        <v>0</v>
      </c>
      <c r="BI11" s="542">
        <f t="shared" ca="1" si="25"/>
        <v>0</v>
      </c>
      <c r="BJ11" s="542">
        <f t="shared" ca="1" si="25"/>
        <v>0</v>
      </c>
      <c r="BK11" s="542">
        <f t="shared" ca="1" si="25"/>
        <v>0</v>
      </c>
      <c r="BL11" s="542">
        <f t="shared" ca="1" si="25"/>
        <v>0</v>
      </c>
      <c r="BM11" s="542">
        <f t="shared" ca="1" si="25"/>
        <v>0</v>
      </c>
      <c r="BN11" s="542">
        <f t="shared" ca="1" si="25"/>
        <v>0</v>
      </c>
      <c r="BO11" s="542">
        <f t="shared" ca="1" si="25"/>
        <v>0</v>
      </c>
      <c r="BP11" s="542">
        <f t="shared" ca="1" si="25"/>
        <v>0</v>
      </c>
      <c r="BQ11" s="542">
        <f t="shared" ca="1" si="25"/>
        <v>0</v>
      </c>
      <c r="BR11" s="542">
        <f t="shared" ref="BR11:CA11" ca="1" si="26">IFERROR(SUMIFS(INDIRECT($C11&amp;".Emissions["&amp;this.Year&amp;"]"), INDIRECT($C11&amp;".Emissions[GHG]"), BR$6, INDIRECT($C11&amp;".Emissions[IPCC Sector]"), BR$5),0)</f>
        <v>0</v>
      </c>
      <c r="BS11" s="542">
        <f t="shared" ca="1" si="26"/>
        <v>0</v>
      </c>
      <c r="BT11" s="542">
        <f t="shared" ca="1" si="26"/>
        <v>0</v>
      </c>
      <c r="BU11" s="542">
        <f t="shared" ca="1" si="26"/>
        <v>0</v>
      </c>
      <c r="BV11" s="542">
        <f t="shared" ca="1" si="26"/>
        <v>0</v>
      </c>
      <c r="BW11" s="542">
        <f t="shared" ca="1" si="26"/>
        <v>0</v>
      </c>
      <c r="BX11" s="542">
        <f t="shared" ca="1" si="26"/>
        <v>0</v>
      </c>
      <c r="BY11" s="542">
        <f t="shared" ca="1" si="26"/>
        <v>0</v>
      </c>
      <c r="BZ11" s="542">
        <f t="shared" ca="1" si="26"/>
        <v>0</v>
      </c>
      <c r="CA11" s="542">
        <f t="shared" ca="1" si="26"/>
        <v>0</v>
      </c>
      <c r="CB11" s="542">
        <f t="shared" ref="CB11:CK11" ca="1" si="27">IFERROR(SUMIFS(INDIRECT($C11&amp;".Emissions["&amp;this.Year&amp;"]"), INDIRECT($C11&amp;".Emissions[GHG]"), CB$6, INDIRECT($C11&amp;".Emissions[IPCC Sector]"), CB$5),0)</f>
        <v>0</v>
      </c>
      <c r="CC11" s="542">
        <f t="shared" ca="1" si="27"/>
        <v>0</v>
      </c>
      <c r="CD11" s="542">
        <f t="shared" ca="1" si="27"/>
        <v>0</v>
      </c>
      <c r="CE11" s="542">
        <f t="shared" ca="1" si="27"/>
        <v>0</v>
      </c>
      <c r="CF11" s="542">
        <f t="shared" ca="1" si="27"/>
        <v>0</v>
      </c>
      <c r="CG11" s="542">
        <f t="shared" ca="1" si="27"/>
        <v>0</v>
      </c>
      <c r="CH11" s="542">
        <f t="shared" ca="1" si="27"/>
        <v>0</v>
      </c>
      <c r="CI11" s="542">
        <f t="shared" ca="1" si="27"/>
        <v>0</v>
      </c>
      <c r="CJ11" s="542">
        <f t="shared" ca="1" si="27"/>
        <v>0</v>
      </c>
      <c r="CK11" s="542">
        <f t="shared" ca="1" si="27"/>
        <v>0</v>
      </c>
      <c r="CL11" s="542">
        <f t="shared" ref="CL11:CU11" ca="1" si="28">IFERROR(SUMIFS(INDIRECT($C11&amp;".Emissions["&amp;this.Year&amp;"]"), INDIRECT($C11&amp;".Emissions[GHG]"), CL$6, INDIRECT($C11&amp;".Emissions[IPCC Sector]"), CL$5),0)</f>
        <v>0</v>
      </c>
      <c r="CM11" s="542">
        <f t="shared" ca="1" si="28"/>
        <v>0</v>
      </c>
      <c r="CN11" s="542">
        <f t="shared" ca="1" si="28"/>
        <v>0</v>
      </c>
      <c r="CO11" s="542">
        <f t="shared" ca="1" si="28"/>
        <v>0</v>
      </c>
      <c r="CP11" s="542">
        <f t="shared" ca="1" si="28"/>
        <v>0</v>
      </c>
      <c r="CQ11" s="542">
        <f t="shared" ca="1" si="28"/>
        <v>0</v>
      </c>
      <c r="CR11" s="542">
        <f t="shared" ca="1" si="28"/>
        <v>0</v>
      </c>
      <c r="CS11" s="542">
        <f t="shared" ca="1" si="28"/>
        <v>0</v>
      </c>
      <c r="CT11" s="542">
        <f t="shared" ca="1" si="28"/>
        <v>0</v>
      </c>
      <c r="CU11" s="542">
        <f t="shared" ca="1" si="28"/>
        <v>0</v>
      </c>
      <c r="CW11" s="151"/>
    </row>
    <row r="12" spans="1:101" s="84" customFormat="1" ht="12.75" customHeight="1" outlineLevel="1" x14ac:dyDescent="0.2">
      <c r="A12" s="543"/>
      <c r="B12" s="543"/>
      <c r="C12" s="86"/>
      <c r="D12" s="292" t="s">
        <v>390</v>
      </c>
      <c r="E12" s="292"/>
      <c r="G12" s="299">
        <f t="shared" ref="G12:O12" ca="1" si="29">SUM(G11:G11)</f>
        <v>17.327186921514574</v>
      </c>
      <c r="H12" s="299">
        <f t="shared" ca="1" si="29"/>
        <v>0</v>
      </c>
      <c r="I12" s="299">
        <f t="shared" ca="1" si="29"/>
        <v>0</v>
      </c>
      <c r="J12" s="299">
        <f t="shared" ca="1" si="29"/>
        <v>0</v>
      </c>
      <c r="K12" s="299">
        <f t="shared" ca="1" si="29"/>
        <v>0</v>
      </c>
      <c r="L12" s="299">
        <f t="shared" ca="1" si="29"/>
        <v>0</v>
      </c>
      <c r="M12" s="299">
        <f t="shared" ca="1" si="29"/>
        <v>0</v>
      </c>
      <c r="N12" s="299">
        <f t="shared" ca="1" si="29"/>
        <v>0</v>
      </c>
      <c r="O12" s="299">
        <f t="shared" ca="1" si="29"/>
        <v>0</v>
      </c>
      <c r="P12" s="299">
        <f t="shared" ca="1" si="1"/>
        <v>17.327186921514574</v>
      </c>
      <c r="R12" s="306">
        <f t="shared" ref="R12:AG12" ca="1" si="30">SUM(R11:R11)</f>
        <v>-17.327186921514574</v>
      </c>
      <c r="S12" s="306">
        <f t="shared" ca="1" si="30"/>
        <v>0</v>
      </c>
      <c r="T12" s="306">
        <f t="shared" ca="1" si="30"/>
        <v>0</v>
      </c>
      <c r="U12" s="306">
        <f t="shared" ca="1" si="30"/>
        <v>0</v>
      </c>
      <c r="V12" s="306">
        <f t="shared" ca="1" si="30"/>
        <v>0</v>
      </c>
      <c r="W12" s="306">
        <f t="shared" ca="1" si="30"/>
        <v>0</v>
      </c>
      <c r="X12" s="306">
        <f t="shared" ca="1" si="30"/>
        <v>0</v>
      </c>
      <c r="Y12" s="306">
        <f t="shared" ca="1" si="30"/>
        <v>0</v>
      </c>
      <c r="Z12" s="306">
        <f t="shared" ca="1" si="30"/>
        <v>0</v>
      </c>
      <c r="AA12" s="306">
        <f t="shared" ca="1" si="30"/>
        <v>0</v>
      </c>
      <c r="AB12" s="306">
        <f t="shared" ca="1" si="30"/>
        <v>0</v>
      </c>
      <c r="AC12" s="306">
        <f t="shared" ca="1" si="30"/>
        <v>0</v>
      </c>
      <c r="AD12" s="306">
        <f t="shared" ca="1" si="30"/>
        <v>0</v>
      </c>
      <c r="AE12" s="306">
        <f t="shared" ca="1" si="30"/>
        <v>0</v>
      </c>
      <c r="AF12" s="306">
        <f t="shared" ca="1" si="30"/>
        <v>0</v>
      </c>
      <c r="AG12" s="306">
        <f t="shared" ca="1" si="30"/>
        <v>0</v>
      </c>
      <c r="AH12" s="306">
        <f t="shared" ca="1" si="5"/>
        <v>-17.327186921514574</v>
      </c>
      <c r="AJ12" s="314">
        <f t="shared" ref="AJ12:AX12" ca="1" si="31">SUM(AJ11:AJ11)</f>
        <v>0</v>
      </c>
      <c r="AK12" s="314">
        <f t="shared" ca="1" si="31"/>
        <v>0</v>
      </c>
      <c r="AL12" s="314">
        <f t="shared" ca="1" si="31"/>
        <v>0</v>
      </c>
      <c r="AM12" s="314">
        <f t="shared" ca="1" si="31"/>
        <v>0</v>
      </c>
      <c r="AN12" s="314">
        <f t="shared" ca="1" si="31"/>
        <v>0</v>
      </c>
      <c r="AO12" s="314">
        <f t="shared" ca="1" si="31"/>
        <v>0</v>
      </c>
      <c r="AP12" s="314">
        <f t="shared" ca="1" si="31"/>
        <v>0</v>
      </c>
      <c r="AQ12" s="314">
        <f t="shared" ca="1" si="31"/>
        <v>0</v>
      </c>
      <c r="AR12" s="314">
        <f t="shared" ca="1" si="31"/>
        <v>0</v>
      </c>
      <c r="AS12" s="314">
        <f t="shared" ca="1" si="31"/>
        <v>0</v>
      </c>
      <c r="AT12" s="314">
        <f t="shared" ca="1" si="31"/>
        <v>0</v>
      </c>
      <c r="AU12" s="314">
        <f t="shared" ca="1" si="31"/>
        <v>0</v>
      </c>
      <c r="AV12" s="314">
        <f t="shared" ca="1" si="31"/>
        <v>0</v>
      </c>
      <c r="AW12" s="314">
        <f t="shared" ca="1" si="31"/>
        <v>0</v>
      </c>
      <c r="AX12" s="314">
        <f t="shared" ca="1" si="31"/>
        <v>0</v>
      </c>
      <c r="AY12" s="293">
        <f t="shared" ca="1" si="8"/>
        <v>0</v>
      </c>
      <c r="BA12" s="310">
        <f ca="1">SUM(BA11:BA11)</f>
        <v>0</v>
      </c>
      <c r="BB12" s="310">
        <f ca="1">SUM(BB11:BB11)</f>
        <v>0</v>
      </c>
      <c r="BC12" s="310">
        <f t="shared" ca="1" si="10"/>
        <v>0</v>
      </c>
      <c r="BE12" s="135">
        <f t="shared" ca="1" si="11"/>
        <v>0</v>
      </c>
      <c r="BF12" s="135"/>
      <c r="BG12" s="1428"/>
      <c r="BH12" s="544">
        <f t="shared" ref="BH12:CU12" ca="1" si="32">SUM(BH11:BH11)</f>
        <v>0</v>
      </c>
      <c r="BI12" s="545">
        <f t="shared" ca="1" si="32"/>
        <v>0</v>
      </c>
      <c r="BJ12" s="545">
        <f t="shared" ca="1" si="32"/>
        <v>0</v>
      </c>
      <c r="BK12" s="545">
        <f t="shared" ca="1" si="32"/>
        <v>0</v>
      </c>
      <c r="BL12" s="545">
        <f t="shared" ca="1" si="32"/>
        <v>0</v>
      </c>
      <c r="BM12" s="545">
        <f t="shared" ca="1" si="32"/>
        <v>0</v>
      </c>
      <c r="BN12" s="545">
        <f t="shared" ca="1" si="32"/>
        <v>0</v>
      </c>
      <c r="BO12" s="545">
        <f t="shared" ca="1" si="32"/>
        <v>0</v>
      </c>
      <c r="BP12" s="545">
        <f t="shared" ca="1" si="32"/>
        <v>0</v>
      </c>
      <c r="BQ12" s="545">
        <f t="shared" ca="1" si="32"/>
        <v>0</v>
      </c>
      <c r="BR12" s="545">
        <f t="shared" ca="1" si="32"/>
        <v>0</v>
      </c>
      <c r="BS12" s="545">
        <f t="shared" ca="1" si="32"/>
        <v>0</v>
      </c>
      <c r="BT12" s="545">
        <f t="shared" ca="1" si="32"/>
        <v>0</v>
      </c>
      <c r="BU12" s="545">
        <f t="shared" ca="1" si="32"/>
        <v>0</v>
      </c>
      <c r="BV12" s="545">
        <f t="shared" ca="1" si="32"/>
        <v>0</v>
      </c>
      <c r="BW12" s="545">
        <f t="shared" ca="1" si="32"/>
        <v>0</v>
      </c>
      <c r="BX12" s="545">
        <f t="shared" ca="1" si="32"/>
        <v>0</v>
      </c>
      <c r="BY12" s="545">
        <f t="shared" ca="1" si="32"/>
        <v>0</v>
      </c>
      <c r="BZ12" s="545">
        <f t="shared" ca="1" si="32"/>
        <v>0</v>
      </c>
      <c r="CA12" s="545">
        <f t="shared" ca="1" si="32"/>
        <v>0</v>
      </c>
      <c r="CB12" s="545">
        <f t="shared" ca="1" si="32"/>
        <v>0</v>
      </c>
      <c r="CC12" s="545">
        <f t="shared" ca="1" si="32"/>
        <v>0</v>
      </c>
      <c r="CD12" s="545">
        <f t="shared" ca="1" si="32"/>
        <v>0</v>
      </c>
      <c r="CE12" s="545">
        <f t="shared" ca="1" si="32"/>
        <v>0</v>
      </c>
      <c r="CF12" s="545">
        <f t="shared" ca="1" si="32"/>
        <v>0</v>
      </c>
      <c r="CG12" s="545">
        <f t="shared" ca="1" si="32"/>
        <v>0</v>
      </c>
      <c r="CH12" s="545">
        <f t="shared" ca="1" si="32"/>
        <v>0</v>
      </c>
      <c r="CI12" s="545">
        <f t="shared" ca="1" si="32"/>
        <v>0</v>
      </c>
      <c r="CJ12" s="545">
        <f t="shared" ca="1" si="32"/>
        <v>0</v>
      </c>
      <c r="CK12" s="545">
        <f t="shared" ca="1" si="32"/>
        <v>0</v>
      </c>
      <c r="CL12" s="545">
        <f t="shared" ca="1" si="32"/>
        <v>0</v>
      </c>
      <c r="CM12" s="545">
        <f t="shared" ca="1" si="32"/>
        <v>0</v>
      </c>
      <c r="CN12" s="545">
        <f t="shared" ca="1" si="32"/>
        <v>0</v>
      </c>
      <c r="CO12" s="545">
        <f t="shared" ca="1" si="32"/>
        <v>0</v>
      </c>
      <c r="CP12" s="545">
        <f t="shared" ca="1" si="32"/>
        <v>0</v>
      </c>
      <c r="CQ12" s="545">
        <f t="shared" ca="1" si="32"/>
        <v>0</v>
      </c>
      <c r="CR12" s="545">
        <f t="shared" ca="1" si="32"/>
        <v>0</v>
      </c>
      <c r="CS12" s="545">
        <f t="shared" ca="1" si="32"/>
        <v>0</v>
      </c>
      <c r="CT12" s="545">
        <f t="shared" ca="1" si="32"/>
        <v>0</v>
      </c>
      <c r="CU12" s="545">
        <f t="shared" ca="1" si="32"/>
        <v>0</v>
      </c>
      <c r="CW12" s="151"/>
    </row>
    <row r="13" spans="1:101" s="84" customFormat="1" ht="15.75" x14ac:dyDescent="0.2">
      <c r="A13" s="18"/>
      <c r="B13" s="89"/>
      <c r="C13" s="85" t="s">
        <v>229</v>
      </c>
      <c r="D13" s="57" t="str">
        <f>INDEX(Workstreams[Workstream], MATCH($C13, Workstreams[Code], 0))</f>
        <v>Cooling</v>
      </c>
      <c r="E13" s="53"/>
      <c r="G13" s="300">
        <f t="shared" ref="G13:O13" ca="1" si="33">G12+G10</f>
        <v>77.828245025810716</v>
      </c>
      <c r="H13" s="300">
        <f t="shared" ca="1" si="33"/>
        <v>0</v>
      </c>
      <c r="I13" s="300">
        <f t="shared" ca="1" si="33"/>
        <v>0</v>
      </c>
      <c r="J13" s="300">
        <f t="shared" ca="1" si="33"/>
        <v>0</v>
      </c>
      <c r="K13" s="300">
        <f t="shared" ca="1" si="33"/>
        <v>0</v>
      </c>
      <c r="L13" s="300">
        <f t="shared" ca="1" si="33"/>
        <v>0</v>
      </c>
      <c r="M13" s="300">
        <f t="shared" ca="1" si="33"/>
        <v>0</v>
      </c>
      <c r="N13" s="300">
        <f t="shared" ca="1" si="33"/>
        <v>0</v>
      </c>
      <c r="O13" s="300">
        <f t="shared" ca="1" si="33"/>
        <v>0</v>
      </c>
      <c r="P13" s="300">
        <f t="shared" ca="1" si="1"/>
        <v>77.828245025810716</v>
      </c>
      <c r="R13" s="257">
        <f t="shared" ref="R13:AG13" ca="1" si="34">R12+R10</f>
        <v>-77.828245025810716</v>
      </c>
      <c r="S13" s="257">
        <f t="shared" ca="1" si="34"/>
        <v>0</v>
      </c>
      <c r="T13" s="257">
        <f t="shared" ca="1" si="34"/>
        <v>0</v>
      </c>
      <c r="U13" s="257">
        <f t="shared" ca="1" si="34"/>
        <v>0</v>
      </c>
      <c r="V13" s="257">
        <f t="shared" ca="1" si="34"/>
        <v>0</v>
      </c>
      <c r="W13" s="257">
        <f t="shared" ca="1" si="34"/>
        <v>0</v>
      </c>
      <c r="X13" s="257">
        <f t="shared" ca="1" si="34"/>
        <v>0</v>
      </c>
      <c r="Y13" s="257">
        <f t="shared" ca="1" si="34"/>
        <v>0</v>
      </c>
      <c r="Z13" s="257">
        <f t="shared" ca="1" si="34"/>
        <v>0</v>
      </c>
      <c r="AA13" s="257">
        <f t="shared" ca="1" si="34"/>
        <v>0</v>
      </c>
      <c r="AB13" s="257">
        <f t="shared" ca="1" si="34"/>
        <v>0</v>
      </c>
      <c r="AC13" s="257">
        <f t="shared" ca="1" si="34"/>
        <v>0</v>
      </c>
      <c r="AD13" s="257">
        <f t="shared" ca="1" si="34"/>
        <v>0</v>
      </c>
      <c r="AE13" s="257">
        <f t="shared" ca="1" si="34"/>
        <v>0</v>
      </c>
      <c r="AF13" s="257">
        <f t="shared" ca="1" si="34"/>
        <v>0</v>
      </c>
      <c r="AG13" s="257">
        <f t="shared" ca="1" si="34"/>
        <v>0</v>
      </c>
      <c r="AH13" s="257">
        <f t="shared" ca="1" si="5"/>
        <v>-77.828245025810716</v>
      </c>
      <c r="AJ13" s="263">
        <f t="shared" ref="AJ13:AX13" ca="1" si="35">AJ12+AJ10</f>
        <v>0</v>
      </c>
      <c r="AK13" s="263">
        <f t="shared" ca="1" si="35"/>
        <v>0</v>
      </c>
      <c r="AL13" s="263">
        <f t="shared" ca="1" si="35"/>
        <v>0</v>
      </c>
      <c r="AM13" s="263">
        <f t="shared" ca="1" si="35"/>
        <v>0</v>
      </c>
      <c r="AN13" s="263">
        <f t="shared" ca="1" si="35"/>
        <v>0</v>
      </c>
      <c r="AO13" s="263">
        <f t="shared" ca="1" si="35"/>
        <v>0</v>
      </c>
      <c r="AP13" s="263">
        <f t="shared" ca="1" si="35"/>
        <v>0</v>
      </c>
      <c r="AQ13" s="263">
        <f t="shared" ca="1" si="35"/>
        <v>0</v>
      </c>
      <c r="AR13" s="263">
        <f t="shared" ca="1" si="35"/>
        <v>0</v>
      </c>
      <c r="AS13" s="263">
        <f t="shared" ca="1" si="35"/>
        <v>0</v>
      </c>
      <c r="AT13" s="263">
        <f t="shared" ca="1" si="35"/>
        <v>0</v>
      </c>
      <c r="AU13" s="263">
        <f t="shared" ca="1" si="35"/>
        <v>0</v>
      </c>
      <c r="AV13" s="263">
        <f t="shared" ca="1" si="35"/>
        <v>0</v>
      </c>
      <c r="AW13" s="263">
        <f t="shared" ca="1" si="35"/>
        <v>0</v>
      </c>
      <c r="AX13" s="263">
        <f t="shared" ca="1" si="35"/>
        <v>0</v>
      </c>
      <c r="AY13" s="263">
        <f t="shared" ca="1" si="8"/>
        <v>0</v>
      </c>
      <c r="BA13" s="277">
        <f ca="1">BA12+BA10</f>
        <v>0</v>
      </c>
      <c r="BB13" s="277">
        <f ca="1">BB12+BB10</f>
        <v>0</v>
      </c>
      <c r="BC13" s="277">
        <f t="shared" ca="1" si="10"/>
        <v>0</v>
      </c>
      <c r="BE13" s="55">
        <f t="shared" ca="1" si="11"/>
        <v>0</v>
      </c>
      <c r="BF13" s="55"/>
      <c r="BG13" s="1428"/>
      <c r="BH13" s="542">
        <f t="shared" ref="BH13:CU13" ca="1" si="36">BH12+BH10</f>
        <v>0</v>
      </c>
      <c r="BI13" s="542">
        <f t="shared" ca="1" si="36"/>
        <v>0</v>
      </c>
      <c r="BJ13" s="542">
        <f t="shared" ca="1" si="36"/>
        <v>0</v>
      </c>
      <c r="BK13" s="542">
        <f t="shared" ca="1" si="36"/>
        <v>0</v>
      </c>
      <c r="BL13" s="542">
        <f t="shared" ca="1" si="36"/>
        <v>0</v>
      </c>
      <c r="BM13" s="542">
        <f t="shared" ca="1" si="36"/>
        <v>0</v>
      </c>
      <c r="BN13" s="542">
        <f t="shared" ca="1" si="36"/>
        <v>0</v>
      </c>
      <c r="BO13" s="542">
        <f t="shared" ca="1" si="36"/>
        <v>0</v>
      </c>
      <c r="BP13" s="542">
        <f t="shared" ca="1" si="36"/>
        <v>0</v>
      </c>
      <c r="BQ13" s="542">
        <f t="shared" ca="1" si="36"/>
        <v>0</v>
      </c>
      <c r="BR13" s="542">
        <f t="shared" ca="1" si="36"/>
        <v>0</v>
      </c>
      <c r="BS13" s="542">
        <f t="shared" ca="1" si="36"/>
        <v>0</v>
      </c>
      <c r="BT13" s="542">
        <f t="shared" ca="1" si="36"/>
        <v>0</v>
      </c>
      <c r="BU13" s="542">
        <f t="shared" ca="1" si="36"/>
        <v>0</v>
      </c>
      <c r="BV13" s="542">
        <f t="shared" ca="1" si="36"/>
        <v>0</v>
      </c>
      <c r="BW13" s="542">
        <f t="shared" ca="1" si="36"/>
        <v>0</v>
      </c>
      <c r="BX13" s="542">
        <f t="shared" ca="1" si="36"/>
        <v>0</v>
      </c>
      <c r="BY13" s="542">
        <f t="shared" ca="1" si="36"/>
        <v>0</v>
      </c>
      <c r="BZ13" s="542">
        <f t="shared" ca="1" si="36"/>
        <v>0</v>
      </c>
      <c r="CA13" s="542">
        <f t="shared" ca="1" si="36"/>
        <v>0</v>
      </c>
      <c r="CB13" s="542">
        <f t="shared" ca="1" si="36"/>
        <v>0</v>
      </c>
      <c r="CC13" s="542">
        <f t="shared" ca="1" si="36"/>
        <v>0</v>
      </c>
      <c r="CD13" s="542">
        <f t="shared" ca="1" si="36"/>
        <v>0</v>
      </c>
      <c r="CE13" s="542">
        <f t="shared" ca="1" si="36"/>
        <v>0</v>
      </c>
      <c r="CF13" s="542">
        <f t="shared" ca="1" si="36"/>
        <v>0</v>
      </c>
      <c r="CG13" s="542">
        <f t="shared" ca="1" si="36"/>
        <v>0</v>
      </c>
      <c r="CH13" s="542">
        <f t="shared" ca="1" si="36"/>
        <v>0</v>
      </c>
      <c r="CI13" s="542">
        <f t="shared" ca="1" si="36"/>
        <v>0</v>
      </c>
      <c r="CJ13" s="542">
        <f t="shared" ca="1" si="36"/>
        <v>0</v>
      </c>
      <c r="CK13" s="542">
        <f t="shared" ca="1" si="36"/>
        <v>0</v>
      </c>
      <c r="CL13" s="542">
        <f t="shared" ca="1" si="36"/>
        <v>0</v>
      </c>
      <c r="CM13" s="542">
        <f t="shared" ca="1" si="36"/>
        <v>0</v>
      </c>
      <c r="CN13" s="542">
        <f t="shared" ca="1" si="36"/>
        <v>0</v>
      </c>
      <c r="CO13" s="542">
        <f t="shared" ca="1" si="36"/>
        <v>0</v>
      </c>
      <c r="CP13" s="542">
        <f t="shared" ca="1" si="36"/>
        <v>0</v>
      </c>
      <c r="CQ13" s="542">
        <f t="shared" ca="1" si="36"/>
        <v>0</v>
      </c>
      <c r="CR13" s="542">
        <f t="shared" ca="1" si="36"/>
        <v>0</v>
      </c>
      <c r="CS13" s="542">
        <f t="shared" ca="1" si="36"/>
        <v>0</v>
      </c>
      <c r="CT13" s="542">
        <f t="shared" ca="1" si="36"/>
        <v>0</v>
      </c>
      <c r="CU13" s="542">
        <f t="shared" ca="1" si="36"/>
        <v>0</v>
      </c>
      <c r="CW13" s="151">
        <f t="shared" ref="CW13:CW26" ca="1" si="37">SUM(BH13:CU13)</f>
        <v>0</v>
      </c>
    </row>
    <row r="14" spans="1:101" s="84" customFormat="1" outlineLevel="1" x14ac:dyDescent="0.2">
      <c r="A14" s="543"/>
      <c r="B14" s="543"/>
      <c r="C14" s="86"/>
      <c r="D14" s="61"/>
      <c r="E14" s="61"/>
      <c r="G14" s="298"/>
      <c r="H14" s="298"/>
      <c r="I14" s="298"/>
      <c r="J14" s="298"/>
      <c r="K14" s="298"/>
      <c r="L14" s="298"/>
      <c r="M14" s="298"/>
      <c r="N14" s="298"/>
      <c r="O14" s="298"/>
      <c r="P14" s="298">
        <f t="shared" si="1"/>
        <v>0</v>
      </c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5">
        <f t="shared" si="5"/>
        <v>0</v>
      </c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266">
        <f t="shared" si="8"/>
        <v>0</v>
      </c>
      <c r="BA14" s="309"/>
      <c r="BB14" s="309"/>
      <c r="BC14" s="309">
        <f t="shared" si="10"/>
        <v>0</v>
      </c>
      <c r="BE14" s="135">
        <f t="shared" si="11"/>
        <v>0</v>
      </c>
      <c r="BF14" s="135"/>
      <c r="BG14" s="543"/>
      <c r="BH14" s="541"/>
      <c r="BI14" s="542"/>
      <c r="BJ14" s="542"/>
      <c r="BK14" s="542"/>
      <c r="BL14" s="542"/>
      <c r="BM14" s="542"/>
      <c r="BN14" s="542"/>
      <c r="BO14" s="542"/>
      <c r="BP14" s="542"/>
      <c r="BQ14" s="542"/>
      <c r="BR14" s="542"/>
      <c r="BS14" s="542"/>
      <c r="BT14" s="542"/>
      <c r="BU14" s="542"/>
      <c r="BV14" s="542"/>
      <c r="BW14" s="542"/>
      <c r="BX14" s="542"/>
      <c r="BY14" s="542"/>
      <c r="BZ14" s="542"/>
      <c r="CA14" s="542"/>
      <c r="CB14" s="542"/>
      <c r="CC14" s="542"/>
      <c r="CD14" s="542"/>
      <c r="CE14" s="542"/>
      <c r="CF14" s="542"/>
      <c r="CG14" s="542"/>
      <c r="CH14" s="542"/>
      <c r="CI14" s="542"/>
      <c r="CJ14" s="542"/>
      <c r="CK14" s="542"/>
      <c r="CL14" s="542"/>
      <c r="CM14" s="542"/>
      <c r="CN14" s="542"/>
      <c r="CO14" s="542"/>
      <c r="CP14" s="542"/>
      <c r="CQ14" s="542"/>
      <c r="CR14" s="542"/>
      <c r="CS14" s="542"/>
      <c r="CT14" s="542"/>
      <c r="CU14" s="542"/>
      <c r="CW14" s="151">
        <f t="shared" si="37"/>
        <v>0</v>
      </c>
    </row>
    <row r="15" spans="1:101" s="84" customFormat="1" ht="12.75" customHeight="1" outlineLevel="1" x14ac:dyDescent="0.2">
      <c r="A15" s="543"/>
      <c r="B15" s="543"/>
      <c r="C15" s="86" t="s">
        <v>392</v>
      </c>
      <c r="D15" s="540" t="str">
        <f>INDEX(Modules[Module], MATCH($C15, Modules[Code], 0))</f>
        <v>Residential Lighting, Appliances, and Cooking</v>
      </c>
      <c r="E15" s="291"/>
      <c r="G15" s="297">
        <f t="shared" ref="G15:O16" ca="1" si="38">IFERROR(INDEX(INDIRECT($C15&amp;".Outputs["&amp;this.Year&amp;"]"), MATCH(G$5, INDIRECT($C15&amp;".Outputs[Vector]"), 0)), 0)</f>
        <v>0</v>
      </c>
      <c r="H15" s="297">
        <f t="shared" ca="1" si="38"/>
        <v>131.28964507690569</v>
      </c>
      <c r="I15" s="297">
        <f t="shared" ca="1" si="38"/>
        <v>235.42500938807447</v>
      </c>
      <c r="J15" s="297">
        <f t="shared" ca="1" si="38"/>
        <v>0</v>
      </c>
      <c r="K15" s="297">
        <f t="shared" ca="1" si="38"/>
        <v>0</v>
      </c>
      <c r="L15" s="297">
        <f t="shared" ca="1" si="38"/>
        <v>0</v>
      </c>
      <c r="M15" s="297">
        <f t="shared" ca="1" si="38"/>
        <v>0</v>
      </c>
      <c r="N15" s="297">
        <f t="shared" ca="1" si="38"/>
        <v>0</v>
      </c>
      <c r="O15" s="297">
        <f t="shared" ca="1" si="38"/>
        <v>0</v>
      </c>
      <c r="P15" s="297">
        <f t="shared" ca="1" si="1"/>
        <v>366.71465446498019</v>
      </c>
      <c r="R15" s="304">
        <f t="shared" ref="R15:AX16" ca="1" si="39">IFERROR(INDEX(INDIRECT($C15&amp;".Outputs["&amp;this.Year&amp;"]"), MATCH(R$5, INDIRECT($C15&amp;".Outputs[Vector]"), 0)), 0)</f>
        <v>-153.36073970703768</v>
      </c>
      <c r="S15" s="304">
        <f t="shared" ca="1" si="39"/>
        <v>0</v>
      </c>
      <c r="T15" s="304">
        <f t="shared" ca="1" si="39"/>
        <v>0</v>
      </c>
      <c r="U15" s="304">
        <f t="shared" ca="1" si="39"/>
        <v>-38.845126549032294</v>
      </c>
      <c r="V15" s="304">
        <f t="shared" ca="1" si="39"/>
        <v>-42.670782951588507</v>
      </c>
      <c r="W15" s="304">
        <f t="shared" ca="1" si="39"/>
        <v>-131.83800525732175</v>
      </c>
      <c r="X15" s="304">
        <f t="shared" ref="X15:Z16" ca="1" si="40">IFERROR(INDEX(INDIRECT($C15&amp;".Outputs["&amp;this.Year&amp;"]"), MATCH(X$5, INDIRECT($C15&amp;".Outputs[Vector]"), 0)), 0)</f>
        <v>0</v>
      </c>
      <c r="Y15" s="304">
        <f t="shared" ca="1" si="40"/>
        <v>0</v>
      </c>
      <c r="Z15" s="304">
        <f t="shared" ca="1" si="40"/>
        <v>0</v>
      </c>
      <c r="AA15" s="304">
        <f t="shared" ca="1" si="39"/>
        <v>0</v>
      </c>
      <c r="AB15" s="304">
        <f t="shared" ca="1" si="39"/>
        <v>0</v>
      </c>
      <c r="AC15" s="304">
        <f t="shared" ca="1" si="39"/>
        <v>0</v>
      </c>
      <c r="AD15" s="304">
        <f t="shared" ca="1" si="39"/>
        <v>0</v>
      </c>
      <c r="AE15" s="304">
        <f t="shared" ca="1" si="39"/>
        <v>0</v>
      </c>
      <c r="AF15" s="304">
        <f t="shared" ca="1" si="39"/>
        <v>0</v>
      </c>
      <c r="AG15" s="304">
        <f t="shared" ca="1" si="39"/>
        <v>0</v>
      </c>
      <c r="AH15" s="305">
        <f t="shared" ca="1" si="5"/>
        <v>-366.71465446498024</v>
      </c>
      <c r="AJ15" s="312">
        <f t="shared" ref="AJ15:AR16" ca="1" si="41">IFERROR(INDEX(INDIRECT($C15&amp;".Outputs["&amp;this.Year&amp;"]"), MATCH(AJ$5, INDIRECT($C15&amp;".Outputs[Vector]"), 0)), 0)</f>
        <v>0</v>
      </c>
      <c r="AK15" s="312">
        <f t="shared" ca="1" si="41"/>
        <v>0</v>
      </c>
      <c r="AL15" s="312">
        <f t="shared" ca="1" si="41"/>
        <v>0</v>
      </c>
      <c r="AM15" s="312">
        <f t="shared" ca="1" si="41"/>
        <v>0</v>
      </c>
      <c r="AN15" s="312">
        <f t="shared" ca="1" si="41"/>
        <v>0</v>
      </c>
      <c r="AO15" s="312">
        <f t="shared" ca="1" si="41"/>
        <v>0</v>
      </c>
      <c r="AP15" s="312">
        <f t="shared" ca="1" si="41"/>
        <v>0</v>
      </c>
      <c r="AQ15" s="312">
        <f t="shared" ca="1" si="41"/>
        <v>0</v>
      </c>
      <c r="AR15" s="312">
        <f t="shared" ca="1" si="41"/>
        <v>0</v>
      </c>
      <c r="AS15" s="312">
        <f t="shared" ca="1" si="39"/>
        <v>0</v>
      </c>
      <c r="AT15" s="312">
        <f t="shared" ca="1" si="39"/>
        <v>0</v>
      </c>
      <c r="AU15" s="312">
        <f t="shared" ca="1" si="39"/>
        <v>0</v>
      </c>
      <c r="AV15" s="312">
        <f t="shared" ca="1" si="39"/>
        <v>0</v>
      </c>
      <c r="AW15" s="312">
        <f t="shared" ca="1" si="39"/>
        <v>0</v>
      </c>
      <c r="AX15" s="312">
        <f t="shared" ca="1" si="39"/>
        <v>0</v>
      </c>
      <c r="AY15" s="266">
        <f t="shared" ca="1" si="8"/>
        <v>0</v>
      </c>
      <c r="BA15" s="308">
        <f ca="1">IFERROR(INDEX(INDIRECT($C15&amp;".Outputs["&amp;this.Year&amp;"]"), MATCH(BA$5, INDIRECT($C15&amp;".Outputs[Vector]"), 0)), 0)</f>
        <v>0</v>
      </c>
      <c r="BB15" s="308">
        <f ca="1">IFERROR(INDEX(INDIRECT($C15&amp;".Outputs["&amp;this.Year&amp;"]"), MATCH(BB$5, INDIRECT($C15&amp;".Outputs[Vector]"), 0)), 0)</f>
        <v>0</v>
      </c>
      <c r="BC15" s="309">
        <f t="shared" ca="1" si="10"/>
        <v>0</v>
      </c>
      <c r="BE15" s="135">
        <f t="shared" ca="1" si="11"/>
        <v>-5.6843418860808015E-14</v>
      </c>
      <c r="BF15" s="135"/>
      <c r="BG15" s="1428"/>
      <c r="BH15" s="541">
        <f t="shared" ref="BH15:BQ16" ca="1" si="42">IFERROR(SUMIFS(INDIRECT($C15&amp;".Emissions["&amp;this.Year&amp;"]"), INDIRECT($C15&amp;".Emissions[GHG]"), BH$6, INDIRECT($C15&amp;".Emissions[IPCC Sector]"), BH$5),0)</f>
        <v>17.562705700350357</v>
      </c>
      <c r="BI15" s="542">
        <f t="shared" ca="1" si="42"/>
        <v>17.562705700350357</v>
      </c>
      <c r="BJ15" s="542">
        <f t="shared" ca="1" si="42"/>
        <v>17.562705700350357</v>
      </c>
      <c r="BK15" s="542">
        <f t="shared" ca="1" si="42"/>
        <v>0</v>
      </c>
      <c r="BL15" s="542">
        <f t="shared" ca="1" si="42"/>
        <v>0</v>
      </c>
      <c r="BM15" s="542">
        <f t="shared" ca="1" si="42"/>
        <v>0</v>
      </c>
      <c r="BN15" s="542">
        <f t="shared" ca="1" si="42"/>
        <v>0</v>
      </c>
      <c r="BO15" s="542">
        <f t="shared" ca="1" si="42"/>
        <v>0</v>
      </c>
      <c r="BP15" s="542">
        <f t="shared" ca="1" si="42"/>
        <v>0</v>
      </c>
      <c r="BQ15" s="542">
        <f t="shared" ca="1" si="42"/>
        <v>0</v>
      </c>
      <c r="BR15" s="542">
        <f t="shared" ref="BR15:CA16" ca="1" si="43">IFERROR(SUMIFS(INDIRECT($C15&amp;".Emissions["&amp;this.Year&amp;"]"), INDIRECT($C15&amp;".Emissions[GHG]"), BR$6, INDIRECT($C15&amp;".Emissions[IPCC Sector]"), BR$5),0)</f>
        <v>0</v>
      </c>
      <c r="BS15" s="542">
        <f t="shared" ca="1" si="43"/>
        <v>0</v>
      </c>
      <c r="BT15" s="542">
        <f t="shared" ca="1" si="43"/>
        <v>0</v>
      </c>
      <c r="BU15" s="542">
        <f t="shared" ca="1" si="43"/>
        <v>0</v>
      </c>
      <c r="BV15" s="542">
        <f t="shared" ca="1" si="43"/>
        <v>0</v>
      </c>
      <c r="BW15" s="542">
        <f t="shared" ca="1" si="43"/>
        <v>0</v>
      </c>
      <c r="BX15" s="542">
        <f t="shared" ca="1" si="43"/>
        <v>0</v>
      </c>
      <c r="BY15" s="542">
        <f t="shared" ca="1" si="43"/>
        <v>0</v>
      </c>
      <c r="BZ15" s="542">
        <f t="shared" ca="1" si="43"/>
        <v>0</v>
      </c>
      <c r="CA15" s="542">
        <f t="shared" ca="1" si="43"/>
        <v>0</v>
      </c>
      <c r="CB15" s="542">
        <f t="shared" ref="CB15:CK16" ca="1" si="44">IFERROR(SUMIFS(INDIRECT($C15&amp;".Emissions["&amp;this.Year&amp;"]"), INDIRECT($C15&amp;".Emissions[GHG]"), CB$6, INDIRECT($C15&amp;".Emissions[IPCC Sector]"), CB$5),0)</f>
        <v>0</v>
      </c>
      <c r="CC15" s="542">
        <f t="shared" ca="1" si="44"/>
        <v>0</v>
      </c>
      <c r="CD15" s="542">
        <f t="shared" ca="1" si="44"/>
        <v>0</v>
      </c>
      <c r="CE15" s="542">
        <f t="shared" ca="1" si="44"/>
        <v>0</v>
      </c>
      <c r="CF15" s="542">
        <f t="shared" ca="1" si="44"/>
        <v>0</v>
      </c>
      <c r="CG15" s="542">
        <f t="shared" ca="1" si="44"/>
        <v>0</v>
      </c>
      <c r="CH15" s="542">
        <f t="shared" ca="1" si="44"/>
        <v>0</v>
      </c>
      <c r="CI15" s="542">
        <f t="shared" ca="1" si="44"/>
        <v>0</v>
      </c>
      <c r="CJ15" s="542">
        <f t="shared" ca="1" si="44"/>
        <v>0</v>
      </c>
      <c r="CK15" s="542">
        <f t="shared" ca="1" si="44"/>
        <v>0</v>
      </c>
      <c r="CL15" s="542">
        <f t="shared" ref="CL15:CU16" ca="1" si="45">IFERROR(SUMIFS(INDIRECT($C15&amp;".Emissions["&amp;this.Year&amp;"]"), INDIRECT($C15&amp;".Emissions[GHG]"), CL$6, INDIRECT($C15&amp;".Emissions[IPCC Sector]"), CL$5),0)</f>
        <v>0</v>
      </c>
      <c r="CM15" s="542">
        <f t="shared" ca="1" si="45"/>
        <v>0</v>
      </c>
      <c r="CN15" s="542">
        <f t="shared" ca="1" si="45"/>
        <v>0</v>
      </c>
      <c r="CO15" s="542">
        <f t="shared" ca="1" si="45"/>
        <v>0</v>
      </c>
      <c r="CP15" s="542">
        <f t="shared" ca="1" si="45"/>
        <v>0</v>
      </c>
      <c r="CQ15" s="542">
        <f t="shared" ca="1" si="45"/>
        <v>0</v>
      </c>
      <c r="CR15" s="542">
        <f t="shared" ca="1" si="45"/>
        <v>0</v>
      </c>
      <c r="CS15" s="542">
        <f t="shared" ca="1" si="45"/>
        <v>0</v>
      </c>
      <c r="CT15" s="542">
        <f t="shared" ca="1" si="45"/>
        <v>0</v>
      </c>
      <c r="CU15" s="542">
        <f t="shared" ca="1" si="45"/>
        <v>0</v>
      </c>
      <c r="CW15" s="151">
        <f t="shared" ca="1" si="37"/>
        <v>52.68811710105107</v>
      </c>
    </row>
    <row r="16" spans="1:101" s="84" customFormat="1" ht="12.75" customHeight="1" outlineLevel="1" x14ac:dyDescent="0.2">
      <c r="A16" s="543"/>
      <c r="B16" s="543"/>
      <c r="C16" s="86" t="s">
        <v>393</v>
      </c>
      <c r="D16" s="292" t="str">
        <f>INDEX(Modules[Module], MATCH($C16, Modules[Code], 0))</f>
        <v>Service Sector Lighting, Appliances, and Cooking</v>
      </c>
      <c r="E16" s="292"/>
      <c r="G16" s="301">
        <f t="shared" ca="1" si="38"/>
        <v>0</v>
      </c>
      <c r="H16" s="301">
        <f t="shared" ca="1" si="38"/>
        <v>12.350553107218726</v>
      </c>
      <c r="I16" s="301">
        <f t="shared" ca="1" si="38"/>
        <v>22.508724816199997</v>
      </c>
      <c r="J16" s="301">
        <f t="shared" ca="1" si="38"/>
        <v>0</v>
      </c>
      <c r="K16" s="301">
        <f t="shared" ca="1" si="38"/>
        <v>0</v>
      </c>
      <c r="L16" s="301">
        <f t="shared" ca="1" si="38"/>
        <v>0</v>
      </c>
      <c r="M16" s="301">
        <f t="shared" ca="1" si="38"/>
        <v>0</v>
      </c>
      <c r="N16" s="301">
        <f t="shared" ca="1" si="38"/>
        <v>0</v>
      </c>
      <c r="O16" s="301">
        <f t="shared" ca="1" si="38"/>
        <v>0</v>
      </c>
      <c r="P16" s="301">
        <f t="shared" ca="1" si="1"/>
        <v>34.859277923418723</v>
      </c>
      <c r="R16" s="307">
        <f t="shared" ca="1" si="39"/>
        <v>-14.460746058737476</v>
      </c>
      <c r="S16" s="307">
        <f t="shared" ca="1" si="39"/>
        <v>0</v>
      </c>
      <c r="T16" s="307">
        <f t="shared" ca="1" si="39"/>
        <v>0</v>
      </c>
      <c r="U16" s="307">
        <f t="shared" ca="1" si="39"/>
        <v>-3.7139395946729992</v>
      </c>
      <c r="V16" s="307">
        <f t="shared" ca="1" si="39"/>
        <v>-4.0797063729362497</v>
      </c>
      <c r="W16" s="307">
        <f t="shared" ca="1" si="39"/>
        <v>-12.604885897072</v>
      </c>
      <c r="X16" s="307">
        <f t="shared" ca="1" si="40"/>
        <v>0</v>
      </c>
      <c r="Y16" s="307">
        <f t="shared" ca="1" si="40"/>
        <v>0</v>
      </c>
      <c r="Z16" s="307">
        <f t="shared" ca="1" si="40"/>
        <v>0</v>
      </c>
      <c r="AA16" s="307">
        <f t="shared" ca="1" si="39"/>
        <v>0</v>
      </c>
      <c r="AB16" s="307">
        <f t="shared" ca="1" si="39"/>
        <v>0</v>
      </c>
      <c r="AC16" s="307">
        <f t="shared" ca="1" si="39"/>
        <v>0</v>
      </c>
      <c r="AD16" s="307">
        <f t="shared" ca="1" si="39"/>
        <v>0</v>
      </c>
      <c r="AE16" s="307">
        <f t="shared" ca="1" si="39"/>
        <v>0</v>
      </c>
      <c r="AF16" s="307">
        <f t="shared" ca="1" si="39"/>
        <v>0</v>
      </c>
      <c r="AG16" s="307">
        <f t="shared" ca="1" si="39"/>
        <v>0</v>
      </c>
      <c r="AH16" s="306">
        <f t="shared" ca="1" si="5"/>
        <v>-34.859277923418723</v>
      </c>
      <c r="AJ16" s="315">
        <f t="shared" ca="1" si="41"/>
        <v>0</v>
      </c>
      <c r="AK16" s="315">
        <f t="shared" ca="1" si="41"/>
        <v>0</v>
      </c>
      <c r="AL16" s="315">
        <f t="shared" ca="1" si="41"/>
        <v>0</v>
      </c>
      <c r="AM16" s="315">
        <f t="shared" ca="1" si="41"/>
        <v>0</v>
      </c>
      <c r="AN16" s="315">
        <f t="shared" ca="1" si="41"/>
        <v>0</v>
      </c>
      <c r="AO16" s="315">
        <f t="shared" ca="1" si="41"/>
        <v>0</v>
      </c>
      <c r="AP16" s="315">
        <f t="shared" ca="1" si="41"/>
        <v>0</v>
      </c>
      <c r="AQ16" s="315">
        <f t="shared" ca="1" si="41"/>
        <v>0</v>
      </c>
      <c r="AR16" s="315">
        <f t="shared" ca="1" si="41"/>
        <v>0</v>
      </c>
      <c r="AS16" s="315">
        <f t="shared" ca="1" si="39"/>
        <v>0</v>
      </c>
      <c r="AT16" s="315">
        <f t="shared" ca="1" si="39"/>
        <v>0</v>
      </c>
      <c r="AU16" s="315">
        <f t="shared" ca="1" si="39"/>
        <v>0</v>
      </c>
      <c r="AV16" s="315">
        <f t="shared" ca="1" si="39"/>
        <v>0</v>
      </c>
      <c r="AW16" s="315">
        <f t="shared" ca="1" si="39"/>
        <v>0</v>
      </c>
      <c r="AX16" s="315">
        <f t="shared" ca="1" si="39"/>
        <v>0</v>
      </c>
      <c r="AY16" s="293">
        <f t="shared" ca="1" si="8"/>
        <v>0</v>
      </c>
      <c r="BA16" s="311">
        <f ca="1">IFERROR(INDEX(INDIRECT($C16&amp;".Outputs["&amp;this.Year&amp;"]"), MATCH(BA$5, INDIRECT($C16&amp;".Outputs[Vector]"), 0)), 0)</f>
        <v>0</v>
      </c>
      <c r="BB16" s="311">
        <f ca="1">IFERROR(INDEX(INDIRECT($C16&amp;".Outputs["&amp;this.Year&amp;"]"), MATCH(BB$5, INDIRECT($C16&amp;".Outputs[Vector]"), 0)), 0)</f>
        <v>0</v>
      </c>
      <c r="BC16" s="310">
        <f t="shared" ca="1" si="10"/>
        <v>0</v>
      </c>
      <c r="BE16" s="135">
        <f t="shared" ca="1" si="11"/>
        <v>0</v>
      </c>
      <c r="BF16" s="135"/>
      <c r="BG16" s="1428"/>
      <c r="BH16" s="544">
        <f t="shared" ca="1" si="42"/>
        <v>1.6791508712885195</v>
      </c>
      <c r="BI16" s="545">
        <f t="shared" ca="1" si="42"/>
        <v>2.6606592472575756E-3</v>
      </c>
      <c r="BJ16" s="545">
        <f t="shared" ca="1" si="42"/>
        <v>1.8323723034495584E-2</v>
      </c>
      <c r="BK16" s="545">
        <f t="shared" ca="1" si="42"/>
        <v>0</v>
      </c>
      <c r="BL16" s="545">
        <f t="shared" ca="1" si="42"/>
        <v>0</v>
      </c>
      <c r="BM16" s="545">
        <f t="shared" ca="1" si="42"/>
        <v>0</v>
      </c>
      <c r="BN16" s="545">
        <f t="shared" ca="1" si="42"/>
        <v>0</v>
      </c>
      <c r="BO16" s="545">
        <f t="shared" ca="1" si="42"/>
        <v>0</v>
      </c>
      <c r="BP16" s="545">
        <f t="shared" ca="1" si="42"/>
        <v>0</v>
      </c>
      <c r="BQ16" s="545">
        <f t="shared" ca="1" si="42"/>
        <v>0</v>
      </c>
      <c r="BR16" s="545">
        <f t="shared" ca="1" si="43"/>
        <v>0</v>
      </c>
      <c r="BS16" s="545">
        <f t="shared" ca="1" si="43"/>
        <v>0</v>
      </c>
      <c r="BT16" s="545">
        <f t="shared" ca="1" si="43"/>
        <v>0</v>
      </c>
      <c r="BU16" s="545">
        <f t="shared" ca="1" si="43"/>
        <v>0</v>
      </c>
      <c r="BV16" s="545">
        <f t="shared" ca="1" si="43"/>
        <v>0</v>
      </c>
      <c r="BW16" s="545">
        <f t="shared" ca="1" si="43"/>
        <v>0</v>
      </c>
      <c r="BX16" s="545">
        <f t="shared" ca="1" si="43"/>
        <v>0</v>
      </c>
      <c r="BY16" s="545">
        <f t="shared" ca="1" si="43"/>
        <v>0</v>
      </c>
      <c r="BZ16" s="545">
        <f t="shared" ca="1" si="43"/>
        <v>0</v>
      </c>
      <c r="CA16" s="545">
        <f t="shared" ca="1" si="43"/>
        <v>0</v>
      </c>
      <c r="CB16" s="545">
        <f t="shared" ca="1" si="44"/>
        <v>0</v>
      </c>
      <c r="CC16" s="545">
        <f t="shared" ca="1" si="44"/>
        <v>0</v>
      </c>
      <c r="CD16" s="545">
        <f t="shared" ca="1" si="44"/>
        <v>0</v>
      </c>
      <c r="CE16" s="545">
        <f t="shared" ca="1" si="44"/>
        <v>0</v>
      </c>
      <c r="CF16" s="545">
        <f t="shared" ca="1" si="44"/>
        <v>0</v>
      </c>
      <c r="CG16" s="545">
        <f t="shared" ca="1" si="44"/>
        <v>0</v>
      </c>
      <c r="CH16" s="545">
        <f t="shared" ca="1" si="44"/>
        <v>0</v>
      </c>
      <c r="CI16" s="545">
        <f t="shared" ca="1" si="44"/>
        <v>0</v>
      </c>
      <c r="CJ16" s="545">
        <f t="shared" ca="1" si="44"/>
        <v>0</v>
      </c>
      <c r="CK16" s="545">
        <f t="shared" ca="1" si="44"/>
        <v>0</v>
      </c>
      <c r="CL16" s="545">
        <f t="shared" ca="1" si="45"/>
        <v>0</v>
      </c>
      <c r="CM16" s="545">
        <f t="shared" ca="1" si="45"/>
        <v>0</v>
      </c>
      <c r="CN16" s="545">
        <f t="shared" ca="1" si="45"/>
        <v>0</v>
      </c>
      <c r="CO16" s="545">
        <f t="shared" ca="1" si="45"/>
        <v>0</v>
      </c>
      <c r="CP16" s="545">
        <f t="shared" ca="1" si="45"/>
        <v>0</v>
      </c>
      <c r="CQ16" s="545">
        <f t="shared" ca="1" si="45"/>
        <v>0</v>
      </c>
      <c r="CR16" s="545">
        <f t="shared" ca="1" si="45"/>
        <v>0</v>
      </c>
      <c r="CS16" s="545">
        <f t="shared" ca="1" si="45"/>
        <v>0</v>
      </c>
      <c r="CT16" s="545">
        <f t="shared" ca="1" si="45"/>
        <v>0</v>
      </c>
      <c r="CU16" s="545">
        <f t="shared" ca="1" si="45"/>
        <v>0</v>
      </c>
      <c r="CW16" s="151">
        <f t="shared" ca="1" si="37"/>
        <v>1.7001352535702725</v>
      </c>
    </row>
    <row r="17" spans="1:101" s="84" customFormat="1" ht="15.75" x14ac:dyDescent="0.2">
      <c r="A17" s="18"/>
      <c r="B17" s="89"/>
      <c r="C17" s="85" t="s">
        <v>230</v>
      </c>
      <c r="D17" s="57" t="str">
        <f>INDEX(Workstreams[Workstream], MATCH($C17, Workstreams[Code], 0))</f>
        <v>Lighting, Appliances &amp; Cooking</v>
      </c>
      <c r="E17" s="53"/>
      <c r="G17" s="300">
        <f ca="1">G15+G16</f>
        <v>0</v>
      </c>
      <c r="H17" s="300">
        <f t="shared" ref="H17:O17" ca="1" si="46">H15+H16</f>
        <v>143.64019818412442</v>
      </c>
      <c r="I17" s="300">
        <f ca="1">I15+I16</f>
        <v>257.93373420427446</v>
      </c>
      <c r="J17" s="300">
        <f t="shared" ca="1" si="46"/>
        <v>0</v>
      </c>
      <c r="K17" s="300">
        <f t="shared" ca="1" si="46"/>
        <v>0</v>
      </c>
      <c r="L17" s="300">
        <f t="shared" ca="1" si="46"/>
        <v>0</v>
      </c>
      <c r="M17" s="300">
        <f t="shared" ca="1" si="46"/>
        <v>0</v>
      </c>
      <c r="N17" s="300">
        <f t="shared" ca="1" si="46"/>
        <v>0</v>
      </c>
      <c r="O17" s="300">
        <f t="shared" ca="1" si="46"/>
        <v>0</v>
      </c>
      <c r="P17" s="300">
        <f t="shared" ca="1" si="1"/>
        <v>401.57393238839887</v>
      </c>
      <c r="R17" s="257">
        <f ca="1">R15+R16</f>
        <v>-167.82148576577515</v>
      </c>
      <c r="S17" s="257">
        <f t="shared" ref="S17:AE17" ca="1" si="47">S15+S16</f>
        <v>0</v>
      </c>
      <c r="T17" s="257">
        <f t="shared" ca="1" si="47"/>
        <v>0</v>
      </c>
      <c r="U17" s="257">
        <f t="shared" ca="1" si="47"/>
        <v>-42.559066143705294</v>
      </c>
      <c r="V17" s="257">
        <f t="shared" ca="1" si="47"/>
        <v>-46.750489324524757</v>
      </c>
      <c r="W17" s="257">
        <f ca="1">W15+W16</f>
        <v>-144.44289115439375</v>
      </c>
      <c r="X17" s="257">
        <f ca="1">X15+X16</f>
        <v>0</v>
      </c>
      <c r="Y17" s="257">
        <f ca="1">Y15+Y16</f>
        <v>0</v>
      </c>
      <c r="Z17" s="257">
        <f ca="1">Z15+Z16</f>
        <v>0</v>
      </c>
      <c r="AA17" s="257">
        <f t="shared" ca="1" si="47"/>
        <v>0</v>
      </c>
      <c r="AB17" s="257">
        <f t="shared" ca="1" si="47"/>
        <v>0</v>
      </c>
      <c r="AC17" s="257">
        <f ca="1">AC15+AC16</f>
        <v>0</v>
      </c>
      <c r="AD17" s="257">
        <f ca="1">AD15+AD16</f>
        <v>0</v>
      </c>
      <c r="AE17" s="257">
        <f t="shared" ca="1" si="47"/>
        <v>0</v>
      </c>
      <c r="AF17" s="257">
        <f ca="1">AF15+AF16</f>
        <v>0</v>
      </c>
      <c r="AG17" s="257">
        <f ca="1">AG15+AG16</f>
        <v>0</v>
      </c>
      <c r="AH17" s="257">
        <f t="shared" ca="1" si="5"/>
        <v>-401.57393238839899</v>
      </c>
      <c r="AJ17" s="263">
        <f t="shared" ref="AJ17:AX17" ca="1" si="48">AJ15+AJ16</f>
        <v>0</v>
      </c>
      <c r="AK17" s="263">
        <f t="shared" ca="1" si="48"/>
        <v>0</v>
      </c>
      <c r="AL17" s="263">
        <f t="shared" ca="1" si="48"/>
        <v>0</v>
      </c>
      <c r="AM17" s="263">
        <f t="shared" ca="1" si="48"/>
        <v>0</v>
      </c>
      <c r="AN17" s="263">
        <f t="shared" ca="1" si="48"/>
        <v>0</v>
      </c>
      <c r="AO17" s="263">
        <f t="shared" ca="1" si="48"/>
        <v>0</v>
      </c>
      <c r="AP17" s="263">
        <f t="shared" ca="1" si="48"/>
        <v>0</v>
      </c>
      <c r="AQ17" s="263">
        <f t="shared" ca="1" si="48"/>
        <v>0</v>
      </c>
      <c r="AR17" s="263">
        <f t="shared" ca="1" si="48"/>
        <v>0</v>
      </c>
      <c r="AS17" s="263">
        <f t="shared" ca="1" si="48"/>
        <v>0</v>
      </c>
      <c r="AT17" s="263">
        <f t="shared" ca="1" si="48"/>
        <v>0</v>
      </c>
      <c r="AU17" s="263">
        <f t="shared" ca="1" si="48"/>
        <v>0</v>
      </c>
      <c r="AV17" s="263">
        <f t="shared" ca="1" si="48"/>
        <v>0</v>
      </c>
      <c r="AW17" s="263">
        <f t="shared" ca="1" si="48"/>
        <v>0</v>
      </c>
      <c r="AX17" s="263">
        <f t="shared" ca="1" si="48"/>
        <v>0</v>
      </c>
      <c r="AY17" s="263">
        <f t="shared" ca="1" si="8"/>
        <v>0</v>
      </c>
      <c r="BA17" s="277">
        <f ca="1">BA15+BA16</f>
        <v>0</v>
      </c>
      <c r="BB17" s="277">
        <f ca="1">BB15+BB16</f>
        <v>0</v>
      </c>
      <c r="BC17" s="277">
        <f t="shared" ca="1" si="10"/>
        <v>0</v>
      </c>
      <c r="BE17" s="55">
        <f t="shared" ca="1" si="11"/>
        <v>-1.1368683772161603E-13</v>
      </c>
      <c r="BF17" s="55"/>
      <c r="BG17" s="1428"/>
      <c r="BH17" s="542">
        <f t="shared" ref="BH17:CU17" ca="1" si="49">BH15+BH16</f>
        <v>19.241856571638877</v>
      </c>
      <c r="BI17" s="542">
        <f t="shared" ca="1" si="49"/>
        <v>17.565366359597615</v>
      </c>
      <c r="BJ17" s="542">
        <f t="shared" ca="1" si="49"/>
        <v>17.581029423384852</v>
      </c>
      <c r="BK17" s="542">
        <f t="shared" ca="1" si="49"/>
        <v>0</v>
      </c>
      <c r="BL17" s="542">
        <f t="shared" ca="1" si="49"/>
        <v>0</v>
      </c>
      <c r="BM17" s="542">
        <f t="shared" ca="1" si="49"/>
        <v>0</v>
      </c>
      <c r="BN17" s="542">
        <f t="shared" ca="1" si="49"/>
        <v>0</v>
      </c>
      <c r="BO17" s="542">
        <f t="shared" ca="1" si="49"/>
        <v>0</v>
      </c>
      <c r="BP17" s="542">
        <f t="shared" ca="1" si="49"/>
        <v>0</v>
      </c>
      <c r="BQ17" s="542">
        <f t="shared" ca="1" si="49"/>
        <v>0</v>
      </c>
      <c r="BR17" s="542">
        <f t="shared" ca="1" si="49"/>
        <v>0</v>
      </c>
      <c r="BS17" s="542">
        <f t="shared" ca="1" si="49"/>
        <v>0</v>
      </c>
      <c r="BT17" s="542">
        <f t="shared" ca="1" si="49"/>
        <v>0</v>
      </c>
      <c r="BU17" s="542">
        <f t="shared" ca="1" si="49"/>
        <v>0</v>
      </c>
      <c r="BV17" s="542">
        <f t="shared" ca="1" si="49"/>
        <v>0</v>
      </c>
      <c r="BW17" s="542">
        <f t="shared" ca="1" si="49"/>
        <v>0</v>
      </c>
      <c r="BX17" s="542">
        <f t="shared" ca="1" si="49"/>
        <v>0</v>
      </c>
      <c r="BY17" s="542">
        <f t="shared" ca="1" si="49"/>
        <v>0</v>
      </c>
      <c r="BZ17" s="542">
        <f t="shared" ca="1" si="49"/>
        <v>0</v>
      </c>
      <c r="CA17" s="542">
        <f t="shared" ca="1" si="49"/>
        <v>0</v>
      </c>
      <c r="CB17" s="542">
        <f t="shared" ca="1" si="49"/>
        <v>0</v>
      </c>
      <c r="CC17" s="542">
        <f t="shared" ca="1" si="49"/>
        <v>0</v>
      </c>
      <c r="CD17" s="542">
        <f t="shared" ca="1" si="49"/>
        <v>0</v>
      </c>
      <c r="CE17" s="542">
        <f t="shared" ca="1" si="49"/>
        <v>0</v>
      </c>
      <c r="CF17" s="542">
        <f t="shared" ca="1" si="49"/>
        <v>0</v>
      </c>
      <c r="CG17" s="542">
        <f t="shared" ca="1" si="49"/>
        <v>0</v>
      </c>
      <c r="CH17" s="542">
        <f t="shared" ca="1" si="49"/>
        <v>0</v>
      </c>
      <c r="CI17" s="542">
        <f t="shared" ca="1" si="49"/>
        <v>0</v>
      </c>
      <c r="CJ17" s="542">
        <f t="shared" ca="1" si="49"/>
        <v>0</v>
      </c>
      <c r="CK17" s="542">
        <f t="shared" ca="1" si="49"/>
        <v>0</v>
      </c>
      <c r="CL17" s="542">
        <f t="shared" ca="1" si="49"/>
        <v>0</v>
      </c>
      <c r="CM17" s="542">
        <f t="shared" ca="1" si="49"/>
        <v>0</v>
      </c>
      <c r="CN17" s="542">
        <f t="shared" ca="1" si="49"/>
        <v>0</v>
      </c>
      <c r="CO17" s="542">
        <f t="shared" ca="1" si="49"/>
        <v>0</v>
      </c>
      <c r="CP17" s="542">
        <f t="shared" ca="1" si="49"/>
        <v>0</v>
      </c>
      <c r="CQ17" s="542">
        <f t="shared" ca="1" si="49"/>
        <v>0</v>
      </c>
      <c r="CR17" s="542">
        <f t="shared" ca="1" si="49"/>
        <v>0</v>
      </c>
      <c r="CS17" s="542">
        <f t="shared" ca="1" si="49"/>
        <v>0</v>
      </c>
      <c r="CT17" s="542">
        <f t="shared" ca="1" si="49"/>
        <v>0</v>
      </c>
      <c r="CU17" s="542">
        <f t="shared" ca="1" si="49"/>
        <v>0</v>
      </c>
      <c r="CW17" s="151">
        <f t="shared" ca="1" si="37"/>
        <v>54.388252354621343</v>
      </c>
    </row>
    <row r="18" spans="1:101" s="84" customFormat="1" ht="12.75" customHeight="1" outlineLevel="1" x14ac:dyDescent="0.2">
      <c r="A18" s="543"/>
      <c r="B18" s="543"/>
      <c r="C18" s="86"/>
      <c r="D18" s="61"/>
      <c r="E18" s="61"/>
      <c r="G18" s="298"/>
      <c r="H18" s="298"/>
      <c r="I18" s="298"/>
      <c r="J18" s="298"/>
      <c r="K18" s="298"/>
      <c r="L18" s="298"/>
      <c r="M18" s="298"/>
      <c r="N18" s="298"/>
      <c r="O18" s="298"/>
      <c r="P18" s="298">
        <f t="shared" si="1"/>
        <v>0</v>
      </c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>
        <f t="shared" si="5"/>
        <v>0</v>
      </c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266">
        <f t="shared" si="8"/>
        <v>0</v>
      </c>
      <c r="BA18" s="309"/>
      <c r="BB18" s="309"/>
      <c r="BC18" s="309">
        <f t="shared" si="10"/>
        <v>0</v>
      </c>
      <c r="BE18" s="135">
        <f t="shared" si="11"/>
        <v>0</v>
      </c>
      <c r="BF18" s="135"/>
      <c r="BG18" s="543"/>
      <c r="BH18" s="541"/>
      <c r="BI18" s="542"/>
      <c r="BJ18" s="542"/>
      <c r="BK18" s="542"/>
      <c r="BL18" s="542"/>
      <c r="BM18" s="542"/>
      <c r="BN18" s="542"/>
      <c r="BO18" s="542"/>
      <c r="BP18" s="542"/>
      <c r="BQ18" s="542"/>
      <c r="BR18" s="542"/>
      <c r="BS18" s="542"/>
      <c r="BT18" s="542"/>
      <c r="BU18" s="542"/>
      <c r="BV18" s="542"/>
      <c r="BW18" s="542"/>
      <c r="BX18" s="542"/>
      <c r="BY18" s="542"/>
      <c r="BZ18" s="542"/>
      <c r="CA18" s="542"/>
      <c r="CB18" s="542"/>
      <c r="CC18" s="542"/>
      <c r="CD18" s="542"/>
      <c r="CE18" s="542"/>
      <c r="CF18" s="542"/>
      <c r="CG18" s="542"/>
      <c r="CH18" s="542"/>
      <c r="CI18" s="542"/>
      <c r="CJ18" s="542"/>
      <c r="CK18" s="542"/>
      <c r="CL18" s="542"/>
      <c r="CM18" s="542"/>
      <c r="CN18" s="542"/>
      <c r="CO18" s="542"/>
      <c r="CP18" s="542"/>
      <c r="CQ18" s="542"/>
      <c r="CR18" s="542"/>
      <c r="CS18" s="542"/>
      <c r="CT18" s="542"/>
      <c r="CU18" s="542"/>
      <c r="CW18" s="151">
        <f t="shared" si="37"/>
        <v>0</v>
      </c>
    </row>
    <row r="19" spans="1:101" s="84" customFormat="1" ht="12.75" customHeight="1" outlineLevel="1" x14ac:dyDescent="0.2">
      <c r="A19" s="543"/>
      <c r="B19" s="543"/>
      <c r="C19" s="86" t="s">
        <v>360</v>
      </c>
      <c r="D19" s="292" t="str">
        <f>INDEX(Modules[Module], MATCH($C19, Modules[Code], 0))</f>
        <v>Industrial processes</v>
      </c>
      <c r="E19" s="292"/>
      <c r="G19" s="301">
        <f t="shared" ref="G19:O19" ca="1" si="50">IFERROR(INDEX(INDIRECT($C19&amp;".Outputs["&amp;this.Year&amp;"]"), MATCH(G$5, INDIRECT($C19&amp;".Outputs[Vector]"), 0)), 0)</f>
        <v>0</v>
      </c>
      <c r="H19" s="301">
        <f t="shared" ca="1" si="50"/>
        <v>0</v>
      </c>
      <c r="I19" s="301">
        <f t="shared" ca="1" si="50"/>
        <v>0</v>
      </c>
      <c r="J19" s="301">
        <f t="shared" ca="1" si="50"/>
        <v>91.160322190921491</v>
      </c>
      <c r="K19" s="301">
        <f t="shared" ca="1" si="50"/>
        <v>0</v>
      </c>
      <c r="L19" s="301">
        <f t="shared" ca="1" si="50"/>
        <v>0</v>
      </c>
      <c r="M19" s="301">
        <f t="shared" ca="1" si="50"/>
        <v>0</v>
      </c>
      <c r="N19" s="301">
        <f t="shared" ca="1" si="50"/>
        <v>0</v>
      </c>
      <c r="O19" s="301">
        <f t="shared" ca="1" si="50"/>
        <v>0</v>
      </c>
      <c r="P19" s="301">
        <f t="shared" ca="1" si="1"/>
        <v>91.160322190921491</v>
      </c>
      <c r="R19" s="307">
        <f t="shared" ref="R19:AX19" ca="1" si="51">IFERROR(INDEX(INDIRECT($C19&amp;".Outputs["&amp;this.Year&amp;"]"), MATCH(R$5, INDIRECT($C19&amp;".Outputs[Vector]"), 0)), 0)</f>
        <v>-23.67914021157986</v>
      </c>
      <c r="S19" s="307">
        <f t="shared" ca="1" si="51"/>
        <v>0</v>
      </c>
      <c r="T19" s="307">
        <f t="shared" ca="1" si="51"/>
        <v>-2.5566586608648891</v>
      </c>
      <c r="U19" s="307">
        <f t="shared" ca="1" si="51"/>
        <v>-15.669640091504293</v>
      </c>
      <c r="V19" s="307">
        <f t="shared" ca="1" si="51"/>
        <v>-39.927255996420499</v>
      </c>
      <c r="W19" s="307">
        <f t="shared" ca="1" si="51"/>
        <v>-9.3276272305519541</v>
      </c>
      <c r="X19" s="307">
        <f ca="1">IFERROR(INDEX(INDIRECT($C19&amp;".Outputs["&amp;this.Year&amp;"]"), MATCH(X$5, INDIRECT($C19&amp;".Outputs[Vector]"), 0)), 0)</f>
        <v>0</v>
      </c>
      <c r="Y19" s="307">
        <f ca="1">IFERROR(INDEX(INDIRECT($C19&amp;".Outputs["&amp;this.Year&amp;"]"), MATCH(Y$5, INDIRECT($C19&amp;".Outputs[Vector]"), 0)), 0)</f>
        <v>0</v>
      </c>
      <c r="Z19" s="307">
        <f ca="1">IFERROR(INDEX(INDIRECT($C19&amp;".Outputs["&amp;this.Year&amp;"]"), MATCH(Z$5, INDIRECT($C19&amp;".Outputs[Vector]"), 0)), 0)</f>
        <v>0</v>
      </c>
      <c r="AA19" s="307">
        <f t="shared" ca="1" si="51"/>
        <v>0</v>
      </c>
      <c r="AB19" s="307">
        <f t="shared" ca="1" si="51"/>
        <v>0</v>
      </c>
      <c r="AC19" s="307">
        <f t="shared" ca="1" si="51"/>
        <v>0</v>
      </c>
      <c r="AD19" s="307">
        <f t="shared" ca="1" si="51"/>
        <v>0</v>
      </c>
      <c r="AE19" s="307">
        <f t="shared" ca="1" si="51"/>
        <v>0</v>
      </c>
      <c r="AF19" s="307">
        <f t="shared" ca="1" si="51"/>
        <v>0</v>
      </c>
      <c r="AG19" s="307">
        <f t="shared" ca="1" si="51"/>
        <v>0</v>
      </c>
      <c r="AH19" s="306">
        <f t="shared" ca="1" si="5"/>
        <v>-91.160322190921491</v>
      </c>
      <c r="AJ19" s="315">
        <f t="shared" ref="AJ19:AR19" ca="1" si="52">IFERROR(INDEX(INDIRECT($C19&amp;".Outputs["&amp;this.Year&amp;"]"), MATCH(AJ$5, INDIRECT($C19&amp;".Outputs[Vector]"), 0)), 0)</f>
        <v>0</v>
      </c>
      <c r="AK19" s="315">
        <f t="shared" ca="1" si="52"/>
        <v>0</v>
      </c>
      <c r="AL19" s="315">
        <f t="shared" ca="1" si="52"/>
        <v>0</v>
      </c>
      <c r="AM19" s="315">
        <f t="shared" ca="1" si="52"/>
        <v>0</v>
      </c>
      <c r="AN19" s="315">
        <f t="shared" ca="1" si="52"/>
        <v>0</v>
      </c>
      <c r="AO19" s="315">
        <f t="shared" ca="1" si="52"/>
        <v>0</v>
      </c>
      <c r="AP19" s="315">
        <f t="shared" ca="1" si="52"/>
        <v>0</v>
      </c>
      <c r="AQ19" s="315">
        <f t="shared" ca="1" si="52"/>
        <v>0</v>
      </c>
      <c r="AR19" s="315">
        <f t="shared" ca="1" si="52"/>
        <v>0</v>
      </c>
      <c r="AS19" s="315">
        <f t="shared" ca="1" si="51"/>
        <v>0</v>
      </c>
      <c r="AT19" s="315">
        <f t="shared" ca="1" si="51"/>
        <v>0</v>
      </c>
      <c r="AU19" s="315">
        <f t="shared" ca="1" si="51"/>
        <v>0</v>
      </c>
      <c r="AV19" s="315">
        <f t="shared" ca="1" si="51"/>
        <v>0</v>
      </c>
      <c r="AW19" s="315">
        <f t="shared" ca="1" si="51"/>
        <v>0</v>
      </c>
      <c r="AX19" s="315">
        <f t="shared" ca="1" si="51"/>
        <v>0</v>
      </c>
      <c r="AY19" s="293">
        <f t="shared" ca="1" si="8"/>
        <v>0</v>
      </c>
      <c r="BA19" s="311">
        <f ca="1">IFERROR(INDEX(INDIRECT($C19&amp;".Outputs["&amp;this.Year&amp;"]"), MATCH(BA$5, INDIRECT($C19&amp;".Outputs[Vector]"), 0)), 0)</f>
        <v>0</v>
      </c>
      <c r="BB19" s="311">
        <f ca="1">IFERROR(INDEX(INDIRECT($C19&amp;".Outputs["&amp;this.Year&amp;"]"), MATCH(BB$5, INDIRECT($C19&amp;".Outputs[Vector]"), 0)), 0)</f>
        <v>0</v>
      </c>
      <c r="BC19" s="310">
        <f t="shared" ca="1" si="10"/>
        <v>0</v>
      </c>
      <c r="BE19" s="135">
        <f t="shared" ca="1" si="11"/>
        <v>0</v>
      </c>
      <c r="BF19" s="135"/>
      <c r="BG19" s="1428"/>
      <c r="BH19" s="544">
        <f t="shared" ref="BH19:CU19" ca="1" si="53">IFERROR(SUMIFS(INDIRECT($C19&amp;".Emissions["&amp;this.Year&amp;"]"), INDIRECT($C19&amp;".Emissions[GHG]"), BH$6, INDIRECT($C19&amp;".Emissions[IPCC Sector]"), BH$5),0)</f>
        <v>12.05147599376383</v>
      </c>
      <c r="BI19" s="545">
        <f t="shared" ca="1" si="53"/>
        <v>2.1916591075595349E-2</v>
      </c>
      <c r="BJ19" s="545">
        <f t="shared" ca="1" si="53"/>
        <v>9.3296605411917255E-2</v>
      </c>
      <c r="BK19" s="545">
        <f t="shared" ca="1" si="53"/>
        <v>0</v>
      </c>
      <c r="BL19" s="545">
        <f t="shared" ca="1" si="53"/>
        <v>0</v>
      </c>
      <c r="BM19" s="545">
        <f t="shared" ca="1" si="53"/>
        <v>0</v>
      </c>
      <c r="BN19" s="545">
        <f t="shared" ca="1" si="53"/>
        <v>0</v>
      </c>
      <c r="BO19" s="545">
        <f t="shared" ca="1" si="53"/>
        <v>0</v>
      </c>
      <c r="BP19" s="545">
        <f t="shared" ca="1" si="53"/>
        <v>14.853585635881387</v>
      </c>
      <c r="BQ19" s="545">
        <f t="shared" ca="1" si="53"/>
        <v>0.12917588690165421</v>
      </c>
      <c r="BR19" s="545">
        <f t="shared" ca="1" si="53"/>
        <v>3.3121341350380442</v>
      </c>
      <c r="BS19" s="545">
        <f t="shared" ca="1" si="53"/>
        <v>9.6197304422322389</v>
      </c>
      <c r="BT19" s="545">
        <f t="shared" ca="1" si="53"/>
        <v>0</v>
      </c>
      <c r="BU19" s="545">
        <f t="shared" ca="1" si="53"/>
        <v>0</v>
      </c>
      <c r="BV19" s="545">
        <f t="shared" ca="1" si="53"/>
        <v>0</v>
      </c>
      <c r="BW19" s="545">
        <f t="shared" ca="1" si="53"/>
        <v>0</v>
      </c>
      <c r="BX19" s="545">
        <f t="shared" ca="1" si="53"/>
        <v>0</v>
      </c>
      <c r="BY19" s="545">
        <f t="shared" ca="1" si="53"/>
        <v>0</v>
      </c>
      <c r="BZ19" s="545">
        <f t="shared" ca="1" si="53"/>
        <v>0</v>
      </c>
      <c r="CA19" s="545">
        <f t="shared" ca="1" si="53"/>
        <v>0</v>
      </c>
      <c r="CB19" s="545">
        <f t="shared" ca="1" si="53"/>
        <v>0</v>
      </c>
      <c r="CC19" s="545">
        <f t="shared" ca="1" si="53"/>
        <v>0</v>
      </c>
      <c r="CD19" s="545">
        <f t="shared" ca="1" si="53"/>
        <v>0</v>
      </c>
      <c r="CE19" s="545">
        <f t="shared" ca="1" si="53"/>
        <v>0</v>
      </c>
      <c r="CF19" s="545">
        <f t="shared" ca="1" si="53"/>
        <v>0</v>
      </c>
      <c r="CG19" s="545">
        <f t="shared" ca="1" si="53"/>
        <v>0</v>
      </c>
      <c r="CH19" s="545">
        <f t="shared" ca="1" si="53"/>
        <v>0</v>
      </c>
      <c r="CI19" s="545">
        <f t="shared" ca="1" si="53"/>
        <v>0</v>
      </c>
      <c r="CJ19" s="545">
        <f t="shared" ca="1" si="53"/>
        <v>0</v>
      </c>
      <c r="CK19" s="545">
        <f t="shared" ca="1" si="53"/>
        <v>0</v>
      </c>
      <c r="CL19" s="545">
        <f t="shared" ca="1" si="53"/>
        <v>0</v>
      </c>
      <c r="CM19" s="545">
        <f t="shared" ca="1" si="53"/>
        <v>0</v>
      </c>
      <c r="CN19" s="545">
        <f t="shared" ca="1" si="53"/>
        <v>0</v>
      </c>
      <c r="CO19" s="545">
        <f t="shared" ca="1" si="53"/>
        <v>0</v>
      </c>
      <c r="CP19" s="545">
        <f t="shared" ca="1" si="53"/>
        <v>0</v>
      </c>
      <c r="CQ19" s="545">
        <f t="shared" ca="1" si="53"/>
        <v>0</v>
      </c>
      <c r="CR19" s="545">
        <f t="shared" ca="1" si="53"/>
        <v>0</v>
      </c>
      <c r="CS19" s="545">
        <f t="shared" ca="1" si="53"/>
        <v>0</v>
      </c>
      <c r="CT19" s="545">
        <f t="shared" ca="1" si="53"/>
        <v>0</v>
      </c>
      <c r="CU19" s="545">
        <f t="shared" ca="1" si="53"/>
        <v>0</v>
      </c>
      <c r="CW19" s="151">
        <f t="shared" ca="1" si="37"/>
        <v>40.081315290304659</v>
      </c>
    </row>
    <row r="20" spans="1:101" s="84" customFormat="1" ht="15.75" x14ac:dyDescent="0.2">
      <c r="A20" s="18"/>
      <c r="B20" s="89"/>
      <c r="C20" s="85" t="s">
        <v>231</v>
      </c>
      <c r="D20" s="57" t="str">
        <f>INDEX(Workstreams[Workstream], MATCH($C20, Workstreams[Code], 0))</f>
        <v>Industry</v>
      </c>
      <c r="E20" s="53"/>
      <c r="G20" s="300">
        <f ca="1">G19</f>
        <v>0</v>
      </c>
      <c r="H20" s="300">
        <f t="shared" ref="H20:O20" ca="1" si="54">H19</f>
        <v>0</v>
      </c>
      <c r="I20" s="300">
        <f ca="1">I19</f>
        <v>0</v>
      </c>
      <c r="J20" s="300">
        <f t="shared" ca="1" si="54"/>
        <v>91.160322190921491</v>
      </c>
      <c r="K20" s="300">
        <f t="shared" ca="1" si="54"/>
        <v>0</v>
      </c>
      <c r="L20" s="300">
        <f t="shared" ca="1" si="54"/>
        <v>0</v>
      </c>
      <c r="M20" s="300">
        <f t="shared" ca="1" si="54"/>
        <v>0</v>
      </c>
      <c r="N20" s="300">
        <f t="shared" ca="1" si="54"/>
        <v>0</v>
      </c>
      <c r="O20" s="300">
        <f t="shared" ca="1" si="54"/>
        <v>0</v>
      </c>
      <c r="P20" s="300">
        <f t="shared" ca="1" si="1"/>
        <v>91.160322190921491</v>
      </c>
      <c r="R20" s="257">
        <f t="shared" ref="R20:AG20" ca="1" si="55">R19</f>
        <v>-23.67914021157986</v>
      </c>
      <c r="S20" s="257">
        <f t="shared" ca="1" si="55"/>
        <v>0</v>
      </c>
      <c r="T20" s="257">
        <f t="shared" ca="1" si="55"/>
        <v>-2.5566586608648891</v>
      </c>
      <c r="U20" s="257">
        <f t="shared" ca="1" si="55"/>
        <v>-15.669640091504293</v>
      </c>
      <c r="V20" s="257">
        <f t="shared" ca="1" si="55"/>
        <v>-39.927255996420499</v>
      </c>
      <c r="W20" s="257">
        <f ca="1">W19</f>
        <v>-9.3276272305519541</v>
      </c>
      <c r="X20" s="257">
        <f t="shared" ca="1" si="55"/>
        <v>0</v>
      </c>
      <c r="Y20" s="257">
        <f t="shared" ca="1" si="55"/>
        <v>0</v>
      </c>
      <c r="Z20" s="257">
        <f t="shared" ca="1" si="55"/>
        <v>0</v>
      </c>
      <c r="AA20" s="257">
        <f t="shared" ca="1" si="55"/>
        <v>0</v>
      </c>
      <c r="AB20" s="257">
        <f t="shared" ca="1" si="55"/>
        <v>0</v>
      </c>
      <c r="AC20" s="257">
        <f t="shared" ca="1" si="55"/>
        <v>0</v>
      </c>
      <c r="AD20" s="257">
        <f t="shared" ca="1" si="55"/>
        <v>0</v>
      </c>
      <c r="AE20" s="257">
        <f t="shared" ca="1" si="55"/>
        <v>0</v>
      </c>
      <c r="AF20" s="257">
        <f t="shared" ca="1" si="55"/>
        <v>0</v>
      </c>
      <c r="AG20" s="257">
        <f t="shared" ca="1" si="55"/>
        <v>0</v>
      </c>
      <c r="AH20" s="257">
        <f t="shared" ca="1" si="5"/>
        <v>-91.160322190921491</v>
      </c>
      <c r="AJ20" s="263">
        <f t="shared" ref="AJ20:AX20" ca="1" si="56">AJ19</f>
        <v>0</v>
      </c>
      <c r="AK20" s="263">
        <f t="shared" ca="1" si="56"/>
        <v>0</v>
      </c>
      <c r="AL20" s="263">
        <f t="shared" ca="1" si="56"/>
        <v>0</v>
      </c>
      <c r="AM20" s="263">
        <f t="shared" ca="1" si="56"/>
        <v>0</v>
      </c>
      <c r="AN20" s="263">
        <f t="shared" ca="1" si="56"/>
        <v>0</v>
      </c>
      <c r="AO20" s="263">
        <f t="shared" ca="1" si="56"/>
        <v>0</v>
      </c>
      <c r="AP20" s="263">
        <f t="shared" ca="1" si="56"/>
        <v>0</v>
      </c>
      <c r="AQ20" s="263">
        <f t="shared" ca="1" si="56"/>
        <v>0</v>
      </c>
      <c r="AR20" s="263">
        <f t="shared" ca="1" si="56"/>
        <v>0</v>
      </c>
      <c r="AS20" s="263">
        <f t="shared" ca="1" si="56"/>
        <v>0</v>
      </c>
      <c r="AT20" s="263">
        <f t="shared" ca="1" si="56"/>
        <v>0</v>
      </c>
      <c r="AU20" s="263">
        <f t="shared" ca="1" si="56"/>
        <v>0</v>
      </c>
      <c r="AV20" s="263">
        <f t="shared" ca="1" si="56"/>
        <v>0</v>
      </c>
      <c r="AW20" s="263">
        <f t="shared" ca="1" si="56"/>
        <v>0</v>
      </c>
      <c r="AX20" s="263">
        <f t="shared" ca="1" si="56"/>
        <v>0</v>
      </c>
      <c r="AY20" s="263">
        <f t="shared" ca="1" si="8"/>
        <v>0</v>
      </c>
      <c r="BA20" s="277">
        <f ca="1">BA19</f>
        <v>0</v>
      </c>
      <c r="BB20" s="277">
        <f ca="1">BB19</f>
        <v>0</v>
      </c>
      <c r="BC20" s="277">
        <f t="shared" ca="1" si="10"/>
        <v>0</v>
      </c>
      <c r="BE20" s="55">
        <f t="shared" ca="1" si="11"/>
        <v>0</v>
      </c>
      <c r="BF20" s="55"/>
      <c r="BG20" s="1428"/>
      <c r="BH20" s="542">
        <f t="shared" ref="BH20:CU20" ca="1" si="57">BH19</f>
        <v>12.05147599376383</v>
      </c>
      <c r="BI20" s="542">
        <f t="shared" ca="1" si="57"/>
        <v>2.1916591075595349E-2</v>
      </c>
      <c r="BJ20" s="542">
        <f t="shared" ca="1" si="57"/>
        <v>9.3296605411917255E-2</v>
      </c>
      <c r="BK20" s="542">
        <f t="shared" ca="1" si="57"/>
        <v>0</v>
      </c>
      <c r="BL20" s="542">
        <f t="shared" ca="1" si="57"/>
        <v>0</v>
      </c>
      <c r="BM20" s="542">
        <f t="shared" ca="1" si="57"/>
        <v>0</v>
      </c>
      <c r="BN20" s="542">
        <f t="shared" ca="1" si="57"/>
        <v>0</v>
      </c>
      <c r="BO20" s="542">
        <f t="shared" ca="1" si="57"/>
        <v>0</v>
      </c>
      <c r="BP20" s="542">
        <f t="shared" ca="1" si="57"/>
        <v>14.853585635881387</v>
      </c>
      <c r="BQ20" s="542">
        <f t="shared" ca="1" si="57"/>
        <v>0.12917588690165421</v>
      </c>
      <c r="BR20" s="542">
        <f t="shared" ca="1" si="57"/>
        <v>3.3121341350380442</v>
      </c>
      <c r="BS20" s="542">
        <f t="shared" ca="1" si="57"/>
        <v>9.6197304422322389</v>
      </c>
      <c r="BT20" s="542">
        <f t="shared" ca="1" si="57"/>
        <v>0</v>
      </c>
      <c r="BU20" s="542">
        <f t="shared" ca="1" si="57"/>
        <v>0</v>
      </c>
      <c r="BV20" s="542">
        <f t="shared" ca="1" si="57"/>
        <v>0</v>
      </c>
      <c r="BW20" s="542">
        <f t="shared" ca="1" si="57"/>
        <v>0</v>
      </c>
      <c r="BX20" s="542">
        <f t="shared" ca="1" si="57"/>
        <v>0</v>
      </c>
      <c r="BY20" s="542">
        <f t="shared" ca="1" si="57"/>
        <v>0</v>
      </c>
      <c r="BZ20" s="542">
        <f t="shared" ca="1" si="57"/>
        <v>0</v>
      </c>
      <c r="CA20" s="542">
        <f t="shared" ca="1" si="57"/>
        <v>0</v>
      </c>
      <c r="CB20" s="542">
        <f t="shared" ca="1" si="57"/>
        <v>0</v>
      </c>
      <c r="CC20" s="542">
        <f t="shared" ca="1" si="57"/>
        <v>0</v>
      </c>
      <c r="CD20" s="542">
        <f t="shared" ca="1" si="57"/>
        <v>0</v>
      </c>
      <c r="CE20" s="542">
        <f t="shared" ca="1" si="57"/>
        <v>0</v>
      </c>
      <c r="CF20" s="542">
        <f t="shared" ca="1" si="57"/>
        <v>0</v>
      </c>
      <c r="CG20" s="542">
        <f t="shared" ca="1" si="57"/>
        <v>0</v>
      </c>
      <c r="CH20" s="542">
        <f t="shared" ca="1" si="57"/>
        <v>0</v>
      </c>
      <c r="CI20" s="542">
        <f t="shared" ca="1" si="57"/>
        <v>0</v>
      </c>
      <c r="CJ20" s="542">
        <f t="shared" ca="1" si="57"/>
        <v>0</v>
      </c>
      <c r="CK20" s="542">
        <f t="shared" ca="1" si="57"/>
        <v>0</v>
      </c>
      <c r="CL20" s="542">
        <f t="shared" ca="1" si="57"/>
        <v>0</v>
      </c>
      <c r="CM20" s="542">
        <f t="shared" ca="1" si="57"/>
        <v>0</v>
      </c>
      <c r="CN20" s="542">
        <f t="shared" ca="1" si="57"/>
        <v>0</v>
      </c>
      <c r="CO20" s="542">
        <f t="shared" ca="1" si="57"/>
        <v>0</v>
      </c>
      <c r="CP20" s="542">
        <f t="shared" ca="1" si="57"/>
        <v>0</v>
      </c>
      <c r="CQ20" s="542">
        <f t="shared" ca="1" si="57"/>
        <v>0</v>
      </c>
      <c r="CR20" s="542">
        <f t="shared" ca="1" si="57"/>
        <v>0</v>
      </c>
      <c r="CS20" s="542">
        <f t="shared" ca="1" si="57"/>
        <v>0</v>
      </c>
      <c r="CT20" s="542">
        <f t="shared" ca="1" si="57"/>
        <v>0</v>
      </c>
      <c r="CU20" s="542">
        <f t="shared" ca="1" si="57"/>
        <v>0</v>
      </c>
      <c r="CW20" s="151">
        <f t="shared" ca="1" si="37"/>
        <v>40.081315290304659</v>
      </c>
    </row>
    <row r="21" spans="1:101" s="84" customFormat="1" ht="12.75" customHeight="1" outlineLevel="1" x14ac:dyDescent="0.2">
      <c r="A21" s="18"/>
      <c r="B21" s="18"/>
      <c r="C21" s="87"/>
      <c r="D21" s="53"/>
      <c r="E21" s="53"/>
      <c r="G21" s="300"/>
      <c r="H21" s="300"/>
      <c r="I21" s="300"/>
      <c r="J21" s="300"/>
      <c r="K21" s="300"/>
      <c r="L21" s="300"/>
      <c r="M21" s="300"/>
      <c r="N21" s="300"/>
      <c r="O21" s="300"/>
      <c r="P21" s="300">
        <f t="shared" si="1"/>
        <v>0</v>
      </c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>
        <f t="shared" si="5"/>
        <v>0</v>
      </c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>
        <f t="shared" si="8"/>
        <v>0</v>
      </c>
      <c r="BA21" s="277"/>
      <c r="BB21" s="277"/>
      <c r="BC21" s="277">
        <f t="shared" si="10"/>
        <v>0</v>
      </c>
      <c r="BE21" s="55">
        <f t="shared" si="11"/>
        <v>0</v>
      </c>
      <c r="BF21" s="55"/>
      <c r="BG21" s="18"/>
      <c r="BH21" s="542"/>
      <c r="BI21" s="542"/>
      <c r="BJ21" s="542"/>
      <c r="BK21" s="542"/>
      <c r="BL21" s="542"/>
      <c r="BM21" s="542"/>
      <c r="BN21" s="542"/>
      <c r="BO21" s="542"/>
      <c r="BP21" s="542"/>
      <c r="BQ21" s="542"/>
      <c r="BR21" s="542"/>
      <c r="BS21" s="542"/>
      <c r="BT21" s="542"/>
      <c r="BU21" s="542"/>
      <c r="BV21" s="542"/>
      <c r="BW21" s="542"/>
      <c r="BX21" s="542"/>
      <c r="BY21" s="542"/>
      <c r="BZ21" s="542"/>
      <c r="CA21" s="542"/>
      <c r="CB21" s="542"/>
      <c r="CC21" s="542"/>
      <c r="CD21" s="542"/>
      <c r="CE21" s="542"/>
      <c r="CF21" s="542"/>
      <c r="CG21" s="542"/>
      <c r="CH21" s="542"/>
      <c r="CI21" s="542"/>
      <c r="CJ21" s="542"/>
      <c r="CK21" s="542"/>
      <c r="CL21" s="542"/>
      <c r="CM21" s="542"/>
      <c r="CN21" s="542"/>
      <c r="CO21" s="542"/>
      <c r="CP21" s="542"/>
      <c r="CQ21" s="542"/>
      <c r="CR21" s="542"/>
      <c r="CS21" s="542"/>
      <c r="CT21" s="542"/>
      <c r="CU21" s="542"/>
      <c r="CW21" s="151">
        <f t="shared" si="37"/>
        <v>0</v>
      </c>
    </row>
    <row r="22" spans="1:101" s="84" customFormat="1" ht="12.75" customHeight="1" outlineLevel="1" x14ac:dyDescent="0.2">
      <c r="A22" s="543"/>
      <c r="B22" s="543"/>
      <c r="C22" s="86" t="s">
        <v>362</v>
      </c>
      <c r="D22" s="63" t="str">
        <f>INDEX(Modules[Module], MATCH($C22, Modules[Code], 0))</f>
        <v>Domestic passenger transport</v>
      </c>
      <c r="E22" s="291"/>
      <c r="G22" s="297">
        <f t="shared" ref="G22:O23" ca="1" si="58">IFERROR(INDEX(INDIRECT($C22&amp;".Outputs["&amp;this.Year&amp;"]"), MATCH(G$5, INDIRECT($C22&amp;".Outputs[Vector]"), 0)), 0)</f>
        <v>0</v>
      </c>
      <c r="H22" s="297">
        <f t="shared" ca="1" si="58"/>
        <v>0</v>
      </c>
      <c r="I22" s="297">
        <f t="shared" ca="1" si="58"/>
        <v>0</v>
      </c>
      <c r="J22" s="297">
        <f t="shared" ca="1" si="58"/>
        <v>0</v>
      </c>
      <c r="K22" s="297">
        <f t="shared" ca="1" si="58"/>
        <v>76.442609658759068</v>
      </c>
      <c r="L22" s="297">
        <f t="shared" ca="1" si="58"/>
        <v>49.995334984435786</v>
      </c>
      <c r="M22" s="297">
        <f t="shared" ca="1" si="58"/>
        <v>0</v>
      </c>
      <c r="N22" s="297">
        <f t="shared" ca="1" si="58"/>
        <v>0</v>
      </c>
      <c r="O22" s="297">
        <f t="shared" ca="1" si="58"/>
        <v>0</v>
      </c>
      <c r="P22" s="297">
        <f t="shared" ca="1" si="1"/>
        <v>126.43794464319485</v>
      </c>
      <c r="R22" s="304">
        <f t="shared" ref="R22:AX23" ca="1" si="59">IFERROR(INDEX(INDIRECT($C22&amp;".Outputs["&amp;this.Year&amp;"]"), MATCH(R$5, INDIRECT($C22&amp;".Outputs[Vector]"), 0)), 0)</f>
        <v>-6.223589139673841</v>
      </c>
      <c r="S22" s="304">
        <f t="shared" ca="1" si="59"/>
        <v>0</v>
      </c>
      <c r="T22" s="304">
        <f t="shared" ca="1" si="59"/>
        <v>0</v>
      </c>
      <c r="U22" s="304">
        <f t="shared" ca="1" si="59"/>
        <v>-115.38159612070496</v>
      </c>
      <c r="V22" s="304">
        <f t="shared" ca="1" si="59"/>
        <v>-4.8327593828160511</v>
      </c>
      <c r="W22" s="304">
        <f t="shared" ca="1" si="59"/>
        <v>0</v>
      </c>
      <c r="X22" s="304">
        <f t="shared" ref="X22:Z23" ca="1" si="60">IFERROR(INDEX(INDIRECT($C22&amp;".Outputs["&amp;this.Year&amp;"]"), MATCH(X$5, INDIRECT($C22&amp;".Outputs[Vector]"), 0)), 0)</f>
        <v>0</v>
      </c>
      <c r="Y22" s="304">
        <f t="shared" ca="1" si="60"/>
        <v>0</v>
      </c>
      <c r="Z22" s="304">
        <f t="shared" ca="1" si="60"/>
        <v>0</v>
      </c>
      <c r="AA22" s="304">
        <f t="shared" ca="1" si="59"/>
        <v>0</v>
      </c>
      <c r="AB22" s="304">
        <f t="shared" ca="1" si="59"/>
        <v>0</v>
      </c>
      <c r="AC22" s="304">
        <f t="shared" ca="1" si="59"/>
        <v>0</v>
      </c>
      <c r="AD22" s="304">
        <f t="shared" ca="1" si="59"/>
        <v>0</v>
      </c>
      <c r="AE22" s="304">
        <f t="shared" ca="1" si="59"/>
        <v>0</v>
      </c>
      <c r="AF22" s="304">
        <f t="shared" ca="1" si="59"/>
        <v>0</v>
      </c>
      <c r="AG22" s="304">
        <f t="shared" ca="1" si="59"/>
        <v>0</v>
      </c>
      <c r="AH22" s="305">
        <f t="shared" ca="1" si="5"/>
        <v>-126.43794464319484</v>
      </c>
      <c r="AJ22" s="312">
        <f t="shared" ref="AJ22:AR23" ca="1" si="61">IFERROR(INDEX(INDIRECT($C22&amp;".Outputs["&amp;this.Year&amp;"]"), MATCH(AJ$5, INDIRECT($C22&amp;".Outputs[Vector]"), 0)), 0)</f>
        <v>0</v>
      </c>
      <c r="AK22" s="312">
        <f t="shared" ca="1" si="61"/>
        <v>0</v>
      </c>
      <c r="AL22" s="312">
        <f t="shared" ca="1" si="61"/>
        <v>0</v>
      </c>
      <c r="AM22" s="312">
        <f t="shared" ca="1" si="61"/>
        <v>0</v>
      </c>
      <c r="AN22" s="312">
        <f t="shared" ca="1" si="61"/>
        <v>0</v>
      </c>
      <c r="AO22" s="312">
        <f t="shared" ca="1" si="61"/>
        <v>0</v>
      </c>
      <c r="AP22" s="312">
        <f t="shared" ca="1" si="61"/>
        <v>0</v>
      </c>
      <c r="AQ22" s="312">
        <f t="shared" ca="1" si="61"/>
        <v>0</v>
      </c>
      <c r="AR22" s="312">
        <f t="shared" ca="1" si="61"/>
        <v>0</v>
      </c>
      <c r="AS22" s="312">
        <f t="shared" ca="1" si="59"/>
        <v>0</v>
      </c>
      <c r="AT22" s="312">
        <f t="shared" ca="1" si="59"/>
        <v>0</v>
      </c>
      <c r="AU22" s="312">
        <f t="shared" ca="1" si="59"/>
        <v>0</v>
      </c>
      <c r="AV22" s="312">
        <f t="shared" ca="1" si="59"/>
        <v>0</v>
      </c>
      <c r="AW22" s="312">
        <f t="shared" ca="1" si="59"/>
        <v>0</v>
      </c>
      <c r="AX22" s="312">
        <f t="shared" ca="1" si="59"/>
        <v>0</v>
      </c>
      <c r="AY22" s="266">
        <f t="shared" ca="1" si="8"/>
        <v>0</v>
      </c>
      <c r="BA22" s="308">
        <f t="shared" ref="BA22:BB23" ca="1" si="62">IFERROR(INDEX(INDIRECT($C22&amp;".Outputs["&amp;this.Year&amp;"]"), MATCH(BA$5, INDIRECT($C22&amp;".Outputs[Vector]"), 0)), 0)</f>
        <v>0</v>
      </c>
      <c r="BB22" s="308">
        <f t="shared" ca="1" si="62"/>
        <v>0</v>
      </c>
      <c r="BC22" s="309">
        <f t="shared" ca="1" si="10"/>
        <v>0</v>
      </c>
      <c r="BE22" s="135">
        <f t="shared" ca="1" si="11"/>
        <v>1.4210854715202004E-14</v>
      </c>
      <c r="BF22" s="135"/>
      <c r="BG22" s="1428"/>
      <c r="BH22" s="541">
        <f t="shared" ref="BH22:BQ23" ca="1" si="63">IFERROR(SUMIFS(INDIRECT($C22&amp;".Emissions["&amp;this.Year&amp;"]"), INDIRECT($C22&amp;".Emissions[GHG]"), BH$6, INDIRECT($C22&amp;".Emissions[IPCC Sector]"), BH$5),0)</f>
        <v>28.845399030176239</v>
      </c>
      <c r="BI22" s="542">
        <f t="shared" ca="1" si="63"/>
        <v>3.5912407918111733E-2</v>
      </c>
      <c r="BJ22" s="542">
        <f t="shared" ca="1" si="63"/>
        <v>0.5189878353898012</v>
      </c>
      <c r="BK22" s="542">
        <f t="shared" ca="1" si="63"/>
        <v>0</v>
      </c>
      <c r="BL22" s="542">
        <f t="shared" ca="1" si="63"/>
        <v>0</v>
      </c>
      <c r="BM22" s="542">
        <f t="shared" ca="1" si="63"/>
        <v>0</v>
      </c>
      <c r="BN22" s="542">
        <f t="shared" ca="1" si="63"/>
        <v>0</v>
      </c>
      <c r="BO22" s="542">
        <f t="shared" ca="1" si="63"/>
        <v>0</v>
      </c>
      <c r="BP22" s="542">
        <f t="shared" ca="1" si="63"/>
        <v>0</v>
      </c>
      <c r="BQ22" s="542">
        <f t="shared" ca="1" si="63"/>
        <v>0</v>
      </c>
      <c r="BR22" s="542">
        <f t="shared" ref="BR22:CA23" ca="1" si="64">IFERROR(SUMIFS(INDIRECT($C22&amp;".Emissions["&amp;this.Year&amp;"]"), INDIRECT($C22&amp;".Emissions[GHG]"), BR$6, INDIRECT($C22&amp;".Emissions[IPCC Sector]"), BR$5),0)</f>
        <v>0</v>
      </c>
      <c r="BS22" s="542">
        <f t="shared" ca="1" si="64"/>
        <v>0</v>
      </c>
      <c r="BT22" s="542">
        <f t="shared" ca="1" si="64"/>
        <v>0</v>
      </c>
      <c r="BU22" s="542">
        <f t="shared" ca="1" si="64"/>
        <v>0</v>
      </c>
      <c r="BV22" s="542">
        <f t="shared" ca="1" si="64"/>
        <v>0</v>
      </c>
      <c r="BW22" s="542">
        <f t="shared" ca="1" si="64"/>
        <v>0</v>
      </c>
      <c r="BX22" s="542">
        <f t="shared" ca="1" si="64"/>
        <v>0</v>
      </c>
      <c r="BY22" s="542">
        <f t="shared" ca="1" si="64"/>
        <v>0</v>
      </c>
      <c r="BZ22" s="542">
        <f t="shared" ca="1" si="64"/>
        <v>0</v>
      </c>
      <c r="CA22" s="542">
        <f t="shared" ca="1" si="64"/>
        <v>0</v>
      </c>
      <c r="CB22" s="542">
        <f t="shared" ref="CB22:CK23" ca="1" si="65">IFERROR(SUMIFS(INDIRECT($C22&amp;".Emissions["&amp;this.Year&amp;"]"), INDIRECT($C22&amp;".Emissions[GHG]"), CB$6, INDIRECT($C22&amp;".Emissions[IPCC Sector]"), CB$5),0)</f>
        <v>0</v>
      </c>
      <c r="CC22" s="542">
        <f t="shared" ca="1" si="65"/>
        <v>0</v>
      </c>
      <c r="CD22" s="542">
        <f t="shared" ca="1" si="65"/>
        <v>0</v>
      </c>
      <c r="CE22" s="542">
        <f t="shared" ca="1" si="65"/>
        <v>0</v>
      </c>
      <c r="CF22" s="542">
        <f t="shared" ca="1" si="65"/>
        <v>0</v>
      </c>
      <c r="CG22" s="542">
        <f t="shared" ca="1" si="65"/>
        <v>0</v>
      </c>
      <c r="CH22" s="542">
        <f t="shared" ca="1" si="65"/>
        <v>0</v>
      </c>
      <c r="CI22" s="542">
        <f t="shared" ca="1" si="65"/>
        <v>0</v>
      </c>
      <c r="CJ22" s="542">
        <f t="shared" ca="1" si="65"/>
        <v>0</v>
      </c>
      <c r="CK22" s="542">
        <f t="shared" ca="1" si="65"/>
        <v>0</v>
      </c>
      <c r="CL22" s="542">
        <f t="shared" ref="CL22:CU23" ca="1" si="66">IFERROR(SUMIFS(INDIRECT($C22&amp;".Emissions["&amp;this.Year&amp;"]"), INDIRECT($C22&amp;".Emissions[GHG]"), CL$6, INDIRECT($C22&amp;".Emissions[IPCC Sector]"), CL$5),0)</f>
        <v>0</v>
      </c>
      <c r="CM22" s="542">
        <f t="shared" ca="1" si="66"/>
        <v>0</v>
      </c>
      <c r="CN22" s="542">
        <f t="shared" ca="1" si="66"/>
        <v>0</v>
      </c>
      <c r="CO22" s="542">
        <f t="shared" ca="1" si="66"/>
        <v>0</v>
      </c>
      <c r="CP22" s="542">
        <f t="shared" ca="1" si="66"/>
        <v>0</v>
      </c>
      <c r="CQ22" s="542">
        <f t="shared" ca="1" si="66"/>
        <v>0</v>
      </c>
      <c r="CR22" s="542">
        <f t="shared" ca="1" si="66"/>
        <v>0</v>
      </c>
      <c r="CS22" s="542">
        <f t="shared" ca="1" si="66"/>
        <v>0</v>
      </c>
      <c r="CT22" s="542">
        <f t="shared" ca="1" si="66"/>
        <v>0</v>
      </c>
      <c r="CU22" s="542">
        <f t="shared" ca="1" si="66"/>
        <v>0</v>
      </c>
      <c r="CW22" s="151">
        <f t="shared" ca="1" si="37"/>
        <v>29.400299273484151</v>
      </c>
    </row>
    <row r="23" spans="1:101" s="84" customFormat="1" ht="12.75" customHeight="1" outlineLevel="1" x14ac:dyDescent="0.2">
      <c r="A23" s="543"/>
      <c r="B23" s="543"/>
      <c r="C23" s="86" t="s">
        <v>375</v>
      </c>
      <c r="D23" s="63" t="str">
        <f>INDEX(Modules[Module], MATCH($C23, Modules[Code], 0))</f>
        <v>Domestic freight</v>
      </c>
      <c r="E23" s="291"/>
      <c r="G23" s="297">
        <f t="shared" ca="1" si="58"/>
        <v>0</v>
      </c>
      <c r="H23" s="297">
        <f t="shared" ca="1" si="58"/>
        <v>0</v>
      </c>
      <c r="I23" s="297">
        <f t="shared" ca="1" si="58"/>
        <v>0</v>
      </c>
      <c r="J23" s="297">
        <f t="shared" ca="1" si="58"/>
        <v>0</v>
      </c>
      <c r="K23" s="297">
        <f t="shared" ca="1" si="58"/>
        <v>15.1739118524253</v>
      </c>
      <c r="L23" s="297">
        <f t="shared" ca="1" si="58"/>
        <v>5.1804439119327874</v>
      </c>
      <c r="M23" s="297">
        <f t="shared" ca="1" si="58"/>
        <v>0</v>
      </c>
      <c r="N23" s="297">
        <f t="shared" ca="1" si="58"/>
        <v>3.6177434403834546E-13</v>
      </c>
      <c r="O23" s="297">
        <f t="shared" ca="1" si="58"/>
        <v>4.5715932981774268</v>
      </c>
      <c r="P23" s="297">
        <f t="shared" ca="1" si="1"/>
        <v>24.925949062535878</v>
      </c>
      <c r="R23" s="304">
        <f t="shared" ca="1" si="59"/>
        <v>-7.5426813283808611</v>
      </c>
      <c r="S23" s="304">
        <f t="shared" ca="1" si="59"/>
        <v>0</v>
      </c>
      <c r="T23" s="304">
        <f t="shared" ca="1" si="59"/>
        <v>0</v>
      </c>
      <c r="U23" s="304">
        <f t="shared" ca="1" si="59"/>
        <v>-16.424300295040968</v>
      </c>
      <c r="V23" s="304">
        <f t="shared" ca="1" si="59"/>
        <v>-0.95896743911404625</v>
      </c>
      <c r="W23" s="304">
        <f t="shared" ca="1" si="59"/>
        <v>0</v>
      </c>
      <c r="X23" s="304">
        <f t="shared" ca="1" si="60"/>
        <v>0</v>
      </c>
      <c r="Y23" s="304">
        <f t="shared" ca="1" si="60"/>
        <v>0</v>
      </c>
      <c r="Z23" s="304">
        <f t="shared" ca="1" si="60"/>
        <v>0</v>
      </c>
      <c r="AA23" s="304">
        <f t="shared" ca="1" si="59"/>
        <v>0</v>
      </c>
      <c r="AB23" s="304">
        <f t="shared" ca="1" si="59"/>
        <v>0</v>
      </c>
      <c r="AC23" s="304">
        <f t="shared" ca="1" si="59"/>
        <v>0</v>
      </c>
      <c r="AD23" s="304">
        <f t="shared" ca="1" si="59"/>
        <v>0</v>
      </c>
      <c r="AE23" s="304">
        <f t="shared" ca="1" si="59"/>
        <v>0</v>
      </c>
      <c r="AF23" s="304">
        <f t="shared" ca="1" si="59"/>
        <v>0</v>
      </c>
      <c r="AG23" s="304">
        <f t="shared" ca="1" si="59"/>
        <v>0</v>
      </c>
      <c r="AH23" s="305">
        <f t="shared" ca="1" si="5"/>
        <v>-24.925949062535878</v>
      </c>
      <c r="AJ23" s="312">
        <f t="shared" ca="1" si="61"/>
        <v>0</v>
      </c>
      <c r="AK23" s="312">
        <f t="shared" ca="1" si="61"/>
        <v>0</v>
      </c>
      <c r="AL23" s="312">
        <f t="shared" ca="1" si="61"/>
        <v>0</v>
      </c>
      <c r="AM23" s="312">
        <f t="shared" ca="1" si="61"/>
        <v>0</v>
      </c>
      <c r="AN23" s="312">
        <f t="shared" ca="1" si="61"/>
        <v>0</v>
      </c>
      <c r="AO23" s="312">
        <f t="shared" ca="1" si="61"/>
        <v>0</v>
      </c>
      <c r="AP23" s="312">
        <f t="shared" ca="1" si="61"/>
        <v>0</v>
      </c>
      <c r="AQ23" s="312">
        <f t="shared" ca="1" si="61"/>
        <v>0</v>
      </c>
      <c r="AR23" s="312">
        <f t="shared" ca="1" si="61"/>
        <v>0</v>
      </c>
      <c r="AS23" s="312">
        <f t="shared" ca="1" si="59"/>
        <v>0</v>
      </c>
      <c r="AT23" s="312">
        <f t="shared" ca="1" si="59"/>
        <v>0</v>
      </c>
      <c r="AU23" s="312">
        <f t="shared" ca="1" si="59"/>
        <v>0</v>
      </c>
      <c r="AV23" s="312">
        <f t="shared" ca="1" si="59"/>
        <v>0</v>
      </c>
      <c r="AW23" s="312">
        <f t="shared" ca="1" si="59"/>
        <v>0</v>
      </c>
      <c r="AX23" s="312">
        <f t="shared" ca="1" si="59"/>
        <v>0</v>
      </c>
      <c r="AY23" s="266">
        <f t="shared" ca="1" si="8"/>
        <v>0</v>
      </c>
      <c r="BA23" s="308">
        <f t="shared" ca="1" si="62"/>
        <v>0</v>
      </c>
      <c r="BB23" s="308">
        <f t="shared" ca="1" si="62"/>
        <v>0</v>
      </c>
      <c r="BC23" s="309">
        <f t="shared" ca="1" si="10"/>
        <v>0</v>
      </c>
      <c r="BE23" s="135">
        <f t="shared" ca="1" si="11"/>
        <v>0</v>
      </c>
      <c r="BF23" s="135"/>
      <c r="BG23" s="1428"/>
      <c r="BH23" s="541">
        <f t="shared" ca="1" si="63"/>
        <v>4.345816933538754</v>
      </c>
      <c r="BI23" s="542">
        <f t="shared" ca="1" si="63"/>
        <v>5.4105249260518774E-3</v>
      </c>
      <c r="BJ23" s="542">
        <f t="shared" ca="1" si="63"/>
        <v>7.8190151607129332E-2</v>
      </c>
      <c r="BK23" s="542">
        <f t="shared" ca="1" si="63"/>
        <v>0</v>
      </c>
      <c r="BL23" s="542">
        <f t="shared" ca="1" si="63"/>
        <v>0</v>
      </c>
      <c r="BM23" s="542">
        <f t="shared" ca="1" si="63"/>
        <v>0</v>
      </c>
      <c r="BN23" s="542">
        <f t="shared" ca="1" si="63"/>
        <v>0</v>
      </c>
      <c r="BO23" s="542">
        <f t="shared" ca="1" si="63"/>
        <v>0</v>
      </c>
      <c r="BP23" s="542">
        <f t="shared" ca="1" si="63"/>
        <v>0</v>
      </c>
      <c r="BQ23" s="542">
        <f t="shared" ca="1" si="63"/>
        <v>0</v>
      </c>
      <c r="BR23" s="542">
        <f t="shared" ca="1" si="64"/>
        <v>0</v>
      </c>
      <c r="BS23" s="542">
        <f t="shared" ca="1" si="64"/>
        <v>0</v>
      </c>
      <c r="BT23" s="542">
        <f t="shared" ca="1" si="64"/>
        <v>0</v>
      </c>
      <c r="BU23" s="542">
        <f t="shared" ca="1" si="64"/>
        <v>0</v>
      </c>
      <c r="BV23" s="542">
        <f t="shared" ca="1" si="64"/>
        <v>0</v>
      </c>
      <c r="BW23" s="542">
        <f t="shared" ca="1" si="64"/>
        <v>0</v>
      </c>
      <c r="BX23" s="542">
        <f t="shared" ca="1" si="64"/>
        <v>0</v>
      </c>
      <c r="BY23" s="542">
        <f t="shared" ca="1" si="64"/>
        <v>0</v>
      </c>
      <c r="BZ23" s="542">
        <f t="shared" ca="1" si="64"/>
        <v>0</v>
      </c>
      <c r="CA23" s="542">
        <f t="shared" ca="1" si="64"/>
        <v>0</v>
      </c>
      <c r="CB23" s="542">
        <f t="shared" ca="1" si="65"/>
        <v>0</v>
      </c>
      <c r="CC23" s="542">
        <f t="shared" ca="1" si="65"/>
        <v>0</v>
      </c>
      <c r="CD23" s="542">
        <f t="shared" ca="1" si="65"/>
        <v>0</v>
      </c>
      <c r="CE23" s="542">
        <f t="shared" ca="1" si="65"/>
        <v>0</v>
      </c>
      <c r="CF23" s="542">
        <f t="shared" ca="1" si="65"/>
        <v>0</v>
      </c>
      <c r="CG23" s="542">
        <f t="shared" ca="1" si="65"/>
        <v>0</v>
      </c>
      <c r="CH23" s="542">
        <f t="shared" ca="1" si="65"/>
        <v>0</v>
      </c>
      <c r="CI23" s="542">
        <f t="shared" ca="1" si="65"/>
        <v>0</v>
      </c>
      <c r="CJ23" s="542">
        <f t="shared" ca="1" si="65"/>
        <v>0</v>
      </c>
      <c r="CK23" s="542">
        <f t="shared" ca="1" si="65"/>
        <v>0</v>
      </c>
      <c r="CL23" s="542">
        <f t="shared" ca="1" si="66"/>
        <v>0</v>
      </c>
      <c r="CM23" s="542">
        <f t="shared" ca="1" si="66"/>
        <v>0</v>
      </c>
      <c r="CN23" s="542">
        <f t="shared" ca="1" si="66"/>
        <v>0</v>
      </c>
      <c r="CO23" s="542">
        <f t="shared" ca="1" si="66"/>
        <v>0</v>
      </c>
      <c r="CP23" s="542">
        <f t="shared" ca="1" si="66"/>
        <v>0</v>
      </c>
      <c r="CQ23" s="542">
        <f t="shared" ca="1" si="66"/>
        <v>0</v>
      </c>
      <c r="CR23" s="542">
        <f t="shared" ca="1" si="66"/>
        <v>0</v>
      </c>
      <c r="CS23" s="542">
        <f t="shared" ca="1" si="66"/>
        <v>0</v>
      </c>
      <c r="CT23" s="542">
        <f t="shared" ca="1" si="66"/>
        <v>0</v>
      </c>
      <c r="CU23" s="542">
        <f t="shared" ca="1" si="66"/>
        <v>0</v>
      </c>
      <c r="CW23" s="151">
        <f t="shared" ca="1" si="37"/>
        <v>4.429417610071936</v>
      </c>
    </row>
    <row r="24" spans="1:101" s="84" customFormat="1" ht="15.75" x14ac:dyDescent="0.2">
      <c r="A24" s="18"/>
      <c r="B24" s="89"/>
      <c r="C24" s="85" t="s">
        <v>232</v>
      </c>
      <c r="D24" s="57" t="str">
        <f>INDEX(Workstreams[Workstream], MATCH($C24, Workstreams[Code], 0))</f>
        <v>Transport</v>
      </c>
      <c r="E24" s="53"/>
      <c r="G24" s="300">
        <f ca="1">G22+G23</f>
        <v>0</v>
      </c>
      <c r="H24" s="300">
        <f t="shared" ref="H24:AG24" ca="1" si="67">H22+H23</f>
        <v>0</v>
      </c>
      <c r="I24" s="300">
        <f t="shared" ca="1" si="67"/>
        <v>0</v>
      </c>
      <c r="J24" s="300">
        <f t="shared" ca="1" si="67"/>
        <v>0</v>
      </c>
      <c r="K24" s="300">
        <f t="shared" ca="1" si="67"/>
        <v>91.616521511184374</v>
      </c>
      <c r="L24" s="300">
        <f t="shared" ca="1" si="67"/>
        <v>55.17577889636857</v>
      </c>
      <c r="M24" s="300">
        <f t="shared" ca="1" si="67"/>
        <v>0</v>
      </c>
      <c r="N24" s="300">
        <f t="shared" ca="1" si="67"/>
        <v>3.6177434403834546E-13</v>
      </c>
      <c r="O24" s="300">
        <f t="shared" ca="1" si="67"/>
        <v>4.5715932981774268</v>
      </c>
      <c r="P24" s="300">
        <f t="shared" ca="1" si="67"/>
        <v>151.36389370573073</v>
      </c>
      <c r="Q24" s="300">
        <f t="shared" si="67"/>
        <v>0</v>
      </c>
      <c r="R24" s="300">
        <f t="shared" ca="1" si="67"/>
        <v>-13.766270468054703</v>
      </c>
      <c r="S24" s="300">
        <f t="shared" ca="1" si="67"/>
        <v>0</v>
      </c>
      <c r="T24" s="300">
        <f t="shared" ca="1" si="67"/>
        <v>0</v>
      </c>
      <c r="U24" s="300">
        <f t="shared" ca="1" si="67"/>
        <v>-131.80589641574593</v>
      </c>
      <c r="V24" s="300">
        <f t="shared" ca="1" si="67"/>
        <v>-5.791726821930097</v>
      </c>
      <c r="W24" s="300">
        <f t="shared" ca="1" si="67"/>
        <v>0</v>
      </c>
      <c r="X24" s="300">
        <f t="shared" ca="1" si="67"/>
        <v>0</v>
      </c>
      <c r="Y24" s="300">
        <f t="shared" ca="1" si="67"/>
        <v>0</v>
      </c>
      <c r="Z24" s="300">
        <f t="shared" ca="1" si="67"/>
        <v>0</v>
      </c>
      <c r="AA24" s="300">
        <f t="shared" ca="1" si="67"/>
        <v>0</v>
      </c>
      <c r="AB24" s="300">
        <f t="shared" ca="1" si="67"/>
        <v>0</v>
      </c>
      <c r="AC24" s="300">
        <f t="shared" ca="1" si="67"/>
        <v>0</v>
      </c>
      <c r="AD24" s="300">
        <f t="shared" ca="1" si="67"/>
        <v>0</v>
      </c>
      <c r="AE24" s="300">
        <f t="shared" ca="1" si="67"/>
        <v>0</v>
      </c>
      <c r="AF24" s="300">
        <f t="shared" ca="1" si="67"/>
        <v>0</v>
      </c>
      <c r="AG24" s="300">
        <f t="shared" ca="1" si="67"/>
        <v>0</v>
      </c>
      <c r="AH24" s="257">
        <f t="shared" ca="1" si="5"/>
        <v>-151.36389370573073</v>
      </c>
      <c r="AJ24" s="263">
        <f ca="1">AJ22+AJ23</f>
        <v>0</v>
      </c>
      <c r="AK24" s="263">
        <f t="shared" ref="AK24:BB24" ca="1" si="68">AK22+AK23</f>
        <v>0</v>
      </c>
      <c r="AL24" s="263">
        <f t="shared" ca="1" si="68"/>
        <v>0</v>
      </c>
      <c r="AM24" s="263">
        <f t="shared" ca="1" si="68"/>
        <v>0</v>
      </c>
      <c r="AN24" s="263">
        <f t="shared" ca="1" si="68"/>
        <v>0</v>
      </c>
      <c r="AO24" s="263">
        <f t="shared" ca="1" si="68"/>
        <v>0</v>
      </c>
      <c r="AP24" s="263">
        <f t="shared" ca="1" si="68"/>
        <v>0</v>
      </c>
      <c r="AQ24" s="263">
        <f t="shared" ca="1" si="68"/>
        <v>0</v>
      </c>
      <c r="AR24" s="263">
        <f t="shared" ca="1" si="68"/>
        <v>0</v>
      </c>
      <c r="AS24" s="263">
        <f t="shared" ca="1" si="68"/>
        <v>0</v>
      </c>
      <c r="AT24" s="263">
        <f t="shared" ca="1" si="68"/>
        <v>0</v>
      </c>
      <c r="AU24" s="263">
        <f t="shared" ca="1" si="68"/>
        <v>0</v>
      </c>
      <c r="AV24" s="263">
        <f t="shared" ca="1" si="68"/>
        <v>0</v>
      </c>
      <c r="AW24" s="263">
        <f t="shared" ca="1" si="68"/>
        <v>0</v>
      </c>
      <c r="AX24" s="263">
        <f t="shared" ca="1" si="68"/>
        <v>0</v>
      </c>
      <c r="AY24" s="263">
        <f t="shared" ca="1" si="68"/>
        <v>0</v>
      </c>
      <c r="AZ24" s="263">
        <f t="shared" si="68"/>
        <v>0</v>
      </c>
      <c r="BA24" s="263">
        <f t="shared" ca="1" si="68"/>
        <v>0</v>
      </c>
      <c r="BB24" s="263">
        <f t="shared" ca="1" si="68"/>
        <v>0</v>
      </c>
      <c r="BC24" s="277">
        <f t="shared" ca="1" si="10"/>
        <v>0</v>
      </c>
      <c r="BE24" s="55">
        <f t="shared" ca="1" si="11"/>
        <v>0</v>
      </c>
      <c r="BF24" s="55"/>
      <c r="BG24" s="1428"/>
      <c r="BH24" s="542">
        <f ca="1">BH22+BH23</f>
        <v>33.191215963714995</v>
      </c>
      <c r="BI24" s="542">
        <f t="shared" ref="BI24:CV24" ca="1" si="69">BI22+BI23</f>
        <v>4.1322932844163607E-2</v>
      </c>
      <c r="BJ24" s="542">
        <f t="shared" ca="1" si="69"/>
        <v>0.59717798699693048</v>
      </c>
      <c r="BK24" s="542">
        <f t="shared" ca="1" si="69"/>
        <v>0</v>
      </c>
      <c r="BL24" s="542">
        <f t="shared" ca="1" si="69"/>
        <v>0</v>
      </c>
      <c r="BM24" s="542">
        <f t="shared" ca="1" si="69"/>
        <v>0</v>
      </c>
      <c r="BN24" s="542">
        <f t="shared" ca="1" si="69"/>
        <v>0</v>
      </c>
      <c r="BO24" s="542">
        <f t="shared" ca="1" si="69"/>
        <v>0</v>
      </c>
      <c r="BP24" s="542">
        <f t="shared" ca="1" si="69"/>
        <v>0</v>
      </c>
      <c r="BQ24" s="542">
        <f t="shared" ca="1" si="69"/>
        <v>0</v>
      </c>
      <c r="BR24" s="542">
        <f t="shared" ca="1" si="69"/>
        <v>0</v>
      </c>
      <c r="BS24" s="542">
        <f t="shared" ca="1" si="69"/>
        <v>0</v>
      </c>
      <c r="BT24" s="542">
        <f t="shared" ca="1" si="69"/>
        <v>0</v>
      </c>
      <c r="BU24" s="542">
        <f t="shared" ca="1" si="69"/>
        <v>0</v>
      </c>
      <c r="BV24" s="542">
        <f t="shared" ca="1" si="69"/>
        <v>0</v>
      </c>
      <c r="BW24" s="542">
        <f t="shared" ca="1" si="69"/>
        <v>0</v>
      </c>
      <c r="BX24" s="542">
        <f t="shared" ca="1" si="69"/>
        <v>0</v>
      </c>
      <c r="BY24" s="542">
        <f t="shared" ca="1" si="69"/>
        <v>0</v>
      </c>
      <c r="BZ24" s="542">
        <f t="shared" ca="1" si="69"/>
        <v>0</v>
      </c>
      <c r="CA24" s="542">
        <f t="shared" ca="1" si="69"/>
        <v>0</v>
      </c>
      <c r="CB24" s="542">
        <f t="shared" ca="1" si="69"/>
        <v>0</v>
      </c>
      <c r="CC24" s="542">
        <f t="shared" ca="1" si="69"/>
        <v>0</v>
      </c>
      <c r="CD24" s="542">
        <f t="shared" ca="1" si="69"/>
        <v>0</v>
      </c>
      <c r="CE24" s="542">
        <f t="shared" ca="1" si="69"/>
        <v>0</v>
      </c>
      <c r="CF24" s="542">
        <f t="shared" ca="1" si="69"/>
        <v>0</v>
      </c>
      <c r="CG24" s="542">
        <f t="shared" ca="1" si="69"/>
        <v>0</v>
      </c>
      <c r="CH24" s="542">
        <f t="shared" ca="1" si="69"/>
        <v>0</v>
      </c>
      <c r="CI24" s="542">
        <f t="shared" ca="1" si="69"/>
        <v>0</v>
      </c>
      <c r="CJ24" s="542">
        <f t="shared" ca="1" si="69"/>
        <v>0</v>
      </c>
      <c r="CK24" s="542">
        <f t="shared" ca="1" si="69"/>
        <v>0</v>
      </c>
      <c r="CL24" s="542">
        <f t="shared" ca="1" si="69"/>
        <v>0</v>
      </c>
      <c r="CM24" s="542">
        <f t="shared" ca="1" si="69"/>
        <v>0</v>
      </c>
      <c r="CN24" s="542">
        <f t="shared" ca="1" si="69"/>
        <v>0</v>
      </c>
      <c r="CO24" s="542">
        <f t="shared" ca="1" si="69"/>
        <v>0</v>
      </c>
      <c r="CP24" s="542">
        <f t="shared" ca="1" si="69"/>
        <v>0</v>
      </c>
      <c r="CQ24" s="542">
        <f t="shared" ca="1" si="69"/>
        <v>0</v>
      </c>
      <c r="CR24" s="542">
        <f t="shared" ca="1" si="69"/>
        <v>0</v>
      </c>
      <c r="CS24" s="542">
        <f t="shared" ca="1" si="69"/>
        <v>0</v>
      </c>
      <c r="CT24" s="542">
        <f t="shared" ca="1" si="69"/>
        <v>0</v>
      </c>
      <c r="CU24" s="542">
        <f t="shared" ca="1" si="69"/>
        <v>0</v>
      </c>
      <c r="CV24" s="542">
        <f t="shared" si="69"/>
        <v>0</v>
      </c>
      <c r="CW24" s="151">
        <f t="shared" ca="1" si="37"/>
        <v>33.829716883556088</v>
      </c>
    </row>
    <row r="25" spans="1:101" s="84" customFormat="1" ht="12.75" customHeight="1" outlineLevel="1" x14ac:dyDescent="0.2">
      <c r="A25" s="18"/>
      <c r="B25" s="18"/>
      <c r="C25" s="87"/>
      <c r="D25" s="53"/>
      <c r="E25" s="53"/>
      <c r="G25" s="300"/>
      <c r="H25" s="300"/>
      <c r="I25" s="300"/>
      <c r="J25" s="300"/>
      <c r="K25" s="300"/>
      <c r="L25" s="300"/>
      <c r="M25" s="300"/>
      <c r="N25" s="300"/>
      <c r="O25" s="300"/>
      <c r="P25" s="300">
        <f t="shared" ref="P25:P56" si="70">SUM(G25:O25)</f>
        <v>0</v>
      </c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>
        <f t="shared" si="5"/>
        <v>0</v>
      </c>
      <c r="AJ25" s="263"/>
      <c r="AK25" s="263"/>
      <c r="AL25" s="263"/>
      <c r="AM25" s="263"/>
      <c r="AN25" s="263"/>
      <c r="AO25" s="263"/>
      <c r="AP25" s="263"/>
      <c r="AQ25" s="263"/>
      <c r="AR25" s="263"/>
      <c r="AS25" s="263"/>
      <c r="AT25" s="263"/>
      <c r="AU25" s="263"/>
      <c r="AV25" s="263"/>
      <c r="AW25" s="263"/>
      <c r="AX25" s="263"/>
      <c r="AY25" s="263">
        <f>SUM(AJ25:AX25)</f>
        <v>0</v>
      </c>
      <c r="BA25" s="277"/>
      <c r="BB25" s="277"/>
      <c r="BC25" s="277">
        <f t="shared" si="10"/>
        <v>0</v>
      </c>
      <c r="BE25" s="55">
        <f t="shared" si="11"/>
        <v>0</v>
      </c>
      <c r="BF25" s="55"/>
      <c r="BG25" s="18"/>
      <c r="BH25" s="542"/>
      <c r="BI25" s="542"/>
      <c r="BJ25" s="542"/>
      <c r="BK25" s="542"/>
      <c r="BL25" s="542"/>
      <c r="BM25" s="542"/>
      <c r="BN25" s="542"/>
      <c r="BO25" s="542"/>
      <c r="BP25" s="542"/>
      <c r="BQ25" s="542"/>
      <c r="BR25" s="542"/>
      <c r="BS25" s="542"/>
      <c r="BT25" s="542"/>
      <c r="BU25" s="542"/>
      <c r="BV25" s="542"/>
      <c r="BW25" s="542"/>
      <c r="BX25" s="542"/>
      <c r="BY25" s="542"/>
      <c r="BZ25" s="542"/>
      <c r="CA25" s="542"/>
      <c r="CB25" s="542"/>
      <c r="CC25" s="542"/>
      <c r="CD25" s="542"/>
      <c r="CE25" s="542"/>
      <c r="CF25" s="542"/>
      <c r="CG25" s="542"/>
      <c r="CH25" s="542"/>
      <c r="CI25" s="542"/>
      <c r="CJ25" s="542"/>
      <c r="CK25" s="542"/>
      <c r="CL25" s="542"/>
      <c r="CM25" s="542"/>
      <c r="CN25" s="542"/>
      <c r="CO25" s="542"/>
      <c r="CP25" s="542"/>
      <c r="CQ25" s="542"/>
      <c r="CR25" s="542"/>
      <c r="CS25" s="542"/>
      <c r="CT25" s="542"/>
      <c r="CU25" s="542"/>
      <c r="CW25" s="151">
        <f t="shared" si="37"/>
        <v>0</v>
      </c>
    </row>
    <row r="26" spans="1:101" s="84" customFormat="1" ht="12.75" customHeight="1" outlineLevel="1" x14ac:dyDescent="0.2">
      <c r="A26" s="18"/>
      <c r="B26" s="18"/>
      <c r="C26" s="87"/>
      <c r="D26" s="53"/>
      <c r="E26" s="53"/>
      <c r="G26" s="300"/>
      <c r="H26" s="300"/>
      <c r="I26" s="300"/>
      <c r="J26" s="300"/>
      <c r="K26" s="300"/>
      <c r="L26" s="300"/>
      <c r="M26" s="300"/>
      <c r="N26" s="300"/>
      <c r="O26" s="300"/>
      <c r="P26" s="300">
        <f t="shared" si="70"/>
        <v>0</v>
      </c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>
        <f t="shared" si="5"/>
        <v>0</v>
      </c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3"/>
      <c r="AY26" s="263">
        <f>SUM(AJ26:AX26)</f>
        <v>0</v>
      </c>
      <c r="BA26" s="277"/>
      <c r="BB26" s="277"/>
      <c r="BC26" s="277">
        <f t="shared" si="10"/>
        <v>0</v>
      </c>
      <c r="BE26" s="55">
        <f t="shared" si="11"/>
        <v>0</v>
      </c>
      <c r="BF26" s="55"/>
      <c r="BG26" s="18"/>
      <c r="BH26" s="541"/>
      <c r="BI26" s="542"/>
      <c r="BJ26" s="542"/>
      <c r="BK26" s="542"/>
      <c r="BL26" s="542"/>
      <c r="BM26" s="542"/>
      <c r="BN26" s="542"/>
      <c r="BO26" s="542"/>
      <c r="BP26" s="542"/>
      <c r="BQ26" s="542"/>
      <c r="BR26" s="542"/>
      <c r="BS26" s="542"/>
      <c r="BT26" s="542"/>
      <c r="BU26" s="542"/>
      <c r="BV26" s="542"/>
      <c r="BW26" s="542"/>
      <c r="BX26" s="542"/>
      <c r="BY26" s="542"/>
      <c r="BZ26" s="542"/>
      <c r="CA26" s="542"/>
      <c r="CB26" s="542"/>
      <c r="CC26" s="542"/>
      <c r="CD26" s="542"/>
      <c r="CE26" s="542"/>
      <c r="CF26" s="542"/>
      <c r="CG26" s="542"/>
      <c r="CH26" s="542"/>
      <c r="CI26" s="542"/>
      <c r="CJ26" s="542"/>
      <c r="CK26" s="542"/>
      <c r="CL26" s="542"/>
      <c r="CM26" s="542"/>
      <c r="CN26" s="542"/>
      <c r="CO26" s="542"/>
      <c r="CP26" s="542"/>
      <c r="CQ26" s="542"/>
      <c r="CR26" s="542"/>
      <c r="CS26" s="542"/>
      <c r="CT26" s="542"/>
      <c r="CU26" s="542"/>
      <c r="CW26" s="151">
        <f t="shared" si="37"/>
        <v>0</v>
      </c>
    </row>
    <row r="27" spans="1:101" s="84" customFormat="1" ht="7.5" customHeight="1" x14ac:dyDescent="0.2">
      <c r="C27" s="56"/>
      <c r="D27" s="57"/>
      <c r="E27" s="51"/>
      <c r="G27" s="300"/>
      <c r="H27" s="300"/>
      <c r="I27" s="300"/>
      <c r="J27" s="300"/>
      <c r="K27" s="300"/>
      <c r="L27" s="300"/>
      <c r="M27" s="300"/>
      <c r="N27" s="300"/>
      <c r="O27" s="300"/>
      <c r="P27" s="300">
        <f t="shared" si="70"/>
        <v>0</v>
      </c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>
        <f t="shared" si="5"/>
        <v>0</v>
      </c>
      <c r="AJ27" s="263"/>
      <c r="AK27" s="263"/>
      <c r="AL27" s="263"/>
      <c r="AM27" s="263"/>
      <c r="AN27" s="263"/>
      <c r="AO27" s="263"/>
      <c r="AP27" s="263"/>
      <c r="AQ27" s="263"/>
      <c r="AR27" s="263"/>
      <c r="AS27" s="263"/>
      <c r="AT27" s="263"/>
      <c r="AU27" s="263"/>
      <c r="AV27" s="263"/>
      <c r="AW27" s="263"/>
      <c r="AX27" s="263"/>
      <c r="AY27" s="263">
        <f>SUM(AJ27:AX27)</f>
        <v>0</v>
      </c>
      <c r="BA27" s="277"/>
      <c r="BB27" s="277"/>
      <c r="BC27" s="277">
        <f t="shared" si="10"/>
        <v>0</v>
      </c>
      <c r="BE27" s="55">
        <f t="shared" si="11"/>
        <v>0</v>
      </c>
      <c r="BF27" s="55"/>
      <c r="BH27" s="542"/>
      <c r="BI27" s="542"/>
      <c r="BJ27" s="542"/>
      <c r="BK27" s="542"/>
      <c r="BL27" s="542"/>
      <c r="BM27" s="542"/>
      <c r="BN27" s="542"/>
      <c r="BO27" s="542"/>
      <c r="BP27" s="542"/>
      <c r="BQ27" s="542"/>
      <c r="BR27" s="542"/>
      <c r="BS27" s="542"/>
      <c r="BT27" s="542"/>
      <c r="BU27" s="542"/>
      <c r="BV27" s="542"/>
      <c r="BW27" s="542"/>
      <c r="BX27" s="542"/>
      <c r="BY27" s="542"/>
      <c r="BZ27" s="542"/>
      <c r="CA27" s="542"/>
      <c r="CB27" s="542"/>
      <c r="CC27" s="542"/>
      <c r="CD27" s="542"/>
      <c r="CE27" s="542"/>
      <c r="CF27" s="542"/>
      <c r="CG27" s="542"/>
      <c r="CH27" s="542"/>
      <c r="CI27" s="542"/>
      <c r="CJ27" s="542"/>
      <c r="CK27" s="542"/>
      <c r="CL27" s="542"/>
      <c r="CM27" s="542"/>
      <c r="CN27" s="542"/>
      <c r="CO27" s="542"/>
      <c r="CP27" s="542"/>
      <c r="CQ27" s="542"/>
      <c r="CR27" s="542"/>
      <c r="CS27" s="542"/>
      <c r="CT27" s="542"/>
      <c r="CU27" s="542"/>
      <c r="CW27" s="151"/>
    </row>
    <row r="28" spans="1:101" s="84" customFormat="1" ht="15.75" x14ac:dyDescent="0.2">
      <c r="B28" s="89"/>
      <c r="C28" s="923" t="s">
        <v>883</v>
      </c>
      <c r="D28" s="69" t="s">
        <v>190</v>
      </c>
      <c r="E28" s="70"/>
      <c r="G28" s="302">
        <f ca="1">G$13+G$17+G$20+G$24</f>
        <v>77.828245025810716</v>
      </c>
      <c r="H28" s="302">
        <f t="shared" ref="H28:AG28" ca="1" si="71">H$13+H$17+H$20+H$24</f>
        <v>143.64019818412442</v>
      </c>
      <c r="I28" s="302">
        <f t="shared" ca="1" si="71"/>
        <v>257.93373420427446</v>
      </c>
      <c r="J28" s="302">
        <f t="shared" ca="1" si="71"/>
        <v>91.160322190921491</v>
      </c>
      <c r="K28" s="302">
        <f t="shared" ca="1" si="71"/>
        <v>91.616521511184374</v>
      </c>
      <c r="L28" s="302">
        <f t="shared" ca="1" si="71"/>
        <v>55.17577889636857</v>
      </c>
      <c r="M28" s="302">
        <f t="shared" ca="1" si="71"/>
        <v>0</v>
      </c>
      <c r="N28" s="302">
        <f t="shared" ca="1" si="71"/>
        <v>3.6177434403834546E-13</v>
      </c>
      <c r="O28" s="302">
        <f t="shared" ca="1" si="71"/>
        <v>4.5715932981774268</v>
      </c>
      <c r="P28" s="300">
        <f t="shared" ca="1" si="70"/>
        <v>721.92639331086173</v>
      </c>
      <c r="Q28" s="302">
        <f t="shared" si="71"/>
        <v>0</v>
      </c>
      <c r="R28" s="302">
        <f t="shared" ca="1" si="71"/>
        <v>-283.09514147122042</v>
      </c>
      <c r="S28" s="302">
        <f t="shared" ca="1" si="71"/>
        <v>0</v>
      </c>
      <c r="T28" s="302">
        <f t="shared" ca="1" si="71"/>
        <v>-2.5566586608648891</v>
      </c>
      <c r="U28" s="302">
        <f t="shared" ca="1" si="71"/>
        <v>-190.03460265095552</v>
      </c>
      <c r="V28" s="302">
        <f t="shared" ca="1" si="71"/>
        <v>-92.469472142875361</v>
      </c>
      <c r="W28" s="302">
        <f t="shared" ca="1" si="71"/>
        <v>-153.77051838494572</v>
      </c>
      <c r="X28" s="302">
        <f t="shared" ca="1" si="71"/>
        <v>0</v>
      </c>
      <c r="Y28" s="302">
        <f t="shared" ca="1" si="71"/>
        <v>0</v>
      </c>
      <c r="Z28" s="302">
        <f t="shared" ca="1" si="71"/>
        <v>0</v>
      </c>
      <c r="AA28" s="302">
        <f t="shared" ca="1" si="71"/>
        <v>0</v>
      </c>
      <c r="AB28" s="302">
        <f t="shared" ca="1" si="71"/>
        <v>0</v>
      </c>
      <c r="AC28" s="302">
        <f t="shared" ca="1" si="71"/>
        <v>0</v>
      </c>
      <c r="AD28" s="302">
        <f t="shared" ca="1" si="71"/>
        <v>0</v>
      </c>
      <c r="AE28" s="302">
        <f t="shared" ca="1" si="71"/>
        <v>0</v>
      </c>
      <c r="AF28" s="302">
        <f t="shared" ca="1" si="71"/>
        <v>0</v>
      </c>
      <c r="AG28" s="302">
        <f t="shared" ca="1" si="71"/>
        <v>0</v>
      </c>
      <c r="AH28" s="294">
        <f t="shared" ca="1" si="5"/>
        <v>-721.92639331086195</v>
      </c>
      <c r="AJ28" s="295">
        <f ca="1">AJ$13+AJ$17+AJ$20+AJ$24</f>
        <v>0</v>
      </c>
      <c r="AK28" s="295">
        <f t="shared" ref="AK28:BD28" ca="1" si="72">AK$13+AK$17+AK$20+AK$24</f>
        <v>0</v>
      </c>
      <c r="AL28" s="295">
        <f t="shared" ca="1" si="72"/>
        <v>0</v>
      </c>
      <c r="AM28" s="295">
        <f t="shared" ca="1" si="72"/>
        <v>0</v>
      </c>
      <c r="AN28" s="295">
        <f t="shared" ca="1" si="72"/>
        <v>0</v>
      </c>
      <c r="AO28" s="295">
        <f t="shared" ca="1" si="72"/>
        <v>0</v>
      </c>
      <c r="AP28" s="295">
        <f t="shared" ca="1" si="72"/>
        <v>0</v>
      </c>
      <c r="AQ28" s="295">
        <f t="shared" ca="1" si="72"/>
        <v>0</v>
      </c>
      <c r="AR28" s="295">
        <f t="shared" ca="1" si="72"/>
        <v>0</v>
      </c>
      <c r="AS28" s="295">
        <f t="shared" ca="1" si="72"/>
        <v>0</v>
      </c>
      <c r="AT28" s="295">
        <f t="shared" ca="1" si="72"/>
        <v>0</v>
      </c>
      <c r="AU28" s="295">
        <f t="shared" ca="1" si="72"/>
        <v>0</v>
      </c>
      <c r="AV28" s="295">
        <f t="shared" ca="1" si="72"/>
        <v>0</v>
      </c>
      <c r="AW28" s="295">
        <f t="shared" ca="1" si="72"/>
        <v>0</v>
      </c>
      <c r="AX28" s="295">
        <f t="shared" ca="1" si="72"/>
        <v>0</v>
      </c>
      <c r="AY28" s="295">
        <f t="shared" ca="1" si="72"/>
        <v>0</v>
      </c>
      <c r="AZ28" s="295">
        <f t="shared" si="72"/>
        <v>0</v>
      </c>
      <c r="BA28" s="295">
        <f t="shared" ca="1" si="72"/>
        <v>0</v>
      </c>
      <c r="BB28" s="295">
        <f t="shared" ca="1" si="72"/>
        <v>0</v>
      </c>
      <c r="BC28" s="277">
        <f t="shared" ca="1" si="10"/>
        <v>0</v>
      </c>
      <c r="BD28" s="295">
        <f t="shared" si="72"/>
        <v>0</v>
      </c>
      <c r="BE28" s="58">
        <f t="shared" ca="1" si="11"/>
        <v>-2.2737367544323206E-13</v>
      </c>
      <c r="BF28" s="58"/>
      <c r="BH28" s="546">
        <f ca="1">BH$13+BH$17+BH$20+BH$24</f>
        <v>64.484548529117703</v>
      </c>
      <c r="BI28" s="546">
        <f t="shared" ref="BI28:CU28" ca="1" si="73">BI$13+BI$17+BI$20+BI$24</f>
        <v>17.628605883517373</v>
      </c>
      <c r="BJ28" s="546">
        <f t="shared" ca="1" si="73"/>
        <v>18.271504015793699</v>
      </c>
      <c r="BK28" s="546">
        <f t="shared" ca="1" si="73"/>
        <v>0</v>
      </c>
      <c r="BL28" s="546">
        <f t="shared" ca="1" si="73"/>
        <v>0</v>
      </c>
      <c r="BM28" s="546">
        <f t="shared" ca="1" si="73"/>
        <v>0</v>
      </c>
      <c r="BN28" s="546">
        <f t="shared" ca="1" si="73"/>
        <v>0</v>
      </c>
      <c r="BO28" s="546">
        <f t="shared" ca="1" si="73"/>
        <v>0</v>
      </c>
      <c r="BP28" s="546">
        <f t="shared" ca="1" si="73"/>
        <v>14.853585635881387</v>
      </c>
      <c r="BQ28" s="546">
        <f t="shared" ca="1" si="73"/>
        <v>0.12917588690165421</v>
      </c>
      <c r="BR28" s="546">
        <f t="shared" ca="1" si="73"/>
        <v>3.3121341350380442</v>
      </c>
      <c r="BS28" s="546">
        <f t="shared" ca="1" si="73"/>
        <v>9.6197304422322389</v>
      </c>
      <c r="BT28" s="546">
        <f t="shared" ca="1" si="73"/>
        <v>0</v>
      </c>
      <c r="BU28" s="546">
        <f t="shared" ca="1" si="73"/>
        <v>0</v>
      </c>
      <c r="BV28" s="546">
        <f t="shared" ca="1" si="73"/>
        <v>0</v>
      </c>
      <c r="BW28" s="546">
        <f t="shared" ca="1" si="73"/>
        <v>0</v>
      </c>
      <c r="BX28" s="546">
        <f t="shared" ca="1" si="73"/>
        <v>0</v>
      </c>
      <c r="BY28" s="546">
        <f t="shared" ca="1" si="73"/>
        <v>0</v>
      </c>
      <c r="BZ28" s="546">
        <f t="shared" ca="1" si="73"/>
        <v>0</v>
      </c>
      <c r="CA28" s="546">
        <f t="shared" ca="1" si="73"/>
        <v>0</v>
      </c>
      <c r="CB28" s="546">
        <f t="shared" ca="1" si="73"/>
        <v>0</v>
      </c>
      <c r="CC28" s="546">
        <f t="shared" ca="1" si="73"/>
        <v>0</v>
      </c>
      <c r="CD28" s="546">
        <f t="shared" ca="1" si="73"/>
        <v>0</v>
      </c>
      <c r="CE28" s="546">
        <f t="shared" ca="1" si="73"/>
        <v>0</v>
      </c>
      <c r="CF28" s="546">
        <f t="shared" ca="1" si="73"/>
        <v>0</v>
      </c>
      <c r="CG28" s="546">
        <f t="shared" ca="1" si="73"/>
        <v>0</v>
      </c>
      <c r="CH28" s="546">
        <f t="shared" ca="1" si="73"/>
        <v>0</v>
      </c>
      <c r="CI28" s="546">
        <f t="shared" ca="1" si="73"/>
        <v>0</v>
      </c>
      <c r="CJ28" s="546">
        <f t="shared" ca="1" si="73"/>
        <v>0</v>
      </c>
      <c r="CK28" s="546">
        <f t="shared" ca="1" si="73"/>
        <v>0</v>
      </c>
      <c r="CL28" s="546">
        <f t="shared" ca="1" si="73"/>
        <v>0</v>
      </c>
      <c r="CM28" s="546">
        <f t="shared" ca="1" si="73"/>
        <v>0</v>
      </c>
      <c r="CN28" s="546">
        <f t="shared" ca="1" si="73"/>
        <v>0</v>
      </c>
      <c r="CO28" s="546">
        <f t="shared" ca="1" si="73"/>
        <v>0</v>
      </c>
      <c r="CP28" s="546">
        <f t="shared" ca="1" si="73"/>
        <v>0</v>
      </c>
      <c r="CQ28" s="546">
        <f t="shared" ca="1" si="73"/>
        <v>0</v>
      </c>
      <c r="CR28" s="546">
        <f t="shared" ca="1" si="73"/>
        <v>0</v>
      </c>
      <c r="CS28" s="546">
        <f t="shared" ca="1" si="73"/>
        <v>0</v>
      </c>
      <c r="CT28" s="546">
        <f t="shared" ca="1" si="73"/>
        <v>0</v>
      </c>
      <c r="CU28" s="546">
        <f t="shared" ca="1" si="73"/>
        <v>0</v>
      </c>
      <c r="CW28" s="148">
        <f ca="1">SUM(BH28:CU28)</f>
        <v>128.2992845284821</v>
      </c>
    </row>
    <row r="29" spans="1:101" s="84" customFormat="1" ht="6" customHeight="1" x14ac:dyDescent="0.2">
      <c r="C29" s="51"/>
      <c r="D29" s="51"/>
      <c r="E29" s="51"/>
      <c r="G29" s="245"/>
      <c r="H29" s="245"/>
      <c r="I29" s="245"/>
      <c r="J29" s="245"/>
      <c r="K29" s="245"/>
      <c r="L29" s="247"/>
      <c r="M29" s="245"/>
      <c r="N29" s="245"/>
      <c r="O29" s="245"/>
      <c r="P29" s="245">
        <f t="shared" si="70"/>
        <v>0</v>
      </c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>
        <f t="shared" si="5"/>
        <v>0</v>
      </c>
      <c r="AJ29" s="263"/>
      <c r="AK29" s="263"/>
      <c r="AL29" s="263"/>
      <c r="AM29" s="263"/>
      <c r="AN29" s="263"/>
      <c r="AO29" s="263"/>
      <c r="AP29" s="263"/>
      <c r="AQ29" s="263"/>
      <c r="AR29" s="263"/>
      <c r="AS29" s="263"/>
      <c r="AT29" s="263"/>
      <c r="AU29" s="263"/>
      <c r="AV29" s="263"/>
      <c r="AW29" s="263"/>
      <c r="AX29" s="263"/>
      <c r="AY29" s="263">
        <f t="shared" ref="AY29:AY60" si="74">SUM(AJ29:AX29)</f>
        <v>0</v>
      </c>
      <c r="BA29" s="277"/>
      <c r="BB29" s="277"/>
      <c r="BC29" s="277">
        <f t="shared" si="10"/>
        <v>0</v>
      </c>
      <c r="BE29" s="55">
        <f t="shared" si="11"/>
        <v>0</v>
      </c>
      <c r="BF29" s="55"/>
      <c r="BH29" s="542"/>
      <c r="BI29" s="542"/>
      <c r="BJ29" s="542"/>
      <c r="BK29" s="542"/>
      <c r="BL29" s="542"/>
      <c r="BM29" s="542"/>
      <c r="BN29" s="542"/>
      <c r="BO29" s="542"/>
      <c r="BP29" s="542"/>
      <c r="BQ29" s="542"/>
      <c r="BR29" s="542"/>
      <c r="BS29" s="542"/>
      <c r="BT29" s="542"/>
      <c r="BU29" s="542"/>
      <c r="BV29" s="542"/>
      <c r="BW29" s="542"/>
      <c r="BX29" s="542"/>
      <c r="BY29" s="542"/>
      <c r="BZ29" s="542"/>
      <c r="CA29" s="542"/>
      <c r="CB29" s="542"/>
      <c r="CC29" s="542"/>
      <c r="CD29" s="542"/>
      <c r="CE29" s="542"/>
      <c r="CF29" s="542"/>
      <c r="CG29" s="542"/>
      <c r="CH29" s="542"/>
      <c r="CI29" s="542"/>
      <c r="CJ29" s="542"/>
      <c r="CK29" s="542"/>
      <c r="CL29" s="542"/>
      <c r="CM29" s="542"/>
      <c r="CN29" s="542"/>
      <c r="CO29" s="542"/>
      <c r="CP29" s="542"/>
      <c r="CQ29" s="542"/>
      <c r="CR29" s="542"/>
      <c r="CS29" s="542"/>
      <c r="CT29" s="542"/>
      <c r="CU29" s="542"/>
      <c r="CW29" s="151"/>
    </row>
    <row r="30" spans="1:101" s="84" customFormat="1" ht="24" customHeight="1" x14ac:dyDescent="0.2">
      <c r="C30" s="45" t="s">
        <v>58</v>
      </c>
      <c r="D30" s="45"/>
      <c r="E30" s="68"/>
      <c r="G30" s="244"/>
      <c r="H30" s="244"/>
      <c r="I30" s="244"/>
      <c r="J30" s="244"/>
      <c r="K30" s="244"/>
      <c r="L30" s="244"/>
      <c r="M30" s="244"/>
      <c r="N30" s="244"/>
      <c r="O30" s="244"/>
      <c r="P30" s="244">
        <f t="shared" si="70"/>
        <v>0</v>
      </c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>
        <f t="shared" si="5"/>
        <v>0</v>
      </c>
      <c r="AJ30" s="262"/>
      <c r="AK30" s="262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>
        <f t="shared" si="74"/>
        <v>0</v>
      </c>
      <c r="BA30" s="276"/>
      <c r="BB30" s="276"/>
      <c r="BC30" s="276">
        <f t="shared" si="10"/>
        <v>0</v>
      </c>
      <c r="BE30" s="54">
        <f t="shared" si="11"/>
        <v>0</v>
      </c>
      <c r="BF30" s="54"/>
      <c r="BH30" s="542"/>
      <c r="BI30" s="542"/>
      <c r="BJ30" s="542"/>
      <c r="BK30" s="542"/>
      <c r="BL30" s="542"/>
      <c r="BM30" s="542"/>
      <c r="BN30" s="542"/>
      <c r="BO30" s="542"/>
      <c r="BP30" s="542"/>
      <c r="BQ30" s="542"/>
      <c r="BR30" s="542"/>
      <c r="BS30" s="542"/>
      <c r="BT30" s="542"/>
      <c r="BU30" s="542"/>
      <c r="BV30" s="542"/>
      <c r="BW30" s="542"/>
      <c r="BX30" s="542"/>
      <c r="BY30" s="542"/>
      <c r="BZ30" s="542"/>
      <c r="CA30" s="542"/>
      <c r="CB30" s="542"/>
      <c r="CC30" s="542"/>
      <c r="CD30" s="542"/>
      <c r="CE30" s="542"/>
      <c r="CF30" s="542"/>
      <c r="CG30" s="542"/>
      <c r="CH30" s="542"/>
      <c r="CI30" s="542"/>
      <c r="CJ30" s="542"/>
      <c r="CK30" s="542"/>
      <c r="CL30" s="542"/>
      <c r="CM30" s="542"/>
      <c r="CN30" s="542"/>
      <c r="CO30" s="542"/>
      <c r="CP30" s="542"/>
      <c r="CQ30" s="542"/>
      <c r="CR30" s="542"/>
      <c r="CS30" s="542"/>
      <c r="CT30" s="542"/>
      <c r="CU30" s="542"/>
      <c r="CW30" s="151"/>
    </row>
    <row r="31" spans="1:101" s="84" customFormat="1" ht="12.75" customHeight="1" outlineLevel="1" x14ac:dyDescent="0.2">
      <c r="A31" s="18"/>
      <c r="B31" s="18"/>
      <c r="C31" s="87"/>
      <c r="D31" s="53"/>
      <c r="E31" s="53"/>
      <c r="G31" s="245"/>
      <c r="H31" s="245"/>
      <c r="I31" s="245"/>
      <c r="J31" s="245"/>
      <c r="K31" s="245"/>
      <c r="L31" s="247"/>
      <c r="M31" s="245"/>
      <c r="N31" s="245"/>
      <c r="O31" s="245"/>
      <c r="P31" s="245">
        <f t="shared" si="70"/>
        <v>0</v>
      </c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>
        <f t="shared" si="5"/>
        <v>0</v>
      </c>
      <c r="AJ31" s="263"/>
      <c r="AK31" s="263"/>
      <c r="AL31" s="263"/>
      <c r="AM31" s="263"/>
      <c r="AN31" s="263"/>
      <c r="AO31" s="263"/>
      <c r="AP31" s="263"/>
      <c r="AQ31" s="263"/>
      <c r="AR31" s="263"/>
      <c r="AS31" s="263"/>
      <c r="AT31" s="263"/>
      <c r="AU31" s="263"/>
      <c r="AV31" s="263"/>
      <c r="AW31" s="263"/>
      <c r="AX31" s="263"/>
      <c r="AY31" s="263">
        <f t="shared" si="74"/>
        <v>0</v>
      </c>
      <c r="BA31" s="277"/>
      <c r="BB31" s="277"/>
      <c r="BC31" s="277">
        <f t="shared" si="10"/>
        <v>0</v>
      </c>
      <c r="BE31" s="55">
        <f t="shared" si="11"/>
        <v>0</v>
      </c>
      <c r="BF31" s="55"/>
      <c r="BG31" s="18"/>
      <c r="BH31" s="542"/>
      <c r="BI31" s="542"/>
      <c r="BJ31" s="542"/>
      <c r="BK31" s="542"/>
      <c r="BL31" s="542"/>
      <c r="BM31" s="542"/>
      <c r="BN31" s="542"/>
      <c r="BO31" s="542"/>
      <c r="BP31" s="542"/>
      <c r="BQ31" s="542"/>
      <c r="BR31" s="542"/>
      <c r="BS31" s="542"/>
      <c r="BT31" s="542"/>
      <c r="BU31" s="542"/>
      <c r="BV31" s="542"/>
      <c r="BW31" s="542"/>
      <c r="BX31" s="542"/>
      <c r="BY31" s="542"/>
      <c r="BZ31" s="542"/>
      <c r="CA31" s="542"/>
      <c r="CB31" s="542"/>
      <c r="CC31" s="542"/>
      <c r="CD31" s="542"/>
      <c r="CE31" s="542"/>
      <c r="CF31" s="542"/>
      <c r="CG31" s="542"/>
      <c r="CH31" s="542"/>
      <c r="CI31" s="542"/>
      <c r="CJ31" s="542"/>
      <c r="CK31" s="542"/>
      <c r="CL31" s="542"/>
      <c r="CM31" s="542"/>
      <c r="CN31" s="542"/>
      <c r="CO31" s="542"/>
      <c r="CP31" s="542"/>
      <c r="CQ31" s="542"/>
      <c r="CR31" s="542"/>
      <c r="CS31" s="542"/>
      <c r="CT31" s="542"/>
      <c r="CU31" s="542"/>
      <c r="CW31" s="151"/>
    </row>
    <row r="32" spans="1:101" s="550" customFormat="1" ht="12.75" customHeight="1" outlineLevel="1" x14ac:dyDescent="0.2">
      <c r="C32" s="566" t="s">
        <v>945</v>
      </c>
      <c r="D32" s="567" t="s">
        <v>946</v>
      </c>
      <c r="E32" s="567"/>
      <c r="F32" s="882"/>
      <c r="G32" s="333"/>
      <c r="H32" s="333"/>
      <c r="I32" s="333"/>
      <c r="J32" s="333"/>
      <c r="K32" s="333"/>
      <c r="L32" s="334"/>
      <c r="M32" s="333"/>
      <c r="N32" s="333"/>
      <c r="O32" s="333"/>
      <c r="P32" s="333">
        <f t="shared" si="70"/>
        <v>0</v>
      </c>
      <c r="Q32" s="882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>
        <f t="shared" si="5"/>
        <v>0</v>
      </c>
      <c r="AI32" s="882"/>
      <c r="AJ32" s="336"/>
      <c r="AK32" s="336"/>
      <c r="AL32" s="336"/>
      <c r="AM32" s="336"/>
      <c r="AN32" s="336"/>
      <c r="AO32" s="336"/>
      <c r="AP32" s="336"/>
      <c r="AQ32" s="336"/>
      <c r="AR32" s="336"/>
      <c r="AS32" s="336"/>
      <c r="AT32" s="336"/>
      <c r="AU32" s="336"/>
      <c r="AV32" s="336"/>
      <c r="AW32" s="336"/>
      <c r="AX32" s="336"/>
      <c r="AY32" s="336">
        <f t="shared" si="74"/>
        <v>0</v>
      </c>
      <c r="AZ32" s="882"/>
      <c r="BA32" s="337"/>
      <c r="BB32" s="337"/>
      <c r="BC32" s="337">
        <f t="shared" si="10"/>
        <v>0</v>
      </c>
      <c r="BD32" s="882"/>
      <c r="BE32" s="568">
        <f t="shared" si="11"/>
        <v>0</v>
      </c>
      <c r="BF32" s="568"/>
      <c r="BH32" s="888"/>
      <c r="BI32" s="888"/>
      <c r="BJ32" s="888"/>
      <c r="BK32" s="888"/>
      <c r="BL32" s="888"/>
      <c r="BM32" s="888"/>
      <c r="BN32" s="888"/>
      <c r="BO32" s="888"/>
      <c r="BP32" s="888"/>
      <c r="BQ32" s="888"/>
      <c r="BR32" s="888"/>
      <c r="BS32" s="888"/>
      <c r="BT32" s="888"/>
      <c r="BU32" s="888"/>
      <c r="BV32" s="888"/>
      <c r="BW32" s="888"/>
      <c r="BX32" s="888"/>
      <c r="BY32" s="888"/>
      <c r="BZ32" s="888"/>
      <c r="CA32" s="888"/>
      <c r="CB32" s="888"/>
      <c r="CC32" s="888"/>
      <c r="CD32" s="888"/>
      <c r="CE32" s="888"/>
      <c r="CF32" s="888"/>
      <c r="CG32" s="888"/>
      <c r="CH32" s="888"/>
      <c r="CI32" s="888"/>
      <c r="CJ32" s="888"/>
      <c r="CK32" s="888"/>
      <c r="CL32" s="888"/>
      <c r="CM32" s="888"/>
      <c r="CN32" s="888"/>
      <c r="CO32" s="888"/>
      <c r="CP32" s="888"/>
      <c r="CQ32" s="888"/>
      <c r="CR32" s="888"/>
      <c r="CS32" s="888"/>
      <c r="CT32" s="888"/>
      <c r="CU32" s="888"/>
      <c r="CW32" s="887">
        <f t="shared" ref="CW32:CW43" si="75">SUM(BH32:CU32)</f>
        <v>0</v>
      </c>
    </row>
    <row r="33" spans="1:101" s="84" customFormat="1" outlineLevel="1" x14ac:dyDescent="0.2">
      <c r="C33" s="50"/>
      <c r="D33" s="51"/>
      <c r="E33" s="51"/>
      <c r="G33" s="245"/>
      <c r="H33" s="245"/>
      <c r="I33" s="245"/>
      <c r="J33" s="245"/>
      <c r="K33" s="245"/>
      <c r="L33" s="247"/>
      <c r="M33" s="245"/>
      <c r="N33" s="245"/>
      <c r="O33" s="245"/>
      <c r="P33" s="245">
        <f t="shared" si="70"/>
        <v>0</v>
      </c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>
        <f t="shared" si="5"/>
        <v>0</v>
      </c>
      <c r="AJ33" s="263"/>
      <c r="AK33" s="263"/>
      <c r="AL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  <c r="AW33" s="263"/>
      <c r="AX33" s="263"/>
      <c r="AY33" s="263">
        <f t="shared" si="74"/>
        <v>0</v>
      </c>
      <c r="BA33" s="277"/>
      <c r="BB33" s="277"/>
      <c r="BC33" s="277">
        <f t="shared" si="10"/>
        <v>0</v>
      </c>
      <c r="BE33" s="55">
        <f t="shared" si="11"/>
        <v>0</v>
      </c>
      <c r="BF33" s="55"/>
      <c r="BH33" s="542"/>
      <c r="BI33" s="542"/>
      <c r="BJ33" s="542"/>
      <c r="BK33" s="542"/>
      <c r="BL33" s="542"/>
      <c r="BM33" s="542"/>
      <c r="BN33" s="542"/>
      <c r="BO33" s="542"/>
      <c r="BP33" s="542"/>
      <c r="BQ33" s="542"/>
      <c r="BR33" s="542"/>
      <c r="BS33" s="542"/>
      <c r="BT33" s="542"/>
      <c r="BU33" s="542"/>
      <c r="BV33" s="542"/>
      <c r="BW33" s="542"/>
      <c r="BX33" s="542"/>
      <c r="BY33" s="542"/>
      <c r="BZ33" s="542"/>
      <c r="CA33" s="542"/>
      <c r="CB33" s="542"/>
      <c r="CC33" s="542"/>
      <c r="CD33" s="542"/>
      <c r="CE33" s="542"/>
      <c r="CF33" s="542"/>
      <c r="CG33" s="542"/>
      <c r="CH33" s="542"/>
      <c r="CI33" s="542"/>
      <c r="CJ33" s="542"/>
      <c r="CK33" s="542"/>
      <c r="CL33" s="542"/>
      <c r="CM33" s="542"/>
      <c r="CN33" s="542"/>
      <c r="CO33" s="542"/>
      <c r="CP33" s="542"/>
      <c r="CQ33" s="542"/>
      <c r="CR33" s="542"/>
      <c r="CS33" s="542"/>
      <c r="CT33" s="542"/>
      <c r="CU33" s="542"/>
      <c r="CW33" s="151">
        <f t="shared" si="75"/>
        <v>0</v>
      </c>
    </row>
    <row r="34" spans="1:101" s="84" customFormat="1" outlineLevel="1" x14ac:dyDescent="0.2">
      <c r="A34" s="543"/>
      <c r="B34" s="543"/>
      <c r="C34" s="86" t="s">
        <v>402</v>
      </c>
      <c r="D34" s="61" t="str">
        <f>INDEX(Modules[Module], MATCH($C34, Modules[Code], 0))</f>
        <v>Volume of Waste &amp; Recycling</v>
      </c>
      <c r="E34" s="61"/>
      <c r="G34" s="297">
        <f t="shared" ref="G34:O34" ca="1" si="76">IFERROR(INDEX(INDIRECT($C34&amp;".Outputs["&amp;this.Year&amp;"]"), MATCH(G$5, INDIRECT($C34&amp;".Outputs[Vector]"), 0)), 0)</f>
        <v>0</v>
      </c>
      <c r="H34" s="297">
        <f t="shared" ca="1" si="76"/>
        <v>0</v>
      </c>
      <c r="I34" s="297">
        <f t="shared" ca="1" si="76"/>
        <v>0</v>
      </c>
      <c r="J34" s="297">
        <f t="shared" ca="1" si="76"/>
        <v>0</v>
      </c>
      <c r="K34" s="297">
        <f t="shared" ca="1" si="76"/>
        <v>0</v>
      </c>
      <c r="L34" s="297">
        <f t="shared" ca="1" si="76"/>
        <v>0</v>
      </c>
      <c r="M34" s="297">
        <f t="shared" ca="1" si="76"/>
        <v>0</v>
      </c>
      <c r="N34" s="297">
        <f t="shared" ca="1" si="76"/>
        <v>0</v>
      </c>
      <c r="O34" s="297">
        <f t="shared" ca="1" si="76"/>
        <v>0</v>
      </c>
      <c r="P34" s="297">
        <f t="shared" ca="1" si="70"/>
        <v>0</v>
      </c>
      <c r="R34" s="304">
        <f t="shared" ref="R34:AX34" ca="1" si="77">IFERROR(INDEX(INDIRECT($C34&amp;".Outputs["&amp;this.Year&amp;"]"), MATCH(R$5, INDIRECT($C34&amp;".Outputs[Vector]"), 0)), 0)</f>
        <v>0</v>
      </c>
      <c r="S34" s="304">
        <f t="shared" ca="1" si="77"/>
        <v>0</v>
      </c>
      <c r="T34" s="304">
        <f t="shared" ca="1" si="77"/>
        <v>0</v>
      </c>
      <c r="U34" s="304">
        <f t="shared" ca="1" si="77"/>
        <v>0</v>
      </c>
      <c r="V34" s="304">
        <f t="shared" ca="1" si="77"/>
        <v>0</v>
      </c>
      <c r="W34" s="304">
        <f t="shared" ca="1" si="77"/>
        <v>0</v>
      </c>
      <c r="X34" s="304">
        <f t="shared" ref="X34:Z35" ca="1" si="78">IFERROR(INDEX(INDIRECT($C34&amp;".Outputs["&amp;this.Year&amp;"]"), MATCH(X$5, INDIRECT($C34&amp;".Outputs[Vector]"), 0)), 0)</f>
        <v>5.5864599583333323</v>
      </c>
      <c r="Y34" s="304">
        <f t="shared" ca="1" si="78"/>
        <v>0</v>
      </c>
      <c r="Z34" s="304">
        <f t="shared" ca="1" si="78"/>
        <v>0</v>
      </c>
      <c r="AA34" s="304">
        <f t="shared" ca="1" si="77"/>
        <v>0</v>
      </c>
      <c r="AB34" s="304">
        <f t="shared" ca="1" si="77"/>
        <v>0</v>
      </c>
      <c r="AC34" s="304">
        <f t="shared" ca="1" si="77"/>
        <v>0</v>
      </c>
      <c r="AD34" s="304">
        <f t="shared" ca="1" si="77"/>
        <v>0</v>
      </c>
      <c r="AE34" s="304">
        <f t="shared" ca="1" si="77"/>
        <v>9.3536052483333325</v>
      </c>
      <c r="AF34" s="304">
        <f t="shared" ca="1" si="77"/>
        <v>6.4069190035112982</v>
      </c>
      <c r="AG34" s="304">
        <f t="shared" ca="1" si="77"/>
        <v>8.716547040987356</v>
      </c>
      <c r="AH34" s="305">
        <f t="shared" ca="1" si="5"/>
        <v>30.063531251165323</v>
      </c>
      <c r="AJ34" s="312">
        <f t="shared" ref="AJ34:AR35" ca="1" si="79">IFERROR(INDEX(INDIRECT($C34&amp;".Outputs["&amp;this.Year&amp;"]"), MATCH(AJ$5, INDIRECT($C34&amp;".Outputs[Vector]"), 0)), 0)</f>
        <v>0</v>
      </c>
      <c r="AK34" s="312">
        <f t="shared" ca="1" si="79"/>
        <v>0</v>
      </c>
      <c r="AL34" s="312">
        <f t="shared" ca="1" si="79"/>
        <v>0</v>
      </c>
      <c r="AM34" s="312">
        <f t="shared" ca="1" si="79"/>
        <v>0</v>
      </c>
      <c r="AN34" s="312">
        <f t="shared" ca="1" si="79"/>
        <v>0</v>
      </c>
      <c r="AO34" s="312">
        <f t="shared" ca="1" si="79"/>
        <v>0</v>
      </c>
      <c r="AP34" s="312">
        <f t="shared" ca="1" si="79"/>
        <v>0</v>
      </c>
      <c r="AQ34" s="312">
        <f t="shared" ca="1" si="79"/>
        <v>0</v>
      </c>
      <c r="AR34" s="312">
        <f t="shared" ca="1" si="79"/>
        <v>0</v>
      </c>
      <c r="AS34" s="312">
        <f t="shared" ca="1" si="77"/>
        <v>0</v>
      </c>
      <c r="AT34" s="312">
        <f t="shared" ca="1" si="77"/>
        <v>0</v>
      </c>
      <c r="AU34" s="312">
        <f t="shared" ca="1" si="77"/>
        <v>0</v>
      </c>
      <c r="AV34" s="312">
        <f t="shared" ca="1" si="77"/>
        <v>0</v>
      </c>
      <c r="AW34" s="312">
        <f t="shared" ca="1" si="77"/>
        <v>0</v>
      </c>
      <c r="AX34" s="312">
        <f t="shared" ca="1" si="77"/>
        <v>-30.063531251165315</v>
      </c>
      <c r="AY34" s="266">
        <f t="shared" ca="1" si="74"/>
        <v>-30.063531251165315</v>
      </c>
      <c r="BA34" s="308">
        <f t="shared" ref="BA34:BB35" ca="1" si="80">IFERROR(INDEX(INDIRECT($C34&amp;".Outputs["&amp;this.Year&amp;"]"), MATCH(BA$5, INDIRECT($C34&amp;".Outputs[Vector]"), 0)), 0)</f>
        <v>0</v>
      </c>
      <c r="BB34" s="308">
        <f t="shared" ca="1" si="80"/>
        <v>0</v>
      </c>
      <c r="BC34" s="309">
        <f t="shared" ca="1" si="10"/>
        <v>0</v>
      </c>
      <c r="BE34" s="135"/>
      <c r="BF34" s="135"/>
      <c r="BG34" s="1428"/>
      <c r="BH34" s="541">
        <f t="shared" ref="BH34:BQ35" ca="1" si="81">IFERROR(SUMIFS(INDIRECT($C34&amp;".Emissions["&amp;this.Year&amp;"]"), INDIRECT($C34&amp;".Emissions[GHG]"), BH$6, INDIRECT($C34&amp;".Emissions[IPCC Sector]"), BH$5),0)</f>
        <v>0</v>
      </c>
      <c r="BI34" s="542">
        <f t="shared" ca="1" si="81"/>
        <v>0</v>
      </c>
      <c r="BJ34" s="542">
        <f t="shared" ca="1" si="81"/>
        <v>0</v>
      </c>
      <c r="BK34" s="542">
        <f t="shared" ca="1" si="81"/>
        <v>0</v>
      </c>
      <c r="BL34" s="542">
        <f t="shared" ca="1" si="81"/>
        <v>0</v>
      </c>
      <c r="BM34" s="542">
        <f t="shared" ca="1" si="81"/>
        <v>0</v>
      </c>
      <c r="BN34" s="542">
        <f t="shared" ca="1" si="81"/>
        <v>0</v>
      </c>
      <c r="BO34" s="542">
        <f t="shared" ca="1" si="81"/>
        <v>0</v>
      </c>
      <c r="BP34" s="542">
        <f t="shared" ca="1" si="81"/>
        <v>0</v>
      </c>
      <c r="BQ34" s="542">
        <f t="shared" ca="1" si="81"/>
        <v>0</v>
      </c>
      <c r="BR34" s="542">
        <f t="shared" ref="BR34:CA35" ca="1" si="82">IFERROR(SUMIFS(INDIRECT($C34&amp;".Emissions["&amp;this.Year&amp;"]"), INDIRECT($C34&amp;".Emissions[GHG]"), BR$6, INDIRECT($C34&amp;".Emissions[IPCC Sector]"), BR$5),0)</f>
        <v>0</v>
      </c>
      <c r="BS34" s="542">
        <f t="shared" ca="1" si="82"/>
        <v>0</v>
      </c>
      <c r="BT34" s="542">
        <f t="shared" ca="1" si="82"/>
        <v>0</v>
      </c>
      <c r="BU34" s="542">
        <f t="shared" ca="1" si="82"/>
        <v>0</v>
      </c>
      <c r="BV34" s="542">
        <f t="shared" ca="1" si="82"/>
        <v>0</v>
      </c>
      <c r="BW34" s="542">
        <f t="shared" ca="1" si="82"/>
        <v>0</v>
      </c>
      <c r="BX34" s="542">
        <f t="shared" ca="1" si="82"/>
        <v>0</v>
      </c>
      <c r="BY34" s="542">
        <f t="shared" ca="1" si="82"/>
        <v>0</v>
      </c>
      <c r="BZ34" s="542">
        <f t="shared" ca="1" si="82"/>
        <v>0</v>
      </c>
      <c r="CA34" s="542">
        <f t="shared" ca="1" si="82"/>
        <v>0</v>
      </c>
      <c r="CB34" s="542">
        <f t="shared" ref="CB34:CK35" ca="1" si="83">IFERROR(SUMIFS(INDIRECT($C34&amp;".Emissions["&amp;this.Year&amp;"]"), INDIRECT($C34&amp;".Emissions[GHG]"), CB$6, INDIRECT($C34&amp;".Emissions[IPCC Sector]"), CB$5),0)</f>
        <v>0</v>
      </c>
      <c r="CC34" s="542">
        <f t="shared" ca="1" si="83"/>
        <v>0</v>
      </c>
      <c r="CD34" s="542">
        <f t="shared" ca="1" si="83"/>
        <v>0</v>
      </c>
      <c r="CE34" s="542">
        <f t="shared" ca="1" si="83"/>
        <v>0</v>
      </c>
      <c r="CF34" s="542">
        <f t="shared" ca="1" si="83"/>
        <v>0</v>
      </c>
      <c r="CG34" s="542">
        <f t="shared" ca="1" si="83"/>
        <v>6.3895458201402011</v>
      </c>
      <c r="CH34" s="542">
        <f t="shared" ca="1" si="83"/>
        <v>0</v>
      </c>
      <c r="CI34" s="542">
        <f t="shared" ca="1" si="83"/>
        <v>0</v>
      </c>
      <c r="CJ34" s="542">
        <f t="shared" ca="1" si="83"/>
        <v>0</v>
      </c>
      <c r="CK34" s="542">
        <f t="shared" ca="1" si="83"/>
        <v>0</v>
      </c>
      <c r="CL34" s="542">
        <f t="shared" ref="CL34:CU35" ca="1" si="84">IFERROR(SUMIFS(INDIRECT($C34&amp;".Emissions["&amp;this.Year&amp;"]"), INDIRECT($C34&amp;".Emissions[GHG]"), CL$6, INDIRECT($C34&amp;".Emissions[IPCC Sector]"), CL$5),0)</f>
        <v>0</v>
      </c>
      <c r="CM34" s="542">
        <f t="shared" ca="1" si="84"/>
        <v>0</v>
      </c>
      <c r="CN34" s="542">
        <f t="shared" ca="1" si="84"/>
        <v>0</v>
      </c>
      <c r="CO34" s="542">
        <f t="shared" ca="1" si="84"/>
        <v>0</v>
      </c>
      <c r="CP34" s="542">
        <f t="shared" ca="1" si="84"/>
        <v>0</v>
      </c>
      <c r="CQ34" s="542">
        <f t="shared" ca="1" si="84"/>
        <v>0</v>
      </c>
      <c r="CR34" s="542">
        <f t="shared" ca="1" si="84"/>
        <v>0</v>
      </c>
      <c r="CS34" s="542">
        <f t="shared" ca="1" si="84"/>
        <v>0</v>
      </c>
      <c r="CT34" s="542">
        <f t="shared" ca="1" si="84"/>
        <v>0</v>
      </c>
      <c r="CU34" s="542">
        <f t="shared" ca="1" si="84"/>
        <v>0</v>
      </c>
      <c r="CW34" s="151">
        <f t="shared" ca="1" si="75"/>
        <v>6.3895458201402011</v>
      </c>
    </row>
    <row r="35" spans="1:101" s="84" customFormat="1" ht="12.75" customHeight="1" outlineLevel="1" x14ac:dyDescent="0.2">
      <c r="A35" s="543"/>
      <c r="B35" s="543"/>
      <c r="C35" s="86" t="s">
        <v>380</v>
      </c>
      <c r="D35" s="292" t="str">
        <f>INDEX(Modules[Module], MATCH($C35, Modules[Code], 0))</f>
        <v>Agriculture and land use</v>
      </c>
      <c r="E35" s="292"/>
      <c r="G35" s="301">
        <f t="shared" ref="G35:O35" ca="1" si="85">IFERROR(INDEX(INDIRECT($C35&amp;".Outputs["&amp;this.Year&amp;"]"), MATCH(G$5, INDIRECT($C35&amp;".Outputs[Vector]"), 0)), 0)</f>
        <v>0</v>
      </c>
      <c r="H35" s="301">
        <f t="shared" ca="1" si="85"/>
        <v>0</v>
      </c>
      <c r="I35" s="301">
        <f t="shared" ca="1" si="85"/>
        <v>0</v>
      </c>
      <c r="J35" s="301">
        <f t="shared" ca="1" si="85"/>
        <v>12.06921421038113</v>
      </c>
      <c r="K35" s="301">
        <f t="shared" ca="1" si="85"/>
        <v>0</v>
      </c>
      <c r="L35" s="301">
        <f t="shared" ca="1" si="85"/>
        <v>0</v>
      </c>
      <c r="M35" s="301">
        <f t="shared" ca="1" si="85"/>
        <v>0</v>
      </c>
      <c r="N35" s="301">
        <f t="shared" ca="1" si="85"/>
        <v>0</v>
      </c>
      <c r="O35" s="301">
        <f t="shared" ca="1" si="85"/>
        <v>0</v>
      </c>
      <c r="P35" s="301">
        <f t="shared" ca="1" si="70"/>
        <v>12.06921421038113</v>
      </c>
      <c r="R35" s="307">
        <f t="shared" ref="R35:AG35" ca="1" si="86">IFERROR(INDEX(INDIRECT($C35&amp;".Outputs["&amp;this.Year&amp;"]"), MATCH(R$5, INDIRECT($C35&amp;".Outputs[Vector]"), 0)), 0)</f>
        <v>-1.4362364910353544</v>
      </c>
      <c r="S35" s="307">
        <f t="shared" ca="1" si="86"/>
        <v>0</v>
      </c>
      <c r="T35" s="307">
        <f t="shared" ca="1" si="86"/>
        <v>-1.2069214210381131E-2</v>
      </c>
      <c r="U35" s="307">
        <f t="shared" ca="1" si="86"/>
        <v>-2.2931506999724149</v>
      </c>
      <c r="V35" s="307">
        <f t="shared" ca="1" si="86"/>
        <v>-1.0862292789343015</v>
      </c>
      <c r="W35" s="307">
        <f t="shared" ca="1" si="86"/>
        <v>-7.2415285262286773</v>
      </c>
      <c r="X35" s="307">
        <f t="shared" ca="1" si="78"/>
        <v>0</v>
      </c>
      <c r="Y35" s="307">
        <f t="shared" ca="1" si="78"/>
        <v>0</v>
      </c>
      <c r="Z35" s="307">
        <f t="shared" ca="1" si="78"/>
        <v>0</v>
      </c>
      <c r="AA35" s="307">
        <f t="shared" ca="1" si="86"/>
        <v>0</v>
      </c>
      <c r="AB35" s="307">
        <f t="shared" ca="1" si="86"/>
        <v>0</v>
      </c>
      <c r="AC35" s="307">
        <f t="shared" ca="1" si="86"/>
        <v>2078.4468203239321</v>
      </c>
      <c r="AD35" s="307">
        <f t="shared" ca="1" si="86"/>
        <v>16.368620785239571</v>
      </c>
      <c r="AE35" s="307">
        <f t="shared" ca="1" si="86"/>
        <v>218.92214083115823</v>
      </c>
      <c r="AF35" s="307">
        <f t="shared" ca="1" si="86"/>
        <v>60.841112982194616</v>
      </c>
      <c r="AG35" s="307">
        <f t="shared" ca="1" si="86"/>
        <v>0</v>
      </c>
      <c r="AH35" s="306">
        <f t="shared" ca="1" si="5"/>
        <v>2362.5094807121436</v>
      </c>
      <c r="AJ35" s="315">
        <f t="shared" ca="1" si="79"/>
        <v>0</v>
      </c>
      <c r="AK35" s="315">
        <f t="shared" ca="1" si="79"/>
        <v>0</v>
      </c>
      <c r="AL35" s="315">
        <f t="shared" ca="1" si="79"/>
        <v>0</v>
      </c>
      <c r="AM35" s="315">
        <f t="shared" ca="1" si="79"/>
        <v>0</v>
      </c>
      <c r="AN35" s="315">
        <f t="shared" ca="1" si="79"/>
        <v>0</v>
      </c>
      <c r="AO35" s="315">
        <f t="shared" ca="1" si="79"/>
        <v>0</v>
      </c>
      <c r="AP35" s="315">
        <f t="shared" ca="1" si="79"/>
        <v>0</v>
      </c>
      <c r="AQ35" s="315">
        <f t="shared" ca="1" si="79"/>
        <v>0</v>
      </c>
      <c r="AR35" s="315">
        <f t="shared" ca="1" si="79"/>
        <v>0</v>
      </c>
      <c r="AS35" s="315">
        <f t="shared" ref="AS35:AX35" ca="1" si="87">IFERROR(INDEX(INDIRECT($C35&amp;".Outputs["&amp;this.Year&amp;"]"), MATCH(AS$5, INDIRECT($C35&amp;".Outputs[Vector]"), 0)), 0)</f>
        <v>0</v>
      </c>
      <c r="AT35" s="315">
        <f t="shared" ca="1" si="87"/>
        <v>0</v>
      </c>
      <c r="AU35" s="315">
        <f t="shared" ca="1" si="87"/>
        <v>0</v>
      </c>
      <c r="AV35" s="315">
        <f t="shared" ca="1" si="87"/>
        <v>0</v>
      </c>
      <c r="AW35" s="315">
        <f t="shared" ca="1" si="87"/>
        <v>-2094.8154411091718</v>
      </c>
      <c r="AX35" s="315">
        <f t="shared" ca="1" si="87"/>
        <v>-279.76325381335283</v>
      </c>
      <c r="AY35" s="293">
        <f t="shared" ca="1" si="74"/>
        <v>-2374.5786949225248</v>
      </c>
      <c r="BA35" s="311">
        <f t="shared" ca="1" si="80"/>
        <v>0</v>
      </c>
      <c r="BB35" s="311">
        <f t="shared" ca="1" si="80"/>
        <v>0</v>
      </c>
      <c r="BC35" s="310">
        <f t="shared" ca="1" si="10"/>
        <v>0</v>
      </c>
      <c r="BE35" s="135">
        <f ca="1">P35+AH35+AY35+BC35</f>
        <v>0</v>
      </c>
      <c r="BF35" s="135"/>
      <c r="BG35" s="1428"/>
      <c r="BH35" s="544">
        <f t="shared" ca="1" si="81"/>
        <v>0.77687118029381264</v>
      </c>
      <c r="BI35" s="545">
        <f t="shared" ca="1" si="81"/>
        <v>1.1252899451031028E-3</v>
      </c>
      <c r="BJ35" s="545">
        <f t="shared" ca="1" si="81"/>
        <v>1.0778445779196568E-2</v>
      </c>
      <c r="BK35" s="545">
        <f t="shared" ca="1" si="81"/>
        <v>0</v>
      </c>
      <c r="BL35" s="545">
        <f t="shared" ca="1" si="81"/>
        <v>0</v>
      </c>
      <c r="BM35" s="545">
        <f t="shared" ca="1" si="81"/>
        <v>0</v>
      </c>
      <c r="BN35" s="545">
        <f t="shared" ca="1" si="81"/>
        <v>0</v>
      </c>
      <c r="BO35" s="545">
        <f t="shared" ca="1" si="81"/>
        <v>0</v>
      </c>
      <c r="BP35" s="545">
        <f t="shared" ca="1" si="81"/>
        <v>0</v>
      </c>
      <c r="BQ35" s="545">
        <f t="shared" ca="1" si="81"/>
        <v>0</v>
      </c>
      <c r="BR35" s="545">
        <f t="shared" ca="1" si="82"/>
        <v>0</v>
      </c>
      <c r="BS35" s="545">
        <f t="shared" ca="1" si="82"/>
        <v>0</v>
      </c>
      <c r="BT35" s="545">
        <f t="shared" ca="1" si="82"/>
        <v>0</v>
      </c>
      <c r="BU35" s="545">
        <f t="shared" ca="1" si="82"/>
        <v>0</v>
      </c>
      <c r="BV35" s="545">
        <f t="shared" ca="1" si="82"/>
        <v>0</v>
      </c>
      <c r="BW35" s="545">
        <f t="shared" ca="1" si="82"/>
        <v>0</v>
      </c>
      <c r="BX35" s="545">
        <f t="shared" ca="1" si="82"/>
        <v>0</v>
      </c>
      <c r="BY35" s="545">
        <f t="shared" ca="1" si="82"/>
        <v>0</v>
      </c>
      <c r="BZ35" s="545">
        <f t="shared" ca="1" si="82"/>
        <v>21.760312993855567</v>
      </c>
      <c r="CA35" s="545">
        <f t="shared" ca="1" si="82"/>
        <v>0</v>
      </c>
      <c r="CB35" s="545">
        <f t="shared" ca="1" si="83"/>
        <v>8.7189949184666684</v>
      </c>
      <c r="CC35" s="545">
        <f t="shared" ca="1" si="83"/>
        <v>0</v>
      </c>
      <c r="CD35" s="545">
        <f t="shared" ca="1" si="83"/>
        <v>0</v>
      </c>
      <c r="CE35" s="545">
        <f t="shared" ca="1" si="83"/>
        <v>0</v>
      </c>
      <c r="CF35" s="545">
        <f t="shared" ca="1" si="83"/>
        <v>0</v>
      </c>
      <c r="CG35" s="545">
        <f t="shared" ca="1" si="83"/>
        <v>0</v>
      </c>
      <c r="CH35" s="545">
        <f t="shared" ca="1" si="83"/>
        <v>0</v>
      </c>
      <c r="CI35" s="545">
        <f t="shared" ca="1" si="83"/>
        <v>0</v>
      </c>
      <c r="CJ35" s="545">
        <f t="shared" ca="1" si="83"/>
        <v>0</v>
      </c>
      <c r="CK35" s="545">
        <f t="shared" ca="1" si="83"/>
        <v>0</v>
      </c>
      <c r="CL35" s="545">
        <f t="shared" ca="1" si="84"/>
        <v>0</v>
      </c>
      <c r="CM35" s="545">
        <f t="shared" ca="1" si="84"/>
        <v>0</v>
      </c>
      <c r="CN35" s="545">
        <f t="shared" ca="1" si="84"/>
        <v>0</v>
      </c>
      <c r="CO35" s="545">
        <f t="shared" ca="1" si="84"/>
        <v>0</v>
      </c>
      <c r="CP35" s="545">
        <f t="shared" ca="1" si="84"/>
        <v>0</v>
      </c>
      <c r="CQ35" s="545">
        <f t="shared" ca="1" si="84"/>
        <v>0</v>
      </c>
      <c r="CR35" s="545">
        <f t="shared" ca="1" si="84"/>
        <v>0</v>
      </c>
      <c r="CS35" s="545">
        <f t="shared" ca="1" si="84"/>
        <v>0</v>
      </c>
      <c r="CT35" s="545">
        <f t="shared" ca="1" si="84"/>
        <v>0</v>
      </c>
      <c r="CU35" s="545">
        <f t="shared" ca="1" si="84"/>
        <v>0</v>
      </c>
      <c r="CW35" s="151">
        <f t="shared" ca="1" si="75"/>
        <v>31.268082828340347</v>
      </c>
    </row>
    <row r="36" spans="1:101" s="84" customFormat="1" ht="15.75" x14ac:dyDescent="0.2">
      <c r="A36" s="18"/>
      <c r="B36" s="89"/>
      <c r="C36" s="85" t="s">
        <v>225</v>
      </c>
      <c r="D36" s="57" t="str">
        <f>INDEX(Workstreams[Workstream], MATCH($C36, Workstreams[Code], 0))</f>
        <v>Agriculture &amp; waste</v>
      </c>
      <c r="E36" s="53"/>
      <c r="G36" s="300">
        <f t="shared" ref="G36:O36" ca="1" si="88">SUM(G34:G35)</f>
        <v>0</v>
      </c>
      <c r="H36" s="300">
        <f t="shared" ca="1" si="88"/>
        <v>0</v>
      </c>
      <c r="I36" s="300">
        <f t="shared" ca="1" si="88"/>
        <v>0</v>
      </c>
      <c r="J36" s="300">
        <f t="shared" ca="1" si="88"/>
        <v>12.06921421038113</v>
      </c>
      <c r="K36" s="300">
        <f t="shared" ca="1" si="88"/>
        <v>0</v>
      </c>
      <c r="L36" s="300">
        <f t="shared" ca="1" si="88"/>
        <v>0</v>
      </c>
      <c r="M36" s="300">
        <f t="shared" ca="1" si="88"/>
        <v>0</v>
      </c>
      <c r="N36" s="300">
        <f t="shared" ca="1" si="88"/>
        <v>0</v>
      </c>
      <c r="O36" s="300">
        <f t="shared" ca="1" si="88"/>
        <v>0</v>
      </c>
      <c r="P36" s="300">
        <f t="shared" ca="1" si="70"/>
        <v>12.06921421038113</v>
      </c>
      <c r="R36" s="257">
        <f t="shared" ref="R36:AG36" ca="1" si="89">SUM(R34:R35)</f>
        <v>-1.4362364910353544</v>
      </c>
      <c r="S36" s="257">
        <f t="shared" ca="1" si="89"/>
        <v>0</v>
      </c>
      <c r="T36" s="257">
        <f t="shared" ca="1" si="89"/>
        <v>-1.2069214210381131E-2</v>
      </c>
      <c r="U36" s="257">
        <f t="shared" ca="1" si="89"/>
        <v>-2.2931506999724149</v>
      </c>
      <c r="V36" s="257">
        <f t="shared" ca="1" si="89"/>
        <v>-1.0862292789343015</v>
      </c>
      <c r="W36" s="257">
        <f t="shared" ca="1" si="89"/>
        <v>-7.2415285262286773</v>
      </c>
      <c r="X36" s="257">
        <f t="shared" ca="1" si="89"/>
        <v>5.5864599583333323</v>
      </c>
      <c r="Y36" s="257">
        <f t="shared" ca="1" si="89"/>
        <v>0</v>
      </c>
      <c r="Z36" s="257">
        <f t="shared" ca="1" si="89"/>
        <v>0</v>
      </c>
      <c r="AA36" s="257">
        <f t="shared" ca="1" si="89"/>
        <v>0</v>
      </c>
      <c r="AB36" s="257">
        <f t="shared" ca="1" si="89"/>
        <v>0</v>
      </c>
      <c r="AC36" s="257">
        <f t="shared" ca="1" si="89"/>
        <v>2078.4468203239321</v>
      </c>
      <c r="AD36" s="257">
        <f t="shared" ca="1" si="89"/>
        <v>16.368620785239571</v>
      </c>
      <c r="AE36" s="257">
        <f t="shared" ca="1" si="89"/>
        <v>228.27574607949157</v>
      </c>
      <c r="AF36" s="257">
        <f t="shared" ca="1" si="89"/>
        <v>67.248031985705921</v>
      </c>
      <c r="AG36" s="257">
        <f t="shared" ca="1" si="89"/>
        <v>8.716547040987356</v>
      </c>
      <c r="AH36" s="257">
        <f t="shared" ca="1" si="5"/>
        <v>2392.5730119633085</v>
      </c>
      <c r="AJ36" s="263">
        <f t="shared" ref="AJ36:AX36" ca="1" si="90">SUM(AJ34:AJ35)</f>
        <v>0</v>
      </c>
      <c r="AK36" s="263">
        <f t="shared" ca="1" si="90"/>
        <v>0</v>
      </c>
      <c r="AL36" s="263">
        <f t="shared" ca="1" si="90"/>
        <v>0</v>
      </c>
      <c r="AM36" s="263">
        <f t="shared" ca="1" si="90"/>
        <v>0</v>
      </c>
      <c r="AN36" s="263">
        <f t="shared" ca="1" si="90"/>
        <v>0</v>
      </c>
      <c r="AO36" s="263">
        <f t="shared" ca="1" si="90"/>
        <v>0</v>
      </c>
      <c r="AP36" s="263">
        <f t="shared" ca="1" si="90"/>
        <v>0</v>
      </c>
      <c r="AQ36" s="263">
        <f t="shared" ca="1" si="90"/>
        <v>0</v>
      </c>
      <c r="AR36" s="263">
        <f t="shared" ca="1" si="90"/>
        <v>0</v>
      </c>
      <c r="AS36" s="263">
        <f t="shared" ca="1" si="90"/>
        <v>0</v>
      </c>
      <c r="AT36" s="263">
        <f t="shared" ca="1" si="90"/>
        <v>0</v>
      </c>
      <c r="AU36" s="263">
        <f t="shared" ca="1" si="90"/>
        <v>0</v>
      </c>
      <c r="AV36" s="263">
        <f t="shared" ca="1" si="90"/>
        <v>0</v>
      </c>
      <c r="AW36" s="263">
        <f t="shared" ca="1" si="90"/>
        <v>-2094.8154411091718</v>
      </c>
      <c r="AX36" s="263">
        <f t="shared" ca="1" si="90"/>
        <v>-309.82678506451816</v>
      </c>
      <c r="AY36" s="263">
        <f t="shared" ca="1" si="74"/>
        <v>-2404.6422261736898</v>
      </c>
      <c r="BA36" s="277">
        <f ca="1">SUM(BA34:BA35)</f>
        <v>0</v>
      </c>
      <c r="BB36" s="277">
        <f ca="1">SUM(BB34:BB35)</f>
        <v>0</v>
      </c>
      <c r="BC36" s="277">
        <f t="shared" ca="1" si="10"/>
        <v>0</v>
      </c>
      <c r="BE36" s="55">
        <f ca="1">P36+AH36+AY36+BC36</f>
        <v>0</v>
      </c>
      <c r="BF36" s="55"/>
      <c r="BG36" s="1428"/>
      <c r="BH36" s="542">
        <f t="shared" ref="BH36:CU36" ca="1" si="91">SUM(BH34:BH35)</f>
        <v>0.77687118029381264</v>
      </c>
      <c r="BI36" s="542">
        <f t="shared" ca="1" si="91"/>
        <v>1.1252899451031028E-3</v>
      </c>
      <c r="BJ36" s="542">
        <f t="shared" ca="1" si="91"/>
        <v>1.0778445779196568E-2</v>
      </c>
      <c r="BK36" s="542">
        <f t="shared" ca="1" si="91"/>
        <v>0</v>
      </c>
      <c r="BL36" s="542">
        <f t="shared" ca="1" si="91"/>
        <v>0</v>
      </c>
      <c r="BM36" s="542">
        <f t="shared" ca="1" si="91"/>
        <v>0</v>
      </c>
      <c r="BN36" s="542">
        <f t="shared" ca="1" si="91"/>
        <v>0</v>
      </c>
      <c r="BO36" s="542">
        <f t="shared" ca="1" si="91"/>
        <v>0</v>
      </c>
      <c r="BP36" s="542">
        <f t="shared" ca="1" si="91"/>
        <v>0</v>
      </c>
      <c r="BQ36" s="542">
        <f t="shared" ca="1" si="91"/>
        <v>0</v>
      </c>
      <c r="BR36" s="542">
        <f t="shared" ca="1" si="91"/>
        <v>0</v>
      </c>
      <c r="BS36" s="542">
        <f t="shared" ca="1" si="91"/>
        <v>0</v>
      </c>
      <c r="BT36" s="542">
        <f t="shared" ca="1" si="91"/>
        <v>0</v>
      </c>
      <c r="BU36" s="542">
        <f t="shared" ca="1" si="91"/>
        <v>0</v>
      </c>
      <c r="BV36" s="542">
        <f t="shared" ca="1" si="91"/>
        <v>0</v>
      </c>
      <c r="BW36" s="542">
        <f t="shared" ca="1" si="91"/>
        <v>0</v>
      </c>
      <c r="BX36" s="542">
        <f t="shared" ca="1" si="91"/>
        <v>0</v>
      </c>
      <c r="BY36" s="542">
        <f t="shared" ca="1" si="91"/>
        <v>0</v>
      </c>
      <c r="BZ36" s="542">
        <f t="shared" ca="1" si="91"/>
        <v>21.760312993855567</v>
      </c>
      <c r="CA36" s="542">
        <f t="shared" ca="1" si="91"/>
        <v>0</v>
      </c>
      <c r="CB36" s="542">
        <f t="shared" ca="1" si="91"/>
        <v>8.7189949184666684</v>
      </c>
      <c r="CC36" s="542">
        <f t="shared" ca="1" si="91"/>
        <v>0</v>
      </c>
      <c r="CD36" s="542">
        <f t="shared" ca="1" si="91"/>
        <v>0</v>
      </c>
      <c r="CE36" s="542">
        <f t="shared" ca="1" si="91"/>
        <v>0</v>
      </c>
      <c r="CF36" s="542">
        <f t="shared" ca="1" si="91"/>
        <v>0</v>
      </c>
      <c r="CG36" s="542">
        <f t="shared" ca="1" si="91"/>
        <v>6.3895458201402011</v>
      </c>
      <c r="CH36" s="542">
        <f t="shared" ca="1" si="91"/>
        <v>0</v>
      </c>
      <c r="CI36" s="542">
        <f t="shared" ca="1" si="91"/>
        <v>0</v>
      </c>
      <c r="CJ36" s="542">
        <f t="shared" ca="1" si="91"/>
        <v>0</v>
      </c>
      <c r="CK36" s="542">
        <f t="shared" ca="1" si="91"/>
        <v>0</v>
      </c>
      <c r="CL36" s="542">
        <f t="shared" ca="1" si="91"/>
        <v>0</v>
      </c>
      <c r="CM36" s="542">
        <f t="shared" ca="1" si="91"/>
        <v>0</v>
      </c>
      <c r="CN36" s="542">
        <f t="shared" ca="1" si="91"/>
        <v>0</v>
      </c>
      <c r="CO36" s="542">
        <f t="shared" ca="1" si="91"/>
        <v>0</v>
      </c>
      <c r="CP36" s="542">
        <f t="shared" ca="1" si="91"/>
        <v>0</v>
      </c>
      <c r="CQ36" s="542">
        <f t="shared" ca="1" si="91"/>
        <v>0</v>
      </c>
      <c r="CR36" s="542">
        <f t="shared" ca="1" si="91"/>
        <v>0</v>
      </c>
      <c r="CS36" s="542">
        <f t="shared" ca="1" si="91"/>
        <v>0</v>
      </c>
      <c r="CT36" s="542">
        <f t="shared" ca="1" si="91"/>
        <v>0</v>
      </c>
      <c r="CU36" s="542">
        <f t="shared" ca="1" si="91"/>
        <v>0</v>
      </c>
      <c r="CW36" s="151">
        <f t="shared" ca="1" si="75"/>
        <v>37.657628648480546</v>
      </c>
    </row>
    <row r="37" spans="1:101" s="84" customFormat="1" ht="12.75" customHeight="1" outlineLevel="1" x14ac:dyDescent="0.2">
      <c r="A37" s="18"/>
      <c r="B37" s="18"/>
      <c r="C37" s="87"/>
      <c r="D37" s="53"/>
      <c r="E37" s="53"/>
      <c r="G37" s="245"/>
      <c r="H37" s="245"/>
      <c r="I37" s="245"/>
      <c r="J37" s="245"/>
      <c r="K37" s="245"/>
      <c r="L37" s="247"/>
      <c r="M37" s="245"/>
      <c r="N37" s="245"/>
      <c r="O37" s="245"/>
      <c r="P37" s="245">
        <f t="shared" si="70"/>
        <v>0</v>
      </c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>
        <f t="shared" si="5"/>
        <v>0</v>
      </c>
      <c r="AJ37" s="263"/>
      <c r="AK37" s="263"/>
      <c r="AL37" s="263"/>
      <c r="AM37" s="263"/>
      <c r="AN37" s="263"/>
      <c r="AO37" s="263"/>
      <c r="AP37" s="263"/>
      <c r="AQ37" s="263"/>
      <c r="AR37" s="263"/>
      <c r="AS37" s="263"/>
      <c r="AT37" s="263"/>
      <c r="AU37" s="263"/>
      <c r="AV37" s="263"/>
      <c r="AW37" s="263"/>
      <c r="AX37" s="263"/>
      <c r="AY37" s="263">
        <f t="shared" si="74"/>
        <v>0</v>
      </c>
      <c r="BA37" s="277"/>
      <c r="BB37" s="277"/>
      <c r="BC37" s="277">
        <f t="shared" si="10"/>
        <v>0</v>
      </c>
      <c r="BE37" s="55">
        <f>P37+AH37+AY37+BC37</f>
        <v>0</v>
      </c>
      <c r="BF37" s="55"/>
      <c r="BG37" s="18"/>
      <c r="BH37" s="542"/>
      <c r="BI37" s="542"/>
      <c r="BJ37" s="542"/>
      <c r="BK37" s="542"/>
      <c r="BL37" s="542"/>
      <c r="BM37" s="542"/>
      <c r="BN37" s="542"/>
      <c r="BO37" s="542"/>
      <c r="BP37" s="542"/>
      <c r="BQ37" s="542"/>
      <c r="BR37" s="542"/>
      <c r="BS37" s="542"/>
      <c r="BT37" s="542"/>
      <c r="BU37" s="542"/>
      <c r="BV37" s="542"/>
      <c r="BW37" s="542"/>
      <c r="BX37" s="542"/>
      <c r="BY37" s="542"/>
      <c r="BZ37" s="542"/>
      <c r="CA37" s="542"/>
      <c r="CB37" s="542"/>
      <c r="CC37" s="542"/>
      <c r="CD37" s="542"/>
      <c r="CE37" s="542"/>
      <c r="CF37" s="542"/>
      <c r="CG37" s="542"/>
      <c r="CH37" s="542"/>
      <c r="CI37" s="542"/>
      <c r="CJ37" s="542"/>
      <c r="CK37" s="542"/>
      <c r="CL37" s="542"/>
      <c r="CM37" s="542"/>
      <c r="CN37" s="542"/>
      <c r="CO37" s="542"/>
      <c r="CP37" s="542"/>
      <c r="CQ37" s="542"/>
      <c r="CR37" s="542"/>
      <c r="CS37" s="542"/>
      <c r="CT37" s="542"/>
      <c r="CU37" s="542"/>
      <c r="CW37" s="151">
        <f t="shared" si="75"/>
        <v>0</v>
      </c>
    </row>
    <row r="38" spans="1:101" s="84" customFormat="1" outlineLevel="1" x14ac:dyDescent="0.2">
      <c r="A38" s="543"/>
      <c r="B38" s="543"/>
      <c r="C38" s="62" t="s">
        <v>405</v>
      </c>
      <c r="D38" s="61" t="str">
        <f>INDEX(Modules[Module], MATCH($C38, Modules[Code], 0))</f>
        <v>Petroleum refineries</v>
      </c>
      <c r="E38" s="61"/>
      <c r="G38" s="297">
        <f t="shared" ref="G38:O39" ca="1" si="92">IFERROR(INDEX(INDIRECT($C38&amp;".Outputs["&amp;this.Year&amp;"]"), MATCH(G$5, INDIRECT($C38&amp;".Outputs[Vector]"), 0)), 0)</f>
        <v>0</v>
      </c>
      <c r="H38" s="297">
        <f t="shared" ca="1" si="92"/>
        <v>0</v>
      </c>
      <c r="I38" s="297">
        <f t="shared" ca="1" si="92"/>
        <v>0</v>
      </c>
      <c r="J38" s="297">
        <f t="shared" ca="1" si="92"/>
        <v>0</v>
      </c>
      <c r="K38" s="297">
        <f t="shared" ca="1" si="92"/>
        <v>0</v>
      </c>
      <c r="L38" s="297">
        <f t="shared" ca="1" si="92"/>
        <v>0</v>
      </c>
      <c r="M38" s="297">
        <f t="shared" ca="1" si="92"/>
        <v>0</v>
      </c>
      <c r="N38" s="297">
        <f t="shared" ca="1" si="92"/>
        <v>0</v>
      </c>
      <c r="O38" s="297">
        <f t="shared" ca="1" si="92"/>
        <v>0</v>
      </c>
      <c r="P38" s="297">
        <f t="shared" ca="1" si="70"/>
        <v>0</v>
      </c>
      <c r="R38" s="304">
        <f t="shared" ref="R38:AX39" ca="1" si="93">IFERROR(INDEX(INDIRECT($C38&amp;".Outputs["&amp;this.Year&amp;"]"), MATCH(R$5, INDIRECT($C38&amp;".Outputs[Vector]"), 0)), 0)</f>
        <v>-3.6895756901015524</v>
      </c>
      <c r="S38" s="304">
        <f t="shared" ca="1" si="93"/>
        <v>0</v>
      </c>
      <c r="T38" s="304">
        <f t="shared" ca="1" si="93"/>
        <v>0</v>
      </c>
      <c r="U38" s="304">
        <f t="shared" ca="1" si="93"/>
        <v>-0.16774319037685015</v>
      </c>
      <c r="V38" s="304">
        <f t="shared" ca="1" si="93"/>
        <v>-0.34154812392247846</v>
      </c>
      <c r="W38" s="304">
        <f t="shared" ca="1" si="93"/>
        <v>0</v>
      </c>
      <c r="X38" s="304">
        <f t="shared" ref="X38:Z39" ca="1" si="94">IFERROR(INDEX(INDIRECT($C38&amp;".Outputs["&amp;this.Year&amp;"]"), MATCH(X$5, INDIRECT($C38&amp;".Outputs[Vector]"), 0)), 0)</f>
        <v>0</v>
      </c>
      <c r="Y38" s="304">
        <f t="shared" ca="1" si="94"/>
        <v>0</v>
      </c>
      <c r="Z38" s="304">
        <f t="shared" ca="1" si="94"/>
        <v>0</v>
      </c>
      <c r="AA38" s="304">
        <f t="shared" ca="1" si="93"/>
        <v>0</v>
      </c>
      <c r="AB38" s="304">
        <f t="shared" ca="1" si="93"/>
        <v>0</v>
      </c>
      <c r="AC38" s="304">
        <f t="shared" ca="1" si="93"/>
        <v>0</v>
      </c>
      <c r="AD38" s="304">
        <f t="shared" ca="1" si="93"/>
        <v>0</v>
      </c>
      <c r="AE38" s="304">
        <f t="shared" ca="1" si="93"/>
        <v>0</v>
      </c>
      <c r="AF38" s="304">
        <f t="shared" ca="1" si="93"/>
        <v>0</v>
      </c>
      <c r="AG38" s="304">
        <f t="shared" ca="1" si="93"/>
        <v>0</v>
      </c>
      <c r="AH38" s="305">
        <f t="shared" ca="1" si="5"/>
        <v>-4.1988670044008813</v>
      </c>
      <c r="AJ38" s="312">
        <f t="shared" ref="AJ38:AR39" ca="1" si="95">IFERROR(INDEX(INDIRECT($C38&amp;".Outputs["&amp;this.Year&amp;"]"), MATCH(AJ$5, INDIRECT($C38&amp;".Outputs[Vector]"), 0)), 0)</f>
        <v>0</v>
      </c>
      <c r="AK38" s="312">
        <f t="shared" ca="1" si="95"/>
        <v>0</v>
      </c>
      <c r="AL38" s="312">
        <f t="shared" ca="1" si="95"/>
        <v>0</v>
      </c>
      <c r="AM38" s="312">
        <f t="shared" ca="1" si="95"/>
        <v>0</v>
      </c>
      <c r="AN38" s="312">
        <f t="shared" ca="1" si="95"/>
        <v>0</v>
      </c>
      <c r="AO38" s="312">
        <f t="shared" ca="1" si="95"/>
        <v>0</v>
      </c>
      <c r="AP38" s="312">
        <f t="shared" ca="1" si="95"/>
        <v>0</v>
      </c>
      <c r="AQ38" s="312">
        <f t="shared" ca="1" si="95"/>
        <v>0</v>
      </c>
      <c r="AR38" s="312">
        <f t="shared" ca="1" si="95"/>
        <v>0</v>
      </c>
      <c r="AS38" s="312">
        <f t="shared" ca="1" si="93"/>
        <v>0</v>
      </c>
      <c r="AT38" s="312">
        <f t="shared" ca="1" si="93"/>
        <v>0</v>
      </c>
      <c r="AU38" s="312">
        <f t="shared" ca="1" si="93"/>
        <v>0</v>
      </c>
      <c r="AV38" s="312">
        <f t="shared" ca="1" si="93"/>
        <v>0</v>
      </c>
      <c r="AW38" s="312">
        <f t="shared" ca="1" si="93"/>
        <v>0</v>
      </c>
      <c r="AX38" s="312">
        <f t="shared" ca="1" si="93"/>
        <v>0</v>
      </c>
      <c r="AY38" s="266">
        <f t="shared" ca="1" si="74"/>
        <v>0</v>
      </c>
      <c r="BA38" s="308">
        <f ca="1">IFERROR(INDEX(INDIRECT($C38&amp;".Outputs["&amp;this.Year&amp;"]"), MATCH(BA$5, INDIRECT($C38&amp;".Outputs[Vector]"), 0)), 0)</f>
        <v>0</v>
      </c>
      <c r="BB38" s="308">
        <f ca="1">IFERROR(INDEX(INDIRECT($C38&amp;".Outputs["&amp;this.Year&amp;"]"), MATCH(BB$5, INDIRECT($C38&amp;".Outputs[Vector]"), 0)), 0)</f>
        <v>4.1988670044008813</v>
      </c>
      <c r="BC38" s="309">
        <f t="shared" ca="1" si="10"/>
        <v>4.1988670044008813</v>
      </c>
      <c r="BE38" s="135">
        <f ca="1">P38+AH38+AY38+BC38</f>
        <v>0</v>
      </c>
      <c r="BF38" s="135"/>
      <c r="BG38" s="1428"/>
      <c r="BH38" s="541">
        <f t="shared" ref="BH38:BQ39" ca="1" si="96">IFERROR(SUMIFS(INDIRECT($C38&amp;".Emissions["&amp;this.Year&amp;"]"), INDIRECT($C38&amp;".Emissions[GHG]"), BH$6, INDIRECT($C38&amp;".Emissions[IPCC Sector]"), BH$5),0)</f>
        <v>0.10478065239594857</v>
      </c>
      <c r="BI38" s="542">
        <f t="shared" ca="1" si="96"/>
        <v>1.781815157445177E-4</v>
      </c>
      <c r="BJ38" s="542">
        <f t="shared" ca="1" si="96"/>
        <v>8.899995233682277E-4</v>
      </c>
      <c r="BK38" s="542">
        <f t="shared" ca="1" si="96"/>
        <v>0</v>
      </c>
      <c r="BL38" s="542">
        <f t="shared" ca="1" si="96"/>
        <v>0</v>
      </c>
      <c r="BM38" s="542">
        <f t="shared" ca="1" si="96"/>
        <v>0</v>
      </c>
      <c r="BN38" s="542">
        <f t="shared" ca="1" si="96"/>
        <v>0</v>
      </c>
      <c r="BO38" s="542">
        <f t="shared" ca="1" si="96"/>
        <v>0</v>
      </c>
      <c r="BP38" s="542">
        <f t="shared" ca="1" si="96"/>
        <v>0</v>
      </c>
      <c r="BQ38" s="542">
        <f t="shared" ca="1" si="96"/>
        <v>0</v>
      </c>
      <c r="BR38" s="542">
        <f t="shared" ref="BR38:CA39" ca="1" si="97">IFERROR(SUMIFS(INDIRECT($C38&amp;".Emissions["&amp;this.Year&amp;"]"), INDIRECT($C38&amp;".Emissions[GHG]"), BR$6, INDIRECT($C38&amp;".Emissions[IPCC Sector]"), BR$5),0)</f>
        <v>0</v>
      </c>
      <c r="BS38" s="542">
        <f t="shared" ca="1" si="97"/>
        <v>0</v>
      </c>
      <c r="BT38" s="542">
        <f t="shared" ca="1" si="97"/>
        <v>0</v>
      </c>
      <c r="BU38" s="542">
        <f t="shared" ca="1" si="97"/>
        <v>0</v>
      </c>
      <c r="BV38" s="542">
        <f t="shared" ca="1" si="97"/>
        <v>0</v>
      </c>
      <c r="BW38" s="542">
        <f t="shared" ca="1" si="97"/>
        <v>0</v>
      </c>
      <c r="BX38" s="542">
        <f t="shared" ca="1" si="97"/>
        <v>0</v>
      </c>
      <c r="BY38" s="542">
        <f t="shared" ca="1" si="97"/>
        <v>0</v>
      </c>
      <c r="BZ38" s="542">
        <f t="shared" ca="1" si="97"/>
        <v>0</v>
      </c>
      <c r="CA38" s="542">
        <f t="shared" ca="1" si="97"/>
        <v>0</v>
      </c>
      <c r="CB38" s="542">
        <f t="shared" ref="CB38:CK39" ca="1" si="98">IFERROR(SUMIFS(INDIRECT($C38&amp;".Emissions["&amp;this.Year&amp;"]"), INDIRECT($C38&amp;".Emissions[GHG]"), CB$6, INDIRECT($C38&amp;".Emissions[IPCC Sector]"), CB$5),0)</f>
        <v>0</v>
      </c>
      <c r="CC38" s="542">
        <f t="shared" ca="1" si="98"/>
        <v>0</v>
      </c>
      <c r="CD38" s="542">
        <f t="shared" ca="1" si="98"/>
        <v>0</v>
      </c>
      <c r="CE38" s="542">
        <f t="shared" ca="1" si="98"/>
        <v>0</v>
      </c>
      <c r="CF38" s="542">
        <f t="shared" ca="1" si="98"/>
        <v>0</v>
      </c>
      <c r="CG38" s="542">
        <f t="shared" ca="1" si="98"/>
        <v>0</v>
      </c>
      <c r="CH38" s="542">
        <f t="shared" ca="1" si="98"/>
        <v>0</v>
      </c>
      <c r="CI38" s="542">
        <f t="shared" ca="1" si="98"/>
        <v>0</v>
      </c>
      <c r="CJ38" s="542">
        <f t="shared" ca="1" si="98"/>
        <v>0</v>
      </c>
      <c r="CK38" s="542">
        <f t="shared" ca="1" si="98"/>
        <v>0</v>
      </c>
      <c r="CL38" s="542">
        <f t="shared" ref="CL38:CU39" ca="1" si="99">IFERROR(SUMIFS(INDIRECT($C38&amp;".Emissions["&amp;this.Year&amp;"]"), INDIRECT($C38&amp;".Emissions[GHG]"), CL$6, INDIRECT($C38&amp;".Emissions[IPCC Sector]"), CL$5),0)</f>
        <v>0</v>
      </c>
      <c r="CM38" s="542">
        <f t="shared" ca="1" si="99"/>
        <v>0</v>
      </c>
      <c r="CN38" s="542">
        <f t="shared" ca="1" si="99"/>
        <v>0</v>
      </c>
      <c r="CO38" s="542">
        <f t="shared" ca="1" si="99"/>
        <v>0</v>
      </c>
      <c r="CP38" s="542">
        <f t="shared" ca="1" si="99"/>
        <v>0</v>
      </c>
      <c r="CQ38" s="542">
        <f t="shared" ca="1" si="99"/>
        <v>0</v>
      </c>
      <c r="CR38" s="542">
        <f t="shared" ca="1" si="99"/>
        <v>0</v>
      </c>
      <c r="CS38" s="542">
        <f t="shared" ca="1" si="99"/>
        <v>0</v>
      </c>
      <c r="CT38" s="542">
        <f t="shared" ca="1" si="99"/>
        <v>0</v>
      </c>
      <c r="CU38" s="542">
        <f t="shared" ca="1" si="99"/>
        <v>0</v>
      </c>
      <c r="CW38" s="151">
        <f t="shared" ca="1" si="75"/>
        <v>0.10584883343506131</v>
      </c>
    </row>
    <row r="39" spans="1:101" s="84" customFormat="1" outlineLevel="1" x14ac:dyDescent="0.2">
      <c r="A39" s="543"/>
      <c r="B39" s="543"/>
      <c r="C39" s="62" t="s">
        <v>415</v>
      </c>
      <c r="D39" s="292" t="str">
        <f>INDEX(Modules[Module], MATCH($C39, Modules[Code], 0))</f>
        <v>Indigenous fossil-fuel production</v>
      </c>
      <c r="E39" s="292"/>
      <c r="G39" s="301">
        <f t="shared" ca="1" si="92"/>
        <v>0</v>
      </c>
      <c r="H39" s="301">
        <f t="shared" ca="1" si="92"/>
        <v>0</v>
      </c>
      <c r="I39" s="301">
        <f t="shared" ca="1" si="92"/>
        <v>0</v>
      </c>
      <c r="J39" s="301">
        <f t="shared" ca="1" si="92"/>
        <v>246.35828878719798</v>
      </c>
      <c r="K39" s="301">
        <f t="shared" ca="1" si="92"/>
        <v>0</v>
      </c>
      <c r="L39" s="301">
        <f t="shared" ca="1" si="92"/>
        <v>0</v>
      </c>
      <c r="M39" s="301">
        <f t="shared" ca="1" si="92"/>
        <v>0</v>
      </c>
      <c r="N39" s="301">
        <f t="shared" ca="1" si="92"/>
        <v>0</v>
      </c>
      <c r="O39" s="301">
        <f t="shared" ca="1" si="92"/>
        <v>0</v>
      </c>
      <c r="P39" s="301">
        <f t="shared" ca="1" si="70"/>
        <v>246.35828878719798</v>
      </c>
      <c r="R39" s="307">
        <f t="shared" ca="1" si="93"/>
        <v>-0.96408757488782859</v>
      </c>
      <c r="S39" s="307">
        <f t="shared" ca="1" si="93"/>
        <v>0</v>
      </c>
      <c r="T39" s="307">
        <f t="shared" ca="1" si="93"/>
        <v>-6.287341681748858E-3</v>
      </c>
      <c r="U39" s="307">
        <f t="shared" ca="1" si="93"/>
        <v>0</v>
      </c>
      <c r="V39" s="307">
        <f t="shared" ca="1" si="93"/>
        <v>-245.38791387062841</v>
      </c>
      <c r="W39" s="307">
        <f t="shared" ca="1" si="93"/>
        <v>0</v>
      </c>
      <c r="X39" s="307">
        <f t="shared" ca="1" si="94"/>
        <v>17.5</v>
      </c>
      <c r="Y39" s="307">
        <f t="shared" ca="1" si="94"/>
        <v>1438.0958943960002</v>
      </c>
      <c r="Z39" s="307">
        <f t="shared" ca="1" si="94"/>
        <v>876.37166666666667</v>
      </c>
      <c r="AA39" s="307">
        <f t="shared" ca="1" si="93"/>
        <v>0</v>
      </c>
      <c r="AB39" s="307">
        <f t="shared" ca="1" si="93"/>
        <v>0</v>
      </c>
      <c r="AC39" s="307">
        <f t="shared" ca="1" si="93"/>
        <v>0</v>
      </c>
      <c r="AD39" s="307">
        <f t="shared" ca="1" si="93"/>
        <v>0</v>
      </c>
      <c r="AE39" s="307">
        <f t="shared" ca="1" si="93"/>
        <v>0</v>
      </c>
      <c r="AF39" s="307">
        <f t="shared" ca="1" si="93"/>
        <v>0</v>
      </c>
      <c r="AG39" s="307">
        <f t="shared" ca="1" si="93"/>
        <v>0</v>
      </c>
      <c r="AH39" s="306">
        <f t="shared" ca="1" si="5"/>
        <v>2085.6092722754688</v>
      </c>
      <c r="AJ39" s="315">
        <f t="shared" ca="1" si="95"/>
        <v>-17.5</v>
      </c>
      <c r="AK39" s="315">
        <f t="shared" ca="1" si="95"/>
        <v>-1438.0958943960002</v>
      </c>
      <c r="AL39" s="315">
        <f t="shared" ca="1" si="95"/>
        <v>-876.37166666666667</v>
      </c>
      <c r="AM39" s="315">
        <f t="shared" ca="1" si="95"/>
        <v>0</v>
      </c>
      <c r="AN39" s="315">
        <f t="shared" ca="1" si="95"/>
        <v>0</v>
      </c>
      <c r="AO39" s="315">
        <f t="shared" ca="1" si="95"/>
        <v>0</v>
      </c>
      <c r="AP39" s="315">
        <f t="shared" ca="1" si="95"/>
        <v>0</v>
      </c>
      <c r="AQ39" s="315">
        <f t="shared" ca="1" si="95"/>
        <v>0</v>
      </c>
      <c r="AR39" s="315">
        <f t="shared" ca="1" si="95"/>
        <v>0</v>
      </c>
      <c r="AS39" s="315">
        <f t="shared" ca="1" si="93"/>
        <v>0</v>
      </c>
      <c r="AT39" s="315">
        <f t="shared" ca="1" si="93"/>
        <v>0</v>
      </c>
      <c r="AU39" s="315">
        <f t="shared" ca="1" si="93"/>
        <v>0</v>
      </c>
      <c r="AV39" s="315">
        <f t="shared" ca="1" si="93"/>
        <v>0</v>
      </c>
      <c r="AW39" s="315">
        <f t="shared" ca="1" si="93"/>
        <v>0</v>
      </c>
      <c r="AX39" s="315">
        <f t="shared" ca="1" si="93"/>
        <v>0</v>
      </c>
      <c r="AY39" s="293">
        <f t="shared" ca="1" si="74"/>
        <v>-2331.9675610626668</v>
      </c>
      <c r="BA39" s="311">
        <f ca="1">IFERROR(INDEX(INDIRECT($C39&amp;".Outputs["&amp;this.Year&amp;"]"), MATCH(BA$5, INDIRECT($C39&amp;".Outputs[Vector]"), 0)), 0)</f>
        <v>0</v>
      </c>
      <c r="BB39" s="311">
        <f ca="1">IFERROR(INDEX(INDIRECT($C39&amp;".Outputs["&amp;this.Year&amp;"]"), MATCH(BB$5, INDIRECT($C39&amp;".Outputs[Vector]"), 0)), 0)</f>
        <v>0</v>
      </c>
      <c r="BC39" s="310">
        <f t="shared" ca="1" si="10"/>
        <v>0</v>
      </c>
      <c r="BE39" s="135"/>
      <c r="BF39" s="135"/>
      <c r="BG39" s="1428"/>
      <c r="BH39" s="544">
        <f t="shared" ca="1" si="96"/>
        <v>45.149020604562416</v>
      </c>
      <c r="BI39" s="545">
        <f t="shared" ca="1" si="96"/>
        <v>9.0500566546700065E-2</v>
      </c>
      <c r="BJ39" s="545">
        <f t="shared" ca="1" si="96"/>
        <v>9.7337759144685662E-2</v>
      </c>
      <c r="BK39" s="545">
        <f t="shared" ca="1" si="96"/>
        <v>0</v>
      </c>
      <c r="BL39" s="545">
        <f t="shared" ca="1" si="96"/>
        <v>6.5648571428571429</v>
      </c>
      <c r="BM39" s="545">
        <f t="shared" ca="1" si="96"/>
        <v>2.3816657725036119E-2</v>
      </c>
      <c r="BN39" s="545">
        <f t="shared" ca="1" si="96"/>
        <v>0</v>
      </c>
      <c r="BO39" s="545">
        <f t="shared" ca="1" si="96"/>
        <v>0</v>
      </c>
      <c r="BP39" s="545">
        <f t="shared" ca="1" si="96"/>
        <v>0</v>
      </c>
      <c r="BQ39" s="545">
        <f t="shared" ca="1" si="96"/>
        <v>0</v>
      </c>
      <c r="BR39" s="545">
        <f t="shared" ca="1" si="97"/>
        <v>0</v>
      </c>
      <c r="BS39" s="545">
        <f t="shared" ca="1" si="97"/>
        <v>0</v>
      </c>
      <c r="BT39" s="545">
        <f t="shared" ca="1" si="97"/>
        <v>0</v>
      </c>
      <c r="BU39" s="545">
        <f t="shared" ca="1" si="97"/>
        <v>0</v>
      </c>
      <c r="BV39" s="545">
        <f t="shared" ca="1" si="97"/>
        <v>0</v>
      </c>
      <c r="BW39" s="545">
        <f t="shared" ca="1" si="97"/>
        <v>0</v>
      </c>
      <c r="BX39" s="545">
        <f t="shared" ca="1" si="97"/>
        <v>0</v>
      </c>
      <c r="BY39" s="545">
        <f t="shared" ca="1" si="97"/>
        <v>0</v>
      </c>
      <c r="BZ39" s="545">
        <f t="shared" ca="1" si="97"/>
        <v>0</v>
      </c>
      <c r="CA39" s="545">
        <f t="shared" ca="1" si="97"/>
        <v>0</v>
      </c>
      <c r="CB39" s="545">
        <f t="shared" ca="1" si="98"/>
        <v>0</v>
      </c>
      <c r="CC39" s="545">
        <f t="shared" ca="1" si="98"/>
        <v>0</v>
      </c>
      <c r="CD39" s="545">
        <f t="shared" ca="1" si="98"/>
        <v>0</v>
      </c>
      <c r="CE39" s="545">
        <f t="shared" ca="1" si="98"/>
        <v>0</v>
      </c>
      <c r="CF39" s="545">
        <f t="shared" ca="1" si="98"/>
        <v>0</v>
      </c>
      <c r="CG39" s="545">
        <f t="shared" ca="1" si="98"/>
        <v>0</v>
      </c>
      <c r="CH39" s="545">
        <f t="shared" ca="1" si="98"/>
        <v>0</v>
      </c>
      <c r="CI39" s="545">
        <f t="shared" ca="1" si="98"/>
        <v>0</v>
      </c>
      <c r="CJ39" s="545">
        <f t="shared" ca="1" si="98"/>
        <v>0</v>
      </c>
      <c r="CK39" s="545">
        <f t="shared" ca="1" si="98"/>
        <v>0</v>
      </c>
      <c r="CL39" s="545">
        <f t="shared" ca="1" si="99"/>
        <v>0</v>
      </c>
      <c r="CM39" s="545">
        <f t="shared" ca="1" si="99"/>
        <v>0</v>
      </c>
      <c r="CN39" s="545">
        <f t="shared" ca="1" si="99"/>
        <v>0</v>
      </c>
      <c r="CO39" s="545">
        <f t="shared" ca="1" si="99"/>
        <v>0</v>
      </c>
      <c r="CP39" s="545">
        <f t="shared" ca="1" si="99"/>
        <v>0</v>
      </c>
      <c r="CQ39" s="545">
        <f t="shared" ca="1" si="99"/>
        <v>0</v>
      </c>
      <c r="CR39" s="545">
        <f t="shared" ca="1" si="99"/>
        <v>0</v>
      </c>
      <c r="CS39" s="545">
        <f t="shared" ca="1" si="99"/>
        <v>0</v>
      </c>
      <c r="CT39" s="545">
        <f t="shared" ca="1" si="99"/>
        <v>0</v>
      </c>
      <c r="CU39" s="545">
        <f t="shared" ca="1" si="99"/>
        <v>0</v>
      </c>
      <c r="CW39" s="151">
        <f t="shared" ca="1" si="75"/>
        <v>51.925532730835982</v>
      </c>
    </row>
    <row r="40" spans="1:101" s="84" customFormat="1" ht="15.75" x14ac:dyDescent="0.2">
      <c r="A40" s="547"/>
      <c r="B40" s="548"/>
      <c r="C40" s="85" t="s">
        <v>403</v>
      </c>
      <c r="D40" s="57" t="str">
        <f>INDEX(Workstreams[Workstream], MATCH($C40, Workstreams[Code], 0))</f>
        <v>Fossil fuel production</v>
      </c>
      <c r="E40" s="53"/>
      <c r="G40" s="300">
        <f ca="1">SUM(G38:G39)</f>
        <v>0</v>
      </c>
      <c r="H40" s="300">
        <f t="shared" ref="H40:O40" ca="1" si="100">SUM(H38:H39)</f>
        <v>0</v>
      </c>
      <c r="I40" s="300">
        <f ca="1">SUM(I38:I39)</f>
        <v>0</v>
      </c>
      <c r="J40" s="300">
        <f t="shared" ca="1" si="100"/>
        <v>246.35828878719798</v>
      </c>
      <c r="K40" s="300">
        <f t="shared" ca="1" si="100"/>
        <v>0</v>
      </c>
      <c r="L40" s="300">
        <f t="shared" ca="1" si="100"/>
        <v>0</v>
      </c>
      <c r="M40" s="300">
        <f t="shared" ca="1" si="100"/>
        <v>0</v>
      </c>
      <c r="N40" s="300">
        <f t="shared" ca="1" si="100"/>
        <v>0</v>
      </c>
      <c r="O40" s="300">
        <f t="shared" ca="1" si="100"/>
        <v>0</v>
      </c>
      <c r="P40" s="300">
        <f t="shared" ca="1" si="70"/>
        <v>246.35828878719798</v>
      </c>
      <c r="R40" s="257">
        <f t="shared" ref="R40:AE40" ca="1" si="101">SUM(R38:R39)</f>
        <v>-4.6536632649893814</v>
      </c>
      <c r="S40" s="257">
        <f t="shared" ca="1" si="101"/>
        <v>0</v>
      </c>
      <c r="T40" s="257">
        <f t="shared" ca="1" si="101"/>
        <v>-6.287341681748858E-3</v>
      </c>
      <c r="U40" s="257">
        <f t="shared" ca="1" si="101"/>
        <v>-0.16774319037685015</v>
      </c>
      <c r="V40" s="257">
        <f t="shared" ca="1" si="101"/>
        <v>-245.72946199455089</v>
      </c>
      <c r="W40" s="257">
        <f ca="1">SUM(W38:W39)</f>
        <v>0</v>
      </c>
      <c r="X40" s="257">
        <f ca="1">SUM(X38:X39)</f>
        <v>17.5</v>
      </c>
      <c r="Y40" s="257">
        <f ca="1">SUM(Y38:Y39)</f>
        <v>1438.0958943960002</v>
      </c>
      <c r="Z40" s="257">
        <f ca="1">SUM(Z38:Z39)</f>
        <v>876.37166666666667</v>
      </c>
      <c r="AA40" s="257">
        <f t="shared" ca="1" si="101"/>
        <v>0</v>
      </c>
      <c r="AB40" s="257">
        <f t="shared" ca="1" si="101"/>
        <v>0</v>
      </c>
      <c r="AC40" s="257">
        <f ca="1">SUM(AC38:AC39)</f>
        <v>0</v>
      </c>
      <c r="AD40" s="257">
        <f ca="1">SUM(AD38:AD39)</f>
        <v>0</v>
      </c>
      <c r="AE40" s="257">
        <f t="shared" ca="1" si="101"/>
        <v>0</v>
      </c>
      <c r="AF40" s="257">
        <f ca="1">SUM(AF38:AF39)</f>
        <v>0</v>
      </c>
      <c r="AG40" s="257">
        <f ca="1">SUM(AG38:AG39)</f>
        <v>0</v>
      </c>
      <c r="AH40" s="257">
        <f t="shared" ca="1" si="5"/>
        <v>2081.4104052710682</v>
      </c>
      <c r="AJ40" s="263">
        <f t="shared" ref="AJ40:AX40" ca="1" si="102">SUM(AJ38:AJ39)</f>
        <v>-17.5</v>
      </c>
      <c r="AK40" s="263">
        <f t="shared" ca="1" si="102"/>
        <v>-1438.0958943960002</v>
      </c>
      <c r="AL40" s="263">
        <f t="shared" ca="1" si="102"/>
        <v>-876.37166666666667</v>
      </c>
      <c r="AM40" s="263">
        <f t="shared" ca="1" si="102"/>
        <v>0</v>
      </c>
      <c r="AN40" s="263">
        <f t="shared" ca="1" si="102"/>
        <v>0</v>
      </c>
      <c r="AO40" s="263">
        <f t="shared" ca="1" si="102"/>
        <v>0</v>
      </c>
      <c r="AP40" s="263">
        <f t="shared" ca="1" si="102"/>
        <v>0</v>
      </c>
      <c r="AQ40" s="263">
        <f t="shared" ca="1" si="102"/>
        <v>0</v>
      </c>
      <c r="AR40" s="263">
        <f t="shared" ca="1" si="102"/>
        <v>0</v>
      </c>
      <c r="AS40" s="263">
        <f t="shared" ca="1" si="102"/>
        <v>0</v>
      </c>
      <c r="AT40" s="263">
        <f t="shared" ca="1" si="102"/>
        <v>0</v>
      </c>
      <c r="AU40" s="263">
        <f t="shared" ca="1" si="102"/>
        <v>0</v>
      </c>
      <c r="AV40" s="263">
        <f t="shared" ca="1" si="102"/>
        <v>0</v>
      </c>
      <c r="AW40" s="263">
        <f t="shared" ca="1" si="102"/>
        <v>0</v>
      </c>
      <c r="AX40" s="263">
        <f t="shared" ca="1" si="102"/>
        <v>0</v>
      </c>
      <c r="AY40" s="263">
        <f t="shared" ca="1" si="74"/>
        <v>-2331.9675610626668</v>
      </c>
      <c r="BA40" s="277">
        <f ca="1">SUM(BA38:BA39)</f>
        <v>0</v>
      </c>
      <c r="BB40" s="277">
        <f ca="1">SUM(BB38:BB39)</f>
        <v>4.1988670044008813</v>
      </c>
      <c r="BC40" s="277">
        <f t="shared" ca="1" si="10"/>
        <v>4.1988670044008813</v>
      </c>
      <c r="BE40" s="55">
        <f t="shared" ref="BE40:BE47" ca="1" si="103">P40+AH40+AY40+BC40</f>
        <v>2.2737367544323206E-13</v>
      </c>
      <c r="BF40" s="164"/>
      <c r="BG40" s="1428"/>
      <c r="BH40" s="541">
        <f t="shared" ref="BH40:CU40" ca="1" si="104">SUM(BH38:BH39)</f>
        <v>45.253801256958361</v>
      </c>
      <c r="BI40" s="542">
        <f t="shared" ca="1" si="104"/>
        <v>9.0678748062444581E-2</v>
      </c>
      <c r="BJ40" s="542">
        <f t="shared" ca="1" si="104"/>
        <v>9.8227758668053888E-2</v>
      </c>
      <c r="BK40" s="542">
        <f t="shared" ca="1" si="104"/>
        <v>0</v>
      </c>
      <c r="BL40" s="542">
        <f t="shared" ca="1" si="104"/>
        <v>6.5648571428571429</v>
      </c>
      <c r="BM40" s="542">
        <f t="shared" ca="1" si="104"/>
        <v>2.3816657725036119E-2</v>
      </c>
      <c r="BN40" s="542">
        <f t="shared" ca="1" si="104"/>
        <v>0</v>
      </c>
      <c r="BO40" s="542">
        <f t="shared" ca="1" si="104"/>
        <v>0</v>
      </c>
      <c r="BP40" s="542">
        <f t="shared" ca="1" si="104"/>
        <v>0</v>
      </c>
      <c r="BQ40" s="542">
        <f t="shared" ca="1" si="104"/>
        <v>0</v>
      </c>
      <c r="BR40" s="542">
        <f t="shared" ca="1" si="104"/>
        <v>0</v>
      </c>
      <c r="BS40" s="542">
        <f t="shared" ca="1" si="104"/>
        <v>0</v>
      </c>
      <c r="BT40" s="542">
        <f t="shared" ca="1" si="104"/>
        <v>0</v>
      </c>
      <c r="BU40" s="542">
        <f t="shared" ca="1" si="104"/>
        <v>0</v>
      </c>
      <c r="BV40" s="542">
        <f t="shared" ca="1" si="104"/>
        <v>0</v>
      </c>
      <c r="BW40" s="542">
        <f t="shared" ca="1" si="104"/>
        <v>0</v>
      </c>
      <c r="BX40" s="542">
        <f t="shared" ca="1" si="104"/>
        <v>0</v>
      </c>
      <c r="BY40" s="542">
        <f t="shared" ca="1" si="104"/>
        <v>0</v>
      </c>
      <c r="BZ40" s="542">
        <f t="shared" ca="1" si="104"/>
        <v>0</v>
      </c>
      <c r="CA40" s="542">
        <f t="shared" ca="1" si="104"/>
        <v>0</v>
      </c>
      <c r="CB40" s="542">
        <f t="shared" ca="1" si="104"/>
        <v>0</v>
      </c>
      <c r="CC40" s="542">
        <f t="shared" ca="1" si="104"/>
        <v>0</v>
      </c>
      <c r="CD40" s="542">
        <f t="shared" ca="1" si="104"/>
        <v>0</v>
      </c>
      <c r="CE40" s="542">
        <f t="shared" ca="1" si="104"/>
        <v>0</v>
      </c>
      <c r="CF40" s="542">
        <f t="shared" ca="1" si="104"/>
        <v>0</v>
      </c>
      <c r="CG40" s="542">
        <f t="shared" ca="1" si="104"/>
        <v>0</v>
      </c>
      <c r="CH40" s="542">
        <f t="shared" ca="1" si="104"/>
        <v>0</v>
      </c>
      <c r="CI40" s="542">
        <f t="shared" ca="1" si="104"/>
        <v>0</v>
      </c>
      <c r="CJ40" s="542">
        <f t="shared" ca="1" si="104"/>
        <v>0</v>
      </c>
      <c r="CK40" s="542">
        <f t="shared" ca="1" si="104"/>
        <v>0</v>
      </c>
      <c r="CL40" s="542">
        <f t="shared" ca="1" si="104"/>
        <v>0</v>
      </c>
      <c r="CM40" s="542">
        <f t="shared" ca="1" si="104"/>
        <v>0</v>
      </c>
      <c r="CN40" s="542">
        <f t="shared" ca="1" si="104"/>
        <v>0</v>
      </c>
      <c r="CO40" s="542">
        <f t="shared" ca="1" si="104"/>
        <v>0</v>
      </c>
      <c r="CP40" s="542">
        <f t="shared" ca="1" si="104"/>
        <v>0</v>
      </c>
      <c r="CQ40" s="542">
        <f t="shared" ca="1" si="104"/>
        <v>0</v>
      </c>
      <c r="CR40" s="542">
        <f t="shared" ca="1" si="104"/>
        <v>0</v>
      </c>
      <c r="CS40" s="542">
        <f t="shared" ca="1" si="104"/>
        <v>0</v>
      </c>
      <c r="CT40" s="542">
        <f t="shared" ca="1" si="104"/>
        <v>0</v>
      </c>
      <c r="CU40" s="542">
        <f t="shared" ca="1" si="104"/>
        <v>0</v>
      </c>
      <c r="CW40" s="151">
        <f t="shared" ca="1" si="75"/>
        <v>52.031381564271037</v>
      </c>
    </row>
    <row r="41" spans="1:101" s="84" customFormat="1" outlineLevel="1" x14ac:dyDescent="0.2">
      <c r="C41" s="60"/>
      <c r="D41" s="34"/>
      <c r="E41" s="51"/>
      <c r="G41" s="245"/>
      <c r="H41" s="245"/>
      <c r="I41" s="245"/>
      <c r="J41" s="245"/>
      <c r="K41" s="245"/>
      <c r="L41" s="247"/>
      <c r="M41" s="245"/>
      <c r="N41" s="245"/>
      <c r="O41" s="245"/>
      <c r="P41" s="245">
        <f t="shared" si="70"/>
        <v>0</v>
      </c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>
        <f t="shared" si="5"/>
        <v>0</v>
      </c>
      <c r="AJ41" s="263"/>
      <c r="AK41" s="263"/>
      <c r="AL41" s="263"/>
      <c r="AM41" s="263"/>
      <c r="AN41" s="263"/>
      <c r="AO41" s="263"/>
      <c r="AP41" s="263"/>
      <c r="AQ41" s="263"/>
      <c r="AR41" s="263"/>
      <c r="AS41" s="263"/>
      <c r="AT41" s="263"/>
      <c r="AU41" s="263"/>
      <c r="AV41" s="263"/>
      <c r="AW41" s="263"/>
      <c r="AX41" s="263"/>
      <c r="AY41" s="263">
        <f t="shared" si="74"/>
        <v>0</v>
      </c>
      <c r="BA41" s="277"/>
      <c r="BB41" s="277"/>
      <c r="BC41" s="277">
        <f t="shared" si="10"/>
        <v>0</v>
      </c>
      <c r="BE41" s="55">
        <f t="shared" si="103"/>
        <v>0</v>
      </c>
      <c r="BF41" s="55"/>
      <c r="BH41" s="542"/>
      <c r="BI41" s="542"/>
      <c r="BJ41" s="542"/>
      <c r="BK41" s="542"/>
      <c r="BL41" s="542"/>
      <c r="BM41" s="542"/>
      <c r="BN41" s="542"/>
      <c r="BO41" s="542"/>
      <c r="BP41" s="542"/>
      <c r="BQ41" s="542"/>
      <c r="BR41" s="542"/>
      <c r="BS41" s="542"/>
      <c r="BT41" s="542"/>
      <c r="BU41" s="542"/>
      <c r="BV41" s="542"/>
      <c r="BW41" s="542"/>
      <c r="BX41" s="542"/>
      <c r="BY41" s="542"/>
      <c r="BZ41" s="542"/>
      <c r="CA41" s="542"/>
      <c r="CB41" s="542"/>
      <c r="CC41" s="542"/>
      <c r="CD41" s="542"/>
      <c r="CE41" s="542"/>
      <c r="CF41" s="542"/>
      <c r="CG41" s="542"/>
      <c r="CH41" s="542"/>
      <c r="CI41" s="542"/>
      <c r="CJ41" s="542"/>
      <c r="CK41" s="542"/>
      <c r="CL41" s="542"/>
      <c r="CM41" s="542"/>
      <c r="CN41" s="542"/>
      <c r="CO41" s="542"/>
      <c r="CP41" s="542"/>
      <c r="CQ41" s="542"/>
      <c r="CR41" s="542"/>
      <c r="CS41" s="542"/>
      <c r="CT41" s="542"/>
      <c r="CU41" s="542"/>
      <c r="CW41" s="151">
        <f t="shared" si="75"/>
        <v>0</v>
      </c>
    </row>
    <row r="42" spans="1:101" s="543" customFormat="1" ht="12.75" customHeight="1" outlineLevel="1" x14ac:dyDescent="0.2">
      <c r="C42" s="86" t="s">
        <v>864</v>
      </c>
      <c r="D42" s="61" t="str">
        <f>INDEX(Modules[Module], MATCH($C42, Modules[Code], 0))</f>
        <v xml:space="preserve">Wind </v>
      </c>
      <c r="E42" s="61"/>
      <c r="F42" s="84"/>
      <c r="G42" s="297">
        <f t="shared" ref="G42:O46" ca="1" si="105">IFERROR(INDEX(INDIRECT($C42&amp;".Outputs["&amp;this.Year&amp;"]"), MATCH(G$5, INDIRECT($C42&amp;".Outputs[Vector]"), 0)), 0)</f>
        <v>0</v>
      </c>
      <c r="H42" s="297">
        <f t="shared" ca="1" si="105"/>
        <v>0</v>
      </c>
      <c r="I42" s="297">
        <f t="shared" ca="1" si="105"/>
        <v>0</v>
      </c>
      <c r="J42" s="297">
        <f t="shared" ca="1" si="105"/>
        <v>0</v>
      </c>
      <c r="K42" s="297">
        <f t="shared" ca="1" si="105"/>
        <v>0</v>
      </c>
      <c r="L42" s="297">
        <f t="shared" ca="1" si="105"/>
        <v>0</v>
      </c>
      <c r="M42" s="297">
        <f t="shared" ca="1" si="105"/>
        <v>0</v>
      </c>
      <c r="N42" s="297">
        <f t="shared" ca="1" si="105"/>
        <v>0</v>
      </c>
      <c r="O42" s="297">
        <f t="shared" ca="1" si="105"/>
        <v>0</v>
      </c>
      <c r="P42" s="297">
        <f t="shared" ca="1" si="70"/>
        <v>0</v>
      </c>
      <c r="Q42" s="84"/>
      <c r="R42" s="304">
        <f t="shared" ref="R42:AX46" ca="1" si="106">IFERROR(INDEX(INDIRECT($C42&amp;".Outputs["&amp;this.Year&amp;"]"), MATCH(R$5, INDIRECT($C42&amp;".Outputs[Vector]"), 0)), 0)</f>
        <v>0</v>
      </c>
      <c r="S42" s="304">
        <f t="shared" ca="1" si="106"/>
        <v>7.3634400000000007</v>
      </c>
      <c r="T42" s="304">
        <f t="shared" ca="1" si="106"/>
        <v>0</v>
      </c>
      <c r="U42" s="304">
        <f t="shared" ca="1" si="106"/>
        <v>0</v>
      </c>
      <c r="V42" s="304">
        <f t="shared" ca="1" si="106"/>
        <v>0</v>
      </c>
      <c r="W42" s="304">
        <f t="shared" ca="1" si="106"/>
        <v>0</v>
      </c>
      <c r="X42" s="304">
        <f t="shared" ref="X42:Z46" ca="1" si="107">IFERROR(INDEX(INDIRECT($C42&amp;".Outputs["&amp;this.Year&amp;"]"), MATCH(X$5, INDIRECT($C42&amp;".Outputs[Vector]"), 0)), 0)</f>
        <v>0</v>
      </c>
      <c r="Y42" s="304">
        <f t="shared" ca="1" si="107"/>
        <v>0</v>
      </c>
      <c r="Z42" s="304">
        <f t="shared" ca="1" si="107"/>
        <v>0</v>
      </c>
      <c r="AA42" s="304">
        <f t="shared" ca="1" si="106"/>
        <v>0</v>
      </c>
      <c r="AB42" s="304">
        <f t="shared" ca="1" si="106"/>
        <v>0</v>
      </c>
      <c r="AC42" s="304">
        <f t="shared" ca="1" si="106"/>
        <v>0</v>
      </c>
      <c r="AD42" s="304">
        <f t="shared" ca="1" si="106"/>
        <v>0</v>
      </c>
      <c r="AE42" s="304">
        <f t="shared" ca="1" si="106"/>
        <v>0</v>
      </c>
      <c r="AF42" s="304">
        <f t="shared" ca="1" si="106"/>
        <v>0</v>
      </c>
      <c r="AG42" s="304">
        <f t="shared" ca="1" si="106"/>
        <v>0</v>
      </c>
      <c r="AH42" s="305">
        <f t="shared" ca="1" si="5"/>
        <v>7.3634400000000007</v>
      </c>
      <c r="AI42" s="84"/>
      <c r="AJ42" s="312">
        <f t="shared" ref="AJ42:AR46" ca="1" si="108">IFERROR(INDEX(INDIRECT($C42&amp;".Outputs["&amp;this.Year&amp;"]"), MATCH(AJ$5, INDIRECT($C42&amp;".Outputs[Vector]"), 0)), 0)</f>
        <v>0</v>
      </c>
      <c r="AK42" s="312">
        <f t="shared" ca="1" si="108"/>
        <v>0</v>
      </c>
      <c r="AL42" s="312">
        <f t="shared" ca="1" si="108"/>
        <v>0</v>
      </c>
      <c r="AM42" s="312">
        <f t="shared" ca="1" si="108"/>
        <v>0</v>
      </c>
      <c r="AN42" s="312">
        <f t="shared" ca="1" si="108"/>
        <v>0</v>
      </c>
      <c r="AO42" s="312">
        <f t="shared" ca="1" si="108"/>
        <v>0</v>
      </c>
      <c r="AP42" s="312">
        <f t="shared" ca="1" si="108"/>
        <v>0</v>
      </c>
      <c r="AQ42" s="312">
        <f t="shared" ca="1" si="108"/>
        <v>0</v>
      </c>
      <c r="AR42" s="312">
        <f t="shared" ca="1" si="108"/>
        <v>0</v>
      </c>
      <c r="AS42" s="312">
        <f t="shared" ca="1" si="106"/>
        <v>0</v>
      </c>
      <c r="AT42" s="312">
        <f t="shared" ca="1" si="106"/>
        <v>0</v>
      </c>
      <c r="AU42" s="312">
        <f t="shared" ca="1" si="106"/>
        <v>-7.3634400000000007</v>
      </c>
      <c r="AV42" s="312">
        <f t="shared" ca="1" si="106"/>
        <v>0</v>
      </c>
      <c r="AW42" s="312">
        <f t="shared" ca="1" si="106"/>
        <v>0</v>
      </c>
      <c r="AX42" s="312">
        <f t="shared" ca="1" si="106"/>
        <v>0</v>
      </c>
      <c r="AY42" s="266">
        <f t="shared" ca="1" si="74"/>
        <v>-7.3634400000000007</v>
      </c>
      <c r="AZ42" s="84"/>
      <c r="BA42" s="308">
        <f t="shared" ref="BA42:BB46" ca="1" si="109">IFERROR(INDEX(INDIRECT($C42&amp;".Outputs["&amp;this.Year&amp;"]"), MATCH(BA$5, INDIRECT($C42&amp;".Outputs[Vector]"), 0)), 0)</f>
        <v>0</v>
      </c>
      <c r="BB42" s="308">
        <f t="shared" ca="1" si="109"/>
        <v>0</v>
      </c>
      <c r="BC42" s="309">
        <f t="shared" ca="1" si="10"/>
        <v>0</v>
      </c>
      <c r="BD42" s="84"/>
      <c r="BE42" s="135">
        <f t="shared" ca="1" si="103"/>
        <v>0</v>
      </c>
      <c r="BF42" s="135"/>
      <c r="BG42" s="1428"/>
      <c r="BH42" s="541">
        <f t="shared" ref="BH42:BQ46" ca="1" si="110">IFERROR(SUMIFS(INDIRECT($C42&amp;".Emissions["&amp;this.Year&amp;"]"), INDIRECT($C42&amp;".Emissions[GHG]"), BH$6, INDIRECT($C42&amp;".Emissions[IPCC Sector]"), BH$5),0)</f>
        <v>0</v>
      </c>
      <c r="BI42" s="542">
        <f t="shared" ca="1" si="110"/>
        <v>0</v>
      </c>
      <c r="BJ42" s="542">
        <f t="shared" ca="1" si="110"/>
        <v>0</v>
      </c>
      <c r="BK42" s="542">
        <f t="shared" ca="1" si="110"/>
        <v>0</v>
      </c>
      <c r="BL42" s="542">
        <f t="shared" ca="1" si="110"/>
        <v>0</v>
      </c>
      <c r="BM42" s="542">
        <f t="shared" ca="1" si="110"/>
        <v>0</v>
      </c>
      <c r="BN42" s="542">
        <f t="shared" ca="1" si="110"/>
        <v>0</v>
      </c>
      <c r="BO42" s="542">
        <f t="shared" ca="1" si="110"/>
        <v>0</v>
      </c>
      <c r="BP42" s="542">
        <f t="shared" ca="1" si="110"/>
        <v>0</v>
      </c>
      <c r="BQ42" s="542">
        <f t="shared" ca="1" si="110"/>
        <v>0</v>
      </c>
      <c r="BR42" s="542">
        <f t="shared" ref="BR42:CA46" ca="1" si="111">IFERROR(SUMIFS(INDIRECT($C42&amp;".Emissions["&amp;this.Year&amp;"]"), INDIRECT($C42&amp;".Emissions[GHG]"), BR$6, INDIRECT($C42&amp;".Emissions[IPCC Sector]"), BR$5),0)</f>
        <v>0</v>
      </c>
      <c r="BS42" s="542">
        <f t="shared" ca="1" si="111"/>
        <v>0</v>
      </c>
      <c r="BT42" s="542">
        <f t="shared" ca="1" si="111"/>
        <v>0</v>
      </c>
      <c r="BU42" s="542">
        <f t="shared" ca="1" si="111"/>
        <v>0</v>
      </c>
      <c r="BV42" s="542">
        <f t="shared" ca="1" si="111"/>
        <v>0</v>
      </c>
      <c r="BW42" s="542">
        <f t="shared" ca="1" si="111"/>
        <v>0</v>
      </c>
      <c r="BX42" s="542">
        <f t="shared" ca="1" si="111"/>
        <v>0</v>
      </c>
      <c r="BY42" s="542">
        <f t="shared" ca="1" si="111"/>
        <v>0</v>
      </c>
      <c r="BZ42" s="542">
        <f t="shared" ca="1" si="111"/>
        <v>0</v>
      </c>
      <c r="CA42" s="542">
        <f t="shared" ca="1" si="111"/>
        <v>0</v>
      </c>
      <c r="CB42" s="542">
        <f t="shared" ref="CB42:CK46" ca="1" si="112">IFERROR(SUMIFS(INDIRECT($C42&amp;".Emissions["&amp;this.Year&amp;"]"), INDIRECT($C42&amp;".Emissions[GHG]"), CB$6, INDIRECT($C42&amp;".Emissions[IPCC Sector]"), CB$5),0)</f>
        <v>0</v>
      </c>
      <c r="CC42" s="542">
        <f t="shared" ca="1" si="112"/>
        <v>0</v>
      </c>
      <c r="CD42" s="542">
        <f t="shared" ca="1" si="112"/>
        <v>0</v>
      </c>
      <c r="CE42" s="542">
        <f t="shared" ca="1" si="112"/>
        <v>0</v>
      </c>
      <c r="CF42" s="542">
        <f t="shared" ca="1" si="112"/>
        <v>0</v>
      </c>
      <c r="CG42" s="542">
        <f t="shared" ca="1" si="112"/>
        <v>0</v>
      </c>
      <c r="CH42" s="542">
        <f t="shared" ca="1" si="112"/>
        <v>0</v>
      </c>
      <c r="CI42" s="542">
        <f t="shared" ca="1" si="112"/>
        <v>0</v>
      </c>
      <c r="CJ42" s="542">
        <f t="shared" ca="1" si="112"/>
        <v>0</v>
      </c>
      <c r="CK42" s="542">
        <f t="shared" ca="1" si="112"/>
        <v>0</v>
      </c>
      <c r="CL42" s="542">
        <f t="shared" ref="CL42:CU46" ca="1" si="113">IFERROR(SUMIFS(INDIRECT($C42&amp;".Emissions["&amp;this.Year&amp;"]"), INDIRECT($C42&amp;".Emissions[GHG]"), CL$6, INDIRECT($C42&amp;".Emissions[IPCC Sector]"), CL$5),0)</f>
        <v>0</v>
      </c>
      <c r="CM42" s="542">
        <f t="shared" ca="1" si="113"/>
        <v>0</v>
      </c>
      <c r="CN42" s="542">
        <f t="shared" ca="1" si="113"/>
        <v>0</v>
      </c>
      <c r="CO42" s="542">
        <f t="shared" ca="1" si="113"/>
        <v>0</v>
      </c>
      <c r="CP42" s="542">
        <f t="shared" ca="1" si="113"/>
        <v>0</v>
      </c>
      <c r="CQ42" s="542">
        <f t="shared" ca="1" si="113"/>
        <v>0</v>
      </c>
      <c r="CR42" s="542">
        <f t="shared" ca="1" si="113"/>
        <v>0</v>
      </c>
      <c r="CS42" s="542">
        <f t="shared" ca="1" si="113"/>
        <v>0</v>
      </c>
      <c r="CT42" s="542">
        <f t="shared" ca="1" si="113"/>
        <v>0</v>
      </c>
      <c r="CU42" s="542">
        <f t="shared" ca="1" si="113"/>
        <v>0</v>
      </c>
      <c r="CW42" s="151">
        <f t="shared" ca="1" si="75"/>
        <v>0</v>
      </c>
    </row>
    <row r="43" spans="1:101" s="543" customFormat="1" ht="12.75" customHeight="1" outlineLevel="1" x14ac:dyDescent="0.2">
      <c r="C43" s="86" t="s">
        <v>2366</v>
      </c>
      <c r="D43" s="61" t="str">
        <f>INDEX(Modules[Module], MATCH($C43, Modules[Code], 0))</f>
        <v>Large Hydroelectric power stations</v>
      </c>
      <c r="E43" s="61"/>
      <c r="F43" s="84"/>
      <c r="G43" s="297">
        <f t="shared" ca="1" si="105"/>
        <v>0</v>
      </c>
      <c r="H43" s="297">
        <f t="shared" ca="1" si="105"/>
        <v>0</v>
      </c>
      <c r="I43" s="297">
        <f t="shared" ca="1" si="105"/>
        <v>0</v>
      </c>
      <c r="J43" s="297">
        <f t="shared" ca="1" si="105"/>
        <v>0</v>
      </c>
      <c r="K43" s="297">
        <f t="shared" ca="1" si="105"/>
        <v>0</v>
      </c>
      <c r="L43" s="297">
        <f t="shared" ca="1" si="105"/>
        <v>0</v>
      </c>
      <c r="M43" s="297">
        <f t="shared" ca="1" si="105"/>
        <v>0</v>
      </c>
      <c r="N43" s="297">
        <f t="shared" ca="1" si="105"/>
        <v>0</v>
      </c>
      <c r="O43" s="297">
        <f t="shared" ca="1" si="105"/>
        <v>0</v>
      </c>
      <c r="P43" s="297">
        <f t="shared" ca="1" si="70"/>
        <v>0</v>
      </c>
      <c r="Q43" s="84"/>
      <c r="R43" s="304">
        <f t="shared" ca="1" si="106"/>
        <v>0</v>
      </c>
      <c r="S43" s="304">
        <f t="shared" ca="1" si="106"/>
        <v>24.036372</v>
      </c>
      <c r="T43" s="304">
        <f t="shared" ca="1" si="106"/>
        <v>0</v>
      </c>
      <c r="U43" s="304">
        <f t="shared" ca="1" si="106"/>
        <v>0</v>
      </c>
      <c r="V43" s="304">
        <f t="shared" ca="1" si="106"/>
        <v>0</v>
      </c>
      <c r="W43" s="304">
        <f t="shared" ca="1" si="106"/>
        <v>0</v>
      </c>
      <c r="X43" s="304">
        <f t="shared" ca="1" si="107"/>
        <v>0</v>
      </c>
      <c r="Y43" s="304">
        <f t="shared" ca="1" si="107"/>
        <v>0</v>
      </c>
      <c r="Z43" s="304">
        <f t="shared" ca="1" si="107"/>
        <v>0</v>
      </c>
      <c r="AA43" s="304">
        <f t="shared" ca="1" si="106"/>
        <v>0</v>
      </c>
      <c r="AB43" s="304">
        <f t="shared" ca="1" si="106"/>
        <v>0</v>
      </c>
      <c r="AC43" s="304">
        <f t="shared" ca="1" si="106"/>
        <v>0</v>
      </c>
      <c r="AD43" s="304">
        <f t="shared" ca="1" si="106"/>
        <v>0</v>
      </c>
      <c r="AE43" s="304">
        <f t="shared" ca="1" si="106"/>
        <v>0</v>
      </c>
      <c r="AF43" s="304">
        <f t="shared" ca="1" si="106"/>
        <v>0</v>
      </c>
      <c r="AG43" s="304">
        <f t="shared" ca="1" si="106"/>
        <v>0</v>
      </c>
      <c r="AH43" s="305">
        <f t="shared" ca="1" si="5"/>
        <v>24.036372</v>
      </c>
      <c r="AI43" s="84"/>
      <c r="AJ43" s="312">
        <f t="shared" ca="1" si="108"/>
        <v>0</v>
      </c>
      <c r="AK43" s="312">
        <f t="shared" ca="1" si="108"/>
        <v>0</v>
      </c>
      <c r="AL43" s="312">
        <f t="shared" ca="1" si="108"/>
        <v>0</v>
      </c>
      <c r="AM43" s="312">
        <f t="shared" ca="1" si="108"/>
        <v>0</v>
      </c>
      <c r="AN43" s="312">
        <f t="shared" ca="1" si="108"/>
        <v>0</v>
      </c>
      <c r="AO43" s="312">
        <f t="shared" ca="1" si="108"/>
        <v>0</v>
      </c>
      <c r="AP43" s="312">
        <f t="shared" ca="1" si="108"/>
        <v>0</v>
      </c>
      <c r="AQ43" s="312">
        <f t="shared" ca="1" si="108"/>
        <v>0</v>
      </c>
      <c r="AR43" s="312">
        <f t="shared" ca="1" si="108"/>
        <v>0</v>
      </c>
      <c r="AS43" s="312">
        <f t="shared" ca="1" si="106"/>
        <v>0</v>
      </c>
      <c r="AT43" s="312">
        <f t="shared" ca="1" si="106"/>
        <v>0</v>
      </c>
      <c r="AU43" s="312">
        <f t="shared" ca="1" si="106"/>
        <v>0</v>
      </c>
      <c r="AV43" s="312">
        <f t="shared" ca="1" si="106"/>
        <v>-24.036372</v>
      </c>
      <c r="AW43" s="312">
        <f t="shared" ca="1" si="106"/>
        <v>0</v>
      </c>
      <c r="AX43" s="312">
        <f t="shared" ca="1" si="106"/>
        <v>0</v>
      </c>
      <c r="AY43" s="266">
        <f t="shared" ca="1" si="74"/>
        <v>-24.036372</v>
      </c>
      <c r="AZ43" s="84"/>
      <c r="BA43" s="308">
        <f t="shared" ca="1" si="109"/>
        <v>0</v>
      </c>
      <c r="BB43" s="308">
        <f t="shared" ca="1" si="109"/>
        <v>0</v>
      </c>
      <c r="BC43" s="309">
        <f t="shared" ca="1" si="10"/>
        <v>0</v>
      </c>
      <c r="BD43" s="84"/>
      <c r="BE43" s="135">
        <f t="shared" ca="1" si="103"/>
        <v>0</v>
      </c>
      <c r="BF43" s="135"/>
      <c r="BG43" s="1428"/>
      <c r="BH43" s="541">
        <f t="shared" ca="1" si="110"/>
        <v>0</v>
      </c>
      <c r="BI43" s="542">
        <f t="shared" ca="1" si="110"/>
        <v>0</v>
      </c>
      <c r="BJ43" s="542">
        <f t="shared" ca="1" si="110"/>
        <v>0</v>
      </c>
      <c r="BK43" s="542">
        <f t="shared" ca="1" si="110"/>
        <v>0</v>
      </c>
      <c r="BL43" s="542">
        <f t="shared" ca="1" si="110"/>
        <v>0</v>
      </c>
      <c r="BM43" s="542">
        <f t="shared" ca="1" si="110"/>
        <v>0</v>
      </c>
      <c r="BN43" s="542">
        <f t="shared" ca="1" si="110"/>
        <v>0</v>
      </c>
      <c r="BO43" s="542">
        <f t="shared" ca="1" si="110"/>
        <v>0</v>
      </c>
      <c r="BP43" s="542">
        <f t="shared" ca="1" si="110"/>
        <v>0</v>
      </c>
      <c r="BQ43" s="542">
        <f t="shared" ca="1" si="110"/>
        <v>0</v>
      </c>
      <c r="BR43" s="542">
        <f t="shared" ca="1" si="111"/>
        <v>0</v>
      </c>
      <c r="BS43" s="542">
        <f t="shared" ca="1" si="111"/>
        <v>0</v>
      </c>
      <c r="BT43" s="542">
        <f t="shared" ca="1" si="111"/>
        <v>0</v>
      </c>
      <c r="BU43" s="542">
        <f t="shared" ca="1" si="111"/>
        <v>0</v>
      </c>
      <c r="BV43" s="542">
        <f t="shared" ca="1" si="111"/>
        <v>0</v>
      </c>
      <c r="BW43" s="542">
        <f t="shared" ca="1" si="111"/>
        <v>0</v>
      </c>
      <c r="BX43" s="542">
        <f t="shared" ca="1" si="111"/>
        <v>0</v>
      </c>
      <c r="BY43" s="542">
        <f t="shared" ca="1" si="111"/>
        <v>0</v>
      </c>
      <c r="BZ43" s="542">
        <f t="shared" ca="1" si="111"/>
        <v>0</v>
      </c>
      <c r="CA43" s="542">
        <f t="shared" ca="1" si="111"/>
        <v>0</v>
      </c>
      <c r="CB43" s="542">
        <f t="shared" ca="1" si="112"/>
        <v>0</v>
      </c>
      <c r="CC43" s="542">
        <f t="shared" ca="1" si="112"/>
        <v>0</v>
      </c>
      <c r="CD43" s="542">
        <f t="shared" ca="1" si="112"/>
        <v>0</v>
      </c>
      <c r="CE43" s="542">
        <f t="shared" ca="1" si="112"/>
        <v>0</v>
      </c>
      <c r="CF43" s="542">
        <f t="shared" ca="1" si="112"/>
        <v>0</v>
      </c>
      <c r="CG43" s="542">
        <f t="shared" ca="1" si="112"/>
        <v>0</v>
      </c>
      <c r="CH43" s="542">
        <f t="shared" ca="1" si="112"/>
        <v>0</v>
      </c>
      <c r="CI43" s="542">
        <f t="shared" ca="1" si="112"/>
        <v>0</v>
      </c>
      <c r="CJ43" s="542">
        <f t="shared" ca="1" si="112"/>
        <v>0</v>
      </c>
      <c r="CK43" s="542">
        <f t="shared" ca="1" si="112"/>
        <v>0</v>
      </c>
      <c r="CL43" s="542">
        <f t="shared" ca="1" si="113"/>
        <v>0</v>
      </c>
      <c r="CM43" s="542">
        <f t="shared" ca="1" si="113"/>
        <v>0</v>
      </c>
      <c r="CN43" s="542">
        <f t="shared" ca="1" si="113"/>
        <v>0</v>
      </c>
      <c r="CO43" s="542">
        <f t="shared" ca="1" si="113"/>
        <v>0</v>
      </c>
      <c r="CP43" s="542">
        <f t="shared" ca="1" si="113"/>
        <v>0</v>
      </c>
      <c r="CQ43" s="542">
        <f t="shared" ca="1" si="113"/>
        <v>0</v>
      </c>
      <c r="CR43" s="542">
        <f t="shared" ca="1" si="113"/>
        <v>0</v>
      </c>
      <c r="CS43" s="542">
        <f t="shared" ca="1" si="113"/>
        <v>0</v>
      </c>
      <c r="CT43" s="542">
        <f t="shared" ca="1" si="113"/>
        <v>0</v>
      </c>
      <c r="CU43" s="542">
        <f t="shared" ca="1" si="113"/>
        <v>0</v>
      </c>
      <c r="CW43" s="151">
        <f t="shared" ca="1" si="75"/>
        <v>0</v>
      </c>
    </row>
    <row r="44" spans="1:101" s="543" customFormat="1" ht="12.75" customHeight="1" outlineLevel="1" x14ac:dyDescent="0.2">
      <c r="C44" s="86" t="s">
        <v>2365</v>
      </c>
      <c r="D44" s="61" t="str">
        <f>INDEX(Modules[Module], MATCH($C44, Modules[Code], 0))</f>
        <v>Small Hydroelectric power stations</v>
      </c>
      <c r="E44" s="61"/>
      <c r="F44" s="84"/>
      <c r="G44" s="297">
        <f t="shared" ca="1" si="105"/>
        <v>0</v>
      </c>
      <c r="H44" s="297">
        <f t="shared" ca="1" si="105"/>
        <v>0</v>
      </c>
      <c r="I44" s="297">
        <f t="shared" ca="1" si="105"/>
        <v>0</v>
      </c>
      <c r="J44" s="297">
        <f t="shared" ca="1" si="105"/>
        <v>0</v>
      </c>
      <c r="K44" s="297">
        <f t="shared" ca="1" si="105"/>
        <v>0</v>
      </c>
      <c r="L44" s="297">
        <f t="shared" ca="1" si="105"/>
        <v>0</v>
      </c>
      <c r="M44" s="297">
        <f t="shared" ca="1" si="105"/>
        <v>0</v>
      </c>
      <c r="N44" s="297">
        <f t="shared" ca="1" si="105"/>
        <v>0</v>
      </c>
      <c r="O44" s="297">
        <f t="shared" ca="1" si="105"/>
        <v>0</v>
      </c>
      <c r="P44" s="297">
        <f t="shared" ca="1" si="70"/>
        <v>0</v>
      </c>
      <c r="Q44" s="84"/>
      <c r="R44" s="304">
        <f t="shared" ca="1" si="106"/>
        <v>0</v>
      </c>
      <c r="S44" s="304">
        <f t="shared" ca="1" si="106"/>
        <v>4.5839918571428449</v>
      </c>
      <c r="T44" s="304">
        <f t="shared" ca="1" si="106"/>
        <v>0</v>
      </c>
      <c r="U44" s="304">
        <f t="shared" ca="1" si="106"/>
        <v>0</v>
      </c>
      <c r="V44" s="304">
        <f t="shared" ca="1" si="106"/>
        <v>0</v>
      </c>
      <c r="W44" s="304">
        <f t="shared" ca="1" si="106"/>
        <v>0</v>
      </c>
      <c r="X44" s="304">
        <f t="shared" ca="1" si="107"/>
        <v>0</v>
      </c>
      <c r="Y44" s="304">
        <f t="shared" ca="1" si="107"/>
        <v>0</v>
      </c>
      <c r="Z44" s="304">
        <f t="shared" ca="1" si="107"/>
        <v>0</v>
      </c>
      <c r="AA44" s="304">
        <f t="shared" ca="1" si="106"/>
        <v>0</v>
      </c>
      <c r="AB44" s="304">
        <f t="shared" ca="1" si="106"/>
        <v>0</v>
      </c>
      <c r="AC44" s="304">
        <f t="shared" ca="1" si="106"/>
        <v>0</v>
      </c>
      <c r="AD44" s="304">
        <f t="shared" ca="1" si="106"/>
        <v>0</v>
      </c>
      <c r="AE44" s="304">
        <f t="shared" ca="1" si="106"/>
        <v>0</v>
      </c>
      <c r="AF44" s="304">
        <f t="shared" ca="1" si="106"/>
        <v>0</v>
      </c>
      <c r="AG44" s="304">
        <f t="shared" ca="1" si="106"/>
        <v>0</v>
      </c>
      <c r="AH44" s="305">
        <f t="shared" ca="1" si="5"/>
        <v>4.5839918571428449</v>
      </c>
      <c r="AI44" s="84"/>
      <c r="AJ44" s="312">
        <f t="shared" ca="1" si="108"/>
        <v>0</v>
      </c>
      <c r="AK44" s="312">
        <f t="shared" ca="1" si="108"/>
        <v>0</v>
      </c>
      <c r="AL44" s="312">
        <f t="shared" ca="1" si="108"/>
        <v>0</v>
      </c>
      <c r="AM44" s="312">
        <f t="shared" ca="1" si="108"/>
        <v>0</v>
      </c>
      <c r="AN44" s="312">
        <f t="shared" ca="1" si="108"/>
        <v>0</v>
      </c>
      <c r="AO44" s="312">
        <f t="shared" ca="1" si="108"/>
        <v>0</v>
      </c>
      <c r="AP44" s="312">
        <f t="shared" ca="1" si="108"/>
        <v>0</v>
      </c>
      <c r="AQ44" s="312">
        <f t="shared" ca="1" si="108"/>
        <v>0</v>
      </c>
      <c r="AR44" s="312">
        <f t="shared" ca="1" si="108"/>
        <v>0</v>
      </c>
      <c r="AS44" s="312">
        <f t="shared" ca="1" si="106"/>
        <v>0</v>
      </c>
      <c r="AT44" s="312">
        <f t="shared" ca="1" si="106"/>
        <v>0</v>
      </c>
      <c r="AU44" s="312">
        <f t="shared" ca="1" si="106"/>
        <v>0</v>
      </c>
      <c r="AV44" s="312">
        <f t="shared" ca="1" si="106"/>
        <v>-4.5839918571428449</v>
      </c>
      <c r="AW44" s="312">
        <f t="shared" ca="1" si="106"/>
        <v>0</v>
      </c>
      <c r="AX44" s="312">
        <f t="shared" ca="1" si="106"/>
        <v>0</v>
      </c>
      <c r="AY44" s="266">
        <f t="shared" ca="1" si="74"/>
        <v>-4.5839918571428449</v>
      </c>
      <c r="AZ44" s="84"/>
      <c r="BA44" s="308">
        <f t="shared" ca="1" si="109"/>
        <v>0</v>
      </c>
      <c r="BB44" s="308">
        <f t="shared" ca="1" si="109"/>
        <v>0</v>
      </c>
      <c r="BC44" s="309">
        <f t="shared" ca="1" si="10"/>
        <v>0</v>
      </c>
      <c r="BD44" s="84"/>
      <c r="BE44" s="135">
        <f t="shared" ca="1" si="103"/>
        <v>0</v>
      </c>
      <c r="BF44" s="135"/>
      <c r="BG44" s="1428"/>
      <c r="BH44" s="541">
        <f t="shared" ca="1" si="110"/>
        <v>0</v>
      </c>
      <c r="BI44" s="542">
        <f t="shared" ca="1" si="110"/>
        <v>0</v>
      </c>
      <c r="BJ44" s="542">
        <f t="shared" ca="1" si="110"/>
        <v>0</v>
      </c>
      <c r="BK44" s="542">
        <f t="shared" ca="1" si="110"/>
        <v>0</v>
      </c>
      <c r="BL44" s="542">
        <f t="shared" ca="1" si="110"/>
        <v>0</v>
      </c>
      <c r="BM44" s="542">
        <f t="shared" ca="1" si="110"/>
        <v>0</v>
      </c>
      <c r="BN44" s="542">
        <f t="shared" ca="1" si="110"/>
        <v>0</v>
      </c>
      <c r="BO44" s="542">
        <f t="shared" ca="1" si="110"/>
        <v>0</v>
      </c>
      <c r="BP44" s="542">
        <f t="shared" ca="1" si="110"/>
        <v>0</v>
      </c>
      <c r="BQ44" s="542">
        <f t="shared" ca="1" si="110"/>
        <v>0</v>
      </c>
      <c r="BR44" s="542">
        <f t="shared" ca="1" si="111"/>
        <v>0</v>
      </c>
      <c r="BS44" s="542">
        <f t="shared" ca="1" si="111"/>
        <v>0</v>
      </c>
      <c r="BT44" s="542">
        <f t="shared" ca="1" si="111"/>
        <v>0</v>
      </c>
      <c r="BU44" s="542">
        <f t="shared" ca="1" si="111"/>
        <v>0</v>
      </c>
      <c r="BV44" s="542">
        <f t="shared" ca="1" si="111"/>
        <v>0</v>
      </c>
      <c r="BW44" s="542">
        <f t="shared" ca="1" si="111"/>
        <v>0</v>
      </c>
      <c r="BX44" s="542">
        <f t="shared" ca="1" si="111"/>
        <v>0</v>
      </c>
      <c r="BY44" s="542">
        <f t="shared" ca="1" si="111"/>
        <v>0</v>
      </c>
      <c r="BZ44" s="542">
        <f t="shared" ca="1" si="111"/>
        <v>0</v>
      </c>
      <c r="CA44" s="542">
        <f t="shared" ca="1" si="111"/>
        <v>0</v>
      </c>
      <c r="CB44" s="542">
        <f t="shared" ca="1" si="112"/>
        <v>0</v>
      </c>
      <c r="CC44" s="542">
        <f t="shared" ca="1" si="112"/>
        <v>0</v>
      </c>
      <c r="CD44" s="542">
        <f t="shared" ca="1" si="112"/>
        <v>0</v>
      </c>
      <c r="CE44" s="542">
        <f t="shared" ca="1" si="112"/>
        <v>0</v>
      </c>
      <c r="CF44" s="542">
        <f t="shared" ca="1" si="112"/>
        <v>0</v>
      </c>
      <c r="CG44" s="542">
        <f t="shared" ca="1" si="112"/>
        <v>0</v>
      </c>
      <c r="CH44" s="542">
        <f t="shared" ca="1" si="112"/>
        <v>0</v>
      </c>
      <c r="CI44" s="542">
        <f t="shared" ca="1" si="112"/>
        <v>0</v>
      </c>
      <c r="CJ44" s="542">
        <f t="shared" ca="1" si="112"/>
        <v>0</v>
      </c>
      <c r="CK44" s="542">
        <f t="shared" ca="1" si="112"/>
        <v>0</v>
      </c>
      <c r="CL44" s="542">
        <f t="shared" ca="1" si="113"/>
        <v>0</v>
      </c>
      <c r="CM44" s="542">
        <f t="shared" ca="1" si="113"/>
        <v>0</v>
      </c>
      <c r="CN44" s="542">
        <f t="shared" ca="1" si="113"/>
        <v>0</v>
      </c>
      <c r="CO44" s="542">
        <f t="shared" ca="1" si="113"/>
        <v>0</v>
      </c>
      <c r="CP44" s="542">
        <f t="shared" ca="1" si="113"/>
        <v>0</v>
      </c>
      <c r="CQ44" s="542">
        <f t="shared" ca="1" si="113"/>
        <v>0</v>
      </c>
      <c r="CR44" s="542">
        <f t="shared" ca="1" si="113"/>
        <v>0</v>
      </c>
      <c r="CS44" s="542">
        <f t="shared" ca="1" si="113"/>
        <v>0</v>
      </c>
      <c r="CT44" s="542">
        <f t="shared" ca="1" si="113"/>
        <v>0</v>
      </c>
      <c r="CU44" s="542">
        <f t="shared" ca="1" si="113"/>
        <v>0</v>
      </c>
      <c r="CW44" s="151">
        <f ca="1">SUM(BH44:CU44)</f>
        <v>0</v>
      </c>
    </row>
    <row r="45" spans="1:101" s="543" customFormat="1" ht="12.75" customHeight="1" outlineLevel="1" x14ac:dyDescent="0.2">
      <c r="C45" s="86" t="s">
        <v>2364</v>
      </c>
      <c r="D45" s="61" t="str">
        <f>INDEX(Modules[Module], MATCH($C45, Modules[Code], 0))</f>
        <v>Grid Connected Solar PV</v>
      </c>
      <c r="E45" s="61"/>
      <c r="F45" s="84"/>
      <c r="G45" s="297">
        <f t="shared" ca="1" si="105"/>
        <v>0</v>
      </c>
      <c r="H45" s="297">
        <f t="shared" ca="1" si="105"/>
        <v>0</v>
      </c>
      <c r="I45" s="297">
        <f t="shared" ca="1" si="105"/>
        <v>0</v>
      </c>
      <c r="J45" s="297">
        <f t="shared" ca="1" si="105"/>
        <v>0</v>
      </c>
      <c r="K45" s="297">
        <f t="shared" ca="1" si="105"/>
        <v>0</v>
      </c>
      <c r="L45" s="297">
        <f t="shared" ca="1" si="105"/>
        <v>0</v>
      </c>
      <c r="M45" s="297">
        <f t="shared" ca="1" si="105"/>
        <v>0</v>
      </c>
      <c r="N45" s="297">
        <f t="shared" ca="1" si="105"/>
        <v>0</v>
      </c>
      <c r="O45" s="297">
        <f t="shared" ca="1" si="105"/>
        <v>0</v>
      </c>
      <c r="P45" s="297">
        <f t="shared" ca="1" si="70"/>
        <v>0</v>
      </c>
      <c r="Q45" s="84"/>
      <c r="R45" s="304">
        <f t="shared" ca="1" si="106"/>
        <v>0</v>
      </c>
      <c r="S45" s="304">
        <f t="shared" ca="1" si="106"/>
        <v>28.956727799999999</v>
      </c>
      <c r="T45" s="304">
        <f t="shared" ca="1" si="106"/>
        <v>0</v>
      </c>
      <c r="U45" s="304">
        <f t="shared" ca="1" si="106"/>
        <v>0</v>
      </c>
      <c r="V45" s="304">
        <f t="shared" ca="1" si="106"/>
        <v>0</v>
      </c>
      <c r="W45" s="304">
        <f t="shared" ca="1" si="106"/>
        <v>0</v>
      </c>
      <c r="X45" s="304">
        <f t="shared" ca="1" si="107"/>
        <v>0</v>
      </c>
      <c r="Y45" s="304">
        <f t="shared" ca="1" si="107"/>
        <v>0</v>
      </c>
      <c r="Z45" s="304">
        <f t="shared" ca="1" si="107"/>
        <v>0</v>
      </c>
      <c r="AA45" s="304">
        <f t="shared" ca="1" si="106"/>
        <v>0</v>
      </c>
      <c r="AB45" s="304">
        <f t="shared" ca="1" si="106"/>
        <v>0</v>
      </c>
      <c r="AC45" s="304">
        <f t="shared" ca="1" si="106"/>
        <v>0</v>
      </c>
      <c r="AD45" s="304">
        <f t="shared" ca="1" si="106"/>
        <v>0</v>
      </c>
      <c r="AE45" s="304">
        <f t="shared" ca="1" si="106"/>
        <v>0</v>
      </c>
      <c r="AF45" s="304">
        <f t="shared" ca="1" si="106"/>
        <v>0</v>
      </c>
      <c r="AG45" s="304">
        <f t="shared" ca="1" si="106"/>
        <v>0</v>
      </c>
      <c r="AH45" s="305">
        <f t="shared" ca="1" si="5"/>
        <v>28.956727799999999</v>
      </c>
      <c r="AI45" s="84"/>
      <c r="AJ45" s="312">
        <f t="shared" ca="1" si="108"/>
        <v>0</v>
      </c>
      <c r="AK45" s="312">
        <f t="shared" ca="1" si="108"/>
        <v>0</v>
      </c>
      <c r="AL45" s="312">
        <f t="shared" ca="1" si="108"/>
        <v>0</v>
      </c>
      <c r="AM45" s="312">
        <f t="shared" ca="1" si="108"/>
        <v>0</v>
      </c>
      <c r="AN45" s="312">
        <f t="shared" ca="1" si="108"/>
        <v>0</v>
      </c>
      <c r="AO45" s="312">
        <f t="shared" ca="1" si="108"/>
        <v>0</v>
      </c>
      <c r="AP45" s="312">
        <f t="shared" ca="1" si="108"/>
        <v>0</v>
      </c>
      <c r="AQ45" s="312">
        <f t="shared" ca="1" si="108"/>
        <v>0</v>
      </c>
      <c r="AR45" s="312">
        <f t="shared" ca="1" si="108"/>
        <v>0</v>
      </c>
      <c r="AS45" s="312">
        <f t="shared" ca="1" si="106"/>
        <v>0</v>
      </c>
      <c r="AT45" s="312">
        <f t="shared" ca="1" si="106"/>
        <v>-28.956727799999999</v>
      </c>
      <c r="AU45" s="312">
        <f t="shared" ca="1" si="106"/>
        <v>0</v>
      </c>
      <c r="AV45" s="312">
        <f t="shared" ca="1" si="106"/>
        <v>0</v>
      </c>
      <c r="AW45" s="312">
        <f t="shared" ca="1" si="106"/>
        <v>0</v>
      </c>
      <c r="AX45" s="312">
        <f t="shared" ca="1" si="106"/>
        <v>0</v>
      </c>
      <c r="AY45" s="266">
        <f t="shared" ca="1" si="74"/>
        <v>-28.956727799999999</v>
      </c>
      <c r="AZ45" s="84"/>
      <c r="BA45" s="308">
        <f t="shared" ca="1" si="109"/>
        <v>0</v>
      </c>
      <c r="BB45" s="308">
        <f t="shared" ca="1" si="109"/>
        <v>0</v>
      </c>
      <c r="BC45" s="309">
        <f t="shared" ca="1" si="10"/>
        <v>0</v>
      </c>
      <c r="BD45" s="84"/>
      <c r="BE45" s="135">
        <f t="shared" ca="1" si="103"/>
        <v>0</v>
      </c>
      <c r="BF45" s="135"/>
      <c r="BG45" s="1428"/>
      <c r="BH45" s="541">
        <f t="shared" ca="1" si="110"/>
        <v>0</v>
      </c>
      <c r="BI45" s="542">
        <f t="shared" ca="1" si="110"/>
        <v>0</v>
      </c>
      <c r="BJ45" s="542">
        <f t="shared" ca="1" si="110"/>
        <v>0</v>
      </c>
      <c r="BK45" s="542">
        <f t="shared" ca="1" si="110"/>
        <v>0</v>
      </c>
      <c r="BL45" s="542">
        <f t="shared" ca="1" si="110"/>
        <v>0</v>
      </c>
      <c r="BM45" s="542">
        <f t="shared" ca="1" si="110"/>
        <v>0</v>
      </c>
      <c r="BN45" s="542">
        <f t="shared" ca="1" si="110"/>
        <v>0</v>
      </c>
      <c r="BO45" s="542">
        <f t="shared" ca="1" si="110"/>
        <v>0</v>
      </c>
      <c r="BP45" s="542">
        <f t="shared" ca="1" si="110"/>
        <v>0</v>
      </c>
      <c r="BQ45" s="542">
        <f t="shared" ca="1" si="110"/>
        <v>0</v>
      </c>
      <c r="BR45" s="542">
        <f t="shared" ca="1" si="111"/>
        <v>0</v>
      </c>
      <c r="BS45" s="542">
        <f t="shared" ca="1" si="111"/>
        <v>0</v>
      </c>
      <c r="BT45" s="542">
        <f t="shared" ca="1" si="111"/>
        <v>0</v>
      </c>
      <c r="BU45" s="542">
        <f t="shared" ca="1" si="111"/>
        <v>0</v>
      </c>
      <c r="BV45" s="542">
        <f t="shared" ca="1" si="111"/>
        <v>0</v>
      </c>
      <c r="BW45" s="542">
        <f t="shared" ca="1" si="111"/>
        <v>0</v>
      </c>
      <c r="BX45" s="542">
        <f t="shared" ca="1" si="111"/>
        <v>0</v>
      </c>
      <c r="BY45" s="542">
        <f t="shared" ca="1" si="111"/>
        <v>0</v>
      </c>
      <c r="BZ45" s="542">
        <f t="shared" ca="1" si="111"/>
        <v>0</v>
      </c>
      <c r="CA45" s="542">
        <f t="shared" ca="1" si="111"/>
        <v>0</v>
      </c>
      <c r="CB45" s="542">
        <f t="shared" ca="1" si="112"/>
        <v>0</v>
      </c>
      <c r="CC45" s="542">
        <f t="shared" ca="1" si="112"/>
        <v>0</v>
      </c>
      <c r="CD45" s="542">
        <f t="shared" ca="1" si="112"/>
        <v>0</v>
      </c>
      <c r="CE45" s="542">
        <f t="shared" ca="1" si="112"/>
        <v>0</v>
      </c>
      <c r="CF45" s="542">
        <f t="shared" ca="1" si="112"/>
        <v>0</v>
      </c>
      <c r="CG45" s="542">
        <f t="shared" ca="1" si="112"/>
        <v>0</v>
      </c>
      <c r="CH45" s="542">
        <f t="shared" ca="1" si="112"/>
        <v>0</v>
      </c>
      <c r="CI45" s="542">
        <f t="shared" ca="1" si="112"/>
        <v>0</v>
      </c>
      <c r="CJ45" s="542">
        <f t="shared" ca="1" si="112"/>
        <v>0</v>
      </c>
      <c r="CK45" s="542">
        <f t="shared" ca="1" si="112"/>
        <v>0</v>
      </c>
      <c r="CL45" s="542">
        <f t="shared" ca="1" si="113"/>
        <v>0</v>
      </c>
      <c r="CM45" s="542">
        <f t="shared" ca="1" si="113"/>
        <v>0</v>
      </c>
      <c r="CN45" s="542">
        <f t="shared" ca="1" si="113"/>
        <v>0</v>
      </c>
      <c r="CO45" s="542">
        <f t="shared" ca="1" si="113"/>
        <v>0</v>
      </c>
      <c r="CP45" s="542">
        <f t="shared" ca="1" si="113"/>
        <v>0</v>
      </c>
      <c r="CQ45" s="542">
        <f t="shared" ca="1" si="113"/>
        <v>0</v>
      </c>
      <c r="CR45" s="542">
        <f t="shared" ca="1" si="113"/>
        <v>0</v>
      </c>
      <c r="CS45" s="542">
        <f t="shared" ca="1" si="113"/>
        <v>0</v>
      </c>
      <c r="CT45" s="542">
        <f t="shared" ca="1" si="113"/>
        <v>0</v>
      </c>
      <c r="CU45" s="542">
        <f t="shared" ca="1" si="113"/>
        <v>0</v>
      </c>
      <c r="CW45" s="151">
        <f t="shared" ref="CW45:CW57" ca="1" si="114">SUM(BH45:CU45)</f>
        <v>0</v>
      </c>
    </row>
    <row r="46" spans="1:101" s="84" customFormat="1" ht="12.75" customHeight="1" outlineLevel="1" x14ac:dyDescent="0.2">
      <c r="A46" s="543"/>
      <c r="B46" s="543"/>
      <c r="C46" s="86" t="s">
        <v>2376</v>
      </c>
      <c r="D46" s="292" t="str">
        <f>INDEX(Modules[Module], MATCH($C46, Modules[Code], 0))</f>
        <v>Concentrated Solar Power</v>
      </c>
      <c r="E46" s="292"/>
      <c r="G46" s="301">
        <f t="shared" ca="1" si="105"/>
        <v>0</v>
      </c>
      <c r="H46" s="301">
        <f t="shared" ca="1" si="105"/>
        <v>0</v>
      </c>
      <c r="I46" s="301">
        <f t="shared" ca="1" si="105"/>
        <v>0</v>
      </c>
      <c r="J46" s="301">
        <f t="shared" ca="1" si="105"/>
        <v>0</v>
      </c>
      <c r="K46" s="301">
        <f t="shared" ca="1" si="105"/>
        <v>0</v>
      </c>
      <c r="L46" s="301">
        <f t="shared" ca="1" si="105"/>
        <v>0</v>
      </c>
      <c r="M46" s="301">
        <f t="shared" ca="1" si="105"/>
        <v>0</v>
      </c>
      <c r="N46" s="301">
        <f t="shared" ca="1" si="105"/>
        <v>0</v>
      </c>
      <c r="O46" s="301">
        <f t="shared" ca="1" si="105"/>
        <v>0</v>
      </c>
      <c r="P46" s="301">
        <f t="shared" ca="1" si="70"/>
        <v>0</v>
      </c>
      <c r="R46" s="307">
        <f t="shared" ca="1" si="106"/>
        <v>0</v>
      </c>
      <c r="S46" s="307">
        <f t="shared" ca="1" si="106"/>
        <v>35.068382999999997</v>
      </c>
      <c r="T46" s="307">
        <f t="shared" ca="1" si="106"/>
        <v>0</v>
      </c>
      <c r="U46" s="307">
        <f t="shared" ca="1" si="106"/>
        <v>0</v>
      </c>
      <c r="V46" s="307">
        <f t="shared" ca="1" si="106"/>
        <v>0</v>
      </c>
      <c r="W46" s="307">
        <f t="shared" ca="1" si="106"/>
        <v>0</v>
      </c>
      <c r="X46" s="307">
        <f t="shared" ca="1" si="107"/>
        <v>0</v>
      </c>
      <c r="Y46" s="307">
        <f t="shared" ca="1" si="107"/>
        <v>0</v>
      </c>
      <c r="Z46" s="307">
        <f t="shared" ca="1" si="107"/>
        <v>0</v>
      </c>
      <c r="AA46" s="307">
        <f t="shared" ca="1" si="106"/>
        <v>0</v>
      </c>
      <c r="AB46" s="307">
        <f t="shared" ca="1" si="106"/>
        <v>0</v>
      </c>
      <c r="AC46" s="307">
        <f t="shared" ca="1" si="106"/>
        <v>0</v>
      </c>
      <c r="AD46" s="307">
        <f t="shared" ca="1" si="106"/>
        <v>0</v>
      </c>
      <c r="AE46" s="307">
        <f t="shared" ca="1" si="106"/>
        <v>0</v>
      </c>
      <c r="AF46" s="307">
        <f t="shared" ca="1" si="106"/>
        <v>0</v>
      </c>
      <c r="AG46" s="307">
        <f t="shared" ca="1" si="106"/>
        <v>0</v>
      </c>
      <c r="AH46" s="306">
        <f t="shared" ca="1" si="5"/>
        <v>35.068382999999997</v>
      </c>
      <c r="AJ46" s="315">
        <f t="shared" ca="1" si="108"/>
        <v>0</v>
      </c>
      <c r="AK46" s="315">
        <f t="shared" ca="1" si="108"/>
        <v>0</v>
      </c>
      <c r="AL46" s="315">
        <f t="shared" ca="1" si="108"/>
        <v>0</v>
      </c>
      <c r="AM46" s="315">
        <f t="shared" ca="1" si="108"/>
        <v>0</v>
      </c>
      <c r="AN46" s="315">
        <f t="shared" ca="1" si="108"/>
        <v>0</v>
      </c>
      <c r="AO46" s="315">
        <f t="shared" ca="1" si="108"/>
        <v>0</v>
      </c>
      <c r="AP46" s="315">
        <f t="shared" ca="1" si="108"/>
        <v>0</v>
      </c>
      <c r="AQ46" s="315">
        <f t="shared" ca="1" si="108"/>
        <v>0</v>
      </c>
      <c r="AR46" s="315">
        <f t="shared" ca="1" si="108"/>
        <v>0</v>
      </c>
      <c r="AS46" s="315">
        <f t="shared" ca="1" si="106"/>
        <v>0</v>
      </c>
      <c r="AT46" s="315">
        <f t="shared" ca="1" si="106"/>
        <v>-35.068382999999997</v>
      </c>
      <c r="AU46" s="315">
        <f t="shared" ca="1" si="106"/>
        <v>0</v>
      </c>
      <c r="AV46" s="315">
        <f t="shared" ca="1" si="106"/>
        <v>0</v>
      </c>
      <c r="AW46" s="315">
        <f t="shared" ca="1" si="106"/>
        <v>0</v>
      </c>
      <c r="AX46" s="315">
        <f t="shared" ca="1" si="106"/>
        <v>0</v>
      </c>
      <c r="AY46" s="293">
        <f t="shared" ca="1" si="74"/>
        <v>-35.068382999999997</v>
      </c>
      <c r="BA46" s="311">
        <f t="shared" ca="1" si="109"/>
        <v>0</v>
      </c>
      <c r="BB46" s="311">
        <f t="shared" ca="1" si="109"/>
        <v>0</v>
      </c>
      <c r="BC46" s="310">
        <f t="shared" ca="1" si="10"/>
        <v>0</v>
      </c>
      <c r="BE46" s="135">
        <f t="shared" ca="1" si="103"/>
        <v>0</v>
      </c>
      <c r="BF46" s="135"/>
      <c r="BG46" s="1428"/>
      <c r="BH46" s="544">
        <f t="shared" ca="1" si="110"/>
        <v>0</v>
      </c>
      <c r="BI46" s="545">
        <f t="shared" ca="1" si="110"/>
        <v>0</v>
      </c>
      <c r="BJ46" s="545">
        <f t="shared" ca="1" si="110"/>
        <v>0</v>
      </c>
      <c r="BK46" s="545">
        <f t="shared" ca="1" si="110"/>
        <v>0</v>
      </c>
      <c r="BL46" s="545">
        <f t="shared" ca="1" si="110"/>
        <v>0</v>
      </c>
      <c r="BM46" s="545">
        <f t="shared" ca="1" si="110"/>
        <v>0</v>
      </c>
      <c r="BN46" s="545">
        <f t="shared" ca="1" si="110"/>
        <v>0</v>
      </c>
      <c r="BO46" s="545">
        <f t="shared" ca="1" si="110"/>
        <v>0</v>
      </c>
      <c r="BP46" s="545">
        <f t="shared" ca="1" si="110"/>
        <v>0</v>
      </c>
      <c r="BQ46" s="545">
        <f t="shared" ca="1" si="110"/>
        <v>0</v>
      </c>
      <c r="BR46" s="545">
        <f t="shared" ca="1" si="111"/>
        <v>0</v>
      </c>
      <c r="BS46" s="545">
        <f t="shared" ca="1" si="111"/>
        <v>0</v>
      </c>
      <c r="BT46" s="545">
        <f t="shared" ca="1" si="111"/>
        <v>0</v>
      </c>
      <c r="BU46" s="545">
        <f t="shared" ca="1" si="111"/>
        <v>0</v>
      </c>
      <c r="BV46" s="545">
        <f t="shared" ca="1" si="111"/>
        <v>0</v>
      </c>
      <c r="BW46" s="545">
        <f t="shared" ca="1" si="111"/>
        <v>0</v>
      </c>
      <c r="BX46" s="545">
        <f t="shared" ca="1" si="111"/>
        <v>0</v>
      </c>
      <c r="BY46" s="545">
        <f t="shared" ca="1" si="111"/>
        <v>0</v>
      </c>
      <c r="BZ46" s="545">
        <f t="shared" ca="1" si="111"/>
        <v>0</v>
      </c>
      <c r="CA46" s="545">
        <f t="shared" ca="1" si="111"/>
        <v>0</v>
      </c>
      <c r="CB46" s="545">
        <f t="shared" ca="1" si="112"/>
        <v>0</v>
      </c>
      <c r="CC46" s="545">
        <f t="shared" ca="1" si="112"/>
        <v>0</v>
      </c>
      <c r="CD46" s="545">
        <f t="shared" ca="1" si="112"/>
        <v>0</v>
      </c>
      <c r="CE46" s="545">
        <f t="shared" ca="1" si="112"/>
        <v>0</v>
      </c>
      <c r="CF46" s="545">
        <f t="shared" ca="1" si="112"/>
        <v>0</v>
      </c>
      <c r="CG46" s="545">
        <f t="shared" ca="1" si="112"/>
        <v>0</v>
      </c>
      <c r="CH46" s="545">
        <f t="shared" ca="1" si="112"/>
        <v>0</v>
      </c>
      <c r="CI46" s="545">
        <f t="shared" ca="1" si="112"/>
        <v>0</v>
      </c>
      <c r="CJ46" s="545">
        <f t="shared" ca="1" si="112"/>
        <v>0</v>
      </c>
      <c r="CK46" s="545">
        <f t="shared" ca="1" si="112"/>
        <v>0</v>
      </c>
      <c r="CL46" s="545">
        <f t="shared" ca="1" si="113"/>
        <v>0</v>
      </c>
      <c r="CM46" s="545">
        <f t="shared" ca="1" si="113"/>
        <v>0</v>
      </c>
      <c r="CN46" s="545">
        <f t="shared" ca="1" si="113"/>
        <v>0</v>
      </c>
      <c r="CO46" s="545">
        <f t="shared" ca="1" si="113"/>
        <v>0</v>
      </c>
      <c r="CP46" s="545">
        <f t="shared" ca="1" si="113"/>
        <v>0</v>
      </c>
      <c r="CQ46" s="545">
        <f t="shared" ca="1" si="113"/>
        <v>0</v>
      </c>
      <c r="CR46" s="545">
        <f t="shared" ca="1" si="113"/>
        <v>0</v>
      </c>
      <c r="CS46" s="545">
        <f t="shared" ca="1" si="113"/>
        <v>0</v>
      </c>
      <c r="CT46" s="545">
        <f t="shared" ca="1" si="113"/>
        <v>0</v>
      </c>
      <c r="CU46" s="545">
        <f t="shared" ca="1" si="113"/>
        <v>0</v>
      </c>
      <c r="CW46" s="151">
        <f t="shared" ca="1" si="114"/>
        <v>0</v>
      </c>
    </row>
    <row r="47" spans="1:101" s="84" customFormat="1" ht="15.75" x14ac:dyDescent="0.2">
      <c r="A47" s="18"/>
      <c r="B47" s="89"/>
      <c r="C47" s="85" t="s">
        <v>62</v>
      </c>
      <c r="D47" s="57" t="str">
        <f>INDEX(Workstreams[Workstream], MATCH($C47, Workstreams[Code], 0))</f>
        <v>National renewable power generation</v>
      </c>
      <c r="E47" s="53"/>
      <c r="G47" s="245">
        <f t="shared" ref="G47:O47" ca="1" si="115">SUM(G42:G46)</f>
        <v>0</v>
      </c>
      <c r="H47" s="245">
        <f t="shared" ca="1" si="115"/>
        <v>0</v>
      </c>
      <c r="I47" s="245">
        <f ca="1">SUM(I42:I46)</f>
        <v>0</v>
      </c>
      <c r="J47" s="245">
        <f t="shared" ca="1" si="115"/>
        <v>0</v>
      </c>
      <c r="K47" s="245">
        <f t="shared" ca="1" si="115"/>
        <v>0</v>
      </c>
      <c r="L47" s="245">
        <f t="shared" ca="1" si="115"/>
        <v>0</v>
      </c>
      <c r="M47" s="245">
        <f t="shared" ca="1" si="115"/>
        <v>0</v>
      </c>
      <c r="N47" s="245">
        <f t="shared" ca="1" si="115"/>
        <v>0</v>
      </c>
      <c r="O47" s="245">
        <f t="shared" ca="1" si="115"/>
        <v>0</v>
      </c>
      <c r="P47" s="245">
        <f t="shared" ca="1" si="70"/>
        <v>0</v>
      </c>
      <c r="R47" s="257">
        <f t="shared" ref="R47:AF47" ca="1" si="116">SUM(R42:R46)</f>
        <v>0</v>
      </c>
      <c r="S47" s="257">
        <f t="shared" ca="1" si="116"/>
        <v>100.00891465714284</v>
      </c>
      <c r="T47" s="257">
        <f t="shared" ca="1" si="116"/>
        <v>0</v>
      </c>
      <c r="U47" s="257">
        <f t="shared" ca="1" si="116"/>
        <v>0</v>
      </c>
      <c r="V47" s="257">
        <f t="shared" ca="1" si="116"/>
        <v>0</v>
      </c>
      <c r="W47" s="257">
        <f ca="1">SUM(W42:W46)</f>
        <v>0</v>
      </c>
      <c r="X47" s="257">
        <f t="shared" ca="1" si="116"/>
        <v>0</v>
      </c>
      <c r="Y47" s="257">
        <f t="shared" ca="1" si="116"/>
        <v>0</v>
      </c>
      <c r="Z47" s="257">
        <f t="shared" ca="1" si="116"/>
        <v>0</v>
      </c>
      <c r="AA47" s="257">
        <f t="shared" ca="1" si="116"/>
        <v>0</v>
      </c>
      <c r="AB47" s="257">
        <f t="shared" ca="1" si="116"/>
        <v>0</v>
      </c>
      <c r="AC47" s="257">
        <f t="shared" ca="1" si="116"/>
        <v>0</v>
      </c>
      <c r="AD47" s="257">
        <f ca="1">SUM(AD42:AD46)</f>
        <v>0</v>
      </c>
      <c r="AE47" s="257">
        <f t="shared" ca="1" si="116"/>
        <v>0</v>
      </c>
      <c r="AF47" s="257">
        <f t="shared" ca="1" si="116"/>
        <v>0</v>
      </c>
      <c r="AG47" s="257">
        <f ca="1">SUM(AG42:AG46)</f>
        <v>0</v>
      </c>
      <c r="AH47" s="257">
        <f t="shared" ca="1" si="5"/>
        <v>100.00891465714284</v>
      </c>
      <c r="AJ47" s="263">
        <f t="shared" ref="AJ47:AX47" ca="1" si="117">SUM(AJ42:AJ46)</f>
        <v>0</v>
      </c>
      <c r="AK47" s="263">
        <f t="shared" ca="1" si="117"/>
        <v>0</v>
      </c>
      <c r="AL47" s="263">
        <f t="shared" ca="1" si="117"/>
        <v>0</v>
      </c>
      <c r="AM47" s="263">
        <f t="shared" ca="1" si="117"/>
        <v>0</v>
      </c>
      <c r="AN47" s="263">
        <f t="shared" ca="1" si="117"/>
        <v>0</v>
      </c>
      <c r="AO47" s="263">
        <f t="shared" ca="1" si="117"/>
        <v>0</v>
      </c>
      <c r="AP47" s="263">
        <f t="shared" ca="1" si="117"/>
        <v>0</v>
      </c>
      <c r="AQ47" s="263">
        <f t="shared" ca="1" si="117"/>
        <v>0</v>
      </c>
      <c r="AR47" s="263">
        <f t="shared" ca="1" si="117"/>
        <v>0</v>
      </c>
      <c r="AS47" s="263">
        <f t="shared" ca="1" si="117"/>
        <v>0</v>
      </c>
      <c r="AT47" s="263">
        <f t="shared" ca="1" si="117"/>
        <v>-64.025110799999993</v>
      </c>
      <c r="AU47" s="263">
        <f t="shared" ca="1" si="117"/>
        <v>-7.3634400000000007</v>
      </c>
      <c r="AV47" s="263">
        <f t="shared" ca="1" si="117"/>
        <v>-28.620363857142845</v>
      </c>
      <c r="AW47" s="263">
        <f t="shared" ca="1" si="117"/>
        <v>0</v>
      </c>
      <c r="AX47" s="263">
        <f t="shared" ca="1" si="117"/>
        <v>0</v>
      </c>
      <c r="AY47" s="263">
        <f t="shared" ca="1" si="74"/>
        <v>-100.00891465714284</v>
      </c>
      <c r="BA47" s="277">
        <f ca="1">SUM(BA42:BA46)</f>
        <v>0</v>
      </c>
      <c r="BB47" s="277">
        <f ca="1">SUM(BB42:BB46)</f>
        <v>0</v>
      </c>
      <c r="BC47" s="277">
        <f t="shared" ca="1" si="10"/>
        <v>0</v>
      </c>
      <c r="BE47" s="55">
        <f t="shared" ca="1" si="103"/>
        <v>0</v>
      </c>
      <c r="BF47" s="55"/>
      <c r="BG47" s="1428"/>
      <c r="BH47" s="542">
        <f t="shared" ref="BH47:CU47" ca="1" si="118">SUM(BH42:BH46)</f>
        <v>0</v>
      </c>
      <c r="BI47" s="542">
        <f t="shared" ca="1" si="118"/>
        <v>0</v>
      </c>
      <c r="BJ47" s="542">
        <f t="shared" ca="1" si="118"/>
        <v>0</v>
      </c>
      <c r="BK47" s="542">
        <f t="shared" ca="1" si="118"/>
        <v>0</v>
      </c>
      <c r="BL47" s="542">
        <f t="shared" ca="1" si="118"/>
        <v>0</v>
      </c>
      <c r="BM47" s="542">
        <f t="shared" ca="1" si="118"/>
        <v>0</v>
      </c>
      <c r="BN47" s="542">
        <f t="shared" ca="1" si="118"/>
        <v>0</v>
      </c>
      <c r="BO47" s="542">
        <f t="shared" ca="1" si="118"/>
        <v>0</v>
      </c>
      <c r="BP47" s="542">
        <f t="shared" ca="1" si="118"/>
        <v>0</v>
      </c>
      <c r="BQ47" s="542">
        <f t="shared" ca="1" si="118"/>
        <v>0</v>
      </c>
      <c r="BR47" s="542">
        <f t="shared" ca="1" si="118"/>
        <v>0</v>
      </c>
      <c r="BS47" s="542">
        <f t="shared" ca="1" si="118"/>
        <v>0</v>
      </c>
      <c r="BT47" s="542">
        <f t="shared" ca="1" si="118"/>
        <v>0</v>
      </c>
      <c r="BU47" s="542">
        <f t="shared" ca="1" si="118"/>
        <v>0</v>
      </c>
      <c r="BV47" s="542">
        <f t="shared" ca="1" si="118"/>
        <v>0</v>
      </c>
      <c r="BW47" s="542">
        <f t="shared" ca="1" si="118"/>
        <v>0</v>
      </c>
      <c r="BX47" s="542">
        <f t="shared" ca="1" si="118"/>
        <v>0</v>
      </c>
      <c r="BY47" s="542">
        <f t="shared" ca="1" si="118"/>
        <v>0</v>
      </c>
      <c r="BZ47" s="542">
        <f t="shared" ca="1" si="118"/>
        <v>0</v>
      </c>
      <c r="CA47" s="542">
        <f t="shared" ca="1" si="118"/>
        <v>0</v>
      </c>
      <c r="CB47" s="542">
        <f t="shared" ca="1" si="118"/>
        <v>0</v>
      </c>
      <c r="CC47" s="542">
        <f t="shared" ca="1" si="118"/>
        <v>0</v>
      </c>
      <c r="CD47" s="542">
        <f t="shared" ca="1" si="118"/>
        <v>0</v>
      </c>
      <c r="CE47" s="542">
        <f t="shared" ca="1" si="118"/>
        <v>0</v>
      </c>
      <c r="CF47" s="542">
        <f t="shared" ca="1" si="118"/>
        <v>0</v>
      </c>
      <c r="CG47" s="542">
        <f t="shared" ca="1" si="118"/>
        <v>0</v>
      </c>
      <c r="CH47" s="542">
        <f t="shared" ca="1" si="118"/>
        <v>0</v>
      </c>
      <c r="CI47" s="542">
        <f t="shared" ca="1" si="118"/>
        <v>0</v>
      </c>
      <c r="CJ47" s="542">
        <f t="shared" ca="1" si="118"/>
        <v>0</v>
      </c>
      <c r="CK47" s="542">
        <f t="shared" ca="1" si="118"/>
        <v>0</v>
      </c>
      <c r="CL47" s="542">
        <f t="shared" ca="1" si="118"/>
        <v>0</v>
      </c>
      <c r="CM47" s="542">
        <f t="shared" ca="1" si="118"/>
        <v>0</v>
      </c>
      <c r="CN47" s="542">
        <f t="shared" ca="1" si="118"/>
        <v>0</v>
      </c>
      <c r="CO47" s="542">
        <f t="shared" ca="1" si="118"/>
        <v>0</v>
      </c>
      <c r="CP47" s="542">
        <f t="shared" ca="1" si="118"/>
        <v>0</v>
      </c>
      <c r="CQ47" s="542">
        <f t="shared" ca="1" si="118"/>
        <v>0</v>
      </c>
      <c r="CR47" s="542">
        <f t="shared" ca="1" si="118"/>
        <v>0</v>
      </c>
      <c r="CS47" s="542">
        <f t="shared" ca="1" si="118"/>
        <v>0</v>
      </c>
      <c r="CT47" s="542">
        <f t="shared" ca="1" si="118"/>
        <v>0</v>
      </c>
      <c r="CU47" s="542">
        <f t="shared" ca="1" si="118"/>
        <v>0</v>
      </c>
      <c r="CW47" s="151">
        <f t="shared" ca="1" si="114"/>
        <v>0</v>
      </c>
    </row>
    <row r="48" spans="1:101" s="84" customFormat="1" ht="12.75" customHeight="1" outlineLevel="1" x14ac:dyDescent="0.2">
      <c r="A48" s="18"/>
      <c r="B48" s="18"/>
      <c r="C48" s="87"/>
      <c r="D48" s="53"/>
      <c r="E48" s="53"/>
      <c r="G48" s="245"/>
      <c r="H48" s="245"/>
      <c r="I48" s="245"/>
      <c r="J48" s="245"/>
      <c r="K48" s="245"/>
      <c r="L48" s="247"/>
      <c r="M48" s="245"/>
      <c r="N48" s="245"/>
      <c r="O48" s="245"/>
      <c r="P48" s="245">
        <f t="shared" si="70"/>
        <v>0</v>
      </c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>
        <f t="shared" si="5"/>
        <v>0</v>
      </c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>
        <f t="shared" si="74"/>
        <v>0</v>
      </c>
      <c r="BA48" s="277"/>
      <c r="BB48" s="277"/>
      <c r="BC48" s="277">
        <f t="shared" si="10"/>
        <v>0</v>
      </c>
      <c r="BE48" s="55"/>
      <c r="BF48" s="55"/>
      <c r="BG48" s="18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W48" s="151">
        <f t="shared" si="114"/>
        <v>0</v>
      </c>
    </row>
    <row r="49" spans="1:101" s="543" customFormat="1" ht="12.75" customHeight="1" outlineLevel="1" x14ac:dyDescent="0.2">
      <c r="C49" s="86" t="s">
        <v>409</v>
      </c>
      <c r="D49" s="61" t="str">
        <f>INDEX(Modules[Module], MATCH($C49, Modules[Code], 0))</f>
        <v>Stand-Alone Solar PV</v>
      </c>
      <c r="E49" s="61"/>
      <c r="G49" s="595">
        <f t="shared" ref="G49:O49" ca="1" si="119">IFERROR(INDEX(INDIRECT($C49&amp;".Outputs["&amp;this.Year&amp;"]"), MATCH(G$5, INDIRECT($C49&amp;".Outputs[Vector]"), 0)), 0)</f>
        <v>0</v>
      </c>
      <c r="H49" s="595">
        <f t="shared" ca="1" si="119"/>
        <v>0</v>
      </c>
      <c r="I49" s="595">
        <f t="shared" ca="1" si="119"/>
        <v>0</v>
      </c>
      <c r="J49" s="595">
        <f t="shared" ca="1" si="119"/>
        <v>0</v>
      </c>
      <c r="K49" s="595">
        <f t="shared" ca="1" si="119"/>
        <v>0</v>
      </c>
      <c r="L49" s="596">
        <f t="shared" ca="1" si="119"/>
        <v>0</v>
      </c>
      <c r="M49" s="595">
        <f t="shared" ca="1" si="119"/>
        <v>0</v>
      </c>
      <c r="N49" s="595">
        <f t="shared" ca="1" si="119"/>
        <v>0</v>
      </c>
      <c r="O49" s="595">
        <f t="shared" ca="1" si="119"/>
        <v>0</v>
      </c>
      <c r="P49" s="595">
        <f t="shared" ca="1" si="70"/>
        <v>0</v>
      </c>
      <c r="R49" s="597">
        <f t="shared" ref="R49:AX49" ca="1" si="120">IFERROR(INDEX(INDIRECT($C49&amp;".Outputs["&amp;this.Year&amp;"]"), MATCH(R$5, INDIRECT($C49&amp;".Outputs[Vector]"), 0)), 0)</f>
        <v>0</v>
      </c>
      <c r="S49" s="597">
        <f t="shared" ca="1" si="120"/>
        <v>32.638447800000002</v>
      </c>
      <c r="T49" s="597">
        <f t="shared" ca="1" si="120"/>
        <v>0</v>
      </c>
      <c r="U49" s="597">
        <f t="shared" ca="1" si="120"/>
        <v>0</v>
      </c>
      <c r="V49" s="597">
        <f t="shared" ca="1" si="120"/>
        <v>0</v>
      </c>
      <c r="W49" s="597">
        <f t="shared" ca="1" si="120"/>
        <v>0</v>
      </c>
      <c r="X49" s="597">
        <f ca="1">IFERROR(INDEX(INDIRECT($C49&amp;".Outputs["&amp;this.Year&amp;"]"), MATCH(X$5, INDIRECT($C49&amp;".Outputs[Vector]"), 0)), 0)</f>
        <v>0</v>
      </c>
      <c r="Y49" s="597">
        <f ca="1">IFERROR(INDEX(INDIRECT($C49&amp;".Outputs["&amp;this.Year&amp;"]"), MATCH(Y$5, INDIRECT($C49&amp;".Outputs[Vector]"), 0)), 0)</f>
        <v>0</v>
      </c>
      <c r="Z49" s="597">
        <f ca="1">IFERROR(INDEX(INDIRECT($C49&amp;".Outputs["&amp;this.Year&amp;"]"), MATCH(Z$5, INDIRECT($C49&amp;".Outputs[Vector]"), 0)), 0)</f>
        <v>0</v>
      </c>
      <c r="AA49" s="597">
        <f t="shared" ca="1" si="120"/>
        <v>0</v>
      </c>
      <c r="AB49" s="597">
        <f t="shared" ca="1" si="120"/>
        <v>0</v>
      </c>
      <c r="AC49" s="597">
        <f t="shared" ca="1" si="120"/>
        <v>0</v>
      </c>
      <c r="AD49" s="597">
        <f t="shared" ca="1" si="120"/>
        <v>0</v>
      </c>
      <c r="AE49" s="597">
        <f t="shared" ca="1" si="120"/>
        <v>0</v>
      </c>
      <c r="AF49" s="597">
        <f t="shared" ca="1" si="120"/>
        <v>0</v>
      </c>
      <c r="AG49" s="597">
        <f t="shared" ca="1" si="120"/>
        <v>0</v>
      </c>
      <c r="AH49" s="259">
        <f t="shared" ca="1" si="5"/>
        <v>32.638447800000002</v>
      </c>
      <c r="AJ49" s="598">
        <f t="shared" ref="AJ49:AR49" ca="1" si="121">IFERROR(INDEX(INDIRECT($C49&amp;".Outputs["&amp;this.Year&amp;"]"), MATCH(AJ$5, INDIRECT($C49&amp;".Outputs[Vector]"), 0)), 0)</f>
        <v>0</v>
      </c>
      <c r="AK49" s="598">
        <f t="shared" ca="1" si="121"/>
        <v>0</v>
      </c>
      <c r="AL49" s="598">
        <f t="shared" ca="1" si="121"/>
        <v>0</v>
      </c>
      <c r="AM49" s="598">
        <f t="shared" ca="1" si="121"/>
        <v>0</v>
      </c>
      <c r="AN49" s="598">
        <f t="shared" ca="1" si="121"/>
        <v>0</v>
      </c>
      <c r="AO49" s="598">
        <f t="shared" ca="1" si="121"/>
        <v>0</v>
      </c>
      <c r="AP49" s="598">
        <f t="shared" ca="1" si="121"/>
        <v>0</v>
      </c>
      <c r="AQ49" s="598">
        <f t="shared" ca="1" si="121"/>
        <v>0</v>
      </c>
      <c r="AR49" s="598">
        <f t="shared" ca="1" si="121"/>
        <v>0</v>
      </c>
      <c r="AS49" s="598">
        <f t="shared" ca="1" si="120"/>
        <v>0</v>
      </c>
      <c r="AT49" s="598">
        <f t="shared" ca="1" si="120"/>
        <v>-32.638447800000002</v>
      </c>
      <c r="AU49" s="598">
        <f t="shared" ca="1" si="120"/>
        <v>0</v>
      </c>
      <c r="AV49" s="598">
        <f t="shared" ca="1" si="120"/>
        <v>0</v>
      </c>
      <c r="AW49" s="598">
        <f t="shared" ca="1" si="120"/>
        <v>0</v>
      </c>
      <c r="AX49" s="598">
        <f t="shared" ca="1" si="120"/>
        <v>0</v>
      </c>
      <c r="AY49" s="266">
        <f t="shared" ca="1" si="74"/>
        <v>-32.638447800000002</v>
      </c>
      <c r="BA49" s="599">
        <f ca="1">IFERROR(INDEX(INDIRECT($C49&amp;".Outputs["&amp;this.Year&amp;"]"), MATCH(BA$5, INDIRECT($C49&amp;".Outputs[Vector]"), 0)), 0)</f>
        <v>0</v>
      </c>
      <c r="BB49" s="599">
        <f ca="1">IFERROR(INDEX(INDIRECT($C49&amp;".Outputs["&amp;this.Year&amp;"]"), MATCH(BB$5, INDIRECT($C49&amp;".Outputs[Vector]"), 0)), 0)</f>
        <v>0</v>
      </c>
      <c r="BC49" s="279">
        <f t="shared" ca="1" si="10"/>
        <v>0</v>
      </c>
      <c r="BE49" s="135">
        <f ca="1">P49+AH49+AY49+BC49</f>
        <v>0</v>
      </c>
      <c r="BF49" s="135"/>
      <c r="BH49" s="593">
        <f t="shared" ref="BH49:CU49" ca="1" si="122">IFERROR(SUMIFS(INDIRECT($C49&amp;".Emissions["&amp;this.Year&amp;"]"), INDIRECT($C49&amp;".Emissions[GHG]"), BH$6, INDIRECT($C49&amp;".Emissions[IPCC Sector]"), BH$5),0)</f>
        <v>0</v>
      </c>
      <c r="BI49" s="593">
        <f t="shared" ca="1" si="122"/>
        <v>0</v>
      </c>
      <c r="BJ49" s="593">
        <f t="shared" ca="1" si="122"/>
        <v>0</v>
      </c>
      <c r="BK49" s="593">
        <f t="shared" ca="1" si="122"/>
        <v>0</v>
      </c>
      <c r="BL49" s="593">
        <f t="shared" ca="1" si="122"/>
        <v>0</v>
      </c>
      <c r="BM49" s="593">
        <f t="shared" ca="1" si="122"/>
        <v>0</v>
      </c>
      <c r="BN49" s="593">
        <f t="shared" ca="1" si="122"/>
        <v>0</v>
      </c>
      <c r="BO49" s="593">
        <f t="shared" ca="1" si="122"/>
        <v>0</v>
      </c>
      <c r="BP49" s="593">
        <f t="shared" ca="1" si="122"/>
        <v>0</v>
      </c>
      <c r="BQ49" s="593">
        <f t="shared" ca="1" si="122"/>
        <v>0</v>
      </c>
      <c r="BR49" s="593">
        <f t="shared" ca="1" si="122"/>
        <v>0</v>
      </c>
      <c r="BS49" s="593">
        <f t="shared" ca="1" si="122"/>
        <v>0</v>
      </c>
      <c r="BT49" s="593">
        <f t="shared" ca="1" si="122"/>
        <v>0</v>
      </c>
      <c r="BU49" s="593">
        <f t="shared" ca="1" si="122"/>
        <v>0</v>
      </c>
      <c r="BV49" s="593">
        <f t="shared" ca="1" si="122"/>
        <v>0</v>
      </c>
      <c r="BW49" s="593">
        <f t="shared" ca="1" si="122"/>
        <v>0</v>
      </c>
      <c r="BX49" s="593">
        <f t="shared" ca="1" si="122"/>
        <v>0</v>
      </c>
      <c r="BY49" s="593">
        <f t="shared" ca="1" si="122"/>
        <v>0</v>
      </c>
      <c r="BZ49" s="593">
        <f t="shared" ca="1" si="122"/>
        <v>0</v>
      </c>
      <c r="CA49" s="593">
        <f t="shared" ca="1" si="122"/>
        <v>0</v>
      </c>
      <c r="CB49" s="593">
        <f t="shared" ca="1" si="122"/>
        <v>0</v>
      </c>
      <c r="CC49" s="593">
        <f t="shared" ca="1" si="122"/>
        <v>0</v>
      </c>
      <c r="CD49" s="593">
        <f t="shared" ca="1" si="122"/>
        <v>0</v>
      </c>
      <c r="CE49" s="593">
        <f t="shared" ca="1" si="122"/>
        <v>0</v>
      </c>
      <c r="CF49" s="593">
        <f t="shared" ca="1" si="122"/>
        <v>0</v>
      </c>
      <c r="CG49" s="593">
        <f t="shared" ca="1" si="122"/>
        <v>0</v>
      </c>
      <c r="CH49" s="593">
        <f t="shared" ca="1" si="122"/>
        <v>0</v>
      </c>
      <c r="CI49" s="593">
        <f t="shared" ca="1" si="122"/>
        <v>0</v>
      </c>
      <c r="CJ49" s="593">
        <f t="shared" ca="1" si="122"/>
        <v>0</v>
      </c>
      <c r="CK49" s="593">
        <f t="shared" ca="1" si="122"/>
        <v>0</v>
      </c>
      <c r="CL49" s="593">
        <f t="shared" ca="1" si="122"/>
        <v>0</v>
      </c>
      <c r="CM49" s="593">
        <f t="shared" ca="1" si="122"/>
        <v>0</v>
      </c>
      <c r="CN49" s="593">
        <f t="shared" ca="1" si="122"/>
        <v>0</v>
      </c>
      <c r="CO49" s="593">
        <f t="shared" ca="1" si="122"/>
        <v>0</v>
      </c>
      <c r="CP49" s="593">
        <f t="shared" ca="1" si="122"/>
        <v>0</v>
      </c>
      <c r="CQ49" s="593">
        <f t="shared" ca="1" si="122"/>
        <v>0</v>
      </c>
      <c r="CR49" s="593">
        <f t="shared" ca="1" si="122"/>
        <v>0</v>
      </c>
      <c r="CS49" s="593">
        <f t="shared" ca="1" si="122"/>
        <v>0</v>
      </c>
      <c r="CT49" s="593">
        <f t="shared" ca="1" si="122"/>
        <v>0</v>
      </c>
      <c r="CU49" s="593">
        <f t="shared" ca="1" si="122"/>
        <v>0</v>
      </c>
      <c r="CW49" s="594">
        <f t="shared" ca="1" si="114"/>
        <v>0</v>
      </c>
    </row>
    <row r="50" spans="1:101" s="84" customFormat="1" ht="15.75" x14ac:dyDescent="0.2">
      <c r="A50" s="18"/>
      <c r="B50" s="89"/>
      <c r="C50" s="85" t="s">
        <v>63</v>
      </c>
      <c r="D50" s="57" t="str">
        <f>INDEX(Workstreams[Workstream], MATCH($C50, Workstreams[Code], 0))</f>
        <v>Distributed renewable power generation</v>
      </c>
      <c r="E50" s="53"/>
      <c r="G50" s="300">
        <f t="shared" ref="G50:O50" ca="1" si="123">SUM(G49:G49)</f>
        <v>0</v>
      </c>
      <c r="H50" s="300">
        <f t="shared" ca="1" si="123"/>
        <v>0</v>
      </c>
      <c r="I50" s="300">
        <f t="shared" ca="1" si="123"/>
        <v>0</v>
      </c>
      <c r="J50" s="300">
        <f t="shared" ca="1" si="123"/>
        <v>0</v>
      </c>
      <c r="K50" s="300">
        <f t="shared" ca="1" si="123"/>
        <v>0</v>
      </c>
      <c r="L50" s="300">
        <f t="shared" ca="1" si="123"/>
        <v>0</v>
      </c>
      <c r="M50" s="300">
        <f t="shared" ca="1" si="123"/>
        <v>0</v>
      </c>
      <c r="N50" s="300">
        <f t="shared" ca="1" si="123"/>
        <v>0</v>
      </c>
      <c r="O50" s="300">
        <f t="shared" ca="1" si="123"/>
        <v>0</v>
      </c>
      <c r="P50" s="300">
        <f t="shared" ca="1" si="70"/>
        <v>0</v>
      </c>
      <c r="R50" s="257">
        <f t="shared" ref="R50:AG50" ca="1" si="124">SUM(R49:R49)</f>
        <v>0</v>
      </c>
      <c r="S50" s="257">
        <f t="shared" ca="1" si="124"/>
        <v>32.638447800000002</v>
      </c>
      <c r="T50" s="257">
        <f t="shared" ca="1" si="124"/>
        <v>0</v>
      </c>
      <c r="U50" s="257">
        <f t="shared" ca="1" si="124"/>
        <v>0</v>
      </c>
      <c r="V50" s="257">
        <f t="shared" ca="1" si="124"/>
        <v>0</v>
      </c>
      <c r="W50" s="257">
        <f t="shared" ca="1" si="124"/>
        <v>0</v>
      </c>
      <c r="X50" s="257">
        <f t="shared" ca="1" si="124"/>
        <v>0</v>
      </c>
      <c r="Y50" s="257">
        <f t="shared" ca="1" si="124"/>
        <v>0</v>
      </c>
      <c r="Z50" s="257">
        <f t="shared" ca="1" si="124"/>
        <v>0</v>
      </c>
      <c r="AA50" s="257">
        <f t="shared" ca="1" si="124"/>
        <v>0</v>
      </c>
      <c r="AB50" s="257">
        <f t="shared" ca="1" si="124"/>
        <v>0</v>
      </c>
      <c r="AC50" s="257">
        <f t="shared" ca="1" si="124"/>
        <v>0</v>
      </c>
      <c r="AD50" s="257">
        <f t="shared" ca="1" si="124"/>
        <v>0</v>
      </c>
      <c r="AE50" s="257">
        <f t="shared" ca="1" si="124"/>
        <v>0</v>
      </c>
      <c r="AF50" s="257">
        <f t="shared" ca="1" si="124"/>
        <v>0</v>
      </c>
      <c r="AG50" s="257">
        <f t="shared" ca="1" si="124"/>
        <v>0</v>
      </c>
      <c r="AH50" s="257">
        <f t="shared" ca="1" si="5"/>
        <v>32.638447800000002</v>
      </c>
      <c r="AJ50" s="263">
        <f t="shared" ref="AJ50:AX50" ca="1" si="125">SUM(AJ49:AJ49)</f>
        <v>0</v>
      </c>
      <c r="AK50" s="263">
        <f t="shared" ca="1" si="125"/>
        <v>0</v>
      </c>
      <c r="AL50" s="263">
        <f t="shared" ca="1" si="125"/>
        <v>0</v>
      </c>
      <c r="AM50" s="263">
        <f t="shared" ca="1" si="125"/>
        <v>0</v>
      </c>
      <c r="AN50" s="263">
        <f t="shared" ca="1" si="125"/>
        <v>0</v>
      </c>
      <c r="AO50" s="263">
        <f t="shared" ca="1" si="125"/>
        <v>0</v>
      </c>
      <c r="AP50" s="263">
        <f t="shared" ca="1" si="125"/>
        <v>0</v>
      </c>
      <c r="AQ50" s="263">
        <f t="shared" ca="1" si="125"/>
        <v>0</v>
      </c>
      <c r="AR50" s="263">
        <f t="shared" ca="1" si="125"/>
        <v>0</v>
      </c>
      <c r="AS50" s="263">
        <f t="shared" ca="1" si="125"/>
        <v>0</v>
      </c>
      <c r="AT50" s="263">
        <f t="shared" ca="1" si="125"/>
        <v>-32.638447800000002</v>
      </c>
      <c r="AU50" s="263">
        <f t="shared" ca="1" si="125"/>
        <v>0</v>
      </c>
      <c r="AV50" s="263">
        <f t="shared" ca="1" si="125"/>
        <v>0</v>
      </c>
      <c r="AW50" s="263">
        <f t="shared" ca="1" si="125"/>
        <v>0</v>
      </c>
      <c r="AX50" s="263">
        <f t="shared" ca="1" si="125"/>
        <v>0</v>
      </c>
      <c r="AY50" s="263">
        <f t="shared" ca="1" si="74"/>
        <v>-32.638447800000002</v>
      </c>
      <c r="BA50" s="277">
        <f ca="1">SUM(BA49:BA49)</f>
        <v>0</v>
      </c>
      <c r="BB50" s="277">
        <f ca="1">SUM(BB49:BB49)</f>
        <v>0</v>
      </c>
      <c r="BC50" s="277">
        <f t="shared" ca="1" si="10"/>
        <v>0</v>
      </c>
      <c r="BE50" s="55">
        <f ca="1">P50+AH50+AY50+BC50</f>
        <v>0</v>
      </c>
      <c r="BF50" s="55"/>
      <c r="BG50" s="1428"/>
      <c r="BH50" s="542">
        <f t="shared" ref="BH50:CU50" ca="1" si="126">SUM(BH49:BH49)</f>
        <v>0</v>
      </c>
      <c r="BI50" s="542">
        <f t="shared" ca="1" si="126"/>
        <v>0</v>
      </c>
      <c r="BJ50" s="542">
        <f t="shared" ca="1" si="126"/>
        <v>0</v>
      </c>
      <c r="BK50" s="542">
        <f t="shared" ca="1" si="126"/>
        <v>0</v>
      </c>
      <c r="BL50" s="542">
        <f t="shared" ca="1" si="126"/>
        <v>0</v>
      </c>
      <c r="BM50" s="542">
        <f t="shared" ca="1" si="126"/>
        <v>0</v>
      </c>
      <c r="BN50" s="542">
        <f t="shared" ca="1" si="126"/>
        <v>0</v>
      </c>
      <c r="BO50" s="542">
        <f t="shared" ca="1" si="126"/>
        <v>0</v>
      </c>
      <c r="BP50" s="542">
        <f t="shared" ca="1" si="126"/>
        <v>0</v>
      </c>
      <c r="BQ50" s="542">
        <f t="shared" ca="1" si="126"/>
        <v>0</v>
      </c>
      <c r="BR50" s="542">
        <f t="shared" ca="1" si="126"/>
        <v>0</v>
      </c>
      <c r="BS50" s="542">
        <f t="shared" ca="1" si="126"/>
        <v>0</v>
      </c>
      <c r="BT50" s="542">
        <f t="shared" ca="1" si="126"/>
        <v>0</v>
      </c>
      <c r="BU50" s="542">
        <f t="shared" ca="1" si="126"/>
        <v>0</v>
      </c>
      <c r="BV50" s="542">
        <f t="shared" ca="1" si="126"/>
        <v>0</v>
      </c>
      <c r="BW50" s="542">
        <f t="shared" ca="1" si="126"/>
        <v>0</v>
      </c>
      <c r="BX50" s="542">
        <f t="shared" ca="1" si="126"/>
        <v>0</v>
      </c>
      <c r="BY50" s="542">
        <f t="shared" ca="1" si="126"/>
        <v>0</v>
      </c>
      <c r="BZ50" s="542">
        <f t="shared" ca="1" si="126"/>
        <v>0</v>
      </c>
      <c r="CA50" s="542">
        <f t="shared" ca="1" si="126"/>
        <v>0</v>
      </c>
      <c r="CB50" s="542">
        <f t="shared" ca="1" si="126"/>
        <v>0</v>
      </c>
      <c r="CC50" s="542">
        <f t="shared" ca="1" si="126"/>
        <v>0</v>
      </c>
      <c r="CD50" s="542">
        <f t="shared" ca="1" si="126"/>
        <v>0</v>
      </c>
      <c r="CE50" s="542">
        <f t="shared" ca="1" si="126"/>
        <v>0</v>
      </c>
      <c r="CF50" s="542">
        <f t="shared" ca="1" si="126"/>
        <v>0</v>
      </c>
      <c r="CG50" s="542">
        <f t="shared" ca="1" si="126"/>
        <v>0</v>
      </c>
      <c r="CH50" s="542">
        <f t="shared" ca="1" si="126"/>
        <v>0</v>
      </c>
      <c r="CI50" s="542">
        <f t="shared" ca="1" si="126"/>
        <v>0</v>
      </c>
      <c r="CJ50" s="542">
        <f t="shared" ca="1" si="126"/>
        <v>0</v>
      </c>
      <c r="CK50" s="542">
        <f t="shared" ca="1" si="126"/>
        <v>0</v>
      </c>
      <c r="CL50" s="542">
        <f t="shared" ca="1" si="126"/>
        <v>0</v>
      </c>
      <c r="CM50" s="542">
        <f t="shared" ca="1" si="126"/>
        <v>0</v>
      </c>
      <c r="CN50" s="542">
        <f t="shared" ca="1" si="126"/>
        <v>0</v>
      </c>
      <c r="CO50" s="542">
        <f t="shared" ca="1" si="126"/>
        <v>0</v>
      </c>
      <c r="CP50" s="542">
        <f t="shared" ca="1" si="126"/>
        <v>0</v>
      </c>
      <c r="CQ50" s="542">
        <f t="shared" ca="1" si="126"/>
        <v>0</v>
      </c>
      <c r="CR50" s="542">
        <f t="shared" ca="1" si="126"/>
        <v>0</v>
      </c>
      <c r="CS50" s="542">
        <f t="shared" ca="1" si="126"/>
        <v>0</v>
      </c>
      <c r="CT50" s="542">
        <f t="shared" ca="1" si="126"/>
        <v>0</v>
      </c>
      <c r="CU50" s="542">
        <f t="shared" ca="1" si="126"/>
        <v>0</v>
      </c>
      <c r="CW50" s="151">
        <f t="shared" ca="1" si="114"/>
        <v>0</v>
      </c>
    </row>
    <row r="51" spans="1:101" s="84" customFormat="1" ht="12.75" customHeight="1" outlineLevel="1" x14ac:dyDescent="0.2">
      <c r="A51" s="18"/>
      <c r="B51" s="18"/>
      <c r="C51" s="87"/>
      <c r="D51" s="53"/>
      <c r="E51" s="53"/>
      <c r="G51" s="245"/>
      <c r="H51" s="245"/>
      <c r="I51" s="245"/>
      <c r="J51" s="245"/>
      <c r="K51" s="245"/>
      <c r="L51" s="247"/>
      <c r="M51" s="245"/>
      <c r="N51" s="245"/>
      <c r="O51" s="245"/>
      <c r="P51" s="245">
        <f t="shared" si="70"/>
        <v>0</v>
      </c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>
        <f t="shared" si="5"/>
        <v>0</v>
      </c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>
        <f t="shared" si="74"/>
        <v>0</v>
      </c>
      <c r="BA51" s="277"/>
      <c r="BB51" s="277"/>
      <c r="BC51" s="277">
        <f t="shared" si="10"/>
        <v>0</v>
      </c>
      <c r="BE51" s="55"/>
      <c r="BF51" s="55"/>
      <c r="BG51" s="18"/>
      <c r="BH51" s="542"/>
      <c r="BI51" s="542"/>
      <c r="BJ51" s="542"/>
      <c r="BK51" s="542"/>
      <c r="BL51" s="542"/>
      <c r="BM51" s="542"/>
      <c r="BN51" s="542"/>
      <c r="BO51" s="542"/>
      <c r="BP51" s="542"/>
      <c r="BQ51" s="542"/>
      <c r="BR51" s="542"/>
      <c r="BS51" s="542"/>
      <c r="BT51" s="542"/>
      <c r="BU51" s="542"/>
      <c r="BV51" s="542"/>
      <c r="BW51" s="542"/>
      <c r="BX51" s="542"/>
      <c r="BY51" s="542"/>
      <c r="BZ51" s="542"/>
      <c r="CA51" s="542"/>
      <c r="CB51" s="542"/>
      <c r="CC51" s="542"/>
      <c r="CD51" s="542"/>
      <c r="CE51" s="542"/>
      <c r="CF51" s="542"/>
      <c r="CG51" s="542"/>
      <c r="CH51" s="542"/>
      <c r="CI51" s="542"/>
      <c r="CJ51" s="542"/>
      <c r="CK51" s="542"/>
      <c r="CL51" s="542"/>
      <c r="CM51" s="542"/>
      <c r="CN51" s="542"/>
      <c r="CO51" s="542"/>
      <c r="CP51" s="542"/>
      <c r="CQ51" s="542"/>
      <c r="CR51" s="542"/>
      <c r="CS51" s="542"/>
      <c r="CT51" s="542"/>
      <c r="CU51" s="542"/>
      <c r="CW51" s="151">
        <f t="shared" si="114"/>
        <v>0</v>
      </c>
    </row>
    <row r="52" spans="1:101" s="547" customFormat="1" ht="12.75" customHeight="1" outlineLevel="1" x14ac:dyDescent="0.2">
      <c r="C52" s="319" t="s">
        <v>855</v>
      </c>
      <c r="D52" s="320" t="s">
        <v>587</v>
      </c>
      <c r="E52" s="320"/>
      <c r="F52" s="84"/>
      <c r="G52" s="321"/>
      <c r="H52" s="321"/>
      <c r="I52" s="321"/>
      <c r="J52" s="321"/>
      <c r="K52" s="321"/>
      <c r="L52" s="322"/>
      <c r="M52" s="321"/>
      <c r="N52" s="321"/>
      <c r="O52" s="321"/>
      <c r="P52" s="321">
        <f t="shared" si="70"/>
        <v>0</v>
      </c>
      <c r="Q52" s="84"/>
      <c r="R52" s="323">
        <f ca="1">R$28+R$36+R$80+R$40+R$74+R$47+R$50</f>
        <v>-289.18504122724516</v>
      </c>
      <c r="S52" s="323">
        <f ca="1">S$28+S$36+S$80+S$40+S$74+S$47+S$50</f>
        <v>81.089708122923113</v>
      </c>
      <c r="T52" s="323"/>
      <c r="U52" s="323"/>
      <c r="V52" s="323"/>
      <c r="W52" s="323"/>
      <c r="X52" s="323"/>
      <c r="Y52" s="323"/>
      <c r="Z52" s="323"/>
      <c r="AA52" s="323"/>
      <c r="AB52" s="323"/>
      <c r="AC52" s="323"/>
      <c r="AD52" s="323"/>
      <c r="AE52" s="323"/>
      <c r="AF52" s="323"/>
      <c r="AG52" s="323"/>
      <c r="AH52" s="323">
        <f t="shared" ca="1" si="5"/>
        <v>-208.09533310432204</v>
      </c>
      <c r="AI52" s="84"/>
      <c r="AJ52" s="324"/>
      <c r="AK52" s="324"/>
      <c r="AL52" s="324"/>
      <c r="AM52" s="324"/>
      <c r="AN52" s="324"/>
      <c r="AO52" s="324"/>
      <c r="AP52" s="324"/>
      <c r="AQ52" s="324"/>
      <c r="AR52" s="324"/>
      <c r="AS52" s="324"/>
      <c r="AT52" s="324"/>
      <c r="AU52" s="324"/>
      <c r="AV52" s="324"/>
      <c r="AW52" s="324"/>
      <c r="AX52" s="324"/>
      <c r="AY52" s="324">
        <f t="shared" si="74"/>
        <v>0</v>
      </c>
      <c r="AZ52" s="84"/>
      <c r="BA52" s="325"/>
      <c r="BB52" s="325"/>
      <c r="BC52" s="325">
        <f t="shared" si="10"/>
        <v>0</v>
      </c>
      <c r="BD52" s="84"/>
      <c r="BE52" s="164"/>
      <c r="BF52" s="164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  <c r="CG52" s="549"/>
      <c r="CH52" s="549"/>
      <c r="CI52" s="549"/>
      <c r="CJ52" s="549"/>
      <c r="CK52" s="549"/>
      <c r="CL52" s="549"/>
      <c r="CM52" s="549"/>
      <c r="CN52" s="549"/>
      <c r="CO52" s="549"/>
      <c r="CP52" s="549"/>
      <c r="CQ52" s="549"/>
      <c r="CR52" s="549"/>
      <c r="CS52" s="549"/>
      <c r="CT52" s="549"/>
      <c r="CU52" s="549"/>
      <c r="CW52" s="151">
        <f t="shared" si="114"/>
        <v>0</v>
      </c>
    </row>
    <row r="53" spans="1:101" s="543" customFormat="1" ht="12.75" customHeight="1" outlineLevel="1" x14ac:dyDescent="0.2">
      <c r="C53" s="86" t="s">
        <v>297</v>
      </c>
      <c r="D53" s="292" t="str">
        <f>INDEX(Modules[Module], MATCH($C53, Modules[Code], 0))</f>
        <v>Nuclear power</v>
      </c>
      <c r="E53" s="292"/>
      <c r="F53" s="84"/>
      <c r="G53" s="301">
        <f t="shared" ref="G53:O53" ca="1" si="127">IFERROR(INDEX(INDIRECT($C53&amp;".Outputs["&amp;this.Year&amp;"]"), MATCH(G$5, INDIRECT($C53&amp;".Outputs[Vector]"), 0)), 0)</f>
        <v>0</v>
      </c>
      <c r="H53" s="301">
        <f t="shared" ca="1" si="127"/>
        <v>0</v>
      </c>
      <c r="I53" s="301">
        <f t="shared" ca="1" si="127"/>
        <v>0</v>
      </c>
      <c r="J53" s="301">
        <f t="shared" ca="1" si="127"/>
        <v>0</v>
      </c>
      <c r="K53" s="301">
        <f t="shared" ca="1" si="127"/>
        <v>0</v>
      </c>
      <c r="L53" s="301">
        <f t="shared" ca="1" si="127"/>
        <v>0</v>
      </c>
      <c r="M53" s="301">
        <f t="shared" ca="1" si="127"/>
        <v>0</v>
      </c>
      <c r="N53" s="301">
        <f t="shared" ca="1" si="127"/>
        <v>0</v>
      </c>
      <c r="O53" s="301">
        <f t="shared" ca="1" si="127"/>
        <v>0</v>
      </c>
      <c r="P53" s="301">
        <f t="shared" ca="1" si="70"/>
        <v>0</v>
      </c>
      <c r="Q53" s="84"/>
      <c r="R53" s="307">
        <f t="shared" ref="R53:AX53" ca="1" si="128">IFERROR(INDEX(INDIRECT($C53&amp;".Outputs["&amp;this.Year&amp;"]"), MATCH(R$5, INDIRECT($C53&amp;".Outputs[Vector]"), 0)), 0)</f>
        <v>0</v>
      </c>
      <c r="S53" s="307">
        <f t="shared" ca="1" si="128"/>
        <v>7.0128000000000013</v>
      </c>
      <c r="T53" s="307">
        <f t="shared" ca="1" si="128"/>
        <v>0</v>
      </c>
      <c r="U53" s="307">
        <f t="shared" ca="1" si="128"/>
        <v>0</v>
      </c>
      <c r="V53" s="307">
        <f t="shared" ca="1" si="128"/>
        <v>0</v>
      </c>
      <c r="W53" s="307">
        <f t="shared" ca="1" si="128"/>
        <v>0</v>
      </c>
      <c r="X53" s="307">
        <f ca="1">IFERROR(INDEX(INDIRECT($C53&amp;".Outputs["&amp;this.Year&amp;"]"), MATCH(X$5, INDIRECT($C53&amp;".Outputs[Vector]"), 0)), 0)</f>
        <v>0</v>
      </c>
      <c r="Y53" s="307">
        <f ca="1">IFERROR(INDEX(INDIRECT($C53&amp;".Outputs["&amp;this.Year&amp;"]"), MATCH(Y$5, INDIRECT($C53&amp;".Outputs[Vector]"), 0)), 0)</f>
        <v>0</v>
      </c>
      <c r="Z53" s="307">
        <f ca="1">IFERROR(INDEX(INDIRECT($C53&amp;".Outputs["&amp;this.Year&amp;"]"), MATCH(Z$5, INDIRECT($C53&amp;".Outputs[Vector]"), 0)), 0)</f>
        <v>0</v>
      </c>
      <c r="AA53" s="307">
        <f t="shared" ca="1" si="128"/>
        <v>0</v>
      </c>
      <c r="AB53" s="307">
        <f t="shared" ca="1" si="128"/>
        <v>0</v>
      </c>
      <c r="AC53" s="307">
        <f t="shared" ca="1" si="128"/>
        <v>0</v>
      </c>
      <c r="AD53" s="307">
        <f t="shared" ca="1" si="128"/>
        <v>0</v>
      </c>
      <c r="AE53" s="307">
        <f t="shared" ca="1" si="128"/>
        <v>0</v>
      </c>
      <c r="AF53" s="307">
        <f t="shared" ca="1" si="128"/>
        <v>0</v>
      </c>
      <c r="AG53" s="307">
        <f t="shared" ca="1" si="128"/>
        <v>0</v>
      </c>
      <c r="AH53" s="306">
        <f t="shared" ca="1" si="5"/>
        <v>7.0128000000000013</v>
      </c>
      <c r="AI53" s="84"/>
      <c r="AJ53" s="315">
        <f t="shared" ref="AJ53:AR53" ca="1" si="129">IFERROR(INDEX(INDIRECT($C53&amp;".Outputs["&amp;this.Year&amp;"]"), MATCH(AJ$5, INDIRECT($C53&amp;".Outputs[Vector]"), 0)), 0)</f>
        <v>0</v>
      </c>
      <c r="AK53" s="315">
        <f t="shared" ca="1" si="129"/>
        <v>0</v>
      </c>
      <c r="AL53" s="315">
        <f t="shared" ca="1" si="129"/>
        <v>0</v>
      </c>
      <c r="AM53" s="315">
        <f t="shared" ca="1" si="129"/>
        <v>0</v>
      </c>
      <c r="AN53" s="315">
        <f t="shared" ca="1" si="129"/>
        <v>0</v>
      </c>
      <c r="AO53" s="315">
        <f t="shared" ca="1" si="129"/>
        <v>0</v>
      </c>
      <c r="AP53" s="315">
        <f t="shared" ca="1" si="129"/>
        <v>0</v>
      </c>
      <c r="AQ53" s="315">
        <f t="shared" ca="1" si="129"/>
        <v>0</v>
      </c>
      <c r="AR53" s="315">
        <f t="shared" ca="1" si="129"/>
        <v>0</v>
      </c>
      <c r="AS53" s="315">
        <f t="shared" ca="1" si="128"/>
        <v>-21.428000000000004</v>
      </c>
      <c r="AT53" s="315">
        <f t="shared" ca="1" si="128"/>
        <v>0</v>
      </c>
      <c r="AU53" s="315">
        <f t="shared" ca="1" si="128"/>
        <v>0</v>
      </c>
      <c r="AV53" s="315">
        <f t="shared" ca="1" si="128"/>
        <v>0</v>
      </c>
      <c r="AW53" s="315">
        <f t="shared" ca="1" si="128"/>
        <v>0</v>
      </c>
      <c r="AX53" s="315">
        <f t="shared" ca="1" si="128"/>
        <v>0</v>
      </c>
      <c r="AY53" s="293">
        <f t="shared" ca="1" si="74"/>
        <v>-21.428000000000004</v>
      </c>
      <c r="AZ53" s="84"/>
      <c r="BA53" s="311">
        <f ca="1">IFERROR(INDEX(INDIRECT($C53&amp;".Outputs["&amp;this.Year&amp;"]"), MATCH(BA$5, INDIRECT($C53&amp;".Outputs[Vector]"), 0)), 0)</f>
        <v>13.713920000000003</v>
      </c>
      <c r="BB53" s="311">
        <f ca="1">IFERROR(INDEX(INDIRECT($C53&amp;".Outputs["&amp;this.Year&amp;"]"), MATCH(BB$5, INDIRECT($C53&amp;".Outputs[Vector]"), 0)), 0)</f>
        <v>0.70128000000000013</v>
      </c>
      <c r="BC53" s="310">
        <f t="shared" ca="1" si="10"/>
        <v>14.415200000000004</v>
      </c>
      <c r="BD53" s="84"/>
      <c r="BE53" s="135">
        <f ca="1">P53+AH53+AY53+BC53</f>
        <v>0</v>
      </c>
      <c r="BF53" s="135"/>
      <c r="BG53" s="1428"/>
      <c r="BH53" s="544">
        <f t="shared" ref="BH53:CU53" ca="1" si="130">IFERROR(SUMIFS(INDIRECT($C53&amp;".Emissions["&amp;this.Year&amp;"]"), INDIRECT($C53&amp;".Emissions[GHG]"), BH$6, INDIRECT($C53&amp;".Emissions[IPCC Sector]"), BH$5),0)</f>
        <v>0</v>
      </c>
      <c r="BI53" s="545">
        <f t="shared" ca="1" si="130"/>
        <v>0</v>
      </c>
      <c r="BJ53" s="545">
        <f t="shared" ca="1" si="130"/>
        <v>0</v>
      </c>
      <c r="BK53" s="545">
        <f t="shared" ca="1" si="130"/>
        <v>0</v>
      </c>
      <c r="BL53" s="545">
        <f t="shared" ca="1" si="130"/>
        <v>0</v>
      </c>
      <c r="BM53" s="545">
        <f t="shared" ca="1" si="130"/>
        <v>0</v>
      </c>
      <c r="BN53" s="545">
        <f t="shared" ca="1" si="130"/>
        <v>0</v>
      </c>
      <c r="BO53" s="545">
        <f t="shared" ca="1" si="130"/>
        <v>0</v>
      </c>
      <c r="BP53" s="545">
        <f t="shared" ca="1" si="130"/>
        <v>0</v>
      </c>
      <c r="BQ53" s="545">
        <f t="shared" ca="1" si="130"/>
        <v>0</v>
      </c>
      <c r="BR53" s="545">
        <f t="shared" ca="1" si="130"/>
        <v>0</v>
      </c>
      <c r="BS53" s="545">
        <f t="shared" ca="1" si="130"/>
        <v>0</v>
      </c>
      <c r="BT53" s="545">
        <f t="shared" ca="1" si="130"/>
        <v>0</v>
      </c>
      <c r="BU53" s="545">
        <f t="shared" ca="1" si="130"/>
        <v>0</v>
      </c>
      <c r="BV53" s="545">
        <f t="shared" ca="1" si="130"/>
        <v>0</v>
      </c>
      <c r="BW53" s="545">
        <f t="shared" ca="1" si="130"/>
        <v>0</v>
      </c>
      <c r="BX53" s="545">
        <f t="shared" ca="1" si="130"/>
        <v>0</v>
      </c>
      <c r="BY53" s="545">
        <f t="shared" ca="1" si="130"/>
        <v>0</v>
      </c>
      <c r="BZ53" s="545">
        <f t="shared" ca="1" si="130"/>
        <v>0</v>
      </c>
      <c r="CA53" s="545">
        <f t="shared" ca="1" si="130"/>
        <v>0</v>
      </c>
      <c r="CB53" s="545">
        <f t="shared" ca="1" si="130"/>
        <v>0</v>
      </c>
      <c r="CC53" s="545">
        <f t="shared" ca="1" si="130"/>
        <v>0</v>
      </c>
      <c r="CD53" s="545">
        <f t="shared" ca="1" si="130"/>
        <v>0</v>
      </c>
      <c r="CE53" s="545">
        <f t="shared" ca="1" si="130"/>
        <v>0</v>
      </c>
      <c r="CF53" s="545">
        <f t="shared" ca="1" si="130"/>
        <v>0</v>
      </c>
      <c r="CG53" s="545">
        <f t="shared" ca="1" si="130"/>
        <v>0</v>
      </c>
      <c r="CH53" s="545">
        <f t="shared" ca="1" si="130"/>
        <v>0</v>
      </c>
      <c r="CI53" s="545">
        <f t="shared" ca="1" si="130"/>
        <v>0</v>
      </c>
      <c r="CJ53" s="545">
        <f t="shared" ca="1" si="130"/>
        <v>0</v>
      </c>
      <c r="CK53" s="545">
        <f t="shared" ca="1" si="130"/>
        <v>0</v>
      </c>
      <c r="CL53" s="545">
        <f t="shared" ca="1" si="130"/>
        <v>0</v>
      </c>
      <c r="CM53" s="545">
        <f t="shared" ca="1" si="130"/>
        <v>0</v>
      </c>
      <c r="CN53" s="545">
        <f t="shared" ca="1" si="130"/>
        <v>0</v>
      </c>
      <c r="CO53" s="545">
        <f t="shared" ca="1" si="130"/>
        <v>0</v>
      </c>
      <c r="CP53" s="545">
        <f t="shared" ca="1" si="130"/>
        <v>0</v>
      </c>
      <c r="CQ53" s="545">
        <f t="shared" ca="1" si="130"/>
        <v>0</v>
      </c>
      <c r="CR53" s="545">
        <f t="shared" ca="1" si="130"/>
        <v>0</v>
      </c>
      <c r="CS53" s="545">
        <f t="shared" ca="1" si="130"/>
        <v>0</v>
      </c>
      <c r="CT53" s="545">
        <f t="shared" ca="1" si="130"/>
        <v>0</v>
      </c>
      <c r="CU53" s="545">
        <f t="shared" ca="1" si="130"/>
        <v>0</v>
      </c>
      <c r="CW53" s="151">
        <f t="shared" ca="1" si="114"/>
        <v>0</v>
      </c>
    </row>
    <row r="54" spans="1:101" s="84" customFormat="1" ht="15.75" x14ac:dyDescent="0.2">
      <c r="A54" s="18"/>
      <c r="B54" s="89"/>
      <c r="C54" s="85" t="s">
        <v>61</v>
      </c>
      <c r="D54" s="57" t="str">
        <f>INDEX(Workstreams[Workstream], MATCH($C54, Workstreams[Code], 0))</f>
        <v>Nuclear power generation</v>
      </c>
      <c r="E54" s="53"/>
      <c r="G54" s="300">
        <f ca="1">G53</f>
        <v>0</v>
      </c>
      <c r="H54" s="300">
        <f t="shared" ref="H54:O54" ca="1" si="131">H53</f>
        <v>0</v>
      </c>
      <c r="I54" s="300">
        <f ca="1">I53</f>
        <v>0</v>
      </c>
      <c r="J54" s="300">
        <f t="shared" ca="1" si="131"/>
        <v>0</v>
      </c>
      <c r="K54" s="300">
        <f t="shared" ca="1" si="131"/>
        <v>0</v>
      </c>
      <c r="L54" s="300">
        <f t="shared" ca="1" si="131"/>
        <v>0</v>
      </c>
      <c r="M54" s="300">
        <f t="shared" ca="1" si="131"/>
        <v>0</v>
      </c>
      <c r="N54" s="300">
        <f t="shared" ca="1" si="131"/>
        <v>0</v>
      </c>
      <c r="O54" s="300">
        <f t="shared" ca="1" si="131"/>
        <v>0</v>
      </c>
      <c r="P54" s="300">
        <f t="shared" ca="1" si="70"/>
        <v>0</v>
      </c>
      <c r="R54" s="257">
        <f t="shared" ref="R54:AE54" ca="1" si="132">R53</f>
        <v>0</v>
      </c>
      <c r="S54" s="257">
        <f t="shared" ca="1" si="132"/>
        <v>7.0128000000000013</v>
      </c>
      <c r="T54" s="257">
        <f t="shared" ca="1" si="132"/>
        <v>0</v>
      </c>
      <c r="U54" s="257">
        <f t="shared" ca="1" si="132"/>
        <v>0</v>
      </c>
      <c r="V54" s="257">
        <f t="shared" ca="1" si="132"/>
        <v>0</v>
      </c>
      <c r="W54" s="257">
        <f ca="1">W53</f>
        <v>0</v>
      </c>
      <c r="X54" s="257">
        <f t="shared" ca="1" si="132"/>
        <v>0</v>
      </c>
      <c r="Y54" s="257">
        <f t="shared" ca="1" si="132"/>
        <v>0</v>
      </c>
      <c r="Z54" s="257">
        <f t="shared" ca="1" si="132"/>
        <v>0</v>
      </c>
      <c r="AA54" s="257">
        <f t="shared" ca="1" si="132"/>
        <v>0</v>
      </c>
      <c r="AB54" s="257">
        <f t="shared" ca="1" si="132"/>
        <v>0</v>
      </c>
      <c r="AC54" s="257">
        <f ca="1">AC53</f>
        <v>0</v>
      </c>
      <c r="AD54" s="257">
        <f ca="1">AD53</f>
        <v>0</v>
      </c>
      <c r="AE54" s="257">
        <f t="shared" ca="1" si="132"/>
        <v>0</v>
      </c>
      <c r="AF54" s="257">
        <f ca="1">AF53</f>
        <v>0</v>
      </c>
      <c r="AG54" s="257">
        <f ca="1">AG53</f>
        <v>0</v>
      </c>
      <c r="AH54" s="257">
        <f t="shared" ca="1" si="5"/>
        <v>7.0128000000000013</v>
      </c>
      <c r="AJ54" s="263">
        <f ca="1">AJ53</f>
        <v>0</v>
      </c>
      <c r="AK54" s="263">
        <f t="shared" ref="AK54:AX54" ca="1" si="133">AK53</f>
        <v>0</v>
      </c>
      <c r="AL54" s="263">
        <f t="shared" ca="1" si="133"/>
        <v>0</v>
      </c>
      <c r="AM54" s="263">
        <f t="shared" ca="1" si="133"/>
        <v>0</v>
      </c>
      <c r="AN54" s="263">
        <f t="shared" ca="1" si="133"/>
        <v>0</v>
      </c>
      <c r="AO54" s="263">
        <f t="shared" ca="1" si="133"/>
        <v>0</v>
      </c>
      <c r="AP54" s="263">
        <f t="shared" ca="1" si="133"/>
        <v>0</v>
      </c>
      <c r="AQ54" s="263">
        <f t="shared" ca="1" si="133"/>
        <v>0</v>
      </c>
      <c r="AR54" s="263">
        <f t="shared" ca="1" si="133"/>
        <v>0</v>
      </c>
      <c r="AS54" s="263">
        <f t="shared" ca="1" si="133"/>
        <v>-21.428000000000004</v>
      </c>
      <c r="AT54" s="263">
        <f t="shared" ca="1" si="133"/>
        <v>0</v>
      </c>
      <c r="AU54" s="263">
        <f t="shared" ca="1" si="133"/>
        <v>0</v>
      </c>
      <c r="AV54" s="263">
        <f t="shared" ca="1" si="133"/>
        <v>0</v>
      </c>
      <c r="AW54" s="263">
        <f t="shared" ca="1" si="133"/>
        <v>0</v>
      </c>
      <c r="AX54" s="263">
        <f t="shared" ca="1" si="133"/>
        <v>0</v>
      </c>
      <c r="AY54" s="263">
        <f t="shared" ca="1" si="74"/>
        <v>-21.428000000000004</v>
      </c>
      <c r="BA54" s="277">
        <f ca="1">BA53</f>
        <v>13.713920000000003</v>
      </c>
      <c r="BB54" s="277">
        <f ca="1">BB53</f>
        <v>0.70128000000000013</v>
      </c>
      <c r="BC54" s="277">
        <f t="shared" ca="1" si="10"/>
        <v>14.415200000000004</v>
      </c>
      <c r="BE54" s="55">
        <f ca="1">P54+AH54+AY54+BC54</f>
        <v>0</v>
      </c>
      <c r="BF54" s="55"/>
      <c r="BG54" s="1428"/>
      <c r="BH54" s="542">
        <f t="shared" ref="BH54:CU54" ca="1" si="134">BH53</f>
        <v>0</v>
      </c>
      <c r="BI54" s="542">
        <f t="shared" ca="1" si="134"/>
        <v>0</v>
      </c>
      <c r="BJ54" s="542">
        <f t="shared" ca="1" si="134"/>
        <v>0</v>
      </c>
      <c r="BK54" s="542">
        <f t="shared" ca="1" si="134"/>
        <v>0</v>
      </c>
      <c r="BL54" s="542">
        <f t="shared" ca="1" si="134"/>
        <v>0</v>
      </c>
      <c r="BM54" s="542">
        <f t="shared" ca="1" si="134"/>
        <v>0</v>
      </c>
      <c r="BN54" s="542">
        <f t="shared" ca="1" si="134"/>
        <v>0</v>
      </c>
      <c r="BO54" s="542">
        <f t="shared" ca="1" si="134"/>
        <v>0</v>
      </c>
      <c r="BP54" s="542">
        <f t="shared" ca="1" si="134"/>
        <v>0</v>
      </c>
      <c r="BQ54" s="542">
        <f t="shared" ca="1" si="134"/>
        <v>0</v>
      </c>
      <c r="BR54" s="542">
        <f t="shared" ca="1" si="134"/>
        <v>0</v>
      </c>
      <c r="BS54" s="542">
        <f t="shared" ca="1" si="134"/>
        <v>0</v>
      </c>
      <c r="BT54" s="542">
        <f t="shared" ca="1" si="134"/>
        <v>0</v>
      </c>
      <c r="BU54" s="542">
        <f t="shared" ca="1" si="134"/>
        <v>0</v>
      </c>
      <c r="BV54" s="542">
        <f t="shared" ca="1" si="134"/>
        <v>0</v>
      </c>
      <c r="BW54" s="542">
        <f t="shared" ca="1" si="134"/>
        <v>0</v>
      </c>
      <c r="BX54" s="542">
        <f t="shared" ca="1" si="134"/>
        <v>0</v>
      </c>
      <c r="BY54" s="542">
        <f t="shared" ca="1" si="134"/>
        <v>0</v>
      </c>
      <c r="BZ54" s="542">
        <f t="shared" ca="1" si="134"/>
        <v>0</v>
      </c>
      <c r="CA54" s="542">
        <f t="shared" ca="1" si="134"/>
        <v>0</v>
      </c>
      <c r="CB54" s="542">
        <f t="shared" ca="1" si="134"/>
        <v>0</v>
      </c>
      <c r="CC54" s="542">
        <f t="shared" ca="1" si="134"/>
        <v>0</v>
      </c>
      <c r="CD54" s="542">
        <f t="shared" ca="1" si="134"/>
        <v>0</v>
      </c>
      <c r="CE54" s="542">
        <f t="shared" ca="1" si="134"/>
        <v>0</v>
      </c>
      <c r="CF54" s="542">
        <f t="shared" ca="1" si="134"/>
        <v>0</v>
      </c>
      <c r="CG54" s="542">
        <f t="shared" ca="1" si="134"/>
        <v>0</v>
      </c>
      <c r="CH54" s="542">
        <f t="shared" ca="1" si="134"/>
        <v>0</v>
      </c>
      <c r="CI54" s="542">
        <f t="shared" ca="1" si="134"/>
        <v>0</v>
      </c>
      <c r="CJ54" s="542">
        <f t="shared" ca="1" si="134"/>
        <v>0</v>
      </c>
      <c r="CK54" s="542">
        <f t="shared" ca="1" si="134"/>
        <v>0</v>
      </c>
      <c r="CL54" s="542">
        <f t="shared" ca="1" si="134"/>
        <v>0</v>
      </c>
      <c r="CM54" s="542">
        <f t="shared" ca="1" si="134"/>
        <v>0</v>
      </c>
      <c r="CN54" s="542">
        <f t="shared" ca="1" si="134"/>
        <v>0</v>
      </c>
      <c r="CO54" s="542">
        <f t="shared" ca="1" si="134"/>
        <v>0</v>
      </c>
      <c r="CP54" s="542">
        <f t="shared" ca="1" si="134"/>
        <v>0</v>
      </c>
      <c r="CQ54" s="542">
        <f t="shared" ca="1" si="134"/>
        <v>0</v>
      </c>
      <c r="CR54" s="542">
        <f t="shared" ca="1" si="134"/>
        <v>0</v>
      </c>
      <c r="CS54" s="542">
        <f t="shared" ca="1" si="134"/>
        <v>0</v>
      </c>
      <c r="CT54" s="542">
        <f t="shared" ca="1" si="134"/>
        <v>0</v>
      </c>
      <c r="CU54" s="542">
        <f t="shared" ca="1" si="134"/>
        <v>0</v>
      </c>
      <c r="CW54" s="151">
        <f t="shared" ca="1" si="114"/>
        <v>0</v>
      </c>
    </row>
    <row r="55" spans="1:101" s="84" customFormat="1" ht="12.75" customHeight="1" outlineLevel="1" x14ac:dyDescent="0.2">
      <c r="A55" s="18"/>
      <c r="B55" s="18"/>
      <c r="C55" s="87"/>
      <c r="D55" s="53"/>
      <c r="E55" s="53"/>
      <c r="G55" s="245"/>
      <c r="H55" s="245"/>
      <c r="I55" s="245"/>
      <c r="J55" s="245"/>
      <c r="K55" s="245"/>
      <c r="L55" s="247"/>
      <c r="M55" s="245"/>
      <c r="N55" s="245"/>
      <c r="O55" s="245"/>
      <c r="P55" s="245">
        <f t="shared" si="70"/>
        <v>0</v>
      </c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>
        <f t="shared" si="5"/>
        <v>0</v>
      </c>
      <c r="AJ55" s="263"/>
      <c r="AK55" s="263"/>
      <c r="AL55" s="263"/>
      <c r="AM55" s="263"/>
      <c r="AN55" s="263"/>
      <c r="AO55" s="263"/>
      <c r="AP55" s="263"/>
      <c r="AQ55" s="263"/>
      <c r="AR55" s="263"/>
      <c r="AS55" s="263"/>
      <c r="AT55" s="263"/>
      <c r="AU55" s="263"/>
      <c r="AV55" s="263"/>
      <c r="AW55" s="263"/>
      <c r="AX55" s="263"/>
      <c r="AY55" s="263">
        <f t="shared" si="74"/>
        <v>0</v>
      </c>
      <c r="BA55" s="277"/>
      <c r="BB55" s="277"/>
      <c r="BC55" s="277">
        <f t="shared" si="10"/>
        <v>0</v>
      </c>
      <c r="BE55" s="55">
        <f>P55+AH55+AY55+BC55</f>
        <v>0</v>
      </c>
      <c r="BF55" s="55"/>
      <c r="BG55" s="18"/>
      <c r="BH55" s="542"/>
      <c r="BI55" s="542"/>
      <c r="BJ55" s="542"/>
      <c r="BK55" s="542"/>
      <c r="BL55" s="542"/>
      <c r="BM55" s="542"/>
      <c r="BN55" s="542"/>
      <c r="BO55" s="542"/>
      <c r="BP55" s="542"/>
      <c r="BQ55" s="542"/>
      <c r="BR55" s="542"/>
      <c r="BS55" s="542"/>
      <c r="BT55" s="542"/>
      <c r="BU55" s="542"/>
      <c r="BV55" s="542"/>
      <c r="BW55" s="542"/>
      <c r="BX55" s="542"/>
      <c r="BY55" s="542"/>
      <c r="BZ55" s="542"/>
      <c r="CA55" s="542"/>
      <c r="CB55" s="542"/>
      <c r="CC55" s="542"/>
      <c r="CD55" s="542"/>
      <c r="CE55" s="542"/>
      <c r="CF55" s="542"/>
      <c r="CG55" s="542"/>
      <c r="CH55" s="542"/>
      <c r="CI55" s="542"/>
      <c r="CJ55" s="542"/>
      <c r="CK55" s="542"/>
      <c r="CL55" s="542"/>
      <c r="CM55" s="542"/>
      <c r="CN55" s="542"/>
      <c r="CO55" s="542"/>
      <c r="CP55" s="542"/>
      <c r="CQ55" s="542"/>
      <c r="CR55" s="542"/>
      <c r="CS55" s="542"/>
      <c r="CT55" s="542"/>
      <c r="CU55" s="542"/>
      <c r="CW55" s="151">
        <f t="shared" si="114"/>
        <v>0</v>
      </c>
    </row>
    <row r="56" spans="1:101" s="547" customFormat="1" ht="12.75" customHeight="1" outlineLevel="1" x14ac:dyDescent="0.2">
      <c r="C56" s="319" t="s">
        <v>856</v>
      </c>
      <c r="D56" s="320" t="s">
        <v>587</v>
      </c>
      <c r="E56" s="320"/>
      <c r="F56" s="84"/>
      <c r="G56" s="321"/>
      <c r="H56" s="321"/>
      <c r="I56" s="321"/>
      <c r="J56" s="321"/>
      <c r="K56" s="321"/>
      <c r="L56" s="322"/>
      <c r="M56" s="321"/>
      <c r="N56" s="321"/>
      <c r="O56" s="321"/>
      <c r="P56" s="321">
        <f t="shared" si="70"/>
        <v>0</v>
      </c>
      <c r="Q56" s="84"/>
      <c r="R56" s="323">
        <f ca="1">R$52+R$54</f>
        <v>-289.18504122724516</v>
      </c>
      <c r="S56" s="323">
        <f ca="1">S$52+S$54</f>
        <v>88.102508122923112</v>
      </c>
      <c r="T56" s="323"/>
      <c r="U56" s="323"/>
      <c r="V56" s="323"/>
      <c r="W56" s="323"/>
      <c r="X56" s="323"/>
      <c r="Y56" s="323"/>
      <c r="Z56" s="323"/>
      <c r="AA56" s="323"/>
      <c r="AB56" s="323"/>
      <c r="AC56" s="323"/>
      <c r="AD56" s="323"/>
      <c r="AE56" s="323"/>
      <c r="AF56" s="323"/>
      <c r="AG56" s="323"/>
      <c r="AH56" s="323">
        <f t="shared" ca="1" si="5"/>
        <v>-201.08253310432207</v>
      </c>
      <c r="AI56" s="84"/>
      <c r="AJ56" s="324"/>
      <c r="AK56" s="324"/>
      <c r="AL56" s="324"/>
      <c r="AM56" s="324"/>
      <c r="AN56" s="324"/>
      <c r="AO56" s="324"/>
      <c r="AP56" s="324"/>
      <c r="AQ56" s="324"/>
      <c r="AR56" s="324"/>
      <c r="AS56" s="324"/>
      <c r="AT56" s="324"/>
      <c r="AU56" s="324"/>
      <c r="AV56" s="324"/>
      <c r="AW56" s="324"/>
      <c r="AX56" s="324"/>
      <c r="AY56" s="324">
        <f t="shared" si="74"/>
        <v>0</v>
      </c>
      <c r="AZ56" s="84"/>
      <c r="BA56" s="325"/>
      <c r="BB56" s="325"/>
      <c r="BC56" s="325">
        <f t="shared" si="10"/>
        <v>0</v>
      </c>
      <c r="BD56" s="84"/>
      <c r="BE56" s="164"/>
      <c r="BF56" s="164"/>
      <c r="BH56" s="549"/>
      <c r="BI56" s="549"/>
      <c r="BJ56" s="549"/>
      <c r="BK56" s="549"/>
      <c r="BL56" s="549"/>
      <c r="BM56" s="549"/>
      <c r="BN56" s="549"/>
      <c r="BO56" s="549"/>
      <c r="BP56" s="549"/>
      <c r="BQ56" s="549"/>
      <c r="BR56" s="549"/>
      <c r="BS56" s="549"/>
      <c r="BT56" s="549"/>
      <c r="BU56" s="549"/>
      <c r="BV56" s="549"/>
      <c r="BW56" s="549"/>
      <c r="BX56" s="549"/>
      <c r="BY56" s="549"/>
      <c r="BZ56" s="549"/>
      <c r="CA56" s="549"/>
      <c r="CB56" s="549"/>
      <c r="CC56" s="549"/>
      <c r="CD56" s="549"/>
      <c r="CE56" s="549"/>
      <c r="CF56" s="549"/>
      <c r="CG56" s="549"/>
      <c r="CH56" s="549"/>
      <c r="CI56" s="549"/>
      <c r="CJ56" s="549"/>
      <c r="CK56" s="549"/>
      <c r="CL56" s="549"/>
      <c r="CM56" s="549"/>
      <c r="CN56" s="549"/>
      <c r="CO56" s="549"/>
      <c r="CP56" s="549"/>
      <c r="CQ56" s="549"/>
      <c r="CR56" s="549"/>
      <c r="CS56" s="549"/>
      <c r="CT56" s="549"/>
      <c r="CU56" s="549"/>
      <c r="CW56" s="151">
        <f t="shared" si="114"/>
        <v>0</v>
      </c>
    </row>
    <row r="57" spans="1:101" s="543" customFormat="1" ht="12.75" customHeight="1" outlineLevel="1" x14ac:dyDescent="0.2">
      <c r="C57" s="86" t="s">
        <v>352</v>
      </c>
      <c r="D57" s="61" t="str">
        <f>INDEX(Modules[Module], MATCH($C57, Modules[Code], 0))</f>
        <v>Biomass power station</v>
      </c>
      <c r="E57" s="61"/>
      <c r="F57" s="84"/>
      <c r="G57" s="892">
        <f t="shared" ref="G57:O59" ca="1" si="135">IFERROR(INDEX(INDIRECT($C57&amp;".Outputs["&amp;this.Year&amp;"]"), MATCH(G$5, INDIRECT($C57&amp;".Outputs[Vector]"), 0)), 0)</f>
        <v>0</v>
      </c>
      <c r="H57" s="892">
        <f t="shared" ca="1" si="135"/>
        <v>0</v>
      </c>
      <c r="I57" s="892">
        <f t="shared" ca="1" si="135"/>
        <v>0</v>
      </c>
      <c r="J57" s="892">
        <f t="shared" ca="1" si="135"/>
        <v>0</v>
      </c>
      <c r="K57" s="892">
        <f t="shared" ca="1" si="135"/>
        <v>0</v>
      </c>
      <c r="L57" s="892">
        <f t="shared" ca="1" si="135"/>
        <v>0</v>
      </c>
      <c r="M57" s="892">
        <f t="shared" ca="1" si="135"/>
        <v>0</v>
      </c>
      <c r="N57" s="892">
        <f t="shared" ca="1" si="135"/>
        <v>0</v>
      </c>
      <c r="O57" s="892">
        <f t="shared" ca="1" si="135"/>
        <v>0</v>
      </c>
      <c r="P57" s="892">
        <f t="shared" ref="P57:P89" ca="1" si="136">SUM(G57:O57)</f>
        <v>0</v>
      </c>
      <c r="Q57" s="84"/>
      <c r="R57" s="893">
        <f t="shared" ref="R57:AG57" ca="1" si="137">IFERROR(INDEX(INDIRECT($C57&amp;".Outputs["&amp;this.Year&amp;"]"), MATCH(R$5, INDIRECT($C57&amp;".Outputs[Vector]"), 0)), 0)</f>
        <v>0</v>
      </c>
      <c r="S57" s="893">
        <f t="shared" ca="1" si="137"/>
        <v>15.7788</v>
      </c>
      <c r="T57" s="893">
        <f t="shared" ca="1" si="137"/>
        <v>-47.336400000000005</v>
      </c>
      <c r="U57" s="893">
        <f t="shared" ca="1" si="137"/>
        <v>0</v>
      </c>
      <c r="V57" s="893">
        <f t="shared" ca="1" si="137"/>
        <v>0</v>
      </c>
      <c r="W57" s="893">
        <f t="shared" ca="1" si="137"/>
        <v>0</v>
      </c>
      <c r="X57" s="893">
        <f t="shared" ca="1" si="137"/>
        <v>0</v>
      </c>
      <c r="Y57" s="893">
        <f t="shared" ca="1" si="137"/>
        <v>0</v>
      </c>
      <c r="Z57" s="893">
        <f t="shared" ca="1" si="137"/>
        <v>0</v>
      </c>
      <c r="AA57" s="893">
        <f t="shared" ca="1" si="137"/>
        <v>0</v>
      </c>
      <c r="AB57" s="893">
        <f t="shared" ca="1" si="137"/>
        <v>0</v>
      </c>
      <c r="AC57" s="893">
        <f t="shared" ca="1" si="137"/>
        <v>0</v>
      </c>
      <c r="AD57" s="893">
        <f t="shared" ca="1" si="137"/>
        <v>0</v>
      </c>
      <c r="AE57" s="893">
        <f t="shared" ca="1" si="137"/>
        <v>0</v>
      </c>
      <c r="AF57" s="893">
        <f t="shared" ca="1" si="137"/>
        <v>0</v>
      </c>
      <c r="AG57" s="893">
        <f t="shared" ca="1" si="137"/>
        <v>0</v>
      </c>
      <c r="AH57" s="894">
        <f t="shared" ca="1" si="5"/>
        <v>-31.557600000000004</v>
      </c>
      <c r="AI57" s="84"/>
      <c r="AJ57" s="895">
        <f t="shared" ref="AJ57:AR59" ca="1" si="138">IFERROR(INDEX(INDIRECT($C57&amp;".Outputs["&amp;this.Year&amp;"]"), MATCH(AJ$5, INDIRECT($C57&amp;".Outputs[Vector]"), 0)), 0)</f>
        <v>0</v>
      </c>
      <c r="AK57" s="895">
        <f t="shared" ca="1" si="138"/>
        <v>0</v>
      </c>
      <c r="AL57" s="895">
        <f t="shared" ca="1" si="138"/>
        <v>0</v>
      </c>
      <c r="AM57" s="895">
        <f t="shared" ca="1" si="138"/>
        <v>0</v>
      </c>
      <c r="AN57" s="895">
        <f t="shared" ca="1" si="138"/>
        <v>0</v>
      </c>
      <c r="AO57" s="895">
        <f t="shared" ca="1" si="138"/>
        <v>0</v>
      </c>
      <c r="AP57" s="895">
        <f t="shared" ca="1" si="138"/>
        <v>0</v>
      </c>
      <c r="AQ57" s="895">
        <f t="shared" ca="1" si="138"/>
        <v>0</v>
      </c>
      <c r="AR57" s="895">
        <f t="shared" ca="1" si="138"/>
        <v>0</v>
      </c>
      <c r="AS57" s="895">
        <f t="shared" ref="AS57:AX57" ca="1" si="139">IFERROR(INDEX(INDIRECT($C57&amp;".Outputs["&amp;this.Year&amp;"]"), MATCH(AS$5, INDIRECT($C57&amp;".Outputs[Vector]"), 0)), 0)</f>
        <v>0</v>
      </c>
      <c r="AT57" s="895">
        <f t="shared" ca="1" si="139"/>
        <v>0</v>
      </c>
      <c r="AU57" s="895">
        <f t="shared" ca="1" si="139"/>
        <v>0</v>
      </c>
      <c r="AV57" s="895">
        <f t="shared" ca="1" si="139"/>
        <v>0</v>
      </c>
      <c r="AW57" s="895">
        <f t="shared" ca="1" si="139"/>
        <v>0</v>
      </c>
      <c r="AX57" s="895">
        <f t="shared" ca="1" si="139"/>
        <v>0</v>
      </c>
      <c r="AY57" s="896">
        <f t="shared" ca="1" si="74"/>
        <v>0</v>
      </c>
      <c r="AZ57" s="84"/>
      <c r="BA57" s="897">
        <f ca="1">IFERROR(INDEX(INDIRECT($C57&amp;".Outputs["&amp;this.Year&amp;"]"), MATCH(BA$5, INDIRECT($C57&amp;".Outputs[Vector]"), 0)), 0)</f>
        <v>30.768660000000004</v>
      </c>
      <c r="BB57" s="897">
        <f ca="1">IFERROR(INDEX(INDIRECT($C57&amp;".Outputs["&amp;this.Year&amp;"]"), MATCH(BB$5, INDIRECT($C57&amp;".Outputs[Vector]"), 0)), 0)</f>
        <v>0.78894000000000009</v>
      </c>
      <c r="BC57" s="898">
        <f t="shared" ca="1" si="10"/>
        <v>31.557600000000004</v>
      </c>
      <c r="BD57" s="84"/>
      <c r="BE57" s="135">
        <f ca="1">P57+AH57+AY57+BC57</f>
        <v>0</v>
      </c>
      <c r="BF57" s="135"/>
      <c r="BG57" s="1428"/>
      <c r="BH57" s="541">
        <f t="shared" ref="BH57:CU59" ca="1" si="140">IFERROR(SUMIFS(INDIRECT($C57&amp;".Emissions["&amp;this.Year&amp;"]"), INDIRECT($C57&amp;".Emissions[GHG]"), BH$6, INDIRECT($C57&amp;".Emissions[IPCC Sector]"), BH$5),0)</f>
        <v>14.579611199999999</v>
      </c>
      <c r="BI57" s="542">
        <f t="shared" ca="1" si="140"/>
        <v>4.2829628981399907E-2</v>
      </c>
      <c r="BJ57" s="542">
        <f t="shared" ca="1" si="140"/>
        <v>0.12915368171909009</v>
      </c>
      <c r="BK57" s="542">
        <f t="shared" ca="1" si="140"/>
        <v>0</v>
      </c>
      <c r="BL57" s="542">
        <f t="shared" ca="1" si="140"/>
        <v>0</v>
      </c>
      <c r="BM57" s="542">
        <f t="shared" ca="1" si="140"/>
        <v>0</v>
      </c>
      <c r="BN57" s="542">
        <f t="shared" ca="1" si="140"/>
        <v>0</v>
      </c>
      <c r="BO57" s="542">
        <f t="shared" ca="1" si="140"/>
        <v>0</v>
      </c>
      <c r="BP57" s="542">
        <f t="shared" ca="1" si="140"/>
        <v>0</v>
      </c>
      <c r="BQ57" s="542">
        <f t="shared" ca="1" si="140"/>
        <v>0</v>
      </c>
      <c r="BR57" s="542">
        <f t="shared" ca="1" si="140"/>
        <v>0</v>
      </c>
      <c r="BS57" s="542">
        <f t="shared" ca="1" si="140"/>
        <v>0</v>
      </c>
      <c r="BT57" s="542">
        <f t="shared" ca="1" si="140"/>
        <v>0</v>
      </c>
      <c r="BU57" s="542">
        <f t="shared" ca="1" si="140"/>
        <v>0</v>
      </c>
      <c r="BV57" s="542">
        <f t="shared" ca="1" si="140"/>
        <v>0</v>
      </c>
      <c r="BW57" s="542">
        <f t="shared" ca="1" si="140"/>
        <v>0</v>
      </c>
      <c r="BX57" s="542">
        <f t="shared" ca="1" si="140"/>
        <v>0</v>
      </c>
      <c r="BY57" s="542">
        <f t="shared" ca="1" si="140"/>
        <v>0</v>
      </c>
      <c r="BZ57" s="542">
        <f t="shared" ca="1" si="140"/>
        <v>0</v>
      </c>
      <c r="CA57" s="542">
        <f t="shared" ca="1" si="140"/>
        <v>0</v>
      </c>
      <c r="CB57" s="542">
        <f t="shared" ca="1" si="140"/>
        <v>0</v>
      </c>
      <c r="CC57" s="542">
        <f t="shared" ca="1" si="140"/>
        <v>0</v>
      </c>
      <c r="CD57" s="542">
        <f t="shared" ca="1" si="140"/>
        <v>0</v>
      </c>
      <c r="CE57" s="542">
        <f t="shared" ca="1" si="140"/>
        <v>0</v>
      </c>
      <c r="CF57" s="542">
        <f t="shared" ca="1" si="140"/>
        <v>0</v>
      </c>
      <c r="CG57" s="542">
        <f t="shared" ca="1" si="140"/>
        <v>0</v>
      </c>
      <c r="CH57" s="542">
        <f t="shared" ca="1" si="140"/>
        <v>0</v>
      </c>
      <c r="CI57" s="542">
        <f t="shared" ca="1" si="140"/>
        <v>0</v>
      </c>
      <c r="CJ57" s="542">
        <f t="shared" ca="1" si="140"/>
        <v>0</v>
      </c>
      <c r="CK57" s="542">
        <f t="shared" ca="1" si="140"/>
        <v>0</v>
      </c>
      <c r="CL57" s="542">
        <f t="shared" ca="1" si="140"/>
        <v>0</v>
      </c>
      <c r="CM57" s="542">
        <f t="shared" ca="1" si="140"/>
        <v>0</v>
      </c>
      <c r="CN57" s="542">
        <f t="shared" ca="1" si="140"/>
        <v>0</v>
      </c>
      <c r="CO57" s="542">
        <f t="shared" ca="1" si="140"/>
        <v>0</v>
      </c>
      <c r="CP57" s="542">
        <f t="shared" ca="1" si="140"/>
        <v>0</v>
      </c>
      <c r="CQ57" s="542">
        <f t="shared" ca="1" si="140"/>
        <v>0</v>
      </c>
      <c r="CR57" s="542">
        <f t="shared" ca="1" si="140"/>
        <v>0</v>
      </c>
      <c r="CS57" s="542">
        <f t="shared" ca="1" si="140"/>
        <v>0</v>
      </c>
      <c r="CT57" s="542">
        <f t="shared" ca="1" si="140"/>
        <v>0</v>
      </c>
      <c r="CU57" s="542">
        <f t="shared" ca="1" si="140"/>
        <v>0</v>
      </c>
      <c r="CW57" s="151">
        <f t="shared" ca="1" si="114"/>
        <v>14.751594510700489</v>
      </c>
    </row>
    <row r="58" spans="1:101" s="543" customFormat="1" ht="12.75" customHeight="1" outlineLevel="1" x14ac:dyDescent="0.2">
      <c r="C58" s="319" t="s">
        <v>2381</v>
      </c>
      <c r="D58" s="320" t="s">
        <v>587</v>
      </c>
      <c r="E58" s="61"/>
      <c r="F58" s="84"/>
      <c r="G58" s="892"/>
      <c r="H58" s="892"/>
      <c r="I58" s="892"/>
      <c r="J58" s="892"/>
      <c r="K58" s="892"/>
      <c r="L58" s="892"/>
      <c r="M58" s="892"/>
      <c r="N58" s="892"/>
      <c r="O58" s="892"/>
      <c r="P58" s="892">
        <f t="shared" si="136"/>
        <v>0</v>
      </c>
      <c r="Q58" s="84"/>
      <c r="R58" s="893">
        <f ca="1">R56+R57</f>
        <v>-289.18504122724516</v>
      </c>
      <c r="S58" s="893">
        <f ca="1">S56+S57</f>
        <v>103.88130812292312</v>
      </c>
      <c r="T58" s="893"/>
      <c r="U58" s="893"/>
      <c r="V58" s="893"/>
      <c r="W58" s="893"/>
      <c r="X58" s="893"/>
      <c r="Y58" s="893"/>
      <c r="Z58" s="893"/>
      <c r="AA58" s="893"/>
      <c r="AB58" s="893"/>
      <c r="AC58" s="893"/>
      <c r="AD58" s="893"/>
      <c r="AE58" s="893"/>
      <c r="AF58" s="893"/>
      <c r="AG58" s="893"/>
      <c r="AH58" s="894">
        <f t="shared" ca="1" si="5"/>
        <v>-185.30373310432205</v>
      </c>
      <c r="AI58" s="84"/>
      <c r="AJ58" s="895"/>
      <c r="AK58" s="895"/>
      <c r="AL58" s="895"/>
      <c r="AM58" s="895"/>
      <c r="AN58" s="895"/>
      <c r="AO58" s="895"/>
      <c r="AP58" s="895"/>
      <c r="AQ58" s="895"/>
      <c r="AR58" s="895"/>
      <c r="AS58" s="895"/>
      <c r="AT58" s="895"/>
      <c r="AU58" s="895"/>
      <c r="AV58" s="895"/>
      <c r="AW58" s="895"/>
      <c r="AX58" s="895"/>
      <c r="AY58" s="896">
        <f t="shared" si="74"/>
        <v>0</v>
      </c>
      <c r="AZ58" s="84"/>
      <c r="BA58" s="897"/>
      <c r="BB58" s="897"/>
      <c r="BC58" s="898">
        <f t="shared" si="10"/>
        <v>0</v>
      </c>
      <c r="BD58" s="84"/>
      <c r="BE58" s="135"/>
      <c r="BF58" s="135"/>
      <c r="BG58" s="1428"/>
      <c r="BH58" s="541"/>
      <c r="BI58" s="542"/>
      <c r="BJ58" s="542"/>
      <c r="BK58" s="542"/>
      <c r="BL58" s="542"/>
      <c r="BM58" s="542"/>
      <c r="BN58" s="542"/>
      <c r="BO58" s="542"/>
      <c r="BP58" s="542"/>
      <c r="BQ58" s="542"/>
      <c r="BR58" s="542"/>
      <c r="BS58" s="542"/>
      <c r="BT58" s="542"/>
      <c r="BU58" s="542"/>
      <c r="BV58" s="542"/>
      <c r="BW58" s="542"/>
      <c r="BX58" s="542"/>
      <c r="BY58" s="542"/>
      <c r="BZ58" s="542"/>
      <c r="CA58" s="542"/>
      <c r="CB58" s="542"/>
      <c r="CC58" s="542"/>
      <c r="CD58" s="542"/>
      <c r="CE58" s="542"/>
      <c r="CF58" s="542"/>
      <c r="CG58" s="542"/>
      <c r="CH58" s="542"/>
      <c r="CI58" s="542"/>
      <c r="CJ58" s="542"/>
      <c r="CK58" s="542"/>
      <c r="CL58" s="542"/>
      <c r="CM58" s="542"/>
      <c r="CN58" s="542"/>
      <c r="CO58" s="542"/>
      <c r="CP58" s="542"/>
      <c r="CQ58" s="542"/>
      <c r="CR58" s="542"/>
      <c r="CS58" s="542"/>
      <c r="CT58" s="542"/>
      <c r="CU58" s="542"/>
      <c r="CW58" s="151"/>
    </row>
    <row r="59" spans="1:101" s="543" customFormat="1" ht="12.75" customHeight="1" outlineLevel="1" x14ac:dyDescent="0.2">
      <c r="C59" s="86" t="s">
        <v>2146</v>
      </c>
      <c r="D59" s="61" t="str">
        <f>INDEX(Modules[Module], MATCH($C59, Modules[Code], 0))</f>
        <v>Coal power stations</v>
      </c>
      <c r="E59" s="61"/>
      <c r="F59" s="84"/>
      <c r="G59" s="892">
        <f t="shared" ca="1" si="135"/>
        <v>0</v>
      </c>
      <c r="H59" s="892">
        <f t="shared" ca="1" si="135"/>
        <v>0</v>
      </c>
      <c r="I59" s="892">
        <f t="shared" ca="1" si="135"/>
        <v>0</v>
      </c>
      <c r="J59" s="892">
        <f t="shared" ca="1" si="135"/>
        <v>0</v>
      </c>
      <c r="K59" s="892">
        <f t="shared" ca="1" si="135"/>
        <v>0</v>
      </c>
      <c r="L59" s="892">
        <f t="shared" ca="1" si="135"/>
        <v>0</v>
      </c>
      <c r="M59" s="892">
        <f t="shared" ca="1" si="135"/>
        <v>0</v>
      </c>
      <c r="N59" s="892">
        <f t="shared" ca="1" si="135"/>
        <v>0</v>
      </c>
      <c r="O59" s="892">
        <f t="shared" ca="1" si="135"/>
        <v>0</v>
      </c>
      <c r="P59" s="892">
        <f t="shared" ca="1" si="136"/>
        <v>0</v>
      </c>
      <c r="Q59" s="84"/>
      <c r="R59" s="893">
        <f t="shared" ref="R59:AG59" ca="1" si="141">IFERROR(INDEX(INDIRECT($C59&amp;".Outputs["&amp;this.Year&amp;"]"), MATCH(R$5, INDIRECT($C59&amp;".Outputs[Vector]"), 0)), 0)</f>
        <v>0</v>
      </c>
      <c r="S59" s="893">
        <f t="shared" ca="1" si="141"/>
        <v>26.297999999999998</v>
      </c>
      <c r="T59" s="893">
        <f t="shared" ca="1" si="141"/>
        <v>-72.665526315789478</v>
      </c>
      <c r="U59" s="893">
        <f t="shared" ca="1" si="141"/>
        <v>0</v>
      </c>
      <c r="V59" s="893">
        <f t="shared" ca="1" si="141"/>
        <v>0</v>
      </c>
      <c r="W59" s="893">
        <f t="shared" ca="1" si="141"/>
        <v>0</v>
      </c>
      <c r="X59" s="893">
        <f t="shared" ca="1" si="141"/>
        <v>0</v>
      </c>
      <c r="Y59" s="893">
        <f t="shared" ca="1" si="141"/>
        <v>0</v>
      </c>
      <c r="Z59" s="893">
        <f t="shared" ca="1" si="141"/>
        <v>0</v>
      </c>
      <c r="AA59" s="893">
        <f t="shared" ca="1" si="141"/>
        <v>0</v>
      </c>
      <c r="AB59" s="893">
        <f t="shared" ca="1" si="141"/>
        <v>0</v>
      </c>
      <c r="AC59" s="893">
        <f t="shared" ca="1" si="141"/>
        <v>0</v>
      </c>
      <c r="AD59" s="893">
        <f t="shared" ca="1" si="141"/>
        <v>0</v>
      </c>
      <c r="AE59" s="893">
        <f t="shared" ca="1" si="141"/>
        <v>0</v>
      </c>
      <c r="AF59" s="893">
        <f t="shared" ca="1" si="141"/>
        <v>0</v>
      </c>
      <c r="AG59" s="893">
        <f t="shared" ca="1" si="141"/>
        <v>0</v>
      </c>
      <c r="AH59" s="894">
        <f t="shared" ca="1" si="5"/>
        <v>-46.367526315789476</v>
      </c>
      <c r="AI59" s="84"/>
      <c r="AJ59" s="895">
        <f t="shared" ca="1" si="138"/>
        <v>0</v>
      </c>
      <c r="AK59" s="895">
        <f t="shared" ca="1" si="138"/>
        <v>0</v>
      </c>
      <c r="AL59" s="895">
        <f t="shared" ca="1" si="138"/>
        <v>0</v>
      </c>
      <c r="AM59" s="895">
        <f t="shared" ca="1" si="138"/>
        <v>0</v>
      </c>
      <c r="AN59" s="895">
        <f t="shared" ca="1" si="138"/>
        <v>0</v>
      </c>
      <c r="AO59" s="895">
        <f t="shared" ca="1" si="138"/>
        <v>0</v>
      </c>
      <c r="AP59" s="895">
        <f t="shared" ca="1" si="138"/>
        <v>0</v>
      </c>
      <c r="AQ59" s="895">
        <f t="shared" ca="1" si="138"/>
        <v>0</v>
      </c>
      <c r="AR59" s="895">
        <f t="shared" ca="1" si="138"/>
        <v>0</v>
      </c>
      <c r="AS59" s="895">
        <f t="shared" ref="AS59:AX59" ca="1" si="142">IFERROR(INDEX(INDIRECT($C59&amp;".Outputs["&amp;this.Year&amp;"]"), MATCH(AS$5, INDIRECT($C59&amp;".Outputs[Vector]"), 0)), 0)</f>
        <v>0</v>
      </c>
      <c r="AT59" s="895">
        <f t="shared" ca="1" si="142"/>
        <v>0</v>
      </c>
      <c r="AU59" s="895">
        <f t="shared" ca="1" si="142"/>
        <v>0</v>
      </c>
      <c r="AV59" s="895">
        <f t="shared" ca="1" si="142"/>
        <v>0</v>
      </c>
      <c r="AW59" s="895">
        <f t="shared" ca="1" si="142"/>
        <v>0</v>
      </c>
      <c r="AX59" s="895">
        <f t="shared" ca="1" si="142"/>
        <v>0</v>
      </c>
      <c r="AY59" s="896">
        <f t="shared" ca="1" si="74"/>
        <v>0</v>
      </c>
      <c r="AZ59" s="84"/>
      <c r="BA59" s="897">
        <f ca="1">IFERROR(INDEX(INDIRECT($C59&amp;".Outputs["&amp;this.Year&amp;"]"), MATCH(BA$5, INDIRECT($C59&amp;".Outputs[Vector]"), 0)), 0)</f>
        <v>45.052626315789482</v>
      </c>
      <c r="BB59" s="897">
        <f ca="1">IFERROR(INDEX(INDIRECT($C59&amp;".Outputs["&amp;this.Year&amp;"]"), MATCH(BB$5, INDIRECT($C59&amp;".Outputs[Vector]"), 0)), 0)</f>
        <v>1.3149</v>
      </c>
      <c r="BC59" s="898">
        <f t="shared" ca="1" si="10"/>
        <v>46.367526315789483</v>
      </c>
      <c r="BD59" s="84"/>
      <c r="BE59" s="135">
        <f ca="1">P59+AH59+AY59+BC59</f>
        <v>0</v>
      </c>
      <c r="BF59" s="135"/>
      <c r="BG59" s="1428"/>
      <c r="BH59" s="541">
        <f t="shared" ca="1" si="140"/>
        <v>22.380982105263154</v>
      </c>
      <c r="BI59" s="542">
        <f t="shared" ca="1" si="140"/>
        <v>6.5747237471447229E-2</v>
      </c>
      <c r="BJ59" s="542">
        <f t="shared" ca="1" si="140"/>
        <v>0.19826223070912952</v>
      </c>
      <c r="BK59" s="542">
        <f t="shared" ca="1" si="140"/>
        <v>0</v>
      </c>
      <c r="BL59" s="542">
        <f t="shared" ca="1" si="140"/>
        <v>0</v>
      </c>
      <c r="BM59" s="542">
        <f t="shared" ca="1" si="140"/>
        <v>0</v>
      </c>
      <c r="BN59" s="542">
        <f t="shared" ca="1" si="140"/>
        <v>0</v>
      </c>
      <c r="BO59" s="542">
        <f t="shared" ca="1" si="140"/>
        <v>0</v>
      </c>
      <c r="BP59" s="542">
        <f t="shared" ca="1" si="140"/>
        <v>0</v>
      </c>
      <c r="BQ59" s="542">
        <f t="shared" ca="1" si="140"/>
        <v>0</v>
      </c>
      <c r="BR59" s="542">
        <f t="shared" ca="1" si="140"/>
        <v>0</v>
      </c>
      <c r="BS59" s="542">
        <f t="shared" ca="1" si="140"/>
        <v>0</v>
      </c>
      <c r="BT59" s="542">
        <f t="shared" ca="1" si="140"/>
        <v>0</v>
      </c>
      <c r="BU59" s="542">
        <f t="shared" ca="1" si="140"/>
        <v>0</v>
      </c>
      <c r="BV59" s="542">
        <f t="shared" ca="1" si="140"/>
        <v>0</v>
      </c>
      <c r="BW59" s="542">
        <f t="shared" ca="1" si="140"/>
        <v>0</v>
      </c>
      <c r="BX59" s="542">
        <f t="shared" ca="1" si="140"/>
        <v>0</v>
      </c>
      <c r="BY59" s="542">
        <f t="shared" ca="1" si="140"/>
        <v>0</v>
      </c>
      <c r="BZ59" s="542">
        <f t="shared" ca="1" si="140"/>
        <v>0</v>
      </c>
      <c r="CA59" s="542">
        <f t="shared" ca="1" si="140"/>
        <v>0</v>
      </c>
      <c r="CB59" s="542">
        <f t="shared" ca="1" si="140"/>
        <v>0</v>
      </c>
      <c r="CC59" s="542">
        <f t="shared" ca="1" si="140"/>
        <v>0</v>
      </c>
      <c r="CD59" s="542">
        <f t="shared" ca="1" si="140"/>
        <v>0</v>
      </c>
      <c r="CE59" s="542">
        <f t="shared" ca="1" si="140"/>
        <v>0</v>
      </c>
      <c r="CF59" s="542">
        <f t="shared" ca="1" si="140"/>
        <v>0</v>
      </c>
      <c r="CG59" s="542">
        <f t="shared" ca="1" si="140"/>
        <v>0</v>
      </c>
      <c r="CH59" s="542">
        <f t="shared" ca="1" si="140"/>
        <v>0</v>
      </c>
      <c r="CI59" s="542">
        <f t="shared" ca="1" si="140"/>
        <v>0</v>
      </c>
      <c r="CJ59" s="542">
        <f t="shared" ca="1" si="140"/>
        <v>0</v>
      </c>
      <c r="CK59" s="542">
        <f t="shared" ca="1" si="140"/>
        <v>0</v>
      </c>
      <c r="CL59" s="542">
        <f t="shared" ca="1" si="140"/>
        <v>0</v>
      </c>
      <c r="CM59" s="542">
        <f t="shared" ca="1" si="140"/>
        <v>0</v>
      </c>
      <c r="CN59" s="542">
        <f t="shared" ca="1" si="140"/>
        <v>0</v>
      </c>
      <c r="CO59" s="542">
        <f t="shared" ca="1" si="140"/>
        <v>0</v>
      </c>
      <c r="CP59" s="542">
        <f t="shared" ca="1" si="140"/>
        <v>0</v>
      </c>
      <c r="CQ59" s="542">
        <f t="shared" ca="1" si="140"/>
        <v>0</v>
      </c>
      <c r="CR59" s="542">
        <f t="shared" ca="1" si="140"/>
        <v>0</v>
      </c>
      <c r="CS59" s="542">
        <f t="shared" ca="1" si="140"/>
        <v>0</v>
      </c>
      <c r="CT59" s="542">
        <f t="shared" ca="1" si="140"/>
        <v>0</v>
      </c>
      <c r="CU59" s="542">
        <f t="shared" ca="1" si="140"/>
        <v>0</v>
      </c>
      <c r="CW59" s="151">
        <f t="shared" ref="CW59:CW64" ca="1" si="143">SUM(BH59:CU59)</f>
        <v>22.644991573443733</v>
      </c>
    </row>
    <row r="60" spans="1:101" s="550" customFormat="1" ht="12.75" customHeight="1" outlineLevel="1" x14ac:dyDescent="0.2">
      <c r="C60" s="566" t="s">
        <v>857</v>
      </c>
      <c r="D60" s="320" t="s">
        <v>587</v>
      </c>
      <c r="E60" s="567"/>
      <c r="F60" s="882"/>
      <c r="G60" s="333"/>
      <c r="H60" s="333"/>
      <c r="I60" s="333"/>
      <c r="J60" s="333"/>
      <c r="K60" s="333"/>
      <c r="L60" s="334"/>
      <c r="M60" s="333"/>
      <c r="N60" s="333"/>
      <c r="O60" s="333"/>
      <c r="P60" s="333">
        <f t="shared" si="136"/>
        <v>0</v>
      </c>
      <c r="Q60" s="882"/>
      <c r="R60" s="335">
        <f ca="1">R58+R59</f>
        <v>-289.18504122724516</v>
      </c>
      <c r="S60" s="335">
        <f ca="1">S58+S59</f>
        <v>130.17930812292312</v>
      </c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>
        <f t="shared" ca="1" si="5"/>
        <v>-159.00573310432205</v>
      </c>
      <c r="AI60" s="882"/>
      <c r="AJ60" s="336"/>
      <c r="AK60" s="336"/>
      <c r="AL60" s="336"/>
      <c r="AM60" s="336"/>
      <c r="AN60" s="336"/>
      <c r="AO60" s="336"/>
      <c r="AP60" s="336"/>
      <c r="AQ60" s="336"/>
      <c r="AR60" s="336"/>
      <c r="AS60" s="336"/>
      <c r="AT60" s="336"/>
      <c r="AU60" s="336"/>
      <c r="AV60" s="336"/>
      <c r="AW60" s="336"/>
      <c r="AX60" s="336"/>
      <c r="AY60" s="336">
        <f t="shared" si="74"/>
        <v>0</v>
      </c>
      <c r="AZ60" s="882"/>
      <c r="BA60" s="337"/>
      <c r="BB60" s="337"/>
      <c r="BC60" s="337">
        <f t="shared" si="10"/>
        <v>0</v>
      </c>
      <c r="BD60" s="882"/>
      <c r="BE60" s="568"/>
      <c r="BF60" s="568"/>
      <c r="BH60" s="888"/>
      <c r="BI60" s="888"/>
      <c r="BJ60" s="888"/>
      <c r="BK60" s="888"/>
      <c r="BL60" s="888"/>
      <c r="BM60" s="888"/>
      <c r="BN60" s="888"/>
      <c r="BO60" s="888"/>
      <c r="BP60" s="888"/>
      <c r="BQ60" s="888"/>
      <c r="BR60" s="888"/>
      <c r="BS60" s="888"/>
      <c r="BT60" s="888"/>
      <c r="BU60" s="888"/>
      <c r="BV60" s="888"/>
      <c r="BW60" s="888"/>
      <c r="BX60" s="888"/>
      <c r="BY60" s="888"/>
      <c r="BZ60" s="888"/>
      <c r="CA60" s="888"/>
      <c r="CB60" s="888"/>
      <c r="CC60" s="888"/>
      <c r="CD60" s="888"/>
      <c r="CE60" s="888"/>
      <c r="CF60" s="888"/>
      <c r="CG60" s="888"/>
      <c r="CH60" s="888"/>
      <c r="CI60" s="888"/>
      <c r="CJ60" s="888"/>
      <c r="CK60" s="888"/>
      <c r="CL60" s="888"/>
      <c r="CM60" s="888"/>
      <c r="CN60" s="888"/>
      <c r="CO60" s="888"/>
      <c r="CP60" s="888"/>
      <c r="CQ60" s="888"/>
      <c r="CR60" s="888"/>
      <c r="CS60" s="888"/>
      <c r="CT60" s="888"/>
      <c r="CU60" s="888"/>
      <c r="CW60" s="887">
        <f t="shared" si="143"/>
        <v>0</v>
      </c>
    </row>
    <row r="61" spans="1:101" s="543" customFormat="1" ht="12.75" customHeight="1" outlineLevel="1" x14ac:dyDescent="0.2">
      <c r="C61" s="86" t="s">
        <v>288</v>
      </c>
      <c r="D61" s="61" t="str">
        <f>INDEX(Modules[Module], MATCH($C61, Modules[Code], 0))</f>
        <v>Natural gas power stations</v>
      </c>
      <c r="E61" s="61"/>
      <c r="F61" s="84"/>
      <c r="G61" s="301">
        <f t="shared" ref="G61:O61" ca="1" si="144">IFERROR(INDEX(INDIRECT($C61&amp;".Outputs["&amp;this.Year&amp;"]"), MATCH(G$5, INDIRECT($C61&amp;".Outputs[Vector]"), 0)), 0)</f>
        <v>0</v>
      </c>
      <c r="H61" s="301">
        <f t="shared" ca="1" si="144"/>
        <v>0</v>
      </c>
      <c r="I61" s="301">
        <f t="shared" ca="1" si="144"/>
        <v>0</v>
      </c>
      <c r="J61" s="301">
        <f t="shared" ca="1" si="144"/>
        <v>0</v>
      </c>
      <c r="K61" s="301">
        <f t="shared" ca="1" si="144"/>
        <v>0</v>
      </c>
      <c r="L61" s="301">
        <f t="shared" ca="1" si="144"/>
        <v>0</v>
      </c>
      <c r="M61" s="301">
        <f t="shared" ca="1" si="144"/>
        <v>0</v>
      </c>
      <c r="N61" s="301">
        <f t="shared" ca="1" si="144"/>
        <v>0</v>
      </c>
      <c r="O61" s="301">
        <f t="shared" ca="1" si="144"/>
        <v>0</v>
      </c>
      <c r="P61" s="301">
        <f t="shared" ca="1" si="136"/>
        <v>0</v>
      </c>
      <c r="Q61" s="84"/>
      <c r="R61" s="307">
        <f t="shared" ref="R61:AX61" ca="1" si="145">IFERROR(INDEX(INDIRECT($C61&amp;".Outputs["&amp;this.Year&amp;"]"), MATCH(R$5, INDIRECT($C61&amp;".Outputs[Vector]"), 0)), 0)</f>
        <v>0</v>
      </c>
      <c r="S61" s="307">
        <f t="shared" ca="1" si="145"/>
        <v>164.69560799999999</v>
      </c>
      <c r="T61" s="307">
        <f t="shared" ca="1" si="145"/>
        <v>0</v>
      </c>
      <c r="U61" s="307">
        <f t="shared" ca="1" si="145"/>
        <v>0</v>
      </c>
      <c r="V61" s="307">
        <f t="shared" ca="1" si="145"/>
        <v>-345.8607768</v>
      </c>
      <c r="W61" s="307">
        <f t="shared" ca="1" si="145"/>
        <v>0</v>
      </c>
      <c r="X61" s="307">
        <f ca="1">IFERROR(INDEX(INDIRECT($C61&amp;".Outputs["&amp;this.Year&amp;"]"), MATCH(X$5, INDIRECT($C61&amp;".Outputs[Vector]"), 0)), 0)</f>
        <v>0</v>
      </c>
      <c r="Y61" s="307">
        <f ca="1">IFERROR(INDEX(INDIRECT($C61&amp;".Outputs["&amp;this.Year&amp;"]"), MATCH(Y$5, INDIRECT($C61&amp;".Outputs[Vector]"), 0)), 0)</f>
        <v>0</v>
      </c>
      <c r="Z61" s="307">
        <f ca="1">IFERROR(INDEX(INDIRECT($C61&amp;".Outputs["&amp;this.Year&amp;"]"), MATCH(Z$5, INDIRECT($C61&amp;".Outputs[Vector]"), 0)), 0)</f>
        <v>0</v>
      </c>
      <c r="AA61" s="307">
        <f t="shared" ca="1" si="145"/>
        <v>0</v>
      </c>
      <c r="AB61" s="307">
        <f t="shared" ca="1" si="145"/>
        <v>0</v>
      </c>
      <c r="AC61" s="307">
        <f t="shared" ca="1" si="145"/>
        <v>0</v>
      </c>
      <c r="AD61" s="307">
        <f t="shared" ca="1" si="145"/>
        <v>0</v>
      </c>
      <c r="AE61" s="307">
        <f t="shared" ca="1" si="145"/>
        <v>0</v>
      </c>
      <c r="AF61" s="307">
        <f t="shared" ca="1" si="145"/>
        <v>0</v>
      </c>
      <c r="AG61" s="307">
        <f t="shared" ca="1" si="145"/>
        <v>0</v>
      </c>
      <c r="AH61" s="306">
        <f t="shared" ca="1" si="5"/>
        <v>-181.1651688</v>
      </c>
      <c r="AI61" s="84"/>
      <c r="AJ61" s="315">
        <f t="shared" ref="AJ61:AR61" ca="1" si="146">IFERROR(INDEX(INDIRECT($C61&amp;".Outputs["&amp;this.Year&amp;"]"), MATCH(AJ$5, INDIRECT($C61&amp;".Outputs[Vector]"), 0)), 0)</f>
        <v>0</v>
      </c>
      <c r="AK61" s="315">
        <f t="shared" ca="1" si="146"/>
        <v>0</v>
      </c>
      <c r="AL61" s="315">
        <f t="shared" ca="1" si="146"/>
        <v>0</v>
      </c>
      <c r="AM61" s="315">
        <f t="shared" ca="1" si="146"/>
        <v>0</v>
      </c>
      <c r="AN61" s="315">
        <f t="shared" ca="1" si="146"/>
        <v>0</v>
      </c>
      <c r="AO61" s="315">
        <f t="shared" ca="1" si="146"/>
        <v>0</v>
      </c>
      <c r="AP61" s="315">
        <f t="shared" ca="1" si="146"/>
        <v>0</v>
      </c>
      <c r="AQ61" s="315">
        <f t="shared" ca="1" si="146"/>
        <v>0</v>
      </c>
      <c r="AR61" s="315">
        <f t="shared" ca="1" si="146"/>
        <v>0</v>
      </c>
      <c r="AS61" s="315">
        <f t="shared" ca="1" si="145"/>
        <v>0</v>
      </c>
      <c r="AT61" s="315">
        <f t="shared" ca="1" si="145"/>
        <v>0</v>
      </c>
      <c r="AU61" s="315">
        <f t="shared" ca="1" si="145"/>
        <v>0</v>
      </c>
      <c r="AV61" s="315">
        <f t="shared" ca="1" si="145"/>
        <v>0</v>
      </c>
      <c r="AW61" s="315">
        <f t="shared" ca="1" si="145"/>
        <v>0</v>
      </c>
      <c r="AX61" s="315">
        <f t="shared" ca="1" si="145"/>
        <v>0</v>
      </c>
      <c r="AY61" s="293">
        <f t="shared" ref="AY61:AY90" ca="1" si="147">SUM(AJ61:AX61)</f>
        <v>0</v>
      </c>
      <c r="AZ61" s="84"/>
      <c r="BA61" s="311">
        <f ca="1">IFERROR(INDEX(INDIRECT($C61&amp;".Outputs["&amp;this.Year&amp;"]"), MATCH(BA$5, INDIRECT($C61&amp;".Outputs[Vector]"), 0)), 0)</f>
        <v>172.9303884</v>
      </c>
      <c r="BB61" s="311">
        <f ca="1">IFERROR(INDEX(INDIRECT($C61&amp;".Outputs["&amp;this.Year&amp;"]"), MATCH(BB$5, INDIRECT($C61&amp;".Outputs[Vector]"), 0)), 0)</f>
        <v>8.2347804</v>
      </c>
      <c r="BC61" s="310">
        <f t="shared" ca="1" si="10"/>
        <v>181.1651688</v>
      </c>
      <c r="BD61" s="84"/>
      <c r="BE61" s="135">
        <f ca="1">P61+AH61+AY61+BC61</f>
        <v>0</v>
      </c>
      <c r="BF61" s="135"/>
      <c r="BG61" s="1428"/>
      <c r="BH61" s="544">
        <f t="shared" ref="BH61:CU61" ca="1" si="148">IFERROR(SUMIFS(INDIRECT($C61&amp;".Emissions["&amp;this.Year&amp;"]"), INDIRECT($C61&amp;".Emissions[GHG]"), BH$6, INDIRECT($C61&amp;".Emissions[IPCC Sector]"), BH$5),0)</f>
        <v>63.638382931199992</v>
      </c>
      <c r="BI61" s="545">
        <f t="shared" ca="1" si="148"/>
        <v>0.1275622290864811</v>
      </c>
      <c r="BJ61" s="545">
        <f t="shared" ca="1" si="148"/>
        <v>0.13719937901573129</v>
      </c>
      <c r="BK61" s="545">
        <f t="shared" ca="1" si="148"/>
        <v>0</v>
      </c>
      <c r="BL61" s="545">
        <f t="shared" ca="1" si="148"/>
        <v>0</v>
      </c>
      <c r="BM61" s="545">
        <f t="shared" ca="1" si="148"/>
        <v>0</v>
      </c>
      <c r="BN61" s="545">
        <f t="shared" ca="1" si="148"/>
        <v>0</v>
      </c>
      <c r="BO61" s="545">
        <f t="shared" ca="1" si="148"/>
        <v>0</v>
      </c>
      <c r="BP61" s="545">
        <f t="shared" ca="1" si="148"/>
        <v>0</v>
      </c>
      <c r="BQ61" s="545">
        <f t="shared" ca="1" si="148"/>
        <v>0</v>
      </c>
      <c r="BR61" s="545">
        <f t="shared" ca="1" si="148"/>
        <v>0</v>
      </c>
      <c r="BS61" s="545">
        <f t="shared" ca="1" si="148"/>
        <v>0</v>
      </c>
      <c r="BT61" s="545">
        <f t="shared" ca="1" si="148"/>
        <v>0</v>
      </c>
      <c r="BU61" s="545">
        <f t="shared" ca="1" si="148"/>
        <v>0</v>
      </c>
      <c r="BV61" s="545">
        <f t="shared" ca="1" si="148"/>
        <v>0</v>
      </c>
      <c r="BW61" s="545">
        <f t="shared" ca="1" si="148"/>
        <v>0</v>
      </c>
      <c r="BX61" s="545">
        <f t="shared" ca="1" si="148"/>
        <v>0</v>
      </c>
      <c r="BY61" s="545">
        <f t="shared" ca="1" si="148"/>
        <v>0</v>
      </c>
      <c r="BZ61" s="545">
        <f t="shared" ca="1" si="148"/>
        <v>0</v>
      </c>
      <c r="CA61" s="545">
        <f t="shared" ca="1" si="148"/>
        <v>0</v>
      </c>
      <c r="CB61" s="545">
        <f t="shared" ca="1" si="148"/>
        <v>0</v>
      </c>
      <c r="CC61" s="545">
        <f t="shared" ca="1" si="148"/>
        <v>0</v>
      </c>
      <c r="CD61" s="545">
        <f t="shared" ca="1" si="148"/>
        <v>0</v>
      </c>
      <c r="CE61" s="545">
        <f t="shared" ca="1" si="148"/>
        <v>0</v>
      </c>
      <c r="CF61" s="545">
        <f t="shared" ca="1" si="148"/>
        <v>0</v>
      </c>
      <c r="CG61" s="545">
        <f t="shared" ca="1" si="148"/>
        <v>0</v>
      </c>
      <c r="CH61" s="545">
        <f t="shared" ca="1" si="148"/>
        <v>0</v>
      </c>
      <c r="CI61" s="545">
        <f t="shared" ca="1" si="148"/>
        <v>0</v>
      </c>
      <c r="CJ61" s="545">
        <f t="shared" ca="1" si="148"/>
        <v>0</v>
      </c>
      <c r="CK61" s="545">
        <f t="shared" ca="1" si="148"/>
        <v>0</v>
      </c>
      <c r="CL61" s="545">
        <f t="shared" ca="1" si="148"/>
        <v>0</v>
      </c>
      <c r="CM61" s="545">
        <f t="shared" ca="1" si="148"/>
        <v>0</v>
      </c>
      <c r="CN61" s="545">
        <f t="shared" ca="1" si="148"/>
        <v>0</v>
      </c>
      <c r="CO61" s="545">
        <f t="shared" ca="1" si="148"/>
        <v>0</v>
      </c>
      <c r="CP61" s="545">
        <f t="shared" ca="1" si="148"/>
        <v>0</v>
      </c>
      <c r="CQ61" s="545">
        <f t="shared" ca="1" si="148"/>
        <v>0</v>
      </c>
      <c r="CR61" s="545">
        <f t="shared" ca="1" si="148"/>
        <v>0</v>
      </c>
      <c r="CS61" s="545">
        <f t="shared" ca="1" si="148"/>
        <v>0</v>
      </c>
      <c r="CT61" s="545">
        <f t="shared" ca="1" si="148"/>
        <v>0</v>
      </c>
      <c r="CU61" s="545">
        <f t="shared" ca="1" si="148"/>
        <v>0</v>
      </c>
      <c r="CW61" s="151">
        <f t="shared" ca="1" si="143"/>
        <v>63.903144539302204</v>
      </c>
    </row>
    <row r="62" spans="1:101" s="543" customFormat="1" ht="12.75" customHeight="1" outlineLevel="1" x14ac:dyDescent="0.2">
      <c r="C62" s="319" t="s">
        <v>2402</v>
      </c>
      <c r="D62" s="320" t="s">
        <v>587</v>
      </c>
      <c r="E62" s="61"/>
      <c r="F62" s="84"/>
      <c r="G62" s="333"/>
      <c r="H62" s="333"/>
      <c r="I62" s="333"/>
      <c r="J62" s="333"/>
      <c r="K62" s="333"/>
      <c r="L62" s="334"/>
      <c r="M62" s="333"/>
      <c r="N62" s="333"/>
      <c r="O62" s="333"/>
      <c r="P62" s="333">
        <f t="shared" si="136"/>
        <v>0</v>
      </c>
      <c r="Q62" s="882"/>
      <c r="R62" s="335">
        <f ca="1">R60+R61</f>
        <v>-289.18504122724516</v>
      </c>
      <c r="S62" s="335">
        <f ca="1">S60+S61</f>
        <v>294.87491612292308</v>
      </c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>
        <f t="shared" ca="1" si="5"/>
        <v>5.6898748956779173</v>
      </c>
      <c r="AI62" s="882"/>
      <c r="AJ62" s="336"/>
      <c r="AK62" s="336"/>
      <c r="AL62" s="336"/>
      <c r="AM62" s="336"/>
      <c r="AN62" s="336"/>
      <c r="AO62" s="336"/>
      <c r="AP62" s="336"/>
      <c r="AQ62" s="336"/>
      <c r="AR62" s="336"/>
      <c r="AS62" s="336"/>
      <c r="AT62" s="336"/>
      <c r="AU62" s="336"/>
      <c r="AV62" s="336"/>
      <c r="AW62" s="336"/>
      <c r="AX62" s="336"/>
      <c r="AY62" s="336">
        <f t="shared" si="147"/>
        <v>0</v>
      </c>
      <c r="AZ62" s="882"/>
      <c r="BA62" s="337"/>
      <c r="BB62" s="337"/>
      <c r="BC62" s="337">
        <f t="shared" si="10"/>
        <v>0</v>
      </c>
      <c r="BD62" s="882"/>
      <c r="BE62" s="568"/>
      <c r="BF62" s="568"/>
      <c r="BG62" s="550"/>
      <c r="BH62" s="888"/>
      <c r="BI62" s="888"/>
      <c r="BJ62" s="888"/>
      <c r="BK62" s="888"/>
      <c r="BL62" s="888"/>
      <c r="BM62" s="888"/>
      <c r="BN62" s="888"/>
      <c r="BO62" s="888"/>
      <c r="BP62" s="888"/>
      <c r="BQ62" s="888"/>
      <c r="BR62" s="888"/>
      <c r="BS62" s="888"/>
      <c r="BT62" s="888"/>
      <c r="BU62" s="888"/>
      <c r="BV62" s="888"/>
      <c r="BW62" s="888"/>
      <c r="BX62" s="888"/>
      <c r="BY62" s="888"/>
      <c r="BZ62" s="888"/>
      <c r="CA62" s="888"/>
      <c r="CB62" s="888"/>
      <c r="CC62" s="888"/>
      <c r="CD62" s="888"/>
      <c r="CE62" s="888"/>
      <c r="CF62" s="888"/>
      <c r="CG62" s="888"/>
      <c r="CH62" s="888"/>
      <c r="CI62" s="888"/>
      <c r="CJ62" s="888"/>
      <c r="CK62" s="888"/>
      <c r="CL62" s="888"/>
      <c r="CM62" s="888"/>
      <c r="CN62" s="888"/>
      <c r="CO62" s="888"/>
      <c r="CP62" s="888"/>
      <c r="CQ62" s="888"/>
      <c r="CR62" s="888"/>
      <c r="CS62" s="888"/>
      <c r="CT62" s="888"/>
      <c r="CU62" s="888"/>
      <c r="CV62" s="550"/>
      <c r="CW62" s="887">
        <f t="shared" si="143"/>
        <v>0</v>
      </c>
    </row>
    <row r="63" spans="1:101" s="543" customFormat="1" ht="12.75" customHeight="1" outlineLevel="1" x14ac:dyDescent="0.2">
      <c r="C63" s="86" t="s">
        <v>2382</v>
      </c>
      <c r="D63" s="61" t="str">
        <f>INDEX(Modules[Module], MATCH($C63, Modules[Code], 0))</f>
        <v xml:space="preserve">Self Generation </v>
      </c>
      <c r="E63" s="61"/>
      <c r="F63" s="84"/>
      <c r="G63" s="892">
        <f t="shared" ref="G63:O63" ca="1" si="149">IFERROR(INDEX(INDIRECT($C63&amp;".Outputs["&amp;this.Year&amp;"]"), MATCH(G$5, INDIRECT($C63&amp;".Outputs[Vector]"), 0)), 0)</f>
        <v>0</v>
      </c>
      <c r="H63" s="892">
        <f t="shared" ca="1" si="149"/>
        <v>0</v>
      </c>
      <c r="I63" s="892">
        <f t="shared" ca="1" si="149"/>
        <v>0</v>
      </c>
      <c r="J63" s="892">
        <f t="shared" ca="1" si="149"/>
        <v>0</v>
      </c>
      <c r="K63" s="892">
        <f t="shared" ca="1" si="149"/>
        <v>0</v>
      </c>
      <c r="L63" s="892">
        <f t="shared" ca="1" si="149"/>
        <v>0</v>
      </c>
      <c r="M63" s="892">
        <f t="shared" ca="1" si="149"/>
        <v>0</v>
      </c>
      <c r="N63" s="892">
        <f t="shared" ca="1" si="149"/>
        <v>0</v>
      </c>
      <c r="O63" s="892">
        <f t="shared" ca="1" si="149"/>
        <v>0</v>
      </c>
      <c r="P63" s="892">
        <f t="shared" ca="1" si="136"/>
        <v>0</v>
      </c>
      <c r="Q63" s="84"/>
      <c r="R63" s="893">
        <f t="shared" ref="R63:AX63" ca="1" si="150">IFERROR(INDEX(INDIRECT($C63&amp;".Outputs["&amp;this.Year&amp;"]"), MATCH(R$5, INDIRECT($C63&amp;".Outputs[Vector]"), 0)), 0)</f>
        <v>0</v>
      </c>
      <c r="S63" s="893">
        <f t="shared" ca="1" si="150"/>
        <v>0</v>
      </c>
      <c r="T63" s="893">
        <f t="shared" ca="1" si="150"/>
        <v>0</v>
      </c>
      <c r="U63" s="893">
        <f t="shared" ca="1" si="150"/>
        <v>0</v>
      </c>
      <c r="V63" s="893">
        <f t="shared" ca="1" si="150"/>
        <v>0</v>
      </c>
      <c r="W63" s="893">
        <f t="shared" ca="1" si="150"/>
        <v>0</v>
      </c>
      <c r="X63" s="893">
        <f ca="1">IFERROR(INDEX(INDIRECT($C63&amp;".Outputs["&amp;this.Year&amp;"]"), MATCH(X$5, INDIRECT($C63&amp;".Outputs[Vector]"), 0)), 0)</f>
        <v>0</v>
      </c>
      <c r="Y63" s="893">
        <f ca="1">IFERROR(INDEX(INDIRECT($C63&amp;".Outputs["&amp;this.Year&amp;"]"), MATCH(Y$5, INDIRECT($C63&amp;".Outputs[Vector]"), 0)), 0)</f>
        <v>0</v>
      </c>
      <c r="Z63" s="893">
        <f ca="1">IFERROR(INDEX(INDIRECT($C63&amp;".Outputs["&amp;this.Year&amp;"]"), MATCH(Z$5, INDIRECT($C63&amp;".Outputs[Vector]"), 0)), 0)</f>
        <v>0</v>
      </c>
      <c r="AA63" s="893">
        <f t="shared" ca="1" si="150"/>
        <v>0</v>
      </c>
      <c r="AB63" s="893">
        <f t="shared" ca="1" si="150"/>
        <v>0</v>
      </c>
      <c r="AC63" s="893">
        <f t="shared" ca="1" si="150"/>
        <v>0</v>
      </c>
      <c r="AD63" s="893">
        <f t="shared" ca="1" si="150"/>
        <v>0</v>
      </c>
      <c r="AE63" s="893">
        <f t="shared" ca="1" si="150"/>
        <v>0</v>
      </c>
      <c r="AF63" s="893">
        <f t="shared" ca="1" si="150"/>
        <v>0</v>
      </c>
      <c r="AG63" s="893">
        <f t="shared" ca="1" si="150"/>
        <v>0</v>
      </c>
      <c r="AH63" s="894">
        <f t="shared" ca="1" si="5"/>
        <v>0</v>
      </c>
      <c r="AI63" s="84"/>
      <c r="AJ63" s="895">
        <f t="shared" ref="AJ63:AR63" ca="1" si="151">IFERROR(INDEX(INDIRECT($C63&amp;".Outputs["&amp;this.Year&amp;"]"), MATCH(AJ$5, INDIRECT($C63&amp;".Outputs[Vector]"), 0)), 0)</f>
        <v>0</v>
      </c>
      <c r="AK63" s="895">
        <f t="shared" ca="1" si="151"/>
        <v>0</v>
      </c>
      <c r="AL63" s="895">
        <f t="shared" ca="1" si="151"/>
        <v>0</v>
      </c>
      <c r="AM63" s="895">
        <f t="shared" ca="1" si="151"/>
        <v>0</v>
      </c>
      <c r="AN63" s="895">
        <f t="shared" ca="1" si="151"/>
        <v>0</v>
      </c>
      <c r="AO63" s="895">
        <f t="shared" ca="1" si="151"/>
        <v>0</v>
      </c>
      <c r="AP63" s="895">
        <f t="shared" ca="1" si="151"/>
        <v>0</v>
      </c>
      <c r="AQ63" s="895">
        <f t="shared" ca="1" si="151"/>
        <v>0</v>
      </c>
      <c r="AR63" s="895">
        <f t="shared" ca="1" si="151"/>
        <v>0</v>
      </c>
      <c r="AS63" s="895">
        <f t="shared" ca="1" si="150"/>
        <v>0</v>
      </c>
      <c r="AT63" s="895">
        <f t="shared" ca="1" si="150"/>
        <v>0</v>
      </c>
      <c r="AU63" s="895">
        <f t="shared" ca="1" si="150"/>
        <v>0</v>
      </c>
      <c r="AV63" s="895">
        <f t="shared" ca="1" si="150"/>
        <v>0</v>
      </c>
      <c r="AW63" s="895">
        <f t="shared" ca="1" si="150"/>
        <v>0</v>
      </c>
      <c r="AX63" s="895">
        <f t="shared" ca="1" si="150"/>
        <v>0</v>
      </c>
      <c r="AY63" s="896">
        <f t="shared" ca="1" si="147"/>
        <v>0</v>
      </c>
      <c r="AZ63" s="84"/>
      <c r="BA63" s="897">
        <f ca="1">IFERROR(INDEX(INDIRECT($C63&amp;".Outputs["&amp;this.Year&amp;"]"), MATCH(BA$5, INDIRECT($C63&amp;".Outputs[Vector]"), 0)), 0)</f>
        <v>0</v>
      </c>
      <c r="BB63" s="897">
        <f ca="1">IFERROR(INDEX(INDIRECT($C63&amp;".Outputs["&amp;this.Year&amp;"]"), MATCH(BB$5, INDIRECT($C63&amp;".Outputs[Vector]"), 0)), 0)</f>
        <v>0</v>
      </c>
      <c r="BC63" s="898">
        <f t="shared" ca="1" si="10"/>
        <v>0</v>
      </c>
      <c r="BD63" s="84"/>
      <c r="BE63" s="135">
        <f ca="1">P63+AH63+AY63+BC63</f>
        <v>0</v>
      </c>
      <c r="BF63" s="135"/>
      <c r="BG63" s="1428"/>
      <c r="BH63" s="541">
        <f t="shared" ref="BH63:CU63" ca="1" si="152">IFERROR(SUMIFS(INDIRECT($C63&amp;".Emissions["&amp;this.Year&amp;"]"), INDIRECT($C63&amp;".Emissions[GHG]"), BH$6, INDIRECT($C63&amp;".Emissions[IPCC Sector]"), BH$5),0)</f>
        <v>0</v>
      </c>
      <c r="BI63" s="542">
        <f t="shared" ca="1" si="152"/>
        <v>0</v>
      </c>
      <c r="BJ63" s="542">
        <f t="shared" ca="1" si="152"/>
        <v>0</v>
      </c>
      <c r="BK63" s="542">
        <f t="shared" ca="1" si="152"/>
        <v>0</v>
      </c>
      <c r="BL63" s="542">
        <f t="shared" ca="1" si="152"/>
        <v>0</v>
      </c>
      <c r="BM63" s="542">
        <f t="shared" ca="1" si="152"/>
        <v>0</v>
      </c>
      <c r="BN63" s="542">
        <f t="shared" ca="1" si="152"/>
        <v>0</v>
      </c>
      <c r="BO63" s="542">
        <f t="shared" ca="1" si="152"/>
        <v>0</v>
      </c>
      <c r="BP63" s="542">
        <f t="shared" ca="1" si="152"/>
        <v>0</v>
      </c>
      <c r="BQ63" s="542">
        <f t="shared" ca="1" si="152"/>
        <v>0</v>
      </c>
      <c r="BR63" s="542">
        <f t="shared" ca="1" si="152"/>
        <v>0</v>
      </c>
      <c r="BS63" s="542">
        <f t="shared" ca="1" si="152"/>
        <v>0</v>
      </c>
      <c r="BT63" s="542">
        <f t="shared" ca="1" si="152"/>
        <v>0</v>
      </c>
      <c r="BU63" s="542">
        <f t="shared" ca="1" si="152"/>
        <v>0</v>
      </c>
      <c r="BV63" s="542">
        <f t="shared" ca="1" si="152"/>
        <v>0</v>
      </c>
      <c r="BW63" s="542">
        <f t="shared" ca="1" si="152"/>
        <v>0</v>
      </c>
      <c r="BX63" s="542">
        <f t="shared" ca="1" si="152"/>
        <v>0</v>
      </c>
      <c r="BY63" s="542">
        <f t="shared" ca="1" si="152"/>
        <v>0</v>
      </c>
      <c r="BZ63" s="542">
        <f t="shared" ca="1" si="152"/>
        <v>0</v>
      </c>
      <c r="CA63" s="542">
        <f t="shared" ca="1" si="152"/>
        <v>0</v>
      </c>
      <c r="CB63" s="542">
        <f t="shared" ca="1" si="152"/>
        <v>0</v>
      </c>
      <c r="CC63" s="542">
        <f t="shared" ca="1" si="152"/>
        <v>0</v>
      </c>
      <c r="CD63" s="542">
        <f t="shared" ca="1" si="152"/>
        <v>0</v>
      </c>
      <c r="CE63" s="542">
        <f t="shared" ca="1" si="152"/>
        <v>0</v>
      </c>
      <c r="CF63" s="542">
        <f t="shared" ca="1" si="152"/>
        <v>0</v>
      </c>
      <c r="CG63" s="542">
        <f t="shared" ca="1" si="152"/>
        <v>0</v>
      </c>
      <c r="CH63" s="542">
        <f t="shared" ca="1" si="152"/>
        <v>0</v>
      </c>
      <c r="CI63" s="542">
        <f t="shared" ca="1" si="152"/>
        <v>0</v>
      </c>
      <c r="CJ63" s="542">
        <f t="shared" ca="1" si="152"/>
        <v>0</v>
      </c>
      <c r="CK63" s="542">
        <f t="shared" ca="1" si="152"/>
        <v>0</v>
      </c>
      <c r="CL63" s="542">
        <f t="shared" ca="1" si="152"/>
        <v>0</v>
      </c>
      <c r="CM63" s="542">
        <f t="shared" ca="1" si="152"/>
        <v>0</v>
      </c>
      <c r="CN63" s="542">
        <f t="shared" ca="1" si="152"/>
        <v>0</v>
      </c>
      <c r="CO63" s="542">
        <f t="shared" ca="1" si="152"/>
        <v>0</v>
      </c>
      <c r="CP63" s="542">
        <f t="shared" ca="1" si="152"/>
        <v>0</v>
      </c>
      <c r="CQ63" s="542">
        <f t="shared" ca="1" si="152"/>
        <v>0</v>
      </c>
      <c r="CR63" s="542">
        <f t="shared" ca="1" si="152"/>
        <v>0</v>
      </c>
      <c r="CS63" s="542">
        <f t="shared" ca="1" si="152"/>
        <v>0</v>
      </c>
      <c r="CT63" s="542">
        <f t="shared" ca="1" si="152"/>
        <v>0</v>
      </c>
      <c r="CU63" s="542">
        <f t="shared" ca="1" si="152"/>
        <v>0</v>
      </c>
      <c r="CW63" s="151">
        <f t="shared" ca="1" si="143"/>
        <v>0</v>
      </c>
    </row>
    <row r="64" spans="1:101" s="84" customFormat="1" ht="15.75" x14ac:dyDescent="0.2">
      <c r="A64" s="18"/>
      <c r="B64" s="89"/>
      <c r="C64" s="85" t="s">
        <v>60</v>
      </c>
      <c r="D64" s="57" t="str">
        <f>INDEX(Workstreams[Workstream], MATCH($C64, Workstreams[Code], 0))</f>
        <v>Hydrocarbon fuel power generation</v>
      </c>
      <c r="E64" s="53"/>
      <c r="G64" s="300">
        <f ca="1">G57+G61+G63+G59</f>
        <v>0</v>
      </c>
      <c r="H64" s="300">
        <f t="shared" ref="H64:BS64" ca="1" si="153">H57+H61+H63+H59</f>
        <v>0</v>
      </c>
      <c r="I64" s="300">
        <f t="shared" ca="1" si="153"/>
        <v>0</v>
      </c>
      <c r="J64" s="300">
        <f t="shared" ca="1" si="153"/>
        <v>0</v>
      </c>
      <c r="K64" s="300">
        <f t="shared" ca="1" si="153"/>
        <v>0</v>
      </c>
      <c r="L64" s="300">
        <f t="shared" ca="1" si="153"/>
        <v>0</v>
      </c>
      <c r="M64" s="300">
        <f t="shared" ca="1" si="153"/>
        <v>0</v>
      </c>
      <c r="N64" s="300">
        <f t="shared" ca="1" si="153"/>
        <v>0</v>
      </c>
      <c r="O64" s="300">
        <f t="shared" ca="1" si="153"/>
        <v>0</v>
      </c>
      <c r="P64" s="300">
        <f t="shared" ca="1" si="136"/>
        <v>0</v>
      </c>
      <c r="Q64" s="300">
        <f t="shared" si="153"/>
        <v>0</v>
      </c>
      <c r="R64" s="300">
        <f t="shared" ca="1" si="153"/>
        <v>0</v>
      </c>
      <c r="S64" s="300">
        <f t="shared" ca="1" si="153"/>
        <v>206.77240799999998</v>
      </c>
      <c r="T64" s="300">
        <f t="shared" ca="1" si="153"/>
        <v>-120.00192631578949</v>
      </c>
      <c r="U64" s="300">
        <f t="shared" ca="1" si="153"/>
        <v>0</v>
      </c>
      <c r="V64" s="300">
        <f t="shared" ca="1" si="153"/>
        <v>-345.8607768</v>
      </c>
      <c r="W64" s="300">
        <f t="shared" ca="1" si="153"/>
        <v>0</v>
      </c>
      <c r="X64" s="300">
        <f t="shared" ca="1" si="153"/>
        <v>0</v>
      </c>
      <c r="Y64" s="300">
        <f t="shared" ca="1" si="153"/>
        <v>0</v>
      </c>
      <c r="Z64" s="300">
        <f t="shared" ca="1" si="153"/>
        <v>0</v>
      </c>
      <c r="AA64" s="300">
        <f t="shared" ca="1" si="153"/>
        <v>0</v>
      </c>
      <c r="AB64" s="300">
        <f t="shared" ca="1" si="153"/>
        <v>0</v>
      </c>
      <c r="AC64" s="300">
        <f t="shared" ca="1" si="153"/>
        <v>0</v>
      </c>
      <c r="AD64" s="300">
        <f t="shared" ca="1" si="153"/>
        <v>0</v>
      </c>
      <c r="AE64" s="300">
        <f t="shared" ca="1" si="153"/>
        <v>0</v>
      </c>
      <c r="AF64" s="300">
        <f t="shared" ca="1" si="153"/>
        <v>0</v>
      </c>
      <c r="AG64" s="300">
        <f t="shared" ca="1" si="153"/>
        <v>0</v>
      </c>
      <c r="AH64" s="300">
        <f t="shared" ca="1" si="5"/>
        <v>-259.0902951157895</v>
      </c>
      <c r="AI64" s="300">
        <f t="shared" si="153"/>
        <v>0</v>
      </c>
      <c r="AJ64" s="300">
        <f t="shared" ca="1" si="153"/>
        <v>0</v>
      </c>
      <c r="AK64" s="300">
        <f t="shared" ca="1" si="153"/>
        <v>0</v>
      </c>
      <c r="AL64" s="300">
        <f t="shared" ca="1" si="153"/>
        <v>0</v>
      </c>
      <c r="AM64" s="300">
        <f t="shared" ca="1" si="153"/>
        <v>0</v>
      </c>
      <c r="AN64" s="300">
        <f t="shared" ca="1" si="153"/>
        <v>0</v>
      </c>
      <c r="AO64" s="300">
        <f t="shared" ca="1" si="153"/>
        <v>0</v>
      </c>
      <c r="AP64" s="300">
        <f t="shared" ca="1" si="153"/>
        <v>0</v>
      </c>
      <c r="AQ64" s="300">
        <f t="shared" ca="1" si="153"/>
        <v>0</v>
      </c>
      <c r="AR64" s="300">
        <f t="shared" ca="1" si="153"/>
        <v>0</v>
      </c>
      <c r="AS64" s="300">
        <f t="shared" ca="1" si="153"/>
        <v>0</v>
      </c>
      <c r="AT64" s="300">
        <f t="shared" ca="1" si="153"/>
        <v>0</v>
      </c>
      <c r="AU64" s="300">
        <f t="shared" ca="1" si="153"/>
        <v>0</v>
      </c>
      <c r="AV64" s="300">
        <f t="shared" ca="1" si="153"/>
        <v>0</v>
      </c>
      <c r="AW64" s="300">
        <f t="shared" ca="1" si="153"/>
        <v>0</v>
      </c>
      <c r="AX64" s="300">
        <f t="shared" ca="1" si="153"/>
        <v>0</v>
      </c>
      <c r="AY64" s="300">
        <f t="shared" ca="1" si="147"/>
        <v>0</v>
      </c>
      <c r="AZ64" s="300">
        <f t="shared" si="153"/>
        <v>0</v>
      </c>
      <c r="BA64" s="300">
        <f t="shared" ca="1" si="153"/>
        <v>248.75167471578948</v>
      </c>
      <c r="BB64" s="300">
        <f t="shared" ca="1" si="153"/>
        <v>10.3386204</v>
      </c>
      <c r="BC64" s="300">
        <f t="shared" ca="1" si="10"/>
        <v>259.0902951157895</v>
      </c>
      <c r="BD64" s="300">
        <f t="shared" si="153"/>
        <v>0</v>
      </c>
      <c r="BE64" s="300">
        <f t="shared" ca="1" si="153"/>
        <v>0</v>
      </c>
      <c r="BF64" s="300">
        <f t="shared" si="153"/>
        <v>0</v>
      </c>
      <c r="BG64" s="300">
        <f t="shared" si="153"/>
        <v>0</v>
      </c>
      <c r="BH64" s="300">
        <f t="shared" ca="1" si="153"/>
        <v>100.59897623646314</v>
      </c>
      <c r="BI64" s="300">
        <f t="shared" ca="1" si="153"/>
        <v>0.23613909553932824</v>
      </c>
      <c r="BJ64" s="300">
        <f t="shared" ca="1" si="153"/>
        <v>0.46461529144395086</v>
      </c>
      <c r="BK64" s="300">
        <f t="shared" ca="1" si="153"/>
        <v>0</v>
      </c>
      <c r="BL64" s="300">
        <f t="shared" ca="1" si="153"/>
        <v>0</v>
      </c>
      <c r="BM64" s="300">
        <f t="shared" ca="1" si="153"/>
        <v>0</v>
      </c>
      <c r="BN64" s="300">
        <f t="shared" ca="1" si="153"/>
        <v>0</v>
      </c>
      <c r="BO64" s="300">
        <f t="shared" ca="1" si="153"/>
        <v>0</v>
      </c>
      <c r="BP64" s="300">
        <f t="shared" ca="1" si="153"/>
        <v>0</v>
      </c>
      <c r="BQ64" s="300">
        <f t="shared" ca="1" si="153"/>
        <v>0</v>
      </c>
      <c r="BR64" s="300">
        <f t="shared" ca="1" si="153"/>
        <v>0</v>
      </c>
      <c r="BS64" s="300">
        <f t="shared" ca="1" si="153"/>
        <v>0</v>
      </c>
      <c r="BT64" s="300">
        <f t="shared" ref="BT64:CU64" ca="1" si="154">BT57+BT61+BT63+BT59</f>
        <v>0</v>
      </c>
      <c r="BU64" s="300">
        <f t="shared" ca="1" si="154"/>
        <v>0</v>
      </c>
      <c r="BV64" s="300">
        <f t="shared" ca="1" si="154"/>
        <v>0</v>
      </c>
      <c r="BW64" s="300">
        <f t="shared" ca="1" si="154"/>
        <v>0</v>
      </c>
      <c r="BX64" s="300">
        <f t="shared" ca="1" si="154"/>
        <v>0</v>
      </c>
      <c r="BY64" s="300">
        <f t="shared" ca="1" si="154"/>
        <v>0</v>
      </c>
      <c r="BZ64" s="300">
        <f t="shared" ca="1" si="154"/>
        <v>0</v>
      </c>
      <c r="CA64" s="300">
        <f t="shared" ca="1" si="154"/>
        <v>0</v>
      </c>
      <c r="CB64" s="300">
        <f t="shared" ca="1" si="154"/>
        <v>0</v>
      </c>
      <c r="CC64" s="300">
        <f t="shared" ca="1" si="154"/>
        <v>0</v>
      </c>
      <c r="CD64" s="300">
        <f t="shared" ca="1" si="154"/>
        <v>0</v>
      </c>
      <c r="CE64" s="300">
        <f t="shared" ca="1" si="154"/>
        <v>0</v>
      </c>
      <c r="CF64" s="300">
        <f t="shared" ca="1" si="154"/>
        <v>0</v>
      </c>
      <c r="CG64" s="300">
        <f t="shared" ca="1" si="154"/>
        <v>0</v>
      </c>
      <c r="CH64" s="300">
        <f t="shared" ca="1" si="154"/>
        <v>0</v>
      </c>
      <c r="CI64" s="300">
        <f t="shared" ca="1" si="154"/>
        <v>0</v>
      </c>
      <c r="CJ64" s="300">
        <f t="shared" ca="1" si="154"/>
        <v>0</v>
      </c>
      <c r="CK64" s="300">
        <f t="shared" ca="1" si="154"/>
        <v>0</v>
      </c>
      <c r="CL64" s="300">
        <f t="shared" ca="1" si="154"/>
        <v>0</v>
      </c>
      <c r="CM64" s="300">
        <f t="shared" ca="1" si="154"/>
        <v>0</v>
      </c>
      <c r="CN64" s="300">
        <f t="shared" ca="1" si="154"/>
        <v>0</v>
      </c>
      <c r="CO64" s="300">
        <f t="shared" ca="1" si="154"/>
        <v>0</v>
      </c>
      <c r="CP64" s="300">
        <f t="shared" ca="1" si="154"/>
        <v>0</v>
      </c>
      <c r="CQ64" s="300">
        <f t="shared" ca="1" si="154"/>
        <v>0</v>
      </c>
      <c r="CR64" s="300">
        <f t="shared" ca="1" si="154"/>
        <v>0</v>
      </c>
      <c r="CS64" s="300">
        <f t="shared" ca="1" si="154"/>
        <v>0</v>
      </c>
      <c r="CT64" s="300">
        <f t="shared" ca="1" si="154"/>
        <v>0</v>
      </c>
      <c r="CU64" s="300">
        <f t="shared" ca="1" si="154"/>
        <v>0</v>
      </c>
      <c r="CW64" s="151">
        <f t="shared" ca="1" si="143"/>
        <v>101.29973062344642</v>
      </c>
    </row>
    <row r="65" spans="1:101" s="84" customFormat="1" ht="6" customHeight="1" x14ac:dyDescent="0.2">
      <c r="C65" s="56"/>
      <c r="D65" s="57"/>
      <c r="E65" s="51"/>
      <c r="G65" s="245"/>
      <c r="H65" s="245"/>
      <c r="I65" s="245"/>
      <c r="J65" s="245"/>
      <c r="K65" s="245"/>
      <c r="L65" s="247"/>
      <c r="M65" s="245"/>
      <c r="N65" s="245"/>
      <c r="O65" s="245"/>
      <c r="P65" s="245">
        <f t="shared" si="136"/>
        <v>0</v>
      </c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>
        <f t="shared" si="5"/>
        <v>0</v>
      </c>
      <c r="AJ65" s="263"/>
      <c r="AK65" s="263"/>
      <c r="AL65" s="263"/>
      <c r="AM65" s="263"/>
      <c r="AN65" s="263"/>
      <c r="AO65" s="263"/>
      <c r="AP65" s="263"/>
      <c r="AQ65" s="263"/>
      <c r="AR65" s="263"/>
      <c r="AS65" s="263"/>
      <c r="AT65" s="263"/>
      <c r="AU65" s="263"/>
      <c r="AV65" s="263"/>
      <c r="AW65" s="263"/>
      <c r="AX65" s="263"/>
      <c r="AY65" s="263">
        <f t="shared" si="147"/>
        <v>0</v>
      </c>
      <c r="BA65" s="277"/>
      <c r="BB65" s="277"/>
      <c r="BC65" s="277">
        <f t="shared" si="10"/>
        <v>0</v>
      </c>
      <c r="BE65" s="55">
        <f>P65+AH65+AY65+BC65</f>
        <v>0</v>
      </c>
      <c r="BF65" s="55"/>
      <c r="BH65" s="542"/>
      <c r="BI65" s="542"/>
      <c r="BJ65" s="542"/>
      <c r="BK65" s="542"/>
      <c r="BL65" s="542"/>
      <c r="BM65" s="542"/>
      <c r="BN65" s="542"/>
      <c r="BO65" s="542"/>
      <c r="BP65" s="542"/>
      <c r="BQ65" s="542"/>
      <c r="BR65" s="542"/>
      <c r="BS65" s="542"/>
      <c r="BT65" s="542"/>
      <c r="BU65" s="542"/>
      <c r="BV65" s="542"/>
      <c r="BW65" s="542"/>
      <c r="BX65" s="542"/>
      <c r="BY65" s="542"/>
      <c r="BZ65" s="542"/>
      <c r="CA65" s="542"/>
      <c r="CB65" s="542"/>
      <c r="CC65" s="542"/>
      <c r="CD65" s="542"/>
      <c r="CE65" s="542"/>
      <c r="CF65" s="542"/>
      <c r="CG65" s="542"/>
      <c r="CH65" s="542"/>
      <c r="CI65" s="542"/>
      <c r="CJ65" s="542"/>
      <c r="CK65" s="542"/>
      <c r="CL65" s="542"/>
      <c r="CM65" s="542"/>
      <c r="CN65" s="542"/>
      <c r="CO65" s="542"/>
      <c r="CP65" s="542"/>
      <c r="CQ65" s="542"/>
      <c r="CR65" s="542"/>
      <c r="CS65" s="542"/>
      <c r="CT65" s="542"/>
      <c r="CU65" s="542"/>
      <c r="CW65" s="151"/>
    </row>
    <row r="66" spans="1:101" s="84" customFormat="1" ht="15.75" x14ac:dyDescent="0.2">
      <c r="B66" s="89"/>
      <c r="C66" s="923" t="s">
        <v>884</v>
      </c>
      <c r="D66" s="69" t="s">
        <v>124</v>
      </c>
      <c r="E66" s="70"/>
      <c r="G66" s="338">
        <f t="shared" ref="G66:O66" ca="1" si="155">G$36+G$40+G$47+G$50+G$54+G$64</f>
        <v>0</v>
      </c>
      <c r="H66" s="338">
        <f t="shared" ca="1" si="155"/>
        <v>0</v>
      </c>
      <c r="I66" s="338">
        <f t="shared" ca="1" si="155"/>
        <v>0</v>
      </c>
      <c r="J66" s="338">
        <f t="shared" ca="1" si="155"/>
        <v>258.4275029975791</v>
      </c>
      <c r="K66" s="338">
        <f t="shared" ca="1" si="155"/>
        <v>0</v>
      </c>
      <c r="L66" s="338">
        <f t="shared" ca="1" si="155"/>
        <v>0</v>
      </c>
      <c r="M66" s="338">
        <f t="shared" ca="1" si="155"/>
        <v>0</v>
      </c>
      <c r="N66" s="338">
        <f t="shared" ca="1" si="155"/>
        <v>0</v>
      </c>
      <c r="O66" s="338">
        <f t="shared" ca="1" si="155"/>
        <v>0</v>
      </c>
      <c r="P66" s="338">
        <f t="shared" ca="1" si="136"/>
        <v>258.4275029975791</v>
      </c>
      <c r="R66" s="294">
        <f t="shared" ref="R66:AG66" ca="1" si="156">R$36+R$40+R$47+R$50+R$54+R$64</f>
        <v>-6.0898997560247361</v>
      </c>
      <c r="S66" s="294">
        <f ca="1">S$36+S$40+S$47+S$50+S$54+S$64</f>
        <v>346.43257045714279</v>
      </c>
      <c r="T66" s="294">
        <f t="shared" ca="1" si="156"/>
        <v>-120.02028287168162</v>
      </c>
      <c r="U66" s="294">
        <f t="shared" ca="1" si="156"/>
        <v>-2.460893890349265</v>
      </c>
      <c r="V66" s="294">
        <f t="shared" ca="1" si="156"/>
        <v>-592.67646807348524</v>
      </c>
      <c r="W66" s="294">
        <f t="shared" ca="1" si="156"/>
        <v>-7.2415285262286773</v>
      </c>
      <c r="X66" s="294">
        <f t="shared" ca="1" si="156"/>
        <v>23.086459958333332</v>
      </c>
      <c r="Y66" s="294">
        <f t="shared" ca="1" si="156"/>
        <v>1438.0958943960002</v>
      </c>
      <c r="Z66" s="294">
        <f t="shared" ca="1" si="156"/>
        <v>876.37166666666667</v>
      </c>
      <c r="AA66" s="294">
        <f t="shared" ca="1" si="156"/>
        <v>0</v>
      </c>
      <c r="AB66" s="294">
        <f t="shared" ca="1" si="156"/>
        <v>0</v>
      </c>
      <c r="AC66" s="294">
        <f t="shared" ca="1" si="156"/>
        <v>2078.4468203239321</v>
      </c>
      <c r="AD66" s="294">
        <f t="shared" ca="1" si="156"/>
        <v>16.368620785239571</v>
      </c>
      <c r="AE66" s="294">
        <f t="shared" ca="1" si="156"/>
        <v>228.27574607949157</v>
      </c>
      <c r="AF66" s="294">
        <f t="shared" ca="1" si="156"/>
        <v>67.248031985705921</v>
      </c>
      <c r="AG66" s="294">
        <f t="shared" ca="1" si="156"/>
        <v>8.716547040987356</v>
      </c>
      <c r="AH66" s="294">
        <f t="shared" ca="1" si="5"/>
        <v>4354.5532845757307</v>
      </c>
      <c r="AJ66" s="295">
        <f t="shared" ref="AJ66:AX66" ca="1" si="157">AJ$36+AJ$40+AJ$47+AJ$50+AJ$54+AJ$64</f>
        <v>-17.5</v>
      </c>
      <c r="AK66" s="295">
        <f t="shared" ca="1" si="157"/>
        <v>-1438.0958943960002</v>
      </c>
      <c r="AL66" s="295">
        <f t="shared" ca="1" si="157"/>
        <v>-876.37166666666667</v>
      </c>
      <c r="AM66" s="295">
        <f t="shared" ca="1" si="157"/>
        <v>0</v>
      </c>
      <c r="AN66" s="295">
        <f t="shared" ca="1" si="157"/>
        <v>0</v>
      </c>
      <c r="AO66" s="295">
        <f t="shared" ca="1" si="157"/>
        <v>0</v>
      </c>
      <c r="AP66" s="295">
        <f t="shared" ca="1" si="157"/>
        <v>0</v>
      </c>
      <c r="AQ66" s="295">
        <f t="shared" ca="1" si="157"/>
        <v>0</v>
      </c>
      <c r="AR66" s="295">
        <f t="shared" ca="1" si="157"/>
        <v>0</v>
      </c>
      <c r="AS66" s="295">
        <f t="shared" ca="1" si="157"/>
        <v>-21.428000000000004</v>
      </c>
      <c r="AT66" s="295">
        <f t="shared" ca="1" si="157"/>
        <v>-96.663558599999988</v>
      </c>
      <c r="AU66" s="295">
        <f t="shared" ca="1" si="157"/>
        <v>-7.3634400000000007</v>
      </c>
      <c r="AV66" s="295">
        <f t="shared" ca="1" si="157"/>
        <v>-28.620363857142845</v>
      </c>
      <c r="AW66" s="295">
        <f t="shared" ca="1" si="157"/>
        <v>-2094.8154411091718</v>
      </c>
      <c r="AX66" s="295">
        <f t="shared" ca="1" si="157"/>
        <v>-309.82678506451816</v>
      </c>
      <c r="AY66" s="295">
        <f t="shared" ca="1" si="147"/>
        <v>-4890.6851496934987</v>
      </c>
      <c r="BA66" s="296">
        <f ca="1">BA$36+BA$40+BA$47+BA$50+BA$54+BA$64</f>
        <v>262.46559471578951</v>
      </c>
      <c r="BB66" s="296">
        <f ca="1">BB$36+BB$40+BB$47+BB$50+BB$54+BB$64</f>
        <v>15.238767404400882</v>
      </c>
      <c r="BC66" s="296">
        <f t="shared" ca="1" si="10"/>
        <v>277.70436212019041</v>
      </c>
      <c r="BE66" s="58">
        <f ca="1">P66+AH66+AY66+BC66</f>
        <v>1.1937117960769683E-12</v>
      </c>
      <c r="BF66" s="58"/>
      <c r="BH66" s="546">
        <f t="shared" ref="BH66:CU66" ca="1" si="158">BH$36+BH$40+BH$47+BH$50+BH$54+BH$64</f>
        <v>146.62964867371531</v>
      </c>
      <c r="BI66" s="546">
        <f t="shared" ca="1" si="158"/>
        <v>0.32794313354687593</v>
      </c>
      <c r="BJ66" s="546">
        <f t="shared" ca="1" si="158"/>
        <v>0.57362149589120137</v>
      </c>
      <c r="BK66" s="546">
        <f t="shared" ca="1" si="158"/>
        <v>0</v>
      </c>
      <c r="BL66" s="546">
        <f t="shared" ca="1" si="158"/>
        <v>6.5648571428571429</v>
      </c>
      <c r="BM66" s="546">
        <f t="shared" ca="1" si="158"/>
        <v>2.3816657725036119E-2</v>
      </c>
      <c r="BN66" s="546">
        <f t="shared" ca="1" si="158"/>
        <v>0</v>
      </c>
      <c r="BO66" s="546">
        <f t="shared" ca="1" si="158"/>
        <v>0</v>
      </c>
      <c r="BP66" s="546">
        <f t="shared" ca="1" si="158"/>
        <v>0</v>
      </c>
      <c r="BQ66" s="546">
        <f t="shared" ca="1" si="158"/>
        <v>0</v>
      </c>
      <c r="BR66" s="546">
        <f t="shared" ca="1" si="158"/>
        <v>0</v>
      </c>
      <c r="BS66" s="546">
        <f t="shared" ca="1" si="158"/>
        <v>0</v>
      </c>
      <c r="BT66" s="546">
        <f t="shared" ca="1" si="158"/>
        <v>0</v>
      </c>
      <c r="BU66" s="546">
        <f t="shared" ca="1" si="158"/>
        <v>0</v>
      </c>
      <c r="BV66" s="546">
        <f t="shared" ca="1" si="158"/>
        <v>0</v>
      </c>
      <c r="BW66" s="546">
        <f t="shared" ca="1" si="158"/>
        <v>0</v>
      </c>
      <c r="BX66" s="546">
        <f t="shared" ca="1" si="158"/>
        <v>0</v>
      </c>
      <c r="BY66" s="546">
        <f t="shared" ca="1" si="158"/>
        <v>0</v>
      </c>
      <c r="BZ66" s="546">
        <f t="shared" ca="1" si="158"/>
        <v>21.760312993855567</v>
      </c>
      <c r="CA66" s="546">
        <f t="shared" ca="1" si="158"/>
        <v>0</v>
      </c>
      <c r="CB66" s="546">
        <f t="shared" ca="1" si="158"/>
        <v>8.7189949184666684</v>
      </c>
      <c r="CC66" s="546">
        <f t="shared" ca="1" si="158"/>
        <v>0</v>
      </c>
      <c r="CD66" s="546">
        <f t="shared" ca="1" si="158"/>
        <v>0</v>
      </c>
      <c r="CE66" s="546">
        <f t="shared" ca="1" si="158"/>
        <v>0</v>
      </c>
      <c r="CF66" s="546">
        <f t="shared" ca="1" si="158"/>
        <v>0</v>
      </c>
      <c r="CG66" s="546">
        <f t="shared" ca="1" si="158"/>
        <v>6.3895458201402011</v>
      </c>
      <c r="CH66" s="546">
        <f t="shared" ca="1" si="158"/>
        <v>0</v>
      </c>
      <c r="CI66" s="546">
        <f t="shared" ca="1" si="158"/>
        <v>0</v>
      </c>
      <c r="CJ66" s="546">
        <f t="shared" ca="1" si="158"/>
        <v>0</v>
      </c>
      <c r="CK66" s="546">
        <f t="shared" ca="1" si="158"/>
        <v>0</v>
      </c>
      <c r="CL66" s="546">
        <f t="shared" ca="1" si="158"/>
        <v>0</v>
      </c>
      <c r="CM66" s="546">
        <f t="shared" ca="1" si="158"/>
        <v>0</v>
      </c>
      <c r="CN66" s="546">
        <f t="shared" ca="1" si="158"/>
        <v>0</v>
      </c>
      <c r="CO66" s="546">
        <f t="shared" ca="1" si="158"/>
        <v>0</v>
      </c>
      <c r="CP66" s="546">
        <f t="shared" ca="1" si="158"/>
        <v>0</v>
      </c>
      <c r="CQ66" s="546">
        <f t="shared" ca="1" si="158"/>
        <v>0</v>
      </c>
      <c r="CR66" s="546">
        <f t="shared" ca="1" si="158"/>
        <v>0</v>
      </c>
      <c r="CS66" s="546">
        <f t="shared" ca="1" si="158"/>
        <v>0</v>
      </c>
      <c r="CT66" s="546">
        <f t="shared" ca="1" si="158"/>
        <v>0</v>
      </c>
      <c r="CU66" s="546">
        <f t="shared" ca="1" si="158"/>
        <v>0</v>
      </c>
      <c r="CW66" s="148">
        <f ca="1">SUM(BH66:CU66)</f>
        <v>190.98874083619799</v>
      </c>
    </row>
    <row r="67" spans="1:101" s="84" customFormat="1" ht="6" customHeight="1" x14ac:dyDescent="0.2">
      <c r="C67" s="56"/>
      <c r="D67" s="57"/>
      <c r="E67" s="51"/>
      <c r="G67" s="245"/>
      <c r="H67" s="245"/>
      <c r="I67" s="245"/>
      <c r="J67" s="245"/>
      <c r="K67" s="245"/>
      <c r="L67" s="247"/>
      <c r="M67" s="245"/>
      <c r="N67" s="245"/>
      <c r="O67" s="245"/>
      <c r="P67" s="245">
        <f t="shared" si="136"/>
        <v>0</v>
      </c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>
        <f t="shared" ref="AH67:AH90" si="159">SUM(R67:AG67)</f>
        <v>0</v>
      </c>
      <c r="AJ67" s="263"/>
      <c r="AK67" s="263"/>
      <c r="AL67" s="263"/>
      <c r="AM67" s="263"/>
      <c r="AN67" s="263"/>
      <c r="AO67" s="263"/>
      <c r="AP67" s="263"/>
      <c r="AQ67" s="263"/>
      <c r="AR67" s="263"/>
      <c r="AS67" s="263"/>
      <c r="AT67" s="263"/>
      <c r="AU67" s="263"/>
      <c r="AV67" s="263"/>
      <c r="AW67" s="263"/>
      <c r="AX67" s="263"/>
      <c r="AY67" s="263">
        <f t="shared" si="147"/>
        <v>0</v>
      </c>
      <c r="BA67" s="277"/>
      <c r="BB67" s="277"/>
      <c r="BC67" s="277">
        <f t="shared" ref="BC67:BC90" si="160">SUM(BA67:BB67)</f>
        <v>0</v>
      </c>
      <c r="BE67" s="55">
        <f>P67+AH67+AY67+BC67</f>
        <v>0</v>
      </c>
      <c r="BF67" s="55"/>
      <c r="BH67" s="542"/>
      <c r="BI67" s="542"/>
      <c r="BJ67" s="542"/>
      <c r="BK67" s="542"/>
      <c r="BL67" s="542"/>
      <c r="BM67" s="542"/>
      <c r="BN67" s="542"/>
      <c r="BO67" s="542"/>
      <c r="BP67" s="542"/>
      <c r="BQ67" s="542"/>
      <c r="BR67" s="542"/>
      <c r="BS67" s="542"/>
      <c r="BT67" s="542"/>
      <c r="BU67" s="542"/>
      <c r="BV67" s="542"/>
      <c r="BW67" s="542"/>
      <c r="BX67" s="542"/>
      <c r="BY67" s="542"/>
      <c r="BZ67" s="542"/>
      <c r="CA67" s="542"/>
      <c r="CB67" s="542"/>
      <c r="CC67" s="542"/>
      <c r="CD67" s="542"/>
      <c r="CE67" s="542"/>
      <c r="CF67" s="542"/>
      <c r="CG67" s="542"/>
      <c r="CH67" s="542"/>
      <c r="CI67" s="542"/>
      <c r="CJ67" s="542"/>
      <c r="CK67" s="542"/>
      <c r="CL67" s="542"/>
      <c r="CM67" s="542"/>
      <c r="CN67" s="542"/>
      <c r="CO67" s="542"/>
      <c r="CP67" s="542"/>
      <c r="CQ67" s="542"/>
      <c r="CR67" s="542"/>
      <c r="CS67" s="542"/>
      <c r="CT67" s="542"/>
      <c r="CU67" s="542"/>
      <c r="CW67" s="151"/>
    </row>
    <row r="68" spans="1:101" s="84" customFormat="1" ht="24" customHeight="1" x14ac:dyDescent="0.2">
      <c r="C68" s="45" t="s">
        <v>414</v>
      </c>
      <c r="D68" s="45"/>
      <c r="E68" s="68"/>
      <c r="G68" s="244"/>
      <c r="H68" s="244"/>
      <c r="I68" s="244"/>
      <c r="J68" s="244"/>
      <c r="K68" s="244"/>
      <c r="L68" s="244"/>
      <c r="M68" s="244"/>
      <c r="N68" s="244"/>
      <c r="O68" s="244"/>
      <c r="P68" s="244">
        <f t="shared" si="136"/>
        <v>0</v>
      </c>
      <c r="R68" s="260"/>
      <c r="S68" s="260"/>
      <c r="T68" s="260"/>
      <c r="U68" s="260"/>
      <c r="V68" s="260"/>
      <c r="W68" s="260"/>
      <c r="X68" s="256"/>
      <c r="Y68" s="256"/>
      <c r="Z68" s="256"/>
      <c r="AA68" s="260"/>
      <c r="AB68" s="260"/>
      <c r="AC68" s="260"/>
      <c r="AD68" s="260"/>
      <c r="AE68" s="260"/>
      <c r="AF68" s="260"/>
      <c r="AG68" s="260"/>
      <c r="AH68" s="260">
        <f t="shared" si="159"/>
        <v>0</v>
      </c>
      <c r="AJ68" s="267"/>
      <c r="AK68" s="267"/>
      <c r="AL68" s="267"/>
      <c r="AM68" s="267"/>
      <c r="AN68" s="267"/>
      <c r="AO68" s="267"/>
      <c r="AP68" s="267"/>
      <c r="AQ68" s="267"/>
      <c r="AR68" s="267"/>
      <c r="AS68" s="267"/>
      <c r="AT68" s="262"/>
      <c r="AU68" s="262"/>
      <c r="AV68" s="262"/>
      <c r="AW68" s="262"/>
      <c r="AX68" s="262"/>
      <c r="AY68" s="267">
        <f t="shared" si="147"/>
        <v>0</v>
      </c>
      <c r="BA68" s="280"/>
      <c r="BB68" s="280"/>
      <c r="BC68" s="280">
        <f t="shared" si="160"/>
        <v>0</v>
      </c>
      <c r="BE68" s="54">
        <f>P68+AH68+AY68+BC68</f>
        <v>0</v>
      </c>
      <c r="BF68" s="54"/>
      <c r="BH68" s="542"/>
      <c r="BI68" s="542"/>
      <c r="BJ68" s="542"/>
      <c r="BK68" s="542"/>
      <c r="BL68" s="542"/>
      <c r="BM68" s="542"/>
      <c r="BN68" s="542"/>
      <c r="BO68" s="542"/>
      <c r="BP68" s="542"/>
      <c r="BQ68" s="542"/>
      <c r="BR68" s="542"/>
      <c r="BS68" s="542"/>
      <c r="BT68" s="542"/>
      <c r="BU68" s="542"/>
      <c r="BV68" s="542"/>
      <c r="BW68" s="542"/>
      <c r="BX68" s="542"/>
      <c r="BY68" s="542"/>
      <c r="BZ68" s="542"/>
      <c r="CA68" s="542"/>
      <c r="CB68" s="542"/>
      <c r="CC68" s="542"/>
      <c r="CD68" s="542"/>
      <c r="CE68" s="542"/>
      <c r="CF68" s="542"/>
      <c r="CG68" s="542"/>
      <c r="CH68" s="542"/>
      <c r="CI68" s="542"/>
      <c r="CJ68" s="542"/>
      <c r="CK68" s="542"/>
      <c r="CL68" s="542"/>
      <c r="CM68" s="542"/>
      <c r="CN68" s="542"/>
      <c r="CO68" s="542"/>
      <c r="CP68" s="542"/>
      <c r="CQ68" s="542"/>
      <c r="CR68" s="542"/>
      <c r="CS68" s="542"/>
      <c r="CT68" s="542"/>
      <c r="CU68" s="542"/>
      <c r="CW68" s="151"/>
    </row>
    <row r="69" spans="1:101" s="84" customFormat="1" ht="6" customHeight="1" x14ac:dyDescent="0.2">
      <c r="C69" s="60"/>
      <c r="D69" s="34"/>
      <c r="E69" s="51"/>
      <c r="G69" s="245"/>
      <c r="H69" s="245"/>
      <c r="I69" s="245"/>
      <c r="J69" s="245"/>
      <c r="K69" s="245"/>
      <c r="L69" s="247"/>
      <c r="M69" s="245"/>
      <c r="N69" s="245"/>
      <c r="O69" s="245"/>
      <c r="P69" s="245">
        <f t="shared" si="136"/>
        <v>0</v>
      </c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>
        <f t="shared" si="159"/>
        <v>0</v>
      </c>
      <c r="AJ69" s="263"/>
      <c r="AK69" s="263"/>
      <c r="AL69" s="263"/>
      <c r="AM69" s="263"/>
      <c r="AN69" s="263"/>
      <c r="AO69" s="263"/>
      <c r="AP69" s="263"/>
      <c r="AQ69" s="263"/>
      <c r="AR69" s="263"/>
      <c r="AS69" s="263"/>
      <c r="AT69" s="263"/>
      <c r="AU69" s="263"/>
      <c r="AV69" s="263"/>
      <c r="AW69" s="263"/>
      <c r="AX69" s="263"/>
      <c r="AY69" s="263">
        <f t="shared" si="147"/>
        <v>0</v>
      </c>
      <c r="BA69" s="277"/>
      <c r="BB69" s="277"/>
      <c r="BC69" s="277">
        <f t="shared" si="160"/>
        <v>0</v>
      </c>
      <c r="BE69" s="55">
        <f>P69+AH69+AY69+BC69</f>
        <v>0</v>
      </c>
      <c r="BF69" s="55"/>
      <c r="BH69" s="542"/>
      <c r="BI69" s="542"/>
      <c r="BJ69" s="542"/>
      <c r="BK69" s="542"/>
      <c r="BL69" s="542"/>
      <c r="BM69" s="542"/>
      <c r="BN69" s="542"/>
      <c r="BO69" s="542"/>
      <c r="BP69" s="542"/>
      <c r="BQ69" s="542"/>
      <c r="BR69" s="542"/>
      <c r="BS69" s="542"/>
      <c r="BT69" s="542"/>
      <c r="BU69" s="542"/>
      <c r="BV69" s="542"/>
      <c r="BW69" s="542"/>
      <c r="BX69" s="542"/>
      <c r="BY69" s="542"/>
      <c r="BZ69" s="542"/>
      <c r="CA69" s="542"/>
      <c r="CB69" s="542"/>
      <c r="CC69" s="542"/>
      <c r="CD69" s="542"/>
      <c r="CE69" s="542"/>
      <c r="CF69" s="542"/>
      <c r="CG69" s="542"/>
      <c r="CH69" s="542"/>
      <c r="CI69" s="542"/>
      <c r="CJ69" s="542"/>
      <c r="CK69" s="542"/>
      <c r="CL69" s="542"/>
      <c r="CM69" s="542"/>
      <c r="CN69" s="542"/>
      <c r="CO69" s="542"/>
      <c r="CP69" s="542"/>
      <c r="CQ69" s="542"/>
      <c r="CR69" s="542"/>
      <c r="CS69" s="542"/>
      <c r="CT69" s="542"/>
      <c r="CU69" s="542"/>
      <c r="CW69" s="151"/>
    </row>
    <row r="70" spans="1:101" s="84" customFormat="1" outlineLevel="1" x14ac:dyDescent="0.2">
      <c r="A70" s="547"/>
      <c r="B70" s="547"/>
      <c r="C70" s="162"/>
      <c r="D70" s="163"/>
      <c r="E70" s="163"/>
      <c r="G70" s="248"/>
      <c r="H70" s="248"/>
      <c r="I70" s="248"/>
      <c r="J70" s="248"/>
      <c r="K70" s="248"/>
      <c r="L70" s="249"/>
      <c r="M70" s="248"/>
      <c r="N70" s="248"/>
      <c r="O70" s="248"/>
      <c r="P70" s="248">
        <f t="shared" si="136"/>
        <v>0</v>
      </c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>
        <f t="shared" si="159"/>
        <v>0</v>
      </c>
      <c r="AJ70" s="265"/>
      <c r="AK70" s="265"/>
      <c r="AL70" s="265"/>
      <c r="AM70" s="265"/>
      <c r="AN70" s="265"/>
      <c r="AO70" s="265"/>
      <c r="AP70" s="265"/>
      <c r="AQ70" s="265"/>
      <c r="AR70" s="265"/>
      <c r="AS70" s="265"/>
      <c r="AT70" s="265"/>
      <c r="AU70" s="265"/>
      <c r="AV70" s="265"/>
      <c r="AW70" s="265"/>
      <c r="AX70" s="265"/>
      <c r="AY70" s="265">
        <f t="shared" si="147"/>
        <v>0</v>
      </c>
      <c r="BA70" s="278"/>
      <c r="BB70" s="278"/>
      <c r="BC70" s="278">
        <f t="shared" si="160"/>
        <v>0</v>
      </c>
      <c r="BE70" s="164"/>
      <c r="BF70" s="164"/>
      <c r="BG70" s="547"/>
      <c r="BH70" s="549"/>
      <c r="BI70" s="542"/>
      <c r="BJ70" s="542"/>
      <c r="BK70" s="542"/>
      <c r="BL70" s="542"/>
      <c r="BM70" s="542"/>
      <c r="BN70" s="542"/>
      <c r="BO70" s="542"/>
      <c r="BP70" s="542"/>
      <c r="BQ70" s="542"/>
      <c r="BR70" s="542"/>
      <c r="BS70" s="542"/>
      <c r="BT70" s="542"/>
      <c r="BU70" s="542"/>
      <c r="BV70" s="542"/>
      <c r="BW70" s="542"/>
      <c r="BX70" s="542"/>
      <c r="BY70" s="542"/>
      <c r="BZ70" s="542"/>
      <c r="CA70" s="542"/>
      <c r="CB70" s="542"/>
      <c r="CC70" s="542"/>
      <c r="CD70" s="542"/>
      <c r="CE70" s="542"/>
      <c r="CF70" s="542"/>
      <c r="CG70" s="542"/>
      <c r="CH70" s="542"/>
      <c r="CI70" s="542"/>
      <c r="CJ70" s="542"/>
      <c r="CK70" s="542"/>
      <c r="CL70" s="542"/>
      <c r="CM70" s="542"/>
      <c r="CN70" s="542"/>
      <c r="CO70" s="542"/>
      <c r="CP70" s="542"/>
      <c r="CQ70" s="542"/>
      <c r="CR70" s="542"/>
      <c r="CS70" s="542"/>
      <c r="CT70" s="542"/>
      <c r="CU70" s="542"/>
      <c r="CW70" s="151"/>
    </row>
    <row r="71" spans="1:101" s="543" customFormat="1" outlineLevel="1" x14ac:dyDescent="0.2">
      <c r="C71" s="62" t="s">
        <v>305</v>
      </c>
      <c r="D71" s="61" t="str">
        <f>INDEX(Modules[Module], MATCH($C71, Modules[Code], 0))</f>
        <v>Electricity imports</v>
      </c>
      <c r="E71" s="61"/>
      <c r="F71" s="84"/>
      <c r="G71" s="297">
        <f t="shared" ref="G71:O71" ca="1" si="161">IFERROR(INDEX(INDIRECT($C71&amp;".Outputs["&amp;this.Year&amp;"]"), MATCH(G$5, INDIRECT($C71&amp;".Outputs[Vector]"), 0)), 0)</f>
        <v>0</v>
      </c>
      <c r="H71" s="297">
        <f t="shared" ca="1" si="161"/>
        <v>0</v>
      </c>
      <c r="I71" s="297">
        <f t="shared" ca="1" si="161"/>
        <v>0</v>
      </c>
      <c r="J71" s="297">
        <f t="shared" ca="1" si="161"/>
        <v>0</v>
      </c>
      <c r="K71" s="297">
        <f t="shared" ca="1" si="161"/>
        <v>0</v>
      </c>
      <c r="L71" s="297">
        <f t="shared" ca="1" si="161"/>
        <v>0</v>
      </c>
      <c r="M71" s="297">
        <f t="shared" ca="1" si="161"/>
        <v>0</v>
      </c>
      <c r="N71" s="297">
        <f t="shared" ca="1" si="161"/>
        <v>0</v>
      </c>
      <c r="O71" s="297">
        <f t="shared" ca="1" si="161"/>
        <v>0</v>
      </c>
      <c r="P71" s="297">
        <f t="shared" ca="1" si="136"/>
        <v>0</v>
      </c>
      <c r="Q71" s="84"/>
      <c r="R71" s="304">
        <f t="shared" ref="R71:AG71" ca="1" si="162">IFERROR(INDEX(INDIRECT($C71&amp;".Outputs["&amp;this.Year&amp;"]"), MATCH(R$5, INDIRECT($C71&amp;".Outputs[Vector]"), 0)), 0)</f>
        <v>0</v>
      </c>
      <c r="S71" s="304">
        <f t="shared" ca="1" si="162"/>
        <v>-0.52500000000000002</v>
      </c>
      <c r="T71" s="304">
        <f t="shared" ca="1" si="162"/>
        <v>0</v>
      </c>
      <c r="U71" s="304">
        <f t="shared" ca="1" si="162"/>
        <v>0</v>
      </c>
      <c r="V71" s="304">
        <f t="shared" ca="1" si="162"/>
        <v>0</v>
      </c>
      <c r="W71" s="304">
        <f t="shared" ca="1" si="162"/>
        <v>0</v>
      </c>
      <c r="X71" s="304">
        <f ca="1">IFERROR(INDEX(INDIRECT($C71&amp;".Outputs["&amp;this.Year&amp;"]"), MATCH(X$5, INDIRECT($C71&amp;".Outputs[Vector]"), 0)), 0)</f>
        <v>0</v>
      </c>
      <c r="Y71" s="304">
        <f ca="1">IFERROR(INDEX(INDIRECT($C71&amp;".Outputs["&amp;this.Year&amp;"]"), MATCH(Y$5, INDIRECT($C71&amp;".Outputs[Vector]"), 0)), 0)</f>
        <v>0</v>
      </c>
      <c r="Z71" s="304">
        <f ca="1">IFERROR(INDEX(INDIRECT($C71&amp;".Outputs["&amp;this.Year&amp;"]"), MATCH(Z$5, INDIRECT($C71&amp;".Outputs[Vector]"), 0)), 0)</f>
        <v>0</v>
      </c>
      <c r="AA71" s="304">
        <f t="shared" ca="1" si="162"/>
        <v>0</v>
      </c>
      <c r="AB71" s="304">
        <f t="shared" ca="1" si="162"/>
        <v>0</v>
      </c>
      <c r="AC71" s="304">
        <f t="shared" ca="1" si="162"/>
        <v>0</v>
      </c>
      <c r="AD71" s="304">
        <f t="shared" ca="1" si="162"/>
        <v>0</v>
      </c>
      <c r="AE71" s="304">
        <f t="shared" ca="1" si="162"/>
        <v>0</v>
      </c>
      <c r="AF71" s="304">
        <f t="shared" ca="1" si="162"/>
        <v>0</v>
      </c>
      <c r="AG71" s="304">
        <f t="shared" ca="1" si="162"/>
        <v>0</v>
      </c>
      <c r="AH71" s="305">
        <f t="shared" ca="1" si="159"/>
        <v>-0.52500000000000002</v>
      </c>
      <c r="AI71" s="84"/>
      <c r="AJ71" s="312">
        <f t="shared" ref="AJ71:AR71" ca="1" si="163">IFERROR(INDEX(INDIRECT($C71&amp;".Outputs["&amp;this.Year&amp;"]"), MATCH(AJ$5, INDIRECT($C71&amp;".Outputs[Vector]"), 0)), 0)</f>
        <v>0</v>
      </c>
      <c r="AK71" s="312">
        <f t="shared" ca="1" si="163"/>
        <v>0</v>
      </c>
      <c r="AL71" s="312">
        <f t="shared" ca="1" si="163"/>
        <v>0</v>
      </c>
      <c r="AM71" s="312">
        <f t="shared" ca="1" si="163"/>
        <v>0</v>
      </c>
      <c r="AN71" s="312">
        <f t="shared" ca="1" si="163"/>
        <v>0.52500000000000002</v>
      </c>
      <c r="AO71" s="312">
        <f t="shared" ca="1" si="163"/>
        <v>0</v>
      </c>
      <c r="AP71" s="312">
        <f t="shared" ca="1" si="163"/>
        <v>0</v>
      </c>
      <c r="AQ71" s="312">
        <f t="shared" ca="1" si="163"/>
        <v>0</v>
      </c>
      <c r="AR71" s="312">
        <f t="shared" ca="1" si="163"/>
        <v>0</v>
      </c>
      <c r="AS71" s="312">
        <f t="shared" ref="AS71:AX71" ca="1" si="164">IFERROR(INDEX(INDIRECT($C71&amp;".Outputs["&amp;this.Year&amp;"]"), MATCH(AS$5, INDIRECT($C71&amp;".Outputs[Vector]"), 0)), 0)</f>
        <v>0</v>
      </c>
      <c r="AT71" s="312">
        <f t="shared" ca="1" si="164"/>
        <v>0</v>
      </c>
      <c r="AU71" s="312">
        <f t="shared" ca="1" si="164"/>
        <v>0</v>
      </c>
      <c r="AV71" s="312">
        <f t="shared" ca="1" si="164"/>
        <v>0</v>
      </c>
      <c r="AW71" s="312">
        <f t="shared" ca="1" si="164"/>
        <v>0</v>
      </c>
      <c r="AX71" s="312">
        <f t="shared" ca="1" si="164"/>
        <v>0</v>
      </c>
      <c r="AY71" s="266">
        <f t="shared" ca="1" si="147"/>
        <v>0.52500000000000002</v>
      </c>
      <c r="AZ71" s="84"/>
      <c r="BA71" s="308">
        <f ca="1">IFERROR(INDEX(INDIRECT($C71&amp;".Outputs["&amp;this.Year&amp;"]"), MATCH(BA$5, INDIRECT($C71&amp;".Outputs[Vector]"), 0)), 0)</f>
        <v>0</v>
      </c>
      <c r="BB71" s="308">
        <f ca="1">IFERROR(INDEX(INDIRECT($C71&amp;".Outputs["&amp;this.Year&amp;"]"), MATCH(BB$5, INDIRECT($C71&amp;".Outputs[Vector]"), 0)), 0)</f>
        <v>0</v>
      </c>
      <c r="BC71" s="309">
        <f t="shared" ca="1" si="160"/>
        <v>0</v>
      </c>
      <c r="BD71" s="84"/>
      <c r="BE71" s="135">
        <f ca="1">P71+AH71+AY71+BC71</f>
        <v>0</v>
      </c>
      <c r="BF71" s="135"/>
      <c r="BH71" s="541">
        <f t="shared" ref="BH71:CU71" ca="1" si="165">IFERROR(SUMIFS(INDIRECT($C71&amp;".Emissions["&amp;this.Year&amp;"]"), INDIRECT($C71&amp;".Emissions[GHG]"), BH$6, INDIRECT($C71&amp;".Emissions[IPCC Sector]"), BH$5),0)</f>
        <v>0</v>
      </c>
      <c r="BI71" s="542">
        <f t="shared" ca="1" si="165"/>
        <v>0</v>
      </c>
      <c r="BJ71" s="542">
        <f t="shared" ca="1" si="165"/>
        <v>0</v>
      </c>
      <c r="BK71" s="542">
        <f t="shared" ca="1" si="165"/>
        <v>0</v>
      </c>
      <c r="BL71" s="542">
        <f t="shared" ca="1" si="165"/>
        <v>0</v>
      </c>
      <c r="BM71" s="542">
        <f t="shared" ca="1" si="165"/>
        <v>0</v>
      </c>
      <c r="BN71" s="542">
        <f t="shared" ca="1" si="165"/>
        <v>0</v>
      </c>
      <c r="BO71" s="542">
        <f t="shared" ca="1" si="165"/>
        <v>0</v>
      </c>
      <c r="BP71" s="542">
        <f t="shared" ca="1" si="165"/>
        <v>0</v>
      </c>
      <c r="BQ71" s="542">
        <f t="shared" ca="1" si="165"/>
        <v>0</v>
      </c>
      <c r="BR71" s="542">
        <f t="shared" ca="1" si="165"/>
        <v>0</v>
      </c>
      <c r="BS71" s="542">
        <f t="shared" ca="1" si="165"/>
        <v>0</v>
      </c>
      <c r="BT71" s="542">
        <f t="shared" ca="1" si="165"/>
        <v>0</v>
      </c>
      <c r="BU71" s="542">
        <f t="shared" ca="1" si="165"/>
        <v>0</v>
      </c>
      <c r="BV71" s="542">
        <f t="shared" ca="1" si="165"/>
        <v>0</v>
      </c>
      <c r="BW71" s="542">
        <f t="shared" ca="1" si="165"/>
        <v>0</v>
      </c>
      <c r="BX71" s="542">
        <f t="shared" ca="1" si="165"/>
        <v>0</v>
      </c>
      <c r="BY71" s="542">
        <f t="shared" ca="1" si="165"/>
        <v>0</v>
      </c>
      <c r="BZ71" s="542">
        <f t="shared" ca="1" si="165"/>
        <v>0</v>
      </c>
      <c r="CA71" s="542">
        <f t="shared" ca="1" si="165"/>
        <v>0</v>
      </c>
      <c r="CB71" s="542">
        <f t="shared" ca="1" si="165"/>
        <v>0</v>
      </c>
      <c r="CC71" s="542">
        <f t="shared" ca="1" si="165"/>
        <v>0</v>
      </c>
      <c r="CD71" s="542">
        <f t="shared" ca="1" si="165"/>
        <v>0</v>
      </c>
      <c r="CE71" s="542">
        <f t="shared" ca="1" si="165"/>
        <v>0</v>
      </c>
      <c r="CF71" s="542">
        <f t="shared" ca="1" si="165"/>
        <v>0</v>
      </c>
      <c r="CG71" s="542">
        <f t="shared" ca="1" si="165"/>
        <v>0</v>
      </c>
      <c r="CH71" s="542">
        <f t="shared" ca="1" si="165"/>
        <v>0</v>
      </c>
      <c r="CI71" s="542">
        <f t="shared" ca="1" si="165"/>
        <v>0</v>
      </c>
      <c r="CJ71" s="542">
        <f t="shared" ca="1" si="165"/>
        <v>0</v>
      </c>
      <c r="CK71" s="542">
        <f t="shared" ca="1" si="165"/>
        <v>0</v>
      </c>
      <c r="CL71" s="542">
        <f t="shared" ca="1" si="165"/>
        <v>0</v>
      </c>
      <c r="CM71" s="542">
        <f t="shared" ca="1" si="165"/>
        <v>0</v>
      </c>
      <c r="CN71" s="542">
        <f t="shared" ca="1" si="165"/>
        <v>0</v>
      </c>
      <c r="CO71" s="542">
        <f t="shared" ca="1" si="165"/>
        <v>0</v>
      </c>
      <c r="CP71" s="542">
        <f t="shared" ca="1" si="165"/>
        <v>0</v>
      </c>
      <c r="CQ71" s="542">
        <f t="shared" ca="1" si="165"/>
        <v>0</v>
      </c>
      <c r="CR71" s="542">
        <f t="shared" ca="1" si="165"/>
        <v>0</v>
      </c>
      <c r="CS71" s="542">
        <f t="shared" ca="1" si="165"/>
        <v>0</v>
      </c>
      <c r="CT71" s="542">
        <f t="shared" ca="1" si="165"/>
        <v>0</v>
      </c>
      <c r="CU71" s="542">
        <f t="shared" ca="1" si="165"/>
        <v>0</v>
      </c>
      <c r="CW71" s="151"/>
    </row>
    <row r="72" spans="1:101" s="547" customFormat="1" ht="12.75" customHeight="1" outlineLevel="1" x14ac:dyDescent="0.2">
      <c r="C72" s="319" t="s">
        <v>858</v>
      </c>
      <c r="D72" s="320" t="s">
        <v>588</v>
      </c>
      <c r="E72" s="320"/>
      <c r="F72" s="84"/>
      <c r="G72" s="333"/>
      <c r="H72" s="333"/>
      <c r="I72" s="333"/>
      <c r="J72" s="333"/>
      <c r="K72" s="333"/>
      <c r="L72" s="334"/>
      <c r="M72" s="333"/>
      <c r="N72" s="333"/>
      <c r="O72" s="333"/>
      <c r="P72" s="333">
        <f t="shared" si="136"/>
        <v>0</v>
      </c>
      <c r="Q72" s="84"/>
      <c r="R72" s="335">
        <f ca="1">R$28+R$36+R$80+R$40+R$71</f>
        <v>-289.18504122724516</v>
      </c>
      <c r="S72" s="335">
        <f ca="1">S$28+S$36+S$80+S$40+S$71</f>
        <v>-0.52500000000000002</v>
      </c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>
        <f t="shared" ca="1" si="159"/>
        <v>-289.71004122724514</v>
      </c>
      <c r="AI72" s="84"/>
      <c r="AJ72" s="336"/>
      <c r="AK72" s="336"/>
      <c r="AL72" s="336"/>
      <c r="AM72" s="336"/>
      <c r="AN72" s="336"/>
      <c r="AO72" s="336"/>
      <c r="AP72" s="336"/>
      <c r="AQ72" s="336"/>
      <c r="AR72" s="336"/>
      <c r="AS72" s="336"/>
      <c r="AT72" s="336"/>
      <c r="AU72" s="336"/>
      <c r="AV72" s="336"/>
      <c r="AW72" s="336"/>
      <c r="AX72" s="336"/>
      <c r="AY72" s="336">
        <f t="shared" si="147"/>
        <v>0</v>
      </c>
      <c r="AZ72" s="84"/>
      <c r="BA72" s="337"/>
      <c r="BB72" s="337"/>
      <c r="BC72" s="337">
        <f t="shared" si="160"/>
        <v>0</v>
      </c>
      <c r="BD72" s="84"/>
      <c r="BE72" s="164"/>
      <c r="BF72" s="164"/>
      <c r="BH72" s="549"/>
      <c r="BI72" s="549"/>
      <c r="BJ72" s="549"/>
      <c r="BK72" s="549"/>
      <c r="BL72" s="549"/>
      <c r="BM72" s="549"/>
      <c r="BN72" s="549"/>
      <c r="BO72" s="549"/>
      <c r="BP72" s="549"/>
      <c r="BQ72" s="549"/>
      <c r="BR72" s="549"/>
      <c r="BS72" s="549"/>
      <c r="BT72" s="549"/>
      <c r="BU72" s="549"/>
      <c r="BV72" s="549"/>
      <c r="BW72" s="549"/>
      <c r="BX72" s="549"/>
      <c r="BY72" s="549"/>
      <c r="BZ72" s="549"/>
      <c r="CA72" s="549"/>
      <c r="CB72" s="549"/>
      <c r="CC72" s="549"/>
      <c r="CD72" s="549"/>
      <c r="CE72" s="549"/>
      <c r="CF72" s="549"/>
      <c r="CG72" s="549"/>
      <c r="CH72" s="549"/>
      <c r="CI72" s="549"/>
      <c r="CJ72" s="549"/>
      <c r="CK72" s="549"/>
      <c r="CL72" s="549"/>
      <c r="CM72" s="549"/>
      <c r="CN72" s="549"/>
      <c r="CO72" s="549"/>
      <c r="CP72" s="549"/>
      <c r="CQ72" s="549"/>
      <c r="CR72" s="549"/>
      <c r="CS72" s="549"/>
      <c r="CT72" s="549"/>
      <c r="CU72" s="549"/>
      <c r="CW72" s="151"/>
    </row>
    <row r="73" spans="1:101" s="543" customFormat="1" outlineLevel="1" x14ac:dyDescent="0.2">
      <c r="C73" s="62" t="s">
        <v>313</v>
      </c>
      <c r="D73" s="61" t="str">
        <f>INDEX(Modules[Module], MATCH($C73, Modules[Code], 0))</f>
        <v>Electricity grid distribution</v>
      </c>
      <c r="E73" s="61"/>
      <c r="F73" s="84"/>
      <c r="G73" s="297">
        <f t="shared" ref="G73:O73" ca="1" si="166">IFERROR(INDEX(INDIRECT($C73&amp;".Outputs["&amp;this.Year&amp;"]"), MATCH(G$5, INDIRECT($C73&amp;".Outputs[Vector]"), 0)), 0)</f>
        <v>0</v>
      </c>
      <c r="H73" s="297">
        <f t="shared" ca="1" si="166"/>
        <v>0</v>
      </c>
      <c r="I73" s="297">
        <f t="shared" ca="1" si="166"/>
        <v>0</v>
      </c>
      <c r="J73" s="297">
        <f t="shared" ca="1" si="166"/>
        <v>0</v>
      </c>
      <c r="K73" s="297">
        <f t="shared" ca="1" si="166"/>
        <v>0</v>
      </c>
      <c r="L73" s="297">
        <f t="shared" ca="1" si="166"/>
        <v>0</v>
      </c>
      <c r="M73" s="297">
        <f t="shared" ca="1" si="166"/>
        <v>0</v>
      </c>
      <c r="N73" s="297">
        <f t="shared" ca="1" si="166"/>
        <v>0</v>
      </c>
      <c r="O73" s="297">
        <f t="shared" ca="1" si="166"/>
        <v>0</v>
      </c>
      <c r="P73" s="297">
        <f t="shared" ca="1" si="136"/>
        <v>0</v>
      </c>
      <c r="Q73" s="84"/>
      <c r="R73" s="304">
        <f t="shared" ref="R73:AG73" ca="1" si="167">IFERROR(INDEX(INDIRECT($C73&amp;".Outputs["&amp;this.Year&amp;"]"), MATCH(R$5, INDIRECT($C73&amp;".Outputs[Vector]"), 0)), 0)</f>
        <v>0</v>
      </c>
      <c r="S73" s="304">
        <f t="shared" ca="1" si="167"/>
        <v>-51.032654334219728</v>
      </c>
      <c r="T73" s="304">
        <f t="shared" ca="1" si="167"/>
        <v>0</v>
      </c>
      <c r="U73" s="304">
        <f t="shared" ca="1" si="167"/>
        <v>0</v>
      </c>
      <c r="V73" s="304">
        <f t="shared" ca="1" si="167"/>
        <v>0</v>
      </c>
      <c r="W73" s="304">
        <f t="shared" ca="1" si="167"/>
        <v>0</v>
      </c>
      <c r="X73" s="304">
        <f t="shared" ref="X73:Z73" ca="1" si="168">IFERROR(INDEX(INDIRECT($C73&amp;".Outputs["&amp;this.Year&amp;"]"), MATCH(X$5, INDIRECT($C73&amp;".Outputs[Vector]"), 0)), 0)</f>
        <v>0</v>
      </c>
      <c r="Y73" s="304">
        <f t="shared" ca="1" si="168"/>
        <v>0</v>
      </c>
      <c r="Z73" s="304">
        <f t="shared" ca="1" si="168"/>
        <v>0</v>
      </c>
      <c r="AA73" s="304">
        <f t="shared" ca="1" si="167"/>
        <v>0</v>
      </c>
      <c r="AB73" s="304">
        <f t="shared" ca="1" si="167"/>
        <v>0</v>
      </c>
      <c r="AC73" s="304">
        <f t="shared" ca="1" si="167"/>
        <v>0</v>
      </c>
      <c r="AD73" s="304">
        <f t="shared" ca="1" si="167"/>
        <v>0</v>
      </c>
      <c r="AE73" s="304">
        <f t="shared" ca="1" si="167"/>
        <v>0</v>
      </c>
      <c r="AF73" s="304">
        <f t="shared" ca="1" si="167"/>
        <v>0</v>
      </c>
      <c r="AG73" s="304">
        <f t="shared" ca="1" si="167"/>
        <v>0</v>
      </c>
      <c r="AH73" s="305">
        <f t="shared" ca="1" si="159"/>
        <v>-51.032654334219728</v>
      </c>
      <c r="AI73" s="84"/>
      <c r="AJ73" s="312">
        <f t="shared" ref="AJ73:AR73" ca="1" si="169">IFERROR(INDEX(INDIRECT($C73&amp;".Outputs["&amp;this.Year&amp;"]"), MATCH(AJ$5, INDIRECT($C73&amp;".Outputs[Vector]"), 0)), 0)</f>
        <v>0</v>
      </c>
      <c r="AK73" s="312">
        <f t="shared" ca="1" si="169"/>
        <v>0</v>
      </c>
      <c r="AL73" s="312">
        <f t="shared" ca="1" si="169"/>
        <v>0</v>
      </c>
      <c r="AM73" s="312">
        <f t="shared" ca="1" si="169"/>
        <v>0</v>
      </c>
      <c r="AN73" s="312">
        <f t="shared" ca="1" si="169"/>
        <v>0</v>
      </c>
      <c r="AO73" s="312">
        <f t="shared" ca="1" si="169"/>
        <v>0</v>
      </c>
      <c r="AP73" s="312">
        <f t="shared" ca="1" si="169"/>
        <v>0</v>
      </c>
      <c r="AQ73" s="312">
        <f t="shared" ca="1" si="169"/>
        <v>0</v>
      </c>
      <c r="AR73" s="312">
        <f t="shared" ca="1" si="169"/>
        <v>0</v>
      </c>
      <c r="AS73" s="312">
        <f t="shared" ref="AS73:AX73" ca="1" si="170">IFERROR(INDEX(INDIRECT($C73&amp;".Outputs["&amp;this.Year&amp;"]"), MATCH(AS$5, INDIRECT($C73&amp;".Outputs[Vector]"), 0)), 0)</f>
        <v>0</v>
      </c>
      <c r="AT73" s="312">
        <f t="shared" ca="1" si="170"/>
        <v>0</v>
      </c>
      <c r="AU73" s="312">
        <f t="shared" ca="1" si="170"/>
        <v>0</v>
      </c>
      <c r="AV73" s="312">
        <f t="shared" ca="1" si="170"/>
        <v>0</v>
      </c>
      <c r="AW73" s="312">
        <f t="shared" ca="1" si="170"/>
        <v>0</v>
      </c>
      <c r="AX73" s="312">
        <f t="shared" ca="1" si="170"/>
        <v>0</v>
      </c>
      <c r="AY73" s="266">
        <f t="shared" ca="1" si="147"/>
        <v>0</v>
      </c>
      <c r="AZ73" s="84"/>
      <c r="BA73" s="308">
        <f ca="1">IFERROR(INDEX(INDIRECT($C73&amp;".Outputs["&amp;this.Year&amp;"]"), MATCH(BA$5, INDIRECT($C73&amp;".Outputs[Vector]"), 0)), 0)</f>
        <v>0</v>
      </c>
      <c r="BB73" s="308">
        <f ca="1">IFERROR(INDEX(INDIRECT($C73&amp;".Outputs["&amp;this.Year&amp;"]"), MATCH(BB$5, INDIRECT($C73&amp;".Outputs[Vector]"), 0)), 0)</f>
        <v>51.032654334219735</v>
      </c>
      <c r="BC73" s="309">
        <f t="shared" ca="1" si="160"/>
        <v>51.032654334219735</v>
      </c>
      <c r="BD73" s="84"/>
      <c r="BE73" s="164">
        <f ca="1">P73+AH73+AY73+BC73</f>
        <v>0</v>
      </c>
      <c r="BF73" s="135"/>
      <c r="BH73" s="541">
        <f t="shared" ref="BH73:BQ73" ca="1" si="171">IFERROR(SUMIFS(INDIRECT($C73&amp;".Emissions["&amp;this.Year&amp;"]"), INDIRECT($C73&amp;".Emissions[GHG]"), BH$6, INDIRECT($C73&amp;".Emissions[IPCC Sector]"), BH$5),0)</f>
        <v>0</v>
      </c>
      <c r="BI73" s="542">
        <f t="shared" ca="1" si="171"/>
        <v>0</v>
      </c>
      <c r="BJ73" s="542">
        <f t="shared" ca="1" si="171"/>
        <v>0</v>
      </c>
      <c r="BK73" s="542">
        <f t="shared" ca="1" si="171"/>
        <v>0</v>
      </c>
      <c r="BL73" s="542">
        <f t="shared" ca="1" si="171"/>
        <v>0</v>
      </c>
      <c r="BM73" s="542">
        <f t="shared" ca="1" si="171"/>
        <v>0</v>
      </c>
      <c r="BN73" s="542">
        <f t="shared" ca="1" si="171"/>
        <v>0</v>
      </c>
      <c r="BO73" s="542">
        <f t="shared" ca="1" si="171"/>
        <v>0</v>
      </c>
      <c r="BP73" s="542">
        <f t="shared" ca="1" si="171"/>
        <v>0</v>
      </c>
      <c r="BQ73" s="542">
        <f t="shared" ca="1" si="171"/>
        <v>0</v>
      </c>
      <c r="BR73" s="542">
        <f t="shared" ref="BR73:CA73" ca="1" si="172">IFERROR(SUMIFS(INDIRECT($C73&amp;".Emissions["&amp;this.Year&amp;"]"), INDIRECT($C73&amp;".Emissions[GHG]"), BR$6, INDIRECT($C73&amp;".Emissions[IPCC Sector]"), BR$5),0)</f>
        <v>0</v>
      </c>
      <c r="BS73" s="542">
        <f t="shared" ca="1" si="172"/>
        <v>0</v>
      </c>
      <c r="BT73" s="542">
        <f t="shared" ca="1" si="172"/>
        <v>0</v>
      </c>
      <c r="BU73" s="542">
        <f t="shared" ca="1" si="172"/>
        <v>0</v>
      </c>
      <c r="BV73" s="542">
        <f t="shared" ca="1" si="172"/>
        <v>0</v>
      </c>
      <c r="BW73" s="542">
        <f t="shared" ca="1" si="172"/>
        <v>0</v>
      </c>
      <c r="BX73" s="542">
        <f t="shared" ca="1" si="172"/>
        <v>0</v>
      </c>
      <c r="BY73" s="542">
        <f t="shared" ca="1" si="172"/>
        <v>0</v>
      </c>
      <c r="BZ73" s="542">
        <f t="shared" ca="1" si="172"/>
        <v>0</v>
      </c>
      <c r="CA73" s="542">
        <f t="shared" ca="1" si="172"/>
        <v>0</v>
      </c>
      <c r="CB73" s="542">
        <f t="shared" ref="CB73:CK73" ca="1" si="173">IFERROR(SUMIFS(INDIRECT($C73&amp;".Emissions["&amp;this.Year&amp;"]"), INDIRECT($C73&amp;".Emissions[GHG]"), CB$6, INDIRECT($C73&amp;".Emissions[IPCC Sector]"), CB$5),0)</f>
        <v>0</v>
      </c>
      <c r="CC73" s="542">
        <f t="shared" ca="1" si="173"/>
        <v>0</v>
      </c>
      <c r="CD73" s="542">
        <f t="shared" ca="1" si="173"/>
        <v>0</v>
      </c>
      <c r="CE73" s="542">
        <f t="shared" ca="1" si="173"/>
        <v>0</v>
      </c>
      <c r="CF73" s="542">
        <f t="shared" ca="1" si="173"/>
        <v>0</v>
      </c>
      <c r="CG73" s="542">
        <f t="shared" ca="1" si="173"/>
        <v>0</v>
      </c>
      <c r="CH73" s="542">
        <f t="shared" ca="1" si="173"/>
        <v>0</v>
      </c>
      <c r="CI73" s="542">
        <f t="shared" ca="1" si="173"/>
        <v>0</v>
      </c>
      <c r="CJ73" s="542">
        <f t="shared" ca="1" si="173"/>
        <v>0</v>
      </c>
      <c r="CK73" s="542">
        <f t="shared" ca="1" si="173"/>
        <v>0</v>
      </c>
      <c r="CL73" s="542">
        <f t="shared" ref="CL73:CU73" ca="1" si="174">IFERROR(SUMIFS(INDIRECT($C73&amp;".Emissions["&amp;this.Year&amp;"]"), INDIRECT($C73&amp;".Emissions[GHG]"), CL$6, INDIRECT($C73&amp;".Emissions[IPCC Sector]"), CL$5),0)</f>
        <v>0</v>
      </c>
      <c r="CM73" s="542">
        <f t="shared" ca="1" si="174"/>
        <v>0</v>
      </c>
      <c r="CN73" s="542">
        <f t="shared" ca="1" si="174"/>
        <v>0</v>
      </c>
      <c r="CO73" s="542">
        <f t="shared" ca="1" si="174"/>
        <v>0</v>
      </c>
      <c r="CP73" s="542">
        <f t="shared" ca="1" si="174"/>
        <v>0</v>
      </c>
      <c r="CQ73" s="542">
        <f t="shared" ca="1" si="174"/>
        <v>0</v>
      </c>
      <c r="CR73" s="542">
        <f t="shared" ca="1" si="174"/>
        <v>0</v>
      </c>
      <c r="CS73" s="542">
        <f t="shared" ca="1" si="174"/>
        <v>0</v>
      </c>
      <c r="CT73" s="542">
        <f t="shared" ca="1" si="174"/>
        <v>0</v>
      </c>
      <c r="CU73" s="542">
        <f t="shared" ca="1" si="174"/>
        <v>0</v>
      </c>
      <c r="CW73" s="151"/>
    </row>
    <row r="74" spans="1:101" s="18" customFormat="1" ht="12.75" customHeight="1" x14ac:dyDescent="0.2">
      <c r="B74" s="89"/>
      <c r="C74" s="85" t="s">
        <v>226</v>
      </c>
      <c r="D74" s="57" t="str">
        <f>INDEX(Workstreams[Workstream], MATCH($C74, Workstreams[Code], 0))</f>
        <v>Electricity distribution, storage &amp; balancing</v>
      </c>
      <c r="E74" s="53"/>
      <c r="F74" s="84"/>
      <c r="G74" s="245">
        <f ca="1">G$71+G$73</f>
        <v>0</v>
      </c>
      <c r="H74" s="245">
        <f t="shared" ref="H74:BS74" ca="1" si="175">H$71+H$73</f>
        <v>0</v>
      </c>
      <c r="I74" s="245">
        <f t="shared" ca="1" si="175"/>
        <v>0</v>
      </c>
      <c r="J74" s="245">
        <f t="shared" ca="1" si="175"/>
        <v>0</v>
      </c>
      <c r="K74" s="245">
        <f t="shared" ca="1" si="175"/>
        <v>0</v>
      </c>
      <c r="L74" s="245">
        <f t="shared" ca="1" si="175"/>
        <v>0</v>
      </c>
      <c r="M74" s="245">
        <f t="shared" ca="1" si="175"/>
        <v>0</v>
      </c>
      <c r="N74" s="245">
        <f t="shared" ca="1" si="175"/>
        <v>0</v>
      </c>
      <c r="O74" s="245">
        <f t="shared" ca="1" si="175"/>
        <v>0</v>
      </c>
      <c r="P74" s="245">
        <f t="shared" ca="1" si="136"/>
        <v>0</v>
      </c>
      <c r="Q74" s="245">
        <f t="shared" si="175"/>
        <v>0</v>
      </c>
      <c r="R74" s="245">
        <f t="shared" ca="1" si="175"/>
        <v>0</v>
      </c>
      <c r="S74" s="245">
        <f t="shared" ca="1" si="175"/>
        <v>-51.557654334219727</v>
      </c>
      <c r="T74" s="245">
        <f t="shared" ca="1" si="175"/>
        <v>0</v>
      </c>
      <c r="U74" s="245">
        <f t="shared" ca="1" si="175"/>
        <v>0</v>
      </c>
      <c r="V74" s="245">
        <f t="shared" ca="1" si="175"/>
        <v>0</v>
      </c>
      <c r="W74" s="245">
        <f t="shared" ca="1" si="175"/>
        <v>0</v>
      </c>
      <c r="X74" s="245">
        <f t="shared" ca="1" si="175"/>
        <v>0</v>
      </c>
      <c r="Y74" s="245">
        <f t="shared" ca="1" si="175"/>
        <v>0</v>
      </c>
      <c r="Z74" s="245">
        <f t="shared" ca="1" si="175"/>
        <v>0</v>
      </c>
      <c r="AA74" s="245">
        <f t="shared" ca="1" si="175"/>
        <v>0</v>
      </c>
      <c r="AB74" s="245">
        <f t="shared" ca="1" si="175"/>
        <v>0</v>
      </c>
      <c r="AC74" s="245">
        <f t="shared" ca="1" si="175"/>
        <v>0</v>
      </c>
      <c r="AD74" s="245">
        <f t="shared" ca="1" si="175"/>
        <v>0</v>
      </c>
      <c r="AE74" s="245">
        <f t="shared" ca="1" si="175"/>
        <v>0</v>
      </c>
      <c r="AF74" s="245">
        <f t="shared" ca="1" si="175"/>
        <v>0</v>
      </c>
      <c r="AG74" s="245">
        <f t="shared" ca="1" si="175"/>
        <v>0</v>
      </c>
      <c r="AH74" s="245">
        <f t="shared" ca="1" si="159"/>
        <v>-51.557654334219727</v>
      </c>
      <c r="AI74" s="245">
        <f t="shared" si="175"/>
        <v>0</v>
      </c>
      <c r="AJ74" s="245">
        <f t="shared" ca="1" si="175"/>
        <v>0</v>
      </c>
      <c r="AK74" s="245">
        <f t="shared" ca="1" si="175"/>
        <v>0</v>
      </c>
      <c r="AL74" s="245">
        <f t="shared" ca="1" si="175"/>
        <v>0</v>
      </c>
      <c r="AM74" s="245">
        <f t="shared" ca="1" si="175"/>
        <v>0</v>
      </c>
      <c r="AN74" s="245">
        <f t="shared" ca="1" si="175"/>
        <v>0.52500000000000002</v>
      </c>
      <c r="AO74" s="245">
        <f t="shared" ca="1" si="175"/>
        <v>0</v>
      </c>
      <c r="AP74" s="245">
        <f t="shared" ca="1" si="175"/>
        <v>0</v>
      </c>
      <c r="AQ74" s="245">
        <f t="shared" ca="1" si="175"/>
        <v>0</v>
      </c>
      <c r="AR74" s="245">
        <f t="shared" ca="1" si="175"/>
        <v>0</v>
      </c>
      <c r="AS74" s="245">
        <f t="shared" ca="1" si="175"/>
        <v>0</v>
      </c>
      <c r="AT74" s="245">
        <f t="shared" ca="1" si="175"/>
        <v>0</v>
      </c>
      <c r="AU74" s="245">
        <f t="shared" ca="1" si="175"/>
        <v>0</v>
      </c>
      <c r="AV74" s="245">
        <f t="shared" ca="1" si="175"/>
        <v>0</v>
      </c>
      <c r="AW74" s="245">
        <f t="shared" ca="1" si="175"/>
        <v>0</v>
      </c>
      <c r="AX74" s="245">
        <f t="shared" ca="1" si="175"/>
        <v>0</v>
      </c>
      <c r="AY74" s="245">
        <f t="shared" ca="1" si="147"/>
        <v>0.52500000000000002</v>
      </c>
      <c r="AZ74" s="245">
        <f t="shared" si="175"/>
        <v>0</v>
      </c>
      <c r="BA74" s="245">
        <f t="shared" ca="1" si="175"/>
        <v>0</v>
      </c>
      <c r="BB74" s="245">
        <f t="shared" ca="1" si="175"/>
        <v>51.032654334219735</v>
      </c>
      <c r="BC74" s="245">
        <f t="shared" ca="1" si="160"/>
        <v>51.032654334219735</v>
      </c>
      <c r="BD74" s="245">
        <f t="shared" si="175"/>
        <v>0</v>
      </c>
      <c r="BE74" s="245">
        <f t="shared" ca="1" si="175"/>
        <v>0</v>
      </c>
      <c r="BF74" s="245">
        <f t="shared" si="175"/>
        <v>0</v>
      </c>
      <c r="BG74" s="245">
        <f t="shared" si="175"/>
        <v>0</v>
      </c>
      <c r="BH74" s="245">
        <f t="shared" ca="1" si="175"/>
        <v>0</v>
      </c>
      <c r="BI74" s="245">
        <f t="shared" ca="1" si="175"/>
        <v>0</v>
      </c>
      <c r="BJ74" s="245">
        <f t="shared" ca="1" si="175"/>
        <v>0</v>
      </c>
      <c r="BK74" s="245">
        <f t="shared" ca="1" si="175"/>
        <v>0</v>
      </c>
      <c r="BL74" s="245">
        <f t="shared" ca="1" si="175"/>
        <v>0</v>
      </c>
      <c r="BM74" s="245">
        <f t="shared" ca="1" si="175"/>
        <v>0</v>
      </c>
      <c r="BN74" s="245">
        <f t="shared" ca="1" si="175"/>
        <v>0</v>
      </c>
      <c r="BO74" s="245">
        <f t="shared" ca="1" si="175"/>
        <v>0</v>
      </c>
      <c r="BP74" s="245">
        <f t="shared" ca="1" si="175"/>
        <v>0</v>
      </c>
      <c r="BQ74" s="245">
        <f t="shared" ca="1" si="175"/>
        <v>0</v>
      </c>
      <c r="BR74" s="245">
        <f t="shared" ca="1" si="175"/>
        <v>0</v>
      </c>
      <c r="BS74" s="245">
        <f t="shared" ca="1" si="175"/>
        <v>0</v>
      </c>
      <c r="BT74" s="245">
        <f t="shared" ref="BT74:CW74" ca="1" si="176">BT$71+BT$73</f>
        <v>0</v>
      </c>
      <c r="BU74" s="245">
        <f t="shared" ca="1" si="176"/>
        <v>0</v>
      </c>
      <c r="BV74" s="245">
        <f t="shared" ca="1" si="176"/>
        <v>0</v>
      </c>
      <c r="BW74" s="245">
        <f t="shared" ca="1" si="176"/>
        <v>0</v>
      </c>
      <c r="BX74" s="245">
        <f t="shared" ca="1" si="176"/>
        <v>0</v>
      </c>
      <c r="BY74" s="245">
        <f t="shared" ca="1" si="176"/>
        <v>0</v>
      </c>
      <c r="BZ74" s="245">
        <f t="shared" ca="1" si="176"/>
        <v>0</v>
      </c>
      <c r="CA74" s="245">
        <f t="shared" ca="1" si="176"/>
        <v>0</v>
      </c>
      <c r="CB74" s="245">
        <f t="shared" ca="1" si="176"/>
        <v>0</v>
      </c>
      <c r="CC74" s="245">
        <f t="shared" ca="1" si="176"/>
        <v>0</v>
      </c>
      <c r="CD74" s="245">
        <f t="shared" ca="1" si="176"/>
        <v>0</v>
      </c>
      <c r="CE74" s="245">
        <f t="shared" ca="1" si="176"/>
        <v>0</v>
      </c>
      <c r="CF74" s="245">
        <f t="shared" ca="1" si="176"/>
        <v>0</v>
      </c>
      <c r="CG74" s="245">
        <f t="shared" ca="1" si="176"/>
        <v>0</v>
      </c>
      <c r="CH74" s="245">
        <f t="shared" ca="1" si="176"/>
        <v>0</v>
      </c>
      <c r="CI74" s="245">
        <f t="shared" ca="1" si="176"/>
        <v>0</v>
      </c>
      <c r="CJ74" s="245">
        <f t="shared" ca="1" si="176"/>
        <v>0</v>
      </c>
      <c r="CK74" s="245">
        <f t="shared" ca="1" si="176"/>
        <v>0</v>
      </c>
      <c r="CL74" s="245">
        <f t="shared" ca="1" si="176"/>
        <v>0</v>
      </c>
      <c r="CM74" s="245">
        <f t="shared" ca="1" si="176"/>
        <v>0</v>
      </c>
      <c r="CN74" s="245">
        <f t="shared" ca="1" si="176"/>
        <v>0</v>
      </c>
      <c r="CO74" s="245">
        <f t="shared" ca="1" si="176"/>
        <v>0</v>
      </c>
      <c r="CP74" s="245">
        <f t="shared" ca="1" si="176"/>
        <v>0</v>
      </c>
      <c r="CQ74" s="245">
        <f t="shared" ca="1" si="176"/>
        <v>0</v>
      </c>
      <c r="CR74" s="245">
        <f t="shared" ca="1" si="176"/>
        <v>0</v>
      </c>
      <c r="CS74" s="245">
        <f t="shared" ca="1" si="176"/>
        <v>0</v>
      </c>
      <c r="CT74" s="245">
        <f t="shared" ca="1" si="176"/>
        <v>0</v>
      </c>
      <c r="CU74" s="245">
        <f t="shared" ca="1" si="176"/>
        <v>0</v>
      </c>
      <c r="CV74" s="245">
        <f t="shared" si="176"/>
        <v>0</v>
      </c>
      <c r="CW74" s="245">
        <f t="shared" si="176"/>
        <v>0</v>
      </c>
    </row>
    <row r="75" spans="1:101" s="84" customFormat="1" ht="12.75" customHeight="1" outlineLevel="1" x14ac:dyDescent="0.2">
      <c r="A75" s="18"/>
      <c r="B75" s="18"/>
      <c r="C75" s="87"/>
      <c r="D75" s="53"/>
      <c r="E75" s="53"/>
      <c r="G75" s="245"/>
      <c r="H75" s="245"/>
      <c r="I75" s="245"/>
      <c r="J75" s="245"/>
      <c r="K75" s="245"/>
      <c r="L75" s="247"/>
      <c r="M75" s="245"/>
      <c r="N75" s="245"/>
      <c r="O75" s="245"/>
      <c r="P75" s="245">
        <f t="shared" si="136"/>
        <v>0</v>
      </c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>
        <f t="shared" si="159"/>
        <v>0</v>
      </c>
      <c r="AJ75" s="263"/>
      <c r="AK75" s="263"/>
      <c r="AL75" s="263"/>
      <c r="AM75" s="263"/>
      <c r="AN75" s="263"/>
      <c r="AO75" s="263"/>
      <c r="AP75" s="263"/>
      <c r="AQ75" s="263"/>
      <c r="AR75" s="263"/>
      <c r="AS75" s="263"/>
      <c r="AT75" s="263"/>
      <c r="AU75" s="263"/>
      <c r="AV75" s="263"/>
      <c r="AW75" s="263"/>
      <c r="AX75" s="263"/>
      <c r="AY75" s="263">
        <f t="shared" si="147"/>
        <v>0</v>
      </c>
      <c r="BA75" s="277"/>
      <c r="BB75" s="277"/>
      <c r="BC75" s="277">
        <f t="shared" si="160"/>
        <v>0</v>
      </c>
      <c r="BE75" s="55">
        <f>P75+AH75+AY75+BC75</f>
        <v>0</v>
      </c>
      <c r="BF75" s="55"/>
      <c r="BG75" s="1428"/>
      <c r="BH75" s="542"/>
      <c r="BI75" s="542"/>
      <c r="BJ75" s="542"/>
      <c r="BK75" s="542"/>
      <c r="BL75" s="542"/>
      <c r="BM75" s="542"/>
      <c r="BN75" s="542"/>
      <c r="BO75" s="542"/>
      <c r="BP75" s="542"/>
      <c r="BQ75" s="542"/>
      <c r="BR75" s="542"/>
      <c r="BS75" s="542"/>
      <c r="BT75" s="542"/>
      <c r="BU75" s="542"/>
      <c r="BV75" s="542"/>
      <c r="BW75" s="542"/>
      <c r="BX75" s="542"/>
      <c r="BY75" s="542"/>
      <c r="BZ75" s="542"/>
      <c r="CA75" s="542"/>
      <c r="CB75" s="542"/>
      <c r="CC75" s="542"/>
      <c r="CD75" s="542"/>
      <c r="CE75" s="542"/>
      <c r="CF75" s="542"/>
      <c r="CG75" s="542"/>
      <c r="CH75" s="542"/>
      <c r="CI75" s="542"/>
      <c r="CJ75" s="542"/>
      <c r="CK75" s="542"/>
      <c r="CL75" s="542"/>
      <c r="CM75" s="542"/>
      <c r="CN75" s="542"/>
      <c r="CO75" s="542"/>
      <c r="CP75" s="542"/>
      <c r="CQ75" s="542"/>
      <c r="CR75" s="542"/>
      <c r="CS75" s="542"/>
      <c r="CT75" s="542"/>
      <c r="CU75" s="542"/>
      <c r="CW75" s="151">
        <f t="shared" ref="CW75:CW85" si="177">SUM(BH75:CU75)</f>
        <v>0</v>
      </c>
    </row>
    <row r="76" spans="1:101" s="550" customFormat="1" ht="12.75" customHeight="1" outlineLevel="1" x14ac:dyDescent="0.2">
      <c r="C76" s="566" t="s">
        <v>859</v>
      </c>
      <c r="D76" s="567" t="s">
        <v>817</v>
      </c>
      <c r="E76" s="567"/>
      <c r="G76" s="333"/>
      <c r="H76" s="333"/>
      <c r="I76" s="333"/>
      <c r="J76" s="333"/>
      <c r="K76" s="333"/>
      <c r="L76" s="334"/>
      <c r="M76" s="333"/>
      <c r="N76" s="333"/>
      <c r="O76" s="333"/>
      <c r="P76" s="333">
        <f t="shared" si="136"/>
        <v>0</v>
      </c>
      <c r="R76" s="335"/>
      <c r="S76" s="335"/>
      <c r="T76" s="335">
        <f ca="1">(T$28+T$66+T$74)</f>
        <v>-122.5769415325465</v>
      </c>
      <c r="U76" s="335">
        <f ca="1">(U$28+U$66+U$74)</f>
        <v>-192.49549654130479</v>
      </c>
      <c r="V76" s="335">
        <f ca="1">(V$28+V$66+V$74)</f>
        <v>-685.1459402163606</v>
      </c>
      <c r="W76" s="335">
        <f ca="1">(W$28+W$66+W$74)</f>
        <v>-161.01204691117439</v>
      </c>
      <c r="X76" s="335"/>
      <c r="Y76" s="335"/>
      <c r="Z76" s="335"/>
      <c r="AA76" s="335"/>
      <c r="AB76" s="335">
        <f t="shared" ref="AB76:AG76" ca="1" si="178">(AB$28+AB$66+AB$74)</f>
        <v>0</v>
      </c>
      <c r="AC76" s="335">
        <f t="shared" ca="1" si="178"/>
        <v>2078.4468203239321</v>
      </c>
      <c r="AD76" s="335">
        <f t="shared" ca="1" si="178"/>
        <v>16.368620785239571</v>
      </c>
      <c r="AE76" s="335">
        <f t="shared" ca="1" si="178"/>
        <v>228.27574607949157</v>
      </c>
      <c r="AF76" s="335">
        <f t="shared" ca="1" si="178"/>
        <v>67.248031985705921</v>
      </c>
      <c r="AG76" s="335">
        <f t="shared" ca="1" si="178"/>
        <v>8.716547040987356</v>
      </c>
      <c r="AH76" s="335">
        <f t="shared" ca="1" si="159"/>
        <v>1237.8253410139703</v>
      </c>
      <c r="AJ76" s="336"/>
      <c r="AK76" s="336"/>
      <c r="AL76" s="336"/>
      <c r="AM76" s="336"/>
      <c r="AN76" s="336"/>
      <c r="AO76" s="336"/>
      <c r="AP76" s="336"/>
      <c r="AQ76" s="336"/>
      <c r="AR76" s="336"/>
      <c r="AS76" s="336"/>
      <c r="AT76" s="336"/>
      <c r="AU76" s="336"/>
      <c r="AV76" s="336"/>
      <c r="AW76" s="336"/>
      <c r="AX76" s="336">
        <f ca="1">AX28+AX36</f>
        <v>-309.82678506451816</v>
      </c>
      <c r="AY76" s="336">
        <f t="shared" ca="1" si="147"/>
        <v>-309.82678506451816</v>
      </c>
      <c r="BA76" s="337"/>
      <c r="BB76" s="337"/>
      <c r="BC76" s="337">
        <f t="shared" si="160"/>
        <v>0</v>
      </c>
      <c r="BE76" s="568"/>
      <c r="BF76" s="568"/>
      <c r="BG76" s="569"/>
      <c r="BH76" s="570"/>
      <c r="BI76" s="570"/>
      <c r="BJ76" s="570"/>
      <c r="BK76" s="570"/>
      <c r="BL76" s="570"/>
      <c r="BM76" s="570"/>
      <c r="BN76" s="570"/>
      <c r="BO76" s="570"/>
      <c r="BP76" s="570"/>
      <c r="BQ76" s="570"/>
      <c r="BR76" s="570"/>
      <c r="BS76" s="570"/>
      <c r="BT76" s="570"/>
      <c r="BU76" s="570"/>
      <c r="BV76" s="570"/>
      <c r="BW76" s="570"/>
      <c r="BX76" s="570"/>
      <c r="BY76" s="570"/>
      <c r="BZ76" s="570"/>
      <c r="CA76" s="570"/>
      <c r="CB76" s="570"/>
      <c r="CC76" s="570"/>
      <c r="CD76" s="570"/>
      <c r="CE76" s="570"/>
      <c r="CF76" s="570"/>
      <c r="CG76" s="570"/>
      <c r="CH76" s="570"/>
      <c r="CI76" s="570"/>
      <c r="CJ76" s="570"/>
      <c r="CK76" s="570"/>
      <c r="CL76" s="570"/>
      <c r="CM76" s="570"/>
      <c r="CN76" s="570"/>
      <c r="CO76" s="570"/>
      <c r="CP76" s="570"/>
      <c r="CQ76" s="570"/>
      <c r="CR76" s="570"/>
      <c r="CS76" s="570"/>
      <c r="CT76" s="570"/>
      <c r="CU76" s="570"/>
      <c r="CW76" s="569">
        <f t="shared" si="177"/>
        <v>0</v>
      </c>
    </row>
    <row r="77" spans="1:101" s="882" customFormat="1" ht="12.75" customHeight="1" outlineLevel="1" x14ac:dyDescent="0.2">
      <c r="A77" s="879"/>
      <c r="B77" s="879"/>
      <c r="C77" s="880" t="s">
        <v>400</v>
      </c>
      <c r="D77" s="881" t="str">
        <f>INDEX(Modules[Module], MATCH($C77, Modules[Code], 0))</f>
        <v>Types of fuel from Biomass</v>
      </c>
      <c r="E77" s="881"/>
      <c r="G77" s="326">
        <f t="shared" ref="G77:O79" ca="1" si="179">IFERROR(INDEX(INDIRECT($C77&amp;".Outputs["&amp;this.Year&amp;"]"), MATCH(G$5, INDIRECT($C77&amp;".Outputs[Vector]"), 0)), 0)</f>
        <v>0</v>
      </c>
      <c r="H77" s="326">
        <f t="shared" ca="1" si="179"/>
        <v>0</v>
      </c>
      <c r="I77" s="326">
        <f t="shared" ca="1" si="179"/>
        <v>0</v>
      </c>
      <c r="J77" s="326">
        <f t="shared" ca="1" si="179"/>
        <v>0</v>
      </c>
      <c r="K77" s="326">
        <f t="shared" ca="1" si="179"/>
        <v>0</v>
      </c>
      <c r="L77" s="326">
        <f t="shared" ca="1" si="179"/>
        <v>0</v>
      </c>
      <c r="M77" s="326">
        <f t="shared" ca="1" si="179"/>
        <v>0</v>
      </c>
      <c r="N77" s="326">
        <f t="shared" ca="1" si="179"/>
        <v>0</v>
      </c>
      <c r="O77" s="326">
        <f t="shared" ca="1" si="179"/>
        <v>0</v>
      </c>
      <c r="P77" s="326">
        <f t="shared" ca="1" si="136"/>
        <v>0</v>
      </c>
      <c r="R77" s="327">
        <f t="shared" ref="R77:AG79" ca="1" si="180">IFERROR(INDEX(INDIRECT($C77&amp;".Outputs["&amp;this.Year&amp;"]"), MATCH(R$5, INDIRECT($C77&amp;".Outputs[Vector]"), 0)), 0)</f>
        <v>0</v>
      </c>
      <c r="S77" s="327">
        <f t="shared" ca="1" si="180"/>
        <v>0</v>
      </c>
      <c r="T77" s="327">
        <f t="shared" ca="1" si="180"/>
        <v>0</v>
      </c>
      <c r="U77" s="327">
        <f t="shared" ca="1" si="180"/>
        <v>4.1379873345085638</v>
      </c>
      <c r="V77" s="327">
        <f t="shared" ca="1" si="180"/>
        <v>621.66023801028632</v>
      </c>
      <c r="W77" s="327">
        <f t="shared" ca="1" si="180"/>
        <v>1467.1714126550114</v>
      </c>
      <c r="X77" s="327">
        <f t="shared" ca="1" si="180"/>
        <v>0</v>
      </c>
      <c r="Y77" s="327">
        <f t="shared" ca="1" si="180"/>
        <v>0</v>
      </c>
      <c r="Z77" s="327">
        <f t="shared" ca="1" si="180"/>
        <v>0</v>
      </c>
      <c r="AA77" s="327">
        <f t="shared" ca="1" si="180"/>
        <v>0</v>
      </c>
      <c r="AB77" s="327">
        <f t="shared" ca="1" si="180"/>
        <v>0</v>
      </c>
      <c r="AC77" s="327">
        <f t="shared" ca="1" si="180"/>
        <v>-2078.4468203239321</v>
      </c>
      <c r="AD77" s="327">
        <f t="shared" ca="1" si="180"/>
        <v>-16.368620785239571</v>
      </c>
      <c r="AE77" s="327">
        <f t="shared" ca="1" si="180"/>
        <v>-228.27574607949157</v>
      </c>
      <c r="AF77" s="327">
        <f t="shared" ca="1" si="180"/>
        <v>-67.248031985705921</v>
      </c>
      <c r="AG77" s="327">
        <f t="shared" ca="1" si="180"/>
        <v>-8.716547040987356</v>
      </c>
      <c r="AH77" s="328">
        <f t="shared" ca="1" si="159"/>
        <v>-306.08612821555022</v>
      </c>
      <c r="AJ77" s="329">
        <f t="shared" ref="AJ77:AX79" ca="1" si="181">IFERROR(INDEX(INDIRECT($C77&amp;".Outputs["&amp;this.Year&amp;"]"), MATCH(AJ$5, INDIRECT($C77&amp;".Outputs[Vector]"), 0)), 0)</f>
        <v>0</v>
      </c>
      <c r="AK77" s="329">
        <f t="shared" ca="1" si="181"/>
        <v>0</v>
      </c>
      <c r="AL77" s="329">
        <f t="shared" ca="1" si="181"/>
        <v>0</v>
      </c>
      <c r="AM77" s="329">
        <f t="shared" ca="1" si="181"/>
        <v>0</v>
      </c>
      <c r="AN77" s="329">
        <f t="shared" ca="1" si="181"/>
        <v>0</v>
      </c>
      <c r="AO77" s="329">
        <f t="shared" ca="1" si="181"/>
        <v>0</v>
      </c>
      <c r="AP77" s="329">
        <f t="shared" ca="1" si="181"/>
        <v>0</v>
      </c>
      <c r="AQ77" s="329">
        <f t="shared" ca="1" si="181"/>
        <v>0</v>
      </c>
      <c r="AR77" s="329">
        <f t="shared" ca="1" si="181"/>
        <v>0</v>
      </c>
      <c r="AS77" s="329">
        <f t="shared" ca="1" si="181"/>
        <v>0</v>
      </c>
      <c r="AT77" s="329">
        <f t="shared" ca="1" si="181"/>
        <v>0</v>
      </c>
      <c r="AU77" s="329">
        <f t="shared" ca="1" si="181"/>
        <v>0</v>
      </c>
      <c r="AV77" s="329">
        <f t="shared" ca="1" si="181"/>
        <v>0</v>
      </c>
      <c r="AW77" s="329">
        <f t="shared" ca="1" si="181"/>
        <v>0</v>
      </c>
      <c r="AX77" s="329">
        <f t="shared" ca="1" si="181"/>
        <v>0</v>
      </c>
      <c r="AY77" s="330">
        <f t="shared" ca="1" si="147"/>
        <v>0</v>
      </c>
      <c r="BA77" s="331">
        <f ca="1">IFERROR(INDEX(INDIRECT($C77&amp;".Outputs["&amp;this.Year&amp;"]"), MATCH(BA$5, INDIRECT($C77&amp;".Outputs[Vector]"), 0)), 0)</f>
        <v>306.08612821555016</v>
      </c>
      <c r="BB77" s="331">
        <f ca="1">IFERROR(INDEX(INDIRECT($C77&amp;".Outputs["&amp;this.Year&amp;"]"), MATCH(BB$5, INDIRECT($C77&amp;".Outputs[Vector]"), 0)), 0)</f>
        <v>0</v>
      </c>
      <c r="BC77" s="332">
        <f t="shared" ca="1" si="160"/>
        <v>306.08612821555016</v>
      </c>
      <c r="BE77" s="883">
        <f ca="1">P77+AH77+AY77+BC77</f>
        <v>0</v>
      </c>
      <c r="BF77" s="883"/>
      <c r="BG77" s="884"/>
      <c r="BH77" s="885">
        <f t="shared" ref="BH77:CU79" ca="1" si="182">IFERROR(SUMIFS(INDIRECT($C77&amp;".Emissions["&amp;this.Year&amp;"]"), INDIRECT($C77&amp;".Emissions[GHG]"), BH$6, INDIRECT($C77&amp;".Emissions[IPCC Sector]"), BH$5),0)</f>
        <v>0</v>
      </c>
      <c r="BI77" s="886">
        <f t="shared" ca="1" si="182"/>
        <v>0</v>
      </c>
      <c r="BJ77" s="886">
        <f t="shared" ca="1" si="182"/>
        <v>0</v>
      </c>
      <c r="BK77" s="886">
        <f t="shared" ca="1" si="182"/>
        <v>0</v>
      </c>
      <c r="BL77" s="886">
        <f t="shared" ca="1" si="182"/>
        <v>0</v>
      </c>
      <c r="BM77" s="886">
        <f t="shared" ca="1" si="182"/>
        <v>0</v>
      </c>
      <c r="BN77" s="886">
        <f t="shared" ca="1" si="182"/>
        <v>0</v>
      </c>
      <c r="BO77" s="886">
        <f t="shared" ca="1" si="182"/>
        <v>0</v>
      </c>
      <c r="BP77" s="886">
        <f t="shared" ca="1" si="182"/>
        <v>0</v>
      </c>
      <c r="BQ77" s="886">
        <f t="shared" ca="1" si="182"/>
        <v>0</v>
      </c>
      <c r="BR77" s="886">
        <f t="shared" ca="1" si="182"/>
        <v>0</v>
      </c>
      <c r="BS77" s="886">
        <f t="shared" ca="1" si="182"/>
        <v>0</v>
      </c>
      <c r="BT77" s="886">
        <f t="shared" ca="1" si="182"/>
        <v>0</v>
      </c>
      <c r="BU77" s="886">
        <f t="shared" ca="1" si="182"/>
        <v>0</v>
      </c>
      <c r="BV77" s="886">
        <f t="shared" ca="1" si="182"/>
        <v>0</v>
      </c>
      <c r="BW77" s="886">
        <f t="shared" ca="1" si="182"/>
        <v>0</v>
      </c>
      <c r="BX77" s="886">
        <f t="shared" ca="1" si="182"/>
        <v>0</v>
      </c>
      <c r="BY77" s="886">
        <f t="shared" ca="1" si="182"/>
        <v>0</v>
      </c>
      <c r="BZ77" s="886">
        <f t="shared" ca="1" si="182"/>
        <v>0</v>
      </c>
      <c r="CA77" s="886">
        <f t="shared" ca="1" si="182"/>
        <v>0</v>
      </c>
      <c r="CB77" s="886">
        <f t="shared" ca="1" si="182"/>
        <v>0</v>
      </c>
      <c r="CC77" s="886">
        <f t="shared" ca="1" si="182"/>
        <v>0</v>
      </c>
      <c r="CD77" s="886">
        <f t="shared" ca="1" si="182"/>
        <v>0</v>
      </c>
      <c r="CE77" s="886">
        <f t="shared" ca="1" si="182"/>
        <v>0</v>
      </c>
      <c r="CF77" s="886">
        <f t="shared" ca="1" si="182"/>
        <v>0</v>
      </c>
      <c r="CG77" s="886">
        <f t="shared" ca="1" si="182"/>
        <v>0</v>
      </c>
      <c r="CH77" s="886">
        <f t="shared" ca="1" si="182"/>
        <v>0</v>
      </c>
      <c r="CI77" s="886">
        <f t="shared" ca="1" si="182"/>
        <v>0</v>
      </c>
      <c r="CJ77" s="886">
        <f t="shared" ca="1" si="182"/>
        <v>0</v>
      </c>
      <c r="CK77" s="886">
        <f t="shared" ca="1" si="182"/>
        <v>0</v>
      </c>
      <c r="CL77" s="886">
        <f t="shared" ca="1" si="182"/>
        <v>0</v>
      </c>
      <c r="CM77" s="886">
        <f t="shared" ca="1" si="182"/>
        <v>0</v>
      </c>
      <c r="CN77" s="886">
        <f t="shared" ca="1" si="182"/>
        <v>-115.41998062751981</v>
      </c>
      <c r="CO77" s="886">
        <f t="shared" ca="1" si="182"/>
        <v>0</v>
      </c>
      <c r="CP77" s="886">
        <f t="shared" ca="1" si="182"/>
        <v>0</v>
      </c>
      <c r="CQ77" s="886">
        <f t="shared" ca="1" si="182"/>
        <v>0</v>
      </c>
      <c r="CR77" s="886">
        <f t="shared" ca="1" si="182"/>
        <v>0</v>
      </c>
      <c r="CS77" s="886">
        <f t="shared" ca="1" si="182"/>
        <v>0</v>
      </c>
      <c r="CT77" s="886">
        <f t="shared" ca="1" si="182"/>
        <v>0</v>
      </c>
      <c r="CU77" s="886">
        <f t="shared" ca="1" si="182"/>
        <v>0</v>
      </c>
      <c r="CW77" s="887">
        <f t="shared" ca="1" si="177"/>
        <v>-115.41998062751981</v>
      </c>
    </row>
    <row r="78" spans="1:101" s="550" customFormat="1" ht="12.75" customHeight="1" outlineLevel="1" x14ac:dyDescent="0.2">
      <c r="C78" s="566" t="s">
        <v>860</v>
      </c>
      <c r="D78" s="567" t="s">
        <v>817</v>
      </c>
      <c r="E78" s="567"/>
      <c r="G78" s="333"/>
      <c r="H78" s="333"/>
      <c r="I78" s="333"/>
      <c r="J78" s="333"/>
      <c r="K78" s="333"/>
      <c r="L78" s="334"/>
      <c r="M78" s="333"/>
      <c r="N78" s="333"/>
      <c r="O78" s="333"/>
      <c r="P78" s="333">
        <f t="shared" si="136"/>
        <v>0</v>
      </c>
      <c r="R78" s="335"/>
      <c r="S78" s="335"/>
      <c r="T78" s="335">
        <f ca="1">T$76+T$77</f>
        <v>-122.5769415325465</v>
      </c>
      <c r="U78" s="335">
        <f ca="1">U$76+U$77</f>
        <v>-188.35750920679624</v>
      </c>
      <c r="V78" s="335">
        <f ca="1">V$76+V$77</f>
        <v>-63.485702206074279</v>
      </c>
      <c r="W78" s="335">
        <f ca="1">W$76+W$77</f>
        <v>1306.159365743837</v>
      </c>
      <c r="X78" s="335"/>
      <c r="Y78" s="335"/>
      <c r="Z78" s="335"/>
      <c r="AA78" s="335"/>
      <c r="AB78" s="335">
        <f t="shared" ref="AB78:AG78" ca="1" si="183">AB$76+AB$77</f>
        <v>0</v>
      </c>
      <c r="AC78" s="335">
        <f t="shared" ca="1" si="183"/>
        <v>0</v>
      </c>
      <c r="AD78" s="335">
        <f t="shared" ca="1" si="183"/>
        <v>0</v>
      </c>
      <c r="AE78" s="335">
        <f t="shared" ca="1" si="183"/>
        <v>0</v>
      </c>
      <c r="AF78" s="335">
        <f t="shared" ca="1" si="183"/>
        <v>0</v>
      </c>
      <c r="AG78" s="335">
        <f t="shared" ca="1" si="183"/>
        <v>0</v>
      </c>
      <c r="AH78" s="335">
        <f t="shared" ca="1" si="159"/>
        <v>931.73921279842</v>
      </c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  <c r="AT78" s="336"/>
      <c r="AU78" s="336"/>
      <c r="AV78" s="336"/>
      <c r="AW78" s="336"/>
      <c r="AX78" s="336">
        <f ca="1">AX30+AX34+AX38</f>
        <v>-30.063531251165315</v>
      </c>
      <c r="AY78" s="336">
        <f t="shared" ca="1" si="147"/>
        <v>-30.063531251165315</v>
      </c>
      <c r="BA78" s="337"/>
      <c r="BB78" s="337"/>
      <c r="BC78" s="337">
        <f t="shared" si="160"/>
        <v>0</v>
      </c>
      <c r="BE78" s="568"/>
      <c r="BF78" s="568"/>
      <c r="BG78" s="569"/>
      <c r="BH78" s="570"/>
      <c r="BI78" s="570"/>
      <c r="BJ78" s="570"/>
      <c r="BK78" s="570"/>
      <c r="BL78" s="570"/>
      <c r="BM78" s="570"/>
      <c r="BN78" s="570"/>
      <c r="BO78" s="570"/>
      <c r="BP78" s="570"/>
      <c r="BQ78" s="570"/>
      <c r="BR78" s="570"/>
      <c r="BS78" s="570"/>
      <c r="BT78" s="570"/>
      <c r="BU78" s="570"/>
      <c r="BV78" s="570"/>
      <c r="BW78" s="570"/>
      <c r="BX78" s="570"/>
      <c r="BY78" s="570"/>
      <c r="BZ78" s="570"/>
      <c r="CA78" s="570"/>
      <c r="CB78" s="570"/>
      <c r="CC78" s="570"/>
      <c r="CD78" s="570"/>
      <c r="CE78" s="570"/>
      <c r="CF78" s="570"/>
      <c r="CG78" s="570"/>
      <c r="CH78" s="570"/>
      <c r="CI78" s="570"/>
      <c r="CJ78" s="570"/>
      <c r="CK78" s="570"/>
      <c r="CL78" s="570"/>
      <c r="CM78" s="570"/>
      <c r="CN78" s="570"/>
      <c r="CO78" s="570"/>
      <c r="CP78" s="570"/>
      <c r="CQ78" s="570"/>
      <c r="CR78" s="570"/>
      <c r="CS78" s="570"/>
      <c r="CT78" s="570"/>
      <c r="CU78" s="570"/>
      <c r="CW78" s="569">
        <f>SUM(BH78:CU78)</f>
        <v>0</v>
      </c>
    </row>
    <row r="79" spans="1:101" s="2685" customFormat="1" ht="12.75" customHeight="1" outlineLevel="1" x14ac:dyDescent="0.2">
      <c r="C79" s="319" t="s">
        <v>838</v>
      </c>
      <c r="D79" s="881" t="str">
        <f>INDEX(Modules[Module], MATCH($C79, Modules[Code], 0))</f>
        <v>Bioenergy imports</v>
      </c>
      <c r="E79" s="163"/>
      <c r="G79" s="326">
        <f t="shared" ca="1" si="179"/>
        <v>0</v>
      </c>
      <c r="H79" s="326">
        <f t="shared" ca="1" si="179"/>
        <v>0</v>
      </c>
      <c r="I79" s="326">
        <f t="shared" ca="1" si="179"/>
        <v>0</v>
      </c>
      <c r="J79" s="326">
        <f t="shared" ca="1" si="179"/>
        <v>0</v>
      </c>
      <c r="K79" s="326">
        <f t="shared" ca="1" si="179"/>
        <v>0</v>
      </c>
      <c r="L79" s="326">
        <f t="shared" ca="1" si="179"/>
        <v>0</v>
      </c>
      <c r="M79" s="326">
        <f t="shared" ca="1" si="179"/>
        <v>0</v>
      </c>
      <c r="N79" s="326">
        <f t="shared" ca="1" si="179"/>
        <v>0</v>
      </c>
      <c r="O79" s="326">
        <f t="shared" ca="1" si="179"/>
        <v>0</v>
      </c>
      <c r="P79" s="326">
        <f t="shared" ref="P79" ca="1" si="184">SUM(G79:O79)</f>
        <v>0</v>
      </c>
      <c r="Q79" s="882"/>
      <c r="R79" s="327">
        <f t="shared" ca="1" si="180"/>
        <v>0</v>
      </c>
      <c r="S79" s="327">
        <f t="shared" ca="1" si="180"/>
        <v>0</v>
      </c>
      <c r="T79" s="327">
        <f t="shared" ca="1" si="180"/>
        <v>0</v>
      </c>
      <c r="U79" s="327">
        <f t="shared" ca="1" si="180"/>
        <v>0</v>
      </c>
      <c r="V79" s="327">
        <f t="shared" ca="1" si="180"/>
        <v>0</v>
      </c>
      <c r="W79" s="327">
        <f t="shared" ca="1" si="180"/>
        <v>-1306.159365743837</v>
      </c>
      <c r="X79" s="327">
        <f t="shared" ca="1" si="180"/>
        <v>0</v>
      </c>
      <c r="Y79" s="327">
        <f t="shared" ca="1" si="180"/>
        <v>0</v>
      </c>
      <c r="Z79" s="327">
        <f t="shared" ca="1" si="180"/>
        <v>0</v>
      </c>
      <c r="AA79" s="327">
        <f t="shared" ca="1" si="180"/>
        <v>0</v>
      </c>
      <c r="AB79" s="327">
        <f t="shared" ca="1" si="180"/>
        <v>0</v>
      </c>
      <c r="AC79" s="327">
        <f t="shared" ca="1" si="180"/>
        <v>0</v>
      </c>
      <c r="AD79" s="327">
        <f t="shared" ca="1" si="180"/>
        <v>0</v>
      </c>
      <c r="AE79" s="327">
        <f t="shared" ca="1" si="180"/>
        <v>0</v>
      </c>
      <c r="AF79" s="327">
        <f t="shared" ca="1" si="180"/>
        <v>0</v>
      </c>
      <c r="AG79" s="327">
        <f t="shared" ca="1" si="180"/>
        <v>0</v>
      </c>
      <c r="AH79" s="328">
        <f t="shared" ca="1" si="159"/>
        <v>-1306.159365743837</v>
      </c>
      <c r="AI79" s="882"/>
      <c r="AJ79" s="329">
        <f t="shared" ca="1" si="181"/>
        <v>0</v>
      </c>
      <c r="AK79" s="329">
        <f t="shared" ca="1" si="181"/>
        <v>0</v>
      </c>
      <c r="AL79" s="329">
        <f t="shared" ca="1" si="181"/>
        <v>0</v>
      </c>
      <c r="AM79" s="329">
        <f t="shared" ca="1" si="181"/>
        <v>1306.159365743837</v>
      </c>
      <c r="AN79" s="329">
        <f t="shared" ca="1" si="181"/>
        <v>0</v>
      </c>
      <c r="AO79" s="329">
        <f t="shared" ca="1" si="181"/>
        <v>0</v>
      </c>
      <c r="AP79" s="329">
        <f t="shared" ca="1" si="181"/>
        <v>0</v>
      </c>
      <c r="AQ79" s="329">
        <f t="shared" ca="1" si="181"/>
        <v>0</v>
      </c>
      <c r="AR79" s="329">
        <f t="shared" ca="1" si="181"/>
        <v>0</v>
      </c>
      <c r="AS79" s="329">
        <f t="shared" ca="1" si="181"/>
        <v>0</v>
      </c>
      <c r="AT79" s="329">
        <f t="shared" ca="1" si="181"/>
        <v>0</v>
      </c>
      <c r="AU79" s="329">
        <f t="shared" ca="1" si="181"/>
        <v>0</v>
      </c>
      <c r="AV79" s="329">
        <f t="shared" ca="1" si="181"/>
        <v>0</v>
      </c>
      <c r="AW79" s="329">
        <f t="shared" ca="1" si="181"/>
        <v>0</v>
      </c>
      <c r="AX79" s="329">
        <f t="shared" ca="1" si="181"/>
        <v>0</v>
      </c>
      <c r="AY79" s="330">
        <f t="shared" ref="AY79" ca="1" si="185">SUM(AJ79:AX79)</f>
        <v>1306.159365743837</v>
      </c>
      <c r="AZ79" s="882"/>
      <c r="BA79" s="331">
        <f ca="1">IFERROR(INDEX(INDIRECT($C79&amp;".Outputs["&amp;this.Year&amp;"]"), MATCH(BA$5, INDIRECT($C79&amp;".Outputs[Vector]"), 0)), 0)</f>
        <v>0</v>
      </c>
      <c r="BB79" s="331">
        <f ca="1">IFERROR(INDEX(INDIRECT($C79&amp;".Outputs["&amp;this.Year&amp;"]"), MATCH(BB$5, INDIRECT($C79&amp;".Outputs[Vector]"), 0)), 0)</f>
        <v>0</v>
      </c>
      <c r="BC79" s="332">
        <f t="shared" ref="BC79" ca="1" si="186">SUM(BA79:BB79)</f>
        <v>0</v>
      </c>
      <c r="BD79" s="882"/>
      <c r="BE79" s="883">
        <f ca="1">P79+AH79+AY79+BC79</f>
        <v>0</v>
      </c>
      <c r="BF79" s="883"/>
      <c r="BG79" s="884"/>
      <c r="BH79" s="885">
        <f t="shared" ca="1" si="182"/>
        <v>0</v>
      </c>
      <c r="BI79" s="886">
        <f t="shared" ca="1" si="182"/>
        <v>0</v>
      </c>
      <c r="BJ79" s="886">
        <f t="shared" ca="1" si="182"/>
        <v>0</v>
      </c>
      <c r="BK79" s="886">
        <f t="shared" ca="1" si="182"/>
        <v>0</v>
      </c>
      <c r="BL79" s="886">
        <f t="shared" ca="1" si="182"/>
        <v>0</v>
      </c>
      <c r="BM79" s="886">
        <f t="shared" ca="1" si="182"/>
        <v>0</v>
      </c>
      <c r="BN79" s="886">
        <f t="shared" ca="1" si="182"/>
        <v>0</v>
      </c>
      <c r="BO79" s="886">
        <f t="shared" ca="1" si="182"/>
        <v>0</v>
      </c>
      <c r="BP79" s="886">
        <f t="shared" ca="1" si="182"/>
        <v>0</v>
      </c>
      <c r="BQ79" s="886">
        <f t="shared" ca="1" si="182"/>
        <v>0</v>
      </c>
      <c r="BR79" s="886">
        <f t="shared" ca="1" si="182"/>
        <v>0</v>
      </c>
      <c r="BS79" s="886">
        <f t="shared" ca="1" si="182"/>
        <v>0</v>
      </c>
      <c r="BT79" s="886">
        <f t="shared" ca="1" si="182"/>
        <v>0</v>
      </c>
      <c r="BU79" s="886">
        <f t="shared" ca="1" si="182"/>
        <v>0</v>
      </c>
      <c r="BV79" s="886">
        <f t="shared" ca="1" si="182"/>
        <v>0</v>
      </c>
      <c r="BW79" s="886">
        <f t="shared" ca="1" si="182"/>
        <v>0</v>
      </c>
      <c r="BX79" s="886">
        <f t="shared" ca="1" si="182"/>
        <v>0</v>
      </c>
      <c r="BY79" s="886">
        <f t="shared" ca="1" si="182"/>
        <v>0</v>
      </c>
      <c r="BZ79" s="886">
        <f t="shared" ca="1" si="182"/>
        <v>0</v>
      </c>
      <c r="CA79" s="886">
        <f t="shared" ca="1" si="182"/>
        <v>0</v>
      </c>
      <c r="CB79" s="886">
        <f t="shared" ca="1" si="182"/>
        <v>0</v>
      </c>
      <c r="CC79" s="886">
        <f t="shared" ca="1" si="182"/>
        <v>0</v>
      </c>
      <c r="CD79" s="886">
        <f t="shared" ca="1" si="182"/>
        <v>0</v>
      </c>
      <c r="CE79" s="886">
        <f t="shared" ca="1" si="182"/>
        <v>0</v>
      </c>
      <c r="CF79" s="886">
        <f t="shared" ca="1" si="182"/>
        <v>0</v>
      </c>
      <c r="CG79" s="886">
        <f t="shared" ca="1" si="182"/>
        <v>0</v>
      </c>
      <c r="CH79" s="886">
        <f t="shared" ca="1" si="182"/>
        <v>0</v>
      </c>
      <c r="CI79" s="886">
        <f t="shared" ca="1" si="182"/>
        <v>0</v>
      </c>
      <c r="CJ79" s="886">
        <f t="shared" ca="1" si="182"/>
        <v>0</v>
      </c>
      <c r="CK79" s="886">
        <f t="shared" ca="1" si="182"/>
        <v>0</v>
      </c>
      <c r="CL79" s="886">
        <f t="shared" ca="1" si="182"/>
        <v>0</v>
      </c>
      <c r="CM79" s="886">
        <f t="shared" ca="1" si="182"/>
        <v>0</v>
      </c>
      <c r="CN79" s="886">
        <f t="shared" ca="1" si="182"/>
        <v>0</v>
      </c>
      <c r="CO79" s="886">
        <f t="shared" ca="1" si="182"/>
        <v>0</v>
      </c>
      <c r="CP79" s="886">
        <f t="shared" ca="1" si="182"/>
        <v>0</v>
      </c>
      <c r="CQ79" s="886">
        <f t="shared" ca="1" si="182"/>
        <v>0</v>
      </c>
      <c r="CR79" s="886">
        <f t="shared" ca="1" si="182"/>
        <v>0</v>
      </c>
      <c r="CS79" s="886">
        <f t="shared" ca="1" si="182"/>
        <v>0</v>
      </c>
      <c r="CT79" s="886">
        <f t="shared" ca="1" si="182"/>
        <v>0</v>
      </c>
      <c r="CU79" s="886">
        <f t="shared" ca="1" si="182"/>
        <v>0</v>
      </c>
      <c r="CV79" s="882"/>
      <c r="CW79" s="887">
        <f t="shared" ref="CW79" ca="1" si="187">SUM(BH79:CU79)</f>
        <v>0</v>
      </c>
    </row>
    <row r="80" spans="1:101" s="84" customFormat="1" ht="15.75" x14ac:dyDescent="0.2">
      <c r="A80" s="18"/>
      <c r="B80" s="89"/>
      <c r="C80" s="85" t="s">
        <v>224</v>
      </c>
      <c r="D80" s="57" t="str">
        <f>INDEX(Workstreams[Workstream], MATCH($C80, Workstreams[Code], 0))</f>
        <v>Bioenergy</v>
      </c>
      <c r="E80" s="53"/>
      <c r="G80" s="300">
        <f ca="1">G$77+G79</f>
        <v>0</v>
      </c>
      <c r="H80" s="300">
        <f t="shared" ref="H80:O80" ca="1" si="188">H$77+H79</f>
        <v>0</v>
      </c>
      <c r="I80" s="300">
        <f t="shared" ca="1" si="188"/>
        <v>0</v>
      </c>
      <c r="J80" s="300">
        <f t="shared" ca="1" si="188"/>
        <v>0</v>
      </c>
      <c r="K80" s="300">
        <f t="shared" ca="1" si="188"/>
        <v>0</v>
      </c>
      <c r="L80" s="300">
        <f t="shared" ca="1" si="188"/>
        <v>0</v>
      </c>
      <c r="M80" s="300">
        <f t="shared" ca="1" si="188"/>
        <v>0</v>
      </c>
      <c r="N80" s="300">
        <f t="shared" ca="1" si="188"/>
        <v>0</v>
      </c>
      <c r="O80" s="300">
        <f t="shared" ca="1" si="188"/>
        <v>0</v>
      </c>
      <c r="P80" s="300">
        <f t="shared" ca="1" si="136"/>
        <v>0</v>
      </c>
      <c r="R80" s="257">
        <f ca="1">R$77+R79</f>
        <v>0</v>
      </c>
      <c r="S80" s="257">
        <f t="shared" ref="S80:AG80" ca="1" si="189">S$77+S79</f>
        <v>0</v>
      </c>
      <c r="T80" s="257">
        <f t="shared" ca="1" si="189"/>
        <v>0</v>
      </c>
      <c r="U80" s="257">
        <f t="shared" ca="1" si="189"/>
        <v>4.1379873345085638</v>
      </c>
      <c r="V80" s="257">
        <f t="shared" ca="1" si="189"/>
        <v>621.66023801028632</v>
      </c>
      <c r="W80" s="257">
        <f t="shared" ca="1" si="189"/>
        <v>161.01204691117437</v>
      </c>
      <c r="X80" s="257">
        <f t="shared" ca="1" si="189"/>
        <v>0</v>
      </c>
      <c r="Y80" s="257">
        <f t="shared" ca="1" si="189"/>
        <v>0</v>
      </c>
      <c r="Z80" s="257">
        <f t="shared" ca="1" si="189"/>
        <v>0</v>
      </c>
      <c r="AA80" s="257">
        <f t="shared" ca="1" si="189"/>
        <v>0</v>
      </c>
      <c r="AB80" s="257">
        <f t="shared" ca="1" si="189"/>
        <v>0</v>
      </c>
      <c r="AC80" s="257">
        <f t="shared" ca="1" si="189"/>
        <v>-2078.4468203239321</v>
      </c>
      <c r="AD80" s="257">
        <f t="shared" ca="1" si="189"/>
        <v>-16.368620785239571</v>
      </c>
      <c r="AE80" s="257">
        <f t="shared" ca="1" si="189"/>
        <v>-228.27574607949157</v>
      </c>
      <c r="AF80" s="257">
        <f t="shared" ca="1" si="189"/>
        <v>-67.248031985705921</v>
      </c>
      <c r="AG80" s="257">
        <f t="shared" ca="1" si="189"/>
        <v>-8.716547040987356</v>
      </c>
      <c r="AH80" s="257">
        <f t="shared" ca="1" si="159"/>
        <v>-1612.2454939593872</v>
      </c>
      <c r="AJ80" s="263">
        <f ca="1">AJ$77+AJ79</f>
        <v>0</v>
      </c>
      <c r="AK80" s="263">
        <f t="shared" ref="AK80:AX80" ca="1" si="190">AK$77+AK79</f>
        <v>0</v>
      </c>
      <c r="AL80" s="263">
        <f t="shared" ca="1" si="190"/>
        <v>0</v>
      </c>
      <c r="AM80" s="263">
        <f t="shared" ca="1" si="190"/>
        <v>1306.159365743837</v>
      </c>
      <c r="AN80" s="263">
        <f t="shared" ca="1" si="190"/>
        <v>0</v>
      </c>
      <c r="AO80" s="263">
        <f t="shared" ca="1" si="190"/>
        <v>0</v>
      </c>
      <c r="AP80" s="263">
        <f t="shared" ca="1" si="190"/>
        <v>0</v>
      </c>
      <c r="AQ80" s="263">
        <f t="shared" ca="1" si="190"/>
        <v>0</v>
      </c>
      <c r="AR80" s="263">
        <f t="shared" ca="1" si="190"/>
        <v>0</v>
      </c>
      <c r="AS80" s="263">
        <f t="shared" ca="1" si="190"/>
        <v>0</v>
      </c>
      <c r="AT80" s="263">
        <f t="shared" ca="1" si="190"/>
        <v>0</v>
      </c>
      <c r="AU80" s="263">
        <f t="shared" ca="1" si="190"/>
        <v>0</v>
      </c>
      <c r="AV80" s="263">
        <f t="shared" ca="1" si="190"/>
        <v>0</v>
      </c>
      <c r="AW80" s="263">
        <f t="shared" ca="1" si="190"/>
        <v>0</v>
      </c>
      <c r="AX80" s="263">
        <f t="shared" ca="1" si="190"/>
        <v>0</v>
      </c>
      <c r="AY80" s="263">
        <f t="shared" ca="1" si="147"/>
        <v>1306.159365743837</v>
      </c>
      <c r="BA80" s="277">
        <f ca="1">BA$77+BA79</f>
        <v>306.08612821555016</v>
      </c>
      <c r="BB80" s="277">
        <f ca="1">BB$77+BB79</f>
        <v>0</v>
      </c>
      <c r="BC80" s="277">
        <f t="shared" ca="1" si="160"/>
        <v>306.08612821555016</v>
      </c>
      <c r="BE80" s="55">
        <f ca="1">P80+AH80+AY80+BC80</f>
        <v>0</v>
      </c>
      <c r="BF80" s="55"/>
      <c r="BG80" s="1428"/>
      <c r="BH80" s="542">
        <f ca="1">BH$77+BH79</f>
        <v>0</v>
      </c>
      <c r="BI80" s="542">
        <f t="shared" ref="BI80:CU80" ca="1" si="191">BI$77+BI79</f>
        <v>0</v>
      </c>
      <c r="BJ80" s="542">
        <f t="shared" ca="1" si="191"/>
        <v>0</v>
      </c>
      <c r="BK80" s="542">
        <f t="shared" ca="1" si="191"/>
        <v>0</v>
      </c>
      <c r="BL80" s="542">
        <f t="shared" ca="1" si="191"/>
        <v>0</v>
      </c>
      <c r="BM80" s="542">
        <f t="shared" ca="1" si="191"/>
        <v>0</v>
      </c>
      <c r="BN80" s="542">
        <f t="shared" ca="1" si="191"/>
        <v>0</v>
      </c>
      <c r="BO80" s="542">
        <f t="shared" ca="1" si="191"/>
        <v>0</v>
      </c>
      <c r="BP80" s="542">
        <f t="shared" ca="1" si="191"/>
        <v>0</v>
      </c>
      <c r="BQ80" s="542">
        <f t="shared" ca="1" si="191"/>
        <v>0</v>
      </c>
      <c r="BR80" s="542">
        <f t="shared" ca="1" si="191"/>
        <v>0</v>
      </c>
      <c r="BS80" s="542">
        <f t="shared" ca="1" si="191"/>
        <v>0</v>
      </c>
      <c r="BT80" s="542">
        <f t="shared" ca="1" si="191"/>
        <v>0</v>
      </c>
      <c r="BU80" s="542">
        <f t="shared" ca="1" si="191"/>
        <v>0</v>
      </c>
      <c r="BV80" s="542">
        <f t="shared" ca="1" si="191"/>
        <v>0</v>
      </c>
      <c r="BW80" s="542">
        <f t="shared" ca="1" si="191"/>
        <v>0</v>
      </c>
      <c r="BX80" s="542">
        <f t="shared" ca="1" si="191"/>
        <v>0</v>
      </c>
      <c r="BY80" s="542">
        <f t="shared" ca="1" si="191"/>
        <v>0</v>
      </c>
      <c r="BZ80" s="542">
        <f t="shared" ca="1" si="191"/>
        <v>0</v>
      </c>
      <c r="CA80" s="542">
        <f t="shared" ca="1" si="191"/>
        <v>0</v>
      </c>
      <c r="CB80" s="542">
        <f t="shared" ca="1" si="191"/>
        <v>0</v>
      </c>
      <c r="CC80" s="542">
        <f t="shared" ca="1" si="191"/>
        <v>0</v>
      </c>
      <c r="CD80" s="542">
        <f t="shared" ca="1" si="191"/>
        <v>0</v>
      </c>
      <c r="CE80" s="542">
        <f t="shared" ca="1" si="191"/>
        <v>0</v>
      </c>
      <c r="CF80" s="542">
        <f t="shared" ca="1" si="191"/>
        <v>0</v>
      </c>
      <c r="CG80" s="542">
        <f t="shared" ca="1" si="191"/>
        <v>0</v>
      </c>
      <c r="CH80" s="542">
        <f t="shared" ca="1" si="191"/>
        <v>0</v>
      </c>
      <c r="CI80" s="542">
        <f t="shared" ca="1" si="191"/>
        <v>0</v>
      </c>
      <c r="CJ80" s="542">
        <f t="shared" ca="1" si="191"/>
        <v>0</v>
      </c>
      <c r="CK80" s="542">
        <f t="shared" ca="1" si="191"/>
        <v>0</v>
      </c>
      <c r="CL80" s="542">
        <f t="shared" ca="1" si="191"/>
        <v>0</v>
      </c>
      <c r="CM80" s="542">
        <f t="shared" ca="1" si="191"/>
        <v>0</v>
      </c>
      <c r="CN80" s="542">
        <f t="shared" ca="1" si="191"/>
        <v>-115.41998062751981</v>
      </c>
      <c r="CO80" s="542">
        <f t="shared" ca="1" si="191"/>
        <v>0</v>
      </c>
      <c r="CP80" s="542">
        <f t="shared" ca="1" si="191"/>
        <v>0</v>
      </c>
      <c r="CQ80" s="542">
        <f t="shared" ca="1" si="191"/>
        <v>0</v>
      </c>
      <c r="CR80" s="542">
        <f t="shared" ca="1" si="191"/>
        <v>0</v>
      </c>
      <c r="CS80" s="542">
        <f t="shared" ca="1" si="191"/>
        <v>0</v>
      </c>
      <c r="CT80" s="542">
        <f t="shared" ca="1" si="191"/>
        <v>0</v>
      </c>
      <c r="CU80" s="542">
        <f t="shared" ca="1" si="191"/>
        <v>0</v>
      </c>
      <c r="CW80" s="151">
        <f t="shared" ca="1" si="177"/>
        <v>-115.41998062751981</v>
      </c>
    </row>
    <row r="81" spans="2:101" s="18" customFormat="1" ht="12.75" customHeight="1" outlineLevel="1" x14ac:dyDescent="0.2">
      <c r="B81" s="89"/>
      <c r="C81" s="85"/>
      <c r="D81" s="57"/>
      <c r="E81" s="53"/>
      <c r="F81" s="84"/>
      <c r="G81" s="245"/>
      <c r="H81" s="245"/>
      <c r="I81" s="245"/>
      <c r="J81" s="245"/>
      <c r="K81" s="245"/>
      <c r="L81" s="247"/>
      <c r="M81" s="245"/>
      <c r="N81" s="245"/>
      <c r="O81" s="245"/>
      <c r="P81" s="245">
        <f t="shared" si="136"/>
        <v>0</v>
      </c>
      <c r="Q81" s="84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>
        <f t="shared" si="159"/>
        <v>0</v>
      </c>
      <c r="AI81" s="84"/>
      <c r="AJ81" s="263"/>
      <c r="AK81" s="263"/>
      <c r="AL81" s="263"/>
      <c r="AM81" s="263"/>
      <c r="AN81" s="263"/>
      <c r="AO81" s="263"/>
      <c r="AP81" s="263"/>
      <c r="AQ81" s="263"/>
      <c r="AR81" s="263"/>
      <c r="AS81" s="263"/>
      <c r="AT81" s="263"/>
      <c r="AU81" s="263"/>
      <c r="AV81" s="263"/>
      <c r="AW81" s="263"/>
      <c r="AX81" s="263"/>
      <c r="AY81" s="263">
        <f t="shared" si="147"/>
        <v>0</v>
      </c>
      <c r="AZ81" s="84"/>
      <c r="BA81" s="277"/>
      <c r="BB81" s="277"/>
      <c r="BC81" s="277">
        <f t="shared" si="160"/>
        <v>0</v>
      </c>
      <c r="BD81" s="84"/>
      <c r="BE81" s="55"/>
      <c r="BF81" s="55"/>
      <c r="BH81" s="542"/>
      <c r="BI81" s="542"/>
      <c r="BJ81" s="542"/>
      <c r="BK81" s="542"/>
      <c r="BL81" s="542"/>
      <c r="BM81" s="542"/>
      <c r="BN81" s="542"/>
      <c r="BO81" s="542"/>
      <c r="BP81" s="542"/>
      <c r="BQ81" s="542"/>
      <c r="BR81" s="542"/>
      <c r="BS81" s="542"/>
      <c r="BT81" s="542"/>
      <c r="BU81" s="542"/>
      <c r="BV81" s="542"/>
      <c r="BW81" s="542"/>
      <c r="BX81" s="542"/>
      <c r="BY81" s="542"/>
      <c r="BZ81" s="542"/>
      <c r="CA81" s="542"/>
      <c r="CB81" s="542"/>
      <c r="CC81" s="542"/>
      <c r="CD81" s="542"/>
      <c r="CE81" s="542"/>
      <c r="CF81" s="542"/>
      <c r="CG81" s="542"/>
      <c r="CH81" s="542"/>
      <c r="CI81" s="542"/>
      <c r="CJ81" s="542"/>
      <c r="CK81" s="542"/>
      <c r="CL81" s="542"/>
      <c r="CM81" s="542"/>
      <c r="CN81" s="542"/>
      <c r="CO81" s="542"/>
      <c r="CP81" s="542"/>
      <c r="CQ81" s="542"/>
      <c r="CR81" s="542"/>
      <c r="CS81" s="542"/>
      <c r="CT81" s="542"/>
      <c r="CU81" s="542"/>
      <c r="CW81" s="151">
        <f t="shared" si="177"/>
        <v>0</v>
      </c>
    </row>
    <row r="82" spans="2:101" s="547" customFormat="1" ht="12.75" customHeight="1" outlineLevel="1" x14ac:dyDescent="0.2">
      <c r="C82" s="319" t="s">
        <v>861</v>
      </c>
      <c r="D82" s="163" t="s">
        <v>817</v>
      </c>
      <c r="E82" s="163"/>
      <c r="G82" s="333"/>
      <c r="H82" s="333"/>
      <c r="I82" s="333"/>
      <c r="J82" s="333"/>
      <c r="K82" s="333"/>
      <c r="L82" s="334"/>
      <c r="M82" s="333"/>
      <c r="N82" s="333"/>
      <c r="O82" s="333"/>
      <c r="P82" s="333">
        <f t="shared" si="136"/>
        <v>0</v>
      </c>
      <c r="Q82" s="550"/>
      <c r="R82" s="335">
        <f t="shared" ref="R82:W82" ca="1" si="192">(R$28+R$66+R$74+R$80)</f>
        <v>-289.18504122724516</v>
      </c>
      <c r="S82" s="335">
        <f t="shared" ca="1" si="192"/>
        <v>294.87491612292308</v>
      </c>
      <c r="T82" s="335">
        <f t="shared" ca="1" si="192"/>
        <v>-122.5769415325465</v>
      </c>
      <c r="U82" s="335">
        <f t="shared" ca="1" si="192"/>
        <v>-188.35750920679624</v>
      </c>
      <c r="V82" s="335">
        <f t="shared" ca="1" si="192"/>
        <v>-63.485702206074279</v>
      </c>
      <c r="W82" s="335">
        <f t="shared" ca="1" si="192"/>
        <v>-2.8421709430404007E-14</v>
      </c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>
        <f t="shared" ca="1" si="159"/>
        <v>-368.73027804973913</v>
      </c>
      <c r="AI82" s="550"/>
      <c r="AJ82" s="336"/>
      <c r="AK82" s="336"/>
      <c r="AL82" s="336"/>
      <c r="AM82" s="336"/>
      <c r="AN82" s="336"/>
      <c r="AO82" s="336"/>
      <c r="AP82" s="336"/>
      <c r="AQ82" s="336"/>
      <c r="AR82" s="336"/>
      <c r="AS82" s="336"/>
      <c r="AT82" s="336"/>
      <c r="AU82" s="336"/>
      <c r="AV82" s="336"/>
      <c r="AW82" s="336"/>
      <c r="AX82" s="336"/>
      <c r="AY82" s="336">
        <f t="shared" si="147"/>
        <v>0</v>
      </c>
      <c r="AZ82" s="550"/>
      <c r="BA82" s="337"/>
      <c r="BB82" s="337"/>
      <c r="BC82" s="337">
        <f t="shared" si="160"/>
        <v>0</v>
      </c>
      <c r="BE82" s="164"/>
      <c r="BF82" s="164"/>
      <c r="BH82" s="549"/>
      <c r="BI82" s="549"/>
      <c r="BJ82" s="549"/>
      <c r="BK82" s="549"/>
      <c r="BL82" s="549"/>
      <c r="BM82" s="549"/>
      <c r="BN82" s="549"/>
      <c r="BO82" s="549"/>
      <c r="BP82" s="549"/>
      <c r="BQ82" s="549"/>
      <c r="BR82" s="549"/>
      <c r="BS82" s="549"/>
      <c r="BT82" s="549"/>
      <c r="BU82" s="549"/>
      <c r="BV82" s="549"/>
      <c r="BW82" s="549"/>
      <c r="BX82" s="549"/>
      <c r="BY82" s="549"/>
      <c r="BZ82" s="549"/>
      <c r="CA82" s="549"/>
      <c r="CB82" s="549"/>
      <c r="CC82" s="549"/>
      <c r="CD82" s="549"/>
      <c r="CE82" s="549"/>
      <c r="CF82" s="549"/>
      <c r="CG82" s="549"/>
      <c r="CH82" s="549"/>
      <c r="CI82" s="549"/>
      <c r="CJ82" s="549"/>
      <c r="CK82" s="549"/>
      <c r="CL82" s="549"/>
      <c r="CM82" s="549"/>
      <c r="CN82" s="549"/>
      <c r="CO82" s="549"/>
      <c r="CP82" s="549"/>
      <c r="CQ82" s="549"/>
      <c r="CR82" s="549"/>
      <c r="CS82" s="549"/>
      <c r="CT82" s="549"/>
      <c r="CU82" s="549"/>
      <c r="CW82" s="151">
        <f t="shared" si="177"/>
        <v>0</v>
      </c>
    </row>
    <row r="83" spans="2:101" s="543" customFormat="1" ht="12.75" customHeight="1" outlineLevel="1" x14ac:dyDescent="0.2">
      <c r="B83" s="551"/>
      <c r="C83" s="62" t="s">
        <v>439</v>
      </c>
      <c r="D83" s="61" t="str">
        <f>INDEX(Modules[Module], MATCH($C83, Modules[Code], 0))</f>
        <v>Fossil fuel transfers</v>
      </c>
      <c r="E83" s="61"/>
      <c r="F83" s="84"/>
      <c r="G83" s="250">
        <f t="shared" ref="G83:O83" ca="1" si="193">IFERROR(INDEX(INDIRECT($C83&amp;".Outputs["&amp;this.Year&amp;"]"), MATCH(G$5, INDIRECT($C83&amp;".Outputs[Vector]"), 0)), 0)</f>
        <v>0</v>
      </c>
      <c r="H83" s="250">
        <f t="shared" ca="1" si="193"/>
        <v>0</v>
      </c>
      <c r="I83" s="250">
        <f t="shared" ca="1" si="193"/>
        <v>0</v>
      </c>
      <c r="J83" s="250">
        <f t="shared" ca="1" si="193"/>
        <v>0</v>
      </c>
      <c r="K83" s="250">
        <f t="shared" ca="1" si="193"/>
        <v>0</v>
      </c>
      <c r="L83" s="251">
        <f t="shared" ca="1" si="193"/>
        <v>0</v>
      </c>
      <c r="M83" s="250">
        <f t="shared" ca="1" si="193"/>
        <v>0</v>
      </c>
      <c r="N83" s="250">
        <f t="shared" ca="1" si="193"/>
        <v>0</v>
      </c>
      <c r="O83" s="250">
        <f t="shared" ca="1" si="193"/>
        <v>0</v>
      </c>
      <c r="P83" s="250">
        <f t="shared" ca="1" si="136"/>
        <v>0</v>
      </c>
      <c r="Q83" s="84"/>
      <c r="R83" s="259">
        <f t="shared" ref="R83:AG83" ca="1" si="194">IFERROR(INDEX(INDIRECT($C83&amp;".Outputs["&amp;this.Year&amp;"]"), MATCH(R$5, INDIRECT($C83&amp;".Outputs[Vector]"), 0)), 0)</f>
        <v>0</v>
      </c>
      <c r="S83" s="259">
        <f t="shared" ca="1" si="194"/>
        <v>0</v>
      </c>
      <c r="T83" s="259">
        <f t="shared" ca="1" si="194"/>
        <v>122.5769415325465</v>
      </c>
      <c r="U83" s="259">
        <f t="shared" ca="1" si="194"/>
        <v>188.35750920679624</v>
      </c>
      <c r="V83" s="259">
        <f t="shared" ca="1" si="194"/>
        <v>63.485702206074279</v>
      </c>
      <c r="W83" s="259">
        <f t="shared" ca="1" si="194"/>
        <v>2.8421709430404007E-14</v>
      </c>
      <c r="X83" s="259">
        <f t="shared" ca="1" si="194"/>
        <v>-122.5769415325465</v>
      </c>
      <c r="Y83" s="259">
        <f t="shared" ca="1" si="194"/>
        <v>-188.35750920679624</v>
      </c>
      <c r="Z83" s="259">
        <f t="shared" ca="1" si="194"/>
        <v>-64.247530632547168</v>
      </c>
      <c r="AA83" s="259">
        <f t="shared" ca="1" si="194"/>
        <v>0</v>
      </c>
      <c r="AB83" s="259">
        <f t="shared" ca="1" si="194"/>
        <v>0</v>
      </c>
      <c r="AC83" s="259">
        <f t="shared" ca="1" si="194"/>
        <v>0</v>
      </c>
      <c r="AD83" s="259">
        <f t="shared" ca="1" si="194"/>
        <v>0</v>
      </c>
      <c r="AE83" s="259">
        <f t="shared" ca="1" si="194"/>
        <v>0</v>
      </c>
      <c r="AF83" s="259">
        <f t="shared" ca="1" si="194"/>
        <v>0</v>
      </c>
      <c r="AG83" s="259">
        <f t="shared" ca="1" si="194"/>
        <v>0</v>
      </c>
      <c r="AH83" s="259">
        <f t="shared" ca="1" si="159"/>
        <v>-0.76182842647286009</v>
      </c>
      <c r="AI83" s="84"/>
      <c r="AJ83" s="266">
        <f t="shared" ref="AJ83:AX83" ca="1" si="195">IFERROR(INDEX(INDIRECT($C83&amp;".Outputs["&amp;this.Year&amp;"]"), MATCH(AJ$5, INDIRECT($C83&amp;".Outputs[Vector]"), 0)), 0)</f>
        <v>0</v>
      </c>
      <c r="AK83" s="266">
        <f t="shared" ca="1" si="195"/>
        <v>0</v>
      </c>
      <c r="AL83" s="266">
        <f t="shared" ca="1" si="195"/>
        <v>0</v>
      </c>
      <c r="AM83" s="266">
        <f t="shared" ca="1" si="195"/>
        <v>0</v>
      </c>
      <c r="AN83" s="266">
        <f t="shared" ca="1" si="195"/>
        <v>0</v>
      </c>
      <c r="AO83" s="266">
        <f t="shared" ca="1" si="195"/>
        <v>0</v>
      </c>
      <c r="AP83" s="266">
        <f t="shared" ca="1" si="195"/>
        <v>0</v>
      </c>
      <c r="AQ83" s="266">
        <f t="shared" ca="1" si="195"/>
        <v>0</v>
      </c>
      <c r="AR83" s="266">
        <f t="shared" ca="1" si="195"/>
        <v>0</v>
      </c>
      <c r="AS83" s="266">
        <f t="shared" ca="1" si="195"/>
        <v>0</v>
      </c>
      <c r="AT83" s="266">
        <f t="shared" ca="1" si="195"/>
        <v>0</v>
      </c>
      <c r="AU83" s="266">
        <f t="shared" ca="1" si="195"/>
        <v>0</v>
      </c>
      <c r="AV83" s="266">
        <f t="shared" ca="1" si="195"/>
        <v>0</v>
      </c>
      <c r="AW83" s="266">
        <f t="shared" ca="1" si="195"/>
        <v>0</v>
      </c>
      <c r="AX83" s="266">
        <f t="shared" ca="1" si="195"/>
        <v>0</v>
      </c>
      <c r="AY83" s="266">
        <f t="shared" ca="1" si="147"/>
        <v>0</v>
      </c>
      <c r="AZ83" s="84"/>
      <c r="BA83" s="279">
        <f ca="1">IFERROR(INDEX(INDIRECT($C83&amp;".Outputs["&amp;this.Year&amp;"]"), MATCH(BA$5, INDIRECT($C83&amp;".Outputs[Vector]"), 0)), 0)</f>
        <v>0</v>
      </c>
      <c r="BB83" s="279">
        <f ca="1">IFERROR(INDEX(INDIRECT($C83&amp;".Outputs["&amp;this.Year&amp;"]"), MATCH(BB$5, INDIRECT($C83&amp;".Outputs[Vector]"), 0)), 0)</f>
        <v>0.7618284264728914</v>
      </c>
      <c r="BC83" s="279">
        <f t="shared" ca="1" si="160"/>
        <v>0.7618284264728914</v>
      </c>
      <c r="BD83" s="84"/>
      <c r="BE83" s="55">
        <f t="shared" ref="BE83:BE90" ca="1" si="196">P83+AH83+AY83+BC83</f>
        <v>3.1308289294429414E-14</v>
      </c>
      <c r="BF83" s="135"/>
      <c r="BH83" s="541">
        <f t="shared" ref="BH83:BQ84" ca="1" si="197">IFERROR(SUMIFS(INDIRECT($C83&amp;".Emissions["&amp;this.Year&amp;"]"), INDIRECT($C83&amp;".Emissions[GHG]"), BH$6, INDIRECT($C83&amp;".Emissions[IPCC Sector]"), BH$5),0)</f>
        <v>0</v>
      </c>
      <c r="BI83" s="542">
        <f t="shared" ca="1" si="197"/>
        <v>0</v>
      </c>
      <c r="BJ83" s="542">
        <f t="shared" ca="1" si="197"/>
        <v>0</v>
      </c>
      <c r="BK83" s="542">
        <f t="shared" ca="1" si="197"/>
        <v>0</v>
      </c>
      <c r="BL83" s="542">
        <f t="shared" ca="1" si="197"/>
        <v>0</v>
      </c>
      <c r="BM83" s="542">
        <f t="shared" ca="1" si="197"/>
        <v>5.6060580726333811</v>
      </c>
      <c r="BN83" s="542">
        <f t="shared" ca="1" si="197"/>
        <v>0</v>
      </c>
      <c r="BO83" s="542">
        <f t="shared" ca="1" si="197"/>
        <v>0</v>
      </c>
      <c r="BP83" s="542">
        <f t="shared" ca="1" si="197"/>
        <v>0</v>
      </c>
      <c r="BQ83" s="542">
        <f t="shared" ca="1" si="197"/>
        <v>0</v>
      </c>
      <c r="BR83" s="542">
        <f t="shared" ref="BR83:CA84" ca="1" si="198">IFERROR(SUMIFS(INDIRECT($C83&amp;".Emissions["&amp;this.Year&amp;"]"), INDIRECT($C83&amp;".Emissions[GHG]"), BR$6, INDIRECT($C83&amp;".Emissions[IPCC Sector]"), BR$5),0)</f>
        <v>0</v>
      </c>
      <c r="BS83" s="542">
        <f t="shared" ca="1" si="198"/>
        <v>0</v>
      </c>
      <c r="BT83" s="542">
        <f t="shared" ca="1" si="198"/>
        <v>0</v>
      </c>
      <c r="BU83" s="542">
        <f t="shared" ca="1" si="198"/>
        <v>0</v>
      </c>
      <c r="BV83" s="542">
        <f t="shared" ca="1" si="198"/>
        <v>0</v>
      </c>
      <c r="BW83" s="542">
        <f t="shared" ca="1" si="198"/>
        <v>0</v>
      </c>
      <c r="BX83" s="542">
        <f t="shared" ca="1" si="198"/>
        <v>0</v>
      </c>
      <c r="BY83" s="542">
        <f t="shared" ca="1" si="198"/>
        <v>0</v>
      </c>
      <c r="BZ83" s="542">
        <f t="shared" ca="1" si="198"/>
        <v>0</v>
      </c>
      <c r="CA83" s="542">
        <f t="shared" ca="1" si="198"/>
        <v>0</v>
      </c>
      <c r="CB83" s="542">
        <f t="shared" ref="CB83:CK84" ca="1" si="199">IFERROR(SUMIFS(INDIRECT($C83&amp;".Emissions["&amp;this.Year&amp;"]"), INDIRECT($C83&amp;".Emissions[GHG]"), CB$6, INDIRECT($C83&amp;".Emissions[IPCC Sector]"), CB$5),0)</f>
        <v>0</v>
      </c>
      <c r="CC83" s="542">
        <f t="shared" ca="1" si="199"/>
        <v>0</v>
      </c>
      <c r="CD83" s="542">
        <f t="shared" ca="1" si="199"/>
        <v>0</v>
      </c>
      <c r="CE83" s="542">
        <f t="shared" ca="1" si="199"/>
        <v>0</v>
      </c>
      <c r="CF83" s="542">
        <f t="shared" ca="1" si="199"/>
        <v>0</v>
      </c>
      <c r="CG83" s="542">
        <f t="shared" ca="1" si="199"/>
        <v>0</v>
      </c>
      <c r="CH83" s="542">
        <f t="shared" ca="1" si="199"/>
        <v>0</v>
      </c>
      <c r="CI83" s="542">
        <f t="shared" ca="1" si="199"/>
        <v>0</v>
      </c>
      <c r="CJ83" s="542">
        <f t="shared" ca="1" si="199"/>
        <v>0</v>
      </c>
      <c r="CK83" s="542">
        <f t="shared" ca="1" si="199"/>
        <v>0</v>
      </c>
      <c r="CL83" s="542">
        <f t="shared" ref="CL83:CU84" ca="1" si="200">IFERROR(SUMIFS(INDIRECT($C83&amp;".Emissions["&amp;this.Year&amp;"]"), INDIRECT($C83&amp;".Emissions[GHG]"), CL$6, INDIRECT($C83&amp;".Emissions[IPCC Sector]"), CL$5),0)</f>
        <v>0</v>
      </c>
      <c r="CM83" s="542">
        <f t="shared" ca="1" si="200"/>
        <v>0</v>
      </c>
      <c r="CN83" s="542">
        <f t="shared" ca="1" si="200"/>
        <v>0</v>
      </c>
      <c r="CO83" s="542">
        <f t="shared" ca="1" si="200"/>
        <v>0</v>
      </c>
      <c r="CP83" s="542">
        <f t="shared" ca="1" si="200"/>
        <v>0</v>
      </c>
      <c r="CQ83" s="542">
        <f t="shared" ca="1" si="200"/>
        <v>0</v>
      </c>
      <c r="CR83" s="542">
        <f t="shared" ca="1" si="200"/>
        <v>0</v>
      </c>
      <c r="CS83" s="542">
        <f t="shared" ca="1" si="200"/>
        <v>0</v>
      </c>
      <c r="CT83" s="542">
        <f t="shared" ca="1" si="200"/>
        <v>0</v>
      </c>
      <c r="CU83" s="542">
        <f t="shared" ca="1" si="200"/>
        <v>0</v>
      </c>
      <c r="CW83" s="151">
        <f t="shared" ca="1" si="177"/>
        <v>5.6060580726333811</v>
      </c>
    </row>
    <row r="84" spans="2:101" s="543" customFormat="1" ht="12.75" customHeight="1" outlineLevel="1" x14ac:dyDescent="0.2">
      <c r="B84" s="551" t="s">
        <v>322</v>
      </c>
      <c r="C84" s="62" t="s">
        <v>440</v>
      </c>
      <c r="D84" s="292" t="str">
        <f>INDEX(Modules[Module], MATCH($C84, Modules[Code], 0))</f>
        <v>Balancing imports</v>
      </c>
      <c r="E84" s="292"/>
      <c r="F84" s="84"/>
      <c r="G84" s="361"/>
      <c r="H84" s="361"/>
      <c r="I84" s="361"/>
      <c r="J84" s="361"/>
      <c r="K84" s="361"/>
      <c r="L84" s="362"/>
      <c r="M84" s="361"/>
      <c r="N84" s="361"/>
      <c r="O84" s="361"/>
      <c r="P84" s="361">
        <f t="shared" si="136"/>
        <v>0</v>
      </c>
      <c r="Q84" s="84"/>
      <c r="R84" s="363"/>
      <c r="S84" s="363">
        <f ca="1">-(S$82+R$82)</f>
        <v>-5.6898748956779173</v>
      </c>
      <c r="T84" s="363"/>
      <c r="U84" s="363"/>
      <c r="V84" s="363"/>
      <c r="W84" s="363"/>
      <c r="X84" s="363">
        <f ca="1">-(X$28+X$66+X$74+X$80+X$83)</f>
        <v>99.490481574213163</v>
      </c>
      <c r="Y84" s="363">
        <f ca="1">-(Y$28+Y$66+Y$74+Y$80+Y$83)</f>
        <v>-1249.7383851892039</v>
      </c>
      <c r="Z84" s="363">
        <f ca="1">-(Z$28+Z$66+Z$74+Z$80+Z$83)</f>
        <v>-812.12413603411949</v>
      </c>
      <c r="AA84" s="363"/>
      <c r="AB84" s="363"/>
      <c r="AC84" s="363"/>
      <c r="AD84" s="363"/>
      <c r="AE84" s="363"/>
      <c r="AF84" s="363"/>
      <c r="AG84" s="363"/>
      <c r="AH84" s="363">
        <f t="shared" ca="1" si="159"/>
        <v>-1968.0619145447881</v>
      </c>
      <c r="AI84" s="84"/>
      <c r="AJ84" s="293"/>
      <c r="AK84" s="293"/>
      <c r="AL84" s="293"/>
      <c r="AM84" s="293"/>
      <c r="AN84" s="293">
        <f ca="1">-S84</f>
        <v>5.6898748956779173</v>
      </c>
      <c r="AO84" s="293">
        <f>-U84</f>
        <v>0</v>
      </c>
      <c r="AP84" s="293">
        <f ca="1">-X84</f>
        <v>-99.490481574213163</v>
      </c>
      <c r="AQ84" s="293">
        <f ca="1">-Y84</f>
        <v>1249.7383851892039</v>
      </c>
      <c r="AR84" s="293">
        <f ca="1">-Z84</f>
        <v>812.12413603411949</v>
      </c>
      <c r="AS84" s="293"/>
      <c r="AT84" s="293"/>
      <c r="AU84" s="293"/>
      <c r="AV84" s="293"/>
      <c r="AW84" s="293"/>
      <c r="AX84" s="293"/>
      <c r="AY84" s="293">
        <f t="shared" ca="1" si="147"/>
        <v>1968.0619145447881</v>
      </c>
      <c r="AZ84" s="84"/>
      <c r="BA84" s="364"/>
      <c r="BB84" s="364"/>
      <c r="BC84" s="364">
        <f t="shared" si="160"/>
        <v>0</v>
      </c>
      <c r="BD84" s="84"/>
      <c r="BE84" s="55">
        <f t="shared" ca="1" si="196"/>
        <v>0</v>
      </c>
      <c r="BF84" s="135"/>
      <c r="BH84" s="544">
        <f t="shared" ca="1" si="197"/>
        <v>0</v>
      </c>
      <c r="BI84" s="545">
        <f t="shared" ca="1" si="197"/>
        <v>0</v>
      </c>
      <c r="BJ84" s="545">
        <f t="shared" ca="1" si="197"/>
        <v>0</v>
      </c>
      <c r="BK84" s="545">
        <f t="shared" ca="1" si="197"/>
        <v>0</v>
      </c>
      <c r="BL84" s="545">
        <f t="shared" ca="1" si="197"/>
        <v>0</v>
      </c>
      <c r="BM84" s="545">
        <f t="shared" ca="1" si="197"/>
        <v>0</v>
      </c>
      <c r="BN84" s="545">
        <f t="shared" ca="1" si="197"/>
        <v>0</v>
      </c>
      <c r="BO84" s="545">
        <f t="shared" ca="1" si="197"/>
        <v>0</v>
      </c>
      <c r="BP84" s="545">
        <f t="shared" ca="1" si="197"/>
        <v>0</v>
      </c>
      <c r="BQ84" s="545">
        <f t="shared" ca="1" si="197"/>
        <v>0</v>
      </c>
      <c r="BR84" s="545">
        <f t="shared" ca="1" si="198"/>
        <v>0</v>
      </c>
      <c r="BS84" s="545">
        <f t="shared" ca="1" si="198"/>
        <v>0</v>
      </c>
      <c r="BT84" s="545">
        <f t="shared" ca="1" si="198"/>
        <v>0</v>
      </c>
      <c r="BU84" s="545">
        <f t="shared" ca="1" si="198"/>
        <v>0</v>
      </c>
      <c r="BV84" s="545">
        <f t="shared" ca="1" si="198"/>
        <v>0</v>
      </c>
      <c r="BW84" s="545">
        <f t="shared" ca="1" si="198"/>
        <v>0</v>
      </c>
      <c r="BX84" s="545">
        <f t="shared" ca="1" si="198"/>
        <v>0</v>
      </c>
      <c r="BY84" s="545">
        <f t="shared" ca="1" si="198"/>
        <v>0</v>
      </c>
      <c r="BZ84" s="545">
        <f t="shared" ca="1" si="198"/>
        <v>0</v>
      </c>
      <c r="CA84" s="545">
        <f t="shared" ca="1" si="198"/>
        <v>0</v>
      </c>
      <c r="CB84" s="545">
        <f t="shared" ca="1" si="199"/>
        <v>0</v>
      </c>
      <c r="CC84" s="545">
        <f t="shared" ca="1" si="199"/>
        <v>0</v>
      </c>
      <c r="CD84" s="545">
        <f t="shared" ca="1" si="199"/>
        <v>0</v>
      </c>
      <c r="CE84" s="545">
        <f t="shared" ca="1" si="199"/>
        <v>0</v>
      </c>
      <c r="CF84" s="545">
        <f t="shared" ca="1" si="199"/>
        <v>0</v>
      </c>
      <c r="CG84" s="545">
        <f t="shared" ca="1" si="199"/>
        <v>0</v>
      </c>
      <c r="CH84" s="545">
        <f t="shared" ca="1" si="199"/>
        <v>0</v>
      </c>
      <c r="CI84" s="545">
        <f t="shared" ca="1" si="199"/>
        <v>0</v>
      </c>
      <c r="CJ84" s="545">
        <f t="shared" ca="1" si="199"/>
        <v>0</v>
      </c>
      <c r="CK84" s="545">
        <f t="shared" ca="1" si="199"/>
        <v>0</v>
      </c>
      <c r="CL84" s="545">
        <f t="shared" ca="1" si="200"/>
        <v>0</v>
      </c>
      <c r="CM84" s="545">
        <f t="shared" ca="1" si="200"/>
        <v>0</v>
      </c>
      <c r="CN84" s="545">
        <f t="shared" ca="1" si="200"/>
        <v>0</v>
      </c>
      <c r="CO84" s="545">
        <f t="shared" ca="1" si="200"/>
        <v>0</v>
      </c>
      <c r="CP84" s="545">
        <f t="shared" ca="1" si="200"/>
        <v>0</v>
      </c>
      <c r="CQ84" s="545">
        <f t="shared" ca="1" si="200"/>
        <v>0</v>
      </c>
      <c r="CR84" s="545">
        <f t="shared" ca="1" si="200"/>
        <v>0</v>
      </c>
      <c r="CS84" s="545">
        <f t="shared" ca="1" si="200"/>
        <v>0</v>
      </c>
      <c r="CT84" s="545">
        <f t="shared" ca="1" si="200"/>
        <v>0</v>
      </c>
      <c r="CU84" s="545">
        <f t="shared" ca="1" si="200"/>
        <v>0</v>
      </c>
      <c r="CW84" s="151">
        <f t="shared" ca="1" si="177"/>
        <v>0</v>
      </c>
    </row>
    <row r="85" spans="2:101" s="84" customFormat="1" ht="15.75" x14ac:dyDescent="0.2">
      <c r="B85" s="89" t="s">
        <v>322</v>
      </c>
      <c r="C85" s="56" t="s">
        <v>438</v>
      </c>
      <c r="D85" s="57" t="str">
        <f>INDEX(Workstreams[Workstream], MATCH($C85, Workstreams[Code], 0))</f>
        <v>Transfers</v>
      </c>
      <c r="E85" s="51"/>
      <c r="G85" s="300">
        <f ca="1">SUM(G83:G84)</f>
        <v>0</v>
      </c>
      <c r="H85" s="300">
        <f t="shared" ref="H85:O85" ca="1" si="201">SUM(H83:H84)</f>
        <v>0</v>
      </c>
      <c r="I85" s="300">
        <f t="shared" ca="1" si="201"/>
        <v>0</v>
      </c>
      <c r="J85" s="300">
        <f t="shared" ca="1" si="201"/>
        <v>0</v>
      </c>
      <c r="K85" s="300">
        <f t="shared" ca="1" si="201"/>
        <v>0</v>
      </c>
      <c r="L85" s="300">
        <f t="shared" ca="1" si="201"/>
        <v>0</v>
      </c>
      <c r="M85" s="300">
        <f t="shared" ca="1" si="201"/>
        <v>0</v>
      </c>
      <c r="N85" s="300">
        <f t="shared" ca="1" si="201"/>
        <v>0</v>
      </c>
      <c r="O85" s="300">
        <f t="shared" ca="1" si="201"/>
        <v>0</v>
      </c>
      <c r="P85" s="300">
        <f t="shared" ca="1" si="136"/>
        <v>0</v>
      </c>
      <c r="R85" s="257">
        <f t="shared" ref="R85:AE85" ca="1" si="202">SUM(R83:R84)</f>
        <v>0</v>
      </c>
      <c r="S85" s="257">
        <f t="shared" ca="1" si="202"/>
        <v>-5.6898748956779173</v>
      </c>
      <c r="T85" s="257">
        <f t="shared" ca="1" si="202"/>
        <v>122.5769415325465</v>
      </c>
      <c r="U85" s="257">
        <f t="shared" ca="1" si="202"/>
        <v>188.35750920679624</v>
      </c>
      <c r="V85" s="257">
        <f t="shared" ca="1" si="202"/>
        <v>63.485702206074279</v>
      </c>
      <c r="W85" s="257">
        <f ca="1">SUM(W83:W84)</f>
        <v>2.8421709430404007E-14</v>
      </c>
      <c r="X85" s="257">
        <f t="shared" ca="1" si="202"/>
        <v>-23.086459958333336</v>
      </c>
      <c r="Y85" s="257">
        <f t="shared" ca="1" si="202"/>
        <v>-1438.0958943960002</v>
      </c>
      <c r="Z85" s="257">
        <f t="shared" ca="1" si="202"/>
        <v>-876.37166666666667</v>
      </c>
      <c r="AA85" s="257">
        <f t="shared" ca="1" si="202"/>
        <v>0</v>
      </c>
      <c r="AB85" s="257">
        <f t="shared" ca="1" si="202"/>
        <v>0</v>
      </c>
      <c r="AC85" s="257">
        <f ca="1">SUM(AC83:AC84)</f>
        <v>0</v>
      </c>
      <c r="AD85" s="257">
        <f ca="1">SUM(AD83:AD84)</f>
        <v>0</v>
      </c>
      <c r="AE85" s="257">
        <f t="shared" ca="1" si="202"/>
        <v>0</v>
      </c>
      <c r="AF85" s="257">
        <f ca="1">SUM(AF83:AF84)</f>
        <v>0</v>
      </c>
      <c r="AG85" s="257">
        <f ca="1">SUM(AG83:AG84)</f>
        <v>0</v>
      </c>
      <c r="AH85" s="257">
        <f t="shared" ca="1" si="159"/>
        <v>-1968.823742971261</v>
      </c>
      <c r="AJ85" s="263">
        <f t="shared" ref="AJ85:AX85" ca="1" si="203">SUM(AJ83:AJ84)</f>
        <v>0</v>
      </c>
      <c r="AK85" s="263">
        <f t="shared" ca="1" si="203"/>
        <v>0</v>
      </c>
      <c r="AL85" s="263">
        <f t="shared" ca="1" si="203"/>
        <v>0</v>
      </c>
      <c r="AM85" s="263">
        <f t="shared" ca="1" si="203"/>
        <v>0</v>
      </c>
      <c r="AN85" s="263">
        <f t="shared" ca="1" si="203"/>
        <v>5.6898748956779173</v>
      </c>
      <c r="AO85" s="263">
        <f t="shared" ca="1" si="203"/>
        <v>0</v>
      </c>
      <c r="AP85" s="263">
        <f t="shared" ca="1" si="203"/>
        <v>-99.490481574213163</v>
      </c>
      <c r="AQ85" s="263">
        <f t="shared" ca="1" si="203"/>
        <v>1249.7383851892039</v>
      </c>
      <c r="AR85" s="263">
        <f t="shared" ca="1" si="203"/>
        <v>812.12413603411949</v>
      </c>
      <c r="AS85" s="263">
        <f t="shared" ca="1" si="203"/>
        <v>0</v>
      </c>
      <c r="AT85" s="263">
        <f t="shared" ca="1" si="203"/>
        <v>0</v>
      </c>
      <c r="AU85" s="263">
        <f t="shared" ca="1" si="203"/>
        <v>0</v>
      </c>
      <c r="AV85" s="263">
        <f t="shared" ca="1" si="203"/>
        <v>0</v>
      </c>
      <c r="AW85" s="263">
        <f t="shared" ca="1" si="203"/>
        <v>0</v>
      </c>
      <c r="AX85" s="263">
        <f t="shared" ca="1" si="203"/>
        <v>0</v>
      </c>
      <c r="AY85" s="263">
        <f t="shared" ca="1" si="147"/>
        <v>1968.0619145447881</v>
      </c>
      <c r="BA85" s="277">
        <f ca="1">SUM(BA83:BA84)</f>
        <v>0</v>
      </c>
      <c r="BB85" s="277">
        <f ca="1">SUM(BB83:BB84)</f>
        <v>0.7618284264728914</v>
      </c>
      <c r="BC85" s="277">
        <f t="shared" ca="1" si="160"/>
        <v>0.7618284264728914</v>
      </c>
      <c r="BE85" s="55">
        <f t="shared" ca="1" si="196"/>
        <v>-1.1324274851176597E-14</v>
      </c>
      <c r="BF85" s="55"/>
      <c r="BG85" s="1428"/>
      <c r="BH85" s="542">
        <f t="shared" ref="BH85:CU85" ca="1" si="204">SUM(BH83:BH84)</f>
        <v>0</v>
      </c>
      <c r="BI85" s="542">
        <f t="shared" ca="1" si="204"/>
        <v>0</v>
      </c>
      <c r="BJ85" s="542">
        <f t="shared" ca="1" si="204"/>
        <v>0</v>
      </c>
      <c r="BK85" s="542">
        <f t="shared" ca="1" si="204"/>
        <v>0</v>
      </c>
      <c r="BL85" s="542">
        <f t="shared" ca="1" si="204"/>
        <v>0</v>
      </c>
      <c r="BM85" s="542">
        <f t="shared" ca="1" si="204"/>
        <v>5.6060580726333811</v>
      </c>
      <c r="BN85" s="542">
        <f t="shared" ca="1" si="204"/>
        <v>0</v>
      </c>
      <c r="BO85" s="542">
        <f t="shared" ca="1" si="204"/>
        <v>0</v>
      </c>
      <c r="BP85" s="542">
        <f t="shared" ca="1" si="204"/>
        <v>0</v>
      </c>
      <c r="BQ85" s="542">
        <f t="shared" ca="1" si="204"/>
        <v>0</v>
      </c>
      <c r="BR85" s="542">
        <f t="shared" ca="1" si="204"/>
        <v>0</v>
      </c>
      <c r="BS85" s="542">
        <f t="shared" ca="1" si="204"/>
        <v>0</v>
      </c>
      <c r="BT85" s="542">
        <f t="shared" ca="1" si="204"/>
        <v>0</v>
      </c>
      <c r="BU85" s="542">
        <f t="shared" ca="1" si="204"/>
        <v>0</v>
      </c>
      <c r="BV85" s="542">
        <f t="shared" ca="1" si="204"/>
        <v>0</v>
      </c>
      <c r="BW85" s="542">
        <f t="shared" ca="1" si="204"/>
        <v>0</v>
      </c>
      <c r="BX85" s="542">
        <f t="shared" ca="1" si="204"/>
        <v>0</v>
      </c>
      <c r="BY85" s="542">
        <f t="shared" ca="1" si="204"/>
        <v>0</v>
      </c>
      <c r="BZ85" s="542">
        <f t="shared" ca="1" si="204"/>
        <v>0</v>
      </c>
      <c r="CA85" s="542">
        <f t="shared" ca="1" si="204"/>
        <v>0</v>
      </c>
      <c r="CB85" s="542">
        <f t="shared" ca="1" si="204"/>
        <v>0</v>
      </c>
      <c r="CC85" s="542">
        <f t="shared" ca="1" si="204"/>
        <v>0</v>
      </c>
      <c r="CD85" s="542">
        <f t="shared" ca="1" si="204"/>
        <v>0</v>
      </c>
      <c r="CE85" s="542">
        <f t="shared" ca="1" si="204"/>
        <v>0</v>
      </c>
      <c r="CF85" s="542">
        <f t="shared" ca="1" si="204"/>
        <v>0</v>
      </c>
      <c r="CG85" s="542">
        <f t="shared" ca="1" si="204"/>
        <v>0</v>
      </c>
      <c r="CH85" s="542">
        <f t="shared" ca="1" si="204"/>
        <v>0</v>
      </c>
      <c r="CI85" s="542">
        <f t="shared" ca="1" si="204"/>
        <v>0</v>
      </c>
      <c r="CJ85" s="542">
        <f t="shared" ca="1" si="204"/>
        <v>0</v>
      </c>
      <c r="CK85" s="542">
        <f t="shared" ca="1" si="204"/>
        <v>0</v>
      </c>
      <c r="CL85" s="542">
        <f t="shared" ca="1" si="204"/>
        <v>0</v>
      </c>
      <c r="CM85" s="542">
        <f t="shared" ca="1" si="204"/>
        <v>0</v>
      </c>
      <c r="CN85" s="542">
        <f t="shared" ca="1" si="204"/>
        <v>0</v>
      </c>
      <c r="CO85" s="542">
        <f t="shared" ca="1" si="204"/>
        <v>0</v>
      </c>
      <c r="CP85" s="542">
        <f t="shared" ca="1" si="204"/>
        <v>0</v>
      </c>
      <c r="CQ85" s="542">
        <f t="shared" ca="1" si="204"/>
        <v>0</v>
      </c>
      <c r="CR85" s="542">
        <f t="shared" ca="1" si="204"/>
        <v>0</v>
      </c>
      <c r="CS85" s="542">
        <f t="shared" ca="1" si="204"/>
        <v>0</v>
      </c>
      <c r="CT85" s="542">
        <f t="shared" ca="1" si="204"/>
        <v>0</v>
      </c>
      <c r="CU85" s="542">
        <f t="shared" ca="1" si="204"/>
        <v>0</v>
      </c>
      <c r="CW85" s="151">
        <f t="shared" ca="1" si="177"/>
        <v>5.6060580726333811</v>
      </c>
    </row>
    <row r="86" spans="2:101" s="84" customFormat="1" ht="6" customHeight="1" x14ac:dyDescent="0.2">
      <c r="C86" s="50"/>
      <c r="D86" s="51"/>
      <c r="E86" s="51"/>
      <c r="G86" s="245"/>
      <c r="H86" s="245"/>
      <c r="I86" s="245"/>
      <c r="J86" s="245"/>
      <c r="K86" s="245"/>
      <c r="L86" s="247"/>
      <c r="M86" s="245"/>
      <c r="N86" s="245"/>
      <c r="O86" s="245"/>
      <c r="P86" s="245">
        <f t="shared" si="136"/>
        <v>0</v>
      </c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>
        <f t="shared" si="159"/>
        <v>0</v>
      </c>
      <c r="AJ86" s="263"/>
      <c r="AK86" s="263"/>
      <c r="AL86" s="263"/>
      <c r="AM86" s="263"/>
      <c r="AN86" s="263"/>
      <c r="AO86" s="263"/>
      <c r="AP86" s="263"/>
      <c r="AQ86" s="263"/>
      <c r="AR86" s="263"/>
      <c r="AS86" s="263"/>
      <c r="AT86" s="263"/>
      <c r="AU86" s="263"/>
      <c r="AV86" s="263"/>
      <c r="AW86" s="263"/>
      <c r="AX86" s="263"/>
      <c r="AY86" s="263">
        <f t="shared" si="147"/>
        <v>0</v>
      </c>
      <c r="BA86" s="277"/>
      <c r="BB86" s="277"/>
      <c r="BC86" s="277">
        <f t="shared" si="160"/>
        <v>0</v>
      </c>
      <c r="BE86" s="55">
        <f t="shared" si="196"/>
        <v>0</v>
      </c>
      <c r="BF86" s="55"/>
      <c r="BH86" s="542"/>
      <c r="BI86" s="542"/>
      <c r="BJ86" s="542"/>
      <c r="BK86" s="542"/>
      <c r="BL86" s="542"/>
      <c r="BM86" s="542"/>
      <c r="BN86" s="542"/>
      <c r="BO86" s="542"/>
      <c r="BP86" s="542"/>
      <c r="BQ86" s="542"/>
      <c r="BR86" s="542"/>
      <c r="BS86" s="542"/>
      <c r="BT86" s="542"/>
      <c r="BU86" s="542"/>
      <c r="BV86" s="542"/>
      <c r="BW86" s="542"/>
      <c r="BX86" s="542"/>
      <c r="BY86" s="542"/>
      <c r="BZ86" s="542"/>
      <c r="CA86" s="542"/>
      <c r="CB86" s="542"/>
      <c r="CC86" s="542"/>
      <c r="CD86" s="542"/>
      <c r="CE86" s="542"/>
      <c r="CF86" s="542"/>
      <c r="CG86" s="542"/>
      <c r="CH86" s="542"/>
      <c r="CI86" s="542"/>
      <c r="CJ86" s="542"/>
      <c r="CK86" s="542"/>
      <c r="CL86" s="542"/>
      <c r="CM86" s="542"/>
      <c r="CN86" s="542"/>
      <c r="CO86" s="542"/>
      <c r="CP86" s="542"/>
      <c r="CQ86" s="542"/>
      <c r="CR86" s="542"/>
      <c r="CS86" s="542"/>
      <c r="CT86" s="542"/>
      <c r="CU86" s="542"/>
      <c r="CW86" s="151"/>
    </row>
    <row r="87" spans="2:101" s="84" customFormat="1" ht="15.75" x14ac:dyDescent="0.2">
      <c r="B87" s="89"/>
      <c r="C87" s="923" t="s">
        <v>885</v>
      </c>
      <c r="D87" s="69" t="s">
        <v>442</v>
      </c>
      <c r="E87" s="70"/>
      <c r="G87" s="338">
        <f ca="1">G$74+G$80+G$85</f>
        <v>0</v>
      </c>
      <c r="H87" s="338">
        <f ca="1">H$74+H$80+H$85</f>
        <v>0</v>
      </c>
      <c r="I87" s="338">
        <f ca="1">I$74+I$80+I$85</f>
        <v>0</v>
      </c>
      <c r="J87" s="338">
        <f t="shared" ref="J87:O87" ca="1" si="205">J$74+J$80+J$85</f>
        <v>0</v>
      </c>
      <c r="K87" s="338">
        <f t="shared" ca="1" si="205"/>
        <v>0</v>
      </c>
      <c r="L87" s="339">
        <f t="shared" ca="1" si="205"/>
        <v>0</v>
      </c>
      <c r="M87" s="338">
        <f t="shared" ca="1" si="205"/>
        <v>0</v>
      </c>
      <c r="N87" s="338">
        <f t="shared" ca="1" si="205"/>
        <v>0</v>
      </c>
      <c r="O87" s="338">
        <f t="shared" ca="1" si="205"/>
        <v>0</v>
      </c>
      <c r="P87" s="338">
        <f t="shared" ca="1" si="136"/>
        <v>0</v>
      </c>
      <c r="R87" s="294">
        <f t="shared" ref="R87:AG87" ca="1" si="206">R$74+R$80+R$85</f>
        <v>0</v>
      </c>
      <c r="S87" s="294">
        <f t="shared" ca="1" si="206"/>
        <v>-57.247529229897644</v>
      </c>
      <c r="T87" s="294">
        <f t="shared" ca="1" si="206"/>
        <v>122.5769415325465</v>
      </c>
      <c r="U87" s="294">
        <f t="shared" ca="1" si="206"/>
        <v>192.49549654130479</v>
      </c>
      <c r="V87" s="294">
        <f t="shared" ca="1" si="206"/>
        <v>685.1459402163606</v>
      </c>
      <c r="W87" s="294">
        <f t="shared" ca="1" si="206"/>
        <v>161.01204691117439</v>
      </c>
      <c r="X87" s="294">
        <f t="shared" ca="1" si="206"/>
        <v>-23.086459958333336</v>
      </c>
      <c r="Y87" s="294">
        <f t="shared" ca="1" si="206"/>
        <v>-1438.0958943960002</v>
      </c>
      <c r="Z87" s="294">
        <f t="shared" ca="1" si="206"/>
        <v>-876.37166666666667</v>
      </c>
      <c r="AA87" s="294">
        <f t="shared" ca="1" si="206"/>
        <v>0</v>
      </c>
      <c r="AB87" s="294">
        <f t="shared" ca="1" si="206"/>
        <v>0</v>
      </c>
      <c r="AC87" s="294">
        <f t="shared" ca="1" si="206"/>
        <v>-2078.4468203239321</v>
      </c>
      <c r="AD87" s="294">
        <f t="shared" ca="1" si="206"/>
        <v>-16.368620785239571</v>
      </c>
      <c r="AE87" s="294">
        <f t="shared" ca="1" si="206"/>
        <v>-228.27574607949157</v>
      </c>
      <c r="AF87" s="294">
        <f t="shared" ca="1" si="206"/>
        <v>-67.248031985705921</v>
      </c>
      <c r="AG87" s="294">
        <f t="shared" ca="1" si="206"/>
        <v>-8.716547040987356</v>
      </c>
      <c r="AH87" s="294">
        <f t="shared" ca="1" si="159"/>
        <v>-3632.6268912648679</v>
      </c>
      <c r="AJ87" s="295">
        <f t="shared" ref="AJ87:AX87" ca="1" si="207">AJ$74+AJ$80+AJ$85</f>
        <v>0</v>
      </c>
      <c r="AK87" s="295">
        <f t="shared" ca="1" si="207"/>
        <v>0</v>
      </c>
      <c r="AL87" s="295">
        <f t="shared" ca="1" si="207"/>
        <v>0</v>
      </c>
      <c r="AM87" s="295">
        <f t="shared" ca="1" si="207"/>
        <v>1306.159365743837</v>
      </c>
      <c r="AN87" s="295">
        <f t="shared" ca="1" si="207"/>
        <v>6.2148748956779176</v>
      </c>
      <c r="AO87" s="295">
        <f t="shared" ca="1" si="207"/>
        <v>0</v>
      </c>
      <c r="AP87" s="295">
        <f t="shared" ca="1" si="207"/>
        <v>-99.490481574213163</v>
      </c>
      <c r="AQ87" s="295">
        <f t="shared" ca="1" si="207"/>
        <v>1249.7383851892039</v>
      </c>
      <c r="AR87" s="295">
        <f t="shared" ca="1" si="207"/>
        <v>812.12413603411949</v>
      </c>
      <c r="AS87" s="295">
        <f t="shared" ca="1" si="207"/>
        <v>0</v>
      </c>
      <c r="AT87" s="295">
        <f t="shared" ca="1" si="207"/>
        <v>0</v>
      </c>
      <c r="AU87" s="295">
        <f t="shared" ca="1" si="207"/>
        <v>0</v>
      </c>
      <c r="AV87" s="295">
        <f t="shared" ca="1" si="207"/>
        <v>0</v>
      </c>
      <c r="AW87" s="295">
        <f t="shared" ca="1" si="207"/>
        <v>0</v>
      </c>
      <c r="AX87" s="295">
        <f t="shared" ca="1" si="207"/>
        <v>0</v>
      </c>
      <c r="AY87" s="295">
        <f t="shared" ca="1" si="147"/>
        <v>3274.7462802886253</v>
      </c>
      <c r="BA87" s="296">
        <f ca="1">BA$74+BA$80+BA$85</f>
        <v>306.08612821555016</v>
      </c>
      <c r="BB87" s="296">
        <f ca="1">BB$74+BB$80+BB$85</f>
        <v>51.794482760692624</v>
      </c>
      <c r="BC87" s="296">
        <f t="shared" ca="1" si="160"/>
        <v>357.88061097624279</v>
      </c>
      <c r="BE87" s="58">
        <f t="shared" ca="1" si="196"/>
        <v>0</v>
      </c>
      <c r="BF87" s="58"/>
      <c r="BH87" s="546">
        <f t="shared" ref="BH87:CT87" ca="1" si="208">BH$74+BH$80+BH$85</f>
        <v>0</v>
      </c>
      <c r="BI87" s="546">
        <f t="shared" ca="1" si="208"/>
        <v>0</v>
      </c>
      <c r="BJ87" s="546">
        <f t="shared" ca="1" si="208"/>
        <v>0</v>
      </c>
      <c r="BK87" s="546">
        <f t="shared" ca="1" si="208"/>
        <v>0</v>
      </c>
      <c r="BL87" s="546">
        <f t="shared" ca="1" si="208"/>
        <v>0</v>
      </c>
      <c r="BM87" s="546">
        <f t="shared" ca="1" si="208"/>
        <v>5.6060580726333811</v>
      </c>
      <c r="BN87" s="546">
        <f t="shared" ca="1" si="208"/>
        <v>0</v>
      </c>
      <c r="BO87" s="546">
        <f t="shared" ca="1" si="208"/>
        <v>0</v>
      </c>
      <c r="BP87" s="546">
        <f t="shared" ca="1" si="208"/>
        <v>0</v>
      </c>
      <c r="BQ87" s="546">
        <f t="shared" ca="1" si="208"/>
        <v>0</v>
      </c>
      <c r="BR87" s="546">
        <f t="shared" ca="1" si="208"/>
        <v>0</v>
      </c>
      <c r="BS87" s="546">
        <f t="shared" ca="1" si="208"/>
        <v>0</v>
      </c>
      <c r="BT87" s="546">
        <f t="shared" ca="1" si="208"/>
        <v>0</v>
      </c>
      <c r="BU87" s="546">
        <f t="shared" ca="1" si="208"/>
        <v>0</v>
      </c>
      <c r="BV87" s="546">
        <f t="shared" ca="1" si="208"/>
        <v>0</v>
      </c>
      <c r="BW87" s="546">
        <f t="shared" ca="1" si="208"/>
        <v>0</v>
      </c>
      <c r="BX87" s="546">
        <f t="shared" ca="1" si="208"/>
        <v>0</v>
      </c>
      <c r="BY87" s="546">
        <f t="shared" ca="1" si="208"/>
        <v>0</v>
      </c>
      <c r="BZ87" s="546">
        <f t="shared" ca="1" si="208"/>
        <v>0</v>
      </c>
      <c r="CA87" s="546">
        <f t="shared" ca="1" si="208"/>
        <v>0</v>
      </c>
      <c r="CB87" s="546">
        <f t="shared" ca="1" si="208"/>
        <v>0</v>
      </c>
      <c r="CC87" s="546">
        <f t="shared" ca="1" si="208"/>
        <v>0</v>
      </c>
      <c r="CD87" s="546">
        <f t="shared" ca="1" si="208"/>
        <v>0</v>
      </c>
      <c r="CE87" s="546">
        <f t="shared" ca="1" si="208"/>
        <v>0</v>
      </c>
      <c r="CF87" s="546">
        <f t="shared" ca="1" si="208"/>
        <v>0</v>
      </c>
      <c r="CG87" s="546">
        <f t="shared" ca="1" si="208"/>
        <v>0</v>
      </c>
      <c r="CH87" s="546">
        <f t="shared" ca="1" si="208"/>
        <v>0</v>
      </c>
      <c r="CI87" s="546">
        <f t="shared" ca="1" si="208"/>
        <v>0</v>
      </c>
      <c r="CJ87" s="546">
        <f t="shared" ca="1" si="208"/>
        <v>0</v>
      </c>
      <c r="CK87" s="546">
        <f t="shared" ca="1" si="208"/>
        <v>0</v>
      </c>
      <c r="CL87" s="546">
        <f t="shared" ca="1" si="208"/>
        <v>0</v>
      </c>
      <c r="CM87" s="546">
        <f t="shared" ca="1" si="208"/>
        <v>0</v>
      </c>
      <c r="CN87" s="546">
        <f t="shared" ca="1" si="208"/>
        <v>-115.41998062751981</v>
      </c>
      <c r="CO87" s="546">
        <f t="shared" ca="1" si="208"/>
        <v>0</v>
      </c>
      <c r="CP87" s="546">
        <f t="shared" ca="1" si="208"/>
        <v>0</v>
      </c>
      <c r="CQ87" s="546">
        <f t="shared" ca="1" si="208"/>
        <v>0</v>
      </c>
      <c r="CR87" s="546">
        <f t="shared" ca="1" si="208"/>
        <v>0</v>
      </c>
      <c r="CS87" s="546">
        <f t="shared" ca="1" si="208"/>
        <v>0</v>
      </c>
      <c r="CT87" s="546">
        <f t="shared" ca="1" si="208"/>
        <v>0</v>
      </c>
      <c r="CU87" s="546">
        <f ca="1">CU$74+CU$85</f>
        <v>0</v>
      </c>
      <c r="CW87" s="148">
        <f ca="1">SUM(BH87:CU87)</f>
        <v>-109.81392255488643</v>
      </c>
    </row>
    <row r="88" spans="2:101" s="84" customFormat="1" x14ac:dyDescent="0.2">
      <c r="C88" s="50"/>
      <c r="D88" s="51"/>
      <c r="E88" s="51"/>
      <c r="G88" s="245"/>
      <c r="H88" s="245"/>
      <c r="I88" s="245"/>
      <c r="J88" s="245"/>
      <c r="K88" s="245"/>
      <c r="L88" s="247"/>
      <c r="M88" s="245"/>
      <c r="N88" s="245"/>
      <c r="O88" s="245"/>
      <c r="P88" s="245">
        <f t="shared" si="136"/>
        <v>0</v>
      </c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>
        <f t="shared" si="159"/>
        <v>0</v>
      </c>
      <c r="AJ88" s="263"/>
      <c r="AK88" s="263"/>
      <c r="AL88" s="263"/>
      <c r="AM88" s="263"/>
      <c r="AN88" s="263"/>
      <c r="AO88" s="263"/>
      <c r="AP88" s="263"/>
      <c r="AQ88" s="263"/>
      <c r="AR88" s="263"/>
      <c r="AS88" s="263"/>
      <c r="AT88" s="263"/>
      <c r="AU88" s="263"/>
      <c r="AV88" s="263"/>
      <c r="AW88" s="263"/>
      <c r="AX88" s="263"/>
      <c r="AY88" s="263">
        <f t="shared" si="147"/>
        <v>0</v>
      </c>
      <c r="BA88" s="277"/>
      <c r="BB88" s="277"/>
      <c r="BC88" s="277">
        <f t="shared" si="160"/>
        <v>0</v>
      </c>
      <c r="BE88" s="55">
        <f t="shared" si="196"/>
        <v>0</v>
      </c>
      <c r="BF88" s="55"/>
      <c r="BH88" s="542"/>
      <c r="BI88" s="542"/>
      <c r="BJ88" s="542"/>
      <c r="BK88" s="542"/>
      <c r="BL88" s="542"/>
      <c r="BM88" s="542"/>
      <c r="BN88" s="542"/>
      <c r="BO88" s="542"/>
      <c r="BP88" s="542"/>
      <c r="BQ88" s="542"/>
      <c r="BR88" s="542"/>
      <c r="BS88" s="542"/>
      <c r="BT88" s="542"/>
      <c r="BU88" s="542"/>
      <c r="BV88" s="542"/>
      <c r="BW88" s="542"/>
      <c r="BX88" s="542"/>
      <c r="BY88" s="542"/>
      <c r="BZ88" s="542"/>
      <c r="CA88" s="542"/>
      <c r="CB88" s="542"/>
      <c r="CC88" s="542"/>
      <c r="CD88" s="542"/>
      <c r="CE88" s="542"/>
      <c r="CF88" s="542"/>
      <c r="CG88" s="542"/>
      <c r="CH88" s="542"/>
      <c r="CI88" s="542"/>
      <c r="CJ88" s="542"/>
      <c r="CK88" s="542"/>
      <c r="CL88" s="542"/>
      <c r="CM88" s="542"/>
      <c r="CN88" s="542"/>
      <c r="CO88" s="542"/>
      <c r="CP88" s="542"/>
      <c r="CQ88" s="542"/>
      <c r="CR88" s="542"/>
      <c r="CS88" s="542"/>
      <c r="CT88" s="542"/>
      <c r="CU88" s="542"/>
      <c r="CW88" s="151"/>
    </row>
    <row r="89" spans="2:101" s="84" customFormat="1" ht="13.5" thickBot="1" x14ac:dyDescent="0.25">
      <c r="C89" s="50"/>
      <c r="D89" s="51"/>
      <c r="E89" s="51"/>
      <c r="G89" s="245"/>
      <c r="H89" s="245"/>
      <c r="I89" s="245"/>
      <c r="J89" s="245"/>
      <c r="K89" s="245"/>
      <c r="L89" s="247"/>
      <c r="M89" s="245"/>
      <c r="N89" s="245"/>
      <c r="O89" s="245"/>
      <c r="P89" s="245">
        <f t="shared" si="136"/>
        <v>0</v>
      </c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>
        <f t="shared" si="159"/>
        <v>0</v>
      </c>
      <c r="AJ89" s="263"/>
      <c r="AK89" s="263"/>
      <c r="AL89" s="263"/>
      <c r="AM89" s="263"/>
      <c r="AN89" s="263"/>
      <c r="AO89" s="263"/>
      <c r="AP89" s="263"/>
      <c r="AQ89" s="263"/>
      <c r="AR89" s="263"/>
      <c r="AS89" s="263"/>
      <c r="AT89" s="263"/>
      <c r="AU89" s="263"/>
      <c r="AV89" s="263"/>
      <c r="AW89" s="263"/>
      <c r="AX89" s="263"/>
      <c r="AY89" s="263">
        <f t="shared" si="147"/>
        <v>0</v>
      </c>
      <c r="BA89" s="277"/>
      <c r="BB89" s="277"/>
      <c r="BC89" s="277">
        <f t="shared" si="160"/>
        <v>0</v>
      </c>
      <c r="BE89" s="55">
        <f t="shared" si="196"/>
        <v>0</v>
      </c>
      <c r="BF89" s="55"/>
      <c r="BH89" s="542"/>
      <c r="BI89" s="542"/>
      <c r="BJ89" s="542"/>
      <c r="BK89" s="542"/>
      <c r="BL89" s="542"/>
      <c r="BM89" s="542"/>
      <c r="BN89" s="542"/>
      <c r="BO89" s="542"/>
      <c r="BP89" s="542"/>
      <c r="BQ89" s="542"/>
      <c r="BR89" s="542"/>
      <c r="BS89" s="542"/>
      <c r="BT89" s="542"/>
      <c r="BU89" s="542"/>
      <c r="BV89" s="542"/>
      <c r="BW89" s="542"/>
      <c r="BX89" s="542"/>
      <c r="BY89" s="542"/>
      <c r="BZ89" s="542"/>
      <c r="CA89" s="542"/>
      <c r="CB89" s="542"/>
      <c r="CC89" s="542"/>
      <c r="CD89" s="542"/>
      <c r="CE89" s="542"/>
      <c r="CF89" s="542"/>
      <c r="CG89" s="542"/>
      <c r="CH89" s="542"/>
      <c r="CI89" s="542"/>
      <c r="CJ89" s="542"/>
      <c r="CK89" s="542"/>
      <c r="CL89" s="542"/>
      <c r="CM89" s="542"/>
      <c r="CN89" s="542"/>
      <c r="CO89" s="542"/>
      <c r="CP89" s="542"/>
      <c r="CQ89" s="542"/>
      <c r="CR89" s="542"/>
      <c r="CS89" s="542"/>
      <c r="CT89" s="542"/>
      <c r="CU89" s="542"/>
      <c r="CW89" s="151"/>
    </row>
    <row r="90" spans="2:101" s="84" customFormat="1" ht="24" customHeight="1" thickBot="1" x14ac:dyDescent="0.25">
      <c r="C90" s="67" t="s">
        <v>189</v>
      </c>
      <c r="D90" s="67"/>
      <c r="E90" s="67"/>
      <c r="G90" s="357">
        <f ca="1">G$28+G$66+G$87</f>
        <v>77.828245025810716</v>
      </c>
      <c r="H90" s="357">
        <f ca="1">H$28+H$66+H$87</f>
        <v>143.64019818412442</v>
      </c>
      <c r="I90" s="357">
        <f ca="1">I$28+I$66+I$87</f>
        <v>257.93373420427446</v>
      </c>
      <c r="J90" s="357">
        <f t="shared" ref="J90:O90" ca="1" si="209">J$28+J$66+J$87</f>
        <v>349.58782518850057</v>
      </c>
      <c r="K90" s="357">
        <f t="shared" ca="1" si="209"/>
        <v>91.616521511184374</v>
      </c>
      <c r="L90" s="357">
        <f t="shared" ca="1" si="209"/>
        <v>55.17577889636857</v>
      </c>
      <c r="M90" s="357">
        <f t="shared" ca="1" si="209"/>
        <v>0</v>
      </c>
      <c r="N90" s="357">
        <f t="shared" ca="1" si="209"/>
        <v>3.6177434403834546E-13</v>
      </c>
      <c r="O90" s="357">
        <f t="shared" ca="1" si="209"/>
        <v>4.5715932981774268</v>
      </c>
      <c r="P90" s="357">
        <f t="shared" ref="P90" ca="1" si="210">SUM(G90:O90)</f>
        <v>980.35389630844077</v>
      </c>
      <c r="R90" s="358">
        <f t="shared" ref="R90:AG90" ca="1" si="211">R$28+R$66+R$87</f>
        <v>-289.18504122724516</v>
      </c>
      <c r="S90" s="358">
        <f t="shared" ca="1" si="211"/>
        <v>289.18504122724516</v>
      </c>
      <c r="T90" s="358">
        <f t="shared" ca="1" si="211"/>
        <v>0</v>
      </c>
      <c r="U90" s="358">
        <f t="shared" ca="1" si="211"/>
        <v>0</v>
      </c>
      <c r="V90" s="358">
        <f t="shared" ca="1" si="211"/>
        <v>0</v>
      </c>
      <c r="W90" s="358">
        <f t="shared" ca="1" si="211"/>
        <v>0</v>
      </c>
      <c r="X90" s="358">
        <f t="shared" ca="1" si="211"/>
        <v>0</v>
      </c>
      <c r="Y90" s="358">
        <f t="shared" ca="1" si="211"/>
        <v>0</v>
      </c>
      <c r="Z90" s="358">
        <f t="shared" ca="1" si="211"/>
        <v>0</v>
      </c>
      <c r="AA90" s="358">
        <f t="shared" ca="1" si="211"/>
        <v>0</v>
      </c>
      <c r="AB90" s="358">
        <f t="shared" ca="1" si="211"/>
        <v>0</v>
      </c>
      <c r="AC90" s="358">
        <f t="shared" ca="1" si="211"/>
        <v>0</v>
      </c>
      <c r="AD90" s="358">
        <f t="shared" ca="1" si="211"/>
        <v>0</v>
      </c>
      <c r="AE90" s="358">
        <f t="shared" ca="1" si="211"/>
        <v>0</v>
      </c>
      <c r="AF90" s="358">
        <f t="shared" ca="1" si="211"/>
        <v>0</v>
      </c>
      <c r="AG90" s="358">
        <f t="shared" ca="1" si="211"/>
        <v>0</v>
      </c>
      <c r="AH90" s="358">
        <f t="shared" ca="1" si="159"/>
        <v>0</v>
      </c>
      <c r="AJ90" s="359">
        <f t="shared" ref="AJ90:AX90" ca="1" si="212">AJ$28+AJ$66+AJ$87</f>
        <v>-17.5</v>
      </c>
      <c r="AK90" s="359">
        <f t="shared" ca="1" si="212"/>
        <v>-1438.0958943960002</v>
      </c>
      <c r="AL90" s="359">
        <f t="shared" ca="1" si="212"/>
        <v>-876.37166666666667</v>
      </c>
      <c r="AM90" s="359">
        <f t="shared" ca="1" si="212"/>
        <v>1306.159365743837</v>
      </c>
      <c r="AN90" s="359">
        <f t="shared" ca="1" si="212"/>
        <v>6.2148748956779176</v>
      </c>
      <c r="AO90" s="359">
        <f t="shared" ca="1" si="212"/>
        <v>0</v>
      </c>
      <c r="AP90" s="359">
        <f t="shared" ca="1" si="212"/>
        <v>-99.490481574213163</v>
      </c>
      <c r="AQ90" s="359">
        <f t="shared" ca="1" si="212"/>
        <v>1249.7383851892039</v>
      </c>
      <c r="AR90" s="359">
        <f t="shared" ca="1" si="212"/>
        <v>812.12413603411949</v>
      </c>
      <c r="AS90" s="359">
        <f t="shared" ca="1" si="212"/>
        <v>-21.428000000000004</v>
      </c>
      <c r="AT90" s="359">
        <f t="shared" ca="1" si="212"/>
        <v>-96.663558599999988</v>
      </c>
      <c r="AU90" s="359">
        <f t="shared" ca="1" si="212"/>
        <v>-7.3634400000000007</v>
      </c>
      <c r="AV90" s="359">
        <f t="shared" ca="1" si="212"/>
        <v>-28.620363857142845</v>
      </c>
      <c r="AW90" s="359">
        <f t="shared" ca="1" si="212"/>
        <v>-2094.8154411091718</v>
      </c>
      <c r="AX90" s="359">
        <f t="shared" ca="1" si="212"/>
        <v>-309.82678506451816</v>
      </c>
      <c r="AY90" s="359">
        <f t="shared" ca="1" si="147"/>
        <v>-1615.9388694048746</v>
      </c>
      <c r="BA90" s="360">
        <f ca="1">BA$28+BA$66+BA$87</f>
        <v>568.55172293133967</v>
      </c>
      <c r="BB90" s="360">
        <f ca="1">BB$28+BB$66+BB$87</f>
        <v>67.033250165093506</v>
      </c>
      <c r="BC90" s="360">
        <f t="shared" ca="1" si="160"/>
        <v>635.58497309643315</v>
      </c>
      <c r="BE90" s="54">
        <f t="shared" ca="1" si="196"/>
        <v>0</v>
      </c>
      <c r="BF90" s="54"/>
      <c r="BH90" s="552">
        <f t="shared" ref="BH90:CU90" ca="1" si="213">BH$28+BH$66+BH$87</f>
        <v>211.114197202833</v>
      </c>
      <c r="BI90" s="552">
        <f ca="1">BI$28+BI$66+BI$87</f>
        <v>17.956549017064248</v>
      </c>
      <c r="BJ90" s="552">
        <f t="shared" ca="1" si="213"/>
        <v>18.845125511684902</v>
      </c>
      <c r="BK90" s="552">
        <f t="shared" ca="1" si="213"/>
        <v>0</v>
      </c>
      <c r="BL90" s="552">
        <f t="shared" ca="1" si="213"/>
        <v>6.5648571428571429</v>
      </c>
      <c r="BM90" s="552">
        <f t="shared" ca="1" si="213"/>
        <v>5.6298747303584173</v>
      </c>
      <c r="BN90" s="552">
        <f t="shared" ca="1" si="213"/>
        <v>0</v>
      </c>
      <c r="BO90" s="552">
        <f t="shared" ca="1" si="213"/>
        <v>0</v>
      </c>
      <c r="BP90" s="552">
        <f t="shared" ca="1" si="213"/>
        <v>14.853585635881387</v>
      </c>
      <c r="BQ90" s="552">
        <f t="shared" ca="1" si="213"/>
        <v>0.12917588690165421</v>
      </c>
      <c r="BR90" s="552">
        <f t="shared" ca="1" si="213"/>
        <v>3.3121341350380442</v>
      </c>
      <c r="BS90" s="552">
        <f t="shared" ca="1" si="213"/>
        <v>9.6197304422322389</v>
      </c>
      <c r="BT90" s="552">
        <f t="shared" ca="1" si="213"/>
        <v>0</v>
      </c>
      <c r="BU90" s="552">
        <f t="shared" ca="1" si="213"/>
        <v>0</v>
      </c>
      <c r="BV90" s="552">
        <f t="shared" ca="1" si="213"/>
        <v>0</v>
      </c>
      <c r="BW90" s="552">
        <f t="shared" ca="1" si="213"/>
        <v>0</v>
      </c>
      <c r="BX90" s="552">
        <f t="shared" ca="1" si="213"/>
        <v>0</v>
      </c>
      <c r="BY90" s="552">
        <f t="shared" ca="1" si="213"/>
        <v>0</v>
      </c>
      <c r="BZ90" s="552">
        <f t="shared" ca="1" si="213"/>
        <v>21.760312993855567</v>
      </c>
      <c r="CA90" s="552">
        <f t="shared" ca="1" si="213"/>
        <v>0</v>
      </c>
      <c r="CB90" s="552">
        <f t="shared" ca="1" si="213"/>
        <v>8.7189949184666684</v>
      </c>
      <c r="CC90" s="552">
        <f t="shared" ca="1" si="213"/>
        <v>0</v>
      </c>
      <c r="CD90" s="552">
        <f t="shared" ca="1" si="213"/>
        <v>0</v>
      </c>
      <c r="CE90" s="552">
        <f t="shared" ca="1" si="213"/>
        <v>0</v>
      </c>
      <c r="CF90" s="552">
        <f t="shared" ca="1" si="213"/>
        <v>0</v>
      </c>
      <c r="CG90" s="552">
        <f t="shared" ca="1" si="213"/>
        <v>6.3895458201402011</v>
      </c>
      <c r="CH90" s="552">
        <f t="shared" ca="1" si="213"/>
        <v>0</v>
      </c>
      <c r="CI90" s="552">
        <f t="shared" ca="1" si="213"/>
        <v>0</v>
      </c>
      <c r="CJ90" s="552">
        <f t="shared" ca="1" si="213"/>
        <v>0</v>
      </c>
      <c r="CK90" s="552">
        <f t="shared" ca="1" si="213"/>
        <v>0</v>
      </c>
      <c r="CL90" s="552">
        <f t="shared" ca="1" si="213"/>
        <v>0</v>
      </c>
      <c r="CM90" s="552">
        <f t="shared" ca="1" si="213"/>
        <v>0</v>
      </c>
      <c r="CN90" s="552">
        <f t="shared" ca="1" si="213"/>
        <v>-115.41998062751981</v>
      </c>
      <c r="CO90" s="552">
        <f t="shared" ca="1" si="213"/>
        <v>0</v>
      </c>
      <c r="CP90" s="552">
        <f t="shared" ca="1" si="213"/>
        <v>0</v>
      </c>
      <c r="CQ90" s="552">
        <f t="shared" ca="1" si="213"/>
        <v>0</v>
      </c>
      <c r="CR90" s="552">
        <f t="shared" ca="1" si="213"/>
        <v>0</v>
      </c>
      <c r="CS90" s="552">
        <f t="shared" ca="1" si="213"/>
        <v>0</v>
      </c>
      <c r="CT90" s="552">
        <f t="shared" ca="1" si="213"/>
        <v>0</v>
      </c>
      <c r="CU90" s="552">
        <f t="shared" ca="1" si="213"/>
        <v>0</v>
      </c>
      <c r="CW90" s="148">
        <f ca="1">SUM(BH90:CU90)</f>
        <v>209.47410280979358</v>
      </c>
    </row>
    <row r="91" spans="2:101" s="84" customFormat="1" x14ac:dyDescent="0.2">
      <c r="C91" s="50"/>
      <c r="D91" s="51"/>
      <c r="E91" s="51"/>
      <c r="G91" s="282"/>
      <c r="H91" s="282"/>
      <c r="I91" s="282"/>
      <c r="J91" s="282"/>
      <c r="K91" s="282"/>
      <c r="L91" s="283"/>
      <c r="M91" s="282"/>
      <c r="N91" s="282"/>
      <c r="O91" s="282"/>
      <c r="P91" s="282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BA91" s="289"/>
      <c r="BB91" s="289"/>
      <c r="BC91" s="289"/>
      <c r="BE91" s="55"/>
      <c r="BF91" s="55"/>
      <c r="BH91" s="553"/>
      <c r="BI91" s="553"/>
      <c r="BJ91" s="553"/>
      <c r="BK91" s="553"/>
      <c r="BL91" s="553"/>
      <c r="BM91" s="553"/>
      <c r="BN91" s="553"/>
      <c r="BO91" s="553"/>
      <c r="BP91" s="553"/>
      <c r="BQ91" s="553"/>
      <c r="BR91" s="553"/>
      <c r="BS91" s="553"/>
      <c r="BT91" s="553"/>
      <c r="BU91" s="553"/>
      <c r="BV91" s="553"/>
      <c r="BW91" s="553"/>
      <c r="BX91" s="553"/>
      <c r="BY91" s="553"/>
      <c r="BZ91" s="553"/>
      <c r="CA91" s="553"/>
      <c r="CB91" s="553"/>
      <c r="CC91" s="553"/>
      <c r="CD91" s="553"/>
      <c r="CE91" s="553"/>
      <c r="CF91" s="553"/>
      <c r="CG91" s="553"/>
      <c r="CH91" s="553"/>
      <c r="CI91" s="553"/>
      <c r="CJ91" s="553"/>
      <c r="CK91" s="553"/>
      <c r="CL91" s="553"/>
      <c r="CM91" s="553"/>
      <c r="CN91" s="553"/>
      <c r="CO91" s="553"/>
      <c r="CP91" s="553"/>
      <c r="CQ91" s="553"/>
      <c r="CR91" s="553"/>
      <c r="CS91" s="553"/>
      <c r="CT91" s="553"/>
      <c r="CU91" s="553"/>
    </row>
    <row r="92" spans="2:101" x14ac:dyDescent="0.2">
      <c r="G92" s="55"/>
      <c r="H92" s="55"/>
      <c r="I92" s="55"/>
      <c r="J92" s="55"/>
      <c r="K92" s="55"/>
      <c r="L92" s="59"/>
      <c r="M92" s="55"/>
      <c r="N92" s="55"/>
      <c r="O92" s="55"/>
      <c r="P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BA92" s="55"/>
      <c r="BB92" s="55"/>
      <c r="BC92" s="55"/>
      <c r="BE92" s="55"/>
      <c r="BF92" s="55"/>
    </row>
    <row r="93" spans="2:101" x14ac:dyDescent="0.2">
      <c r="G93" s="55"/>
      <c r="H93" s="55"/>
      <c r="I93" s="55"/>
      <c r="J93" s="55"/>
      <c r="K93" s="55"/>
      <c r="L93" s="59"/>
      <c r="M93" s="55"/>
      <c r="N93" s="55"/>
      <c r="O93" s="55"/>
      <c r="P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BA93" s="55"/>
      <c r="BB93" s="55"/>
      <c r="BC93" s="55"/>
      <c r="BE93" s="55"/>
      <c r="BF93" s="55"/>
      <c r="CU93" s="1426" t="s">
        <v>1183</v>
      </c>
      <c r="CW93" s="2480">
        <f ca="1">SUM(CW47,CW50,CW54,CW64)</f>
        <v>101.29973062344642</v>
      </c>
    </row>
    <row r="94" spans="2:101" x14ac:dyDescent="0.2">
      <c r="B94" s="2479" t="s">
        <v>322</v>
      </c>
      <c r="C94" s="355" t="s">
        <v>443</v>
      </c>
      <c r="G94" s="55"/>
      <c r="H94" s="55"/>
      <c r="I94" s="55"/>
      <c r="J94" s="55"/>
      <c r="K94" s="55"/>
      <c r="L94" s="59"/>
      <c r="M94" s="55"/>
      <c r="N94" s="55"/>
      <c r="O94" s="55"/>
      <c r="P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BA94" s="55"/>
      <c r="BB94" s="55"/>
      <c r="BC94" s="55"/>
      <c r="BE94" s="55"/>
      <c r="BF94" s="55"/>
      <c r="CU94" s="1426" t="s">
        <v>1184</v>
      </c>
      <c r="CW94" s="2480">
        <f ca="1">S90-MIN(S84,0)</f>
        <v>294.87491612292308</v>
      </c>
    </row>
    <row r="95" spans="2:101" ht="15.75" x14ac:dyDescent="0.25">
      <c r="B95" s="3"/>
      <c r="G95" s="55"/>
      <c r="H95" s="55"/>
      <c r="I95" s="55"/>
      <c r="J95" s="55"/>
      <c r="K95" s="55"/>
      <c r="L95" s="59"/>
      <c r="M95" s="55"/>
      <c r="N95" s="55"/>
      <c r="O95" s="55"/>
      <c r="P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BA95" s="55"/>
      <c r="BB95" s="55"/>
      <c r="BC95" s="55"/>
      <c r="BE95" s="55"/>
      <c r="BF95" s="55"/>
      <c r="CU95" s="1426" t="s">
        <v>1185</v>
      </c>
      <c r="CW95" s="2479">
        <f ca="1">CW93/CW94</f>
        <v>0.34353458054471508</v>
      </c>
    </row>
    <row r="96" spans="2:101" x14ac:dyDescent="0.2">
      <c r="G96" s="55"/>
      <c r="H96" s="55"/>
      <c r="I96" s="55"/>
      <c r="J96" s="55"/>
      <c r="K96" s="55"/>
      <c r="L96" s="59"/>
      <c r="M96" s="55"/>
      <c r="N96" s="55"/>
      <c r="O96" s="55"/>
      <c r="P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BA96" s="55"/>
      <c r="BB96" s="55"/>
      <c r="BC96" s="55"/>
      <c r="BE96" s="55"/>
      <c r="BF96" s="55"/>
    </row>
    <row r="97" spans="2:58" ht="15.75" x14ac:dyDescent="0.25">
      <c r="B97" s="3"/>
      <c r="G97" s="55"/>
      <c r="H97" s="55"/>
      <c r="I97" s="55"/>
      <c r="J97" s="55"/>
      <c r="K97" s="55"/>
      <c r="L97" s="59"/>
      <c r="M97" s="55"/>
      <c r="N97" s="55"/>
      <c r="O97" s="55"/>
      <c r="P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BA97" s="55"/>
      <c r="BB97" s="55"/>
      <c r="BC97" s="55"/>
      <c r="BE97" s="55"/>
      <c r="BF97" s="55"/>
    </row>
    <row r="98" spans="2:58" ht="15.75" x14ac:dyDescent="0.25">
      <c r="B98" s="3"/>
      <c r="G98" s="55"/>
      <c r="H98" s="55"/>
      <c r="I98" s="55"/>
      <c r="J98" s="55"/>
      <c r="K98" s="55"/>
      <c r="L98" s="59"/>
      <c r="M98" s="55"/>
      <c r="N98" s="55"/>
      <c r="O98" s="55"/>
      <c r="P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BA98" s="55"/>
      <c r="BB98" s="55"/>
      <c r="BC98" s="55"/>
      <c r="BE98" s="55"/>
      <c r="BF98" s="55"/>
    </row>
    <row r="99" spans="2:58" ht="15.75" x14ac:dyDescent="0.25">
      <c r="B99" s="3"/>
      <c r="G99" s="55"/>
      <c r="H99" s="55"/>
      <c r="I99" s="55"/>
      <c r="J99" s="55"/>
      <c r="K99" s="55"/>
      <c r="L99" s="59"/>
      <c r="M99" s="55"/>
      <c r="N99" s="55"/>
      <c r="O99" s="55"/>
      <c r="P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BA99" s="55"/>
      <c r="BB99" s="55"/>
      <c r="BC99" s="55"/>
      <c r="BE99" s="55"/>
      <c r="BF99" s="55"/>
    </row>
    <row r="100" spans="2:58" ht="15.75" x14ac:dyDescent="0.25">
      <c r="B100" s="3"/>
      <c r="G100" s="55"/>
      <c r="H100" s="55"/>
      <c r="I100" s="55"/>
      <c r="J100" s="55"/>
      <c r="K100" s="55"/>
      <c r="L100" s="59"/>
      <c r="M100" s="55"/>
      <c r="N100" s="55"/>
      <c r="O100" s="55"/>
      <c r="P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BA100" s="55"/>
      <c r="BB100" s="55"/>
      <c r="BC100" s="55"/>
      <c r="BE100" s="55"/>
      <c r="BF100" s="55"/>
    </row>
    <row r="101" spans="2:58" ht="15.75" x14ac:dyDescent="0.25">
      <c r="B101" s="3"/>
      <c r="G101" s="55"/>
      <c r="H101" s="55"/>
      <c r="I101" s="55"/>
      <c r="J101" s="55"/>
      <c r="K101" s="55"/>
      <c r="L101" s="59"/>
      <c r="M101" s="55"/>
      <c r="N101" s="55"/>
      <c r="O101" s="55"/>
      <c r="P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BA101" s="55"/>
      <c r="BB101" s="55"/>
      <c r="BC101" s="55"/>
      <c r="BE101" s="55"/>
      <c r="BF101" s="55"/>
    </row>
    <row r="102" spans="2:58" ht="15.75" x14ac:dyDescent="0.25">
      <c r="B102" s="3"/>
      <c r="G102" s="55"/>
      <c r="H102" s="55"/>
      <c r="I102" s="55"/>
      <c r="J102" s="55"/>
      <c r="K102" s="55"/>
      <c r="L102" s="59"/>
      <c r="M102" s="55"/>
      <c r="N102" s="55"/>
      <c r="O102" s="55"/>
      <c r="P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BA102" s="55"/>
      <c r="BB102" s="55"/>
      <c r="BC102" s="55"/>
      <c r="BE102" s="55"/>
      <c r="BF102" s="55"/>
    </row>
    <row r="103" spans="2:58" ht="24" customHeight="1" x14ac:dyDescent="0.2">
      <c r="G103" s="55"/>
      <c r="H103" s="55"/>
      <c r="I103" s="55"/>
      <c r="J103" s="55"/>
      <c r="K103" s="55"/>
      <c r="L103" s="59"/>
      <c r="M103" s="55"/>
      <c r="N103" s="55"/>
      <c r="O103" s="55"/>
      <c r="P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BA103" s="55"/>
      <c r="BB103" s="55"/>
      <c r="BC103" s="55"/>
      <c r="BE103" s="55"/>
      <c r="BF103" s="55"/>
    </row>
    <row r="104" spans="2:58" x14ac:dyDescent="0.2">
      <c r="G104" s="55"/>
      <c r="H104" s="55"/>
      <c r="I104" s="55"/>
      <c r="J104" s="55"/>
      <c r="K104" s="55"/>
      <c r="L104" s="59"/>
      <c r="M104" s="55"/>
      <c r="N104" s="55"/>
      <c r="O104" s="55"/>
      <c r="P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BA104" s="55"/>
      <c r="BB104" s="55"/>
      <c r="BC104" s="55"/>
      <c r="BE104" s="55"/>
      <c r="BF104" s="55"/>
    </row>
    <row r="105" spans="2:58" x14ac:dyDescent="0.2">
      <c r="G105" s="55"/>
      <c r="H105" s="55"/>
      <c r="I105" s="55"/>
      <c r="J105" s="55"/>
      <c r="K105" s="55"/>
      <c r="L105" s="59"/>
      <c r="M105" s="55"/>
      <c r="N105" s="55"/>
      <c r="O105" s="55"/>
      <c r="P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BA105" s="55"/>
      <c r="BB105" s="55"/>
      <c r="BC105" s="55"/>
      <c r="BE105" s="55"/>
      <c r="BF105" s="55"/>
    </row>
    <row r="106" spans="2:58" x14ac:dyDescent="0.2">
      <c r="C106" s="60"/>
      <c r="D106" s="34"/>
      <c r="G106" s="55"/>
      <c r="H106" s="55"/>
      <c r="I106" s="55"/>
      <c r="J106" s="55"/>
      <c r="K106" s="55"/>
      <c r="L106" s="59"/>
      <c r="M106" s="55"/>
      <c r="N106" s="55"/>
      <c r="O106" s="55"/>
      <c r="P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BA106" s="55"/>
      <c r="BB106" s="55"/>
      <c r="BC106" s="55"/>
      <c r="BE106" s="55"/>
      <c r="BF106" s="55"/>
    </row>
    <row r="107" spans="2:58" x14ac:dyDescent="0.2">
      <c r="G107" s="55"/>
      <c r="H107" s="55"/>
      <c r="I107" s="55"/>
      <c r="J107" s="55"/>
      <c r="K107" s="55"/>
      <c r="L107" s="59"/>
      <c r="M107" s="55"/>
      <c r="N107" s="55"/>
      <c r="O107" s="55"/>
      <c r="P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BA107" s="55"/>
      <c r="BB107" s="55"/>
      <c r="BC107" s="55"/>
      <c r="BE107" s="55"/>
      <c r="BF107" s="55"/>
    </row>
    <row r="108" spans="2:58" x14ac:dyDescent="0.2">
      <c r="G108" s="55"/>
      <c r="H108" s="55"/>
      <c r="I108" s="55"/>
      <c r="J108" s="55"/>
      <c r="K108" s="55"/>
      <c r="L108" s="59"/>
      <c r="M108" s="55"/>
      <c r="N108" s="55"/>
      <c r="O108" s="55"/>
      <c r="P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BA108" s="55"/>
      <c r="BB108" s="55"/>
      <c r="BC108" s="55"/>
      <c r="BE108" s="55"/>
      <c r="BF108" s="55"/>
    </row>
    <row r="109" spans="2:58" x14ac:dyDescent="0.2">
      <c r="G109" s="55"/>
      <c r="H109" s="55"/>
      <c r="I109" s="55"/>
      <c r="J109" s="55"/>
      <c r="K109" s="55"/>
      <c r="L109" s="59"/>
      <c r="M109" s="55"/>
      <c r="N109" s="55"/>
      <c r="O109" s="55"/>
      <c r="P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BA109" s="55"/>
      <c r="BB109" s="55"/>
      <c r="BC109" s="55"/>
      <c r="BE109" s="55"/>
      <c r="BF109" s="55"/>
    </row>
    <row r="110" spans="2:58" x14ac:dyDescent="0.2">
      <c r="G110" s="55"/>
      <c r="H110" s="55"/>
      <c r="I110" s="55"/>
      <c r="J110" s="55"/>
      <c r="K110" s="55"/>
      <c r="L110" s="59"/>
      <c r="M110" s="55"/>
      <c r="N110" s="55"/>
      <c r="O110" s="55"/>
      <c r="P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BA110" s="55"/>
      <c r="BB110" s="55"/>
      <c r="BC110" s="55"/>
      <c r="BE110" s="55"/>
      <c r="BF110" s="55"/>
    </row>
    <row r="111" spans="2:58" x14ac:dyDescent="0.2">
      <c r="G111" s="55"/>
      <c r="H111" s="55"/>
      <c r="I111" s="55"/>
      <c r="J111" s="55"/>
      <c r="K111" s="55"/>
      <c r="L111" s="59"/>
      <c r="M111" s="55"/>
      <c r="N111" s="55"/>
      <c r="O111" s="55"/>
      <c r="P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BA111" s="55"/>
      <c r="BB111" s="55"/>
      <c r="BC111" s="55"/>
      <c r="BE111" s="55"/>
      <c r="BF111" s="55"/>
    </row>
    <row r="112" spans="2:58" x14ac:dyDescent="0.2">
      <c r="G112" s="55"/>
      <c r="H112" s="55"/>
      <c r="I112" s="55"/>
      <c r="J112" s="55"/>
      <c r="K112" s="55"/>
      <c r="L112" s="59"/>
      <c r="M112" s="55"/>
      <c r="N112" s="55"/>
      <c r="O112" s="55"/>
      <c r="P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BA112" s="55"/>
      <c r="BB112" s="55"/>
      <c r="BC112" s="55"/>
      <c r="BE112" s="55"/>
      <c r="BF112" s="55"/>
    </row>
    <row r="113" spans="7:58" s="2479" customFormat="1" x14ac:dyDescent="0.2">
      <c r="G113" s="55"/>
      <c r="H113" s="55"/>
      <c r="I113" s="55"/>
      <c r="J113" s="55"/>
      <c r="K113" s="55"/>
      <c r="L113" s="59"/>
      <c r="M113" s="55"/>
      <c r="N113" s="55"/>
      <c r="O113" s="55"/>
      <c r="P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BA113" s="55"/>
      <c r="BB113" s="55"/>
      <c r="BC113" s="55"/>
      <c r="BE113" s="55"/>
      <c r="BF113" s="55"/>
    </row>
    <row r="114" spans="7:58" s="2479" customFormat="1" x14ac:dyDescent="0.2">
      <c r="G114" s="55"/>
      <c r="H114" s="55"/>
      <c r="I114" s="55"/>
      <c r="J114" s="55"/>
      <c r="K114" s="55"/>
      <c r="L114" s="59"/>
      <c r="M114" s="55"/>
      <c r="N114" s="55"/>
      <c r="O114" s="55"/>
      <c r="P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BA114" s="55"/>
      <c r="BB114" s="55"/>
      <c r="BC114" s="55"/>
      <c r="BE114" s="55"/>
      <c r="BF114" s="55"/>
    </row>
    <row r="115" spans="7:58" s="2479" customFormat="1" x14ac:dyDescent="0.2">
      <c r="G115" s="55"/>
      <c r="H115" s="55"/>
      <c r="I115" s="55"/>
      <c r="J115" s="55"/>
      <c r="K115" s="55"/>
      <c r="L115" s="59"/>
      <c r="M115" s="55"/>
      <c r="N115" s="55"/>
      <c r="O115" s="55"/>
      <c r="P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BA115" s="55"/>
      <c r="BB115" s="55"/>
      <c r="BC115" s="55"/>
      <c r="BE115" s="55"/>
      <c r="BF115" s="55"/>
    </row>
    <row r="116" spans="7:58" s="2479" customFormat="1" x14ac:dyDescent="0.2">
      <c r="G116" s="55"/>
      <c r="H116" s="55"/>
      <c r="I116" s="55"/>
      <c r="J116" s="55"/>
      <c r="K116" s="55"/>
      <c r="L116" s="59"/>
      <c r="M116" s="55"/>
      <c r="N116" s="55"/>
      <c r="O116" s="55"/>
      <c r="P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BA116" s="55"/>
      <c r="BB116" s="55"/>
      <c r="BC116" s="55"/>
      <c r="BE116" s="55"/>
      <c r="BF116" s="55"/>
    </row>
    <row r="117" spans="7:58" s="2479" customFormat="1" x14ac:dyDescent="0.2">
      <c r="G117" s="55"/>
      <c r="H117" s="55"/>
      <c r="I117" s="55"/>
      <c r="J117" s="55"/>
      <c r="K117" s="55"/>
      <c r="L117" s="59"/>
      <c r="M117" s="55"/>
      <c r="N117" s="55"/>
      <c r="O117" s="55"/>
      <c r="P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BA117" s="55"/>
      <c r="BB117" s="55"/>
      <c r="BC117" s="55"/>
      <c r="BE117" s="55"/>
      <c r="BF117" s="55"/>
    </row>
    <row r="118" spans="7:58" s="2479" customFormat="1" x14ac:dyDescent="0.2">
      <c r="G118" s="55"/>
      <c r="H118" s="55"/>
      <c r="I118" s="55"/>
      <c r="J118" s="55"/>
      <c r="K118" s="55"/>
      <c r="L118" s="59"/>
      <c r="M118" s="55"/>
      <c r="N118" s="55"/>
      <c r="O118" s="55"/>
      <c r="P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BA118" s="55"/>
      <c r="BB118" s="55"/>
      <c r="BC118" s="55"/>
      <c r="BE118" s="55"/>
      <c r="BF118" s="55"/>
    </row>
    <row r="119" spans="7:58" s="2479" customFormat="1" x14ac:dyDescent="0.2">
      <c r="G119" s="55"/>
      <c r="H119" s="55"/>
      <c r="I119" s="55"/>
      <c r="J119" s="55"/>
      <c r="K119" s="55"/>
      <c r="L119" s="59"/>
      <c r="M119" s="55"/>
      <c r="N119" s="55"/>
      <c r="O119" s="55"/>
      <c r="P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BA119" s="55"/>
      <c r="BB119" s="55"/>
      <c r="BC119" s="55"/>
      <c r="BE119" s="55"/>
      <c r="BF119" s="55"/>
    </row>
    <row r="120" spans="7:58" s="2479" customFormat="1" x14ac:dyDescent="0.2">
      <c r="G120" s="55"/>
      <c r="H120" s="55"/>
      <c r="I120" s="55"/>
      <c r="J120" s="55"/>
      <c r="K120" s="55"/>
      <c r="L120" s="59"/>
      <c r="M120" s="55"/>
      <c r="N120" s="55"/>
      <c r="O120" s="55"/>
      <c r="P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BA120" s="55"/>
      <c r="BB120" s="55"/>
      <c r="BC120" s="55"/>
      <c r="BE120" s="55"/>
      <c r="BF120" s="55"/>
    </row>
    <row r="121" spans="7:58" s="2479" customFormat="1" x14ac:dyDescent="0.2">
      <c r="G121" s="55"/>
      <c r="H121" s="55"/>
      <c r="I121" s="55"/>
      <c r="J121" s="55"/>
      <c r="K121" s="55"/>
      <c r="L121" s="59"/>
      <c r="M121" s="55"/>
      <c r="N121" s="55"/>
      <c r="O121" s="55"/>
      <c r="P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BA121" s="55"/>
      <c r="BB121" s="55"/>
      <c r="BC121" s="55"/>
      <c r="BE121" s="55"/>
      <c r="BF121" s="55"/>
    </row>
    <row r="122" spans="7:58" s="2479" customFormat="1" x14ac:dyDescent="0.2">
      <c r="G122" s="55"/>
      <c r="H122" s="55"/>
      <c r="I122" s="55"/>
      <c r="J122" s="55"/>
      <c r="K122" s="55"/>
      <c r="L122" s="59"/>
      <c r="M122" s="55"/>
      <c r="N122" s="55"/>
      <c r="O122" s="55"/>
      <c r="P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BA122" s="55"/>
      <c r="BB122" s="55"/>
      <c r="BC122" s="55"/>
      <c r="BE122" s="55"/>
      <c r="BF122" s="55"/>
    </row>
    <row r="123" spans="7:58" s="2479" customFormat="1" x14ac:dyDescent="0.2">
      <c r="G123" s="55"/>
      <c r="H123" s="55"/>
      <c r="I123" s="55"/>
      <c r="J123" s="55"/>
      <c r="K123" s="55"/>
      <c r="L123" s="59"/>
      <c r="M123" s="55"/>
      <c r="N123" s="55"/>
      <c r="O123" s="55"/>
      <c r="P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BA123" s="55"/>
      <c r="BB123" s="55"/>
      <c r="BC123" s="55"/>
      <c r="BE123" s="55"/>
      <c r="BF123" s="55"/>
    </row>
    <row r="124" spans="7:58" s="2479" customFormat="1" x14ac:dyDescent="0.2">
      <c r="G124" s="55"/>
      <c r="H124" s="55"/>
      <c r="I124" s="55"/>
      <c r="J124" s="55"/>
      <c r="K124" s="55"/>
      <c r="L124" s="59"/>
      <c r="M124" s="55"/>
      <c r="N124" s="55"/>
      <c r="O124" s="55"/>
      <c r="P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BA124" s="55"/>
      <c r="BB124" s="55"/>
      <c r="BC124" s="55"/>
      <c r="BE124" s="55"/>
      <c r="BF124" s="55"/>
    </row>
    <row r="125" spans="7:58" s="2479" customFormat="1" x14ac:dyDescent="0.2">
      <c r="G125" s="55"/>
      <c r="H125" s="55"/>
      <c r="I125" s="55"/>
      <c r="J125" s="55"/>
      <c r="K125" s="55"/>
      <c r="L125" s="59"/>
      <c r="M125" s="55"/>
      <c r="N125" s="55"/>
      <c r="O125" s="55"/>
      <c r="P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BA125" s="55"/>
      <c r="BB125" s="55"/>
      <c r="BC125" s="55"/>
      <c r="BE125" s="55"/>
      <c r="BF125" s="55"/>
    </row>
    <row r="126" spans="7:58" s="2479" customFormat="1" x14ac:dyDescent="0.2">
      <c r="G126" s="55"/>
      <c r="H126" s="55"/>
      <c r="I126" s="55"/>
      <c r="J126" s="55"/>
      <c r="K126" s="55"/>
      <c r="L126" s="59"/>
      <c r="M126" s="55"/>
      <c r="N126" s="55"/>
      <c r="O126" s="55"/>
      <c r="P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BA126" s="55"/>
      <c r="BB126" s="55"/>
      <c r="BC126" s="55"/>
      <c r="BE126" s="55"/>
      <c r="BF126" s="55"/>
    </row>
    <row r="127" spans="7:58" s="2479" customFormat="1" x14ac:dyDescent="0.2">
      <c r="G127" s="55"/>
      <c r="H127" s="55"/>
      <c r="I127" s="55"/>
      <c r="J127" s="55"/>
      <c r="K127" s="55"/>
      <c r="L127" s="59"/>
      <c r="M127" s="55"/>
      <c r="N127" s="55"/>
      <c r="O127" s="55"/>
      <c r="P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BA127" s="55"/>
      <c r="BB127" s="55"/>
      <c r="BC127" s="55"/>
      <c r="BE127" s="55"/>
      <c r="BF127" s="55"/>
    </row>
    <row r="128" spans="7:58" s="2479" customFormat="1" x14ac:dyDescent="0.2">
      <c r="G128" s="55"/>
      <c r="H128" s="55"/>
      <c r="I128" s="55"/>
      <c r="J128" s="55"/>
      <c r="K128" s="55"/>
      <c r="L128" s="59"/>
      <c r="M128" s="55"/>
      <c r="N128" s="55"/>
      <c r="O128" s="55"/>
      <c r="P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BA128" s="55"/>
      <c r="BB128" s="55"/>
      <c r="BC128" s="55"/>
      <c r="BE128" s="55"/>
      <c r="BF128" s="55"/>
    </row>
    <row r="129" spans="7:58" s="2479" customFormat="1" x14ac:dyDescent="0.2">
      <c r="G129" s="55"/>
      <c r="H129" s="55"/>
      <c r="I129" s="55"/>
      <c r="J129" s="55"/>
      <c r="K129" s="55"/>
      <c r="L129" s="59"/>
      <c r="M129" s="55"/>
      <c r="N129" s="55"/>
      <c r="O129" s="55"/>
      <c r="P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BA129" s="55"/>
      <c r="BB129" s="55"/>
      <c r="BC129" s="55"/>
      <c r="BE129" s="55"/>
      <c r="BF129" s="55"/>
    </row>
  </sheetData>
  <pageMargins left="0.25" right="0.25" top="0.75" bottom="0.75" header="0.3" footer="0.3"/>
  <pageSetup orientation="portrait" horizontalDpi="1200" verticalDpi="1200" r:id="rId1"/>
  <headerFooter>
    <oddFooter>&amp;L&amp;"+,Regular"Pathways to 2050 -- Energy Flow Model&amp;R&amp;"+,Regular"&amp;F  |  This version printed &amp;D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autoPageBreaks="0"/>
  </sheetPr>
  <dimension ref="A1:CW129"/>
  <sheetViews>
    <sheetView windowProtection="1" zoomScale="106" zoomScaleNormal="106" workbookViewId="0">
      <selection activeCell="E3" sqref="E3"/>
    </sheetView>
  </sheetViews>
  <sheetFormatPr defaultColWidth="8.7109375" defaultRowHeight="12.75" outlineLevelRow="2" outlineLevelCol="2" x14ac:dyDescent="0.2"/>
  <cols>
    <col min="1" max="1" width="1.7109375" style="2479" customWidth="1"/>
    <col min="2" max="2" width="1.42578125" style="2479" customWidth="1"/>
    <col min="3" max="3" width="4.42578125" style="50" customWidth="1"/>
    <col min="4" max="4" width="6.7109375" style="51" customWidth="1"/>
    <col min="5" max="5" width="41.7109375" style="51" customWidth="1"/>
    <col min="6" max="6" width="1.140625" style="2479" customWidth="1" outlineLevel="1"/>
    <col min="7" max="11" width="10" style="51" customWidth="1" outlineLevel="2"/>
    <col min="12" max="12" width="10" style="65" customWidth="1" outlineLevel="2"/>
    <col min="13" max="15" width="10" style="51" customWidth="1" outlineLevel="2"/>
    <col min="16" max="16" width="10" style="51" customWidth="1" outlineLevel="1"/>
    <col min="17" max="17" width="1.140625" style="2479" customWidth="1" outlineLevel="1"/>
    <col min="18" max="33" width="10" style="51" customWidth="1" outlineLevel="2"/>
    <col min="34" max="34" width="10" style="51" customWidth="1" outlineLevel="1"/>
    <col min="35" max="35" width="1.140625" style="2479" customWidth="1" outlineLevel="1"/>
    <col min="36" max="50" width="10" style="51" customWidth="1" outlineLevel="2"/>
    <col min="51" max="51" width="10" style="51" customWidth="1" outlineLevel="1"/>
    <col min="52" max="52" width="1.140625" style="2479" customWidth="1" outlineLevel="1"/>
    <col min="53" max="54" width="10" style="51" customWidth="1" outlineLevel="2"/>
    <col min="55" max="55" width="10" style="51" customWidth="1" outlineLevel="1"/>
    <col min="56" max="56" width="1.140625" style="2479" customWidth="1" outlineLevel="1"/>
    <col min="57" max="57" width="11" style="51" customWidth="1" outlineLevel="1"/>
    <col min="58" max="58" width="5.28515625" style="51" customWidth="1"/>
    <col min="59" max="59" width="8.7109375" style="2479"/>
    <col min="60" max="99" width="7.42578125" style="2479" customWidth="1"/>
    <col min="100" max="100" width="2.42578125" style="2479" customWidth="1"/>
    <col min="101" max="16384" width="8.7109375" style="2479"/>
  </cols>
  <sheetData>
    <row r="1" spans="1:101" ht="6" customHeight="1" x14ac:dyDescent="0.2"/>
    <row r="2" spans="1:101" ht="21" customHeight="1" x14ac:dyDescent="0.2">
      <c r="D2" s="43"/>
      <c r="E2" s="252">
        <v>2030</v>
      </c>
      <c r="G2" s="2479"/>
      <c r="H2" s="2479"/>
      <c r="I2" s="2479"/>
      <c r="J2" s="2479"/>
      <c r="K2" s="2479"/>
      <c r="L2" s="2479"/>
      <c r="M2" s="2479"/>
      <c r="N2" s="2479"/>
      <c r="O2" s="2479"/>
      <c r="P2" s="2479"/>
      <c r="R2" s="2479"/>
      <c r="S2" s="2479"/>
      <c r="T2" s="2479"/>
      <c r="U2" s="2479"/>
      <c r="V2" s="2479"/>
      <c r="W2" s="2479"/>
      <c r="X2" s="2479"/>
      <c r="Y2" s="2479"/>
      <c r="Z2" s="2479"/>
      <c r="AA2" s="2479"/>
      <c r="AB2" s="2479"/>
      <c r="AC2" s="2479"/>
      <c r="AD2" s="2479"/>
      <c r="AE2" s="2479"/>
      <c r="AF2" s="2479"/>
      <c r="AG2" s="2479"/>
      <c r="AH2" s="2479"/>
      <c r="AJ2" s="2479"/>
      <c r="AK2" s="2479"/>
      <c r="AL2" s="2479"/>
      <c r="AM2" s="2479"/>
      <c r="AN2" s="2479"/>
      <c r="AO2" s="2479"/>
      <c r="AP2" s="2479"/>
      <c r="AQ2" s="2479"/>
      <c r="AR2" s="2479"/>
      <c r="AS2" s="2479"/>
      <c r="AT2" s="2479"/>
      <c r="AU2" s="2479"/>
      <c r="AV2" s="2479"/>
      <c r="AW2" s="2479"/>
      <c r="AX2" s="2479"/>
      <c r="AY2" s="2479"/>
      <c r="BA2" s="2479"/>
      <c r="BB2" s="2479"/>
      <c r="BC2" s="2479"/>
      <c r="BE2" s="2479"/>
      <c r="BF2" s="72"/>
    </row>
    <row r="3" spans="1:101" ht="39" customHeight="1" x14ac:dyDescent="0.2">
      <c r="A3" s="90"/>
      <c r="B3" s="90"/>
      <c r="C3" s="90"/>
      <c r="D3" s="44"/>
      <c r="E3" s="133" t="str">
        <f>Preferences.EnergyUnits</f>
        <v>TWh</v>
      </c>
      <c r="G3" s="281" t="s">
        <v>293</v>
      </c>
      <c r="H3" s="281"/>
      <c r="I3" s="281"/>
      <c r="J3" s="281"/>
      <c r="K3" s="281"/>
      <c r="L3" s="281"/>
      <c r="M3" s="281"/>
      <c r="N3" s="281"/>
      <c r="O3" s="281"/>
      <c r="P3" s="281"/>
      <c r="R3" s="375" t="s">
        <v>239</v>
      </c>
      <c r="S3" s="376"/>
      <c r="T3" s="376"/>
      <c r="U3" s="376"/>
      <c r="V3" s="376"/>
      <c r="W3" s="376"/>
      <c r="X3" s="380"/>
      <c r="Y3" s="376"/>
      <c r="Z3" s="376"/>
      <c r="AA3" s="376"/>
      <c r="AB3" s="376"/>
      <c r="AC3" s="376"/>
      <c r="AD3" s="376"/>
      <c r="AE3" s="376"/>
      <c r="AF3" s="376"/>
      <c r="AG3" s="376"/>
      <c r="AH3" s="379"/>
      <c r="AJ3" s="377" t="s">
        <v>481</v>
      </c>
      <c r="AK3" s="378"/>
      <c r="AL3" s="378"/>
      <c r="AM3" s="381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82"/>
      <c r="BA3" s="303" t="s">
        <v>387</v>
      </c>
      <c r="BB3" s="290"/>
      <c r="BC3" s="290"/>
      <c r="BE3" s="47"/>
      <c r="BF3" s="47"/>
      <c r="BG3" s="90"/>
      <c r="BH3" s="384" t="s">
        <v>485</v>
      </c>
      <c r="BI3" s="385"/>
      <c r="BJ3" s="385"/>
      <c r="BK3" s="385"/>
      <c r="BL3" s="385"/>
      <c r="BM3" s="385"/>
      <c r="BN3" s="385"/>
      <c r="BO3" s="385"/>
      <c r="BP3" s="385"/>
      <c r="BQ3" s="385"/>
      <c r="BR3" s="385"/>
      <c r="BS3" s="385"/>
      <c r="BT3" s="385"/>
      <c r="BU3" s="385"/>
      <c r="BV3" s="385"/>
      <c r="BW3" s="385"/>
      <c r="BX3" s="385"/>
      <c r="BY3" s="385"/>
      <c r="BZ3" s="385"/>
      <c r="CA3" s="385"/>
      <c r="CB3" s="385"/>
      <c r="CC3" s="385"/>
      <c r="CD3" s="385"/>
      <c r="CE3" s="385"/>
      <c r="CF3" s="385"/>
      <c r="CG3" s="385"/>
      <c r="CH3" s="385"/>
      <c r="CI3" s="385"/>
      <c r="CJ3" s="385"/>
      <c r="CK3" s="385"/>
      <c r="CL3" s="385"/>
      <c r="CM3" s="385"/>
      <c r="CN3" s="385"/>
      <c r="CO3" s="385"/>
      <c r="CP3" s="385"/>
      <c r="CQ3" s="385"/>
      <c r="CR3" s="514"/>
      <c r="CS3" s="514"/>
      <c r="CT3" s="514"/>
      <c r="CU3" s="514"/>
    </row>
    <row r="4" spans="1:101" ht="36.75" customHeight="1" x14ac:dyDescent="0.2">
      <c r="C4" s="48"/>
      <c r="D4" s="48"/>
      <c r="G4" s="253" t="str">
        <f>INDEX(Vectors[Description], MATCH(G$5,Vectors[Code],FALSE))</f>
        <v>Cooling</v>
      </c>
      <c r="H4" s="253" t="str">
        <f>INDEX(Vectors[Description], MATCH(H$5,Vectors[Code],FALSE))</f>
        <v>Lighting &amp; appliances</v>
      </c>
      <c r="I4" s="253" t="str">
        <f>INDEX(Vectors[Description], MATCH(I$5,Vectors[Code],FALSE))</f>
        <v>Cooking</v>
      </c>
      <c r="J4" s="253" t="str">
        <f>INDEX(Vectors[Description], MATCH(J$5,Vectors[Code],FALSE))</f>
        <v>Industry</v>
      </c>
      <c r="K4" s="253" t="str">
        <f>INDEX(Vectors[Description], MATCH(K$5,Vectors[Code],FALSE))</f>
        <v>Road transport</v>
      </c>
      <c r="L4" s="253" t="str">
        <f>INDEX(Vectors[Description], MATCH(L$5,Vectors[Code],FALSE))</f>
        <v>Rail transport</v>
      </c>
      <c r="M4" s="253" t="str">
        <f>INDEX(Vectors[Description], MATCH(M$5,Vectors[Code],FALSE))</f>
        <v>Domestic aviation</v>
      </c>
      <c r="N4" s="253" t="str">
        <f>INDEX(Vectors[Description], MATCH(N$5,Vectors[Code],FALSE))</f>
        <v>Berge</v>
      </c>
      <c r="O4" s="253" t="str">
        <f>INDEX(Vectors[Description], MATCH(O$5,Vectors[Code],FALSE))</f>
        <v>Pipeline</v>
      </c>
      <c r="P4" s="270" t="s">
        <v>391</v>
      </c>
      <c r="R4" s="254" t="str">
        <f>INDEX(Vectors[Description], MATCH(R$5,Vectors[Code],FALSE))</f>
        <v>Electricity (delivered to end user)</v>
      </c>
      <c r="S4" s="254" t="str">
        <f>INDEX(Vectors[Description], MATCH(S$5,Vectors[Code],FALSE))</f>
        <v>Electricity (supplied to grid)</v>
      </c>
      <c r="T4" s="254" t="str">
        <f>INDEX(Vectors[Description], MATCH(T$5,Vectors[Code],FALSE))</f>
        <v>Solid hydrocarbons</v>
      </c>
      <c r="U4" s="254" t="str">
        <f>INDEX(Vectors[Description], MATCH(U$5,Vectors[Code],FALSE))</f>
        <v>Liquid hydrocarbons</v>
      </c>
      <c r="V4" s="254" t="str">
        <f>INDEX(Vectors[Description], MATCH(V$5,Vectors[Code],FALSE))</f>
        <v>Gaseous hydrocarbons</v>
      </c>
      <c r="W4" s="254" t="str">
        <f>INDEX(Vectors[Description], MATCH(W$5,Vectors[Code],FALSE))</f>
        <v>Traditional Fuel</v>
      </c>
      <c r="X4" s="254" t="str">
        <f>INDEX(Vectors[Description], MATCH(X$5,Vectors[Code],FALSE))</f>
        <v>Coal and fossil waste</v>
      </c>
      <c r="Y4" s="254" t="str">
        <f>INDEX(Vectors[Description], MATCH(Y$5,Vectors[Code],FALSE))</f>
        <v>Oil and petroleum products</v>
      </c>
      <c r="Z4" s="254" t="str">
        <f>INDEX(Vectors[Description], MATCH(Z$5,Vectors[Code],FALSE))</f>
        <v>Natural gas</v>
      </c>
      <c r="AA4" s="254" t="str">
        <f>INDEX(Vectors[Description], MATCH(AA$5,Vectors[Code],FALSE))</f>
        <v>Blast furnace gas</v>
      </c>
      <c r="AB4" s="254" t="str">
        <f>INDEX(Vectors[Description], MATCH(AB$5,Vectors[Code],FALSE))</f>
        <v>Edible biomass</v>
      </c>
      <c r="AC4" s="254" t="str">
        <f>INDEX(Vectors[Description], MATCH(AC$5,Vectors[Code],FALSE))</f>
        <v>Energy crops (second generation)</v>
      </c>
      <c r="AD4" s="254" t="str">
        <f>INDEX(Vectors[Description], MATCH(AD$5,Vectors[Code],FALSE))</f>
        <v>Energy crops (first generation)</v>
      </c>
      <c r="AE4" s="254" t="str">
        <f>INDEX(Vectors[Description], MATCH(AE$5,Vectors[Code],FALSE))</f>
        <v>Dry biomass and waste</v>
      </c>
      <c r="AF4" s="254" t="str">
        <f>INDEX(Vectors[Description], MATCH(AF$5,Vectors[Code],FALSE))</f>
        <v>Wet biomass and waste</v>
      </c>
      <c r="AG4" s="254" t="str">
        <f>INDEX(Vectors[Description], MATCH(AG$5,Vectors[Code],FALSE))</f>
        <v>Gaseous waste</v>
      </c>
      <c r="AH4" s="284" t="s">
        <v>237</v>
      </c>
      <c r="AJ4" s="268" t="str">
        <f>INDEX(Vectors[Description], MATCH(AJ$5,Vectors[Code],FALSE))</f>
        <v>Coal reserves</v>
      </c>
      <c r="AK4" s="268" t="str">
        <f>INDEX(Vectors[Description], MATCH(AK$5,Vectors[Code],FALSE))</f>
        <v>Oil reserves</v>
      </c>
      <c r="AL4" s="268" t="str">
        <f>INDEX(Vectors[Description], MATCH(AL$5,Vectors[Code],FALSE))</f>
        <v>Gas reserves</v>
      </c>
      <c r="AM4" s="268" t="str">
        <f>INDEX(Vectors[Description], MATCH(AM$5,Vectors[Code],FALSE))</f>
        <v>Biomass oversupply (imports)</v>
      </c>
      <c r="AN4" s="268" t="str">
        <f>INDEX(Vectors[Description], MATCH(AN$5,Vectors[Code],FALSE))</f>
        <v>Electricity oversupply (imports)</v>
      </c>
      <c r="AO4" s="268" t="str">
        <f>INDEX(Vectors[Description], MATCH(AO$5,Vectors[Code],FALSE))</f>
        <v>Petroleum products oversupply</v>
      </c>
      <c r="AP4" s="268" t="str">
        <f>INDEX(Vectors[Description], MATCH(AP$5,Vectors[Code],FALSE))</f>
        <v>Coal oversupply (imports)</v>
      </c>
      <c r="AQ4" s="268" t="str">
        <f>INDEX(Vectors[Description], MATCH(AQ$5,Vectors[Code],FALSE))</f>
        <v>Oil and petroleum products oversupply (imports)</v>
      </c>
      <c r="AR4" s="268" t="str">
        <f>INDEX(Vectors[Description], MATCH(AR$5,Vectors[Code],FALSE))</f>
        <v>Gas oversupply (imports)</v>
      </c>
      <c r="AS4" s="268" t="str">
        <f>INDEX(Vectors[Description], MATCH(AS$5,Vectors[Code],FALSE))</f>
        <v>Nuclear fission</v>
      </c>
      <c r="AT4" s="268" t="str">
        <f>INDEX(Vectors[Description], MATCH(AT$5,Vectors[Code],FALSE))</f>
        <v>Solar</v>
      </c>
      <c r="AU4" s="268" t="str">
        <f>INDEX(Vectors[Description], MATCH(AU$5,Vectors[Code],FALSE))</f>
        <v>Wind</v>
      </c>
      <c r="AV4" s="268" t="str">
        <f>INDEX(Vectors[Description], MATCH(AV$5,Vectors[Code],FALSE))</f>
        <v>Hydro</v>
      </c>
      <c r="AW4" s="268" t="str">
        <f>INDEX(Vectors[Description], MATCH(AW$5,Vectors[Code],FALSE))</f>
        <v>Agriculture</v>
      </c>
      <c r="AX4" s="268" t="str">
        <f>INDEX(Vectors[Description], MATCH(AX$5,Vectors[Code],FALSE))</f>
        <v>Waste</v>
      </c>
      <c r="AY4" s="286" t="s">
        <v>238</v>
      </c>
      <c r="BA4" s="273" t="str">
        <f>INDEX(Vectors[Description], MATCH(BA$5,Vectors[Code],FALSE))</f>
        <v>Conversion losses</v>
      </c>
      <c r="BB4" s="273" t="str">
        <f>INDEX(Vectors[Description], MATCH(BB$5,Vectors[Code],FALSE))</f>
        <v>Distribution losses and own use</v>
      </c>
      <c r="BC4" s="288" t="s">
        <v>386</v>
      </c>
      <c r="BE4" s="49" t="str">
        <f>INDEX(Vectors[Description], MATCH(BE$5,Vectors[Code],FALSE))</f>
        <v>Unallocated</v>
      </c>
      <c r="BF4" s="49"/>
      <c r="BH4" s="389" t="str">
        <f>INDEX(IPCC[Sector_description], MATCH(BH$5, IPCC[Sector_code], 0))</f>
        <v>Fuel Combustion</v>
      </c>
      <c r="BI4" s="390"/>
      <c r="BJ4" s="390"/>
      <c r="BK4" s="391"/>
      <c r="BL4" s="389" t="str">
        <f>INDEX(IPCC[Sector_description], MATCH(BL$5, IPCC[Sector_code], 0))</f>
        <v>Fugitive Emissions from Fuels</v>
      </c>
      <c r="BM4" s="390"/>
      <c r="BN4" s="390"/>
      <c r="BO4" s="391"/>
      <c r="BP4" s="389" t="str">
        <f>INDEX(IPCC[Sector_description], MATCH(BP$5, IPCC[Sector_code], 0))</f>
        <v>Industrial Processes</v>
      </c>
      <c r="BQ4" s="390"/>
      <c r="BR4" s="390"/>
      <c r="BS4" s="391"/>
      <c r="BT4" s="389" t="str">
        <f>INDEX(IPCC[Sector_description], MATCH(BT$5, IPCC[Sector_code], 0))</f>
        <v>Solvent and Other Product Use</v>
      </c>
      <c r="BU4" s="390"/>
      <c r="BV4" s="390"/>
      <c r="BW4" s="391"/>
      <c r="BX4" s="389" t="str">
        <f>INDEX(IPCC[Sector_description], MATCH(BX$5, IPCC[Sector_code], 0))</f>
        <v>Agriculture</v>
      </c>
      <c r="BY4" s="390"/>
      <c r="BZ4" s="390"/>
      <c r="CA4" s="391"/>
      <c r="CB4" s="389" t="str">
        <f>INDEX(IPCC[Sector_description], MATCH(CB$5, IPCC[Sector_code], 0))</f>
        <v>LULUCF</v>
      </c>
      <c r="CC4" s="390"/>
      <c r="CD4" s="390"/>
      <c r="CE4" s="391"/>
      <c r="CF4" s="389" t="str">
        <f>INDEX(IPCC[Sector_description], MATCH(CF$5, IPCC[Sector_code], 0))</f>
        <v>Waste</v>
      </c>
      <c r="CG4" s="390"/>
      <c r="CH4" s="390"/>
      <c r="CI4" s="391"/>
      <c r="CJ4" s="389" t="str">
        <f>INDEX(IPCC[Sector_description], MATCH(CJ$5, IPCC[Sector_code], 0))</f>
        <v>Other</v>
      </c>
      <c r="CK4" s="390"/>
      <c r="CL4" s="390"/>
      <c r="CM4" s="391"/>
      <c r="CN4" s="389" t="str">
        <f>INDEX(IPCC[Sector_description], MATCH(CN$5, IPCC[Sector_code], 0))</f>
        <v>Bioenergy credit</v>
      </c>
      <c r="CO4" s="390"/>
      <c r="CP4" s="390"/>
      <c r="CQ4" s="391"/>
      <c r="CR4" s="389" t="str">
        <f>INDEX(IPCC[Sector_description], MATCH(CR$5, IPCC[Sector_code], 0))</f>
        <v>Carbon capture</v>
      </c>
      <c r="CS4" s="390"/>
      <c r="CT4" s="390"/>
      <c r="CU4" s="391"/>
      <c r="CW4" s="539" t="s">
        <v>105</v>
      </c>
    </row>
    <row r="5" spans="1:101" x14ac:dyDescent="0.2">
      <c r="D5" s="239" t="s">
        <v>117</v>
      </c>
      <c r="G5" s="271" t="s">
        <v>5</v>
      </c>
      <c r="H5" s="271" t="s">
        <v>44</v>
      </c>
      <c r="I5" s="271" t="s">
        <v>2205</v>
      </c>
      <c r="J5" s="271" t="s">
        <v>9</v>
      </c>
      <c r="K5" s="271" t="s">
        <v>28</v>
      </c>
      <c r="L5" s="271" t="s">
        <v>29</v>
      </c>
      <c r="M5" s="271" t="s">
        <v>30</v>
      </c>
      <c r="N5" s="271" t="s">
        <v>31</v>
      </c>
      <c r="O5" s="271" t="s">
        <v>2336</v>
      </c>
      <c r="P5" s="271"/>
      <c r="R5" s="272" t="s">
        <v>34</v>
      </c>
      <c r="S5" s="272" t="s">
        <v>35</v>
      </c>
      <c r="T5" s="272" t="s">
        <v>36</v>
      </c>
      <c r="U5" s="272" t="s">
        <v>38</v>
      </c>
      <c r="V5" s="272" t="s">
        <v>39</v>
      </c>
      <c r="W5" s="272" t="s">
        <v>2184</v>
      </c>
      <c r="X5" s="272" t="s">
        <v>51</v>
      </c>
      <c r="Y5" s="272" t="s">
        <v>52</v>
      </c>
      <c r="Z5" s="272" t="s">
        <v>53</v>
      </c>
      <c r="AA5" s="272" t="s">
        <v>92</v>
      </c>
      <c r="AB5" s="272" t="s">
        <v>295</v>
      </c>
      <c r="AC5" s="272" t="s">
        <v>871</v>
      </c>
      <c r="AD5" s="272" t="s">
        <v>1161</v>
      </c>
      <c r="AE5" s="272" t="s">
        <v>296</v>
      </c>
      <c r="AF5" s="272" t="s">
        <v>383</v>
      </c>
      <c r="AG5" s="272" t="s">
        <v>1164</v>
      </c>
      <c r="AH5" s="272"/>
      <c r="AJ5" s="269" t="s">
        <v>425</v>
      </c>
      <c r="AK5" s="269" t="s">
        <v>426</v>
      </c>
      <c r="AL5" s="269" t="s">
        <v>427</v>
      </c>
      <c r="AM5" s="269" t="s">
        <v>46</v>
      </c>
      <c r="AN5" s="269" t="s">
        <v>47</v>
      </c>
      <c r="AO5" s="269" t="s">
        <v>323</v>
      </c>
      <c r="AP5" s="269" t="s">
        <v>417</v>
      </c>
      <c r="AQ5" s="269" t="s">
        <v>418</v>
      </c>
      <c r="AR5" s="269" t="s">
        <v>419</v>
      </c>
      <c r="AS5" s="269" t="s">
        <v>6</v>
      </c>
      <c r="AT5" s="269" t="s">
        <v>25</v>
      </c>
      <c r="AU5" s="269" t="s">
        <v>7</v>
      </c>
      <c r="AV5" s="269" t="s">
        <v>8</v>
      </c>
      <c r="AW5" s="269" t="s">
        <v>451</v>
      </c>
      <c r="AX5" s="269" t="s">
        <v>42</v>
      </c>
      <c r="AY5" s="269"/>
      <c r="BA5" s="274" t="s">
        <v>26</v>
      </c>
      <c r="BB5" s="274" t="s">
        <v>27</v>
      </c>
      <c r="BC5" s="274"/>
      <c r="BE5" s="46" t="s">
        <v>48</v>
      </c>
      <c r="BF5" s="46"/>
      <c r="BH5" s="392" t="s">
        <v>483</v>
      </c>
      <c r="BI5" s="393" t="s">
        <v>483</v>
      </c>
      <c r="BJ5" s="393" t="s">
        <v>483</v>
      </c>
      <c r="BK5" s="394" t="s">
        <v>483</v>
      </c>
      <c r="BL5" s="392" t="s">
        <v>482</v>
      </c>
      <c r="BM5" s="393" t="s">
        <v>482</v>
      </c>
      <c r="BN5" s="393" t="s">
        <v>482</v>
      </c>
      <c r="BO5" s="394" t="s">
        <v>482</v>
      </c>
      <c r="BP5" s="392">
        <v>2</v>
      </c>
      <c r="BQ5" s="393">
        <v>2</v>
      </c>
      <c r="BR5" s="393">
        <v>2</v>
      </c>
      <c r="BS5" s="394">
        <v>2</v>
      </c>
      <c r="BT5" s="392">
        <v>3</v>
      </c>
      <c r="BU5" s="393">
        <v>3</v>
      </c>
      <c r="BV5" s="393">
        <v>3</v>
      </c>
      <c r="BW5" s="394">
        <v>3</v>
      </c>
      <c r="BX5" s="392">
        <v>4</v>
      </c>
      <c r="BY5" s="393">
        <v>4</v>
      </c>
      <c r="BZ5" s="393">
        <v>4</v>
      </c>
      <c r="CA5" s="394">
        <v>4</v>
      </c>
      <c r="CB5" s="392">
        <v>5</v>
      </c>
      <c r="CC5" s="393">
        <v>5</v>
      </c>
      <c r="CD5" s="393">
        <v>5</v>
      </c>
      <c r="CE5" s="394">
        <v>5</v>
      </c>
      <c r="CF5" s="392">
        <v>6</v>
      </c>
      <c r="CG5" s="393">
        <v>6</v>
      </c>
      <c r="CH5" s="393">
        <v>6</v>
      </c>
      <c r="CI5" s="394">
        <v>6</v>
      </c>
      <c r="CJ5" s="392">
        <v>7</v>
      </c>
      <c r="CK5" s="393">
        <v>7</v>
      </c>
      <c r="CL5" s="393">
        <v>7</v>
      </c>
      <c r="CM5" s="394">
        <v>7</v>
      </c>
      <c r="CN5" s="392" t="s">
        <v>469</v>
      </c>
      <c r="CO5" s="393" t="s">
        <v>469</v>
      </c>
      <c r="CP5" s="393" t="s">
        <v>469</v>
      </c>
      <c r="CQ5" s="394" t="s">
        <v>469</v>
      </c>
      <c r="CR5" s="392" t="s">
        <v>495</v>
      </c>
      <c r="CS5" s="393" t="s">
        <v>495</v>
      </c>
      <c r="CT5" s="393" t="s">
        <v>495</v>
      </c>
      <c r="CU5" s="394" t="s">
        <v>495</v>
      </c>
    </row>
    <row r="6" spans="1:101" ht="15.75" customHeight="1" x14ac:dyDescent="0.2">
      <c r="G6" s="242"/>
      <c r="H6" s="242"/>
      <c r="I6" s="242"/>
      <c r="J6" s="242"/>
      <c r="K6" s="242"/>
      <c r="L6" s="243"/>
      <c r="M6" s="242"/>
      <c r="N6" s="242"/>
      <c r="O6" s="242"/>
      <c r="P6" s="242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261"/>
      <c r="AV6" s="261"/>
      <c r="AW6" s="261"/>
      <c r="AX6" s="261"/>
      <c r="AY6" s="261"/>
      <c r="BA6" s="275"/>
      <c r="BB6" s="275"/>
      <c r="BC6" s="275"/>
      <c r="BE6" s="52"/>
      <c r="BF6" s="52"/>
      <c r="BH6" s="386" t="s">
        <v>473</v>
      </c>
      <c r="BI6" s="386" t="s">
        <v>474</v>
      </c>
      <c r="BJ6" s="386" t="s">
        <v>475</v>
      </c>
      <c r="BK6" s="386" t="s">
        <v>476</v>
      </c>
      <c r="BL6" s="386" t="s">
        <v>473</v>
      </c>
      <c r="BM6" s="386" t="s">
        <v>474</v>
      </c>
      <c r="BN6" s="386" t="s">
        <v>475</v>
      </c>
      <c r="BO6" s="386" t="s">
        <v>476</v>
      </c>
      <c r="BP6" s="386" t="s">
        <v>473</v>
      </c>
      <c r="BQ6" s="386" t="s">
        <v>474</v>
      </c>
      <c r="BR6" s="386" t="s">
        <v>475</v>
      </c>
      <c r="BS6" s="386" t="s">
        <v>476</v>
      </c>
      <c r="BT6" s="386" t="s">
        <v>473</v>
      </c>
      <c r="BU6" s="386" t="s">
        <v>474</v>
      </c>
      <c r="BV6" s="386" t="s">
        <v>475</v>
      </c>
      <c r="BW6" s="386" t="s">
        <v>476</v>
      </c>
      <c r="BX6" s="386" t="s">
        <v>473</v>
      </c>
      <c r="BY6" s="386" t="s">
        <v>474</v>
      </c>
      <c r="BZ6" s="386" t="s">
        <v>475</v>
      </c>
      <c r="CA6" s="386" t="s">
        <v>476</v>
      </c>
      <c r="CB6" s="386" t="s">
        <v>473</v>
      </c>
      <c r="CC6" s="386" t="s">
        <v>474</v>
      </c>
      <c r="CD6" s="386" t="s">
        <v>475</v>
      </c>
      <c r="CE6" s="386" t="s">
        <v>476</v>
      </c>
      <c r="CF6" s="386" t="s">
        <v>473</v>
      </c>
      <c r="CG6" s="386" t="s">
        <v>474</v>
      </c>
      <c r="CH6" s="386" t="s">
        <v>475</v>
      </c>
      <c r="CI6" s="386" t="s">
        <v>476</v>
      </c>
      <c r="CJ6" s="386" t="s">
        <v>473</v>
      </c>
      <c r="CK6" s="386" t="s">
        <v>474</v>
      </c>
      <c r="CL6" s="386" t="s">
        <v>475</v>
      </c>
      <c r="CM6" s="386" t="s">
        <v>476</v>
      </c>
      <c r="CN6" s="386" t="s">
        <v>473</v>
      </c>
      <c r="CO6" s="386" t="s">
        <v>474</v>
      </c>
      <c r="CP6" s="386" t="s">
        <v>475</v>
      </c>
      <c r="CQ6" s="386" t="s">
        <v>476</v>
      </c>
      <c r="CR6" s="386" t="s">
        <v>473</v>
      </c>
      <c r="CS6" s="386" t="s">
        <v>474</v>
      </c>
      <c r="CT6" s="386" t="s">
        <v>475</v>
      </c>
      <c r="CU6" s="386" t="s">
        <v>476</v>
      </c>
    </row>
    <row r="7" spans="1:101" ht="18" customHeight="1" x14ac:dyDescent="0.2">
      <c r="C7" s="45" t="s">
        <v>188</v>
      </c>
      <c r="D7" s="45"/>
      <c r="E7" s="68"/>
      <c r="G7" s="244"/>
      <c r="H7" s="244"/>
      <c r="I7" s="244"/>
      <c r="J7" s="244"/>
      <c r="K7" s="244"/>
      <c r="L7" s="244"/>
      <c r="M7" s="244"/>
      <c r="N7" s="244"/>
      <c r="O7" s="244"/>
      <c r="P7" s="244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BA7" s="276"/>
      <c r="BB7" s="276"/>
      <c r="BC7" s="276"/>
      <c r="BE7" s="54"/>
      <c r="BF7" s="54"/>
      <c r="BH7" s="387"/>
      <c r="BI7" s="387"/>
      <c r="BJ7" s="387"/>
      <c r="BK7" s="387"/>
      <c r="BL7" s="387"/>
      <c r="BM7" s="387"/>
      <c r="BN7" s="387"/>
      <c r="BO7" s="387"/>
      <c r="BP7" s="387"/>
      <c r="BQ7" s="387"/>
      <c r="BR7" s="387"/>
      <c r="BS7" s="387"/>
      <c r="BT7" s="387"/>
      <c r="BU7" s="387"/>
      <c r="BV7" s="387"/>
      <c r="BW7" s="387"/>
      <c r="BX7" s="387"/>
      <c r="BY7" s="387"/>
      <c r="BZ7" s="387"/>
      <c r="CA7" s="387"/>
      <c r="CB7" s="387"/>
      <c r="CC7" s="387"/>
      <c r="CD7" s="387"/>
      <c r="CE7" s="387"/>
      <c r="CF7" s="387"/>
      <c r="CG7" s="387"/>
      <c r="CH7" s="387"/>
      <c r="CI7" s="387"/>
      <c r="CJ7" s="387"/>
      <c r="CK7" s="387"/>
      <c r="CL7" s="387"/>
      <c r="CM7" s="387"/>
      <c r="CN7" s="387"/>
      <c r="CO7" s="387"/>
      <c r="CP7" s="387"/>
      <c r="CQ7" s="387"/>
      <c r="CR7" s="387"/>
      <c r="CS7" s="387"/>
      <c r="CT7" s="387"/>
      <c r="CU7" s="387"/>
    </row>
    <row r="8" spans="1:101" outlineLevel="1" x14ac:dyDescent="0.2">
      <c r="G8" s="245"/>
      <c r="H8" s="245"/>
      <c r="I8" s="245"/>
      <c r="J8" s="245"/>
      <c r="K8" s="245"/>
      <c r="L8" s="246"/>
      <c r="M8" s="245"/>
      <c r="N8" s="245"/>
      <c r="O8" s="245"/>
      <c r="P8" s="245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J8" s="263"/>
      <c r="AK8" s="263"/>
      <c r="AL8" s="263"/>
      <c r="AM8" s="263"/>
      <c r="AN8" s="263"/>
      <c r="AO8" s="263"/>
      <c r="AP8" s="263"/>
      <c r="AQ8" s="263"/>
      <c r="AR8" s="263"/>
      <c r="AS8" s="263"/>
      <c r="AT8" s="263"/>
      <c r="AU8" s="263"/>
      <c r="AV8" s="263"/>
      <c r="AW8" s="263"/>
      <c r="AX8" s="263"/>
      <c r="AY8" s="263"/>
      <c r="BA8" s="277"/>
      <c r="BB8" s="277"/>
      <c r="BC8" s="277"/>
      <c r="BE8" s="55"/>
      <c r="BF8" s="55"/>
      <c r="BH8" s="388"/>
      <c r="BI8" s="388"/>
      <c r="BJ8" s="388"/>
      <c r="BK8" s="388"/>
      <c r="BL8" s="388"/>
      <c r="BM8" s="388"/>
      <c r="BN8" s="388"/>
      <c r="BO8" s="388"/>
      <c r="BP8" s="388"/>
      <c r="BQ8" s="388"/>
      <c r="BR8" s="388"/>
      <c r="BS8" s="388"/>
      <c r="BT8" s="388"/>
      <c r="BU8" s="388"/>
      <c r="BV8" s="388"/>
      <c r="BW8" s="388"/>
      <c r="BX8" s="388"/>
      <c r="BY8" s="388"/>
      <c r="BZ8" s="388"/>
      <c r="CA8" s="388"/>
      <c r="CB8" s="388"/>
      <c r="CC8" s="388"/>
      <c r="CD8" s="388"/>
      <c r="CE8" s="388"/>
      <c r="CF8" s="388"/>
      <c r="CG8" s="388"/>
      <c r="CH8" s="388"/>
      <c r="CI8" s="388"/>
      <c r="CJ8" s="388"/>
      <c r="CK8" s="388"/>
      <c r="CL8" s="388"/>
      <c r="CM8" s="388"/>
      <c r="CN8" s="388"/>
      <c r="CO8" s="388"/>
      <c r="CP8" s="388"/>
      <c r="CQ8" s="388"/>
      <c r="CR8" s="388"/>
      <c r="CS8" s="388"/>
      <c r="CT8" s="388"/>
      <c r="CU8" s="388"/>
    </row>
    <row r="9" spans="1:101" s="84" customFormat="1" ht="10.5" customHeight="1" outlineLevel="2" x14ac:dyDescent="0.2">
      <c r="A9" s="540"/>
      <c r="B9" s="540"/>
      <c r="C9" s="86" t="s">
        <v>341</v>
      </c>
      <c r="D9" s="540" t="str">
        <f>INDEX(Modules[Module], MATCH($C9, Modules[Code], 0))</f>
        <v>Residential Cooling</v>
      </c>
      <c r="E9" s="61"/>
      <c r="G9" s="297">
        <f ca="1">IFERROR(INDEX(INDIRECT($C9&amp;".Outputs["&amp;this.Year&amp;"]"), MATCH(G$5, INDIRECT($C9&amp;".Outputs[Vector]"), 0)), 0)</f>
        <v>69.168548601745115</v>
      </c>
      <c r="H9" s="297">
        <f t="shared" ref="G9:O11" ca="1" si="0">IFERROR(INDEX(INDIRECT($C9&amp;".Outputs["&amp;this.Year&amp;"]"), MATCH(H$5, INDIRECT($C9&amp;".Outputs[Vector]"), 0)), 0)</f>
        <v>0</v>
      </c>
      <c r="I9" s="297">
        <f t="shared" ca="1" si="0"/>
        <v>0</v>
      </c>
      <c r="J9" s="297">
        <f t="shared" ca="1" si="0"/>
        <v>0</v>
      </c>
      <c r="K9" s="297">
        <f t="shared" ca="1" si="0"/>
        <v>0</v>
      </c>
      <c r="L9" s="297">
        <f t="shared" ca="1" si="0"/>
        <v>0</v>
      </c>
      <c r="M9" s="297">
        <f t="shared" ca="1" si="0"/>
        <v>0</v>
      </c>
      <c r="N9" s="297">
        <f t="shared" ca="1" si="0"/>
        <v>0</v>
      </c>
      <c r="O9" s="297">
        <f t="shared" ca="1" si="0"/>
        <v>0</v>
      </c>
      <c r="P9" s="297">
        <f t="shared" ref="P9:P23" ca="1" si="1">SUM(G9:O9)</f>
        <v>69.168548601745115</v>
      </c>
      <c r="R9" s="304">
        <f t="shared" ref="R9:W9" ca="1" si="2">IFERROR(INDEX(INDIRECT($C9&amp;".Outputs["&amp;this.Year&amp;"]"), MATCH(R$5, INDIRECT($C9&amp;".Outputs[Vector]"), 0)), 0)</f>
        <v>-69.168548601745115</v>
      </c>
      <c r="S9" s="304">
        <f t="shared" ca="1" si="2"/>
        <v>0</v>
      </c>
      <c r="T9" s="304">
        <f t="shared" ca="1" si="2"/>
        <v>0</v>
      </c>
      <c r="U9" s="304">
        <f t="shared" ca="1" si="2"/>
        <v>0</v>
      </c>
      <c r="V9" s="304">
        <f t="shared" ca="1" si="2"/>
        <v>0</v>
      </c>
      <c r="W9" s="304">
        <f t="shared" ca="1" si="2"/>
        <v>0</v>
      </c>
      <c r="X9" s="304">
        <f t="shared" ref="X9:Z9" ca="1" si="3">IFERROR(INDEX(INDIRECT($C9&amp;".Outputs["&amp;this.Year&amp;"]"), MATCH(X$5, INDIRECT($C9&amp;".Outputs[Vector]"), 0)), 0)</f>
        <v>0</v>
      </c>
      <c r="Y9" s="304">
        <f t="shared" ca="1" si="3"/>
        <v>0</v>
      </c>
      <c r="Z9" s="304">
        <f t="shared" ca="1" si="3"/>
        <v>0</v>
      </c>
      <c r="AA9" s="304">
        <f t="shared" ref="AA9:AG9" ca="1" si="4">IFERROR(INDEX(INDIRECT($C9&amp;".Outputs["&amp;this.Year&amp;"]"), MATCH(AA$5, INDIRECT($C9&amp;".Outputs[Vector]"), 0)), 0)</f>
        <v>0</v>
      </c>
      <c r="AB9" s="304">
        <f t="shared" ca="1" si="4"/>
        <v>0</v>
      </c>
      <c r="AC9" s="304">
        <f t="shared" ca="1" si="4"/>
        <v>0</v>
      </c>
      <c r="AD9" s="304">
        <f t="shared" ca="1" si="4"/>
        <v>0</v>
      </c>
      <c r="AE9" s="304">
        <f t="shared" ca="1" si="4"/>
        <v>0</v>
      </c>
      <c r="AF9" s="304">
        <f t="shared" ca="1" si="4"/>
        <v>0</v>
      </c>
      <c r="AG9" s="304">
        <f t="shared" ca="1" si="4"/>
        <v>0</v>
      </c>
      <c r="AH9" s="305">
        <f t="shared" ref="AH9:AH66" ca="1" si="5">SUM(R9:AG9)</f>
        <v>-69.168548601745115</v>
      </c>
      <c r="AJ9" s="312">
        <f t="shared" ref="AJ9:AR9" ca="1" si="6">IFERROR(INDEX(INDIRECT($C9&amp;".Outputs["&amp;this.Year&amp;"]"), MATCH(AJ$5, INDIRECT($C9&amp;".Outputs[Vector]"), 0)), 0)</f>
        <v>0</v>
      </c>
      <c r="AK9" s="312">
        <f t="shared" ca="1" si="6"/>
        <v>0</v>
      </c>
      <c r="AL9" s="312">
        <f t="shared" ca="1" si="6"/>
        <v>0</v>
      </c>
      <c r="AM9" s="312">
        <f t="shared" ca="1" si="6"/>
        <v>0</v>
      </c>
      <c r="AN9" s="312">
        <f t="shared" ca="1" si="6"/>
        <v>0</v>
      </c>
      <c r="AO9" s="312">
        <f t="shared" ca="1" si="6"/>
        <v>0</v>
      </c>
      <c r="AP9" s="312">
        <f t="shared" ca="1" si="6"/>
        <v>0</v>
      </c>
      <c r="AQ9" s="312">
        <f t="shared" ca="1" si="6"/>
        <v>0</v>
      </c>
      <c r="AR9" s="312">
        <f t="shared" ca="1" si="6"/>
        <v>0</v>
      </c>
      <c r="AS9" s="312">
        <f t="shared" ref="AS9:AX9" ca="1" si="7">IFERROR(INDEX(INDIRECT($C9&amp;".Outputs["&amp;this.Year&amp;"]"), MATCH(AS$5, INDIRECT($C9&amp;".Outputs[Vector]"), 0)), 0)</f>
        <v>0</v>
      </c>
      <c r="AT9" s="312">
        <f t="shared" ca="1" si="7"/>
        <v>0</v>
      </c>
      <c r="AU9" s="312">
        <f t="shared" ca="1" si="7"/>
        <v>0</v>
      </c>
      <c r="AV9" s="312">
        <f t="shared" ca="1" si="7"/>
        <v>0</v>
      </c>
      <c r="AW9" s="312">
        <f t="shared" ca="1" si="7"/>
        <v>0</v>
      </c>
      <c r="AX9" s="312">
        <f t="shared" ca="1" si="7"/>
        <v>0</v>
      </c>
      <c r="AY9" s="264">
        <f t="shared" ref="AY9:AY23" ca="1" si="8">SUM(AJ9:AX9)</f>
        <v>0</v>
      </c>
      <c r="BA9" s="308">
        <f t="shared" ref="BA9:BB11" ca="1" si="9">IFERROR(INDEX(INDIRECT($C9&amp;".Outputs["&amp;this.Year&amp;"]"), MATCH(BA$5, INDIRECT($C9&amp;".Outputs[Vector]"), 0)), 0)</f>
        <v>0</v>
      </c>
      <c r="BB9" s="308">
        <f t="shared" ca="1" si="9"/>
        <v>0</v>
      </c>
      <c r="BC9" s="309">
        <f t="shared" ref="BC9:BC66" ca="1" si="10">SUM(BA9:BB9)</f>
        <v>0</v>
      </c>
      <c r="BE9" s="64">
        <f t="shared" ref="BE9:BE33" ca="1" si="11">P9+AH9+AY9+BC9</f>
        <v>0</v>
      </c>
      <c r="BF9" s="64"/>
      <c r="BG9" s="1428"/>
      <c r="BH9" s="541">
        <f t="shared" ref="BH9:BQ9" ca="1" si="12">IFERROR(SUMIFS(INDIRECT($C9&amp;".Emissions["&amp;this.Year&amp;"]"), INDIRECT($C9&amp;".Emissions[GHG]"), BH$6, INDIRECT($C9&amp;".Emissions[IPCC Sector]"), BH$5),0)</f>
        <v>0</v>
      </c>
      <c r="BI9" s="542">
        <f t="shared" ca="1" si="12"/>
        <v>0</v>
      </c>
      <c r="BJ9" s="542">
        <f t="shared" ca="1" si="12"/>
        <v>0</v>
      </c>
      <c r="BK9" s="542">
        <f t="shared" ca="1" si="12"/>
        <v>0</v>
      </c>
      <c r="BL9" s="542">
        <f t="shared" ca="1" si="12"/>
        <v>0</v>
      </c>
      <c r="BM9" s="542">
        <f t="shared" ca="1" si="12"/>
        <v>0</v>
      </c>
      <c r="BN9" s="542">
        <f t="shared" ca="1" si="12"/>
        <v>0</v>
      </c>
      <c r="BO9" s="542">
        <f t="shared" ca="1" si="12"/>
        <v>0</v>
      </c>
      <c r="BP9" s="542">
        <f t="shared" ca="1" si="12"/>
        <v>0</v>
      </c>
      <c r="BQ9" s="542">
        <f t="shared" ca="1" si="12"/>
        <v>0</v>
      </c>
      <c r="BR9" s="542">
        <f t="shared" ref="BR9:CA9" ca="1" si="13">IFERROR(SUMIFS(INDIRECT($C9&amp;".Emissions["&amp;this.Year&amp;"]"), INDIRECT($C9&amp;".Emissions[GHG]"), BR$6, INDIRECT($C9&amp;".Emissions[IPCC Sector]"), BR$5),0)</f>
        <v>0</v>
      </c>
      <c r="BS9" s="542">
        <f t="shared" ca="1" si="13"/>
        <v>0</v>
      </c>
      <c r="BT9" s="542">
        <f t="shared" ca="1" si="13"/>
        <v>0</v>
      </c>
      <c r="BU9" s="542">
        <f t="shared" ca="1" si="13"/>
        <v>0</v>
      </c>
      <c r="BV9" s="542">
        <f t="shared" ca="1" si="13"/>
        <v>0</v>
      </c>
      <c r="BW9" s="542">
        <f t="shared" ca="1" si="13"/>
        <v>0</v>
      </c>
      <c r="BX9" s="542">
        <f t="shared" ca="1" si="13"/>
        <v>0</v>
      </c>
      <c r="BY9" s="542">
        <f t="shared" ca="1" si="13"/>
        <v>0</v>
      </c>
      <c r="BZ9" s="542">
        <f t="shared" ca="1" si="13"/>
        <v>0</v>
      </c>
      <c r="CA9" s="542">
        <f t="shared" ca="1" si="13"/>
        <v>0</v>
      </c>
      <c r="CB9" s="542">
        <f t="shared" ref="CB9:CK9" ca="1" si="14">IFERROR(SUMIFS(INDIRECT($C9&amp;".Emissions["&amp;this.Year&amp;"]"), INDIRECT($C9&amp;".Emissions[GHG]"), CB$6, INDIRECT($C9&amp;".Emissions[IPCC Sector]"), CB$5),0)</f>
        <v>0</v>
      </c>
      <c r="CC9" s="542">
        <f t="shared" ca="1" si="14"/>
        <v>0</v>
      </c>
      <c r="CD9" s="542">
        <f t="shared" ca="1" si="14"/>
        <v>0</v>
      </c>
      <c r="CE9" s="542">
        <f t="shared" ca="1" si="14"/>
        <v>0</v>
      </c>
      <c r="CF9" s="542">
        <f t="shared" ca="1" si="14"/>
        <v>0</v>
      </c>
      <c r="CG9" s="542">
        <f t="shared" ca="1" si="14"/>
        <v>0</v>
      </c>
      <c r="CH9" s="542">
        <f t="shared" ca="1" si="14"/>
        <v>0</v>
      </c>
      <c r="CI9" s="542">
        <f t="shared" ca="1" si="14"/>
        <v>0</v>
      </c>
      <c r="CJ9" s="542">
        <f t="shared" ca="1" si="14"/>
        <v>0</v>
      </c>
      <c r="CK9" s="542">
        <f t="shared" ca="1" si="14"/>
        <v>0</v>
      </c>
      <c r="CL9" s="542">
        <f t="shared" ref="CL9:CU9" ca="1" si="15">IFERROR(SUMIFS(INDIRECT($C9&amp;".Emissions["&amp;this.Year&amp;"]"), INDIRECT($C9&amp;".Emissions[GHG]"), CL$6, INDIRECT($C9&amp;".Emissions[IPCC Sector]"), CL$5),0)</f>
        <v>0</v>
      </c>
      <c r="CM9" s="542">
        <f t="shared" ca="1" si="15"/>
        <v>0</v>
      </c>
      <c r="CN9" s="542">
        <f t="shared" ca="1" si="15"/>
        <v>0</v>
      </c>
      <c r="CO9" s="542">
        <f t="shared" ca="1" si="15"/>
        <v>0</v>
      </c>
      <c r="CP9" s="542">
        <f t="shared" ca="1" si="15"/>
        <v>0</v>
      </c>
      <c r="CQ9" s="542">
        <f t="shared" ca="1" si="15"/>
        <v>0</v>
      </c>
      <c r="CR9" s="542">
        <f t="shared" ca="1" si="15"/>
        <v>0</v>
      </c>
      <c r="CS9" s="542">
        <f t="shared" ca="1" si="15"/>
        <v>0</v>
      </c>
      <c r="CT9" s="542">
        <f t="shared" ca="1" si="15"/>
        <v>0</v>
      </c>
      <c r="CU9" s="542">
        <f t="shared" ca="1" si="15"/>
        <v>0</v>
      </c>
      <c r="CW9" s="151"/>
    </row>
    <row r="10" spans="1:101" s="84" customFormat="1" ht="12.75" customHeight="1" outlineLevel="1" x14ac:dyDescent="0.2">
      <c r="A10" s="543"/>
      <c r="B10" s="543"/>
      <c r="C10" s="86"/>
      <c r="D10" s="543" t="s">
        <v>389</v>
      </c>
      <c r="E10" s="61"/>
      <c r="G10" s="298">
        <f t="shared" ref="G10:O10" ca="1" si="16">SUM(G9:G9)</f>
        <v>69.168548601745115</v>
      </c>
      <c r="H10" s="298">
        <f t="shared" ca="1" si="16"/>
        <v>0</v>
      </c>
      <c r="I10" s="298">
        <f t="shared" ca="1" si="16"/>
        <v>0</v>
      </c>
      <c r="J10" s="298">
        <f t="shared" ca="1" si="16"/>
        <v>0</v>
      </c>
      <c r="K10" s="298">
        <f t="shared" ca="1" si="16"/>
        <v>0</v>
      </c>
      <c r="L10" s="298">
        <f t="shared" ca="1" si="16"/>
        <v>0</v>
      </c>
      <c r="M10" s="298">
        <f t="shared" ca="1" si="16"/>
        <v>0</v>
      </c>
      <c r="N10" s="298">
        <f t="shared" ca="1" si="16"/>
        <v>0</v>
      </c>
      <c r="O10" s="298">
        <f t="shared" ca="1" si="16"/>
        <v>0</v>
      </c>
      <c r="P10" s="298">
        <f t="shared" ca="1" si="1"/>
        <v>69.168548601745115</v>
      </c>
      <c r="R10" s="305">
        <f t="shared" ref="R10:AG10" ca="1" si="17">SUM(R9:R9)</f>
        <v>-69.168548601745115</v>
      </c>
      <c r="S10" s="305">
        <f t="shared" ca="1" si="17"/>
        <v>0</v>
      </c>
      <c r="T10" s="305">
        <f t="shared" ca="1" si="17"/>
        <v>0</v>
      </c>
      <c r="U10" s="305">
        <f t="shared" ca="1" si="17"/>
        <v>0</v>
      </c>
      <c r="V10" s="305">
        <f t="shared" ca="1" si="17"/>
        <v>0</v>
      </c>
      <c r="W10" s="305">
        <f t="shared" ca="1" si="17"/>
        <v>0</v>
      </c>
      <c r="X10" s="305">
        <f t="shared" ca="1" si="17"/>
        <v>0</v>
      </c>
      <c r="Y10" s="305">
        <f t="shared" ca="1" si="17"/>
        <v>0</v>
      </c>
      <c r="Z10" s="305">
        <f t="shared" ca="1" si="17"/>
        <v>0</v>
      </c>
      <c r="AA10" s="305">
        <f t="shared" ca="1" si="17"/>
        <v>0</v>
      </c>
      <c r="AB10" s="305">
        <f t="shared" ca="1" si="17"/>
        <v>0</v>
      </c>
      <c r="AC10" s="305">
        <f t="shared" ca="1" si="17"/>
        <v>0</v>
      </c>
      <c r="AD10" s="305">
        <f t="shared" ca="1" si="17"/>
        <v>0</v>
      </c>
      <c r="AE10" s="305">
        <f t="shared" ca="1" si="17"/>
        <v>0</v>
      </c>
      <c r="AF10" s="305">
        <f t="shared" ca="1" si="17"/>
        <v>0</v>
      </c>
      <c r="AG10" s="305">
        <f t="shared" ca="1" si="17"/>
        <v>0</v>
      </c>
      <c r="AH10" s="305">
        <f t="shared" ca="1" si="5"/>
        <v>-69.168548601745115</v>
      </c>
      <c r="AJ10" s="313">
        <f t="shared" ref="AJ10:AX10" ca="1" si="18">SUM(AJ9:AJ9)</f>
        <v>0</v>
      </c>
      <c r="AK10" s="313">
        <f t="shared" ca="1" si="18"/>
        <v>0</v>
      </c>
      <c r="AL10" s="313">
        <f t="shared" ca="1" si="18"/>
        <v>0</v>
      </c>
      <c r="AM10" s="313">
        <f t="shared" ca="1" si="18"/>
        <v>0</v>
      </c>
      <c r="AN10" s="313">
        <f t="shared" ca="1" si="18"/>
        <v>0</v>
      </c>
      <c r="AO10" s="313">
        <f t="shared" ca="1" si="18"/>
        <v>0</v>
      </c>
      <c r="AP10" s="313">
        <f t="shared" ca="1" si="18"/>
        <v>0</v>
      </c>
      <c r="AQ10" s="313">
        <f t="shared" ca="1" si="18"/>
        <v>0</v>
      </c>
      <c r="AR10" s="313">
        <f t="shared" ca="1" si="18"/>
        <v>0</v>
      </c>
      <c r="AS10" s="313">
        <f t="shared" ca="1" si="18"/>
        <v>0</v>
      </c>
      <c r="AT10" s="313">
        <f t="shared" ca="1" si="18"/>
        <v>0</v>
      </c>
      <c r="AU10" s="313">
        <f t="shared" ca="1" si="18"/>
        <v>0</v>
      </c>
      <c r="AV10" s="313">
        <f t="shared" ca="1" si="18"/>
        <v>0</v>
      </c>
      <c r="AW10" s="313">
        <f t="shared" ca="1" si="18"/>
        <v>0</v>
      </c>
      <c r="AX10" s="313">
        <f t="shared" ca="1" si="18"/>
        <v>0</v>
      </c>
      <c r="AY10" s="266">
        <f t="shared" ca="1" si="8"/>
        <v>0</v>
      </c>
      <c r="BA10" s="309">
        <f ca="1">SUM(BA9:BA9)</f>
        <v>0</v>
      </c>
      <c r="BB10" s="309">
        <f ca="1">SUM(BB9:BB9)</f>
        <v>0</v>
      </c>
      <c r="BC10" s="309">
        <f t="shared" ca="1" si="10"/>
        <v>0</v>
      </c>
      <c r="BE10" s="135">
        <f t="shared" ca="1" si="11"/>
        <v>0</v>
      </c>
      <c r="BF10" s="135"/>
      <c r="BG10" s="1428"/>
      <c r="BH10" s="541">
        <f t="shared" ref="BH10:CU10" ca="1" si="19">SUM(BH9:BH9)</f>
        <v>0</v>
      </c>
      <c r="BI10" s="542">
        <f t="shared" ca="1" si="19"/>
        <v>0</v>
      </c>
      <c r="BJ10" s="542">
        <f t="shared" ca="1" si="19"/>
        <v>0</v>
      </c>
      <c r="BK10" s="542">
        <f t="shared" ca="1" si="19"/>
        <v>0</v>
      </c>
      <c r="BL10" s="542">
        <f t="shared" ca="1" si="19"/>
        <v>0</v>
      </c>
      <c r="BM10" s="542">
        <f t="shared" ca="1" si="19"/>
        <v>0</v>
      </c>
      <c r="BN10" s="542">
        <f t="shared" ca="1" si="19"/>
        <v>0</v>
      </c>
      <c r="BO10" s="542">
        <f t="shared" ca="1" si="19"/>
        <v>0</v>
      </c>
      <c r="BP10" s="542">
        <f t="shared" ca="1" si="19"/>
        <v>0</v>
      </c>
      <c r="BQ10" s="542">
        <f t="shared" ca="1" si="19"/>
        <v>0</v>
      </c>
      <c r="BR10" s="542">
        <f t="shared" ca="1" si="19"/>
        <v>0</v>
      </c>
      <c r="BS10" s="542">
        <f t="shared" ca="1" si="19"/>
        <v>0</v>
      </c>
      <c r="BT10" s="542">
        <f t="shared" ca="1" si="19"/>
        <v>0</v>
      </c>
      <c r="BU10" s="542">
        <f t="shared" ca="1" si="19"/>
        <v>0</v>
      </c>
      <c r="BV10" s="542">
        <f t="shared" ca="1" si="19"/>
        <v>0</v>
      </c>
      <c r="BW10" s="542">
        <f t="shared" ca="1" si="19"/>
        <v>0</v>
      </c>
      <c r="BX10" s="542">
        <f t="shared" ca="1" si="19"/>
        <v>0</v>
      </c>
      <c r="BY10" s="542">
        <f t="shared" ca="1" si="19"/>
        <v>0</v>
      </c>
      <c r="BZ10" s="542">
        <f t="shared" ca="1" si="19"/>
        <v>0</v>
      </c>
      <c r="CA10" s="542">
        <f t="shared" ca="1" si="19"/>
        <v>0</v>
      </c>
      <c r="CB10" s="542">
        <f t="shared" ca="1" si="19"/>
        <v>0</v>
      </c>
      <c r="CC10" s="542">
        <f t="shared" ca="1" si="19"/>
        <v>0</v>
      </c>
      <c r="CD10" s="542">
        <f t="shared" ca="1" si="19"/>
        <v>0</v>
      </c>
      <c r="CE10" s="542">
        <f t="shared" ca="1" si="19"/>
        <v>0</v>
      </c>
      <c r="CF10" s="542">
        <f t="shared" ca="1" si="19"/>
        <v>0</v>
      </c>
      <c r="CG10" s="542">
        <f t="shared" ca="1" si="19"/>
        <v>0</v>
      </c>
      <c r="CH10" s="542">
        <f t="shared" ca="1" si="19"/>
        <v>0</v>
      </c>
      <c r="CI10" s="542">
        <f t="shared" ca="1" si="19"/>
        <v>0</v>
      </c>
      <c r="CJ10" s="542">
        <f t="shared" ca="1" si="19"/>
        <v>0</v>
      </c>
      <c r="CK10" s="542">
        <f t="shared" ca="1" si="19"/>
        <v>0</v>
      </c>
      <c r="CL10" s="542">
        <f t="shared" ca="1" si="19"/>
        <v>0</v>
      </c>
      <c r="CM10" s="542">
        <f t="shared" ca="1" si="19"/>
        <v>0</v>
      </c>
      <c r="CN10" s="542">
        <f t="shared" ca="1" si="19"/>
        <v>0</v>
      </c>
      <c r="CO10" s="542">
        <f t="shared" ca="1" si="19"/>
        <v>0</v>
      </c>
      <c r="CP10" s="542">
        <f t="shared" ca="1" si="19"/>
        <v>0</v>
      </c>
      <c r="CQ10" s="542">
        <f t="shared" ca="1" si="19"/>
        <v>0</v>
      </c>
      <c r="CR10" s="542">
        <f t="shared" ca="1" si="19"/>
        <v>0</v>
      </c>
      <c r="CS10" s="542">
        <f t="shared" ca="1" si="19"/>
        <v>0</v>
      </c>
      <c r="CT10" s="542">
        <f t="shared" ca="1" si="19"/>
        <v>0</v>
      </c>
      <c r="CU10" s="542">
        <f t="shared" ca="1" si="19"/>
        <v>0</v>
      </c>
      <c r="CW10" s="151"/>
    </row>
    <row r="11" spans="1:101" s="84" customFormat="1" ht="10.5" customHeight="1" outlineLevel="2" x14ac:dyDescent="0.2">
      <c r="A11" s="540"/>
      <c r="B11" s="540"/>
      <c r="C11" s="86" t="s">
        <v>388</v>
      </c>
      <c r="D11" s="540" t="str">
        <f>INDEX(Modules[Module], MATCH($C11, Modules[Code], 0))</f>
        <v>Service Sector Cooling</v>
      </c>
      <c r="E11" s="291"/>
      <c r="G11" s="297">
        <f t="shared" ca="1" si="0"/>
        <v>19.962731033325539</v>
      </c>
      <c r="H11" s="297">
        <f t="shared" ca="1" si="0"/>
        <v>0</v>
      </c>
      <c r="I11" s="297">
        <f t="shared" ca="1" si="0"/>
        <v>0</v>
      </c>
      <c r="J11" s="297">
        <f t="shared" ca="1" si="0"/>
        <v>0</v>
      </c>
      <c r="K11" s="297">
        <f t="shared" ca="1" si="0"/>
        <v>0</v>
      </c>
      <c r="L11" s="297">
        <f t="shared" ca="1" si="0"/>
        <v>0</v>
      </c>
      <c r="M11" s="297">
        <f t="shared" ca="1" si="0"/>
        <v>0</v>
      </c>
      <c r="N11" s="297">
        <f t="shared" ca="1" si="0"/>
        <v>0</v>
      </c>
      <c r="O11" s="297">
        <f t="shared" ca="1" si="0"/>
        <v>0</v>
      </c>
      <c r="P11" s="297">
        <f t="shared" ca="1" si="1"/>
        <v>19.962731033325539</v>
      </c>
      <c r="R11" s="304">
        <f t="shared" ref="R11:W11" ca="1" si="20">IFERROR(INDEX(INDIRECT($C11&amp;".Outputs["&amp;this.Year&amp;"]"), MATCH(R$5, INDIRECT($C11&amp;".Outputs[Vector]"), 0)), 0)</f>
        <v>-19.962731033325539</v>
      </c>
      <c r="S11" s="304">
        <f t="shared" ca="1" si="20"/>
        <v>0</v>
      </c>
      <c r="T11" s="304">
        <f t="shared" ca="1" si="20"/>
        <v>0</v>
      </c>
      <c r="U11" s="304">
        <f t="shared" ca="1" si="20"/>
        <v>0</v>
      </c>
      <c r="V11" s="304">
        <f t="shared" ca="1" si="20"/>
        <v>0</v>
      </c>
      <c r="W11" s="304">
        <f t="shared" ca="1" si="20"/>
        <v>0</v>
      </c>
      <c r="X11" s="304">
        <f t="shared" ref="X11:Z11" ca="1" si="21">IFERROR(INDEX(INDIRECT($C11&amp;".Outputs["&amp;this.Year&amp;"]"), MATCH(X$5, INDIRECT($C11&amp;".Outputs[Vector]"), 0)), 0)</f>
        <v>0</v>
      </c>
      <c r="Y11" s="304">
        <f t="shared" ca="1" si="21"/>
        <v>0</v>
      </c>
      <c r="Z11" s="304">
        <f t="shared" ca="1" si="21"/>
        <v>0</v>
      </c>
      <c r="AA11" s="304">
        <f t="shared" ref="AA11:AG11" ca="1" si="22">IFERROR(INDEX(INDIRECT($C11&amp;".Outputs["&amp;this.Year&amp;"]"), MATCH(AA$5, INDIRECT($C11&amp;".Outputs[Vector]"), 0)), 0)</f>
        <v>0</v>
      </c>
      <c r="AB11" s="304">
        <f t="shared" ca="1" si="22"/>
        <v>0</v>
      </c>
      <c r="AC11" s="304">
        <f t="shared" ca="1" si="22"/>
        <v>0</v>
      </c>
      <c r="AD11" s="304">
        <f t="shared" ca="1" si="22"/>
        <v>0</v>
      </c>
      <c r="AE11" s="304">
        <f t="shared" ca="1" si="22"/>
        <v>0</v>
      </c>
      <c r="AF11" s="304">
        <f t="shared" ca="1" si="22"/>
        <v>0</v>
      </c>
      <c r="AG11" s="304">
        <f t="shared" ca="1" si="22"/>
        <v>0</v>
      </c>
      <c r="AH11" s="305">
        <f t="shared" ca="1" si="5"/>
        <v>-19.962731033325539</v>
      </c>
      <c r="AJ11" s="312">
        <f t="shared" ref="AJ11:AR11" ca="1" si="23">IFERROR(INDEX(INDIRECT($C11&amp;".Outputs["&amp;this.Year&amp;"]"), MATCH(AJ$5, INDIRECT($C11&amp;".Outputs[Vector]"), 0)), 0)</f>
        <v>0</v>
      </c>
      <c r="AK11" s="312">
        <f t="shared" ca="1" si="23"/>
        <v>0</v>
      </c>
      <c r="AL11" s="312">
        <f t="shared" ca="1" si="23"/>
        <v>0</v>
      </c>
      <c r="AM11" s="312">
        <f t="shared" ca="1" si="23"/>
        <v>0</v>
      </c>
      <c r="AN11" s="312">
        <f t="shared" ca="1" si="23"/>
        <v>0</v>
      </c>
      <c r="AO11" s="312">
        <f t="shared" ca="1" si="23"/>
        <v>0</v>
      </c>
      <c r="AP11" s="312">
        <f t="shared" ca="1" si="23"/>
        <v>0</v>
      </c>
      <c r="AQ11" s="312">
        <f t="shared" ca="1" si="23"/>
        <v>0</v>
      </c>
      <c r="AR11" s="312">
        <f t="shared" ca="1" si="23"/>
        <v>0</v>
      </c>
      <c r="AS11" s="312">
        <f t="shared" ref="AS11:AX11" ca="1" si="24">IFERROR(INDEX(INDIRECT($C11&amp;".Outputs["&amp;this.Year&amp;"]"), MATCH(AS$5, INDIRECT($C11&amp;".Outputs[Vector]"), 0)), 0)</f>
        <v>0</v>
      </c>
      <c r="AT11" s="312">
        <f t="shared" ca="1" si="24"/>
        <v>0</v>
      </c>
      <c r="AU11" s="312">
        <f t="shared" ca="1" si="24"/>
        <v>0</v>
      </c>
      <c r="AV11" s="312">
        <f t="shared" ca="1" si="24"/>
        <v>0</v>
      </c>
      <c r="AW11" s="312">
        <f t="shared" ca="1" si="24"/>
        <v>0</v>
      </c>
      <c r="AX11" s="312">
        <f t="shared" ca="1" si="24"/>
        <v>0</v>
      </c>
      <c r="AY11" s="264">
        <f t="shared" ca="1" si="8"/>
        <v>0</v>
      </c>
      <c r="BA11" s="308">
        <f t="shared" ca="1" si="9"/>
        <v>0</v>
      </c>
      <c r="BB11" s="308">
        <f t="shared" ca="1" si="9"/>
        <v>0</v>
      </c>
      <c r="BC11" s="309">
        <f t="shared" ca="1" si="10"/>
        <v>0</v>
      </c>
      <c r="BE11" s="64">
        <f t="shared" ca="1" si="11"/>
        <v>0</v>
      </c>
      <c r="BF11" s="64"/>
      <c r="BG11" s="1428"/>
      <c r="BH11" s="541">
        <f t="shared" ref="BH11:BQ11" ca="1" si="25">IFERROR(SUMIFS(INDIRECT($C11&amp;".Emissions["&amp;this.Year&amp;"]"), INDIRECT($C11&amp;".Emissions[GHG]"), BH$6, INDIRECT($C11&amp;".Emissions[IPCC Sector]"), BH$5),0)</f>
        <v>0</v>
      </c>
      <c r="BI11" s="542">
        <f t="shared" ca="1" si="25"/>
        <v>0</v>
      </c>
      <c r="BJ11" s="542">
        <f t="shared" ca="1" si="25"/>
        <v>0</v>
      </c>
      <c r="BK11" s="542">
        <f t="shared" ca="1" si="25"/>
        <v>0</v>
      </c>
      <c r="BL11" s="542">
        <f t="shared" ca="1" si="25"/>
        <v>0</v>
      </c>
      <c r="BM11" s="542">
        <f t="shared" ca="1" si="25"/>
        <v>0</v>
      </c>
      <c r="BN11" s="542">
        <f t="shared" ca="1" si="25"/>
        <v>0</v>
      </c>
      <c r="BO11" s="542">
        <f t="shared" ca="1" si="25"/>
        <v>0</v>
      </c>
      <c r="BP11" s="542">
        <f t="shared" ca="1" si="25"/>
        <v>0</v>
      </c>
      <c r="BQ11" s="542">
        <f t="shared" ca="1" si="25"/>
        <v>0</v>
      </c>
      <c r="BR11" s="542">
        <f t="shared" ref="BR11:CA11" ca="1" si="26">IFERROR(SUMIFS(INDIRECT($C11&amp;".Emissions["&amp;this.Year&amp;"]"), INDIRECT($C11&amp;".Emissions[GHG]"), BR$6, INDIRECT($C11&amp;".Emissions[IPCC Sector]"), BR$5),0)</f>
        <v>0</v>
      </c>
      <c r="BS11" s="542">
        <f t="shared" ca="1" si="26"/>
        <v>0</v>
      </c>
      <c r="BT11" s="542">
        <f t="shared" ca="1" si="26"/>
        <v>0</v>
      </c>
      <c r="BU11" s="542">
        <f t="shared" ca="1" si="26"/>
        <v>0</v>
      </c>
      <c r="BV11" s="542">
        <f t="shared" ca="1" si="26"/>
        <v>0</v>
      </c>
      <c r="BW11" s="542">
        <f t="shared" ca="1" si="26"/>
        <v>0</v>
      </c>
      <c r="BX11" s="542">
        <f t="shared" ca="1" si="26"/>
        <v>0</v>
      </c>
      <c r="BY11" s="542">
        <f t="shared" ca="1" si="26"/>
        <v>0</v>
      </c>
      <c r="BZ11" s="542">
        <f t="shared" ca="1" si="26"/>
        <v>0</v>
      </c>
      <c r="CA11" s="542">
        <f t="shared" ca="1" si="26"/>
        <v>0</v>
      </c>
      <c r="CB11" s="542">
        <f t="shared" ref="CB11:CK11" ca="1" si="27">IFERROR(SUMIFS(INDIRECT($C11&amp;".Emissions["&amp;this.Year&amp;"]"), INDIRECT($C11&amp;".Emissions[GHG]"), CB$6, INDIRECT($C11&amp;".Emissions[IPCC Sector]"), CB$5),0)</f>
        <v>0</v>
      </c>
      <c r="CC11" s="542">
        <f t="shared" ca="1" si="27"/>
        <v>0</v>
      </c>
      <c r="CD11" s="542">
        <f t="shared" ca="1" si="27"/>
        <v>0</v>
      </c>
      <c r="CE11" s="542">
        <f t="shared" ca="1" si="27"/>
        <v>0</v>
      </c>
      <c r="CF11" s="542">
        <f t="shared" ca="1" si="27"/>
        <v>0</v>
      </c>
      <c r="CG11" s="542">
        <f t="shared" ca="1" si="27"/>
        <v>0</v>
      </c>
      <c r="CH11" s="542">
        <f t="shared" ca="1" si="27"/>
        <v>0</v>
      </c>
      <c r="CI11" s="542">
        <f t="shared" ca="1" si="27"/>
        <v>0</v>
      </c>
      <c r="CJ11" s="542">
        <f t="shared" ca="1" si="27"/>
        <v>0</v>
      </c>
      <c r="CK11" s="542">
        <f t="shared" ca="1" si="27"/>
        <v>0</v>
      </c>
      <c r="CL11" s="542">
        <f t="shared" ref="CL11:CU11" ca="1" si="28">IFERROR(SUMIFS(INDIRECT($C11&amp;".Emissions["&amp;this.Year&amp;"]"), INDIRECT($C11&amp;".Emissions[GHG]"), CL$6, INDIRECT($C11&amp;".Emissions[IPCC Sector]"), CL$5),0)</f>
        <v>0</v>
      </c>
      <c r="CM11" s="542">
        <f t="shared" ca="1" si="28"/>
        <v>0</v>
      </c>
      <c r="CN11" s="542">
        <f t="shared" ca="1" si="28"/>
        <v>0</v>
      </c>
      <c r="CO11" s="542">
        <f t="shared" ca="1" si="28"/>
        <v>0</v>
      </c>
      <c r="CP11" s="542">
        <f t="shared" ca="1" si="28"/>
        <v>0</v>
      </c>
      <c r="CQ11" s="542">
        <f t="shared" ca="1" si="28"/>
        <v>0</v>
      </c>
      <c r="CR11" s="542">
        <f t="shared" ca="1" si="28"/>
        <v>0</v>
      </c>
      <c r="CS11" s="542">
        <f t="shared" ca="1" si="28"/>
        <v>0</v>
      </c>
      <c r="CT11" s="542">
        <f t="shared" ca="1" si="28"/>
        <v>0</v>
      </c>
      <c r="CU11" s="542">
        <f t="shared" ca="1" si="28"/>
        <v>0</v>
      </c>
      <c r="CW11" s="151"/>
    </row>
    <row r="12" spans="1:101" s="84" customFormat="1" ht="12.75" customHeight="1" outlineLevel="1" x14ac:dyDescent="0.2">
      <c r="A12" s="543"/>
      <c r="B12" s="543"/>
      <c r="C12" s="86"/>
      <c r="D12" s="292" t="s">
        <v>390</v>
      </c>
      <c r="E12" s="292"/>
      <c r="G12" s="299">
        <f t="shared" ref="G12:O12" ca="1" si="29">SUM(G11:G11)</f>
        <v>19.962731033325539</v>
      </c>
      <c r="H12" s="299">
        <f t="shared" ca="1" si="29"/>
        <v>0</v>
      </c>
      <c r="I12" s="299">
        <f t="shared" ca="1" si="29"/>
        <v>0</v>
      </c>
      <c r="J12" s="299">
        <f t="shared" ca="1" si="29"/>
        <v>0</v>
      </c>
      <c r="K12" s="299">
        <f t="shared" ca="1" si="29"/>
        <v>0</v>
      </c>
      <c r="L12" s="299">
        <f t="shared" ca="1" si="29"/>
        <v>0</v>
      </c>
      <c r="M12" s="299">
        <f t="shared" ca="1" si="29"/>
        <v>0</v>
      </c>
      <c r="N12" s="299">
        <f t="shared" ca="1" si="29"/>
        <v>0</v>
      </c>
      <c r="O12" s="299">
        <f t="shared" ca="1" si="29"/>
        <v>0</v>
      </c>
      <c r="P12" s="299">
        <f t="shared" ca="1" si="1"/>
        <v>19.962731033325539</v>
      </c>
      <c r="R12" s="306">
        <f t="shared" ref="R12:AG12" ca="1" si="30">SUM(R11:R11)</f>
        <v>-19.962731033325539</v>
      </c>
      <c r="S12" s="306">
        <f t="shared" ca="1" si="30"/>
        <v>0</v>
      </c>
      <c r="T12" s="306">
        <f t="shared" ca="1" si="30"/>
        <v>0</v>
      </c>
      <c r="U12" s="306">
        <f t="shared" ca="1" si="30"/>
        <v>0</v>
      </c>
      <c r="V12" s="306">
        <f t="shared" ca="1" si="30"/>
        <v>0</v>
      </c>
      <c r="W12" s="306">
        <f t="shared" ca="1" si="30"/>
        <v>0</v>
      </c>
      <c r="X12" s="306">
        <f t="shared" ca="1" si="30"/>
        <v>0</v>
      </c>
      <c r="Y12" s="306">
        <f t="shared" ca="1" si="30"/>
        <v>0</v>
      </c>
      <c r="Z12" s="306">
        <f t="shared" ca="1" si="30"/>
        <v>0</v>
      </c>
      <c r="AA12" s="306">
        <f t="shared" ca="1" si="30"/>
        <v>0</v>
      </c>
      <c r="AB12" s="306">
        <f t="shared" ca="1" si="30"/>
        <v>0</v>
      </c>
      <c r="AC12" s="306">
        <f t="shared" ca="1" si="30"/>
        <v>0</v>
      </c>
      <c r="AD12" s="306">
        <f t="shared" ca="1" si="30"/>
        <v>0</v>
      </c>
      <c r="AE12" s="306">
        <f t="shared" ca="1" si="30"/>
        <v>0</v>
      </c>
      <c r="AF12" s="306">
        <f t="shared" ca="1" si="30"/>
        <v>0</v>
      </c>
      <c r="AG12" s="306">
        <f t="shared" ca="1" si="30"/>
        <v>0</v>
      </c>
      <c r="AH12" s="306">
        <f t="shared" ca="1" si="5"/>
        <v>-19.962731033325539</v>
      </c>
      <c r="AJ12" s="314">
        <f t="shared" ref="AJ12:AX12" ca="1" si="31">SUM(AJ11:AJ11)</f>
        <v>0</v>
      </c>
      <c r="AK12" s="314">
        <f t="shared" ca="1" si="31"/>
        <v>0</v>
      </c>
      <c r="AL12" s="314">
        <f t="shared" ca="1" si="31"/>
        <v>0</v>
      </c>
      <c r="AM12" s="314">
        <f t="shared" ca="1" si="31"/>
        <v>0</v>
      </c>
      <c r="AN12" s="314">
        <f t="shared" ca="1" si="31"/>
        <v>0</v>
      </c>
      <c r="AO12" s="314">
        <f t="shared" ca="1" si="31"/>
        <v>0</v>
      </c>
      <c r="AP12" s="314">
        <f t="shared" ca="1" si="31"/>
        <v>0</v>
      </c>
      <c r="AQ12" s="314">
        <f t="shared" ca="1" si="31"/>
        <v>0</v>
      </c>
      <c r="AR12" s="314">
        <f t="shared" ca="1" si="31"/>
        <v>0</v>
      </c>
      <c r="AS12" s="314">
        <f t="shared" ca="1" si="31"/>
        <v>0</v>
      </c>
      <c r="AT12" s="314">
        <f t="shared" ca="1" si="31"/>
        <v>0</v>
      </c>
      <c r="AU12" s="314">
        <f t="shared" ca="1" si="31"/>
        <v>0</v>
      </c>
      <c r="AV12" s="314">
        <f t="shared" ca="1" si="31"/>
        <v>0</v>
      </c>
      <c r="AW12" s="314">
        <f t="shared" ca="1" si="31"/>
        <v>0</v>
      </c>
      <c r="AX12" s="314">
        <f t="shared" ca="1" si="31"/>
        <v>0</v>
      </c>
      <c r="AY12" s="293">
        <f t="shared" ca="1" si="8"/>
        <v>0</v>
      </c>
      <c r="BA12" s="310">
        <f ca="1">SUM(BA11:BA11)</f>
        <v>0</v>
      </c>
      <c r="BB12" s="310">
        <f ca="1">SUM(BB11:BB11)</f>
        <v>0</v>
      </c>
      <c r="BC12" s="310">
        <f t="shared" ca="1" si="10"/>
        <v>0</v>
      </c>
      <c r="BE12" s="135">
        <f t="shared" ca="1" si="11"/>
        <v>0</v>
      </c>
      <c r="BF12" s="135"/>
      <c r="BG12" s="1428"/>
      <c r="BH12" s="544">
        <f t="shared" ref="BH12:CU12" ca="1" si="32">SUM(BH11:BH11)</f>
        <v>0</v>
      </c>
      <c r="BI12" s="545">
        <f t="shared" ca="1" si="32"/>
        <v>0</v>
      </c>
      <c r="BJ12" s="545">
        <f t="shared" ca="1" si="32"/>
        <v>0</v>
      </c>
      <c r="BK12" s="545">
        <f t="shared" ca="1" si="32"/>
        <v>0</v>
      </c>
      <c r="BL12" s="545">
        <f t="shared" ca="1" si="32"/>
        <v>0</v>
      </c>
      <c r="BM12" s="545">
        <f t="shared" ca="1" si="32"/>
        <v>0</v>
      </c>
      <c r="BN12" s="545">
        <f t="shared" ca="1" si="32"/>
        <v>0</v>
      </c>
      <c r="BO12" s="545">
        <f t="shared" ca="1" si="32"/>
        <v>0</v>
      </c>
      <c r="BP12" s="545">
        <f t="shared" ca="1" si="32"/>
        <v>0</v>
      </c>
      <c r="BQ12" s="545">
        <f t="shared" ca="1" si="32"/>
        <v>0</v>
      </c>
      <c r="BR12" s="545">
        <f t="shared" ca="1" si="32"/>
        <v>0</v>
      </c>
      <c r="BS12" s="545">
        <f t="shared" ca="1" si="32"/>
        <v>0</v>
      </c>
      <c r="BT12" s="545">
        <f t="shared" ca="1" si="32"/>
        <v>0</v>
      </c>
      <c r="BU12" s="545">
        <f t="shared" ca="1" si="32"/>
        <v>0</v>
      </c>
      <c r="BV12" s="545">
        <f t="shared" ca="1" si="32"/>
        <v>0</v>
      </c>
      <c r="BW12" s="545">
        <f t="shared" ca="1" si="32"/>
        <v>0</v>
      </c>
      <c r="BX12" s="545">
        <f t="shared" ca="1" si="32"/>
        <v>0</v>
      </c>
      <c r="BY12" s="545">
        <f t="shared" ca="1" si="32"/>
        <v>0</v>
      </c>
      <c r="BZ12" s="545">
        <f t="shared" ca="1" si="32"/>
        <v>0</v>
      </c>
      <c r="CA12" s="545">
        <f t="shared" ca="1" si="32"/>
        <v>0</v>
      </c>
      <c r="CB12" s="545">
        <f t="shared" ca="1" si="32"/>
        <v>0</v>
      </c>
      <c r="CC12" s="545">
        <f t="shared" ca="1" si="32"/>
        <v>0</v>
      </c>
      <c r="CD12" s="545">
        <f t="shared" ca="1" si="32"/>
        <v>0</v>
      </c>
      <c r="CE12" s="545">
        <f t="shared" ca="1" si="32"/>
        <v>0</v>
      </c>
      <c r="CF12" s="545">
        <f t="shared" ca="1" si="32"/>
        <v>0</v>
      </c>
      <c r="CG12" s="545">
        <f t="shared" ca="1" si="32"/>
        <v>0</v>
      </c>
      <c r="CH12" s="545">
        <f t="shared" ca="1" si="32"/>
        <v>0</v>
      </c>
      <c r="CI12" s="545">
        <f t="shared" ca="1" si="32"/>
        <v>0</v>
      </c>
      <c r="CJ12" s="545">
        <f t="shared" ca="1" si="32"/>
        <v>0</v>
      </c>
      <c r="CK12" s="545">
        <f t="shared" ca="1" si="32"/>
        <v>0</v>
      </c>
      <c r="CL12" s="545">
        <f t="shared" ca="1" si="32"/>
        <v>0</v>
      </c>
      <c r="CM12" s="545">
        <f t="shared" ca="1" si="32"/>
        <v>0</v>
      </c>
      <c r="CN12" s="545">
        <f t="shared" ca="1" si="32"/>
        <v>0</v>
      </c>
      <c r="CO12" s="545">
        <f t="shared" ca="1" si="32"/>
        <v>0</v>
      </c>
      <c r="CP12" s="545">
        <f t="shared" ca="1" si="32"/>
        <v>0</v>
      </c>
      <c r="CQ12" s="545">
        <f t="shared" ca="1" si="32"/>
        <v>0</v>
      </c>
      <c r="CR12" s="545">
        <f t="shared" ca="1" si="32"/>
        <v>0</v>
      </c>
      <c r="CS12" s="545">
        <f t="shared" ca="1" si="32"/>
        <v>0</v>
      </c>
      <c r="CT12" s="545">
        <f t="shared" ca="1" si="32"/>
        <v>0</v>
      </c>
      <c r="CU12" s="545">
        <f t="shared" ca="1" si="32"/>
        <v>0</v>
      </c>
      <c r="CW12" s="151"/>
    </row>
    <row r="13" spans="1:101" s="84" customFormat="1" ht="15.75" x14ac:dyDescent="0.2">
      <c r="A13" s="18"/>
      <c r="B13" s="89"/>
      <c r="C13" s="85" t="s">
        <v>229</v>
      </c>
      <c r="D13" s="57" t="str">
        <f>INDEX(Workstreams[Workstream], MATCH($C13, Workstreams[Code], 0))</f>
        <v>Cooling</v>
      </c>
      <c r="E13" s="53"/>
      <c r="G13" s="300">
        <f t="shared" ref="G13:O13" ca="1" si="33">G12+G10</f>
        <v>89.131279635070655</v>
      </c>
      <c r="H13" s="300">
        <f t="shared" ca="1" si="33"/>
        <v>0</v>
      </c>
      <c r="I13" s="300">
        <f t="shared" ca="1" si="33"/>
        <v>0</v>
      </c>
      <c r="J13" s="300">
        <f t="shared" ca="1" si="33"/>
        <v>0</v>
      </c>
      <c r="K13" s="300">
        <f t="shared" ca="1" si="33"/>
        <v>0</v>
      </c>
      <c r="L13" s="300">
        <f t="shared" ca="1" si="33"/>
        <v>0</v>
      </c>
      <c r="M13" s="300">
        <f t="shared" ca="1" si="33"/>
        <v>0</v>
      </c>
      <c r="N13" s="300">
        <f t="shared" ca="1" si="33"/>
        <v>0</v>
      </c>
      <c r="O13" s="300">
        <f t="shared" ca="1" si="33"/>
        <v>0</v>
      </c>
      <c r="P13" s="300">
        <f t="shared" ca="1" si="1"/>
        <v>89.131279635070655</v>
      </c>
      <c r="R13" s="257">
        <f t="shared" ref="R13:AG13" ca="1" si="34">R12+R10</f>
        <v>-89.131279635070655</v>
      </c>
      <c r="S13" s="257">
        <f t="shared" ca="1" si="34"/>
        <v>0</v>
      </c>
      <c r="T13" s="257">
        <f t="shared" ca="1" si="34"/>
        <v>0</v>
      </c>
      <c r="U13" s="257">
        <f t="shared" ca="1" si="34"/>
        <v>0</v>
      </c>
      <c r="V13" s="257">
        <f t="shared" ca="1" si="34"/>
        <v>0</v>
      </c>
      <c r="W13" s="257">
        <f t="shared" ca="1" si="34"/>
        <v>0</v>
      </c>
      <c r="X13" s="257">
        <f t="shared" ca="1" si="34"/>
        <v>0</v>
      </c>
      <c r="Y13" s="257">
        <f t="shared" ca="1" si="34"/>
        <v>0</v>
      </c>
      <c r="Z13" s="257">
        <f t="shared" ca="1" si="34"/>
        <v>0</v>
      </c>
      <c r="AA13" s="257">
        <f t="shared" ca="1" si="34"/>
        <v>0</v>
      </c>
      <c r="AB13" s="257">
        <f t="shared" ca="1" si="34"/>
        <v>0</v>
      </c>
      <c r="AC13" s="257">
        <f t="shared" ca="1" si="34"/>
        <v>0</v>
      </c>
      <c r="AD13" s="257">
        <f t="shared" ca="1" si="34"/>
        <v>0</v>
      </c>
      <c r="AE13" s="257">
        <f t="shared" ca="1" si="34"/>
        <v>0</v>
      </c>
      <c r="AF13" s="257">
        <f t="shared" ca="1" si="34"/>
        <v>0</v>
      </c>
      <c r="AG13" s="257">
        <f t="shared" ca="1" si="34"/>
        <v>0</v>
      </c>
      <c r="AH13" s="257">
        <f t="shared" ca="1" si="5"/>
        <v>-89.131279635070655</v>
      </c>
      <c r="AJ13" s="263">
        <f t="shared" ref="AJ13:AX13" ca="1" si="35">AJ12+AJ10</f>
        <v>0</v>
      </c>
      <c r="AK13" s="263">
        <f t="shared" ca="1" si="35"/>
        <v>0</v>
      </c>
      <c r="AL13" s="263">
        <f t="shared" ca="1" si="35"/>
        <v>0</v>
      </c>
      <c r="AM13" s="263">
        <f t="shared" ca="1" si="35"/>
        <v>0</v>
      </c>
      <c r="AN13" s="263">
        <f t="shared" ca="1" si="35"/>
        <v>0</v>
      </c>
      <c r="AO13" s="263">
        <f t="shared" ca="1" si="35"/>
        <v>0</v>
      </c>
      <c r="AP13" s="263">
        <f t="shared" ca="1" si="35"/>
        <v>0</v>
      </c>
      <c r="AQ13" s="263">
        <f t="shared" ca="1" si="35"/>
        <v>0</v>
      </c>
      <c r="AR13" s="263">
        <f t="shared" ca="1" si="35"/>
        <v>0</v>
      </c>
      <c r="AS13" s="263">
        <f t="shared" ca="1" si="35"/>
        <v>0</v>
      </c>
      <c r="AT13" s="263">
        <f t="shared" ca="1" si="35"/>
        <v>0</v>
      </c>
      <c r="AU13" s="263">
        <f t="shared" ca="1" si="35"/>
        <v>0</v>
      </c>
      <c r="AV13" s="263">
        <f t="shared" ca="1" si="35"/>
        <v>0</v>
      </c>
      <c r="AW13" s="263">
        <f t="shared" ca="1" si="35"/>
        <v>0</v>
      </c>
      <c r="AX13" s="263">
        <f t="shared" ca="1" si="35"/>
        <v>0</v>
      </c>
      <c r="AY13" s="263">
        <f t="shared" ca="1" si="8"/>
        <v>0</v>
      </c>
      <c r="BA13" s="277">
        <f ca="1">BA12+BA10</f>
        <v>0</v>
      </c>
      <c r="BB13" s="277">
        <f ca="1">BB12+BB10</f>
        <v>0</v>
      </c>
      <c r="BC13" s="277">
        <f t="shared" ca="1" si="10"/>
        <v>0</v>
      </c>
      <c r="BE13" s="55">
        <f t="shared" ca="1" si="11"/>
        <v>0</v>
      </c>
      <c r="BF13" s="55"/>
      <c r="BG13" s="1428"/>
      <c r="BH13" s="542">
        <f t="shared" ref="BH13:CU13" ca="1" si="36">BH12+BH10</f>
        <v>0</v>
      </c>
      <c r="BI13" s="542">
        <f t="shared" ca="1" si="36"/>
        <v>0</v>
      </c>
      <c r="BJ13" s="542">
        <f t="shared" ca="1" si="36"/>
        <v>0</v>
      </c>
      <c r="BK13" s="542">
        <f t="shared" ca="1" si="36"/>
        <v>0</v>
      </c>
      <c r="BL13" s="542">
        <f t="shared" ca="1" si="36"/>
        <v>0</v>
      </c>
      <c r="BM13" s="542">
        <f t="shared" ca="1" si="36"/>
        <v>0</v>
      </c>
      <c r="BN13" s="542">
        <f t="shared" ca="1" si="36"/>
        <v>0</v>
      </c>
      <c r="BO13" s="542">
        <f t="shared" ca="1" si="36"/>
        <v>0</v>
      </c>
      <c r="BP13" s="542">
        <f t="shared" ca="1" si="36"/>
        <v>0</v>
      </c>
      <c r="BQ13" s="542">
        <f t="shared" ca="1" si="36"/>
        <v>0</v>
      </c>
      <c r="BR13" s="542">
        <f t="shared" ca="1" si="36"/>
        <v>0</v>
      </c>
      <c r="BS13" s="542">
        <f t="shared" ca="1" si="36"/>
        <v>0</v>
      </c>
      <c r="BT13" s="542">
        <f t="shared" ca="1" si="36"/>
        <v>0</v>
      </c>
      <c r="BU13" s="542">
        <f t="shared" ca="1" si="36"/>
        <v>0</v>
      </c>
      <c r="BV13" s="542">
        <f t="shared" ca="1" si="36"/>
        <v>0</v>
      </c>
      <c r="BW13" s="542">
        <f t="shared" ca="1" si="36"/>
        <v>0</v>
      </c>
      <c r="BX13" s="542">
        <f t="shared" ca="1" si="36"/>
        <v>0</v>
      </c>
      <c r="BY13" s="542">
        <f t="shared" ca="1" si="36"/>
        <v>0</v>
      </c>
      <c r="BZ13" s="542">
        <f t="shared" ca="1" si="36"/>
        <v>0</v>
      </c>
      <c r="CA13" s="542">
        <f t="shared" ca="1" si="36"/>
        <v>0</v>
      </c>
      <c r="CB13" s="542">
        <f t="shared" ca="1" si="36"/>
        <v>0</v>
      </c>
      <c r="CC13" s="542">
        <f t="shared" ca="1" si="36"/>
        <v>0</v>
      </c>
      <c r="CD13" s="542">
        <f t="shared" ca="1" si="36"/>
        <v>0</v>
      </c>
      <c r="CE13" s="542">
        <f t="shared" ca="1" si="36"/>
        <v>0</v>
      </c>
      <c r="CF13" s="542">
        <f t="shared" ca="1" si="36"/>
        <v>0</v>
      </c>
      <c r="CG13" s="542">
        <f t="shared" ca="1" si="36"/>
        <v>0</v>
      </c>
      <c r="CH13" s="542">
        <f t="shared" ca="1" si="36"/>
        <v>0</v>
      </c>
      <c r="CI13" s="542">
        <f t="shared" ca="1" si="36"/>
        <v>0</v>
      </c>
      <c r="CJ13" s="542">
        <f t="shared" ca="1" si="36"/>
        <v>0</v>
      </c>
      <c r="CK13" s="542">
        <f t="shared" ca="1" si="36"/>
        <v>0</v>
      </c>
      <c r="CL13" s="542">
        <f t="shared" ca="1" si="36"/>
        <v>0</v>
      </c>
      <c r="CM13" s="542">
        <f t="shared" ca="1" si="36"/>
        <v>0</v>
      </c>
      <c r="CN13" s="542">
        <f t="shared" ca="1" si="36"/>
        <v>0</v>
      </c>
      <c r="CO13" s="542">
        <f t="shared" ca="1" si="36"/>
        <v>0</v>
      </c>
      <c r="CP13" s="542">
        <f t="shared" ca="1" si="36"/>
        <v>0</v>
      </c>
      <c r="CQ13" s="542">
        <f t="shared" ca="1" si="36"/>
        <v>0</v>
      </c>
      <c r="CR13" s="542">
        <f t="shared" ca="1" si="36"/>
        <v>0</v>
      </c>
      <c r="CS13" s="542">
        <f t="shared" ca="1" si="36"/>
        <v>0</v>
      </c>
      <c r="CT13" s="542">
        <f t="shared" ca="1" si="36"/>
        <v>0</v>
      </c>
      <c r="CU13" s="542">
        <f t="shared" ca="1" si="36"/>
        <v>0</v>
      </c>
      <c r="CW13" s="151">
        <f t="shared" ref="CW13:CW26" ca="1" si="37">SUM(BH13:CU13)</f>
        <v>0</v>
      </c>
    </row>
    <row r="14" spans="1:101" s="84" customFormat="1" outlineLevel="1" x14ac:dyDescent="0.2">
      <c r="A14" s="543"/>
      <c r="B14" s="543"/>
      <c r="C14" s="86"/>
      <c r="D14" s="61"/>
      <c r="E14" s="61"/>
      <c r="G14" s="298"/>
      <c r="H14" s="298"/>
      <c r="I14" s="298"/>
      <c r="J14" s="298"/>
      <c r="K14" s="298"/>
      <c r="L14" s="298"/>
      <c r="M14" s="298"/>
      <c r="N14" s="298"/>
      <c r="O14" s="298"/>
      <c r="P14" s="298">
        <f t="shared" si="1"/>
        <v>0</v>
      </c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5">
        <f t="shared" si="5"/>
        <v>0</v>
      </c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266">
        <f t="shared" si="8"/>
        <v>0</v>
      </c>
      <c r="BA14" s="309"/>
      <c r="BB14" s="309"/>
      <c r="BC14" s="309">
        <f t="shared" si="10"/>
        <v>0</v>
      </c>
      <c r="BE14" s="135">
        <f t="shared" si="11"/>
        <v>0</v>
      </c>
      <c r="BF14" s="135"/>
      <c r="BG14" s="543"/>
      <c r="BH14" s="541"/>
      <c r="BI14" s="542"/>
      <c r="BJ14" s="542"/>
      <c r="BK14" s="542"/>
      <c r="BL14" s="542"/>
      <c r="BM14" s="542"/>
      <c r="BN14" s="542"/>
      <c r="BO14" s="542"/>
      <c r="BP14" s="542"/>
      <c r="BQ14" s="542"/>
      <c r="BR14" s="542"/>
      <c r="BS14" s="542"/>
      <c r="BT14" s="542"/>
      <c r="BU14" s="542"/>
      <c r="BV14" s="542"/>
      <c r="BW14" s="542"/>
      <c r="BX14" s="542"/>
      <c r="BY14" s="542"/>
      <c r="BZ14" s="542"/>
      <c r="CA14" s="542"/>
      <c r="CB14" s="542"/>
      <c r="CC14" s="542"/>
      <c r="CD14" s="542"/>
      <c r="CE14" s="542"/>
      <c r="CF14" s="542"/>
      <c r="CG14" s="542"/>
      <c r="CH14" s="542"/>
      <c r="CI14" s="542"/>
      <c r="CJ14" s="542"/>
      <c r="CK14" s="542"/>
      <c r="CL14" s="542"/>
      <c r="CM14" s="542"/>
      <c r="CN14" s="542"/>
      <c r="CO14" s="542"/>
      <c r="CP14" s="542"/>
      <c r="CQ14" s="542"/>
      <c r="CR14" s="542"/>
      <c r="CS14" s="542"/>
      <c r="CT14" s="542"/>
      <c r="CU14" s="542"/>
      <c r="CW14" s="151">
        <f t="shared" si="37"/>
        <v>0</v>
      </c>
    </row>
    <row r="15" spans="1:101" s="84" customFormat="1" ht="12.75" customHeight="1" outlineLevel="1" x14ac:dyDescent="0.2">
      <c r="A15" s="543"/>
      <c r="B15" s="543"/>
      <c r="C15" s="86" t="s">
        <v>392</v>
      </c>
      <c r="D15" s="540" t="str">
        <f>INDEX(Modules[Module], MATCH($C15, Modules[Code], 0))</f>
        <v>Residential Lighting, Appliances, and Cooking</v>
      </c>
      <c r="E15" s="291"/>
      <c r="G15" s="297">
        <f t="shared" ref="G15:O16" ca="1" si="38">IFERROR(INDEX(INDIRECT($C15&amp;".Outputs["&amp;this.Year&amp;"]"), MATCH(G$5, INDIRECT($C15&amp;".Outputs[Vector]"), 0)), 0)</f>
        <v>0</v>
      </c>
      <c r="H15" s="297">
        <f t="shared" ca="1" si="38"/>
        <v>207.36914669335661</v>
      </c>
      <c r="I15" s="297">
        <f t="shared" ca="1" si="38"/>
        <v>230.21997420764939</v>
      </c>
      <c r="J15" s="297">
        <f t="shared" ca="1" si="38"/>
        <v>0</v>
      </c>
      <c r="K15" s="297">
        <f t="shared" ca="1" si="38"/>
        <v>0</v>
      </c>
      <c r="L15" s="297">
        <f t="shared" ca="1" si="38"/>
        <v>0</v>
      </c>
      <c r="M15" s="297">
        <f t="shared" ca="1" si="38"/>
        <v>0</v>
      </c>
      <c r="N15" s="297">
        <f t="shared" ca="1" si="38"/>
        <v>0</v>
      </c>
      <c r="O15" s="297">
        <f t="shared" ca="1" si="38"/>
        <v>0</v>
      </c>
      <c r="P15" s="297">
        <f t="shared" ca="1" si="1"/>
        <v>437.58912090100603</v>
      </c>
      <c r="R15" s="304">
        <f t="shared" ref="R15:AX16" ca="1" si="39">IFERROR(INDEX(INDIRECT($C15&amp;".Outputs["&amp;this.Year&amp;"]"), MATCH(R$5, INDIRECT($C15&amp;".Outputs[Vector]"), 0)), 0)</f>
        <v>-233.8444437272363</v>
      </c>
      <c r="S15" s="304">
        <f t="shared" ca="1" si="39"/>
        <v>0</v>
      </c>
      <c r="T15" s="304">
        <f t="shared" ca="1" si="39"/>
        <v>0</v>
      </c>
      <c r="U15" s="304">
        <f t="shared" ca="1" si="39"/>
        <v>-41.439595357376902</v>
      </c>
      <c r="V15" s="304">
        <f t="shared" ca="1" si="39"/>
        <v>-51.79949419672112</v>
      </c>
      <c r="W15" s="304">
        <f t="shared" ca="1" si="39"/>
        <v>-110.50558761967174</v>
      </c>
      <c r="X15" s="304">
        <f t="shared" ref="X15:Z16" ca="1" si="40">IFERROR(INDEX(INDIRECT($C15&amp;".Outputs["&amp;this.Year&amp;"]"), MATCH(X$5, INDIRECT($C15&amp;".Outputs[Vector]"), 0)), 0)</f>
        <v>0</v>
      </c>
      <c r="Y15" s="304">
        <f t="shared" ca="1" si="40"/>
        <v>0</v>
      </c>
      <c r="Z15" s="304">
        <f t="shared" ca="1" si="40"/>
        <v>0</v>
      </c>
      <c r="AA15" s="304">
        <f t="shared" ca="1" si="39"/>
        <v>0</v>
      </c>
      <c r="AB15" s="304">
        <f t="shared" ca="1" si="39"/>
        <v>0</v>
      </c>
      <c r="AC15" s="304">
        <f t="shared" ca="1" si="39"/>
        <v>0</v>
      </c>
      <c r="AD15" s="304">
        <f t="shared" ca="1" si="39"/>
        <v>0</v>
      </c>
      <c r="AE15" s="304">
        <f t="shared" ca="1" si="39"/>
        <v>0</v>
      </c>
      <c r="AF15" s="304">
        <f t="shared" ca="1" si="39"/>
        <v>0</v>
      </c>
      <c r="AG15" s="304">
        <f t="shared" ca="1" si="39"/>
        <v>0</v>
      </c>
      <c r="AH15" s="305">
        <f t="shared" ca="1" si="5"/>
        <v>-437.58912090100608</v>
      </c>
      <c r="AJ15" s="312">
        <f t="shared" ref="AJ15:AR16" ca="1" si="41">IFERROR(INDEX(INDIRECT($C15&amp;".Outputs["&amp;this.Year&amp;"]"), MATCH(AJ$5, INDIRECT($C15&amp;".Outputs[Vector]"), 0)), 0)</f>
        <v>0</v>
      </c>
      <c r="AK15" s="312">
        <f t="shared" ca="1" si="41"/>
        <v>0</v>
      </c>
      <c r="AL15" s="312">
        <f t="shared" ca="1" si="41"/>
        <v>0</v>
      </c>
      <c r="AM15" s="312">
        <f t="shared" ca="1" si="41"/>
        <v>0</v>
      </c>
      <c r="AN15" s="312">
        <f t="shared" ca="1" si="41"/>
        <v>0</v>
      </c>
      <c r="AO15" s="312">
        <f t="shared" ca="1" si="41"/>
        <v>0</v>
      </c>
      <c r="AP15" s="312">
        <f t="shared" ca="1" si="41"/>
        <v>0</v>
      </c>
      <c r="AQ15" s="312">
        <f t="shared" ca="1" si="41"/>
        <v>0</v>
      </c>
      <c r="AR15" s="312">
        <f t="shared" ca="1" si="41"/>
        <v>0</v>
      </c>
      <c r="AS15" s="312">
        <f t="shared" ca="1" si="39"/>
        <v>0</v>
      </c>
      <c r="AT15" s="312">
        <f t="shared" ca="1" si="39"/>
        <v>0</v>
      </c>
      <c r="AU15" s="312">
        <f t="shared" ca="1" si="39"/>
        <v>0</v>
      </c>
      <c r="AV15" s="312">
        <f t="shared" ca="1" si="39"/>
        <v>0</v>
      </c>
      <c r="AW15" s="312">
        <f t="shared" ca="1" si="39"/>
        <v>0</v>
      </c>
      <c r="AX15" s="312">
        <f t="shared" ca="1" si="39"/>
        <v>0</v>
      </c>
      <c r="AY15" s="266">
        <f t="shared" ca="1" si="8"/>
        <v>0</v>
      </c>
      <c r="BA15" s="308">
        <f ca="1">IFERROR(INDEX(INDIRECT($C15&amp;".Outputs["&amp;this.Year&amp;"]"), MATCH(BA$5, INDIRECT($C15&amp;".Outputs[Vector]"), 0)), 0)</f>
        <v>0</v>
      </c>
      <c r="BB15" s="308">
        <f ca="1">IFERROR(INDEX(INDIRECT($C15&amp;".Outputs["&amp;this.Year&amp;"]"), MATCH(BB$5, INDIRECT($C15&amp;".Outputs[Vector]"), 0)), 0)</f>
        <v>0</v>
      </c>
      <c r="BC15" s="309">
        <f t="shared" ca="1" si="10"/>
        <v>0</v>
      </c>
      <c r="BE15" s="135">
        <f t="shared" ca="1" si="11"/>
        <v>-5.6843418860808015E-14</v>
      </c>
      <c r="BF15" s="135"/>
      <c r="BG15" s="1428"/>
      <c r="BH15" s="541">
        <f t="shared" ref="BH15:BQ16" ca="1" si="42">IFERROR(SUMIFS(INDIRECT($C15&amp;".Emissions["&amp;this.Year&amp;"]"), INDIRECT($C15&amp;".Emissions[GHG]"), BH$6, INDIRECT($C15&amp;".Emissions[IPCC Sector]"), BH$5),0)</f>
        <v>19.891005771540911</v>
      </c>
      <c r="BI15" s="542">
        <f t="shared" ca="1" si="42"/>
        <v>19.891005771540911</v>
      </c>
      <c r="BJ15" s="542">
        <f t="shared" ca="1" si="42"/>
        <v>19.891005771540911</v>
      </c>
      <c r="BK15" s="542">
        <f t="shared" ca="1" si="42"/>
        <v>0</v>
      </c>
      <c r="BL15" s="542">
        <f t="shared" ca="1" si="42"/>
        <v>0</v>
      </c>
      <c r="BM15" s="542">
        <f t="shared" ca="1" si="42"/>
        <v>0</v>
      </c>
      <c r="BN15" s="542">
        <f t="shared" ca="1" si="42"/>
        <v>0</v>
      </c>
      <c r="BO15" s="542">
        <f t="shared" ca="1" si="42"/>
        <v>0</v>
      </c>
      <c r="BP15" s="542">
        <f t="shared" ca="1" si="42"/>
        <v>0</v>
      </c>
      <c r="BQ15" s="542">
        <f t="shared" ca="1" si="42"/>
        <v>0</v>
      </c>
      <c r="BR15" s="542">
        <f t="shared" ref="BR15:CA16" ca="1" si="43">IFERROR(SUMIFS(INDIRECT($C15&amp;".Emissions["&amp;this.Year&amp;"]"), INDIRECT($C15&amp;".Emissions[GHG]"), BR$6, INDIRECT($C15&amp;".Emissions[IPCC Sector]"), BR$5),0)</f>
        <v>0</v>
      </c>
      <c r="BS15" s="542">
        <f t="shared" ca="1" si="43"/>
        <v>0</v>
      </c>
      <c r="BT15" s="542">
        <f t="shared" ca="1" si="43"/>
        <v>0</v>
      </c>
      <c r="BU15" s="542">
        <f t="shared" ca="1" si="43"/>
        <v>0</v>
      </c>
      <c r="BV15" s="542">
        <f t="shared" ca="1" si="43"/>
        <v>0</v>
      </c>
      <c r="BW15" s="542">
        <f t="shared" ca="1" si="43"/>
        <v>0</v>
      </c>
      <c r="BX15" s="542">
        <f t="shared" ca="1" si="43"/>
        <v>0</v>
      </c>
      <c r="BY15" s="542">
        <f t="shared" ca="1" si="43"/>
        <v>0</v>
      </c>
      <c r="BZ15" s="542">
        <f t="shared" ca="1" si="43"/>
        <v>0</v>
      </c>
      <c r="CA15" s="542">
        <f t="shared" ca="1" si="43"/>
        <v>0</v>
      </c>
      <c r="CB15" s="542">
        <f t="shared" ref="CB15:CK16" ca="1" si="44">IFERROR(SUMIFS(INDIRECT($C15&amp;".Emissions["&amp;this.Year&amp;"]"), INDIRECT($C15&amp;".Emissions[GHG]"), CB$6, INDIRECT($C15&amp;".Emissions[IPCC Sector]"), CB$5),0)</f>
        <v>0</v>
      </c>
      <c r="CC15" s="542">
        <f t="shared" ca="1" si="44"/>
        <v>0</v>
      </c>
      <c r="CD15" s="542">
        <f t="shared" ca="1" si="44"/>
        <v>0</v>
      </c>
      <c r="CE15" s="542">
        <f t="shared" ca="1" si="44"/>
        <v>0</v>
      </c>
      <c r="CF15" s="542">
        <f t="shared" ca="1" si="44"/>
        <v>0</v>
      </c>
      <c r="CG15" s="542">
        <f t="shared" ca="1" si="44"/>
        <v>0</v>
      </c>
      <c r="CH15" s="542">
        <f t="shared" ca="1" si="44"/>
        <v>0</v>
      </c>
      <c r="CI15" s="542">
        <f t="shared" ca="1" si="44"/>
        <v>0</v>
      </c>
      <c r="CJ15" s="542">
        <f t="shared" ca="1" si="44"/>
        <v>0</v>
      </c>
      <c r="CK15" s="542">
        <f t="shared" ca="1" si="44"/>
        <v>0</v>
      </c>
      <c r="CL15" s="542">
        <f t="shared" ref="CL15:CU16" ca="1" si="45">IFERROR(SUMIFS(INDIRECT($C15&amp;".Emissions["&amp;this.Year&amp;"]"), INDIRECT($C15&amp;".Emissions[GHG]"), CL$6, INDIRECT($C15&amp;".Emissions[IPCC Sector]"), CL$5),0)</f>
        <v>0</v>
      </c>
      <c r="CM15" s="542">
        <f t="shared" ca="1" si="45"/>
        <v>0</v>
      </c>
      <c r="CN15" s="542">
        <f t="shared" ca="1" si="45"/>
        <v>0</v>
      </c>
      <c r="CO15" s="542">
        <f t="shared" ca="1" si="45"/>
        <v>0</v>
      </c>
      <c r="CP15" s="542">
        <f t="shared" ca="1" si="45"/>
        <v>0</v>
      </c>
      <c r="CQ15" s="542">
        <f t="shared" ca="1" si="45"/>
        <v>0</v>
      </c>
      <c r="CR15" s="542">
        <f t="shared" ca="1" si="45"/>
        <v>0</v>
      </c>
      <c r="CS15" s="542">
        <f t="shared" ca="1" si="45"/>
        <v>0</v>
      </c>
      <c r="CT15" s="542">
        <f t="shared" ca="1" si="45"/>
        <v>0</v>
      </c>
      <c r="CU15" s="542">
        <f t="shared" ca="1" si="45"/>
        <v>0</v>
      </c>
      <c r="CW15" s="151">
        <f t="shared" ca="1" si="37"/>
        <v>59.673017314622733</v>
      </c>
    </row>
    <row r="16" spans="1:101" s="84" customFormat="1" ht="12.75" customHeight="1" outlineLevel="1" x14ac:dyDescent="0.2">
      <c r="A16" s="543"/>
      <c r="B16" s="543"/>
      <c r="C16" s="86" t="s">
        <v>393</v>
      </c>
      <c r="D16" s="292" t="str">
        <f>INDEX(Modules[Module], MATCH($C16, Modules[Code], 0))</f>
        <v>Service Sector Lighting, Appliances, and Cooking</v>
      </c>
      <c r="E16" s="292"/>
      <c r="G16" s="301">
        <f t="shared" ca="1" si="38"/>
        <v>0</v>
      </c>
      <c r="H16" s="301">
        <f t="shared" ca="1" si="38"/>
        <v>17.375584325609005</v>
      </c>
      <c r="I16" s="301">
        <f t="shared" ca="1" si="38"/>
        <v>22.998125743591778</v>
      </c>
      <c r="J16" s="301">
        <f t="shared" ca="1" si="38"/>
        <v>0</v>
      </c>
      <c r="K16" s="301">
        <f t="shared" ca="1" si="38"/>
        <v>0</v>
      </c>
      <c r="L16" s="301">
        <f t="shared" ca="1" si="38"/>
        <v>0</v>
      </c>
      <c r="M16" s="301">
        <f t="shared" ca="1" si="38"/>
        <v>0</v>
      </c>
      <c r="N16" s="301">
        <f t="shared" ca="1" si="38"/>
        <v>0</v>
      </c>
      <c r="O16" s="301">
        <f t="shared" ca="1" si="38"/>
        <v>0</v>
      </c>
      <c r="P16" s="301">
        <f t="shared" ca="1" si="1"/>
        <v>40.373710069200783</v>
      </c>
      <c r="R16" s="307">
        <f t="shared" ca="1" si="39"/>
        <v>-20.020368786122059</v>
      </c>
      <c r="S16" s="307">
        <f t="shared" ca="1" si="39"/>
        <v>0</v>
      </c>
      <c r="T16" s="307">
        <f t="shared" ca="1" si="39"/>
        <v>0</v>
      </c>
      <c r="U16" s="307">
        <f t="shared" ca="1" si="39"/>
        <v>-4.1396626338465197</v>
      </c>
      <c r="V16" s="307">
        <f t="shared" ca="1" si="39"/>
        <v>-5.1745782923081505</v>
      </c>
      <c r="W16" s="307">
        <f t="shared" ca="1" si="39"/>
        <v>-11.039100356924054</v>
      </c>
      <c r="X16" s="307">
        <f t="shared" ca="1" si="40"/>
        <v>0</v>
      </c>
      <c r="Y16" s="307">
        <f t="shared" ca="1" si="40"/>
        <v>0</v>
      </c>
      <c r="Z16" s="307">
        <f t="shared" ca="1" si="40"/>
        <v>0</v>
      </c>
      <c r="AA16" s="307">
        <f t="shared" ca="1" si="39"/>
        <v>0</v>
      </c>
      <c r="AB16" s="307">
        <f t="shared" ca="1" si="39"/>
        <v>0</v>
      </c>
      <c r="AC16" s="307">
        <f t="shared" ca="1" si="39"/>
        <v>0</v>
      </c>
      <c r="AD16" s="307">
        <f t="shared" ca="1" si="39"/>
        <v>0</v>
      </c>
      <c r="AE16" s="307">
        <f t="shared" ca="1" si="39"/>
        <v>0</v>
      </c>
      <c r="AF16" s="307">
        <f t="shared" ca="1" si="39"/>
        <v>0</v>
      </c>
      <c r="AG16" s="307">
        <f t="shared" ca="1" si="39"/>
        <v>0</v>
      </c>
      <c r="AH16" s="306">
        <f t="shared" ca="1" si="5"/>
        <v>-40.373710069200783</v>
      </c>
      <c r="AJ16" s="315">
        <f t="shared" ca="1" si="41"/>
        <v>0</v>
      </c>
      <c r="AK16" s="315">
        <f t="shared" ca="1" si="41"/>
        <v>0</v>
      </c>
      <c r="AL16" s="315">
        <f t="shared" ca="1" si="41"/>
        <v>0</v>
      </c>
      <c r="AM16" s="315">
        <f t="shared" ca="1" si="41"/>
        <v>0</v>
      </c>
      <c r="AN16" s="315">
        <f t="shared" ca="1" si="41"/>
        <v>0</v>
      </c>
      <c r="AO16" s="315">
        <f t="shared" ca="1" si="41"/>
        <v>0</v>
      </c>
      <c r="AP16" s="315">
        <f t="shared" ca="1" si="41"/>
        <v>0</v>
      </c>
      <c r="AQ16" s="315">
        <f t="shared" ca="1" si="41"/>
        <v>0</v>
      </c>
      <c r="AR16" s="315">
        <f t="shared" ca="1" si="41"/>
        <v>0</v>
      </c>
      <c r="AS16" s="315">
        <f t="shared" ca="1" si="39"/>
        <v>0</v>
      </c>
      <c r="AT16" s="315">
        <f t="shared" ca="1" si="39"/>
        <v>0</v>
      </c>
      <c r="AU16" s="315">
        <f t="shared" ca="1" si="39"/>
        <v>0</v>
      </c>
      <c r="AV16" s="315">
        <f t="shared" ca="1" si="39"/>
        <v>0</v>
      </c>
      <c r="AW16" s="315">
        <f t="shared" ca="1" si="39"/>
        <v>0</v>
      </c>
      <c r="AX16" s="315">
        <f t="shared" ca="1" si="39"/>
        <v>0</v>
      </c>
      <c r="AY16" s="293">
        <f t="shared" ca="1" si="8"/>
        <v>0</v>
      </c>
      <c r="BA16" s="311">
        <f ca="1">IFERROR(INDEX(INDIRECT($C16&amp;".Outputs["&amp;this.Year&amp;"]"), MATCH(BA$5, INDIRECT($C16&amp;".Outputs[Vector]"), 0)), 0)</f>
        <v>0</v>
      </c>
      <c r="BB16" s="311">
        <f ca="1">IFERROR(INDEX(INDIRECT($C16&amp;".Outputs["&amp;this.Year&amp;"]"), MATCH(BB$5, INDIRECT($C16&amp;".Outputs[Vector]"), 0)), 0)</f>
        <v>0</v>
      </c>
      <c r="BC16" s="310">
        <f t="shared" ca="1" si="10"/>
        <v>0</v>
      </c>
      <c r="BE16" s="135">
        <f t="shared" ca="1" si="11"/>
        <v>0</v>
      </c>
      <c r="BF16" s="135"/>
      <c r="BG16" s="1428"/>
      <c r="BH16" s="544">
        <f t="shared" ca="1" si="42"/>
        <v>1.9870380642463294</v>
      </c>
      <c r="BI16" s="545">
        <f t="shared" ca="1" si="42"/>
        <v>3.1969816641663346E-3</v>
      </c>
      <c r="BJ16" s="545">
        <f t="shared" ca="1" si="42"/>
        <v>2.0672954811594566E-2</v>
      </c>
      <c r="BK16" s="545">
        <f t="shared" ca="1" si="42"/>
        <v>0</v>
      </c>
      <c r="BL16" s="545">
        <f t="shared" ca="1" si="42"/>
        <v>0</v>
      </c>
      <c r="BM16" s="545">
        <f t="shared" ca="1" si="42"/>
        <v>0</v>
      </c>
      <c r="BN16" s="545">
        <f t="shared" ca="1" si="42"/>
        <v>0</v>
      </c>
      <c r="BO16" s="545">
        <f t="shared" ca="1" si="42"/>
        <v>0</v>
      </c>
      <c r="BP16" s="545">
        <f t="shared" ca="1" si="42"/>
        <v>0</v>
      </c>
      <c r="BQ16" s="545">
        <f t="shared" ca="1" si="42"/>
        <v>0</v>
      </c>
      <c r="BR16" s="545">
        <f t="shared" ca="1" si="43"/>
        <v>0</v>
      </c>
      <c r="BS16" s="545">
        <f t="shared" ca="1" si="43"/>
        <v>0</v>
      </c>
      <c r="BT16" s="545">
        <f t="shared" ca="1" si="43"/>
        <v>0</v>
      </c>
      <c r="BU16" s="545">
        <f t="shared" ca="1" si="43"/>
        <v>0</v>
      </c>
      <c r="BV16" s="545">
        <f t="shared" ca="1" si="43"/>
        <v>0</v>
      </c>
      <c r="BW16" s="545">
        <f t="shared" ca="1" si="43"/>
        <v>0</v>
      </c>
      <c r="BX16" s="545">
        <f t="shared" ca="1" si="43"/>
        <v>0</v>
      </c>
      <c r="BY16" s="545">
        <f t="shared" ca="1" si="43"/>
        <v>0</v>
      </c>
      <c r="BZ16" s="545">
        <f t="shared" ca="1" si="43"/>
        <v>0</v>
      </c>
      <c r="CA16" s="545">
        <f t="shared" ca="1" si="43"/>
        <v>0</v>
      </c>
      <c r="CB16" s="545">
        <f t="shared" ca="1" si="44"/>
        <v>0</v>
      </c>
      <c r="CC16" s="545">
        <f t="shared" ca="1" si="44"/>
        <v>0</v>
      </c>
      <c r="CD16" s="545">
        <f t="shared" ca="1" si="44"/>
        <v>0</v>
      </c>
      <c r="CE16" s="545">
        <f t="shared" ca="1" si="44"/>
        <v>0</v>
      </c>
      <c r="CF16" s="545">
        <f t="shared" ca="1" si="44"/>
        <v>0</v>
      </c>
      <c r="CG16" s="545">
        <f t="shared" ca="1" si="44"/>
        <v>0</v>
      </c>
      <c r="CH16" s="545">
        <f t="shared" ca="1" si="44"/>
        <v>0</v>
      </c>
      <c r="CI16" s="545">
        <f t="shared" ca="1" si="44"/>
        <v>0</v>
      </c>
      <c r="CJ16" s="545">
        <f t="shared" ca="1" si="44"/>
        <v>0</v>
      </c>
      <c r="CK16" s="545">
        <f t="shared" ca="1" si="44"/>
        <v>0</v>
      </c>
      <c r="CL16" s="545">
        <f t="shared" ca="1" si="45"/>
        <v>0</v>
      </c>
      <c r="CM16" s="545">
        <f t="shared" ca="1" si="45"/>
        <v>0</v>
      </c>
      <c r="CN16" s="545">
        <f t="shared" ca="1" si="45"/>
        <v>0</v>
      </c>
      <c r="CO16" s="545">
        <f t="shared" ca="1" si="45"/>
        <v>0</v>
      </c>
      <c r="CP16" s="545">
        <f t="shared" ca="1" si="45"/>
        <v>0</v>
      </c>
      <c r="CQ16" s="545">
        <f t="shared" ca="1" si="45"/>
        <v>0</v>
      </c>
      <c r="CR16" s="545">
        <f t="shared" ca="1" si="45"/>
        <v>0</v>
      </c>
      <c r="CS16" s="545">
        <f t="shared" ca="1" si="45"/>
        <v>0</v>
      </c>
      <c r="CT16" s="545">
        <f t="shared" ca="1" si="45"/>
        <v>0</v>
      </c>
      <c r="CU16" s="545">
        <f t="shared" ca="1" si="45"/>
        <v>0</v>
      </c>
      <c r="CW16" s="151">
        <f t="shared" ca="1" si="37"/>
        <v>2.0109080007220905</v>
      </c>
    </row>
    <row r="17" spans="1:101" s="84" customFormat="1" ht="15.75" x14ac:dyDescent="0.2">
      <c r="A17" s="18"/>
      <c r="B17" s="89"/>
      <c r="C17" s="85" t="s">
        <v>230</v>
      </c>
      <c r="D17" s="57" t="str">
        <f>INDEX(Workstreams[Workstream], MATCH($C17, Workstreams[Code], 0))</f>
        <v>Lighting, Appliances &amp; Cooking</v>
      </c>
      <c r="E17" s="53"/>
      <c r="G17" s="300">
        <f ca="1">G15+G16</f>
        <v>0</v>
      </c>
      <c r="H17" s="300">
        <f t="shared" ref="H17:O17" ca="1" si="46">H15+H16</f>
        <v>224.74473101896561</v>
      </c>
      <c r="I17" s="300">
        <f ca="1">I15+I16</f>
        <v>253.21809995124116</v>
      </c>
      <c r="J17" s="300">
        <f t="shared" ca="1" si="46"/>
        <v>0</v>
      </c>
      <c r="K17" s="300">
        <f t="shared" ca="1" si="46"/>
        <v>0</v>
      </c>
      <c r="L17" s="300">
        <f t="shared" ca="1" si="46"/>
        <v>0</v>
      </c>
      <c r="M17" s="300">
        <f t="shared" ca="1" si="46"/>
        <v>0</v>
      </c>
      <c r="N17" s="300">
        <f t="shared" ca="1" si="46"/>
        <v>0</v>
      </c>
      <c r="O17" s="300">
        <f t="shared" ca="1" si="46"/>
        <v>0</v>
      </c>
      <c r="P17" s="300">
        <f t="shared" ca="1" si="1"/>
        <v>477.96283097020677</v>
      </c>
      <c r="R17" s="257">
        <f ca="1">R15+R16</f>
        <v>-253.86481251335834</v>
      </c>
      <c r="S17" s="257">
        <f t="shared" ref="S17:AE17" ca="1" si="47">S15+S16</f>
        <v>0</v>
      </c>
      <c r="T17" s="257">
        <f t="shared" ca="1" si="47"/>
        <v>0</v>
      </c>
      <c r="U17" s="257">
        <f t="shared" ca="1" si="47"/>
        <v>-45.579257991223422</v>
      </c>
      <c r="V17" s="257">
        <f t="shared" ca="1" si="47"/>
        <v>-56.974072489029268</v>
      </c>
      <c r="W17" s="257">
        <f ca="1">W15+W16</f>
        <v>-121.5446879765958</v>
      </c>
      <c r="X17" s="257">
        <f ca="1">X15+X16</f>
        <v>0</v>
      </c>
      <c r="Y17" s="257">
        <f ca="1">Y15+Y16</f>
        <v>0</v>
      </c>
      <c r="Z17" s="257">
        <f ca="1">Z15+Z16</f>
        <v>0</v>
      </c>
      <c r="AA17" s="257">
        <f t="shared" ca="1" si="47"/>
        <v>0</v>
      </c>
      <c r="AB17" s="257">
        <f t="shared" ca="1" si="47"/>
        <v>0</v>
      </c>
      <c r="AC17" s="257">
        <f ca="1">AC15+AC16</f>
        <v>0</v>
      </c>
      <c r="AD17" s="257">
        <f ca="1">AD15+AD16</f>
        <v>0</v>
      </c>
      <c r="AE17" s="257">
        <f t="shared" ca="1" si="47"/>
        <v>0</v>
      </c>
      <c r="AF17" s="257">
        <f ca="1">AF15+AF16</f>
        <v>0</v>
      </c>
      <c r="AG17" s="257">
        <f ca="1">AG15+AG16</f>
        <v>0</v>
      </c>
      <c r="AH17" s="257">
        <f t="shared" ca="1" si="5"/>
        <v>-477.96283097020682</v>
      </c>
      <c r="AJ17" s="263">
        <f t="shared" ref="AJ17:AX17" ca="1" si="48">AJ15+AJ16</f>
        <v>0</v>
      </c>
      <c r="AK17" s="263">
        <f t="shared" ca="1" si="48"/>
        <v>0</v>
      </c>
      <c r="AL17" s="263">
        <f t="shared" ca="1" si="48"/>
        <v>0</v>
      </c>
      <c r="AM17" s="263">
        <f t="shared" ca="1" si="48"/>
        <v>0</v>
      </c>
      <c r="AN17" s="263">
        <f t="shared" ca="1" si="48"/>
        <v>0</v>
      </c>
      <c r="AO17" s="263">
        <f t="shared" ca="1" si="48"/>
        <v>0</v>
      </c>
      <c r="AP17" s="263">
        <f t="shared" ca="1" si="48"/>
        <v>0</v>
      </c>
      <c r="AQ17" s="263">
        <f t="shared" ca="1" si="48"/>
        <v>0</v>
      </c>
      <c r="AR17" s="263">
        <f t="shared" ca="1" si="48"/>
        <v>0</v>
      </c>
      <c r="AS17" s="263">
        <f t="shared" ca="1" si="48"/>
        <v>0</v>
      </c>
      <c r="AT17" s="263">
        <f t="shared" ca="1" si="48"/>
        <v>0</v>
      </c>
      <c r="AU17" s="263">
        <f t="shared" ca="1" si="48"/>
        <v>0</v>
      </c>
      <c r="AV17" s="263">
        <f t="shared" ca="1" si="48"/>
        <v>0</v>
      </c>
      <c r="AW17" s="263">
        <f t="shared" ca="1" si="48"/>
        <v>0</v>
      </c>
      <c r="AX17" s="263">
        <f t="shared" ca="1" si="48"/>
        <v>0</v>
      </c>
      <c r="AY17" s="263">
        <f t="shared" ca="1" si="8"/>
        <v>0</v>
      </c>
      <c r="BA17" s="277">
        <f ca="1">BA15+BA16</f>
        <v>0</v>
      </c>
      <c r="BB17" s="277">
        <f ca="1">BB15+BB16</f>
        <v>0</v>
      </c>
      <c r="BC17" s="277">
        <f t="shared" ca="1" si="10"/>
        <v>0</v>
      </c>
      <c r="BE17" s="55">
        <f t="shared" ca="1" si="11"/>
        <v>-5.6843418860808015E-14</v>
      </c>
      <c r="BF17" s="55"/>
      <c r="BG17" s="1428"/>
      <c r="BH17" s="542">
        <f t="shared" ref="BH17:CU17" ca="1" si="49">BH15+BH16</f>
        <v>21.878043835787242</v>
      </c>
      <c r="BI17" s="542">
        <f t="shared" ca="1" si="49"/>
        <v>19.894202753205079</v>
      </c>
      <c r="BJ17" s="542">
        <f t="shared" ca="1" si="49"/>
        <v>19.911678726352505</v>
      </c>
      <c r="BK17" s="542">
        <f t="shared" ca="1" si="49"/>
        <v>0</v>
      </c>
      <c r="BL17" s="542">
        <f t="shared" ca="1" si="49"/>
        <v>0</v>
      </c>
      <c r="BM17" s="542">
        <f t="shared" ca="1" si="49"/>
        <v>0</v>
      </c>
      <c r="BN17" s="542">
        <f t="shared" ca="1" si="49"/>
        <v>0</v>
      </c>
      <c r="BO17" s="542">
        <f t="shared" ca="1" si="49"/>
        <v>0</v>
      </c>
      <c r="BP17" s="542">
        <f t="shared" ca="1" si="49"/>
        <v>0</v>
      </c>
      <c r="BQ17" s="542">
        <f t="shared" ca="1" si="49"/>
        <v>0</v>
      </c>
      <c r="BR17" s="542">
        <f t="shared" ca="1" si="49"/>
        <v>0</v>
      </c>
      <c r="BS17" s="542">
        <f t="shared" ca="1" si="49"/>
        <v>0</v>
      </c>
      <c r="BT17" s="542">
        <f t="shared" ca="1" si="49"/>
        <v>0</v>
      </c>
      <c r="BU17" s="542">
        <f t="shared" ca="1" si="49"/>
        <v>0</v>
      </c>
      <c r="BV17" s="542">
        <f t="shared" ca="1" si="49"/>
        <v>0</v>
      </c>
      <c r="BW17" s="542">
        <f t="shared" ca="1" si="49"/>
        <v>0</v>
      </c>
      <c r="BX17" s="542">
        <f t="shared" ca="1" si="49"/>
        <v>0</v>
      </c>
      <c r="BY17" s="542">
        <f t="shared" ca="1" si="49"/>
        <v>0</v>
      </c>
      <c r="BZ17" s="542">
        <f t="shared" ca="1" si="49"/>
        <v>0</v>
      </c>
      <c r="CA17" s="542">
        <f t="shared" ca="1" si="49"/>
        <v>0</v>
      </c>
      <c r="CB17" s="542">
        <f t="shared" ca="1" si="49"/>
        <v>0</v>
      </c>
      <c r="CC17" s="542">
        <f t="shared" ca="1" si="49"/>
        <v>0</v>
      </c>
      <c r="CD17" s="542">
        <f t="shared" ca="1" si="49"/>
        <v>0</v>
      </c>
      <c r="CE17" s="542">
        <f t="shared" ca="1" si="49"/>
        <v>0</v>
      </c>
      <c r="CF17" s="542">
        <f t="shared" ca="1" si="49"/>
        <v>0</v>
      </c>
      <c r="CG17" s="542">
        <f t="shared" ca="1" si="49"/>
        <v>0</v>
      </c>
      <c r="CH17" s="542">
        <f t="shared" ca="1" si="49"/>
        <v>0</v>
      </c>
      <c r="CI17" s="542">
        <f t="shared" ca="1" si="49"/>
        <v>0</v>
      </c>
      <c r="CJ17" s="542">
        <f t="shared" ca="1" si="49"/>
        <v>0</v>
      </c>
      <c r="CK17" s="542">
        <f t="shared" ca="1" si="49"/>
        <v>0</v>
      </c>
      <c r="CL17" s="542">
        <f t="shared" ca="1" si="49"/>
        <v>0</v>
      </c>
      <c r="CM17" s="542">
        <f t="shared" ca="1" si="49"/>
        <v>0</v>
      </c>
      <c r="CN17" s="542">
        <f t="shared" ca="1" si="49"/>
        <v>0</v>
      </c>
      <c r="CO17" s="542">
        <f t="shared" ca="1" si="49"/>
        <v>0</v>
      </c>
      <c r="CP17" s="542">
        <f t="shared" ca="1" si="49"/>
        <v>0</v>
      </c>
      <c r="CQ17" s="542">
        <f t="shared" ca="1" si="49"/>
        <v>0</v>
      </c>
      <c r="CR17" s="542">
        <f t="shared" ca="1" si="49"/>
        <v>0</v>
      </c>
      <c r="CS17" s="542">
        <f t="shared" ca="1" si="49"/>
        <v>0</v>
      </c>
      <c r="CT17" s="542">
        <f t="shared" ca="1" si="49"/>
        <v>0</v>
      </c>
      <c r="CU17" s="542">
        <f t="shared" ca="1" si="49"/>
        <v>0</v>
      </c>
      <c r="CW17" s="151">
        <f t="shared" ca="1" si="37"/>
        <v>61.683925315344823</v>
      </c>
    </row>
    <row r="18" spans="1:101" s="84" customFormat="1" ht="12.75" customHeight="1" outlineLevel="1" x14ac:dyDescent="0.2">
      <c r="A18" s="543"/>
      <c r="B18" s="543"/>
      <c r="C18" s="86"/>
      <c r="D18" s="61"/>
      <c r="E18" s="61"/>
      <c r="G18" s="298"/>
      <c r="H18" s="298"/>
      <c r="I18" s="298"/>
      <c r="J18" s="298"/>
      <c r="K18" s="298"/>
      <c r="L18" s="298"/>
      <c r="M18" s="298"/>
      <c r="N18" s="298"/>
      <c r="O18" s="298"/>
      <c r="P18" s="298">
        <f t="shared" si="1"/>
        <v>0</v>
      </c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>
        <f t="shared" si="5"/>
        <v>0</v>
      </c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266">
        <f t="shared" si="8"/>
        <v>0</v>
      </c>
      <c r="BA18" s="309"/>
      <c r="BB18" s="309"/>
      <c r="BC18" s="309">
        <f t="shared" si="10"/>
        <v>0</v>
      </c>
      <c r="BE18" s="135">
        <f t="shared" si="11"/>
        <v>0</v>
      </c>
      <c r="BF18" s="135"/>
      <c r="BG18" s="543"/>
      <c r="BH18" s="541"/>
      <c r="BI18" s="542"/>
      <c r="BJ18" s="542"/>
      <c r="BK18" s="542"/>
      <c r="BL18" s="542"/>
      <c r="BM18" s="542"/>
      <c r="BN18" s="542"/>
      <c r="BO18" s="542"/>
      <c r="BP18" s="542"/>
      <c r="BQ18" s="542"/>
      <c r="BR18" s="542"/>
      <c r="BS18" s="542"/>
      <c r="BT18" s="542"/>
      <c r="BU18" s="542"/>
      <c r="BV18" s="542"/>
      <c r="BW18" s="542"/>
      <c r="BX18" s="542"/>
      <c r="BY18" s="542"/>
      <c r="BZ18" s="542"/>
      <c r="CA18" s="542"/>
      <c r="CB18" s="542"/>
      <c r="CC18" s="542"/>
      <c r="CD18" s="542"/>
      <c r="CE18" s="542"/>
      <c r="CF18" s="542"/>
      <c r="CG18" s="542"/>
      <c r="CH18" s="542"/>
      <c r="CI18" s="542"/>
      <c r="CJ18" s="542"/>
      <c r="CK18" s="542"/>
      <c r="CL18" s="542"/>
      <c r="CM18" s="542"/>
      <c r="CN18" s="542"/>
      <c r="CO18" s="542"/>
      <c r="CP18" s="542"/>
      <c r="CQ18" s="542"/>
      <c r="CR18" s="542"/>
      <c r="CS18" s="542"/>
      <c r="CT18" s="542"/>
      <c r="CU18" s="542"/>
      <c r="CW18" s="151">
        <f t="shared" si="37"/>
        <v>0</v>
      </c>
    </row>
    <row r="19" spans="1:101" s="84" customFormat="1" ht="12.75" customHeight="1" outlineLevel="1" x14ac:dyDescent="0.2">
      <c r="A19" s="543"/>
      <c r="B19" s="543"/>
      <c r="C19" s="86" t="s">
        <v>360</v>
      </c>
      <c r="D19" s="292" t="str">
        <f>INDEX(Modules[Module], MATCH($C19, Modules[Code], 0))</f>
        <v>Industrial processes</v>
      </c>
      <c r="E19" s="292"/>
      <c r="G19" s="301">
        <f t="shared" ref="G19:O19" ca="1" si="50">IFERROR(INDEX(INDIRECT($C19&amp;".Outputs["&amp;this.Year&amp;"]"), MATCH(G$5, INDIRECT($C19&amp;".Outputs[Vector]"), 0)), 0)</f>
        <v>0</v>
      </c>
      <c r="H19" s="301">
        <f t="shared" ca="1" si="50"/>
        <v>0</v>
      </c>
      <c r="I19" s="301">
        <f t="shared" ca="1" si="50"/>
        <v>0</v>
      </c>
      <c r="J19" s="301">
        <f t="shared" ca="1" si="50"/>
        <v>105.3161714881026</v>
      </c>
      <c r="K19" s="301">
        <f t="shared" ca="1" si="50"/>
        <v>0</v>
      </c>
      <c r="L19" s="301">
        <f t="shared" ca="1" si="50"/>
        <v>0</v>
      </c>
      <c r="M19" s="301">
        <f t="shared" ca="1" si="50"/>
        <v>0</v>
      </c>
      <c r="N19" s="301">
        <f t="shared" ca="1" si="50"/>
        <v>0</v>
      </c>
      <c r="O19" s="301">
        <f t="shared" ca="1" si="50"/>
        <v>0</v>
      </c>
      <c r="P19" s="301">
        <f t="shared" ca="1" si="1"/>
        <v>105.3161714881026</v>
      </c>
      <c r="R19" s="307">
        <f t="shared" ref="R19:AX19" ca="1" si="51">IFERROR(INDEX(INDIRECT($C19&amp;".Outputs["&amp;this.Year&amp;"]"), MATCH(R$5, INDIRECT($C19&amp;".Outputs[Vector]"), 0)), 0)</f>
        <v>-20.431337268691905</v>
      </c>
      <c r="S19" s="307">
        <f t="shared" ca="1" si="51"/>
        <v>0</v>
      </c>
      <c r="T19" s="307">
        <f t="shared" ca="1" si="51"/>
        <v>-2.9488528016668729</v>
      </c>
      <c r="U19" s="307">
        <f t="shared" ca="1" si="51"/>
        <v>-22.537660698453955</v>
      </c>
      <c r="V19" s="307">
        <f t="shared" ca="1" si="51"/>
        <v>-48.761387398991502</v>
      </c>
      <c r="W19" s="307">
        <f t="shared" ca="1" si="51"/>
        <v>-10.636933320298363</v>
      </c>
      <c r="X19" s="307">
        <f ca="1">IFERROR(INDEX(INDIRECT($C19&amp;".Outputs["&amp;this.Year&amp;"]"), MATCH(X$5, INDIRECT($C19&amp;".Outputs[Vector]"), 0)), 0)</f>
        <v>0</v>
      </c>
      <c r="Y19" s="307">
        <f ca="1">IFERROR(INDEX(INDIRECT($C19&amp;".Outputs["&amp;this.Year&amp;"]"), MATCH(Y$5, INDIRECT($C19&amp;".Outputs[Vector]"), 0)), 0)</f>
        <v>0</v>
      </c>
      <c r="Z19" s="307">
        <f ca="1">IFERROR(INDEX(INDIRECT($C19&amp;".Outputs["&amp;this.Year&amp;"]"), MATCH(Z$5, INDIRECT($C19&amp;".Outputs[Vector]"), 0)), 0)</f>
        <v>0</v>
      </c>
      <c r="AA19" s="307">
        <f t="shared" ca="1" si="51"/>
        <v>0</v>
      </c>
      <c r="AB19" s="307">
        <f t="shared" ca="1" si="51"/>
        <v>0</v>
      </c>
      <c r="AC19" s="307">
        <f t="shared" ca="1" si="51"/>
        <v>0</v>
      </c>
      <c r="AD19" s="307">
        <f t="shared" ca="1" si="51"/>
        <v>0</v>
      </c>
      <c r="AE19" s="307">
        <f t="shared" ca="1" si="51"/>
        <v>0</v>
      </c>
      <c r="AF19" s="307">
        <f t="shared" ca="1" si="51"/>
        <v>0</v>
      </c>
      <c r="AG19" s="307">
        <f t="shared" ca="1" si="51"/>
        <v>0</v>
      </c>
      <c r="AH19" s="306">
        <f t="shared" ca="1" si="5"/>
        <v>-105.31617148810261</v>
      </c>
      <c r="AJ19" s="315">
        <f t="shared" ref="AJ19:AR19" ca="1" si="52">IFERROR(INDEX(INDIRECT($C19&amp;".Outputs["&amp;this.Year&amp;"]"), MATCH(AJ$5, INDIRECT($C19&amp;".Outputs[Vector]"), 0)), 0)</f>
        <v>0</v>
      </c>
      <c r="AK19" s="315">
        <f t="shared" ca="1" si="52"/>
        <v>0</v>
      </c>
      <c r="AL19" s="315">
        <f t="shared" ca="1" si="52"/>
        <v>0</v>
      </c>
      <c r="AM19" s="315">
        <f t="shared" ca="1" si="52"/>
        <v>0</v>
      </c>
      <c r="AN19" s="315">
        <f t="shared" ca="1" si="52"/>
        <v>0</v>
      </c>
      <c r="AO19" s="315">
        <f t="shared" ca="1" si="52"/>
        <v>0</v>
      </c>
      <c r="AP19" s="315">
        <f t="shared" ca="1" si="52"/>
        <v>0</v>
      </c>
      <c r="AQ19" s="315">
        <f t="shared" ca="1" si="52"/>
        <v>0</v>
      </c>
      <c r="AR19" s="315">
        <f t="shared" ca="1" si="52"/>
        <v>0</v>
      </c>
      <c r="AS19" s="315">
        <f t="shared" ca="1" si="51"/>
        <v>0</v>
      </c>
      <c r="AT19" s="315">
        <f t="shared" ca="1" si="51"/>
        <v>0</v>
      </c>
      <c r="AU19" s="315">
        <f t="shared" ca="1" si="51"/>
        <v>0</v>
      </c>
      <c r="AV19" s="315">
        <f t="shared" ca="1" si="51"/>
        <v>0</v>
      </c>
      <c r="AW19" s="315">
        <f t="shared" ca="1" si="51"/>
        <v>0</v>
      </c>
      <c r="AX19" s="315">
        <f t="shared" ca="1" si="51"/>
        <v>0</v>
      </c>
      <c r="AY19" s="293">
        <f t="shared" ca="1" si="8"/>
        <v>0</v>
      </c>
      <c r="BA19" s="311">
        <f ca="1">IFERROR(INDEX(INDIRECT($C19&amp;".Outputs["&amp;this.Year&amp;"]"), MATCH(BA$5, INDIRECT($C19&amp;".Outputs[Vector]"), 0)), 0)</f>
        <v>0</v>
      </c>
      <c r="BB19" s="311">
        <f ca="1">IFERROR(INDEX(INDIRECT($C19&amp;".Outputs["&amp;this.Year&amp;"]"), MATCH(BB$5, INDIRECT($C19&amp;".Outputs[Vector]"), 0)), 0)</f>
        <v>0</v>
      </c>
      <c r="BC19" s="310">
        <f t="shared" ca="1" si="10"/>
        <v>0</v>
      </c>
      <c r="BE19" s="135">
        <f t="shared" ca="1" si="11"/>
        <v>-1.4210854715202004E-14</v>
      </c>
      <c r="BF19" s="135"/>
      <c r="BG19" s="1428"/>
      <c r="BH19" s="544">
        <f t="shared" ref="BH19:CU19" ca="1" si="53">IFERROR(SUMIFS(INDIRECT($C19&amp;".Emissions["&amp;this.Year&amp;"]"), INDIRECT($C19&amp;".Emissions[GHG]"), BH$6, INDIRECT($C19&amp;".Emissions[IPCC Sector]"), BH$5),0)</f>
        <v>15.51475711894132</v>
      </c>
      <c r="BI19" s="545">
        <f t="shared" ca="1" si="53"/>
        <v>2.7667361891376988E-2</v>
      </c>
      <c r="BJ19" s="545">
        <f t="shared" ca="1" si="53"/>
        <v>0.12876352576808422</v>
      </c>
      <c r="BK19" s="545">
        <f t="shared" ca="1" si="53"/>
        <v>0</v>
      </c>
      <c r="BL19" s="545">
        <f t="shared" ca="1" si="53"/>
        <v>0</v>
      </c>
      <c r="BM19" s="545">
        <f t="shared" ca="1" si="53"/>
        <v>0</v>
      </c>
      <c r="BN19" s="545">
        <f t="shared" ca="1" si="53"/>
        <v>0</v>
      </c>
      <c r="BO19" s="545">
        <f t="shared" ca="1" si="53"/>
        <v>0</v>
      </c>
      <c r="BP19" s="545">
        <f t="shared" ca="1" si="53"/>
        <v>14.773066146298628</v>
      </c>
      <c r="BQ19" s="545">
        <f t="shared" ca="1" si="53"/>
        <v>0.13108279035873913</v>
      </c>
      <c r="BR19" s="545">
        <f t="shared" ca="1" si="53"/>
        <v>3.4000294759352552</v>
      </c>
      <c r="BS19" s="545">
        <f t="shared" ca="1" si="53"/>
        <v>9.2384290877998048</v>
      </c>
      <c r="BT19" s="545">
        <f t="shared" ca="1" si="53"/>
        <v>0</v>
      </c>
      <c r="BU19" s="545">
        <f t="shared" ca="1" si="53"/>
        <v>0</v>
      </c>
      <c r="BV19" s="545">
        <f t="shared" ca="1" si="53"/>
        <v>0</v>
      </c>
      <c r="BW19" s="545">
        <f t="shared" ca="1" si="53"/>
        <v>0</v>
      </c>
      <c r="BX19" s="545">
        <f t="shared" ca="1" si="53"/>
        <v>0</v>
      </c>
      <c r="BY19" s="545">
        <f t="shared" ca="1" si="53"/>
        <v>0</v>
      </c>
      <c r="BZ19" s="545">
        <f t="shared" ca="1" si="53"/>
        <v>0</v>
      </c>
      <c r="CA19" s="545">
        <f t="shared" ca="1" si="53"/>
        <v>0</v>
      </c>
      <c r="CB19" s="545">
        <f t="shared" ca="1" si="53"/>
        <v>0</v>
      </c>
      <c r="CC19" s="545">
        <f t="shared" ca="1" si="53"/>
        <v>0</v>
      </c>
      <c r="CD19" s="545">
        <f t="shared" ca="1" si="53"/>
        <v>0</v>
      </c>
      <c r="CE19" s="545">
        <f t="shared" ca="1" si="53"/>
        <v>0</v>
      </c>
      <c r="CF19" s="545">
        <f t="shared" ca="1" si="53"/>
        <v>0</v>
      </c>
      <c r="CG19" s="545">
        <f t="shared" ca="1" si="53"/>
        <v>0</v>
      </c>
      <c r="CH19" s="545">
        <f t="shared" ca="1" si="53"/>
        <v>0</v>
      </c>
      <c r="CI19" s="545">
        <f t="shared" ca="1" si="53"/>
        <v>0</v>
      </c>
      <c r="CJ19" s="545">
        <f t="shared" ca="1" si="53"/>
        <v>0</v>
      </c>
      <c r="CK19" s="545">
        <f t="shared" ca="1" si="53"/>
        <v>0</v>
      </c>
      <c r="CL19" s="545">
        <f t="shared" ca="1" si="53"/>
        <v>0</v>
      </c>
      <c r="CM19" s="545">
        <f t="shared" ca="1" si="53"/>
        <v>0</v>
      </c>
      <c r="CN19" s="545">
        <f t="shared" ca="1" si="53"/>
        <v>0</v>
      </c>
      <c r="CO19" s="545">
        <f t="shared" ca="1" si="53"/>
        <v>0</v>
      </c>
      <c r="CP19" s="545">
        <f t="shared" ca="1" si="53"/>
        <v>0</v>
      </c>
      <c r="CQ19" s="545">
        <f t="shared" ca="1" si="53"/>
        <v>0</v>
      </c>
      <c r="CR19" s="545">
        <f t="shared" ca="1" si="53"/>
        <v>0</v>
      </c>
      <c r="CS19" s="545">
        <f t="shared" ca="1" si="53"/>
        <v>0</v>
      </c>
      <c r="CT19" s="545">
        <f t="shared" ca="1" si="53"/>
        <v>0</v>
      </c>
      <c r="CU19" s="545">
        <f t="shared" ca="1" si="53"/>
        <v>0</v>
      </c>
      <c r="CW19" s="151">
        <f t="shared" ca="1" si="37"/>
        <v>43.213795506993208</v>
      </c>
    </row>
    <row r="20" spans="1:101" s="84" customFormat="1" ht="15.75" x14ac:dyDescent="0.2">
      <c r="A20" s="18"/>
      <c r="B20" s="89"/>
      <c r="C20" s="85" t="s">
        <v>231</v>
      </c>
      <c r="D20" s="57" t="str">
        <f>INDEX(Workstreams[Workstream], MATCH($C20, Workstreams[Code], 0))</f>
        <v>Industry</v>
      </c>
      <c r="E20" s="53"/>
      <c r="G20" s="300">
        <f ca="1">G19</f>
        <v>0</v>
      </c>
      <c r="H20" s="300">
        <f t="shared" ref="H20:O20" ca="1" si="54">H19</f>
        <v>0</v>
      </c>
      <c r="I20" s="300">
        <f ca="1">I19</f>
        <v>0</v>
      </c>
      <c r="J20" s="300">
        <f t="shared" ca="1" si="54"/>
        <v>105.3161714881026</v>
      </c>
      <c r="K20" s="300">
        <f t="shared" ca="1" si="54"/>
        <v>0</v>
      </c>
      <c r="L20" s="300">
        <f t="shared" ca="1" si="54"/>
        <v>0</v>
      </c>
      <c r="M20" s="300">
        <f t="shared" ca="1" si="54"/>
        <v>0</v>
      </c>
      <c r="N20" s="300">
        <f t="shared" ca="1" si="54"/>
        <v>0</v>
      </c>
      <c r="O20" s="300">
        <f t="shared" ca="1" si="54"/>
        <v>0</v>
      </c>
      <c r="P20" s="300">
        <f t="shared" ca="1" si="1"/>
        <v>105.3161714881026</v>
      </c>
      <c r="R20" s="257">
        <f t="shared" ref="R20:AG20" ca="1" si="55">R19</f>
        <v>-20.431337268691905</v>
      </c>
      <c r="S20" s="257">
        <f t="shared" ca="1" si="55"/>
        <v>0</v>
      </c>
      <c r="T20" s="257">
        <f t="shared" ca="1" si="55"/>
        <v>-2.9488528016668729</v>
      </c>
      <c r="U20" s="257">
        <f t="shared" ca="1" si="55"/>
        <v>-22.537660698453955</v>
      </c>
      <c r="V20" s="257">
        <f t="shared" ca="1" si="55"/>
        <v>-48.761387398991502</v>
      </c>
      <c r="W20" s="257">
        <f ca="1">W19</f>
        <v>-10.636933320298363</v>
      </c>
      <c r="X20" s="257">
        <f t="shared" ca="1" si="55"/>
        <v>0</v>
      </c>
      <c r="Y20" s="257">
        <f t="shared" ca="1" si="55"/>
        <v>0</v>
      </c>
      <c r="Z20" s="257">
        <f t="shared" ca="1" si="55"/>
        <v>0</v>
      </c>
      <c r="AA20" s="257">
        <f t="shared" ca="1" si="55"/>
        <v>0</v>
      </c>
      <c r="AB20" s="257">
        <f t="shared" ca="1" si="55"/>
        <v>0</v>
      </c>
      <c r="AC20" s="257">
        <f t="shared" ca="1" si="55"/>
        <v>0</v>
      </c>
      <c r="AD20" s="257">
        <f t="shared" ca="1" si="55"/>
        <v>0</v>
      </c>
      <c r="AE20" s="257">
        <f t="shared" ca="1" si="55"/>
        <v>0</v>
      </c>
      <c r="AF20" s="257">
        <f t="shared" ca="1" si="55"/>
        <v>0</v>
      </c>
      <c r="AG20" s="257">
        <f t="shared" ca="1" si="55"/>
        <v>0</v>
      </c>
      <c r="AH20" s="257">
        <f t="shared" ca="1" si="5"/>
        <v>-105.31617148810261</v>
      </c>
      <c r="AJ20" s="263">
        <f t="shared" ref="AJ20:AX20" ca="1" si="56">AJ19</f>
        <v>0</v>
      </c>
      <c r="AK20" s="263">
        <f t="shared" ca="1" si="56"/>
        <v>0</v>
      </c>
      <c r="AL20" s="263">
        <f t="shared" ca="1" si="56"/>
        <v>0</v>
      </c>
      <c r="AM20" s="263">
        <f t="shared" ca="1" si="56"/>
        <v>0</v>
      </c>
      <c r="AN20" s="263">
        <f t="shared" ca="1" si="56"/>
        <v>0</v>
      </c>
      <c r="AO20" s="263">
        <f t="shared" ca="1" si="56"/>
        <v>0</v>
      </c>
      <c r="AP20" s="263">
        <f t="shared" ca="1" si="56"/>
        <v>0</v>
      </c>
      <c r="AQ20" s="263">
        <f t="shared" ca="1" si="56"/>
        <v>0</v>
      </c>
      <c r="AR20" s="263">
        <f t="shared" ca="1" si="56"/>
        <v>0</v>
      </c>
      <c r="AS20" s="263">
        <f t="shared" ca="1" si="56"/>
        <v>0</v>
      </c>
      <c r="AT20" s="263">
        <f t="shared" ca="1" si="56"/>
        <v>0</v>
      </c>
      <c r="AU20" s="263">
        <f t="shared" ca="1" si="56"/>
        <v>0</v>
      </c>
      <c r="AV20" s="263">
        <f t="shared" ca="1" si="56"/>
        <v>0</v>
      </c>
      <c r="AW20" s="263">
        <f t="shared" ca="1" si="56"/>
        <v>0</v>
      </c>
      <c r="AX20" s="263">
        <f t="shared" ca="1" si="56"/>
        <v>0</v>
      </c>
      <c r="AY20" s="263">
        <f t="shared" ca="1" si="8"/>
        <v>0</v>
      </c>
      <c r="BA20" s="277">
        <f ca="1">BA19</f>
        <v>0</v>
      </c>
      <c r="BB20" s="277">
        <f ca="1">BB19</f>
        <v>0</v>
      </c>
      <c r="BC20" s="277">
        <f t="shared" ca="1" si="10"/>
        <v>0</v>
      </c>
      <c r="BE20" s="55">
        <f t="shared" ca="1" si="11"/>
        <v>-1.4210854715202004E-14</v>
      </c>
      <c r="BF20" s="55"/>
      <c r="BG20" s="1428"/>
      <c r="BH20" s="542">
        <f t="shared" ref="BH20:CU20" ca="1" si="57">BH19</f>
        <v>15.51475711894132</v>
      </c>
      <c r="BI20" s="542">
        <f t="shared" ca="1" si="57"/>
        <v>2.7667361891376988E-2</v>
      </c>
      <c r="BJ20" s="542">
        <f t="shared" ca="1" si="57"/>
        <v>0.12876352576808422</v>
      </c>
      <c r="BK20" s="542">
        <f t="shared" ca="1" si="57"/>
        <v>0</v>
      </c>
      <c r="BL20" s="542">
        <f t="shared" ca="1" si="57"/>
        <v>0</v>
      </c>
      <c r="BM20" s="542">
        <f t="shared" ca="1" si="57"/>
        <v>0</v>
      </c>
      <c r="BN20" s="542">
        <f t="shared" ca="1" si="57"/>
        <v>0</v>
      </c>
      <c r="BO20" s="542">
        <f t="shared" ca="1" si="57"/>
        <v>0</v>
      </c>
      <c r="BP20" s="542">
        <f t="shared" ca="1" si="57"/>
        <v>14.773066146298628</v>
      </c>
      <c r="BQ20" s="542">
        <f t="shared" ca="1" si="57"/>
        <v>0.13108279035873913</v>
      </c>
      <c r="BR20" s="542">
        <f t="shared" ca="1" si="57"/>
        <v>3.4000294759352552</v>
      </c>
      <c r="BS20" s="542">
        <f t="shared" ca="1" si="57"/>
        <v>9.2384290877998048</v>
      </c>
      <c r="BT20" s="542">
        <f t="shared" ca="1" si="57"/>
        <v>0</v>
      </c>
      <c r="BU20" s="542">
        <f t="shared" ca="1" si="57"/>
        <v>0</v>
      </c>
      <c r="BV20" s="542">
        <f t="shared" ca="1" si="57"/>
        <v>0</v>
      </c>
      <c r="BW20" s="542">
        <f t="shared" ca="1" si="57"/>
        <v>0</v>
      </c>
      <c r="BX20" s="542">
        <f t="shared" ca="1" si="57"/>
        <v>0</v>
      </c>
      <c r="BY20" s="542">
        <f t="shared" ca="1" si="57"/>
        <v>0</v>
      </c>
      <c r="BZ20" s="542">
        <f t="shared" ca="1" si="57"/>
        <v>0</v>
      </c>
      <c r="CA20" s="542">
        <f t="shared" ca="1" si="57"/>
        <v>0</v>
      </c>
      <c r="CB20" s="542">
        <f t="shared" ca="1" si="57"/>
        <v>0</v>
      </c>
      <c r="CC20" s="542">
        <f t="shared" ca="1" si="57"/>
        <v>0</v>
      </c>
      <c r="CD20" s="542">
        <f t="shared" ca="1" si="57"/>
        <v>0</v>
      </c>
      <c r="CE20" s="542">
        <f t="shared" ca="1" si="57"/>
        <v>0</v>
      </c>
      <c r="CF20" s="542">
        <f t="shared" ca="1" si="57"/>
        <v>0</v>
      </c>
      <c r="CG20" s="542">
        <f t="shared" ca="1" si="57"/>
        <v>0</v>
      </c>
      <c r="CH20" s="542">
        <f t="shared" ca="1" si="57"/>
        <v>0</v>
      </c>
      <c r="CI20" s="542">
        <f t="shared" ca="1" si="57"/>
        <v>0</v>
      </c>
      <c r="CJ20" s="542">
        <f t="shared" ca="1" si="57"/>
        <v>0</v>
      </c>
      <c r="CK20" s="542">
        <f t="shared" ca="1" si="57"/>
        <v>0</v>
      </c>
      <c r="CL20" s="542">
        <f t="shared" ca="1" si="57"/>
        <v>0</v>
      </c>
      <c r="CM20" s="542">
        <f t="shared" ca="1" si="57"/>
        <v>0</v>
      </c>
      <c r="CN20" s="542">
        <f t="shared" ca="1" si="57"/>
        <v>0</v>
      </c>
      <c r="CO20" s="542">
        <f t="shared" ca="1" si="57"/>
        <v>0</v>
      </c>
      <c r="CP20" s="542">
        <f t="shared" ca="1" si="57"/>
        <v>0</v>
      </c>
      <c r="CQ20" s="542">
        <f t="shared" ca="1" si="57"/>
        <v>0</v>
      </c>
      <c r="CR20" s="542">
        <f t="shared" ca="1" si="57"/>
        <v>0</v>
      </c>
      <c r="CS20" s="542">
        <f t="shared" ca="1" si="57"/>
        <v>0</v>
      </c>
      <c r="CT20" s="542">
        <f t="shared" ca="1" si="57"/>
        <v>0</v>
      </c>
      <c r="CU20" s="542">
        <f t="shared" ca="1" si="57"/>
        <v>0</v>
      </c>
      <c r="CW20" s="151">
        <f t="shared" ca="1" si="37"/>
        <v>43.213795506993208</v>
      </c>
    </row>
    <row r="21" spans="1:101" s="84" customFormat="1" ht="12.75" customHeight="1" outlineLevel="1" x14ac:dyDescent="0.2">
      <c r="A21" s="18"/>
      <c r="B21" s="18"/>
      <c r="C21" s="87"/>
      <c r="D21" s="53"/>
      <c r="E21" s="53"/>
      <c r="G21" s="300"/>
      <c r="H21" s="300"/>
      <c r="I21" s="300"/>
      <c r="J21" s="300"/>
      <c r="K21" s="300"/>
      <c r="L21" s="300"/>
      <c r="M21" s="300"/>
      <c r="N21" s="300"/>
      <c r="O21" s="300"/>
      <c r="P21" s="300">
        <f t="shared" si="1"/>
        <v>0</v>
      </c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>
        <f t="shared" si="5"/>
        <v>0</v>
      </c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>
        <f t="shared" si="8"/>
        <v>0</v>
      </c>
      <c r="BA21" s="277"/>
      <c r="BB21" s="277"/>
      <c r="BC21" s="277">
        <f t="shared" si="10"/>
        <v>0</v>
      </c>
      <c r="BE21" s="55">
        <f t="shared" si="11"/>
        <v>0</v>
      </c>
      <c r="BF21" s="55"/>
      <c r="BG21" s="18"/>
      <c r="BH21" s="542"/>
      <c r="BI21" s="542"/>
      <c r="BJ21" s="542"/>
      <c r="BK21" s="542"/>
      <c r="BL21" s="542"/>
      <c r="BM21" s="542"/>
      <c r="BN21" s="542"/>
      <c r="BO21" s="542"/>
      <c r="BP21" s="542"/>
      <c r="BQ21" s="542"/>
      <c r="BR21" s="542"/>
      <c r="BS21" s="542"/>
      <c r="BT21" s="542"/>
      <c r="BU21" s="542"/>
      <c r="BV21" s="542"/>
      <c r="BW21" s="542"/>
      <c r="BX21" s="542"/>
      <c r="BY21" s="542"/>
      <c r="BZ21" s="542"/>
      <c r="CA21" s="542"/>
      <c r="CB21" s="542"/>
      <c r="CC21" s="542"/>
      <c r="CD21" s="542"/>
      <c r="CE21" s="542"/>
      <c r="CF21" s="542"/>
      <c r="CG21" s="542"/>
      <c r="CH21" s="542"/>
      <c r="CI21" s="542"/>
      <c r="CJ21" s="542"/>
      <c r="CK21" s="542"/>
      <c r="CL21" s="542"/>
      <c r="CM21" s="542"/>
      <c r="CN21" s="542"/>
      <c r="CO21" s="542"/>
      <c r="CP21" s="542"/>
      <c r="CQ21" s="542"/>
      <c r="CR21" s="542"/>
      <c r="CS21" s="542"/>
      <c r="CT21" s="542"/>
      <c r="CU21" s="542"/>
      <c r="CW21" s="151">
        <f t="shared" si="37"/>
        <v>0</v>
      </c>
    </row>
    <row r="22" spans="1:101" s="84" customFormat="1" ht="12.75" customHeight="1" outlineLevel="1" x14ac:dyDescent="0.2">
      <c r="A22" s="543"/>
      <c r="B22" s="543"/>
      <c r="C22" s="86" t="s">
        <v>362</v>
      </c>
      <c r="D22" s="63" t="str">
        <f>INDEX(Modules[Module], MATCH($C22, Modules[Code], 0))</f>
        <v>Domestic passenger transport</v>
      </c>
      <c r="E22" s="291"/>
      <c r="G22" s="297">
        <f t="shared" ref="G22:O23" ca="1" si="58">IFERROR(INDEX(INDIRECT($C22&amp;".Outputs["&amp;this.Year&amp;"]"), MATCH(G$5, INDIRECT($C22&amp;".Outputs[Vector]"), 0)), 0)</f>
        <v>0</v>
      </c>
      <c r="H22" s="297">
        <f t="shared" ca="1" si="58"/>
        <v>0</v>
      </c>
      <c r="I22" s="297">
        <f t="shared" ca="1" si="58"/>
        <v>0</v>
      </c>
      <c r="J22" s="297">
        <f t="shared" ca="1" si="58"/>
        <v>0</v>
      </c>
      <c r="K22" s="297">
        <f t="shared" ca="1" si="58"/>
        <v>74.805234399915406</v>
      </c>
      <c r="L22" s="297">
        <f t="shared" ca="1" si="58"/>
        <v>52.438816202867393</v>
      </c>
      <c r="M22" s="297">
        <f t="shared" ca="1" si="58"/>
        <v>0</v>
      </c>
      <c r="N22" s="297">
        <f t="shared" ca="1" si="58"/>
        <v>0</v>
      </c>
      <c r="O22" s="297">
        <f t="shared" ca="1" si="58"/>
        <v>0</v>
      </c>
      <c r="P22" s="297">
        <f t="shared" ca="1" si="1"/>
        <v>127.24405060278281</v>
      </c>
      <c r="R22" s="304">
        <f t="shared" ref="R22:AX23" ca="1" si="59">IFERROR(INDEX(INDIRECT($C22&amp;".Outputs["&amp;this.Year&amp;"]"), MATCH(R$5, INDIRECT($C22&amp;".Outputs[Vector]"), 0)), 0)</f>
        <v>-9.93908149700321</v>
      </c>
      <c r="S22" s="304">
        <f t="shared" ca="1" si="59"/>
        <v>0</v>
      </c>
      <c r="T22" s="304">
        <f t="shared" ca="1" si="59"/>
        <v>0</v>
      </c>
      <c r="U22" s="304">
        <f t="shared" ca="1" si="59"/>
        <v>-110.12172909407397</v>
      </c>
      <c r="V22" s="304">
        <f t="shared" ca="1" si="59"/>
        <v>-7.1832400117056174</v>
      </c>
      <c r="W22" s="304">
        <f t="shared" ca="1" si="59"/>
        <v>0</v>
      </c>
      <c r="X22" s="304">
        <f t="shared" ref="X22:Z23" ca="1" si="60">IFERROR(INDEX(INDIRECT($C22&amp;".Outputs["&amp;this.Year&amp;"]"), MATCH(X$5, INDIRECT($C22&amp;".Outputs[Vector]"), 0)), 0)</f>
        <v>0</v>
      </c>
      <c r="Y22" s="304">
        <f t="shared" ca="1" si="60"/>
        <v>0</v>
      </c>
      <c r="Z22" s="304">
        <f t="shared" ca="1" si="60"/>
        <v>0</v>
      </c>
      <c r="AA22" s="304">
        <f t="shared" ca="1" si="59"/>
        <v>0</v>
      </c>
      <c r="AB22" s="304">
        <f t="shared" ca="1" si="59"/>
        <v>0</v>
      </c>
      <c r="AC22" s="304">
        <f t="shared" ca="1" si="59"/>
        <v>0</v>
      </c>
      <c r="AD22" s="304">
        <f t="shared" ca="1" si="59"/>
        <v>0</v>
      </c>
      <c r="AE22" s="304">
        <f t="shared" ca="1" si="59"/>
        <v>0</v>
      </c>
      <c r="AF22" s="304">
        <f t="shared" ca="1" si="59"/>
        <v>0</v>
      </c>
      <c r="AG22" s="304">
        <f t="shared" ca="1" si="59"/>
        <v>0</v>
      </c>
      <c r="AH22" s="305">
        <f t="shared" ca="1" si="5"/>
        <v>-127.24405060278281</v>
      </c>
      <c r="AJ22" s="312">
        <f t="shared" ref="AJ22:AR23" ca="1" si="61">IFERROR(INDEX(INDIRECT($C22&amp;".Outputs["&amp;this.Year&amp;"]"), MATCH(AJ$5, INDIRECT($C22&amp;".Outputs[Vector]"), 0)), 0)</f>
        <v>0</v>
      </c>
      <c r="AK22" s="312">
        <f t="shared" ca="1" si="61"/>
        <v>0</v>
      </c>
      <c r="AL22" s="312">
        <f t="shared" ca="1" si="61"/>
        <v>0</v>
      </c>
      <c r="AM22" s="312">
        <f t="shared" ca="1" si="61"/>
        <v>0</v>
      </c>
      <c r="AN22" s="312">
        <f t="shared" ca="1" si="61"/>
        <v>0</v>
      </c>
      <c r="AO22" s="312">
        <f t="shared" ca="1" si="61"/>
        <v>0</v>
      </c>
      <c r="AP22" s="312">
        <f t="shared" ca="1" si="61"/>
        <v>0</v>
      </c>
      <c r="AQ22" s="312">
        <f t="shared" ca="1" si="61"/>
        <v>0</v>
      </c>
      <c r="AR22" s="312">
        <f t="shared" ca="1" si="61"/>
        <v>0</v>
      </c>
      <c r="AS22" s="312">
        <f t="shared" ca="1" si="59"/>
        <v>0</v>
      </c>
      <c r="AT22" s="312">
        <f t="shared" ca="1" si="59"/>
        <v>0</v>
      </c>
      <c r="AU22" s="312">
        <f t="shared" ca="1" si="59"/>
        <v>0</v>
      </c>
      <c r="AV22" s="312">
        <f t="shared" ca="1" si="59"/>
        <v>0</v>
      </c>
      <c r="AW22" s="312">
        <f t="shared" ca="1" si="59"/>
        <v>0</v>
      </c>
      <c r="AX22" s="312">
        <f t="shared" ca="1" si="59"/>
        <v>0</v>
      </c>
      <c r="AY22" s="266">
        <f t="shared" ca="1" si="8"/>
        <v>0</v>
      </c>
      <c r="BA22" s="308">
        <f t="shared" ref="BA22:BB23" ca="1" si="62">IFERROR(INDEX(INDIRECT($C22&amp;".Outputs["&amp;this.Year&amp;"]"), MATCH(BA$5, INDIRECT($C22&amp;".Outputs[Vector]"), 0)), 0)</f>
        <v>0</v>
      </c>
      <c r="BB22" s="308">
        <f t="shared" ca="1" si="62"/>
        <v>0</v>
      </c>
      <c r="BC22" s="309">
        <f t="shared" ca="1" si="10"/>
        <v>0</v>
      </c>
      <c r="BE22" s="135">
        <f t="shared" ca="1" si="11"/>
        <v>0</v>
      </c>
      <c r="BF22" s="135"/>
      <c r="BG22" s="1428"/>
      <c r="BH22" s="541">
        <f t="shared" ref="BH22:BQ23" ca="1" si="63">IFERROR(SUMIFS(INDIRECT($C22&amp;".Emissions["&amp;this.Year&amp;"]"), INDIRECT($C22&amp;".Emissions[GHG]"), BH$6, INDIRECT($C22&amp;".Emissions[IPCC Sector]"), BH$5),0)</f>
        <v>27.530432273518493</v>
      </c>
      <c r="BI22" s="542">
        <f t="shared" ca="1" si="63"/>
        <v>3.4275279497234391E-2</v>
      </c>
      <c r="BJ22" s="542">
        <f t="shared" ca="1" si="63"/>
        <v>0.49532888895146582</v>
      </c>
      <c r="BK22" s="542">
        <f t="shared" ca="1" si="63"/>
        <v>0</v>
      </c>
      <c r="BL22" s="542">
        <f t="shared" ca="1" si="63"/>
        <v>0</v>
      </c>
      <c r="BM22" s="542">
        <f t="shared" ca="1" si="63"/>
        <v>0</v>
      </c>
      <c r="BN22" s="542">
        <f t="shared" ca="1" si="63"/>
        <v>0</v>
      </c>
      <c r="BO22" s="542">
        <f t="shared" ca="1" si="63"/>
        <v>0</v>
      </c>
      <c r="BP22" s="542">
        <f t="shared" ca="1" si="63"/>
        <v>0</v>
      </c>
      <c r="BQ22" s="542">
        <f t="shared" ca="1" si="63"/>
        <v>0</v>
      </c>
      <c r="BR22" s="542">
        <f t="shared" ref="BR22:CA23" ca="1" si="64">IFERROR(SUMIFS(INDIRECT($C22&amp;".Emissions["&amp;this.Year&amp;"]"), INDIRECT($C22&amp;".Emissions[GHG]"), BR$6, INDIRECT($C22&amp;".Emissions[IPCC Sector]"), BR$5),0)</f>
        <v>0</v>
      </c>
      <c r="BS22" s="542">
        <f t="shared" ca="1" si="64"/>
        <v>0</v>
      </c>
      <c r="BT22" s="542">
        <f t="shared" ca="1" si="64"/>
        <v>0</v>
      </c>
      <c r="BU22" s="542">
        <f t="shared" ca="1" si="64"/>
        <v>0</v>
      </c>
      <c r="BV22" s="542">
        <f t="shared" ca="1" si="64"/>
        <v>0</v>
      </c>
      <c r="BW22" s="542">
        <f t="shared" ca="1" si="64"/>
        <v>0</v>
      </c>
      <c r="BX22" s="542">
        <f t="shared" ca="1" si="64"/>
        <v>0</v>
      </c>
      <c r="BY22" s="542">
        <f t="shared" ca="1" si="64"/>
        <v>0</v>
      </c>
      <c r="BZ22" s="542">
        <f t="shared" ca="1" si="64"/>
        <v>0</v>
      </c>
      <c r="CA22" s="542">
        <f t="shared" ca="1" si="64"/>
        <v>0</v>
      </c>
      <c r="CB22" s="542">
        <f t="shared" ref="CB22:CK23" ca="1" si="65">IFERROR(SUMIFS(INDIRECT($C22&amp;".Emissions["&amp;this.Year&amp;"]"), INDIRECT($C22&amp;".Emissions[GHG]"), CB$6, INDIRECT($C22&amp;".Emissions[IPCC Sector]"), CB$5),0)</f>
        <v>0</v>
      </c>
      <c r="CC22" s="542">
        <f t="shared" ca="1" si="65"/>
        <v>0</v>
      </c>
      <c r="CD22" s="542">
        <f t="shared" ca="1" si="65"/>
        <v>0</v>
      </c>
      <c r="CE22" s="542">
        <f t="shared" ca="1" si="65"/>
        <v>0</v>
      </c>
      <c r="CF22" s="542">
        <f t="shared" ca="1" si="65"/>
        <v>0</v>
      </c>
      <c r="CG22" s="542">
        <f t="shared" ca="1" si="65"/>
        <v>0</v>
      </c>
      <c r="CH22" s="542">
        <f t="shared" ca="1" si="65"/>
        <v>0</v>
      </c>
      <c r="CI22" s="542">
        <f t="shared" ca="1" si="65"/>
        <v>0</v>
      </c>
      <c r="CJ22" s="542">
        <f t="shared" ca="1" si="65"/>
        <v>0</v>
      </c>
      <c r="CK22" s="542">
        <f t="shared" ca="1" si="65"/>
        <v>0</v>
      </c>
      <c r="CL22" s="542">
        <f t="shared" ref="CL22:CU23" ca="1" si="66">IFERROR(SUMIFS(INDIRECT($C22&amp;".Emissions["&amp;this.Year&amp;"]"), INDIRECT($C22&amp;".Emissions[GHG]"), CL$6, INDIRECT($C22&amp;".Emissions[IPCC Sector]"), CL$5),0)</f>
        <v>0</v>
      </c>
      <c r="CM22" s="542">
        <f t="shared" ca="1" si="66"/>
        <v>0</v>
      </c>
      <c r="CN22" s="542">
        <f t="shared" ca="1" si="66"/>
        <v>0</v>
      </c>
      <c r="CO22" s="542">
        <f t="shared" ca="1" si="66"/>
        <v>0</v>
      </c>
      <c r="CP22" s="542">
        <f t="shared" ca="1" si="66"/>
        <v>0</v>
      </c>
      <c r="CQ22" s="542">
        <f t="shared" ca="1" si="66"/>
        <v>0</v>
      </c>
      <c r="CR22" s="542">
        <f t="shared" ca="1" si="66"/>
        <v>0</v>
      </c>
      <c r="CS22" s="542">
        <f t="shared" ca="1" si="66"/>
        <v>0</v>
      </c>
      <c r="CT22" s="542">
        <f t="shared" ca="1" si="66"/>
        <v>0</v>
      </c>
      <c r="CU22" s="542">
        <f t="shared" ca="1" si="66"/>
        <v>0</v>
      </c>
      <c r="CW22" s="151">
        <f t="shared" ca="1" si="37"/>
        <v>28.060036441967192</v>
      </c>
    </row>
    <row r="23" spans="1:101" s="84" customFormat="1" ht="12.75" customHeight="1" outlineLevel="1" x14ac:dyDescent="0.2">
      <c r="A23" s="543"/>
      <c r="B23" s="543"/>
      <c r="C23" s="86" t="s">
        <v>375</v>
      </c>
      <c r="D23" s="63" t="str">
        <f>INDEX(Modules[Module], MATCH($C23, Modules[Code], 0))</f>
        <v>Domestic freight</v>
      </c>
      <c r="E23" s="291"/>
      <c r="G23" s="297">
        <f t="shared" ca="1" si="58"/>
        <v>0</v>
      </c>
      <c r="H23" s="297">
        <f t="shared" ca="1" si="58"/>
        <v>0</v>
      </c>
      <c r="I23" s="297">
        <f t="shared" ca="1" si="58"/>
        <v>0</v>
      </c>
      <c r="J23" s="297">
        <f t="shared" ca="1" si="58"/>
        <v>0</v>
      </c>
      <c r="K23" s="297">
        <f t="shared" ca="1" si="58"/>
        <v>12.897635815353482</v>
      </c>
      <c r="L23" s="297">
        <f t="shared" ca="1" si="58"/>
        <v>6.8152970105376056</v>
      </c>
      <c r="M23" s="297">
        <f t="shared" ca="1" si="58"/>
        <v>0</v>
      </c>
      <c r="N23" s="297">
        <f t="shared" ca="1" si="58"/>
        <v>4.8236579205112732E-13</v>
      </c>
      <c r="O23" s="297">
        <f t="shared" ca="1" si="58"/>
        <v>5.747145860565908</v>
      </c>
      <c r="P23" s="297">
        <f t="shared" ca="1" si="1"/>
        <v>25.460078686457479</v>
      </c>
      <c r="R23" s="304">
        <f t="shared" ca="1" si="59"/>
        <v>-9.7083626675210226</v>
      </c>
      <c r="S23" s="304">
        <f t="shared" ca="1" si="59"/>
        <v>0</v>
      </c>
      <c r="T23" s="304">
        <f t="shared" ca="1" si="59"/>
        <v>0</v>
      </c>
      <c r="U23" s="304">
        <f t="shared" ca="1" si="59"/>
        <v>-14.746305939006007</v>
      </c>
      <c r="V23" s="304">
        <f t="shared" ca="1" si="59"/>
        <v>-1.0054100799304468</v>
      </c>
      <c r="W23" s="304">
        <f t="shared" ca="1" si="59"/>
        <v>0</v>
      </c>
      <c r="X23" s="304">
        <f t="shared" ca="1" si="60"/>
        <v>0</v>
      </c>
      <c r="Y23" s="304">
        <f t="shared" ca="1" si="60"/>
        <v>0</v>
      </c>
      <c r="Z23" s="304">
        <f t="shared" ca="1" si="60"/>
        <v>0</v>
      </c>
      <c r="AA23" s="304">
        <f t="shared" ca="1" si="59"/>
        <v>0</v>
      </c>
      <c r="AB23" s="304">
        <f t="shared" ca="1" si="59"/>
        <v>0</v>
      </c>
      <c r="AC23" s="304">
        <f t="shared" ca="1" si="59"/>
        <v>0</v>
      </c>
      <c r="AD23" s="304">
        <f t="shared" ca="1" si="59"/>
        <v>0</v>
      </c>
      <c r="AE23" s="304">
        <f t="shared" ca="1" si="59"/>
        <v>0</v>
      </c>
      <c r="AF23" s="304">
        <f t="shared" ca="1" si="59"/>
        <v>0</v>
      </c>
      <c r="AG23" s="304">
        <f t="shared" ca="1" si="59"/>
        <v>0</v>
      </c>
      <c r="AH23" s="305">
        <f t="shared" ca="1" si="5"/>
        <v>-25.460078686457475</v>
      </c>
      <c r="AJ23" s="312">
        <f t="shared" ca="1" si="61"/>
        <v>0</v>
      </c>
      <c r="AK23" s="312">
        <f t="shared" ca="1" si="61"/>
        <v>0</v>
      </c>
      <c r="AL23" s="312">
        <f t="shared" ca="1" si="61"/>
        <v>0</v>
      </c>
      <c r="AM23" s="312">
        <f t="shared" ca="1" si="61"/>
        <v>0</v>
      </c>
      <c r="AN23" s="312">
        <f t="shared" ca="1" si="61"/>
        <v>0</v>
      </c>
      <c r="AO23" s="312">
        <f t="shared" ca="1" si="61"/>
        <v>0</v>
      </c>
      <c r="AP23" s="312">
        <f t="shared" ca="1" si="61"/>
        <v>0</v>
      </c>
      <c r="AQ23" s="312">
        <f t="shared" ca="1" si="61"/>
        <v>0</v>
      </c>
      <c r="AR23" s="312">
        <f t="shared" ca="1" si="61"/>
        <v>0</v>
      </c>
      <c r="AS23" s="312">
        <f t="shared" ca="1" si="59"/>
        <v>0</v>
      </c>
      <c r="AT23" s="312">
        <f t="shared" ca="1" si="59"/>
        <v>0</v>
      </c>
      <c r="AU23" s="312">
        <f t="shared" ca="1" si="59"/>
        <v>0</v>
      </c>
      <c r="AV23" s="312">
        <f t="shared" ca="1" si="59"/>
        <v>0</v>
      </c>
      <c r="AW23" s="312">
        <f t="shared" ca="1" si="59"/>
        <v>0</v>
      </c>
      <c r="AX23" s="312">
        <f t="shared" ca="1" si="59"/>
        <v>0</v>
      </c>
      <c r="AY23" s="266">
        <f t="shared" ca="1" si="8"/>
        <v>0</v>
      </c>
      <c r="BA23" s="308">
        <f t="shared" ca="1" si="62"/>
        <v>0</v>
      </c>
      <c r="BB23" s="308">
        <f t="shared" ca="1" si="62"/>
        <v>0</v>
      </c>
      <c r="BC23" s="309">
        <f t="shared" ca="1" si="10"/>
        <v>0</v>
      </c>
      <c r="BE23" s="135">
        <f t="shared" ca="1" si="11"/>
        <v>3.5527136788005009E-15</v>
      </c>
      <c r="BF23" s="135"/>
      <c r="BG23" s="1428"/>
      <c r="BH23" s="541">
        <f t="shared" ca="1" si="63"/>
        <v>3.9379290047341136</v>
      </c>
      <c r="BI23" s="542">
        <f t="shared" ca="1" si="63"/>
        <v>4.9027060649301478E-3</v>
      </c>
      <c r="BJ23" s="542">
        <f t="shared" ca="1" si="63"/>
        <v>7.0851411968600009E-2</v>
      </c>
      <c r="BK23" s="542">
        <f t="shared" ca="1" si="63"/>
        <v>0</v>
      </c>
      <c r="BL23" s="542">
        <f t="shared" ca="1" si="63"/>
        <v>0</v>
      </c>
      <c r="BM23" s="542">
        <f t="shared" ca="1" si="63"/>
        <v>0</v>
      </c>
      <c r="BN23" s="542">
        <f t="shared" ca="1" si="63"/>
        <v>0</v>
      </c>
      <c r="BO23" s="542">
        <f t="shared" ca="1" si="63"/>
        <v>0</v>
      </c>
      <c r="BP23" s="542">
        <f t="shared" ca="1" si="63"/>
        <v>0</v>
      </c>
      <c r="BQ23" s="542">
        <f t="shared" ca="1" si="63"/>
        <v>0</v>
      </c>
      <c r="BR23" s="542">
        <f t="shared" ca="1" si="64"/>
        <v>0</v>
      </c>
      <c r="BS23" s="542">
        <f t="shared" ca="1" si="64"/>
        <v>0</v>
      </c>
      <c r="BT23" s="542">
        <f t="shared" ca="1" si="64"/>
        <v>0</v>
      </c>
      <c r="BU23" s="542">
        <f t="shared" ca="1" si="64"/>
        <v>0</v>
      </c>
      <c r="BV23" s="542">
        <f t="shared" ca="1" si="64"/>
        <v>0</v>
      </c>
      <c r="BW23" s="542">
        <f t="shared" ca="1" si="64"/>
        <v>0</v>
      </c>
      <c r="BX23" s="542">
        <f t="shared" ca="1" si="64"/>
        <v>0</v>
      </c>
      <c r="BY23" s="542">
        <f t="shared" ca="1" si="64"/>
        <v>0</v>
      </c>
      <c r="BZ23" s="542">
        <f t="shared" ca="1" si="64"/>
        <v>0</v>
      </c>
      <c r="CA23" s="542">
        <f t="shared" ca="1" si="64"/>
        <v>0</v>
      </c>
      <c r="CB23" s="542">
        <f t="shared" ca="1" si="65"/>
        <v>0</v>
      </c>
      <c r="CC23" s="542">
        <f t="shared" ca="1" si="65"/>
        <v>0</v>
      </c>
      <c r="CD23" s="542">
        <f t="shared" ca="1" si="65"/>
        <v>0</v>
      </c>
      <c r="CE23" s="542">
        <f t="shared" ca="1" si="65"/>
        <v>0</v>
      </c>
      <c r="CF23" s="542">
        <f t="shared" ca="1" si="65"/>
        <v>0</v>
      </c>
      <c r="CG23" s="542">
        <f t="shared" ca="1" si="65"/>
        <v>0</v>
      </c>
      <c r="CH23" s="542">
        <f t="shared" ca="1" si="65"/>
        <v>0</v>
      </c>
      <c r="CI23" s="542">
        <f t="shared" ca="1" si="65"/>
        <v>0</v>
      </c>
      <c r="CJ23" s="542">
        <f t="shared" ca="1" si="65"/>
        <v>0</v>
      </c>
      <c r="CK23" s="542">
        <f t="shared" ca="1" si="65"/>
        <v>0</v>
      </c>
      <c r="CL23" s="542">
        <f t="shared" ca="1" si="66"/>
        <v>0</v>
      </c>
      <c r="CM23" s="542">
        <f t="shared" ca="1" si="66"/>
        <v>0</v>
      </c>
      <c r="CN23" s="542">
        <f t="shared" ca="1" si="66"/>
        <v>0</v>
      </c>
      <c r="CO23" s="542">
        <f t="shared" ca="1" si="66"/>
        <v>0</v>
      </c>
      <c r="CP23" s="542">
        <f t="shared" ca="1" si="66"/>
        <v>0</v>
      </c>
      <c r="CQ23" s="542">
        <f t="shared" ca="1" si="66"/>
        <v>0</v>
      </c>
      <c r="CR23" s="542">
        <f t="shared" ca="1" si="66"/>
        <v>0</v>
      </c>
      <c r="CS23" s="542">
        <f t="shared" ca="1" si="66"/>
        <v>0</v>
      </c>
      <c r="CT23" s="542">
        <f t="shared" ca="1" si="66"/>
        <v>0</v>
      </c>
      <c r="CU23" s="542">
        <f t="shared" ca="1" si="66"/>
        <v>0</v>
      </c>
      <c r="CW23" s="151">
        <f t="shared" ca="1" si="37"/>
        <v>4.0136831227676435</v>
      </c>
    </row>
    <row r="24" spans="1:101" s="84" customFormat="1" ht="15.75" x14ac:dyDescent="0.2">
      <c r="A24" s="18"/>
      <c r="B24" s="89"/>
      <c r="C24" s="85" t="s">
        <v>232</v>
      </c>
      <c r="D24" s="57" t="str">
        <f>INDEX(Workstreams[Workstream], MATCH($C24, Workstreams[Code], 0))</f>
        <v>Transport</v>
      </c>
      <c r="E24" s="53"/>
      <c r="G24" s="300">
        <f ca="1">G22+G23</f>
        <v>0</v>
      </c>
      <c r="H24" s="300">
        <f t="shared" ref="H24:AG24" ca="1" si="67">H22+H23</f>
        <v>0</v>
      </c>
      <c r="I24" s="300">
        <f t="shared" ca="1" si="67"/>
        <v>0</v>
      </c>
      <c r="J24" s="300">
        <f t="shared" ca="1" si="67"/>
        <v>0</v>
      </c>
      <c r="K24" s="300">
        <f t="shared" ca="1" si="67"/>
        <v>87.702870215268888</v>
      </c>
      <c r="L24" s="300">
        <f t="shared" ca="1" si="67"/>
        <v>59.254113213404999</v>
      </c>
      <c r="M24" s="300">
        <f t="shared" ca="1" si="67"/>
        <v>0</v>
      </c>
      <c r="N24" s="300">
        <f t="shared" ca="1" si="67"/>
        <v>4.8236579205112732E-13</v>
      </c>
      <c r="O24" s="300">
        <f t="shared" ca="1" si="67"/>
        <v>5.747145860565908</v>
      </c>
      <c r="P24" s="300">
        <f t="shared" ca="1" si="67"/>
        <v>152.70412928924029</v>
      </c>
      <c r="Q24" s="300">
        <f t="shared" si="67"/>
        <v>0</v>
      </c>
      <c r="R24" s="300">
        <f t="shared" ca="1" si="67"/>
        <v>-19.647444164524231</v>
      </c>
      <c r="S24" s="300">
        <f t="shared" ca="1" si="67"/>
        <v>0</v>
      </c>
      <c r="T24" s="300">
        <f t="shared" ca="1" si="67"/>
        <v>0</v>
      </c>
      <c r="U24" s="300">
        <f t="shared" ca="1" si="67"/>
        <v>-124.86803503307998</v>
      </c>
      <c r="V24" s="300">
        <f t="shared" ca="1" si="67"/>
        <v>-8.1886500916360649</v>
      </c>
      <c r="W24" s="300">
        <f t="shared" ca="1" si="67"/>
        <v>0</v>
      </c>
      <c r="X24" s="300">
        <f t="shared" ca="1" si="67"/>
        <v>0</v>
      </c>
      <c r="Y24" s="300">
        <f t="shared" ca="1" si="67"/>
        <v>0</v>
      </c>
      <c r="Z24" s="300">
        <f t="shared" ca="1" si="67"/>
        <v>0</v>
      </c>
      <c r="AA24" s="300">
        <f t="shared" ca="1" si="67"/>
        <v>0</v>
      </c>
      <c r="AB24" s="300">
        <f t="shared" ca="1" si="67"/>
        <v>0</v>
      </c>
      <c r="AC24" s="300">
        <f t="shared" ca="1" si="67"/>
        <v>0</v>
      </c>
      <c r="AD24" s="300">
        <f t="shared" ca="1" si="67"/>
        <v>0</v>
      </c>
      <c r="AE24" s="300">
        <f t="shared" ca="1" si="67"/>
        <v>0</v>
      </c>
      <c r="AF24" s="300">
        <f t="shared" ca="1" si="67"/>
        <v>0</v>
      </c>
      <c r="AG24" s="300">
        <f t="shared" ca="1" si="67"/>
        <v>0</v>
      </c>
      <c r="AH24" s="257">
        <f t="shared" ca="1" si="5"/>
        <v>-152.70412928924029</v>
      </c>
      <c r="AJ24" s="263">
        <f ca="1">AJ22+AJ23</f>
        <v>0</v>
      </c>
      <c r="AK24" s="263">
        <f t="shared" ref="AK24:BB24" ca="1" si="68">AK22+AK23</f>
        <v>0</v>
      </c>
      <c r="AL24" s="263">
        <f t="shared" ca="1" si="68"/>
        <v>0</v>
      </c>
      <c r="AM24" s="263">
        <f t="shared" ca="1" si="68"/>
        <v>0</v>
      </c>
      <c r="AN24" s="263">
        <f t="shared" ca="1" si="68"/>
        <v>0</v>
      </c>
      <c r="AO24" s="263">
        <f t="shared" ca="1" si="68"/>
        <v>0</v>
      </c>
      <c r="AP24" s="263">
        <f t="shared" ca="1" si="68"/>
        <v>0</v>
      </c>
      <c r="AQ24" s="263">
        <f t="shared" ca="1" si="68"/>
        <v>0</v>
      </c>
      <c r="AR24" s="263">
        <f t="shared" ca="1" si="68"/>
        <v>0</v>
      </c>
      <c r="AS24" s="263">
        <f t="shared" ca="1" si="68"/>
        <v>0</v>
      </c>
      <c r="AT24" s="263">
        <f t="shared" ca="1" si="68"/>
        <v>0</v>
      </c>
      <c r="AU24" s="263">
        <f t="shared" ca="1" si="68"/>
        <v>0</v>
      </c>
      <c r="AV24" s="263">
        <f t="shared" ca="1" si="68"/>
        <v>0</v>
      </c>
      <c r="AW24" s="263">
        <f t="shared" ca="1" si="68"/>
        <v>0</v>
      </c>
      <c r="AX24" s="263">
        <f t="shared" ca="1" si="68"/>
        <v>0</v>
      </c>
      <c r="AY24" s="263">
        <f t="shared" ca="1" si="68"/>
        <v>0</v>
      </c>
      <c r="AZ24" s="263">
        <f t="shared" si="68"/>
        <v>0</v>
      </c>
      <c r="BA24" s="263">
        <f t="shared" ca="1" si="68"/>
        <v>0</v>
      </c>
      <c r="BB24" s="263">
        <f t="shared" ca="1" si="68"/>
        <v>0</v>
      </c>
      <c r="BC24" s="277">
        <f t="shared" ca="1" si="10"/>
        <v>0</v>
      </c>
      <c r="BE24" s="55">
        <f t="shared" ca="1" si="11"/>
        <v>0</v>
      </c>
      <c r="BF24" s="55"/>
      <c r="BG24" s="1428"/>
      <c r="BH24" s="542">
        <f ca="1">BH22+BH23</f>
        <v>31.468361278252605</v>
      </c>
      <c r="BI24" s="542">
        <f t="shared" ref="BI24:CV24" ca="1" si="69">BI22+BI23</f>
        <v>3.9177985562164536E-2</v>
      </c>
      <c r="BJ24" s="542">
        <f t="shared" ca="1" si="69"/>
        <v>0.56618030092006588</v>
      </c>
      <c r="BK24" s="542">
        <f t="shared" ca="1" si="69"/>
        <v>0</v>
      </c>
      <c r="BL24" s="542">
        <f t="shared" ca="1" si="69"/>
        <v>0</v>
      </c>
      <c r="BM24" s="542">
        <f t="shared" ca="1" si="69"/>
        <v>0</v>
      </c>
      <c r="BN24" s="542">
        <f t="shared" ca="1" si="69"/>
        <v>0</v>
      </c>
      <c r="BO24" s="542">
        <f t="shared" ca="1" si="69"/>
        <v>0</v>
      </c>
      <c r="BP24" s="542">
        <f t="shared" ca="1" si="69"/>
        <v>0</v>
      </c>
      <c r="BQ24" s="542">
        <f t="shared" ca="1" si="69"/>
        <v>0</v>
      </c>
      <c r="BR24" s="542">
        <f t="shared" ca="1" si="69"/>
        <v>0</v>
      </c>
      <c r="BS24" s="542">
        <f t="shared" ca="1" si="69"/>
        <v>0</v>
      </c>
      <c r="BT24" s="542">
        <f t="shared" ca="1" si="69"/>
        <v>0</v>
      </c>
      <c r="BU24" s="542">
        <f t="shared" ca="1" si="69"/>
        <v>0</v>
      </c>
      <c r="BV24" s="542">
        <f t="shared" ca="1" si="69"/>
        <v>0</v>
      </c>
      <c r="BW24" s="542">
        <f t="shared" ca="1" si="69"/>
        <v>0</v>
      </c>
      <c r="BX24" s="542">
        <f t="shared" ca="1" si="69"/>
        <v>0</v>
      </c>
      <c r="BY24" s="542">
        <f t="shared" ca="1" si="69"/>
        <v>0</v>
      </c>
      <c r="BZ24" s="542">
        <f t="shared" ca="1" si="69"/>
        <v>0</v>
      </c>
      <c r="CA24" s="542">
        <f t="shared" ca="1" si="69"/>
        <v>0</v>
      </c>
      <c r="CB24" s="542">
        <f t="shared" ca="1" si="69"/>
        <v>0</v>
      </c>
      <c r="CC24" s="542">
        <f t="shared" ca="1" si="69"/>
        <v>0</v>
      </c>
      <c r="CD24" s="542">
        <f t="shared" ca="1" si="69"/>
        <v>0</v>
      </c>
      <c r="CE24" s="542">
        <f t="shared" ca="1" si="69"/>
        <v>0</v>
      </c>
      <c r="CF24" s="542">
        <f t="shared" ca="1" si="69"/>
        <v>0</v>
      </c>
      <c r="CG24" s="542">
        <f t="shared" ca="1" si="69"/>
        <v>0</v>
      </c>
      <c r="CH24" s="542">
        <f t="shared" ca="1" si="69"/>
        <v>0</v>
      </c>
      <c r="CI24" s="542">
        <f t="shared" ca="1" si="69"/>
        <v>0</v>
      </c>
      <c r="CJ24" s="542">
        <f t="shared" ca="1" si="69"/>
        <v>0</v>
      </c>
      <c r="CK24" s="542">
        <f t="shared" ca="1" si="69"/>
        <v>0</v>
      </c>
      <c r="CL24" s="542">
        <f t="shared" ca="1" si="69"/>
        <v>0</v>
      </c>
      <c r="CM24" s="542">
        <f t="shared" ca="1" si="69"/>
        <v>0</v>
      </c>
      <c r="CN24" s="542">
        <f t="shared" ca="1" si="69"/>
        <v>0</v>
      </c>
      <c r="CO24" s="542">
        <f t="shared" ca="1" si="69"/>
        <v>0</v>
      </c>
      <c r="CP24" s="542">
        <f t="shared" ca="1" si="69"/>
        <v>0</v>
      </c>
      <c r="CQ24" s="542">
        <f t="shared" ca="1" si="69"/>
        <v>0</v>
      </c>
      <c r="CR24" s="542">
        <f t="shared" ca="1" si="69"/>
        <v>0</v>
      </c>
      <c r="CS24" s="542">
        <f t="shared" ca="1" si="69"/>
        <v>0</v>
      </c>
      <c r="CT24" s="542">
        <f t="shared" ca="1" si="69"/>
        <v>0</v>
      </c>
      <c r="CU24" s="542">
        <f t="shared" ca="1" si="69"/>
        <v>0</v>
      </c>
      <c r="CV24" s="542">
        <f t="shared" si="69"/>
        <v>0</v>
      </c>
      <c r="CW24" s="151">
        <f t="shared" ca="1" si="37"/>
        <v>32.073719564734837</v>
      </c>
    </row>
    <row r="25" spans="1:101" s="84" customFormat="1" ht="12.75" customHeight="1" outlineLevel="1" x14ac:dyDescent="0.2">
      <c r="A25" s="18"/>
      <c r="B25" s="18"/>
      <c r="C25" s="87"/>
      <c r="D25" s="53"/>
      <c r="E25" s="53"/>
      <c r="G25" s="300"/>
      <c r="H25" s="300"/>
      <c r="I25" s="300"/>
      <c r="J25" s="300"/>
      <c r="K25" s="300"/>
      <c r="L25" s="300"/>
      <c r="M25" s="300"/>
      <c r="N25" s="300"/>
      <c r="O25" s="300"/>
      <c r="P25" s="300">
        <f t="shared" ref="P25:P56" si="70">SUM(G25:O25)</f>
        <v>0</v>
      </c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>
        <f t="shared" si="5"/>
        <v>0</v>
      </c>
      <c r="AJ25" s="263"/>
      <c r="AK25" s="263"/>
      <c r="AL25" s="263"/>
      <c r="AM25" s="263"/>
      <c r="AN25" s="263"/>
      <c r="AO25" s="263"/>
      <c r="AP25" s="263"/>
      <c r="AQ25" s="263"/>
      <c r="AR25" s="263"/>
      <c r="AS25" s="263"/>
      <c r="AT25" s="263"/>
      <c r="AU25" s="263"/>
      <c r="AV25" s="263"/>
      <c r="AW25" s="263"/>
      <c r="AX25" s="263"/>
      <c r="AY25" s="263">
        <f>SUM(AJ25:AX25)</f>
        <v>0</v>
      </c>
      <c r="BA25" s="277"/>
      <c r="BB25" s="277"/>
      <c r="BC25" s="277">
        <f t="shared" si="10"/>
        <v>0</v>
      </c>
      <c r="BE25" s="55">
        <f t="shared" si="11"/>
        <v>0</v>
      </c>
      <c r="BF25" s="55"/>
      <c r="BG25" s="18"/>
      <c r="BH25" s="542"/>
      <c r="BI25" s="542"/>
      <c r="BJ25" s="542"/>
      <c r="BK25" s="542"/>
      <c r="BL25" s="542"/>
      <c r="BM25" s="542"/>
      <c r="BN25" s="542"/>
      <c r="BO25" s="542"/>
      <c r="BP25" s="542"/>
      <c r="BQ25" s="542"/>
      <c r="BR25" s="542"/>
      <c r="BS25" s="542"/>
      <c r="BT25" s="542"/>
      <c r="BU25" s="542"/>
      <c r="BV25" s="542"/>
      <c r="BW25" s="542"/>
      <c r="BX25" s="542"/>
      <c r="BY25" s="542"/>
      <c r="BZ25" s="542"/>
      <c r="CA25" s="542"/>
      <c r="CB25" s="542"/>
      <c r="CC25" s="542"/>
      <c r="CD25" s="542"/>
      <c r="CE25" s="542"/>
      <c r="CF25" s="542"/>
      <c r="CG25" s="542"/>
      <c r="CH25" s="542"/>
      <c r="CI25" s="542"/>
      <c r="CJ25" s="542"/>
      <c r="CK25" s="542"/>
      <c r="CL25" s="542"/>
      <c r="CM25" s="542"/>
      <c r="CN25" s="542"/>
      <c r="CO25" s="542"/>
      <c r="CP25" s="542"/>
      <c r="CQ25" s="542"/>
      <c r="CR25" s="542"/>
      <c r="CS25" s="542"/>
      <c r="CT25" s="542"/>
      <c r="CU25" s="542"/>
      <c r="CW25" s="151">
        <f t="shared" si="37"/>
        <v>0</v>
      </c>
    </row>
    <row r="26" spans="1:101" s="84" customFormat="1" ht="12.75" customHeight="1" outlineLevel="1" x14ac:dyDescent="0.2">
      <c r="A26" s="18"/>
      <c r="B26" s="18"/>
      <c r="C26" s="87"/>
      <c r="D26" s="53"/>
      <c r="E26" s="53"/>
      <c r="G26" s="300"/>
      <c r="H26" s="300"/>
      <c r="I26" s="300"/>
      <c r="J26" s="300"/>
      <c r="K26" s="300"/>
      <c r="L26" s="300"/>
      <c r="M26" s="300"/>
      <c r="N26" s="300"/>
      <c r="O26" s="300"/>
      <c r="P26" s="300">
        <f t="shared" si="70"/>
        <v>0</v>
      </c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>
        <f t="shared" si="5"/>
        <v>0</v>
      </c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3"/>
      <c r="AY26" s="263">
        <f>SUM(AJ26:AX26)</f>
        <v>0</v>
      </c>
      <c r="BA26" s="277"/>
      <c r="BB26" s="277"/>
      <c r="BC26" s="277">
        <f t="shared" si="10"/>
        <v>0</v>
      </c>
      <c r="BE26" s="55">
        <f t="shared" si="11"/>
        <v>0</v>
      </c>
      <c r="BF26" s="55"/>
      <c r="BG26" s="18"/>
      <c r="BH26" s="541"/>
      <c r="BI26" s="542"/>
      <c r="BJ26" s="542"/>
      <c r="BK26" s="542"/>
      <c r="BL26" s="542"/>
      <c r="BM26" s="542"/>
      <c r="BN26" s="542"/>
      <c r="BO26" s="542"/>
      <c r="BP26" s="542"/>
      <c r="BQ26" s="542"/>
      <c r="BR26" s="542"/>
      <c r="BS26" s="542"/>
      <c r="BT26" s="542"/>
      <c r="BU26" s="542"/>
      <c r="BV26" s="542"/>
      <c r="BW26" s="542"/>
      <c r="BX26" s="542"/>
      <c r="BY26" s="542"/>
      <c r="BZ26" s="542"/>
      <c r="CA26" s="542"/>
      <c r="CB26" s="542"/>
      <c r="CC26" s="542"/>
      <c r="CD26" s="542"/>
      <c r="CE26" s="542"/>
      <c r="CF26" s="542"/>
      <c r="CG26" s="542"/>
      <c r="CH26" s="542"/>
      <c r="CI26" s="542"/>
      <c r="CJ26" s="542"/>
      <c r="CK26" s="542"/>
      <c r="CL26" s="542"/>
      <c r="CM26" s="542"/>
      <c r="CN26" s="542"/>
      <c r="CO26" s="542"/>
      <c r="CP26" s="542"/>
      <c r="CQ26" s="542"/>
      <c r="CR26" s="542"/>
      <c r="CS26" s="542"/>
      <c r="CT26" s="542"/>
      <c r="CU26" s="542"/>
      <c r="CW26" s="151">
        <f t="shared" si="37"/>
        <v>0</v>
      </c>
    </row>
    <row r="27" spans="1:101" s="84" customFormat="1" ht="7.5" customHeight="1" x14ac:dyDescent="0.2">
      <c r="C27" s="56"/>
      <c r="D27" s="57"/>
      <c r="E27" s="51"/>
      <c r="G27" s="300"/>
      <c r="H27" s="300"/>
      <c r="I27" s="300"/>
      <c r="J27" s="300"/>
      <c r="K27" s="300"/>
      <c r="L27" s="300"/>
      <c r="M27" s="300"/>
      <c r="N27" s="300"/>
      <c r="O27" s="300"/>
      <c r="P27" s="300">
        <f t="shared" si="70"/>
        <v>0</v>
      </c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>
        <f t="shared" si="5"/>
        <v>0</v>
      </c>
      <c r="AJ27" s="263"/>
      <c r="AK27" s="263"/>
      <c r="AL27" s="263"/>
      <c r="AM27" s="263"/>
      <c r="AN27" s="263"/>
      <c r="AO27" s="263"/>
      <c r="AP27" s="263"/>
      <c r="AQ27" s="263"/>
      <c r="AR27" s="263"/>
      <c r="AS27" s="263"/>
      <c r="AT27" s="263"/>
      <c r="AU27" s="263"/>
      <c r="AV27" s="263"/>
      <c r="AW27" s="263"/>
      <c r="AX27" s="263"/>
      <c r="AY27" s="263">
        <f>SUM(AJ27:AX27)</f>
        <v>0</v>
      </c>
      <c r="BA27" s="277"/>
      <c r="BB27" s="277"/>
      <c r="BC27" s="277">
        <f t="shared" si="10"/>
        <v>0</v>
      </c>
      <c r="BE27" s="55">
        <f t="shared" si="11"/>
        <v>0</v>
      </c>
      <c r="BF27" s="55"/>
      <c r="BH27" s="542"/>
      <c r="BI27" s="542"/>
      <c r="BJ27" s="542"/>
      <c r="BK27" s="542"/>
      <c r="BL27" s="542"/>
      <c r="BM27" s="542"/>
      <c r="BN27" s="542"/>
      <c r="BO27" s="542"/>
      <c r="BP27" s="542"/>
      <c r="BQ27" s="542"/>
      <c r="BR27" s="542"/>
      <c r="BS27" s="542"/>
      <c r="BT27" s="542"/>
      <c r="BU27" s="542"/>
      <c r="BV27" s="542"/>
      <c r="BW27" s="542"/>
      <c r="BX27" s="542"/>
      <c r="BY27" s="542"/>
      <c r="BZ27" s="542"/>
      <c r="CA27" s="542"/>
      <c r="CB27" s="542"/>
      <c r="CC27" s="542"/>
      <c r="CD27" s="542"/>
      <c r="CE27" s="542"/>
      <c r="CF27" s="542"/>
      <c r="CG27" s="542"/>
      <c r="CH27" s="542"/>
      <c r="CI27" s="542"/>
      <c r="CJ27" s="542"/>
      <c r="CK27" s="542"/>
      <c r="CL27" s="542"/>
      <c r="CM27" s="542"/>
      <c r="CN27" s="542"/>
      <c r="CO27" s="542"/>
      <c r="CP27" s="542"/>
      <c r="CQ27" s="542"/>
      <c r="CR27" s="542"/>
      <c r="CS27" s="542"/>
      <c r="CT27" s="542"/>
      <c r="CU27" s="542"/>
      <c r="CW27" s="151"/>
    </row>
    <row r="28" spans="1:101" s="84" customFormat="1" ht="15.75" x14ac:dyDescent="0.2">
      <c r="B28" s="89"/>
      <c r="C28" s="923" t="s">
        <v>883</v>
      </c>
      <c r="D28" s="69" t="s">
        <v>190</v>
      </c>
      <c r="E28" s="70"/>
      <c r="G28" s="302">
        <f ca="1">G$13+G$17+G$20+G$24</f>
        <v>89.131279635070655</v>
      </c>
      <c r="H28" s="302">
        <f t="shared" ref="H28:AG28" ca="1" si="71">H$13+H$17+H$20+H$24</f>
        <v>224.74473101896561</v>
      </c>
      <c r="I28" s="302">
        <f t="shared" ca="1" si="71"/>
        <v>253.21809995124116</v>
      </c>
      <c r="J28" s="302">
        <f t="shared" ca="1" si="71"/>
        <v>105.3161714881026</v>
      </c>
      <c r="K28" s="302">
        <f t="shared" ca="1" si="71"/>
        <v>87.702870215268888</v>
      </c>
      <c r="L28" s="302">
        <f t="shared" ca="1" si="71"/>
        <v>59.254113213404999</v>
      </c>
      <c r="M28" s="302">
        <f t="shared" ca="1" si="71"/>
        <v>0</v>
      </c>
      <c r="N28" s="302">
        <f t="shared" ca="1" si="71"/>
        <v>4.8236579205112732E-13</v>
      </c>
      <c r="O28" s="302">
        <f t="shared" ca="1" si="71"/>
        <v>5.747145860565908</v>
      </c>
      <c r="P28" s="300">
        <f t="shared" ca="1" si="70"/>
        <v>825.11441138262012</v>
      </c>
      <c r="Q28" s="302">
        <f t="shared" si="71"/>
        <v>0</v>
      </c>
      <c r="R28" s="302">
        <f t="shared" ca="1" si="71"/>
        <v>-383.07487358164514</v>
      </c>
      <c r="S28" s="302">
        <f t="shared" ca="1" si="71"/>
        <v>0</v>
      </c>
      <c r="T28" s="302">
        <f t="shared" ca="1" si="71"/>
        <v>-2.9488528016668729</v>
      </c>
      <c r="U28" s="302">
        <f t="shared" ca="1" si="71"/>
        <v>-192.98495372275735</v>
      </c>
      <c r="V28" s="302">
        <f t="shared" ca="1" si="71"/>
        <v>-113.92410997965683</v>
      </c>
      <c r="W28" s="302">
        <f t="shared" ca="1" si="71"/>
        <v>-132.18162129689415</v>
      </c>
      <c r="X28" s="302">
        <f t="shared" ca="1" si="71"/>
        <v>0</v>
      </c>
      <c r="Y28" s="302">
        <f t="shared" ca="1" si="71"/>
        <v>0</v>
      </c>
      <c r="Z28" s="302">
        <f t="shared" ca="1" si="71"/>
        <v>0</v>
      </c>
      <c r="AA28" s="302">
        <f t="shared" ca="1" si="71"/>
        <v>0</v>
      </c>
      <c r="AB28" s="302">
        <f t="shared" ca="1" si="71"/>
        <v>0</v>
      </c>
      <c r="AC28" s="302">
        <f t="shared" ca="1" si="71"/>
        <v>0</v>
      </c>
      <c r="AD28" s="302">
        <f t="shared" ca="1" si="71"/>
        <v>0</v>
      </c>
      <c r="AE28" s="302">
        <f t="shared" ca="1" si="71"/>
        <v>0</v>
      </c>
      <c r="AF28" s="302">
        <f t="shared" ca="1" si="71"/>
        <v>0</v>
      </c>
      <c r="AG28" s="302">
        <f t="shared" ca="1" si="71"/>
        <v>0</v>
      </c>
      <c r="AH28" s="294">
        <f t="shared" ca="1" si="5"/>
        <v>-825.11441138262035</v>
      </c>
      <c r="AJ28" s="295">
        <f ca="1">AJ$13+AJ$17+AJ$20+AJ$24</f>
        <v>0</v>
      </c>
      <c r="AK28" s="295">
        <f t="shared" ref="AK28:BD28" ca="1" si="72">AK$13+AK$17+AK$20+AK$24</f>
        <v>0</v>
      </c>
      <c r="AL28" s="295">
        <f t="shared" ca="1" si="72"/>
        <v>0</v>
      </c>
      <c r="AM28" s="295">
        <f t="shared" ca="1" si="72"/>
        <v>0</v>
      </c>
      <c r="AN28" s="295">
        <f t="shared" ca="1" si="72"/>
        <v>0</v>
      </c>
      <c r="AO28" s="295">
        <f t="shared" ca="1" si="72"/>
        <v>0</v>
      </c>
      <c r="AP28" s="295">
        <f t="shared" ca="1" si="72"/>
        <v>0</v>
      </c>
      <c r="AQ28" s="295">
        <f t="shared" ca="1" si="72"/>
        <v>0</v>
      </c>
      <c r="AR28" s="295">
        <f t="shared" ca="1" si="72"/>
        <v>0</v>
      </c>
      <c r="AS28" s="295">
        <f t="shared" ca="1" si="72"/>
        <v>0</v>
      </c>
      <c r="AT28" s="295">
        <f t="shared" ca="1" si="72"/>
        <v>0</v>
      </c>
      <c r="AU28" s="295">
        <f t="shared" ca="1" si="72"/>
        <v>0</v>
      </c>
      <c r="AV28" s="295">
        <f t="shared" ca="1" si="72"/>
        <v>0</v>
      </c>
      <c r="AW28" s="295">
        <f t="shared" ca="1" si="72"/>
        <v>0</v>
      </c>
      <c r="AX28" s="295">
        <f t="shared" ca="1" si="72"/>
        <v>0</v>
      </c>
      <c r="AY28" s="295">
        <f t="shared" ca="1" si="72"/>
        <v>0</v>
      </c>
      <c r="AZ28" s="295">
        <f t="shared" si="72"/>
        <v>0</v>
      </c>
      <c r="BA28" s="295">
        <f t="shared" ca="1" si="72"/>
        <v>0</v>
      </c>
      <c r="BB28" s="295">
        <f t="shared" ca="1" si="72"/>
        <v>0</v>
      </c>
      <c r="BC28" s="277">
        <f t="shared" ca="1" si="10"/>
        <v>0</v>
      </c>
      <c r="BD28" s="295">
        <f t="shared" si="72"/>
        <v>0</v>
      </c>
      <c r="BE28" s="58">
        <f t="shared" ca="1" si="11"/>
        <v>-2.2737367544323206E-13</v>
      </c>
      <c r="BF28" s="58"/>
      <c r="BH28" s="546">
        <f ca="1">BH$13+BH$17+BH$20+BH$24</f>
        <v>68.861162232981172</v>
      </c>
      <c r="BI28" s="546">
        <f t="shared" ref="BI28:CU28" ca="1" si="73">BI$13+BI$17+BI$20+BI$24</f>
        <v>19.961048100658623</v>
      </c>
      <c r="BJ28" s="546">
        <f t="shared" ca="1" si="73"/>
        <v>20.606622553040655</v>
      </c>
      <c r="BK28" s="546">
        <f t="shared" ca="1" si="73"/>
        <v>0</v>
      </c>
      <c r="BL28" s="546">
        <f t="shared" ca="1" si="73"/>
        <v>0</v>
      </c>
      <c r="BM28" s="546">
        <f t="shared" ca="1" si="73"/>
        <v>0</v>
      </c>
      <c r="BN28" s="546">
        <f t="shared" ca="1" si="73"/>
        <v>0</v>
      </c>
      <c r="BO28" s="546">
        <f t="shared" ca="1" si="73"/>
        <v>0</v>
      </c>
      <c r="BP28" s="546">
        <f t="shared" ca="1" si="73"/>
        <v>14.773066146298628</v>
      </c>
      <c r="BQ28" s="546">
        <f t="shared" ca="1" si="73"/>
        <v>0.13108279035873913</v>
      </c>
      <c r="BR28" s="546">
        <f t="shared" ca="1" si="73"/>
        <v>3.4000294759352552</v>
      </c>
      <c r="BS28" s="546">
        <f t="shared" ca="1" si="73"/>
        <v>9.2384290877998048</v>
      </c>
      <c r="BT28" s="546">
        <f t="shared" ca="1" si="73"/>
        <v>0</v>
      </c>
      <c r="BU28" s="546">
        <f t="shared" ca="1" si="73"/>
        <v>0</v>
      </c>
      <c r="BV28" s="546">
        <f t="shared" ca="1" si="73"/>
        <v>0</v>
      </c>
      <c r="BW28" s="546">
        <f t="shared" ca="1" si="73"/>
        <v>0</v>
      </c>
      <c r="BX28" s="546">
        <f t="shared" ca="1" si="73"/>
        <v>0</v>
      </c>
      <c r="BY28" s="546">
        <f t="shared" ca="1" si="73"/>
        <v>0</v>
      </c>
      <c r="BZ28" s="546">
        <f t="shared" ca="1" si="73"/>
        <v>0</v>
      </c>
      <c r="CA28" s="546">
        <f t="shared" ca="1" si="73"/>
        <v>0</v>
      </c>
      <c r="CB28" s="546">
        <f t="shared" ca="1" si="73"/>
        <v>0</v>
      </c>
      <c r="CC28" s="546">
        <f t="shared" ca="1" si="73"/>
        <v>0</v>
      </c>
      <c r="CD28" s="546">
        <f t="shared" ca="1" si="73"/>
        <v>0</v>
      </c>
      <c r="CE28" s="546">
        <f t="shared" ca="1" si="73"/>
        <v>0</v>
      </c>
      <c r="CF28" s="546">
        <f t="shared" ca="1" si="73"/>
        <v>0</v>
      </c>
      <c r="CG28" s="546">
        <f t="shared" ca="1" si="73"/>
        <v>0</v>
      </c>
      <c r="CH28" s="546">
        <f t="shared" ca="1" si="73"/>
        <v>0</v>
      </c>
      <c r="CI28" s="546">
        <f t="shared" ca="1" si="73"/>
        <v>0</v>
      </c>
      <c r="CJ28" s="546">
        <f t="shared" ca="1" si="73"/>
        <v>0</v>
      </c>
      <c r="CK28" s="546">
        <f t="shared" ca="1" si="73"/>
        <v>0</v>
      </c>
      <c r="CL28" s="546">
        <f t="shared" ca="1" si="73"/>
        <v>0</v>
      </c>
      <c r="CM28" s="546">
        <f t="shared" ca="1" si="73"/>
        <v>0</v>
      </c>
      <c r="CN28" s="546">
        <f t="shared" ca="1" si="73"/>
        <v>0</v>
      </c>
      <c r="CO28" s="546">
        <f t="shared" ca="1" si="73"/>
        <v>0</v>
      </c>
      <c r="CP28" s="546">
        <f t="shared" ca="1" si="73"/>
        <v>0</v>
      </c>
      <c r="CQ28" s="546">
        <f t="shared" ca="1" si="73"/>
        <v>0</v>
      </c>
      <c r="CR28" s="546">
        <f t="shared" ca="1" si="73"/>
        <v>0</v>
      </c>
      <c r="CS28" s="546">
        <f t="shared" ca="1" si="73"/>
        <v>0</v>
      </c>
      <c r="CT28" s="546">
        <f t="shared" ca="1" si="73"/>
        <v>0</v>
      </c>
      <c r="CU28" s="546">
        <f t="shared" ca="1" si="73"/>
        <v>0</v>
      </c>
      <c r="CW28" s="148">
        <f ca="1">SUM(BH28:CU28)</f>
        <v>136.97144038707287</v>
      </c>
    </row>
    <row r="29" spans="1:101" s="84" customFormat="1" ht="6" customHeight="1" x14ac:dyDescent="0.2">
      <c r="C29" s="51"/>
      <c r="D29" s="51"/>
      <c r="E29" s="51"/>
      <c r="G29" s="245"/>
      <c r="H29" s="245"/>
      <c r="I29" s="245"/>
      <c r="J29" s="245"/>
      <c r="K29" s="245"/>
      <c r="L29" s="247"/>
      <c r="M29" s="245"/>
      <c r="N29" s="245"/>
      <c r="O29" s="245"/>
      <c r="P29" s="245">
        <f t="shared" si="70"/>
        <v>0</v>
      </c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>
        <f t="shared" si="5"/>
        <v>0</v>
      </c>
      <c r="AJ29" s="263"/>
      <c r="AK29" s="263"/>
      <c r="AL29" s="263"/>
      <c r="AM29" s="263"/>
      <c r="AN29" s="263"/>
      <c r="AO29" s="263"/>
      <c r="AP29" s="263"/>
      <c r="AQ29" s="263"/>
      <c r="AR29" s="263"/>
      <c r="AS29" s="263"/>
      <c r="AT29" s="263"/>
      <c r="AU29" s="263"/>
      <c r="AV29" s="263"/>
      <c r="AW29" s="263"/>
      <c r="AX29" s="263"/>
      <c r="AY29" s="263">
        <f t="shared" ref="AY29:AY60" si="74">SUM(AJ29:AX29)</f>
        <v>0</v>
      </c>
      <c r="BA29" s="277"/>
      <c r="BB29" s="277"/>
      <c r="BC29" s="277">
        <f t="shared" si="10"/>
        <v>0</v>
      </c>
      <c r="BE29" s="55">
        <f t="shared" si="11"/>
        <v>0</v>
      </c>
      <c r="BF29" s="55"/>
      <c r="BH29" s="542"/>
      <c r="BI29" s="542"/>
      <c r="BJ29" s="542"/>
      <c r="BK29" s="542"/>
      <c r="BL29" s="542"/>
      <c r="BM29" s="542"/>
      <c r="BN29" s="542"/>
      <c r="BO29" s="542"/>
      <c r="BP29" s="542"/>
      <c r="BQ29" s="542"/>
      <c r="BR29" s="542"/>
      <c r="BS29" s="542"/>
      <c r="BT29" s="542"/>
      <c r="BU29" s="542"/>
      <c r="BV29" s="542"/>
      <c r="BW29" s="542"/>
      <c r="BX29" s="542"/>
      <c r="BY29" s="542"/>
      <c r="BZ29" s="542"/>
      <c r="CA29" s="542"/>
      <c r="CB29" s="542"/>
      <c r="CC29" s="542"/>
      <c r="CD29" s="542"/>
      <c r="CE29" s="542"/>
      <c r="CF29" s="542"/>
      <c r="CG29" s="542"/>
      <c r="CH29" s="542"/>
      <c r="CI29" s="542"/>
      <c r="CJ29" s="542"/>
      <c r="CK29" s="542"/>
      <c r="CL29" s="542"/>
      <c r="CM29" s="542"/>
      <c r="CN29" s="542"/>
      <c r="CO29" s="542"/>
      <c r="CP29" s="542"/>
      <c r="CQ29" s="542"/>
      <c r="CR29" s="542"/>
      <c r="CS29" s="542"/>
      <c r="CT29" s="542"/>
      <c r="CU29" s="542"/>
      <c r="CW29" s="151"/>
    </row>
    <row r="30" spans="1:101" s="84" customFormat="1" ht="24" customHeight="1" x14ac:dyDescent="0.2">
      <c r="C30" s="45" t="s">
        <v>58</v>
      </c>
      <c r="D30" s="45"/>
      <c r="E30" s="68"/>
      <c r="G30" s="244"/>
      <c r="H30" s="244"/>
      <c r="I30" s="244"/>
      <c r="J30" s="244"/>
      <c r="K30" s="244"/>
      <c r="L30" s="244"/>
      <c r="M30" s="244"/>
      <c r="N30" s="244"/>
      <c r="O30" s="244"/>
      <c r="P30" s="244">
        <f t="shared" si="70"/>
        <v>0</v>
      </c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>
        <f t="shared" si="5"/>
        <v>0</v>
      </c>
      <c r="AJ30" s="262"/>
      <c r="AK30" s="262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>
        <f t="shared" si="74"/>
        <v>0</v>
      </c>
      <c r="BA30" s="276"/>
      <c r="BB30" s="276"/>
      <c r="BC30" s="276">
        <f t="shared" si="10"/>
        <v>0</v>
      </c>
      <c r="BE30" s="54">
        <f t="shared" si="11"/>
        <v>0</v>
      </c>
      <c r="BF30" s="54"/>
      <c r="BH30" s="542"/>
      <c r="BI30" s="542"/>
      <c r="BJ30" s="542"/>
      <c r="BK30" s="542"/>
      <c r="BL30" s="542"/>
      <c r="BM30" s="542"/>
      <c r="BN30" s="542"/>
      <c r="BO30" s="542"/>
      <c r="BP30" s="542"/>
      <c r="BQ30" s="542"/>
      <c r="BR30" s="542"/>
      <c r="BS30" s="542"/>
      <c r="BT30" s="542"/>
      <c r="BU30" s="542"/>
      <c r="BV30" s="542"/>
      <c r="BW30" s="542"/>
      <c r="BX30" s="542"/>
      <c r="BY30" s="542"/>
      <c r="BZ30" s="542"/>
      <c r="CA30" s="542"/>
      <c r="CB30" s="542"/>
      <c r="CC30" s="542"/>
      <c r="CD30" s="542"/>
      <c r="CE30" s="542"/>
      <c r="CF30" s="542"/>
      <c r="CG30" s="542"/>
      <c r="CH30" s="542"/>
      <c r="CI30" s="542"/>
      <c r="CJ30" s="542"/>
      <c r="CK30" s="542"/>
      <c r="CL30" s="542"/>
      <c r="CM30" s="542"/>
      <c r="CN30" s="542"/>
      <c r="CO30" s="542"/>
      <c r="CP30" s="542"/>
      <c r="CQ30" s="542"/>
      <c r="CR30" s="542"/>
      <c r="CS30" s="542"/>
      <c r="CT30" s="542"/>
      <c r="CU30" s="542"/>
      <c r="CW30" s="151"/>
    </row>
    <row r="31" spans="1:101" s="84" customFormat="1" ht="12.75" customHeight="1" outlineLevel="1" x14ac:dyDescent="0.2">
      <c r="A31" s="18"/>
      <c r="B31" s="18"/>
      <c r="C31" s="87"/>
      <c r="D31" s="53"/>
      <c r="E31" s="53"/>
      <c r="G31" s="245"/>
      <c r="H31" s="245"/>
      <c r="I31" s="245"/>
      <c r="J31" s="245"/>
      <c r="K31" s="245"/>
      <c r="L31" s="247"/>
      <c r="M31" s="245"/>
      <c r="N31" s="245"/>
      <c r="O31" s="245"/>
      <c r="P31" s="245">
        <f t="shared" si="70"/>
        <v>0</v>
      </c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>
        <f t="shared" si="5"/>
        <v>0</v>
      </c>
      <c r="AJ31" s="263"/>
      <c r="AK31" s="263"/>
      <c r="AL31" s="263"/>
      <c r="AM31" s="263"/>
      <c r="AN31" s="263"/>
      <c r="AO31" s="263"/>
      <c r="AP31" s="263"/>
      <c r="AQ31" s="263"/>
      <c r="AR31" s="263"/>
      <c r="AS31" s="263"/>
      <c r="AT31" s="263"/>
      <c r="AU31" s="263"/>
      <c r="AV31" s="263"/>
      <c r="AW31" s="263"/>
      <c r="AX31" s="263"/>
      <c r="AY31" s="263">
        <f t="shared" si="74"/>
        <v>0</v>
      </c>
      <c r="BA31" s="277"/>
      <c r="BB31" s="277"/>
      <c r="BC31" s="277">
        <f t="shared" si="10"/>
        <v>0</v>
      </c>
      <c r="BE31" s="55">
        <f t="shared" si="11"/>
        <v>0</v>
      </c>
      <c r="BF31" s="55"/>
      <c r="BG31" s="18"/>
      <c r="BH31" s="542"/>
      <c r="BI31" s="542"/>
      <c r="BJ31" s="542"/>
      <c r="BK31" s="542"/>
      <c r="BL31" s="542"/>
      <c r="BM31" s="542"/>
      <c r="BN31" s="542"/>
      <c r="BO31" s="542"/>
      <c r="BP31" s="542"/>
      <c r="BQ31" s="542"/>
      <c r="BR31" s="542"/>
      <c r="BS31" s="542"/>
      <c r="BT31" s="542"/>
      <c r="BU31" s="542"/>
      <c r="BV31" s="542"/>
      <c r="BW31" s="542"/>
      <c r="BX31" s="542"/>
      <c r="BY31" s="542"/>
      <c r="BZ31" s="542"/>
      <c r="CA31" s="542"/>
      <c r="CB31" s="542"/>
      <c r="CC31" s="542"/>
      <c r="CD31" s="542"/>
      <c r="CE31" s="542"/>
      <c r="CF31" s="542"/>
      <c r="CG31" s="542"/>
      <c r="CH31" s="542"/>
      <c r="CI31" s="542"/>
      <c r="CJ31" s="542"/>
      <c r="CK31" s="542"/>
      <c r="CL31" s="542"/>
      <c r="CM31" s="542"/>
      <c r="CN31" s="542"/>
      <c r="CO31" s="542"/>
      <c r="CP31" s="542"/>
      <c r="CQ31" s="542"/>
      <c r="CR31" s="542"/>
      <c r="CS31" s="542"/>
      <c r="CT31" s="542"/>
      <c r="CU31" s="542"/>
      <c r="CW31" s="151"/>
    </row>
    <row r="32" spans="1:101" s="550" customFormat="1" ht="12.75" customHeight="1" outlineLevel="1" x14ac:dyDescent="0.2">
      <c r="C32" s="566" t="s">
        <v>945</v>
      </c>
      <c r="D32" s="567" t="s">
        <v>946</v>
      </c>
      <c r="E32" s="567"/>
      <c r="F32" s="882"/>
      <c r="G32" s="333"/>
      <c r="H32" s="333"/>
      <c r="I32" s="333"/>
      <c r="J32" s="333"/>
      <c r="K32" s="333"/>
      <c r="L32" s="334"/>
      <c r="M32" s="333"/>
      <c r="N32" s="333"/>
      <c r="O32" s="333"/>
      <c r="P32" s="333">
        <f t="shared" si="70"/>
        <v>0</v>
      </c>
      <c r="Q32" s="882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>
        <f t="shared" si="5"/>
        <v>0</v>
      </c>
      <c r="AI32" s="882"/>
      <c r="AJ32" s="336"/>
      <c r="AK32" s="336"/>
      <c r="AL32" s="336"/>
      <c r="AM32" s="336"/>
      <c r="AN32" s="336"/>
      <c r="AO32" s="336"/>
      <c r="AP32" s="336"/>
      <c r="AQ32" s="336"/>
      <c r="AR32" s="336"/>
      <c r="AS32" s="336"/>
      <c r="AT32" s="336"/>
      <c r="AU32" s="336"/>
      <c r="AV32" s="336"/>
      <c r="AW32" s="336"/>
      <c r="AX32" s="336"/>
      <c r="AY32" s="336">
        <f t="shared" si="74"/>
        <v>0</v>
      </c>
      <c r="AZ32" s="882"/>
      <c r="BA32" s="337"/>
      <c r="BB32" s="337"/>
      <c r="BC32" s="337">
        <f t="shared" si="10"/>
        <v>0</v>
      </c>
      <c r="BD32" s="882"/>
      <c r="BE32" s="568">
        <f t="shared" si="11"/>
        <v>0</v>
      </c>
      <c r="BF32" s="568"/>
      <c r="BH32" s="888"/>
      <c r="BI32" s="888"/>
      <c r="BJ32" s="888"/>
      <c r="BK32" s="888"/>
      <c r="BL32" s="888"/>
      <c r="BM32" s="888"/>
      <c r="BN32" s="888"/>
      <c r="BO32" s="888"/>
      <c r="BP32" s="888"/>
      <c r="BQ32" s="888"/>
      <c r="BR32" s="888"/>
      <c r="BS32" s="888"/>
      <c r="BT32" s="888"/>
      <c r="BU32" s="888"/>
      <c r="BV32" s="888"/>
      <c r="BW32" s="888"/>
      <c r="BX32" s="888"/>
      <c r="BY32" s="888"/>
      <c r="BZ32" s="888"/>
      <c r="CA32" s="888"/>
      <c r="CB32" s="888"/>
      <c r="CC32" s="888"/>
      <c r="CD32" s="888"/>
      <c r="CE32" s="888"/>
      <c r="CF32" s="888"/>
      <c r="CG32" s="888"/>
      <c r="CH32" s="888"/>
      <c r="CI32" s="888"/>
      <c r="CJ32" s="888"/>
      <c r="CK32" s="888"/>
      <c r="CL32" s="888"/>
      <c r="CM32" s="888"/>
      <c r="CN32" s="888"/>
      <c r="CO32" s="888"/>
      <c r="CP32" s="888"/>
      <c r="CQ32" s="888"/>
      <c r="CR32" s="888"/>
      <c r="CS32" s="888"/>
      <c r="CT32" s="888"/>
      <c r="CU32" s="888"/>
      <c r="CW32" s="887">
        <f t="shared" ref="CW32:CW43" si="75">SUM(BH32:CU32)</f>
        <v>0</v>
      </c>
    </row>
    <row r="33" spans="1:101" s="84" customFormat="1" outlineLevel="1" x14ac:dyDescent="0.2">
      <c r="C33" s="50"/>
      <c r="D33" s="51"/>
      <c r="E33" s="51"/>
      <c r="G33" s="245"/>
      <c r="H33" s="245"/>
      <c r="I33" s="245"/>
      <c r="J33" s="245"/>
      <c r="K33" s="245"/>
      <c r="L33" s="247"/>
      <c r="M33" s="245"/>
      <c r="N33" s="245"/>
      <c r="O33" s="245"/>
      <c r="P33" s="245">
        <f t="shared" si="70"/>
        <v>0</v>
      </c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>
        <f t="shared" si="5"/>
        <v>0</v>
      </c>
      <c r="AJ33" s="263"/>
      <c r="AK33" s="263"/>
      <c r="AL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  <c r="AW33" s="263"/>
      <c r="AX33" s="263"/>
      <c r="AY33" s="263">
        <f t="shared" si="74"/>
        <v>0</v>
      </c>
      <c r="BA33" s="277"/>
      <c r="BB33" s="277"/>
      <c r="BC33" s="277">
        <f t="shared" si="10"/>
        <v>0</v>
      </c>
      <c r="BE33" s="55">
        <f t="shared" si="11"/>
        <v>0</v>
      </c>
      <c r="BF33" s="55"/>
      <c r="BH33" s="542"/>
      <c r="BI33" s="542"/>
      <c r="BJ33" s="542"/>
      <c r="BK33" s="542"/>
      <c r="BL33" s="542"/>
      <c r="BM33" s="542"/>
      <c r="BN33" s="542"/>
      <c r="BO33" s="542"/>
      <c r="BP33" s="542"/>
      <c r="BQ33" s="542"/>
      <c r="BR33" s="542"/>
      <c r="BS33" s="542"/>
      <c r="BT33" s="542"/>
      <c r="BU33" s="542"/>
      <c r="BV33" s="542"/>
      <c r="BW33" s="542"/>
      <c r="BX33" s="542"/>
      <c r="BY33" s="542"/>
      <c r="BZ33" s="542"/>
      <c r="CA33" s="542"/>
      <c r="CB33" s="542"/>
      <c r="CC33" s="542"/>
      <c r="CD33" s="542"/>
      <c r="CE33" s="542"/>
      <c r="CF33" s="542"/>
      <c r="CG33" s="542"/>
      <c r="CH33" s="542"/>
      <c r="CI33" s="542"/>
      <c r="CJ33" s="542"/>
      <c r="CK33" s="542"/>
      <c r="CL33" s="542"/>
      <c r="CM33" s="542"/>
      <c r="CN33" s="542"/>
      <c r="CO33" s="542"/>
      <c r="CP33" s="542"/>
      <c r="CQ33" s="542"/>
      <c r="CR33" s="542"/>
      <c r="CS33" s="542"/>
      <c r="CT33" s="542"/>
      <c r="CU33" s="542"/>
      <c r="CW33" s="151">
        <f t="shared" si="75"/>
        <v>0</v>
      </c>
    </row>
    <row r="34" spans="1:101" s="84" customFormat="1" outlineLevel="1" x14ac:dyDescent="0.2">
      <c r="A34" s="543"/>
      <c r="B34" s="543"/>
      <c r="C34" s="86" t="s">
        <v>402</v>
      </c>
      <c r="D34" s="61" t="str">
        <f>INDEX(Modules[Module], MATCH($C34, Modules[Code], 0))</f>
        <v>Volume of Waste &amp; Recycling</v>
      </c>
      <c r="E34" s="61"/>
      <c r="G34" s="297">
        <f t="shared" ref="G34:O34" ca="1" si="76">IFERROR(INDEX(INDIRECT($C34&amp;".Outputs["&amp;this.Year&amp;"]"), MATCH(G$5, INDIRECT($C34&amp;".Outputs[Vector]"), 0)), 0)</f>
        <v>0</v>
      </c>
      <c r="H34" s="297">
        <f t="shared" ca="1" si="76"/>
        <v>0</v>
      </c>
      <c r="I34" s="297">
        <f t="shared" ca="1" si="76"/>
        <v>0</v>
      </c>
      <c r="J34" s="297">
        <f t="shared" ca="1" si="76"/>
        <v>0</v>
      </c>
      <c r="K34" s="297">
        <f t="shared" ca="1" si="76"/>
        <v>0</v>
      </c>
      <c r="L34" s="297">
        <f t="shared" ca="1" si="76"/>
        <v>0</v>
      </c>
      <c r="M34" s="297">
        <f t="shared" ca="1" si="76"/>
        <v>0</v>
      </c>
      <c r="N34" s="297">
        <f t="shared" ca="1" si="76"/>
        <v>0</v>
      </c>
      <c r="O34" s="297">
        <f t="shared" ca="1" si="76"/>
        <v>0</v>
      </c>
      <c r="P34" s="297">
        <f t="shared" ca="1" si="70"/>
        <v>0</v>
      </c>
      <c r="R34" s="304">
        <f t="shared" ref="R34:AX34" ca="1" si="77">IFERROR(INDEX(INDIRECT($C34&amp;".Outputs["&amp;this.Year&amp;"]"), MATCH(R$5, INDIRECT($C34&amp;".Outputs[Vector]"), 0)), 0)</f>
        <v>0</v>
      </c>
      <c r="S34" s="304">
        <f t="shared" ca="1" si="77"/>
        <v>0</v>
      </c>
      <c r="T34" s="304">
        <f t="shared" ca="1" si="77"/>
        <v>0</v>
      </c>
      <c r="U34" s="304">
        <f t="shared" ca="1" si="77"/>
        <v>0</v>
      </c>
      <c r="V34" s="304">
        <f t="shared" ca="1" si="77"/>
        <v>0</v>
      </c>
      <c r="W34" s="304">
        <f t="shared" ca="1" si="77"/>
        <v>0</v>
      </c>
      <c r="X34" s="304">
        <f t="shared" ref="X34:Z35" ca="1" si="78">IFERROR(INDEX(INDIRECT($C34&amp;".Outputs["&amp;this.Year&amp;"]"), MATCH(X$5, INDIRECT($C34&amp;".Outputs[Vector]"), 0)), 0)</f>
        <v>5.3233360833333334</v>
      </c>
      <c r="Y34" s="304">
        <f t="shared" ca="1" si="78"/>
        <v>0</v>
      </c>
      <c r="Z34" s="304">
        <f t="shared" ca="1" si="78"/>
        <v>0</v>
      </c>
      <c r="AA34" s="304">
        <f t="shared" ca="1" si="77"/>
        <v>0</v>
      </c>
      <c r="AB34" s="304">
        <f t="shared" ca="1" si="77"/>
        <v>0</v>
      </c>
      <c r="AC34" s="304">
        <f t="shared" ca="1" si="77"/>
        <v>0</v>
      </c>
      <c r="AD34" s="304">
        <f t="shared" ca="1" si="77"/>
        <v>0</v>
      </c>
      <c r="AE34" s="304">
        <f t="shared" ca="1" si="77"/>
        <v>8.9496306766666667</v>
      </c>
      <c r="AF34" s="304">
        <f t="shared" ca="1" si="77"/>
        <v>7.1514520509276363</v>
      </c>
      <c r="AG34" s="304">
        <f t="shared" ca="1" si="77"/>
        <v>7.3179329830517172</v>
      </c>
      <c r="AH34" s="305">
        <f t="shared" ca="1" si="5"/>
        <v>28.742351793979353</v>
      </c>
      <c r="AJ34" s="312">
        <f t="shared" ref="AJ34:AR35" ca="1" si="79">IFERROR(INDEX(INDIRECT($C34&amp;".Outputs["&amp;this.Year&amp;"]"), MATCH(AJ$5, INDIRECT($C34&amp;".Outputs[Vector]"), 0)), 0)</f>
        <v>0</v>
      </c>
      <c r="AK34" s="312">
        <f t="shared" ca="1" si="79"/>
        <v>0</v>
      </c>
      <c r="AL34" s="312">
        <f t="shared" ca="1" si="79"/>
        <v>0</v>
      </c>
      <c r="AM34" s="312">
        <f t="shared" ca="1" si="79"/>
        <v>0</v>
      </c>
      <c r="AN34" s="312">
        <f t="shared" ca="1" si="79"/>
        <v>0</v>
      </c>
      <c r="AO34" s="312">
        <f t="shared" ca="1" si="79"/>
        <v>0</v>
      </c>
      <c r="AP34" s="312">
        <f t="shared" ca="1" si="79"/>
        <v>0</v>
      </c>
      <c r="AQ34" s="312">
        <f t="shared" ca="1" si="79"/>
        <v>0</v>
      </c>
      <c r="AR34" s="312">
        <f t="shared" ca="1" si="79"/>
        <v>0</v>
      </c>
      <c r="AS34" s="312">
        <f t="shared" ca="1" si="77"/>
        <v>0</v>
      </c>
      <c r="AT34" s="312">
        <f t="shared" ca="1" si="77"/>
        <v>0</v>
      </c>
      <c r="AU34" s="312">
        <f t="shared" ca="1" si="77"/>
        <v>0</v>
      </c>
      <c r="AV34" s="312">
        <f t="shared" ca="1" si="77"/>
        <v>0</v>
      </c>
      <c r="AW34" s="312">
        <f t="shared" ca="1" si="77"/>
        <v>0</v>
      </c>
      <c r="AX34" s="312">
        <f t="shared" ca="1" si="77"/>
        <v>-28.742351793979353</v>
      </c>
      <c r="AY34" s="266">
        <f t="shared" ca="1" si="74"/>
        <v>-28.742351793979353</v>
      </c>
      <c r="BA34" s="308">
        <f t="shared" ref="BA34:BB35" ca="1" si="80">IFERROR(INDEX(INDIRECT($C34&amp;".Outputs["&amp;this.Year&amp;"]"), MATCH(BA$5, INDIRECT($C34&amp;".Outputs[Vector]"), 0)), 0)</f>
        <v>0</v>
      </c>
      <c r="BB34" s="308">
        <f t="shared" ca="1" si="80"/>
        <v>0</v>
      </c>
      <c r="BC34" s="309">
        <f t="shared" ca="1" si="10"/>
        <v>0</v>
      </c>
      <c r="BE34" s="135"/>
      <c r="BF34" s="135"/>
      <c r="BG34" s="1428"/>
      <c r="BH34" s="541">
        <f t="shared" ref="BH34:BQ35" ca="1" si="81">IFERROR(SUMIFS(INDIRECT($C34&amp;".Emissions["&amp;this.Year&amp;"]"), INDIRECT($C34&amp;".Emissions[GHG]"), BH$6, INDIRECT($C34&amp;".Emissions[IPCC Sector]"), BH$5),0)</f>
        <v>0</v>
      </c>
      <c r="BI34" s="542">
        <f t="shared" ca="1" si="81"/>
        <v>0</v>
      </c>
      <c r="BJ34" s="542">
        <f t="shared" ca="1" si="81"/>
        <v>0</v>
      </c>
      <c r="BK34" s="542">
        <f t="shared" ca="1" si="81"/>
        <v>0</v>
      </c>
      <c r="BL34" s="542">
        <f t="shared" ca="1" si="81"/>
        <v>0</v>
      </c>
      <c r="BM34" s="542">
        <f t="shared" ca="1" si="81"/>
        <v>0</v>
      </c>
      <c r="BN34" s="542">
        <f t="shared" ca="1" si="81"/>
        <v>0</v>
      </c>
      <c r="BO34" s="542">
        <f t="shared" ca="1" si="81"/>
        <v>0</v>
      </c>
      <c r="BP34" s="542">
        <f t="shared" ca="1" si="81"/>
        <v>0</v>
      </c>
      <c r="BQ34" s="542">
        <f t="shared" ca="1" si="81"/>
        <v>0</v>
      </c>
      <c r="BR34" s="542">
        <f t="shared" ref="BR34:CA35" ca="1" si="82">IFERROR(SUMIFS(INDIRECT($C34&amp;".Emissions["&amp;this.Year&amp;"]"), INDIRECT($C34&amp;".Emissions[GHG]"), BR$6, INDIRECT($C34&amp;".Emissions[IPCC Sector]"), BR$5),0)</f>
        <v>0</v>
      </c>
      <c r="BS34" s="542">
        <f t="shared" ca="1" si="82"/>
        <v>0</v>
      </c>
      <c r="BT34" s="542">
        <f t="shared" ca="1" si="82"/>
        <v>0</v>
      </c>
      <c r="BU34" s="542">
        <f t="shared" ca="1" si="82"/>
        <v>0</v>
      </c>
      <c r="BV34" s="542">
        <f t="shared" ca="1" si="82"/>
        <v>0</v>
      </c>
      <c r="BW34" s="542">
        <f t="shared" ca="1" si="82"/>
        <v>0</v>
      </c>
      <c r="BX34" s="542">
        <f t="shared" ca="1" si="82"/>
        <v>0</v>
      </c>
      <c r="BY34" s="542">
        <f t="shared" ca="1" si="82"/>
        <v>0</v>
      </c>
      <c r="BZ34" s="542">
        <f t="shared" ca="1" si="82"/>
        <v>0</v>
      </c>
      <c r="CA34" s="542">
        <f t="shared" ca="1" si="82"/>
        <v>0</v>
      </c>
      <c r="CB34" s="542">
        <f t="shared" ref="CB34:CK35" ca="1" si="83">IFERROR(SUMIFS(INDIRECT($C34&amp;".Emissions["&amp;this.Year&amp;"]"), INDIRECT($C34&amp;".Emissions[GHG]"), CB$6, INDIRECT($C34&amp;".Emissions[IPCC Sector]"), CB$5),0)</f>
        <v>0</v>
      </c>
      <c r="CC34" s="542">
        <f t="shared" ca="1" si="83"/>
        <v>0</v>
      </c>
      <c r="CD34" s="542">
        <f t="shared" ca="1" si="83"/>
        <v>0</v>
      </c>
      <c r="CE34" s="542">
        <f t="shared" ca="1" si="83"/>
        <v>0</v>
      </c>
      <c r="CF34" s="542">
        <f t="shared" ca="1" si="83"/>
        <v>0</v>
      </c>
      <c r="CG34" s="542">
        <f t="shared" ca="1" si="83"/>
        <v>4.5058333835286835</v>
      </c>
      <c r="CH34" s="542">
        <f t="shared" ca="1" si="83"/>
        <v>0</v>
      </c>
      <c r="CI34" s="542">
        <f t="shared" ca="1" si="83"/>
        <v>0</v>
      </c>
      <c r="CJ34" s="542">
        <f t="shared" ca="1" si="83"/>
        <v>0</v>
      </c>
      <c r="CK34" s="542">
        <f t="shared" ca="1" si="83"/>
        <v>0</v>
      </c>
      <c r="CL34" s="542">
        <f t="shared" ref="CL34:CU35" ca="1" si="84">IFERROR(SUMIFS(INDIRECT($C34&amp;".Emissions["&amp;this.Year&amp;"]"), INDIRECT($C34&amp;".Emissions[GHG]"), CL$6, INDIRECT($C34&amp;".Emissions[IPCC Sector]"), CL$5),0)</f>
        <v>0</v>
      </c>
      <c r="CM34" s="542">
        <f t="shared" ca="1" si="84"/>
        <v>0</v>
      </c>
      <c r="CN34" s="542">
        <f t="shared" ca="1" si="84"/>
        <v>0</v>
      </c>
      <c r="CO34" s="542">
        <f t="shared" ca="1" si="84"/>
        <v>0</v>
      </c>
      <c r="CP34" s="542">
        <f t="shared" ca="1" si="84"/>
        <v>0</v>
      </c>
      <c r="CQ34" s="542">
        <f t="shared" ca="1" si="84"/>
        <v>0</v>
      </c>
      <c r="CR34" s="542">
        <f t="shared" ca="1" si="84"/>
        <v>0</v>
      </c>
      <c r="CS34" s="542">
        <f t="shared" ca="1" si="84"/>
        <v>0</v>
      </c>
      <c r="CT34" s="542">
        <f t="shared" ca="1" si="84"/>
        <v>0</v>
      </c>
      <c r="CU34" s="542">
        <f t="shared" ca="1" si="84"/>
        <v>0</v>
      </c>
      <c r="CW34" s="151">
        <f t="shared" ca="1" si="75"/>
        <v>4.5058333835286835</v>
      </c>
    </row>
    <row r="35" spans="1:101" s="84" customFormat="1" ht="12.75" customHeight="1" outlineLevel="1" x14ac:dyDescent="0.2">
      <c r="A35" s="543"/>
      <c r="B35" s="543"/>
      <c r="C35" s="86" t="s">
        <v>380</v>
      </c>
      <c r="D35" s="292" t="str">
        <f>INDEX(Modules[Module], MATCH($C35, Modules[Code], 0))</f>
        <v>Agriculture and land use</v>
      </c>
      <c r="E35" s="292"/>
      <c r="G35" s="301">
        <f t="shared" ref="G35:O35" ca="1" si="85">IFERROR(INDEX(INDIRECT($C35&amp;".Outputs["&amp;this.Year&amp;"]"), MATCH(G$5, INDIRECT($C35&amp;".Outputs[Vector]"), 0)), 0)</f>
        <v>0</v>
      </c>
      <c r="H35" s="301">
        <f t="shared" ca="1" si="85"/>
        <v>0</v>
      </c>
      <c r="I35" s="301">
        <f t="shared" ca="1" si="85"/>
        <v>0</v>
      </c>
      <c r="J35" s="301">
        <f t="shared" ca="1" si="85"/>
        <v>12.764222288981271</v>
      </c>
      <c r="K35" s="301">
        <f t="shared" ca="1" si="85"/>
        <v>0</v>
      </c>
      <c r="L35" s="301">
        <f t="shared" ca="1" si="85"/>
        <v>0</v>
      </c>
      <c r="M35" s="301">
        <f t="shared" ca="1" si="85"/>
        <v>0</v>
      </c>
      <c r="N35" s="301">
        <f t="shared" ca="1" si="85"/>
        <v>0</v>
      </c>
      <c r="O35" s="301">
        <f t="shared" ca="1" si="85"/>
        <v>0</v>
      </c>
      <c r="P35" s="301">
        <f t="shared" ca="1" si="70"/>
        <v>12.764222288981271</v>
      </c>
      <c r="R35" s="307">
        <f t="shared" ref="R35:AG35" ca="1" si="86">IFERROR(INDEX(INDIRECT($C35&amp;".Outputs["&amp;this.Year&amp;"]"), MATCH(R$5, INDIRECT($C35&amp;".Outputs[Vector]"), 0)), 0)</f>
        <v>-1.5189424523887711</v>
      </c>
      <c r="S35" s="307">
        <f t="shared" ca="1" si="86"/>
        <v>0</v>
      </c>
      <c r="T35" s="307">
        <f t="shared" ca="1" si="86"/>
        <v>-1.2764222288981272E-2</v>
      </c>
      <c r="U35" s="307">
        <f t="shared" ca="1" si="86"/>
        <v>-2.4252022349064415</v>
      </c>
      <c r="V35" s="307">
        <f t="shared" ca="1" si="86"/>
        <v>-1.1487800060083144</v>
      </c>
      <c r="W35" s="307">
        <f t="shared" ca="1" si="86"/>
        <v>-7.6585333733887619</v>
      </c>
      <c r="X35" s="307">
        <f t="shared" ca="1" si="78"/>
        <v>0</v>
      </c>
      <c r="Y35" s="307">
        <f t="shared" ca="1" si="78"/>
        <v>0</v>
      </c>
      <c r="Z35" s="307">
        <f t="shared" ca="1" si="78"/>
        <v>0</v>
      </c>
      <c r="AA35" s="307">
        <f t="shared" ca="1" si="86"/>
        <v>0</v>
      </c>
      <c r="AB35" s="307">
        <f t="shared" ca="1" si="86"/>
        <v>0</v>
      </c>
      <c r="AC35" s="307">
        <f t="shared" ca="1" si="86"/>
        <v>2239.0775124593119</v>
      </c>
      <c r="AD35" s="307">
        <f t="shared" ca="1" si="86"/>
        <v>18.815375157082052</v>
      </c>
      <c r="AE35" s="307">
        <f t="shared" ca="1" si="86"/>
        <v>248.80445664343918</v>
      </c>
      <c r="AF35" s="307">
        <f t="shared" ca="1" si="86"/>
        <v>67.916237063011934</v>
      </c>
      <c r="AG35" s="307">
        <f t="shared" ca="1" si="86"/>
        <v>0</v>
      </c>
      <c r="AH35" s="306">
        <f t="shared" ca="1" si="5"/>
        <v>2561.8493590338639</v>
      </c>
      <c r="AJ35" s="315">
        <f t="shared" ca="1" si="79"/>
        <v>0</v>
      </c>
      <c r="AK35" s="315">
        <f t="shared" ca="1" si="79"/>
        <v>0</v>
      </c>
      <c r="AL35" s="315">
        <f t="shared" ca="1" si="79"/>
        <v>0</v>
      </c>
      <c r="AM35" s="315">
        <f t="shared" ca="1" si="79"/>
        <v>0</v>
      </c>
      <c r="AN35" s="315">
        <f t="shared" ca="1" si="79"/>
        <v>0</v>
      </c>
      <c r="AO35" s="315">
        <f t="shared" ca="1" si="79"/>
        <v>0</v>
      </c>
      <c r="AP35" s="315">
        <f t="shared" ca="1" si="79"/>
        <v>0</v>
      </c>
      <c r="AQ35" s="315">
        <f t="shared" ca="1" si="79"/>
        <v>0</v>
      </c>
      <c r="AR35" s="315">
        <f t="shared" ca="1" si="79"/>
        <v>0</v>
      </c>
      <c r="AS35" s="315">
        <f t="shared" ref="AS35:AX35" ca="1" si="87">IFERROR(INDEX(INDIRECT($C35&amp;".Outputs["&amp;this.Year&amp;"]"), MATCH(AS$5, INDIRECT($C35&amp;".Outputs[Vector]"), 0)), 0)</f>
        <v>0</v>
      </c>
      <c r="AT35" s="315">
        <f t="shared" ca="1" si="87"/>
        <v>0</v>
      </c>
      <c r="AU35" s="315">
        <f t="shared" ca="1" si="87"/>
        <v>0</v>
      </c>
      <c r="AV35" s="315">
        <f t="shared" ca="1" si="87"/>
        <v>0</v>
      </c>
      <c r="AW35" s="315">
        <f t="shared" ca="1" si="87"/>
        <v>-2257.8928876163941</v>
      </c>
      <c r="AX35" s="315">
        <f t="shared" ca="1" si="87"/>
        <v>-316.72069370645113</v>
      </c>
      <c r="AY35" s="293">
        <f t="shared" ca="1" si="74"/>
        <v>-2574.6135813228452</v>
      </c>
      <c r="BA35" s="311">
        <f t="shared" ca="1" si="80"/>
        <v>0</v>
      </c>
      <c r="BB35" s="311">
        <f t="shared" ca="1" si="80"/>
        <v>0</v>
      </c>
      <c r="BC35" s="310">
        <f t="shared" ca="1" si="10"/>
        <v>0</v>
      </c>
      <c r="BE35" s="135">
        <f ca="1">P35+AH35+AY35+BC35</f>
        <v>0</v>
      </c>
      <c r="BF35" s="135"/>
      <c r="BG35" s="1428"/>
      <c r="BH35" s="544">
        <f t="shared" ca="1" si="81"/>
        <v>0.82160746029714637</v>
      </c>
      <c r="BI35" s="545">
        <f t="shared" ca="1" si="81"/>
        <v>1.1900899883355337E-3</v>
      </c>
      <c r="BJ35" s="545">
        <f t="shared" ca="1" si="81"/>
        <v>1.1399124703334963E-2</v>
      </c>
      <c r="BK35" s="545">
        <f t="shared" ca="1" si="81"/>
        <v>0</v>
      </c>
      <c r="BL35" s="545">
        <f t="shared" ca="1" si="81"/>
        <v>0</v>
      </c>
      <c r="BM35" s="545">
        <f t="shared" ca="1" si="81"/>
        <v>0</v>
      </c>
      <c r="BN35" s="545">
        <f t="shared" ca="1" si="81"/>
        <v>0</v>
      </c>
      <c r="BO35" s="545">
        <f t="shared" ca="1" si="81"/>
        <v>0</v>
      </c>
      <c r="BP35" s="545">
        <f t="shared" ca="1" si="81"/>
        <v>0</v>
      </c>
      <c r="BQ35" s="545">
        <f t="shared" ca="1" si="81"/>
        <v>0</v>
      </c>
      <c r="BR35" s="545">
        <f t="shared" ca="1" si="82"/>
        <v>0</v>
      </c>
      <c r="BS35" s="545">
        <f t="shared" ca="1" si="82"/>
        <v>0</v>
      </c>
      <c r="BT35" s="545">
        <f t="shared" ca="1" si="82"/>
        <v>0</v>
      </c>
      <c r="BU35" s="545">
        <f t="shared" ca="1" si="82"/>
        <v>0</v>
      </c>
      <c r="BV35" s="545">
        <f t="shared" ca="1" si="82"/>
        <v>0</v>
      </c>
      <c r="BW35" s="545">
        <f t="shared" ca="1" si="82"/>
        <v>0</v>
      </c>
      <c r="BX35" s="545">
        <f t="shared" ca="1" si="82"/>
        <v>0</v>
      </c>
      <c r="BY35" s="545">
        <f t="shared" ca="1" si="82"/>
        <v>0</v>
      </c>
      <c r="BZ35" s="545">
        <f t="shared" ca="1" si="82"/>
        <v>21.687166670019057</v>
      </c>
      <c r="CA35" s="545">
        <f t="shared" ca="1" si="82"/>
        <v>0</v>
      </c>
      <c r="CB35" s="545">
        <f t="shared" ca="1" si="83"/>
        <v>7.9318683936333301</v>
      </c>
      <c r="CC35" s="545">
        <f t="shared" ca="1" si="83"/>
        <v>0</v>
      </c>
      <c r="CD35" s="545">
        <f t="shared" ca="1" si="83"/>
        <v>0</v>
      </c>
      <c r="CE35" s="545">
        <f t="shared" ca="1" si="83"/>
        <v>0</v>
      </c>
      <c r="CF35" s="545">
        <f t="shared" ca="1" si="83"/>
        <v>0</v>
      </c>
      <c r="CG35" s="545">
        <f t="shared" ca="1" si="83"/>
        <v>0</v>
      </c>
      <c r="CH35" s="545">
        <f t="shared" ca="1" si="83"/>
        <v>0</v>
      </c>
      <c r="CI35" s="545">
        <f t="shared" ca="1" si="83"/>
        <v>0</v>
      </c>
      <c r="CJ35" s="545">
        <f t="shared" ca="1" si="83"/>
        <v>0</v>
      </c>
      <c r="CK35" s="545">
        <f t="shared" ca="1" si="83"/>
        <v>0</v>
      </c>
      <c r="CL35" s="545">
        <f t="shared" ca="1" si="84"/>
        <v>0</v>
      </c>
      <c r="CM35" s="545">
        <f t="shared" ca="1" si="84"/>
        <v>0</v>
      </c>
      <c r="CN35" s="545">
        <f t="shared" ca="1" si="84"/>
        <v>0</v>
      </c>
      <c r="CO35" s="545">
        <f t="shared" ca="1" si="84"/>
        <v>0</v>
      </c>
      <c r="CP35" s="545">
        <f t="shared" ca="1" si="84"/>
        <v>0</v>
      </c>
      <c r="CQ35" s="545">
        <f t="shared" ca="1" si="84"/>
        <v>0</v>
      </c>
      <c r="CR35" s="545">
        <f t="shared" ca="1" si="84"/>
        <v>0</v>
      </c>
      <c r="CS35" s="545">
        <f t="shared" ca="1" si="84"/>
        <v>0</v>
      </c>
      <c r="CT35" s="545">
        <f t="shared" ca="1" si="84"/>
        <v>0</v>
      </c>
      <c r="CU35" s="545">
        <f t="shared" ca="1" si="84"/>
        <v>0</v>
      </c>
      <c r="CW35" s="151">
        <f t="shared" ca="1" si="75"/>
        <v>30.453231738641204</v>
      </c>
    </row>
    <row r="36" spans="1:101" s="84" customFormat="1" ht="15.75" x14ac:dyDescent="0.2">
      <c r="A36" s="18"/>
      <c r="B36" s="89"/>
      <c r="C36" s="85" t="s">
        <v>225</v>
      </c>
      <c r="D36" s="57" t="str">
        <f>INDEX(Workstreams[Workstream], MATCH($C36, Workstreams[Code], 0))</f>
        <v>Agriculture &amp; waste</v>
      </c>
      <c r="E36" s="53"/>
      <c r="G36" s="300">
        <f t="shared" ref="G36:O36" ca="1" si="88">SUM(G34:G35)</f>
        <v>0</v>
      </c>
      <c r="H36" s="300">
        <f t="shared" ca="1" si="88"/>
        <v>0</v>
      </c>
      <c r="I36" s="300">
        <f t="shared" ca="1" si="88"/>
        <v>0</v>
      </c>
      <c r="J36" s="300">
        <f t="shared" ca="1" si="88"/>
        <v>12.764222288981271</v>
      </c>
      <c r="K36" s="300">
        <f t="shared" ca="1" si="88"/>
        <v>0</v>
      </c>
      <c r="L36" s="300">
        <f t="shared" ca="1" si="88"/>
        <v>0</v>
      </c>
      <c r="M36" s="300">
        <f t="shared" ca="1" si="88"/>
        <v>0</v>
      </c>
      <c r="N36" s="300">
        <f t="shared" ca="1" si="88"/>
        <v>0</v>
      </c>
      <c r="O36" s="300">
        <f t="shared" ca="1" si="88"/>
        <v>0</v>
      </c>
      <c r="P36" s="300">
        <f t="shared" ca="1" si="70"/>
        <v>12.764222288981271</v>
      </c>
      <c r="R36" s="257">
        <f t="shared" ref="R36:AG36" ca="1" si="89">SUM(R34:R35)</f>
        <v>-1.5189424523887711</v>
      </c>
      <c r="S36" s="257">
        <f t="shared" ca="1" si="89"/>
        <v>0</v>
      </c>
      <c r="T36" s="257">
        <f t="shared" ca="1" si="89"/>
        <v>-1.2764222288981272E-2</v>
      </c>
      <c r="U36" s="257">
        <f t="shared" ca="1" si="89"/>
        <v>-2.4252022349064415</v>
      </c>
      <c r="V36" s="257">
        <f t="shared" ca="1" si="89"/>
        <v>-1.1487800060083144</v>
      </c>
      <c r="W36" s="257">
        <f t="shared" ca="1" si="89"/>
        <v>-7.6585333733887619</v>
      </c>
      <c r="X36" s="257">
        <f t="shared" ca="1" si="89"/>
        <v>5.3233360833333334</v>
      </c>
      <c r="Y36" s="257">
        <f t="shared" ca="1" si="89"/>
        <v>0</v>
      </c>
      <c r="Z36" s="257">
        <f t="shared" ca="1" si="89"/>
        <v>0</v>
      </c>
      <c r="AA36" s="257">
        <f t="shared" ca="1" si="89"/>
        <v>0</v>
      </c>
      <c r="AB36" s="257">
        <f t="shared" ca="1" si="89"/>
        <v>0</v>
      </c>
      <c r="AC36" s="257">
        <f t="shared" ca="1" si="89"/>
        <v>2239.0775124593119</v>
      </c>
      <c r="AD36" s="257">
        <f t="shared" ca="1" si="89"/>
        <v>18.815375157082052</v>
      </c>
      <c r="AE36" s="257">
        <f t="shared" ca="1" si="89"/>
        <v>257.75408732010584</v>
      </c>
      <c r="AF36" s="257">
        <f t="shared" ca="1" si="89"/>
        <v>75.067689113939565</v>
      </c>
      <c r="AG36" s="257">
        <f t="shared" ca="1" si="89"/>
        <v>7.3179329830517172</v>
      </c>
      <c r="AH36" s="257">
        <f t="shared" ca="1" si="5"/>
        <v>2590.5917108278436</v>
      </c>
      <c r="AJ36" s="263">
        <f t="shared" ref="AJ36:AX36" ca="1" si="90">SUM(AJ34:AJ35)</f>
        <v>0</v>
      </c>
      <c r="AK36" s="263">
        <f t="shared" ca="1" si="90"/>
        <v>0</v>
      </c>
      <c r="AL36" s="263">
        <f t="shared" ca="1" si="90"/>
        <v>0</v>
      </c>
      <c r="AM36" s="263">
        <f t="shared" ca="1" si="90"/>
        <v>0</v>
      </c>
      <c r="AN36" s="263">
        <f t="shared" ca="1" si="90"/>
        <v>0</v>
      </c>
      <c r="AO36" s="263">
        <f t="shared" ca="1" si="90"/>
        <v>0</v>
      </c>
      <c r="AP36" s="263">
        <f t="shared" ca="1" si="90"/>
        <v>0</v>
      </c>
      <c r="AQ36" s="263">
        <f t="shared" ca="1" si="90"/>
        <v>0</v>
      </c>
      <c r="AR36" s="263">
        <f t="shared" ca="1" si="90"/>
        <v>0</v>
      </c>
      <c r="AS36" s="263">
        <f t="shared" ca="1" si="90"/>
        <v>0</v>
      </c>
      <c r="AT36" s="263">
        <f t="shared" ca="1" si="90"/>
        <v>0</v>
      </c>
      <c r="AU36" s="263">
        <f t="shared" ca="1" si="90"/>
        <v>0</v>
      </c>
      <c r="AV36" s="263">
        <f t="shared" ca="1" si="90"/>
        <v>0</v>
      </c>
      <c r="AW36" s="263">
        <f t="shared" ca="1" si="90"/>
        <v>-2257.8928876163941</v>
      </c>
      <c r="AX36" s="263">
        <f t="shared" ca="1" si="90"/>
        <v>-345.4630455004305</v>
      </c>
      <c r="AY36" s="263">
        <f t="shared" ca="1" si="74"/>
        <v>-2603.3559331168244</v>
      </c>
      <c r="BA36" s="277">
        <f ca="1">SUM(BA34:BA35)</f>
        <v>0</v>
      </c>
      <c r="BB36" s="277">
        <f ca="1">SUM(BB34:BB35)</f>
        <v>0</v>
      </c>
      <c r="BC36" s="277">
        <f t="shared" ca="1" si="10"/>
        <v>0</v>
      </c>
      <c r="BE36" s="55">
        <f ca="1">P36+AH36+AY36+BC36</f>
        <v>4.5474735088646412E-13</v>
      </c>
      <c r="BF36" s="55"/>
      <c r="BG36" s="1428"/>
      <c r="BH36" s="542">
        <f t="shared" ref="BH36:CU36" ca="1" si="91">SUM(BH34:BH35)</f>
        <v>0.82160746029714637</v>
      </c>
      <c r="BI36" s="542">
        <f t="shared" ca="1" si="91"/>
        <v>1.1900899883355337E-3</v>
      </c>
      <c r="BJ36" s="542">
        <f t="shared" ca="1" si="91"/>
        <v>1.1399124703334963E-2</v>
      </c>
      <c r="BK36" s="542">
        <f t="shared" ca="1" si="91"/>
        <v>0</v>
      </c>
      <c r="BL36" s="542">
        <f t="shared" ca="1" si="91"/>
        <v>0</v>
      </c>
      <c r="BM36" s="542">
        <f t="shared" ca="1" si="91"/>
        <v>0</v>
      </c>
      <c r="BN36" s="542">
        <f t="shared" ca="1" si="91"/>
        <v>0</v>
      </c>
      <c r="BO36" s="542">
        <f t="shared" ca="1" si="91"/>
        <v>0</v>
      </c>
      <c r="BP36" s="542">
        <f t="shared" ca="1" si="91"/>
        <v>0</v>
      </c>
      <c r="BQ36" s="542">
        <f t="shared" ca="1" si="91"/>
        <v>0</v>
      </c>
      <c r="BR36" s="542">
        <f t="shared" ca="1" si="91"/>
        <v>0</v>
      </c>
      <c r="BS36" s="542">
        <f t="shared" ca="1" si="91"/>
        <v>0</v>
      </c>
      <c r="BT36" s="542">
        <f t="shared" ca="1" si="91"/>
        <v>0</v>
      </c>
      <c r="BU36" s="542">
        <f t="shared" ca="1" si="91"/>
        <v>0</v>
      </c>
      <c r="BV36" s="542">
        <f t="shared" ca="1" si="91"/>
        <v>0</v>
      </c>
      <c r="BW36" s="542">
        <f t="shared" ca="1" si="91"/>
        <v>0</v>
      </c>
      <c r="BX36" s="542">
        <f t="shared" ca="1" si="91"/>
        <v>0</v>
      </c>
      <c r="BY36" s="542">
        <f t="shared" ca="1" si="91"/>
        <v>0</v>
      </c>
      <c r="BZ36" s="542">
        <f t="shared" ca="1" si="91"/>
        <v>21.687166670019057</v>
      </c>
      <c r="CA36" s="542">
        <f t="shared" ca="1" si="91"/>
        <v>0</v>
      </c>
      <c r="CB36" s="542">
        <f t="shared" ca="1" si="91"/>
        <v>7.9318683936333301</v>
      </c>
      <c r="CC36" s="542">
        <f t="shared" ca="1" si="91"/>
        <v>0</v>
      </c>
      <c r="CD36" s="542">
        <f t="shared" ca="1" si="91"/>
        <v>0</v>
      </c>
      <c r="CE36" s="542">
        <f t="shared" ca="1" si="91"/>
        <v>0</v>
      </c>
      <c r="CF36" s="542">
        <f t="shared" ca="1" si="91"/>
        <v>0</v>
      </c>
      <c r="CG36" s="542">
        <f t="shared" ca="1" si="91"/>
        <v>4.5058333835286835</v>
      </c>
      <c r="CH36" s="542">
        <f t="shared" ca="1" si="91"/>
        <v>0</v>
      </c>
      <c r="CI36" s="542">
        <f t="shared" ca="1" si="91"/>
        <v>0</v>
      </c>
      <c r="CJ36" s="542">
        <f t="shared" ca="1" si="91"/>
        <v>0</v>
      </c>
      <c r="CK36" s="542">
        <f t="shared" ca="1" si="91"/>
        <v>0</v>
      </c>
      <c r="CL36" s="542">
        <f t="shared" ca="1" si="91"/>
        <v>0</v>
      </c>
      <c r="CM36" s="542">
        <f t="shared" ca="1" si="91"/>
        <v>0</v>
      </c>
      <c r="CN36" s="542">
        <f t="shared" ca="1" si="91"/>
        <v>0</v>
      </c>
      <c r="CO36" s="542">
        <f t="shared" ca="1" si="91"/>
        <v>0</v>
      </c>
      <c r="CP36" s="542">
        <f t="shared" ca="1" si="91"/>
        <v>0</v>
      </c>
      <c r="CQ36" s="542">
        <f t="shared" ca="1" si="91"/>
        <v>0</v>
      </c>
      <c r="CR36" s="542">
        <f t="shared" ca="1" si="91"/>
        <v>0</v>
      </c>
      <c r="CS36" s="542">
        <f t="shared" ca="1" si="91"/>
        <v>0</v>
      </c>
      <c r="CT36" s="542">
        <f t="shared" ca="1" si="91"/>
        <v>0</v>
      </c>
      <c r="CU36" s="542">
        <f t="shared" ca="1" si="91"/>
        <v>0</v>
      </c>
      <c r="CW36" s="151">
        <f t="shared" ca="1" si="75"/>
        <v>34.959065122169889</v>
      </c>
    </row>
    <row r="37" spans="1:101" s="84" customFormat="1" ht="12.75" customHeight="1" outlineLevel="1" x14ac:dyDescent="0.2">
      <c r="A37" s="18"/>
      <c r="B37" s="18"/>
      <c r="C37" s="87"/>
      <c r="D37" s="53"/>
      <c r="E37" s="53"/>
      <c r="G37" s="245"/>
      <c r="H37" s="245"/>
      <c r="I37" s="245"/>
      <c r="J37" s="245"/>
      <c r="K37" s="245"/>
      <c r="L37" s="247"/>
      <c r="M37" s="245"/>
      <c r="N37" s="245"/>
      <c r="O37" s="245"/>
      <c r="P37" s="245">
        <f t="shared" si="70"/>
        <v>0</v>
      </c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>
        <f t="shared" si="5"/>
        <v>0</v>
      </c>
      <c r="AJ37" s="263"/>
      <c r="AK37" s="263"/>
      <c r="AL37" s="263"/>
      <c r="AM37" s="263"/>
      <c r="AN37" s="263"/>
      <c r="AO37" s="263"/>
      <c r="AP37" s="263"/>
      <c r="AQ37" s="263"/>
      <c r="AR37" s="263"/>
      <c r="AS37" s="263"/>
      <c r="AT37" s="263"/>
      <c r="AU37" s="263"/>
      <c r="AV37" s="263"/>
      <c r="AW37" s="263"/>
      <c r="AX37" s="263"/>
      <c r="AY37" s="263">
        <f t="shared" si="74"/>
        <v>0</v>
      </c>
      <c r="BA37" s="277"/>
      <c r="BB37" s="277"/>
      <c r="BC37" s="277">
        <f t="shared" si="10"/>
        <v>0</v>
      </c>
      <c r="BE37" s="55">
        <f>P37+AH37+AY37+BC37</f>
        <v>0</v>
      </c>
      <c r="BF37" s="55"/>
      <c r="BG37" s="18"/>
      <c r="BH37" s="542"/>
      <c r="BI37" s="542"/>
      <c r="BJ37" s="542"/>
      <c r="BK37" s="542"/>
      <c r="BL37" s="542"/>
      <c r="BM37" s="542"/>
      <c r="BN37" s="542"/>
      <c r="BO37" s="542"/>
      <c r="BP37" s="542"/>
      <c r="BQ37" s="542"/>
      <c r="BR37" s="542"/>
      <c r="BS37" s="542"/>
      <c r="BT37" s="542"/>
      <c r="BU37" s="542"/>
      <c r="BV37" s="542"/>
      <c r="BW37" s="542"/>
      <c r="BX37" s="542"/>
      <c r="BY37" s="542"/>
      <c r="BZ37" s="542"/>
      <c r="CA37" s="542"/>
      <c r="CB37" s="542"/>
      <c r="CC37" s="542"/>
      <c r="CD37" s="542"/>
      <c r="CE37" s="542"/>
      <c r="CF37" s="542"/>
      <c r="CG37" s="542"/>
      <c r="CH37" s="542"/>
      <c r="CI37" s="542"/>
      <c r="CJ37" s="542"/>
      <c r="CK37" s="542"/>
      <c r="CL37" s="542"/>
      <c r="CM37" s="542"/>
      <c r="CN37" s="542"/>
      <c r="CO37" s="542"/>
      <c r="CP37" s="542"/>
      <c r="CQ37" s="542"/>
      <c r="CR37" s="542"/>
      <c r="CS37" s="542"/>
      <c r="CT37" s="542"/>
      <c r="CU37" s="542"/>
      <c r="CW37" s="151">
        <f t="shared" si="75"/>
        <v>0</v>
      </c>
    </row>
    <row r="38" spans="1:101" s="84" customFormat="1" outlineLevel="1" x14ac:dyDescent="0.2">
      <c r="A38" s="543"/>
      <c r="B38" s="543"/>
      <c r="C38" s="62" t="s">
        <v>405</v>
      </c>
      <c r="D38" s="61" t="str">
        <f>INDEX(Modules[Module], MATCH($C38, Modules[Code], 0))</f>
        <v>Petroleum refineries</v>
      </c>
      <c r="E38" s="61"/>
      <c r="G38" s="297">
        <f t="shared" ref="G38:O39" ca="1" si="92">IFERROR(INDEX(INDIRECT($C38&amp;".Outputs["&amp;this.Year&amp;"]"), MATCH(G$5, INDIRECT($C38&amp;".Outputs[Vector]"), 0)), 0)</f>
        <v>0</v>
      </c>
      <c r="H38" s="297">
        <f t="shared" ca="1" si="92"/>
        <v>0</v>
      </c>
      <c r="I38" s="297">
        <f t="shared" ca="1" si="92"/>
        <v>0</v>
      </c>
      <c r="J38" s="297">
        <f t="shared" ca="1" si="92"/>
        <v>0</v>
      </c>
      <c r="K38" s="297">
        <f t="shared" ca="1" si="92"/>
        <v>0</v>
      </c>
      <c r="L38" s="297">
        <f t="shared" ca="1" si="92"/>
        <v>0</v>
      </c>
      <c r="M38" s="297">
        <f t="shared" ca="1" si="92"/>
        <v>0</v>
      </c>
      <c r="N38" s="297">
        <f t="shared" ca="1" si="92"/>
        <v>0</v>
      </c>
      <c r="O38" s="297">
        <f t="shared" ca="1" si="92"/>
        <v>0</v>
      </c>
      <c r="P38" s="297">
        <f t="shared" ca="1" si="70"/>
        <v>0</v>
      </c>
      <c r="R38" s="304">
        <f t="shared" ref="R38:AX39" ca="1" si="93">IFERROR(INDEX(INDIRECT($C38&amp;".Outputs["&amp;this.Year&amp;"]"), MATCH(R$5, INDIRECT($C38&amp;".Outputs[Vector]"), 0)), 0)</f>
        <v>-3.193714371509536</v>
      </c>
      <c r="S38" s="304">
        <f t="shared" ca="1" si="93"/>
        <v>0</v>
      </c>
      <c r="T38" s="304">
        <f t="shared" ca="1" si="93"/>
        <v>0</v>
      </c>
      <c r="U38" s="304">
        <f t="shared" ca="1" si="93"/>
        <v>-0.14519930822036098</v>
      </c>
      <c r="V38" s="304">
        <f t="shared" ca="1" si="93"/>
        <v>-0.29564569033229832</v>
      </c>
      <c r="W38" s="304">
        <f t="shared" ca="1" si="93"/>
        <v>0</v>
      </c>
      <c r="X38" s="304">
        <f t="shared" ref="X38:Z39" ca="1" si="94">IFERROR(INDEX(INDIRECT($C38&amp;".Outputs["&amp;this.Year&amp;"]"), MATCH(X$5, INDIRECT($C38&amp;".Outputs[Vector]"), 0)), 0)</f>
        <v>0</v>
      </c>
      <c r="Y38" s="304">
        <f t="shared" ca="1" si="94"/>
        <v>0</v>
      </c>
      <c r="Z38" s="304">
        <f t="shared" ca="1" si="94"/>
        <v>0</v>
      </c>
      <c r="AA38" s="304">
        <f t="shared" ca="1" si="93"/>
        <v>0</v>
      </c>
      <c r="AB38" s="304">
        <f t="shared" ca="1" si="93"/>
        <v>0</v>
      </c>
      <c r="AC38" s="304">
        <f t="shared" ca="1" si="93"/>
        <v>0</v>
      </c>
      <c r="AD38" s="304">
        <f t="shared" ca="1" si="93"/>
        <v>0</v>
      </c>
      <c r="AE38" s="304">
        <f t="shared" ca="1" si="93"/>
        <v>0</v>
      </c>
      <c r="AF38" s="304">
        <f t="shared" ca="1" si="93"/>
        <v>0</v>
      </c>
      <c r="AG38" s="304">
        <f t="shared" ca="1" si="93"/>
        <v>0</v>
      </c>
      <c r="AH38" s="305">
        <f t="shared" ca="1" si="5"/>
        <v>-3.6345593700621954</v>
      </c>
      <c r="AJ38" s="312">
        <f t="shared" ref="AJ38:AR39" ca="1" si="95">IFERROR(INDEX(INDIRECT($C38&amp;".Outputs["&amp;this.Year&amp;"]"), MATCH(AJ$5, INDIRECT($C38&amp;".Outputs[Vector]"), 0)), 0)</f>
        <v>0</v>
      </c>
      <c r="AK38" s="312">
        <f t="shared" ca="1" si="95"/>
        <v>0</v>
      </c>
      <c r="AL38" s="312">
        <f t="shared" ca="1" si="95"/>
        <v>0</v>
      </c>
      <c r="AM38" s="312">
        <f t="shared" ca="1" si="95"/>
        <v>0</v>
      </c>
      <c r="AN38" s="312">
        <f t="shared" ca="1" si="95"/>
        <v>0</v>
      </c>
      <c r="AO38" s="312">
        <f t="shared" ca="1" si="95"/>
        <v>0</v>
      </c>
      <c r="AP38" s="312">
        <f t="shared" ca="1" si="95"/>
        <v>0</v>
      </c>
      <c r="AQ38" s="312">
        <f t="shared" ca="1" si="95"/>
        <v>0</v>
      </c>
      <c r="AR38" s="312">
        <f t="shared" ca="1" si="95"/>
        <v>0</v>
      </c>
      <c r="AS38" s="312">
        <f t="shared" ca="1" si="93"/>
        <v>0</v>
      </c>
      <c r="AT38" s="312">
        <f t="shared" ca="1" si="93"/>
        <v>0</v>
      </c>
      <c r="AU38" s="312">
        <f t="shared" ca="1" si="93"/>
        <v>0</v>
      </c>
      <c r="AV38" s="312">
        <f t="shared" ca="1" si="93"/>
        <v>0</v>
      </c>
      <c r="AW38" s="312">
        <f t="shared" ca="1" si="93"/>
        <v>0</v>
      </c>
      <c r="AX38" s="312">
        <f t="shared" ca="1" si="93"/>
        <v>0</v>
      </c>
      <c r="AY38" s="266">
        <f t="shared" ca="1" si="74"/>
        <v>0</v>
      </c>
      <c r="BA38" s="308">
        <f ca="1">IFERROR(INDEX(INDIRECT($C38&amp;".Outputs["&amp;this.Year&amp;"]"), MATCH(BA$5, INDIRECT($C38&amp;".Outputs[Vector]"), 0)), 0)</f>
        <v>0</v>
      </c>
      <c r="BB38" s="308">
        <f ca="1">IFERROR(INDEX(INDIRECT($C38&amp;".Outputs["&amp;this.Year&amp;"]"), MATCH(BB$5, INDIRECT($C38&amp;".Outputs[Vector]"), 0)), 0)</f>
        <v>3.6345593700621954</v>
      </c>
      <c r="BC38" s="309">
        <f t="shared" ca="1" si="10"/>
        <v>3.6345593700621954</v>
      </c>
      <c r="BE38" s="135">
        <f ca="1">P38+AH38+AY38+BC38</f>
        <v>0</v>
      </c>
      <c r="BF38" s="135"/>
      <c r="BG38" s="1428"/>
      <c r="BH38" s="541">
        <f t="shared" ref="BH38:BQ39" ca="1" si="96">IFERROR(SUMIFS(INDIRECT($C38&amp;".Emissions["&amp;this.Year&amp;"]"), INDIRECT($C38&amp;".Emissions[GHG]"), BH$6, INDIRECT($C38&amp;".Emissions[IPCC Sector]"), BH$5),0)</f>
        <v>9.0698634076233131E-2</v>
      </c>
      <c r="BI38" s="542">
        <f t="shared" ca="1" si="96"/>
        <v>1.5423477260469374E-4</v>
      </c>
      <c r="BJ38" s="542">
        <f t="shared" ca="1" si="96"/>
        <v>7.7038784596380268E-4</v>
      </c>
      <c r="BK38" s="542">
        <f t="shared" ca="1" si="96"/>
        <v>0</v>
      </c>
      <c r="BL38" s="542">
        <f t="shared" ca="1" si="96"/>
        <v>0</v>
      </c>
      <c r="BM38" s="542">
        <f t="shared" ca="1" si="96"/>
        <v>0</v>
      </c>
      <c r="BN38" s="542">
        <f t="shared" ca="1" si="96"/>
        <v>0</v>
      </c>
      <c r="BO38" s="542">
        <f t="shared" ca="1" si="96"/>
        <v>0</v>
      </c>
      <c r="BP38" s="542">
        <f t="shared" ca="1" si="96"/>
        <v>0</v>
      </c>
      <c r="BQ38" s="542">
        <f t="shared" ca="1" si="96"/>
        <v>0</v>
      </c>
      <c r="BR38" s="542">
        <f t="shared" ref="BR38:CA39" ca="1" si="97">IFERROR(SUMIFS(INDIRECT($C38&amp;".Emissions["&amp;this.Year&amp;"]"), INDIRECT($C38&amp;".Emissions[GHG]"), BR$6, INDIRECT($C38&amp;".Emissions[IPCC Sector]"), BR$5),0)</f>
        <v>0</v>
      </c>
      <c r="BS38" s="542">
        <f t="shared" ca="1" si="97"/>
        <v>0</v>
      </c>
      <c r="BT38" s="542">
        <f t="shared" ca="1" si="97"/>
        <v>0</v>
      </c>
      <c r="BU38" s="542">
        <f t="shared" ca="1" si="97"/>
        <v>0</v>
      </c>
      <c r="BV38" s="542">
        <f t="shared" ca="1" si="97"/>
        <v>0</v>
      </c>
      <c r="BW38" s="542">
        <f t="shared" ca="1" si="97"/>
        <v>0</v>
      </c>
      <c r="BX38" s="542">
        <f t="shared" ca="1" si="97"/>
        <v>0</v>
      </c>
      <c r="BY38" s="542">
        <f t="shared" ca="1" si="97"/>
        <v>0</v>
      </c>
      <c r="BZ38" s="542">
        <f t="shared" ca="1" si="97"/>
        <v>0</v>
      </c>
      <c r="CA38" s="542">
        <f t="shared" ca="1" si="97"/>
        <v>0</v>
      </c>
      <c r="CB38" s="542">
        <f t="shared" ref="CB38:CK39" ca="1" si="98">IFERROR(SUMIFS(INDIRECT($C38&amp;".Emissions["&amp;this.Year&amp;"]"), INDIRECT($C38&amp;".Emissions[GHG]"), CB$6, INDIRECT($C38&amp;".Emissions[IPCC Sector]"), CB$5),0)</f>
        <v>0</v>
      </c>
      <c r="CC38" s="542">
        <f t="shared" ca="1" si="98"/>
        <v>0</v>
      </c>
      <c r="CD38" s="542">
        <f t="shared" ca="1" si="98"/>
        <v>0</v>
      </c>
      <c r="CE38" s="542">
        <f t="shared" ca="1" si="98"/>
        <v>0</v>
      </c>
      <c r="CF38" s="542">
        <f t="shared" ca="1" si="98"/>
        <v>0</v>
      </c>
      <c r="CG38" s="542">
        <f t="shared" ca="1" si="98"/>
        <v>0</v>
      </c>
      <c r="CH38" s="542">
        <f t="shared" ca="1" si="98"/>
        <v>0</v>
      </c>
      <c r="CI38" s="542">
        <f t="shared" ca="1" si="98"/>
        <v>0</v>
      </c>
      <c r="CJ38" s="542">
        <f t="shared" ca="1" si="98"/>
        <v>0</v>
      </c>
      <c r="CK38" s="542">
        <f t="shared" ca="1" si="98"/>
        <v>0</v>
      </c>
      <c r="CL38" s="542">
        <f t="shared" ref="CL38:CU39" ca="1" si="99">IFERROR(SUMIFS(INDIRECT($C38&amp;".Emissions["&amp;this.Year&amp;"]"), INDIRECT($C38&amp;".Emissions[GHG]"), CL$6, INDIRECT($C38&amp;".Emissions[IPCC Sector]"), CL$5),0)</f>
        <v>0</v>
      </c>
      <c r="CM38" s="542">
        <f t="shared" ca="1" si="99"/>
        <v>0</v>
      </c>
      <c r="CN38" s="542">
        <f t="shared" ca="1" si="99"/>
        <v>0</v>
      </c>
      <c r="CO38" s="542">
        <f t="shared" ca="1" si="99"/>
        <v>0</v>
      </c>
      <c r="CP38" s="542">
        <f t="shared" ca="1" si="99"/>
        <v>0</v>
      </c>
      <c r="CQ38" s="542">
        <f t="shared" ca="1" si="99"/>
        <v>0</v>
      </c>
      <c r="CR38" s="542">
        <f t="shared" ca="1" si="99"/>
        <v>0</v>
      </c>
      <c r="CS38" s="542">
        <f t="shared" ca="1" si="99"/>
        <v>0</v>
      </c>
      <c r="CT38" s="542">
        <f t="shared" ca="1" si="99"/>
        <v>0</v>
      </c>
      <c r="CU38" s="542">
        <f t="shared" ca="1" si="99"/>
        <v>0</v>
      </c>
      <c r="CW38" s="151">
        <f t="shared" ca="1" si="75"/>
        <v>9.1623256694801619E-2</v>
      </c>
    </row>
    <row r="39" spans="1:101" s="84" customFormat="1" outlineLevel="1" x14ac:dyDescent="0.2">
      <c r="A39" s="543"/>
      <c r="B39" s="543"/>
      <c r="C39" s="62" t="s">
        <v>415</v>
      </c>
      <c r="D39" s="292" t="str">
        <f>INDEX(Modules[Module], MATCH($C39, Modules[Code], 0))</f>
        <v>Indigenous fossil-fuel production</v>
      </c>
      <c r="E39" s="292"/>
      <c r="G39" s="301">
        <f t="shared" ca="1" si="92"/>
        <v>0</v>
      </c>
      <c r="H39" s="301">
        <f t="shared" ca="1" si="92"/>
        <v>0</v>
      </c>
      <c r="I39" s="301">
        <f t="shared" ca="1" si="92"/>
        <v>0</v>
      </c>
      <c r="J39" s="301">
        <f t="shared" ca="1" si="92"/>
        <v>210.27995552506209</v>
      </c>
      <c r="K39" s="301">
        <f t="shared" ca="1" si="92"/>
        <v>0</v>
      </c>
      <c r="L39" s="301">
        <f t="shared" ca="1" si="92"/>
        <v>0</v>
      </c>
      <c r="M39" s="301">
        <f t="shared" ca="1" si="92"/>
        <v>0</v>
      </c>
      <c r="N39" s="301">
        <f t="shared" ca="1" si="92"/>
        <v>0</v>
      </c>
      <c r="O39" s="301">
        <f t="shared" ca="1" si="92"/>
        <v>0</v>
      </c>
      <c r="P39" s="301">
        <f t="shared" ca="1" si="70"/>
        <v>210.27995552506209</v>
      </c>
      <c r="R39" s="307">
        <f t="shared" ca="1" si="93"/>
        <v>-1.0884936119654052</v>
      </c>
      <c r="S39" s="307">
        <f t="shared" ca="1" si="93"/>
        <v>0</v>
      </c>
      <c r="T39" s="307">
        <f t="shared" ca="1" si="93"/>
        <v>-1.2215406695969209E-2</v>
      </c>
      <c r="U39" s="307">
        <f t="shared" ca="1" si="93"/>
        <v>0</v>
      </c>
      <c r="V39" s="307">
        <f t="shared" ca="1" si="93"/>
        <v>-209.17924650640072</v>
      </c>
      <c r="W39" s="307">
        <f t="shared" ca="1" si="93"/>
        <v>0</v>
      </c>
      <c r="X39" s="307">
        <f t="shared" ca="1" si="94"/>
        <v>34</v>
      </c>
      <c r="Y39" s="307">
        <f t="shared" ca="1" si="94"/>
        <v>1427.6749096540002</v>
      </c>
      <c r="Z39" s="307">
        <f t="shared" ca="1" si="94"/>
        <v>892.09733333333338</v>
      </c>
      <c r="AA39" s="307">
        <f t="shared" ca="1" si="93"/>
        <v>0</v>
      </c>
      <c r="AB39" s="307">
        <f t="shared" ca="1" si="93"/>
        <v>0</v>
      </c>
      <c r="AC39" s="307">
        <f t="shared" ca="1" si="93"/>
        <v>0</v>
      </c>
      <c r="AD39" s="307">
        <f t="shared" ca="1" si="93"/>
        <v>0</v>
      </c>
      <c r="AE39" s="307">
        <f t="shared" ca="1" si="93"/>
        <v>0</v>
      </c>
      <c r="AF39" s="307">
        <f t="shared" ca="1" si="93"/>
        <v>0</v>
      </c>
      <c r="AG39" s="307">
        <f t="shared" ca="1" si="93"/>
        <v>0</v>
      </c>
      <c r="AH39" s="306">
        <f t="shared" ca="1" si="5"/>
        <v>2143.4922874622716</v>
      </c>
      <c r="AJ39" s="315">
        <f t="shared" ca="1" si="95"/>
        <v>-34</v>
      </c>
      <c r="AK39" s="315">
        <f t="shared" ca="1" si="95"/>
        <v>-1427.6749096540002</v>
      </c>
      <c r="AL39" s="315">
        <f t="shared" ca="1" si="95"/>
        <v>-892.09733333333338</v>
      </c>
      <c r="AM39" s="315">
        <f t="shared" ca="1" si="95"/>
        <v>0</v>
      </c>
      <c r="AN39" s="315">
        <f t="shared" ca="1" si="95"/>
        <v>0</v>
      </c>
      <c r="AO39" s="315">
        <f t="shared" ca="1" si="95"/>
        <v>0</v>
      </c>
      <c r="AP39" s="315">
        <f t="shared" ca="1" si="95"/>
        <v>0</v>
      </c>
      <c r="AQ39" s="315">
        <f t="shared" ca="1" si="95"/>
        <v>0</v>
      </c>
      <c r="AR39" s="315">
        <f t="shared" ca="1" si="95"/>
        <v>0</v>
      </c>
      <c r="AS39" s="315">
        <f t="shared" ca="1" si="93"/>
        <v>0</v>
      </c>
      <c r="AT39" s="315">
        <f t="shared" ca="1" si="93"/>
        <v>0</v>
      </c>
      <c r="AU39" s="315">
        <f t="shared" ca="1" si="93"/>
        <v>0</v>
      </c>
      <c r="AV39" s="315">
        <f t="shared" ca="1" si="93"/>
        <v>0</v>
      </c>
      <c r="AW39" s="315">
        <f t="shared" ca="1" si="93"/>
        <v>0</v>
      </c>
      <c r="AX39" s="315">
        <f t="shared" ca="1" si="93"/>
        <v>0</v>
      </c>
      <c r="AY39" s="293">
        <f t="shared" ca="1" si="74"/>
        <v>-2353.7722429873338</v>
      </c>
      <c r="BA39" s="311">
        <f ca="1">IFERROR(INDEX(INDIRECT($C39&amp;".Outputs["&amp;this.Year&amp;"]"), MATCH(BA$5, INDIRECT($C39&amp;".Outputs[Vector]"), 0)), 0)</f>
        <v>0</v>
      </c>
      <c r="BB39" s="311">
        <f ca="1">IFERROR(INDEX(INDIRECT($C39&amp;".Outputs["&amp;this.Year&amp;"]"), MATCH(BB$5, INDIRECT($C39&amp;".Outputs[Vector]"), 0)), 0)</f>
        <v>0</v>
      </c>
      <c r="BC39" s="310">
        <f t="shared" ca="1" si="10"/>
        <v>0</v>
      </c>
      <c r="BE39" s="135"/>
      <c r="BF39" s="135"/>
      <c r="BG39" s="1428"/>
      <c r="BH39" s="544">
        <f t="shared" ca="1" si="96"/>
        <v>38.484404864633213</v>
      </c>
      <c r="BI39" s="545">
        <f t="shared" ca="1" si="96"/>
        <v>7.7141439544536533E-2</v>
      </c>
      <c r="BJ39" s="545">
        <f t="shared" ca="1" si="96"/>
        <v>8.2969368579430408E-2</v>
      </c>
      <c r="BK39" s="545">
        <f t="shared" ca="1" si="96"/>
        <v>0</v>
      </c>
      <c r="BL39" s="545">
        <f t="shared" ca="1" si="96"/>
        <v>6.5172857142857152</v>
      </c>
      <c r="BM39" s="545">
        <f t="shared" ca="1" si="96"/>
        <v>4.6272363580070176E-2</v>
      </c>
      <c r="BN39" s="545">
        <f t="shared" ca="1" si="96"/>
        <v>0</v>
      </c>
      <c r="BO39" s="545">
        <f t="shared" ca="1" si="96"/>
        <v>0</v>
      </c>
      <c r="BP39" s="545">
        <f t="shared" ca="1" si="96"/>
        <v>0</v>
      </c>
      <c r="BQ39" s="545">
        <f t="shared" ca="1" si="96"/>
        <v>0</v>
      </c>
      <c r="BR39" s="545">
        <f t="shared" ca="1" si="97"/>
        <v>0</v>
      </c>
      <c r="BS39" s="545">
        <f t="shared" ca="1" si="97"/>
        <v>0</v>
      </c>
      <c r="BT39" s="545">
        <f t="shared" ca="1" si="97"/>
        <v>0</v>
      </c>
      <c r="BU39" s="545">
        <f t="shared" ca="1" si="97"/>
        <v>0</v>
      </c>
      <c r="BV39" s="545">
        <f t="shared" ca="1" si="97"/>
        <v>0</v>
      </c>
      <c r="BW39" s="545">
        <f t="shared" ca="1" si="97"/>
        <v>0</v>
      </c>
      <c r="BX39" s="545">
        <f t="shared" ca="1" si="97"/>
        <v>0</v>
      </c>
      <c r="BY39" s="545">
        <f t="shared" ca="1" si="97"/>
        <v>0</v>
      </c>
      <c r="BZ39" s="545">
        <f t="shared" ca="1" si="97"/>
        <v>0</v>
      </c>
      <c r="CA39" s="545">
        <f t="shared" ca="1" si="97"/>
        <v>0</v>
      </c>
      <c r="CB39" s="545">
        <f t="shared" ca="1" si="98"/>
        <v>0</v>
      </c>
      <c r="CC39" s="545">
        <f t="shared" ca="1" si="98"/>
        <v>0</v>
      </c>
      <c r="CD39" s="545">
        <f t="shared" ca="1" si="98"/>
        <v>0</v>
      </c>
      <c r="CE39" s="545">
        <f t="shared" ca="1" si="98"/>
        <v>0</v>
      </c>
      <c r="CF39" s="545">
        <f t="shared" ca="1" si="98"/>
        <v>0</v>
      </c>
      <c r="CG39" s="545">
        <f t="shared" ca="1" si="98"/>
        <v>0</v>
      </c>
      <c r="CH39" s="545">
        <f t="shared" ca="1" si="98"/>
        <v>0</v>
      </c>
      <c r="CI39" s="545">
        <f t="shared" ca="1" si="98"/>
        <v>0</v>
      </c>
      <c r="CJ39" s="545">
        <f t="shared" ca="1" si="98"/>
        <v>0</v>
      </c>
      <c r="CK39" s="545">
        <f t="shared" ca="1" si="98"/>
        <v>0</v>
      </c>
      <c r="CL39" s="545">
        <f t="shared" ca="1" si="99"/>
        <v>0</v>
      </c>
      <c r="CM39" s="545">
        <f t="shared" ca="1" si="99"/>
        <v>0</v>
      </c>
      <c r="CN39" s="545">
        <f t="shared" ca="1" si="99"/>
        <v>0</v>
      </c>
      <c r="CO39" s="545">
        <f t="shared" ca="1" si="99"/>
        <v>0</v>
      </c>
      <c r="CP39" s="545">
        <f t="shared" ca="1" si="99"/>
        <v>0</v>
      </c>
      <c r="CQ39" s="545">
        <f t="shared" ca="1" si="99"/>
        <v>0</v>
      </c>
      <c r="CR39" s="545">
        <f t="shared" ca="1" si="99"/>
        <v>0</v>
      </c>
      <c r="CS39" s="545">
        <f t="shared" ca="1" si="99"/>
        <v>0</v>
      </c>
      <c r="CT39" s="545">
        <f t="shared" ca="1" si="99"/>
        <v>0</v>
      </c>
      <c r="CU39" s="545">
        <f t="shared" ca="1" si="99"/>
        <v>0</v>
      </c>
      <c r="CW39" s="151">
        <f t="shared" ca="1" si="75"/>
        <v>45.208073750622965</v>
      </c>
    </row>
    <row r="40" spans="1:101" s="84" customFormat="1" ht="15.75" x14ac:dyDescent="0.2">
      <c r="A40" s="547"/>
      <c r="B40" s="548"/>
      <c r="C40" s="85" t="s">
        <v>403</v>
      </c>
      <c r="D40" s="57" t="str">
        <f>INDEX(Workstreams[Workstream], MATCH($C40, Workstreams[Code], 0))</f>
        <v>Fossil fuel production</v>
      </c>
      <c r="E40" s="53"/>
      <c r="G40" s="300">
        <f ca="1">SUM(G38:G39)</f>
        <v>0</v>
      </c>
      <c r="H40" s="300">
        <f t="shared" ref="H40:O40" ca="1" si="100">SUM(H38:H39)</f>
        <v>0</v>
      </c>
      <c r="I40" s="300">
        <f ca="1">SUM(I38:I39)</f>
        <v>0</v>
      </c>
      <c r="J40" s="300">
        <f t="shared" ca="1" si="100"/>
        <v>210.27995552506209</v>
      </c>
      <c r="K40" s="300">
        <f t="shared" ca="1" si="100"/>
        <v>0</v>
      </c>
      <c r="L40" s="300">
        <f t="shared" ca="1" si="100"/>
        <v>0</v>
      </c>
      <c r="M40" s="300">
        <f t="shared" ca="1" si="100"/>
        <v>0</v>
      </c>
      <c r="N40" s="300">
        <f t="shared" ca="1" si="100"/>
        <v>0</v>
      </c>
      <c r="O40" s="300">
        <f t="shared" ca="1" si="100"/>
        <v>0</v>
      </c>
      <c r="P40" s="300">
        <f t="shared" ca="1" si="70"/>
        <v>210.27995552506209</v>
      </c>
      <c r="R40" s="257">
        <f t="shared" ref="R40:AE40" ca="1" si="101">SUM(R38:R39)</f>
        <v>-4.2822079834749411</v>
      </c>
      <c r="S40" s="257">
        <f t="shared" ca="1" si="101"/>
        <v>0</v>
      </c>
      <c r="T40" s="257">
        <f t="shared" ca="1" si="101"/>
        <v>-1.2215406695969209E-2</v>
      </c>
      <c r="U40" s="257">
        <f t="shared" ca="1" si="101"/>
        <v>-0.14519930822036098</v>
      </c>
      <c r="V40" s="257">
        <f t="shared" ca="1" si="101"/>
        <v>-209.47489219673301</v>
      </c>
      <c r="W40" s="257">
        <f ca="1">SUM(W38:W39)</f>
        <v>0</v>
      </c>
      <c r="X40" s="257">
        <f ca="1">SUM(X38:X39)</f>
        <v>34</v>
      </c>
      <c r="Y40" s="257">
        <f ca="1">SUM(Y38:Y39)</f>
        <v>1427.6749096540002</v>
      </c>
      <c r="Z40" s="257">
        <f ca="1">SUM(Z38:Z39)</f>
        <v>892.09733333333338</v>
      </c>
      <c r="AA40" s="257">
        <f t="shared" ca="1" si="101"/>
        <v>0</v>
      </c>
      <c r="AB40" s="257">
        <f t="shared" ca="1" si="101"/>
        <v>0</v>
      </c>
      <c r="AC40" s="257">
        <f ca="1">SUM(AC38:AC39)</f>
        <v>0</v>
      </c>
      <c r="AD40" s="257">
        <f ca="1">SUM(AD38:AD39)</f>
        <v>0</v>
      </c>
      <c r="AE40" s="257">
        <f t="shared" ca="1" si="101"/>
        <v>0</v>
      </c>
      <c r="AF40" s="257">
        <f ca="1">SUM(AF38:AF39)</f>
        <v>0</v>
      </c>
      <c r="AG40" s="257">
        <f ca="1">SUM(AG38:AG39)</f>
        <v>0</v>
      </c>
      <c r="AH40" s="257">
        <f t="shared" ca="1" si="5"/>
        <v>2139.8577280922091</v>
      </c>
      <c r="AJ40" s="263">
        <f t="shared" ref="AJ40:AX40" ca="1" si="102">SUM(AJ38:AJ39)</f>
        <v>-34</v>
      </c>
      <c r="AK40" s="263">
        <f t="shared" ca="1" si="102"/>
        <v>-1427.6749096540002</v>
      </c>
      <c r="AL40" s="263">
        <f t="shared" ca="1" si="102"/>
        <v>-892.09733333333338</v>
      </c>
      <c r="AM40" s="263">
        <f t="shared" ca="1" si="102"/>
        <v>0</v>
      </c>
      <c r="AN40" s="263">
        <f t="shared" ca="1" si="102"/>
        <v>0</v>
      </c>
      <c r="AO40" s="263">
        <f t="shared" ca="1" si="102"/>
        <v>0</v>
      </c>
      <c r="AP40" s="263">
        <f t="shared" ca="1" si="102"/>
        <v>0</v>
      </c>
      <c r="AQ40" s="263">
        <f t="shared" ca="1" si="102"/>
        <v>0</v>
      </c>
      <c r="AR40" s="263">
        <f t="shared" ca="1" si="102"/>
        <v>0</v>
      </c>
      <c r="AS40" s="263">
        <f t="shared" ca="1" si="102"/>
        <v>0</v>
      </c>
      <c r="AT40" s="263">
        <f t="shared" ca="1" si="102"/>
        <v>0</v>
      </c>
      <c r="AU40" s="263">
        <f t="shared" ca="1" si="102"/>
        <v>0</v>
      </c>
      <c r="AV40" s="263">
        <f t="shared" ca="1" si="102"/>
        <v>0</v>
      </c>
      <c r="AW40" s="263">
        <f t="shared" ca="1" si="102"/>
        <v>0</v>
      </c>
      <c r="AX40" s="263">
        <f t="shared" ca="1" si="102"/>
        <v>0</v>
      </c>
      <c r="AY40" s="263">
        <f t="shared" ca="1" si="74"/>
        <v>-2353.7722429873338</v>
      </c>
      <c r="BA40" s="277">
        <f ca="1">SUM(BA38:BA39)</f>
        <v>0</v>
      </c>
      <c r="BB40" s="277">
        <f ca="1">SUM(BB38:BB39)</f>
        <v>3.6345593700621954</v>
      </c>
      <c r="BC40" s="277">
        <f t="shared" ca="1" si="10"/>
        <v>3.6345593700621954</v>
      </c>
      <c r="BE40" s="55">
        <f t="shared" ref="BE40:BE47" ca="1" si="103">P40+AH40+AY40+BC40</f>
        <v>-3.659295089164516E-13</v>
      </c>
      <c r="BF40" s="164"/>
      <c r="BG40" s="1428"/>
      <c r="BH40" s="541">
        <f t="shared" ref="BH40:CU40" ca="1" si="104">SUM(BH38:BH39)</f>
        <v>38.575103498709446</v>
      </c>
      <c r="BI40" s="542">
        <f t="shared" ca="1" si="104"/>
        <v>7.7295674317141225E-2</v>
      </c>
      <c r="BJ40" s="542">
        <f t="shared" ca="1" si="104"/>
        <v>8.3739756425394204E-2</v>
      </c>
      <c r="BK40" s="542">
        <f t="shared" ca="1" si="104"/>
        <v>0</v>
      </c>
      <c r="BL40" s="542">
        <f t="shared" ca="1" si="104"/>
        <v>6.5172857142857152</v>
      </c>
      <c r="BM40" s="542">
        <f t="shared" ca="1" si="104"/>
        <v>4.6272363580070176E-2</v>
      </c>
      <c r="BN40" s="542">
        <f t="shared" ca="1" si="104"/>
        <v>0</v>
      </c>
      <c r="BO40" s="542">
        <f t="shared" ca="1" si="104"/>
        <v>0</v>
      </c>
      <c r="BP40" s="542">
        <f t="shared" ca="1" si="104"/>
        <v>0</v>
      </c>
      <c r="BQ40" s="542">
        <f t="shared" ca="1" si="104"/>
        <v>0</v>
      </c>
      <c r="BR40" s="542">
        <f t="shared" ca="1" si="104"/>
        <v>0</v>
      </c>
      <c r="BS40" s="542">
        <f t="shared" ca="1" si="104"/>
        <v>0</v>
      </c>
      <c r="BT40" s="542">
        <f t="shared" ca="1" si="104"/>
        <v>0</v>
      </c>
      <c r="BU40" s="542">
        <f t="shared" ca="1" si="104"/>
        <v>0</v>
      </c>
      <c r="BV40" s="542">
        <f t="shared" ca="1" si="104"/>
        <v>0</v>
      </c>
      <c r="BW40" s="542">
        <f t="shared" ca="1" si="104"/>
        <v>0</v>
      </c>
      <c r="BX40" s="542">
        <f t="shared" ca="1" si="104"/>
        <v>0</v>
      </c>
      <c r="BY40" s="542">
        <f t="shared" ca="1" si="104"/>
        <v>0</v>
      </c>
      <c r="BZ40" s="542">
        <f t="shared" ca="1" si="104"/>
        <v>0</v>
      </c>
      <c r="CA40" s="542">
        <f t="shared" ca="1" si="104"/>
        <v>0</v>
      </c>
      <c r="CB40" s="542">
        <f t="shared" ca="1" si="104"/>
        <v>0</v>
      </c>
      <c r="CC40" s="542">
        <f t="shared" ca="1" si="104"/>
        <v>0</v>
      </c>
      <c r="CD40" s="542">
        <f t="shared" ca="1" si="104"/>
        <v>0</v>
      </c>
      <c r="CE40" s="542">
        <f t="shared" ca="1" si="104"/>
        <v>0</v>
      </c>
      <c r="CF40" s="542">
        <f t="shared" ca="1" si="104"/>
        <v>0</v>
      </c>
      <c r="CG40" s="542">
        <f t="shared" ca="1" si="104"/>
        <v>0</v>
      </c>
      <c r="CH40" s="542">
        <f t="shared" ca="1" si="104"/>
        <v>0</v>
      </c>
      <c r="CI40" s="542">
        <f t="shared" ca="1" si="104"/>
        <v>0</v>
      </c>
      <c r="CJ40" s="542">
        <f t="shared" ca="1" si="104"/>
        <v>0</v>
      </c>
      <c r="CK40" s="542">
        <f t="shared" ca="1" si="104"/>
        <v>0</v>
      </c>
      <c r="CL40" s="542">
        <f t="shared" ca="1" si="104"/>
        <v>0</v>
      </c>
      <c r="CM40" s="542">
        <f t="shared" ca="1" si="104"/>
        <v>0</v>
      </c>
      <c r="CN40" s="542">
        <f t="shared" ca="1" si="104"/>
        <v>0</v>
      </c>
      <c r="CO40" s="542">
        <f t="shared" ca="1" si="104"/>
        <v>0</v>
      </c>
      <c r="CP40" s="542">
        <f t="shared" ca="1" si="104"/>
        <v>0</v>
      </c>
      <c r="CQ40" s="542">
        <f t="shared" ca="1" si="104"/>
        <v>0</v>
      </c>
      <c r="CR40" s="542">
        <f t="shared" ca="1" si="104"/>
        <v>0</v>
      </c>
      <c r="CS40" s="542">
        <f t="shared" ca="1" si="104"/>
        <v>0</v>
      </c>
      <c r="CT40" s="542">
        <f t="shared" ca="1" si="104"/>
        <v>0</v>
      </c>
      <c r="CU40" s="542">
        <f t="shared" ca="1" si="104"/>
        <v>0</v>
      </c>
      <c r="CW40" s="151">
        <f t="shared" ca="1" si="75"/>
        <v>45.299697007317768</v>
      </c>
    </row>
    <row r="41" spans="1:101" s="84" customFormat="1" outlineLevel="1" x14ac:dyDescent="0.2">
      <c r="C41" s="60"/>
      <c r="D41" s="34"/>
      <c r="E41" s="51"/>
      <c r="G41" s="245"/>
      <c r="H41" s="245"/>
      <c r="I41" s="245"/>
      <c r="J41" s="245"/>
      <c r="K41" s="245"/>
      <c r="L41" s="247"/>
      <c r="M41" s="245"/>
      <c r="N41" s="245"/>
      <c r="O41" s="245"/>
      <c r="P41" s="245">
        <f t="shared" si="70"/>
        <v>0</v>
      </c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>
        <f t="shared" si="5"/>
        <v>0</v>
      </c>
      <c r="AJ41" s="263"/>
      <c r="AK41" s="263"/>
      <c r="AL41" s="263"/>
      <c r="AM41" s="263"/>
      <c r="AN41" s="263"/>
      <c r="AO41" s="263"/>
      <c r="AP41" s="263"/>
      <c r="AQ41" s="263"/>
      <c r="AR41" s="263"/>
      <c r="AS41" s="263"/>
      <c r="AT41" s="263"/>
      <c r="AU41" s="263"/>
      <c r="AV41" s="263"/>
      <c r="AW41" s="263"/>
      <c r="AX41" s="263"/>
      <c r="AY41" s="263">
        <f t="shared" si="74"/>
        <v>0</v>
      </c>
      <c r="BA41" s="277"/>
      <c r="BB41" s="277"/>
      <c r="BC41" s="277">
        <f t="shared" si="10"/>
        <v>0</v>
      </c>
      <c r="BE41" s="55">
        <f t="shared" si="103"/>
        <v>0</v>
      </c>
      <c r="BF41" s="55"/>
      <c r="BH41" s="542"/>
      <c r="BI41" s="542"/>
      <c r="BJ41" s="542"/>
      <c r="BK41" s="542"/>
      <c r="BL41" s="542"/>
      <c r="BM41" s="542"/>
      <c r="BN41" s="542"/>
      <c r="BO41" s="542"/>
      <c r="BP41" s="542"/>
      <c r="BQ41" s="542"/>
      <c r="BR41" s="542"/>
      <c r="BS41" s="542"/>
      <c r="BT41" s="542"/>
      <c r="BU41" s="542"/>
      <c r="BV41" s="542"/>
      <c r="BW41" s="542"/>
      <c r="BX41" s="542"/>
      <c r="BY41" s="542"/>
      <c r="BZ41" s="542"/>
      <c r="CA41" s="542"/>
      <c r="CB41" s="542"/>
      <c r="CC41" s="542"/>
      <c r="CD41" s="542"/>
      <c r="CE41" s="542"/>
      <c r="CF41" s="542"/>
      <c r="CG41" s="542"/>
      <c r="CH41" s="542"/>
      <c r="CI41" s="542"/>
      <c r="CJ41" s="542"/>
      <c r="CK41" s="542"/>
      <c r="CL41" s="542"/>
      <c r="CM41" s="542"/>
      <c r="CN41" s="542"/>
      <c r="CO41" s="542"/>
      <c r="CP41" s="542"/>
      <c r="CQ41" s="542"/>
      <c r="CR41" s="542"/>
      <c r="CS41" s="542"/>
      <c r="CT41" s="542"/>
      <c r="CU41" s="542"/>
      <c r="CW41" s="151">
        <f t="shared" si="75"/>
        <v>0</v>
      </c>
    </row>
    <row r="42" spans="1:101" s="543" customFormat="1" ht="12.75" customHeight="1" outlineLevel="1" x14ac:dyDescent="0.2">
      <c r="C42" s="86" t="s">
        <v>864</v>
      </c>
      <c r="D42" s="61" t="str">
        <f>INDEX(Modules[Module], MATCH($C42, Modules[Code], 0))</f>
        <v xml:space="preserve">Wind </v>
      </c>
      <c r="E42" s="61"/>
      <c r="F42" s="84"/>
      <c r="G42" s="297">
        <f t="shared" ref="G42:O46" ca="1" si="105">IFERROR(INDEX(INDIRECT($C42&amp;".Outputs["&amp;this.Year&amp;"]"), MATCH(G$5, INDIRECT($C42&amp;".Outputs[Vector]"), 0)), 0)</f>
        <v>0</v>
      </c>
      <c r="H42" s="297">
        <f t="shared" ca="1" si="105"/>
        <v>0</v>
      </c>
      <c r="I42" s="297">
        <f t="shared" ca="1" si="105"/>
        <v>0</v>
      </c>
      <c r="J42" s="297">
        <f t="shared" ca="1" si="105"/>
        <v>0</v>
      </c>
      <c r="K42" s="297">
        <f t="shared" ca="1" si="105"/>
        <v>0</v>
      </c>
      <c r="L42" s="297">
        <f t="shared" ca="1" si="105"/>
        <v>0</v>
      </c>
      <c r="M42" s="297">
        <f t="shared" ca="1" si="105"/>
        <v>0</v>
      </c>
      <c r="N42" s="297">
        <f t="shared" ca="1" si="105"/>
        <v>0</v>
      </c>
      <c r="O42" s="297">
        <f t="shared" ca="1" si="105"/>
        <v>0</v>
      </c>
      <c r="P42" s="297">
        <f t="shared" ca="1" si="70"/>
        <v>0</v>
      </c>
      <c r="Q42" s="84"/>
      <c r="R42" s="304">
        <f t="shared" ref="R42:AX46" ca="1" si="106">IFERROR(INDEX(INDIRECT($C42&amp;".Outputs["&amp;this.Year&amp;"]"), MATCH(R$5, INDIRECT($C42&amp;".Outputs[Vector]"), 0)), 0)</f>
        <v>0</v>
      </c>
      <c r="S42" s="304">
        <f t="shared" ca="1" si="106"/>
        <v>11.045159999999999</v>
      </c>
      <c r="T42" s="304">
        <f t="shared" ca="1" si="106"/>
        <v>0</v>
      </c>
      <c r="U42" s="304">
        <f t="shared" ca="1" si="106"/>
        <v>0</v>
      </c>
      <c r="V42" s="304">
        <f t="shared" ca="1" si="106"/>
        <v>0</v>
      </c>
      <c r="W42" s="304">
        <f t="shared" ca="1" si="106"/>
        <v>0</v>
      </c>
      <c r="X42" s="304">
        <f t="shared" ref="X42:Z46" ca="1" si="107">IFERROR(INDEX(INDIRECT($C42&amp;".Outputs["&amp;this.Year&amp;"]"), MATCH(X$5, INDIRECT($C42&amp;".Outputs[Vector]"), 0)), 0)</f>
        <v>0</v>
      </c>
      <c r="Y42" s="304">
        <f t="shared" ca="1" si="107"/>
        <v>0</v>
      </c>
      <c r="Z42" s="304">
        <f t="shared" ca="1" si="107"/>
        <v>0</v>
      </c>
      <c r="AA42" s="304">
        <f t="shared" ca="1" si="106"/>
        <v>0</v>
      </c>
      <c r="AB42" s="304">
        <f t="shared" ca="1" si="106"/>
        <v>0</v>
      </c>
      <c r="AC42" s="304">
        <f t="shared" ca="1" si="106"/>
        <v>0</v>
      </c>
      <c r="AD42" s="304">
        <f t="shared" ca="1" si="106"/>
        <v>0</v>
      </c>
      <c r="AE42" s="304">
        <f t="shared" ca="1" si="106"/>
        <v>0</v>
      </c>
      <c r="AF42" s="304">
        <f t="shared" ca="1" si="106"/>
        <v>0</v>
      </c>
      <c r="AG42" s="304">
        <f t="shared" ca="1" si="106"/>
        <v>0</v>
      </c>
      <c r="AH42" s="305">
        <f t="shared" ca="1" si="5"/>
        <v>11.045159999999999</v>
      </c>
      <c r="AI42" s="84"/>
      <c r="AJ42" s="312">
        <f t="shared" ref="AJ42:AR46" ca="1" si="108">IFERROR(INDEX(INDIRECT($C42&amp;".Outputs["&amp;this.Year&amp;"]"), MATCH(AJ$5, INDIRECT($C42&amp;".Outputs[Vector]"), 0)), 0)</f>
        <v>0</v>
      </c>
      <c r="AK42" s="312">
        <f t="shared" ca="1" si="108"/>
        <v>0</v>
      </c>
      <c r="AL42" s="312">
        <f t="shared" ca="1" si="108"/>
        <v>0</v>
      </c>
      <c r="AM42" s="312">
        <f t="shared" ca="1" si="108"/>
        <v>0</v>
      </c>
      <c r="AN42" s="312">
        <f t="shared" ca="1" si="108"/>
        <v>0</v>
      </c>
      <c r="AO42" s="312">
        <f t="shared" ca="1" si="108"/>
        <v>0</v>
      </c>
      <c r="AP42" s="312">
        <f t="shared" ca="1" si="108"/>
        <v>0</v>
      </c>
      <c r="AQ42" s="312">
        <f t="shared" ca="1" si="108"/>
        <v>0</v>
      </c>
      <c r="AR42" s="312">
        <f t="shared" ca="1" si="108"/>
        <v>0</v>
      </c>
      <c r="AS42" s="312">
        <f t="shared" ca="1" si="106"/>
        <v>0</v>
      </c>
      <c r="AT42" s="312">
        <f t="shared" ca="1" si="106"/>
        <v>0</v>
      </c>
      <c r="AU42" s="312">
        <f t="shared" ca="1" si="106"/>
        <v>-11.045159999999999</v>
      </c>
      <c r="AV42" s="312">
        <f t="shared" ca="1" si="106"/>
        <v>0</v>
      </c>
      <c r="AW42" s="312">
        <f t="shared" ca="1" si="106"/>
        <v>0</v>
      </c>
      <c r="AX42" s="312">
        <f t="shared" ca="1" si="106"/>
        <v>0</v>
      </c>
      <c r="AY42" s="266">
        <f t="shared" ca="1" si="74"/>
        <v>-11.045159999999999</v>
      </c>
      <c r="AZ42" s="84"/>
      <c r="BA42" s="308">
        <f t="shared" ref="BA42:BB46" ca="1" si="109">IFERROR(INDEX(INDIRECT($C42&amp;".Outputs["&amp;this.Year&amp;"]"), MATCH(BA$5, INDIRECT($C42&amp;".Outputs[Vector]"), 0)), 0)</f>
        <v>0</v>
      </c>
      <c r="BB42" s="308">
        <f t="shared" ca="1" si="109"/>
        <v>0</v>
      </c>
      <c r="BC42" s="309">
        <f t="shared" ca="1" si="10"/>
        <v>0</v>
      </c>
      <c r="BD42" s="84"/>
      <c r="BE42" s="135">
        <f t="shared" ca="1" si="103"/>
        <v>0</v>
      </c>
      <c r="BF42" s="135"/>
      <c r="BG42" s="1428"/>
      <c r="BH42" s="541">
        <f t="shared" ref="BH42:BQ46" ca="1" si="110">IFERROR(SUMIFS(INDIRECT($C42&amp;".Emissions["&amp;this.Year&amp;"]"), INDIRECT($C42&amp;".Emissions[GHG]"), BH$6, INDIRECT($C42&amp;".Emissions[IPCC Sector]"), BH$5),0)</f>
        <v>0</v>
      </c>
      <c r="BI42" s="542">
        <f t="shared" ca="1" si="110"/>
        <v>0</v>
      </c>
      <c r="BJ42" s="542">
        <f t="shared" ca="1" si="110"/>
        <v>0</v>
      </c>
      <c r="BK42" s="542">
        <f t="shared" ca="1" si="110"/>
        <v>0</v>
      </c>
      <c r="BL42" s="542">
        <f t="shared" ca="1" si="110"/>
        <v>0</v>
      </c>
      <c r="BM42" s="542">
        <f t="shared" ca="1" si="110"/>
        <v>0</v>
      </c>
      <c r="BN42" s="542">
        <f t="shared" ca="1" si="110"/>
        <v>0</v>
      </c>
      <c r="BO42" s="542">
        <f t="shared" ca="1" si="110"/>
        <v>0</v>
      </c>
      <c r="BP42" s="542">
        <f t="shared" ca="1" si="110"/>
        <v>0</v>
      </c>
      <c r="BQ42" s="542">
        <f t="shared" ca="1" si="110"/>
        <v>0</v>
      </c>
      <c r="BR42" s="542">
        <f t="shared" ref="BR42:CA46" ca="1" si="111">IFERROR(SUMIFS(INDIRECT($C42&amp;".Emissions["&amp;this.Year&amp;"]"), INDIRECT($C42&amp;".Emissions[GHG]"), BR$6, INDIRECT($C42&amp;".Emissions[IPCC Sector]"), BR$5),0)</f>
        <v>0</v>
      </c>
      <c r="BS42" s="542">
        <f t="shared" ca="1" si="111"/>
        <v>0</v>
      </c>
      <c r="BT42" s="542">
        <f t="shared" ca="1" si="111"/>
        <v>0</v>
      </c>
      <c r="BU42" s="542">
        <f t="shared" ca="1" si="111"/>
        <v>0</v>
      </c>
      <c r="BV42" s="542">
        <f t="shared" ca="1" si="111"/>
        <v>0</v>
      </c>
      <c r="BW42" s="542">
        <f t="shared" ca="1" si="111"/>
        <v>0</v>
      </c>
      <c r="BX42" s="542">
        <f t="shared" ca="1" si="111"/>
        <v>0</v>
      </c>
      <c r="BY42" s="542">
        <f t="shared" ca="1" si="111"/>
        <v>0</v>
      </c>
      <c r="BZ42" s="542">
        <f t="shared" ca="1" si="111"/>
        <v>0</v>
      </c>
      <c r="CA42" s="542">
        <f t="shared" ca="1" si="111"/>
        <v>0</v>
      </c>
      <c r="CB42" s="542">
        <f t="shared" ref="CB42:CK46" ca="1" si="112">IFERROR(SUMIFS(INDIRECT($C42&amp;".Emissions["&amp;this.Year&amp;"]"), INDIRECT($C42&amp;".Emissions[GHG]"), CB$6, INDIRECT($C42&amp;".Emissions[IPCC Sector]"), CB$5),0)</f>
        <v>0</v>
      </c>
      <c r="CC42" s="542">
        <f t="shared" ca="1" si="112"/>
        <v>0</v>
      </c>
      <c r="CD42" s="542">
        <f t="shared" ca="1" si="112"/>
        <v>0</v>
      </c>
      <c r="CE42" s="542">
        <f t="shared" ca="1" si="112"/>
        <v>0</v>
      </c>
      <c r="CF42" s="542">
        <f t="shared" ca="1" si="112"/>
        <v>0</v>
      </c>
      <c r="CG42" s="542">
        <f t="shared" ca="1" si="112"/>
        <v>0</v>
      </c>
      <c r="CH42" s="542">
        <f t="shared" ca="1" si="112"/>
        <v>0</v>
      </c>
      <c r="CI42" s="542">
        <f t="shared" ca="1" si="112"/>
        <v>0</v>
      </c>
      <c r="CJ42" s="542">
        <f t="shared" ca="1" si="112"/>
        <v>0</v>
      </c>
      <c r="CK42" s="542">
        <f t="shared" ca="1" si="112"/>
        <v>0</v>
      </c>
      <c r="CL42" s="542">
        <f t="shared" ref="CL42:CU46" ca="1" si="113">IFERROR(SUMIFS(INDIRECT($C42&amp;".Emissions["&amp;this.Year&amp;"]"), INDIRECT($C42&amp;".Emissions[GHG]"), CL$6, INDIRECT($C42&amp;".Emissions[IPCC Sector]"), CL$5),0)</f>
        <v>0</v>
      </c>
      <c r="CM42" s="542">
        <f t="shared" ca="1" si="113"/>
        <v>0</v>
      </c>
      <c r="CN42" s="542">
        <f t="shared" ca="1" si="113"/>
        <v>0</v>
      </c>
      <c r="CO42" s="542">
        <f t="shared" ca="1" si="113"/>
        <v>0</v>
      </c>
      <c r="CP42" s="542">
        <f t="shared" ca="1" si="113"/>
        <v>0</v>
      </c>
      <c r="CQ42" s="542">
        <f t="shared" ca="1" si="113"/>
        <v>0</v>
      </c>
      <c r="CR42" s="542">
        <f t="shared" ca="1" si="113"/>
        <v>0</v>
      </c>
      <c r="CS42" s="542">
        <f t="shared" ca="1" si="113"/>
        <v>0</v>
      </c>
      <c r="CT42" s="542">
        <f t="shared" ca="1" si="113"/>
        <v>0</v>
      </c>
      <c r="CU42" s="542">
        <f t="shared" ca="1" si="113"/>
        <v>0</v>
      </c>
      <c r="CW42" s="151">
        <f t="shared" ca="1" si="75"/>
        <v>0</v>
      </c>
    </row>
    <row r="43" spans="1:101" s="543" customFormat="1" ht="12.75" customHeight="1" outlineLevel="1" x14ac:dyDescent="0.2">
      <c r="C43" s="86" t="s">
        <v>2366</v>
      </c>
      <c r="D43" s="61" t="str">
        <f>INDEX(Modules[Module], MATCH($C43, Modules[Code], 0))</f>
        <v>Large Hydroelectric power stations</v>
      </c>
      <c r="E43" s="61"/>
      <c r="F43" s="84"/>
      <c r="G43" s="297">
        <f t="shared" ca="1" si="105"/>
        <v>0</v>
      </c>
      <c r="H43" s="297">
        <f t="shared" ca="1" si="105"/>
        <v>0</v>
      </c>
      <c r="I43" s="297">
        <f t="shared" ca="1" si="105"/>
        <v>0</v>
      </c>
      <c r="J43" s="297">
        <f t="shared" ca="1" si="105"/>
        <v>0</v>
      </c>
      <c r="K43" s="297">
        <f t="shared" ca="1" si="105"/>
        <v>0</v>
      </c>
      <c r="L43" s="297">
        <f t="shared" ca="1" si="105"/>
        <v>0</v>
      </c>
      <c r="M43" s="297">
        <f t="shared" ca="1" si="105"/>
        <v>0</v>
      </c>
      <c r="N43" s="297">
        <f t="shared" ca="1" si="105"/>
        <v>0</v>
      </c>
      <c r="O43" s="297">
        <f t="shared" ca="1" si="105"/>
        <v>0</v>
      </c>
      <c r="P43" s="297">
        <f t="shared" ca="1" si="70"/>
        <v>0</v>
      </c>
      <c r="Q43" s="84"/>
      <c r="R43" s="304">
        <f t="shared" ca="1" si="106"/>
        <v>0</v>
      </c>
      <c r="S43" s="304">
        <f t="shared" ca="1" si="106"/>
        <v>31.084236000000001</v>
      </c>
      <c r="T43" s="304">
        <f t="shared" ca="1" si="106"/>
        <v>0</v>
      </c>
      <c r="U43" s="304">
        <f t="shared" ca="1" si="106"/>
        <v>0</v>
      </c>
      <c r="V43" s="304">
        <f t="shared" ca="1" si="106"/>
        <v>0</v>
      </c>
      <c r="W43" s="304">
        <f t="shared" ca="1" si="106"/>
        <v>0</v>
      </c>
      <c r="X43" s="304">
        <f t="shared" ca="1" si="107"/>
        <v>0</v>
      </c>
      <c r="Y43" s="304">
        <f t="shared" ca="1" si="107"/>
        <v>0</v>
      </c>
      <c r="Z43" s="304">
        <f t="shared" ca="1" si="107"/>
        <v>0</v>
      </c>
      <c r="AA43" s="304">
        <f t="shared" ca="1" si="106"/>
        <v>0</v>
      </c>
      <c r="AB43" s="304">
        <f t="shared" ca="1" si="106"/>
        <v>0</v>
      </c>
      <c r="AC43" s="304">
        <f t="shared" ca="1" si="106"/>
        <v>0</v>
      </c>
      <c r="AD43" s="304">
        <f t="shared" ca="1" si="106"/>
        <v>0</v>
      </c>
      <c r="AE43" s="304">
        <f t="shared" ca="1" si="106"/>
        <v>0</v>
      </c>
      <c r="AF43" s="304">
        <f t="shared" ca="1" si="106"/>
        <v>0</v>
      </c>
      <c r="AG43" s="304">
        <f t="shared" ca="1" si="106"/>
        <v>0</v>
      </c>
      <c r="AH43" s="305">
        <f t="shared" ca="1" si="5"/>
        <v>31.084236000000001</v>
      </c>
      <c r="AI43" s="84"/>
      <c r="AJ43" s="312">
        <f t="shared" ca="1" si="108"/>
        <v>0</v>
      </c>
      <c r="AK43" s="312">
        <f t="shared" ca="1" si="108"/>
        <v>0</v>
      </c>
      <c r="AL43" s="312">
        <f t="shared" ca="1" si="108"/>
        <v>0</v>
      </c>
      <c r="AM43" s="312">
        <f t="shared" ca="1" si="108"/>
        <v>0</v>
      </c>
      <c r="AN43" s="312">
        <f t="shared" ca="1" si="108"/>
        <v>0</v>
      </c>
      <c r="AO43" s="312">
        <f t="shared" ca="1" si="108"/>
        <v>0</v>
      </c>
      <c r="AP43" s="312">
        <f t="shared" ca="1" si="108"/>
        <v>0</v>
      </c>
      <c r="AQ43" s="312">
        <f t="shared" ca="1" si="108"/>
        <v>0</v>
      </c>
      <c r="AR43" s="312">
        <f t="shared" ca="1" si="108"/>
        <v>0</v>
      </c>
      <c r="AS43" s="312">
        <f t="shared" ca="1" si="106"/>
        <v>0</v>
      </c>
      <c r="AT43" s="312">
        <f t="shared" ca="1" si="106"/>
        <v>0</v>
      </c>
      <c r="AU43" s="312">
        <f t="shared" ca="1" si="106"/>
        <v>0</v>
      </c>
      <c r="AV43" s="312">
        <f t="shared" ca="1" si="106"/>
        <v>-31.084236000000001</v>
      </c>
      <c r="AW43" s="312">
        <f t="shared" ca="1" si="106"/>
        <v>0</v>
      </c>
      <c r="AX43" s="312">
        <f t="shared" ca="1" si="106"/>
        <v>0</v>
      </c>
      <c r="AY43" s="266">
        <f t="shared" ca="1" si="74"/>
        <v>-31.084236000000001</v>
      </c>
      <c r="AZ43" s="84"/>
      <c r="BA43" s="308">
        <f t="shared" ca="1" si="109"/>
        <v>0</v>
      </c>
      <c r="BB43" s="308">
        <f t="shared" ca="1" si="109"/>
        <v>0</v>
      </c>
      <c r="BC43" s="309">
        <f t="shared" ca="1" si="10"/>
        <v>0</v>
      </c>
      <c r="BD43" s="84"/>
      <c r="BE43" s="135">
        <f t="shared" ca="1" si="103"/>
        <v>0</v>
      </c>
      <c r="BF43" s="135"/>
      <c r="BG43" s="1428"/>
      <c r="BH43" s="541">
        <f t="shared" ca="1" si="110"/>
        <v>0</v>
      </c>
      <c r="BI43" s="542">
        <f t="shared" ca="1" si="110"/>
        <v>0</v>
      </c>
      <c r="BJ43" s="542">
        <f t="shared" ca="1" si="110"/>
        <v>0</v>
      </c>
      <c r="BK43" s="542">
        <f t="shared" ca="1" si="110"/>
        <v>0</v>
      </c>
      <c r="BL43" s="542">
        <f t="shared" ca="1" si="110"/>
        <v>0</v>
      </c>
      <c r="BM43" s="542">
        <f t="shared" ca="1" si="110"/>
        <v>0</v>
      </c>
      <c r="BN43" s="542">
        <f t="shared" ca="1" si="110"/>
        <v>0</v>
      </c>
      <c r="BO43" s="542">
        <f t="shared" ca="1" si="110"/>
        <v>0</v>
      </c>
      <c r="BP43" s="542">
        <f t="shared" ca="1" si="110"/>
        <v>0</v>
      </c>
      <c r="BQ43" s="542">
        <f t="shared" ca="1" si="110"/>
        <v>0</v>
      </c>
      <c r="BR43" s="542">
        <f t="shared" ca="1" si="111"/>
        <v>0</v>
      </c>
      <c r="BS43" s="542">
        <f t="shared" ca="1" si="111"/>
        <v>0</v>
      </c>
      <c r="BT43" s="542">
        <f t="shared" ca="1" si="111"/>
        <v>0</v>
      </c>
      <c r="BU43" s="542">
        <f t="shared" ca="1" si="111"/>
        <v>0</v>
      </c>
      <c r="BV43" s="542">
        <f t="shared" ca="1" si="111"/>
        <v>0</v>
      </c>
      <c r="BW43" s="542">
        <f t="shared" ca="1" si="111"/>
        <v>0</v>
      </c>
      <c r="BX43" s="542">
        <f t="shared" ca="1" si="111"/>
        <v>0</v>
      </c>
      <c r="BY43" s="542">
        <f t="shared" ca="1" si="111"/>
        <v>0</v>
      </c>
      <c r="BZ43" s="542">
        <f t="shared" ca="1" si="111"/>
        <v>0</v>
      </c>
      <c r="CA43" s="542">
        <f t="shared" ca="1" si="111"/>
        <v>0</v>
      </c>
      <c r="CB43" s="542">
        <f t="shared" ca="1" si="112"/>
        <v>0</v>
      </c>
      <c r="CC43" s="542">
        <f t="shared" ca="1" si="112"/>
        <v>0</v>
      </c>
      <c r="CD43" s="542">
        <f t="shared" ca="1" si="112"/>
        <v>0</v>
      </c>
      <c r="CE43" s="542">
        <f t="shared" ca="1" si="112"/>
        <v>0</v>
      </c>
      <c r="CF43" s="542">
        <f t="shared" ca="1" si="112"/>
        <v>0</v>
      </c>
      <c r="CG43" s="542">
        <f t="shared" ca="1" si="112"/>
        <v>0</v>
      </c>
      <c r="CH43" s="542">
        <f t="shared" ca="1" si="112"/>
        <v>0</v>
      </c>
      <c r="CI43" s="542">
        <f t="shared" ca="1" si="112"/>
        <v>0</v>
      </c>
      <c r="CJ43" s="542">
        <f t="shared" ca="1" si="112"/>
        <v>0</v>
      </c>
      <c r="CK43" s="542">
        <f t="shared" ca="1" si="112"/>
        <v>0</v>
      </c>
      <c r="CL43" s="542">
        <f t="shared" ca="1" si="113"/>
        <v>0</v>
      </c>
      <c r="CM43" s="542">
        <f t="shared" ca="1" si="113"/>
        <v>0</v>
      </c>
      <c r="CN43" s="542">
        <f t="shared" ca="1" si="113"/>
        <v>0</v>
      </c>
      <c r="CO43" s="542">
        <f t="shared" ca="1" si="113"/>
        <v>0</v>
      </c>
      <c r="CP43" s="542">
        <f t="shared" ca="1" si="113"/>
        <v>0</v>
      </c>
      <c r="CQ43" s="542">
        <f t="shared" ca="1" si="113"/>
        <v>0</v>
      </c>
      <c r="CR43" s="542">
        <f t="shared" ca="1" si="113"/>
        <v>0</v>
      </c>
      <c r="CS43" s="542">
        <f t="shared" ca="1" si="113"/>
        <v>0</v>
      </c>
      <c r="CT43" s="542">
        <f t="shared" ca="1" si="113"/>
        <v>0</v>
      </c>
      <c r="CU43" s="542">
        <f t="shared" ca="1" si="113"/>
        <v>0</v>
      </c>
      <c r="CW43" s="151">
        <f t="shared" ca="1" si="75"/>
        <v>0</v>
      </c>
    </row>
    <row r="44" spans="1:101" s="543" customFormat="1" ht="12.75" customHeight="1" outlineLevel="1" x14ac:dyDescent="0.2">
      <c r="C44" s="86" t="s">
        <v>2365</v>
      </c>
      <c r="D44" s="61" t="str">
        <f>INDEX(Modules[Module], MATCH($C44, Modules[Code], 0))</f>
        <v>Small Hydroelectric power stations</v>
      </c>
      <c r="E44" s="61"/>
      <c r="F44" s="84"/>
      <c r="G44" s="297">
        <f t="shared" ca="1" si="105"/>
        <v>0</v>
      </c>
      <c r="H44" s="297">
        <f t="shared" ca="1" si="105"/>
        <v>0</v>
      </c>
      <c r="I44" s="297">
        <f t="shared" ca="1" si="105"/>
        <v>0</v>
      </c>
      <c r="J44" s="297">
        <f t="shared" ca="1" si="105"/>
        <v>0</v>
      </c>
      <c r="K44" s="297">
        <f t="shared" ca="1" si="105"/>
        <v>0</v>
      </c>
      <c r="L44" s="297">
        <f t="shared" ca="1" si="105"/>
        <v>0</v>
      </c>
      <c r="M44" s="297">
        <f t="shared" ca="1" si="105"/>
        <v>0</v>
      </c>
      <c r="N44" s="297">
        <f t="shared" ca="1" si="105"/>
        <v>0</v>
      </c>
      <c r="O44" s="297">
        <f t="shared" ca="1" si="105"/>
        <v>0</v>
      </c>
      <c r="P44" s="297">
        <f t="shared" ca="1" si="70"/>
        <v>0</v>
      </c>
      <c r="Q44" s="84"/>
      <c r="R44" s="304">
        <f t="shared" ca="1" si="106"/>
        <v>0</v>
      </c>
      <c r="S44" s="304">
        <f t="shared" ca="1" si="106"/>
        <v>6.7352934857142674</v>
      </c>
      <c r="T44" s="304">
        <f t="shared" ca="1" si="106"/>
        <v>0</v>
      </c>
      <c r="U44" s="304">
        <f t="shared" ca="1" si="106"/>
        <v>0</v>
      </c>
      <c r="V44" s="304">
        <f t="shared" ca="1" si="106"/>
        <v>0</v>
      </c>
      <c r="W44" s="304">
        <f t="shared" ca="1" si="106"/>
        <v>0</v>
      </c>
      <c r="X44" s="304">
        <f t="shared" ca="1" si="107"/>
        <v>0</v>
      </c>
      <c r="Y44" s="304">
        <f t="shared" ca="1" si="107"/>
        <v>0</v>
      </c>
      <c r="Z44" s="304">
        <f t="shared" ca="1" si="107"/>
        <v>0</v>
      </c>
      <c r="AA44" s="304">
        <f t="shared" ca="1" si="106"/>
        <v>0</v>
      </c>
      <c r="AB44" s="304">
        <f t="shared" ca="1" si="106"/>
        <v>0</v>
      </c>
      <c r="AC44" s="304">
        <f t="shared" ca="1" si="106"/>
        <v>0</v>
      </c>
      <c r="AD44" s="304">
        <f t="shared" ca="1" si="106"/>
        <v>0</v>
      </c>
      <c r="AE44" s="304">
        <f t="shared" ca="1" si="106"/>
        <v>0</v>
      </c>
      <c r="AF44" s="304">
        <f t="shared" ca="1" si="106"/>
        <v>0</v>
      </c>
      <c r="AG44" s="304">
        <f t="shared" ca="1" si="106"/>
        <v>0</v>
      </c>
      <c r="AH44" s="305">
        <f t="shared" ca="1" si="5"/>
        <v>6.7352934857142674</v>
      </c>
      <c r="AI44" s="84"/>
      <c r="AJ44" s="312">
        <f t="shared" ca="1" si="108"/>
        <v>0</v>
      </c>
      <c r="AK44" s="312">
        <f t="shared" ca="1" si="108"/>
        <v>0</v>
      </c>
      <c r="AL44" s="312">
        <f t="shared" ca="1" si="108"/>
        <v>0</v>
      </c>
      <c r="AM44" s="312">
        <f t="shared" ca="1" si="108"/>
        <v>0</v>
      </c>
      <c r="AN44" s="312">
        <f t="shared" ca="1" si="108"/>
        <v>0</v>
      </c>
      <c r="AO44" s="312">
        <f t="shared" ca="1" si="108"/>
        <v>0</v>
      </c>
      <c r="AP44" s="312">
        <f t="shared" ca="1" si="108"/>
        <v>0</v>
      </c>
      <c r="AQ44" s="312">
        <f t="shared" ca="1" si="108"/>
        <v>0</v>
      </c>
      <c r="AR44" s="312">
        <f t="shared" ca="1" si="108"/>
        <v>0</v>
      </c>
      <c r="AS44" s="312">
        <f t="shared" ca="1" si="106"/>
        <v>0</v>
      </c>
      <c r="AT44" s="312">
        <f t="shared" ca="1" si="106"/>
        <v>0</v>
      </c>
      <c r="AU44" s="312">
        <f t="shared" ca="1" si="106"/>
        <v>0</v>
      </c>
      <c r="AV44" s="312">
        <f t="shared" ca="1" si="106"/>
        <v>-6.7352934857142674</v>
      </c>
      <c r="AW44" s="312">
        <f t="shared" ca="1" si="106"/>
        <v>0</v>
      </c>
      <c r="AX44" s="312">
        <f t="shared" ca="1" si="106"/>
        <v>0</v>
      </c>
      <c r="AY44" s="266">
        <f t="shared" ca="1" si="74"/>
        <v>-6.7352934857142674</v>
      </c>
      <c r="AZ44" s="84"/>
      <c r="BA44" s="308">
        <f t="shared" ca="1" si="109"/>
        <v>0</v>
      </c>
      <c r="BB44" s="308">
        <f t="shared" ca="1" si="109"/>
        <v>0</v>
      </c>
      <c r="BC44" s="309">
        <f t="shared" ca="1" si="10"/>
        <v>0</v>
      </c>
      <c r="BD44" s="84"/>
      <c r="BE44" s="135">
        <f t="shared" ca="1" si="103"/>
        <v>0</v>
      </c>
      <c r="BF44" s="135"/>
      <c r="BG44" s="1428"/>
      <c r="BH44" s="541">
        <f t="shared" ca="1" si="110"/>
        <v>0</v>
      </c>
      <c r="BI44" s="542">
        <f t="shared" ca="1" si="110"/>
        <v>0</v>
      </c>
      <c r="BJ44" s="542">
        <f t="shared" ca="1" si="110"/>
        <v>0</v>
      </c>
      <c r="BK44" s="542">
        <f t="shared" ca="1" si="110"/>
        <v>0</v>
      </c>
      <c r="BL44" s="542">
        <f t="shared" ca="1" si="110"/>
        <v>0</v>
      </c>
      <c r="BM44" s="542">
        <f t="shared" ca="1" si="110"/>
        <v>0</v>
      </c>
      <c r="BN44" s="542">
        <f t="shared" ca="1" si="110"/>
        <v>0</v>
      </c>
      <c r="BO44" s="542">
        <f t="shared" ca="1" si="110"/>
        <v>0</v>
      </c>
      <c r="BP44" s="542">
        <f t="shared" ca="1" si="110"/>
        <v>0</v>
      </c>
      <c r="BQ44" s="542">
        <f t="shared" ca="1" si="110"/>
        <v>0</v>
      </c>
      <c r="BR44" s="542">
        <f t="shared" ca="1" si="111"/>
        <v>0</v>
      </c>
      <c r="BS44" s="542">
        <f t="shared" ca="1" si="111"/>
        <v>0</v>
      </c>
      <c r="BT44" s="542">
        <f t="shared" ca="1" si="111"/>
        <v>0</v>
      </c>
      <c r="BU44" s="542">
        <f t="shared" ca="1" si="111"/>
        <v>0</v>
      </c>
      <c r="BV44" s="542">
        <f t="shared" ca="1" si="111"/>
        <v>0</v>
      </c>
      <c r="BW44" s="542">
        <f t="shared" ca="1" si="111"/>
        <v>0</v>
      </c>
      <c r="BX44" s="542">
        <f t="shared" ca="1" si="111"/>
        <v>0</v>
      </c>
      <c r="BY44" s="542">
        <f t="shared" ca="1" si="111"/>
        <v>0</v>
      </c>
      <c r="BZ44" s="542">
        <f t="shared" ca="1" si="111"/>
        <v>0</v>
      </c>
      <c r="CA44" s="542">
        <f t="shared" ca="1" si="111"/>
        <v>0</v>
      </c>
      <c r="CB44" s="542">
        <f t="shared" ca="1" si="112"/>
        <v>0</v>
      </c>
      <c r="CC44" s="542">
        <f t="shared" ca="1" si="112"/>
        <v>0</v>
      </c>
      <c r="CD44" s="542">
        <f t="shared" ca="1" si="112"/>
        <v>0</v>
      </c>
      <c r="CE44" s="542">
        <f t="shared" ca="1" si="112"/>
        <v>0</v>
      </c>
      <c r="CF44" s="542">
        <f t="shared" ca="1" si="112"/>
        <v>0</v>
      </c>
      <c r="CG44" s="542">
        <f t="shared" ca="1" si="112"/>
        <v>0</v>
      </c>
      <c r="CH44" s="542">
        <f t="shared" ca="1" si="112"/>
        <v>0</v>
      </c>
      <c r="CI44" s="542">
        <f t="shared" ca="1" si="112"/>
        <v>0</v>
      </c>
      <c r="CJ44" s="542">
        <f t="shared" ca="1" si="112"/>
        <v>0</v>
      </c>
      <c r="CK44" s="542">
        <f t="shared" ca="1" si="112"/>
        <v>0</v>
      </c>
      <c r="CL44" s="542">
        <f t="shared" ca="1" si="113"/>
        <v>0</v>
      </c>
      <c r="CM44" s="542">
        <f t="shared" ca="1" si="113"/>
        <v>0</v>
      </c>
      <c r="CN44" s="542">
        <f t="shared" ca="1" si="113"/>
        <v>0</v>
      </c>
      <c r="CO44" s="542">
        <f t="shared" ca="1" si="113"/>
        <v>0</v>
      </c>
      <c r="CP44" s="542">
        <f t="shared" ca="1" si="113"/>
        <v>0</v>
      </c>
      <c r="CQ44" s="542">
        <f t="shared" ca="1" si="113"/>
        <v>0</v>
      </c>
      <c r="CR44" s="542">
        <f t="shared" ca="1" si="113"/>
        <v>0</v>
      </c>
      <c r="CS44" s="542">
        <f t="shared" ca="1" si="113"/>
        <v>0</v>
      </c>
      <c r="CT44" s="542">
        <f t="shared" ca="1" si="113"/>
        <v>0</v>
      </c>
      <c r="CU44" s="542">
        <f t="shared" ca="1" si="113"/>
        <v>0</v>
      </c>
      <c r="CW44" s="151">
        <f ca="1">SUM(BH44:CU44)</f>
        <v>0</v>
      </c>
    </row>
    <row r="45" spans="1:101" s="543" customFormat="1" ht="12.75" customHeight="1" outlineLevel="1" x14ac:dyDescent="0.2">
      <c r="C45" s="86" t="s">
        <v>2364</v>
      </c>
      <c r="D45" s="61" t="str">
        <f>INDEX(Modules[Module], MATCH($C45, Modules[Code], 0))</f>
        <v>Grid Connected Solar PV</v>
      </c>
      <c r="E45" s="61"/>
      <c r="F45" s="84"/>
      <c r="G45" s="297">
        <f t="shared" ca="1" si="105"/>
        <v>0</v>
      </c>
      <c r="H45" s="297">
        <f t="shared" ca="1" si="105"/>
        <v>0</v>
      </c>
      <c r="I45" s="297">
        <f t="shared" ca="1" si="105"/>
        <v>0</v>
      </c>
      <c r="J45" s="297">
        <f t="shared" ca="1" si="105"/>
        <v>0</v>
      </c>
      <c r="K45" s="297">
        <f t="shared" ca="1" si="105"/>
        <v>0</v>
      </c>
      <c r="L45" s="297">
        <f t="shared" ca="1" si="105"/>
        <v>0</v>
      </c>
      <c r="M45" s="297">
        <f t="shared" ca="1" si="105"/>
        <v>0</v>
      </c>
      <c r="N45" s="297">
        <f t="shared" ca="1" si="105"/>
        <v>0</v>
      </c>
      <c r="O45" s="297">
        <f t="shared" ca="1" si="105"/>
        <v>0</v>
      </c>
      <c r="P45" s="297">
        <f t="shared" ca="1" si="70"/>
        <v>0</v>
      </c>
      <c r="Q45" s="84"/>
      <c r="R45" s="304">
        <f t="shared" ca="1" si="106"/>
        <v>0</v>
      </c>
      <c r="S45" s="304">
        <f t="shared" ca="1" si="106"/>
        <v>56.293498799999988</v>
      </c>
      <c r="T45" s="304">
        <f t="shared" ca="1" si="106"/>
        <v>0</v>
      </c>
      <c r="U45" s="304">
        <f t="shared" ca="1" si="106"/>
        <v>0</v>
      </c>
      <c r="V45" s="304">
        <f t="shared" ca="1" si="106"/>
        <v>0</v>
      </c>
      <c r="W45" s="304">
        <f t="shared" ca="1" si="106"/>
        <v>0</v>
      </c>
      <c r="X45" s="304">
        <f t="shared" ca="1" si="107"/>
        <v>0</v>
      </c>
      <c r="Y45" s="304">
        <f t="shared" ca="1" si="107"/>
        <v>0</v>
      </c>
      <c r="Z45" s="304">
        <f t="shared" ca="1" si="107"/>
        <v>0</v>
      </c>
      <c r="AA45" s="304">
        <f t="shared" ca="1" si="106"/>
        <v>0</v>
      </c>
      <c r="AB45" s="304">
        <f t="shared" ca="1" si="106"/>
        <v>0</v>
      </c>
      <c r="AC45" s="304">
        <f t="shared" ca="1" si="106"/>
        <v>0</v>
      </c>
      <c r="AD45" s="304">
        <f t="shared" ca="1" si="106"/>
        <v>0</v>
      </c>
      <c r="AE45" s="304">
        <f t="shared" ca="1" si="106"/>
        <v>0</v>
      </c>
      <c r="AF45" s="304">
        <f t="shared" ca="1" si="106"/>
        <v>0</v>
      </c>
      <c r="AG45" s="304">
        <f t="shared" ca="1" si="106"/>
        <v>0</v>
      </c>
      <c r="AH45" s="305">
        <f t="shared" ca="1" si="5"/>
        <v>56.293498799999988</v>
      </c>
      <c r="AI45" s="84"/>
      <c r="AJ45" s="312">
        <f t="shared" ca="1" si="108"/>
        <v>0</v>
      </c>
      <c r="AK45" s="312">
        <f t="shared" ca="1" si="108"/>
        <v>0</v>
      </c>
      <c r="AL45" s="312">
        <f t="shared" ca="1" si="108"/>
        <v>0</v>
      </c>
      <c r="AM45" s="312">
        <f t="shared" ca="1" si="108"/>
        <v>0</v>
      </c>
      <c r="AN45" s="312">
        <f t="shared" ca="1" si="108"/>
        <v>0</v>
      </c>
      <c r="AO45" s="312">
        <f t="shared" ca="1" si="108"/>
        <v>0</v>
      </c>
      <c r="AP45" s="312">
        <f t="shared" ca="1" si="108"/>
        <v>0</v>
      </c>
      <c r="AQ45" s="312">
        <f t="shared" ca="1" si="108"/>
        <v>0</v>
      </c>
      <c r="AR45" s="312">
        <f t="shared" ca="1" si="108"/>
        <v>0</v>
      </c>
      <c r="AS45" s="312">
        <f t="shared" ca="1" si="106"/>
        <v>0</v>
      </c>
      <c r="AT45" s="312">
        <f t="shared" ca="1" si="106"/>
        <v>-56.293498799999988</v>
      </c>
      <c r="AU45" s="312">
        <f t="shared" ca="1" si="106"/>
        <v>0</v>
      </c>
      <c r="AV45" s="312">
        <f t="shared" ca="1" si="106"/>
        <v>0</v>
      </c>
      <c r="AW45" s="312">
        <f t="shared" ca="1" si="106"/>
        <v>0</v>
      </c>
      <c r="AX45" s="312">
        <f t="shared" ca="1" si="106"/>
        <v>0</v>
      </c>
      <c r="AY45" s="266">
        <f t="shared" ca="1" si="74"/>
        <v>-56.293498799999988</v>
      </c>
      <c r="AZ45" s="84"/>
      <c r="BA45" s="308">
        <f t="shared" ca="1" si="109"/>
        <v>0</v>
      </c>
      <c r="BB45" s="308">
        <f t="shared" ca="1" si="109"/>
        <v>0</v>
      </c>
      <c r="BC45" s="309">
        <f t="shared" ca="1" si="10"/>
        <v>0</v>
      </c>
      <c r="BD45" s="84"/>
      <c r="BE45" s="135">
        <f t="shared" ca="1" si="103"/>
        <v>0</v>
      </c>
      <c r="BF45" s="135"/>
      <c r="BG45" s="1428"/>
      <c r="BH45" s="541">
        <f t="shared" ca="1" si="110"/>
        <v>0</v>
      </c>
      <c r="BI45" s="542">
        <f t="shared" ca="1" si="110"/>
        <v>0</v>
      </c>
      <c r="BJ45" s="542">
        <f t="shared" ca="1" si="110"/>
        <v>0</v>
      </c>
      <c r="BK45" s="542">
        <f t="shared" ca="1" si="110"/>
        <v>0</v>
      </c>
      <c r="BL45" s="542">
        <f t="shared" ca="1" si="110"/>
        <v>0</v>
      </c>
      <c r="BM45" s="542">
        <f t="shared" ca="1" si="110"/>
        <v>0</v>
      </c>
      <c r="BN45" s="542">
        <f t="shared" ca="1" si="110"/>
        <v>0</v>
      </c>
      <c r="BO45" s="542">
        <f t="shared" ca="1" si="110"/>
        <v>0</v>
      </c>
      <c r="BP45" s="542">
        <f t="shared" ca="1" si="110"/>
        <v>0</v>
      </c>
      <c r="BQ45" s="542">
        <f t="shared" ca="1" si="110"/>
        <v>0</v>
      </c>
      <c r="BR45" s="542">
        <f t="shared" ca="1" si="111"/>
        <v>0</v>
      </c>
      <c r="BS45" s="542">
        <f t="shared" ca="1" si="111"/>
        <v>0</v>
      </c>
      <c r="BT45" s="542">
        <f t="shared" ca="1" si="111"/>
        <v>0</v>
      </c>
      <c r="BU45" s="542">
        <f t="shared" ca="1" si="111"/>
        <v>0</v>
      </c>
      <c r="BV45" s="542">
        <f t="shared" ca="1" si="111"/>
        <v>0</v>
      </c>
      <c r="BW45" s="542">
        <f t="shared" ca="1" si="111"/>
        <v>0</v>
      </c>
      <c r="BX45" s="542">
        <f t="shared" ca="1" si="111"/>
        <v>0</v>
      </c>
      <c r="BY45" s="542">
        <f t="shared" ca="1" si="111"/>
        <v>0</v>
      </c>
      <c r="BZ45" s="542">
        <f t="shared" ca="1" si="111"/>
        <v>0</v>
      </c>
      <c r="CA45" s="542">
        <f t="shared" ca="1" si="111"/>
        <v>0</v>
      </c>
      <c r="CB45" s="542">
        <f t="shared" ca="1" si="112"/>
        <v>0</v>
      </c>
      <c r="CC45" s="542">
        <f t="shared" ca="1" si="112"/>
        <v>0</v>
      </c>
      <c r="CD45" s="542">
        <f t="shared" ca="1" si="112"/>
        <v>0</v>
      </c>
      <c r="CE45" s="542">
        <f t="shared" ca="1" si="112"/>
        <v>0</v>
      </c>
      <c r="CF45" s="542">
        <f t="shared" ca="1" si="112"/>
        <v>0</v>
      </c>
      <c r="CG45" s="542">
        <f t="shared" ca="1" si="112"/>
        <v>0</v>
      </c>
      <c r="CH45" s="542">
        <f t="shared" ca="1" si="112"/>
        <v>0</v>
      </c>
      <c r="CI45" s="542">
        <f t="shared" ca="1" si="112"/>
        <v>0</v>
      </c>
      <c r="CJ45" s="542">
        <f t="shared" ca="1" si="112"/>
        <v>0</v>
      </c>
      <c r="CK45" s="542">
        <f t="shared" ca="1" si="112"/>
        <v>0</v>
      </c>
      <c r="CL45" s="542">
        <f t="shared" ca="1" si="113"/>
        <v>0</v>
      </c>
      <c r="CM45" s="542">
        <f t="shared" ca="1" si="113"/>
        <v>0</v>
      </c>
      <c r="CN45" s="542">
        <f t="shared" ca="1" si="113"/>
        <v>0</v>
      </c>
      <c r="CO45" s="542">
        <f t="shared" ca="1" si="113"/>
        <v>0</v>
      </c>
      <c r="CP45" s="542">
        <f t="shared" ca="1" si="113"/>
        <v>0</v>
      </c>
      <c r="CQ45" s="542">
        <f t="shared" ca="1" si="113"/>
        <v>0</v>
      </c>
      <c r="CR45" s="542">
        <f t="shared" ca="1" si="113"/>
        <v>0</v>
      </c>
      <c r="CS45" s="542">
        <f t="shared" ca="1" si="113"/>
        <v>0</v>
      </c>
      <c r="CT45" s="542">
        <f t="shared" ca="1" si="113"/>
        <v>0</v>
      </c>
      <c r="CU45" s="542">
        <f t="shared" ca="1" si="113"/>
        <v>0</v>
      </c>
      <c r="CW45" s="151">
        <f t="shared" ref="CW45:CW57" ca="1" si="114">SUM(BH45:CU45)</f>
        <v>0</v>
      </c>
    </row>
    <row r="46" spans="1:101" s="84" customFormat="1" ht="12.75" customHeight="1" outlineLevel="1" x14ac:dyDescent="0.2">
      <c r="A46" s="543"/>
      <c r="B46" s="543"/>
      <c r="C46" s="86" t="s">
        <v>2376</v>
      </c>
      <c r="D46" s="292" t="str">
        <f>INDEX(Modules[Module], MATCH($C46, Modules[Code], 0))</f>
        <v>Concentrated Solar Power</v>
      </c>
      <c r="E46" s="292"/>
      <c r="G46" s="301">
        <f t="shared" ca="1" si="105"/>
        <v>0</v>
      </c>
      <c r="H46" s="301">
        <f t="shared" ca="1" si="105"/>
        <v>0</v>
      </c>
      <c r="I46" s="301">
        <f t="shared" ca="1" si="105"/>
        <v>0</v>
      </c>
      <c r="J46" s="301">
        <f t="shared" ca="1" si="105"/>
        <v>0</v>
      </c>
      <c r="K46" s="301">
        <f t="shared" ca="1" si="105"/>
        <v>0</v>
      </c>
      <c r="L46" s="301">
        <f t="shared" ca="1" si="105"/>
        <v>0</v>
      </c>
      <c r="M46" s="301">
        <f t="shared" ca="1" si="105"/>
        <v>0</v>
      </c>
      <c r="N46" s="301">
        <f t="shared" ca="1" si="105"/>
        <v>0</v>
      </c>
      <c r="O46" s="301">
        <f t="shared" ca="1" si="105"/>
        <v>0</v>
      </c>
      <c r="P46" s="301">
        <f t="shared" ca="1" si="70"/>
        <v>0</v>
      </c>
      <c r="R46" s="307">
        <f t="shared" ca="1" si="106"/>
        <v>0</v>
      </c>
      <c r="S46" s="307">
        <f t="shared" ca="1" si="106"/>
        <v>52.587233999999995</v>
      </c>
      <c r="T46" s="307">
        <f t="shared" ca="1" si="106"/>
        <v>0</v>
      </c>
      <c r="U46" s="307">
        <f t="shared" ca="1" si="106"/>
        <v>0</v>
      </c>
      <c r="V46" s="307">
        <f t="shared" ca="1" si="106"/>
        <v>0</v>
      </c>
      <c r="W46" s="307">
        <f t="shared" ca="1" si="106"/>
        <v>0</v>
      </c>
      <c r="X46" s="307">
        <f t="shared" ca="1" si="107"/>
        <v>0</v>
      </c>
      <c r="Y46" s="307">
        <f t="shared" ca="1" si="107"/>
        <v>0</v>
      </c>
      <c r="Z46" s="307">
        <f t="shared" ca="1" si="107"/>
        <v>0</v>
      </c>
      <c r="AA46" s="307">
        <f t="shared" ca="1" si="106"/>
        <v>0</v>
      </c>
      <c r="AB46" s="307">
        <f t="shared" ca="1" si="106"/>
        <v>0</v>
      </c>
      <c r="AC46" s="307">
        <f t="shared" ca="1" si="106"/>
        <v>0</v>
      </c>
      <c r="AD46" s="307">
        <f t="shared" ca="1" si="106"/>
        <v>0</v>
      </c>
      <c r="AE46" s="307">
        <f t="shared" ca="1" si="106"/>
        <v>0</v>
      </c>
      <c r="AF46" s="307">
        <f t="shared" ca="1" si="106"/>
        <v>0</v>
      </c>
      <c r="AG46" s="307">
        <f t="shared" ca="1" si="106"/>
        <v>0</v>
      </c>
      <c r="AH46" s="306">
        <f t="shared" ca="1" si="5"/>
        <v>52.587233999999995</v>
      </c>
      <c r="AJ46" s="315">
        <f t="shared" ca="1" si="108"/>
        <v>0</v>
      </c>
      <c r="AK46" s="315">
        <f t="shared" ca="1" si="108"/>
        <v>0</v>
      </c>
      <c r="AL46" s="315">
        <f t="shared" ca="1" si="108"/>
        <v>0</v>
      </c>
      <c r="AM46" s="315">
        <f t="shared" ca="1" si="108"/>
        <v>0</v>
      </c>
      <c r="AN46" s="315">
        <f t="shared" ca="1" si="108"/>
        <v>0</v>
      </c>
      <c r="AO46" s="315">
        <f t="shared" ca="1" si="108"/>
        <v>0</v>
      </c>
      <c r="AP46" s="315">
        <f t="shared" ca="1" si="108"/>
        <v>0</v>
      </c>
      <c r="AQ46" s="315">
        <f t="shared" ca="1" si="108"/>
        <v>0</v>
      </c>
      <c r="AR46" s="315">
        <f t="shared" ca="1" si="108"/>
        <v>0</v>
      </c>
      <c r="AS46" s="315">
        <f t="shared" ca="1" si="106"/>
        <v>0</v>
      </c>
      <c r="AT46" s="315">
        <f t="shared" ca="1" si="106"/>
        <v>-52.587233999999995</v>
      </c>
      <c r="AU46" s="315">
        <f t="shared" ca="1" si="106"/>
        <v>0</v>
      </c>
      <c r="AV46" s="315">
        <f t="shared" ca="1" si="106"/>
        <v>0</v>
      </c>
      <c r="AW46" s="315">
        <f t="shared" ca="1" si="106"/>
        <v>0</v>
      </c>
      <c r="AX46" s="315">
        <f t="shared" ca="1" si="106"/>
        <v>0</v>
      </c>
      <c r="AY46" s="293">
        <f t="shared" ca="1" si="74"/>
        <v>-52.587233999999995</v>
      </c>
      <c r="BA46" s="311">
        <f t="shared" ca="1" si="109"/>
        <v>0</v>
      </c>
      <c r="BB46" s="311">
        <f t="shared" ca="1" si="109"/>
        <v>0</v>
      </c>
      <c r="BC46" s="310">
        <f t="shared" ca="1" si="10"/>
        <v>0</v>
      </c>
      <c r="BE46" s="135">
        <f t="shared" ca="1" si="103"/>
        <v>0</v>
      </c>
      <c r="BF46" s="135"/>
      <c r="BG46" s="1428"/>
      <c r="BH46" s="544">
        <f t="shared" ca="1" si="110"/>
        <v>0</v>
      </c>
      <c r="BI46" s="545">
        <f t="shared" ca="1" si="110"/>
        <v>0</v>
      </c>
      <c r="BJ46" s="545">
        <f t="shared" ca="1" si="110"/>
        <v>0</v>
      </c>
      <c r="BK46" s="545">
        <f t="shared" ca="1" si="110"/>
        <v>0</v>
      </c>
      <c r="BL46" s="545">
        <f t="shared" ca="1" si="110"/>
        <v>0</v>
      </c>
      <c r="BM46" s="545">
        <f t="shared" ca="1" si="110"/>
        <v>0</v>
      </c>
      <c r="BN46" s="545">
        <f t="shared" ca="1" si="110"/>
        <v>0</v>
      </c>
      <c r="BO46" s="545">
        <f t="shared" ca="1" si="110"/>
        <v>0</v>
      </c>
      <c r="BP46" s="545">
        <f t="shared" ca="1" si="110"/>
        <v>0</v>
      </c>
      <c r="BQ46" s="545">
        <f t="shared" ca="1" si="110"/>
        <v>0</v>
      </c>
      <c r="BR46" s="545">
        <f t="shared" ca="1" si="111"/>
        <v>0</v>
      </c>
      <c r="BS46" s="545">
        <f t="shared" ca="1" si="111"/>
        <v>0</v>
      </c>
      <c r="BT46" s="545">
        <f t="shared" ca="1" si="111"/>
        <v>0</v>
      </c>
      <c r="BU46" s="545">
        <f t="shared" ca="1" si="111"/>
        <v>0</v>
      </c>
      <c r="BV46" s="545">
        <f t="shared" ca="1" si="111"/>
        <v>0</v>
      </c>
      <c r="BW46" s="545">
        <f t="shared" ca="1" si="111"/>
        <v>0</v>
      </c>
      <c r="BX46" s="545">
        <f t="shared" ca="1" si="111"/>
        <v>0</v>
      </c>
      <c r="BY46" s="545">
        <f t="shared" ca="1" si="111"/>
        <v>0</v>
      </c>
      <c r="BZ46" s="545">
        <f t="shared" ca="1" si="111"/>
        <v>0</v>
      </c>
      <c r="CA46" s="545">
        <f t="shared" ca="1" si="111"/>
        <v>0</v>
      </c>
      <c r="CB46" s="545">
        <f t="shared" ca="1" si="112"/>
        <v>0</v>
      </c>
      <c r="CC46" s="545">
        <f t="shared" ca="1" si="112"/>
        <v>0</v>
      </c>
      <c r="CD46" s="545">
        <f t="shared" ca="1" si="112"/>
        <v>0</v>
      </c>
      <c r="CE46" s="545">
        <f t="shared" ca="1" si="112"/>
        <v>0</v>
      </c>
      <c r="CF46" s="545">
        <f t="shared" ca="1" si="112"/>
        <v>0</v>
      </c>
      <c r="CG46" s="545">
        <f t="shared" ca="1" si="112"/>
        <v>0</v>
      </c>
      <c r="CH46" s="545">
        <f t="shared" ca="1" si="112"/>
        <v>0</v>
      </c>
      <c r="CI46" s="545">
        <f t="shared" ca="1" si="112"/>
        <v>0</v>
      </c>
      <c r="CJ46" s="545">
        <f t="shared" ca="1" si="112"/>
        <v>0</v>
      </c>
      <c r="CK46" s="545">
        <f t="shared" ca="1" si="112"/>
        <v>0</v>
      </c>
      <c r="CL46" s="545">
        <f t="shared" ca="1" si="113"/>
        <v>0</v>
      </c>
      <c r="CM46" s="545">
        <f t="shared" ca="1" si="113"/>
        <v>0</v>
      </c>
      <c r="CN46" s="545">
        <f t="shared" ca="1" si="113"/>
        <v>0</v>
      </c>
      <c r="CO46" s="545">
        <f t="shared" ca="1" si="113"/>
        <v>0</v>
      </c>
      <c r="CP46" s="545">
        <f t="shared" ca="1" si="113"/>
        <v>0</v>
      </c>
      <c r="CQ46" s="545">
        <f t="shared" ca="1" si="113"/>
        <v>0</v>
      </c>
      <c r="CR46" s="545">
        <f t="shared" ca="1" si="113"/>
        <v>0</v>
      </c>
      <c r="CS46" s="545">
        <f t="shared" ca="1" si="113"/>
        <v>0</v>
      </c>
      <c r="CT46" s="545">
        <f t="shared" ca="1" si="113"/>
        <v>0</v>
      </c>
      <c r="CU46" s="545">
        <f t="shared" ca="1" si="113"/>
        <v>0</v>
      </c>
      <c r="CW46" s="151">
        <f t="shared" ca="1" si="114"/>
        <v>0</v>
      </c>
    </row>
    <row r="47" spans="1:101" s="84" customFormat="1" ht="15.75" x14ac:dyDescent="0.2">
      <c r="A47" s="18"/>
      <c r="B47" s="89"/>
      <c r="C47" s="85" t="s">
        <v>62</v>
      </c>
      <c r="D47" s="57" t="str">
        <f>INDEX(Workstreams[Workstream], MATCH($C47, Workstreams[Code], 0))</f>
        <v>National renewable power generation</v>
      </c>
      <c r="E47" s="53"/>
      <c r="G47" s="245">
        <f t="shared" ref="G47:O47" ca="1" si="115">SUM(G42:G46)</f>
        <v>0</v>
      </c>
      <c r="H47" s="245">
        <f t="shared" ca="1" si="115"/>
        <v>0</v>
      </c>
      <c r="I47" s="245">
        <f ca="1">SUM(I42:I46)</f>
        <v>0</v>
      </c>
      <c r="J47" s="245">
        <f t="shared" ca="1" si="115"/>
        <v>0</v>
      </c>
      <c r="K47" s="245">
        <f t="shared" ca="1" si="115"/>
        <v>0</v>
      </c>
      <c r="L47" s="245">
        <f t="shared" ca="1" si="115"/>
        <v>0</v>
      </c>
      <c r="M47" s="245">
        <f t="shared" ca="1" si="115"/>
        <v>0</v>
      </c>
      <c r="N47" s="245">
        <f t="shared" ca="1" si="115"/>
        <v>0</v>
      </c>
      <c r="O47" s="245">
        <f t="shared" ca="1" si="115"/>
        <v>0</v>
      </c>
      <c r="P47" s="245">
        <f t="shared" ca="1" si="70"/>
        <v>0</v>
      </c>
      <c r="R47" s="257">
        <f t="shared" ref="R47:AF47" ca="1" si="116">SUM(R42:R46)</f>
        <v>0</v>
      </c>
      <c r="S47" s="257">
        <f t="shared" ca="1" si="116"/>
        <v>157.74542228571426</v>
      </c>
      <c r="T47" s="257">
        <f t="shared" ca="1" si="116"/>
        <v>0</v>
      </c>
      <c r="U47" s="257">
        <f t="shared" ca="1" si="116"/>
        <v>0</v>
      </c>
      <c r="V47" s="257">
        <f t="shared" ca="1" si="116"/>
        <v>0</v>
      </c>
      <c r="W47" s="257">
        <f ca="1">SUM(W42:W46)</f>
        <v>0</v>
      </c>
      <c r="X47" s="257">
        <f t="shared" ca="1" si="116"/>
        <v>0</v>
      </c>
      <c r="Y47" s="257">
        <f t="shared" ca="1" si="116"/>
        <v>0</v>
      </c>
      <c r="Z47" s="257">
        <f t="shared" ca="1" si="116"/>
        <v>0</v>
      </c>
      <c r="AA47" s="257">
        <f t="shared" ca="1" si="116"/>
        <v>0</v>
      </c>
      <c r="AB47" s="257">
        <f t="shared" ca="1" si="116"/>
        <v>0</v>
      </c>
      <c r="AC47" s="257">
        <f t="shared" ca="1" si="116"/>
        <v>0</v>
      </c>
      <c r="AD47" s="257">
        <f ca="1">SUM(AD42:AD46)</f>
        <v>0</v>
      </c>
      <c r="AE47" s="257">
        <f t="shared" ca="1" si="116"/>
        <v>0</v>
      </c>
      <c r="AF47" s="257">
        <f t="shared" ca="1" si="116"/>
        <v>0</v>
      </c>
      <c r="AG47" s="257">
        <f ca="1">SUM(AG42:AG46)</f>
        <v>0</v>
      </c>
      <c r="AH47" s="257">
        <f t="shared" ca="1" si="5"/>
        <v>157.74542228571426</v>
      </c>
      <c r="AJ47" s="263">
        <f t="shared" ref="AJ47:AX47" ca="1" si="117">SUM(AJ42:AJ46)</f>
        <v>0</v>
      </c>
      <c r="AK47" s="263">
        <f t="shared" ca="1" si="117"/>
        <v>0</v>
      </c>
      <c r="AL47" s="263">
        <f t="shared" ca="1" si="117"/>
        <v>0</v>
      </c>
      <c r="AM47" s="263">
        <f t="shared" ca="1" si="117"/>
        <v>0</v>
      </c>
      <c r="AN47" s="263">
        <f t="shared" ca="1" si="117"/>
        <v>0</v>
      </c>
      <c r="AO47" s="263">
        <f t="shared" ca="1" si="117"/>
        <v>0</v>
      </c>
      <c r="AP47" s="263">
        <f t="shared" ca="1" si="117"/>
        <v>0</v>
      </c>
      <c r="AQ47" s="263">
        <f t="shared" ca="1" si="117"/>
        <v>0</v>
      </c>
      <c r="AR47" s="263">
        <f t="shared" ca="1" si="117"/>
        <v>0</v>
      </c>
      <c r="AS47" s="263">
        <f t="shared" ca="1" si="117"/>
        <v>0</v>
      </c>
      <c r="AT47" s="263">
        <f t="shared" ca="1" si="117"/>
        <v>-108.88073279999998</v>
      </c>
      <c r="AU47" s="263">
        <f t="shared" ca="1" si="117"/>
        <v>-11.045159999999999</v>
      </c>
      <c r="AV47" s="263">
        <f t="shared" ca="1" si="117"/>
        <v>-37.81952948571427</v>
      </c>
      <c r="AW47" s="263">
        <f t="shared" ca="1" si="117"/>
        <v>0</v>
      </c>
      <c r="AX47" s="263">
        <f t="shared" ca="1" si="117"/>
        <v>0</v>
      </c>
      <c r="AY47" s="263">
        <f t="shared" ca="1" si="74"/>
        <v>-157.74542228571426</v>
      </c>
      <c r="BA47" s="277">
        <f ca="1">SUM(BA42:BA46)</f>
        <v>0</v>
      </c>
      <c r="BB47" s="277">
        <f ca="1">SUM(BB42:BB46)</f>
        <v>0</v>
      </c>
      <c r="BC47" s="277">
        <f t="shared" ca="1" si="10"/>
        <v>0</v>
      </c>
      <c r="BE47" s="55">
        <f t="shared" ca="1" si="103"/>
        <v>0</v>
      </c>
      <c r="BF47" s="55"/>
      <c r="BG47" s="1428"/>
      <c r="BH47" s="542">
        <f t="shared" ref="BH47:CU47" ca="1" si="118">SUM(BH42:BH46)</f>
        <v>0</v>
      </c>
      <c r="BI47" s="542">
        <f t="shared" ca="1" si="118"/>
        <v>0</v>
      </c>
      <c r="BJ47" s="542">
        <f t="shared" ca="1" si="118"/>
        <v>0</v>
      </c>
      <c r="BK47" s="542">
        <f t="shared" ca="1" si="118"/>
        <v>0</v>
      </c>
      <c r="BL47" s="542">
        <f t="shared" ca="1" si="118"/>
        <v>0</v>
      </c>
      <c r="BM47" s="542">
        <f t="shared" ca="1" si="118"/>
        <v>0</v>
      </c>
      <c r="BN47" s="542">
        <f t="shared" ca="1" si="118"/>
        <v>0</v>
      </c>
      <c r="BO47" s="542">
        <f t="shared" ca="1" si="118"/>
        <v>0</v>
      </c>
      <c r="BP47" s="542">
        <f t="shared" ca="1" si="118"/>
        <v>0</v>
      </c>
      <c r="BQ47" s="542">
        <f t="shared" ca="1" si="118"/>
        <v>0</v>
      </c>
      <c r="BR47" s="542">
        <f t="shared" ca="1" si="118"/>
        <v>0</v>
      </c>
      <c r="BS47" s="542">
        <f t="shared" ca="1" si="118"/>
        <v>0</v>
      </c>
      <c r="BT47" s="542">
        <f t="shared" ca="1" si="118"/>
        <v>0</v>
      </c>
      <c r="BU47" s="542">
        <f t="shared" ca="1" si="118"/>
        <v>0</v>
      </c>
      <c r="BV47" s="542">
        <f t="shared" ca="1" si="118"/>
        <v>0</v>
      </c>
      <c r="BW47" s="542">
        <f t="shared" ca="1" si="118"/>
        <v>0</v>
      </c>
      <c r="BX47" s="542">
        <f t="shared" ca="1" si="118"/>
        <v>0</v>
      </c>
      <c r="BY47" s="542">
        <f t="shared" ca="1" si="118"/>
        <v>0</v>
      </c>
      <c r="BZ47" s="542">
        <f t="shared" ca="1" si="118"/>
        <v>0</v>
      </c>
      <c r="CA47" s="542">
        <f t="shared" ca="1" si="118"/>
        <v>0</v>
      </c>
      <c r="CB47" s="542">
        <f t="shared" ca="1" si="118"/>
        <v>0</v>
      </c>
      <c r="CC47" s="542">
        <f t="shared" ca="1" si="118"/>
        <v>0</v>
      </c>
      <c r="CD47" s="542">
        <f t="shared" ca="1" si="118"/>
        <v>0</v>
      </c>
      <c r="CE47" s="542">
        <f t="shared" ca="1" si="118"/>
        <v>0</v>
      </c>
      <c r="CF47" s="542">
        <f t="shared" ca="1" si="118"/>
        <v>0</v>
      </c>
      <c r="CG47" s="542">
        <f t="shared" ca="1" si="118"/>
        <v>0</v>
      </c>
      <c r="CH47" s="542">
        <f t="shared" ca="1" si="118"/>
        <v>0</v>
      </c>
      <c r="CI47" s="542">
        <f t="shared" ca="1" si="118"/>
        <v>0</v>
      </c>
      <c r="CJ47" s="542">
        <f t="shared" ca="1" si="118"/>
        <v>0</v>
      </c>
      <c r="CK47" s="542">
        <f t="shared" ca="1" si="118"/>
        <v>0</v>
      </c>
      <c r="CL47" s="542">
        <f t="shared" ca="1" si="118"/>
        <v>0</v>
      </c>
      <c r="CM47" s="542">
        <f t="shared" ca="1" si="118"/>
        <v>0</v>
      </c>
      <c r="CN47" s="542">
        <f t="shared" ca="1" si="118"/>
        <v>0</v>
      </c>
      <c r="CO47" s="542">
        <f t="shared" ca="1" si="118"/>
        <v>0</v>
      </c>
      <c r="CP47" s="542">
        <f t="shared" ca="1" si="118"/>
        <v>0</v>
      </c>
      <c r="CQ47" s="542">
        <f t="shared" ca="1" si="118"/>
        <v>0</v>
      </c>
      <c r="CR47" s="542">
        <f t="shared" ca="1" si="118"/>
        <v>0</v>
      </c>
      <c r="CS47" s="542">
        <f t="shared" ca="1" si="118"/>
        <v>0</v>
      </c>
      <c r="CT47" s="542">
        <f t="shared" ca="1" si="118"/>
        <v>0</v>
      </c>
      <c r="CU47" s="542">
        <f t="shared" ca="1" si="118"/>
        <v>0</v>
      </c>
      <c r="CW47" s="151">
        <f t="shared" ca="1" si="114"/>
        <v>0</v>
      </c>
    </row>
    <row r="48" spans="1:101" s="84" customFormat="1" ht="12.75" customHeight="1" outlineLevel="1" x14ac:dyDescent="0.2">
      <c r="A48" s="18"/>
      <c r="B48" s="18"/>
      <c r="C48" s="87"/>
      <c r="D48" s="53"/>
      <c r="E48" s="53"/>
      <c r="G48" s="245"/>
      <c r="H48" s="245"/>
      <c r="I48" s="245"/>
      <c r="J48" s="245"/>
      <c r="K48" s="245"/>
      <c r="L48" s="247"/>
      <c r="M48" s="245"/>
      <c r="N48" s="245"/>
      <c r="O48" s="245"/>
      <c r="P48" s="245">
        <f t="shared" si="70"/>
        <v>0</v>
      </c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>
        <f t="shared" si="5"/>
        <v>0</v>
      </c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>
        <f t="shared" si="74"/>
        <v>0</v>
      </c>
      <c r="BA48" s="277"/>
      <c r="BB48" s="277"/>
      <c r="BC48" s="277">
        <f t="shared" si="10"/>
        <v>0</v>
      </c>
      <c r="BE48" s="55"/>
      <c r="BF48" s="55"/>
      <c r="BG48" s="18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W48" s="151">
        <f t="shared" si="114"/>
        <v>0</v>
      </c>
    </row>
    <row r="49" spans="1:101" s="543" customFormat="1" ht="12.75" customHeight="1" outlineLevel="1" x14ac:dyDescent="0.2">
      <c r="C49" s="86" t="s">
        <v>409</v>
      </c>
      <c r="D49" s="61" t="str">
        <f>INDEX(Modules[Module], MATCH($C49, Modules[Code], 0))</f>
        <v>Stand-Alone Solar PV</v>
      </c>
      <c r="E49" s="61"/>
      <c r="G49" s="595">
        <f t="shared" ref="G49:O49" ca="1" si="119">IFERROR(INDEX(INDIRECT($C49&amp;".Outputs["&amp;this.Year&amp;"]"), MATCH(G$5, INDIRECT($C49&amp;".Outputs[Vector]"), 0)), 0)</f>
        <v>0</v>
      </c>
      <c r="H49" s="595">
        <f t="shared" ca="1" si="119"/>
        <v>0</v>
      </c>
      <c r="I49" s="595">
        <f t="shared" ca="1" si="119"/>
        <v>0</v>
      </c>
      <c r="J49" s="595">
        <f t="shared" ca="1" si="119"/>
        <v>0</v>
      </c>
      <c r="K49" s="595">
        <f t="shared" ca="1" si="119"/>
        <v>0</v>
      </c>
      <c r="L49" s="596">
        <f t="shared" ca="1" si="119"/>
        <v>0</v>
      </c>
      <c r="M49" s="595">
        <f t="shared" ca="1" si="119"/>
        <v>0</v>
      </c>
      <c r="N49" s="595">
        <f t="shared" ca="1" si="119"/>
        <v>0</v>
      </c>
      <c r="O49" s="595">
        <f t="shared" ca="1" si="119"/>
        <v>0</v>
      </c>
      <c r="P49" s="595">
        <f t="shared" ca="1" si="70"/>
        <v>0</v>
      </c>
      <c r="R49" s="597">
        <f t="shared" ref="R49:AX49" ca="1" si="120">IFERROR(INDEX(INDIRECT($C49&amp;".Outputs["&amp;this.Year&amp;"]"), MATCH(R$5, INDIRECT($C49&amp;".Outputs[Vector]"), 0)), 0)</f>
        <v>0</v>
      </c>
      <c r="S49" s="597">
        <f t="shared" ca="1" si="120"/>
        <v>45.248338799999999</v>
      </c>
      <c r="T49" s="597">
        <f t="shared" ca="1" si="120"/>
        <v>0</v>
      </c>
      <c r="U49" s="597">
        <f t="shared" ca="1" si="120"/>
        <v>0</v>
      </c>
      <c r="V49" s="597">
        <f t="shared" ca="1" si="120"/>
        <v>0</v>
      </c>
      <c r="W49" s="597">
        <f t="shared" ca="1" si="120"/>
        <v>0</v>
      </c>
      <c r="X49" s="597">
        <f ca="1">IFERROR(INDEX(INDIRECT($C49&amp;".Outputs["&amp;this.Year&amp;"]"), MATCH(X$5, INDIRECT($C49&amp;".Outputs[Vector]"), 0)), 0)</f>
        <v>0</v>
      </c>
      <c r="Y49" s="597">
        <f ca="1">IFERROR(INDEX(INDIRECT($C49&amp;".Outputs["&amp;this.Year&amp;"]"), MATCH(Y$5, INDIRECT($C49&amp;".Outputs[Vector]"), 0)), 0)</f>
        <v>0</v>
      </c>
      <c r="Z49" s="597">
        <f ca="1">IFERROR(INDEX(INDIRECT($C49&amp;".Outputs["&amp;this.Year&amp;"]"), MATCH(Z$5, INDIRECT($C49&amp;".Outputs[Vector]"), 0)), 0)</f>
        <v>0</v>
      </c>
      <c r="AA49" s="597">
        <f t="shared" ca="1" si="120"/>
        <v>0</v>
      </c>
      <c r="AB49" s="597">
        <f t="shared" ca="1" si="120"/>
        <v>0</v>
      </c>
      <c r="AC49" s="597">
        <f t="shared" ca="1" si="120"/>
        <v>0</v>
      </c>
      <c r="AD49" s="597">
        <f t="shared" ca="1" si="120"/>
        <v>0</v>
      </c>
      <c r="AE49" s="597">
        <f t="shared" ca="1" si="120"/>
        <v>0</v>
      </c>
      <c r="AF49" s="597">
        <f t="shared" ca="1" si="120"/>
        <v>0</v>
      </c>
      <c r="AG49" s="597">
        <f t="shared" ca="1" si="120"/>
        <v>0</v>
      </c>
      <c r="AH49" s="259">
        <f t="shared" ca="1" si="5"/>
        <v>45.248338799999999</v>
      </c>
      <c r="AJ49" s="598">
        <f t="shared" ref="AJ49:AR49" ca="1" si="121">IFERROR(INDEX(INDIRECT($C49&amp;".Outputs["&amp;this.Year&amp;"]"), MATCH(AJ$5, INDIRECT($C49&amp;".Outputs[Vector]"), 0)), 0)</f>
        <v>0</v>
      </c>
      <c r="AK49" s="598">
        <f t="shared" ca="1" si="121"/>
        <v>0</v>
      </c>
      <c r="AL49" s="598">
        <f t="shared" ca="1" si="121"/>
        <v>0</v>
      </c>
      <c r="AM49" s="598">
        <f t="shared" ca="1" si="121"/>
        <v>0</v>
      </c>
      <c r="AN49" s="598">
        <f t="shared" ca="1" si="121"/>
        <v>0</v>
      </c>
      <c r="AO49" s="598">
        <f t="shared" ca="1" si="121"/>
        <v>0</v>
      </c>
      <c r="AP49" s="598">
        <f t="shared" ca="1" si="121"/>
        <v>0</v>
      </c>
      <c r="AQ49" s="598">
        <f t="shared" ca="1" si="121"/>
        <v>0</v>
      </c>
      <c r="AR49" s="598">
        <f t="shared" ca="1" si="121"/>
        <v>0</v>
      </c>
      <c r="AS49" s="598">
        <f t="shared" ca="1" si="120"/>
        <v>0</v>
      </c>
      <c r="AT49" s="598">
        <f t="shared" ca="1" si="120"/>
        <v>-45.248338799999999</v>
      </c>
      <c r="AU49" s="598">
        <f t="shared" ca="1" si="120"/>
        <v>0</v>
      </c>
      <c r="AV49" s="598">
        <f t="shared" ca="1" si="120"/>
        <v>0</v>
      </c>
      <c r="AW49" s="598">
        <f t="shared" ca="1" si="120"/>
        <v>0</v>
      </c>
      <c r="AX49" s="598">
        <f t="shared" ca="1" si="120"/>
        <v>0</v>
      </c>
      <c r="AY49" s="266">
        <f t="shared" ca="1" si="74"/>
        <v>-45.248338799999999</v>
      </c>
      <c r="BA49" s="599">
        <f ca="1">IFERROR(INDEX(INDIRECT($C49&amp;".Outputs["&amp;this.Year&amp;"]"), MATCH(BA$5, INDIRECT($C49&amp;".Outputs[Vector]"), 0)), 0)</f>
        <v>0</v>
      </c>
      <c r="BB49" s="599">
        <f ca="1">IFERROR(INDEX(INDIRECT($C49&amp;".Outputs["&amp;this.Year&amp;"]"), MATCH(BB$5, INDIRECT($C49&amp;".Outputs[Vector]"), 0)), 0)</f>
        <v>0</v>
      </c>
      <c r="BC49" s="279">
        <f t="shared" ca="1" si="10"/>
        <v>0</v>
      </c>
      <c r="BE49" s="135">
        <f ca="1">P49+AH49+AY49+BC49</f>
        <v>0</v>
      </c>
      <c r="BF49" s="135"/>
      <c r="BH49" s="593">
        <f t="shared" ref="BH49:CU49" ca="1" si="122">IFERROR(SUMIFS(INDIRECT($C49&amp;".Emissions["&amp;this.Year&amp;"]"), INDIRECT($C49&amp;".Emissions[GHG]"), BH$6, INDIRECT($C49&amp;".Emissions[IPCC Sector]"), BH$5),0)</f>
        <v>0</v>
      </c>
      <c r="BI49" s="593">
        <f t="shared" ca="1" si="122"/>
        <v>0</v>
      </c>
      <c r="BJ49" s="593">
        <f t="shared" ca="1" si="122"/>
        <v>0</v>
      </c>
      <c r="BK49" s="593">
        <f t="shared" ca="1" si="122"/>
        <v>0</v>
      </c>
      <c r="BL49" s="593">
        <f t="shared" ca="1" si="122"/>
        <v>0</v>
      </c>
      <c r="BM49" s="593">
        <f t="shared" ca="1" si="122"/>
        <v>0</v>
      </c>
      <c r="BN49" s="593">
        <f t="shared" ca="1" si="122"/>
        <v>0</v>
      </c>
      <c r="BO49" s="593">
        <f t="shared" ca="1" si="122"/>
        <v>0</v>
      </c>
      <c r="BP49" s="593">
        <f t="shared" ca="1" si="122"/>
        <v>0</v>
      </c>
      <c r="BQ49" s="593">
        <f t="shared" ca="1" si="122"/>
        <v>0</v>
      </c>
      <c r="BR49" s="593">
        <f t="shared" ca="1" si="122"/>
        <v>0</v>
      </c>
      <c r="BS49" s="593">
        <f t="shared" ca="1" si="122"/>
        <v>0</v>
      </c>
      <c r="BT49" s="593">
        <f t="shared" ca="1" si="122"/>
        <v>0</v>
      </c>
      <c r="BU49" s="593">
        <f t="shared" ca="1" si="122"/>
        <v>0</v>
      </c>
      <c r="BV49" s="593">
        <f t="shared" ca="1" si="122"/>
        <v>0</v>
      </c>
      <c r="BW49" s="593">
        <f t="shared" ca="1" si="122"/>
        <v>0</v>
      </c>
      <c r="BX49" s="593">
        <f t="shared" ca="1" si="122"/>
        <v>0</v>
      </c>
      <c r="BY49" s="593">
        <f t="shared" ca="1" si="122"/>
        <v>0</v>
      </c>
      <c r="BZ49" s="593">
        <f t="shared" ca="1" si="122"/>
        <v>0</v>
      </c>
      <c r="CA49" s="593">
        <f t="shared" ca="1" si="122"/>
        <v>0</v>
      </c>
      <c r="CB49" s="593">
        <f t="shared" ca="1" si="122"/>
        <v>0</v>
      </c>
      <c r="CC49" s="593">
        <f t="shared" ca="1" si="122"/>
        <v>0</v>
      </c>
      <c r="CD49" s="593">
        <f t="shared" ca="1" si="122"/>
        <v>0</v>
      </c>
      <c r="CE49" s="593">
        <f t="shared" ca="1" si="122"/>
        <v>0</v>
      </c>
      <c r="CF49" s="593">
        <f t="shared" ca="1" si="122"/>
        <v>0</v>
      </c>
      <c r="CG49" s="593">
        <f t="shared" ca="1" si="122"/>
        <v>0</v>
      </c>
      <c r="CH49" s="593">
        <f t="shared" ca="1" si="122"/>
        <v>0</v>
      </c>
      <c r="CI49" s="593">
        <f t="shared" ca="1" si="122"/>
        <v>0</v>
      </c>
      <c r="CJ49" s="593">
        <f t="shared" ca="1" si="122"/>
        <v>0</v>
      </c>
      <c r="CK49" s="593">
        <f t="shared" ca="1" si="122"/>
        <v>0</v>
      </c>
      <c r="CL49" s="593">
        <f t="shared" ca="1" si="122"/>
        <v>0</v>
      </c>
      <c r="CM49" s="593">
        <f t="shared" ca="1" si="122"/>
        <v>0</v>
      </c>
      <c r="CN49" s="593">
        <f t="shared" ca="1" si="122"/>
        <v>0</v>
      </c>
      <c r="CO49" s="593">
        <f t="shared" ca="1" si="122"/>
        <v>0</v>
      </c>
      <c r="CP49" s="593">
        <f t="shared" ca="1" si="122"/>
        <v>0</v>
      </c>
      <c r="CQ49" s="593">
        <f t="shared" ca="1" si="122"/>
        <v>0</v>
      </c>
      <c r="CR49" s="593">
        <f t="shared" ca="1" si="122"/>
        <v>0</v>
      </c>
      <c r="CS49" s="593">
        <f t="shared" ca="1" si="122"/>
        <v>0</v>
      </c>
      <c r="CT49" s="593">
        <f t="shared" ca="1" si="122"/>
        <v>0</v>
      </c>
      <c r="CU49" s="593">
        <f t="shared" ca="1" si="122"/>
        <v>0</v>
      </c>
      <c r="CW49" s="594">
        <f t="shared" ca="1" si="114"/>
        <v>0</v>
      </c>
    </row>
    <row r="50" spans="1:101" s="84" customFormat="1" ht="15.75" x14ac:dyDescent="0.2">
      <c r="A50" s="18"/>
      <c r="B50" s="89"/>
      <c r="C50" s="85" t="s">
        <v>63</v>
      </c>
      <c r="D50" s="57" t="str">
        <f>INDEX(Workstreams[Workstream], MATCH($C50, Workstreams[Code], 0))</f>
        <v>Distributed renewable power generation</v>
      </c>
      <c r="E50" s="53"/>
      <c r="G50" s="300">
        <f t="shared" ref="G50:O50" ca="1" si="123">SUM(G49:G49)</f>
        <v>0</v>
      </c>
      <c r="H50" s="300">
        <f t="shared" ca="1" si="123"/>
        <v>0</v>
      </c>
      <c r="I50" s="300">
        <f t="shared" ca="1" si="123"/>
        <v>0</v>
      </c>
      <c r="J50" s="300">
        <f t="shared" ca="1" si="123"/>
        <v>0</v>
      </c>
      <c r="K50" s="300">
        <f t="shared" ca="1" si="123"/>
        <v>0</v>
      </c>
      <c r="L50" s="300">
        <f t="shared" ca="1" si="123"/>
        <v>0</v>
      </c>
      <c r="M50" s="300">
        <f t="shared" ca="1" si="123"/>
        <v>0</v>
      </c>
      <c r="N50" s="300">
        <f t="shared" ca="1" si="123"/>
        <v>0</v>
      </c>
      <c r="O50" s="300">
        <f t="shared" ca="1" si="123"/>
        <v>0</v>
      </c>
      <c r="P50" s="300">
        <f t="shared" ca="1" si="70"/>
        <v>0</v>
      </c>
      <c r="R50" s="257">
        <f t="shared" ref="R50:AG50" ca="1" si="124">SUM(R49:R49)</f>
        <v>0</v>
      </c>
      <c r="S50" s="257">
        <f t="shared" ca="1" si="124"/>
        <v>45.248338799999999</v>
      </c>
      <c r="T50" s="257">
        <f t="shared" ca="1" si="124"/>
        <v>0</v>
      </c>
      <c r="U50" s="257">
        <f t="shared" ca="1" si="124"/>
        <v>0</v>
      </c>
      <c r="V50" s="257">
        <f t="shared" ca="1" si="124"/>
        <v>0</v>
      </c>
      <c r="W50" s="257">
        <f t="shared" ca="1" si="124"/>
        <v>0</v>
      </c>
      <c r="X50" s="257">
        <f t="shared" ca="1" si="124"/>
        <v>0</v>
      </c>
      <c r="Y50" s="257">
        <f t="shared" ca="1" si="124"/>
        <v>0</v>
      </c>
      <c r="Z50" s="257">
        <f t="shared" ca="1" si="124"/>
        <v>0</v>
      </c>
      <c r="AA50" s="257">
        <f t="shared" ca="1" si="124"/>
        <v>0</v>
      </c>
      <c r="AB50" s="257">
        <f t="shared" ca="1" si="124"/>
        <v>0</v>
      </c>
      <c r="AC50" s="257">
        <f t="shared" ca="1" si="124"/>
        <v>0</v>
      </c>
      <c r="AD50" s="257">
        <f t="shared" ca="1" si="124"/>
        <v>0</v>
      </c>
      <c r="AE50" s="257">
        <f t="shared" ca="1" si="124"/>
        <v>0</v>
      </c>
      <c r="AF50" s="257">
        <f t="shared" ca="1" si="124"/>
        <v>0</v>
      </c>
      <c r="AG50" s="257">
        <f t="shared" ca="1" si="124"/>
        <v>0</v>
      </c>
      <c r="AH50" s="257">
        <f t="shared" ca="1" si="5"/>
        <v>45.248338799999999</v>
      </c>
      <c r="AJ50" s="263">
        <f t="shared" ref="AJ50:AX50" ca="1" si="125">SUM(AJ49:AJ49)</f>
        <v>0</v>
      </c>
      <c r="AK50" s="263">
        <f t="shared" ca="1" si="125"/>
        <v>0</v>
      </c>
      <c r="AL50" s="263">
        <f t="shared" ca="1" si="125"/>
        <v>0</v>
      </c>
      <c r="AM50" s="263">
        <f t="shared" ca="1" si="125"/>
        <v>0</v>
      </c>
      <c r="AN50" s="263">
        <f t="shared" ca="1" si="125"/>
        <v>0</v>
      </c>
      <c r="AO50" s="263">
        <f t="shared" ca="1" si="125"/>
        <v>0</v>
      </c>
      <c r="AP50" s="263">
        <f t="shared" ca="1" si="125"/>
        <v>0</v>
      </c>
      <c r="AQ50" s="263">
        <f t="shared" ca="1" si="125"/>
        <v>0</v>
      </c>
      <c r="AR50" s="263">
        <f t="shared" ca="1" si="125"/>
        <v>0</v>
      </c>
      <c r="AS50" s="263">
        <f t="shared" ca="1" si="125"/>
        <v>0</v>
      </c>
      <c r="AT50" s="263">
        <f t="shared" ca="1" si="125"/>
        <v>-45.248338799999999</v>
      </c>
      <c r="AU50" s="263">
        <f t="shared" ca="1" si="125"/>
        <v>0</v>
      </c>
      <c r="AV50" s="263">
        <f t="shared" ca="1" si="125"/>
        <v>0</v>
      </c>
      <c r="AW50" s="263">
        <f t="shared" ca="1" si="125"/>
        <v>0</v>
      </c>
      <c r="AX50" s="263">
        <f t="shared" ca="1" si="125"/>
        <v>0</v>
      </c>
      <c r="AY50" s="263">
        <f t="shared" ca="1" si="74"/>
        <v>-45.248338799999999</v>
      </c>
      <c r="BA50" s="277">
        <f ca="1">SUM(BA49:BA49)</f>
        <v>0</v>
      </c>
      <c r="BB50" s="277">
        <f ca="1">SUM(BB49:BB49)</f>
        <v>0</v>
      </c>
      <c r="BC50" s="277">
        <f t="shared" ca="1" si="10"/>
        <v>0</v>
      </c>
      <c r="BE50" s="55">
        <f ca="1">P50+AH50+AY50+BC50</f>
        <v>0</v>
      </c>
      <c r="BF50" s="55"/>
      <c r="BG50" s="1428"/>
      <c r="BH50" s="542">
        <f t="shared" ref="BH50:CU50" ca="1" si="126">SUM(BH49:BH49)</f>
        <v>0</v>
      </c>
      <c r="BI50" s="542">
        <f t="shared" ca="1" si="126"/>
        <v>0</v>
      </c>
      <c r="BJ50" s="542">
        <f t="shared" ca="1" si="126"/>
        <v>0</v>
      </c>
      <c r="BK50" s="542">
        <f t="shared" ca="1" si="126"/>
        <v>0</v>
      </c>
      <c r="BL50" s="542">
        <f t="shared" ca="1" si="126"/>
        <v>0</v>
      </c>
      <c r="BM50" s="542">
        <f t="shared" ca="1" si="126"/>
        <v>0</v>
      </c>
      <c r="BN50" s="542">
        <f t="shared" ca="1" si="126"/>
        <v>0</v>
      </c>
      <c r="BO50" s="542">
        <f t="shared" ca="1" si="126"/>
        <v>0</v>
      </c>
      <c r="BP50" s="542">
        <f t="shared" ca="1" si="126"/>
        <v>0</v>
      </c>
      <c r="BQ50" s="542">
        <f t="shared" ca="1" si="126"/>
        <v>0</v>
      </c>
      <c r="BR50" s="542">
        <f t="shared" ca="1" si="126"/>
        <v>0</v>
      </c>
      <c r="BS50" s="542">
        <f t="shared" ca="1" si="126"/>
        <v>0</v>
      </c>
      <c r="BT50" s="542">
        <f t="shared" ca="1" si="126"/>
        <v>0</v>
      </c>
      <c r="BU50" s="542">
        <f t="shared" ca="1" si="126"/>
        <v>0</v>
      </c>
      <c r="BV50" s="542">
        <f t="shared" ca="1" si="126"/>
        <v>0</v>
      </c>
      <c r="BW50" s="542">
        <f t="shared" ca="1" si="126"/>
        <v>0</v>
      </c>
      <c r="BX50" s="542">
        <f t="shared" ca="1" si="126"/>
        <v>0</v>
      </c>
      <c r="BY50" s="542">
        <f t="shared" ca="1" si="126"/>
        <v>0</v>
      </c>
      <c r="BZ50" s="542">
        <f t="shared" ca="1" si="126"/>
        <v>0</v>
      </c>
      <c r="CA50" s="542">
        <f t="shared" ca="1" si="126"/>
        <v>0</v>
      </c>
      <c r="CB50" s="542">
        <f t="shared" ca="1" si="126"/>
        <v>0</v>
      </c>
      <c r="CC50" s="542">
        <f t="shared" ca="1" si="126"/>
        <v>0</v>
      </c>
      <c r="CD50" s="542">
        <f t="shared" ca="1" si="126"/>
        <v>0</v>
      </c>
      <c r="CE50" s="542">
        <f t="shared" ca="1" si="126"/>
        <v>0</v>
      </c>
      <c r="CF50" s="542">
        <f t="shared" ca="1" si="126"/>
        <v>0</v>
      </c>
      <c r="CG50" s="542">
        <f t="shared" ca="1" si="126"/>
        <v>0</v>
      </c>
      <c r="CH50" s="542">
        <f t="shared" ca="1" si="126"/>
        <v>0</v>
      </c>
      <c r="CI50" s="542">
        <f t="shared" ca="1" si="126"/>
        <v>0</v>
      </c>
      <c r="CJ50" s="542">
        <f t="shared" ca="1" si="126"/>
        <v>0</v>
      </c>
      <c r="CK50" s="542">
        <f t="shared" ca="1" si="126"/>
        <v>0</v>
      </c>
      <c r="CL50" s="542">
        <f t="shared" ca="1" si="126"/>
        <v>0</v>
      </c>
      <c r="CM50" s="542">
        <f t="shared" ca="1" si="126"/>
        <v>0</v>
      </c>
      <c r="CN50" s="542">
        <f t="shared" ca="1" si="126"/>
        <v>0</v>
      </c>
      <c r="CO50" s="542">
        <f t="shared" ca="1" si="126"/>
        <v>0</v>
      </c>
      <c r="CP50" s="542">
        <f t="shared" ca="1" si="126"/>
        <v>0</v>
      </c>
      <c r="CQ50" s="542">
        <f t="shared" ca="1" si="126"/>
        <v>0</v>
      </c>
      <c r="CR50" s="542">
        <f t="shared" ca="1" si="126"/>
        <v>0</v>
      </c>
      <c r="CS50" s="542">
        <f t="shared" ca="1" si="126"/>
        <v>0</v>
      </c>
      <c r="CT50" s="542">
        <f t="shared" ca="1" si="126"/>
        <v>0</v>
      </c>
      <c r="CU50" s="542">
        <f t="shared" ca="1" si="126"/>
        <v>0</v>
      </c>
      <c r="CW50" s="151">
        <f t="shared" ca="1" si="114"/>
        <v>0</v>
      </c>
    </row>
    <row r="51" spans="1:101" s="84" customFormat="1" ht="12.75" customHeight="1" outlineLevel="1" x14ac:dyDescent="0.2">
      <c r="A51" s="18"/>
      <c r="B51" s="18"/>
      <c r="C51" s="87"/>
      <c r="D51" s="53"/>
      <c r="E51" s="53"/>
      <c r="G51" s="245"/>
      <c r="H51" s="245"/>
      <c r="I51" s="245"/>
      <c r="J51" s="245"/>
      <c r="K51" s="245"/>
      <c r="L51" s="247"/>
      <c r="M51" s="245"/>
      <c r="N51" s="245"/>
      <c r="O51" s="245"/>
      <c r="P51" s="245">
        <f t="shared" si="70"/>
        <v>0</v>
      </c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>
        <f t="shared" si="5"/>
        <v>0</v>
      </c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>
        <f t="shared" si="74"/>
        <v>0</v>
      </c>
      <c r="BA51" s="277"/>
      <c r="BB51" s="277"/>
      <c r="BC51" s="277">
        <f t="shared" si="10"/>
        <v>0</v>
      </c>
      <c r="BE51" s="55"/>
      <c r="BF51" s="55"/>
      <c r="BG51" s="18"/>
      <c r="BH51" s="542"/>
      <c r="BI51" s="542"/>
      <c r="BJ51" s="542"/>
      <c r="BK51" s="542"/>
      <c r="BL51" s="542"/>
      <c r="BM51" s="542"/>
      <c r="BN51" s="542"/>
      <c r="BO51" s="542"/>
      <c r="BP51" s="542"/>
      <c r="BQ51" s="542"/>
      <c r="BR51" s="542"/>
      <c r="BS51" s="542"/>
      <c r="BT51" s="542"/>
      <c r="BU51" s="542"/>
      <c r="BV51" s="542"/>
      <c r="BW51" s="542"/>
      <c r="BX51" s="542"/>
      <c r="BY51" s="542"/>
      <c r="BZ51" s="542"/>
      <c r="CA51" s="542"/>
      <c r="CB51" s="542"/>
      <c r="CC51" s="542"/>
      <c r="CD51" s="542"/>
      <c r="CE51" s="542"/>
      <c r="CF51" s="542"/>
      <c r="CG51" s="542"/>
      <c r="CH51" s="542"/>
      <c r="CI51" s="542"/>
      <c r="CJ51" s="542"/>
      <c r="CK51" s="542"/>
      <c r="CL51" s="542"/>
      <c r="CM51" s="542"/>
      <c r="CN51" s="542"/>
      <c r="CO51" s="542"/>
      <c r="CP51" s="542"/>
      <c r="CQ51" s="542"/>
      <c r="CR51" s="542"/>
      <c r="CS51" s="542"/>
      <c r="CT51" s="542"/>
      <c r="CU51" s="542"/>
      <c r="CW51" s="151">
        <f t="shared" si="114"/>
        <v>0</v>
      </c>
    </row>
    <row r="52" spans="1:101" s="547" customFormat="1" ht="12.75" customHeight="1" outlineLevel="1" x14ac:dyDescent="0.2">
      <c r="C52" s="319" t="s">
        <v>855</v>
      </c>
      <c r="D52" s="320" t="s">
        <v>587</v>
      </c>
      <c r="E52" s="320"/>
      <c r="F52" s="84"/>
      <c r="G52" s="321"/>
      <c r="H52" s="321"/>
      <c r="I52" s="321"/>
      <c r="J52" s="321"/>
      <c r="K52" s="321"/>
      <c r="L52" s="322"/>
      <c r="M52" s="321"/>
      <c r="N52" s="321"/>
      <c r="O52" s="321"/>
      <c r="P52" s="321">
        <f t="shared" si="70"/>
        <v>0</v>
      </c>
      <c r="Q52" s="84"/>
      <c r="R52" s="323">
        <f ca="1">R$28+R$36+R$80+R$40+R$74+R$47+R$50</f>
        <v>-388.87602401750888</v>
      </c>
      <c r="S52" s="323">
        <f ca="1">S$28+S$36+S$80+S$40+S$74+S$47+S$50</f>
        <v>146.45798037674211</v>
      </c>
      <c r="T52" s="323"/>
      <c r="U52" s="323"/>
      <c r="V52" s="323"/>
      <c r="W52" s="323"/>
      <c r="X52" s="323"/>
      <c r="Y52" s="323"/>
      <c r="Z52" s="323"/>
      <c r="AA52" s="323"/>
      <c r="AB52" s="323"/>
      <c r="AC52" s="323"/>
      <c r="AD52" s="323"/>
      <c r="AE52" s="323"/>
      <c r="AF52" s="323"/>
      <c r="AG52" s="323"/>
      <c r="AH52" s="323">
        <f t="shared" ca="1" si="5"/>
        <v>-242.41804364076677</v>
      </c>
      <c r="AI52" s="84"/>
      <c r="AJ52" s="324"/>
      <c r="AK52" s="324"/>
      <c r="AL52" s="324"/>
      <c r="AM52" s="324"/>
      <c r="AN52" s="324"/>
      <c r="AO52" s="324"/>
      <c r="AP52" s="324"/>
      <c r="AQ52" s="324"/>
      <c r="AR52" s="324"/>
      <c r="AS52" s="324"/>
      <c r="AT52" s="324"/>
      <c r="AU52" s="324"/>
      <c r="AV52" s="324"/>
      <c r="AW52" s="324"/>
      <c r="AX52" s="324"/>
      <c r="AY52" s="324">
        <f t="shared" si="74"/>
        <v>0</v>
      </c>
      <c r="AZ52" s="84"/>
      <c r="BA52" s="325"/>
      <c r="BB52" s="325"/>
      <c r="BC52" s="325">
        <f t="shared" si="10"/>
        <v>0</v>
      </c>
      <c r="BD52" s="84"/>
      <c r="BE52" s="164"/>
      <c r="BF52" s="164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  <c r="CG52" s="549"/>
      <c r="CH52" s="549"/>
      <c r="CI52" s="549"/>
      <c r="CJ52" s="549"/>
      <c r="CK52" s="549"/>
      <c r="CL52" s="549"/>
      <c r="CM52" s="549"/>
      <c r="CN52" s="549"/>
      <c r="CO52" s="549"/>
      <c r="CP52" s="549"/>
      <c r="CQ52" s="549"/>
      <c r="CR52" s="549"/>
      <c r="CS52" s="549"/>
      <c r="CT52" s="549"/>
      <c r="CU52" s="549"/>
      <c r="CW52" s="151">
        <f t="shared" si="114"/>
        <v>0</v>
      </c>
    </row>
    <row r="53" spans="1:101" s="543" customFormat="1" ht="12.75" customHeight="1" outlineLevel="1" x14ac:dyDescent="0.2">
      <c r="C53" s="86" t="s">
        <v>297</v>
      </c>
      <c r="D53" s="292" t="str">
        <f>INDEX(Modules[Module], MATCH($C53, Modules[Code], 0))</f>
        <v>Nuclear power</v>
      </c>
      <c r="E53" s="292"/>
      <c r="F53" s="84"/>
      <c r="G53" s="301">
        <f t="shared" ref="G53:O53" ca="1" si="127">IFERROR(INDEX(INDIRECT($C53&amp;".Outputs["&amp;this.Year&amp;"]"), MATCH(G$5, INDIRECT($C53&amp;".Outputs[Vector]"), 0)), 0)</f>
        <v>0</v>
      </c>
      <c r="H53" s="301">
        <f t="shared" ca="1" si="127"/>
        <v>0</v>
      </c>
      <c r="I53" s="301">
        <f t="shared" ca="1" si="127"/>
        <v>0</v>
      </c>
      <c r="J53" s="301">
        <f t="shared" ca="1" si="127"/>
        <v>0</v>
      </c>
      <c r="K53" s="301">
        <f t="shared" ca="1" si="127"/>
        <v>0</v>
      </c>
      <c r="L53" s="301">
        <f t="shared" ca="1" si="127"/>
        <v>0</v>
      </c>
      <c r="M53" s="301">
        <f t="shared" ca="1" si="127"/>
        <v>0</v>
      </c>
      <c r="N53" s="301">
        <f t="shared" ca="1" si="127"/>
        <v>0</v>
      </c>
      <c r="O53" s="301">
        <f t="shared" ca="1" si="127"/>
        <v>0</v>
      </c>
      <c r="P53" s="301">
        <f t="shared" ca="1" si="70"/>
        <v>0</v>
      </c>
      <c r="Q53" s="84"/>
      <c r="R53" s="307">
        <f t="shared" ref="R53:AX53" ca="1" si="128">IFERROR(INDEX(INDIRECT($C53&amp;".Outputs["&amp;this.Year&amp;"]"), MATCH(R$5, INDIRECT($C53&amp;".Outputs[Vector]"), 0)), 0)</f>
        <v>0</v>
      </c>
      <c r="S53" s="307">
        <f t="shared" ca="1" si="128"/>
        <v>13.32432</v>
      </c>
      <c r="T53" s="307">
        <f t="shared" ca="1" si="128"/>
        <v>0</v>
      </c>
      <c r="U53" s="307">
        <f t="shared" ca="1" si="128"/>
        <v>0</v>
      </c>
      <c r="V53" s="307">
        <f t="shared" ca="1" si="128"/>
        <v>0</v>
      </c>
      <c r="W53" s="307">
        <f t="shared" ca="1" si="128"/>
        <v>0</v>
      </c>
      <c r="X53" s="307">
        <f ca="1">IFERROR(INDEX(INDIRECT($C53&amp;".Outputs["&amp;this.Year&amp;"]"), MATCH(X$5, INDIRECT($C53&amp;".Outputs[Vector]"), 0)), 0)</f>
        <v>0</v>
      </c>
      <c r="Y53" s="307">
        <f ca="1">IFERROR(INDEX(INDIRECT($C53&amp;".Outputs["&amp;this.Year&amp;"]"), MATCH(Y$5, INDIRECT($C53&amp;".Outputs[Vector]"), 0)), 0)</f>
        <v>0</v>
      </c>
      <c r="Z53" s="307">
        <f ca="1">IFERROR(INDEX(INDIRECT($C53&amp;".Outputs["&amp;this.Year&amp;"]"), MATCH(Z$5, INDIRECT($C53&amp;".Outputs[Vector]"), 0)), 0)</f>
        <v>0</v>
      </c>
      <c r="AA53" s="307">
        <f t="shared" ca="1" si="128"/>
        <v>0</v>
      </c>
      <c r="AB53" s="307">
        <f t="shared" ca="1" si="128"/>
        <v>0</v>
      </c>
      <c r="AC53" s="307">
        <f t="shared" ca="1" si="128"/>
        <v>0</v>
      </c>
      <c r="AD53" s="307">
        <f t="shared" ca="1" si="128"/>
        <v>0</v>
      </c>
      <c r="AE53" s="307">
        <f t="shared" ca="1" si="128"/>
        <v>0</v>
      </c>
      <c r="AF53" s="307">
        <f t="shared" ca="1" si="128"/>
        <v>0</v>
      </c>
      <c r="AG53" s="307">
        <f t="shared" ca="1" si="128"/>
        <v>0</v>
      </c>
      <c r="AH53" s="306">
        <f t="shared" ca="1" si="5"/>
        <v>13.32432</v>
      </c>
      <c r="AI53" s="84"/>
      <c r="AJ53" s="315">
        <f t="shared" ref="AJ53:AR53" ca="1" si="129">IFERROR(INDEX(INDIRECT($C53&amp;".Outputs["&amp;this.Year&amp;"]"), MATCH(AJ$5, INDIRECT($C53&amp;".Outputs[Vector]"), 0)), 0)</f>
        <v>0</v>
      </c>
      <c r="AK53" s="315">
        <f t="shared" ca="1" si="129"/>
        <v>0</v>
      </c>
      <c r="AL53" s="315">
        <f t="shared" ca="1" si="129"/>
        <v>0</v>
      </c>
      <c r="AM53" s="315">
        <f t="shared" ca="1" si="129"/>
        <v>0</v>
      </c>
      <c r="AN53" s="315">
        <f t="shared" ca="1" si="129"/>
        <v>0</v>
      </c>
      <c r="AO53" s="315">
        <f t="shared" ca="1" si="129"/>
        <v>0</v>
      </c>
      <c r="AP53" s="315">
        <f t="shared" ca="1" si="129"/>
        <v>0</v>
      </c>
      <c r="AQ53" s="315">
        <f t="shared" ca="1" si="129"/>
        <v>0</v>
      </c>
      <c r="AR53" s="315">
        <f t="shared" ca="1" si="129"/>
        <v>0</v>
      </c>
      <c r="AS53" s="315">
        <f t="shared" ca="1" si="128"/>
        <v>-40.713200000000001</v>
      </c>
      <c r="AT53" s="315">
        <f t="shared" ca="1" si="128"/>
        <v>0</v>
      </c>
      <c r="AU53" s="315">
        <f t="shared" ca="1" si="128"/>
        <v>0</v>
      </c>
      <c r="AV53" s="315">
        <f t="shared" ca="1" si="128"/>
        <v>0</v>
      </c>
      <c r="AW53" s="315">
        <f t="shared" ca="1" si="128"/>
        <v>0</v>
      </c>
      <c r="AX53" s="315">
        <f t="shared" ca="1" si="128"/>
        <v>0</v>
      </c>
      <c r="AY53" s="293">
        <f t="shared" ca="1" si="74"/>
        <v>-40.713200000000001</v>
      </c>
      <c r="AZ53" s="84"/>
      <c r="BA53" s="311">
        <f ca="1">IFERROR(INDEX(INDIRECT($C53&amp;".Outputs["&amp;this.Year&amp;"]"), MATCH(BA$5, INDIRECT($C53&amp;".Outputs[Vector]"), 0)), 0)</f>
        <v>26.056448</v>
      </c>
      <c r="BB53" s="311">
        <f ca="1">IFERROR(INDEX(INDIRECT($C53&amp;".Outputs["&amp;this.Year&amp;"]"), MATCH(BB$5, INDIRECT($C53&amp;".Outputs[Vector]"), 0)), 0)</f>
        <v>1.3324320000000001</v>
      </c>
      <c r="BC53" s="310">
        <f t="shared" ca="1" si="10"/>
        <v>27.38888</v>
      </c>
      <c r="BD53" s="84"/>
      <c r="BE53" s="135">
        <f ca="1">P53+AH53+AY53+BC53</f>
        <v>0</v>
      </c>
      <c r="BF53" s="135"/>
      <c r="BG53" s="1428"/>
      <c r="BH53" s="544">
        <f t="shared" ref="BH53:CU53" ca="1" si="130">IFERROR(SUMIFS(INDIRECT($C53&amp;".Emissions["&amp;this.Year&amp;"]"), INDIRECT($C53&amp;".Emissions[GHG]"), BH$6, INDIRECT($C53&amp;".Emissions[IPCC Sector]"), BH$5),0)</f>
        <v>0</v>
      </c>
      <c r="BI53" s="545">
        <f t="shared" ca="1" si="130"/>
        <v>0</v>
      </c>
      <c r="BJ53" s="545">
        <f t="shared" ca="1" si="130"/>
        <v>0</v>
      </c>
      <c r="BK53" s="545">
        <f t="shared" ca="1" si="130"/>
        <v>0</v>
      </c>
      <c r="BL53" s="545">
        <f t="shared" ca="1" si="130"/>
        <v>0</v>
      </c>
      <c r="BM53" s="545">
        <f t="shared" ca="1" si="130"/>
        <v>0</v>
      </c>
      <c r="BN53" s="545">
        <f t="shared" ca="1" si="130"/>
        <v>0</v>
      </c>
      <c r="BO53" s="545">
        <f t="shared" ca="1" si="130"/>
        <v>0</v>
      </c>
      <c r="BP53" s="545">
        <f t="shared" ca="1" si="130"/>
        <v>0</v>
      </c>
      <c r="BQ53" s="545">
        <f t="shared" ca="1" si="130"/>
        <v>0</v>
      </c>
      <c r="BR53" s="545">
        <f t="shared" ca="1" si="130"/>
        <v>0</v>
      </c>
      <c r="BS53" s="545">
        <f t="shared" ca="1" si="130"/>
        <v>0</v>
      </c>
      <c r="BT53" s="545">
        <f t="shared" ca="1" si="130"/>
        <v>0</v>
      </c>
      <c r="BU53" s="545">
        <f t="shared" ca="1" si="130"/>
        <v>0</v>
      </c>
      <c r="BV53" s="545">
        <f t="shared" ca="1" si="130"/>
        <v>0</v>
      </c>
      <c r="BW53" s="545">
        <f t="shared" ca="1" si="130"/>
        <v>0</v>
      </c>
      <c r="BX53" s="545">
        <f t="shared" ca="1" si="130"/>
        <v>0</v>
      </c>
      <c r="BY53" s="545">
        <f t="shared" ca="1" si="130"/>
        <v>0</v>
      </c>
      <c r="BZ53" s="545">
        <f t="shared" ca="1" si="130"/>
        <v>0</v>
      </c>
      <c r="CA53" s="545">
        <f t="shared" ca="1" si="130"/>
        <v>0</v>
      </c>
      <c r="CB53" s="545">
        <f t="shared" ca="1" si="130"/>
        <v>0</v>
      </c>
      <c r="CC53" s="545">
        <f t="shared" ca="1" si="130"/>
        <v>0</v>
      </c>
      <c r="CD53" s="545">
        <f t="shared" ca="1" si="130"/>
        <v>0</v>
      </c>
      <c r="CE53" s="545">
        <f t="shared" ca="1" si="130"/>
        <v>0</v>
      </c>
      <c r="CF53" s="545">
        <f t="shared" ca="1" si="130"/>
        <v>0</v>
      </c>
      <c r="CG53" s="545">
        <f t="shared" ca="1" si="130"/>
        <v>0</v>
      </c>
      <c r="CH53" s="545">
        <f t="shared" ca="1" si="130"/>
        <v>0</v>
      </c>
      <c r="CI53" s="545">
        <f t="shared" ca="1" si="130"/>
        <v>0</v>
      </c>
      <c r="CJ53" s="545">
        <f t="shared" ca="1" si="130"/>
        <v>0</v>
      </c>
      <c r="CK53" s="545">
        <f t="shared" ca="1" si="130"/>
        <v>0</v>
      </c>
      <c r="CL53" s="545">
        <f t="shared" ca="1" si="130"/>
        <v>0</v>
      </c>
      <c r="CM53" s="545">
        <f t="shared" ca="1" si="130"/>
        <v>0</v>
      </c>
      <c r="CN53" s="545">
        <f t="shared" ca="1" si="130"/>
        <v>0</v>
      </c>
      <c r="CO53" s="545">
        <f t="shared" ca="1" si="130"/>
        <v>0</v>
      </c>
      <c r="CP53" s="545">
        <f t="shared" ca="1" si="130"/>
        <v>0</v>
      </c>
      <c r="CQ53" s="545">
        <f t="shared" ca="1" si="130"/>
        <v>0</v>
      </c>
      <c r="CR53" s="545">
        <f t="shared" ca="1" si="130"/>
        <v>0</v>
      </c>
      <c r="CS53" s="545">
        <f t="shared" ca="1" si="130"/>
        <v>0</v>
      </c>
      <c r="CT53" s="545">
        <f t="shared" ca="1" si="130"/>
        <v>0</v>
      </c>
      <c r="CU53" s="545">
        <f t="shared" ca="1" si="130"/>
        <v>0</v>
      </c>
      <c r="CW53" s="151">
        <f t="shared" ca="1" si="114"/>
        <v>0</v>
      </c>
    </row>
    <row r="54" spans="1:101" s="84" customFormat="1" ht="15.75" x14ac:dyDescent="0.2">
      <c r="A54" s="18"/>
      <c r="B54" s="89"/>
      <c r="C54" s="85" t="s">
        <v>61</v>
      </c>
      <c r="D54" s="57" t="str">
        <f>INDEX(Workstreams[Workstream], MATCH($C54, Workstreams[Code], 0))</f>
        <v>Nuclear power generation</v>
      </c>
      <c r="E54" s="53"/>
      <c r="G54" s="300">
        <f ca="1">G53</f>
        <v>0</v>
      </c>
      <c r="H54" s="300">
        <f t="shared" ref="H54:O54" ca="1" si="131">H53</f>
        <v>0</v>
      </c>
      <c r="I54" s="300">
        <f ca="1">I53</f>
        <v>0</v>
      </c>
      <c r="J54" s="300">
        <f t="shared" ca="1" si="131"/>
        <v>0</v>
      </c>
      <c r="K54" s="300">
        <f t="shared" ca="1" si="131"/>
        <v>0</v>
      </c>
      <c r="L54" s="300">
        <f t="shared" ca="1" si="131"/>
        <v>0</v>
      </c>
      <c r="M54" s="300">
        <f t="shared" ca="1" si="131"/>
        <v>0</v>
      </c>
      <c r="N54" s="300">
        <f t="shared" ca="1" si="131"/>
        <v>0</v>
      </c>
      <c r="O54" s="300">
        <f t="shared" ca="1" si="131"/>
        <v>0</v>
      </c>
      <c r="P54" s="300">
        <f t="shared" ca="1" si="70"/>
        <v>0</v>
      </c>
      <c r="R54" s="257">
        <f t="shared" ref="R54:AE54" ca="1" si="132">R53</f>
        <v>0</v>
      </c>
      <c r="S54" s="257">
        <f t="shared" ca="1" si="132"/>
        <v>13.32432</v>
      </c>
      <c r="T54" s="257">
        <f t="shared" ca="1" si="132"/>
        <v>0</v>
      </c>
      <c r="U54" s="257">
        <f t="shared" ca="1" si="132"/>
        <v>0</v>
      </c>
      <c r="V54" s="257">
        <f t="shared" ca="1" si="132"/>
        <v>0</v>
      </c>
      <c r="W54" s="257">
        <f ca="1">W53</f>
        <v>0</v>
      </c>
      <c r="X54" s="257">
        <f t="shared" ca="1" si="132"/>
        <v>0</v>
      </c>
      <c r="Y54" s="257">
        <f t="shared" ca="1" si="132"/>
        <v>0</v>
      </c>
      <c r="Z54" s="257">
        <f t="shared" ca="1" si="132"/>
        <v>0</v>
      </c>
      <c r="AA54" s="257">
        <f t="shared" ca="1" si="132"/>
        <v>0</v>
      </c>
      <c r="AB54" s="257">
        <f t="shared" ca="1" si="132"/>
        <v>0</v>
      </c>
      <c r="AC54" s="257">
        <f ca="1">AC53</f>
        <v>0</v>
      </c>
      <c r="AD54" s="257">
        <f ca="1">AD53</f>
        <v>0</v>
      </c>
      <c r="AE54" s="257">
        <f t="shared" ca="1" si="132"/>
        <v>0</v>
      </c>
      <c r="AF54" s="257">
        <f ca="1">AF53</f>
        <v>0</v>
      </c>
      <c r="AG54" s="257">
        <f ca="1">AG53</f>
        <v>0</v>
      </c>
      <c r="AH54" s="257">
        <f t="shared" ca="1" si="5"/>
        <v>13.32432</v>
      </c>
      <c r="AJ54" s="263">
        <f ca="1">AJ53</f>
        <v>0</v>
      </c>
      <c r="AK54" s="263">
        <f t="shared" ref="AK54:AX54" ca="1" si="133">AK53</f>
        <v>0</v>
      </c>
      <c r="AL54" s="263">
        <f t="shared" ca="1" si="133"/>
        <v>0</v>
      </c>
      <c r="AM54" s="263">
        <f t="shared" ca="1" si="133"/>
        <v>0</v>
      </c>
      <c r="AN54" s="263">
        <f t="shared" ca="1" si="133"/>
        <v>0</v>
      </c>
      <c r="AO54" s="263">
        <f t="shared" ca="1" si="133"/>
        <v>0</v>
      </c>
      <c r="AP54" s="263">
        <f t="shared" ca="1" si="133"/>
        <v>0</v>
      </c>
      <c r="AQ54" s="263">
        <f t="shared" ca="1" si="133"/>
        <v>0</v>
      </c>
      <c r="AR54" s="263">
        <f t="shared" ca="1" si="133"/>
        <v>0</v>
      </c>
      <c r="AS54" s="263">
        <f t="shared" ca="1" si="133"/>
        <v>-40.713200000000001</v>
      </c>
      <c r="AT54" s="263">
        <f t="shared" ca="1" si="133"/>
        <v>0</v>
      </c>
      <c r="AU54" s="263">
        <f t="shared" ca="1" si="133"/>
        <v>0</v>
      </c>
      <c r="AV54" s="263">
        <f t="shared" ca="1" si="133"/>
        <v>0</v>
      </c>
      <c r="AW54" s="263">
        <f t="shared" ca="1" si="133"/>
        <v>0</v>
      </c>
      <c r="AX54" s="263">
        <f t="shared" ca="1" si="133"/>
        <v>0</v>
      </c>
      <c r="AY54" s="263">
        <f t="shared" ca="1" si="74"/>
        <v>-40.713200000000001</v>
      </c>
      <c r="BA54" s="277">
        <f ca="1">BA53</f>
        <v>26.056448</v>
      </c>
      <c r="BB54" s="277">
        <f ca="1">BB53</f>
        <v>1.3324320000000001</v>
      </c>
      <c r="BC54" s="277">
        <f t="shared" ca="1" si="10"/>
        <v>27.38888</v>
      </c>
      <c r="BE54" s="55">
        <f ca="1">P54+AH54+AY54+BC54</f>
        <v>0</v>
      </c>
      <c r="BF54" s="55"/>
      <c r="BG54" s="1428"/>
      <c r="BH54" s="542">
        <f t="shared" ref="BH54:CU54" ca="1" si="134">BH53</f>
        <v>0</v>
      </c>
      <c r="BI54" s="542">
        <f t="shared" ca="1" si="134"/>
        <v>0</v>
      </c>
      <c r="BJ54" s="542">
        <f t="shared" ca="1" si="134"/>
        <v>0</v>
      </c>
      <c r="BK54" s="542">
        <f t="shared" ca="1" si="134"/>
        <v>0</v>
      </c>
      <c r="BL54" s="542">
        <f t="shared" ca="1" si="134"/>
        <v>0</v>
      </c>
      <c r="BM54" s="542">
        <f t="shared" ca="1" si="134"/>
        <v>0</v>
      </c>
      <c r="BN54" s="542">
        <f t="shared" ca="1" si="134"/>
        <v>0</v>
      </c>
      <c r="BO54" s="542">
        <f t="shared" ca="1" si="134"/>
        <v>0</v>
      </c>
      <c r="BP54" s="542">
        <f t="shared" ca="1" si="134"/>
        <v>0</v>
      </c>
      <c r="BQ54" s="542">
        <f t="shared" ca="1" si="134"/>
        <v>0</v>
      </c>
      <c r="BR54" s="542">
        <f t="shared" ca="1" si="134"/>
        <v>0</v>
      </c>
      <c r="BS54" s="542">
        <f t="shared" ca="1" si="134"/>
        <v>0</v>
      </c>
      <c r="BT54" s="542">
        <f t="shared" ca="1" si="134"/>
        <v>0</v>
      </c>
      <c r="BU54" s="542">
        <f t="shared" ca="1" si="134"/>
        <v>0</v>
      </c>
      <c r="BV54" s="542">
        <f t="shared" ca="1" si="134"/>
        <v>0</v>
      </c>
      <c r="BW54" s="542">
        <f t="shared" ca="1" si="134"/>
        <v>0</v>
      </c>
      <c r="BX54" s="542">
        <f t="shared" ca="1" si="134"/>
        <v>0</v>
      </c>
      <c r="BY54" s="542">
        <f t="shared" ca="1" si="134"/>
        <v>0</v>
      </c>
      <c r="BZ54" s="542">
        <f t="shared" ca="1" si="134"/>
        <v>0</v>
      </c>
      <c r="CA54" s="542">
        <f t="shared" ca="1" si="134"/>
        <v>0</v>
      </c>
      <c r="CB54" s="542">
        <f t="shared" ca="1" si="134"/>
        <v>0</v>
      </c>
      <c r="CC54" s="542">
        <f t="shared" ca="1" si="134"/>
        <v>0</v>
      </c>
      <c r="CD54" s="542">
        <f t="shared" ca="1" si="134"/>
        <v>0</v>
      </c>
      <c r="CE54" s="542">
        <f t="shared" ca="1" si="134"/>
        <v>0</v>
      </c>
      <c r="CF54" s="542">
        <f t="shared" ca="1" si="134"/>
        <v>0</v>
      </c>
      <c r="CG54" s="542">
        <f t="shared" ca="1" si="134"/>
        <v>0</v>
      </c>
      <c r="CH54" s="542">
        <f t="shared" ca="1" si="134"/>
        <v>0</v>
      </c>
      <c r="CI54" s="542">
        <f t="shared" ca="1" si="134"/>
        <v>0</v>
      </c>
      <c r="CJ54" s="542">
        <f t="shared" ca="1" si="134"/>
        <v>0</v>
      </c>
      <c r="CK54" s="542">
        <f t="shared" ca="1" si="134"/>
        <v>0</v>
      </c>
      <c r="CL54" s="542">
        <f t="shared" ca="1" si="134"/>
        <v>0</v>
      </c>
      <c r="CM54" s="542">
        <f t="shared" ca="1" si="134"/>
        <v>0</v>
      </c>
      <c r="CN54" s="542">
        <f t="shared" ca="1" si="134"/>
        <v>0</v>
      </c>
      <c r="CO54" s="542">
        <f t="shared" ca="1" si="134"/>
        <v>0</v>
      </c>
      <c r="CP54" s="542">
        <f t="shared" ca="1" si="134"/>
        <v>0</v>
      </c>
      <c r="CQ54" s="542">
        <f t="shared" ca="1" si="134"/>
        <v>0</v>
      </c>
      <c r="CR54" s="542">
        <f t="shared" ca="1" si="134"/>
        <v>0</v>
      </c>
      <c r="CS54" s="542">
        <f t="shared" ca="1" si="134"/>
        <v>0</v>
      </c>
      <c r="CT54" s="542">
        <f t="shared" ca="1" si="134"/>
        <v>0</v>
      </c>
      <c r="CU54" s="542">
        <f t="shared" ca="1" si="134"/>
        <v>0</v>
      </c>
      <c r="CW54" s="151">
        <f t="shared" ca="1" si="114"/>
        <v>0</v>
      </c>
    </row>
    <row r="55" spans="1:101" s="84" customFormat="1" ht="12.75" customHeight="1" outlineLevel="1" x14ac:dyDescent="0.2">
      <c r="A55" s="18"/>
      <c r="B55" s="18"/>
      <c r="C55" s="87"/>
      <c r="D55" s="53"/>
      <c r="E55" s="53"/>
      <c r="G55" s="245"/>
      <c r="H55" s="245"/>
      <c r="I55" s="245"/>
      <c r="J55" s="245"/>
      <c r="K55" s="245"/>
      <c r="L55" s="247"/>
      <c r="M55" s="245"/>
      <c r="N55" s="245"/>
      <c r="O55" s="245"/>
      <c r="P55" s="245">
        <f t="shared" si="70"/>
        <v>0</v>
      </c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>
        <f t="shared" si="5"/>
        <v>0</v>
      </c>
      <c r="AJ55" s="263"/>
      <c r="AK55" s="263"/>
      <c r="AL55" s="263"/>
      <c r="AM55" s="263"/>
      <c r="AN55" s="263"/>
      <c r="AO55" s="263"/>
      <c r="AP55" s="263"/>
      <c r="AQ55" s="263"/>
      <c r="AR55" s="263"/>
      <c r="AS55" s="263"/>
      <c r="AT55" s="263"/>
      <c r="AU55" s="263"/>
      <c r="AV55" s="263"/>
      <c r="AW55" s="263"/>
      <c r="AX55" s="263"/>
      <c r="AY55" s="263">
        <f t="shared" si="74"/>
        <v>0</v>
      </c>
      <c r="BA55" s="277"/>
      <c r="BB55" s="277"/>
      <c r="BC55" s="277">
        <f t="shared" si="10"/>
        <v>0</v>
      </c>
      <c r="BE55" s="55">
        <f>P55+AH55+AY55+BC55</f>
        <v>0</v>
      </c>
      <c r="BF55" s="55"/>
      <c r="BG55" s="18"/>
      <c r="BH55" s="542"/>
      <c r="BI55" s="542"/>
      <c r="BJ55" s="542"/>
      <c r="BK55" s="542"/>
      <c r="BL55" s="542"/>
      <c r="BM55" s="542"/>
      <c r="BN55" s="542"/>
      <c r="BO55" s="542"/>
      <c r="BP55" s="542"/>
      <c r="BQ55" s="542"/>
      <c r="BR55" s="542"/>
      <c r="BS55" s="542"/>
      <c r="BT55" s="542"/>
      <c r="BU55" s="542"/>
      <c r="BV55" s="542"/>
      <c r="BW55" s="542"/>
      <c r="BX55" s="542"/>
      <c r="BY55" s="542"/>
      <c r="BZ55" s="542"/>
      <c r="CA55" s="542"/>
      <c r="CB55" s="542"/>
      <c r="CC55" s="542"/>
      <c r="CD55" s="542"/>
      <c r="CE55" s="542"/>
      <c r="CF55" s="542"/>
      <c r="CG55" s="542"/>
      <c r="CH55" s="542"/>
      <c r="CI55" s="542"/>
      <c r="CJ55" s="542"/>
      <c r="CK55" s="542"/>
      <c r="CL55" s="542"/>
      <c r="CM55" s="542"/>
      <c r="CN55" s="542"/>
      <c r="CO55" s="542"/>
      <c r="CP55" s="542"/>
      <c r="CQ55" s="542"/>
      <c r="CR55" s="542"/>
      <c r="CS55" s="542"/>
      <c r="CT55" s="542"/>
      <c r="CU55" s="542"/>
      <c r="CW55" s="151">
        <f t="shared" si="114"/>
        <v>0</v>
      </c>
    </row>
    <row r="56" spans="1:101" s="547" customFormat="1" ht="12.75" customHeight="1" outlineLevel="1" x14ac:dyDescent="0.2">
      <c r="C56" s="319" t="s">
        <v>856</v>
      </c>
      <c r="D56" s="320" t="s">
        <v>587</v>
      </c>
      <c r="E56" s="320"/>
      <c r="F56" s="84"/>
      <c r="G56" s="321"/>
      <c r="H56" s="321"/>
      <c r="I56" s="321"/>
      <c r="J56" s="321"/>
      <c r="K56" s="321"/>
      <c r="L56" s="322"/>
      <c r="M56" s="321"/>
      <c r="N56" s="321"/>
      <c r="O56" s="321"/>
      <c r="P56" s="321">
        <f t="shared" si="70"/>
        <v>0</v>
      </c>
      <c r="Q56" s="84"/>
      <c r="R56" s="323">
        <f ca="1">R$52+R$54</f>
        <v>-388.87602401750888</v>
      </c>
      <c r="S56" s="323">
        <f ca="1">S$52+S$54</f>
        <v>159.78230037674211</v>
      </c>
      <c r="T56" s="323"/>
      <c r="U56" s="323"/>
      <c r="V56" s="323"/>
      <c r="W56" s="323"/>
      <c r="X56" s="323"/>
      <c r="Y56" s="323"/>
      <c r="Z56" s="323"/>
      <c r="AA56" s="323"/>
      <c r="AB56" s="323"/>
      <c r="AC56" s="323"/>
      <c r="AD56" s="323"/>
      <c r="AE56" s="323"/>
      <c r="AF56" s="323"/>
      <c r="AG56" s="323"/>
      <c r="AH56" s="323">
        <f t="shared" ca="1" si="5"/>
        <v>-229.09372364076677</v>
      </c>
      <c r="AI56" s="84"/>
      <c r="AJ56" s="324"/>
      <c r="AK56" s="324"/>
      <c r="AL56" s="324"/>
      <c r="AM56" s="324"/>
      <c r="AN56" s="324"/>
      <c r="AO56" s="324"/>
      <c r="AP56" s="324"/>
      <c r="AQ56" s="324"/>
      <c r="AR56" s="324"/>
      <c r="AS56" s="324"/>
      <c r="AT56" s="324"/>
      <c r="AU56" s="324"/>
      <c r="AV56" s="324"/>
      <c r="AW56" s="324"/>
      <c r="AX56" s="324"/>
      <c r="AY56" s="324">
        <f t="shared" si="74"/>
        <v>0</v>
      </c>
      <c r="AZ56" s="84"/>
      <c r="BA56" s="325"/>
      <c r="BB56" s="325"/>
      <c r="BC56" s="325">
        <f t="shared" si="10"/>
        <v>0</v>
      </c>
      <c r="BD56" s="84"/>
      <c r="BE56" s="164"/>
      <c r="BF56" s="164"/>
      <c r="BH56" s="549"/>
      <c r="BI56" s="549"/>
      <c r="BJ56" s="549"/>
      <c r="BK56" s="549"/>
      <c r="BL56" s="549"/>
      <c r="BM56" s="549"/>
      <c r="BN56" s="549"/>
      <c r="BO56" s="549"/>
      <c r="BP56" s="549"/>
      <c r="BQ56" s="549"/>
      <c r="BR56" s="549"/>
      <c r="BS56" s="549"/>
      <c r="BT56" s="549"/>
      <c r="BU56" s="549"/>
      <c r="BV56" s="549"/>
      <c r="BW56" s="549"/>
      <c r="BX56" s="549"/>
      <c r="BY56" s="549"/>
      <c r="BZ56" s="549"/>
      <c r="CA56" s="549"/>
      <c r="CB56" s="549"/>
      <c r="CC56" s="549"/>
      <c r="CD56" s="549"/>
      <c r="CE56" s="549"/>
      <c r="CF56" s="549"/>
      <c r="CG56" s="549"/>
      <c r="CH56" s="549"/>
      <c r="CI56" s="549"/>
      <c r="CJ56" s="549"/>
      <c r="CK56" s="549"/>
      <c r="CL56" s="549"/>
      <c r="CM56" s="549"/>
      <c r="CN56" s="549"/>
      <c r="CO56" s="549"/>
      <c r="CP56" s="549"/>
      <c r="CQ56" s="549"/>
      <c r="CR56" s="549"/>
      <c r="CS56" s="549"/>
      <c r="CT56" s="549"/>
      <c r="CU56" s="549"/>
      <c r="CW56" s="151">
        <f t="shared" si="114"/>
        <v>0</v>
      </c>
    </row>
    <row r="57" spans="1:101" s="543" customFormat="1" ht="12.75" customHeight="1" outlineLevel="1" x14ac:dyDescent="0.2">
      <c r="C57" s="86" t="s">
        <v>352</v>
      </c>
      <c r="D57" s="61" t="str">
        <f>INDEX(Modules[Module], MATCH($C57, Modules[Code], 0))</f>
        <v>Biomass power station</v>
      </c>
      <c r="E57" s="61"/>
      <c r="F57" s="84"/>
      <c r="G57" s="892">
        <f t="shared" ref="G57:O59" ca="1" si="135">IFERROR(INDEX(INDIRECT($C57&amp;".Outputs["&amp;this.Year&amp;"]"), MATCH(G$5, INDIRECT($C57&amp;".Outputs[Vector]"), 0)), 0)</f>
        <v>0</v>
      </c>
      <c r="H57" s="892">
        <f t="shared" ca="1" si="135"/>
        <v>0</v>
      </c>
      <c r="I57" s="892">
        <f t="shared" ca="1" si="135"/>
        <v>0</v>
      </c>
      <c r="J57" s="892">
        <f t="shared" ca="1" si="135"/>
        <v>0</v>
      </c>
      <c r="K57" s="892">
        <f t="shared" ca="1" si="135"/>
        <v>0</v>
      </c>
      <c r="L57" s="892">
        <f t="shared" ca="1" si="135"/>
        <v>0</v>
      </c>
      <c r="M57" s="892">
        <f t="shared" ca="1" si="135"/>
        <v>0</v>
      </c>
      <c r="N57" s="892">
        <f t="shared" ca="1" si="135"/>
        <v>0</v>
      </c>
      <c r="O57" s="892">
        <f t="shared" ca="1" si="135"/>
        <v>0</v>
      </c>
      <c r="P57" s="892">
        <f t="shared" ref="P57:P89" ca="1" si="136">SUM(G57:O57)</f>
        <v>0</v>
      </c>
      <c r="Q57" s="84"/>
      <c r="R57" s="893">
        <f t="shared" ref="R57:AG57" ca="1" si="137">IFERROR(INDEX(INDIRECT($C57&amp;".Outputs["&amp;this.Year&amp;"]"), MATCH(R$5, INDIRECT($C57&amp;".Outputs[Vector]"), 0)), 0)</f>
        <v>0</v>
      </c>
      <c r="S57" s="893">
        <f t="shared" ca="1" si="137"/>
        <v>19.723499999999998</v>
      </c>
      <c r="T57" s="893">
        <f t="shared" ca="1" si="137"/>
        <v>-59.170499999999997</v>
      </c>
      <c r="U57" s="893">
        <f t="shared" ca="1" si="137"/>
        <v>0</v>
      </c>
      <c r="V57" s="893">
        <f t="shared" ca="1" si="137"/>
        <v>0</v>
      </c>
      <c r="W57" s="893">
        <f t="shared" ca="1" si="137"/>
        <v>0</v>
      </c>
      <c r="X57" s="893">
        <f t="shared" ca="1" si="137"/>
        <v>0</v>
      </c>
      <c r="Y57" s="893">
        <f t="shared" ca="1" si="137"/>
        <v>0</v>
      </c>
      <c r="Z57" s="893">
        <f t="shared" ca="1" si="137"/>
        <v>0</v>
      </c>
      <c r="AA57" s="893">
        <f t="shared" ca="1" si="137"/>
        <v>0</v>
      </c>
      <c r="AB57" s="893">
        <f t="shared" ca="1" si="137"/>
        <v>0</v>
      </c>
      <c r="AC57" s="893">
        <f t="shared" ca="1" si="137"/>
        <v>0</v>
      </c>
      <c r="AD57" s="893">
        <f t="shared" ca="1" si="137"/>
        <v>0</v>
      </c>
      <c r="AE57" s="893">
        <f t="shared" ca="1" si="137"/>
        <v>0</v>
      </c>
      <c r="AF57" s="893">
        <f t="shared" ca="1" si="137"/>
        <v>0</v>
      </c>
      <c r="AG57" s="893">
        <f t="shared" ca="1" si="137"/>
        <v>0</v>
      </c>
      <c r="AH57" s="894">
        <f t="shared" ca="1" si="5"/>
        <v>-39.447000000000003</v>
      </c>
      <c r="AI57" s="84"/>
      <c r="AJ57" s="895">
        <f t="shared" ref="AJ57:AR59" ca="1" si="138">IFERROR(INDEX(INDIRECT($C57&amp;".Outputs["&amp;this.Year&amp;"]"), MATCH(AJ$5, INDIRECT($C57&amp;".Outputs[Vector]"), 0)), 0)</f>
        <v>0</v>
      </c>
      <c r="AK57" s="895">
        <f t="shared" ca="1" si="138"/>
        <v>0</v>
      </c>
      <c r="AL57" s="895">
        <f t="shared" ca="1" si="138"/>
        <v>0</v>
      </c>
      <c r="AM57" s="895">
        <f t="shared" ca="1" si="138"/>
        <v>0</v>
      </c>
      <c r="AN57" s="895">
        <f t="shared" ca="1" si="138"/>
        <v>0</v>
      </c>
      <c r="AO57" s="895">
        <f t="shared" ca="1" si="138"/>
        <v>0</v>
      </c>
      <c r="AP57" s="895">
        <f t="shared" ca="1" si="138"/>
        <v>0</v>
      </c>
      <c r="AQ57" s="895">
        <f t="shared" ca="1" si="138"/>
        <v>0</v>
      </c>
      <c r="AR57" s="895">
        <f t="shared" ca="1" si="138"/>
        <v>0</v>
      </c>
      <c r="AS57" s="895">
        <f t="shared" ref="AS57:AX57" ca="1" si="139">IFERROR(INDEX(INDIRECT($C57&amp;".Outputs["&amp;this.Year&amp;"]"), MATCH(AS$5, INDIRECT($C57&amp;".Outputs[Vector]"), 0)), 0)</f>
        <v>0</v>
      </c>
      <c r="AT57" s="895">
        <f t="shared" ca="1" si="139"/>
        <v>0</v>
      </c>
      <c r="AU57" s="895">
        <f t="shared" ca="1" si="139"/>
        <v>0</v>
      </c>
      <c r="AV57" s="895">
        <f t="shared" ca="1" si="139"/>
        <v>0</v>
      </c>
      <c r="AW57" s="895">
        <f t="shared" ca="1" si="139"/>
        <v>0</v>
      </c>
      <c r="AX57" s="895">
        <f t="shared" ca="1" si="139"/>
        <v>0</v>
      </c>
      <c r="AY57" s="896">
        <f t="shared" ca="1" si="74"/>
        <v>0</v>
      </c>
      <c r="AZ57" s="84"/>
      <c r="BA57" s="897">
        <f ca="1">IFERROR(INDEX(INDIRECT($C57&amp;".Outputs["&amp;this.Year&amp;"]"), MATCH(BA$5, INDIRECT($C57&amp;".Outputs[Vector]"), 0)), 0)</f>
        <v>38.460825</v>
      </c>
      <c r="BB57" s="897">
        <f ca="1">IFERROR(INDEX(INDIRECT($C57&amp;".Outputs["&amp;this.Year&amp;"]"), MATCH(BB$5, INDIRECT($C57&amp;".Outputs[Vector]"), 0)), 0)</f>
        <v>0.98617499999999991</v>
      </c>
      <c r="BC57" s="898">
        <f t="shared" ca="1" si="10"/>
        <v>39.447000000000003</v>
      </c>
      <c r="BD57" s="84"/>
      <c r="BE57" s="135">
        <f ca="1">P57+AH57+AY57+BC57</f>
        <v>0</v>
      </c>
      <c r="BF57" s="135"/>
      <c r="BG57" s="1428"/>
      <c r="BH57" s="541">
        <f t="shared" ref="BH57:CU59" ca="1" si="140">IFERROR(SUMIFS(INDIRECT($C57&amp;".Emissions["&amp;this.Year&amp;"]"), INDIRECT($C57&amp;".Emissions[GHG]"), BH$6, INDIRECT($C57&amp;".Emissions[IPCC Sector]"), BH$5),0)</f>
        <v>18.224513999999996</v>
      </c>
      <c r="BI57" s="542">
        <f t="shared" ca="1" si="140"/>
        <v>5.3537036226749879E-2</v>
      </c>
      <c r="BJ57" s="542">
        <f t="shared" ca="1" si="140"/>
        <v>0.16144210214886259</v>
      </c>
      <c r="BK57" s="542">
        <f t="shared" ca="1" si="140"/>
        <v>0</v>
      </c>
      <c r="BL57" s="542">
        <f t="shared" ca="1" si="140"/>
        <v>0</v>
      </c>
      <c r="BM57" s="542">
        <f t="shared" ca="1" si="140"/>
        <v>0</v>
      </c>
      <c r="BN57" s="542">
        <f t="shared" ca="1" si="140"/>
        <v>0</v>
      </c>
      <c r="BO57" s="542">
        <f t="shared" ca="1" si="140"/>
        <v>0</v>
      </c>
      <c r="BP57" s="542">
        <f t="shared" ca="1" si="140"/>
        <v>0</v>
      </c>
      <c r="BQ57" s="542">
        <f t="shared" ca="1" si="140"/>
        <v>0</v>
      </c>
      <c r="BR57" s="542">
        <f t="shared" ca="1" si="140"/>
        <v>0</v>
      </c>
      <c r="BS57" s="542">
        <f t="shared" ca="1" si="140"/>
        <v>0</v>
      </c>
      <c r="BT57" s="542">
        <f t="shared" ca="1" si="140"/>
        <v>0</v>
      </c>
      <c r="BU57" s="542">
        <f t="shared" ca="1" si="140"/>
        <v>0</v>
      </c>
      <c r="BV57" s="542">
        <f t="shared" ca="1" si="140"/>
        <v>0</v>
      </c>
      <c r="BW57" s="542">
        <f t="shared" ca="1" si="140"/>
        <v>0</v>
      </c>
      <c r="BX57" s="542">
        <f t="shared" ca="1" si="140"/>
        <v>0</v>
      </c>
      <c r="BY57" s="542">
        <f t="shared" ca="1" si="140"/>
        <v>0</v>
      </c>
      <c r="BZ57" s="542">
        <f t="shared" ca="1" si="140"/>
        <v>0</v>
      </c>
      <c r="CA57" s="542">
        <f t="shared" ca="1" si="140"/>
        <v>0</v>
      </c>
      <c r="CB57" s="542">
        <f t="shared" ca="1" si="140"/>
        <v>0</v>
      </c>
      <c r="CC57" s="542">
        <f t="shared" ca="1" si="140"/>
        <v>0</v>
      </c>
      <c r="CD57" s="542">
        <f t="shared" ca="1" si="140"/>
        <v>0</v>
      </c>
      <c r="CE57" s="542">
        <f t="shared" ca="1" si="140"/>
        <v>0</v>
      </c>
      <c r="CF57" s="542">
        <f t="shared" ca="1" si="140"/>
        <v>0</v>
      </c>
      <c r="CG57" s="542">
        <f t="shared" ca="1" si="140"/>
        <v>0</v>
      </c>
      <c r="CH57" s="542">
        <f t="shared" ca="1" si="140"/>
        <v>0</v>
      </c>
      <c r="CI57" s="542">
        <f t="shared" ca="1" si="140"/>
        <v>0</v>
      </c>
      <c r="CJ57" s="542">
        <f t="shared" ca="1" si="140"/>
        <v>0</v>
      </c>
      <c r="CK57" s="542">
        <f t="shared" ca="1" si="140"/>
        <v>0</v>
      </c>
      <c r="CL57" s="542">
        <f t="shared" ca="1" si="140"/>
        <v>0</v>
      </c>
      <c r="CM57" s="542">
        <f t="shared" ca="1" si="140"/>
        <v>0</v>
      </c>
      <c r="CN57" s="542">
        <f t="shared" ca="1" si="140"/>
        <v>0</v>
      </c>
      <c r="CO57" s="542">
        <f t="shared" ca="1" si="140"/>
        <v>0</v>
      </c>
      <c r="CP57" s="542">
        <f t="shared" ca="1" si="140"/>
        <v>0</v>
      </c>
      <c r="CQ57" s="542">
        <f t="shared" ca="1" si="140"/>
        <v>0</v>
      </c>
      <c r="CR57" s="542">
        <f t="shared" ca="1" si="140"/>
        <v>0</v>
      </c>
      <c r="CS57" s="542">
        <f t="shared" ca="1" si="140"/>
        <v>0</v>
      </c>
      <c r="CT57" s="542">
        <f t="shared" ca="1" si="140"/>
        <v>0</v>
      </c>
      <c r="CU57" s="542">
        <f t="shared" ca="1" si="140"/>
        <v>0</v>
      </c>
      <c r="CW57" s="151">
        <f t="shared" ca="1" si="114"/>
        <v>18.439493138375607</v>
      </c>
    </row>
    <row r="58" spans="1:101" s="543" customFormat="1" ht="12.75" customHeight="1" outlineLevel="1" x14ac:dyDescent="0.2">
      <c r="C58" s="319" t="s">
        <v>2381</v>
      </c>
      <c r="D58" s="320" t="s">
        <v>587</v>
      </c>
      <c r="E58" s="61"/>
      <c r="F58" s="84"/>
      <c r="G58" s="892"/>
      <c r="H58" s="892"/>
      <c r="I58" s="892"/>
      <c r="J58" s="892"/>
      <c r="K58" s="892"/>
      <c r="L58" s="892"/>
      <c r="M58" s="892"/>
      <c r="N58" s="892"/>
      <c r="O58" s="892"/>
      <c r="P58" s="892">
        <f t="shared" si="136"/>
        <v>0</v>
      </c>
      <c r="Q58" s="84"/>
      <c r="R58" s="893">
        <f ca="1">R56+R57</f>
        <v>-388.87602401750888</v>
      </c>
      <c r="S58" s="893">
        <f ca="1">S56+S57</f>
        <v>179.50580037674212</v>
      </c>
      <c r="T58" s="893"/>
      <c r="U58" s="893"/>
      <c r="V58" s="893"/>
      <c r="W58" s="893"/>
      <c r="X58" s="893"/>
      <c r="Y58" s="893"/>
      <c r="Z58" s="893"/>
      <c r="AA58" s="893"/>
      <c r="AB58" s="893"/>
      <c r="AC58" s="893"/>
      <c r="AD58" s="893"/>
      <c r="AE58" s="893"/>
      <c r="AF58" s="893"/>
      <c r="AG58" s="893"/>
      <c r="AH58" s="894">
        <f t="shared" ca="1" si="5"/>
        <v>-209.37022364076677</v>
      </c>
      <c r="AI58" s="84"/>
      <c r="AJ58" s="895"/>
      <c r="AK58" s="895"/>
      <c r="AL58" s="895"/>
      <c r="AM58" s="895"/>
      <c r="AN58" s="895"/>
      <c r="AO58" s="895"/>
      <c r="AP58" s="895"/>
      <c r="AQ58" s="895"/>
      <c r="AR58" s="895"/>
      <c r="AS58" s="895"/>
      <c r="AT58" s="895"/>
      <c r="AU58" s="895"/>
      <c r="AV58" s="895"/>
      <c r="AW58" s="895"/>
      <c r="AX58" s="895"/>
      <c r="AY58" s="896">
        <f t="shared" si="74"/>
        <v>0</v>
      </c>
      <c r="AZ58" s="84"/>
      <c r="BA58" s="897"/>
      <c r="BB58" s="897"/>
      <c r="BC58" s="898">
        <f t="shared" si="10"/>
        <v>0</v>
      </c>
      <c r="BD58" s="84"/>
      <c r="BE58" s="135"/>
      <c r="BF58" s="135"/>
      <c r="BG58" s="1428"/>
      <c r="BH58" s="541"/>
      <c r="BI58" s="542"/>
      <c r="BJ58" s="542"/>
      <c r="BK58" s="542"/>
      <c r="BL58" s="542"/>
      <c r="BM58" s="542"/>
      <c r="BN58" s="542"/>
      <c r="BO58" s="542"/>
      <c r="BP58" s="542"/>
      <c r="BQ58" s="542"/>
      <c r="BR58" s="542"/>
      <c r="BS58" s="542"/>
      <c r="BT58" s="542"/>
      <c r="BU58" s="542"/>
      <c r="BV58" s="542"/>
      <c r="BW58" s="542"/>
      <c r="BX58" s="542"/>
      <c r="BY58" s="542"/>
      <c r="BZ58" s="542"/>
      <c r="CA58" s="542"/>
      <c r="CB58" s="542"/>
      <c r="CC58" s="542"/>
      <c r="CD58" s="542"/>
      <c r="CE58" s="542"/>
      <c r="CF58" s="542"/>
      <c r="CG58" s="542"/>
      <c r="CH58" s="542"/>
      <c r="CI58" s="542"/>
      <c r="CJ58" s="542"/>
      <c r="CK58" s="542"/>
      <c r="CL58" s="542"/>
      <c r="CM58" s="542"/>
      <c r="CN58" s="542"/>
      <c r="CO58" s="542"/>
      <c r="CP58" s="542"/>
      <c r="CQ58" s="542"/>
      <c r="CR58" s="542"/>
      <c r="CS58" s="542"/>
      <c r="CT58" s="542"/>
      <c r="CU58" s="542"/>
      <c r="CW58" s="151"/>
    </row>
    <row r="59" spans="1:101" s="543" customFormat="1" ht="12.75" customHeight="1" outlineLevel="1" x14ac:dyDescent="0.2">
      <c r="C59" s="86" t="s">
        <v>2146</v>
      </c>
      <c r="D59" s="61" t="str">
        <f>INDEX(Modules[Module], MATCH($C59, Modules[Code], 0))</f>
        <v>Coal power stations</v>
      </c>
      <c r="E59" s="61"/>
      <c r="F59" s="84"/>
      <c r="G59" s="892">
        <f t="shared" ca="1" si="135"/>
        <v>0</v>
      </c>
      <c r="H59" s="892">
        <f t="shared" ca="1" si="135"/>
        <v>0</v>
      </c>
      <c r="I59" s="892">
        <f t="shared" ca="1" si="135"/>
        <v>0</v>
      </c>
      <c r="J59" s="892">
        <f t="shared" ca="1" si="135"/>
        <v>0</v>
      </c>
      <c r="K59" s="892">
        <f t="shared" ca="1" si="135"/>
        <v>0</v>
      </c>
      <c r="L59" s="892">
        <f t="shared" ca="1" si="135"/>
        <v>0</v>
      </c>
      <c r="M59" s="892">
        <f t="shared" ca="1" si="135"/>
        <v>0</v>
      </c>
      <c r="N59" s="892">
        <f t="shared" ca="1" si="135"/>
        <v>0</v>
      </c>
      <c r="O59" s="892">
        <f t="shared" ca="1" si="135"/>
        <v>0</v>
      </c>
      <c r="P59" s="892">
        <f t="shared" ca="1" si="136"/>
        <v>0</v>
      </c>
      <c r="Q59" s="84"/>
      <c r="R59" s="893">
        <f t="shared" ref="R59:AG59" ca="1" si="141">IFERROR(INDEX(INDIRECT($C59&amp;".Outputs["&amp;this.Year&amp;"]"), MATCH(R$5, INDIRECT($C59&amp;".Outputs[Vector]"), 0)), 0)</f>
        <v>0</v>
      </c>
      <c r="S59" s="893">
        <f t="shared" ca="1" si="141"/>
        <v>79.551449999999988</v>
      </c>
      <c r="T59" s="893">
        <f t="shared" ca="1" si="141"/>
        <v>-219.81321710526311</v>
      </c>
      <c r="U59" s="893">
        <f t="shared" ca="1" si="141"/>
        <v>0</v>
      </c>
      <c r="V59" s="893">
        <f t="shared" ca="1" si="141"/>
        <v>0</v>
      </c>
      <c r="W59" s="893">
        <f t="shared" ca="1" si="141"/>
        <v>0</v>
      </c>
      <c r="X59" s="893">
        <f t="shared" ca="1" si="141"/>
        <v>0</v>
      </c>
      <c r="Y59" s="893">
        <f t="shared" ca="1" si="141"/>
        <v>0</v>
      </c>
      <c r="Z59" s="893">
        <f t="shared" ca="1" si="141"/>
        <v>0</v>
      </c>
      <c r="AA59" s="893">
        <f t="shared" ca="1" si="141"/>
        <v>0</v>
      </c>
      <c r="AB59" s="893">
        <f t="shared" ca="1" si="141"/>
        <v>0</v>
      </c>
      <c r="AC59" s="893">
        <f t="shared" ca="1" si="141"/>
        <v>0</v>
      </c>
      <c r="AD59" s="893">
        <f t="shared" ca="1" si="141"/>
        <v>0</v>
      </c>
      <c r="AE59" s="893">
        <f t="shared" ca="1" si="141"/>
        <v>0</v>
      </c>
      <c r="AF59" s="893">
        <f t="shared" ca="1" si="141"/>
        <v>0</v>
      </c>
      <c r="AG59" s="893">
        <f t="shared" ca="1" si="141"/>
        <v>0</v>
      </c>
      <c r="AH59" s="894">
        <f t="shared" ca="1" si="5"/>
        <v>-140.26176710526312</v>
      </c>
      <c r="AI59" s="84"/>
      <c r="AJ59" s="895">
        <f t="shared" ca="1" si="138"/>
        <v>0</v>
      </c>
      <c r="AK59" s="895">
        <f t="shared" ca="1" si="138"/>
        <v>0</v>
      </c>
      <c r="AL59" s="895">
        <f t="shared" ca="1" si="138"/>
        <v>0</v>
      </c>
      <c r="AM59" s="895">
        <f t="shared" ca="1" si="138"/>
        <v>0</v>
      </c>
      <c r="AN59" s="895">
        <f t="shared" ca="1" si="138"/>
        <v>0</v>
      </c>
      <c r="AO59" s="895">
        <f t="shared" ca="1" si="138"/>
        <v>0</v>
      </c>
      <c r="AP59" s="895">
        <f t="shared" ca="1" si="138"/>
        <v>0</v>
      </c>
      <c r="AQ59" s="895">
        <f t="shared" ca="1" si="138"/>
        <v>0</v>
      </c>
      <c r="AR59" s="895">
        <f t="shared" ca="1" si="138"/>
        <v>0</v>
      </c>
      <c r="AS59" s="895">
        <f t="shared" ref="AS59:AX59" ca="1" si="142">IFERROR(INDEX(INDIRECT($C59&amp;".Outputs["&amp;this.Year&amp;"]"), MATCH(AS$5, INDIRECT($C59&amp;".Outputs[Vector]"), 0)), 0)</f>
        <v>0</v>
      </c>
      <c r="AT59" s="895">
        <f t="shared" ca="1" si="142"/>
        <v>0</v>
      </c>
      <c r="AU59" s="895">
        <f t="shared" ca="1" si="142"/>
        <v>0</v>
      </c>
      <c r="AV59" s="895">
        <f t="shared" ca="1" si="142"/>
        <v>0</v>
      </c>
      <c r="AW59" s="895">
        <f t="shared" ca="1" si="142"/>
        <v>0</v>
      </c>
      <c r="AX59" s="895">
        <f t="shared" ca="1" si="142"/>
        <v>0</v>
      </c>
      <c r="AY59" s="896">
        <f t="shared" ca="1" si="74"/>
        <v>0</v>
      </c>
      <c r="AZ59" s="84"/>
      <c r="BA59" s="897">
        <f ca="1">IFERROR(INDEX(INDIRECT($C59&amp;".Outputs["&amp;this.Year&amp;"]"), MATCH(BA$5, INDIRECT($C59&amp;".Outputs[Vector]"), 0)), 0)</f>
        <v>136.28419460526311</v>
      </c>
      <c r="BB59" s="897">
        <f ca="1">IFERROR(INDEX(INDIRECT($C59&amp;".Outputs["&amp;this.Year&amp;"]"), MATCH(BB$5, INDIRECT($C59&amp;".Outputs[Vector]"), 0)), 0)</f>
        <v>3.9775724999999995</v>
      </c>
      <c r="BC59" s="898">
        <f t="shared" ca="1" si="10"/>
        <v>140.26176710526312</v>
      </c>
      <c r="BD59" s="84"/>
      <c r="BE59" s="135">
        <f ca="1">P59+AH59+AY59+BC59</f>
        <v>0</v>
      </c>
      <c r="BF59" s="135"/>
      <c r="BG59" s="1428"/>
      <c r="BH59" s="541">
        <f t="shared" ca="1" si="140"/>
        <v>67.702470868421017</v>
      </c>
      <c r="BI59" s="542">
        <f t="shared" ca="1" si="140"/>
        <v>0.19888539335112779</v>
      </c>
      <c r="BJ59" s="542">
        <f t="shared" ca="1" si="140"/>
        <v>0.59974324789511668</v>
      </c>
      <c r="BK59" s="542">
        <f t="shared" ca="1" si="140"/>
        <v>0</v>
      </c>
      <c r="BL59" s="542">
        <f t="shared" ca="1" si="140"/>
        <v>0</v>
      </c>
      <c r="BM59" s="542">
        <f t="shared" ca="1" si="140"/>
        <v>0</v>
      </c>
      <c r="BN59" s="542">
        <f t="shared" ca="1" si="140"/>
        <v>0</v>
      </c>
      <c r="BO59" s="542">
        <f t="shared" ca="1" si="140"/>
        <v>0</v>
      </c>
      <c r="BP59" s="542">
        <f t="shared" ca="1" si="140"/>
        <v>0</v>
      </c>
      <c r="BQ59" s="542">
        <f t="shared" ca="1" si="140"/>
        <v>0</v>
      </c>
      <c r="BR59" s="542">
        <f t="shared" ca="1" si="140"/>
        <v>0</v>
      </c>
      <c r="BS59" s="542">
        <f t="shared" ca="1" si="140"/>
        <v>0</v>
      </c>
      <c r="BT59" s="542">
        <f t="shared" ca="1" si="140"/>
        <v>0</v>
      </c>
      <c r="BU59" s="542">
        <f t="shared" ca="1" si="140"/>
        <v>0</v>
      </c>
      <c r="BV59" s="542">
        <f t="shared" ca="1" si="140"/>
        <v>0</v>
      </c>
      <c r="BW59" s="542">
        <f t="shared" ca="1" si="140"/>
        <v>0</v>
      </c>
      <c r="BX59" s="542">
        <f t="shared" ca="1" si="140"/>
        <v>0</v>
      </c>
      <c r="BY59" s="542">
        <f t="shared" ca="1" si="140"/>
        <v>0</v>
      </c>
      <c r="BZ59" s="542">
        <f t="shared" ca="1" si="140"/>
        <v>0</v>
      </c>
      <c r="CA59" s="542">
        <f t="shared" ca="1" si="140"/>
        <v>0</v>
      </c>
      <c r="CB59" s="542">
        <f t="shared" ca="1" si="140"/>
        <v>0</v>
      </c>
      <c r="CC59" s="542">
        <f t="shared" ca="1" si="140"/>
        <v>0</v>
      </c>
      <c r="CD59" s="542">
        <f t="shared" ca="1" si="140"/>
        <v>0</v>
      </c>
      <c r="CE59" s="542">
        <f t="shared" ca="1" si="140"/>
        <v>0</v>
      </c>
      <c r="CF59" s="542">
        <f t="shared" ca="1" si="140"/>
        <v>0</v>
      </c>
      <c r="CG59" s="542">
        <f t="shared" ca="1" si="140"/>
        <v>0</v>
      </c>
      <c r="CH59" s="542">
        <f t="shared" ca="1" si="140"/>
        <v>0</v>
      </c>
      <c r="CI59" s="542">
        <f t="shared" ca="1" si="140"/>
        <v>0</v>
      </c>
      <c r="CJ59" s="542">
        <f t="shared" ca="1" si="140"/>
        <v>0</v>
      </c>
      <c r="CK59" s="542">
        <f t="shared" ca="1" si="140"/>
        <v>0</v>
      </c>
      <c r="CL59" s="542">
        <f t="shared" ca="1" si="140"/>
        <v>0</v>
      </c>
      <c r="CM59" s="542">
        <f t="shared" ca="1" si="140"/>
        <v>0</v>
      </c>
      <c r="CN59" s="542">
        <f t="shared" ca="1" si="140"/>
        <v>0</v>
      </c>
      <c r="CO59" s="542">
        <f t="shared" ca="1" si="140"/>
        <v>0</v>
      </c>
      <c r="CP59" s="542">
        <f t="shared" ca="1" si="140"/>
        <v>0</v>
      </c>
      <c r="CQ59" s="542">
        <f t="shared" ca="1" si="140"/>
        <v>0</v>
      </c>
      <c r="CR59" s="542">
        <f t="shared" ca="1" si="140"/>
        <v>0</v>
      </c>
      <c r="CS59" s="542">
        <f t="shared" ca="1" si="140"/>
        <v>0</v>
      </c>
      <c r="CT59" s="542">
        <f t="shared" ca="1" si="140"/>
        <v>0</v>
      </c>
      <c r="CU59" s="542">
        <f t="shared" ca="1" si="140"/>
        <v>0</v>
      </c>
      <c r="CW59" s="151">
        <f t="shared" ref="CW59:CW64" ca="1" si="143">SUM(BH59:CU59)</f>
        <v>68.50109950966727</v>
      </c>
    </row>
    <row r="60" spans="1:101" s="550" customFormat="1" ht="12.75" customHeight="1" outlineLevel="1" x14ac:dyDescent="0.2">
      <c r="C60" s="566" t="s">
        <v>857</v>
      </c>
      <c r="D60" s="320" t="s">
        <v>587</v>
      </c>
      <c r="E60" s="567"/>
      <c r="F60" s="882"/>
      <c r="G60" s="333"/>
      <c r="H60" s="333"/>
      <c r="I60" s="333"/>
      <c r="J60" s="333"/>
      <c r="K60" s="333"/>
      <c r="L60" s="334"/>
      <c r="M60" s="333"/>
      <c r="N60" s="333"/>
      <c r="O60" s="333"/>
      <c r="P60" s="333">
        <f t="shared" si="136"/>
        <v>0</v>
      </c>
      <c r="Q60" s="882"/>
      <c r="R60" s="335">
        <f ca="1">R58+R59</f>
        <v>-388.87602401750888</v>
      </c>
      <c r="S60" s="335">
        <f ca="1">S58+S59</f>
        <v>259.0572503767421</v>
      </c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>
        <f t="shared" ca="1" si="5"/>
        <v>-129.81877364076678</v>
      </c>
      <c r="AI60" s="882"/>
      <c r="AJ60" s="336"/>
      <c r="AK60" s="336"/>
      <c r="AL60" s="336"/>
      <c r="AM60" s="336"/>
      <c r="AN60" s="336"/>
      <c r="AO60" s="336"/>
      <c r="AP60" s="336"/>
      <c r="AQ60" s="336"/>
      <c r="AR60" s="336"/>
      <c r="AS60" s="336"/>
      <c r="AT60" s="336"/>
      <c r="AU60" s="336"/>
      <c r="AV60" s="336"/>
      <c r="AW60" s="336"/>
      <c r="AX60" s="336"/>
      <c r="AY60" s="336">
        <f t="shared" si="74"/>
        <v>0</v>
      </c>
      <c r="AZ60" s="882"/>
      <c r="BA60" s="337"/>
      <c r="BB60" s="337"/>
      <c r="BC60" s="337">
        <f t="shared" si="10"/>
        <v>0</v>
      </c>
      <c r="BD60" s="882"/>
      <c r="BE60" s="568"/>
      <c r="BF60" s="568"/>
      <c r="BH60" s="888"/>
      <c r="BI60" s="888"/>
      <c r="BJ60" s="888"/>
      <c r="BK60" s="888"/>
      <c r="BL60" s="888"/>
      <c r="BM60" s="888"/>
      <c r="BN60" s="888"/>
      <c r="BO60" s="888"/>
      <c r="BP60" s="888"/>
      <c r="BQ60" s="888"/>
      <c r="BR60" s="888"/>
      <c r="BS60" s="888"/>
      <c r="BT60" s="888"/>
      <c r="BU60" s="888"/>
      <c r="BV60" s="888"/>
      <c r="BW60" s="888"/>
      <c r="BX60" s="888"/>
      <c r="BY60" s="888"/>
      <c r="BZ60" s="888"/>
      <c r="CA60" s="888"/>
      <c r="CB60" s="888"/>
      <c r="CC60" s="888"/>
      <c r="CD60" s="888"/>
      <c r="CE60" s="888"/>
      <c r="CF60" s="888"/>
      <c r="CG60" s="888"/>
      <c r="CH60" s="888"/>
      <c r="CI60" s="888"/>
      <c r="CJ60" s="888"/>
      <c r="CK60" s="888"/>
      <c r="CL60" s="888"/>
      <c r="CM60" s="888"/>
      <c r="CN60" s="888"/>
      <c r="CO60" s="888"/>
      <c r="CP60" s="888"/>
      <c r="CQ60" s="888"/>
      <c r="CR60" s="888"/>
      <c r="CS60" s="888"/>
      <c r="CT60" s="888"/>
      <c r="CU60" s="888"/>
      <c r="CW60" s="887">
        <f t="shared" si="143"/>
        <v>0</v>
      </c>
    </row>
    <row r="61" spans="1:101" s="543" customFormat="1" ht="12.75" customHeight="1" outlineLevel="1" x14ac:dyDescent="0.2">
      <c r="C61" s="86" t="s">
        <v>288</v>
      </c>
      <c r="D61" s="61" t="str">
        <f>INDEX(Modules[Module], MATCH($C61, Modules[Code], 0))</f>
        <v>Natural gas power stations</v>
      </c>
      <c r="E61" s="61"/>
      <c r="F61" s="84"/>
      <c r="G61" s="301">
        <f t="shared" ref="G61:O61" ca="1" si="144">IFERROR(INDEX(INDIRECT($C61&amp;".Outputs["&amp;this.Year&amp;"]"), MATCH(G$5, INDIRECT($C61&amp;".Outputs[Vector]"), 0)), 0)</f>
        <v>0</v>
      </c>
      <c r="H61" s="301">
        <f t="shared" ca="1" si="144"/>
        <v>0</v>
      </c>
      <c r="I61" s="301">
        <f t="shared" ca="1" si="144"/>
        <v>0</v>
      </c>
      <c r="J61" s="301">
        <f t="shared" ca="1" si="144"/>
        <v>0</v>
      </c>
      <c r="K61" s="301">
        <f t="shared" ca="1" si="144"/>
        <v>0</v>
      </c>
      <c r="L61" s="301">
        <f t="shared" ca="1" si="144"/>
        <v>0</v>
      </c>
      <c r="M61" s="301">
        <f t="shared" ca="1" si="144"/>
        <v>0</v>
      </c>
      <c r="N61" s="301">
        <f t="shared" ca="1" si="144"/>
        <v>0</v>
      </c>
      <c r="O61" s="301">
        <f t="shared" ca="1" si="144"/>
        <v>0</v>
      </c>
      <c r="P61" s="301">
        <f t="shared" ca="1" si="136"/>
        <v>0</v>
      </c>
      <c r="Q61" s="84"/>
      <c r="R61" s="307">
        <f t="shared" ref="R61:AX61" ca="1" si="145">IFERROR(INDEX(INDIRECT($C61&amp;".Outputs["&amp;this.Year&amp;"]"), MATCH(R$5, INDIRECT($C61&amp;".Outputs[Vector]"), 0)), 0)</f>
        <v>0</v>
      </c>
      <c r="S61" s="307">
        <f t="shared" ca="1" si="145"/>
        <v>211.02391799999998</v>
      </c>
      <c r="T61" s="307">
        <f t="shared" ca="1" si="145"/>
        <v>0</v>
      </c>
      <c r="U61" s="307">
        <f t="shared" ca="1" si="145"/>
        <v>0</v>
      </c>
      <c r="V61" s="307">
        <f t="shared" ca="1" si="145"/>
        <v>-443.15022779999998</v>
      </c>
      <c r="W61" s="307">
        <f t="shared" ca="1" si="145"/>
        <v>0</v>
      </c>
      <c r="X61" s="307">
        <f ca="1">IFERROR(INDEX(INDIRECT($C61&amp;".Outputs["&amp;this.Year&amp;"]"), MATCH(X$5, INDIRECT($C61&amp;".Outputs[Vector]"), 0)), 0)</f>
        <v>0</v>
      </c>
      <c r="Y61" s="307">
        <f ca="1">IFERROR(INDEX(INDIRECT($C61&amp;".Outputs["&amp;this.Year&amp;"]"), MATCH(Y$5, INDIRECT($C61&amp;".Outputs[Vector]"), 0)), 0)</f>
        <v>0</v>
      </c>
      <c r="Z61" s="307">
        <f ca="1">IFERROR(INDEX(INDIRECT($C61&amp;".Outputs["&amp;this.Year&amp;"]"), MATCH(Z$5, INDIRECT($C61&amp;".Outputs[Vector]"), 0)), 0)</f>
        <v>0</v>
      </c>
      <c r="AA61" s="307">
        <f t="shared" ca="1" si="145"/>
        <v>0</v>
      </c>
      <c r="AB61" s="307">
        <f t="shared" ca="1" si="145"/>
        <v>0</v>
      </c>
      <c r="AC61" s="307">
        <f t="shared" ca="1" si="145"/>
        <v>0</v>
      </c>
      <c r="AD61" s="307">
        <f t="shared" ca="1" si="145"/>
        <v>0</v>
      </c>
      <c r="AE61" s="307">
        <f t="shared" ca="1" si="145"/>
        <v>0</v>
      </c>
      <c r="AF61" s="307">
        <f t="shared" ca="1" si="145"/>
        <v>0</v>
      </c>
      <c r="AG61" s="307">
        <f t="shared" ca="1" si="145"/>
        <v>0</v>
      </c>
      <c r="AH61" s="306">
        <f t="shared" ca="1" si="5"/>
        <v>-232.1263098</v>
      </c>
      <c r="AI61" s="84"/>
      <c r="AJ61" s="315">
        <f t="shared" ref="AJ61:AR61" ca="1" si="146">IFERROR(INDEX(INDIRECT($C61&amp;".Outputs["&amp;this.Year&amp;"]"), MATCH(AJ$5, INDIRECT($C61&amp;".Outputs[Vector]"), 0)), 0)</f>
        <v>0</v>
      </c>
      <c r="AK61" s="315">
        <f t="shared" ca="1" si="146"/>
        <v>0</v>
      </c>
      <c r="AL61" s="315">
        <f t="shared" ca="1" si="146"/>
        <v>0</v>
      </c>
      <c r="AM61" s="315">
        <f t="shared" ca="1" si="146"/>
        <v>0</v>
      </c>
      <c r="AN61" s="315">
        <f t="shared" ca="1" si="146"/>
        <v>0</v>
      </c>
      <c r="AO61" s="315">
        <f t="shared" ca="1" si="146"/>
        <v>0</v>
      </c>
      <c r="AP61" s="315">
        <f t="shared" ca="1" si="146"/>
        <v>0</v>
      </c>
      <c r="AQ61" s="315">
        <f t="shared" ca="1" si="146"/>
        <v>0</v>
      </c>
      <c r="AR61" s="315">
        <f t="shared" ca="1" si="146"/>
        <v>0</v>
      </c>
      <c r="AS61" s="315">
        <f t="shared" ca="1" si="145"/>
        <v>0</v>
      </c>
      <c r="AT61" s="315">
        <f t="shared" ca="1" si="145"/>
        <v>0</v>
      </c>
      <c r="AU61" s="315">
        <f t="shared" ca="1" si="145"/>
        <v>0</v>
      </c>
      <c r="AV61" s="315">
        <f t="shared" ca="1" si="145"/>
        <v>0</v>
      </c>
      <c r="AW61" s="315">
        <f t="shared" ca="1" si="145"/>
        <v>0</v>
      </c>
      <c r="AX61" s="315">
        <f t="shared" ca="1" si="145"/>
        <v>0</v>
      </c>
      <c r="AY61" s="293">
        <f t="shared" ref="AY61:AY90" ca="1" si="147">SUM(AJ61:AX61)</f>
        <v>0</v>
      </c>
      <c r="AZ61" s="84"/>
      <c r="BA61" s="311">
        <f ca="1">IFERROR(INDEX(INDIRECT($C61&amp;".Outputs["&amp;this.Year&amp;"]"), MATCH(BA$5, INDIRECT($C61&amp;".Outputs[Vector]"), 0)), 0)</f>
        <v>221.57511389999999</v>
      </c>
      <c r="BB61" s="311">
        <f ca="1">IFERROR(INDEX(INDIRECT($C61&amp;".Outputs["&amp;this.Year&amp;"]"), MATCH(BB$5, INDIRECT($C61&amp;".Outputs[Vector]"), 0)), 0)</f>
        <v>10.5511959</v>
      </c>
      <c r="BC61" s="310">
        <f t="shared" ca="1" si="10"/>
        <v>232.1263098</v>
      </c>
      <c r="BD61" s="84"/>
      <c r="BE61" s="135">
        <f ca="1">P61+AH61+AY61+BC61</f>
        <v>0</v>
      </c>
      <c r="BF61" s="135"/>
      <c r="BG61" s="1428"/>
      <c r="BH61" s="544">
        <f t="shared" ref="BH61:CU61" ca="1" si="148">IFERROR(SUMIFS(INDIRECT($C61&amp;".Emissions["&amp;this.Year&amp;"]"), INDIRECT($C61&amp;".Emissions[GHG]"), BH$6, INDIRECT($C61&amp;".Emissions[IPCC Sector]"), BH$5),0)</f>
        <v>81.539641915199979</v>
      </c>
      <c r="BI61" s="545">
        <f t="shared" ca="1" si="148"/>
        <v>0.16344504688092715</v>
      </c>
      <c r="BJ61" s="545">
        <f t="shared" ca="1" si="148"/>
        <v>0.17579309405182558</v>
      </c>
      <c r="BK61" s="545">
        <f t="shared" ca="1" si="148"/>
        <v>0</v>
      </c>
      <c r="BL61" s="545">
        <f t="shared" ca="1" si="148"/>
        <v>0</v>
      </c>
      <c r="BM61" s="545">
        <f t="shared" ca="1" si="148"/>
        <v>0</v>
      </c>
      <c r="BN61" s="545">
        <f t="shared" ca="1" si="148"/>
        <v>0</v>
      </c>
      <c r="BO61" s="545">
        <f t="shared" ca="1" si="148"/>
        <v>0</v>
      </c>
      <c r="BP61" s="545">
        <f t="shared" ca="1" si="148"/>
        <v>0</v>
      </c>
      <c r="BQ61" s="545">
        <f t="shared" ca="1" si="148"/>
        <v>0</v>
      </c>
      <c r="BR61" s="545">
        <f t="shared" ca="1" si="148"/>
        <v>0</v>
      </c>
      <c r="BS61" s="545">
        <f t="shared" ca="1" si="148"/>
        <v>0</v>
      </c>
      <c r="BT61" s="545">
        <f t="shared" ca="1" si="148"/>
        <v>0</v>
      </c>
      <c r="BU61" s="545">
        <f t="shared" ca="1" si="148"/>
        <v>0</v>
      </c>
      <c r="BV61" s="545">
        <f t="shared" ca="1" si="148"/>
        <v>0</v>
      </c>
      <c r="BW61" s="545">
        <f t="shared" ca="1" si="148"/>
        <v>0</v>
      </c>
      <c r="BX61" s="545">
        <f t="shared" ca="1" si="148"/>
        <v>0</v>
      </c>
      <c r="BY61" s="545">
        <f t="shared" ca="1" si="148"/>
        <v>0</v>
      </c>
      <c r="BZ61" s="545">
        <f t="shared" ca="1" si="148"/>
        <v>0</v>
      </c>
      <c r="CA61" s="545">
        <f t="shared" ca="1" si="148"/>
        <v>0</v>
      </c>
      <c r="CB61" s="545">
        <f t="shared" ca="1" si="148"/>
        <v>0</v>
      </c>
      <c r="CC61" s="545">
        <f t="shared" ca="1" si="148"/>
        <v>0</v>
      </c>
      <c r="CD61" s="545">
        <f t="shared" ca="1" si="148"/>
        <v>0</v>
      </c>
      <c r="CE61" s="545">
        <f t="shared" ca="1" si="148"/>
        <v>0</v>
      </c>
      <c r="CF61" s="545">
        <f t="shared" ca="1" si="148"/>
        <v>0</v>
      </c>
      <c r="CG61" s="545">
        <f t="shared" ca="1" si="148"/>
        <v>0</v>
      </c>
      <c r="CH61" s="545">
        <f t="shared" ca="1" si="148"/>
        <v>0</v>
      </c>
      <c r="CI61" s="545">
        <f t="shared" ca="1" si="148"/>
        <v>0</v>
      </c>
      <c r="CJ61" s="545">
        <f t="shared" ca="1" si="148"/>
        <v>0</v>
      </c>
      <c r="CK61" s="545">
        <f t="shared" ca="1" si="148"/>
        <v>0</v>
      </c>
      <c r="CL61" s="545">
        <f t="shared" ca="1" si="148"/>
        <v>0</v>
      </c>
      <c r="CM61" s="545">
        <f t="shared" ca="1" si="148"/>
        <v>0</v>
      </c>
      <c r="CN61" s="545">
        <f t="shared" ca="1" si="148"/>
        <v>0</v>
      </c>
      <c r="CO61" s="545">
        <f t="shared" ca="1" si="148"/>
        <v>0</v>
      </c>
      <c r="CP61" s="545">
        <f t="shared" ca="1" si="148"/>
        <v>0</v>
      </c>
      <c r="CQ61" s="545">
        <f t="shared" ca="1" si="148"/>
        <v>0</v>
      </c>
      <c r="CR61" s="545">
        <f t="shared" ca="1" si="148"/>
        <v>0</v>
      </c>
      <c r="CS61" s="545">
        <f t="shared" ca="1" si="148"/>
        <v>0</v>
      </c>
      <c r="CT61" s="545">
        <f t="shared" ca="1" si="148"/>
        <v>0</v>
      </c>
      <c r="CU61" s="545">
        <f t="shared" ca="1" si="148"/>
        <v>0</v>
      </c>
      <c r="CW61" s="151">
        <f t="shared" ca="1" si="143"/>
        <v>81.878880056132729</v>
      </c>
    </row>
    <row r="62" spans="1:101" s="543" customFormat="1" ht="12.75" customHeight="1" outlineLevel="1" x14ac:dyDescent="0.2">
      <c r="C62" s="319" t="s">
        <v>2402</v>
      </c>
      <c r="D62" s="320" t="s">
        <v>587</v>
      </c>
      <c r="E62" s="61"/>
      <c r="F62" s="84"/>
      <c r="G62" s="333"/>
      <c r="H62" s="333"/>
      <c r="I62" s="333"/>
      <c r="J62" s="333"/>
      <c r="K62" s="333"/>
      <c r="L62" s="334"/>
      <c r="M62" s="333"/>
      <c r="N62" s="333"/>
      <c r="O62" s="333"/>
      <c r="P62" s="333">
        <f t="shared" si="136"/>
        <v>0</v>
      </c>
      <c r="Q62" s="882"/>
      <c r="R62" s="335">
        <f ca="1">R60+R61</f>
        <v>-388.87602401750888</v>
      </c>
      <c r="S62" s="335">
        <f ca="1">S60+S61</f>
        <v>470.08116837674208</v>
      </c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>
        <f t="shared" ca="1" si="5"/>
        <v>81.205144359233202</v>
      </c>
      <c r="AI62" s="882"/>
      <c r="AJ62" s="336"/>
      <c r="AK62" s="336"/>
      <c r="AL62" s="336"/>
      <c r="AM62" s="336"/>
      <c r="AN62" s="336"/>
      <c r="AO62" s="336"/>
      <c r="AP62" s="336"/>
      <c r="AQ62" s="336"/>
      <c r="AR62" s="336"/>
      <c r="AS62" s="336"/>
      <c r="AT62" s="336"/>
      <c r="AU62" s="336"/>
      <c r="AV62" s="336"/>
      <c r="AW62" s="336"/>
      <c r="AX62" s="336"/>
      <c r="AY62" s="336">
        <f t="shared" si="147"/>
        <v>0</v>
      </c>
      <c r="AZ62" s="882"/>
      <c r="BA62" s="337"/>
      <c r="BB62" s="337"/>
      <c r="BC62" s="337">
        <f t="shared" si="10"/>
        <v>0</v>
      </c>
      <c r="BD62" s="882"/>
      <c r="BE62" s="568"/>
      <c r="BF62" s="568"/>
      <c r="BG62" s="550"/>
      <c r="BH62" s="888"/>
      <c r="BI62" s="888"/>
      <c r="BJ62" s="888"/>
      <c r="BK62" s="888"/>
      <c r="BL62" s="888"/>
      <c r="BM62" s="888"/>
      <c r="BN62" s="888"/>
      <c r="BO62" s="888"/>
      <c r="BP62" s="888"/>
      <c r="BQ62" s="888"/>
      <c r="BR62" s="888"/>
      <c r="BS62" s="888"/>
      <c r="BT62" s="888"/>
      <c r="BU62" s="888"/>
      <c r="BV62" s="888"/>
      <c r="BW62" s="888"/>
      <c r="BX62" s="888"/>
      <c r="BY62" s="888"/>
      <c r="BZ62" s="888"/>
      <c r="CA62" s="888"/>
      <c r="CB62" s="888"/>
      <c r="CC62" s="888"/>
      <c r="CD62" s="888"/>
      <c r="CE62" s="888"/>
      <c r="CF62" s="888"/>
      <c r="CG62" s="888"/>
      <c r="CH62" s="888"/>
      <c r="CI62" s="888"/>
      <c r="CJ62" s="888"/>
      <c r="CK62" s="888"/>
      <c r="CL62" s="888"/>
      <c r="CM62" s="888"/>
      <c r="CN62" s="888"/>
      <c r="CO62" s="888"/>
      <c r="CP62" s="888"/>
      <c r="CQ62" s="888"/>
      <c r="CR62" s="888"/>
      <c r="CS62" s="888"/>
      <c r="CT62" s="888"/>
      <c r="CU62" s="888"/>
      <c r="CV62" s="550"/>
      <c r="CW62" s="887">
        <f t="shared" si="143"/>
        <v>0</v>
      </c>
    </row>
    <row r="63" spans="1:101" s="543" customFormat="1" ht="12.75" customHeight="1" outlineLevel="1" x14ac:dyDescent="0.2">
      <c r="C63" s="86" t="s">
        <v>2382</v>
      </c>
      <c r="D63" s="61" t="str">
        <f>INDEX(Modules[Module], MATCH($C63, Modules[Code], 0))</f>
        <v xml:space="preserve">Self Generation </v>
      </c>
      <c r="E63" s="61"/>
      <c r="F63" s="84"/>
      <c r="G63" s="892">
        <f t="shared" ref="G63:O63" ca="1" si="149">IFERROR(INDEX(INDIRECT($C63&amp;".Outputs["&amp;this.Year&amp;"]"), MATCH(G$5, INDIRECT($C63&amp;".Outputs[Vector]"), 0)), 0)</f>
        <v>0</v>
      </c>
      <c r="H63" s="892">
        <f t="shared" ca="1" si="149"/>
        <v>0</v>
      </c>
      <c r="I63" s="892">
        <f t="shared" ca="1" si="149"/>
        <v>0</v>
      </c>
      <c r="J63" s="892">
        <f t="shared" ca="1" si="149"/>
        <v>0</v>
      </c>
      <c r="K63" s="892">
        <f t="shared" ca="1" si="149"/>
        <v>0</v>
      </c>
      <c r="L63" s="892">
        <f t="shared" ca="1" si="149"/>
        <v>0</v>
      </c>
      <c r="M63" s="892">
        <f t="shared" ca="1" si="149"/>
        <v>0</v>
      </c>
      <c r="N63" s="892">
        <f t="shared" ca="1" si="149"/>
        <v>0</v>
      </c>
      <c r="O63" s="892">
        <f t="shared" ca="1" si="149"/>
        <v>0</v>
      </c>
      <c r="P63" s="892">
        <f t="shared" ca="1" si="136"/>
        <v>0</v>
      </c>
      <c r="Q63" s="84"/>
      <c r="R63" s="893">
        <f t="shared" ref="R63:AX63" ca="1" si="150">IFERROR(INDEX(INDIRECT($C63&amp;".Outputs["&amp;this.Year&amp;"]"), MATCH(R$5, INDIRECT($C63&amp;".Outputs[Vector]"), 0)), 0)</f>
        <v>0</v>
      </c>
      <c r="S63" s="893">
        <f t="shared" ca="1" si="150"/>
        <v>0</v>
      </c>
      <c r="T63" s="893">
        <f t="shared" ca="1" si="150"/>
        <v>0</v>
      </c>
      <c r="U63" s="893">
        <f t="shared" ca="1" si="150"/>
        <v>0</v>
      </c>
      <c r="V63" s="893">
        <f t="shared" ca="1" si="150"/>
        <v>0</v>
      </c>
      <c r="W63" s="893">
        <f t="shared" ca="1" si="150"/>
        <v>0</v>
      </c>
      <c r="X63" s="893">
        <f ca="1">IFERROR(INDEX(INDIRECT($C63&amp;".Outputs["&amp;this.Year&amp;"]"), MATCH(X$5, INDIRECT($C63&amp;".Outputs[Vector]"), 0)), 0)</f>
        <v>0</v>
      </c>
      <c r="Y63" s="893">
        <f ca="1">IFERROR(INDEX(INDIRECT($C63&amp;".Outputs["&amp;this.Year&amp;"]"), MATCH(Y$5, INDIRECT($C63&amp;".Outputs[Vector]"), 0)), 0)</f>
        <v>0</v>
      </c>
      <c r="Z63" s="893">
        <f ca="1">IFERROR(INDEX(INDIRECT($C63&amp;".Outputs["&amp;this.Year&amp;"]"), MATCH(Z$5, INDIRECT($C63&amp;".Outputs[Vector]"), 0)), 0)</f>
        <v>0</v>
      </c>
      <c r="AA63" s="893">
        <f t="shared" ca="1" si="150"/>
        <v>0</v>
      </c>
      <c r="AB63" s="893">
        <f t="shared" ca="1" si="150"/>
        <v>0</v>
      </c>
      <c r="AC63" s="893">
        <f t="shared" ca="1" si="150"/>
        <v>0</v>
      </c>
      <c r="AD63" s="893">
        <f t="shared" ca="1" si="150"/>
        <v>0</v>
      </c>
      <c r="AE63" s="893">
        <f t="shared" ca="1" si="150"/>
        <v>0</v>
      </c>
      <c r="AF63" s="893">
        <f t="shared" ca="1" si="150"/>
        <v>0</v>
      </c>
      <c r="AG63" s="893">
        <f t="shared" ca="1" si="150"/>
        <v>0</v>
      </c>
      <c r="AH63" s="894">
        <f t="shared" ca="1" si="5"/>
        <v>0</v>
      </c>
      <c r="AI63" s="84"/>
      <c r="AJ63" s="895">
        <f t="shared" ref="AJ63:AR63" ca="1" si="151">IFERROR(INDEX(INDIRECT($C63&amp;".Outputs["&amp;this.Year&amp;"]"), MATCH(AJ$5, INDIRECT($C63&amp;".Outputs[Vector]"), 0)), 0)</f>
        <v>0</v>
      </c>
      <c r="AK63" s="895">
        <f t="shared" ca="1" si="151"/>
        <v>0</v>
      </c>
      <c r="AL63" s="895">
        <f t="shared" ca="1" si="151"/>
        <v>0</v>
      </c>
      <c r="AM63" s="895">
        <f t="shared" ca="1" si="151"/>
        <v>0</v>
      </c>
      <c r="AN63" s="895">
        <f t="shared" ca="1" si="151"/>
        <v>0</v>
      </c>
      <c r="AO63" s="895">
        <f t="shared" ca="1" si="151"/>
        <v>0</v>
      </c>
      <c r="AP63" s="895">
        <f t="shared" ca="1" si="151"/>
        <v>0</v>
      </c>
      <c r="AQ63" s="895">
        <f t="shared" ca="1" si="151"/>
        <v>0</v>
      </c>
      <c r="AR63" s="895">
        <f t="shared" ca="1" si="151"/>
        <v>0</v>
      </c>
      <c r="AS63" s="895">
        <f t="shared" ca="1" si="150"/>
        <v>0</v>
      </c>
      <c r="AT63" s="895">
        <f t="shared" ca="1" si="150"/>
        <v>0</v>
      </c>
      <c r="AU63" s="895">
        <f t="shared" ca="1" si="150"/>
        <v>0</v>
      </c>
      <c r="AV63" s="895">
        <f t="shared" ca="1" si="150"/>
        <v>0</v>
      </c>
      <c r="AW63" s="895">
        <f t="shared" ca="1" si="150"/>
        <v>0</v>
      </c>
      <c r="AX63" s="895">
        <f t="shared" ca="1" si="150"/>
        <v>0</v>
      </c>
      <c r="AY63" s="896">
        <f t="shared" ca="1" si="147"/>
        <v>0</v>
      </c>
      <c r="AZ63" s="84"/>
      <c r="BA63" s="897">
        <f ca="1">IFERROR(INDEX(INDIRECT($C63&amp;".Outputs["&amp;this.Year&amp;"]"), MATCH(BA$5, INDIRECT($C63&amp;".Outputs[Vector]"), 0)), 0)</f>
        <v>0</v>
      </c>
      <c r="BB63" s="897">
        <f ca="1">IFERROR(INDEX(INDIRECT($C63&amp;".Outputs["&amp;this.Year&amp;"]"), MATCH(BB$5, INDIRECT($C63&amp;".Outputs[Vector]"), 0)), 0)</f>
        <v>0</v>
      </c>
      <c r="BC63" s="898">
        <f t="shared" ca="1" si="10"/>
        <v>0</v>
      </c>
      <c r="BD63" s="84"/>
      <c r="BE63" s="135">
        <f ca="1">P63+AH63+AY63+BC63</f>
        <v>0</v>
      </c>
      <c r="BF63" s="135"/>
      <c r="BG63" s="1428"/>
      <c r="BH63" s="541">
        <f t="shared" ref="BH63:CU63" ca="1" si="152">IFERROR(SUMIFS(INDIRECT($C63&amp;".Emissions["&amp;this.Year&amp;"]"), INDIRECT($C63&amp;".Emissions[GHG]"), BH$6, INDIRECT($C63&amp;".Emissions[IPCC Sector]"), BH$5),0)</f>
        <v>0</v>
      </c>
      <c r="BI63" s="542">
        <f t="shared" ca="1" si="152"/>
        <v>0</v>
      </c>
      <c r="BJ63" s="542">
        <f t="shared" ca="1" si="152"/>
        <v>0</v>
      </c>
      <c r="BK63" s="542">
        <f t="shared" ca="1" si="152"/>
        <v>0</v>
      </c>
      <c r="BL63" s="542">
        <f t="shared" ca="1" si="152"/>
        <v>0</v>
      </c>
      <c r="BM63" s="542">
        <f t="shared" ca="1" si="152"/>
        <v>0</v>
      </c>
      <c r="BN63" s="542">
        <f t="shared" ca="1" si="152"/>
        <v>0</v>
      </c>
      <c r="BO63" s="542">
        <f t="shared" ca="1" si="152"/>
        <v>0</v>
      </c>
      <c r="BP63" s="542">
        <f t="shared" ca="1" si="152"/>
        <v>0</v>
      </c>
      <c r="BQ63" s="542">
        <f t="shared" ca="1" si="152"/>
        <v>0</v>
      </c>
      <c r="BR63" s="542">
        <f t="shared" ca="1" si="152"/>
        <v>0</v>
      </c>
      <c r="BS63" s="542">
        <f t="shared" ca="1" si="152"/>
        <v>0</v>
      </c>
      <c r="BT63" s="542">
        <f t="shared" ca="1" si="152"/>
        <v>0</v>
      </c>
      <c r="BU63" s="542">
        <f t="shared" ca="1" si="152"/>
        <v>0</v>
      </c>
      <c r="BV63" s="542">
        <f t="shared" ca="1" si="152"/>
        <v>0</v>
      </c>
      <c r="BW63" s="542">
        <f t="shared" ca="1" si="152"/>
        <v>0</v>
      </c>
      <c r="BX63" s="542">
        <f t="shared" ca="1" si="152"/>
        <v>0</v>
      </c>
      <c r="BY63" s="542">
        <f t="shared" ca="1" si="152"/>
        <v>0</v>
      </c>
      <c r="BZ63" s="542">
        <f t="shared" ca="1" si="152"/>
        <v>0</v>
      </c>
      <c r="CA63" s="542">
        <f t="shared" ca="1" si="152"/>
        <v>0</v>
      </c>
      <c r="CB63" s="542">
        <f t="shared" ca="1" si="152"/>
        <v>0</v>
      </c>
      <c r="CC63" s="542">
        <f t="shared" ca="1" si="152"/>
        <v>0</v>
      </c>
      <c r="CD63" s="542">
        <f t="shared" ca="1" si="152"/>
        <v>0</v>
      </c>
      <c r="CE63" s="542">
        <f t="shared" ca="1" si="152"/>
        <v>0</v>
      </c>
      <c r="CF63" s="542">
        <f t="shared" ca="1" si="152"/>
        <v>0</v>
      </c>
      <c r="CG63" s="542">
        <f t="shared" ca="1" si="152"/>
        <v>0</v>
      </c>
      <c r="CH63" s="542">
        <f t="shared" ca="1" si="152"/>
        <v>0</v>
      </c>
      <c r="CI63" s="542">
        <f t="shared" ca="1" si="152"/>
        <v>0</v>
      </c>
      <c r="CJ63" s="542">
        <f t="shared" ca="1" si="152"/>
        <v>0</v>
      </c>
      <c r="CK63" s="542">
        <f t="shared" ca="1" si="152"/>
        <v>0</v>
      </c>
      <c r="CL63" s="542">
        <f t="shared" ca="1" si="152"/>
        <v>0</v>
      </c>
      <c r="CM63" s="542">
        <f t="shared" ca="1" si="152"/>
        <v>0</v>
      </c>
      <c r="CN63" s="542">
        <f t="shared" ca="1" si="152"/>
        <v>0</v>
      </c>
      <c r="CO63" s="542">
        <f t="shared" ca="1" si="152"/>
        <v>0</v>
      </c>
      <c r="CP63" s="542">
        <f t="shared" ca="1" si="152"/>
        <v>0</v>
      </c>
      <c r="CQ63" s="542">
        <f t="shared" ca="1" si="152"/>
        <v>0</v>
      </c>
      <c r="CR63" s="542">
        <f t="shared" ca="1" si="152"/>
        <v>0</v>
      </c>
      <c r="CS63" s="542">
        <f t="shared" ca="1" si="152"/>
        <v>0</v>
      </c>
      <c r="CT63" s="542">
        <f t="shared" ca="1" si="152"/>
        <v>0</v>
      </c>
      <c r="CU63" s="542">
        <f t="shared" ca="1" si="152"/>
        <v>0</v>
      </c>
      <c r="CW63" s="151">
        <f t="shared" ca="1" si="143"/>
        <v>0</v>
      </c>
    </row>
    <row r="64" spans="1:101" s="84" customFormat="1" ht="15.75" x14ac:dyDescent="0.2">
      <c r="A64" s="18"/>
      <c r="B64" s="89"/>
      <c r="C64" s="85" t="s">
        <v>60</v>
      </c>
      <c r="D64" s="57" t="str">
        <f>INDEX(Workstreams[Workstream], MATCH($C64, Workstreams[Code], 0))</f>
        <v>Hydrocarbon fuel power generation</v>
      </c>
      <c r="E64" s="53"/>
      <c r="G64" s="300">
        <f ca="1">G57+G61+G63+G59</f>
        <v>0</v>
      </c>
      <c r="H64" s="300">
        <f t="shared" ref="H64:BS64" ca="1" si="153">H57+H61+H63+H59</f>
        <v>0</v>
      </c>
      <c r="I64" s="300">
        <f t="shared" ca="1" si="153"/>
        <v>0</v>
      </c>
      <c r="J64" s="300">
        <f t="shared" ca="1" si="153"/>
        <v>0</v>
      </c>
      <c r="K64" s="300">
        <f t="shared" ca="1" si="153"/>
        <v>0</v>
      </c>
      <c r="L64" s="300">
        <f t="shared" ca="1" si="153"/>
        <v>0</v>
      </c>
      <c r="M64" s="300">
        <f t="shared" ca="1" si="153"/>
        <v>0</v>
      </c>
      <c r="N64" s="300">
        <f t="shared" ca="1" si="153"/>
        <v>0</v>
      </c>
      <c r="O64" s="300">
        <f t="shared" ca="1" si="153"/>
        <v>0</v>
      </c>
      <c r="P64" s="300">
        <f t="shared" ca="1" si="136"/>
        <v>0</v>
      </c>
      <c r="Q64" s="300">
        <f t="shared" si="153"/>
        <v>0</v>
      </c>
      <c r="R64" s="300">
        <f t="shared" ca="1" si="153"/>
        <v>0</v>
      </c>
      <c r="S64" s="300">
        <f t="shared" ca="1" si="153"/>
        <v>310.29886799999997</v>
      </c>
      <c r="T64" s="300">
        <f t="shared" ca="1" si="153"/>
        <v>-278.98371710526311</v>
      </c>
      <c r="U64" s="300">
        <f t="shared" ca="1" si="153"/>
        <v>0</v>
      </c>
      <c r="V64" s="300">
        <f t="shared" ca="1" si="153"/>
        <v>-443.15022779999998</v>
      </c>
      <c r="W64" s="300">
        <f t="shared" ca="1" si="153"/>
        <v>0</v>
      </c>
      <c r="X64" s="300">
        <f t="shared" ca="1" si="153"/>
        <v>0</v>
      </c>
      <c r="Y64" s="300">
        <f t="shared" ca="1" si="153"/>
        <v>0</v>
      </c>
      <c r="Z64" s="300">
        <f t="shared" ca="1" si="153"/>
        <v>0</v>
      </c>
      <c r="AA64" s="300">
        <f t="shared" ca="1" si="153"/>
        <v>0</v>
      </c>
      <c r="AB64" s="300">
        <f t="shared" ca="1" si="153"/>
        <v>0</v>
      </c>
      <c r="AC64" s="300">
        <f t="shared" ca="1" si="153"/>
        <v>0</v>
      </c>
      <c r="AD64" s="300">
        <f t="shared" ca="1" si="153"/>
        <v>0</v>
      </c>
      <c r="AE64" s="300">
        <f t="shared" ca="1" si="153"/>
        <v>0</v>
      </c>
      <c r="AF64" s="300">
        <f t="shared" ca="1" si="153"/>
        <v>0</v>
      </c>
      <c r="AG64" s="300">
        <f t="shared" ca="1" si="153"/>
        <v>0</v>
      </c>
      <c r="AH64" s="300">
        <f t="shared" ca="1" si="5"/>
        <v>-411.83507690526312</v>
      </c>
      <c r="AI64" s="300">
        <f t="shared" si="153"/>
        <v>0</v>
      </c>
      <c r="AJ64" s="300">
        <f t="shared" ca="1" si="153"/>
        <v>0</v>
      </c>
      <c r="AK64" s="300">
        <f t="shared" ca="1" si="153"/>
        <v>0</v>
      </c>
      <c r="AL64" s="300">
        <f t="shared" ca="1" si="153"/>
        <v>0</v>
      </c>
      <c r="AM64" s="300">
        <f t="shared" ca="1" si="153"/>
        <v>0</v>
      </c>
      <c r="AN64" s="300">
        <f t="shared" ca="1" si="153"/>
        <v>0</v>
      </c>
      <c r="AO64" s="300">
        <f t="shared" ca="1" si="153"/>
        <v>0</v>
      </c>
      <c r="AP64" s="300">
        <f t="shared" ca="1" si="153"/>
        <v>0</v>
      </c>
      <c r="AQ64" s="300">
        <f t="shared" ca="1" si="153"/>
        <v>0</v>
      </c>
      <c r="AR64" s="300">
        <f t="shared" ca="1" si="153"/>
        <v>0</v>
      </c>
      <c r="AS64" s="300">
        <f t="shared" ca="1" si="153"/>
        <v>0</v>
      </c>
      <c r="AT64" s="300">
        <f t="shared" ca="1" si="153"/>
        <v>0</v>
      </c>
      <c r="AU64" s="300">
        <f t="shared" ca="1" si="153"/>
        <v>0</v>
      </c>
      <c r="AV64" s="300">
        <f t="shared" ca="1" si="153"/>
        <v>0</v>
      </c>
      <c r="AW64" s="300">
        <f t="shared" ca="1" si="153"/>
        <v>0</v>
      </c>
      <c r="AX64" s="300">
        <f t="shared" ca="1" si="153"/>
        <v>0</v>
      </c>
      <c r="AY64" s="300">
        <f t="shared" ca="1" si="147"/>
        <v>0</v>
      </c>
      <c r="AZ64" s="300">
        <f t="shared" si="153"/>
        <v>0</v>
      </c>
      <c r="BA64" s="300">
        <f t="shared" ca="1" si="153"/>
        <v>396.32013350526313</v>
      </c>
      <c r="BB64" s="300">
        <f t="shared" ca="1" si="153"/>
        <v>15.514943399999998</v>
      </c>
      <c r="BC64" s="300">
        <f t="shared" ca="1" si="10"/>
        <v>411.83507690526312</v>
      </c>
      <c r="BD64" s="300">
        <f t="shared" si="153"/>
        <v>0</v>
      </c>
      <c r="BE64" s="300">
        <f t="shared" ca="1" si="153"/>
        <v>0</v>
      </c>
      <c r="BF64" s="300">
        <f t="shared" si="153"/>
        <v>0</v>
      </c>
      <c r="BG64" s="300">
        <f t="shared" si="153"/>
        <v>0</v>
      </c>
      <c r="BH64" s="300">
        <f t="shared" ca="1" si="153"/>
        <v>167.466626783621</v>
      </c>
      <c r="BI64" s="300">
        <f t="shared" ca="1" si="153"/>
        <v>0.41586747645880484</v>
      </c>
      <c r="BJ64" s="300">
        <f t="shared" ca="1" si="153"/>
        <v>0.93697844409580489</v>
      </c>
      <c r="BK64" s="300">
        <f t="shared" ca="1" si="153"/>
        <v>0</v>
      </c>
      <c r="BL64" s="300">
        <f t="shared" ca="1" si="153"/>
        <v>0</v>
      </c>
      <c r="BM64" s="300">
        <f t="shared" ca="1" si="153"/>
        <v>0</v>
      </c>
      <c r="BN64" s="300">
        <f t="shared" ca="1" si="153"/>
        <v>0</v>
      </c>
      <c r="BO64" s="300">
        <f t="shared" ca="1" si="153"/>
        <v>0</v>
      </c>
      <c r="BP64" s="300">
        <f t="shared" ca="1" si="153"/>
        <v>0</v>
      </c>
      <c r="BQ64" s="300">
        <f t="shared" ca="1" si="153"/>
        <v>0</v>
      </c>
      <c r="BR64" s="300">
        <f t="shared" ca="1" si="153"/>
        <v>0</v>
      </c>
      <c r="BS64" s="300">
        <f t="shared" ca="1" si="153"/>
        <v>0</v>
      </c>
      <c r="BT64" s="300">
        <f t="shared" ref="BT64:CU64" ca="1" si="154">BT57+BT61+BT63+BT59</f>
        <v>0</v>
      </c>
      <c r="BU64" s="300">
        <f t="shared" ca="1" si="154"/>
        <v>0</v>
      </c>
      <c r="BV64" s="300">
        <f t="shared" ca="1" si="154"/>
        <v>0</v>
      </c>
      <c r="BW64" s="300">
        <f t="shared" ca="1" si="154"/>
        <v>0</v>
      </c>
      <c r="BX64" s="300">
        <f t="shared" ca="1" si="154"/>
        <v>0</v>
      </c>
      <c r="BY64" s="300">
        <f t="shared" ca="1" si="154"/>
        <v>0</v>
      </c>
      <c r="BZ64" s="300">
        <f t="shared" ca="1" si="154"/>
        <v>0</v>
      </c>
      <c r="CA64" s="300">
        <f t="shared" ca="1" si="154"/>
        <v>0</v>
      </c>
      <c r="CB64" s="300">
        <f t="shared" ca="1" si="154"/>
        <v>0</v>
      </c>
      <c r="CC64" s="300">
        <f t="shared" ca="1" si="154"/>
        <v>0</v>
      </c>
      <c r="CD64" s="300">
        <f t="shared" ca="1" si="154"/>
        <v>0</v>
      </c>
      <c r="CE64" s="300">
        <f t="shared" ca="1" si="154"/>
        <v>0</v>
      </c>
      <c r="CF64" s="300">
        <f t="shared" ca="1" si="154"/>
        <v>0</v>
      </c>
      <c r="CG64" s="300">
        <f t="shared" ca="1" si="154"/>
        <v>0</v>
      </c>
      <c r="CH64" s="300">
        <f t="shared" ca="1" si="154"/>
        <v>0</v>
      </c>
      <c r="CI64" s="300">
        <f t="shared" ca="1" si="154"/>
        <v>0</v>
      </c>
      <c r="CJ64" s="300">
        <f t="shared" ca="1" si="154"/>
        <v>0</v>
      </c>
      <c r="CK64" s="300">
        <f t="shared" ca="1" si="154"/>
        <v>0</v>
      </c>
      <c r="CL64" s="300">
        <f t="shared" ca="1" si="154"/>
        <v>0</v>
      </c>
      <c r="CM64" s="300">
        <f t="shared" ca="1" si="154"/>
        <v>0</v>
      </c>
      <c r="CN64" s="300">
        <f t="shared" ca="1" si="154"/>
        <v>0</v>
      </c>
      <c r="CO64" s="300">
        <f t="shared" ca="1" si="154"/>
        <v>0</v>
      </c>
      <c r="CP64" s="300">
        <f t="shared" ca="1" si="154"/>
        <v>0</v>
      </c>
      <c r="CQ64" s="300">
        <f t="shared" ca="1" si="154"/>
        <v>0</v>
      </c>
      <c r="CR64" s="300">
        <f t="shared" ca="1" si="154"/>
        <v>0</v>
      </c>
      <c r="CS64" s="300">
        <f t="shared" ca="1" si="154"/>
        <v>0</v>
      </c>
      <c r="CT64" s="300">
        <f t="shared" ca="1" si="154"/>
        <v>0</v>
      </c>
      <c r="CU64" s="300">
        <f t="shared" ca="1" si="154"/>
        <v>0</v>
      </c>
      <c r="CW64" s="151">
        <f t="shared" ca="1" si="143"/>
        <v>168.81947270417561</v>
      </c>
    </row>
    <row r="65" spans="1:101" s="84" customFormat="1" ht="6" customHeight="1" x14ac:dyDescent="0.2">
      <c r="C65" s="56"/>
      <c r="D65" s="57"/>
      <c r="E65" s="51"/>
      <c r="G65" s="245"/>
      <c r="H65" s="245"/>
      <c r="I65" s="245"/>
      <c r="J65" s="245"/>
      <c r="K65" s="245"/>
      <c r="L65" s="247"/>
      <c r="M65" s="245"/>
      <c r="N65" s="245"/>
      <c r="O65" s="245"/>
      <c r="P65" s="245">
        <f t="shared" si="136"/>
        <v>0</v>
      </c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>
        <f t="shared" si="5"/>
        <v>0</v>
      </c>
      <c r="AJ65" s="263"/>
      <c r="AK65" s="263"/>
      <c r="AL65" s="263"/>
      <c r="AM65" s="263"/>
      <c r="AN65" s="263"/>
      <c r="AO65" s="263"/>
      <c r="AP65" s="263"/>
      <c r="AQ65" s="263"/>
      <c r="AR65" s="263"/>
      <c r="AS65" s="263"/>
      <c r="AT65" s="263"/>
      <c r="AU65" s="263"/>
      <c r="AV65" s="263"/>
      <c r="AW65" s="263"/>
      <c r="AX65" s="263"/>
      <c r="AY65" s="263">
        <f t="shared" si="147"/>
        <v>0</v>
      </c>
      <c r="BA65" s="277"/>
      <c r="BB65" s="277"/>
      <c r="BC65" s="277">
        <f t="shared" si="10"/>
        <v>0</v>
      </c>
      <c r="BE65" s="55">
        <f>P65+AH65+AY65+BC65</f>
        <v>0</v>
      </c>
      <c r="BF65" s="55"/>
      <c r="BH65" s="542"/>
      <c r="BI65" s="542"/>
      <c r="BJ65" s="542"/>
      <c r="BK65" s="542"/>
      <c r="BL65" s="542"/>
      <c r="BM65" s="542"/>
      <c r="BN65" s="542"/>
      <c r="BO65" s="542"/>
      <c r="BP65" s="542"/>
      <c r="BQ65" s="542"/>
      <c r="BR65" s="542"/>
      <c r="BS65" s="542"/>
      <c r="BT65" s="542"/>
      <c r="BU65" s="542"/>
      <c r="BV65" s="542"/>
      <c r="BW65" s="542"/>
      <c r="BX65" s="542"/>
      <c r="BY65" s="542"/>
      <c r="BZ65" s="542"/>
      <c r="CA65" s="542"/>
      <c r="CB65" s="542"/>
      <c r="CC65" s="542"/>
      <c r="CD65" s="542"/>
      <c r="CE65" s="542"/>
      <c r="CF65" s="542"/>
      <c r="CG65" s="542"/>
      <c r="CH65" s="542"/>
      <c r="CI65" s="542"/>
      <c r="CJ65" s="542"/>
      <c r="CK65" s="542"/>
      <c r="CL65" s="542"/>
      <c r="CM65" s="542"/>
      <c r="CN65" s="542"/>
      <c r="CO65" s="542"/>
      <c r="CP65" s="542"/>
      <c r="CQ65" s="542"/>
      <c r="CR65" s="542"/>
      <c r="CS65" s="542"/>
      <c r="CT65" s="542"/>
      <c r="CU65" s="542"/>
      <c r="CW65" s="151"/>
    </row>
    <row r="66" spans="1:101" s="84" customFormat="1" ht="15.75" x14ac:dyDescent="0.2">
      <c r="B66" s="89"/>
      <c r="C66" s="923" t="s">
        <v>884</v>
      </c>
      <c r="D66" s="69" t="s">
        <v>124</v>
      </c>
      <c r="E66" s="70"/>
      <c r="G66" s="338">
        <f t="shared" ref="G66:O66" ca="1" si="155">G$36+G$40+G$47+G$50+G$54+G$64</f>
        <v>0</v>
      </c>
      <c r="H66" s="338">
        <f t="shared" ca="1" si="155"/>
        <v>0</v>
      </c>
      <c r="I66" s="338">
        <f t="shared" ca="1" si="155"/>
        <v>0</v>
      </c>
      <c r="J66" s="338">
        <f t="shared" ca="1" si="155"/>
        <v>223.04417781404337</v>
      </c>
      <c r="K66" s="338">
        <f t="shared" ca="1" si="155"/>
        <v>0</v>
      </c>
      <c r="L66" s="338">
        <f t="shared" ca="1" si="155"/>
        <v>0</v>
      </c>
      <c r="M66" s="338">
        <f t="shared" ca="1" si="155"/>
        <v>0</v>
      </c>
      <c r="N66" s="338">
        <f t="shared" ca="1" si="155"/>
        <v>0</v>
      </c>
      <c r="O66" s="338">
        <f t="shared" ca="1" si="155"/>
        <v>0</v>
      </c>
      <c r="P66" s="338">
        <f t="shared" ca="1" si="136"/>
        <v>223.04417781404337</v>
      </c>
      <c r="R66" s="294">
        <f t="shared" ref="R66:AG66" ca="1" si="156">R$36+R$40+R$47+R$50+R$54+R$64</f>
        <v>-5.801150435863712</v>
      </c>
      <c r="S66" s="294">
        <f ca="1">S$36+S$40+S$47+S$50+S$54+S$64</f>
        <v>526.61694908571417</v>
      </c>
      <c r="T66" s="294">
        <f t="shared" ca="1" si="156"/>
        <v>-279.00869673424808</v>
      </c>
      <c r="U66" s="294">
        <f t="shared" ca="1" si="156"/>
        <v>-2.5704015431268026</v>
      </c>
      <c r="V66" s="294">
        <f t="shared" ca="1" si="156"/>
        <v>-653.77390000274136</v>
      </c>
      <c r="W66" s="294">
        <f t="shared" ca="1" si="156"/>
        <v>-7.6585333733887619</v>
      </c>
      <c r="X66" s="294">
        <f t="shared" ca="1" si="156"/>
        <v>39.323336083333331</v>
      </c>
      <c r="Y66" s="294">
        <f t="shared" ca="1" si="156"/>
        <v>1427.6749096540002</v>
      </c>
      <c r="Z66" s="294">
        <f t="shared" ca="1" si="156"/>
        <v>892.09733333333338</v>
      </c>
      <c r="AA66" s="294">
        <f t="shared" ca="1" si="156"/>
        <v>0</v>
      </c>
      <c r="AB66" s="294">
        <f t="shared" ca="1" si="156"/>
        <v>0</v>
      </c>
      <c r="AC66" s="294">
        <f t="shared" ca="1" si="156"/>
        <v>2239.0775124593119</v>
      </c>
      <c r="AD66" s="294">
        <f t="shared" ca="1" si="156"/>
        <v>18.815375157082052</v>
      </c>
      <c r="AE66" s="294">
        <f t="shared" ca="1" si="156"/>
        <v>257.75408732010584</v>
      </c>
      <c r="AF66" s="294">
        <f t="shared" ca="1" si="156"/>
        <v>75.067689113939565</v>
      </c>
      <c r="AG66" s="294">
        <f t="shared" ca="1" si="156"/>
        <v>7.3179329830517172</v>
      </c>
      <c r="AH66" s="294">
        <f t="shared" ca="1" si="5"/>
        <v>4534.9324431005034</v>
      </c>
      <c r="AJ66" s="295">
        <f t="shared" ref="AJ66:AX66" ca="1" si="157">AJ$36+AJ$40+AJ$47+AJ$50+AJ$54+AJ$64</f>
        <v>-34</v>
      </c>
      <c r="AK66" s="295">
        <f t="shared" ca="1" si="157"/>
        <v>-1427.6749096540002</v>
      </c>
      <c r="AL66" s="295">
        <f t="shared" ca="1" si="157"/>
        <v>-892.09733333333338</v>
      </c>
      <c r="AM66" s="295">
        <f t="shared" ca="1" si="157"/>
        <v>0</v>
      </c>
      <c r="AN66" s="295">
        <f t="shared" ca="1" si="157"/>
        <v>0</v>
      </c>
      <c r="AO66" s="295">
        <f t="shared" ca="1" si="157"/>
        <v>0</v>
      </c>
      <c r="AP66" s="295">
        <f t="shared" ca="1" si="157"/>
        <v>0</v>
      </c>
      <c r="AQ66" s="295">
        <f t="shared" ca="1" si="157"/>
        <v>0</v>
      </c>
      <c r="AR66" s="295">
        <f t="shared" ca="1" si="157"/>
        <v>0</v>
      </c>
      <c r="AS66" s="295">
        <f t="shared" ca="1" si="157"/>
        <v>-40.713200000000001</v>
      </c>
      <c r="AT66" s="295">
        <f t="shared" ca="1" si="157"/>
        <v>-154.12907159999997</v>
      </c>
      <c r="AU66" s="295">
        <f t="shared" ca="1" si="157"/>
        <v>-11.045159999999999</v>
      </c>
      <c r="AV66" s="295">
        <f t="shared" ca="1" si="157"/>
        <v>-37.81952948571427</v>
      </c>
      <c r="AW66" s="295">
        <f t="shared" ca="1" si="157"/>
        <v>-2257.8928876163941</v>
      </c>
      <c r="AX66" s="295">
        <f t="shared" ca="1" si="157"/>
        <v>-345.4630455004305</v>
      </c>
      <c r="AY66" s="295">
        <f t="shared" ca="1" si="147"/>
        <v>-5200.8351371898725</v>
      </c>
      <c r="BA66" s="296">
        <f ca="1">BA$36+BA$40+BA$47+BA$50+BA$54+BA$64</f>
        <v>422.37658150526312</v>
      </c>
      <c r="BB66" s="296">
        <f ca="1">BB$36+BB$40+BB$47+BB$50+BB$54+BB$64</f>
        <v>20.481934770062193</v>
      </c>
      <c r="BC66" s="296">
        <f t="shared" ca="1" si="10"/>
        <v>442.85851627532531</v>
      </c>
      <c r="BE66" s="58">
        <f ca="1">P66+AH66+AY66+BC66</f>
        <v>-7.9580786405131221E-13</v>
      </c>
      <c r="BF66" s="58"/>
      <c r="BH66" s="546">
        <f t="shared" ref="BH66:CU66" ca="1" si="158">BH$36+BH$40+BH$47+BH$50+BH$54+BH$64</f>
        <v>206.86333774262758</v>
      </c>
      <c r="BI66" s="546">
        <f t="shared" ca="1" si="158"/>
        <v>0.49435324076428161</v>
      </c>
      <c r="BJ66" s="546">
        <f t="shared" ca="1" si="158"/>
        <v>1.0321173252245341</v>
      </c>
      <c r="BK66" s="546">
        <f t="shared" ca="1" si="158"/>
        <v>0</v>
      </c>
      <c r="BL66" s="546">
        <f t="shared" ca="1" si="158"/>
        <v>6.5172857142857152</v>
      </c>
      <c r="BM66" s="546">
        <f t="shared" ca="1" si="158"/>
        <v>4.6272363580070176E-2</v>
      </c>
      <c r="BN66" s="546">
        <f t="shared" ca="1" si="158"/>
        <v>0</v>
      </c>
      <c r="BO66" s="546">
        <f t="shared" ca="1" si="158"/>
        <v>0</v>
      </c>
      <c r="BP66" s="546">
        <f t="shared" ca="1" si="158"/>
        <v>0</v>
      </c>
      <c r="BQ66" s="546">
        <f t="shared" ca="1" si="158"/>
        <v>0</v>
      </c>
      <c r="BR66" s="546">
        <f t="shared" ca="1" si="158"/>
        <v>0</v>
      </c>
      <c r="BS66" s="546">
        <f t="shared" ca="1" si="158"/>
        <v>0</v>
      </c>
      <c r="BT66" s="546">
        <f t="shared" ca="1" si="158"/>
        <v>0</v>
      </c>
      <c r="BU66" s="546">
        <f t="shared" ca="1" si="158"/>
        <v>0</v>
      </c>
      <c r="BV66" s="546">
        <f t="shared" ca="1" si="158"/>
        <v>0</v>
      </c>
      <c r="BW66" s="546">
        <f t="shared" ca="1" si="158"/>
        <v>0</v>
      </c>
      <c r="BX66" s="546">
        <f t="shared" ca="1" si="158"/>
        <v>0</v>
      </c>
      <c r="BY66" s="546">
        <f t="shared" ca="1" si="158"/>
        <v>0</v>
      </c>
      <c r="BZ66" s="546">
        <f t="shared" ca="1" si="158"/>
        <v>21.687166670019057</v>
      </c>
      <c r="CA66" s="546">
        <f t="shared" ca="1" si="158"/>
        <v>0</v>
      </c>
      <c r="CB66" s="546">
        <f t="shared" ca="1" si="158"/>
        <v>7.9318683936333301</v>
      </c>
      <c r="CC66" s="546">
        <f t="shared" ca="1" si="158"/>
        <v>0</v>
      </c>
      <c r="CD66" s="546">
        <f t="shared" ca="1" si="158"/>
        <v>0</v>
      </c>
      <c r="CE66" s="546">
        <f t="shared" ca="1" si="158"/>
        <v>0</v>
      </c>
      <c r="CF66" s="546">
        <f t="shared" ca="1" si="158"/>
        <v>0</v>
      </c>
      <c r="CG66" s="546">
        <f t="shared" ca="1" si="158"/>
        <v>4.5058333835286835</v>
      </c>
      <c r="CH66" s="546">
        <f t="shared" ca="1" si="158"/>
        <v>0</v>
      </c>
      <c r="CI66" s="546">
        <f t="shared" ca="1" si="158"/>
        <v>0</v>
      </c>
      <c r="CJ66" s="546">
        <f t="shared" ca="1" si="158"/>
        <v>0</v>
      </c>
      <c r="CK66" s="546">
        <f t="shared" ca="1" si="158"/>
        <v>0</v>
      </c>
      <c r="CL66" s="546">
        <f t="shared" ca="1" si="158"/>
        <v>0</v>
      </c>
      <c r="CM66" s="546">
        <f t="shared" ca="1" si="158"/>
        <v>0</v>
      </c>
      <c r="CN66" s="546">
        <f t="shared" ca="1" si="158"/>
        <v>0</v>
      </c>
      <c r="CO66" s="546">
        <f t="shared" ca="1" si="158"/>
        <v>0</v>
      </c>
      <c r="CP66" s="546">
        <f t="shared" ca="1" si="158"/>
        <v>0</v>
      </c>
      <c r="CQ66" s="546">
        <f t="shared" ca="1" si="158"/>
        <v>0</v>
      </c>
      <c r="CR66" s="546">
        <f t="shared" ca="1" si="158"/>
        <v>0</v>
      </c>
      <c r="CS66" s="546">
        <f t="shared" ca="1" si="158"/>
        <v>0</v>
      </c>
      <c r="CT66" s="546">
        <f t="shared" ca="1" si="158"/>
        <v>0</v>
      </c>
      <c r="CU66" s="546">
        <f t="shared" ca="1" si="158"/>
        <v>0</v>
      </c>
      <c r="CW66" s="148">
        <f ca="1">SUM(BH66:CU66)</f>
        <v>249.07823483366323</v>
      </c>
    </row>
    <row r="67" spans="1:101" s="84" customFormat="1" ht="6" customHeight="1" x14ac:dyDescent="0.2">
      <c r="C67" s="56"/>
      <c r="D67" s="57"/>
      <c r="E67" s="51"/>
      <c r="G67" s="245"/>
      <c r="H67" s="245"/>
      <c r="I67" s="245"/>
      <c r="J67" s="245"/>
      <c r="K67" s="245"/>
      <c r="L67" s="247"/>
      <c r="M67" s="245"/>
      <c r="N67" s="245"/>
      <c r="O67" s="245"/>
      <c r="P67" s="245">
        <f t="shared" si="136"/>
        <v>0</v>
      </c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>
        <f t="shared" ref="AH67:AH90" si="159">SUM(R67:AG67)</f>
        <v>0</v>
      </c>
      <c r="AJ67" s="263"/>
      <c r="AK67" s="263"/>
      <c r="AL67" s="263"/>
      <c r="AM67" s="263"/>
      <c r="AN67" s="263"/>
      <c r="AO67" s="263"/>
      <c r="AP67" s="263"/>
      <c r="AQ67" s="263"/>
      <c r="AR67" s="263"/>
      <c r="AS67" s="263"/>
      <c r="AT67" s="263"/>
      <c r="AU67" s="263"/>
      <c r="AV67" s="263"/>
      <c r="AW67" s="263"/>
      <c r="AX67" s="263"/>
      <c r="AY67" s="263">
        <f t="shared" si="147"/>
        <v>0</v>
      </c>
      <c r="BA67" s="277"/>
      <c r="BB67" s="277"/>
      <c r="BC67" s="277">
        <f t="shared" ref="BC67:BC90" si="160">SUM(BA67:BB67)</f>
        <v>0</v>
      </c>
      <c r="BE67" s="55">
        <f>P67+AH67+AY67+BC67</f>
        <v>0</v>
      </c>
      <c r="BF67" s="55"/>
      <c r="BH67" s="542"/>
      <c r="BI67" s="542"/>
      <c r="BJ67" s="542"/>
      <c r="BK67" s="542"/>
      <c r="BL67" s="542"/>
      <c r="BM67" s="542"/>
      <c r="BN67" s="542"/>
      <c r="BO67" s="542"/>
      <c r="BP67" s="542"/>
      <c r="BQ67" s="542"/>
      <c r="BR67" s="542"/>
      <c r="BS67" s="542"/>
      <c r="BT67" s="542"/>
      <c r="BU67" s="542"/>
      <c r="BV67" s="542"/>
      <c r="BW67" s="542"/>
      <c r="BX67" s="542"/>
      <c r="BY67" s="542"/>
      <c r="BZ67" s="542"/>
      <c r="CA67" s="542"/>
      <c r="CB67" s="542"/>
      <c r="CC67" s="542"/>
      <c r="CD67" s="542"/>
      <c r="CE67" s="542"/>
      <c r="CF67" s="542"/>
      <c r="CG67" s="542"/>
      <c r="CH67" s="542"/>
      <c r="CI67" s="542"/>
      <c r="CJ67" s="542"/>
      <c r="CK67" s="542"/>
      <c r="CL67" s="542"/>
      <c r="CM67" s="542"/>
      <c r="CN67" s="542"/>
      <c r="CO67" s="542"/>
      <c r="CP67" s="542"/>
      <c r="CQ67" s="542"/>
      <c r="CR67" s="542"/>
      <c r="CS67" s="542"/>
      <c r="CT67" s="542"/>
      <c r="CU67" s="542"/>
      <c r="CW67" s="151"/>
    </row>
    <row r="68" spans="1:101" s="84" customFormat="1" ht="24" customHeight="1" x14ac:dyDescent="0.2">
      <c r="C68" s="45" t="s">
        <v>414</v>
      </c>
      <c r="D68" s="45"/>
      <c r="E68" s="68"/>
      <c r="G68" s="244"/>
      <c r="H68" s="244"/>
      <c r="I68" s="244"/>
      <c r="J68" s="244"/>
      <c r="K68" s="244"/>
      <c r="L68" s="244"/>
      <c r="M68" s="244"/>
      <c r="N68" s="244"/>
      <c r="O68" s="244"/>
      <c r="P68" s="244">
        <f t="shared" si="136"/>
        <v>0</v>
      </c>
      <c r="R68" s="260"/>
      <c r="S68" s="260"/>
      <c r="T68" s="260"/>
      <c r="U68" s="260"/>
      <c r="V68" s="260"/>
      <c r="W68" s="260"/>
      <c r="X68" s="256"/>
      <c r="Y68" s="256"/>
      <c r="Z68" s="256"/>
      <c r="AA68" s="260"/>
      <c r="AB68" s="260"/>
      <c r="AC68" s="260"/>
      <c r="AD68" s="260"/>
      <c r="AE68" s="260"/>
      <c r="AF68" s="260"/>
      <c r="AG68" s="260"/>
      <c r="AH68" s="260">
        <f t="shared" si="159"/>
        <v>0</v>
      </c>
      <c r="AJ68" s="267"/>
      <c r="AK68" s="267"/>
      <c r="AL68" s="267"/>
      <c r="AM68" s="267"/>
      <c r="AN68" s="267"/>
      <c r="AO68" s="267"/>
      <c r="AP68" s="267"/>
      <c r="AQ68" s="267"/>
      <c r="AR68" s="267"/>
      <c r="AS68" s="267"/>
      <c r="AT68" s="262"/>
      <c r="AU68" s="262"/>
      <c r="AV68" s="262"/>
      <c r="AW68" s="262"/>
      <c r="AX68" s="262"/>
      <c r="AY68" s="267">
        <f t="shared" si="147"/>
        <v>0</v>
      </c>
      <c r="BA68" s="280"/>
      <c r="BB68" s="280"/>
      <c r="BC68" s="280">
        <f t="shared" si="160"/>
        <v>0</v>
      </c>
      <c r="BE68" s="54">
        <f>P68+AH68+AY68+BC68</f>
        <v>0</v>
      </c>
      <c r="BF68" s="54"/>
      <c r="BH68" s="542"/>
      <c r="BI68" s="542"/>
      <c r="BJ68" s="542"/>
      <c r="BK68" s="542"/>
      <c r="BL68" s="542"/>
      <c r="BM68" s="542"/>
      <c r="BN68" s="542"/>
      <c r="BO68" s="542"/>
      <c r="BP68" s="542"/>
      <c r="BQ68" s="542"/>
      <c r="BR68" s="542"/>
      <c r="BS68" s="542"/>
      <c r="BT68" s="542"/>
      <c r="BU68" s="542"/>
      <c r="BV68" s="542"/>
      <c r="BW68" s="542"/>
      <c r="BX68" s="542"/>
      <c r="BY68" s="542"/>
      <c r="BZ68" s="542"/>
      <c r="CA68" s="542"/>
      <c r="CB68" s="542"/>
      <c r="CC68" s="542"/>
      <c r="CD68" s="542"/>
      <c r="CE68" s="542"/>
      <c r="CF68" s="542"/>
      <c r="CG68" s="542"/>
      <c r="CH68" s="542"/>
      <c r="CI68" s="542"/>
      <c r="CJ68" s="542"/>
      <c r="CK68" s="542"/>
      <c r="CL68" s="542"/>
      <c r="CM68" s="542"/>
      <c r="CN68" s="542"/>
      <c r="CO68" s="542"/>
      <c r="CP68" s="542"/>
      <c r="CQ68" s="542"/>
      <c r="CR68" s="542"/>
      <c r="CS68" s="542"/>
      <c r="CT68" s="542"/>
      <c r="CU68" s="542"/>
      <c r="CW68" s="151"/>
    </row>
    <row r="69" spans="1:101" s="84" customFormat="1" ht="6" customHeight="1" x14ac:dyDescent="0.2">
      <c r="C69" s="60"/>
      <c r="D69" s="34"/>
      <c r="E69" s="51"/>
      <c r="G69" s="245"/>
      <c r="H69" s="245"/>
      <c r="I69" s="245"/>
      <c r="J69" s="245"/>
      <c r="K69" s="245"/>
      <c r="L69" s="247"/>
      <c r="M69" s="245"/>
      <c r="N69" s="245"/>
      <c r="O69" s="245"/>
      <c r="P69" s="245">
        <f t="shared" si="136"/>
        <v>0</v>
      </c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>
        <f t="shared" si="159"/>
        <v>0</v>
      </c>
      <c r="AJ69" s="263"/>
      <c r="AK69" s="263"/>
      <c r="AL69" s="263"/>
      <c r="AM69" s="263"/>
      <c r="AN69" s="263"/>
      <c r="AO69" s="263"/>
      <c r="AP69" s="263"/>
      <c r="AQ69" s="263"/>
      <c r="AR69" s="263"/>
      <c r="AS69" s="263"/>
      <c r="AT69" s="263"/>
      <c r="AU69" s="263"/>
      <c r="AV69" s="263"/>
      <c r="AW69" s="263"/>
      <c r="AX69" s="263"/>
      <c r="AY69" s="263">
        <f t="shared" si="147"/>
        <v>0</v>
      </c>
      <c r="BA69" s="277"/>
      <c r="BB69" s="277"/>
      <c r="BC69" s="277">
        <f t="shared" si="160"/>
        <v>0</v>
      </c>
      <c r="BE69" s="55">
        <f>P69+AH69+AY69+BC69</f>
        <v>0</v>
      </c>
      <c r="BF69" s="55"/>
      <c r="BH69" s="542"/>
      <c r="BI69" s="542"/>
      <c r="BJ69" s="542"/>
      <c r="BK69" s="542"/>
      <c r="BL69" s="542"/>
      <c r="BM69" s="542"/>
      <c r="BN69" s="542"/>
      <c r="BO69" s="542"/>
      <c r="BP69" s="542"/>
      <c r="BQ69" s="542"/>
      <c r="BR69" s="542"/>
      <c r="BS69" s="542"/>
      <c r="BT69" s="542"/>
      <c r="BU69" s="542"/>
      <c r="BV69" s="542"/>
      <c r="BW69" s="542"/>
      <c r="BX69" s="542"/>
      <c r="BY69" s="542"/>
      <c r="BZ69" s="542"/>
      <c r="CA69" s="542"/>
      <c r="CB69" s="542"/>
      <c r="CC69" s="542"/>
      <c r="CD69" s="542"/>
      <c r="CE69" s="542"/>
      <c r="CF69" s="542"/>
      <c r="CG69" s="542"/>
      <c r="CH69" s="542"/>
      <c r="CI69" s="542"/>
      <c r="CJ69" s="542"/>
      <c r="CK69" s="542"/>
      <c r="CL69" s="542"/>
      <c r="CM69" s="542"/>
      <c r="CN69" s="542"/>
      <c r="CO69" s="542"/>
      <c r="CP69" s="542"/>
      <c r="CQ69" s="542"/>
      <c r="CR69" s="542"/>
      <c r="CS69" s="542"/>
      <c r="CT69" s="542"/>
      <c r="CU69" s="542"/>
      <c r="CW69" s="151"/>
    </row>
    <row r="70" spans="1:101" s="84" customFormat="1" outlineLevel="1" x14ac:dyDescent="0.2">
      <c r="A70" s="547"/>
      <c r="B70" s="547"/>
      <c r="C70" s="162"/>
      <c r="D70" s="163"/>
      <c r="E70" s="163"/>
      <c r="G70" s="248"/>
      <c r="H70" s="248"/>
      <c r="I70" s="248"/>
      <c r="J70" s="248"/>
      <c r="K70" s="248"/>
      <c r="L70" s="249"/>
      <c r="M70" s="248"/>
      <c r="N70" s="248"/>
      <c r="O70" s="248"/>
      <c r="P70" s="248">
        <f t="shared" si="136"/>
        <v>0</v>
      </c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>
        <f t="shared" si="159"/>
        <v>0</v>
      </c>
      <c r="AJ70" s="265"/>
      <c r="AK70" s="265"/>
      <c r="AL70" s="265"/>
      <c r="AM70" s="265"/>
      <c r="AN70" s="265"/>
      <c r="AO70" s="265"/>
      <c r="AP70" s="265"/>
      <c r="AQ70" s="265"/>
      <c r="AR70" s="265"/>
      <c r="AS70" s="265"/>
      <c r="AT70" s="265"/>
      <c r="AU70" s="265"/>
      <c r="AV70" s="265"/>
      <c r="AW70" s="265"/>
      <c r="AX70" s="265"/>
      <c r="AY70" s="265">
        <f t="shared" si="147"/>
        <v>0</v>
      </c>
      <c r="BA70" s="278"/>
      <c r="BB70" s="278"/>
      <c r="BC70" s="278">
        <f t="shared" si="160"/>
        <v>0</v>
      </c>
      <c r="BE70" s="164"/>
      <c r="BF70" s="164"/>
      <c r="BG70" s="547"/>
      <c r="BH70" s="549"/>
      <c r="BI70" s="542"/>
      <c r="BJ70" s="542"/>
      <c r="BK70" s="542"/>
      <c r="BL70" s="542"/>
      <c r="BM70" s="542"/>
      <c r="BN70" s="542"/>
      <c r="BO70" s="542"/>
      <c r="BP70" s="542"/>
      <c r="BQ70" s="542"/>
      <c r="BR70" s="542"/>
      <c r="BS70" s="542"/>
      <c r="BT70" s="542"/>
      <c r="BU70" s="542"/>
      <c r="BV70" s="542"/>
      <c r="BW70" s="542"/>
      <c r="BX70" s="542"/>
      <c r="BY70" s="542"/>
      <c r="BZ70" s="542"/>
      <c r="CA70" s="542"/>
      <c r="CB70" s="542"/>
      <c r="CC70" s="542"/>
      <c r="CD70" s="542"/>
      <c r="CE70" s="542"/>
      <c r="CF70" s="542"/>
      <c r="CG70" s="542"/>
      <c r="CH70" s="542"/>
      <c r="CI70" s="542"/>
      <c r="CJ70" s="542"/>
      <c r="CK70" s="542"/>
      <c r="CL70" s="542"/>
      <c r="CM70" s="542"/>
      <c r="CN70" s="542"/>
      <c r="CO70" s="542"/>
      <c r="CP70" s="542"/>
      <c r="CQ70" s="542"/>
      <c r="CR70" s="542"/>
      <c r="CS70" s="542"/>
      <c r="CT70" s="542"/>
      <c r="CU70" s="542"/>
      <c r="CW70" s="151"/>
    </row>
    <row r="71" spans="1:101" s="543" customFormat="1" outlineLevel="1" x14ac:dyDescent="0.2">
      <c r="C71" s="62" t="s">
        <v>305</v>
      </c>
      <c r="D71" s="61" t="str">
        <f>INDEX(Modules[Module], MATCH($C71, Modules[Code], 0))</f>
        <v>Electricity imports</v>
      </c>
      <c r="E71" s="61"/>
      <c r="F71" s="84"/>
      <c r="G71" s="297">
        <f t="shared" ref="G71:O71" ca="1" si="161">IFERROR(INDEX(INDIRECT($C71&amp;".Outputs["&amp;this.Year&amp;"]"), MATCH(G$5, INDIRECT($C71&amp;".Outputs[Vector]"), 0)), 0)</f>
        <v>0</v>
      </c>
      <c r="H71" s="297">
        <f t="shared" ca="1" si="161"/>
        <v>0</v>
      </c>
      <c r="I71" s="297">
        <f t="shared" ca="1" si="161"/>
        <v>0</v>
      </c>
      <c r="J71" s="297">
        <f t="shared" ca="1" si="161"/>
        <v>0</v>
      </c>
      <c r="K71" s="297">
        <f t="shared" ca="1" si="161"/>
        <v>0</v>
      </c>
      <c r="L71" s="297">
        <f t="shared" ca="1" si="161"/>
        <v>0</v>
      </c>
      <c r="M71" s="297">
        <f t="shared" ca="1" si="161"/>
        <v>0</v>
      </c>
      <c r="N71" s="297">
        <f t="shared" ca="1" si="161"/>
        <v>0</v>
      </c>
      <c r="O71" s="297">
        <f t="shared" ca="1" si="161"/>
        <v>0</v>
      </c>
      <c r="P71" s="297">
        <f t="shared" ca="1" si="136"/>
        <v>0</v>
      </c>
      <c r="Q71" s="84"/>
      <c r="R71" s="304">
        <f t="shared" ref="R71:AG71" ca="1" si="162">IFERROR(INDEX(INDIRECT($C71&amp;".Outputs["&amp;this.Year&amp;"]"), MATCH(R$5, INDIRECT($C71&amp;".Outputs[Vector]"), 0)), 0)</f>
        <v>0</v>
      </c>
      <c r="S71" s="304">
        <f t="shared" ca="1" si="162"/>
        <v>12.089399999999999</v>
      </c>
      <c r="T71" s="304">
        <f t="shared" ca="1" si="162"/>
        <v>0</v>
      </c>
      <c r="U71" s="304">
        <f t="shared" ca="1" si="162"/>
        <v>0</v>
      </c>
      <c r="V71" s="304">
        <f t="shared" ca="1" si="162"/>
        <v>0</v>
      </c>
      <c r="W71" s="304">
        <f t="shared" ca="1" si="162"/>
        <v>0</v>
      </c>
      <c r="X71" s="304">
        <f ca="1">IFERROR(INDEX(INDIRECT($C71&amp;".Outputs["&amp;this.Year&amp;"]"), MATCH(X$5, INDIRECT($C71&amp;".Outputs[Vector]"), 0)), 0)</f>
        <v>0</v>
      </c>
      <c r="Y71" s="304">
        <f ca="1">IFERROR(INDEX(INDIRECT($C71&amp;".Outputs["&amp;this.Year&amp;"]"), MATCH(Y$5, INDIRECT($C71&amp;".Outputs[Vector]"), 0)), 0)</f>
        <v>0</v>
      </c>
      <c r="Z71" s="304">
        <f ca="1">IFERROR(INDEX(INDIRECT($C71&amp;".Outputs["&amp;this.Year&amp;"]"), MATCH(Z$5, INDIRECT($C71&amp;".Outputs[Vector]"), 0)), 0)</f>
        <v>0</v>
      </c>
      <c r="AA71" s="304">
        <f t="shared" ca="1" si="162"/>
        <v>0</v>
      </c>
      <c r="AB71" s="304">
        <f t="shared" ca="1" si="162"/>
        <v>0</v>
      </c>
      <c r="AC71" s="304">
        <f t="shared" ca="1" si="162"/>
        <v>0</v>
      </c>
      <c r="AD71" s="304">
        <f t="shared" ca="1" si="162"/>
        <v>0</v>
      </c>
      <c r="AE71" s="304">
        <f t="shared" ca="1" si="162"/>
        <v>0</v>
      </c>
      <c r="AF71" s="304">
        <f t="shared" ca="1" si="162"/>
        <v>0</v>
      </c>
      <c r="AG71" s="304">
        <f t="shared" ca="1" si="162"/>
        <v>0</v>
      </c>
      <c r="AH71" s="305">
        <f t="shared" ca="1" si="159"/>
        <v>12.089399999999999</v>
      </c>
      <c r="AI71" s="84"/>
      <c r="AJ71" s="312">
        <f t="shared" ref="AJ71:AR71" ca="1" si="163">IFERROR(INDEX(INDIRECT($C71&amp;".Outputs["&amp;this.Year&amp;"]"), MATCH(AJ$5, INDIRECT($C71&amp;".Outputs[Vector]"), 0)), 0)</f>
        <v>0</v>
      </c>
      <c r="AK71" s="312">
        <f t="shared" ca="1" si="163"/>
        <v>0</v>
      </c>
      <c r="AL71" s="312">
        <f t="shared" ca="1" si="163"/>
        <v>0</v>
      </c>
      <c r="AM71" s="312">
        <f t="shared" ca="1" si="163"/>
        <v>0</v>
      </c>
      <c r="AN71" s="312">
        <f t="shared" ca="1" si="163"/>
        <v>-12.089399999999999</v>
      </c>
      <c r="AO71" s="312">
        <f t="shared" ca="1" si="163"/>
        <v>0</v>
      </c>
      <c r="AP71" s="312">
        <f t="shared" ca="1" si="163"/>
        <v>0</v>
      </c>
      <c r="AQ71" s="312">
        <f t="shared" ca="1" si="163"/>
        <v>0</v>
      </c>
      <c r="AR71" s="312">
        <f t="shared" ca="1" si="163"/>
        <v>0</v>
      </c>
      <c r="AS71" s="312">
        <f t="shared" ref="AS71:AX71" ca="1" si="164">IFERROR(INDEX(INDIRECT($C71&amp;".Outputs["&amp;this.Year&amp;"]"), MATCH(AS$5, INDIRECT($C71&amp;".Outputs[Vector]"), 0)), 0)</f>
        <v>0</v>
      </c>
      <c r="AT71" s="312">
        <f t="shared" ca="1" si="164"/>
        <v>0</v>
      </c>
      <c r="AU71" s="312">
        <f t="shared" ca="1" si="164"/>
        <v>0</v>
      </c>
      <c r="AV71" s="312">
        <f t="shared" ca="1" si="164"/>
        <v>0</v>
      </c>
      <c r="AW71" s="312">
        <f t="shared" ca="1" si="164"/>
        <v>0</v>
      </c>
      <c r="AX71" s="312">
        <f t="shared" ca="1" si="164"/>
        <v>0</v>
      </c>
      <c r="AY71" s="266">
        <f t="shared" ca="1" si="147"/>
        <v>-12.089399999999999</v>
      </c>
      <c r="AZ71" s="84"/>
      <c r="BA71" s="308">
        <f ca="1">IFERROR(INDEX(INDIRECT($C71&amp;".Outputs["&amp;this.Year&amp;"]"), MATCH(BA$5, INDIRECT($C71&amp;".Outputs[Vector]"), 0)), 0)</f>
        <v>0</v>
      </c>
      <c r="BB71" s="308">
        <f ca="1">IFERROR(INDEX(INDIRECT($C71&amp;".Outputs["&amp;this.Year&amp;"]"), MATCH(BB$5, INDIRECT($C71&amp;".Outputs[Vector]"), 0)), 0)</f>
        <v>0</v>
      </c>
      <c r="BC71" s="309">
        <f t="shared" ca="1" si="160"/>
        <v>0</v>
      </c>
      <c r="BD71" s="84"/>
      <c r="BE71" s="135">
        <f ca="1">P71+AH71+AY71+BC71</f>
        <v>0</v>
      </c>
      <c r="BF71" s="135"/>
      <c r="BH71" s="541">
        <f t="shared" ref="BH71:CU71" ca="1" si="165">IFERROR(SUMIFS(INDIRECT($C71&amp;".Emissions["&amp;this.Year&amp;"]"), INDIRECT($C71&amp;".Emissions[GHG]"), BH$6, INDIRECT($C71&amp;".Emissions[IPCC Sector]"), BH$5),0)</f>
        <v>0</v>
      </c>
      <c r="BI71" s="542">
        <f t="shared" ca="1" si="165"/>
        <v>0</v>
      </c>
      <c r="BJ71" s="542">
        <f t="shared" ca="1" si="165"/>
        <v>0</v>
      </c>
      <c r="BK71" s="542">
        <f t="shared" ca="1" si="165"/>
        <v>0</v>
      </c>
      <c r="BL71" s="542">
        <f t="shared" ca="1" si="165"/>
        <v>0</v>
      </c>
      <c r="BM71" s="542">
        <f t="shared" ca="1" si="165"/>
        <v>0</v>
      </c>
      <c r="BN71" s="542">
        <f t="shared" ca="1" si="165"/>
        <v>0</v>
      </c>
      <c r="BO71" s="542">
        <f t="shared" ca="1" si="165"/>
        <v>0</v>
      </c>
      <c r="BP71" s="542">
        <f t="shared" ca="1" si="165"/>
        <v>0</v>
      </c>
      <c r="BQ71" s="542">
        <f t="shared" ca="1" si="165"/>
        <v>0</v>
      </c>
      <c r="BR71" s="542">
        <f t="shared" ca="1" si="165"/>
        <v>0</v>
      </c>
      <c r="BS71" s="542">
        <f t="shared" ca="1" si="165"/>
        <v>0</v>
      </c>
      <c r="BT71" s="542">
        <f t="shared" ca="1" si="165"/>
        <v>0</v>
      </c>
      <c r="BU71" s="542">
        <f t="shared" ca="1" si="165"/>
        <v>0</v>
      </c>
      <c r="BV71" s="542">
        <f t="shared" ca="1" si="165"/>
        <v>0</v>
      </c>
      <c r="BW71" s="542">
        <f t="shared" ca="1" si="165"/>
        <v>0</v>
      </c>
      <c r="BX71" s="542">
        <f t="shared" ca="1" si="165"/>
        <v>0</v>
      </c>
      <c r="BY71" s="542">
        <f t="shared" ca="1" si="165"/>
        <v>0</v>
      </c>
      <c r="BZ71" s="542">
        <f t="shared" ca="1" si="165"/>
        <v>0</v>
      </c>
      <c r="CA71" s="542">
        <f t="shared" ca="1" si="165"/>
        <v>0</v>
      </c>
      <c r="CB71" s="542">
        <f t="shared" ca="1" si="165"/>
        <v>0</v>
      </c>
      <c r="CC71" s="542">
        <f t="shared" ca="1" si="165"/>
        <v>0</v>
      </c>
      <c r="CD71" s="542">
        <f t="shared" ca="1" si="165"/>
        <v>0</v>
      </c>
      <c r="CE71" s="542">
        <f t="shared" ca="1" si="165"/>
        <v>0</v>
      </c>
      <c r="CF71" s="542">
        <f t="shared" ca="1" si="165"/>
        <v>0</v>
      </c>
      <c r="CG71" s="542">
        <f t="shared" ca="1" si="165"/>
        <v>0</v>
      </c>
      <c r="CH71" s="542">
        <f t="shared" ca="1" si="165"/>
        <v>0</v>
      </c>
      <c r="CI71" s="542">
        <f t="shared" ca="1" si="165"/>
        <v>0</v>
      </c>
      <c r="CJ71" s="542">
        <f t="shared" ca="1" si="165"/>
        <v>0</v>
      </c>
      <c r="CK71" s="542">
        <f t="shared" ca="1" si="165"/>
        <v>0</v>
      </c>
      <c r="CL71" s="542">
        <f t="shared" ca="1" si="165"/>
        <v>0</v>
      </c>
      <c r="CM71" s="542">
        <f t="shared" ca="1" si="165"/>
        <v>0</v>
      </c>
      <c r="CN71" s="542">
        <f t="shared" ca="1" si="165"/>
        <v>0</v>
      </c>
      <c r="CO71" s="542">
        <f t="shared" ca="1" si="165"/>
        <v>0</v>
      </c>
      <c r="CP71" s="542">
        <f t="shared" ca="1" si="165"/>
        <v>0</v>
      </c>
      <c r="CQ71" s="542">
        <f t="shared" ca="1" si="165"/>
        <v>0</v>
      </c>
      <c r="CR71" s="542">
        <f t="shared" ca="1" si="165"/>
        <v>0</v>
      </c>
      <c r="CS71" s="542">
        <f t="shared" ca="1" si="165"/>
        <v>0</v>
      </c>
      <c r="CT71" s="542">
        <f t="shared" ca="1" si="165"/>
        <v>0</v>
      </c>
      <c r="CU71" s="542">
        <f t="shared" ca="1" si="165"/>
        <v>0</v>
      </c>
      <c r="CW71" s="151"/>
    </row>
    <row r="72" spans="1:101" s="547" customFormat="1" ht="12.75" customHeight="1" outlineLevel="1" x14ac:dyDescent="0.2">
      <c r="C72" s="319" t="s">
        <v>858</v>
      </c>
      <c r="D72" s="320" t="s">
        <v>588</v>
      </c>
      <c r="E72" s="320"/>
      <c r="F72" s="84"/>
      <c r="G72" s="333"/>
      <c r="H72" s="333"/>
      <c r="I72" s="333"/>
      <c r="J72" s="333"/>
      <c r="K72" s="333"/>
      <c r="L72" s="334"/>
      <c r="M72" s="333"/>
      <c r="N72" s="333"/>
      <c r="O72" s="333"/>
      <c r="P72" s="333">
        <f t="shared" si="136"/>
        <v>0</v>
      </c>
      <c r="Q72" s="84"/>
      <c r="R72" s="335">
        <f ca="1">R$28+R$36+R$80+R$40+R$71</f>
        <v>-388.87602401750888</v>
      </c>
      <c r="S72" s="335">
        <f ca="1">S$28+S$36+S$80+S$40+S$71</f>
        <v>12.089399999999999</v>
      </c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>
        <f t="shared" ca="1" si="159"/>
        <v>-376.78662401750887</v>
      </c>
      <c r="AI72" s="84"/>
      <c r="AJ72" s="336"/>
      <c r="AK72" s="336"/>
      <c r="AL72" s="336"/>
      <c r="AM72" s="336"/>
      <c r="AN72" s="336"/>
      <c r="AO72" s="336"/>
      <c r="AP72" s="336"/>
      <c r="AQ72" s="336"/>
      <c r="AR72" s="336"/>
      <c r="AS72" s="336"/>
      <c r="AT72" s="336"/>
      <c r="AU72" s="336"/>
      <c r="AV72" s="336"/>
      <c r="AW72" s="336"/>
      <c r="AX72" s="336"/>
      <c r="AY72" s="336">
        <f t="shared" si="147"/>
        <v>0</v>
      </c>
      <c r="AZ72" s="84"/>
      <c r="BA72" s="337"/>
      <c r="BB72" s="337"/>
      <c r="BC72" s="337">
        <f t="shared" si="160"/>
        <v>0</v>
      </c>
      <c r="BD72" s="84"/>
      <c r="BE72" s="164"/>
      <c r="BF72" s="164"/>
      <c r="BH72" s="549"/>
      <c r="BI72" s="549"/>
      <c r="BJ72" s="549"/>
      <c r="BK72" s="549"/>
      <c r="BL72" s="549"/>
      <c r="BM72" s="549"/>
      <c r="BN72" s="549"/>
      <c r="BO72" s="549"/>
      <c r="BP72" s="549"/>
      <c r="BQ72" s="549"/>
      <c r="BR72" s="549"/>
      <c r="BS72" s="549"/>
      <c r="BT72" s="549"/>
      <c r="BU72" s="549"/>
      <c r="BV72" s="549"/>
      <c r="BW72" s="549"/>
      <c r="BX72" s="549"/>
      <c r="BY72" s="549"/>
      <c r="BZ72" s="549"/>
      <c r="CA72" s="549"/>
      <c r="CB72" s="549"/>
      <c r="CC72" s="549"/>
      <c r="CD72" s="549"/>
      <c r="CE72" s="549"/>
      <c r="CF72" s="549"/>
      <c r="CG72" s="549"/>
      <c r="CH72" s="549"/>
      <c r="CI72" s="549"/>
      <c r="CJ72" s="549"/>
      <c r="CK72" s="549"/>
      <c r="CL72" s="549"/>
      <c r="CM72" s="549"/>
      <c r="CN72" s="549"/>
      <c r="CO72" s="549"/>
      <c r="CP72" s="549"/>
      <c r="CQ72" s="549"/>
      <c r="CR72" s="549"/>
      <c r="CS72" s="549"/>
      <c r="CT72" s="549"/>
      <c r="CU72" s="549"/>
      <c r="CW72" s="151"/>
    </row>
    <row r="73" spans="1:101" s="543" customFormat="1" outlineLevel="1" x14ac:dyDescent="0.2">
      <c r="C73" s="62" t="s">
        <v>313</v>
      </c>
      <c r="D73" s="61" t="str">
        <f>INDEX(Modules[Module], MATCH($C73, Modules[Code], 0))</f>
        <v>Electricity grid distribution</v>
      </c>
      <c r="E73" s="61"/>
      <c r="F73" s="84"/>
      <c r="G73" s="297">
        <f t="shared" ref="G73:O73" ca="1" si="166">IFERROR(INDEX(INDIRECT($C73&amp;".Outputs["&amp;this.Year&amp;"]"), MATCH(G$5, INDIRECT($C73&amp;".Outputs[Vector]"), 0)), 0)</f>
        <v>0</v>
      </c>
      <c r="H73" s="297">
        <f t="shared" ca="1" si="166"/>
        <v>0</v>
      </c>
      <c r="I73" s="297">
        <f t="shared" ca="1" si="166"/>
        <v>0</v>
      </c>
      <c r="J73" s="297">
        <f t="shared" ca="1" si="166"/>
        <v>0</v>
      </c>
      <c r="K73" s="297">
        <f t="shared" ca="1" si="166"/>
        <v>0</v>
      </c>
      <c r="L73" s="297">
        <f t="shared" ca="1" si="166"/>
        <v>0</v>
      </c>
      <c r="M73" s="297">
        <f t="shared" ca="1" si="166"/>
        <v>0</v>
      </c>
      <c r="N73" s="297">
        <f t="shared" ca="1" si="166"/>
        <v>0</v>
      </c>
      <c r="O73" s="297">
        <f t="shared" ca="1" si="166"/>
        <v>0</v>
      </c>
      <c r="P73" s="297">
        <f t="shared" ca="1" si="136"/>
        <v>0</v>
      </c>
      <c r="Q73" s="84"/>
      <c r="R73" s="304">
        <f t="shared" ref="R73:AG73" ca="1" si="167">IFERROR(INDEX(INDIRECT($C73&amp;".Outputs["&amp;this.Year&amp;"]"), MATCH(R$5, INDIRECT($C73&amp;".Outputs[Vector]"), 0)), 0)</f>
        <v>0</v>
      </c>
      <c r="S73" s="304">
        <f t="shared" ca="1" si="167"/>
        <v>-68.625180708972152</v>
      </c>
      <c r="T73" s="304">
        <f t="shared" ca="1" si="167"/>
        <v>0</v>
      </c>
      <c r="U73" s="304">
        <f t="shared" ca="1" si="167"/>
        <v>0</v>
      </c>
      <c r="V73" s="304">
        <f t="shared" ca="1" si="167"/>
        <v>0</v>
      </c>
      <c r="W73" s="304">
        <f t="shared" ca="1" si="167"/>
        <v>0</v>
      </c>
      <c r="X73" s="304">
        <f t="shared" ref="X73:Z73" ca="1" si="168">IFERROR(INDEX(INDIRECT($C73&amp;".Outputs["&amp;this.Year&amp;"]"), MATCH(X$5, INDIRECT($C73&amp;".Outputs[Vector]"), 0)), 0)</f>
        <v>0</v>
      </c>
      <c r="Y73" s="304">
        <f t="shared" ca="1" si="168"/>
        <v>0</v>
      </c>
      <c r="Z73" s="304">
        <f t="shared" ca="1" si="168"/>
        <v>0</v>
      </c>
      <c r="AA73" s="304">
        <f t="shared" ca="1" si="167"/>
        <v>0</v>
      </c>
      <c r="AB73" s="304">
        <f t="shared" ca="1" si="167"/>
        <v>0</v>
      </c>
      <c r="AC73" s="304">
        <f t="shared" ca="1" si="167"/>
        <v>0</v>
      </c>
      <c r="AD73" s="304">
        <f t="shared" ca="1" si="167"/>
        <v>0</v>
      </c>
      <c r="AE73" s="304">
        <f t="shared" ca="1" si="167"/>
        <v>0</v>
      </c>
      <c r="AF73" s="304">
        <f t="shared" ca="1" si="167"/>
        <v>0</v>
      </c>
      <c r="AG73" s="304">
        <f t="shared" ca="1" si="167"/>
        <v>0</v>
      </c>
      <c r="AH73" s="305">
        <f t="shared" ca="1" si="159"/>
        <v>-68.625180708972152</v>
      </c>
      <c r="AI73" s="84"/>
      <c r="AJ73" s="312">
        <f t="shared" ref="AJ73:AR73" ca="1" si="169">IFERROR(INDEX(INDIRECT($C73&amp;".Outputs["&amp;this.Year&amp;"]"), MATCH(AJ$5, INDIRECT($C73&amp;".Outputs[Vector]"), 0)), 0)</f>
        <v>0</v>
      </c>
      <c r="AK73" s="312">
        <f t="shared" ca="1" si="169"/>
        <v>0</v>
      </c>
      <c r="AL73" s="312">
        <f t="shared" ca="1" si="169"/>
        <v>0</v>
      </c>
      <c r="AM73" s="312">
        <f t="shared" ca="1" si="169"/>
        <v>0</v>
      </c>
      <c r="AN73" s="312">
        <f t="shared" ca="1" si="169"/>
        <v>0</v>
      </c>
      <c r="AO73" s="312">
        <f t="shared" ca="1" si="169"/>
        <v>0</v>
      </c>
      <c r="AP73" s="312">
        <f t="shared" ca="1" si="169"/>
        <v>0</v>
      </c>
      <c r="AQ73" s="312">
        <f t="shared" ca="1" si="169"/>
        <v>0</v>
      </c>
      <c r="AR73" s="312">
        <f t="shared" ca="1" si="169"/>
        <v>0</v>
      </c>
      <c r="AS73" s="312">
        <f t="shared" ref="AS73:AX73" ca="1" si="170">IFERROR(INDEX(INDIRECT($C73&amp;".Outputs["&amp;this.Year&amp;"]"), MATCH(AS$5, INDIRECT($C73&amp;".Outputs[Vector]"), 0)), 0)</f>
        <v>0</v>
      </c>
      <c r="AT73" s="312">
        <f t="shared" ca="1" si="170"/>
        <v>0</v>
      </c>
      <c r="AU73" s="312">
        <f t="shared" ca="1" si="170"/>
        <v>0</v>
      </c>
      <c r="AV73" s="312">
        <f t="shared" ca="1" si="170"/>
        <v>0</v>
      </c>
      <c r="AW73" s="312">
        <f t="shared" ca="1" si="170"/>
        <v>0</v>
      </c>
      <c r="AX73" s="312">
        <f t="shared" ca="1" si="170"/>
        <v>0</v>
      </c>
      <c r="AY73" s="266">
        <f t="shared" ca="1" si="147"/>
        <v>0</v>
      </c>
      <c r="AZ73" s="84"/>
      <c r="BA73" s="308">
        <f ca="1">IFERROR(INDEX(INDIRECT($C73&amp;".Outputs["&amp;this.Year&amp;"]"), MATCH(BA$5, INDIRECT($C73&amp;".Outputs[Vector]"), 0)), 0)</f>
        <v>0</v>
      </c>
      <c r="BB73" s="308">
        <f ca="1">IFERROR(INDEX(INDIRECT($C73&amp;".Outputs["&amp;this.Year&amp;"]"), MATCH(BB$5, INDIRECT($C73&amp;".Outputs[Vector]"), 0)), 0)</f>
        <v>68.625180708972152</v>
      </c>
      <c r="BC73" s="309">
        <f t="shared" ca="1" si="160"/>
        <v>68.625180708972152</v>
      </c>
      <c r="BD73" s="84"/>
      <c r="BE73" s="164">
        <f ca="1">P73+AH73+AY73+BC73</f>
        <v>0</v>
      </c>
      <c r="BF73" s="135"/>
      <c r="BH73" s="541">
        <f t="shared" ref="BH73:BQ73" ca="1" si="171">IFERROR(SUMIFS(INDIRECT($C73&amp;".Emissions["&amp;this.Year&amp;"]"), INDIRECT($C73&amp;".Emissions[GHG]"), BH$6, INDIRECT($C73&amp;".Emissions[IPCC Sector]"), BH$5),0)</f>
        <v>0</v>
      </c>
      <c r="BI73" s="542">
        <f t="shared" ca="1" si="171"/>
        <v>0</v>
      </c>
      <c r="BJ73" s="542">
        <f t="shared" ca="1" si="171"/>
        <v>0</v>
      </c>
      <c r="BK73" s="542">
        <f t="shared" ca="1" si="171"/>
        <v>0</v>
      </c>
      <c r="BL73" s="542">
        <f t="shared" ca="1" si="171"/>
        <v>0</v>
      </c>
      <c r="BM73" s="542">
        <f t="shared" ca="1" si="171"/>
        <v>0</v>
      </c>
      <c r="BN73" s="542">
        <f t="shared" ca="1" si="171"/>
        <v>0</v>
      </c>
      <c r="BO73" s="542">
        <f t="shared" ca="1" si="171"/>
        <v>0</v>
      </c>
      <c r="BP73" s="542">
        <f t="shared" ca="1" si="171"/>
        <v>0</v>
      </c>
      <c r="BQ73" s="542">
        <f t="shared" ca="1" si="171"/>
        <v>0</v>
      </c>
      <c r="BR73" s="542">
        <f t="shared" ref="BR73:CA73" ca="1" si="172">IFERROR(SUMIFS(INDIRECT($C73&amp;".Emissions["&amp;this.Year&amp;"]"), INDIRECT($C73&amp;".Emissions[GHG]"), BR$6, INDIRECT($C73&amp;".Emissions[IPCC Sector]"), BR$5),0)</f>
        <v>0</v>
      </c>
      <c r="BS73" s="542">
        <f t="shared" ca="1" si="172"/>
        <v>0</v>
      </c>
      <c r="BT73" s="542">
        <f t="shared" ca="1" si="172"/>
        <v>0</v>
      </c>
      <c r="BU73" s="542">
        <f t="shared" ca="1" si="172"/>
        <v>0</v>
      </c>
      <c r="BV73" s="542">
        <f t="shared" ca="1" si="172"/>
        <v>0</v>
      </c>
      <c r="BW73" s="542">
        <f t="shared" ca="1" si="172"/>
        <v>0</v>
      </c>
      <c r="BX73" s="542">
        <f t="shared" ca="1" si="172"/>
        <v>0</v>
      </c>
      <c r="BY73" s="542">
        <f t="shared" ca="1" si="172"/>
        <v>0</v>
      </c>
      <c r="BZ73" s="542">
        <f t="shared" ca="1" si="172"/>
        <v>0</v>
      </c>
      <c r="CA73" s="542">
        <f t="shared" ca="1" si="172"/>
        <v>0</v>
      </c>
      <c r="CB73" s="542">
        <f t="shared" ref="CB73:CK73" ca="1" si="173">IFERROR(SUMIFS(INDIRECT($C73&amp;".Emissions["&amp;this.Year&amp;"]"), INDIRECT($C73&amp;".Emissions[GHG]"), CB$6, INDIRECT($C73&amp;".Emissions[IPCC Sector]"), CB$5),0)</f>
        <v>0</v>
      </c>
      <c r="CC73" s="542">
        <f t="shared" ca="1" si="173"/>
        <v>0</v>
      </c>
      <c r="CD73" s="542">
        <f t="shared" ca="1" si="173"/>
        <v>0</v>
      </c>
      <c r="CE73" s="542">
        <f t="shared" ca="1" si="173"/>
        <v>0</v>
      </c>
      <c r="CF73" s="542">
        <f t="shared" ca="1" si="173"/>
        <v>0</v>
      </c>
      <c r="CG73" s="542">
        <f t="shared" ca="1" si="173"/>
        <v>0</v>
      </c>
      <c r="CH73" s="542">
        <f t="shared" ca="1" si="173"/>
        <v>0</v>
      </c>
      <c r="CI73" s="542">
        <f t="shared" ca="1" si="173"/>
        <v>0</v>
      </c>
      <c r="CJ73" s="542">
        <f t="shared" ca="1" si="173"/>
        <v>0</v>
      </c>
      <c r="CK73" s="542">
        <f t="shared" ca="1" si="173"/>
        <v>0</v>
      </c>
      <c r="CL73" s="542">
        <f t="shared" ref="CL73:CU73" ca="1" si="174">IFERROR(SUMIFS(INDIRECT($C73&amp;".Emissions["&amp;this.Year&amp;"]"), INDIRECT($C73&amp;".Emissions[GHG]"), CL$6, INDIRECT($C73&amp;".Emissions[IPCC Sector]"), CL$5),0)</f>
        <v>0</v>
      </c>
      <c r="CM73" s="542">
        <f t="shared" ca="1" si="174"/>
        <v>0</v>
      </c>
      <c r="CN73" s="542">
        <f t="shared" ca="1" si="174"/>
        <v>0</v>
      </c>
      <c r="CO73" s="542">
        <f t="shared" ca="1" si="174"/>
        <v>0</v>
      </c>
      <c r="CP73" s="542">
        <f t="shared" ca="1" si="174"/>
        <v>0</v>
      </c>
      <c r="CQ73" s="542">
        <f t="shared" ca="1" si="174"/>
        <v>0</v>
      </c>
      <c r="CR73" s="542">
        <f t="shared" ca="1" si="174"/>
        <v>0</v>
      </c>
      <c r="CS73" s="542">
        <f t="shared" ca="1" si="174"/>
        <v>0</v>
      </c>
      <c r="CT73" s="542">
        <f t="shared" ca="1" si="174"/>
        <v>0</v>
      </c>
      <c r="CU73" s="542">
        <f t="shared" ca="1" si="174"/>
        <v>0</v>
      </c>
      <c r="CW73" s="151"/>
    </row>
    <row r="74" spans="1:101" s="18" customFormat="1" ht="12.75" customHeight="1" x14ac:dyDescent="0.2">
      <c r="B74" s="89"/>
      <c r="C74" s="85" t="s">
        <v>226</v>
      </c>
      <c r="D74" s="57" t="str">
        <f>INDEX(Workstreams[Workstream], MATCH($C74, Workstreams[Code], 0))</f>
        <v>Electricity distribution, storage &amp; balancing</v>
      </c>
      <c r="E74" s="53"/>
      <c r="F74" s="84"/>
      <c r="G74" s="245">
        <f ca="1">G$71+G$73</f>
        <v>0</v>
      </c>
      <c r="H74" s="245">
        <f t="shared" ref="H74:BS74" ca="1" si="175">H$71+H$73</f>
        <v>0</v>
      </c>
      <c r="I74" s="245">
        <f t="shared" ca="1" si="175"/>
        <v>0</v>
      </c>
      <c r="J74" s="245">
        <f t="shared" ca="1" si="175"/>
        <v>0</v>
      </c>
      <c r="K74" s="245">
        <f t="shared" ca="1" si="175"/>
        <v>0</v>
      </c>
      <c r="L74" s="245">
        <f t="shared" ca="1" si="175"/>
        <v>0</v>
      </c>
      <c r="M74" s="245">
        <f t="shared" ca="1" si="175"/>
        <v>0</v>
      </c>
      <c r="N74" s="245">
        <f t="shared" ca="1" si="175"/>
        <v>0</v>
      </c>
      <c r="O74" s="245">
        <f t="shared" ca="1" si="175"/>
        <v>0</v>
      </c>
      <c r="P74" s="245">
        <f t="shared" ca="1" si="136"/>
        <v>0</v>
      </c>
      <c r="Q74" s="245">
        <f t="shared" si="175"/>
        <v>0</v>
      </c>
      <c r="R74" s="245">
        <f t="shared" ca="1" si="175"/>
        <v>0</v>
      </c>
      <c r="S74" s="245">
        <f t="shared" ca="1" si="175"/>
        <v>-56.535780708972155</v>
      </c>
      <c r="T74" s="245">
        <f t="shared" ca="1" si="175"/>
        <v>0</v>
      </c>
      <c r="U74" s="245">
        <f t="shared" ca="1" si="175"/>
        <v>0</v>
      </c>
      <c r="V74" s="245">
        <f t="shared" ca="1" si="175"/>
        <v>0</v>
      </c>
      <c r="W74" s="245">
        <f t="shared" ca="1" si="175"/>
        <v>0</v>
      </c>
      <c r="X74" s="245">
        <f t="shared" ca="1" si="175"/>
        <v>0</v>
      </c>
      <c r="Y74" s="245">
        <f t="shared" ca="1" si="175"/>
        <v>0</v>
      </c>
      <c r="Z74" s="245">
        <f t="shared" ca="1" si="175"/>
        <v>0</v>
      </c>
      <c r="AA74" s="245">
        <f t="shared" ca="1" si="175"/>
        <v>0</v>
      </c>
      <c r="AB74" s="245">
        <f t="shared" ca="1" si="175"/>
        <v>0</v>
      </c>
      <c r="AC74" s="245">
        <f t="shared" ca="1" si="175"/>
        <v>0</v>
      </c>
      <c r="AD74" s="245">
        <f t="shared" ca="1" si="175"/>
        <v>0</v>
      </c>
      <c r="AE74" s="245">
        <f t="shared" ca="1" si="175"/>
        <v>0</v>
      </c>
      <c r="AF74" s="245">
        <f t="shared" ca="1" si="175"/>
        <v>0</v>
      </c>
      <c r="AG74" s="245">
        <f t="shared" ca="1" si="175"/>
        <v>0</v>
      </c>
      <c r="AH74" s="245">
        <f t="shared" ca="1" si="159"/>
        <v>-56.535780708972155</v>
      </c>
      <c r="AI74" s="245">
        <f t="shared" si="175"/>
        <v>0</v>
      </c>
      <c r="AJ74" s="245">
        <f t="shared" ca="1" si="175"/>
        <v>0</v>
      </c>
      <c r="AK74" s="245">
        <f t="shared" ca="1" si="175"/>
        <v>0</v>
      </c>
      <c r="AL74" s="245">
        <f t="shared" ca="1" si="175"/>
        <v>0</v>
      </c>
      <c r="AM74" s="245">
        <f t="shared" ca="1" si="175"/>
        <v>0</v>
      </c>
      <c r="AN74" s="245">
        <f t="shared" ca="1" si="175"/>
        <v>-12.089399999999999</v>
      </c>
      <c r="AO74" s="245">
        <f t="shared" ca="1" si="175"/>
        <v>0</v>
      </c>
      <c r="AP74" s="245">
        <f t="shared" ca="1" si="175"/>
        <v>0</v>
      </c>
      <c r="AQ74" s="245">
        <f t="shared" ca="1" si="175"/>
        <v>0</v>
      </c>
      <c r="AR74" s="245">
        <f t="shared" ca="1" si="175"/>
        <v>0</v>
      </c>
      <c r="AS74" s="245">
        <f t="shared" ca="1" si="175"/>
        <v>0</v>
      </c>
      <c r="AT74" s="245">
        <f t="shared" ca="1" si="175"/>
        <v>0</v>
      </c>
      <c r="AU74" s="245">
        <f t="shared" ca="1" si="175"/>
        <v>0</v>
      </c>
      <c r="AV74" s="245">
        <f t="shared" ca="1" si="175"/>
        <v>0</v>
      </c>
      <c r="AW74" s="245">
        <f t="shared" ca="1" si="175"/>
        <v>0</v>
      </c>
      <c r="AX74" s="245">
        <f t="shared" ca="1" si="175"/>
        <v>0</v>
      </c>
      <c r="AY74" s="245">
        <f t="shared" ca="1" si="147"/>
        <v>-12.089399999999999</v>
      </c>
      <c r="AZ74" s="245">
        <f t="shared" si="175"/>
        <v>0</v>
      </c>
      <c r="BA74" s="245">
        <f t="shared" ca="1" si="175"/>
        <v>0</v>
      </c>
      <c r="BB74" s="245">
        <f t="shared" ca="1" si="175"/>
        <v>68.625180708972152</v>
      </c>
      <c r="BC74" s="245">
        <f t="shared" ca="1" si="160"/>
        <v>68.625180708972152</v>
      </c>
      <c r="BD74" s="245">
        <f t="shared" si="175"/>
        <v>0</v>
      </c>
      <c r="BE74" s="245">
        <f t="shared" ca="1" si="175"/>
        <v>0</v>
      </c>
      <c r="BF74" s="245">
        <f t="shared" si="175"/>
        <v>0</v>
      </c>
      <c r="BG74" s="245">
        <f t="shared" si="175"/>
        <v>0</v>
      </c>
      <c r="BH74" s="245">
        <f t="shared" ca="1" si="175"/>
        <v>0</v>
      </c>
      <c r="BI74" s="245">
        <f t="shared" ca="1" si="175"/>
        <v>0</v>
      </c>
      <c r="BJ74" s="245">
        <f t="shared" ca="1" si="175"/>
        <v>0</v>
      </c>
      <c r="BK74" s="245">
        <f t="shared" ca="1" si="175"/>
        <v>0</v>
      </c>
      <c r="BL74" s="245">
        <f t="shared" ca="1" si="175"/>
        <v>0</v>
      </c>
      <c r="BM74" s="245">
        <f t="shared" ca="1" si="175"/>
        <v>0</v>
      </c>
      <c r="BN74" s="245">
        <f t="shared" ca="1" si="175"/>
        <v>0</v>
      </c>
      <c r="BO74" s="245">
        <f t="shared" ca="1" si="175"/>
        <v>0</v>
      </c>
      <c r="BP74" s="245">
        <f t="shared" ca="1" si="175"/>
        <v>0</v>
      </c>
      <c r="BQ74" s="245">
        <f t="shared" ca="1" si="175"/>
        <v>0</v>
      </c>
      <c r="BR74" s="245">
        <f t="shared" ca="1" si="175"/>
        <v>0</v>
      </c>
      <c r="BS74" s="245">
        <f t="shared" ca="1" si="175"/>
        <v>0</v>
      </c>
      <c r="BT74" s="245">
        <f t="shared" ref="BT74:CW74" ca="1" si="176">BT$71+BT$73</f>
        <v>0</v>
      </c>
      <c r="BU74" s="245">
        <f t="shared" ca="1" si="176"/>
        <v>0</v>
      </c>
      <c r="BV74" s="245">
        <f t="shared" ca="1" si="176"/>
        <v>0</v>
      </c>
      <c r="BW74" s="245">
        <f t="shared" ca="1" si="176"/>
        <v>0</v>
      </c>
      <c r="BX74" s="245">
        <f t="shared" ca="1" si="176"/>
        <v>0</v>
      </c>
      <c r="BY74" s="245">
        <f t="shared" ca="1" si="176"/>
        <v>0</v>
      </c>
      <c r="BZ74" s="245">
        <f t="shared" ca="1" si="176"/>
        <v>0</v>
      </c>
      <c r="CA74" s="245">
        <f t="shared" ca="1" si="176"/>
        <v>0</v>
      </c>
      <c r="CB74" s="245">
        <f t="shared" ca="1" si="176"/>
        <v>0</v>
      </c>
      <c r="CC74" s="245">
        <f t="shared" ca="1" si="176"/>
        <v>0</v>
      </c>
      <c r="CD74" s="245">
        <f t="shared" ca="1" si="176"/>
        <v>0</v>
      </c>
      <c r="CE74" s="245">
        <f t="shared" ca="1" si="176"/>
        <v>0</v>
      </c>
      <c r="CF74" s="245">
        <f t="shared" ca="1" si="176"/>
        <v>0</v>
      </c>
      <c r="CG74" s="245">
        <f t="shared" ca="1" si="176"/>
        <v>0</v>
      </c>
      <c r="CH74" s="245">
        <f t="shared" ca="1" si="176"/>
        <v>0</v>
      </c>
      <c r="CI74" s="245">
        <f t="shared" ca="1" si="176"/>
        <v>0</v>
      </c>
      <c r="CJ74" s="245">
        <f t="shared" ca="1" si="176"/>
        <v>0</v>
      </c>
      <c r="CK74" s="245">
        <f t="shared" ca="1" si="176"/>
        <v>0</v>
      </c>
      <c r="CL74" s="245">
        <f t="shared" ca="1" si="176"/>
        <v>0</v>
      </c>
      <c r="CM74" s="245">
        <f t="shared" ca="1" si="176"/>
        <v>0</v>
      </c>
      <c r="CN74" s="245">
        <f t="shared" ca="1" si="176"/>
        <v>0</v>
      </c>
      <c r="CO74" s="245">
        <f t="shared" ca="1" si="176"/>
        <v>0</v>
      </c>
      <c r="CP74" s="245">
        <f t="shared" ca="1" si="176"/>
        <v>0</v>
      </c>
      <c r="CQ74" s="245">
        <f t="shared" ca="1" si="176"/>
        <v>0</v>
      </c>
      <c r="CR74" s="245">
        <f t="shared" ca="1" si="176"/>
        <v>0</v>
      </c>
      <c r="CS74" s="245">
        <f t="shared" ca="1" si="176"/>
        <v>0</v>
      </c>
      <c r="CT74" s="245">
        <f t="shared" ca="1" si="176"/>
        <v>0</v>
      </c>
      <c r="CU74" s="245">
        <f t="shared" ca="1" si="176"/>
        <v>0</v>
      </c>
      <c r="CV74" s="245">
        <f t="shared" si="176"/>
        <v>0</v>
      </c>
      <c r="CW74" s="245">
        <f t="shared" si="176"/>
        <v>0</v>
      </c>
    </row>
    <row r="75" spans="1:101" s="84" customFormat="1" ht="12.75" customHeight="1" outlineLevel="1" x14ac:dyDescent="0.2">
      <c r="A75" s="18"/>
      <c r="B75" s="18"/>
      <c r="C75" s="87"/>
      <c r="D75" s="53"/>
      <c r="E75" s="53"/>
      <c r="G75" s="245"/>
      <c r="H75" s="245"/>
      <c r="I75" s="245"/>
      <c r="J75" s="245"/>
      <c r="K75" s="245"/>
      <c r="L75" s="247"/>
      <c r="M75" s="245"/>
      <c r="N75" s="245"/>
      <c r="O75" s="245"/>
      <c r="P75" s="245">
        <f t="shared" si="136"/>
        <v>0</v>
      </c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>
        <f t="shared" si="159"/>
        <v>0</v>
      </c>
      <c r="AJ75" s="263"/>
      <c r="AK75" s="263"/>
      <c r="AL75" s="263"/>
      <c r="AM75" s="263"/>
      <c r="AN75" s="263"/>
      <c r="AO75" s="263"/>
      <c r="AP75" s="263"/>
      <c r="AQ75" s="263"/>
      <c r="AR75" s="263"/>
      <c r="AS75" s="263"/>
      <c r="AT75" s="263"/>
      <c r="AU75" s="263"/>
      <c r="AV75" s="263"/>
      <c r="AW75" s="263"/>
      <c r="AX75" s="263"/>
      <c r="AY75" s="263">
        <f t="shared" si="147"/>
        <v>0</v>
      </c>
      <c r="BA75" s="277"/>
      <c r="BB75" s="277"/>
      <c r="BC75" s="277">
        <f t="shared" si="160"/>
        <v>0</v>
      </c>
      <c r="BE75" s="55">
        <f>P75+AH75+AY75+BC75</f>
        <v>0</v>
      </c>
      <c r="BF75" s="55"/>
      <c r="BG75" s="1428"/>
      <c r="BH75" s="542"/>
      <c r="BI75" s="542"/>
      <c r="BJ75" s="542"/>
      <c r="BK75" s="542"/>
      <c r="BL75" s="542"/>
      <c r="BM75" s="542"/>
      <c r="BN75" s="542"/>
      <c r="BO75" s="542"/>
      <c r="BP75" s="542"/>
      <c r="BQ75" s="542"/>
      <c r="BR75" s="542"/>
      <c r="BS75" s="542"/>
      <c r="BT75" s="542"/>
      <c r="BU75" s="542"/>
      <c r="BV75" s="542"/>
      <c r="BW75" s="542"/>
      <c r="BX75" s="542"/>
      <c r="BY75" s="542"/>
      <c r="BZ75" s="542"/>
      <c r="CA75" s="542"/>
      <c r="CB75" s="542"/>
      <c r="CC75" s="542"/>
      <c r="CD75" s="542"/>
      <c r="CE75" s="542"/>
      <c r="CF75" s="542"/>
      <c r="CG75" s="542"/>
      <c r="CH75" s="542"/>
      <c r="CI75" s="542"/>
      <c r="CJ75" s="542"/>
      <c r="CK75" s="542"/>
      <c r="CL75" s="542"/>
      <c r="CM75" s="542"/>
      <c r="CN75" s="542"/>
      <c r="CO75" s="542"/>
      <c r="CP75" s="542"/>
      <c r="CQ75" s="542"/>
      <c r="CR75" s="542"/>
      <c r="CS75" s="542"/>
      <c r="CT75" s="542"/>
      <c r="CU75" s="542"/>
      <c r="CW75" s="151">
        <f t="shared" ref="CW75:CW85" si="177">SUM(BH75:CU75)</f>
        <v>0</v>
      </c>
    </row>
    <row r="76" spans="1:101" s="550" customFormat="1" ht="12.75" customHeight="1" outlineLevel="1" x14ac:dyDescent="0.2">
      <c r="C76" s="566" t="s">
        <v>859</v>
      </c>
      <c r="D76" s="567" t="s">
        <v>817</v>
      </c>
      <c r="E76" s="567"/>
      <c r="G76" s="333"/>
      <c r="H76" s="333"/>
      <c r="I76" s="333"/>
      <c r="J76" s="333"/>
      <c r="K76" s="333"/>
      <c r="L76" s="334"/>
      <c r="M76" s="333"/>
      <c r="N76" s="333"/>
      <c r="O76" s="333"/>
      <c r="P76" s="333">
        <f t="shared" si="136"/>
        <v>0</v>
      </c>
      <c r="R76" s="335"/>
      <c r="S76" s="335"/>
      <c r="T76" s="335">
        <f ca="1">(T$28+T$66+T$74)</f>
        <v>-281.95754953591495</v>
      </c>
      <c r="U76" s="335">
        <f ca="1">(U$28+U$66+U$74)</f>
        <v>-195.55535526588415</v>
      </c>
      <c r="V76" s="335">
        <f ca="1">(V$28+V$66+V$74)</f>
        <v>-767.69800998239816</v>
      </c>
      <c r="W76" s="335">
        <f ca="1">(W$28+W$66+W$74)</f>
        <v>-139.84015467028291</v>
      </c>
      <c r="X76" s="335"/>
      <c r="Y76" s="335"/>
      <c r="Z76" s="335"/>
      <c r="AA76" s="335"/>
      <c r="AB76" s="335">
        <f t="shared" ref="AB76:AG76" ca="1" si="178">(AB$28+AB$66+AB$74)</f>
        <v>0</v>
      </c>
      <c r="AC76" s="335">
        <f t="shared" ca="1" si="178"/>
        <v>2239.0775124593119</v>
      </c>
      <c r="AD76" s="335">
        <f t="shared" ca="1" si="178"/>
        <v>18.815375157082052</v>
      </c>
      <c r="AE76" s="335">
        <f t="shared" ca="1" si="178"/>
        <v>257.75408732010584</v>
      </c>
      <c r="AF76" s="335">
        <f t="shared" ca="1" si="178"/>
        <v>75.067689113939565</v>
      </c>
      <c r="AG76" s="335">
        <f t="shared" ca="1" si="178"/>
        <v>7.3179329830517172</v>
      </c>
      <c r="AH76" s="335">
        <f t="shared" ca="1" si="159"/>
        <v>1212.9815275790111</v>
      </c>
      <c r="AJ76" s="336"/>
      <c r="AK76" s="336"/>
      <c r="AL76" s="336"/>
      <c r="AM76" s="336"/>
      <c r="AN76" s="336"/>
      <c r="AO76" s="336"/>
      <c r="AP76" s="336"/>
      <c r="AQ76" s="336"/>
      <c r="AR76" s="336"/>
      <c r="AS76" s="336"/>
      <c r="AT76" s="336"/>
      <c r="AU76" s="336"/>
      <c r="AV76" s="336"/>
      <c r="AW76" s="336"/>
      <c r="AX76" s="336">
        <f ca="1">AX28+AX36</f>
        <v>-345.4630455004305</v>
      </c>
      <c r="AY76" s="336">
        <f t="shared" ca="1" si="147"/>
        <v>-345.4630455004305</v>
      </c>
      <c r="BA76" s="337"/>
      <c r="BB76" s="337"/>
      <c r="BC76" s="337">
        <f t="shared" si="160"/>
        <v>0</v>
      </c>
      <c r="BE76" s="568"/>
      <c r="BF76" s="568"/>
      <c r="BG76" s="569"/>
      <c r="BH76" s="570"/>
      <c r="BI76" s="570"/>
      <c r="BJ76" s="570"/>
      <c r="BK76" s="570"/>
      <c r="BL76" s="570"/>
      <c r="BM76" s="570"/>
      <c r="BN76" s="570"/>
      <c r="BO76" s="570"/>
      <c r="BP76" s="570"/>
      <c r="BQ76" s="570"/>
      <c r="BR76" s="570"/>
      <c r="BS76" s="570"/>
      <c r="BT76" s="570"/>
      <c r="BU76" s="570"/>
      <c r="BV76" s="570"/>
      <c r="BW76" s="570"/>
      <c r="BX76" s="570"/>
      <c r="BY76" s="570"/>
      <c r="BZ76" s="570"/>
      <c r="CA76" s="570"/>
      <c r="CB76" s="570"/>
      <c r="CC76" s="570"/>
      <c r="CD76" s="570"/>
      <c r="CE76" s="570"/>
      <c r="CF76" s="570"/>
      <c r="CG76" s="570"/>
      <c r="CH76" s="570"/>
      <c r="CI76" s="570"/>
      <c r="CJ76" s="570"/>
      <c r="CK76" s="570"/>
      <c r="CL76" s="570"/>
      <c r="CM76" s="570"/>
      <c r="CN76" s="570"/>
      <c r="CO76" s="570"/>
      <c r="CP76" s="570"/>
      <c r="CQ76" s="570"/>
      <c r="CR76" s="570"/>
      <c r="CS76" s="570"/>
      <c r="CT76" s="570"/>
      <c r="CU76" s="570"/>
      <c r="CW76" s="569">
        <f t="shared" si="177"/>
        <v>0</v>
      </c>
    </row>
    <row r="77" spans="1:101" s="882" customFormat="1" ht="12.75" customHeight="1" outlineLevel="1" x14ac:dyDescent="0.2">
      <c r="A77" s="879"/>
      <c r="B77" s="879"/>
      <c r="C77" s="880" t="s">
        <v>400</v>
      </c>
      <c r="D77" s="881" t="str">
        <f>INDEX(Modules[Module], MATCH($C77, Modules[Code], 0))</f>
        <v>Types of fuel from Biomass</v>
      </c>
      <c r="E77" s="881"/>
      <c r="G77" s="326">
        <f t="shared" ref="G77:O79" ca="1" si="179">IFERROR(INDEX(INDIRECT($C77&amp;".Outputs["&amp;this.Year&amp;"]"), MATCH(G$5, INDIRECT($C77&amp;".Outputs[Vector]"), 0)), 0)</f>
        <v>0</v>
      </c>
      <c r="H77" s="326">
        <f t="shared" ca="1" si="179"/>
        <v>0</v>
      </c>
      <c r="I77" s="326">
        <f t="shared" ca="1" si="179"/>
        <v>0</v>
      </c>
      <c r="J77" s="326">
        <f t="shared" ca="1" si="179"/>
        <v>0</v>
      </c>
      <c r="K77" s="326">
        <f t="shared" ca="1" si="179"/>
        <v>0</v>
      </c>
      <c r="L77" s="326">
        <f t="shared" ca="1" si="179"/>
        <v>0</v>
      </c>
      <c r="M77" s="326">
        <f t="shared" ca="1" si="179"/>
        <v>0</v>
      </c>
      <c r="N77" s="326">
        <f t="shared" ca="1" si="179"/>
        <v>0</v>
      </c>
      <c r="O77" s="326">
        <f t="shared" ca="1" si="179"/>
        <v>0</v>
      </c>
      <c r="P77" s="326">
        <f t="shared" ca="1" si="136"/>
        <v>0</v>
      </c>
      <c r="R77" s="327">
        <f t="shared" ref="R77:AG79" ca="1" si="180">IFERROR(INDEX(INDIRECT($C77&amp;".Outputs["&amp;this.Year&amp;"]"), MATCH(R$5, INDIRECT($C77&amp;".Outputs[Vector]"), 0)), 0)</f>
        <v>0</v>
      </c>
      <c r="S77" s="327">
        <f t="shared" ca="1" si="180"/>
        <v>0</v>
      </c>
      <c r="T77" s="327">
        <f t="shared" ca="1" si="180"/>
        <v>0</v>
      </c>
      <c r="U77" s="327">
        <f t="shared" ca="1" si="180"/>
        <v>4.7565268397103431</v>
      </c>
      <c r="V77" s="327">
        <f t="shared" ca="1" si="180"/>
        <v>672.99570382156764</v>
      </c>
      <c r="W77" s="327">
        <f t="shared" ca="1" si="180"/>
        <v>1587.6620603660231</v>
      </c>
      <c r="X77" s="327">
        <f t="shared" ca="1" si="180"/>
        <v>0</v>
      </c>
      <c r="Y77" s="327">
        <f t="shared" ca="1" si="180"/>
        <v>0</v>
      </c>
      <c r="Z77" s="327">
        <f t="shared" ca="1" si="180"/>
        <v>0</v>
      </c>
      <c r="AA77" s="327">
        <f t="shared" ca="1" si="180"/>
        <v>0</v>
      </c>
      <c r="AB77" s="327">
        <f t="shared" ca="1" si="180"/>
        <v>0</v>
      </c>
      <c r="AC77" s="327">
        <f t="shared" ca="1" si="180"/>
        <v>-2239.0775124593119</v>
      </c>
      <c r="AD77" s="327">
        <f t="shared" ca="1" si="180"/>
        <v>-18.815375157082052</v>
      </c>
      <c r="AE77" s="327">
        <f t="shared" ca="1" si="180"/>
        <v>-257.75408732010584</v>
      </c>
      <c r="AF77" s="327">
        <f t="shared" ca="1" si="180"/>
        <v>-75.067689113939565</v>
      </c>
      <c r="AG77" s="327">
        <f t="shared" ca="1" si="180"/>
        <v>-7.3179329830517172</v>
      </c>
      <c r="AH77" s="328">
        <f t="shared" ca="1" si="159"/>
        <v>-332.61830600618987</v>
      </c>
      <c r="AJ77" s="329">
        <f t="shared" ref="AJ77:AX79" ca="1" si="181">IFERROR(INDEX(INDIRECT($C77&amp;".Outputs["&amp;this.Year&amp;"]"), MATCH(AJ$5, INDIRECT($C77&amp;".Outputs[Vector]"), 0)), 0)</f>
        <v>0</v>
      </c>
      <c r="AK77" s="329">
        <f t="shared" ca="1" si="181"/>
        <v>0</v>
      </c>
      <c r="AL77" s="329">
        <f t="shared" ca="1" si="181"/>
        <v>0</v>
      </c>
      <c r="AM77" s="329">
        <f t="shared" ca="1" si="181"/>
        <v>0</v>
      </c>
      <c r="AN77" s="329">
        <f t="shared" ca="1" si="181"/>
        <v>0</v>
      </c>
      <c r="AO77" s="329">
        <f t="shared" ca="1" si="181"/>
        <v>0</v>
      </c>
      <c r="AP77" s="329">
        <f t="shared" ca="1" si="181"/>
        <v>0</v>
      </c>
      <c r="AQ77" s="329">
        <f t="shared" ca="1" si="181"/>
        <v>0</v>
      </c>
      <c r="AR77" s="329">
        <f t="shared" ca="1" si="181"/>
        <v>0</v>
      </c>
      <c r="AS77" s="329">
        <f t="shared" ca="1" si="181"/>
        <v>0</v>
      </c>
      <c r="AT77" s="329">
        <f t="shared" ca="1" si="181"/>
        <v>0</v>
      </c>
      <c r="AU77" s="329">
        <f t="shared" ca="1" si="181"/>
        <v>0</v>
      </c>
      <c r="AV77" s="329">
        <f t="shared" ca="1" si="181"/>
        <v>0</v>
      </c>
      <c r="AW77" s="329">
        <f t="shared" ca="1" si="181"/>
        <v>0</v>
      </c>
      <c r="AX77" s="329">
        <f t="shared" ca="1" si="181"/>
        <v>0</v>
      </c>
      <c r="AY77" s="330">
        <f t="shared" ca="1" si="147"/>
        <v>0</v>
      </c>
      <c r="BA77" s="331">
        <f ca="1">IFERROR(INDEX(INDIRECT($C77&amp;".Outputs["&amp;this.Year&amp;"]"), MATCH(BA$5, INDIRECT($C77&amp;".Outputs[Vector]"), 0)), 0)</f>
        <v>332.61830600618987</v>
      </c>
      <c r="BB77" s="331">
        <f ca="1">IFERROR(INDEX(INDIRECT($C77&amp;".Outputs["&amp;this.Year&amp;"]"), MATCH(BB$5, INDIRECT($C77&amp;".Outputs[Vector]"), 0)), 0)</f>
        <v>0</v>
      </c>
      <c r="BC77" s="332">
        <f t="shared" ca="1" si="160"/>
        <v>332.61830600618987</v>
      </c>
      <c r="BE77" s="883">
        <f ca="1">P77+AH77+AY77+BC77</f>
        <v>0</v>
      </c>
      <c r="BF77" s="883"/>
      <c r="BG77" s="884"/>
      <c r="BH77" s="885">
        <f t="shared" ref="BH77:CU79" ca="1" si="182">IFERROR(SUMIFS(INDIRECT($C77&amp;".Emissions["&amp;this.Year&amp;"]"), INDIRECT($C77&amp;".Emissions[GHG]"), BH$6, INDIRECT($C77&amp;".Emissions[IPCC Sector]"), BH$5),0)</f>
        <v>0</v>
      </c>
      <c r="BI77" s="886">
        <f t="shared" ca="1" si="182"/>
        <v>0</v>
      </c>
      <c r="BJ77" s="886">
        <f t="shared" ca="1" si="182"/>
        <v>0</v>
      </c>
      <c r="BK77" s="886">
        <f t="shared" ca="1" si="182"/>
        <v>0</v>
      </c>
      <c r="BL77" s="886">
        <f t="shared" ca="1" si="182"/>
        <v>0</v>
      </c>
      <c r="BM77" s="886">
        <f t="shared" ca="1" si="182"/>
        <v>0</v>
      </c>
      <c r="BN77" s="886">
        <f t="shared" ca="1" si="182"/>
        <v>0</v>
      </c>
      <c r="BO77" s="886">
        <f t="shared" ca="1" si="182"/>
        <v>0</v>
      </c>
      <c r="BP77" s="886">
        <f t="shared" ca="1" si="182"/>
        <v>0</v>
      </c>
      <c r="BQ77" s="886">
        <f t="shared" ca="1" si="182"/>
        <v>0</v>
      </c>
      <c r="BR77" s="886">
        <f t="shared" ca="1" si="182"/>
        <v>0</v>
      </c>
      <c r="BS77" s="886">
        <f t="shared" ca="1" si="182"/>
        <v>0</v>
      </c>
      <c r="BT77" s="886">
        <f t="shared" ca="1" si="182"/>
        <v>0</v>
      </c>
      <c r="BU77" s="886">
        <f t="shared" ca="1" si="182"/>
        <v>0</v>
      </c>
      <c r="BV77" s="886">
        <f t="shared" ca="1" si="182"/>
        <v>0</v>
      </c>
      <c r="BW77" s="886">
        <f t="shared" ca="1" si="182"/>
        <v>0</v>
      </c>
      <c r="BX77" s="886">
        <f t="shared" ca="1" si="182"/>
        <v>0</v>
      </c>
      <c r="BY77" s="886">
        <f t="shared" ca="1" si="182"/>
        <v>0</v>
      </c>
      <c r="BZ77" s="886">
        <f t="shared" ca="1" si="182"/>
        <v>0</v>
      </c>
      <c r="CA77" s="886">
        <f t="shared" ca="1" si="182"/>
        <v>0</v>
      </c>
      <c r="CB77" s="886">
        <f t="shared" ca="1" si="182"/>
        <v>0</v>
      </c>
      <c r="CC77" s="886">
        <f t="shared" ca="1" si="182"/>
        <v>0</v>
      </c>
      <c r="CD77" s="886">
        <f t="shared" ca="1" si="182"/>
        <v>0</v>
      </c>
      <c r="CE77" s="886">
        <f t="shared" ca="1" si="182"/>
        <v>0</v>
      </c>
      <c r="CF77" s="886">
        <f t="shared" ca="1" si="182"/>
        <v>0</v>
      </c>
      <c r="CG77" s="886">
        <f t="shared" ca="1" si="182"/>
        <v>0</v>
      </c>
      <c r="CH77" s="886">
        <f t="shared" ca="1" si="182"/>
        <v>0</v>
      </c>
      <c r="CI77" s="886">
        <f t="shared" ca="1" si="182"/>
        <v>0</v>
      </c>
      <c r="CJ77" s="886">
        <f t="shared" ca="1" si="182"/>
        <v>0</v>
      </c>
      <c r="CK77" s="886">
        <f t="shared" ca="1" si="182"/>
        <v>0</v>
      </c>
      <c r="CL77" s="886">
        <f t="shared" ca="1" si="182"/>
        <v>0</v>
      </c>
      <c r="CM77" s="886">
        <f t="shared" ca="1" si="182"/>
        <v>0</v>
      </c>
      <c r="CN77" s="886">
        <f t="shared" ca="1" si="182"/>
        <v>-125.020341213096</v>
      </c>
      <c r="CO77" s="886">
        <f t="shared" ca="1" si="182"/>
        <v>0</v>
      </c>
      <c r="CP77" s="886">
        <f t="shared" ca="1" si="182"/>
        <v>0</v>
      </c>
      <c r="CQ77" s="886">
        <f t="shared" ca="1" si="182"/>
        <v>0</v>
      </c>
      <c r="CR77" s="886">
        <f t="shared" ca="1" si="182"/>
        <v>0</v>
      </c>
      <c r="CS77" s="886">
        <f t="shared" ca="1" si="182"/>
        <v>0</v>
      </c>
      <c r="CT77" s="886">
        <f t="shared" ca="1" si="182"/>
        <v>0</v>
      </c>
      <c r="CU77" s="886">
        <f t="shared" ca="1" si="182"/>
        <v>0</v>
      </c>
      <c r="CW77" s="887">
        <f t="shared" ca="1" si="177"/>
        <v>-125.020341213096</v>
      </c>
    </row>
    <row r="78" spans="1:101" s="550" customFormat="1" ht="12.75" customHeight="1" outlineLevel="1" x14ac:dyDescent="0.2">
      <c r="C78" s="566" t="s">
        <v>860</v>
      </c>
      <c r="D78" s="567" t="s">
        <v>817</v>
      </c>
      <c r="E78" s="567"/>
      <c r="G78" s="333"/>
      <c r="H78" s="333"/>
      <c r="I78" s="333"/>
      <c r="J78" s="333"/>
      <c r="K78" s="333"/>
      <c r="L78" s="334"/>
      <c r="M78" s="333"/>
      <c r="N78" s="333"/>
      <c r="O78" s="333"/>
      <c r="P78" s="333">
        <f t="shared" si="136"/>
        <v>0</v>
      </c>
      <c r="R78" s="335"/>
      <c r="S78" s="335"/>
      <c r="T78" s="335">
        <f ca="1">T$76+T$77</f>
        <v>-281.95754953591495</v>
      </c>
      <c r="U78" s="335">
        <f ca="1">U$76+U$77</f>
        <v>-190.7988284261738</v>
      </c>
      <c r="V78" s="335">
        <f ca="1">V$76+V$77</f>
        <v>-94.702306160830517</v>
      </c>
      <c r="W78" s="335">
        <f ca="1">W$76+W$77</f>
        <v>1447.82190569574</v>
      </c>
      <c r="X78" s="335"/>
      <c r="Y78" s="335"/>
      <c r="Z78" s="335"/>
      <c r="AA78" s="335"/>
      <c r="AB78" s="335">
        <f t="shared" ref="AB78:AG78" ca="1" si="183">AB$76+AB$77</f>
        <v>0</v>
      </c>
      <c r="AC78" s="335">
        <f t="shared" ca="1" si="183"/>
        <v>0</v>
      </c>
      <c r="AD78" s="335">
        <f t="shared" ca="1" si="183"/>
        <v>0</v>
      </c>
      <c r="AE78" s="335">
        <f t="shared" ca="1" si="183"/>
        <v>0</v>
      </c>
      <c r="AF78" s="335">
        <f t="shared" ca="1" si="183"/>
        <v>0</v>
      </c>
      <c r="AG78" s="335">
        <f t="shared" ca="1" si="183"/>
        <v>0</v>
      </c>
      <c r="AH78" s="335">
        <f t="shared" ca="1" si="159"/>
        <v>880.36322157282075</v>
      </c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  <c r="AT78" s="336"/>
      <c r="AU78" s="336"/>
      <c r="AV78" s="336"/>
      <c r="AW78" s="336"/>
      <c r="AX78" s="336">
        <f ca="1">AX30+AX34+AX38</f>
        <v>-28.742351793979353</v>
      </c>
      <c r="AY78" s="336">
        <f t="shared" ca="1" si="147"/>
        <v>-28.742351793979353</v>
      </c>
      <c r="BA78" s="337"/>
      <c r="BB78" s="337"/>
      <c r="BC78" s="337">
        <f t="shared" si="160"/>
        <v>0</v>
      </c>
      <c r="BE78" s="568"/>
      <c r="BF78" s="568"/>
      <c r="BG78" s="569"/>
      <c r="BH78" s="570"/>
      <c r="BI78" s="570"/>
      <c r="BJ78" s="570"/>
      <c r="BK78" s="570"/>
      <c r="BL78" s="570"/>
      <c r="BM78" s="570"/>
      <c r="BN78" s="570"/>
      <c r="BO78" s="570"/>
      <c r="BP78" s="570"/>
      <c r="BQ78" s="570"/>
      <c r="BR78" s="570"/>
      <c r="BS78" s="570"/>
      <c r="BT78" s="570"/>
      <c r="BU78" s="570"/>
      <c r="BV78" s="570"/>
      <c r="BW78" s="570"/>
      <c r="BX78" s="570"/>
      <c r="BY78" s="570"/>
      <c r="BZ78" s="570"/>
      <c r="CA78" s="570"/>
      <c r="CB78" s="570"/>
      <c r="CC78" s="570"/>
      <c r="CD78" s="570"/>
      <c r="CE78" s="570"/>
      <c r="CF78" s="570"/>
      <c r="CG78" s="570"/>
      <c r="CH78" s="570"/>
      <c r="CI78" s="570"/>
      <c r="CJ78" s="570"/>
      <c r="CK78" s="570"/>
      <c r="CL78" s="570"/>
      <c r="CM78" s="570"/>
      <c r="CN78" s="570"/>
      <c r="CO78" s="570"/>
      <c r="CP78" s="570"/>
      <c r="CQ78" s="570"/>
      <c r="CR78" s="570"/>
      <c r="CS78" s="570"/>
      <c r="CT78" s="570"/>
      <c r="CU78" s="570"/>
      <c r="CW78" s="569">
        <f>SUM(BH78:CU78)</f>
        <v>0</v>
      </c>
    </row>
    <row r="79" spans="1:101" s="2685" customFormat="1" ht="12.75" customHeight="1" outlineLevel="1" x14ac:dyDescent="0.2">
      <c r="C79" s="319" t="s">
        <v>838</v>
      </c>
      <c r="D79" s="881" t="str">
        <f>INDEX(Modules[Module], MATCH($C79, Modules[Code], 0))</f>
        <v>Bioenergy imports</v>
      </c>
      <c r="E79" s="163"/>
      <c r="G79" s="326">
        <f t="shared" ca="1" si="179"/>
        <v>0</v>
      </c>
      <c r="H79" s="326">
        <f t="shared" ca="1" si="179"/>
        <v>0</v>
      </c>
      <c r="I79" s="326">
        <f t="shared" ca="1" si="179"/>
        <v>0</v>
      </c>
      <c r="J79" s="326">
        <f t="shared" ca="1" si="179"/>
        <v>0</v>
      </c>
      <c r="K79" s="326">
        <f t="shared" ca="1" si="179"/>
        <v>0</v>
      </c>
      <c r="L79" s="326">
        <f t="shared" ca="1" si="179"/>
        <v>0</v>
      </c>
      <c r="M79" s="326">
        <f t="shared" ca="1" si="179"/>
        <v>0</v>
      </c>
      <c r="N79" s="326">
        <f t="shared" ca="1" si="179"/>
        <v>0</v>
      </c>
      <c r="O79" s="326">
        <f t="shared" ca="1" si="179"/>
        <v>0</v>
      </c>
      <c r="P79" s="326">
        <f t="shared" ref="P79" ca="1" si="184">SUM(G79:O79)</f>
        <v>0</v>
      </c>
      <c r="Q79" s="882"/>
      <c r="R79" s="327">
        <f t="shared" ca="1" si="180"/>
        <v>0</v>
      </c>
      <c r="S79" s="327">
        <f t="shared" ca="1" si="180"/>
        <v>0</v>
      </c>
      <c r="T79" s="327">
        <f t="shared" ca="1" si="180"/>
        <v>0</v>
      </c>
      <c r="U79" s="327">
        <f t="shared" ca="1" si="180"/>
        <v>0</v>
      </c>
      <c r="V79" s="327">
        <f t="shared" ca="1" si="180"/>
        <v>0</v>
      </c>
      <c r="W79" s="327">
        <f t="shared" ca="1" si="180"/>
        <v>-1447.82190569574</v>
      </c>
      <c r="X79" s="327">
        <f t="shared" ca="1" si="180"/>
        <v>0</v>
      </c>
      <c r="Y79" s="327">
        <f t="shared" ca="1" si="180"/>
        <v>0</v>
      </c>
      <c r="Z79" s="327">
        <f t="shared" ca="1" si="180"/>
        <v>0</v>
      </c>
      <c r="AA79" s="327">
        <f t="shared" ca="1" si="180"/>
        <v>0</v>
      </c>
      <c r="AB79" s="327">
        <f t="shared" ca="1" si="180"/>
        <v>0</v>
      </c>
      <c r="AC79" s="327">
        <f t="shared" ca="1" si="180"/>
        <v>0</v>
      </c>
      <c r="AD79" s="327">
        <f t="shared" ca="1" si="180"/>
        <v>0</v>
      </c>
      <c r="AE79" s="327">
        <f t="shared" ca="1" si="180"/>
        <v>0</v>
      </c>
      <c r="AF79" s="327">
        <f t="shared" ca="1" si="180"/>
        <v>0</v>
      </c>
      <c r="AG79" s="327">
        <f t="shared" ca="1" si="180"/>
        <v>0</v>
      </c>
      <c r="AH79" s="328">
        <f t="shared" ca="1" si="159"/>
        <v>-1447.82190569574</v>
      </c>
      <c r="AI79" s="882"/>
      <c r="AJ79" s="329">
        <f t="shared" ca="1" si="181"/>
        <v>0</v>
      </c>
      <c r="AK79" s="329">
        <f t="shared" ca="1" si="181"/>
        <v>0</v>
      </c>
      <c r="AL79" s="329">
        <f t="shared" ca="1" si="181"/>
        <v>0</v>
      </c>
      <c r="AM79" s="329">
        <f t="shared" ca="1" si="181"/>
        <v>1447.82190569574</v>
      </c>
      <c r="AN79" s="329">
        <f t="shared" ca="1" si="181"/>
        <v>0</v>
      </c>
      <c r="AO79" s="329">
        <f t="shared" ca="1" si="181"/>
        <v>0</v>
      </c>
      <c r="AP79" s="329">
        <f t="shared" ca="1" si="181"/>
        <v>0</v>
      </c>
      <c r="AQ79" s="329">
        <f t="shared" ca="1" si="181"/>
        <v>0</v>
      </c>
      <c r="AR79" s="329">
        <f t="shared" ca="1" si="181"/>
        <v>0</v>
      </c>
      <c r="AS79" s="329">
        <f t="shared" ca="1" si="181"/>
        <v>0</v>
      </c>
      <c r="AT79" s="329">
        <f t="shared" ca="1" si="181"/>
        <v>0</v>
      </c>
      <c r="AU79" s="329">
        <f t="shared" ca="1" si="181"/>
        <v>0</v>
      </c>
      <c r="AV79" s="329">
        <f t="shared" ca="1" si="181"/>
        <v>0</v>
      </c>
      <c r="AW79" s="329">
        <f t="shared" ca="1" si="181"/>
        <v>0</v>
      </c>
      <c r="AX79" s="329">
        <f t="shared" ca="1" si="181"/>
        <v>0</v>
      </c>
      <c r="AY79" s="330">
        <f t="shared" ref="AY79" ca="1" si="185">SUM(AJ79:AX79)</f>
        <v>1447.82190569574</v>
      </c>
      <c r="AZ79" s="882"/>
      <c r="BA79" s="331">
        <f ca="1">IFERROR(INDEX(INDIRECT($C79&amp;".Outputs["&amp;this.Year&amp;"]"), MATCH(BA$5, INDIRECT($C79&amp;".Outputs[Vector]"), 0)), 0)</f>
        <v>0</v>
      </c>
      <c r="BB79" s="331">
        <f ca="1">IFERROR(INDEX(INDIRECT($C79&amp;".Outputs["&amp;this.Year&amp;"]"), MATCH(BB$5, INDIRECT($C79&amp;".Outputs[Vector]"), 0)), 0)</f>
        <v>0</v>
      </c>
      <c r="BC79" s="332">
        <f t="shared" ref="BC79" ca="1" si="186">SUM(BA79:BB79)</f>
        <v>0</v>
      </c>
      <c r="BD79" s="882"/>
      <c r="BE79" s="883">
        <f ca="1">P79+AH79+AY79+BC79</f>
        <v>0</v>
      </c>
      <c r="BF79" s="883"/>
      <c r="BG79" s="884"/>
      <c r="BH79" s="885">
        <f t="shared" ca="1" si="182"/>
        <v>0</v>
      </c>
      <c r="BI79" s="886">
        <f t="shared" ca="1" si="182"/>
        <v>0</v>
      </c>
      <c r="BJ79" s="886">
        <f t="shared" ca="1" si="182"/>
        <v>0</v>
      </c>
      <c r="BK79" s="886">
        <f t="shared" ca="1" si="182"/>
        <v>0</v>
      </c>
      <c r="BL79" s="886">
        <f t="shared" ca="1" si="182"/>
        <v>0</v>
      </c>
      <c r="BM79" s="886">
        <f t="shared" ca="1" si="182"/>
        <v>0</v>
      </c>
      <c r="BN79" s="886">
        <f t="shared" ca="1" si="182"/>
        <v>0</v>
      </c>
      <c r="BO79" s="886">
        <f t="shared" ca="1" si="182"/>
        <v>0</v>
      </c>
      <c r="BP79" s="886">
        <f t="shared" ca="1" si="182"/>
        <v>0</v>
      </c>
      <c r="BQ79" s="886">
        <f t="shared" ca="1" si="182"/>
        <v>0</v>
      </c>
      <c r="BR79" s="886">
        <f t="shared" ca="1" si="182"/>
        <v>0</v>
      </c>
      <c r="BS79" s="886">
        <f t="shared" ca="1" si="182"/>
        <v>0</v>
      </c>
      <c r="BT79" s="886">
        <f t="shared" ca="1" si="182"/>
        <v>0</v>
      </c>
      <c r="BU79" s="886">
        <f t="shared" ca="1" si="182"/>
        <v>0</v>
      </c>
      <c r="BV79" s="886">
        <f t="shared" ca="1" si="182"/>
        <v>0</v>
      </c>
      <c r="BW79" s="886">
        <f t="shared" ca="1" si="182"/>
        <v>0</v>
      </c>
      <c r="BX79" s="886">
        <f t="shared" ca="1" si="182"/>
        <v>0</v>
      </c>
      <c r="BY79" s="886">
        <f t="shared" ca="1" si="182"/>
        <v>0</v>
      </c>
      <c r="BZ79" s="886">
        <f t="shared" ca="1" si="182"/>
        <v>0</v>
      </c>
      <c r="CA79" s="886">
        <f t="shared" ca="1" si="182"/>
        <v>0</v>
      </c>
      <c r="CB79" s="886">
        <f t="shared" ca="1" si="182"/>
        <v>0</v>
      </c>
      <c r="CC79" s="886">
        <f t="shared" ca="1" si="182"/>
        <v>0</v>
      </c>
      <c r="CD79" s="886">
        <f t="shared" ca="1" si="182"/>
        <v>0</v>
      </c>
      <c r="CE79" s="886">
        <f t="shared" ca="1" si="182"/>
        <v>0</v>
      </c>
      <c r="CF79" s="886">
        <f t="shared" ca="1" si="182"/>
        <v>0</v>
      </c>
      <c r="CG79" s="886">
        <f t="shared" ca="1" si="182"/>
        <v>0</v>
      </c>
      <c r="CH79" s="886">
        <f t="shared" ca="1" si="182"/>
        <v>0</v>
      </c>
      <c r="CI79" s="886">
        <f t="shared" ca="1" si="182"/>
        <v>0</v>
      </c>
      <c r="CJ79" s="886">
        <f t="shared" ca="1" si="182"/>
        <v>0</v>
      </c>
      <c r="CK79" s="886">
        <f t="shared" ca="1" si="182"/>
        <v>0</v>
      </c>
      <c r="CL79" s="886">
        <f t="shared" ca="1" si="182"/>
        <v>0</v>
      </c>
      <c r="CM79" s="886">
        <f t="shared" ca="1" si="182"/>
        <v>0</v>
      </c>
      <c r="CN79" s="886">
        <f t="shared" ca="1" si="182"/>
        <v>0</v>
      </c>
      <c r="CO79" s="886">
        <f t="shared" ca="1" si="182"/>
        <v>0</v>
      </c>
      <c r="CP79" s="886">
        <f t="shared" ca="1" si="182"/>
        <v>0</v>
      </c>
      <c r="CQ79" s="886">
        <f t="shared" ca="1" si="182"/>
        <v>0</v>
      </c>
      <c r="CR79" s="886">
        <f t="shared" ca="1" si="182"/>
        <v>0</v>
      </c>
      <c r="CS79" s="886">
        <f t="shared" ca="1" si="182"/>
        <v>0</v>
      </c>
      <c r="CT79" s="886">
        <f t="shared" ca="1" si="182"/>
        <v>0</v>
      </c>
      <c r="CU79" s="886">
        <f t="shared" ca="1" si="182"/>
        <v>0</v>
      </c>
      <c r="CV79" s="882"/>
      <c r="CW79" s="887">
        <f t="shared" ref="CW79" ca="1" si="187">SUM(BH79:CU79)</f>
        <v>0</v>
      </c>
    </row>
    <row r="80" spans="1:101" s="84" customFormat="1" ht="15.75" x14ac:dyDescent="0.2">
      <c r="A80" s="18"/>
      <c r="B80" s="89"/>
      <c r="C80" s="85" t="s">
        <v>224</v>
      </c>
      <c r="D80" s="57" t="str">
        <f>INDEX(Workstreams[Workstream], MATCH($C80, Workstreams[Code], 0))</f>
        <v>Bioenergy</v>
      </c>
      <c r="E80" s="53"/>
      <c r="G80" s="300">
        <f ca="1">G$77+G79</f>
        <v>0</v>
      </c>
      <c r="H80" s="300">
        <f t="shared" ref="H80:O80" ca="1" si="188">H$77+H79</f>
        <v>0</v>
      </c>
      <c r="I80" s="300">
        <f t="shared" ca="1" si="188"/>
        <v>0</v>
      </c>
      <c r="J80" s="300">
        <f t="shared" ca="1" si="188"/>
        <v>0</v>
      </c>
      <c r="K80" s="300">
        <f t="shared" ca="1" si="188"/>
        <v>0</v>
      </c>
      <c r="L80" s="300">
        <f t="shared" ca="1" si="188"/>
        <v>0</v>
      </c>
      <c r="M80" s="300">
        <f t="shared" ca="1" si="188"/>
        <v>0</v>
      </c>
      <c r="N80" s="300">
        <f t="shared" ca="1" si="188"/>
        <v>0</v>
      </c>
      <c r="O80" s="300">
        <f t="shared" ca="1" si="188"/>
        <v>0</v>
      </c>
      <c r="P80" s="300">
        <f t="shared" ca="1" si="136"/>
        <v>0</v>
      </c>
      <c r="R80" s="257">
        <f ca="1">R$77+R79</f>
        <v>0</v>
      </c>
      <c r="S80" s="257">
        <f t="shared" ref="S80:AG80" ca="1" si="189">S$77+S79</f>
        <v>0</v>
      </c>
      <c r="T80" s="257">
        <f t="shared" ca="1" si="189"/>
        <v>0</v>
      </c>
      <c r="U80" s="257">
        <f t="shared" ca="1" si="189"/>
        <v>4.7565268397103431</v>
      </c>
      <c r="V80" s="257">
        <f t="shared" ca="1" si="189"/>
        <v>672.99570382156764</v>
      </c>
      <c r="W80" s="257">
        <f t="shared" ca="1" si="189"/>
        <v>139.84015467028303</v>
      </c>
      <c r="X80" s="257">
        <f t="shared" ca="1" si="189"/>
        <v>0</v>
      </c>
      <c r="Y80" s="257">
        <f t="shared" ca="1" si="189"/>
        <v>0</v>
      </c>
      <c r="Z80" s="257">
        <f t="shared" ca="1" si="189"/>
        <v>0</v>
      </c>
      <c r="AA80" s="257">
        <f t="shared" ca="1" si="189"/>
        <v>0</v>
      </c>
      <c r="AB80" s="257">
        <f t="shared" ca="1" si="189"/>
        <v>0</v>
      </c>
      <c r="AC80" s="257">
        <f t="shared" ca="1" si="189"/>
        <v>-2239.0775124593119</v>
      </c>
      <c r="AD80" s="257">
        <f t="shared" ca="1" si="189"/>
        <v>-18.815375157082052</v>
      </c>
      <c r="AE80" s="257">
        <f t="shared" ca="1" si="189"/>
        <v>-257.75408732010584</v>
      </c>
      <c r="AF80" s="257">
        <f t="shared" ca="1" si="189"/>
        <v>-75.067689113939565</v>
      </c>
      <c r="AG80" s="257">
        <f t="shared" ca="1" si="189"/>
        <v>-7.3179329830517172</v>
      </c>
      <c r="AH80" s="257">
        <f t="shared" ca="1" si="159"/>
        <v>-1780.4402117019301</v>
      </c>
      <c r="AJ80" s="263">
        <f ca="1">AJ$77+AJ79</f>
        <v>0</v>
      </c>
      <c r="AK80" s="263">
        <f t="shared" ref="AK80:AX80" ca="1" si="190">AK$77+AK79</f>
        <v>0</v>
      </c>
      <c r="AL80" s="263">
        <f t="shared" ca="1" si="190"/>
        <v>0</v>
      </c>
      <c r="AM80" s="263">
        <f t="shared" ca="1" si="190"/>
        <v>1447.82190569574</v>
      </c>
      <c r="AN80" s="263">
        <f t="shared" ca="1" si="190"/>
        <v>0</v>
      </c>
      <c r="AO80" s="263">
        <f t="shared" ca="1" si="190"/>
        <v>0</v>
      </c>
      <c r="AP80" s="263">
        <f t="shared" ca="1" si="190"/>
        <v>0</v>
      </c>
      <c r="AQ80" s="263">
        <f t="shared" ca="1" si="190"/>
        <v>0</v>
      </c>
      <c r="AR80" s="263">
        <f t="shared" ca="1" si="190"/>
        <v>0</v>
      </c>
      <c r="AS80" s="263">
        <f t="shared" ca="1" si="190"/>
        <v>0</v>
      </c>
      <c r="AT80" s="263">
        <f t="shared" ca="1" si="190"/>
        <v>0</v>
      </c>
      <c r="AU80" s="263">
        <f t="shared" ca="1" si="190"/>
        <v>0</v>
      </c>
      <c r="AV80" s="263">
        <f t="shared" ca="1" si="190"/>
        <v>0</v>
      </c>
      <c r="AW80" s="263">
        <f t="shared" ca="1" si="190"/>
        <v>0</v>
      </c>
      <c r="AX80" s="263">
        <f t="shared" ca="1" si="190"/>
        <v>0</v>
      </c>
      <c r="AY80" s="263">
        <f t="shared" ca="1" si="147"/>
        <v>1447.82190569574</v>
      </c>
      <c r="BA80" s="277">
        <f ca="1">BA$77+BA79</f>
        <v>332.61830600618987</v>
      </c>
      <c r="BB80" s="277">
        <f ca="1">BB$77+BB79</f>
        <v>0</v>
      </c>
      <c r="BC80" s="277">
        <f t="shared" ca="1" si="160"/>
        <v>332.61830600618987</v>
      </c>
      <c r="BE80" s="55">
        <f ca="1">P80+AH80+AY80+BC80</f>
        <v>0</v>
      </c>
      <c r="BF80" s="55"/>
      <c r="BG80" s="1428"/>
      <c r="BH80" s="542">
        <f ca="1">BH$77+BH79</f>
        <v>0</v>
      </c>
      <c r="BI80" s="542">
        <f t="shared" ref="BI80:CU80" ca="1" si="191">BI$77+BI79</f>
        <v>0</v>
      </c>
      <c r="BJ80" s="542">
        <f t="shared" ca="1" si="191"/>
        <v>0</v>
      </c>
      <c r="BK80" s="542">
        <f t="shared" ca="1" si="191"/>
        <v>0</v>
      </c>
      <c r="BL80" s="542">
        <f t="shared" ca="1" si="191"/>
        <v>0</v>
      </c>
      <c r="BM80" s="542">
        <f t="shared" ca="1" si="191"/>
        <v>0</v>
      </c>
      <c r="BN80" s="542">
        <f t="shared" ca="1" si="191"/>
        <v>0</v>
      </c>
      <c r="BO80" s="542">
        <f t="shared" ca="1" si="191"/>
        <v>0</v>
      </c>
      <c r="BP80" s="542">
        <f t="shared" ca="1" si="191"/>
        <v>0</v>
      </c>
      <c r="BQ80" s="542">
        <f t="shared" ca="1" si="191"/>
        <v>0</v>
      </c>
      <c r="BR80" s="542">
        <f t="shared" ca="1" si="191"/>
        <v>0</v>
      </c>
      <c r="BS80" s="542">
        <f t="shared" ca="1" si="191"/>
        <v>0</v>
      </c>
      <c r="BT80" s="542">
        <f t="shared" ca="1" si="191"/>
        <v>0</v>
      </c>
      <c r="BU80" s="542">
        <f t="shared" ca="1" si="191"/>
        <v>0</v>
      </c>
      <c r="BV80" s="542">
        <f t="shared" ca="1" si="191"/>
        <v>0</v>
      </c>
      <c r="BW80" s="542">
        <f t="shared" ca="1" si="191"/>
        <v>0</v>
      </c>
      <c r="BX80" s="542">
        <f t="shared" ca="1" si="191"/>
        <v>0</v>
      </c>
      <c r="BY80" s="542">
        <f t="shared" ca="1" si="191"/>
        <v>0</v>
      </c>
      <c r="BZ80" s="542">
        <f t="shared" ca="1" si="191"/>
        <v>0</v>
      </c>
      <c r="CA80" s="542">
        <f t="shared" ca="1" si="191"/>
        <v>0</v>
      </c>
      <c r="CB80" s="542">
        <f t="shared" ca="1" si="191"/>
        <v>0</v>
      </c>
      <c r="CC80" s="542">
        <f t="shared" ca="1" si="191"/>
        <v>0</v>
      </c>
      <c r="CD80" s="542">
        <f t="shared" ca="1" si="191"/>
        <v>0</v>
      </c>
      <c r="CE80" s="542">
        <f t="shared" ca="1" si="191"/>
        <v>0</v>
      </c>
      <c r="CF80" s="542">
        <f t="shared" ca="1" si="191"/>
        <v>0</v>
      </c>
      <c r="CG80" s="542">
        <f t="shared" ca="1" si="191"/>
        <v>0</v>
      </c>
      <c r="CH80" s="542">
        <f t="shared" ca="1" si="191"/>
        <v>0</v>
      </c>
      <c r="CI80" s="542">
        <f t="shared" ca="1" si="191"/>
        <v>0</v>
      </c>
      <c r="CJ80" s="542">
        <f t="shared" ca="1" si="191"/>
        <v>0</v>
      </c>
      <c r="CK80" s="542">
        <f t="shared" ca="1" si="191"/>
        <v>0</v>
      </c>
      <c r="CL80" s="542">
        <f t="shared" ca="1" si="191"/>
        <v>0</v>
      </c>
      <c r="CM80" s="542">
        <f t="shared" ca="1" si="191"/>
        <v>0</v>
      </c>
      <c r="CN80" s="542">
        <f t="shared" ca="1" si="191"/>
        <v>-125.020341213096</v>
      </c>
      <c r="CO80" s="542">
        <f t="shared" ca="1" si="191"/>
        <v>0</v>
      </c>
      <c r="CP80" s="542">
        <f t="shared" ca="1" si="191"/>
        <v>0</v>
      </c>
      <c r="CQ80" s="542">
        <f t="shared" ca="1" si="191"/>
        <v>0</v>
      </c>
      <c r="CR80" s="542">
        <f t="shared" ca="1" si="191"/>
        <v>0</v>
      </c>
      <c r="CS80" s="542">
        <f t="shared" ca="1" si="191"/>
        <v>0</v>
      </c>
      <c r="CT80" s="542">
        <f t="shared" ca="1" si="191"/>
        <v>0</v>
      </c>
      <c r="CU80" s="542">
        <f t="shared" ca="1" si="191"/>
        <v>0</v>
      </c>
      <c r="CW80" s="151">
        <f t="shared" ca="1" si="177"/>
        <v>-125.020341213096</v>
      </c>
    </row>
    <row r="81" spans="2:101" s="18" customFormat="1" ht="12.75" customHeight="1" outlineLevel="1" x14ac:dyDescent="0.2">
      <c r="B81" s="89"/>
      <c r="C81" s="85"/>
      <c r="D81" s="57"/>
      <c r="E81" s="53"/>
      <c r="F81" s="84"/>
      <c r="G81" s="245"/>
      <c r="H81" s="245"/>
      <c r="I81" s="245"/>
      <c r="J81" s="245"/>
      <c r="K81" s="245"/>
      <c r="L81" s="247"/>
      <c r="M81" s="245"/>
      <c r="N81" s="245"/>
      <c r="O81" s="245"/>
      <c r="P81" s="245">
        <f t="shared" si="136"/>
        <v>0</v>
      </c>
      <c r="Q81" s="84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>
        <f t="shared" si="159"/>
        <v>0</v>
      </c>
      <c r="AI81" s="84"/>
      <c r="AJ81" s="263"/>
      <c r="AK81" s="263"/>
      <c r="AL81" s="263"/>
      <c r="AM81" s="263"/>
      <c r="AN81" s="263"/>
      <c r="AO81" s="263"/>
      <c r="AP81" s="263"/>
      <c r="AQ81" s="263"/>
      <c r="AR81" s="263"/>
      <c r="AS81" s="263"/>
      <c r="AT81" s="263"/>
      <c r="AU81" s="263"/>
      <c r="AV81" s="263"/>
      <c r="AW81" s="263"/>
      <c r="AX81" s="263"/>
      <c r="AY81" s="263">
        <f t="shared" si="147"/>
        <v>0</v>
      </c>
      <c r="AZ81" s="84"/>
      <c r="BA81" s="277"/>
      <c r="BB81" s="277"/>
      <c r="BC81" s="277">
        <f t="shared" si="160"/>
        <v>0</v>
      </c>
      <c r="BD81" s="84"/>
      <c r="BE81" s="55"/>
      <c r="BF81" s="55"/>
      <c r="BH81" s="542"/>
      <c r="BI81" s="542"/>
      <c r="BJ81" s="542"/>
      <c r="BK81" s="542"/>
      <c r="BL81" s="542"/>
      <c r="BM81" s="542"/>
      <c r="BN81" s="542"/>
      <c r="BO81" s="542"/>
      <c r="BP81" s="542"/>
      <c r="BQ81" s="542"/>
      <c r="BR81" s="542"/>
      <c r="BS81" s="542"/>
      <c r="BT81" s="542"/>
      <c r="BU81" s="542"/>
      <c r="BV81" s="542"/>
      <c r="BW81" s="542"/>
      <c r="BX81" s="542"/>
      <c r="BY81" s="542"/>
      <c r="BZ81" s="542"/>
      <c r="CA81" s="542"/>
      <c r="CB81" s="542"/>
      <c r="CC81" s="542"/>
      <c r="CD81" s="542"/>
      <c r="CE81" s="542"/>
      <c r="CF81" s="542"/>
      <c r="CG81" s="542"/>
      <c r="CH81" s="542"/>
      <c r="CI81" s="542"/>
      <c r="CJ81" s="542"/>
      <c r="CK81" s="542"/>
      <c r="CL81" s="542"/>
      <c r="CM81" s="542"/>
      <c r="CN81" s="542"/>
      <c r="CO81" s="542"/>
      <c r="CP81" s="542"/>
      <c r="CQ81" s="542"/>
      <c r="CR81" s="542"/>
      <c r="CS81" s="542"/>
      <c r="CT81" s="542"/>
      <c r="CU81" s="542"/>
      <c r="CW81" s="151">
        <f t="shared" si="177"/>
        <v>0</v>
      </c>
    </row>
    <row r="82" spans="2:101" s="547" customFormat="1" ht="12.75" customHeight="1" outlineLevel="1" x14ac:dyDescent="0.2">
      <c r="C82" s="319" t="s">
        <v>861</v>
      </c>
      <c r="D82" s="163" t="s">
        <v>817</v>
      </c>
      <c r="E82" s="163"/>
      <c r="G82" s="333"/>
      <c r="H82" s="333"/>
      <c r="I82" s="333"/>
      <c r="J82" s="333"/>
      <c r="K82" s="333"/>
      <c r="L82" s="334"/>
      <c r="M82" s="333"/>
      <c r="N82" s="333"/>
      <c r="O82" s="333"/>
      <c r="P82" s="333">
        <f t="shared" si="136"/>
        <v>0</v>
      </c>
      <c r="Q82" s="550"/>
      <c r="R82" s="335">
        <f t="shared" ref="R82:W82" ca="1" si="192">(R$28+R$66+R$74+R$80)</f>
        <v>-388.87602401750883</v>
      </c>
      <c r="S82" s="335">
        <f t="shared" ca="1" si="192"/>
        <v>470.08116837674203</v>
      </c>
      <c r="T82" s="335">
        <f t="shared" ca="1" si="192"/>
        <v>-281.95754953591495</v>
      </c>
      <c r="U82" s="335">
        <f t="shared" ca="1" si="192"/>
        <v>-190.7988284261738</v>
      </c>
      <c r="V82" s="335">
        <f t="shared" ca="1" si="192"/>
        <v>-94.702306160830517</v>
      </c>
      <c r="W82" s="335">
        <f t="shared" ca="1" si="192"/>
        <v>1.1368683772161603E-13</v>
      </c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>
        <f t="shared" ca="1" si="159"/>
        <v>-486.25353976368592</v>
      </c>
      <c r="AI82" s="550"/>
      <c r="AJ82" s="336"/>
      <c r="AK82" s="336"/>
      <c r="AL82" s="336"/>
      <c r="AM82" s="336"/>
      <c r="AN82" s="336"/>
      <c r="AO82" s="336"/>
      <c r="AP82" s="336"/>
      <c r="AQ82" s="336"/>
      <c r="AR82" s="336"/>
      <c r="AS82" s="336"/>
      <c r="AT82" s="336"/>
      <c r="AU82" s="336"/>
      <c r="AV82" s="336"/>
      <c r="AW82" s="336"/>
      <c r="AX82" s="336"/>
      <c r="AY82" s="336">
        <f t="shared" si="147"/>
        <v>0</v>
      </c>
      <c r="AZ82" s="550"/>
      <c r="BA82" s="337"/>
      <c r="BB82" s="337"/>
      <c r="BC82" s="337">
        <f t="shared" si="160"/>
        <v>0</v>
      </c>
      <c r="BE82" s="164"/>
      <c r="BF82" s="164"/>
      <c r="BH82" s="549"/>
      <c r="BI82" s="549"/>
      <c r="BJ82" s="549"/>
      <c r="BK82" s="549"/>
      <c r="BL82" s="549"/>
      <c r="BM82" s="549"/>
      <c r="BN82" s="549"/>
      <c r="BO82" s="549"/>
      <c r="BP82" s="549"/>
      <c r="BQ82" s="549"/>
      <c r="BR82" s="549"/>
      <c r="BS82" s="549"/>
      <c r="BT82" s="549"/>
      <c r="BU82" s="549"/>
      <c r="BV82" s="549"/>
      <c r="BW82" s="549"/>
      <c r="BX82" s="549"/>
      <c r="BY82" s="549"/>
      <c r="BZ82" s="549"/>
      <c r="CA82" s="549"/>
      <c r="CB82" s="549"/>
      <c r="CC82" s="549"/>
      <c r="CD82" s="549"/>
      <c r="CE82" s="549"/>
      <c r="CF82" s="549"/>
      <c r="CG82" s="549"/>
      <c r="CH82" s="549"/>
      <c r="CI82" s="549"/>
      <c r="CJ82" s="549"/>
      <c r="CK82" s="549"/>
      <c r="CL82" s="549"/>
      <c r="CM82" s="549"/>
      <c r="CN82" s="549"/>
      <c r="CO82" s="549"/>
      <c r="CP82" s="549"/>
      <c r="CQ82" s="549"/>
      <c r="CR82" s="549"/>
      <c r="CS82" s="549"/>
      <c r="CT82" s="549"/>
      <c r="CU82" s="549"/>
      <c r="CW82" s="151">
        <f t="shared" si="177"/>
        <v>0</v>
      </c>
    </row>
    <row r="83" spans="2:101" s="543" customFormat="1" ht="12.75" customHeight="1" outlineLevel="1" x14ac:dyDescent="0.2">
      <c r="B83" s="551"/>
      <c r="C83" s="62" t="s">
        <v>439</v>
      </c>
      <c r="D83" s="61" t="str">
        <f>INDEX(Modules[Module], MATCH($C83, Modules[Code], 0))</f>
        <v>Fossil fuel transfers</v>
      </c>
      <c r="E83" s="61"/>
      <c r="F83" s="84"/>
      <c r="G83" s="250">
        <f t="shared" ref="G83:O83" ca="1" si="193">IFERROR(INDEX(INDIRECT($C83&amp;".Outputs["&amp;this.Year&amp;"]"), MATCH(G$5, INDIRECT($C83&amp;".Outputs[Vector]"), 0)), 0)</f>
        <v>0</v>
      </c>
      <c r="H83" s="250">
        <f t="shared" ca="1" si="193"/>
        <v>0</v>
      </c>
      <c r="I83" s="250">
        <f t="shared" ca="1" si="193"/>
        <v>0</v>
      </c>
      <c r="J83" s="250">
        <f t="shared" ca="1" si="193"/>
        <v>0</v>
      </c>
      <c r="K83" s="250">
        <f t="shared" ca="1" si="193"/>
        <v>0</v>
      </c>
      <c r="L83" s="251">
        <f t="shared" ca="1" si="193"/>
        <v>0</v>
      </c>
      <c r="M83" s="250">
        <f t="shared" ca="1" si="193"/>
        <v>0</v>
      </c>
      <c r="N83" s="250">
        <f t="shared" ca="1" si="193"/>
        <v>0</v>
      </c>
      <c r="O83" s="250">
        <f t="shared" ca="1" si="193"/>
        <v>0</v>
      </c>
      <c r="P83" s="250">
        <f t="shared" ca="1" si="136"/>
        <v>0</v>
      </c>
      <c r="Q83" s="84"/>
      <c r="R83" s="259">
        <f t="shared" ref="R83:AG83" ca="1" si="194">IFERROR(INDEX(INDIRECT($C83&amp;".Outputs["&amp;this.Year&amp;"]"), MATCH(R$5, INDIRECT($C83&amp;".Outputs[Vector]"), 0)), 0)</f>
        <v>0</v>
      </c>
      <c r="S83" s="259">
        <f t="shared" ca="1" si="194"/>
        <v>0</v>
      </c>
      <c r="T83" s="259">
        <f t="shared" ca="1" si="194"/>
        <v>281.95754953591495</v>
      </c>
      <c r="U83" s="259">
        <f t="shared" ca="1" si="194"/>
        <v>190.7988284261738</v>
      </c>
      <c r="V83" s="259">
        <f t="shared" ca="1" si="194"/>
        <v>94.702306160830517</v>
      </c>
      <c r="W83" s="259">
        <f t="shared" ca="1" si="194"/>
        <v>-1.1368683772161603E-13</v>
      </c>
      <c r="X83" s="259">
        <f t="shared" ca="1" si="194"/>
        <v>-281.95754953591495</v>
      </c>
      <c r="Y83" s="259">
        <f t="shared" ca="1" si="194"/>
        <v>-190.7988284261738</v>
      </c>
      <c r="Z83" s="259">
        <f t="shared" ca="1" si="194"/>
        <v>-95.83873383476049</v>
      </c>
      <c r="AA83" s="259">
        <f t="shared" ca="1" si="194"/>
        <v>0</v>
      </c>
      <c r="AB83" s="259">
        <f t="shared" ca="1" si="194"/>
        <v>0</v>
      </c>
      <c r="AC83" s="259">
        <f t="shared" ca="1" si="194"/>
        <v>0</v>
      </c>
      <c r="AD83" s="259">
        <f t="shared" ca="1" si="194"/>
        <v>0</v>
      </c>
      <c r="AE83" s="259">
        <f t="shared" ca="1" si="194"/>
        <v>0</v>
      </c>
      <c r="AF83" s="259">
        <f t="shared" ca="1" si="194"/>
        <v>0</v>
      </c>
      <c r="AG83" s="259">
        <f t="shared" ca="1" si="194"/>
        <v>0</v>
      </c>
      <c r="AH83" s="259">
        <f t="shared" ca="1" si="159"/>
        <v>-1.1364276739300578</v>
      </c>
      <c r="AI83" s="84"/>
      <c r="AJ83" s="266">
        <f t="shared" ref="AJ83:AX83" ca="1" si="195">IFERROR(INDEX(INDIRECT($C83&amp;".Outputs["&amp;this.Year&amp;"]"), MATCH(AJ$5, INDIRECT($C83&amp;".Outputs[Vector]"), 0)), 0)</f>
        <v>0</v>
      </c>
      <c r="AK83" s="266">
        <f t="shared" ca="1" si="195"/>
        <v>0</v>
      </c>
      <c r="AL83" s="266">
        <f t="shared" ca="1" si="195"/>
        <v>0</v>
      </c>
      <c r="AM83" s="266">
        <f t="shared" ca="1" si="195"/>
        <v>0</v>
      </c>
      <c r="AN83" s="266">
        <f t="shared" ca="1" si="195"/>
        <v>0</v>
      </c>
      <c r="AO83" s="266">
        <f t="shared" ca="1" si="195"/>
        <v>0</v>
      </c>
      <c r="AP83" s="266">
        <f t="shared" ca="1" si="195"/>
        <v>0</v>
      </c>
      <c r="AQ83" s="266">
        <f t="shared" ca="1" si="195"/>
        <v>0</v>
      </c>
      <c r="AR83" s="266">
        <f t="shared" ca="1" si="195"/>
        <v>0</v>
      </c>
      <c r="AS83" s="266">
        <f t="shared" ca="1" si="195"/>
        <v>0</v>
      </c>
      <c r="AT83" s="266">
        <f t="shared" ca="1" si="195"/>
        <v>0</v>
      </c>
      <c r="AU83" s="266">
        <f t="shared" ca="1" si="195"/>
        <v>0</v>
      </c>
      <c r="AV83" s="266">
        <f t="shared" ca="1" si="195"/>
        <v>0</v>
      </c>
      <c r="AW83" s="266">
        <f t="shared" ca="1" si="195"/>
        <v>0</v>
      </c>
      <c r="AX83" s="266">
        <f t="shared" ca="1" si="195"/>
        <v>0</v>
      </c>
      <c r="AY83" s="266">
        <f t="shared" ca="1" si="147"/>
        <v>0</v>
      </c>
      <c r="AZ83" s="84"/>
      <c r="BA83" s="279">
        <f ca="1">IFERROR(INDEX(INDIRECT($C83&amp;".Outputs["&amp;this.Year&amp;"]"), MATCH(BA$5, INDIRECT($C83&amp;".Outputs[Vector]"), 0)), 0)</f>
        <v>0</v>
      </c>
      <c r="BB83" s="279">
        <f ca="1">IFERROR(INDEX(INDIRECT($C83&amp;".Outputs["&amp;this.Year&amp;"]"), MATCH(BB$5, INDIRECT($C83&amp;".Outputs[Vector]"), 0)), 0)</f>
        <v>1.1364276739299661</v>
      </c>
      <c r="BC83" s="279">
        <f t="shared" ca="1" si="160"/>
        <v>1.1364276739299661</v>
      </c>
      <c r="BD83" s="84"/>
      <c r="BE83" s="55">
        <f t="shared" ref="BE83:BE90" ca="1" si="196">P83+AH83+AY83+BC83</f>
        <v>-9.170442183403793E-14</v>
      </c>
      <c r="BF83" s="135"/>
      <c r="BH83" s="541">
        <f t="shared" ref="BH83:BQ84" ca="1" si="197">IFERROR(SUMIFS(INDIRECT($C83&amp;".Emissions["&amp;this.Year&amp;"]"), INDIRECT($C83&amp;".Emissions[GHG]"), BH$6, INDIRECT($C83&amp;".Emissions[IPCC Sector]"), BH$5),0)</f>
        <v>0</v>
      </c>
      <c r="BI83" s="542">
        <f t="shared" ca="1" si="197"/>
        <v>0</v>
      </c>
      <c r="BJ83" s="542">
        <f t="shared" ca="1" si="197"/>
        <v>0</v>
      </c>
      <c r="BK83" s="542">
        <f t="shared" ca="1" si="197"/>
        <v>0</v>
      </c>
      <c r="BL83" s="542">
        <f t="shared" ca="1" si="197"/>
        <v>0</v>
      </c>
      <c r="BM83" s="542">
        <f t="shared" ca="1" si="197"/>
        <v>8.3626172429597077</v>
      </c>
      <c r="BN83" s="542">
        <f t="shared" ca="1" si="197"/>
        <v>0</v>
      </c>
      <c r="BO83" s="542">
        <f t="shared" ca="1" si="197"/>
        <v>0</v>
      </c>
      <c r="BP83" s="542">
        <f t="shared" ca="1" si="197"/>
        <v>0</v>
      </c>
      <c r="BQ83" s="542">
        <f t="shared" ca="1" si="197"/>
        <v>0</v>
      </c>
      <c r="BR83" s="542">
        <f t="shared" ref="BR83:CA84" ca="1" si="198">IFERROR(SUMIFS(INDIRECT($C83&amp;".Emissions["&amp;this.Year&amp;"]"), INDIRECT($C83&amp;".Emissions[GHG]"), BR$6, INDIRECT($C83&amp;".Emissions[IPCC Sector]"), BR$5),0)</f>
        <v>0</v>
      </c>
      <c r="BS83" s="542">
        <f t="shared" ca="1" si="198"/>
        <v>0</v>
      </c>
      <c r="BT83" s="542">
        <f t="shared" ca="1" si="198"/>
        <v>0</v>
      </c>
      <c r="BU83" s="542">
        <f t="shared" ca="1" si="198"/>
        <v>0</v>
      </c>
      <c r="BV83" s="542">
        <f t="shared" ca="1" si="198"/>
        <v>0</v>
      </c>
      <c r="BW83" s="542">
        <f t="shared" ca="1" si="198"/>
        <v>0</v>
      </c>
      <c r="BX83" s="542">
        <f t="shared" ca="1" si="198"/>
        <v>0</v>
      </c>
      <c r="BY83" s="542">
        <f t="shared" ca="1" si="198"/>
        <v>0</v>
      </c>
      <c r="BZ83" s="542">
        <f t="shared" ca="1" si="198"/>
        <v>0</v>
      </c>
      <c r="CA83" s="542">
        <f t="shared" ca="1" si="198"/>
        <v>0</v>
      </c>
      <c r="CB83" s="542">
        <f t="shared" ref="CB83:CK84" ca="1" si="199">IFERROR(SUMIFS(INDIRECT($C83&amp;".Emissions["&amp;this.Year&amp;"]"), INDIRECT($C83&amp;".Emissions[GHG]"), CB$6, INDIRECT($C83&amp;".Emissions[IPCC Sector]"), CB$5),0)</f>
        <v>0</v>
      </c>
      <c r="CC83" s="542">
        <f t="shared" ca="1" si="199"/>
        <v>0</v>
      </c>
      <c r="CD83" s="542">
        <f t="shared" ca="1" si="199"/>
        <v>0</v>
      </c>
      <c r="CE83" s="542">
        <f t="shared" ca="1" si="199"/>
        <v>0</v>
      </c>
      <c r="CF83" s="542">
        <f t="shared" ca="1" si="199"/>
        <v>0</v>
      </c>
      <c r="CG83" s="542">
        <f t="shared" ca="1" si="199"/>
        <v>0</v>
      </c>
      <c r="CH83" s="542">
        <f t="shared" ca="1" si="199"/>
        <v>0</v>
      </c>
      <c r="CI83" s="542">
        <f t="shared" ca="1" si="199"/>
        <v>0</v>
      </c>
      <c r="CJ83" s="542">
        <f t="shared" ca="1" si="199"/>
        <v>0</v>
      </c>
      <c r="CK83" s="542">
        <f t="shared" ca="1" si="199"/>
        <v>0</v>
      </c>
      <c r="CL83" s="542">
        <f t="shared" ref="CL83:CU84" ca="1" si="200">IFERROR(SUMIFS(INDIRECT($C83&amp;".Emissions["&amp;this.Year&amp;"]"), INDIRECT($C83&amp;".Emissions[GHG]"), CL$6, INDIRECT($C83&amp;".Emissions[IPCC Sector]"), CL$5),0)</f>
        <v>0</v>
      </c>
      <c r="CM83" s="542">
        <f t="shared" ca="1" si="200"/>
        <v>0</v>
      </c>
      <c r="CN83" s="542">
        <f t="shared" ca="1" si="200"/>
        <v>0</v>
      </c>
      <c r="CO83" s="542">
        <f t="shared" ca="1" si="200"/>
        <v>0</v>
      </c>
      <c r="CP83" s="542">
        <f t="shared" ca="1" si="200"/>
        <v>0</v>
      </c>
      <c r="CQ83" s="542">
        <f t="shared" ca="1" si="200"/>
        <v>0</v>
      </c>
      <c r="CR83" s="542">
        <f t="shared" ca="1" si="200"/>
        <v>0</v>
      </c>
      <c r="CS83" s="542">
        <f t="shared" ca="1" si="200"/>
        <v>0</v>
      </c>
      <c r="CT83" s="542">
        <f t="shared" ca="1" si="200"/>
        <v>0</v>
      </c>
      <c r="CU83" s="542">
        <f t="shared" ca="1" si="200"/>
        <v>0</v>
      </c>
      <c r="CW83" s="151">
        <f t="shared" ca="1" si="177"/>
        <v>8.3626172429597077</v>
      </c>
    </row>
    <row r="84" spans="2:101" s="543" customFormat="1" ht="12.75" customHeight="1" outlineLevel="1" x14ac:dyDescent="0.2">
      <c r="B84" s="551" t="s">
        <v>322</v>
      </c>
      <c r="C84" s="62" t="s">
        <v>440</v>
      </c>
      <c r="D84" s="292" t="str">
        <f>INDEX(Modules[Module], MATCH($C84, Modules[Code], 0))</f>
        <v>Balancing imports</v>
      </c>
      <c r="E84" s="292"/>
      <c r="F84" s="84"/>
      <c r="G84" s="361"/>
      <c r="H84" s="361"/>
      <c r="I84" s="361"/>
      <c r="J84" s="361"/>
      <c r="K84" s="361"/>
      <c r="L84" s="362"/>
      <c r="M84" s="361"/>
      <c r="N84" s="361"/>
      <c r="O84" s="361"/>
      <c r="P84" s="361">
        <f t="shared" si="136"/>
        <v>0</v>
      </c>
      <c r="Q84" s="84"/>
      <c r="R84" s="363"/>
      <c r="S84" s="363">
        <f ca="1">-(S$82+R$82)</f>
        <v>-81.205144359233202</v>
      </c>
      <c r="T84" s="363"/>
      <c r="U84" s="363"/>
      <c r="V84" s="363"/>
      <c r="W84" s="363"/>
      <c r="X84" s="363">
        <f ca="1">-(X$28+X$66+X$74+X$80+X$83)</f>
        <v>242.6342134525816</v>
      </c>
      <c r="Y84" s="363">
        <f ca="1">-(Y$28+Y$66+Y$74+Y$80+Y$83)</f>
        <v>-1236.8760812278265</v>
      </c>
      <c r="Z84" s="363">
        <f ca="1">-(Z$28+Z$66+Z$74+Z$80+Z$83)</f>
        <v>-796.25859949857295</v>
      </c>
      <c r="AA84" s="363"/>
      <c r="AB84" s="363"/>
      <c r="AC84" s="363"/>
      <c r="AD84" s="363"/>
      <c r="AE84" s="363"/>
      <c r="AF84" s="363"/>
      <c r="AG84" s="363"/>
      <c r="AH84" s="363">
        <f t="shared" ca="1" si="159"/>
        <v>-1871.7056116330509</v>
      </c>
      <c r="AI84" s="84"/>
      <c r="AJ84" s="293"/>
      <c r="AK84" s="293"/>
      <c r="AL84" s="293"/>
      <c r="AM84" s="293"/>
      <c r="AN84" s="293">
        <f ca="1">-S84</f>
        <v>81.205144359233202</v>
      </c>
      <c r="AO84" s="293">
        <f>-U84</f>
        <v>0</v>
      </c>
      <c r="AP84" s="293">
        <f ca="1">-X84</f>
        <v>-242.6342134525816</v>
      </c>
      <c r="AQ84" s="293">
        <f ca="1">-Y84</f>
        <v>1236.8760812278265</v>
      </c>
      <c r="AR84" s="293">
        <f ca="1">-Z84</f>
        <v>796.25859949857295</v>
      </c>
      <c r="AS84" s="293"/>
      <c r="AT84" s="293"/>
      <c r="AU84" s="293"/>
      <c r="AV84" s="293"/>
      <c r="AW84" s="293"/>
      <c r="AX84" s="293"/>
      <c r="AY84" s="293">
        <f t="shared" ca="1" si="147"/>
        <v>1871.7056116330509</v>
      </c>
      <c r="AZ84" s="84"/>
      <c r="BA84" s="364"/>
      <c r="BB84" s="364"/>
      <c r="BC84" s="364">
        <f t="shared" si="160"/>
        <v>0</v>
      </c>
      <c r="BD84" s="84"/>
      <c r="BE84" s="55">
        <f t="shared" ca="1" si="196"/>
        <v>0</v>
      </c>
      <c r="BF84" s="135"/>
      <c r="BH84" s="544">
        <f t="shared" ca="1" si="197"/>
        <v>0</v>
      </c>
      <c r="BI84" s="545">
        <f t="shared" ca="1" si="197"/>
        <v>0</v>
      </c>
      <c r="BJ84" s="545">
        <f t="shared" ca="1" si="197"/>
        <v>0</v>
      </c>
      <c r="BK84" s="545">
        <f t="shared" ca="1" si="197"/>
        <v>0</v>
      </c>
      <c r="BL84" s="545">
        <f t="shared" ca="1" si="197"/>
        <v>0</v>
      </c>
      <c r="BM84" s="545">
        <f t="shared" ca="1" si="197"/>
        <v>0</v>
      </c>
      <c r="BN84" s="545">
        <f t="shared" ca="1" si="197"/>
        <v>0</v>
      </c>
      <c r="BO84" s="545">
        <f t="shared" ca="1" si="197"/>
        <v>0</v>
      </c>
      <c r="BP84" s="545">
        <f t="shared" ca="1" si="197"/>
        <v>0</v>
      </c>
      <c r="BQ84" s="545">
        <f t="shared" ca="1" si="197"/>
        <v>0</v>
      </c>
      <c r="BR84" s="545">
        <f t="shared" ca="1" si="198"/>
        <v>0</v>
      </c>
      <c r="BS84" s="545">
        <f t="shared" ca="1" si="198"/>
        <v>0</v>
      </c>
      <c r="BT84" s="545">
        <f t="shared" ca="1" si="198"/>
        <v>0</v>
      </c>
      <c r="BU84" s="545">
        <f t="shared" ca="1" si="198"/>
        <v>0</v>
      </c>
      <c r="BV84" s="545">
        <f t="shared" ca="1" si="198"/>
        <v>0</v>
      </c>
      <c r="BW84" s="545">
        <f t="shared" ca="1" si="198"/>
        <v>0</v>
      </c>
      <c r="BX84" s="545">
        <f t="shared" ca="1" si="198"/>
        <v>0</v>
      </c>
      <c r="BY84" s="545">
        <f t="shared" ca="1" si="198"/>
        <v>0</v>
      </c>
      <c r="BZ84" s="545">
        <f t="shared" ca="1" si="198"/>
        <v>0</v>
      </c>
      <c r="CA84" s="545">
        <f t="shared" ca="1" si="198"/>
        <v>0</v>
      </c>
      <c r="CB84" s="545">
        <f t="shared" ca="1" si="199"/>
        <v>0</v>
      </c>
      <c r="CC84" s="545">
        <f t="shared" ca="1" si="199"/>
        <v>0</v>
      </c>
      <c r="CD84" s="545">
        <f t="shared" ca="1" si="199"/>
        <v>0</v>
      </c>
      <c r="CE84" s="545">
        <f t="shared" ca="1" si="199"/>
        <v>0</v>
      </c>
      <c r="CF84" s="545">
        <f t="shared" ca="1" si="199"/>
        <v>0</v>
      </c>
      <c r="CG84" s="545">
        <f t="shared" ca="1" si="199"/>
        <v>0</v>
      </c>
      <c r="CH84" s="545">
        <f t="shared" ca="1" si="199"/>
        <v>0</v>
      </c>
      <c r="CI84" s="545">
        <f t="shared" ca="1" si="199"/>
        <v>0</v>
      </c>
      <c r="CJ84" s="545">
        <f t="shared" ca="1" si="199"/>
        <v>0</v>
      </c>
      <c r="CK84" s="545">
        <f t="shared" ca="1" si="199"/>
        <v>0</v>
      </c>
      <c r="CL84" s="545">
        <f t="shared" ca="1" si="200"/>
        <v>0</v>
      </c>
      <c r="CM84" s="545">
        <f t="shared" ca="1" si="200"/>
        <v>0</v>
      </c>
      <c r="CN84" s="545">
        <f t="shared" ca="1" si="200"/>
        <v>0</v>
      </c>
      <c r="CO84" s="545">
        <f t="shared" ca="1" si="200"/>
        <v>0</v>
      </c>
      <c r="CP84" s="545">
        <f t="shared" ca="1" si="200"/>
        <v>0</v>
      </c>
      <c r="CQ84" s="545">
        <f t="shared" ca="1" si="200"/>
        <v>0</v>
      </c>
      <c r="CR84" s="545">
        <f t="shared" ca="1" si="200"/>
        <v>0</v>
      </c>
      <c r="CS84" s="545">
        <f t="shared" ca="1" si="200"/>
        <v>0</v>
      </c>
      <c r="CT84" s="545">
        <f t="shared" ca="1" si="200"/>
        <v>0</v>
      </c>
      <c r="CU84" s="545">
        <f t="shared" ca="1" si="200"/>
        <v>0</v>
      </c>
      <c r="CW84" s="151">
        <f t="shared" ca="1" si="177"/>
        <v>0</v>
      </c>
    </row>
    <row r="85" spans="2:101" s="84" customFormat="1" ht="15.75" x14ac:dyDescent="0.2">
      <c r="B85" s="89" t="s">
        <v>322</v>
      </c>
      <c r="C85" s="56" t="s">
        <v>438</v>
      </c>
      <c r="D85" s="57" t="str">
        <f>INDEX(Workstreams[Workstream], MATCH($C85, Workstreams[Code], 0))</f>
        <v>Transfers</v>
      </c>
      <c r="E85" s="51"/>
      <c r="G85" s="300">
        <f ca="1">SUM(G83:G84)</f>
        <v>0</v>
      </c>
      <c r="H85" s="300">
        <f t="shared" ref="H85:O85" ca="1" si="201">SUM(H83:H84)</f>
        <v>0</v>
      </c>
      <c r="I85" s="300">
        <f t="shared" ca="1" si="201"/>
        <v>0</v>
      </c>
      <c r="J85" s="300">
        <f t="shared" ca="1" si="201"/>
        <v>0</v>
      </c>
      <c r="K85" s="300">
        <f t="shared" ca="1" si="201"/>
        <v>0</v>
      </c>
      <c r="L85" s="300">
        <f t="shared" ca="1" si="201"/>
        <v>0</v>
      </c>
      <c r="M85" s="300">
        <f t="shared" ca="1" si="201"/>
        <v>0</v>
      </c>
      <c r="N85" s="300">
        <f t="shared" ca="1" si="201"/>
        <v>0</v>
      </c>
      <c r="O85" s="300">
        <f t="shared" ca="1" si="201"/>
        <v>0</v>
      </c>
      <c r="P85" s="300">
        <f t="shared" ca="1" si="136"/>
        <v>0</v>
      </c>
      <c r="R85" s="257">
        <f t="shared" ref="R85:AE85" ca="1" si="202">SUM(R83:R84)</f>
        <v>0</v>
      </c>
      <c r="S85" s="257">
        <f t="shared" ca="1" si="202"/>
        <v>-81.205144359233202</v>
      </c>
      <c r="T85" s="257">
        <f t="shared" ca="1" si="202"/>
        <v>281.95754953591495</v>
      </c>
      <c r="U85" s="257">
        <f t="shared" ca="1" si="202"/>
        <v>190.7988284261738</v>
      </c>
      <c r="V85" s="257">
        <f t="shared" ca="1" si="202"/>
        <v>94.702306160830517</v>
      </c>
      <c r="W85" s="257">
        <f ca="1">SUM(W83:W84)</f>
        <v>-1.1368683772161603E-13</v>
      </c>
      <c r="X85" s="257">
        <f t="shared" ca="1" si="202"/>
        <v>-39.323336083333345</v>
      </c>
      <c r="Y85" s="257">
        <f t="shared" ca="1" si="202"/>
        <v>-1427.6749096540002</v>
      </c>
      <c r="Z85" s="257">
        <f t="shared" ca="1" si="202"/>
        <v>-892.09733333333338</v>
      </c>
      <c r="AA85" s="257">
        <f t="shared" ca="1" si="202"/>
        <v>0</v>
      </c>
      <c r="AB85" s="257">
        <f t="shared" ca="1" si="202"/>
        <v>0</v>
      </c>
      <c r="AC85" s="257">
        <f ca="1">SUM(AC83:AC84)</f>
        <v>0</v>
      </c>
      <c r="AD85" s="257">
        <f ca="1">SUM(AD83:AD84)</f>
        <v>0</v>
      </c>
      <c r="AE85" s="257">
        <f t="shared" ca="1" si="202"/>
        <v>0</v>
      </c>
      <c r="AF85" s="257">
        <f ca="1">SUM(AF83:AF84)</f>
        <v>0</v>
      </c>
      <c r="AG85" s="257">
        <f ca="1">SUM(AG83:AG84)</f>
        <v>0</v>
      </c>
      <c r="AH85" s="257">
        <f t="shared" ca="1" si="159"/>
        <v>-1872.842039306981</v>
      </c>
      <c r="AJ85" s="263">
        <f t="shared" ref="AJ85:AX85" ca="1" si="203">SUM(AJ83:AJ84)</f>
        <v>0</v>
      </c>
      <c r="AK85" s="263">
        <f t="shared" ca="1" si="203"/>
        <v>0</v>
      </c>
      <c r="AL85" s="263">
        <f t="shared" ca="1" si="203"/>
        <v>0</v>
      </c>
      <c r="AM85" s="263">
        <f t="shared" ca="1" si="203"/>
        <v>0</v>
      </c>
      <c r="AN85" s="263">
        <f t="shared" ca="1" si="203"/>
        <v>81.205144359233202</v>
      </c>
      <c r="AO85" s="263">
        <f t="shared" ca="1" si="203"/>
        <v>0</v>
      </c>
      <c r="AP85" s="263">
        <f t="shared" ca="1" si="203"/>
        <v>-242.6342134525816</v>
      </c>
      <c r="AQ85" s="263">
        <f t="shared" ca="1" si="203"/>
        <v>1236.8760812278265</v>
      </c>
      <c r="AR85" s="263">
        <f t="shared" ca="1" si="203"/>
        <v>796.25859949857295</v>
      </c>
      <c r="AS85" s="263">
        <f t="shared" ca="1" si="203"/>
        <v>0</v>
      </c>
      <c r="AT85" s="263">
        <f t="shared" ca="1" si="203"/>
        <v>0</v>
      </c>
      <c r="AU85" s="263">
        <f t="shared" ca="1" si="203"/>
        <v>0</v>
      </c>
      <c r="AV85" s="263">
        <f t="shared" ca="1" si="203"/>
        <v>0</v>
      </c>
      <c r="AW85" s="263">
        <f t="shared" ca="1" si="203"/>
        <v>0</v>
      </c>
      <c r="AX85" s="263">
        <f t="shared" ca="1" si="203"/>
        <v>0</v>
      </c>
      <c r="AY85" s="263">
        <f t="shared" ca="1" si="147"/>
        <v>1871.7056116330509</v>
      </c>
      <c r="BA85" s="277">
        <f ca="1">SUM(BA83:BA84)</f>
        <v>0</v>
      </c>
      <c r="BB85" s="277">
        <f ca="1">SUM(BB83:BB84)</f>
        <v>1.1364276739299661</v>
      </c>
      <c r="BC85" s="277">
        <f t="shared" ca="1" si="160"/>
        <v>1.1364276739299661</v>
      </c>
      <c r="BE85" s="55">
        <f t="shared" ca="1" si="196"/>
        <v>-6.3282712403633923E-14</v>
      </c>
      <c r="BF85" s="55"/>
      <c r="BG85" s="1428"/>
      <c r="BH85" s="542">
        <f t="shared" ref="BH85:CU85" ca="1" si="204">SUM(BH83:BH84)</f>
        <v>0</v>
      </c>
      <c r="BI85" s="542">
        <f t="shared" ca="1" si="204"/>
        <v>0</v>
      </c>
      <c r="BJ85" s="542">
        <f t="shared" ca="1" si="204"/>
        <v>0</v>
      </c>
      <c r="BK85" s="542">
        <f t="shared" ca="1" si="204"/>
        <v>0</v>
      </c>
      <c r="BL85" s="542">
        <f t="shared" ca="1" si="204"/>
        <v>0</v>
      </c>
      <c r="BM85" s="542">
        <f t="shared" ca="1" si="204"/>
        <v>8.3626172429597077</v>
      </c>
      <c r="BN85" s="542">
        <f t="shared" ca="1" si="204"/>
        <v>0</v>
      </c>
      <c r="BO85" s="542">
        <f t="shared" ca="1" si="204"/>
        <v>0</v>
      </c>
      <c r="BP85" s="542">
        <f t="shared" ca="1" si="204"/>
        <v>0</v>
      </c>
      <c r="BQ85" s="542">
        <f t="shared" ca="1" si="204"/>
        <v>0</v>
      </c>
      <c r="BR85" s="542">
        <f t="shared" ca="1" si="204"/>
        <v>0</v>
      </c>
      <c r="BS85" s="542">
        <f t="shared" ca="1" si="204"/>
        <v>0</v>
      </c>
      <c r="BT85" s="542">
        <f t="shared" ca="1" si="204"/>
        <v>0</v>
      </c>
      <c r="BU85" s="542">
        <f t="shared" ca="1" si="204"/>
        <v>0</v>
      </c>
      <c r="BV85" s="542">
        <f t="shared" ca="1" si="204"/>
        <v>0</v>
      </c>
      <c r="BW85" s="542">
        <f t="shared" ca="1" si="204"/>
        <v>0</v>
      </c>
      <c r="BX85" s="542">
        <f t="shared" ca="1" si="204"/>
        <v>0</v>
      </c>
      <c r="BY85" s="542">
        <f t="shared" ca="1" si="204"/>
        <v>0</v>
      </c>
      <c r="BZ85" s="542">
        <f t="shared" ca="1" si="204"/>
        <v>0</v>
      </c>
      <c r="CA85" s="542">
        <f t="shared" ca="1" si="204"/>
        <v>0</v>
      </c>
      <c r="CB85" s="542">
        <f t="shared" ca="1" si="204"/>
        <v>0</v>
      </c>
      <c r="CC85" s="542">
        <f t="shared" ca="1" si="204"/>
        <v>0</v>
      </c>
      <c r="CD85" s="542">
        <f t="shared" ca="1" si="204"/>
        <v>0</v>
      </c>
      <c r="CE85" s="542">
        <f t="shared" ca="1" si="204"/>
        <v>0</v>
      </c>
      <c r="CF85" s="542">
        <f t="shared" ca="1" si="204"/>
        <v>0</v>
      </c>
      <c r="CG85" s="542">
        <f t="shared" ca="1" si="204"/>
        <v>0</v>
      </c>
      <c r="CH85" s="542">
        <f t="shared" ca="1" si="204"/>
        <v>0</v>
      </c>
      <c r="CI85" s="542">
        <f t="shared" ca="1" si="204"/>
        <v>0</v>
      </c>
      <c r="CJ85" s="542">
        <f t="shared" ca="1" si="204"/>
        <v>0</v>
      </c>
      <c r="CK85" s="542">
        <f t="shared" ca="1" si="204"/>
        <v>0</v>
      </c>
      <c r="CL85" s="542">
        <f t="shared" ca="1" si="204"/>
        <v>0</v>
      </c>
      <c r="CM85" s="542">
        <f t="shared" ca="1" si="204"/>
        <v>0</v>
      </c>
      <c r="CN85" s="542">
        <f t="shared" ca="1" si="204"/>
        <v>0</v>
      </c>
      <c r="CO85" s="542">
        <f t="shared" ca="1" si="204"/>
        <v>0</v>
      </c>
      <c r="CP85" s="542">
        <f t="shared" ca="1" si="204"/>
        <v>0</v>
      </c>
      <c r="CQ85" s="542">
        <f t="shared" ca="1" si="204"/>
        <v>0</v>
      </c>
      <c r="CR85" s="542">
        <f t="shared" ca="1" si="204"/>
        <v>0</v>
      </c>
      <c r="CS85" s="542">
        <f t="shared" ca="1" si="204"/>
        <v>0</v>
      </c>
      <c r="CT85" s="542">
        <f t="shared" ca="1" si="204"/>
        <v>0</v>
      </c>
      <c r="CU85" s="542">
        <f t="shared" ca="1" si="204"/>
        <v>0</v>
      </c>
      <c r="CW85" s="151">
        <f t="shared" ca="1" si="177"/>
        <v>8.3626172429597077</v>
      </c>
    </row>
    <row r="86" spans="2:101" s="84" customFormat="1" ht="6" customHeight="1" x14ac:dyDescent="0.2">
      <c r="C86" s="50"/>
      <c r="D86" s="51"/>
      <c r="E86" s="51"/>
      <c r="G86" s="245"/>
      <c r="H86" s="245"/>
      <c r="I86" s="245"/>
      <c r="J86" s="245"/>
      <c r="K86" s="245"/>
      <c r="L86" s="247"/>
      <c r="M86" s="245"/>
      <c r="N86" s="245"/>
      <c r="O86" s="245"/>
      <c r="P86" s="245">
        <f t="shared" si="136"/>
        <v>0</v>
      </c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>
        <f t="shared" si="159"/>
        <v>0</v>
      </c>
      <c r="AJ86" s="263"/>
      <c r="AK86" s="263"/>
      <c r="AL86" s="263"/>
      <c r="AM86" s="263"/>
      <c r="AN86" s="263"/>
      <c r="AO86" s="263"/>
      <c r="AP86" s="263"/>
      <c r="AQ86" s="263"/>
      <c r="AR86" s="263"/>
      <c r="AS86" s="263"/>
      <c r="AT86" s="263"/>
      <c r="AU86" s="263"/>
      <c r="AV86" s="263"/>
      <c r="AW86" s="263"/>
      <c r="AX86" s="263"/>
      <c r="AY86" s="263">
        <f t="shared" si="147"/>
        <v>0</v>
      </c>
      <c r="BA86" s="277"/>
      <c r="BB86" s="277"/>
      <c r="BC86" s="277">
        <f t="shared" si="160"/>
        <v>0</v>
      </c>
      <c r="BE86" s="55">
        <f t="shared" si="196"/>
        <v>0</v>
      </c>
      <c r="BF86" s="55"/>
      <c r="BH86" s="542"/>
      <c r="BI86" s="542"/>
      <c r="BJ86" s="542"/>
      <c r="BK86" s="542"/>
      <c r="BL86" s="542"/>
      <c r="BM86" s="542"/>
      <c r="BN86" s="542"/>
      <c r="BO86" s="542"/>
      <c r="BP86" s="542"/>
      <c r="BQ86" s="542"/>
      <c r="BR86" s="542"/>
      <c r="BS86" s="542"/>
      <c r="BT86" s="542"/>
      <c r="BU86" s="542"/>
      <c r="BV86" s="542"/>
      <c r="BW86" s="542"/>
      <c r="BX86" s="542"/>
      <c r="BY86" s="542"/>
      <c r="BZ86" s="542"/>
      <c r="CA86" s="542"/>
      <c r="CB86" s="542"/>
      <c r="CC86" s="542"/>
      <c r="CD86" s="542"/>
      <c r="CE86" s="542"/>
      <c r="CF86" s="542"/>
      <c r="CG86" s="542"/>
      <c r="CH86" s="542"/>
      <c r="CI86" s="542"/>
      <c r="CJ86" s="542"/>
      <c r="CK86" s="542"/>
      <c r="CL86" s="542"/>
      <c r="CM86" s="542"/>
      <c r="CN86" s="542"/>
      <c r="CO86" s="542"/>
      <c r="CP86" s="542"/>
      <c r="CQ86" s="542"/>
      <c r="CR86" s="542"/>
      <c r="CS86" s="542"/>
      <c r="CT86" s="542"/>
      <c r="CU86" s="542"/>
      <c r="CW86" s="151"/>
    </row>
    <row r="87" spans="2:101" s="84" customFormat="1" ht="15.75" x14ac:dyDescent="0.2">
      <c r="B87" s="89"/>
      <c r="C87" s="923" t="s">
        <v>885</v>
      </c>
      <c r="D87" s="69" t="s">
        <v>442</v>
      </c>
      <c r="E87" s="70"/>
      <c r="G87" s="338">
        <f ca="1">G$74+G$80+G$85</f>
        <v>0</v>
      </c>
      <c r="H87" s="338">
        <f ca="1">H$74+H$80+H$85</f>
        <v>0</v>
      </c>
      <c r="I87" s="338">
        <f ca="1">I$74+I$80+I$85</f>
        <v>0</v>
      </c>
      <c r="J87" s="338">
        <f t="shared" ref="J87:O87" ca="1" si="205">J$74+J$80+J$85</f>
        <v>0</v>
      </c>
      <c r="K87" s="338">
        <f t="shared" ca="1" si="205"/>
        <v>0</v>
      </c>
      <c r="L87" s="339">
        <f t="shared" ca="1" si="205"/>
        <v>0</v>
      </c>
      <c r="M87" s="338">
        <f t="shared" ca="1" si="205"/>
        <v>0</v>
      </c>
      <c r="N87" s="338">
        <f t="shared" ca="1" si="205"/>
        <v>0</v>
      </c>
      <c r="O87" s="338">
        <f t="shared" ca="1" si="205"/>
        <v>0</v>
      </c>
      <c r="P87" s="338">
        <f t="shared" ca="1" si="136"/>
        <v>0</v>
      </c>
      <c r="R87" s="294">
        <f t="shared" ref="R87:AG87" ca="1" si="206">R$74+R$80+R$85</f>
        <v>0</v>
      </c>
      <c r="S87" s="294">
        <f t="shared" ca="1" si="206"/>
        <v>-137.74092506820534</v>
      </c>
      <c r="T87" s="294">
        <f t="shared" ca="1" si="206"/>
        <v>281.95754953591495</v>
      </c>
      <c r="U87" s="294">
        <f t="shared" ca="1" si="206"/>
        <v>195.55535526588415</v>
      </c>
      <c r="V87" s="294">
        <f t="shared" ca="1" si="206"/>
        <v>767.69800998239816</v>
      </c>
      <c r="W87" s="294">
        <f t="shared" ca="1" si="206"/>
        <v>139.84015467028291</v>
      </c>
      <c r="X87" s="294">
        <f t="shared" ca="1" si="206"/>
        <v>-39.323336083333345</v>
      </c>
      <c r="Y87" s="294">
        <f t="shared" ca="1" si="206"/>
        <v>-1427.6749096540002</v>
      </c>
      <c r="Z87" s="294">
        <f t="shared" ca="1" si="206"/>
        <v>-892.09733333333338</v>
      </c>
      <c r="AA87" s="294">
        <f t="shared" ca="1" si="206"/>
        <v>0</v>
      </c>
      <c r="AB87" s="294">
        <f t="shared" ca="1" si="206"/>
        <v>0</v>
      </c>
      <c r="AC87" s="294">
        <f t="shared" ca="1" si="206"/>
        <v>-2239.0775124593119</v>
      </c>
      <c r="AD87" s="294">
        <f t="shared" ca="1" si="206"/>
        <v>-18.815375157082052</v>
      </c>
      <c r="AE87" s="294">
        <f t="shared" ca="1" si="206"/>
        <v>-257.75408732010584</v>
      </c>
      <c r="AF87" s="294">
        <f t="shared" ca="1" si="206"/>
        <v>-75.067689113939565</v>
      </c>
      <c r="AG87" s="294">
        <f t="shared" ca="1" si="206"/>
        <v>-7.3179329830517172</v>
      </c>
      <c r="AH87" s="294">
        <f t="shared" ca="1" si="159"/>
        <v>-3709.818031717884</v>
      </c>
      <c r="AJ87" s="295">
        <f t="shared" ref="AJ87:AX87" ca="1" si="207">AJ$74+AJ$80+AJ$85</f>
        <v>0</v>
      </c>
      <c r="AK87" s="295">
        <f t="shared" ca="1" si="207"/>
        <v>0</v>
      </c>
      <c r="AL87" s="295">
        <f t="shared" ca="1" si="207"/>
        <v>0</v>
      </c>
      <c r="AM87" s="295">
        <f t="shared" ca="1" si="207"/>
        <v>1447.82190569574</v>
      </c>
      <c r="AN87" s="295">
        <f t="shared" ca="1" si="207"/>
        <v>69.115744359233204</v>
      </c>
      <c r="AO87" s="295">
        <f t="shared" ca="1" si="207"/>
        <v>0</v>
      </c>
      <c r="AP87" s="295">
        <f t="shared" ca="1" si="207"/>
        <v>-242.6342134525816</v>
      </c>
      <c r="AQ87" s="295">
        <f t="shared" ca="1" si="207"/>
        <v>1236.8760812278265</v>
      </c>
      <c r="AR87" s="295">
        <f t="shared" ca="1" si="207"/>
        <v>796.25859949857295</v>
      </c>
      <c r="AS87" s="295">
        <f t="shared" ca="1" si="207"/>
        <v>0</v>
      </c>
      <c r="AT87" s="295">
        <f t="shared" ca="1" si="207"/>
        <v>0</v>
      </c>
      <c r="AU87" s="295">
        <f t="shared" ca="1" si="207"/>
        <v>0</v>
      </c>
      <c r="AV87" s="295">
        <f t="shared" ca="1" si="207"/>
        <v>0</v>
      </c>
      <c r="AW87" s="295">
        <f t="shared" ca="1" si="207"/>
        <v>0</v>
      </c>
      <c r="AX87" s="295">
        <f t="shared" ca="1" si="207"/>
        <v>0</v>
      </c>
      <c r="AY87" s="295">
        <f t="shared" ca="1" si="147"/>
        <v>3307.4381173287911</v>
      </c>
      <c r="BA87" s="296">
        <f ca="1">BA$74+BA$80+BA$85</f>
        <v>332.61830600618987</v>
      </c>
      <c r="BB87" s="296">
        <f ca="1">BB$74+BB$80+BB$85</f>
        <v>69.761608382902125</v>
      </c>
      <c r="BC87" s="296">
        <f t="shared" ca="1" si="160"/>
        <v>402.37991438909199</v>
      </c>
      <c r="BE87" s="58">
        <f t="shared" ca="1" si="196"/>
        <v>-8.5265128291212022E-13</v>
      </c>
      <c r="BF87" s="58"/>
      <c r="BH87" s="546">
        <f t="shared" ref="BH87:CT87" ca="1" si="208">BH$74+BH$80+BH$85</f>
        <v>0</v>
      </c>
      <c r="BI87" s="546">
        <f t="shared" ca="1" si="208"/>
        <v>0</v>
      </c>
      <c r="BJ87" s="546">
        <f t="shared" ca="1" si="208"/>
        <v>0</v>
      </c>
      <c r="BK87" s="546">
        <f t="shared" ca="1" si="208"/>
        <v>0</v>
      </c>
      <c r="BL87" s="546">
        <f t="shared" ca="1" si="208"/>
        <v>0</v>
      </c>
      <c r="BM87" s="546">
        <f t="shared" ca="1" si="208"/>
        <v>8.3626172429597077</v>
      </c>
      <c r="BN87" s="546">
        <f t="shared" ca="1" si="208"/>
        <v>0</v>
      </c>
      <c r="BO87" s="546">
        <f t="shared" ca="1" si="208"/>
        <v>0</v>
      </c>
      <c r="BP87" s="546">
        <f t="shared" ca="1" si="208"/>
        <v>0</v>
      </c>
      <c r="BQ87" s="546">
        <f t="shared" ca="1" si="208"/>
        <v>0</v>
      </c>
      <c r="BR87" s="546">
        <f t="shared" ca="1" si="208"/>
        <v>0</v>
      </c>
      <c r="BS87" s="546">
        <f t="shared" ca="1" si="208"/>
        <v>0</v>
      </c>
      <c r="BT87" s="546">
        <f t="shared" ca="1" si="208"/>
        <v>0</v>
      </c>
      <c r="BU87" s="546">
        <f t="shared" ca="1" si="208"/>
        <v>0</v>
      </c>
      <c r="BV87" s="546">
        <f t="shared" ca="1" si="208"/>
        <v>0</v>
      </c>
      <c r="BW87" s="546">
        <f t="shared" ca="1" si="208"/>
        <v>0</v>
      </c>
      <c r="BX87" s="546">
        <f t="shared" ca="1" si="208"/>
        <v>0</v>
      </c>
      <c r="BY87" s="546">
        <f t="shared" ca="1" si="208"/>
        <v>0</v>
      </c>
      <c r="BZ87" s="546">
        <f t="shared" ca="1" si="208"/>
        <v>0</v>
      </c>
      <c r="CA87" s="546">
        <f t="shared" ca="1" si="208"/>
        <v>0</v>
      </c>
      <c r="CB87" s="546">
        <f t="shared" ca="1" si="208"/>
        <v>0</v>
      </c>
      <c r="CC87" s="546">
        <f t="shared" ca="1" si="208"/>
        <v>0</v>
      </c>
      <c r="CD87" s="546">
        <f t="shared" ca="1" si="208"/>
        <v>0</v>
      </c>
      <c r="CE87" s="546">
        <f t="shared" ca="1" si="208"/>
        <v>0</v>
      </c>
      <c r="CF87" s="546">
        <f t="shared" ca="1" si="208"/>
        <v>0</v>
      </c>
      <c r="CG87" s="546">
        <f t="shared" ca="1" si="208"/>
        <v>0</v>
      </c>
      <c r="CH87" s="546">
        <f t="shared" ca="1" si="208"/>
        <v>0</v>
      </c>
      <c r="CI87" s="546">
        <f t="shared" ca="1" si="208"/>
        <v>0</v>
      </c>
      <c r="CJ87" s="546">
        <f t="shared" ca="1" si="208"/>
        <v>0</v>
      </c>
      <c r="CK87" s="546">
        <f t="shared" ca="1" si="208"/>
        <v>0</v>
      </c>
      <c r="CL87" s="546">
        <f t="shared" ca="1" si="208"/>
        <v>0</v>
      </c>
      <c r="CM87" s="546">
        <f t="shared" ca="1" si="208"/>
        <v>0</v>
      </c>
      <c r="CN87" s="546">
        <f t="shared" ca="1" si="208"/>
        <v>-125.020341213096</v>
      </c>
      <c r="CO87" s="546">
        <f t="shared" ca="1" si="208"/>
        <v>0</v>
      </c>
      <c r="CP87" s="546">
        <f t="shared" ca="1" si="208"/>
        <v>0</v>
      </c>
      <c r="CQ87" s="546">
        <f t="shared" ca="1" si="208"/>
        <v>0</v>
      </c>
      <c r="CR87" s="546">
        <f t="shared" ca="1" si="208"/>
        <v>0</v>
      </c>
      <c r="CS87" s="546">
        <f t="shared" ca="1" si="208"/>
        <v>0</v>
      </c>
      <c r="CT87" s="546">
        <f t="shared" ca="1" si="208"/>
        <v>0</v>
      </c>
      <c r="CU87" s="546">
        <f ca="1">CU$74+CU$85</f>
        <v>0</v>
      </c>
      <c r="CW87" s="148">
        <f ca="1">SUM(BH87:CU87)</f>
        <v>-116.65772397013629</v>
      </c>
    </row>
    <row r="88" spans="2:101" s="84" customFormat="1" x14ac:dyDescent="0.2">
      <c r="C88" s="50"/>
      <c r="D88" s="51"/>
      <c r="E88" s="51"/>
      <c r="G88" s="245"/>
      <c r="H88" s="245"/>
      <c r="I88" s="245"/>
      <c r="J88" s="245"/>
      <c r="K88" s="245"/>
      <c r="L88" s="247"/>
      <c r="M88" s="245"/>
      <c r="N88" s="245"/>
      <c r="O88" s="245"/>
      <c r="P88" s="245">
        <f t="shared" si="136"/>
        <v>0</v>
      </c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>
        <f t="shared" si="159"/>
        <v>0</v>
      </c>
      <c r="AJ88" s="263"/>
      <c r="AK88" s="263"/>
      <c r="AL88" s="263"/>
      <c r="AM88" s="263"/>
      <c r="AN88" s="263"/>
      <c r="AO88" s="263"/>
      <c r="AP88" s="263"/>
      <c r="AQ88" s="263"/>
      <c r="AR88" s="263"/>
      <c r="AS88" s="263"/>
      <c r="AT88" s="263"/>
      <c r="AU88" s="263"/>
      <c r="AV88" s="263"/>
      <c r="AW88" s="263"/>
      <c r="AX88" s="263"/>
      <c r="AY88" s="263">
        <f t="shared" si="147"/>
        <v>0</v>
      </c>
      <c r="BA88" s="277"/>
      <c r="BB88" s="277"/>
      <c r="BC88" s="277">
        <f t="shared" si="160"/>
        <v>0</v>
      </c>
      <c r="BE88" s="55">
        <f t="shared" si="196"/>
        <v>0</v>
      </c>
      <c r="BF88" s="55"/>
      <c r="BH88" s="542"/>
      <c r="BI88" s="542"/>
      <c r="BJ88" s="542"/>
      <c r="BK88" s="542"/>
      <c r="BL88" s="542"/>
      <c r="BM88" s="542"/>
      <c r="BN88" s="542"/>
      <c r="BO88" s="542"/>
      <c r="BP88" s="542"/>
      <c r="BQ88" s="542"/>
      <c r="BR88" s="542"/>
      <c r="BS88" s="542"/>
      <c r="BT88" s="542"/>
      <c r="BU88" s="542"/>
      <c r="BV88" s="542"/>
      <c r="BW88" s="542"/>
      <c r="BX88" s="542"/>
      <c r="BY88" s="542"/>
      <c r="BZ88" s="542"/>
      <c r="CA88" s="542"/>
      <c r="CB88" s="542"/>
      <c r="CC88" s="542"/>
      <c r="CD88" s="542"/>
      <c r="CE88" s="542"/>
      <c r="CF88" s="542"/>
      <c r="CG88" s="542"/>
      <c r="CH88" s="542"/>
      <c r="CI88" s="542"/>
      <c r="CJ88" s="542"/>
      <c r="CK88" s="542"/>
      <c r="CL88" s="542"/>
      <c r="CM88" s="542"/>
      <c r="CN88" s="542"/>
      <c r="CO88" s="542"/>
      <c r="CP88" s="542"/>
      <c r="CQ88" s="542"/>
      <c r="CR88" s="542"/>
      <c r="CS88" s="542"/>
      <c r="CT88" s="542"/>
      <c r="CU88" s="542"/>
      <c r="CW88" s="151"/>
    </row>
    <row r="89" spans="2:101" s="84" customFormat="1" ht="13.5" thickBot="1" x14ac:dyDescent="0.25">
      <c r="C89" s="50"/>
      <c r="D89" s="51"/>
      <c r="E89" s="51"/>
      <c r="G89" s="245"/>
      <c r="H89" s="245"/>
      <c r="I89" s="245"/>
      <c r="J89" s="245"/>
      <c r="K89" s="245"/>
      <c r="L89" s="247"/>
      <c r="M89" s="245"/>
      <c r="N89" s="245"/>
      <c r="O89" s="245"/>
      <c r="P89" s="245">
        <f t="shared" si="136"/>
        <v>0</v>
      </c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>
        <f t="shared" si="159"/>
        <v>0</v>
      </c>
      <c r="AJ89" s="263"/>
      <c r="AK89" s="263"/>
      <c r="AL89" s="263"/>
      <c r="AM89" s="263"/>
      <c r="AN89" s="263"/>
      <c r="AO89" s="263"/>
      <c r="AP89" s="263"/>
      <c r="AQ89" s="263"/>
      <c r="AR89" s="263"/>
      <c r="AS89" s="263"/>
      <c r="AT89" s="263"/>
      <c r="AU89" s="263"/>
      <c r="AV89" s="263"/>
      <c r="AW89" s="263"/>
      <c r="AX89" s="263"/>
      <c r="AY89" s="263">
        <f t="shared" si="147"/>
        <v>0</v>
      </c>
      <c r="BA89" s="277"/>
      <c r="BB89" s="277"/>
      <c r="BC89" s="277">
        <f t="shared" si="160"/>
        <v>0</v>
      </c>
      <c r="BE89" s="55">
        <f t="shared" si="196"/>
        <v>0</v>
      </c>
      <c r="BF89" s="55"/>
      <c r="BH89" s="542"/>
      <c r="BI89" s="542"/>
      <c r="BJ89" s="542"/>
      <c r="BK89" s="542"/>
      <c r="BL89" s="542"/>
      <c r="BM89" s="542"/>
      <c r="BN89" s="542"/>
      <c r="BO89" s="542"/>
      <c r="BP89" s="542"/>
      <c r="BQ89" s="542"/>
      <c r="BR89" s="542"/>
      <c r="BS89" s="542"/>
      <c r="BT89" s="542"/>
      <c r="BU89" s="542"/>
      <c r="BV89" s="542"/>
      <c r="BW89" s="542"/>
      <c r="BX89" s="542"/>
      <c r="BY89" s="542"/>
      <c r="BZ89" s="542"/>
      <c r="CA89" s="542"/>
      <c r="CB89" s="542"/>
      <c r="CC89" s="542"/>
      <c r="CD89" s="542"/>
      <c r="CE89" s="542"/>
      <c r="CF89" s="542"/>
      <c r="CG89" s="542"/>
      <c r="CH89" s="542"/>
      <c r="CI89" s="542"/>
      <c r="CJ89" s="542"/>
      <c r="CK89" s="542"/>
      <c r="CL89" s="542"/>
      <c r="CM89" s="542"/>
      <c r="CN89" s="542"/>
      <c r="CO89" s="542"/>
      <c r="CP89" s="542"/>
      <c r="CQ89" s="542"/>
      <c r="CR89" s="542"/>
      <c r="CS89" s="542"/>
      <c r="CT89" s="542"/>
      <c r="CU89" s="542"/>
      <c r="CW89" s="151"/>
    </row>
    <row r="90" spans="2:101" s="84" customFormat="1" ht="24" customHeight="1" thickBot="1" x14ac:dyDescent="0.25">
      <c r="C90" s="67" t="s">
        <v>189</v>
      </c>
      <c r="D90" s="67"/>
      <c r="E90" s="67"/>
      <c r="G90" s="357">
        <f ca="1">G$28+G$66+G$87</f>
        <v>89.131279635070655</v>
      </c>
      <c r="H90" s="357">
        <f ca="1">H$28+H$66+H$87</f>
        <v>224.74473101896561</v>
      </c>
      <c r="I90" s="357">
        <f ca="1">I$28+I$66+I$87</f>
        <v>253.21809995124116</v>
      </c>
      <c r="J90" s="357">
        <f t="shared" ref="J90:O90" ca="1" si="209">J$28+J$66+J$87</f>
        <v>328.36034930214595</v>
      </c>
      <c r="K90" s="357">
        <f t="shared" ca="1" si="209"/>
        <v>87.702870215268888</v>
      </c>
      <c r="L90" s="357">
        <f t="shared" ca="1" si="209"/>
        <v>59.254113213404999</v>
      </c>
      <c r="M90" s="357">
        <f t="shared" ca="1" si="209"/>
        <v>0</v>
      </c>
      <c r="N90" s="357">
        <f t="shared" ca="1" si="209"/>
        <v>4.8236579205112732E-13</v>
      </c>
      <c r="O90" s="357">
        <f t="shared" ca="1" si="209"/>
        <v>5.747145860565908</v>
      </c>
      <c r="P90" s="357">
        <f t="shared" ref="P90" ca="1" si="210">SUM(G90:O90)</f>
        <v>1048.1585891966636</v>
      </c>
      <c r="R90" s="358">
        <f t="shared" ref="R90:AG90" ca="1" si="211">R$28+R$66+R$87</f>
        <v>-388.87602401750883</v>
      </c>
      <c r="S90" s="358">
        <f t="shared" ca="1" si="211"/>
        <v>388.87602401750883</v>
      </c>
      <c r="T90" s="358">
        <f t="shared" ca="1" si="211"/>
        <v>0</v>
      </c>
      <c r="U90" s="358">
        <f t="shared" ca="1" si="211"/>
        <v>0</v>
      </c>
      <c r="V90" s="358">
        <f t="shared" ca="1" si="211"/>
        <v>0</v>
      </c>
      <c r="W90" s="358">
        <f t="shared" ca="1" si="211"/>
        <v>0</v>
      </c>
      <c r="X90" s="358">
        <f t="shared" ca="1" si="211"/>
        <v>0</v>
      </c>
      <c r="Y90" s="358">
        <f t="shared" ca="1" si="211"/>
        <v>0</v>
      </c>
      <c r="Z90" s="358">
        <f t="shared" ca="1" si="211"/>
        <v>0</v>
      </c>
      <c r="AA90" s="358">
        <f t="shared" ca="1" si="211"/>
        <v>0</v>
      </c>
      <c r="AB90" s="358">
        <f t="shared" ca="1" si="211"/>
        <v>0</v>
      </c>
      <c r="AC90" s="358">
        <f t="shared" ca="1" si="211"/>
        <v>0</v>
      </c>
      <c r="AD90" s="358">
        <f t="shared" ca="1" si="211"/>
        <v>0</v>
      </c>
      <c r="AE90" s="358">
        <f t="shared" ca="1" si="211"/>
        <v>0</v>
      </c>
      <c r="AF90" s="358">
        <f t="shared" ca="1" si="211"/>
        <v>0</v>
      </c>
      <c r="AG90" s="358">
        <f t="shared" ca="1" si="211"/>
        <v>0</v>
      </c>
      <c r="AH90" s="358">
        <f t="shared" ca="1" si="159"/>
        <v>0</v>
      </c>
      <c r="AJ90" s="359">
        <f t="shared" ref="AJ90:AX90" ca="1" si="212">AJ$28+AJ$66+AJ$87</f>
        <v>-34</v>
      </c>
      <c r="AK90" s="359">
        <f t="shared" ca="1" si="212"/>
        <v>-1427.6749096540002</v>
      </c>
      <c r="AL90" s="359">
        <f t="shared" ca="1" si="212"/>
        <v>-892.09733333333338</v>
      </c>
      <c r="AM90" s="359">
        <f t="shared" ca="1" si="212"/>
        <v>1447.82190569574</v>
      </c>
      <c r="AN90" s="359">
        <f t="shared" ca="1" si="212"/>
        <v>69.115744359233204</v>
      </c>
      <c r="AO90" s="359">
        <f t="shared" ca="1" si="212"/>
        <v>0</v>
      </c>
      <c r="AP90" s="359">
        <f t="shared" ca="1" si="212"/>
        <v>-242.6342134525816</v>
      </c>
      <c r="AQ90" s="359">
        <f t="shared" ca="1" si="212"/>
        <v>1236.8760812278265</v>
      </c>
      <c r="AR90" s="359">
        <f t="shared" ca="1" si="212"/>
        <v>796.25859949857295</v>
      </c>
      <c r="AS90" s="359">
        <f t="shared" ca="1" si="212"/>
        <v>-40.713200000000001</v>
      </c>
      <c r="AT90" s="359">
        <f t="shared" ca="1" si="212"/>
        <v>-154.12907159999997</v>
      </c>
      <c r="AU90" s="359">
        <f t="shared" ca="1" si="212"/>
        <v>-11.045159999999999</v>
      </c>
      <c r="AV90" s="359">
        <f t="shared" ca="1" si="212"/>
        <v>-37.81952948571427</v>
      </c>
      <c r="AW90" s="359">
        <f t="shared" ca="1" si="212"/>
        <v>-2257.8928876163941</v>
      </c>
      <c r="AX90" s="359">
        <f t="shared" ca="1" si="212"/>
        <v>-345.4630455004305</v>
      </c>
      <c r="AY90" s="359">
        <f t="shared" ca="1" si="147"/>
        <v>-1893.3970198610816</v>
      </c>
      <c r="BA90" s="360">
        <f ca="1">BA$28+BA$66+BA$87</f>
        <v>754.99488751145304</v>
      </c>
      <c r="BB90" s="360">
        <f ca="1">BB$28+BB$66+BB$87</f>
        <v>90.243543152964321</v>
      </c>
      <c r="BC90" s="360">
        <f t="shared" ca="1" si="160"/>
        <v>845.23843066441736</v>
      </c>
      <c r="BE90" s="54">
        <f t="shared" ca="1" si="196"/>
        <v>0</v>
      </c>
      <c r="BF90" s="54"/>
      <c r="BH90" s="552">
        <f t="shared" ref="BH90:CU90" ca="1" si="213">BH$28+BH$66+BH$87</f>
        <v>275.72449997560875</v>
      </c>
      <c r="BI90" s="552">
        <f ca="1">BI$28+BI$66+BI$87</f>
        <v>20.455401341422903</v>
      </c>
      <c r="BJ90" s="552">
        <f t="shared" ca="1" si="213"/>
        <v>21.638739878265188</v>
      </c>
      <c r="BK90" s="552">
        <f t="shared" ca="1" si="213"/>
        <v>0</v>
      </c>
      <c r="BL90" s="552">
        <f t="shared" ca="1" si="213"/>
        <v>6.5172857142857152</v>
      </c>
      <c r="BM90" s="552">
        <f t="shared" ca="1" si="213"/>
        <v>8.4088896065397787</v>
      </c>
      <c r="BN90" s="552">
        <f t="shared" ca="1" si="213"/>
        <v>0</v>
      </c>
      <c r="BO90" s="552">
        <f t="shared" ca="1" si="213"/>
        <v>0</v>
      </c>
      <c r="BP90" s="552">
        <f t="shared" ca="1" si="213"/>
        <v>14.773066146298628</v>
      </c>
      <c r="BQ90" s="552">
        <f t="shared" ca="1" si="213"/>
        <v>0.13108279035873913</v>
      </c>
      <c r="BR90" s="552">
        <f t="shared" ca="1" si="213"/>
        <v>3.4000294759352552</v>
      </c>
      <c r="BS90" s="552">
        <f t="shared" ca="1" si="213"/>
        <v>9.2384290877998048</v>
      </c>
      <c r="BT90" s="552">
        <f t="shared" ca="1" si="213"/>
        <v>0</v>
      </c>
      <c r="BU90" s="552">
        <f t="shared" ca="1" si="213"/>
        <v>0</v>
      </c>
      <c r="BV90" s="552">
        <f t="shared" ca="1" si="213"/>
        <v>0</v>
      </c>
      <c r="BW90" s="552">
        <f t="shared" ca="1" si="213"/>
        <v>0</v>
      </c>
      <c r="BX90" s="552">
        <f t="shared" ca="1" si="213"/>
        <v>0</v>
      </c>
      <c r="BY90" s="552">
        <f t="shared" ca="1" si="213"/>
        <v>0</v>
      </c>
      <c r="BZ90" s="552">
        <f t="shared" ca="1" si="213"/>
        <v>21.687166670019057</v>
      </c>
      <c r="CA90" s="552">
        <f t="shared" ca="1" si="213"/>
        <v>0</v>
      </c>
      <c r="CB90" s="552">
        <f t="shared" ca="1" si="213"/>
        <v>7.9318683936333301</v>
      </c>
      <c r="CC90" s="552">
        <f t="shared" ca="1" si="213"/>
        <v>0</v>
      </c>
      <c r="CD90" s="552">
        <f t="shared" ca="1" si="213"/>
        <v>0</v>
      </c>
      <c r="CE90" s="552">
        <f t="shared" ca="1" si="213"/>
        <v>0</v>
      </c>
      <c r="CF90" s="552">
        <f t="shared" ca="1" si="213"/>
        <v>0</v>
      </c>
      <c r="CG90" s="552">
        <f t="shared" ca="1" si="213"/>
        <v>4.5058333835286835</v>
      </c>
      <c r="CH90" s="552">
        <f t="shared" ca="1" si="213"/>
        <v>0</v>
      </c>
      <c r="CI90" s="552">
        <f t="shared" ca="1" si="213"/>
        <v>0</v>
      </c>
      <c r="CJ90" s="552">
        <f t="shared" ca="1" si="213"/>
        <v>0</v>
      </c>
      <c r="CK90" s="552">
        <f t="shared" ca="1" si="213"/>
        <v>0</v>
      </c>
      <c r="CL90" s="552">
        <f t="shared" ca="1" si="213"/>
        <v>0</v>
      </c>
      <c r="CM90" s="552">
        <f t="shared" ca="1" si="213"/>
        <v>0</v>
      </c>
      <c r="CN90" s="552">
        <f t="shared" ca="1" si="213"/>
        <v>-125.020341213096</v>
      </c>
      <c r="CO90" s="552">
        <f t="shared" ca="1" si="213"/>
        <v>0</v>
      </c>
      <c r="CP90" s="552">
        <f t="shared" ca="1" si="213"/>
        <v>0</v>
      </c>
      <c r="CQ90" s="552">
        <f t="shared" ca="1" si="213"/>
        <v>0</v>
      </c>
      <c r="CR90" s="552">
        <f t="shared" ca="1" si="213"/>
        <v>0</v>
      </c>
      <c r="CS90" s="552">
        <f t="shared" ca="1" si="213"/>
        <v>0</v>
      </c>
      <c r="CT90" s="552">
        <f t="shared" ca="1" si="213"/>
        <v>0</v>
      </c>
      <c r="CU90" s="552">
        <f t="shared" ca="1" si="213"/>
        <v>0</v>
      </c>
      <c r="CW90" s="148">
        <f ca="1">SUM(BH90:CU90)</f>
        <v>269.39195125059985</v>
      </c>
    </row>
    <row r="91" spans="2:101" s="84" customFormat="1" x14ac:dyDescent="0.2">
      <c r="C91" s="50"/>
      <c r="D91" s="51"/>
      <c r="E91" s="51"/>
      <c r="G91" s="282"/>
      <c r="H91" s="282"/>
      <c r="I91" s="282"/>
      <c r="J91" s="282"/>
      <c r="K91" s="282"/>
      <c r="L91" s="283"/>
      <c r="M91" s="282"/>
      <c r="N91" s="282"/>
      <c r="O91" s="282"/>
      <c r="P91" s="282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BA91" s="289"/>
      <c r="BB91" s="289"/>
      <c r="BC91" s="289"/>
      <c r="BE91" s="55"/>
      <c r="BF91" s="55"/>
      <c r="BH91" s="553"/>
      <c r="BI91" s="553"/>
      <c r="BJ91" s="553"/>
      <c r="BK91" s="553"/>
      <c r="BL91" s="553"/>
      <c r="BM91" s="553"/>
      <c r="BN91" s="553"/>
      <c r="BO91" s="553"/>
      <c r="BP91" s="553"/>
      <c r="BQ91" s="553"/>
      <c r="BR91" s="553"/>
      <c r="BS91" s="553"/>
      <c r="BT91" s="553"/>
      <c r="BU91" s="553"/>
      <c r="BV91" s="553"/>
      <c r="BW91" s="553"/>
      <c r="BX91" s="553"/>
      <c r="BY91" s="553"/>
      <c r="BZ91" s="553"/>
      <c r="CA91" s="553"/>
      <c r="CB91" s="553"/>
      <c r="CC91" s="553"/>
      <c r="CD91" s="553"/>
      <c r="CE91" s="553"/>
      <c r="CF91" s="553"/>
      <c r="CG91" s="553"/>
      <c r="CH91" s="553"/>
      <c r="CI91" s="553"/>
      <c r="CJ91" s="553"/>
      <c r="CK91" s="553"/>
      <c r="CL91" s="553"/>
      <c r="CM91" s="553"/>
      <c r="CN91" s="553"/>
      <c r="CO91" s="553"/>
      <c r="CP91" s="553"/>
      <c r="CQ91" s="553"/>
      <c r="CR91" s="553"/>
      <c r="CS91" s="553"/>
      <c r="CT91" s="553"/>
      <c r="CU91" s="553"/>
    </row>
    <row r="92" spans="2:101" x14ac:dyDescent="0.2">
      <c r="G92" s="55"/>
      <c r="H92" s="55"/>
      <c r="I92" s="55"/>
      <c r="J92" s="55"/>
      <c r="K92" s="55"/>
      <c r="L92" s="59"/>
      <c r="M92" s="55"/>
      <c r="N92" s="55"/>
      <c r="O92" s="55"/>
      <c r="P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BA92" s="55"/>
      <c r="BB92" s="55"/>
      <c r="BC92" s="55"/>
      <c r="BE92" s="55"/>
      <c r="BF92" s="55"/>
    </row>
    <row r="93" spans="2:101" x14ac:dyDescent="0.2">
      <c r="G93" s="55"/>
      <c r="H93" s="55"/>
      <c r="I93" s="55"/>
      <c r="J93" s="55"/>
      <c r="K93" s="55"/>
      <c r="L93" s="59"/>
      <c r="M93" s="55"/>
      <c r="N93" s="55"/>
      <c r="O93" s="55"/>
      <c r="P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BA93" s="55"/>
      <c r="BB93" s="55"/>
      <c r="BC93" s="55"/>
      <c r="BE93" s="55"/>
      <c r="BF93" s="55"/>
      <c r="CU93" s="1426" t="s">
        <v>1183</v>
      </c>
      <c r="CW93" s="2480">
        <f ca="1">SUM(CW47,CW50,CW54,CW64)</f>
        <v>168.81947270417561</v>
      </c>
    </row>
    <row r="94" spans="2:101" x14ac:dyDescent="0.2">
      <c r="B94" s="2479" t="s">
        <v>322</v>
      </c>
      <c r="C94" s="355" t="s">
        <v>443</v>
      </c>
      <c r="G94" s="55"/>
      <c r="H94" s="55"/>
      <c r="I94" s="55"/>
      <c r="J94" s="55"/>
      <c r="K94" s="55"/>
      <c r="L94" s="59"/>
      <c r="M94" s="55"/>
      <c r="N94" s="55"/>
      <c r="O94" s="55"/>
      <c r="P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BA94" s="55"/>
      <c r="BB94" s="55"/>
      <c r="BC94" s="55"/>
      <c r="BE94" s="55"/>
      <c r="BF94" s="55"/>
      <c r="CU94" s="1426" t="s">
        <v>1184</v>
      </c>
      <c r="CW94" s="2480">
        <f ca="1">S90-MIN(S84,0)</f>
        <v>470.08116837674203</v>
      </c>
    </row>
    <row r="95" spans="2:101" ht="15.75" x14ac:dyDescent="0.25">
      <c r="B95" s="3"/>
      <c r="G95" s="55"/>
      <c r="H95" s="55"/>
      <c r="I95" s="55"/>
      <c r="J95" s="55"/>
      <c r="K95" s="55"/>
      <c r="L95" s="59"/>
      <c r="M95" s="55"/>
      <c r="N95" s="55"/>
      <c r="O95" s="55"/>
      <c r="P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BA95" s="55"/>
      <c r="BB95" s="55"/>
      <c r="BC95" s="55"/>
      <c r="BE95" s="55"/>
      <c r="BF95" s="55"/>
      <c r="CU95" s="1426" t="s">
        <v>1185</v>
      </c>
      <c r="CW95" s="2479">
        <f ca="1">CW93/CW94</f>
        <v>0.35912834646649122</v>
      </c>
    </row>
    <row r="96" spans="2:101" x14ac:dyDescent="0.2">
      <c r="G96" s="55"/>
      <c r="H96" s="55"/>
      <c r="I96" s="55"/>
      <c r="J96" s="55"/>
      <c r="K96" s="55"/>
      <c r="L96" s="59"/>
      <c r="M96" s="55"/>
      <c r="N96" s="55"/>
      <c r="O96" s="55"/>
      <c r="P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BA96" s="55"/>
      <c r="BB96" s="55"/>
      <c r="BC96" s="55"/>
      <c r="BE96" s="55"/>
      <c r="BF96" s="55"/>
    </row>
    <row r="97" spans="2:58" ht="15.75" x14ac:dyDescent="0.25">
      <c r="B97" s="3"/>
      <c r="G97" s="55"/>
      <c r="H97" s="55"/>
      <c r="I97" s="55"/>
      <c r="J97" s="55"/>
      <c r="K97" s="55"/>
      <c r="L97" s="59"/>
      <c r="M97" s="55"/>
      <c r="N97" s="55"/>
      <c r="O97" s="55"/>
      <c r="P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BA97" s="55"/>
      <c r="BB97" s="55"/>
      <c r="BC97" s="55"/>
      <c r="BE97" s="55"/>
      <c r="BF97" s="55"/>
    </row>
    <row r="98" spans="2:58" ht="15.75" x14ac:dyDescent="0.25">
      <c r="B98" s="3"/>
      <c r="G98" s="55"/>
      <c r="H98" s="55"/>
      <c r="I98" s="55"/>
      <c r="J98" s="55"/>
      <c r="K98" s="55"/>
      <c r="L98" s="59"/>
      <c r="M98" s="55"/>
      <c r="N98" s="55"/>
      <c r="O98" s="55"/>
      <c r="P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BA98" s="55"/>
      <c r="BB98" s="55"/>
      <c r="BC98" s="55"/>
      <c r="BE98" s="55"/>
      <c r="BF98" s="55"/>
    </row>
    <row r="99" spans="2:58" ht="15.75" x14ac:dyDescent="0.25">
      <c r="B99" s="3"/>
      <c r="G99" s="55"/>
      <c r="H99" s="55"/>
      <c r="I99" s="55"/>
      <c r="J99" s="55"/>
      <c r="K99" s="55"/>
      <c r="L99" s="59"/>
      <c r="M99" s="55"/>
      <c r="N99" s="55"/>
      <c r="O99" s="55"/>
      <c r="P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BA99" s="55"/>
      <c r="BB99" s="55"/>
      <c r="BC99" s="55"/>
      <c r="BE99" s="55"/>
      <c r="BF99" s="55"/>
    </row>
    <row r="100" spans="2:58" ht="15.75" x14ac:dyDescent="0.25">
      <c r="B100" s="3"/>
      <c r="G100" s="55"/>
      <c r="H100" s="55"/>
      <c r="I100" s="55"/>
      <c r="J100" s="55"/>
      <c r="K100" s="55"/>
      <c r="L100" s="59"/>
      <c r="M100" s="55"/>
      <c r="N100" s="55"/>
      <c r="O100" s="55"/>
      <c r="P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BA100" s="55"/>
      <c r="BB100" s="55"/>
      <c r="BC100" s="55"/>
      <c r="BE100" s="55"/>
      <c r="BF100" s="55"/>
    </row>
    <row r="101" spans="2:58" ht="15.75" x14ac:dyDescent="0.25">
      <c r="B101" s="3"/>
      <c r="G101" s="55"/>
      <c r="H101" s="55"/>
      <c r="I101" s="55"/>
      <c r="J101" s="55"/>
      <c r="K101" s="55"/>
      <c r="L101" s="59"/>
      <c r="M101" s="55"/>
      <c r="N101" s="55"/>
      <c r="O101" s="55"/>
      <c r="P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BA101" s="55"/>
      <c r="BB101" s="55"/>
      <c r="BC101" s="55"/>
      <c r="BE101" s="55"/>
      <c r="BF101" s="55"/>
    </row>
    <row r="102" spans="2:58" ht="15.75" x14ac:dyDescent="0.25">
      <c r="B102" s="3"/>
      <c r="G102" s="55"/>
      <c r="H102" s="55"/>
      <c r="I102" s="55"/>
      <c r="J102" s="55"/>
      <c r="K102" s="55"/>
      <c r="L102" s="59"/>
      <c r="M102" s="55"/>
      <c r="N102" s="55"/>
      <c r="O102" s="55"/>
      <c r="P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BA102" s="55"/>
      <c r="BB102" s="55"/>
      <c r="BC102" s="55"/>
      <c r="BE102" s="55"/>
      <c r="BF102" s="55"/>
    </row>
    <row r="103" spans="2:58" ht="24" customHeight="1" x14ac:dyDescent="0.2">
      <c r="G103" s="55"/>
      <c r="H103" s="55"/>
      <c r="I103" s="55"/>
      <c r="J103" s="55"/>
      <c r="K103" s="55"/>
      <c r="L103" s="59"/>
      <c r="M103" s="55"/>
      <c r="N103" s="55"/>
      <c r="O103" s="55"/>
      <c r="P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BA103" s="55"/>
      <c r="BB103" s="55"/>
      <c r="BC103" s="55"/>
      <c r="BE103" s="55"/>
      <c r="BF103" s="55"/>
    </row>
    <row r="104" spans="2:58" x14ac:dyDescent="0.2">
      <c r="G104" s="55"/>
      <c r="H104" s="55"/>
      <c r="I104" s="55"/>
      <c r="J104" s="55"/>
      <c r="K104" s="55"/>
      <c r="L104" s="59"/>
      <c r="M104" s="55"/>
      <c r="N104" s="55"/>
      <c r="O104" s="55"/>
      <c r="P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BA104" s="55"/>
      <c r="BB104" s="55"/>
      <c r="BC104" s="55"/>
      <c r="BE104" s="55"/>
      <c r="BF104" s="55"/>
    </row>
    <row r="105" spans="2:58" x14ac:dyDescent="0.2">
      <c r="G105" s="55"/>
      <c r="H105" s="55"/>
      <c r="I105" s="55"/>
      <c r="J105" s="55"/>
      <c r="K105" s="55"/>
      <c r="L105" s="59"/>
      <c r="M105" s="55"/>
      <c r="N105" s="55"/>
      <c r="O105" s="55"/>
      <c r="P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BA105" s="55"/>
      <c r="BB105" s="55"/>
      <c r="BC105" s="55"/>
      <c r="BE105" s="55"/>
      <c r="BF105" s="55"/>
    </row>
    <row r="106" spans="2:58" x14ac:dyDescent="0.2">
      <c r="C106" s="60"/>
      <c r="D106" s="34"/>
      <c r="G106" s="55"/>
      <c r="H106" s="55"/>
      <c r="I106" s="55"/>
      <c r="J106" s="55"/>
      <c r="K106" s="55"/>
      <c r="L106" s="59"/>
      <c r="M106" s="55"/>
      <c r="N106" s="55"/>
      <c r="O106" s="55"/>
      <c r="P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BA106" s="55"/>
      <c r="BB106" s="55"/>
      <c r="BC106" s="55"/>
      <c r="BE106" s="55"/>
      <c r="BF106" s="55"/>
    </row>
    <row r="107" spans="2:58" x14ac:dyDescent="0.2">
      <c r="G107" s="55"/>
      <c r="H107" s="55"/>
      <c r="I107" s="55"/>
      <c r="J107" s="55"/>
      <c r="K107" s="55"/>
      <c r="L107" s="59"/>
      <c r="M107" s="55"/>
      <c r="N107" s="55"/>
      <c r="O107" s="55"/>
      <c r="P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BA107" s="55"/>
      <c r="BB107" s="55"/>
      <c r="BC107" s="55"/>
      <c r="BE107" s="55"/>
      <c r="BF107" s="55"/>
    </row>
    <row r="108" spans="2:58" x14ac:dyDescent="0.2">
      <c r="G108" s="55"/>
      <c r="H108" s="55"/>
      <c r="I108" s="55"/>
      <c r="J108" s="55"/>
      <c r="K108" s="55"/>
      <c r="L108" s="59"/>
      <c r="M108" s="55"/>
      <c r="N108" s="55"/>
      <c r="O108" s="55"/>
      <c r="P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BA108" s="55"/>
      <c r="BB108" s="55"/>
      <c r="BC108" s="55"/>
      <c r="BE108" s="55"/>
      <c r="BF108" s="55"/>
    </row>
    <row r="109" spans="2:58" x14ac:dyDescent="0.2">
      <c r="G109" s="55"/>
      <c r="H109" s="55"/>
      <c r="I109" s="55"/>
      <c r="J109" s="55"/>
      <c r="K109" s="55"/>
      <c r="L109" s="59"/>
      <c r="M109" s="55"/>
      <c r="N109" s="55"/>
      <c r="O109" s="55"/>
      <c r="P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BA109" s="55"/>
      <c r="BB109" s="55"/>
      <c r="BC109" s="55"/>
      <c r="BE109" s="55"/>
      <c r="BF109" s="55"/>
    </row>
    <row r="110" spans="2:58" x14ac:dyDescent="0.2">
      <c r="G110" s="55"/>
      <c r="H110" s="55"/>
      <c r="I110" s="55"/>
      <c r="J110" s="55"/>
      <c r="K110" s="55"/>
      <c r="L110" s="59"/>
      <c r="M110" s="55"/>
      <c r="N110" s="55"/>
      <c r="O110" s="55"/>
      <c r="P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BA110" s="55"/>
      <c r="BB110" s="55"/>
      <c r="BC110" s="55"/>
      <c r="BE110" s="55"/>
      <c r="BF110" s="55"/>
    </row>
    <row r="111" spans="2:58" x14ac:dyDescent="0.2">
      <c r="G111" s="55"/>
      <c r="H111" s="55"/>
      <c r="I111" s="55"/>
      <c r="J111" s="55"/>
      <c r="K111" s="55"/>
      <c r="L111" s="59"/>
      <c r="M111" s="55"/>
      <c r="N111" s="55"/>
      <c r="O111" s="55"/>
      <c r="P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BA111" s="55"/>
      <c r="BB111" s="55"/>
      <c r="BC111" s="55"/>
      <c r="BE111" s="55"/>
      <c r="BF111" s="55"/>
    </row>
    <row r="112" spans="2:58" x14ac:dyDescent="0.2">
      <c r="G112" s="55"/>
      <c r="H112" s="55"/>
      <c r="I112" s="55"/>
      <c r="J112" s="55"/>
      <c r="K112" s="55"/>
      <c r="L112" s="59"/>
      <c r="M112" s="55"/>
      <c r="N112" s="55"/>
      <c r="O112" s="55"/>
      <c r="P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BA112" s="55"/>
      <c r="BB112" s="55"/>
      <c r="BC112" s="55"/>
      <c r="BE112" s="55"/>
      <c r="BF112" s="55"/>
    </row>
    <row r="113" spans="7:58" s="2479" customFormat="1" x14ac:dyDescent="0.2">
      <c r="G113" s="55"/>
      <c r="H113" s="55"/>
      <c r="I113" s="55"/>
      <c r="J113" s="55"/>
      <c r="K113" s="55"/>
      <c r="L113" s="59"/>
      <c r="M113" s="55"/>
      <c r="N113" s="55"/>
      <c r="O113" s="55"/>
      <c r="P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BA113" s="55"/>
      <c r="BB113" s="55"/>
      <c r="BC113" s="55"/>
      <c r="BE113" s="55"/>
      <c r="BF113" s="55"/>
    </row>
    <row r="114" spans="7:58" s="2479" customFormat="1" x14ac:dyDescent="0.2">
      <c r="G114" s="55"/>
      <c r="H114" s="55"/>
      <c r="I114" s="55"/>
      <c r="J114" s="55"/>
      <c r="K114" s="55"/>
      <c r="L114" s="59"/>
      <c r="M114" s="55"/>
      <c r="N114" s="55"/>
      <c r="O114" s="55"/>
      <c r="P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BA114" s="55"/>
      <c r="BB114" s="55"/>
      <c r="BC114" s="55"/>
      <c r="BE114" s="55"/>
      <c r="BF114" s="55"/>
    </row>
    <row r="115" spans="7:58" s="2479" customFormat="1" x14ac:dyDescent="0.2">
      <c r="G115" s="55"/>
      <c r="H115" s="55"/>
      <c r="I115" s="55"/>
      <c r="J115" s="55"/>
      <c r="K115" s="55"/>
      <c r="L115" s="59"/>
      <c r="M115" s="55"/>
      <c r="N115" s="55"/>
      <c r="O115" s="55"/>
      <c r="P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BA115" s="55"/>
      <c r="BB115" s="55"/>
      <c r="BC115" s="55"/>
      <c r="BE115" s="55"/>
      <c r="BF115" s="55"/>
    </row>
    <row r="116" spans="7:58" s="2479" customFormat="1" x14ac:dyDescent="0.2">
      <c r="G116" s="55"/>
      <c r="H116" s="55"/>
      <c r="I116" s="55"/>
      <c r="J116" s="55"/>
      <c r="K116" s="55"/>
      <c r="L116" s="59"/>
      <c r="M116" s="55"/>
      <c r="N116" s="55"/>
      <c r="O116" s="55"/>
      <c r="P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BA116" s="55"/>
      <c r="BB116" s="55"/>
      <c r="BC116" s="55"/>
      <c r="BE116" s="55"/>
      <c r="BF116" s="55"/>
    </row>
    <row r="117" spans="7:58" s="2479" customFormat="1" x14ac:dyDescent="0.2">
      <c r="G117" s="55"/>
      <c r="H117" s="55"/>
      <c r="I117" s="55"/>
      <c r="J117" s="55"/>
      <c r="K117" s="55"/>
      <c r="L117" s="59"/>
      <c r="M117" s="55"/>
      <c r="N117" s="55"/>
      <c r="O117" s="55"/>
      <c r="P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BA117" s="55"/>
      <c r="BB117" s="55"/>
      <c r="BC117" s="55"/>
      <c r="BE117" s="55"/>
      <c r="BF117" s="55"/>
    </row>
    <row r="118" spans="7:58" s="2479" customFormat="1" x14ac:dyDescent="0.2">
      <c r="G118" s="55"/>
      <c r="H118" s="55"/>
      <c r="I118" s="55"/>
      <c r="J118" s="55"/>
      <c r="K118" s="55"/>
      <c r="L118" s="59"/>
      <c r="M118" s="55"/>
      <c r="N118" s="55"/>
      <c r="O118" s="55"/>
      <c r="P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BA118" s="55"/>
      <c r="BB118" s="55"/>
      <c r="BC118" s="55"/>
      <c r="BE118" s="55"/>
      <c r="BF118" s="55"/>
    </row>
    <row r="119" spans="7:58" s="2479" customFormat="1" x14ac:dyDescent="0.2">
      <c r="G119" s="55"/>
      <c r="H119" s="55"/>
      <c r="I119" s="55"/>
      <c r="J119" s="55"/>
      <c r="K119" s="55"/>
      <c r="L119" s="59"/>
      <c r="M119" s="55"/>
      <c r="N119" s="55"/>
      <c r="O119" s="55"/>
      <c r="P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BA119" s="55"/>
      <c r="BB119" s="55"/>
      <c r="BC119" s="55"/>
      <c r="BE119" s="55"/>
      <c r="BF119" s="55"/>
    </row>
    <row r="120" spans="7:58" s="2479" customFormat="1" x14ac:dyDescent="0.2">
      <c r="G120" s="55"/>
      <c r="H120" s="55"/>
      <c r="I120" s="55"/>
      <c r="J120" s="55"/>
      <c r="K120" s="55"/>
      <c r="L120" s="59"/>
      <c r="M120" s="55"/>
      <c r="N120" s="55"/>
      <c r="O120" s="55"/>
      <c r="P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BA120" s="55"/>
      <c r="BB120" s="55"/>
      <c r="BC120" s="55"/>
      <c r="BE120" s="55"/>
      <c r="BF120" s="55"/>
    </row>
    <row r="121" spans="7:58" s="2479" customFormat="1" x14ac:dyDescent="0.2">
      <c r="G121" s="55"/>
      <c r="H121" s="55"/>
      <c r="I121" s="55"/>
      <c r="J121" s="55"/>
      <c r="K121" s="55"/>
      <c r="L121" s="59"/>
      <c r="M121" s="55"/>
      <c r="N121" s="55"/>
      <c r="O121" s="55"/>
      <c r="P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BA121" s="55"/>
      <c r="BB121" s="55"/>
      <c r="BC121" s="55"/>
      <c r="BE121" s="55"/>
      <c r="BF121" s="55"/>
    </row>
    <row r="122" spans="7:58" s="2479" customFormat="1" x14ac:dyDescent="0.2">
      <c r="G122" s="55"/>
      <c r="H122" s="55"/>
      <c r="I122" s="55"/>
      <c r="J122" s="55"/>
      <c r="K122" s="55"/>
      <c r="L122" s="59"/>
      <c r="M122" s="55"/>
      <c r="N122" s="55"/>
      <c r="O122" s="55"/>
      <c r="P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BA122" s="55"/>
      <c r="BB122" s="55"/>
      <c r="BC122" s="55"/>
      <c r="BE122" s="55"/>
      <c r="BF122" s="55"/>
    </row>
    <row r="123" spans="7:58" s="2479" customFormat="1" x14ac:dyDescent="0.2">
      <c r="G123" s="55"/>
      <c r="H123" s="55"/>
      <c r="I123" s="55"/>
      <c r="J123" s="55"/>
      <c r="K123" s="55"/>
      <c r="L123" s="59"/>
      <c r="M123" s="55"/>
      <c r="N123" s="55"/>
      <c r="O123" s="55"/>
      <c r="P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BA123" s="55"/>
      <c r="BB123" s="55"/>
      <c r="BC123" s="55"/>
      <c r="BE123" s="55"/>
      <c r="BF123" s="55"/>
    </row>
    <row r="124" spans="7:58" s="2479" customFormat="1" x14ac:dyDescent="0.2">
      <c r="G124" s="55"/>
      <c r="H124" s="55"/>
      <c r="I124" s="55"/>
      <c r="J124" s="55"/>
      <c r="K124" s="55"/>
      <c r="L124" s="59"/>
      <c r="M124" s="55"/>
      <c r="N124" s="55"/>
      <c r="O124" s="55"/>
      <c r="P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BA124" s="55"/>
      <c r="BB124" s="55"/>
      <c r="BC124" s="55"/>
      <c r="BE124" s="55"/>
      <c r="BF124" s="55"/>
    </row>
    <row r="125" spans="7:58" s="2479" customFormat="1" x14ac:dyDescent="0.2">
      <c r="G125" s="55"/>
      <c r="H125" s="55"/>
      <c r="I125" s="55"/>
      <c r="J125" s="55"/>
      <c r="K125" s="55"/>
      <c r="L125" s="59"/>
      <c r="M125" s="55"/>
      <c r="N125" s="55"/>
      <c r="O125" s="55"/>
      <c r="P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BA125" s="55"/>
      <c r="BB125" s="55"/>
      <c r="BC125" s="55"/>
      <c r="BE125" s="55"/>
      <c r="BF125" s="55"/>
    </row>
    <row r="126" spans="7:58" s="2479" customFormat="1" x14ac:dyDescent="0.2">
      <c r="G126" s="55"/>
      <c r="H126" s="55"/>
      <c r="I126" s="55"/>
      <c r="J126" s="55"/>
      <c r="K126" s="55"/>
      <c r="L126" s="59"/>
      <c r="M126" s="55"/>
      <c r="N126" s="55"/>
      <c r="O126" s="55"/>
      <c r="P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BA126" s="55"/>
      <c r="BB126" s="55"/>
      <c r="BC126" s="55"/>
      <c r="BE126" s="55"/>
      <c r="BF126" s="55"/>
    </row>
    <row r="127" spans="7:58" s="2479" customFormat="1" x14ac:dyDescent="0.2">
      <c r="G127" s="55"/>
      <c r="H127" s="55"/>
      <c r="I127" s="55"/>
      <c r="J127" s="55"/>
      <c r="K127" s="55"/>
      <c r="L127" s="59"/>
      <c r="M127" s="55"/>
      <c r="N127" s="55"/>
      <c r="O127" s="55"/>
      <c r="P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BA127" s="55"/>
      <c r="BB127" s="55"/>
      <c r="BC127" s="55"/>
      <c r="BE127" s="55"/>
      <c r="BF127" s="55"/>
    </row>
    <row r="128" spans="7:58" s="2479" customFormat="1" x14ac:dyDescent="0.2">
      <c r="G128" s="55"/>
      <c r="H128" s="55"/>
      <c r="I128" s="55"/>
      <c r="J128" s="55"/>
      <c r="K128" s="55"/>
      <c r="L128" s="59"/>
      <c r="M128" s="55"/>
      <c r="N128" s="55"/>
      <c r="O128" s="55"/>
      <c r="P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BA128" s="55"/>
      <c r="BB128" s="55"/>
      <c r="BC128" s="55"/>
      <c r="BE128" s="55"/>
      <c r="BF128" s="55"/>
    </row>
    <row r="129" spans="7:58" s="2479" customFormat="1" x14ac:dyDescent="0.2">
      <c r="G129" s="55"/>
      <c r="H129" s="55"/>
      <c r="I129" s="55"/>
      <c r="J129" s="55"/>
      <c r="K129" s="55"/>
      <c r="L129" s="59"/>
      <c r="M129" s="55"/>
      <c r="N129" s="55"/>
      <c r="O129" s="55"/>
      <c r="P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BA129" s="55"/>
      <c r="BB129" s="55"/>
      <c r="BC129" s="55"/>
      <c r="BE129" s="55"/>
      <c r="BF129" s="55"/>
    </row>
  </sheetData>
  <pageMargins left="0.25" right="0.25" top="0.75" bottom="0.75" header="0.3" footer="0.3"/>
  <pageSetup orientation="portrait" horizontalDpi="1200" verticalDpi="1200" r:id="rId1"/>
  <headerFooter>
    <oddFooter>&amp;L&amp;"+,Regular"Pathways to 2050 -- Energy Flow Model&amp;R&amp;"+,Regular"&amp;F  |  This version printed 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BI63"/>
  <sheetViews>
    <sheetView windowProtection="1" workbookViewId="0"/>
  </sheetViews>
  <sheetFormatPr defaultColWidth="11.42578125" defaultRowHeight="12.75" x14ac:dyDescent="0.2"/>
  <cols>
    <col min="1" max="2" width="11.42578125" style="2479"/>
    <col min="3" max="3" width="5.42578125" style="2479" customWidth="1"/>
    <col min="4" max="4" width="28.7109375" style="2479" customWidth="1"/>
    <col min="5" max="14" width="11.42578125" style="2479"/>
    <col min="15" max="16384" width="11.42578125" style="588"/>
  </cols>
  <sheetData>
    <row r="2" spans="1:61" ht="22.5" x14ac:dyDescent="0.3">
      <c r="A2" s="1422"/>
      <c r="B2" s="468" t="s">
        <v>1857</v>
      </c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3"/>
    </row>
    <row r="3" spans="1:61" s="946" customFormat="1" ht="18" customHeight="1" x14ac:dyDescent="0.2">
      <c r="A3" s="84"/>
      <c r="B3" s="410"/>
      <c r="C3" s="412"/>
      <c r="D3" s="412"/>
      <c r="E3" s="412"/>
      <c r="F3" s="412"/>
      <c r="G3" s="412"/>
      <c r="H3" s="412"/>
      <c r="I3" s="412"/>
      <c r="J3" s="412"/>
      <c r="K3" s="412"/>
      <c r="L3" s="2387"/>
      <c r="M3" s="2388"/>
      <c r="N3" s="429"/>
      <c r="P3" s="588"/>
      <c r="Q3" s="588"/>
      <c r="R3" s="588"/>
      <c r="S3" s="588"/>
      <c r="T3" s="588"/>
      <c r="U3" s="588"/>
      <c r="V3" s="588"/>
      <c r="W3" s="588"/>
      <c r="X3" s="588"/>
      <c r="Y3" s="588"/>
      <c r="Z3" s="588"/>
      <c r="AA3" s="588"/>
      <c r="AB3" s="588"/>
    </row>
    <row r="4" spans="1:61" s="946" customFormat="1" ht="18" customHeight="1" x14ac:dyDescent="0.2">
      <c r="A4" s="84"/>
      <c r="B4" s="410"/>
      <c r="C4" s="794" t="s">
        <v>2509</v>
      </c>
      <c r="D4" s="412"/>
      <c r="E4" s="412"/>
      <c r="F4" s="412"/>
      <c r="G4" s="412"/>
      <c r="H4" s="412"/>
      <c r="I4" s="412"/>
      <c r="J4" s="412"/>
      <c r="K4" s="412"/>
      <c r="L4" s="412"/>
      <c r="M4" s="97"/>
      <c r="N4" s="429"/>
      <c r="P4" s="588"/>
      <c r="Q4" s="588"/>
      <c r="R4" s="588"/>
      <c r="S4" s="588"/>
      <c r="T4" s="588"/>
      <c r="U4" s="588"/>
      <c r="V4" s="588"/>
      <c r="W4" s="588"/>
      <c r="X4" s="588"/>
      <c r="Y4" s="588"/>
      <c r="Z4" s="588"/>
      <c r="AA4" s="588"/>
      <c r="AB4" s="588"/>
    </row>
    <row r="5" spans="1:61" s="946" customFormat="1" ht="18" customHeight="1" x14ac:dyDescent="0.2">
      <c r="A5" s="84"/>
      <c r="B5" s="410"/>
      <c r="C5" s="412"/>
      <c r="D5" s="412"/>
      <c r="E5" s="412"/>
      <c r="F5" s="412"/>
      <c r="G5" s="412"/>
      <c r="H5" s="412"/>
      <c r="I5" s="412"/>
      <c r="J5" s="412"/>
      <c r="K5" s="412"/>
      <c r="L5" s="412"/>
      <c r="M5" s="97"/>
      <c r="N5" s="429"/>
      <c r="P5" s="588"/>
      <c r="Q5" s="588"/>
      <c r="R5" s="588"/>
      <c r="S5" s="588"/>
      <c r="T5" s="588"/>
      <c r="U5" s="588"/>
      <c r="V5" s="588"/>
      <c r="W5" s="588"/>
      <c r="X5" s="588"/>
      <c r="Y5" s="588"/>
      <c r="Z5" s="588"/>
      <c r="AA5" s="588"/>
      <c r="AB5" s="588"/>
    </row>
    <row r="6" spans="1:61" s="1503" customFormat="1" ht="18" customHeight="1" x14ac:dyDescent="0.2">
      <c r="A6" s="1411"/>
      <c r="B6" s="782"/>
      <c r="C6" s="803"/>
      <c r="D6" s="2640" t="s">
        <v>492</v>
      </c>
      <c r="E6" s="775">
        <v>2010</v>
      </c>
      <c r="F6" s="775">
        <v>2015</v>
      </c>
      <c r="G6" s="775">
        <v>2020</v>
      </c>
      <c r="H6" s="775">
        <v>2025</v>
      </c>
      <c r="I6" s="775">
        <v>2030</v>
      </c>
      <c r="J6" s="775">
        <v>2035</v>
      </c>
      <c r="K6" s="775">
        <v>2040</v>
      </c>
      <c r="L6" s="775">
        <v>2045</v>
      </c>
      <c r="M6" s="775">
        <v>2050</v>
      </c>
      <c r="N6" s="785"/>
      <c r="O6" s="2641"/>
    </row>
    <row r="7" spans="1:61" s="1503" customFormat="1" x14ac:dyDescent="0.2">
      <c r="A7" s="1411"/>
      <c r="B7" s="782"/>
      <c r="C7" s="2391" t="s">
        <v>483</v>
      </c>
      <c r="D7" s="2391" t="str">
        <f>INDEX(IPCC[Sector_description], MATCH($C7, IPCC[Sector_code], 0))</f>
        <v>Fuel Combustion</v>
      </c>
      <c r="E7" s="2392">
        <f ca="1">SUMIFS(INDIRECT("'"&amp;E$6&amp;"'!Year.Emissions"), INDIRECT("'"&amp;E$6&amp;"'!Year.IPCC"), $C7)</f>
        <v>141.43863370431788</v>
      </c>
      <c r="F7" s="2392">
        <f t="shared" ref="F7:M8" ca="1" si="0">SUMIFS(INDIRECT("'"&amp;F$6&amp;"'!Year.Emissions"), INDIRECT("'"&amp;F$6&amp;"'!Year.IPCC"), $C7)</f>
        <v>158.35400530191973</v>
      </c>
      <c r="G7" s="2392">
        <f t="shared" ca="1" si="0"/>
        <v>195.72771522512591</v>
      </c>
      <c r="H7" s="2392">
        <f t="shared" ca="1" si="0"/>
        <v>247.91587173158214</v>
      </c>
      <c r="I7" s="2392">
        <f t="shared" ca="1" si="0"/>
        <v>317.81864119529683</v>
      </c>
      <c r="J7" s="2392">
        <f t="shared" ca="1" si="0"/>
        <v>421.48376693322689</v>
      </c>
      <c r="K7" s="2392">
        <f t="shared" ca="1" si="0"/>
        <v>521.85035442040407</v>
      </c>
      <c r="L7" s="2392">
        <f t="shared" ca="1" si="0"/>
        <v>618.02305842751969</v>
      </c>
      <c r="M7" s="2392">
        <f t="shared" ca="1" si="0"/>
        <v>709.15155346132894</v>
      </c>
      <c r="N7" s="785"/>
      <c r="O7" s="2641"/>
    </row>
    <row r="8" spans="1:61" s="1503" customFormat="1" x14ac:dyDescent="0.2">
      <c r="A8" s="1411"/>
      <c r="B8" s="782"/>
      <c r="C8" s="2391" t="s">
        <v>482</v>
      </c>
      <c r="D8" s="2642" t="str">
        <f>INDEX(IPCC[Sector_description], MATCH($C8, IPCC[Sector_code], 0))</f>
        <v>Fugitive Emissions from Fuels</v>
      </c>
      <c r="E8" s="2643">
        <f t="shared" ref="E8" ca="1" si="1">SUMIFS(INDIRECT("'"&amp;E$6&amp;"'!Year.Emissions"), INDIRECT("'"&amp;E$6&amp;"'!Year.IPCC"), $C8)</f>
        <v>11.039051364088465</v>
      </c>
      <c r="F8" s="2643">
        <f t="shared" ca="1" si="0"/>
        <v>10.481549911903464</v>
      </c>
      <c r="G8" s="2643">
        <f t="shared" ca="1" si="0"/>
        <v>16.0888399794094</v>
      </c>
      <c r="H8" s="2643">
        <f t="shared" ca="1" si="0"/>
        <v>12.194731873215559</v>
      </c>
      <c r="I8" s="2643">
        <f t="shared" ca="1" si="0"/>
        <v>14.926175320825493</v>
      </c>
      <c r="J8" s="2643">
        <f t="shared" ca="1" si="0"/>
        <v>21.442437301148928</v>
      </c>
      <c r="K8" s="2643">
        <f t="shared" ca="1" si="0"/>
        <v>27.755537263544461</v>
      </c>
      <c r="L8" s="2643">
        <f t="shared" ca="1" si="0"/>
        <v>33.460126432934416</v>
      </c>
      <c r="M8" s="2643">
        <f t="shared" ca="1" si="0"/>
        <v>39.144448739015779</v>
      </c>
      <c r="N8" s="785"/>
      <c r="O8" s="2641"/>
    </row>
    <row r="9" spans="1:61" s="1503" customFormat="1" x14ac:dyDescent="0.2">
      <c r="A9" s="1411"/>
      <c r="B9" s="782"/>
      <c r="C9" s="2644">
        <v>1</v>
      </c>
      <c r="D9" s="2391" t="s">
        <v>2510</v>
      </c>
      <c r="E9" s="2392">
        <f t="shared" ref="E9:M9" ca="1" si="2">SUM(E7:E8)</f>
        <v>152.47768506840634</v>
      </c>
      <c r="F9" s="2392">
        <f t="shared" ca="1" si="2"/>
        <v>168.8355552138232</v>
      </c>
      <c r="G9" s="2392">
        <f t="shared" ca="1" si="2"/>
        <v>211.81655520453529</v>
      </c>
      <c r="H9" s="2392">
        <f t="shared" ca="1" si="2"/>
        <v>260.11060360479769</v>
      </c>
      <c r="I9" s="2392">
        <f t="shared" ca="1" si="2"/>
        <v>332.74481651612234</v>
      </c>
      <c r="J9" s="2392">
        <f t="shared" ca="1" si="2"/>
        <v>442.9262042343758</v>
      </c>
      <c r="K9" s="2392">
        <f t="shared" ca="1" si="2"/>
        <v>549.60589168394858</v>
      </c>
      <c r="L9" s="2392">
        <f t="shared" ca="1" si="2"/>
        <v>651.48318486045412</v>
      </c>
      <c r="M9" s="2392">
        <f t="shared" ca="1" si="2"/>
        <v>748.29600220034467</v>
      </c>
      <c r="N9" s="785"/>
      <c r="O9" s="2641"/>
    </row>
    <row r="10" spans="1:61" s="1503" customFormat="1" ht="18" customHeight="1" x14ac:dyDescent="0.15">
      <c r="A10" s="1411"/>
      <c r="B10" s="782"/>
      <c r="C10" s="783"/>
      <c r="D10" s="783"/>
      <c r="E10" s="2389"/>
      <c r="F10" s="2389"/>
      <c r="G10" s="2389"/>
      <c r="H10" s="2389"/>
      <c r="I10" s="2389"/>
      <c r="J10" s="2389"/>
      <c r="K10" s="2389"/>
      <c r="L10" s="2389"/>
      <c r="M10" s="2389"/>
      <c r="N10" s="785"/>
      <c r="O10" s="2641"/>
    </row>
    <row r="11" spans="1:61" s="1503" customFormat="1" ht="18" customHeight="1" x14ac:dyDescent="0.2">
      <c r="A11" s="1411"/>
      <c r="B11" s="782"/>
      <c r="C11" s="2397" t="s">
        <v>2511</v>
      </c>
      <c r="D11" s="783"/>
      <c r="E11" s="2389"/>
      <c r="F11" s="2389"/>
      <c r="G11" s="2389"/>
      <c r="H11" s="2389"/>
      <c r="I11" s="2389"/>
      <c r="J11" s="2389"/>
      <c r="K11" s="2389"/>
      <c r="L11" s="2389"/>
      <c r="M11" s="2389"/>
      <c r="N11" s="785"/>
      <c r="O11" s="2641"/>
    </row>
    <row r="12" spans="1:61" s="1503" customFormat="1" ht="18" customHeight="1" x14ac:dyDescent="0.2">
      <c r="A12" s="1411"/>
      <c r="B12" s="782"/>
      <c r="C12" s="2397"/>
      <c r="D12" s="783"/>
      <c r="E12" s="2389"/>
      <c r="F12" s="2389"/>
      <c r="G12" s="2389"/>
      <c r="H12" s="2389"/>
      <c r="I12" s="2389"/>
      <c r="J12" s="2389"/>
      <c r="K12" s="2389"/>
      <c r="L12" s="2389"/>
      <c r="M12" s="2389"/>
      <c r="N12" s="785"/>
      <c r="O12" s="2641"/>
    </row>
    <row r="13" spans="1:61" s="1503" customFormat="1" ht="18" customHeight="1" x14ac:dyDescent="0.2">
      <c r="A13" s="1411"/>
      <c r="B13" s="782"/>
      <c r="C13" s="803"/>
      <c r="D13" s="2640" t="s">
        <v>2582</v>
      </c>
      <c r="E13" s="775">
        <v>2010</v>
      </c>
      <c r="F13" s="775">
        <v>2015</v>
      </c>
      <c r="G13" s="775">
        <v>2020</v>
      </c>
      <c r="H13" s="775">
        <v>2025</v>
      </c>
      <c r="I13" s="775">
        <v>2030</v>
      </c>
      <c r="J13" s="775">
        <v>2035</v>
      </c>
      <c r="K13" s="775">
        <v>2040</v>
      </c>
      <c r="L13" s="775">
        <v>2045</v>
      </c>
      <c r="M13" s="775">
        <v>2050</v>
      </c>
      <c r="N13" s="785"/>
      <c r="O13" s="2641"/>
    </row>
    <row r="14" spans="1:61" x14ac:dyDescent="0.2">
      <c r="B14" s="782"/>
      <c r="C14" s="2644">
        <v>1</v>
      </c>
      <c r="D14" s="2391" t="s">
        <v>462</v>
      </c>
      <c r="E14" s="2710">
        <f ca="1">E9</f>
        <v>152.47768506840634</v>
      </c>
      <c r="F14" s="2710">
        <f t="shared" ref="F14:M14" ca="1" si="3">F9</f>
        <v>168.8355552138232</v>
      </c>
      <c r="G14" s="2710">
        <f t="shared" ca="1" si="3"/>
        <v>211.81655520453529</v>
      </c>
      <c r="H14" s="2710">
        <f t="shared" ca="1" si="3"/>
        <v>260.11060360479769</v>
      </c>
      <c r="I14" s="2710">
        <f t="shared" ca="1" si="3"/>
        <v>332.74481651612234</v>
      </c>
      <c r="J14" s="2710">
        <f t="shared" ca="1" si="3"/>
        <v>442.9262042343758</v>
      </c>
      <c r="K14" s="2710">
        <f t="shared" ca="1" si="3"/>
        <v>549.60589168394858</v>
      </c>
      <c r="L14" s="2710">
        <f t="shared" ca="1" si="3"/>
        <v>651.48318486045412</v>
      </c>
      <c r="M14" s="2710">
        <f t="shared" ca="1" si="3"/>
        <v>748.29600220034467</v>
      </c>
      <c r="N14" s="785"/>
      <c r="O14" s="2645"/>
      <c r="P14" s="2645"/>
      <c r="Q14" s="2645"/>
      <c r="R14" s="2645"/>
      <c r="S14" s="2645"/>
      <c r="T14" s="2645"/>
      <c r="U14" s="2645"/>
      <c r="V14" s="2645"/>
      <c r="W14" s="2645"/>
      <c r="X14" s="2645"/>
      <c r="Y14" s="2645"/>
      <c r="Z14" s="2645"/>
      <c r="AA14" s="2645"/>
      <c r="AB14" s="2645"/>
      <c r="AC14" s="2645"/>
      <c r="AD14" s="2645"/>
      <c r="AE14" s="2645"/>
      <c r="AF14" s="2645"/>
      <c r="AG14" s="2645"/>
      <c r="AH14" s="2645"/>
      <c r="AI14" s="2645"/>
      <c r="AJ14" s="2645"/>
      <c r="AK14" s="2645"/>
      <c r="AL14" s="2645"/>
      <c r="AM14" s="2645"/>
      <c r="AN14" s="2645"/>
      <c r="AO14" s="2645"/>
      <c r="AP14" s="2645"/>
      <c r="AQ14" s="2645"/>
      <c r="AR14" s="2645"/>
      <c r="AS14" s="2645"/>
      <c r="AT14" s="2645"/>
      <c r="AU14" s="2645"/>
      <c r="AV14" s="2645"/>
      <c r="AW14" s="2645"/>
      <c r="AX14" s="1854"/>
      <c r="AY14" s="2646"/>
      <c r="AZ14" s="2646"/>
      <c r="BA14" s="2646"/>
      <c r="BB14" s="2646"/>
      <c r="BC14" s="2646"/>
      <c r="BD14" s="2646"/>
      <c r="BE14" s="2646"/>
      <c r="BF14" s="2646"/>
      <c r="BG14" s="2646"/>
      <c r="BH14" s="2646"/>
      <c r="BI14" s="832"/>
    </row>
    <row r="15" spans="1:61" x14ac:dyDescent="0.2">
      <c r="B15" s="782"/>
      <c r="C15" s="2644">
        <v>2</v>
      </c>
      <c r="D15" s="2391" t="str">
        <f>INDEX(IPCC[Sector_description], MATCH($C15, IPCC[Sector_code], 0))</f>
        <v>Industrial Processes</v>
      </c>
      <c r="E15" s="2710">
        <f t="shared" ref="E15:E20" ca="1" si="4">(SUMIFS(INDIRECT("'"&amp;E$6&amp;"'!Year.Emissions"), INDIRECT("'"&amp;E$6&amp;"'!Year.IPCC"), $C15))</f>
        <v>27.891312059948405</v>
      </c>
      <c r="F15" s="2710">
        <f t="shared" ref="F15:M20" ca="1" si="5">(SUMIFS(INDIRECT("'"&amp;F$6&amp;"'!Year.Emissions"), INDIRECT("'"&amp;F$6&amp;"'!Year.IPCC"), $C15))</f>
        <v>27.858091129429077</v>
      </c>
      <c r="G15" s="2710">
        <f t="shared" ca="1" si="5"/>
        <v>27.86547682600942</v>
      </c>
      <c r="H15" s="2710">
        <f t="shared" ca="1" si="5"/>
        <v>27.914626100053326</v>
      </c>
      <c r="I15" s="2710">
        <f t="shared" ca="1" si="5"/>
        <v>27.542607500392428</v>
      </c>
      <c r="J15" s="2710">
        <f t="shared" ca="1" si="5"/>
        <v>27.19371178333455</v>
      </c>
      <c r="K15" s="2710">
        <f t="shared" ca="1" si="5"/>
        <v>26.867422835474294</v>
      </c>
      <c r="L15" s="2710">
        <f t="shared" ca="1" si="5"/>
        <v>26.563252748959535</v>
      </c>
      <c r="M15" s="2710">
        <f t="shared" ca="1" si="5"/>
        <v>27.891312059948405</v>
      </c>
      <c r="N15" s="785"/>
      <c r="O15" s="2645"/>
      <c r="P15" s="2645"/>
      <c r="Q15" s="2645"/>
      <c r="R15" s="2645"/>
      <c r="S15" s="2645"/>
      <c r="T15" s="2645"/>
      <c r="U15" s="2645"/>
      <c r="V15" s="2645"/>
      <c r="W15" s="2645"/>
      <c r="X15" s="2645"/>
      <c r="Y15" s="2645"/>
      <c r="Z15" s="2645"/>
      <c r="AA15" s="2645"/>
      <c r="AB15" s="2645"/>
      <c r="AC15" s="2645"/>
      <c r="AD15" s="2645"/>
      <c r="AE15" s="2645"/>
      <c r="AF15" s="2645"/>
      <c r="AG15" s="2645"/>
      <c r="AH15" s="2645"/>
      <c r="AI15" s="2645"/>
      <c r="AJ15" s="2645"/>
      <c r="AK15" s="2645"/>
      <c r="AL15" s="2645"/>
      <c r="AM15" s="2645"/>
      <c r="AN15" s="2645"/>
      <c r="AO15" s="2645"/>
      <c r="AP15" s="2645"/>
      <c r="AQ15" s="2645"/>
      <c r="AR15" s="2645"/>
      <c r="AS15" s="2645"/>
      <c r="AT15" s="2645"/>
      <c r="AU15" s="2645"/>
      <c r="AV15" s="2645"/>
      <c r="AW15" s="2645"/>
      <c r="AX15" s="1854"/>
      <c r="AY15" s="2647"/>
      <c r="AZ15" s="2647"/>
      <c r="BA15" s="2647"/>
      <c r="BB15" s="2647"/>
      <c r="BC15" s="2647"/>
      <c r="BD15" s="2647"/>
      <c r="BE15" s="2647"/>
      <c r="BF15" s="2647"/>
      <c r="BG15" s="2647"/>
      <c r="BH15" s="2647"/>
      <c r="BI15" s="832"/>
    </row>
    <row r="16" spans="1:61" x14ac:dyDescent="0.2">
      <c r="B16" s="782"/>
      <c r="C16" s="2644">
        <v>3</v>
      </c>
      <c r="D16" s="2391" t="str">
        <f>INDEX(IPCC[Sector_description], MATCH($C16, IPCC[Sector_code], 0))</f>
        <v>Solvent and Other Product Use</v>
      </c>
      <c r="E16" s="2710">
        <f t="shared" ca="1" si="4"/>
        <v>0</v>
      </c>
      <c r="F16" s="2710">
        <f t="shared" ca="1" si="5"/>
        <v>0</v>
      </c>
      <c r="G16" s="2710">
        <f t="shared" ca="1" si="5"/>
        <v>0</v>
      </c>
      <c r="H16" s="2710">
        <f t="shared" ca="1" si="5"/>
        <v>0</v>
      </c>
      <c r="I16" s="2710">
        <f t="shared" ca="1" si="5"/>
        <v>0</v>
      </c>
      <c r="J16" s="2710">
        <f t="shared" ca="1" si="5"/>
        <v>0</v>
      </c>
      <c r="K16" s="2710">
        <f t="shared" ca="1" si="5"/>
        <v>0</v>
      </c>
      <c r="L16" s="2710">
        <f t="shared" ca="1" si="5"/>
        <v>0</v>
      </c>
      <c r="M16" s="2710">
        <f t="shared" ca="1" si="5"/>
        <v>0</v>
      </c>
      <c r="N16" s="785"/>
      <c r="O16" s="2645"/>
      <c r="P16" s="2645"/>
      <c r="Q16" s="2645"/>
      <c r="R16" s="2645"/>
      <c r="S16" s="2645"/>
      <c r="T16" s="2645"/>
      <c r="U16" s="2645"/>
      <c r="V16" s="2645"/>
      <c r="W16" s="2645"/>
      <c r="X16" s="2645"/>
      <c r="Y16" s="2645"/>
      <c r="Z16" s="2645"/>
      <c r="AA16" s="2645"/>
      <c r="AB16" s="2645"/>
      <c r="AC16" s="2645"/>
      <c r="AD16" s="2645"/>
      <c r="AE16" s="2645"/>
      <c r="AF16" s="2645"/>
      <c r="AG16" s="2645"/>
      <c r="AH16" s="2645"/>
      <c r="AI16" s="2645"/>
      <c r="AJ16" s="2645"/>
      <c r="AK16" s="2645"/>
      <c r="AL16" s="2645"/>
      <c r="AM16" s="2645"/>
      <c r="AN16" s="2645"/>
      <c r="AO16" s="2645"/>
      <c r="AP16" s="2645"/>
      <c r="AQ16" s="2645"/>
      <c r="AR16" s="2645"/>
      <c r="AS16" s="2645"/>
      <c r="AT16" s="2645"/>
      <c r="AU16" s="2645"/>
      <c r="AV16" s="2645"/>
      <c r="AW16" s="2645"/>
      <c r="AX16" s="1854"/>
      <c r="AY16" s="2647"/>
      <c r="AZ16" s="2647"/>
      <c r="BA16" s="2647"/>
      <c r="BB16" s="2647"/>
      <c r="BC16" s="2647"/>
      <c r="BD16" s="2647"/>
      <c r="BE16" s="2647"/>
      <c r="BF16" s="2647"/>
      <c r="BG16" s="2647"/>
      <c r="BH16" s="2647"/>
      <c r="BI16" s="832"/>
    </row>
    <row r="17" spans="1:61" x14ac:dyDescent="0.2">
      <c r="B17" s="782"/>
      <c r="C17" s="2644">
        <v>4</v>
      </c>
      <c r="D17" s="2391" t="str">
        <f>INDEX(IPCC[Sector_description], MATCH($C17, IPCC[Sector_code], 0))</f>
        <v>Agriculture</v>
      </c>
      <c r="E17" s="2710">
        <f t="shared" ca="1" si="4"/>
        <v>23.28</v>
      </c>
      <c r="F17" s="2710">
        <f t="shared" ca="1" si="5"/>
        <v>22.545258398704277</v>
      </c>
      <c r="G17" s="2710">
        <f t="shared" ca="1" si="5"/>
        <v>21.83370602510076</v>
      </c>
      <c r="H17" s="2710">
        <f t="shared" ca="1" si="5"/>
        <v>21.760312993855567</v>
      </c>
      <c r="I17" s="2710">
        <f t="shared" ca="1" si="5"/>
        <v>21.687166670019057</v>
      </c>
      <c r="J17" s="2710">
        <f t="shared" ca="1" si="5"/>
        <v>21.61426622429525</v>
      </c>
      <c r="K17" s="2710">
        <f t="shared" ca="1" si="5"/>
        <v>21.541610830175813</v>
      </c>
      <c r="L17" s="2710">
        <f t="shared" ca="1" si="5"/>
        <v>21.469199663930684</v>
      </c>
      <c r="M17" s="2710">
        <f t="shared" ca="1" si="5"/>
        <v>21.39703190459873</v>
      </c>
      <c r="N17" s="785"/>
      <c r="O17" s="2645"/>
      <c r="P17" s="2645"/>
      <c r="Q17" s="2645"/>
      <c r="R17" s="2645"/>
      <c r="S17" s="2645"/>
      <c r="T17" s="2645"/>
      <c r="U17" s="2645"/>
      <c r="V17" s="2645"/>
      <c r="W17" s="2645"/>
      <c r="X17" s="2645"/>
      <c r="Y17" s="2645"/>
      <c r="Z17" s="2645"/>
      <c r="AA17" s="2645"/>
      <c r="AB17" s="2645"/>
      <c r="AC17" s="2645"/>
      <c r="AD17" s="2645"/>
      <c r="AE17" s="2645"/>
      <c r="AF17" s="2645"/>
      <c r="AG17" s="2645"/>
      <c r="AH17" s="2645"/>
      <c r="AI17" s="2645"/>
      <c r="AJ17" s="2645"/>
      <c r="AK17" s="2645"/>
      <c r="AL17" s="2645"/>
      <c r="AM17" s="2645"/>
      <c r="AN17" s="2645"/>
      <c r="AO17" s="2645"/>
      <c r="AP17" s="2645"/>
      <c r="AQ17" s="2645"/>
      <c r="AR17" s="2645"/>
      <c r="AS17" s="2645"/>
      <c r="AT17" s="2645"/>
      <c r="AU17" s="2645"/>
      <c r="AV17" s="2645"/>
      <c r="AW17" s="2645"/>
      <c r="AX17" s="1854"/>
      <c r="AY17" s="2647"/>
      <c r="AZ17" s="2647"/>
      <c r="BA17" s="2647"/>
      <c r="BB17" s="2647"/>
      <c r="BC17" s="2647"/>
      <c r="BD17" s="2647"/>
      <c r="BE17" s="2647"/>
      <c r="BF17" s="2647"/>
      <c r="BG17" s="2647"/>
      <c r="BH17" s="2647"/>
      <c r="BI17" s="832"/>
    </row>
    <row r="18" spans="1:61" x14ac:dyDescent="0.2">
      <c r="B18" s="782"/>
      <c r="C18" s="2644">
        <v>5</v>
      </c>
      <c r="D18" s="2391" t="str">
        <f>INDEX(IPCC[Sector_description], MATCH($C18, IPCC[Sector_code], 0))</f>
        <v>LULUCF</v>
      </c>
      <c r="E18" s="2710">
        <f t="shared" ca="1" si="4"/>
        <v>1.902062868</v>
      </c>
      <c r="F18" s="2710">
        <f t="shared" ca="1" si="5"/>
        <v>4.9966990495666685</v>
      </c>
      <c r="G18" s="2710">
        <f t="shared" ca="1" si="5"/>
        <v>7.3100835966666686</v>
      </c>
      <c r="H18" s="2710">
        <f t="shared" ca="1" si="5"/>
        <v>8.7189949184666684</v>
      </c>
      <c r="I18" s="2710">
        <f t="shared" ca="1" si="5"/>
        <v>7.9318683936333301</v>
      </c>
      <c r="J18" s="2710">
        <f t="shared" ca="1" si="5"/>
        <v>6.4835049805000082</v>
      </c>
      <c r="K18" s="2710">
        <f t="shared" ca="1" si="5"/>
        <v>3.6992471491666095</v>
      </c>
      <c r="L18" s="2710">
        <f t="shared" ca="1" si="5"/>
        <v>0.62618822796669904</v>
      </c>
      <c r="M18" s="2710">
        <f t="shared" ca="1" si="5"/>
        <v>-1.7523899681333004</v>
      </c>
      <c r="N18" s="785"/>
      <c r="O18" s="2645"/>
      <c r="P18" s="2645"/>
      <c r="Q18" s="2645"/>
      <c r="R18" s="2645"/>
      <c r="S18" s="2645"/>
      <c r="T18" s="2645"/>
      <c r="U18" s="2645"/>
      <c r="V18" s="2645"/>
      <c r="W18" s="2645"/>
      <c r="X18" s="2645"/>
      <c r="Y18" s="2645"/>
      <c r="Z18" s="2645"/>
      <c r="AA18" s="2645"/>
      <c r="AB18" s="2645"/>
      <c r="AC18" s="2645"/>
      <c r="AD18" s="2645"/>
      <c r="AE18" s="2645"/>
      <c r="AF18" s="2645"/>
      <c r="AG18" s="2645"/>
      <c r="AH18" s="2645"/>
      <c r="AI18" s="2645"/>
      <c r="AJ18" s="2645"/>
      <c r="AK18" s="2645"/>
      <c r="AL18" s="2645"/>
      <c r="AM18" s="2645"/>
      <c r="AN18" s="2645"/>
      <c r="AO18" s="2645"/>
      <c r="AP18" s="2645"/>
      <c r="AQ18" s="2645"/>
      <c r="AR18" s="2645"/>
      <c r="AS18" s="2645"/>
      <c r="AT18" s="2645"/>
      <c r="AU18" s="2645"/>
      <c r="AV18" s="2645"/>
      <c r="AW18" s="2645"/>
      <c r="AX18" s="1854"/>
      <c r="AY18" s="2647"/>
      <c r="AZ18" s="2647"/>
      <c r="BA18" s="2647"/>
      <c r="BB18" s="2647"/>
      <c r="BC18" s="2647"/>
      <c r="BD18" s="2647"/>
      <c r="BE18" s="2647"/>
      <c r="BF18" s="2647"/>
      <c r="BG18" s="2647"/>
      <c r="BH18" s="2647"/>
      <c r="BI18" s="832"/>
    </row>
    <row r="19" spans="1:61" x14ac:dyDescent="0.2">
      <c r="B19" s="782"/>
      <c r="C19" s="2644">
        <v>6</v>
      </c>
      <c r="D19" s="2391" t="str">
        <f>INDEX(IPCC[Sector_description], MATCH($C19, IPCC[Sector_code], 0))</f>
        <v>Waste</v>
      </c>
      <c r="E19" s="2710">
        <f t="shared" ca="1" si="4"/>
        <v>13.121211328991082</v>
      </c>
      <c r="F19" s="2710">
        <f t="shared" ca="1" si="5"/>
        <v>10.807028354917669</v>
      </c>
      <c r="G19" s="2710">
        <f t="shared" ca="1" si="5"/>
        <v>8.4928453808442548</v>
      </c>
      <c r="H19" s="2710">
        <f t="shared" ca="1" si="5"/>
        <v>6.3895458201402011</v>
      </c>
      <c r="I19" s="2710">
        <f t="shared" ca="1" si="5"/>
        <v>4.5058333835286835</v>
      </c>
      <c r="J19" s="2710">
        <f t="shared" ca="1" si="5"/>
        <v>3.4909205988141889</v>
      </c>
      <c r="K19" s="2710">
        <f t="shared" ca="1" si="5"/>
        <v>2.5873928502248216</v>
      </c>
      <c r="L19" s="2710">
        <f t="shared" ca="1" si="5"/>
        <v>1.7952501377605785</v>
      </c>
      <c r="M19" s="2710">
        <f t="shared" ca="1" si="5"/>
        <v>1.1144924614214589</v>
      </c>
      <c r="N19" s="785"/>
      <c r="O19" s="2645"/>
      <c r="P19" s="2645"/>
      <c r="Q19" s="2645"/>
      <c r="R19" s="2645"/>
      <c r="S19" s="2645"/>
      <c r="T19" s="2645"/>
      <c r="U19" s="2645"/>
      <c r="V19" s="2645"/>
      <c r="W19" s="2645"/>
      <c r="X19" s="2645"/>
      <c r="Y19" s="2645"/>
      <c r="Z19" s="2645"/>
      <c r="AA19" s="2645"/>
      <c r="AB19" s="2645"/>
      <c r="AC19" s="2645"/>
      <c r="AD19" s="2645"/>
      <c r="AE19" s="2645"/>
      <c r="AF19" s="2645"/>
      <c r="AG19" s="2645"/>
      <c r="AH19" s="2645"/>
      <c r="AI19" s="2645"/>
      <c r="AJ19" s="2645"/>
      <c r="AK19" s="2645"/>
      <c r="AL19" s="2645"/>
      <c r="AM19" s="2645"/>
      <c r="AN19" s="2645"/>
      <c r="AO19" s="2645"/>
      <c r="AP19" s="2645"/>
      <c r="AQ19" s="2645"/>
      <c r="AR19" s="2645"/>
      <c r="AS19" s="2645"/>
      <c r="AT19" s="2645"/>
      <c r="AU19" s="2645"/>
      <c r="AV19" s="2645"/>
      <c r="AW19" s="2645"/>
      <c r="AX19" s="1854"/>
      <c r="AY19" s="2647"/>
      <c r="AZ19" s="2647"/>
      <c r="BA19" s="2647"/>
      <c r="BB19" s="2647"/>
      <c r="BC19" s="2647"/>
      <c r="BD19" s="2647"/>
      <c r="BE19" s="2647"/>
      <c r="BF19" s="2647"/>
      <c r="BG19" s="2647"/>
      <c r="BH19" s="2647"/>
      <c r="BI19" s="832"/>
    </row>
    <row r="20" spans="1:61" x14ac:dyDescent="0.2">
      <c r="B20" s="782"/>
      <c r="C20" s="2644">
        <v>7</v>
      </c>
      <c r="D20" s="2391" t="str">
        <f>INDEX(IPCC[Sector_description], MATCH($C20, IPCC[Sector_code], 0))</f>
        <v>Other</v>
      </c>
      <c r="E20" s="2710">
        <f t="shared" ca="1" si="4"/>
        <v>0</v>
      </c>
      <c r="F20" s="2710">
        <f t="shared" ca="1" si="5"/>
        <v>0</v>
      </c>
      <c r="G20" s="2710">
        <f t="shared" ca="1" si="5"/>
        <v>0</v>
      </c>
      <c r="H20" s="2710">
        <f t="shared" ca="1" si="5"/>
        <v>0</v>
      </c>
      <c r="I20" s="2710">
        <f t="shared" ca="1" si="5"/>
        <v>0</v>
      </c>
      <c r="J20" s="2710">
        <f t="shared" ca="1" si="5"/>
        <v>0</v>
      </c>
      <c r="K20" s="2710">
        <f t="shared" ca="1" si="5"/>
        <v>0</v>
      </c>
      <c r="L20" s="2710">
        <f t="shared" ca="1" si="5"/>
        <v>0</v>
      </c>
      <c r="M20" s="2710">
        <f t="shared" ca="1" si="5"/>
        <v>0</v>
      </c>
      <c r="N20" s="785"/>
      <c r="O20" s="2648"/>
      <c r="P20" s="2648"/>
      <c r="Q20" s="2648"/>
      <c r="R20" s="2648"/>
      <c r="S20" s="2648"/>
      <c r="T20" s="2648"/>
      <c r="U20" s="2648"/>
      <c r="V20" s="2648"/>
      <c r="W20" s="2648"/>
      <c r="X20" s="2648"/>
      <c r="Y20" s="2648"/>
      <c r="Z20" s="2648"/>
      <c r="AA20" s="2648"/>
      <c r="AB20" s="2648"/>
      <c r="AC20" s="2648"/>
      <c r="AD20" s="2648"/>
      <c r="AE20" s="2648"/>
      <c r="AF20" s="2648"/>
      <c r="AG20" s="2648"/>
      <c r="AH20" s="2648"/>
      <c r="AI20" s="2648"/>
      <c r="AJ20" s="2648"/>
      <c r="AK20" s="2648"/>
      <c r="AL20" s="2648"/>
      <c r="AM20" s="2648"/>
      <c r="AN20" s="2648"/>
      <c r="AO20" s="2648"/>
      <c r="AP20" s="2648"/>
      <c r="AQ20" s="2648"/>
      <c r="AR20" s="2648"/>
      <c r="AS20" s="2648"/>
      <c r="AT20" s="2648"/>
      <c r="AU20" s="2648"/>
      <c r="AV20" s="2648"/>
      <c r="AW20" s="2648"/>
      <c r="AX20" s="1854"/>
      <c r="AY20" s="2647"/>
      <c r="AZ20" s="2647"/>
      <c r="BA20" s="2647"/>
      <c r="BB20" s="2647"/>
      <c r="BC20" s="2647"/>
      <c r="BD20" s="2647"/>
      <c r="BE20" s="2647"/>
      <c r="BF20" s="2647"/>
      <c r="BG20" s="2647"/>
      <c r="BH20" s="2647"/>
      <c r="BI20" s="832"/>
    </row>
    <row r="21" spans="1:61" s="1503" customFormat="1" x14ac:dyDescent="0.2">
      <c r="A21" s="1411"/>
      <c r="B21" s="782"/>
      <c r="C21" s="2391" t="s">
        <v>469</v>
      </c>
      <c r="D21" s="2391" t="str">
        <f>INDEX(IPCC[Sector_description], MATCH($C21, IPCC[Sector_code], 0))</f>
        <v>Bioenergy credit</v>
      </c>
      <c r="E21" s="2710">
        <f ca="1">SUMIFS(INDIRECT("'"&amp;E$6&amp;"'!Year.Emissions"), INDIRECT("'"&amp;E$6&amp;"'!Year.IPCC"), $C21)</f>
        <v>-69.984746261924187</v>
      </c>
      <c r="F21" s="2710">
        <f t="shared" ref="F21:M21" ca="1" si="6">SUMIFS(INDIRECT("'"&amp;F$6&amp;"'!Year.Emissions"), INDIRECT("'"&amp;F$6&amp;"'!Year.IPCC"), $C21)</f>
        <v>-79.788658807870121</v>
      </c>
      <c r="G21" s="2710">
        <f t="shared" ca="1" si="6"/>
        <v>-91.931487118266929</v>
      </c>
      <c r="H21" s="2710">
        <f t="shared" ca="1" si="6"/>
        <v>-115.41998062751981</v>
      </c>
      <c r="I21" s="2710">
        <f t="shared" ca="1" si="6"/>
        <v>-125.020341213096</v>
      </c>
      <c r="J21" s="2710">
        <f t="shared" ca="1" si="6"/>
        <v>-136.68603656124461</v>
      </c>
      <c r="K21" s="2710">
        <f t="shared" ca="1" si="6"/>
        <v>-148.02146239404746</v>
      </c>
      <c r="L21" s="2710">
        <f t="shared" ca="1" si="6"/>
        <v>-160.13824103104378</v>
      </c>
      <c r="M21" s="2710">
        <f t="shared" ca="1" si="6"/>
        <v>-171.74017579723738</v>
      </c>
      <c r="N21" s="785"/>
      <c r="O21" s="2645"/>
      <c r="P21" s="2645"/>
      <c r="Q21" s="2645"/>
      <c r="R21" s="2645"/>
      <c r="S21" s="2645"/>
      <c r="T21" s="2645"/>
      <c r="U21" s="2645"/>
      <c r="V21" s="2645"/>
      <c r="W21" s="2645"/>
      <c r="X21" s="2645"/>
      <c r="Y21" s="2645"/>
      <c r="Z21" s="2645"/>
      <c r="AA21" s="2645"/>
      <c r="AB21" s="2645"/>
      <c r="AC21" s="2645"/>
      <c r="AD21" s="2645"/>
      <c r="AE21" s="2645"/>
      <c r="AF21" s="2645"/>
      <c r="AG21" s="2645"/>
      <c r="AH21" s="2645"/>
      <c r="AI21" s="2645"/>
      <c r="AJ21" s="2645"/>
      <c r="AK21" s="2645"/>
      <c r="AL21" s="2645"/>
      <c r="AM21" s="2645"/>
      <c r="AN21" s="2645"/>
      <c r="AO21" s="2645"/>
      <c r="AP21" s="2645"/>
      <c r="AQ21" s="2645"/>
      <c r="AR21" s="2645"/>
      <c r="AS21" s="2645"/>
      <c r="AT21" s="2645"/>
      <c r="AU21" s="2645"/>
      <c r="AV21" s="2645"/>
      <c r="AW21" s="2645"/>
      <c r="AX21" s="1854"/>
      <c r="AY21" s="2647"/>
      <c r="AZ21" s="2647"/>
      <c r="BA21" s="2647"/>
      <c r="BB21" s="2647"/>
      <c r="BC21" s="2647"/>
      <c r="BD21" s="2647"/>
      <c r="BE21" s="2647"/>
      <c r="BF21" s="2647"/>
      <c r="BG21" s="2647"/>
      <c r="BH21" s="2647"/>
      <c r="BI21" s="2649"/>
    </row>
    <row r="22" spans="1:61" x14ac:dyDescent="0.2">
      <c r="B22" s="782"/>
      <c r="C22" s="2391" t="s">
        <v>495</v>
      </c>
      <c r="D22" s="2642" t="str">
        <f>INDEX(IPCC[Sector_description], MATCH($C22, IPCC[Sector_code], 0))</f>
        <v>Carbon capture</v>
      </c>
      <c r="E22" s="2711">
        <f ca="1">(SUMIFS(INDIRECT("'"&amp;E$6&amp;"'!Year.Emissions"), INDIRECT("'"&amp;E$6&amp;"'!Year.IPCC"), $C22))</f>
        <v>0</v>
      </c>
      <c r="F22" s="2711">
        <f t="shared" ref="F22:M22" ca="1" si="7">(SUMIFS(INDIRECT("'"&amp;F$6&amp;"'!Year.Emissions"), INDIRECT("'"&amp;F$6&amp;"'!Year.IPCC"), $C22))</f>
        <v>0</v>
      </c>
      <c r="G22" s="2711">
        <f t="shared" ca="1" si="7"/>
        <v>0</v>
      </c>
      <c r="H22" s="2711">
        <f t="shared" ca="1" si="7"/>
        <v>0</v>
      </c>
      <c r="I22" s="2711">
        <f t="shared" ca="1" si="7"/>
        <v>0</v>
      </c>
      <c r="J22" s="2711">
        <f t="shared" ca="1" si="7"/>
        <v>0</v>
      </c>
      <c r="K22" s="2711">
        <f t="shared" ca="1" si="7"/>
        <v>0</v>
      </c>
      <c r="L22" s="2711">
        <f t="shared" ca="1" si="7"/>
        <v>0</v>
      </c>
      <c r="M22" s="2711">
        <f t="shared" ca="1" si="7"/>
        <v>0</v>
      </c>
      <c r="N22" s="785"/>
      <c r="O22" s="2645"/>
      <c r="P22" s="2645"/>
      <c r="Q22" s="2645"/>
      <c r="R22" s="2645"/>
      <c r="S22" s="2645"/>
      <c r="T22" s="2645"/>
      <c r="U22" s="2645"/>
      <c r="V22" s="2645"/>
      <c r="W22" s="2645"/>
      <c r="X22" s="2645"/>
      <c r="Y22" s="2645"/>
      <c r="Z22" s="2645"/>
      <c r="AA22" s="2645"/>
      <c r="AB22" s="2645"/>
      <c r="AC22" s="2645"/>
      <c r="AD22" s="2645"/>
      <c r="AE22" s="2645"/>
      <c r="AF22" s="2645"/>
      <c r="AG22" s="2645"/>
      <c r="AH22" s="2645"/>
      <c r="AI22" s="2645"/>
      <c r="AJ22" s="2645"/>
      <c r="AK22" s="2645"/>
      <c r="AL22" s="2645"/>
      <c r="AM22" s="2645"/>
      <c r="AN22" s="2645"/>
      <c r="AO22" s="2645"/>
      <c r="AP22" s="2645"/>
      <c r="AQ22" s="2645"/>
      <c r="AR22" s="2645"/>
      <c r="AS22" s="2645"/>
      <c r="AT22" s="2645"/>
      <c r="AU22" s="2645"/>
      <c r="AV22" s="2645"/>
      <c r="AW22" s="2645"/>
      <c r="AX22" s="1854"/>
      <c r="AY22" s="2647"/>
      <c r="AZ22" s="2647"/>
      <c r="BA22" s="2647"/>
      <c r="BB22" s="2647"/>
      <c r="BC22" s="2647"/>
      <c r="BD22" s="2647"/>
      <c r="BE22" s="2647"/>
      <c r="BF22" s="2647"/>
      <c r="BG22" s="2647"/>
      <c r="BH22" s="2647"/>
      <c r="BI22" s="832"/>
    </row>
    <row r="23" spans="1:61" s="1503" customFormat="1" x14ac:dyDescent="0.2">
      <c r="A23" s="1411"/>
      <c r="B23" s="782"/>
      <c r="C23" s="2644">
        <v>1</v>
      </c>
      <c r="D23" s="2391" t="s">
        <v>105</v>
      </c>
      <c r="E23" s="2710">
        <f ca="1">SUM(E14:E22)</f>
        <v>148.68752506342165</v>
      </c>
      <c r="F23" s="2710">
        <f t="shared" ref="F23:M23" ca="1" si="8">SUM(F14:F22)</f>
        <v>155.25397333857077</v>
      </c>
      <c r="G23" s="2710">
        <f t="shared" ca="1" si="8"/>
        <v>185.38717991488949</v>
      </c>
      <c r="H23" s="2710">
        <f t="shared" ca="1" si="8"/>
        <v>209.47410280979364</v>
      </c>
      <c r="I23" s="2710">
        <f t="shared" ca="1" si="8"/>
        <v>269.39195125059985</v>
      </c>
      <c r="J23" s="2710">
        <f t="shared" ca="1" si="8"/>
        <v>365.02257126007521</v>
      </c>
      <c r="K23" s="2710">
        <f t="shared" ca="1" si="8"/>
        <v>456.28010295494255</v>
      </c>
      <c r="L23" s="2710">
        <f t="shared" ca="1" si="8"/>
        <v>541.79883460802785</v>
      </c>
      <c r="M23" s="2710">
        <f t="shared" ca="1" si="8"/>
        <v>625.20627286094259</v>
      </c>
      <c r="N23" s="785"/>
      <c r="O23" s="2641"/>
    </row>
    <row r="24" spans="1:61" s="1503" customFormat="1" x14ac:dyDescent="0.2">
      <c r="A24" s="1411"/>
      <c r="B24" s="782"/>
      <c r="C24" s="2644"/>
      <c r="D24" s="2391" t="s">
        <v>844</v>
      </c>
      <c r="E24" s="2710">
        <v>0</v>
      </c>
      <c r="F24" s="2710">
        <v>0</v>
      </c>
      <c r="G24" s="2710">
        <v>0</v>
      </c>
      <c r="H24" s="2710">
        <v>0</v>
      </c>
      <c r="I24" s="2710"/>
      <c r="J24" s="2710"/>
      <c r="K24" s="2710"/>
      <c r="L24" s="2710"/>
      <c r="M24" s="2710">
        <v>0</v>
      </c>
      <c r="N24" s="785"/>
      <c r="O24" s="2641"/>
    </row>
    <row r="25" spans="1:61" s="1503" customFormat="1" x14ac:dyDescent="0.2">
      <c r="A25" s="1411"/>
      <c r="B25" s="782"/>
      <c r="C25" s="2644"/>
      <c r="D25" s="2391"/>
      <c r="E25" s="2392"/>
      <c r="F25" s="2392"/>
      <c r="G25" s="2392"/>
      <c r="H25" s="2392"/>
      <c r="I25" s="2392"/>
      <c r="J25" s="2392"/>
      <c r="K25" s="2392"/>
      <c r="L25" s="2392"/>
      <c r="M25" s="2392"/>
      <c r="N25" s="785"/>
      <c r="O25" s="2641"/>
    </row>
    <row r="26" spans="1:61" s="1503" customFormat="1" x14ac:dyDescent="0.2">
      <c r="A26" s="1411"/>
      <c r="B26" s="782"/>
      <c r="C26" s="2644"/>
      <c r="D26" s="2391" t="s">
        <v>2512</v>
      </c>
      <c r="E26" s="2392"/>
      <c r="F26" s="2392"/>
      <c r="G26" s="2392"/>
      <c r="H26" s="2392"/>
      <c r="I26" s="2392"/>
      <c r="J26" s="2392"/>
      <c r="K26" s="2392"/>
      <c r="L26" s="2392"/>
      <c r="M26" s="2392"/>
      <c r="N26" s="785"/>
      <c r="O26" s="2641"/>
    </row>
    <row r="27" spans="1:61" s="1503" customFormat="1" x14ac:dyDescent="0.2">
      <c r="A27" s="1411"/>
      <c r="B27" s="782"/>
      <c r="C27" s="2644"/>
      <c r="D27" s="2391" t="s">
        <v>2513</v>
      </c>
      <c r="E27" s="2392"/>
      <c r="F27" s="2392"/>
      <c r="G27" s="2392"/>
      <c r="H27" s="2392"/>
      <c r="I27" s="2392"/>
      <c r="J27" s="2392"/>
      <c r="K27" s="2392"/>
      <c r="L27" s="2392"/>
      <c r="M27" s="2392"/>
      <c r="N27" s="785"/>
      <c r="O27" s="2641"/>
    </row>
    <row r="28" spans="1:61" s="2652" customFormat="1" ht="18" customHeight="1" x14ac:dyDescent="0.2">
      <c r="A28" s="147"/>
      <c r="B28" s="788"/>
      <c r="C28" s="805"/>
      <c r="D28" s="778"/>
      <c r="E28" s="2650"/>
      <c r="F28" s="2650"/>
      <c r="G28" s="2650"/>
      <c r="H28" s="2650"/>
      <c r="I28" s="2650"/>
      <c r="J28" s="2650"/>
      <c r="K28" s="2650"/>
      <c r="L28" s="2650"/>
      <c r="M28" s="2650"/>
      <c r="N28" s="789"/>
      <c r="O28" s="2651"/>
    </row>
    <row r="30" spans="1:61" ht="15.75" x14ac:dyDescent="0.2">
      <c r="B30" s="468" t="s">
        <v>2514</v>
      </c>
      <c r="C30" s="421"/>
      <c r="D30" s="421"/>
      <c r="E30" s="421"/>
      <c r="F30" s="423"/>
      <c r="G30" s="588"/>
      <c r="H30" s="588"/>
      <c r="I30" s="588"/>
      <c r="J30" s="588"/>
      <c r="K30" s="588"/>
      <c r="L30" s="588"/>
      <c r="M30" s="588"/>
      <c r="N30" s="588"/>
    </row>
    <row r="31" spans="1:61" x14ac:dyDescent="0.2">
      <c r="B31" s="410"/>
      <c r="C31" s="412"/>
      <c r="D31" s="412"/>
      <c r="E31" s="412"/>
      <c r="F31" s="429"/>
      <c r="G31" s="588"/>
      <c r="H31" s="588"/>
      <c r="I31" s="588"/>
      <c r="J31" s="588"/>
      <c r="K31" s="588"/>
      <c r="L31" s="588"/>
      <c r="M31" s="588"/>
      <c r="N31" s="588"/>
    </row>
    <row r="32" spans="1:61" x14ac:dyDescent="0.2">
      <c r="B32" s="410"/>
      <c r="C32" s="412"/>
      <c r="D32" s="412" t="s">
        <v>2515</v>
      </c>
      <c r="E32" s="412"/>
      <c r="F32" s="429"/>
      <c r="G32" s="588"/>
      <c r="H32" s="588"/>
      <c r="I32" s="588"/>
      <c r="J32" s="588"/>
      <c r="K32" s="588"/>
      <c r="L32" s="588"/>
      <c r="M32" s="588"/>
      <c r="N32" s="588"/>
    </row>
    <row r="33" spans="1:15" x14ac:dyDescent="0.2">
      <c r="B33" s="410"/>
      <c r="C33" s="412"/>
      <c r="D33" s="412" t="s">
        <v>745</v>
      </c>
      <c r="E33" s="2653">
        <v>777.11766999999998</v>
      </c>
      <c r="F33" s="429"/>
      <c r="G33" s="588"/>
      <c r="H33" s="588"/>
      <c r="I33" s="588"/>
      <c r="J33" s="588"/>
      <c r="K33" s="588"/>
      <c r="L33" s="588"/>
      <c r="M33" s="588"/>
      <c r="N33" s="588"/>
    </row>
    <row r="34" spans="1:15" x14ac:dyDescent="0.2">
      <c r="B34" s="410"/>
      <c r="C34" s="412"/>
      <c r="D34" s="412" t="s">
        <v>633</v>
      </c>
      <c r="E34" s="2653">
        <v>22.468499999999999</v>
      </c>
      <c r="F34" s="429"/>
      <c r="G34" s="588"/>
      <c r="H34" s="588"/>
      <c r="I34" s="588" t="s">
        <v>2594</v>
      </c>
      <c r="J34" s="588"/>
      <c r="K34" s="588"/>
      <c r="L34" s="588"/>
      <c r="M34" s="588"/>
      <c r="N34" s="588"/>
    </row>
    <row r="35" spans="1:15" x14ac:dyDescent="0.2">
      <c r="B35" s="410"/>
      <c r="C35" s="412"/>
      <c r="D35" s="412" t="s">
        <v>2516</v>
      </c>
      <c r="E35" s="2653">
        <f>SUM(E33:E34)</f>
        <v>799.58616999999992</v>
      </c>
      <c r="F35" s="429"/>
      <c r="G35" s="588"/>
      <c r="H35" s="588"/>
      <c r="I35" s="588"/>
      <c r="J35" s="588"/>
      <c r="K35" s="588"/>
      <c r="L35" s="588"/>
      <c r="M35" s="588"/>
      <c r="N35" s="588"/>
    </row>
    <row r="36" spans="1:15" x14ac:dyDescent="0.2">
      <c r="B36" s="410"/>
      <c r="C36" s="412"/>
      <c r="D36" s="412"/>
      <c r="E36" s="412"/>
      <c r="F36" s="429"/>
      <c r="G36" s="588"/>
      <c r="H36" s="588"/>
      <c r="I36" s="588"/>
      <c r="J36" s="588"/>
      <c r="K36" s="588"/>
      <c r="L36" s="588"/>
      <c r="M36" s="588"/>
      <c r="N36" s="588"/>
    </row>
    <row r="37" spans="1:15" x14ac:dyDescent="0.2">
      <c r="B37" s="410"/>
      <c r="C37" s="412"/>
      <c r="D37" s="412" t="s">
        <v>2532</v>
      </c>
      <c r="E37" s="2653">
        <f ca="1">INDIRECT("2010!Year.Emissions.Total")</f>
        <v>148.68752506342165</v>
      </c>
      <c r="F37" s="429"/>
      <c r="G37" s="588"/>
      <c r="H37" s="588"/>
      <c r="I37" s="588"/>
      <c r="J37" s="588"/>
      <c r="K37" s="588"/>
      <c r="L37" s="588"/>
      <c r="M37" s="588"/>
      <c r="N37" s="588"/>
    </row>
    <row r="38" spans="1:15" x14ac:dyDescent="0.2">
      <c r="B38" s="410"/>
      <c r="C38" s="412"/>
      <c r="D38" s="412" t="s">
        <v>2533</v>
      </c>
      <c r="E38" s="412">
        <v>681</v>
      </c>
      <c r="F38" s="429"/>
      <c r="G38" s="588"/>
      <c r="H38" s="588"/>
      <c r="I38" s="588"/>
      <c r="J38" s="588"/>
      <c r="K38" s="588"/>
      <c r="L38" s="588"/>
      <c r="M38" s="588"/>
      <c r="N38" s="588"/>
    </row>
    <row r="39" spans="1:15" x14ac:dyDescent="0.2">
      <c r="B39" s="410"/>
      <c r="C39" s="412"/>
      <c r="D39" s="412" t="s">
        <v>2517</v>
      </c>
      <c r="E39" s="2654">
        <f ca="1">E37/E38</f>
        <v>0.21833704120913605</v>
      </c>
      <c r="F39" s="429"/>
      <c r="G39" s="588"/>
      <c r="H39" s="588"/>
      <c r="I39" s="588"/>
      <c r="J39" s="588"/>
      <c r="K39" s="588"/>
      <c r="L39" s="588"/>
      <c r="M39" s="588"/>
      <c r="N39" s="588"/>
    </row>
    <row r="40" spans="1:15" x14ac:dyDescent="0.2">
      <c r="B40" s="410"/>
      <c r="C40" s="412"/>
      <c r="D40" s="412"/>
      <c r="E40" s="412"/>
      <c r="F40" s="429"/>
      <c r="G40" s="588"/>
      <c r="H40" s="588"/>
      <c r="I40" s="588"/>
      <c r="J40" s="588"/>
      <c r="K40" s="588"/>
      <c r="L40" s="588"/>
      <c r="M40" s="588"/>
      <c r="N40" s="588"/>
    </row>
    <row r="41" spans="1:15" x14ac:dyDescent="0.2">
      <c r="B41" s="410"/>
      <c r="C41" s="794"/>
      <c r="D41" s="412" t="s">
        <v>2518</v>
      </c>
      <c r="E41" s="2653">
        <f ca="1">E35*E39</f>
        <v>174.57927854954525</v>
      </c>
      <c r="F41" s="429"/>
      <c r="G41" s="588"/>
      <c r="H41" s="588"/>
      <c r="I41" s="588"/>
      <c r="J41" s="588"/>
      <c r="K41" s="588"/>
      <c r="L41" s="588"/>
      <c r="M41" s="588"/>
      <c r="N41" s="588"/>
    </row>
    <row r="42" spans="1:15" s="1503" customFormat="1" x14ac:dyDescent="0.2">
      <c r="A42" s="1411"/>
      <c r="B42" s="782"/>
      <c r="C42" s="2644"/>
      <c r="D42" s="2391" t="s">
        <v>2519</v>
      </c>
      <c r="E42" s="2655">
        <f ca="1">(M23/E41)</f>
        <v>3.5812169580223707</v>
      </c>
      <c r="F42" s="785"/>
      <c r="G42" s="2641"/>
    </row>
    <row r="43" spans="1:15" s="2652" customFormat="1" ht="18" customHeight="1" x14ac:dyDescent="0.2">
      <c r="A43" s="147"/>
      <c r="B43" s="788"/>
      <c r="C43" s="805"/>
      <c r="D43" s="778"/>
      <c r="E43" s="2650"/>
      <c r="F43" s="789"/>
      <c r="G43" s="2651"/>
    </row>
    <row r="46" spans="1:15" s="1503" customFormat="1" ht="18" customHeight="1" x14ac:dyDescent="0.2">
      <c r="A46" s="1411"/>
      <c r="B46" s="782"/>
      <c r="C46" s="2397" t="s">
        <v>2595</v>
      </c>
      <c r="D46" s="783"/>
      <c r="E46" s="2389"/>
      <c r="F46" s="2389"/>
      <c r="G46" s="2389"/>
      <c r="H46" s="2389"/>
      <c r="I46" s="2389"/>
      <c r="J46" s="2389"/>
      <c r="K46" s="2389"/>
      <c r="L46" s="2389"/>
      <c r="M46" s="2389"/>
      <c r="N46" s="785"/>
      <c r="O46" s="2641"/>
    </row>
    <row r="47" spans="1:15" s="1503" customFormat="1" ht="18" customHeight="1" x14ac:dyDescent="0.2">
      <c r="A47" s="1411"/>
      <c r="B47" s="782"/>
      <c r="C47" s="2397"/>
      <c r="D47" s="783"/>
      <c r="E47" s="2389"/>
      <c r="F47" s="2389"/>
      <c r="G47" s="2389"/>
      <c r="H47" s="2389"/>
      <c r="I47" s="2389"/>
      <c r="J47" s="2389"/>
      <c r="K47" s="2389"/>
      <c r="L47" s="2389"/>
      <c r="M47" s="2389"/>
      <c r="N47" s="785"/>
      <c r="O47" s="2641"/>
    </row>
    <row r="48" spans="1:15" s="1503" customFormat="1" ht="18" customHeight="1" x14ac:dyDescent="0.2">
      <c r="A48" s="1411"/>
      <c r="B48" s="782"/>
      <c r="C48" s="803"/>
      <c r="D48" s="2640" t="s">
        <v>2582</v>
      </c>
      <c r="E48" s="775">
        <v>2010</v>
      </c>
      <c r="F48" s="775">
        <v>2015</v>
      </c>
      <c r="G48" s="775">
        <v>2020</v>
      </c>
      <c r="H48" s="775">
        <v>2025</v>
      </c>
      <c r="I48" s="775">
        <v>2030</v>
      </c>
      <c r="J48" s="775">
        <v>2035</v>
      </c>
      <c r="K48" s="775">
        <v>2040</v>
      </c>
      <c r="L48" s="775">
        <v>2045</v>
      </c>
      <c r="M48" s="775">
        <v>2050</v>
      </c>
      <c r="N48" s="785"/>
      <c r="O48" s="2641"/>
    </row>
    <row r="49" spans="1:61" x14ac:dyDescent="0.2">
      <c r="B49" s="782"/>
      <c r="C49" s="2644">
        <v>1</v>
      </c>
      <c r="D49" s="2391" t="s">
        <v>462</v>
      </c>
      <c r="E49" s="2710">
        <f ca="1">E9/('Global assumptions'!$C$7/1000000)</f>
        <v>0.97698875625843751</v>
      </c>
      <c r="F49" s="2710">
        <f t="shared" ref="F49:M49" ca="1" si="9">F9</f>
        <v>168.8355552138232</v>
      </c>
      <c r="G49" s="2710">
        <f t="shared" ca="1" si="9"/>
        <v>211.81655520453529</v>
      </c>
      <c r="H49" s="2710">
        <f t="shared" ca="1" si="9"/>
        <v>260.11060360479769</v>
      </c>
      <c r="I49" s="2710">
        <f t="shared" ca="1" si="9"/>
        <v>332.74481651612234</v>
      </c>
      <c r="J49" s="2710">
        <f t="shared" ca="1" si="9"/>
        <v>442.9262042343758</v>
      </c>
      <c r="K49" s="2710">
        <f t="shared" ca="1" si="9"/>
        <v>549.60589168394858</v>
      </c>
      <c r="L49" s="2710">
        <f t="shared" ca="1" si="9"/>
        <v>651.48318486045412</v>
      </c>
      <c r="M49" s="2710">
        <f t="shared" ca="1" si="9"/>
        <v>748.29600220034467</v>
      </c>
      <c r="N49" s="785"/>
      <c r="O49" s="2645"/>
      <c r="P49" s="2645"/>
      <c r="Q49" s="2645"/>
      <c r="R49" s="2645"/>
      <c r="S49" s="2645"/>
      <c r="T49" s="2645"/>
      <c r="U49" s="2645"/>
      <c r="V49" s="2645"/>
      <c r="W49" s="2645"/>
      <c r="X49" s="2645"/>
      <c r="Y49" s="2645"/>
      <c r="Z49" s="2645"/>
      <c r="AA49" s="2645"/>
      <c r="AB49" s="2645"/>
      <c r="AC49" s="2645"/>
      <c r="AD49" s="2645"/>
      <c r="AE49" s="2645"/>
      <c r="AF49" s="2645"/>
      <c r="AG49" s="2645"/>
      <c r="AH49" s="2645"/>
      <c r="AI49" s="2645"/>
      <c r="AJ49" s="2645"/>
      <c r="AK49" s="2645"/>
      <c r="AL49" s="2645"/>
      <c r="AM49" s="2645"/>
      <c r="AN49" s="2645"/>
      <c r="AO49" s="2645"/>
      <c r="AP49" s="2645"/>
      <c r="AQ49" s="2645"/>
      <c r="AR49" s="2645"/>
      <c r="AS49" s="2645"/>
      <c r="AT49" s="2645"/>
      <c r="AU49" s="2645"/>
      <c r="AV49" s="2645"/>
      <c r="AW49" s="2645"/>
      <c r="AX49" s="1854"/>
      <c r="AY49" s="2646"/>
      <c r="AZ49" s="2646"/>
      <c r="BA49" s="2646"/>
      <c r="BB49" s="2646"/>
      <c r="BC49" s="2646"/>
      <c r="BD49" s="2646"/>
      <c r="BE49" s="2646"/>
      <c r="BF49" s="2646"/>
      <c r="BG49" s="2646"/>
      <c r="BH49" s="2646"/>
      <c r="BI49" s="832"/>
    </row>
    <row r="50" spans="1:61" x14ac:dyDescent="0.2">
      <c r="B50" s="782"/>
      <c r="C50" s="2644">
        <v>2</v>
      </c>
      <c r="D50" s="2391" t="str">
        <f>INDEX(IPCC[Sector_description], MATCH($C50, IPCC[Sector_code], 0))</f>
        <v>Industrial Processes</v>
      </c>
      <c r="E50" s="2710">
        <f ca="1">(SUMIFS(INDIRECT("'"&amp;E$6&amp;"'!Year.Emissions"), INDIRECT("'"&amp;E$6&amp;"'!Year.IPCC"), $C50))/('Global assumptions'!$C$7/1000000)</f>
        <v>0.17871138499800779</v>
      </c>
      <c r="F50" s="2710">
        <f t="shared" ref="F50:M55" ca="1" si="10">(SUMIFS(INDIRECT("'"&amp;F$6&amp;"'!Year.Emissions"), INDIRECT("'"&amp;F$6&amp;"'!Year.IPCC"), $C50))</f>
        <v>27.858091129429077</v>
      </c>
      <c r="G50" s="2710">
        <f t="shared" ca="1" si="10"/>
        <v>27.86547682600942</v>
      </c>
      <c r="H50" s="2710">
        <f t="shared" ca="1" si="10"/>
        <v>27.914626100053326</v>
      </c>
      <c r="I50" s="2710">
        <f t="shared" ca="1" si="10"/>
        <v>27.542607500392428</v>
      </c>
      <c r="J50" s="2710">
        <f t="shared" ca="1" si="10"/>
        <v>27.19371178333455</v>
      </c>
      <c r="K50" s="2710">
        <f t="shared" ca="1" si="10"/>
        <v>26.867422835474294</v>
      </c>
      <c r="L50" s="2710">
        <f t="shared" ca="1" si="10"/>
        <v>26.563252748959535</v>
      </c>
      <c r="M50" s="2710">
        <f t="shared" ca="1" si="10"/>
        <v>27.891312059948405</v>
      </c>
      <c r="N50" s="785"/>
      <c r="O50" s="2645"/>
      <c r="P50" s="2645"/>
      <c r="Q50" s="2645"/>
      <c r="R50" s="2645"/>
      <c r="S50" s="2645"/>
      <c r="T50" s="2645"/>
      <c r="U50" s="2645"/>
      <c r="V50" s="2645"/>
      <c r="W50" s="2645"/>
      <c r="X50" s="2645"/>
      <c r="Y50" s="2645"/>
      <c r="Z50" s="2645"/>
      <c r="AA50" s="2645"/>
      <c r="AB50" s="2645"/>
      <c r="AC50" s="2645"/>
      <c r="AD50" s="2645"/>
      <c r="AE50" s="2645"/>
      <c r="AF50" s="2645"/>
      <c r="AG50" s="2645"/>
      <c r="AH50" s="2645"/>
      <c r="AI50" s="2645"/>
      <c r="AJ50" s="2645"/>
      <c r="AK50" s="2645"/>
      <c r="AL50" s="2645"/>
      <c r="AM50" s="2645"/>
      <c r="AN50" s="2645"/>
      <c r="AO50" s="2645"/>
      <c r="AP50" s="2645"/>
      <c r="AQ50" s="2645"/>
      <c r="AR50" s="2645"/>
      <c r="AS50" s="2645"/>
      <c r="AT50" s="2645"/>
      <c r="AU50" s="2645"/>
      <c r="AV50" s="2645"/>
      <c r="AW50" s="2645"/>
      <c r="AX50" s="1854"/>
      <c r="AY50" s="2647"/>
      <c r="AZ50" s="2647"/>
      <c r="BA50" s="2647"/>
      <c r="BB50" s="2647"/>
      <c r="BC50" s="2647"/>
      <c r="BD50" s="2647"/>
      <c r="BE50" s="2647"/>
      <c r="BF50" s="2647"/>
      <c r="BG50" s="2647"/>
      <c r="BH50" s="2647"/>
      <c r="BI50" s="832"/>
    </row>
    <row r="51" spans="1:61" x14ac:dyDescent="0.2">
      <c r="B51" s="782"/>
      <c r="C51" s="2644">
        <v>3</v>
      </c>
      <c r="D51" s="2391" t="str">
        <f>INDEX(IPCC[Sector_description], MATCH($C51, IPCC[Sector_code], 0))</f>
        <v>Solvent and Other Product Use</v>
      </c>
      <c r="E51" s="2710">
        <f ca="1">(SUMIFS(INDIRECT("'"&amp;E$6&amp;"'!Year.Emissions"), INDIRECT("'"&amp;E$6&amp;"'!Year.IPCC"), $C51))/('Global assumptions'!$C$7/1000000)</f>
        <v>0</v>
      </c>
      <c r="F51" s="2710">
        <f t="shared" ca="1" si="10"/>
        <v>0</v>
      </c>
      <c r="G51" s="2710">
        <f t="shared" ca="1" si="10"/>
        <v>0</v>
      </c>
      <c r="H51" s="2710">
        <f t="shared" ca="1" si="10"/>
        <v>0</v>
      </c>
      <c r="I51" s="2710">
        <f t="shared" ca="1" si="10"/>
        <v>0</v>
      </c>
      <c r="J51" s="2710">
        <f t="shared" ca="1" si="10"/>
        <v>0</v>
      </c>
      <c r="K51" s="2710">
        <f t="shared" ca="1" si="10"/>
        <v>0</v>
      </c>
      <c r="L51" s="2710">
        <f t="shared" ca="1" si="10"/>
        <v>0</v>
      </c>
      <c r="M51" s="2710">
        <f t="shared" ca="1" si="10"/>
        <v>0</v>
      </c>
      <c r="N51" s="785"/>
      <c r="O51" s="2645"/>
      <c r="P51" s="2645"/>
      <c r="Q51" s="2645"/>
      <c r="R51" s="2645"/>
      <c r="S51" s="2645"/>
      <c r="T51" s="2645"/>
      <c r="U51" s="2645"/>
      <c r="V51" s="2645"/>
      <c r="W51" s="2645"/>
      <c r="X51" s="2645"/>
      <c r="Y51" s="2645"/>
      <c r="Z51" s="2645"/>
      <c r="AA51" s="2645"/>
      <c r="AB51" s="2645"/>
      <c r="AC51" s="2645"/>
      <c r="AD51" s="2645"/>
      <c r="AE51" s="2645"/>
      <c r="AF51" s="2645"/>
      <c r="AG51" s="2645"/>
      <c r="AH51" s="2645"/>
      <c r="AI51" s="2645"/>
      <c r="AJ51" s="2645"/>
      <c r="AK51" s="2645"/>
      <c r="AL51" s="2645"/>
      <c r="AM51" s="2645"/>
      <c r="AN51" s="2645"/>
      <c r="AO51" s="2645"/>
      <c r="AP51" s="2645"/>
      <c r="AQ51" s="2645"/>
      <c r="AR51" s="2645"/>
      <c r="AS51" s="2645"/>
      <c r="AT51" s="2645"/>
      <c r="AU51" s="2645"/>
      <c r="AV51" s="2645"/>
      <c r="AW51" s="2645"/>
      <c r="AX51" s="1854"/>
      <c r="AY51" s="2647"/>
      <c r="AZ51" s="2647"/>
      <c r="BA51" s="2647"/>
      <c r="BB51" s="2647"/>
      <c r="BC51" s="2647"/>
      <c r="BD51" s="2647"/>
      <c r="BE51" s="2647"/>
      <c r="BF51" s="2647"/>
      <c r="BG51" s="2647"/>
      <c r="BH51" s="2647"/>
      <c r="BI51" s="832"/>
    </row>
    <row r="52" spans="1:61" x14ac:dyDescent="0.2">
      <c r="B52" s="782"/>
      <c r="C52" s="2644">
        <v>4</v>
      </c>
      <c r="D52" s="2391" t="str">
        <f>INDEX(IPCC[Sector_description], MATCH($C52, IPCC[Sector_code], 0))</f>
        <v>Agriculture</v>
      </c>
      <c r="E52" s="2710">
        <f ca="1">(SUMIFS(INDIRECT("'"&amp;E$6&amp;"'!Year.Emissions"), INDIRECT("'"&amp;E$6&amp;"'!Year.IPCC"), $C52))/('Global assumptions'!$C$7/1000000)</f>
        <v>0.14916476621147948</v>
      </c>
      <c r="F52" s="2710">
        <f t="shared" ca="1" si="10"/>
        <v>22.545258398704277</v>
      </c>
      <c r="G52" s="2710">
        <f t="shared" ca="1" si="10"/>
        <v>21.83370602510076</v>
      </c>
      <c r="H52" s="2710">
        <f t="shared" ca="1" si="10"/>
        <v>21.760312993855567</v>
      </c>
      <c r="I52" s="2710">
        <f t="shared" ca="1" si="10"/>
        <v>21.687166670019057</v>
      </c>
      <c r="J52" s="2710">
        <f t="shared" ca="1" si="10"/>
        <v>21.61426622429525</v>
      </c>
      <c r="K52" s="2710">
        <f t="shared" ca="1" si="10"/>
        <v>21.541610830175813</v>
      </c>
      <c r="L52" s="2710">
        <f t="shared" ca="1" si="10"/>
        <v>21.469199663930684</v>
      </c>
      <c r="M52" s="2710">
        <f t="shared" ca="1" si="10"/>
        <v>21.39703190459873</v>
      </c>
      <c r="N52" s="785"/>
      <c r="O52" s="2645"/>
      <c r="P52" s="2645"/>
      <c r="Q52" s="2645"/>
      <c r="R52" s="2645"/>
      <c r="S52" s="2645"/>
      <c r="T52" s="2645"/>
      <c r="U52" s="2645"/>
      <c r="V52" s="2645"/>
      <c r="W52" s="2645"/>
      <c r="X52" s="2645"/>
      <c r="Y52" s="2645"/>
      <c r="Z52" s="2645"/>
      <c r="AA52" s="2645"/>
      <c r="AB52" s="2645"/>
      <c r="AC52" s="2645"/>
      <c r="AD52" s="2645"/>
      <c r="AE52" s="2645"/>
      <c r="AF52" s="2645"/>
      <c r="AG52" s="2645"/>
      <c r="AH52" s="2645"/>
      <c r="AI52" s="2645"/>
      <c r="AJ52" s="2645"/>
      <c r="AK52" s="2645"/>
      <c r="AL52" s="2645"/>
      <c r="AM52" s="2645"/>
      <c r="AN52" s="2645"/>
      <c r="AO52" s="2645"/>
      <c r="AP52" s="2645"/>
      <c r="AQ52" s="2645"/>
      <c r="AR52" s="2645"/>
      <c r="AS52" s="2645"/>
      <c r="AT52" s="2645"/>
      <c r="AU52" s="2645"/>
      <c r="AV52" s="2645"/>
      <c r="AW52" s="2645"/>
      <c r="AX52" s="1854"/>
      <c r="AY52" s="2647"/>
      <c r="AZ52" s="2647"/>
      <c r="BA52" s="2647"/>
      <c r="BB52" s="2647"/>
      <c r="BC52" s="2647"/>
      <c r="BD52" s="2647"/>
      <c r="BE52" s="2647"/>
      <c r="BF52" s="2647"/>
      <c r="BG52" s="2647"/>
      <c r="BH52" s="2647"/>
      <c r="BI52" s="832"/>
    </row>
    <row r="53" spans="1:61" x14ac:dyDescent="0.2">
      <c r="B53" s="782"/>
      <c r="C53" s="2644">
        <v>5</v>
      </c>
      <c r="D53" s="2391" t="str">
        <f>INDEX(IPCC[Sector_description], MATCH($C53, IPCC[Sector_code], 0))</f>
        <v>LULUCF</v>
      </c>
      <c r="E53" s="2710">
        <f ca="1">(SUMIFS(INDIRECT("'"&amp;E$6&amp;"'!Year.Emissions"), INDIRECT("'"&amp;E$6&amp;"'!Year.IPCC"), $C53))/('Global assumptions'!$C$7/1000000)</f>
        <v>1.2187317999345195E-2</v>
      </c>
      <c r="F53" s="2710">
        <f t="shared" ca="1" si="10"/>
        <v>4.9966990495666685</v>
      </c>
      <c r="G53" s="2710">
        <f t="shared" ca="1" si="10"/>
        <v>7.3100835966666686</v>
      </c>
      <c r="H53" s="2710">
        <f t="shared" ca="1" si="10"/>
        <v>8.7189949184666684</v>
      </c>
      <c r="I53" s="2710">
        <f t="shared" ca="1" si="10"/>
        <v>7.9318683936333301</v>
      </c>
      <c r="J53" s="2710">
        <f t="shared" ca="1" si="10"/>
        <v>6.4835049805000082</v>
      </c>
      <c r="K53" s="2710">
        <f t="shared" ca="1" si="10"/>
        <v>3.6992471491666095</v>
      </c>
      <c r="L53" s="2710">
        <f t="shared" ca="1" si="10"/>
        <v>0.62618822796669904</v>
      </c>
      <c r="M53" s="2710">
        <f t="shared" ca="1" si="10"/>
        <v>-1.7523899681333004</v>
      </c>
      <c r="N53" s="785"/>
      <c r="O53" s="2645"/>
      <c r="P53" s="2645"/>
      <c r="Q53" s="2645"/>
      <c r="R53" s="2645"/>
      <c r="S53" s="2645"/>
      <c r="T53" s="2645"/>
      <c r="U53" s="2645"/>
      <c r="V53" s="2645"/>
      <c r="W53" s="2645"/>
      <c r="X53" s="2645"/>
      <c r="Y53" s="2645"/>
      <c r="Z53" s="2645"/>
      <c r="AA53" s="2645"/>
      <c r="AB53" s="2645"/>
      <c r="AC53" s="2645"/>
      <c r="AD53" s="2645"/>
      <c r="AE53" s="2645"/>
      <c r="AF53" s="2645"/>
      <c r="AG53" s="2645"/>
      <c r="AH53" s="2645"/>
      <c r="AI53" s="2645"/>
      <c r="AJ53" s="2645"/>
      <c r="AK53" s="2645"/>
      <c r="AL53" s="2645"/>
      <c r="AM53" s="2645"/>
      <c r="AN53" s="2645"/>
      <c r="AO53" s="2645"/>
      <c r="AP53" s="2645"/>
      <c r="AQ53" s="2645"/>
      <c r="AR53" s="2645"/>
      <c r="AS53" s="2645"/>
      <c r="AT53" s="2645"/>
      <c r="AU53" s="2645"/>
      <c r="AV53" s="2645"/>
      <c r="AW53" s="2645"/>
      <c r="AX53" s="1854"/>
      <c r="AY53" s="2647"/>
      <c r="AZ53" s="2647"/>
      <c r="BA53" s="2647"/>
      <c r="BB53" s="2647"/>
      <c r="BC53" s="2647"/>
      <c r="BD53" s="2647"/>
      <c r="BE53" s="2647"/>
      <c r="BF53" s="2647"/>
      <c r="BG53" s="2647"/>
      <c r="BH53" s="2647"/>
      <c r="BI53" s="832"/>
    </row>
    <row r="54" spans="1:61" x14ac:dyDescent="0.2">
      <c r="B54" s="782"/>
      <c r="C54" s="2644">
        <v>6</v>
      </c>
      <c r="D54" s="2391" t="str">
        <f>INDEX(IPCC[Sector_description], MATCH($C54, IPCC[Sector_code], 0))</f>
        <v>Waste</v>
      </c>
      <c r="E54" s="2710">
        <f ca="1">(SUMIFS(INDIRECT("'"&amp;E$6&amp;"'!Year.Emissions"), INDIRECT("'"&amp;E$6&amp;"'!Year.IPCC"), $C54))/('Global assumptions'!$C$7/1000000)</f>
        <v>8.4073128019775359E-2</v>
      </c>
      <c r="F54" s="2710">
        <f t="shared" ca="1" si="10"/>
        <v>10.807028354917669</v>
      </c>
      <c r="G54" s="2710">
        <f t="shared" ca="1" si="10"/>
        <v>8.4928453808442548</v>
      </c>
      <c r="H54" s="2710">
        <f t="shared" ca="1" si="10"/>
        <v>6.3895458201402011</v>
      </c>
      <c r="I54" s="2710">
        <f t="shared" ca="1" si="10"/>
        <v>4.5058333835286835</v>
      </c>
      <c r="J54" s="2710">
        <f t="shared" ca="1" si="10"/>
        <v>3.4909205988141889</v>
      </c>
      <c r="K54" s="2710">
        <f t="shared" ca="1" si="10"/>
        <v>2.5873928502248216</v>
      </c>
      <c r="L54" s="2710">
        <f t="shared" ca="1" si="10"/>
        <v>1.7952501377605785</v>
      </c>
      <c r="M54" s="2710">
        <f t="shared" ca="1" si="10"/>
        <v>1.1144924614214589</v>
      </c>
      <c r="N54" s="785"/>
      <c r="O54" s="2645"/>
      <c r="P54" s="2645"/>
      <c r="Q54" s="2645"/>
      <c r="R54" s="2645"/>
      <c r="S54" s="2645"/>
      <c r="T54" s="2645"/>
      <c r="U54" s="2645"/>
      <c r="V54" s="2645"/>
      <c r="W54" s="2645"/>
      <c r="X54" s="2645"/>
      <c r="Y54" s="2645"/>
      <c r="Z54" s="2645"/>
      <c r="AA54" s="2645"/>
      <c r="AB54" s="2645"/>
      <c r="AC54" s="2645"/>
      <c r="AD54" s="2645"/>
      <c r="AE54" s="2645"/>
      <c r="AF54" s="2645"/>
      <c r="AG54" s="2645"/>
      <c r="AH54" s="2645"/>
      <c r="AI54" s="2645"/>
      <c r="AJ54" s="2645"/>
      <c r="AK54" s="2645"/>
      <c r="AL54" s="2645"/>
      <c r="AM54" s="2645"/>
      <c r="AN54" s="2645"/>
      <c r="AO54" s="2645"/>
      <c r="AP54" s="2645"/>
      <c r="AQ54" s="2645"/>
      <c r="AR54" s="2645"/>
      <c r="AS54" s="2645"/>
      <c r="AT54" s="2645"/>
      <c r="AU54" s="2645"/>
      <c r="AV54" s="2645"/>
      <c r="AW54" s="2645"/>
      <c r="AX54" s="1854"/>
      <c r="AY54" s="2647"/>
      <c r="AZ54" s="2647"/>
      <c r="BA54" s="2647"/>
      <c r="BB54" s="2647"/>
      <c r="BC54" s="2647"/>
      <c r="BD54" s="2647"/>
      <c r="BE54" s="2647"/>
      <c r="BF54" s="2647"/>
      <c r="BG54" s="2647"/>
      <c r="BH54" s="2647"/>
      <c r="BI54" s="832"/>
    </row>
    <row r="55" spans="1:61" x14ac:dyDescent="0.2">
      <c r="B55" s="782"/>
      <c r="C55" s="2644">
        <v>7</v>
      </c>
      <c r="D55" s="2391" t="str">
        <f>INDEX(IPCC[Sector_description], MATCH($C55, IPCC[Sector_code], 0))</f>
        <v>Other</v>
      </c>
      <c r="E55" s="2710">
        <f ca="1">(SUMIFS(INDIRECT("'"&amp;E$6&amp;"'!Year.Emissions"), INDIRECT("'"&amp;E$6&amp;"'!Year.IPCC"), $C55))/('Global assumptions'!$C$7/1000000)</f>
        <v>0</v>
      </c>
      <c r="F55" s="2710">
        <f t="shared" ca="1" si="10"/>
        <v>0</v>
      </c>
      <c r="G55" s="2710">
        <f t="shared" ca="1" si="10"/>
        <v>0</v>
      </c>
      <c r="H55" s="2710">
        <f t="shared" ca="1" si="10"/>
        <v>0</v>
      </c>
      <c r="I55" s="2710">
        <f t="shared" ca="1" si="10"/>
        <v>0</v>
      </c>
      <c r="J55" s="2710">
        <f t="shared" ca="1" si="10"/>
        <v>0</v>
      </c>
      <c r="K55" s="2710">
        <f t="shared" ca="1" si="10"/>
        <v>0</v>
      </c>
      <c r="L55" s="2710">
        <f t="shared" ca="1" si="10"/>
        <v>0</v>
      </c>
      <c r="M55" s="2710">
        <f t="shared" ca="1" si="10"/>
        <v>0</v>
      </c>
      <c r="N55" s="785"/>
      <c r="O55" s="2648"/>
      <c r="P55" s="2648"/>
      <c r="Q55" s="2648"/>
      <c r="R55" s="2648"/>
      <c r="S55" s="2648"/>
      <c r="T55" s="2648"/>
      <c r="U55" s="2648"/>
      <c r="V55" s="2648"/>
      <c r="W55" s="2648"/>
      <c r="X55" s="2648"/>
      <c r="Y55" s="2648"/>
      <c r="Z55" s="2648"/>
      <c r="AA55" s="2648"/>
      <c r="AB55" s="2648"/>
      <c r="AC55" s="2648"/>
      <c r="AD55" s="2648"/>
      <c r="AE55" s="2648"/>
      <c r="AF55" s="2648"/>
      <c r="AG55" s="2648"/>
      <c r="AH55" s="2648"/>
      <c r="AI55" s="2648"/>
      <c r="AJ55" s="2648"/>
      <c r="AK55" s="2648"/>
      <c r="AL55" s="2648"/>
      <c r="AM55" s="2648"/>
      <c r="AN55" s="2648"/>
      <c r="AO55" s="2648"/>
      <c r="AP55" s="2648"/>
      <c r="AQ55" s="2648"/>
      <c r="AR55" s="2648"/>
      <c r="AS55" s="2648"/>
      <c r="AT55" s="2648"/>
      <c r="AU55" s="2648"/>
      <c r="AV55" s="2648"/>
      <c r="AW55" s="2648"/>
      <c r="AX55" s="1854"/>
      <c r="AY55" s="2647"/>
      <c r="AZ55" s="2647"/>
      <c r="BA55" s="2647"/>
      <c r="BB55" s="2647"/>
      <c r="BC55" s="2647"/>
      <c r="BD55" s="2647"/>
      <c r="BE55" s="2647"/>
      <c r="BF55" s="2647"/>
      <c r="BG55" s="2647"/>
      <c r="BH55" s="2647"/>
      <c r="BI55" s="832"/>
    </row>
    <row r="56" spans="1:61" s="1503" customFormat="1" x14ac:dyDescent="0.2">
      <c r="A56" s="1411"/>
      <c r="B56" s="782"/>
      <c r="C56" s="2391" t="s">
        <v>469</v>
      </c>
      <c r="D56" s="2391" t="str">
        <f>INDEX(IPCC[Sector_description], MATCH($C56, IPCC[Sector_code], 0))</f>
        <v>Bioenergy credit</v>
      </c>
      <c r="E56" s="2710">
        <f ca="1">SUMIFS(INDIRECT("'"&amp;E$6&amp;"'!Year.Emissions"), INDIRECT("'"&amp;E$6&amp;"'!Year.IPCC"), $C56)/('Global assumptions'!$C$7/1000000)</f>
        <v>-0.44842174890591202</v>
      </c>
      <c r="F56" s="2710">
        <f t="shared" ref="F56:M56" ca="1" si="11">SUMIFS(INDIRECT("'"&amp;F$6&amp;"'!Year.Emissions"), INDIRECT("'"&amp;F$6&amp;"'!Year.IPCC"), $C56)</f>
        <v>-79.788658807870121</v>
      </c>
      <c r="G56" s="2710">
        <f t="shared" ca="1" si="11"/>
        <v>-91.931487118266929</v>
      </c>
      <c r="H56" s="2710">
        <f t="shared" ca="1" si="11"/>
        <v>-115.41998062751981</v>
      </c>
      <c r="I56" s="2710">
        <f t="shared" ca="1" si="11"/>
        <v>-125.020341213096</v>
      </c>
      <c r="J56" s="2710">
        <f t="shared" ca="1" si="11"/>
        <v>-136.68603656124461</v>
      </c>
      <c r="K56" s="2710">
        <f t="shared" ca="1" si="11"/>
        <v>-148.02146239404746</v>
      </c>
      <c r="L56" s="2710">
        <f t="shared" ca="1" si="11"/>
        <v>-160.13824103104378</v>
      </c>
      <c r="M56" s="2710">
        <f t="shared" ca="1" si="11"/>
        <v>-171.74017579723738</v>
      </c>
      <c r="N56" s="785"/>
      <c r="O56" s="2645"/>
      <c r="P56" s="2645"/>
      <c r="Q56" s="2645"/>
      <c r="R56" s="2645"/>
      <c r="S56" s="2645"/>
      <c r="T56" s="2645"/>
      <c r="U56" s="2645"/>
      <c r="V56" s="2645"/>
      <c r="W56" s="2645"/>
      <c r="X56" s="2645"/>
      <c r="Y56" s="2645"/>
      <c r="Z56" s="2645"/>
      <c r="AA56" s="2645"/>
      <c r="AB56" s="2645"/>
      <c r="AC56" s="2645"/>
      <c r="AD56" s="2645"/>
      <c r="AE56" s="2645"/>
      <c r="AF56" s="2645"/>
      <c r="AG56" s="2645"/>
      <c r="AH56" s="2645"/>
      <c r="AI56" s="2645"/>
      <c r="AJ56" s="2645"/>
      <c r="AK56" s="2645"/>
      <c r="AL56" s="2645"/>
      <c r="AM56" s="2645"/>
      <c r="AN56" s="2645"/>
      <c r="AO56" s="2645"/>
      <c r="AP56" s="2645"/>
      <c r="AQ56" s="2645"/>
      <c r="AR56" s="2645"/>
      <c r="AS56" s="2645"/>
      <c r="AT56" s="2645"/>
      <c r="AU56" s="2645"/>
      <c r="AV56" s="2645"/>
      <c r="AW56" s="2645"/>
      <c r="AX56" s="1854"/>
      <c r="AY56" s="2647"/>
      <c r="AZ56" s="2647"/>
      <c r="BA56" s="2647"/>
      <c r="BB56" s="2647"/>
      <c r="BC56" s="2647"/>
      <c r="BD56" s="2647"/>
      <c r="BE56" s="2647"/>
      <c r="BF56" s="2647"/>
      <c r="BG56" s="2647"/>
      <c r="BH56" s="2647"/>
      <c r="BI56" s="2649"/>
    </row>
    <row r="57" spans="1:61" x14ac:dyDescent="0.2">
      <c r="B57" s="782"/>
      <c r="C57" s="2391" t="s">
        <v>495</v>
      </c>
      <c r="D57" s="2642" t="str">
        <f>INDEX(IPCC[Sector_description], MATCH($C57, IPCC[Sector_code], 0))</f>
        <v>Carbon capture</v>
      </c>
      <c r="E57" s="2711">
        <f ca="1">(SUMIFS(INDIRECT("'"&amp;E$6&amp;"'!Year.Emissions"), INDIRECT("'"&amp;E$6&amp;"'!Year.IPCC"), $C57))/('Global assumptions'!$C$7/1000000)</f>
        <v>0</v>
      </c>
      <c r="F57" s="2711">
        <f t="shared" ref="F57:M57" ca="1" si="12">(SUMIFS(INDIRECT("'"&amp;F$6&amp;"'!Year.Emissions"), INDIRECT("'"&amp;F$6&amp;"'!Year.IPCC"), $C57))</f>
        <v>0</v>
      </c>
      <c r="G57" s="2711">
        <f t="shared" ca="1" si="12"/>
        <v>0</v>
      </c>
      <c r="H57" s="2711">
        <f t="shared" ca="1" si="12"/>
        <v>0</v>
      </c>
      <c r="I57" s="2711">
        <f t="shared" ca="1" si="12"/>
        <v>0</v>
      </c>
      <c r="J57" s="2711">
        <f t="shared" ca="1" si="12"/>
        <v>0</v>
      </c>
      <c r="K57" s="2711">
        <f t="shared" ca="1" si="12"/>
        <v>0</v>
      </c>
      <c r="L57" s="2711">
        <f t="shared" ca="1" si="12"/>
        <v>0</v>
      </c>
      <c r="M57" s="2711">
        <f t="shared" ca="1" si="12"/>
        <v>0</v>
      </c>
      <c r="N57" s="785"/>
      <c r="O57" s="2645"/>
      <c r="P57" s="2645"/>
      <c r="Q57" s="2645"/>
      <c r="R57" s="2645"/>
      <c r="S57" s="2645"/>
      <c r="T57" s="2645"/>
      <c r="U57" s="2645"/>
      <c r="V57" s="2645"/>
      <c r="W57" s="2645"/>
      <c r="X57" s="2645"/>
      <c r="Y57" s="2645"/>
      <c r="Z57" s="2645"/>
      <c r="AA57" s="2645"/>
      <c r="AB57" s="2645"/>
      <c r="AC57" s="2645"/>
      <c r="AD57" s="2645"/>
      <c r="AE57" s="2645"/>
      <c r="AF57" s="2645"/>
      <c r="AG57" s="2645"/>
      <c r="AH57" s="2645"/>
      <c r="AI57" s="2645"/>
      <c r="AJ57" s="2645"/>
      <c r="AK57" s="2645"/>
      <c r="AL57" s="2645"/>
      <c r="AM57" s="2645"/>
      <c r="AN57" s="2645"/>
      <c r="AO57" s="2645"/>
      <c r="AP57" s="2645"/>
      <c r="AQ57" s="2645"/>
      <c r="AR57" s="2645"/>
      <c r="AS57" s="2645"/>
      <c r="AT57" s="2645"/>
      <c r="AU57" s="2645"/>
      <c r="AV57" s="2645"/>
      <c r="AW57" s="2645"/>
      <c r="AX57" s="1854"/>
      <c r="AY57" s="2647"/>
      <c r="AZ57" s="2647"/>
      <c r="BA57" s="2647"/>
      <c r="BB57" s="2647"/>
      <c r="BC57" s="2647"/>
      <c r="BD57" s="2647"/>
      <c r="BE57" s="2647"/>
      <c r="BF57" s="2647"/>
      <c r="BG57" s="2647"/>
      <c r="BH57" s="2647"/>
      <c r="BI57" s="832"/>
    </row>
    <row r="58" spans="1:61" s="1503" customFormat="1" x14ac:dyDescent="0.2">
      <c r="A58" s="1411"/>
      <c r="B58" s="782"/>
      <c r="C58" s="2644">
        <v>1</v>
      </c>
      <c r="D58" s="2391" t="s">
        <v>105</v>
      </c>
      <c r="E58" s="2710">
        <f ca="1">SUM(E49:E57)</f>
        <v>0.95270360458113335</v>
      </c>
      <c r="F58" s="2710">
        <f t="shared" ref="F58:M58" ca="1" si="13">SUM(F49:F57)</f>
        <v>155.25397333857077</v>
      </c>
      <c r="G58" s="2710">
        <f t="shared" ca="1" si="13"/>
        <v>185.38717991488949</v>
      </c>
      <c r="H58" s="2710">
        <f t="shared" ca="1" si="13"/>
        <v>209.47410280979364</v>
      </c>
      <c r="I58" s="2710">
        <f t="shared" ca="1" si="13"/>
        <v>269.39195125059985</v>
      </c>
      <c r="J58" s="2710">
        <f t="shared" ca="1" si="13"/>
        <v>365.02257126007521</v>
      </c>
      <c r="K58" s="2710">
        <f t="shared" ca="1" si="13"/>
        <v>456.28010295494255</v>
      </c>
      <c r="L58" s="2710">
        <f t="shared" ca="1" si="13"/>
        <v>541.79883460802785</v>
      </c>
      <c r="M58" s="2710">
        <f t="shared" ca="1" si="13"/>
        <v>625.20627286094259</v>
      </c>
      <c r="N58" s="785"/>
      <c r="O58" s="2641"/>
    </row>
    <row r="59" spans="1:61" s="1503" customFormat="1" x14ac:dyDescent="0.2">
      <c r="A59" s="1411"/>
      <c r="B59" s="782"/>
      <c r="C59" s="2644"/>
      <c r="D59" s="2391" t="s">
        <v>844</v>
      </c>
      <c r="E59" s="2710">
        <v>0</v>
      </c>
      <c r="F59" s="2710">
        <v>0</v>
      </c>
      <c r="G59" s="2710">
        <v>0</v>
      </c>
      <c r="H59" s="2710">
        <v>0</v>
      </c>
      <c r="I59" s="2710"/>
      <c r="J59" s="2710"/>
      <c r="K59" s="2710"/>
      <c r="L59" s="2710"/>
      <c r="M59" s="2710">
        <v>0</v>
      </c>
      <c r="N59" s="785"/>
      <c r="O59" s="2641"/>
    </row>
    <row r="60" spans="1:61" s="1503" customFormat="1" x14ac:dyDescent="0.2">
      <c r="A60" s="1411"/>
      <c r="B60" s="782"/>
      <c r="C60" s="2644"/>
      <c r="D60" s="2391"/>
      <c r="E60" s="2392"/>
      <c r="F60" s="2392"/>
      <c r="G60" s="2392"/>
      <c r="H60" s="2392"/>
      <c r="I60" s="2392"/>
      <c r="J60" s="2392"/>
      <c r="K60" s="2392"/>
      <c r="L60" s="2392"/>
      <c r="M60" s="2392"/>
      <c r="N60" s="785"/>
      <c r="O60" s="2641"/>
    </row>
    <row r="61" spans="1:61" s="1503" customFormat="1" x14ac:dyDescent="0.2">
      <c r="A61" s="1411"/>
      <c r="B61" s="782"/>
      <c r="C61" s="2644"/>
      <c r="D61" s="2391" t="s">
        <v>2512</v>
      </c>
      <c r="E61" s="2392"/>
      <c r="F61" s="2392"/>
      <c r="G61" s="2392"/>
      <c r="H61" s="2392"/>
      <c r="I61" s="2392"/>
      <c r="J61" s="2392"/>
      <c r="K61" s="2392"/>
      <c r="L61" s="2392"/>
      <c r="M61" s="2392"/>
      <c r="N61" s="785"/>
      <c r="O61" s="2641"/>
    </row>
    <row r="62" spans="1:61" s="1503" customFormat="1" x14ac:dyDescent="0.2">
      <c r="A62" s="1411"/>
      <c r="B62" s="782"/>
      <c r="C62" s="2644"/>
      <c r="D62" s="2391" t="s">
        <v>2513</v>
      </c>
      <c r="E62" s="2392"/>
      <c r="F62" s="2392"/>
      <c r="G62" s="2392"/>
      <c r="H62" s="2392"/>
      <c r="I62" s="2392"/>
      <c r="J62" s="2392"/>
      <c r="K62" s="2392"/>
      <c r="L62" s="2392"/>
      <c r="M62" s="2392"/>
      <c r="N62" s="785"/>
      <c r="O62" s="2641"/>
    </row>
    <row r="63" spans="1:61" s="2652" customFormat="1" ht="18" customHeight="1" x14ac:dyDescent="0.2">
      <c r="A63" s="147"/>
      <c r="B63" s="788"/>
      <c r="C63" s="805"/>
      <c r="D63" s="778"/>
      <c r="E63" s="2650"/>
      <c r="F63" s="2650"/>
      <c r="G63" s="2650"/>
      <c r="H63" s="2650"/>
      <c r="I63" s="2650"/>
      <c r="J63" s="2650"/>
      <c r="K63" s="2650"/>
      <c r="L63" s="2650"/>
      <c r="M63" s="2650"/>
      <c r="N63" s="789"/>
      <c r="O63" s="2651"/>
    </row>
  </sheetData>
  <pageMargins left="0.75" right="0.75" top="1" bottom="1" header="0.5" footer="0.5"/>
  <pageSetup paperSize="9" orientation="portrait" horizontalDpi="4294967292" verticalDpi="429496729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autoPageBreaks="0"/>
  </sheetPr>
  <dimension ref="A1:CW129"/>
  <sheetViews>
    <sheetView windowProtection="1" zoomScale="106" zoomScaleNormal="106" workbookViewId="0">
      <selection activeCell="E3" sqref="E3"/>
    </sheetView>
  </sheetViews>
  <sheetFormatPr defaultColWidth="8.7109375" defaultRowHeight="12.75" outlineLevelRow="2" outlineLevelCol="2" x14ac:dyDescent="0.2"/>
  <cols>
    <col min="1" max="1" width="1.7109375" style="2479" customWidth="1"/>
    <col min="2" max="2" width="1.42578125" style="2479" customWidth="1"/>
    <col min="3" max="3" width="4.42578125" style="50" customWidth="1"/>
    <col min="4" max="4" width="6.7109375" style="51" customWidth="1"/>
    <col min="5" max="5" width="41.7109375" style="51" customWidth="1"/>
    <col min="6" max="6" width="1.140625" style="2479" customWidth="1" outlineLevel="1"/>
    <col min="7" max="11" width="10" style="51" customWidth="1" outlineLevel="2"/>
    <col min="12" max="12" width="10" style="65" customWidth="1" outlineLevel="2"/>
    <col min="13" max="15" width="10" style="51" customWidth="1" outlineLevel="2"/>
    <col min="16" max="16" width="10" style="51" customWidth="1" outlineLevel="1"/>
    <col min="17" max="17" width="1.140625" style="2479" customWidth="1" outlineLevel="1"/>
    <col min="18" max="33" width="10" style="51" customWidth="1" outlineLevel="2"/>
    <col min="34" max="34" width="10" style="51" customWidth="1" outlineLevel="1"/>
    <col min="35" max="35" width="1.140625" style="2479" customWidth="1" outlineLevel="1"/>
    <col min="36" max="50" width="10" style="51" customWidth="1" outlineLevel="2"/>
    <col min="51" max="51" width="10" style="51" customWidth="1" outlineLevel="1"/>
    <col min="52" max="52" width="1.140625" style="2479" customWidth="1" outlineLevel="1"/>
    <col min="53" max="54" width="10" style="51" customWidth="1" outlineLevel="2"/>
    <col min="55" max="55" width="10" style="51" customWidth="1" outlineLevel="1"/>
    <col min="56" max="56" width="1.140625" style="2479" customWidth="1" outlineLevel="1"/>
    <col min="57" max="57" width="11" style="51" customWidth="1" outlineLevel="1"/>
    <col min="58" max="58" width="5.28515625" style="51" customWidth="1"/>
    <col min="59" max="59" width="8.7109375" style="2479"/>
    <col min="60" max="99" width="7.42578125" style="2479" customWidth="1"/>
    <col min="100" max="100" width="2.42578125" style="2479" customWidth="1"/>
    <col min="101" max="16384" width="8.7109375" style="2479"/>
  </cols>
  <sheetData>
    <row r="1" spans="1:101" ht="6" customHeight="1" x14ac:dyDescent="0.2"/>
    <row r="2" spans="1:101" ht="21" customHeight="1" x14ac:dyDescent="0.2">
      <c r="D2" s="43"/>
      <c r="E2" s="252">
        <v>2035</v>
      </c>
      <c r="G2" s="2479"/>
      <c r="H2" s="2479"/>
      <c r="I2" s="2479"/>
      <c r="J2" s="2479"/>
      <c r="K2" s="2479"/>
      <c r="L2" s="2479"/>
      <c r="M2" s="2479"/>
      <c r="N2" s="2479"/>
      <c r="O2" s="2479"/>
      <c r="P2" s="2479"/>
      <c r="R2" s="2479"/>
      <c r="S2" s="2479"/>
      <c r="T2" s="2479"/>
      <c r="U2" s="2479"/>
      <c r="V2" s="2479"/>
      <c r="W2" s="2479"/>
      <c r="X2" s="2479"/>
      <c r="Y2" s="2479"/>
      <c r="Z2" s="2479"/>
      <c r="AA2" s="2479"/>
      <c r="AB2" s="2479"/>
      <c r="AC2" s="2479"/>
      <c r="AD2" s="2479"/>
      <c r="AE2" s="2479"/>
      <c r="AF2" s="2479"/>
      <c r="AG2" s="2479"/>
      <c r="AH2" s="2479"/>
      <c r="AJ2" s="2479"/>
      <c r="AK2" s="2479"/>
      <c r="AL2" s="2479"/>
      <c r="AM2" s="2479"/>
      <c r="AN2" s="2479"/>
      <c r="AO2" s="2479"/>
      <c r="AP2" s="2479"/>
      <c r="AQ2" s="2479"/>
      <c r="AR2" s="2479"/>
      <c r="AS2" s="2479"/>
      <c r="AT2" s="2479"/>
      <c r="AU2" s="2479"/>
      <c r="AV2" s="2479"/>
      <c r="AW2" s="2479"/>
      <c r="AX2" s="2479"/>
      <c r="AY2" s="2479"/>
      <c r="BA2" s="2479"/>
      <c r="BB2" s="2479"/>
      <c r="BC2" s="2479"/>
      <c r="BE2" s="2479"/>
      <c r="BF2" s="72"/>
    </row>
    <row r="3" spans="1:101" ht="39" customHeight="1" x14ac:dyDescent="0.2">
      <c r="A3" s="90"/>
      <c r="B3" s="90"/>
      <c r="C3" s="90"/>
      <c r="D3" s="44"/>
      <c r="E3" s="133" t="str">
        <f>Preferences.EnergyUnits</f>
        <v>TWh</v>
      </c>
      <c r="G3" s="281" t="s">
        <v>293</v>
      </c>
      <c r="H3" s="281"/>
      <c r="I3" s="281"/>
      <c r="J3" s="281"/>
      <c r="K3" s="281"/>
      <c r="L3" s="281"/>
      <c r="M3" s="281"/>
      <c r="N3" s="281"/>
      <c r="O3" s="281"/>
      <c r="P3" s="281"/>
      <c r="R3" s="375" t="s">
        <v>239</v>
      </c>
      <c r="S3" s="376"/>
      <c r="T3" s="376"/>
      <c r="U3" s="376"/>
      <c r="V3" s="376"/>
      <c r="W3" s="376"/>
      <c r="X3" s="380"/>
      <c r="Y3" s="376"/>
      <c r="Z3" s="376"/>
      <c r="AA3" s="376"/>
      <c r="AB3" s="376"/>
      <c r="AC3" s="376"/>
      <c r="AD3" s="376"/>
      <c r="AE3" s="376"/>
      <c r="AF3" s="376"/>
      <c r="AG3" s="376"/>
      <c r="AH3" s="379"/>
      <c r="AJ3" s="377" t="s">
        <v>481</v>
      </c>
      <c r="AK3" s="378"/>
      <c r="AL3" s="378"/>
      <c r="AM3" s="381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82"/>
      <c r="BA3" s="303" t="s">
        <v>387</v>
      </c>
      <c r="BB3" s="290"/>
      <c r="BC3" s="290"/>
      <c r="BE3" s="47"/>
      <c r="BF3" s="47"/>
      <c r="BG3" s="90"/>
      <c r="BH3" s="384" t="s">
        <v>485</v>
      </c>
      <c r="BI3" s="385"/>
      <c r="BJ3" s="385"/>
      <c r="BK3" s="385"/>
      <c r="BL3" s="385"/>
      <c r="BM3" s="385"/>
      <c r="BN3" s="385"/>
      <c r="BO3" s="385"/>
      <c r="BP3" s="385"/>
      <c r="BQ3" s="385"/>
      <c r="BR3" s="385"/>
      <c r="BS3" s="385"/>
      <c r="BT3" s="385"/>
      <c r="BU3" s="385"/>
      <c r="BV3" s="385"/>
      <c r="BW3" s="385"/>
      <c r="BX3" s="385"/>
      <c r="BY3" s="385"/>
      <c r="BZ3" s="385"/>
      <c r="CA3" s="385"/>
      <c r="CB3" s="385"/>
      <c r="CC3" s="385"/>
      <c r="CD3" s="385"/>
      <c r="CE3" s="385"/>
      <c r="CF3" s="385"/>
      <c r="CG3" s="385"/>
      <c r="CH3" s="385"/>
      <c r="CI3" s="385"/>
      <c r="CJ3" s="385"/>
      <c r="CK3" s="385"/>
      <c r="CL3" s="385"/>
      <c r="CM3" s="385"/>
      <c r="CN3" s="385"/>
      <c r="CO3" s="385"/>
      <c r="CP3" s="385"/>
      <c r="CQ3" s="385"/>
      <c r="CR3" s="514"/>
      <c r="CS3" s="514"/>
      <c r="CT3" s="514"/>
      <c r="CU3" s="514"/>
    </row>
    <row r="4" spans="1:101" ht="36.75" customHeight="1" x14ac:dyDescent="0.2">
      <c r="C4" s="48"/>
      <c r="D4" s="48"/>
      <c r="G4" s="253" t="str">
        <f>INDEX(Vectors[Description], MATCH(G$5,Vectors[Code],FALSE))</f>
        <v>Cooling</v>
      </c>
      <c r="H4" s="253" t="str">
        <f>INDEX(Vectors[Description], MATCH(H$5,Vectors[Code],FALSE))</f>
        <v>Lighting &amp; appliances</v>
      </c>
      <c r="I4" s="253" t="str">
        <f>INDEX(Vectors[Description], MATCH(I$5,Vectors[Code],FALSE))</f>
        <v>Cooking</v>
      </c>
      <c r="J4" s="253" t="str">
        <f>INDEX(Vectors[Description], MATCH(J$5,Vectors[Code],FALSE))</f>
        <v>Industry</v>
      </c>
      <c r="K4" s="253" t="str">
        <f>INDEX(Vectors[Description], MATCH(K$5,Vectors[Code],FALSE))</f>
        <v>Road transport</v>
      </c>
      <c r="L4" s="253" t="str">
        <f>INDEX(Vectors[Description], MATCH(L$5,Vectors[Code],FALSE))</f>
        <v>Rail transport</v>
      </c>
      <c r="M4" s="253" t="str">
        <f>INDEX(Vectors[Description], MATCH(M$5,Vectors[Code],FALSE))</f>
        <v>Domestic aviation</v>
      </c>
      <c r="N4" s="253" t="str">
        <f>INDEX(Vectors[Description], MATCH(N$5,Vectors[Code],FALSE))</f>
        <v>Berge</v>
      </c>
      <c r="O4" s="253" t="str">
        <f>INDEX(Vectors[Description], MATCH(O$5,Vectors[Code],FALSE))</f>
        <v>Pipeline</v>
      </c>
      <c r="P4" s="270" t="s">
        <v>391</v>
      </c>
      <c r="R4" s="254" t="str">
        <f>INDEX(Vectors[Description], MATCH(R$5,Vectors[Code],FALSE))</f>
        <v>Electricity (delivered to end user)</v>
      </c>
      <c r="S4" s="254" t="str">
        <f>INDEX(Vectors[Description], MATCH(S$5,Vectors[Code],FALSE))</f>
        <v>Electricity (supplied to grid)</v>
      </c>
      <c r="T4" s="254" t="str">
        <f>INDEX(Vectors[Description], MATCH(T$5,Vectors[Code],FALSE))</f>
        <v>Solid hydrocarbons</v>
      </c>
      <c r="U4" s="254" t="str">
        <f>INDEX(Vectors[Description], MATCH(U$5,Vectors[Code],FALSE))</f>
        <v>Liquid hydrocarbons</v>
      </c>
      <c r="V4" s="254" t="str">
        <f>INDEX(Vectors[Description], MATCH(V$5,Vectors[Code],FALSE))</f>
        <v>Gaseous hydrocarbons</v>
      </c>
      <c r="W4" s="254" t="str">
        <f>INDEX(Vectors[Description], MATCH(W$5,Vectors[Code],FALSE))</f>
        <v>Traditional Fuel</v>
      </c>
      <c r="X4" s="254" t="str">
        <f>INDEX(Vectors[Description], MATCH(X$5,Vectors[Code],FALSE))</f>
        <v>Coal and fossil waste</v>
      </c>
      <c r="Y4" s="254" t="str">
        <f>INDEX(Vectors[Description], MATCH(Y$5,Vectors[Code],FALSE))</f>
        <v>Oil and petroleum products</v>
      </c>
      <c r="Z4" s="254" t="str">
        <f>INDEX(Vectors[Description], MATCH(Z$5,Vectors[Code],FALSE))</f>
        <v>Natural gas</v>
      </c>
      <c r="AA4" s="254" t="str">
        <f>INDEX(Vectors[Description], MATCH(AA$5,Vectors[Code],FALSE))</f>
        <v>Blast furnace gas</v>
      </c>
      <c r="AB4" s="254" t="str">
        <f>INDEX(Vectors[Description], MATCH(AB$5,Vectors[Code],FALSE))</f>
        <v>Edible biomass</v>
      </c>
      <c r="AC4" s="254" t="str">
        <f>INDEX(Vectors[Description], MATCH(AC$5,Vectors[Code],FALSE))</f>
        <v>Energy crops (second generation)</v>
      </c>
      <c r="AD4" s="254" t="str">
        <f>INDEX(Vectors[Description], MATCH(AD$5,Vectors[Code],FALSE))</f>
        <v>Energy crops (first generation)</v>
      </c>
      <c r="AE4" s="254" t="str">
        <f>INDEX(Vectors[Description], MATCH(AE$5,Vectors[Code],FALSE))</f>
        <v>Dry biomass and waste</v>
      </c>
      <c r="AF4" s="254" t="str">
        <f>INDEX(Vectors[Description], MATCH(AF$5,Vectors[Code],FALSE))</f>
        <v>Wet biomass and waste</v>
      </c>
      <c r="AG4" s="254" t="str">
        <f>INDEX(Vectors[Description], MATCH(AG$5,Vectors[Code],FALSE))</f>
        <v>Gaseous waste</v>
      </c>
      <c r="AH4" s="284" t="s">
        <v>237</v>
      </c>
      <c r="AJ4" s="268" t="str">
        <f>INDEX(Vectors[Description], MATCH(AJ$5,Vectors[Code],FALSE))</f>
        <v>Coal reserves</v>
      </c>
      <c r="AK4" s="268" t="str">
        <f>INDEX(Vectors[Description], MATCH(AK$5,Vectors[Code],FALSE))</f>
        <v>Oil reserves</v>
      </c>
      <c r="AL4" s="268" t="str">
        <f>INDEX(Vectors[Description], MATCH(AL$5,Vectors[Code],FALSE))</f>
        <v>Gas reserves</v>
      </c>
      <c r="AM4" s="268" t="str">
        <f>INDEX(Vectors[Description], MATCH(AM$5,Vectors[Code],FALSE))</f>
        <v>Biomass oversupply (imports)</v>
      </c>
      <c r="AN4" s="268" t="str">
        <f>INDEX(Vectors[Description], MATCH(AN$5,Vectors[Code],FALSE))</f>
        <v>Electricity oversupply (imports)</v>
      </c>
      <c r="AO4" s="268" t="str">
        <f>INDEX(Vectors[Description], MATCH(AO$5,Vectors[Code],FALSE))</f>
        <v>Petroleum products oversupply</v>
      </c>
      <c r="AP4" s="268" t="str">
        <f>INDEX(Vectors[Description], MATCH(AP$5,Vectors[Code],FALSE))</f>
        <v>Coal oversupply (imports)</v>
      </c>
      <c r="AQ4" s="268" t="str">
        <f>INDEX(Vectors[Description], MATCH(AQ$5,Vectors[Code],FALSE))</f>
        <v>Oil and petroleum products oversupply (imports)</v>
      </c>
      <c r="AR4" s="268" t="str">
        <f>INDEX(Vectors[Description], MATCH(AR$5,Vectors[Code],FALSE))</f>
        <v>Gas oversupply (imports)</v>
      </c>
      <c r="AS4" s="268" t="str">
        <f>INDEX(Vectors[Description], MATCH(AS$5,Vectors[Code],FALSE))</f>
        <v>Nuclear fission</v>
      </c>
      <c r="AT4" s="268" t="str">
        <f>INDEX(Vectors[Description], MATCH(AT$5,Vectors[Code],FALSE))</f>
        <v>Solar</v>
      </c>
      <c r="AU4" s="268" t="str">
        <f>INDEX(Vectors[Description], MATCH(AU$5,Vectors[Code],FALSE))</f>
        <v>Wind</v>
      </c>
      <c r="AV4" s="268" t="str">
        <f>INDEX(Vectors[Description], MATCH(AV$5,Vectors[Code],FALSE))</f>
        <v>Hydro</v>
      </c>
      <c r="AW4" s="268" t="str">
        <f>INDEX(Vectors[Description], MATCH(AW$5,Vectors[Code],FALSE))</f>
        <v>Agriculture</v>
      </c>
      <c r="AX4" s="268" t="str">
        <f>INDEX(Vectors[Description], MATCH(AX$5,Vectors[Code],FALSE))</f>
        <v>Waste</v>
      </c>
      <c r="AY4" s="286" t="s">
        <v>238</v>
      </c>
      <c r="BA4" s="273" t="str">
        <f>INDEX(Vectors[Description], MATCH(BA$5,Vectors[Code],FALSE))</f>
        <v>Conversion losses</v>
      </c>
      <c r="BB4" s="273" t="str">
        <f>INDEX(Vectors[Description], MATCH(BB$5,Vectors[Code],FALSE))</f>
        <v>Distribution losses and own use</v>
      </c>
      <c r="BC4" s="288" t="s">
        <v>386</v>
      </c>
      <c r="BE4" s="49" t="str">
        <f>INDEX(Vectors[Description], MATCH(BE$5,Vectors[Code],FALSE))</f>
        <v>Unallocated</v>
      </c>
      <c r="BF4" s="49"/>
      <c r="BH4" s="389" t="str">
        <f>INDEX(IPCC[Sector_description], MATCH(BH$5, IPCC[Sector_code], 0))</f>
        <v>Fuel Combustion</v>
      </c>
      <c r="BI4" s="390"/>
      <c r="BJ4" s="390"/>
      <c r="BK4" s="391"/>
      <c r="BL4" s="389" t="str">
        <f>INDEX(IPCC[Sector_description], MATCH(BL$5, IPCC[Sector_code], 0))</f>
        <v>Fugitive Emissions from Fuels</v>
      </c>
      <c r="BM4" s="390"/>
      <c r="BN4" s="390"/>
      <c r="BO4" s="391"/>
      <c r="BP4" s="389" t="str">
        <f>INDEX(IPCC[Sector_description], MATCH(BP$5, IPCC[Sector_code], 0))</f>
        <v>Industrial Processes</v>
      </c>
      <c r="BQ4" s="390"/>
      <c r="BR4" s="390"/>
      <c r="BS4" s="391"/>
      <c r="BT4" s="389" t="str">
        <f>INDEX(IPCC[Sector_description], MATCH(BT$5, IPCC[Sector_code], 0))</f>
        <v>Solvent and Other Product Use</v>
      </c>
      <c r="BU4" s="390"/>
      <c r="BV4" s="390"/>
      <c r="BW4" s="391"/>
      <c r="BX4" s="389" t="str">
        <f>INDEX(IPCC[Sector_description], MATCH(BX$5, IPCC[Sector_code], 0))</f>
        <v>Agriculture</v>
      </c>
      <c r="BY4" s="390"/>
      <c r="BZ4" s="390"/>
      <c r="CA4" s="391"/>
      <c r="CB4" s="389" t="str">
        <f>INDEX(IPCC[Sector_description], MATCH(CB$5, IPCC[Sector_code], 0))</f>
        <v>LULUCF</v>
      </c>
      <c r="CC4" s="390"/>
      <c r="CD4" s="390"/>
      <c r="CE4" s="391"/>
      <c r="CF4" s="389" t="str">
        <f>INDEX(IPCC[Sector_description], MATCH(CF$5, IPCC[Sector_code], 0))</f>
        <v>Waste</v>
      </c>
      <c r="CG4" s="390"/>
      <c r="CH4" s="390"/>
      <c r="CI4" s="391"/>
      <c r="CJ4" s="389" t="str">
        <f>INDEX(IPCC[Sector_description], MATCH(CJ$5, IPCC[Sector_code], 0))</f>
        <v>Other</v>
      </c>
      <c r="CK4" s="390"/>
      <c r="CL4" s="390"/>
      <c r="CM4" s="391"/>
      <c r="CN4" s="389" t="str">
        <f>INDEX(IPCC[Sector_description], MATCH(CN$5, IPCC[Sector_code], 0))</f>
        <v>Bioenergy credit</v>
      </c>
      <c r="CO4" s="390"/>
      <c r="CP4" s="390"/>
      <c r="CQ4" s="391"/>
      <c r="CR4" s="389" t="str">
        <f>INDEX(IPCC[Sector_description], MATCH(CR$5, IPCC[Sector_code], 0))</f>
        <v>Carbon capture</v>
      </c>
      <c r="CS4" s="390"/>
      <c r="CT4" s="390"/>
      <c r="CU4" s="391"/>
      <c r="CW4" s="539" t="s">
        <v>105</v>
      </c>
    </row>
    <row r="5" spans="1:101" x14ac:dyDescent="0.2">
      <c r="D5" s="239" t="s">
        <v>117</v>
      </c>
      <c r="G5" s="271" t="s">
        <v>5</v>
      </c>
      <c r="H5" s="271" t="s">
        <v>44</v>
      </c>
      <c r="I5" s="271" t="s">
        <v>2205</v>
      </c>
      <c r="J5" s="271" t="s">
        <v>9</v>
      </c>
      <c r="K5" s="271" t="s">
        <v>28</v>
      </c>
      <c r="L5" s="271" t="s">
        <v>29</v>
      </c>
      <c r="M5" s="271" t="s">
        <v>30</v>
      </c>
      <c r="N5" s="271" t="s">
        <v>31</v>
      </c>
      <c r="O5" s="271" t="s">
        <v>2336</v>
      </c>
      <c r="P5" s="271"/>
      <c r="R5" s="272" t="s">
        <v>34</v>
      </c>
      <c r="S5" s="272" t="s">
        <v>35</v>
      </c>
      <c r="T5" s="272" t="s">
        <v>36</v>
      </c>
      <c r="U5" s="272" t="s">
        <v>38</v>
      </c>
      <c r="V5" s="272" t="s">
        <v>39</v>
      </c>
      <c r="W5" s="272" t="s">
        <v>2184</v>
      </c>
      <c r="X5" s="272" t="s">
        <v>51</v>
      </c>
      <c r="Y5" s="272" t="s">
        <v>52</v>
      </c>
      <c r="Z5" s="272" t="s">
        <v>53</v>
      </c>
      <c r="AA5" s="272" t="s">
        <v>92</v>
      </c>
      <c r="AB5" s="272" t="s">
        <v>295</v>
      </c>
      <c r="AC5" s="272" t="s">
        <v>871</v>
      </c>
      <c r="AD5" s="272" t="s">
        <v>1161</v>
      </c>
      <c r="AE5" s="272" t="s">
        <v>296</v>
      </c>
      <c r="AF5" s="272" t="s">
        <v>383</v>
      </c>
      <c r="AG5" s="272" t="s">
        <v>1164</v>
      </c>
      <c r="AH5" s="272"/>
      <c r="AJ5" s="269" t="s">
        <v>425</v>
      </c>
      <c r="AK5" s="269" t="s">
        <v>426</v>
      </c>
      <c r="AL5" s="269" t="s">
        <v>427</v>
      </c>
      <c r="AM5" s="269" t="s">
        <v>46</v>
      </c>
      <c r="AN5" s="269" t="s">
        <v>47</v>
      </c>
      <c r="AO5" s="269" t="s">
        <v>323</v>
      </c>
      <c r="AP5" s="269" t="s">
        <v>417</v>
      </c>
      <c r="AQ5" s="269" t="s">
        <v>418</v>
      </c>
      <c r="AR5" s="269" t="s">
        <v>419</v>
      </c>
      <c r="AS5" s="269" t="s">
        <v>6</v>
      </c>
      <c r="AT5" s="269" t="s">
        <v>25</v>
      </c>
      <c r="AU5" s="269" t="s">
        <v>7</v>
      </c>
      <c r="AV5" s="269" t="s">
        <v>8</v>
      </c>
      <c r="AW5" s="269" t="s">
        <v>451</v>
      </c>
      <c r="AX5" s="269" t="s">
        <v>42</v>
      </c>
      <c r="AY5" s="269"/>
      <c r="BA5" s="274" t="s">
        <v>26</v>
      </c>
      <c r="BB5" s="274" t="s">
        <v>27</v>
      </c>
      <c r="BC5" s="274"/>
      <c r="BE5" s="46" t="s">
        <v>48</v>
      </c>
      <c r="BF5" s="46"/>
      <c r="BH5" s="392" t="s">
        <v>483</v>
      </c>
      <c r="BI5" s="393" t="s">
        <v>483</v>
      </c>
      <c r="BJ5" s="393" t="s">
        <v>483</v>
      </c>
      <c r="BK5" s="394" t="s">
        <v>483</v>
      </c>
      <c r="BL5" s="392" t="s">
        <v>482</v>
      </c>
      <c r="BM5" s="393" t="s">
        <v>482</v>
      </c>
      <c r="BN5" s="393" t="s">
        <v>482</v>
      </c>
      <c r="BO5" s="394" t="s">
        <v>482</v>
      </c>
      <c r="BP5" s="392">
        <v>2</v>
      </c>
      <c r="BQ5" s="393">
        <v>2</v>
      </c>
      <c r="BR5" s="393">
        <v>2</v>
      </c>
      <c r="BS5" s="394">
        <v>2</v>
      </c>
      <c r="BT5" s="392">
        <v>3</v>
      </c>
      <c r="BU5" s="393">
        <v>3</v>
      </c>
      <c r="BV5" s="393">
        <v>3</v>
      </c>
      <c r="BW5" s="394">
        <v>3</v>
      </c>
      <c r="BX5" s="392">
        <v>4</v>
      </c>
      <c r="BY5" s="393">
        <v>4</v>
      </c>
      <c r="BZ5" s="393">
        <v>4</v>
      </c>
      <c r="CA5" s="394">
        <v>4</v>
      </c>
      <c r="CB5" s="392">
        <v>5</v>
      </c>
      <c r="CC5" s="393">
        <v>5</v>
      </c>
      <c r="CD5" s="393">
        <v>5</v>
      </c>
      <c r="CE5" s="394">
        <v>5</v>
      </c>
      <c r="CF5" s="392">
        <v>6</v>
      </c>
      <c r="CG5" s="393">
        <v>6</v>
      </c>
      <c r="CH5" s="393">
        <v>6</v>
      </c>
      <c r="CI5" s="394">
        <v>6</v>
      </c>
      <c r="CJ5" s="392">
        <v>7</v>
      </c>
      <c r="CK5" s="393">
        <v>7</v>
      </c>
      <c r="CL5" s="393">
        <v>7</v>
      </c>
      <c r="CM5" s="394">
        <v>7</v>
      </c>
      <c r="CN5" s="392" t="s">
        <v>469</v>
      </c>
      <c r="CO5" s="393" t="s">
        <v>469</v>
      </c>
      <c r="CP5" s="393" t="s">
        <v>469</v>
      </c>
      <c r="CQ5" s="394" t="s">
        <v>469</v>
      </c>
      <c r="CR5" s="392" t="s">
        <v>495</v>
      </c>
      <c r="CS5" s="393" t="s">
        <v>495</v>
      </c>
      <c r="CT5" s="393" t="s">
        <v>495</v>
      </c>
      <c r="CU5" s="394" t="s">
        <v>495</v>
      </c>
    </row>
    <row r="6" spans="1:101" ht="15.75" customHeight="1" x14ac:dyDescent="0.2">
      <c r="G6" s="242"/>
      <c r="H6" s="242"/>
      <c r="I6" s="242"/>
      <c r="J6" s="242"/>
      <c r="K6" s="242"/>
      <c r="L6" s="243"/>
      <c r="M6" s="242"/>
      <c r="N6" s="242"/>
      <c r="O6" s="242"/>
      <c r="P6" s="242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261"/>
      <c r="AV6" s="261"/>
      <c r="AW6" s="261"/>
      <c r="AX6" s="261"/>
      <c r="AY6" s="261"/>
      <c r="BA6" s="275"/>
      <c r="BB6" s="275"/>
      <c r="BC6" s="275"/>
      <c r="BE6" s="52"/>
      <c r="BF6" s="52"/>
      <c r="BH6" s="386" t="s">
        <v>473</v>
      </c>
      <c r="BI6" s="386" t="s">
        <v>474</v>
      </c>
      <c r="BJ6" s="386" t="s">
        <v>475</v>
      </c>
      <c r="BK6" s="386" t="s">
        <v>476</v>
      </c>
      <c r="BL6" s="386" t="s">
        <v>473</v>
      </c>
      <c r="BM6" s="386" t="s">
        <v>474</v>
      </c>
      <c r="BN6" s="386" t="s">
        <v>475</v>
      </c>
      <c r="BO6" s="386" t="s">
        <v>476</v>
      </c>
      <c r="BP6" s="386" t="s">
        <v>473</v>
      </c>
      <c r="BQ6" s="386" t="s">
        <v>474</v>
      </c>
      <c r="BR6" s="386" t="s">
        <v>475</v>
      </c>
      <c r="BS6" s="386" t="s">
        <v>476</v>
      </c>
      <c r="BT6" s="386" t="s">
        <v>473</v>
      </c>
      <c r="BU6" s="386" t="s">
        <v>474</v>
      </c>
      <c r="BV6" s="386" t="s">
        <v>475</v>
      </c>
      <c r="BW6" s="386" t="s">
        <v>476</v>
      </c>
      <c r="BX6" s="386" t="s">
        <v>473</v>
      </c>
      <c r="BY6" s="386" t="s">
        <v>474</v>
      </c>
      <c r="BZ6" s="386" t="s">
        <v>475</v>
      </c>
      <c r="CA6" s="386" t="s">
        <v>476</v>
      </c>
      <c r="CB6" s="386" t="s">
        <v>473</v>
      </c>
      <c r="CC6" s="386" t="s">
        <v>474</v>
      </c>
      <c r="CD6" s="386" t="s">
        <v>475</v>
      </c>
      <c r="CE6" s="386" t="s">
        <v>476</v>
      </c>
      <c r="CF6" s="386" t="s">
        <v>473</v>
      </c>
      <c r="CG6" s="386" t="s">
        <v>474</v>
      </c>
      <c r="CH6" s="386" t="s">
        <v>475</v>
      </c>
      <c r="CI6" s="386" t="s">
        <v>476</v>
      </c>
      <c r="CJ6" s="386" t="s">
        <v>473</v>
      </c>
      <c r="CK6" s="386" t="s">
        <v>474</v>
      </c>
      <c r="CL6" s="386" t="s">
        <v>475</v>
      </c>
      <c r="CM6" s="386" t="s">
        <v>476</v>
      </c>
      <c r="CN6" s="386" t="s">
        <v>473</v>
      </c>
      <c r="CO6" s="386" t="s">
        <v>474</v>
      </c>
      <c r="CP6" s="386" t="s">
        <v>475</v>
      </c>
      <c r="CQ6" s="386" t="s">
        <v>476</v>
      </c>
      <c r="CR6" s="386" t="s">
        <v>473</v>
      </c>
      <c r="CS6" s="386" t="s">
        <v>474</v>
      </c>
      <c r="CT6" s="386" t="s">
        <v>475</v>
      </c>
      <c r="CU6" s="386" t="s">
        <v>476</v>
      </c>
    </row>
    <row r="7" spans="1:101" ht="18" customHeight="1" x14ac:dyDescent="0.2">
      <c r="C7" s="45" t="s">
        <v>188</v>
      </c>
      <c r="D7" s="45"/>
      <c r="E7" s="68"/>
      <c r="G7" s="244"/>
      <c r="H7" s="244"/>
      <c r="I7" s="244"/>
      <c r="J7" s="244"/>
      <c r="K7" s="244"/>
      <c r="L7" s="244"/>
      <c r="M7" s="244"/>
      <c r="N7" s="244"/>
      <c r="O7" s="244"/>
      <c r="P7" s="244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BA7" s="276"/>
      <c r="BB7" s="276"/>
      <c r="BC7" s="276"/>
      <c r="BE7" s="54"/>
      <c r="BF7" s="54"/>
      <c r="BH7" s="387"/>
      <c r="BI7" s="387"/>
      <c r="BJ7" s="387"/>
      <c r="BK7" s="387"/>
      <c r="BL7" s="387"/>
      <c r="BM7" s="387"/>
      <c r="BN7" s="387"/>
      <c r="BO7" s="387"/>
      <c r="BP7" s="387"/>
      <c r="BQ7" s="387"/>
      <c r="BR7" s="387"/>
      <c r="BS7" s="387"/>
      <c r="BT7" s="387"/>
      <c r="BU7" s="387"/>
      <c r="BV7" s="387"/>
      <c r="BW7" s="387"/>
      <c r="BX7" s="387"/>
      <c r="BY7" s="387"/>
      <c r="BZ7" s="387"/>
      <c r="CA7" s="387"/>
      <c r="CB7" s="387"/>
      <c r="CC7" s="387"/>
      <c r="CD7" s="387"/>
      <c r="CE7" s="387"/>
      <c r="CF7" s="387"/>
      <c r="CG7" s="387"/>
      <c r="CH7" s="387"/>
      <c r="CI7" s="387"/>
      <c r="CJ7" s="387"/>
      <c r="CK7" s="387"/>
      <c r="CL7" s="387"/>
      <c r="CM7" s="387"/>
      <c r="CN7" s="387"/>
      <c r="CO7" s="387"/>
      <c r="CP7" s="387"/>
      <c r="CQ7" s="387"/>
      <c r="CR7" s="387"/>
      <c r="CS7" s="387"/>
      <c r="CT7" s="387"/>
      <c r="CU7" s="387"/>
    </row>
    <row r="8" spans="1:101" outlineLevel="1" x14ac:dyDescent="0.2">
      <c r="G8" s="245"/>
      <c r="H8" s="245"/>
      <c r="I8" s="245"/>
      <c r="J8" s="245"/>
      <c r="K8" s="245"/>
      <c r="L8" s="246"/>
      <c r="M8" s="245"/>
      <c r="N8" s="245"/>
      <c r="O8" s="245"/>
      <c r="P8" s="245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J8" s="263"/>
      <c r="AK8" s="263"/>
      <c r="AL8" s="263"/>
      <c r="AM8" s="263"/>
      <c r="AN8" s="263"/>
      <c r="AO8" s="263"/>
      <c r="AP8" s="263"/>
      <c r="AQ8" s="263"/>
      <c r="AR8" s="263"/>
      <c r="AS8" s="263"/>
      <c r="AT8" s="263"/>
      <c r="AU8" s="263"/>
      <c r="AV8" s="263"/>
      <c r="AW8" s="263"/>
      <c r="AX8" s="263"/>
      <c r="AY8" s="263"/>
      <c r="BA8" s="277"/>
      <c r="BB8" s="277"/>
      <c r="BC8" s="277"/>
      <c r="BE8" s="55"/>
      <c r="BF8" s="55"/>
      <c r="BH8" s="388"/>
      <c r="BI8" s="388"/>
      <c r="BJ8" s="388"/>
      <c r="BK8" s="388"/>
      <c r="BL8" s="388"/>
      <c r="BM8" s="388"/>
      <c r="BN8" s="388"/>
      <c r="BO8" s="388"/>
      <c r="BP8" s="388"/>
      <c r="BQ8" s="388"/>
      <c r="BR8" s="388"/>
      <c r="BS8" s="388"/>
      <c r="BT8" s="388"/>
      <c r="BU8" s="388"/>
      <c r="BV8" s="388"/>
      <c r="BW8" s="388"/>
      <c r="BX8" s="388"/>
      <c r="BY8" s="388"/>
      <c r="BZ8" s="388"/>
      <c r="CA8" s="388"/>
      <c r="CB8" s="388"/>
      <c r="CC8" s="388"/>
      <c r="CD8" s="388"/>
      <c r="CE8" s="388"/>
      <c r="CF8" s="388"/>
      <c r="CG8" s="388"/>
      <c r="CH8" s="388"/>
      <c r="CI8" s="388"/>
      <c r="CJ8" s="388"/>
      <c r="CK8" s="388"/>
      <c r="CL8" s="388"/>
      <c r="CM8" s="388"/>
      <c r="CN8" s="388"/>
      <c r="CO8" s="388"/>
      <c r="CP8" s="388"/>
      <c r="CQ8" s="388"/>
      <c r="CR8" s="388"/>
      <c r="CS8" s="388"/>
      <c r="CT8" s="388"/>
      <c r="CU8" s="388"/>
    </row>
    <row r="9" spans="1:101" s="84" customFormat="1" ht="10.5" customHeight="1" outlineLevel="2" x14ac:dyDescent="0.2">
      <c r="A9" s="540"/>
      <c r="B9" s="540"/>
      <c r="C9" s="86" t="s">
        <v>341</v>
      </c>
      <c r="D9" s="540" t="str">
        <f>INDEX(Modules[Module], MATCH($C9, Modules[Code], 0))</f>
        <v>Residential Cooling</v>
      </c>
      <c r="E9" s="61"/>
      <c r="G9" s="297">
        <f ca="1">IFERROR(INDEX(INDIRECT($C9&amp;".Outputs["&amp;this.Year&amp;"]"), MATCH(G$5, INDIRECT($C9&amp;".Outputs[Vector]"), 0)), 0)</f>
        <v>81.857281951971515</v>
      </c>
      <c r="H9" s="297">
        <f t="shared" ref="G9:O11" ca="1" si="0">IFERROR(INDEX(INDIRECT($C9&amp;".Outputs["&amp;this.Year&amp;"]"), MATCH(H$5, INDIRECT($C9&amp;".Outputs[Vector]"), 0)), 0)</f>
        <v>0</v>
      </c>
      <c r="I9" s="297">
        <f t="shared" ca="1" si="0"/>
        <v>0</v>
      </c>
      <c r="J9" s="297">
        <f t="shared" ca="1" si="0"/>
        <v>0</v>
      </c>
      <c r="K9" s="297">
        <f t="shared" ca="1" si="0"/>
        <v>0</v>
      </c>
      <c r="L9" s="297">
        <f t="shared" ca="1" si="0"/>
        <v>0</v>
      </c>
      <c r="M9" s="297">
        <f t="shared" ca="1" si="0"/>
        <v>0</v>
      </c>
      <c r="N9" s="297">
        <f t="shared" ca="1" si="0"/>
        <v>0</v>
      </c>
      <c r="O9" s="297">
        <f t="shared" ca="1" si="0"/>
        <v>0</v>
      </c>
      <c r="P9" s="297">
        <f t="shared" ref="P9:P23" ca="1" si="1">SUM(G9:O9)</f>
        <v>81.857281951971515</v>
      </c>
      <c r="R9" s="304">
        <f t="shared" ref="R9:W9" ca="1" si="2">IFERROR(INDEX(INDIRECT($C9&amp;".Outputs["&amp;this.Year&amp;"]"), MATCH(R$5, INDIRECT($C9&amp;".Outputs[Vector]"), 0)), 0)</f>
        <v>-81.857281951971515</v>
      </c>
      <c r="S9" s="304">
        <f t="shared" ca="1" si="2"/>
        <v>0</v>
      </c>
      <c r="T9" s="304">
        <f t="shared" ca="1" si="2"/>
        <v>0</v>
      </c>
      <c r="U9" s="304">
        <f t="shared" ca="1" si="2"/>
        <v>0</v>
      </c>
      <c r="V9" s="304">
        <f t="shared" ca="1" si="2"/>
        <v>0</v>
      </c>
      <c r="W9" s="304">
        <f t="shared" ca="1" si="2"/>
        <v>0</v>
      </c>
      <c r="X9" s="304">
        <f t="shared" ref="X9:Z9" ca="1" si="3">IFERROR(INDEX(INDIRECT($C9&amp;".Outputs["&amp;this.Year&amp;"]"), MATCH(X$5, INDIRECT($C9&amp;".Outputs[Vector]"), 0)), 0)</f>
        <v>0</v>
      </c>
      <c r="Y9" s="304">
        <f t="shared" ca="1" si="3"/>
        <v>0</v>
      </c>
      <c r="Z9" s="304">
        <f t="shared" ca="1" si="3"/>
        <v>0</v>
      </c>
      <c r="AA9" s="304">
        <f t="shared" ref="AA9:AG9" ca="1" si="4">IFERROR(INDEX(INDIRECT($C9&amp;".Outputs["&amp;this.Year&amp;"]"), MATCH(AA$5, INDIRECT($C9&amp;".Outputs[Vector]"), 0)), 0)</f>
        <v>0</v>
      </c>
      <c r="AB9" s="304">
        <f t="shared" ca="1" si="4"/>
        <v>0</v>
      </c>
      <c r="AC9" s="304">
        <f t="shared" ca="1" si="4"/>
        <v>0</v>
      </c>
      <c r="AD9" s="304">
        <f t="shared" ca="1" si="4"/>
        <v>0</v>
      </c>
      <c r="AE9" s="304">
        <f t="shared" ca="1" si="4"/>
        <v>0</v>
      </c>
      <c r="AF9" s="304">
        <f t="shared" ca="1" si="4"/>
        <v>0</v>
      </c>
      <c r="AG9" s="304">
        <f t="shared" ca="1" si="4"/>
        <v>0</v>
      </c>
      <c r="AH9" s="305">
        <f t="shared" ref="AH9:AH66" ca="1" si="5">SUM(R9:AG9)</f>
        <v>-81.857281951971515</v>
      </c>
      <c r="AJ9" s="312">
        <f t="shared" ref="AJ9:AR9" ca="1" si="6">IFERROR(INDEX(INDIRECT($C9&amp;".Outputs["&amp;this.Year&amp;"]"), MATCH(AJ$5, INDIRECT($C9&amp;".Outputs[Vector]"), 0)), 0)</f>
        <v>0</v>
      </c>
      <c r="AK9" s="312">
        <f t="shared" ca="1" si="6"/>
        <v>0</v>
      </c>
      <c r="AL9" s="312">
        <f t="shared" ca="1" si="6"/>
        <v>0</v>
      </c>
      <c r="AM9" s="312">
        <f t="shared" ca="1" si="6"/>
        <v>0</v>
      </c>
      <c r="AN9" s="312">
        <f t="shared" ca="1" si="6"/>
        <v>0</v>
      </c>
      <c r="AO9" s="312">
        <f t="shared" ca="1" si="6"/>
        <v>0</v>
      </c>
      <c r="AP9" s="312">
        <f t="shared" ca="1" si="6"/>
        <v>0</v>
      </c>
      <c r="AQ9" s="312">
        <f t="shared" ca="1" si="6"/>
        <v>0</v>
      </c>
      <c r="AR9" s="312">
        <f t="shared" ca="1" si="6"/>
        <v>0</v>
      </c>
      <c r="AS9" s="312">
        <f t="shared" ref="AS9:AX9" ca="1" si="7">IFERROR(INDEX(INDIRECT($C9&amp;".Outputs["&amp;this.Year&amp;"]"), MATCH(AS$5, INDIRECT($C9&amp;".Outputs[Vector]"), 0)), 0)</f>
        <v>0</v>
      </c>
      <c r="AT9" s="312">
        <f t="shared" ca="1" si="7"/>
        <v>0</v>
      </c>
      <c r="AU9" s="312">
        <f t="shared" ca="1" si="7"/>
        <v>0</v>
      </c>
      <c r="AV9" s="312">
        <f t="shared" ca="1" si="7"/>
        <v>0</v>
      </c>
      <c r="AW9" s="312">
        <f t="shared" ca="1" si="7"/>
        <v>0</v>
      </c>
      <c r="AX9" s="312">
        <f t="shared" ca="1" si="7"/>
        <v>0</v>
      </c>
      <c r="AY9" s="264">
        <f t="shared" ref="AY9:AY23" ca="1" si="8">SUM(AJ9:AX9)</f>
        <v>0</v>
      </c>
      <c r="BA9" s="308">
        <f t="shared" ref="BA9:BB11" ca="1" si="9">IFERROR(INDEX(INDIRECT($C9&amp;".Outputs["&amp;this.Year&amp;"]"), MATCH(BA$5, INDIRECT($C9&amp;".Outputs[Vector]"), 0)), 0)</f>
        <v>0</v>
      </c>
      <c r="BB9" s="308">
        <f t="shared" ca="1" si="9"/>
        <v>0</v>
      </c>
      <c r="BC9" s="309">
        <f t="shared" ref="BC9:BC66" ca="1" si="10">SUM(BA9:BB9)</f>
        <v>0</v>
      </c>
      <c r="BE9" s="64">
        <f t="shared" ref="BE9:BE33" ca="1" si="11">P9+AH9+AY9+BC9</f>
        <v>0</v>
      </c>
      <c r="BF9" s="64"/>
      <c r="BG9" s="1428"/>
      <c r="BH9" s="541">
        <f t="shared" ref="BH9:BQ9" ca="1" si="12">IFERROR(SUMIFS(INDIRECT($C9&amp;".Emissions["&amp;this.Year&amp;"]"), INDIRECT($C9&amp;".Emissions[GHG]"), BH$6, INDIRECT($C9&amp;".Emissions[IPCC Sector]"), BH$5),0)</f>
        <v>0</v>
      </c>
      <c r="BI9" s="542">
        <f t="shared" ca="1" si="12"/>
        <v>0</v>
      </c>
      <c r="BJ9" s="542">
        <f t="shared" ca="1" si="12"/>
        <v>0</v>
      </c>
      <c r="BK9" s="542">
        <f t="shared" ca="1" si="12"/>
        <v>0</v>
      </c>
      <c r="BL9" s="542">
        <f t="shared" ca="1" si="12"/>
        <v>0</v>
      </c>
      <c r="BM9" s="542">
        <f t="shared" ca="1" si="12"/>
        <v>0</v>
      </c>
      <c r="BN9" s="542">
        <f t="shared" ca="1" si="12"/>
        <v>0</v>
      </c>
      <c r="BO9" s="542">
        <f t="shared" ca="1" si="12"/>
        <v>0</v>
      </c>
      <c r="BP9" s="542">
        <f t="shared" ca="1" si="12"/>
        <v>0</v>
      </c>
      <c r="BQ9" s="542">
        <f t="shared" ca="1" si="12"/>
        <v>0</v>
      </c>
      <c r="BR9" s="542">
        <f t="shared" ref="BR9:CA9" ca="1" si="13">IFERROR(SUMIFS(INDIRECT($C9&amp;".Emissions["&amp;this.Year&amp;"]"), INDIRECT($C9&amp;".Emissions[GHG]"), BR$6, INDIRECT($C9&amp;".Emissions[IPCC Sector]"), BR$5),0)</f>
        <v>0</v>
      </c>
      <c r="BS9" s="542">
        <f t="shared" ca="1" si="13"/>
        <v>0</v>
      </c>
      <c r="BT9" s="542">
        <f t="shared" ca="1" si="13"/>
        <v>0</v>
      </c>
      <c r="BU9" s="542">
        <f t="shared" ca="1" si="13"/>
        <v>0</v>
      </c>
      <c r="BV9" s="542">
        <f t="shared" ca="1" si="13"/>
        <v>0</v>
      </c>
      <c r="BW9" s="542">
        <f t="shared" ca="1" si="13"/>
        <v>0</v>
      </c>
      <c r="BX9" s="542">
        <f t="shared" ca="1" si="13"/>
        <v>0</v>
      </c>
      <c r="BY9" s="542">
        <f t="shared" ca="1" si="13"/>
        <v>0</v>
      </c>
      <c r="BZ9" s="542">
        <f t="shared" ca="1" si="13"/>
        <v>0</v>
      </c>
      <c r="CA9" s="542">
        <f t="shared" ca="1" si="13"/>
        <v>0</v>
      </c>
      <c r="CB9" s="542">
        <f t="shared" ref="CB9:CK9" ca="1" si="14">IFERROR(SUMIFS(INDIRECT($C9&amp;".Emissions["&amp;this.Year&amp;"]"), INDIRECT($C9&amp;".Emissions[GHG]"), CB$6, INDIRECT($C9&amp;".Emissions[IPCC Sector]"), CB$5),0)</f>
        <v>0</v>
      </c>
      <c r="CC9" s="542">
        <f t="shared" ca="1" si="14"/>
        <v>0</v>
      </c>
      <c r="CD9" s="542">
        <f t="shared" ca="1" si="14"/>
        <v>0</v>
      </c>
      <c r="CE9" s="542">
        <f t="shared" ca="1" si="14"/>
        <v>0</v>
      </c>
      <c r="CF9" s="542">
        <f t="shared" ca="1" si="14"/>
        <v>0</v>
      </c>
      <c r="CG9" s="542">
        <f t="shared" ca="1" si="14"/>
        <v>0</v>
      </c>
      <c r="CH9" s="542">
        <f t="shared" ca="1" si="14"/>
        <v>0</v>
      </c>
      <c r="CI9" s="542">
        <f t="shared" ca="1" si="14"/>
        <v>0</v>
      </c>
      <c r="CJ9" s="542">
        <f t="shared" ca="1" si="14"/>
        <v>0</v>
      </c>
      <c r="CK9" s="542">
        <f t="shared" ca="1" si="14"/>
        <v>0</v>
      </c>
      <c r="CL9" s="542">
        <f t="shared" ref="CL9:CU9" ca="1" si="15">IFERROR(SUMIFS(INDIRECT($C9&amp;".Emissions["&amp;this.Year&amp;"]"), INDIRECT($C9&amp;".Emissions[GHG]"), CL$6, INDIRECT($C9&amp;".Emissions[IPCC Sector]"), CL$5),0)</f>
        <v>0</v>
      </c>
      <c r="CM9" s="542">
        <f t="shared" ca="1" si="15"/>
        <v>0</v>
      </c>
      <c r="CN9" s="542">
        <f t="shared" ca="1" si="15"/>
        <v>0</v>
      </c>
      <c r="CO9" s="542">
        <f t="shared" ca="1" si="15"/>
        <v>0</v>
      </c>
      <c r="CP9" s="542">
        <f t="shared" ca="1" si="15"/>
        <v>0</v>
      </c>
      <c r="CQ9" s="542">
        <f t="shared" ca="1" si="15"/>
        <v>0</v>
      </c>
      <c r="CR9" s="542">
        <f t="shared" ca="1" si="15"/>
        <v>0</v>
      </c>
      <c r="CS9" s="542">
        <f t="shared" ca="1" si="15"/>
        <v>0</v>
      </c>
      <c r="CT9" s="542">
        <f t="shared" ca="1" si="15"/>
        <v>0</v>
      </c>
      <c r="CU9" s="542">
        <f t="shared" ca="1" si="15"/>
        <v>0</v>
      </c>
      <c r="CW9" s="151"/>
    </row>
    <row r="10" spans="1:101" s="84" customFormat="1" ht="12.75" customHeight="1" outlineLevel="1" x14ac:dyDescent="0.2">
      <c r="A10" s="543"/>
      <c r="B10" s="543"/>
      <c r="C10" s="86"/>
      <c r="D10" s="543" t="s">
        <v>389</v>
      </c>
      <c r="E10" s="61"/>
      <c r="G10" s="298">
        <f t="shared" ref="G10:O10" ca="1" si="16">SUM(G9:G9)</f>
        <v>81.857281951971515</v>
      </c>
      <c r="H10" s="298">
        <f t="shared" ca="1" si="16"/>
        <v>0</v>
      </c>
      <c r="I10" s="298">
        <f t="shared" ca="1" si="16"/>
        <v>0</v>
      </c>
      <c r="J10" s="298">
        <f t="shared" ca="1" si="16"/>
        <v>0</v>
      </c>
      <c r="K10" s="298">
        <f t="shared" ca="1" si="16"/>
        <v>0</v>
      </c>
      <c r="L10" s="298">
        <f t="shared" ca="1" si="16"/>
        <v>0</v>
      </c>
      <c r="M10" s="298">
        <f t="shared" ca="1" si="16"/>
        <v>0</v>
      </c>
      <c r="N10" s="298">
        <f t="shared" ca="1" si="16"/>
        <v>0</v>
      </c>
      <c r="O10" s="298">
        <f t="shared" ca="1" si="16"/>
        <v>0</v>
      </c>
      <c r="P10" s="298">
        <f t="shared" ca="1" si="1"/>
        <v>81.857281951971515</v>
      </c>
      <c r="R10" s="305">
        <f t="shared" ref="R10:AG10" ca="1" si="17">SUM(R9:R9)</f>
        <v>-81.857281951971515</v>
      </c>
      <c r="S10" s="305">
        <f t="shared" ca="1" si="17"/>
        <v>0</v>
      </c>
      <c r="T10" s="305">
        <f t="shared" ca="1" si="17"/>
        <v>0</v>
      </c>
      <c r="U10" s="305">
        <f t="shared" ca="1" si="17"/>
        <v>0</v>
      </c>
      <c r="V10" s="305">
        <f t="shared" ca="1" si="17"/>
        <v>0</v>
      </c>
      <c r="W10" s="305">
        <f t="shared" ca="1" si="17"/>
        <v>0</v>
      </c>
      <c r="X10" s="305">
        <f t="shared" ca="1" si="17"/>
        <v>0</v>
      </c>
      <c r="Y10" s="305">
        <f t="shared" ca="1" si="17"/>
        <v>0</v>
      </c>
      <c r="Z10" s="305">
        <f t="shared" ca="1" si="17"/>
        <v>0</v>
      </c>
      <c r="AA10" s="305">
        <f t="shared" ca="1" si="17"/>
        <v>0</v>
      </c>
      <c r="AB10" s="305">
        <f t="shared" ca="1" si="17"/>
        <v>0</v>
      </c>
      <c r="AC10" s="305">
        <f t="shared" ca="1" si="17"/>
        <v>0</v>
      </c>
      <c r="AD10" s="305">
        <f t="shared" ca="1" si="17"/>
        <v>0</v>
      </c>
      <c r="AE10" s="305">
        <f t="shared" ca="1" si="17"/>
        <v>0</v>
      </c>
      <c r="AF10" s="305">
        <f t="shared" ca="1" si="17"/>
        <v>0</v>
      </c>
      <c r="AG10" s="305">
        <f t="shared" ca="1" si="17"/>
        <v>0</v>
      </c>
      <c r="AH10" s="305">
        <f t="shared" ca="1" si="5"/>
        <v>-81.857281951971515</v>
      </c>
      <c r="AJ10" s="313">
        <f t="shared" ref="AJ10:AX10" ca="1" si="18">SUM(AJ9:AJ9)</f>
        <v>0</v>
      </c>
      <c r="AK10" s="313">
        <f t="shared" ca="1" si="18"/>
        <v>0</v>
      </c>
      <c r="AL10" s="313">
        <f t="shared" ca="1" si="18"/>
        <v>0</v>
      </c>
      <c r="AM10" s="313">
        <f t="shared" ca="1" si="18"/>
        <v>0</v>
      </c>
      <c r="AN10" s="313">
        <f t="shared" ca="1" si="18"/>
        <v>0</v>
      </c>
      <c r="AO10" s="313">
        <f t="shared" ca="1" si="18"/>
        <v>0</v>
      </c>
      <c r="AP10" s="313">
        <f t="shared" ca="1" si="18"/>
        <v>0</v>
      </c>
      <c r="AQ10" s="313">
        <f t="shared" ca="1" si="18"/>
        <v>0</v>
      </c>
      <c r="AR10" s="313">
        <f t="shared" ca="1" si="18"/>
        <v>0</v>
      </c>
      <c r="AS10" s="313">
        <f t="shared" ca="1" si="18"/>
        <v>0</v>
      </c>
      <c r="AT10" s="313">
        <f t="shared" ca="1" si="18"/>
        <v>0</v>
      </c>
      <c r="AU10" s="313">
        <f t="shared" ca="1" si="18"/>
        <v>0</v>
      </c>
      <c r="AV10" s="313">
        <f t="shared" ca="1" si="18"/>
        <v>0</v>
      </c>
      <c r="AW10" s="313">
        <f t="shared" ca="1" si="18"/>
        <v>0</v>
      </c>
      <c r="AX10" s="313">
        <f t="shared" ca="1" si="18"/>
        <v>0</v>
      </c>
      <c r="AY10" s="266">
        <f t="shared" ca="1" si="8"/>
        <v>0</v>
      </c>
      <c r="BA10" s="309">
        <f ca="1">SUM(BA9:BA9)</f>
        <v>0</v>
      </c>
      <c r="BB10" s="309">
        <f ca="1">SUM(BB9:BB9)</f>
        <v>0</v>
      </c>
      <c r="BC10" s="309">
        <f t="shared" ca="1" si="10"/>
        <v>0</v>
      </c>
      <c r="BE10" s="135">
        <f t="shared" ca="1" si="11"/>
        <v>0</v>
      </c>
      <c r="BF10" s="135"/>
      <c r="BG10" s="1428"/>
      <c r="BH10" s="541">
        <f t="shared" ref="BH10:CU10" ca="1" si="19">SUM(BH9:BH9)</f>
        <v>0</v>
      </c>
      <c r="BI10" s="542">
        <f t="shared" ca="1" si="19"/>
        <v>0</v>
      </c>
      <c r="BJ10" s="542">
        <f t="shared" ca="1" si="19"/>
        <v>0</v>
      </c>
      <c r="BK10" s="542">
        <f t="shared" ca="1" si="19"/>
        <v>0</v>
      </c>
      <c r="BL10" s="542">
        <f t="shared" ca="1" si="19"/>
        <v>0</v>
      </c>
      <c r="BM10" s="542">
        <f t="shared" ca="1" si="19"/>
        <v>0</v>
      </c>
      <c r="BN10" s="542">
        <f t="shared" ca="1" si="19"/>
        <v>0</v>
      </c>
      <c r="BO10" s="542">
        <f t="shared" ca="1" si="19"/>
        <v>0</v>
      </c>
      <c r="BP10" s="542">
        <f t="shared" ca="1" si="19"/>
        <v>0</v>
      </c>
      <c r="BQ10" s="542">
        <f t="shared" ca="1" si="19"/>
        <v>0</v>
      </c>
      <c r="BR10" s="542">
        <f t="shared" ca="1" si="19"/>
        <v>0</v>
      </c>
      <c r="BS10" s="542">
        <f t="shared" ca="1" si="19"/>
        <v>0</v>
      </c>
      <c r="BT10" s="542">
        <f t="shared" ca="1" si="19"/>
        <v>0</v>
      </c>
      <c r="BU10" s="542">
        <f t="shared" ca="1" si="19"/>
        <v>0</v>
      </c>
      <c r="BV10" s="542">
        <f t="shared" ca="1" si="19"/>
        <v>0</v>
      </c>
      <c r="BW10" s="542">
        <f t="shared" ca="1" si="19"/>
        <v>0</v>
      </c>
      <c r="BX10" s="542">
        <f t="shared" ca="1" si="19"/>
        <v>0</v>
      </c>
      <c r="BY10" s="542">
        <f t="shared" ca="1" si="19"/>
        <v>0</v>
      </c>
      <c r="BZ10" s="542">
        <f t="shared" ca="1" si="19"/>
        <v>0</v>
      </c>
      <c r="CA10" s="542">
        <f t="shared" ca="1" si="19"/>
        <v>0</v>
      </c>
      <c r="CB10" s="542">
        <f t="shared" ca="1" si="19"/>
        <v>0</v>
      </c>
      <c r="CC10" s="542">
        <f t="shared" ca="1" si="19"/>
        <v>0</v>
      </c>
      <c r="CD10" s="542">
        <f t="shared" ca="1" si="19"/>
        <v>0</v>
      </c>
      <c r="CE10" s="542">
        <f t="shared" ca="1" si="19"/>
        <v>0</v>
      </c>
      <c r="CF10" s="542">
        <f t="shared" ca="1" si="19"/>
        <v>0</v>
      </c>
      <c r="CG10" s="542">
        <f t="shared" ca="1" si="19"/>
        <v>0</v>
      </c>
      <c r="CH10" s="542">
        <f t="shared" ca="1" si="19"/>
        <v>0</v>
      </c>
      <c r="CI10" s="542">
        <f t="shared" ca="1" si="19"/>
        <v>0</v>
      </c>
      <c r="CJ10" s="542">
        <f t="shared" ca="1" si="19"/>
        <v>0</v>
      </c>
      <c r="CK10" s="542">
        <f t="shared" ca="1" si="19"/>
        <v>0</v>
      </c>
      <c r="CL10" s="542">
        <f t="shared" ca="1" si="19"/>
        <v>0</v>
      </c>
      <c r="CM10" s="542">
        <f t="shared" ca="1" si="19"/>
        <v>0</v>
      </c>
      <c r="CN10" s="542">
        <f t="shared" ca="1" si="19"/>
        <v>0</v>
      </c>
      <c r="CO10" s="542">
        <f t="shared" ca="1" si="19"/>
        <v>0</v>
      </c>
      <c r="CP10" s="542">
        <f t="shared" ca="1" si="19"/>
        <v>0</v>
      </c>
      <c r="CQ10" s="542">
        <f t="shared" ca="1" si="19"/>
        <v>0</v>
      </c>
      <c r="CR10" s="542">
        <f t="shared" ca="1" si="19"/>
        <v>0</v>
      </c>
      <c r="CS10" s="542">
        <f t="shared" ca="1" si="19"/>
        <v>0</v>
      </c>
      <c r="CT10" s="542">
        <f t="shared" ca="1" si="19"/>
        <v>0</v>
      </c>
      <c r="CU10" s="542">
        <f t="shared" ca="1" si="19"/>
        <v>0</v>
      </c>
      <c r="CW10" s="151"/>
    </row>
    <row r="11" spans="1:101" s="84" customFormat="1" ht="10.5" customHeight="1" outlineLevel="2" x14ac:dyDescent="0.2">
      <c r="A11" s="540"/>
      <c r="B11" s="540"/>
      <c r="C11" s="86" t="s">
        <v>388</v>
      </c>
      <c r="D11" s="540" t="str">
        <f>INDEX(Modules[Module], MATCH($C11, Modules[Code], 0))</f>
        <v>Service Sector Cooling</v>
      </c>
      <c r="E11" s="291"/>
      <c r="G11" s="297">
        <f t="shared" ca="1" si="0"/>
        <v>22.301127018330565</v>
      </c>
      <c r="H11" s="297">
        <f t="shared" ca="1" si="0"/>
        <v>0</v>
      </c>
      <c r="I11" s="297">
        <f t="shared" ca="1" si="0"/>
        <v>0</v>
      </c>
      <c r="J11" s="297">
        <f t="shared" ca="1" si="0"/>
        <v>0</v>
      </c>
      <c r="K11" s="297">
        <f t="shared" ca="1" si="0"/>
        <v>0</v>
      </c>
      <c r="L11" s="297">
        <f t="shared" ca="1" si="0"/>
        <v>0</v>
      </c>
      <c r="M11" s="297">
        <f t="shared" ca="1" si="0"/>
        <v>0</v>
      </c>
      <c r="N11" s="297">
        <f t="shared" ca="1" si="0"/>
        <v>0</v>
      </c>
      <c r="O11" s="297">
        <f t="shared" ca="1" si="0"/>
        <v>0</v>
      </c>
      <c r="P11" s="297">
        <f t="shared" ca="1" si="1"/>
        <v>22.301127018330565</v>
      </c>
      <c r="R11" s="304">
        <f t="shared" ref="R11:W11" ca="1" si="20">IFERROR(INDEX(INDIRECT($C11&amp;".Outputs["&amp;this.Year&amp;"]"), MATCH(R$5, INDIRECT($C11&amp;".Outputs[Vector]"), 0)), 0)</f>
        <v>-22.301127018330565</v>
      </c>
      <c r="S11" s="304">
        <f t="shared" ca="1" si="20"/>
        <v>0</v>
      </c>
      <c r="T11" s="304">
        <f t="shared" ca="1" si="20"/>
        <v>0</v>
      </c>
      <c r="U11" s="304">
        <f t="shared" ca="1" si="20"/>
        <v>0</v>
      </c>
      <c r="V11" s="304">
        <f t="shared" ca="1" si="20"/>
        <v>0</v>
      </c>
      <c r="W11" s="304">
        <f t="shared" ca="1" si="20"/>
        <v>0</v>
      </c>
      <c r="X11" s="304">
        <f t="shared" ref="X11:Z11" ca="1" si="21">IFERROR(INDEX(INDIRECT($C11&amp;".Outputs["&amp;this.Year&amp;"]"), MATCH(X$5, INDIRECT($C11&amp;".Outputs[Vector]"), 0)), 0)</f>
        <v>0</v>
      </c>
      <c r="Y11" s="304">
        <f t="shared" ca="1" si="21"/>
        <v>0</v>
      </c>
      <c r="Z11" s="304">
        <f t="shared" ca="1" si="21"/>
        <v>0</v>
      </c>
      <c r="AA11" s="304">
        <f t="shared" ref="AA11:AG11" ca="1" si="22">IFERROR(INDEX(INDIRECT($C11&amp;".Outputs["&amp;this.Year&amp;"]"), MATCH(AA$5, INDIRECT($C11&amp;".Outputs[Vector]"), 0)), 0)</f>
        <v>0</v>
      </c>
      <c r="AB11" s="304">
        <f t="shared" ca="1" si="22"/>
        <v>0</v>
      </c>
      <c r="AC11" s="304">
        <f t="shared" ca="1" si="22"/>
        <v>0</v>
      </c>
      <c r="AD11" s="304">
        <f t="shared" ca="1" si="22"/>
        <v>0</v>
      </c>
      <c r="AE11" s="304">
        <f t="shared" ca="1" si="22"/>
        <v>0</v>
      </c>
      <c r="AF11" s="304">
        <f t="shared" ca="1" si="22"/>
        <v>0</v>
      </c>
      <c r="AG11" s="304">
        <f t="shared" ca="1" si="22"/>
        <v>0</v>
      </c>
      <c r="AH11" s="305">
        <f t="shared" ca="1" si="5"/>
        <v>-22.301127018330565</v>
      </c>
      <c r="AJ11" s="312">
        <f t="shared" ref="AJ11:AR11" ca="1" si="23">IFERROR(INDEX(INDIRECT($C11&amp;".Outputs["&amp;this.Year&amp;"]"), MATCH(AJ$5, INDIRECT($C11&amp;".Outputs[Vector]"), 0)), 0)</f>
        <v>0</v>
      </c>
      <c r="AK11" s="312">
        <f t="shared" ca="1" si="23"/>
        <v>0</v>
      </c>
      <c r="AL11" s="312">
        <f t="shared" ca="1" si="23"/>
        <v>0</v>
      </c>
      <c r="AM11" s="312">
        <f t="shared" ca="1" si="23"/>
        <v>0</v>
      </c>
      <c r="AN11" s="312">
        <f t="shared" ca="1" si="23"/>
        <v>0</v>
      </c>
      <c r="AO11" s="312">
        <f t="shared" ca="1" si="23"/>
        <v>0</v>
      </c>
      <c r="AP11" s="312">
        <f t="shared" ca="1" si="23"/>
        <v>0</v>
      </c>
      <c r="AQ11" s="312">
        <f t="shared" ca="1" si="23"/>
        <v>0</v>
      </c>
      <c r="AR11" s="312">
        <f t="shared" ca="1" si="23"/>
        <v>0</v>
      </c>
      <c r="AS11" s="312">
        <f t="shared" ref="AS11:AX11" ca="1" si="24">IFERROR(INDEX(INDIRECT($C11&amp;".Outputs["&amp;this.Year&amp;"]"), MATCH(AS$5, INDIRECT($C11&amp;".Outputs[Vector]"), 0)), 0)</f>
        <v>0</v>
      </c>
      <c r="AT11" s="312">
        <f t="shared" ca="1" si="24"/>
        <v>0</v>
      </c>
      <c r="AU11" s="312">
        <f t="shared" ca="1" si="24"/>
        <v>0</v>
      </c>
      <c r="AV11" s="312">
        <f t="shared" ca="1" si="24"/>
        <v>0</v>
      </c>
      <c r="AW11" s="312">
        <f t="shared" ca="1" si="24"/>
        <v>0</v>
      </c>
      <c r="AX11" s="312">
        <f t="shared" ca="1" si="24"/>
        <v>0</v>
      </c>
      <c r="AY11" s="264">
        <f t="shared" ca="1" si="8"/>
        <v>0</v>
      </c>
      <c r="BA11" s="308">
        <f t="shared" ca="1" si="9"/>
        <v>0</v>
      </c>
      <c r="BB11" s="308">
        <f t="shared" ca="1" si="9"/>
        <v>0</v>
      </c>
      <c r="BC11" s="309">
        <f t="shared" ca="1" si="10"/>
        <v>0</v>
      </c>
      <c r="BE11" s="64">
        <f t="shared" ca="1" si="11"/>
        <v>0</v>
      </c>
      <c r="BF11" s="64"/>
      <c r="BG11" s="1428"/>
      <c r="BH11" s="541">
        <f t="shared" ref="BH11:BQ11" ca="1" si="25">IFERROR(SUMIFS(INDIRECT($C11&amp;".Emissions["&amp;this.Year&amp;"]"), INDIRECT($C11&amp;".Emissions[GHG]"), BH$6, INDIRECT($C11&amp;".Emissions[IPCC Sector]"), BH$5),0)</f>
        <v>0</v>
      </c>
      <c r="BI11" s="542">
        <f t="shared" ca="1" si="25"/>
        <v>0</v>
      </c>
      <c r="BJ11" s="542">
        <f t="shared" ca="1" si="25"/>
        <v>0</v>
      </c>
      <c r="BK11" s="542">
        <f t="shared" ca="1" si="25"/>
        <v>0</v>
      </c>
      <c r="BL11" s="542">
        <f t="shared" ca="1" si="25"/>
        <v>0</v>
      </c>
      <c r="BM11" s="542">
        <f t="shared" ca="1" si="25"/>
        <v>0</v>
      </c>
      <c r="BN11" s="542">
        <f t="shared" ca="1" si="25"/>
        <v>0</v>
      </c>
      <c r="BO11" s="542">
        <f t="shared" ca="1" si="25"/>
        <v>0</v>
      </c>
      <c r="BP11" s="542">
        <f t="shared" ca="1" si="25"/>
        <v>0</v>
      </c>
      <c r="BQ11" s="542">
        <f t="shared" ca="1" si="25"/>
        <v>0</v>
      </c>
      <c r="BR11" s="542">
        <f t="shared" ref="BR11:CA11" ca="1" si="26">IFERROR(SUMIFS(INDIRECT($C11&amp;".Emissions["&amp;this.Year&amp;"]"), INDIRECT($C11&amp;".Emissions[GHG]"), BR$6, INDIRECT($C11&amp;".Emissions[IPCC Sector]"), BR$5),0)</f>
        <v>0</v>
      </c>
      <c r="BS11" s="542">
        <f t="shared" ca="1" si="26"/>
        <v>0</v>
      </c>
      <c r="BT11" s="542">
        <f t="shared" ca="1" si="26"/>
        <v>0</v>
      </c>
      <c r="BU11" s="542">
        <f t="shared" ca="1" si="26"/>
        <v>0</v>
      </c>
      <c r="BV11" s="542">
        <f t="shared" ca="1" si="26"/>
        <v>0</v>
      </c>
      <c r="BW11" s="542">
        <f t="shared" ca="1" si="26"/>
        <v>0</v>
      </c>
      <c r="BX11" s="542">
        <f t="shared" ca="1" si="26"/>
        <v>0</v>
      </c>
      <c r="BY11" s="542">
        <f t="shared" ca="1" si="26"/>
        <v>0</v>
      </c>
      <c r="BZ11" s="542">
        <f t="shared" ca="1" si="26"/>
        <v>0</v>
      </c>
      <c r="CA11" s="542">
        <f t="shared" ca="1" si="26"/>
        <v>0</v>
      </c>
      <c r="CB11" s="542">
        <f t="shared" ref="CB11:CK11" ca="1" si="27">IFERROR(SUMIFS(INDIRECT($C11&amp;".Emissions["&amp;this.Year&amp;"]"), INDIRECT($C11&amp;".Emissions[GHG]"), CB$6, INDIRECT($C11&amp;".Emissions[IPCC Sector]"), CB$5),0)</f>
        <v>0</v>
      </c>
      <c r="CC11" s="542">
        <f t="shared" ca="1" si="27"/>
        <v>0</v>
      </c>
      <c r="CD11" s="542">
        <f t="shared" ca="1" si="27"/>
        <v>0</v>
      </c>
      <c r="CE11" s="542">
        <f t="shared" ca="1" si="27"/>
        <v>0</v>
      </c>
      <c r="CF11" s="542">
        <f t="shared" ca="1" si="27"/>
        <v>0</v>
      </c>
      <c r="CG11" s="542">
        <f t="shared" ca="1" si="27"/>
        <v>0</v>
      </c>
      <c r="CH11" s="542">
        <f t="shared" ca="1" si="27"/>
        <v>0</v>
      </c>
      <c r="CI11" s="542">
        <f t="shared" ca="1" si="27"/>
        <v>0</v>
      </c>
      <c r="CJ11" s="542">
        <f t="shared" ca="1" si="27"/>
        <v>0</v>
      </c>
      <c r="CK11" s="542">
        <f t="shared" ca="1" si="27"/>
        <v>0</v>
      </c>
      <c r="CL11" s="542">
        <f t="shared" ref="CL11:CU11" ca="1" si="28">IFERROR(SUMIFS(INDIRECT($C11&amp;".Emissions["&amp;this.Year&amp;"]"), INDIRECT($C11&amp;".Emissions[GHG]"), CL$6, INDIRECT($C11&amp;".Emissions[IPCC Sector]"), CL$5),0)</f>
        <v>0</v>
      </c>
      <c r="CM11" s="542">
        <f t="shared" ca="1" si="28"/>
        <v>0</v>
      </c>
      <c r="CN11" s="542">
        <f t="shared" ca="1" si="28"/>
        <v>0</v>
      </c>
      <c r="CO11" s="542">
        <f t="shared" ca="1" si="28"/>
        <v>0</v>
      </c>
      <c r="CP11" s="542">
        <f t="shared" ca="1" si="28"/>
        <v>0</v>
      </c>
      <c r="CQ11" s="542">
        <f t="shared" ca="1" si="28"/>
        <v>0</v>
      </c>
      <c r="CR11" s="542">
        <f t="shared" ca="1" si="28"/>
        <v>0</v>
      </c>
      <c r="CS11" s="542">
        <f t="shared" ca="1" si="28"/>
        <v>0</v>
      </c>
      <c r="CT11" s="542">
        <f t="shared" ca="1" si="28"/>
        <v>0</v>
      </c>
      <c r="CU11" s="542">
        <f t="shared" ca="1" si="28"/>
        <v>0</v>
      </c>
      <c r="CW11" s="151"/>
    </row>
    <row r="12" spans="1:101" s="84" customFormat="1" ht="12.75" customHeight="1" outlineLevel="1" x14ac:dyDescent="0.2">
      <c r="A12" s="543"/>
      <c r="B12" s="543"/>
      <c r="C12" s="86"/>
      <c r="D12" s="292" t="s">
        <v>390</v>
      </c>
      <c r="E12" s="292"/>
      <c r="G12" s="299">
        <f t="shared" ref="G12:O12" ca="1" si="29">SUM(G11:G11)</f>
        <v>22.301127018330565</v>
      </c>
      <c r="H12" s="299">
        <f t="shared" ca="1" si="29"/>
        <v>0</v>
      </c>
      <c r="I12" s="299">
        <f t="shared" ca="1" si="29"/>
        <v>0</v>
      </c>
      <c r="J12" s="299">
        <f t="shared" ca="1" si="29"/>
        <v>0</v>
      </c>
      <c r="K12" s="299">
        <f t="shared" ca="1" si="29"/>
        <v>0</v>
      </c>
      <c r="L12" s="299">
        <f t="shared" ca="1" si="29"/>
        <v>0</v>
      </c>
      <c r="M12" s="299">
        <f t="shared" ca="1" si="29"/>
        <v>0</v>
      </c>
      <c r="N12" s="299">
        <f t="shared" ca="1" si="29"/>
        <v>0</v>
      </c>
      <c r="O12" s="299">
        <f t="shared" ca="1" si="29"/>
        <v>0</v>
      </c>
      <c r="P12" s="299">
        <f t="shared" ca="1" si="1"/>
        <v>22.301127018330565</v>
      </c>
      <c r="R12" s="306">
        <f t="shared" ref="R12:AG12" ca="1" si="30">SUM(R11:R11)</f>
        <v>-22.301127018330565</v>
      </c>
      <c r="S12" s="306">
        <f t="shared" ca="1" si="30"/>
        <v>0</v>
      </c>
      <c r="T12" s="306">
        <f t="shared" ca="1" si="30"/>
        <v>0</v>
      </c>
      <c r="U12" s="306">
        <f t="shared" ca="1" si="30"/>
        <v>0</v>
      </c>
      <c r="V12" s="306">
        <f t="shared" ca="1" si="30"/>
        <v>0</v>
      </c>
      <c r="W12" s="306">
        <f t="shared" ca="1" si="30"/>
        <v>0</v>
      </c>
      <c r="X12" s="306">
        <f t="shared" ca="1" si="30"/>
        <v>0</v>
      </c>
      <c r="Y12" s="306">
        <f t="shared" ca="1" si="30"/>
        <v>0</v>
      </c>
      <c r="Z12" s="306">
        <f t="shared" ca="1" si="30"/>
        <v>0</v>
      </c>
      <c r="AA12" s="306">
        <f t="shared" ca="1" si="30"/>
        <v>0</v>
      </c>
      <c r="AB12" s="306">
        <f t="shared" ca="1" si="30"/>
        <v>0</v>
      </c>
      <c r="AC12" s="306">
        <f t="shared" ca="1" si="30"/>
        <v>0</v>
      </c>
      <c r="AD12" s="306">
        <f t="shared" ca="1" si="30"/>
        <v>0</v>
      </c>
      <c r="AE12" s="306">
        <f t="shared" ca="1" si="30"/>
        <v>0</v>
      </c>
      <c r="AF12" s="306">
        <f t="shared" ca="1" si="30"/>
        <v>0</v>
      </c>
      <c r="AG12" s="306">
        <f t="shared" ca="1" si="30"/>
        <v>0</v>
      </c>
      <c r="AH12" s="306">
        <f t="shared" ca="1" si="5"/>
        <v>-22.301127018330565</v>
      </c>
      <c r="AJ12" s="314">
        <f t="shared" ref="AJ12:AX12" ca="1" si="31">SUM(AJ11:AJ11)</f>
        <v>0</v>
      </c>
      <c r="AK12" s="314">
        <f t="shared" ca="1" si="31"/>
        <v>0</v>
      </c>
      <c r="AL12" s="314">
        <f t="shared" ca="1" si="31"/>
        <v>0</v>
      </c>
      <c r="AM12" s="314">
        <f t="shared" ca="1" si="31"/>
        <v>0</v>
      </c>
      <c r="AN12" s="314">
        <f t="shared" ca="1" si="31"/>
        <v>0</v>
      </c>
      <c r="AO12" s="314">
        <f t="shared" ca="1" si="31"/>
        <v>0</v>
      </c>
      <c r="AP12" s="314">
        <f t="shared" ca="1" si="31"/>
        <v>0</v>
      </c>
      <c r="AQ12" s="314">
        <f t="shared" ca="1" si="31"/>
        <v>0</v>
      </c>
      <c r="AR12" s="314">
        <f t="shared" ca="1" si="31"/>
        <v>0</v>
      </c>
      <c r="AS12" s="314">
        <f t="shared" ca="1" si="31"/>
        <v>0</v>
      </c>
      <c r="AT12" s="314">
        <f t="shared" ca="1" si="31"/>
        <v>0</v>
      </c>
      <c r="AU12" s="314">
        <f t="shared" ca="1" si="31"/>
        <v>0</v>
      </c>
      <c r="AV12" s="314">
        <f t="shared" ca="1" si="31"/>
        <v>0</v>
      </c>
      <c r="AW12" s="314">
        <f t="shared" ca="1" si="31"/>
        <v>0</v>
      </c>
      <c r="AX12" s="314">
        <f t="shared" ca="1" si="31"/>
        <v>0</v>
      </c>
      <c r="AY12" s="293">
        <f t="shared" ca="1" si="8"/>
        <v>0</v>
      </c>
      <c r="BA12" s="310">
        <f ca="1">SUM(BA11:BA11)</f>
        <v>0</v>
      </c>
      <c r="BB12" s="310">
        <f ca="1">SUM(BB11:BB11)</f>
        <v>0</v>
      </c>
      <c r="BC12" s="310">
        <f t="shared" ca="1" si="10"/>
        <v>0</v>
      </c>
      <c r="BE12" s="135">
        <f t="shared" ca="1" si="11"/>
        <v>0</v>
      </c>
      <c r="BF12" s="135"/>
      <c r="BG12" s="1428"/>
      <c r="BH12" s="544">
        <f t="shared" ref="BH12:CU12" ca="1" si="32">SUM(BH11:BH11)</f>
        <v>0</v>
      </c>
      <c r="BI12" s="545">
        <f t="shared" ca="1" si="32"/>
        <v>0</v>
      </c>
      <c r="BJ12" s="545">
        <f t="shared" ca="1" si="32"/>
        <v>0</v>
      </c>
      <c r="BK12" s="545">
        <f t="shared" ca="1" si="32"/>
        <v>0</v>
      </c>
      <c r="BL12" s="545">
        <f t="shared" ca="1" si="32"/>
        <v>0</v>
      </c>
      <c r="BM12" s="545">
        <f t="shared" ca="1" si="32"/>
        <v>0</v>
      </c>
      <c r="BN12" s="545">
        <f t="shared" ca="1" si="32"/>
        <v>0</v>
      </c>
      <c r="BO12" s="545">
        <f t="shared" ca="1" si="32"/>
        <v>0</v>
      </c>
      <c r="BP12" s="545">
        <f t="shared" ca="1" si="32"/>
        <v>0</v>
      </c>
      <c r="BQ12" s="545">
        <f t="shared" ca="1" si="32"/>
        <v>0</v>
      </c>
      <c r="BR12" s="545">
        <f t="shared" ca="1" si="32"/>
        <v>0</v>
      </c>
      <c r="BS12" s="545">
        <f t="shared" ca="1" si="32"/>
        <v>0</v>
      </c>
      <c r="BT12" s="545">
        <f t="shared" ca="1" si="32"/>
        <v>0</v>
      </c>
      <c r="BU12" s="545">
        <f t="shared" ca="1" si="32"/>
        <v>0</v>
      </c>
      <c r="BV12" s="545">
        <f t="shared" ca="1" si="32"/>
        <v>0</v>
      </c>
      <c r="BW12" s="545">
        <f t="shared" ca="1" si="32"/>
        <v>0</v>
      </c>
      <c r="BX12" s="545">
        <f t="shared" ca="1" si="32"/>
        <v>0</v>
      </c>
      <c r="BY12" s="545">
        <f t="shared" ca="1" si="32"/>
        <v>0</v>
      </c>
      <c r="BZ12" s="545">
        <f t="shared" ca="1" si="32"/>
        <v>0</v>
      </c>
      <c r="CA12" s="545">
        <f t="shared" ca="1" si="32"/>
        <v>0</v>
      </c>
      <c r="CB12" s="545">
        <f t="shared" ca="1" si="32"/>
        <v>0</v>
      </c>
      <c r="CC12" s="545">
        <f t="shared" ca="1" si="32"/>
        <v>0</v>
      </c>
      <c r="CD12" s="545">
        <f t="shared" ca="1" si="32"/>
        <v>0</v>
      </c>
      <c r="CE12" s="545">
        <f t="shared" ca="1" si="32"/>
        <v>0</v>
      </c>
      <c r="CF12" s="545">
        <f t="shared" ca="1" si="32"/>
        <v>0</v>
      </c>
      <c r="CG12" s="545">
        <f t="shared" ca="1" si="32"/>
        <v>0</v>
      </c>
      <c r="CH12" s="545">
        <f t="shared" ca="1" si="32"/>
        <v>0</v>
      </c>
      <c r="CI12" s="545">
        <f t="shared" ca="1" si="32"/>
        <v>0</v>
      </c>
      <c r="CJ12" s="545">
        <f t="shared" ca="1" si="32"/>
        <v>0</v>
      </c>
      <c r="CK12" s="545">
        <f t="shared" ca="1" si="32"/>
        <v>0</v>
      </c>
      <c r="CL12" s="545">
        <f t="shared" ca="1" si="32"/>
        <v>0</v>
      </c>
      <c r="CM12" s="545">
        <f t="shared" ca="1" si="32"/>
        <v>0</v>
      </c>
      <c r="CN12" s="545">
        <f t="shared" ca="1" si="32"/>
        <v>0</v>
      </c>
      <c r="CO12" s="545">
        <f t="shared" ca="1" si="32"/>
        <v>0</v>
      </c>
      <c r="CP12" s="545">
        <f t="shared" ca="1" si="32"/>
        <v>0</v>
      </c>
      <c r="CQ12" s="545">
        <f t="shared" ca="1" si="32"/>
        <v>0</v>
      </c>
      <c r="CR12" s="545">
        <f t="shared" ca="1" si="32"/>
        <v>0</v>
      </c>
      <c r="CS12" s="545">
        <f t="shared" ca="1" si="32"/>
        <v>0</v>
      </c>
      <c r="CT12" s="545">
        <f t="shared" ca="1" si="32"/>
        <v>0</v>
      </c>
      <c r="CU12" s="545">
        <f t="shared" ca="1" si="32"/>
        <v>0</v>
      </c>
      <c r="CW12" s="151"/>
    </row>
    <row r="13" spans="1:101" s="84" customFormat="1" ht="15.75" x14ac:dyDescent="0.2">
      <c r="A13" s="18"/>
      <c r="B13" s="89"/>
      <c r="C13" s="85" t="s">
        <v>229</v>
      </c>
      <c r="D13" s="57" t="str">
        <f>INDEX(Workstreams[Workstream], MATCH($C13, Workstreams[Code], 0))</f>
        <v>Cooling</v>
      </c>
      <c r="E13" s="53"/>
      <c r="G13" s="300">
        <f t="shared" ref="G13:O13" ca="1" si="33">G12+G10</f>
        <v>104.15840897030208</v>
      </c>
      <c r="H13" s="300">
        <f t="shared" ca="1" si="33"/>
        <v>0</v>
      </c>
      <c r="I13" s="300">
        <f t="shared" ca="1" si="33"/>
        <v>0</v>
      </c>
      <c r="J13" s="300">
        <f t="shared" ca="1" si="33"/>
        <v>0</v>
      </c>
      <c r="K13" s="300">
        <f t="shared" ca="1" si="33"/>
        <v>0</v>
      </c>
      <c r="L13" s="300">
        <f t="shared" ca="1" si="33"/>
        <v>0</v>
      </c>
      <c r="M13" s="300">
        <f t="shared" ca="1" si="33"/>
        <v>0</v>
      </c>
      <c r="N13" s="300">
        <f t="shared" ca="1" si="33"/>
        <v>0</v>
      </c>
      <c r="O13" s="300">
        <f t="shared" ca="1" si="33"/>
        <v>0</v>
      </c>
      <c r="P13" s="300">
        <f t="shared" ca="1" si="1"/>
        <v>104.15840897030208</v>
      </c>
      <c r="R13" s="257">
        <f t="shared" ref="R13:AG13" ca="1" si="34">R12+R10</f>
        <v>-104.15840897030208</v>
      </c>
      <c r="S13" s="257">
        <f t="shared" ca="1" si="34"/>
        <v>0</v>
      </c>
      <c r="T13" s="257">
        <f t="shared" ca="1" si="34"/>
        <v>0</v>
      </c>
      <c r="U13" s="257">
        <f t="shared" ca="1" si="34"/>
        <v>0</v>
      </c>
      <c r="V13" s="257">
        <f t="shared" ca="1" si="34"/>
        <v>0</v>
      </c>
      <c r="W13" s="257">
        <f t="shared" ca="1" si="34"/>
        <v>0</v>
      </c>
      <c r="X13" s="257">
        <f t="shared" ca="1" si="34"/>
        <v>0</v>
      </c>
      <c r="Y13" s="257">
        <f t="shared" ca="1" si="34"/>
        <v>0</v>
      </c>
      <c r="Z13" s="257">
        <f t="shared" ca="1" si="34"/>
        <v>0</v>
      </c>
      <c r="AA13" s="257">
        <f t="shared" ca="1" si="34"/>
        <v>0</v>
      </c>
      <c r="AB13" s="257">
        <f t="shared" ca="1" si="34"/>
        <v>0</v>
      </c>
      <c r="AC13" s="257">
        <f t="shared" ca="1" si="34"/>
        <v>0</v>
      </c>
      <c r="AD13" s="257">
        <f t="shared" ca="1" si="34"/>
        <v>0</v>
      </c>
      <c r="AE13" s="257">
        <f t="shared" ca="1" si="34"/>
        <v>0</v>
      </c>
      <c r="AF13" s="257">
        <f t="shared" ca="1" si="34"/>
        <v>0</v>
      </c>
      <c r="AG13" s="257">
        <f t="shared" ca="1" si="34"/>
        <v>0</v>
      </c>
      <c r="AH13" s="257">
        <f t="shared" ca="1" si="5"/>
        <v>-104.15840897030208</v>
      </c>
      <c r="AJ13" s="263">
        <f t="shared" ref="AJ13:AX13" ca="1" si="35">AJ12+AJ10</f>
        <v>0</v>
      </c>
      <c r="AK13" s="263">
        <f t="shared" ca="1" si="35"/>
        <v>0</v>
      </c>
      <c r="AL13" s="263">
        <f t="shared" ca="1" si="35"/>
        <v>0</v>
      </c>
      <c r="AM13" s="263">
        <f t="shared" ca="1" si="35"/>
        <v>0</v>
      </c>
      <c r="AN13" s="263">
        <f t="shared" ca="1" si="35"/>
        <v>0</v>
      </c>
      <c r="AO13" s="263">
        <f t="shared" ca="1" si="35"/>
        <v>0</v>
      </c>
      <c r="AP13" s="263">
        <f t="shared" ca="1" si="35"/>
        <v>0</v>
      </c>
      <c r="AQ13" s="263">
        <f t="shared" ca="1" si="35"/>
        <v>0</v>
      </c>
      <c r="AR13" s="263">
        <f t="shared" ca="1" si="35"/>
        <v>0</v>
      </c>
      <c r="AS13" s="263">
        <f t="shared" ca="1" si="35"/>
        <v>0</v>
      </c>
      <c r="AT13" s="263">
        <f t="shared" ca="1" si="35"/>
        <v>0</v>
      </c>
      <c r="AU13" s="263">
        <f t="shared" ca="1" si="35"/>
        <v>0</v>
      </c>
      <c r="AV13" s="263">
        <f t="shared" ca="1" si="35"/>
        <v>0</v>
      </c>
      <c r="AW13" s="263">
        <f t="shared" ca="1" si="35"/>
        <v>0</v>
      </c>
      <c r="AX13" s="263">
        <f t="shared" ca="1" si="35"/>
        <v>0</v>
      </c>
      <c r="AY13" s="263">
        <f t="shared" ca="1" si="8"/>
        <v>0</v>
      </c>
      <c r="BA13" s="277">
        <f ca="1">BA12+BA10</f>
        <v>0</v>
      </c>
      <c r="BB13" s="277">
        <f ca="1">BB12+BB10</f>
        <v>0</v>
      </c>
      <c r="BC13" s="277">
        <f t="shared" ca="1" si="10"/>
        <v>0</v>
      </c>
      <c r="BE13" s="55">
        <f t="shared" ca="1" si="11"/>
        <v>0</v>
      </c>
      <c r="BF13" s="55"/>
      <c r="BG13" s="1428"/>
      <c r="BH13" s="542">
        <f t="shared" ref="BH13:CU13" ca="1" si="36">BH12+BH10</f>
        <v>0</v>
      </c>
      <c r="BI13" s="542">
        <f t="shared" ca="1" si="36"/>
        <v>0</v>
      </c>
      <c r="BJ13" s="542">
        <f t="shared" ca="1" si="36"/>
        <v>0</v>
      </c>
      <c r="BK13" s="542">
        <f t="shared" ca="1" si="36"/>
        <v>0</v>
      </c>
      <c r="BL13" s="542">
        <f t="shared" ca="1" si="36"/>
        <v>0</v>
      </c>
      <c r="BM13" s="542">
        <f t="shared" ca="1" si="36"/>
        <v>0</v>
      </c>
      <c r="BN13" s="542">
        <f t="shared" ca="1" si="36"/>
        <v>0</v>
      </c>
      <c r="BO13" s="542">
        <f t="shared" ca="1" si="36"/>
        <v>0</v>
      </c>
      <c r="BP13" s="542">
        <f t="shared" ca="1" si="36"/>
        <v>0</v>
      </c>
      <c r="BQ13" s="542">
        <f t="shared" ca="1" si="36"/>
        <v>0</v>
      </c>
      <c r="BR13" s="542">
        <f t="shared" ca="1" si="36"/>
        <v>0</v>
      </c>
      <c r="BS13" s="542">
        <f t="shared" ca="1" si="36"/>
        <v>0</v>
      </c>
      <c r="BT13" s="542">
        <f t="shared" ca="1" si="36"/>
        <v>0</v>
      </c>
      <c r="BU13" s="542">
        <f t="shared" ca="1" si="36"/>
        <v>0</v>
      </c>
      <c r="BV13" s="542">
        <f t="shared" ca="1" si="36"/>
        <v>0</v>
      </c>
      <c r="BW13" s="542">
        <f t="shared" ca="1" si="36"/>
        <v>0</v>
      </c>
      <c r="BX13" s="542">
        <f t="shared" ca="1" si="36"/>
        <v>0</v>
      </c>
      <c r="BY13" s="542">
        <f t="shared" ca="1" si="36"/>
        <v>0</v>
      </c>
      <c r="BZ13" s="542">
        <f t="shared" ca="1" si="36"/>
        <v>0</v>
      </c>
      <c r="CA13" s="542">
        <f t="shared" ca="1" si="36"/>
        <v>0</v>
      </c>
      <c r="CB13" s="542">
        <f t="shared" ca="1" si="36"/>
        <v>0</v>
      </c>
      <c r="CC13" s="542">
        <f t="shared" ca="1" si="36"/>
        <v>0</v>
      </c>
      <c r="CD13" s="542">
        <f t="shared" ca="1" si="36"/>
        <v>0</v>
      </c>
      <c r="CE13" s="542">
        <f t="shared" ca="1" si="36"/>
        <v>0</v>
      </c>
      <c r="CF13" s="542">
        <f t="shared" ca="1" si="36"/>
        <v>0</v>
      </c>
      <c r="CG13" s="542">
        <f t="shared" ca="1" si="36"/>
        <v>0</v>
      </c>
      <c r="CH13" s="542">
        <f t="shared" ca="1" si="36"/>
        <v>0</v>
      </c>
      <c r="CI13" s="542">
        <f t="shared" ca="1" si="36"/>
        <v>0</v>
      </c>
      <c r="CJ13" s="542">
        <f t="shared" ca="1" si="36"/>
        <v>0</v>
      </c>
      <c r="CK13" s="542">
        <f t="shared" ca="1" si="36"/>
        <v>0</v>
      </c>
      <c r="CL13" s="542">
        <f t="shared" ca="1" si="36"/>
        <v>0</v>
      </c>
      <c r="CM13" s="542">
        <f t="shared" ca="1" si="36"/>
        <v>0</v>
      </c>
      <c r="CN13" s="542">
        <f t="shared" ca="1" si="36"/>
        <v>0</v>
      </c>
      <c r="CO13" s="542">
        <f t="shared" ca="1" si="36"/>
        <v>0</v>
      </c>
      <c r="CP13" s="542">
        <f t="shared" ca="1" si="36"/>
        <v>0</v>
      </c>
      <c r="CQ13" s="542">
        <f t="shared" ca="1" si="36"/>
        <v>0</v>
      </c>
      <c r="CR13" s="542">
        <f t="shared" ca="1" si="36"/>
        <v>0</v>
      </c>
      <c r="CS13" s="542">
        <f t="shared" ca="1" si="36"/>
        <v>0</v>
      </c>
      <c r="CT13" s="542">
        <f t="shared" ca="1" si="36"/>
        <v>0</v>
      </c>
      <c r="CU13" s="542">
        <f t="shared" ca="1" si="36"/>
        <v>0</v>
      </c>
      <c r="CW13" s="151">
        <f t="shared" ref="CW13:CW26" ca="1" si="37">SUM(BH13:CU13)</f>
        <v>0</v>
      </c>
    </row>
    <row r="14" spans="1:101" s="84" customFormat="1" outlineLevel="1" x14ac:dyDescent="0.2">
      <c r="A14" s="543"/>
      <c r="B14" s="543"/>
      <c r="C14" s="86"/>
      <c r="D14" s="61"/>
      <c r="E14" s="61"/>
      <c r="G14" s="298"/>
      <c r="H14" s="298"/>
      <c r="I14" s="298"/>
      <c r="J14" s="298"/>
      <c r="K14" s="298"/>
      <c r="L14" s="298"/>
      <c r="M14" s="298"/>
      <c r="N14" s="298"/>
      <c r="O14" s="298"/>
      <c r="P14" s="298">
        <f t="shared" si="1"/>
        <v>0</v>
      </c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5">
        <f t="shared" si="5"/>
        <v>0</v>
      </c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266">
        <f t="shared" si="8"/>
        <v>0</v>
      </c>
      <c r="BA14" s="309"/>
      <c r="BB14" s="309"/>
      <c r="BC14" s="309">
        <f t="shared" si="10"/>
        <v>0</v>
      </c>
      <c r="BE14" s="135">
        <f t="shared" si="11"/>
        <v>0</v>
      </c>
      <c r="BF14" s="135"/>
      <c r="BG14" s="543"/>
      <c r="BH14" s="541"/>
      <c r="BI14" s="542"/>
      <c r="BJ14" s="542"/>
      <c r="BK14" s="542"/>
      <c r="BL14" s="542"/>
      <c r="BM14" s="542"/>
      <c r="BN14" s="542"/>
      <c r="BO14" s="542"/>
      <c r="BP14" s="542"/>
      <c r="BQ14" s="542"/>
      <c r="BR14" s="542"/>
      <c r="BS14" s="542"/>
      <c r="BT14" s="542"/>
      <c r="BU14" s="542"/>
      <c r="BV14" s="542"/>
      <c r="BW14" s="542"/>
      <c r="BX14" s="542"/>
      <c r="BY14" s="542"/>
      <c r="BZ14" s="542"/>
      <c r="CA14" s="542"/>
      <c r="CB14" s="542"/>
      <c r="CC14" s="542"/>
      <c r="CD14" s="542"/>
      <c r="CE14" s="542"/>
      <c r="CF14" s="542"/>
      <c r="CG14" s="542"/>
      <c r="CH14" s="542"/>
      <c r="CI14" s="542"/>
      <c r="CJ14" s="542"/>
      <c r="CK14" s="542"/>
      <c r="CL14" s="542"/>
      <c r="CM14" s="542"/>
      <c r="CN14" s="542"/>
      <c r="CO14" s="542"/>
      <c r="CP14" s="542"/>
      <c r="CQ14" s="542"/>
      <c r="CR14" s="542"/>
      <c r="CS14" s="542"/>
      <c r="CT14" s="542"/>
      <c r="CU14" s="542"/>
      <c r="CW14" s="151">
        <f t="shared" si="37"/>
        <v>0</v>
      </c>
    </row>
    <row r="15" spans="1:101" s="84" customFormat="1" ht="12.75" customHeight="1" outlineLevel="1" x14ac:dyDescent="0.2">
      <c r="A15" s="543"/>
      <c r="B15" s="543"/>
      <c r="C15" s="86" t="s">
        <v>392</v>
      </c>
      <c r="D15" s="540" t="str">
        <f>INDEX(Modules[Module], MATCH($C15, Modules[Code], 0))</f>
        <v>Residential Lighting, Appliances, and Cooking</v>
      </c>
      <c r="E15" s="291"/>
      <c r="G15" s="297">
        <f t="shared" ref="G15:O16" ca="1" si="38">IFERROR(INDEX(INDIRECT($C15&amp;".Outputs["&amp;this.Year&amp;"]"), MATCH(G$5, INDIRECT($C15&amp;".Outputs[Vector]"), 0)), 0)</f>
        <v>0</v>
      </c>
      <c r="H15" s="297">
        <f t="shared" ca="1" si="38"/>
        <v>311.90435176364798</v>
      </c>
      <c r="I15" s="297">
        <f t="shared" ca="1" si="38"/>
        <v>228.3648882788506</v>
      </c>
      <c r="J15" s="297">
        <f t="shared" ca="1" si="38"/>
        <v>0</v>
      </c>
      <c r="K15" s="297">
        <f t="shared" ca="1" si="38"/>
        <v>0</v>
      </c>
      <c r="L15" s="297">
        <f t="shared" ca="1" si="38"/>
        <v>0</v>
      </c>
      <c r="M15" s="297">
        <f t="shared" ca="1" si="38"/>
        <v>0</v>
      </c>
      <c r="N15" s="297">
        <f t="shared" ca="1" si="38"/>
        <v>0</v>
      </c>
      <c r="O15" s="297">
        <f t="shared" ca="1" si="38"/>
        <v>0</v>
      </c>
      <c r="P15" s="297">
        <f t="shared" ca="1" si="1"/>
        <v>540.26924004249861</v>
      </c>
      <c r="R15" s="304">
        <f t="shared" ref="R15:AX16" ca="1" si="39">IFERROR(INDEX(INDIRECT($C15&amp;".Outputs["&amp;this.Year&amp;"]"), MATCH(R$5, INDIRECT($C15&amp;".Outputs[Vector]"), 0)), 0)</f>
        <v>-343.01906779164136</v>
      </c>
      <c r="S15" s="304">
        <f t="shared" ca="1" si="39"/>
        <v>0</v>
      </c>
      <c r="T15" s="304">
        <f t="shared" ca="1" si="39"/>
        <v>0</v>
      </c>
      <c r="U15" s="304">
        <f t="shared" ca="1" si="39"/>
        <v>-44.531153214375884</v>
      </c>
      <c r="V15" s="304">
        <f t="shared" ca="1" si="39"/>
        <v>-61.373063724941112</v>
      </c>
      <c r="W15" s="304">
        <f t="shared" ca="1" si="39"/>
        <v>-91.345955311540266</v>
      </c>
      <c r="X15" s="304">
        <f t="shared" ref="X15:Z16" ca="1" si="40">IFERROR(INDEX(INDIRECT($C15&amp;".Outputs["&amp;this.Year&amp;"]"), MATCH(X$5, INDIRECT($C15&amp;".Outputs[Vector]"), 0)), 0)</f>
        <v>0</v>
      </c>
      <c r="Y15" s="304">
        <f t="shared" ca="1" si="40"/>
        <v>0</v>
      </c>
      <c r="Z15" s="304">
        <f t="shared" ca="1" si="40"/>
        <v>0</v>
      </c>
      <c r="AA15" s="304">
        <f t="shared" ca="1" si="39"/>
        <v>0</v>
      </c>
      <c r="AB15" s="304">
        <f t="shared" ca="1" si="39"/>
        <v>0</v>
      </c>
      <c r="AC15" s="304">
        <f t="shared" ca="1" si="39"/>
        <v>0</v>
      </c>
      <c r="AD15" s="304">
        <f t="shared" ca="1" si="39"/>
        <v>0</v>
      </c>
      <c r="AE15" s="304">
        <f t="shared" ca="1" si="39"/>
        <v>0</v>
      </c>
      <c r="AF15" s="304">
        <f t="shared" ca="1" si="39"/>
        <v>0</v>
      </c>
      <c r="AG15" s="304">
        <f t="shared" ca="1" si="39"/>
        <v>0</v>
      </c>
      <c r="AH15" s="305">
        <f t="shared" ca="1" si="5"/>
        <v>-540.26924004249861</v>
      </c>
      <c r="AJ15" s="312">
        <f t="shared" ref="AJ15:AR16" ca="1" si="41">IFERROR(INDEX(INDIRECT($C15&amp;".Outputs["&amp;this.Year&amp;"]"), MATCH(AJ$5, INDIRECT($C15&amp;".Outputs[Vector]"), 0)), 0)</f>
        <v>0</v>
      </c>
      <c r="AK15" s="312">
        <f t="shared" ca="1" si="41"/>
        <v>0</v>
      </c>
      <c r="AL15" s="312">
        <f t="shared" ca="1" si="41"/>
        <v>0</v>
      </c>
      <c r="AM15" s="312">
        <f t="shared" ca="1" si="41"/>
        <v>0</v>
      </c>
      <c r="AN15" s="312">
        <f t="shared" ca="1" si="41"/>
        <v>0</v>
      </c>
      <c r="AO15" s="312">
        <f t="shared" ca="1" si="41"/>
        <v>0</v>
      </c>
      <c r="AP15" s="312">
        <f t="shared" ca="1" si="41"/>
        <v>0</v>
      </c>
      <c r="AQ15" s="312">
        <f t="shared" ca="1" si="41"/>
        <v>0</v>
      </c>
      <c r="AR15" s="312">
        <f t="shared" ca="1" si="41"/>
        <v>0</v>
      </c>
      <c r="AS15" s="312">
        <f t="shared" ca="1" si="39"/>
        <v>0</v>
      </c>
      <c r="AT15" s="312">
        <f t="shared" ca="1" si="39"/>
        <v>0</v>
      </c>
      <c r="AU15" s="312">
        <f t="shared" ca="1" si="39"/>
        <v>0</v>
      </c>
      <c r="AV15" s="312">
        <f t="shared" ca="1" si="39"/>
        <v>0</v>
      </c>
      <c r="AW15" s="312">
        <f t="shared" ca="1" si="39"/>
        <v>0</v>
      </c>
      <c r="AX15" s="312">
        <f t="shared" ca="1" si="39"/>
        <v>0</v>
      </c>
      <c r="AY15" s="266">
        <f t="shared" ca="1" si="8"/>
        <v>0</v>
      </c>
      <c r="BA15" s="308">
        <f ca="1">IFERROR(INDEX(INDIRECT($C15&amp;".Outputs["&amp;this.Year&amp;"]"), MATCH(BA$5, INDIRECT($C15&amp;".Outputs[Vector]"), 0)), 0)</f>
        <v>0</v>
      </c>
      <c r="BB15" s="308">
        <f ca="1">IFERROR(INDEX(INDIRECT($C15&amp;".Outputs["&amp;this.Year&amp;"]"), MATCH(BB$5, INDIRECT($C15&amp;".Outputs[Vector]"), 0)), 0)</f>
        <v>0</v>
      </c>
      <c r="BC15" s="309">
        <f t="shared" ca="1" si="10"/>
        <v>0</v>
      </c>
      <c r="BE15" s="135">
        <f t="shared" ca="1" si="11"/>
        <v>0</v>
      </c>
      <c r="BF15" s="135"/>
      <c r="BG15" s="1428"/>
      <c r="BH15" s="541">
        <f t="shared" ref="BH15:BQ16" ca="1" si="42">IFERROR(SUMIFS(INDIRECT($C15&amp;".Emissions["&amp;this.Year&amp;"]"), INDIRECT($C15&amp;".Emissions[GHG]"), BH$6, INDIRECT($C15&amp;".Emissions[IPCC Sector]"), BH$5),0)</f>
        <v>22.425432028983131</v>
      </c>
      <c r="BI15" s="542">
        <f t="shared" ca="1" si="42"/>
        <v>22.425432028983131</v>
      </c>
      <c r="BJ15" s="542">
        <f t="shared" ca="1" si="42"/>
        <v>22.425432028983131</v>
      </c>
      <c r="BK15" s="542">
        <f t="shared" ca="1" si="42"/>
        <v>0</v>
      </c>
      <c r="BL15" s="542">
        <f t="shared" ca="1" si="42"/>
        <v>0</v>
      </c>
      <c r="BM15" s="542">
        <f t="shared" ca="1" si="42"/>
        <v>0</v>
      </c>
      <c r="BN15" s="542">
        <f t="shared" ca="1" si="42"/>
        <v>0</v>
      </c>
      <c r="BO15" s="542">
        <f t="shared" ca="1" si="42"/>
        <v>0</v>
      </c>
      <c r="BP15" s="542">
        <f t="shared" ca="1" si="42"/>
        <v>0</v>
      </c>
      <c r="BQ15" s="542">
        <f t="shared" ca="1" si="42"/>
        <v>0</v>
      </c>
      <c r="BR15" s="542">
        <f t="shared" ref="BR15:CA16" ca="1" si="43">IFERROR(SUMIFS(INDIRECT($C15&amp;".Emissions["&amp;this.Year&amp;"]"), INDIRECT($C15&amp;".Emissions[GHG]"), BR$6, INDIRECT($C15&amp;".Emissions[IPCC Sector]"), BR$5),0)</f>
        <v>0</v>
      </c>
      <c r="BS15" s="542">
        <f t="shared" ca="1" si="43"/>
        <v>0</v>
      </c>
      <c r="BT15" s="542">
        <f t="shared" ca="1" si="43"/>
        <v>0</v>
      </c>
      <c r="BU15" s="542">
        <f t="shared" ca="1" si="43"/>
        <v>0</v>
      </c>
      <c r="BV15" s="542">
        <f t="shared" ca="1" si="43"/>
        <v>0</v>
      </c>
      <c r="BW15" s="542">
        <f t="shared" ca="1" si="43"/>
        <v>0</v>
      </c>
      <c r="BX15" s="542">
        <f t="shared" ca="1" si="43"/>
        <v>0</v>
      </c>
      <c r="BY15" s="542">
        <f t="shared" ca="1" si="43"/>
        <v>0</v>
      </c>
      <c r="BZ15" s="542">
        <f t="shared" ca="1" si="43"/>
        <v>0</v>
      </c>
      <c r="CA15" s="542">
        <f t="shared" ca="1" si="43"/>
        <v>0</v>
      </c>
      <c r="CB15" s="542">
        <f t="shared" ref="CB15:CK16" ca="1" si="44">IFERROR(SUMIFS(INDIRECT($C15&amp;".Emissions["&amp;this.Year&amp;"]"), INDIRECT($C15&amp;".Emissions[GHG]"), CB$6, INDIRECT($C15&amp;".Emissions[IPCC Sector]"), CB$5),0)</f>
        <v>0</v>
      </c>
      <c r="CC15" s="542">
        <f t="shared" ca="1" si="44"/>
        <v>0</v>
      </c>
      <c r="CD15" s="542">
        <f t="shared" ca="1" si="44"/>
        <v>0</v>
      </c>
      <c r="CE15" s="542">
        <f t="shared" ca="1" si="44"/>
        <v>0</v>
      </c>
      <c r="CF15" s="542">
        <f t="shared" ca="1" si="44"/>
        <v>0</v>
      </c>
      <c r="CG15" s="542">
        <f t="shared" ca="1" si="44"/>
        <v>0</v>
      </c>
      <c r="CH15" s="542">
        <f t="shared" ca="1" si="44"/>
        <v>0</v>
      </c>
      <c r="CI15" s="542">
        <f t="shared" ca="1" si="44"/>
        <v>0</v>
      </c>
      <c r="CJ15" s="542">
        <f t="shared" ca="1" si="44"/>
        <v>0</v>
      </c>
      <c r="CK15" s="542">
        <f t="shared" ca="1" si="44"/>
        <v>0</v>
      </c>
      <c r="CL15" s="542">
        <f t="shared" ref="CL15:CU16" ca="1" si="45">IFERROR(SUMIFS(INDIRECT($C15&amp;".Emissions["&amp;this.Year&amp;"]"), INDIRECT($C15&amp;".Emissions[GHG]"), CL$6, INDIRECT($C15&amp;".Emissions[IPCC Sector]"), CL$5),0)</f>
        <v>0</v>
      </c>
      <c r="CM15" s="542">
        <f t="shared" ca="1" si="45"/>
        <v>0</v>
      </c>
      <c r="CN15" s="542">
        <f t="shared" ca="1" si="45"/>
        <v>0</v>
      </c>
      <c r="CO15" s="542">
        <f t="shared" ca="1" si="45"/>
        <v>0</v>
      </c>
      <c r="CP15" s="542">
        <f t="shared" ca="1" si="45"/>
        <v>0</v>
      </c>
      <c r="CQ15" s="542">
        <f t="shared" ca="1" si="45"/>
        <v>0</v>
      </c>
      <c r="CR15" s="542">
        <f t="shared" ca="1" si="45"/>
        <v>0</v>
      </c>
      <c r="CS15" s="542">
        <f t="shared" ca="1" si="45"/>
        <v>0</v>
      </c>
      <c r="CT15" s="542">
        <f t="shared" ca="1" si="45"/>
        <v>0</v>
      </c>
      <c r="CU15" s="542">
        <f t="shared" ca="1" si="45"/>
        <v>0</v>
      </c>
      <c r="CW15" s="151">
        <f t="shared" ca="1" si="37"/>
        <v>67.276296086949401</v>
      </c>
    </row>
    <row r="16" spans="1:101" s="84" customFormat="1" ht="12.75" customHeight="1" outlineLevel="1" x14ac:dyDescent="0.2">
      <c r="A16" s="543"/>
      <c r="B16" s="543"/>
      <c r="C16" s="86" t="s">
        <v>393</v>
      </c>
      <c r="D16" s="292" t="str">
        <f>INDEX(Modules[Module], MATCH($C16, Modules[Code], 0))</f>
        <v>Service Sector Lighting, Appliances, and Cooking</v>
      </c>
      <c r="E16" s="292"/>
      <c r="G16" s="301">
        <f t="shared" ca="1" si="38"/>
        <v>0</v>
      </c>
      <c r="H16" s="301">
        <f t="shared" ca="1" si="38"/>
        <v>22.777940765091078</v>
      </c>
      <c r="I16" s="301">
        <f t="shared" ca="1" si="38"/>
        <v>25.154200032053431</v>
      </c>
      <c r="J16" s="301">
        <f t="shared" ca="1" si="38"/>
        <v>0</v>
      </c>
      <c r="K16" s="301">
        <f t="shared" ca="1" si="38"/>
        <v>0</v>
      </c>
      <c r="L16" s="301">
        <f t="shared" ca="1" si="38"/>
        <v>0</v>
      </c>
      <c r="M16" s="301">
        <f t="shared" ca="1" si="38"/>
        <v>0</v>
      </c>
      <c r="N16" s="301">
        <f t="shared" ca="1" si="38"/>
        <v>0</v>
      </c>
      <c r="O16" s="301">
        <f t="shared" ca="1" si="38"/>
        <v>0</v>
      </c>
      <c r="P16" s="301">
        <f t="shared" ca="1" si="1"/>
        <v>47.932140797144513</v>
      </c>
      <c r="R16" s="307">
        <f t="shared" ca="1" si="39"/>
        <v>-26.205200519458359</v>
      </c>
      <c r="S16" s="307">
        <f t="shared" ca="1" si="39"/>
        <v>0</v>
      </c>
      <c r="T16" s="307">
        <f t="shared" ca="1" si="39"/>
        <v>0</v>
      </c>
      <c r="U16" s="307">
        <f t="shared" ca="1" si="39"/>
        <v>-4.905069006250419</v>
      </c>
      <c r="V16" s="307">
        <f t="shared" ca="1" si="39"/>
        <v>-6.7601912586143609</v>
      </c>
      <c r="W16" s="307">
        <f t="shared" ca="1" si="39"/>
        <v>-10.061680012821373</v>
      </c>
      <c r="X16" s="307">
        <f t="shared" ca="1" si="40"/>
        <v>0</v>
      </c>
      <c r="Y16" s="307">
        <f t="shared" ca="1" si="40"/>
        <v>0</v>
      </c>
      <c r="Z16" s="307">
        <f t="shared" ca="1" si="40"/>
        <v>0</v>
      </c>
      <c r="AA16" s="307">
        <f t="shared" ca="1" si="39"/>
        <v>0</v>
      </c>
      <c r="AB16" s="307">
        <f t="shared" ca="1" si="39"/>
        <v>0</v>
      </c>
      <c r="AC16" s="307">
        <f t="shared" ca="1" si="39"/>
        <v>0</v>
      </c>
      <c r="AD16" s="307">
        <f t="shared" ca="1" si="39"/>
        <v>0</v>
      </c>
      <c r="AE16" s="307">
        <f t="shared" ca="1" si="39"/>
        <v>0</v>
      </c>
      <c r="AF16" s="307">
        <f t="shared" ca="1" si="39"/>
        <v>0</v>
      </c>
      <c r="AG16" s="307">
        <f t="shared" ca="1" si="39"/>
        <v>0</v>
      </c>
      <c r="AH16" s="306">
        <f t="shared" ca="1" si="5"/>
        <v>-47.932140797144513</v>
      </c>
      <c r="AJ16" s="315">
        <f t="shared" ca="1" si="41"/>
        <v>0</v>
      </c>
      <c r="AK16" s="315">
        <f t="shared" ca="1" si="41"/>
        <v>0</v>
      </c>
      <c r="AL16" s="315">
        <f t="shared" ca="1" si="41"/>
        <v>0</v>
      </c>
      <c r="AM16" s="315">
        <f t="shared" ca="1" si="41"/>
        <v>0</v>
      </c>
      <c r="AN16" s="315">
        <f t="shared" ca="1" si="41"/>
        <v>0</v>
      </c>
      <c r="AO16" s="315">
        <f t="shared" ca="1" si="41"/>
        <v>0</v>
      </c>
      <c r="AP16" s="315">
        <f t="shared" ca="1" si="41"/>
        <v>0</v>
      </c>
      <c r="AQ16" s="315">
        <f t="shared" ca="1" si="41"/>
        <v>0</v>
      </c>
      <c r="AR16" s="315">
        <f t="shared" ca="1" si="41"/>
        <v>0</v>
      </c>
      <c r="AS16" s="315">
        <f t="shared" ca="1" si="39"/>
        <v>0</v>
      </c>
      <c r="AT16" s="315">
        <f t="shared" ca="1" si="39"/>
        <v>0</v>
      </c>
      <c r="AU16" s="315">
        <f t="shared" ca="1" si="39"/>
        <v>0</v>
      </c>
      <c r="AV16" s="315">
        <f t="shared" ca="1" si="39"/>
        <v>0</v>
      </c>
      <c r="AW16" s="315">
        <f t="shared" ca="1" si="39"/>
        <v>0</v>
      </c>
      <c r="AX16" s="315">
        <f t="shared" ca="1" si="39"/>
        <v>0</v>
      </c>
      <c r="AY16" s="293">
        <f t="shared" ca="1" si="8"/>
        <v>0</v>
      </c>
      <c r="BA16" s="311">
        <f ca="1">IFERROR(INDEX(INDIRECT($C16&amp;".Outputs["&amp;this.Year&amp;"]"), MATCH(BA$5, INDIRECT($C16&amp;".Outputs[Vector]"), 0)), 0)</f>
        <v>0</v>
      </c>
      <c r="BB16" s="311">
        <f ca="1">IFERROR(INDEX(INDIRECT($C16&amp;".Outputs["&amp;this.Year&amp;"]"), MATCH(BB$5, INDIRECT($C16&amp;".Outputs[Vector]"), 0)), 0)</f>
        <v>0</v>
      </c>
      <c r="BC16" s="310">
        <f t="shared" ca="1" si="10"/>
        <v>0</v>
      </c>
      <c r="BE16" s="135">
        <f t="shared" ca="1" si="11"/>
        <v>0</v>
      </c>
      <c r="BF16" s="135"/>
      <c r="BG16" s="1428"/>
      <c r="BH16" s="544">
        <f t="shared" ca="1" si="42"/>
        <v>2.4701424431476466</v>
      </c>
      <c r="BI16" s="545">
        <f t="shared" ca="1" si="42"/>
        <v>4.0200279316692606E-3</v>
      </c>
      <c r="BJ16" s="545">
        <f t="shared" ca="1" si="42"/>
        <v>2.4744758268238694E-2</v>
      </c>
      <c r="BK16" s="545">
        <f t="shared" ca="1" si="42"/>
        <v>0</v>
      </c>
      <c r="BL16" s="545">
        <f t="shared" ca="1" si="42"/>
        <v>0</v>
      </c>
      <c r="BM16" s="545">
        <f t="shared" ca="1" si="42"/>
        <v>0</v>
      </c>
      <c r="BN16" s="545">
        <f t="shared" ca="1" si="42"/>
        <v>0</v>
      </c>
      <c r="BO16" s="545">
        <f t="shared" ca="1" si="42"/>
        <v>0</v>
      </c>
      <c r="BP16" s="545">
        <f t="shared" ca="1" si="42"/>
        <v>0</v>
      </c>
      <c r="BQ16" s="545">
        <f t="shared" ca="1" si="42"/>
        <v>0</v>
      </c>
      <c r="BR16" s="545">
        <f t="shared" ca="1" si="43"/>
        <v>0</v>
      </c>
      <c r="BS16" s="545">
        <f t="shared" ca="1" si="43"/>
        <v>0</v>
      </c>
      <c r="BT16" s="545">
        <f t="shared" ca="1" si="43"/>
        <v>0</v>
      </c>
      <c r="BU16" s="545">
        <f t="shared" ca="1" si="43"/>
        <v>0</v>
      </c>
      <c r="BV16" s="545">
        <f t="shared" ca="1" si="43"/>
        <v>0</v>
      </c>
      <c r="BW16" s="545">
        <f t="shared" ca="1" si="43"/>
        <v>0</v>
      </c>
      <c r="BX16" s="545">
        <f t="shared" ca="1" si="43"/>
        <v>0</v>
      </c>
      <c r="BY16" s="545">
        <f t="shared" ca="1" si="43"/>
        <v>0</v>
      </c>
      <c r="BZ16" s="545">
        <f t="shared" ca="1" si="43"/>
        <v>0</v>
      </c>
      <c r="CA16" s="545">
        <f t="shared" ca="1" si="43"/>
        <v>0</v>
      </c>
      <c r="CB16" s="545">
        <f t="shared" ca="1" si="44"/>
        <v>0</v>
      </c>
      <c r="CC16" s="545">
        <f t="shared" ca="1" si="44"/>
        <v>0</v>
      </c>
      <c r="CD16" s="545">
        <f t="shared" ca="1" si="44"/>
        <v>0</v>
      </c>
      <c r="CE16" s="545">
        <f t="shared" ca="1" si="44"/>
        <v>0</v>
      </c>
      <c r="CF16" s="545">
        <f t="shared" ca="1" si="44"/>
        <v>0</v>
      </c>
      <c r="CG16" s="545">
        <f t="shared" ca="1" si="44"/>
        <v>0</v>
      </c>
      <c r="CH16" s="545">
        <f t="shared" ca="1" si="44"/>
        <v>0</v>
      </c>
      <c r="CI16" s="545">
        <f t="shared" ca="1" si="44"/>
        <v>0</v>
      </c>
      <c r="CJ16" s="545">
        <f t="shared" ca="1" si="44"/>
        <v>0</v>
      </c>
      <c r="CK16" s="545">
        <f t="shared" ca="1" si="44"/>
        <v>0</v>
      </c>
      <c r="CL16" s="545">
        <f t="shared" ca="1" si="45"/>
        <v>0</v>
      </c>
      <c r="CM16" s="545">
        <f t="shared" ca="1" si="45"/>
        <v>0</v>
      </c>
      <c r="CN16" s="545">
        <f t="shared" ca="1" si="45"/>
        <v>0</v>
      </c>
      <c r="CO16" s="545">
        <f t="shared" ca="1" si="45"/>
        <v>0</v>
      </c>
      <c r="CP16" s="545">
        <f t="shared" ca="1" si="45"/>
        <v>0</v>
      </c>
      <c r="CQ16" s="545">
        <f t="shared" ca="1" si="45"/>
        <v>0</v>
      </c>
      <c r="CR16" s="545">
        <f t="shared" ca="1" si="45"/>
        <v>0</v>
      </c>
      <c r="CS16" s="545">
        <f t="shared" ca="1" si="45"/>
        <v>0</v>
      </c>
      <c r="CT16" s="545">
        <f t="shared" ca="1" si="45"/>
        <v>0</v>
      </c>
      <c r="CU16" s="545">
        <f t="shared" ca="1" si="45"/>
        <v>0</v>
      </c>
      <c r="CW16" s="151">
        <f t="shared" ca="1" si="37"/>
        <v>2.4989072293475543</v>
      </c>
    </row>
    <row r="17" spans="1:101" s="84" customFormat="1" ht="15.75" x14ac:dyDescent="0.2">
      <c r="A17" s="18"/>
      <c r="B17" s="89"/>
      <c r="C17" s="85" t="s">
        <v>230</v>
      </c>
      <c r="D17" s="57" t="str">
        <f>INDEX(Workstreams[Workstream], MATCH($C17, Workstreams[Code], 0))</f>
        <v>Lighting, Appliances &amp; Cooking</v>
      </c>
      <c r="E17" s="53"/>
      <c r="G17" s="300">
        <f ca="1">G15+G16</f>
        <v>0</v>
      </c>
      <c r="H17" s="300">
        <f t="shared" ref="H17:O17" ca="1" si="46">H15+H16</f>
        <v>334.68229252873908</v>
      </c>
      <c r="I17" s="300">
        <f ca="1">I15+I16</f>
        <v>253.51908831090404</v>
      </c>
      <c r="J17" s="300">
        <f t="shared" ca="1" si="46"/>
        <v>0</v>
      </c>
      <c r="K17" s="300">
        <f t="shared" ca="1" si="46"/>
        <v>0</v>
      </c>
      <c r="L17" s="300">
        <f t="shared" ca="1" si="46"/>
        <v>0</v>
      </c>
      <c r="M17" s="300">
        <f t="shared" ca="1" si="46"/>
        <v>0</v>
      </c>
      <c r="N17" s="300">
        <f t="shared" ca="1" si="46"/>
        <v>0</v>
      </c>
      <c r="O17" s="300">
        <f t="shared" ca="1" si="46"/>
        <v>0</v>
      </c>
      <c r="P17" s="300">
        <f t="shared" ca="1" si="1"/>
        <v>588.20138083964309</v>
      </c>
      <c r="R17" s="257">
        <f ca="1">R15+R16</f>
        <v>-369.22426831109971</v>
      </c>
      <c r="S17" s="257">
        <f t="shared" ref="S17:AE17" ca="1" si="47">S15+S16</f>
        <v>0</v>
      </c>
      <c r="T17" s="257">
        <f t="shared" ca="1" si="47"/>
        <v>0</v>
      </c>
      <c r="U17" s="257">
        <f t="shared" ca="1" si="47"/>
        <v>-49.436222220626306</v>
      </c>
      <c r="V17" s="257">
        <f t="shared" ca="1" si="47"/>
        <v>-68.133254983555474</v>
      </c>
      <c r="W17" s="257">
        <f ca="1">W15+W16</f>
        <v>-101.40763532436164</v>
      </c>
      <c r="X17" s="257">
        <f ca="1">X15+X16</f>
        <v>0</v>
      </c>
      <c r="Y17" s="257">
        <f ca="1">Y15+Y16</f>
        <v>0</v>
      </c>
      <c r="Z17" s="257">
        <f ca="1">Z15+Z16</f>
        <v>0</v>
      </c>
      <c r="AA17" s="257">
        <f t="shared" ca="1" si="47"/>
        <v>0</v>
      </c>
      <c r="AB17" s="257">
        <f t="shared" ca="1" si="47"/>
        <v>0</v>
      </c>
      <c r="AC17" s="257">
        <f ca="1">AC15+AC16</f>
        <v>0</v>
      </c>
      <c r="AD17" s="257">
        <f ca="1">AD15+AD16</f>
        <v>0</v>
      </c>
      <c r="AE17" s="257">
        <f t="shared" ca="1" si="47"/>
        <v>0</v>
      </c>
      <c r="AF17" s="257">
        <f ca="1">AF15+AF16</f>
        <v>0</v>
      </c>
      <c r="AG17" s="257">
        <f ca="1">AG15+AG16</f>
        <v>0</v>
      </c>
      <c r="AH17" s="257">
        <f t="shared" ca="1" si="5"/>
        <v>-588.20138083964309</v>
      </c>
      <c r="AJ17" s="263">
        <f t="shared" ref="AJ17:AX17" ca="1" si="48">AJ15+AJ16</f>
        <v>0</v>
      </c>
      <c r="AK17" s="263">
        <f t="shared" ca="1" si="48"/>
        <v>0</v>
      </c>
      <c r="AL17" s="263">
        <f t="shared" ca="1" si="48"/>
        <v>0</v>
      </c>
      <c r="AM17" s="263">
        <f t="shared" ca="1" si="48"/>
        <v>0</v>
      </c>
      <c r="AN17" s="263">
        <f t="shared" ca="1" si="48"/>
        <v>0</v>
      </c>
      <c r="AO17" s="263">
        <f t="shared" ca="1" si="48"/>
        <v>0</v>
      </c>
      <c r="AP17" s="263">
        <f t="shared" ca="1" si="48"/>
        <v>0</v>
      </c>
      <c r="AQ17" s="263">
        <f t="shared" ca="1" si="48"/>
        <v>0</v>
      </c>
      <c r="AR17" s="263">
        <f t="shared" ca="1" si="48"/>
        <v>0</v>
      </c>
      <c r="AS17" s="263">
        <f t="shared" ca="1" si="48"/>
        <v>0</v>
      </c>
      <c r="AT17" s="263">
        <f t="shared" ca="1" si="48"/>
        <v>0</v>
      </c>
      <c r="AU17" s="263">
        <f t="shared" ca="1" si="48"/>
        <v>0</v>
      </c>
      <c r="AV17" s="263">
        <f t="shared" ca="1" si="48"/>
        <v>0</v>
      </c>
      <c r="AW17" s="263">
        <f t="shared" ca="1" si="48"/>
        <v>0</v>
      </c>
      <c r="AX17" s="263">
        <f t="shared" ca="1" si="48"/>
        <v>0</v>
      </c>
      <c r="AY17" s="263">
        <f t="shared" ca="1" si="8"/>
        <v>0</v>
      </c>
      <c r="BA17" s="277">
        <f ca="1">BA15+BA16</f>
        <v>0</v>
      </c>
      <c r="BB17" s="277">
        <f ca="1">BB15+BB16</f>
        <v>0</v>
      </c>
      <c r="BC17" s="277">
        <f t="shared" ca="1" si="10"/>
        <v>0</v>
      </c>
      <c r="BE17" s="55">
        <f t="shared" ca="1" si="11"/>
        <v>0</v>
      </c>
      <c r="BF17" s="55"/>
      <c r="BG17" s="1428"/>
      <c r="BH17" s="542">
        <f t="shared" ref="BH17:CU17" ca="1" si="49">BH15+BH16</f>
        <v>24.895574472130779</v>
      </c>
      <c r="BI17" s="542">
        <f t="shared" ca="1" si="49"/>
        <v>22.429452056914801</v>
      </c>
      <c r="BJ17" s="542">
        <f t="shared" ca="1" si="49"/>
        <v>22.450176787251369</v>
      </c>
      <c r="BK17" s="542">
        <f t="shared" ca="1" si="49"/>
        <v>0</v>
      </c>
      <c r="BL17" s="542">
        <f t="shared" ca="1" si="49"/>
        <v>0</v>
      </c>
      <c r="BM17" s="542">
        <f t="shared" ca="1" si="49"/>
        <v>0</v>
      </c>
      <c r="BN17" s="542">
        <f t="shared" ca="1" si="49"/>
        <v>0</v>
      </c>
      <c r="BO17" s="542">
        <f t="shared" ca="1" si="49"/>
        <v>0</v>
      </c>
      <c r="BP17" s="542">
        <f t="shared" ca="1" si="49"/>
        <v>0</v>
      </c>
      <c r="BQ17" s="542">
        <f t="shared" ca="1" si="49"/>
        <v>0</v>
      </c>
      <c r="BR17" s="542">
        <f t="shared" ca="1" si="49"/>
        <v>0</v>
      </c>
      <c r="BS17" s="542">
        <f t="shared" ca="1" si="49"/>
        <v>0</v>
      </c>
      <c r="BT17" s="542">
        <f t="shared" ca="1" si="49"/>
        <v>0</v>
      </c>
      <c r="BU17" s="542">
        <f t="shared" ca="1" si="49"/>
        <v>0</v>
      </c>
      <c r="BV17" s="542">
        <f t="shared" ca="1" si="49"/>
        <v>0</v>
      </c>
      <c r="BW17" s="542">
        <f t="shared" ca="1" si="49"/>
        <v>0</v>
      </c>
      <c r="BX17" s="542">
        <f t="shared" ca="1" si="49"/>
        <v>0</v>
      </c>
      <c r="BY17" s="542">
        <f t="shared" ca="1" si="49"/>
        <v>0</v>
      </c>
      <c r="BZ17" s="542">
        <f t="shared" ca="1" si="49"/>
        <v>0</v>
      </c>
      <c r="CA17" s="542">
        <f t="shared" ca="1" si="49"/>
        <v>0</v>
      </c>
      <c r="CB17" s="542">
        <f t="shared" ca="1" si="49"/>
        <v>0</v>
      </c>
      <c r="CC17" s="542">
        <f t="shared" ca="1" si="49"/>
        <v>0</v>
      </c>
      <c r="CD17" s="542">
        <f t="shared" ca="1" si="49"/>
        <v>0</v>
      </c>
      <c r="CE17" s="542">
        <f t="shared" ca="1" si="49"/>
        <v>0</v>
      </c>
      <c r="CF17" s="542">
        <f t="shared" ca="1" si="49"/>
        <v>0</v>
      </c>
      <c r="CG17" s="542">
        <f t="shared" ca="1" si="49"/>
        <v>0</v>
      </c>
      <c r="CH17" s="542">
        <f t="shared" ca="1" si="49"/>
        <v>0</v>
      </c>
      <c r="CI17" s="542">
        <f t="shared" ca="1" si="49"/>
        <v>0</v>
      </c>
      <c r="CJ17" s="542">
        <f t="shared" ca="1" si="49"/>
        <v>0</v>
      </c>
      <c r="CK17" s="542">
        <f t="shared" ca="1" si="49"/>
        <v>0</v>
      </c>
      <c r="CL17" s="542">
        <f t="shared" ca="1" si="49"/>
        <v>0</v>
      </c>
      <c r="CM17" s="542">
        <f t="shared" ca="1" si="49"/>
        <v>0</v>
      </c>
      <c r="CN17" s="542">
        <f t="shared" ca="1" si="49"/>
        <v>0</v>
      </c>
      <c r="CO17" s="542">
        <f t="shared" ca="1" si="49"/>
        <v>0</v>
      </c>
      <c r="CP17" s="542">
        <f t="shared" ca="1" si="49"/>
        <v>0</v>
      </c>
      <c r="CQ17" s="542">
        <f t="shared" ca="1" si="49"/>
        <v>0</v>
      </c>
      <c r="CR17" s="542">
        <f t="shared" ca="1" si="49"/>
        <v>0</v>
      </c>
      <c r="CS17" s="542">
        <f t="shared" ca="1" si="49"/>
        <v>0</v>
      </c>
      <c r="CT17" s="542">
        <f t="shared" ca="1" si="49"/>
        <v>0</v>
      </c>
      <c r="CU17" s="542">
        <f t="shared" ca="1" si="49"/>
        <v>0</v>
      </c>
      <c r="CW17" s="151">
        <f t="shared" ca="1" si="37"/>
        <v>69.775203316296952</v>
      </c>
    </row>
    <row r="18" spans="1:101" s="84" customFormat="1" ht="12.75" customHeight="1" outlineLevel="1" x14ac:dyDescent="0.2">
      <c r="A18" s="543"/>
      <c r="B18" s="543"/>
      <c r="C18" s="86"/>
      <c r="D18" s="61"/>
      <c r="E18" s="61"/>
      <c r="G18" s="298"/>
      <c r="H18" s="298"/>
      <c r="I18" s="298"/>
      <c r="J18" s="298"/>
      <c r="K18" s="298"/>
      <c r="L18" s="298"/>
      <c r="M18" s="298"/>
      <c r="N18" s="298"/>
      <c r="O18" s="298"/>
      <c r="P18" s="298">
        <f t="shared" si="1"/>
        <v>0</v>
      </c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>
        <f t="shared" si="5"/>
        <v>0</v>
      </c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266">
        <f t="shared" si="8"/>
        <v>0</v>
      </c>
      <c r="BA18" s="309"/>
      <c r="BB18" s="309"/>
      <c r="BC18" s="309">
        <f t="shared" si="10"/>
        <v>0</v>
      </c>
      <c r="BE18" s="135">
        <f t="shared" si="11"/>
        <v>0</v>
      </c>
      <c r="BF18" s="135"/>
      <c r="BG18" s="543"/>
      <c r="BH18" s="541"/>
      <c r="BI18" s="542"/>
      <c r="BJ18" s="542"/>
      <c r="BK18" s="542"/>
      <c r="BL18" s="542"/>
      <c r="BM18" s="542"/>
      <c r="BN18" s="542"/>
      <c r="BO18" s="542"/>
      <c r="BP18" s="542"/>
      <c r="BQ18" s="542"/>
      <c r="BR18" s="542"/>
      <c r="BS18" s="542"/>
      <c r="BT18" s="542"/>
      <c r="BU18" s="542"/>
      <c r="BV18" s="542"/>
      <c r="BW18" s="542"/>
      <c r="BX18" s="542"/>
      <c r="BY18" s="542"/>
      <c r="BZ18" s="542"/>
      <c r="CA18" s="542"/>
      <c r="CB18" s="542"/>
      <c r="CC18" s="542"/>
      <c r="CD18" s="542"/>
      <c r="CE18" s="542"/>
      <c r="CF18" s="542"/>
      <c r="CG18" s="542"/>
      <c r="CH18" s="542"/>
      <c r="CI18" s="542"/>
      <c r="CJ18" s="542"/>
      <c r="CK18" s="542"/>
      <c r="CL18" s="542"/>
      <c r="CM18" s="542"/>
      <c r="CN18" s="542"/>
      <c r="CO18" s="542"/>
      <c r="CP18" s="542"/>
      <c r="CQ18" s="542"/>
      <c r="CR18" s="542"/>
      <c r="CS18" s="542"/>
      <c r="CT18" s="542"/>
      <c r="CU18" s="542"/>
      <c r="CW18" s="151">
        <f t="shared" si="37"/>
        <v>0</v>
      </c>
    </row>
    <row r="19" spans="1:101" s="84" customFormat="1" ht="12.75" customHeight="1" outlineLevel="1" x14ac:dyDescent="0.2">
      <c r="A19" s="543"/>
      <c r="B19" s="543"/>
      <c r="C19" s="86" t="s">
        <v>360</v>
      </c>
      <c r="D19" s="292" t="str">
        <f>INDEX(Modules[Module], MATCH($C19, Modules[Code], 0))</f>
        <v>Industrial processes</v>
      </c>
      <c r="E19" s="292"/>
      <c r="G19" s="301">
        <f t="shared" ref="G19:O19" ca="1" si="50">IFERROR(INDEX(INDIRECT($C19&amp;".Outputs["&amp;this.Year&amp;"]"), MATCH(G$5, INDIRECT($C19&amp;".Outputs[Vector]"), 0)), 0)</f>
        <v>0</v>
      </c>
      <c r="H19" s="301">
        <f t="shared" ca="1" si="50"/>
        <v>0</v>
      </c>
      <c r="I19" s="301">
        <f t="shared" ca="1" si="50"/>
        <v>0</v>
      </c>
      <c r="J19" s="301">
        <f t="shared" ca="1" si="50"/>
        <v>121.74076415005614</v>
      </c>
      <c r="K19" s="301">
        <f t="shared" ca="1" si="50"/>
        <v>0</v>
      </c>
      <c r="L19" s="301">
        <f t="shared" ca="1" si="50"/>
        <v>0</v>
      </c>
      <c r="M19" s="301">
        <f t="shared" ca="1" si="50"/>
        <v>0</v>
      </c>
      <c r="N19" s="301">
        <f t="shared" ca="1" si="50"/>
        <v>0</v>
      </c>
      <c r="O19" s="301">
        <f t="shared" ca="1" si="50"/>
        <v>0</v>
      </c>
      <c r="P19" s="301">
        <f t="shared" ca="1" si="1"/>
        <v>121.74076415005614</v>
      </c>
      <c r="R19" s="307">
        <f t="shared" ref="R19:AX19" ca="1" si="51">IFERROR(INDEX(INDIRECT($C19&amp;".Outputs["&amp;this.Year&amp;"]"), MATCH(R$5, INDIRECT($C19&amp;".Outputs[Vector]"), 0)), 0)</f>
        <v>-24.530763976236312</v>
      </c>
      <c r="S19" s="307">
        <f t="shared" ca="1" si="51"/>
        <v>0</v>
      </c>
      <c r="T19" s="307">
        <f t="shared" ca="1" si="51"/>
        <v>-3.4696117782766001</v>
      </c>
      <c r="U19" s="307">
        <f t="shared" ca="1" si="51"/>
        <v>-25.322078943211679</v>
      </c>
      <c r="V19" s="307">
        <f t="shared" ca="1" si="51"/>
        <v>-58.070344499576777</v>
      </c>
      <c r="W19" s="307">
        <f t="shared" ca="1" si="51"/>
        <v>-10.347964952754772</v>
      </c>
      <c r="X19" s="307">
        <f ca="1">IFERROR(INDEX(INDIRECT($C19&amp;".Outputs["&amp;this.Year&amp;"]"), MATCH(X$5, INDIRECT($C19&amp;".Outputs[Vector]"), 0)), 0)</f>
        <v>0</v>
      </c>
      <c r="Y19" s="307">
        <f ca="1">IFERROR(INDEX(INDIRECT($C19&amp;".Outputs["&amp;this.Year&amp;"]"), MATCH(Y$5, INDIRECT($C19&amp;".Outputs[Vector]"), 0)), 0)</f>
        <v>0</v>
      </c>
      <c r="Z19" s="307">
        <f ca="1">IFERROR(INDEX(INDIRECT($C19&amp;".Outputs["&amp;this.Year&amp;"]"), MATCH(Z$5, INDIRECT($C19&amp;".Outputs[Vector]"), 0)), 0)</f>
        <v>0</v>
      </c>
      <c r="AA19" s="307">
        <f t="shared" ca="1" si="51"/>
        <v>0</v>
      </c>
      <c r="AB19" s="307">
        <f t="shared" ca="1" si="51"/>
        <v>0</v>
      </c>
      <c r="AC19" s="307">
        <f t="shared" ca="1" si="51"/>
        <v>0</v>
      </c>
      <c r="AD19" s="307">
        <f t="shared" ca="1" si="51"/>
        <v>0</v>
      </c>
      <c r="AE19" s="307">
        <f t="shared" ca="1" si="51"/>
        <v>0</v>
      </c>
      <c r="AF19" s="307">
        <f t="shared" ca="1" si="51"/>
        <v>0</v>
      </c>
      <c r="AG19" s="307">
        <f t="shared" ca="1" si="51"/>
        <v>0</v>
      </c>
      <c r="AH19" s="306">
        <f t="shared" ca="1" si="5"/>
        <v>-121.74076415005615</v>
      </c>
      <c r="AJ19" s="315">
        <f t="shared" ref="AJ19:AR19" ca="1" si="52">IFERROR(INDEX(INDIRECT($C19&amp;".Outputs["&amp;this.Year&amp;"]"), MATCH(AJ$5, INDIRECT($C19&amp;".Outputs[Vector]"), 0)), 0)</f>
        <v>0</v>
      </c>
      <c r="AK19" s="315">
        <f t="shared" ca="1" si="52"/>
        <v>0</v>
      </c>
      <c r="AL19" s="315">
        <f t="shared" ca="1" si="52"/>
        <v>0</v>
      </c>
      <c r="AM19" s="315">
        <f t="shared" ca="1" si="52"/>
        <v>0</v>
      </c>
      <c r="AN19" s="315">
        <f t="shared" ca="1" si="52"/>
        <v>0</v>
      </c>
      <c r="AO19" s="315">
        <f t="shared" ca="1" si="52"/>
        <v>0</v>
      </c>
      <c r="AP19" s="315">
        <f t="shared" ca="1" si="52"/>
        <v>0</v>
      </c>
      <c r="AQ19" s="315">
        <f t="shared" ca="1" si="52"/>
        <v>0</v>
      </c>
      <c r="AR19" s="315">
        <f t="shared" ca="1" si="52"/>
        <v>0</v>
      </c>
      <c r="AS19" s="315">
        <f t="shared" ca="1" si="51"/>
        <v>0</v>
      </c>
      <c r="AT19" s="315">
        <f t="shared" ca="1" si="51"/>
        <v>0</v>
      </c>
      <c r="AU19" s="315">
        <f t="shared" ca="1" si="51"/>
        <v>0</v>
      </c>
      <c r="AV19" s="315">
        <f t="shared" ca="1" si="51"/>
        <v>0</v>
      </c>
      <c r="AW19" s="315">
        <f t="shared" ca="1" si="51"/>
        <v>0</v>
      </c>
      <c r="AX19" s="315">
        <f t="shared" ca="1" si="51"/>
        <v>0</v>
      </c>
      <c r="AY19" s="293">
        <f t="shared" ca="1" si="8"/>
        <v>0</v>
      </c>
      <c r="BA19" s="311">
        <f ca="1">IFERROR(INDEX(INDIRECT($C19&amp;".Outputs["&amp;this.Year&amp;"]"), MATCH(BA$5, INDIRECT($C19&amp;".Outputs[Vector]"), 0)), 0)</f>
        <v>0</v>
      </c>
      <c r="BB19" s="311">
        <f ca="1">IFERROR(INDEX(INDIRECT($C19&amp;".Outputs["&amp;this.Year&amp;"]"), MATCH(BB$5, INDIRECT($C19&amp;".Outputs[Vector]"), 0)), 0)</f>
        <v>0</v>
      </c>
      <c r="BC19" s="310">
        <f t="shared" ca="1" si="10"/>
        <v>0</v>
      </c>
      <c r="BE19" s="135">
        <f t="shared" ca="1" si="11"/>
        <v>-1.4210854715202004E-14</v>
      </c>
      <c r="BF19" s="135"/>
      <c r="BG19" s="1428"/>
      <c r="BH19" s="544">
        <f t="shared" ref="BH19:CU19" ca="1" si="53">IFERROR(SUMIFS(INDIRECT($C19&amp;".Emissions["&amp;this.Year&amp;"]"), INDIRECT($C19&amp;".Emissions[GHG]"), BH$6, INDIRECT($C19&amp;".Emissions[IPCC Sector]"), BH$5),0)</f>
        <v>18.084103551434239</v>
      </c>
      <c r="BI19" s="545">
        <f t="shared" ca="1" si="53"/>
        <v>3.2438567790519859E-2</v>
      </c>
      <c r="BJ19" s="545">
        <f t="shared" ca="1" si="53"/>
        <v>0.14640149015090617</v>
      </c>
      <c r="BK19" s="545">
        <f t="shared" ca="1" si="53"/>
        <v>0</v>
      </c>
      <c r="BL19" s="545">
        <f t="shared" ca="1" si="53"/>
        <v>0</v>
      </c>
      <c r="BM19" s="545">
        <f t="shared" ca="1" si="53"/>
        <v>0</v>
      </c>
      <c r="BN19" s="545">
        <f t="shared" ca="1" si="53"/>
        <v>0</v>
      </c>
      <c r="BO19" s="545">
        <f t="shared" ca="1" si="53"/>
        <v>0</v>
      </c>
      <c r="BP19" s="545">
        <f t="shared" ca="1" si="53"/>
        <v>14.698135934862325</v>
      </c>
      <c r="BQ19" s="545">
        <f t="shared" ca="1" si="53"/>
        <v>0.13306254322391611</v>
      </c>
      <c r="BR19" s="545">
        <f t="shared" ca="1" si="53"/>
        <v>3.4902717676257011</v>
      </c>
      <c r="BS19" s="545">
        <f t="shared" ca="1" si="53"/>
        <v>8.8722415376226049</v>
      </c>
      <c r="BT19" s="545">
        <f t="shared" ca="1" si="53"/>
        <v>0</v>
      </c>
      <c r="BU19" s="545">
        <f t="shared" ca="1" si="53"/>
        <v>0</v>
      </c>
      <c r="BV19" s="545">
        <f t="shared" ca="1" si="53"/>
        <v>0</v>
      </c>
      <c r="BW19" s="545">
        <f t="shared" ca="1" si="53"/>
        <v>0</v>
      </c>
      <c r="BX19" s="545">
        <f t="shared" ca="1" si="53"/>
        <v>0</v>
      </c>
      <c r="BY19" s="545">
        <f t="shared" ca="1" si="53"/>
        <v>0</v>
      </c>
      <c r="BZ19" s="545">
        <f t="shared" ca="1" si="53"/>
        <v>0</v>
      </c>
      <c r="CA19" s="545">
        <f t="shared" ca="1" si="53"/>
        <v>0</v>
      </c>
      <c r="CB19" s="545">
        <f t="shared" ca="1" si="53"/>
        <v>0</v>
      </c>
      <c r="CC19" s="545">
        <f t="shared" ca="1" si="53"/>
        <v>0</v>
      </c>
      <c r="CD19" s="545">
        <f t="shared" ca="1" si="53"/>
        <v>0</v>
      </c>
      <c r="CE19" s="545">
        <f t="shared" ca="1" si="53"/>
        <v>0</v>
      </c>
      <c r="CF19" s="545">
        <f t="shared" ca="1" si="53"/>
        <v>0</v>
      </c>
      <c r="CG19" s="545">
        <f t="shared" ca="1" si="53"/>
        <v>0</v>
      </c>
      <c r="CH19" s="545">
        <f t="shared" ca="1" si="53"/>
        <v>0</v>
      </c>
      <c r="CI19" s="545">
        <f t="shared" ca="1" si="53"/>
        <v>0</v>
      </c>
      <c r="CJ19" s="545">
        <f t="shared" ca="1" si="53"/>
        <v>0</v>
      </c>
      <c r="CK19" s="545">
        <f t="shared" ca="1" si="53"/>
        <v>0</v>
      </c>
      <c r="CL19" s="545">
        <f t="shared" ca="1" si="53"/>
        <v>0</v>
      </c>
      <c r="CM19" s="545">
        <f t="shared" ca="1" si="53"/>
        <v>0</v>
      </c>
      <c r="CN19" s="545">
        <f t="shared" ca="1" si="53"/>
        <v>0</v>
      </c>
      <c r="CO19" s="545">
        <f t="shared" ca="1" si="53"/>
        <v>0</v>
      </c>
      <c r="CP19" s="545">
        <f t="shared" ca="1" si="53"/>
        <v>0</v>
      </c>
      <c r="CQ19" s="545">
        <f t="shared" ca="1" si="53"/>
        <v>0</v>
      </c>
      <c r="CR19" s="545">
        <f t="shared" ca="1" si="53"/>
        <v>0</v>
      </c>
      <c r="CS19" s="545">
        <f t="shared" ca="1" si="53"/>
        <v>0</v>
      </c>
      <c r="CT19" s="545">
        <f t="shared" ca="1" si="53"/>
        <v>0</v>
      </c>
      <c r="CU19" s="545">
        <f t="shared" ca="1" si="53"/>
        <v>0</v>
      </c>
      <c r="CW19" s="151">
        <f t="shared" ca="1" si="37"/>
        <v>45.456655392710211</v>
      </c>
    </row>
    <row r="20" spans="1:101" s="84" customFormat="1" ht="15.75" x14ac:dyDescent="0.2">
      <c r="A20" s="18"/>
      <c r="B20" s="89"/>
      <c r="C20" s="85" t="s">
        <v>231</v>
      </c>
      <c r="D20" s="57" t="str">
        <f>INDEX(Workstreams[Workstream], MATCH($C20, Workstreams[Code], 0))</f>
        <v>Industry</v>
      </c>
      <c r="E20" s="53"/>
      <c r="G20" s="300">
        <f ca="1">G19</f>
        <v>0</v>
      </c>
      <c r="H20" s="300">
        <f t="shared" ref="H20:O20" ca="1" si="54">H19</f>
        <v>0</v>
      </c>
      <c r="I20" s="300">
        <f ca="1">I19</f>
        <v>0</v>
      </c>
      <c r="J20" s="300">
        <f t="shared" ca="1" si="54"/>
        <v>121.74076415005614</v>
      </c>
      <c r="K20" s="300">
        <f t="shared" ca="1" si="54"/>
        <v>0</v>
      </c>
      <c r="L20" s="300">
        <f t="shared" ca="1" si="54"/>
        <v>0</v>
      </c>
      <c r="M20" s="300">
        <f t="shared" ca="1" si="54"/>
        <v>0</v>
      </c>
      <c r="N20" s="300">
        <f t="shared" ca="1" si="54"/>
        <v>0</v>
      </c>
      <c r="O20" s="300">
        <f t="shared" ca="1" si="54"/>
        <v>0</v>
      </c>
      <c r="P20" s="300">
        <f t="shared" ca="1" si="1"/>
        <v>121.74076415005614</v>
      </c>
      <c r="R20" s="257">
        <f t="shared" ref="R20:AG20" ca="1" si="55">R19</f>
        <v>-24.530763976236312</v>
      </c>
      <c r="S20" s="257">
        <f t="shared" ca="1" si="55"/>
        <v>0</v>
      </c>
      <c r="T20" s="257">
        <f t="shared" ca="1" si="55"/>
        <v>-3.4696117782766001</v>
      </c>
      <c r="U20" s="257">
        <f t="shared" ca="1" si="55"/>
        <v>-25.322078943211679</v>
      </c>
      <c r="V20" s="257">
        <f t="shared" ca="1" si="55"/>
        <v>-58.070344499576777</v>
      </c>
      <c r="W20" s="257">
        <f ca="1">W19</f>
        <v>-10.347964952754772</v>
      </c>
      <c r="X20" s="257">
        <f t="shared" ca="1" si="55"/>
        <v>0</v>
      </c>
      <c r="Y20" s="257">
        <f t="shared" ca="1" si="55"/>
        <v>0</v>
      </c>
      <c r="Z20" s="257">
        <f t="shared" ca="1" si="55"/>
        <v>0</v>
      </c>
      <c r="AA20" s="257">
        <f t="shared" ca="1" si="55"/>
        <v>0</v>
      </c>
      <c r="AB20" s="257">
        <f t="shared" ca="1" si="55"/>
        <v>0</v>
      </c>
      <c r="AC20" s="257">
        <f t="shared" ca="1" si="55"/>
        <v>0</v>
      </c>
      <c r="AD20" s="257">
        <f t="shared" ca="1" si="55"/>
        <v>0</v>
      </c>
      <c r="AE20" s="257">
        <f t="shared" ca="1" si="55"/>
        <v>0</v>
      </c>
      <c r="AF20" s="257">
        <f t="shared" ca="1" si="55"/>
        <v>0</v>
      </c>
      <c r="AG20" s="257">
        <f t="shared" ca="1" si="55"/>
        <v>0</v>
      </c>
      <c r="AH20" s="257">
        <f t="shared" ca="1" si="5"/>
        <v>-121.74076415005615</v>
      </c>
      <c r="AJ20" s="263">
        <f t="shared" ref="AJ20:AX20" ca="1" si="56">AJ19</f>
        <v>0</v>
      </c>
      <c r="AK20" s="263">
        <f t="shared" ca="1" si="56"/>
        <v>0</v>
      </c>
      <c r="AL20" s="263">
        <f t="shared" ca="1" si="56"/>
        <v>0</v>
      </c>
      <c r="AM20" s="263">
        <f t="shared" ca="1" si="56"/>
        <v>0</v>
      </c>
      <c r="AN20" s="263">
        <f t="shared" ca="1" si="56"/>
        <v>0</v>
      </c>
      <c r="AO20" s="263">
        <f t="shared" ca="1" si="56"/>
        <v>0</v>
      </c>
      <c r="AP20" s="263">
        <f t="shared" ca="1" si="56"/>
        <v>0</v>
      </c>
      <c r="AQ20" s="263">
        <f t="shared" ca="1" si="56"/>
        <v>0</v>
      </c>
      <c r="AR20" s="263">
        <f t="shared" ca="1" si="56"/>
        <v>0</v>
      </c>
      <c r="AS20" s="263">
        <f t="shared" ca="1" si="56"/>
        <v>0</v>
      </c>
      <c r="AT20" s="263">
        <f t="shared" ca="1" si="56"/>
        <v>0</v>
      </c>
      <c r="AU20" s="263">
        <f t="shared" ca="1" si="56"/>
        <v>0</v>
      </c>
      <c r="AV20" s="263">
        <f t="shared" ca="1" si="56"/>
        <v>0</v>
      </c>
      <c r="AW20" s="263">
        <f t="shared" ca="1" si="56"/>
        <v>0</v>
      </c>
      <c r="AX20" s="263">
        <f t="shared" ca="1" si="56"/>
        <v>0</v>
      </c>
      <c r="AY20" s="263">
        <f t="shared" ca="1" si="8"/>
        <v>0</v>
      </c>
      <c r="BA20" s="277">
        <f ca="1">BA19</f>
        <v>0</v>
      </c>
      <c r="BB20" s="277">
        <f ca="1">BB19</f>
        <v>0</v>
      </c>
      <c r="BC20" s="277">
        <f t="shared" ca="1" si="10"/>
        <v>0</v>
      </c>
      <c r="BE20" s="55">
        <f t="shared" ca="1" si="11"/>
        <v>-1.4210854715202004E-14</v>
      </c>
      <c r="BF20" s="55"/>
      <c r="BG20" s="1428"/>
      <c r="BH20" s="542">
        <f t="shared" ref="BH20:CU20" ca="1" si="57">BH19</f>
        <v>18.084103551434239</v>
      </c>
      <c r="BI20" s="542">
        <f t="shared" ca="1" si="57"/>
        <v>3.2438567790519859E-2</v>
      </c>
      <c r="BJ20" s="542">
        <f t="shared" ca="1" si="57"/>
        <v>0.14640149015090617</v>
      </c>
      <c r="BK20" s="542">
        <f t="shared" ca="1" si="57"/>
        <v>0</v>
      </c>
      <c r="BL20" s="542">
        <f t="shared" ca="1" si="57"/>
        <v>0</v>
      </c>
      <c r="BM20" s="542">
        <f t="shared" ca="1" si="57"/>
        <v>0</v>
      </c>
      <c r="BN20" s="542">
        <f t="shared" ca="1" si="57"/>
        <v>0</v>
      </c>
      <c r="BO20" s="542">
        <f t="shared" ca="1" si="57"/>
        <v>0</v>
      </c>
      <c r="BP20" s="542">
        <f t="shared" ca="1" si="57"/>
        <v>14.698135934862325</v>
      </c>
      <c r="BQ20" s="542">
        <f t="shared" ca="1" si="57"/>
        <v>0.13306254322391611</v>
      </c>
      <c r="BR20" s="542">
        <f t="shared" ca="1" si="57"/>
        <v>3.4902717676257011</v>
      </c>
      <c r="BS20" s="542">
        <f t="shared" ca="1" si="57"/>
        <v>8.8722415376226049</v>
      </c>
      <c r="BT20" s="542">
        <f t="shared" ca="1" si="57"/>
        <v>0</v>
      </c>
      <c r="BU20" s="542">
        <f t="shared" ca="1" si="57"/>
        <v>0</v>
      </c>
      <c r="BV20" s="542">
        <f t="shared" ca="1" si="57"/>
        <v>0</v>
      </c>
      <c r="BW20" s="542">
        <f t="shared" ca="1" si="57"/>
        <v>0</v>
      </c>
      <c r="BX20" s="542">
        <f t="shared" ca="1" si="57"/>
        <v>0</v>
      </c>
      <c r="BY20" s="542">
        <f t="shared" ca="1" si="57"/>
        <v>0</v>
      </c>
      <c r="BZ20" s="542">
        <f t="shared" ca="1" si="57"/>
        <v>0</v>
      </c>
      <c r="CA20" s="542">
        <f t="shared" ca="1" si="57"/>
        <v>0</v>
      </c>
      <c r="CB20" s="542">
        <f t="shared" ca="1" si="57"/>
        <v>0</v>
      </c>
      <c r="CC20" s="542">
        <f t="shared" ca="1" si="57"/>
        <v>0</v>
      </c>
      <c r="CD20" s="542">
        <f t="shared" ca="1" si="57"/>
        <v>0</v>
      </c>
      <c r="CE20" s="542">
        <f t="shared" ca="1" si="57"/>
        <v>0</v>
      </c>
      <c r="CF20" s="542">
        <f t="shared" ca="1" si="57"/>
        <v>0</v>
      </c>
      <c r="CG20" s="542">
        <f t="shared" ca="1" si="57"/>
        <v>0</v>
      </c>
      <c r="CH20" s="542">
        <f t="shared" ca="1" si="57"/>
        <v>0</v>
      </c>
      <c r="CI20" s="542">
        <f t="shared" ca="1" si="57"/>
        <v>0</v>
      </c>
      <c r="CJ20" s="542">
        <f t="shared" ca="1" si="57"/>
        <v>0</v>
      </c>
      <c r="CK20" s="542">
        <f t="shared" ca="1" si="57"/>
        <v>0</v>
      </c>
      <c r="CL20" s="542">
        <f t="shared" ca="1" si="57"/>
        <v>0</v>
      </c>
      <c r="CM20" s="542">
        <f t="shared" ca="1" si="57"/>
        <v>0</v>
      </c>
      <c r="CN20" s="542">
        <f t="shared" ca="1" si="57"/>
        <v>0</v>
      </c>
      <c r="CO20" s="542">
        <f t="shared" ca="1" si="57"/>
        <v>0</v>
      </c>
      <c r="CP20" s="542">
        <f t="shared" ca="1" si="57"/>
        <v>0</v>
      </c>
      <c r="CQ20" s="542">
        <f t="shared" ca="1" si="57"/>
        <v>0</v>
      </c>
      <c r="CR20" s="542">
        <f t="shared" ca="1" si="57"/>
        <v>0</v>
      </c>
      <c r="CS20" s="542">
        <f t="shared" ca="1" si="57"/>
        <v>0</v>
      </c>
      <c r="CT20" s="542">
        <f t="shared" ca="1" si="57"/>
        <v>0</v>
      </c>
      <c r="CU20" s="542">
        <f t="shared" ca="1" si="57"/>
        <v>0</v>
      </c>
      <c r="CW20" s="151">
        <f t="shared" ca="1" si="37"/>
        <v>45.456655392710211</v>
      </c>
    </row>
    <row r="21" spans="1:101" s="84" customFormat="1" ht="12.75" customHeight="1" outlineLevel="1" x14ac:dyDescent="0.2">
      <c r="A21" s="18"/>
      <c r="B21" s="18"/>
      <c r="C21" s="87"/>
      <c r="D21" s="53"/>
      <c r="E21" s="53"/>
      <c r="G21" s="300"/>
      <c r="H21" s="300"/>
      <c r="I21" s="300"/>
      <c r="J21" s="300"/>
      <c r="K21" s="300"/>
      <c r="L21" s="300"/>
      <c r="M21" s="300"/>
      <c r="N21" s="300"/>
      <c r="O21" s="300"/>
      <c r="P21" s="300">
        <f t="shared" si="1"/>
        <v>0</v>
      </c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>
        <f t="shared" si="5"/>
        <v>0</v>
      </c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>
        <f t="shared" si="8"/>
        <v>0</v>
      </c>
      <c r="BA21" s="277"/>
      <c r="BB21" s="277"/>
      <c r="BC21" s="277">
        <f t="shared" si="10"/>
        <v>0</v>
      </c>
      <c r="BE21" s="55">
        <f t="shared" si="11"/>
        <v>0</v>
      </c>
      <c r="BF21" s="55"/>
      <c r="BG21" s="18"/>
      <c r="BH21" s="542"/>
      <c r="BI21" s="542"/>
      <c r="BJ21" s="542"/>
      <c r="BK21" s="542"/>
      <c r="BL21" s="542"/>
      <c r="BM21" s="542"/>
      <c r="BN21" s="542"/>
      <c r="BO21" s="542"/>
      <c r="BP21" s="542"/>
      <c r="BQ21" s="542"/>
      <c r="BR21" s="542"/>
      <c r="BS21" s="542"/>
      <c r="BT21" s="542"/>
      <c r="BU21" s="542"/>
      <c r="BV21" s="542"/>
      <c r="BW21" s="542"/>
      <c r="BX21" s="542"/>
      <c r="BY21" s="542"/>
      <c r="BZ21" s="542"/>
      <c r="CA21" s="542"/>
      <c r="CB21" s="542"/>
      <c r="CC21" s="542"/>
      <c r="CD21" s="542"/>
      <c r="CE21" s="542"/>
      <c r="CF21" s="542"/>
      <c r="CG21" s="542"/>
      <c r="CH21" s="542"/>
      <c r="CI21" s="542"/>
      <c r="CJ21" s="542"/>
      <c r="CK21" s="542"/>
      <c r="CL21" s="542"/>
      <c r="CM21" s="542"/>
      <c r="CN21" s="542"/>
      <c r="CO21" s="542"/>
      <c r="CP21" s="542"/>
      <c r="CQ21" s="542"/>
      <c r="CR21" s="542"/>
      <c r="CS21" s="542"/>
      <c r="CT21" s="542"/>
      <c r="CU21" s="542"/>
      <c r="CW21" s="151">
        <f t="shared" si="37"/>
        <v>0</v>
      </c>
    </row>
    <row r="22" spans="1:101" s="84" customFormat="1" ht="12.75" customHeight="1" outlineLevel="1" x14ac:dyDescent="0.2">
      <c r="A22" s="543"/>
      <c r="B22" s="543"/>
      <c r="C22" s="86" t="s">
        <v>362</v>
      </c>
      <c r="D22" s="63" t="str">
        <f>INDEX(Modules[Module], MATCH($C22, Modules[Code], 0))</f>
        <v>Domestic passenger transport</v>
      </c>
      <c r="E22" s="291"/>
      <c r="G22" s="297">
        <f t="shared" ref="G22:O23" ca="1" si="58">IFERROR(INDEX(INDIRECT($C22&amp;".Outputs["&amp;this.Year&amp;"]"), MATCH(G$5, INDIRECT($C22&amp;".Outputs[Vector]"), 0)), 0)</f>
        <v>0</v>
      </c>
      <c r="H22" s="297">
        <f t="shared" ca="1" si="58"/>
        <v>0</v>
      </c>
      <c r="I22" s="297">
        <f t="shared" ca="1" si="58"/>
        <v>0</v>
      </c>
      <c r="J22" s="297">
        <f t="shared" ca="1" si="58"/>
        <v>0</v>
      </c>
      <c r="K22" s="297">
        <f t="shared" ca="1" si="58"/>
        <v>81.1156035152718</v>
      </c>
      <c r="L22" s="297">
        <f t="shared" ca="1" si="58"/>
        <v>53.967053566965404</v>
      </c>
      <c r="M22" s="297">
        <f t="shared" ca="1" si="58"/>
        <v>0</v>
      </c>
      <c r="N22" s="297">
        <f t="shared" ca="1" si="58"/>
        <v>0</v>
      </c>
      <c r="O22" s="297">
        <f t="shared" ca="1" si="58"/>
        <v>0</v>
      </c>
      <c r="P22" s="297">
        <f t="shared" ca="1" si="1"/>
        <v>135.0826570822372</v>
      </c>
      <c r="R22" s="304">
        <f t="shared" ref="R22:AX23" ca="1" si="59">IFERROR(INDEX(INDIRECT($C22&amp;".Outputs["&amp;this.Year&amp;"]"), MATCH(R$5, INDIRECT($C22&amp;".Outputs[Vector]"), 0)), 0)</f>
        <v>-14.477286821083673</v>
      </c>
      <c r="S22" s="304">
        <f t="shared" ca="1" si="59"/>
        <v>0</v>
      </c>
      <c r="T22" s="304">
        <f t="shared" ca="1" si="59"/>
        <v>0</v>
      </c>
      <c r="U22" s="304">
        <f t="shared" ca="1" si="59"/>
        <v>-110.64256437185804</v>
      </c>
      <c r="V22" s="304">
        <f t="shared" ca="1" si="59"/>
        <v>-9.9628058892954758</v>
      </c>
      <c r="W22" s="304">
        <f t="shared" ca="1" si="59"/>
        <v>0</v>
      </c>
      <c r="X22" s="304">
        <f t="shared" ref="X22:Z23" ca="1" si="60">IFERROR(INDEX(INDIRECT($C22&amp;".Outputs["&amp;this.Year&amp;"]"), MATCH(X$5, INDIRECT($C22&amp;".Outputs[Vector]"), 0)), 0)</f>
        <v>0</v>
      </c>
      <c r="Y22" s="304">
        <f t="shared" ca="1" si="60"/>
        <v>0</v>
      </c>
      <c r="Z22" s="304">
        <f t="shared" ca="1" si="60"/>
        <v>0</v>
      </c>
      <c r="AA22" s="304">
        <f t="shared" ca="1" si="59"/>
        <v>0</v>
      </c>
      <c r="AB22" s="304">
        <f t="shared" ca="1" si="59"/>
        <v>0</v>
      </c>
      <c r="AC22" s="304">
        <f t="shared" ca="1" si="59"/>
        <v>0</v>
      </c>
      <c r="AD22" s="304">
        <f t="shared" ca="1" si="59"/>
        <v>0</v>
      </c>
      <c r="AE22" s="304">
        <f t="shared" ca="1" si="59"/>
        <v>0</v>
      </c>
      <c r="AF22" s="304">
        <f t="shared" ca="1" si="59"/>
        <v>0</v>
      </c>
      <c r="AG22" s="304">
        <f t="shared" ca="1" si="59"/>
        <v>0</v>
      </c>
      <c r="AH22" s="305">
        <f t="shared" ca="1" si="5"/>
        <v>-135.0826570822372</v>
      </c>
      <c r="AJ22" s="312">
        <f t="shared" ref="AJ22:AR23" ca="1" si="61">IFERROR(INDEX(INDIRECT($C22&amp;".Outputs["&amp;this.Year&amp;"]"), MATCH(AJ$5, INDIRECT($C22&amp;".Outputs[Vector]"), 0)), 0)</f>
        <v>0</v>
      </c>
      <c r="AK22" s="312">
        <f t="shared" ca="1" si="61"/>
        <v>0</v>
      </c>
      <c r="AL22" s="312">
        <f t="shared" ca="1" si="61"/>
        <v>0</v>
      </c>
      <c r="AM22" s="312">
        <f t="shared" ca="1" si="61"/>
        <v>0</v>
      </c>
      <c r="AN22" s="312">
        <f t="shared" ca="1" si="61"/>
        <v>0</v>
      </c>
      <c r="AO22" s="312">
        <f t="shared" ca="1" si="61"/>
        <v>0</v>
      </c>
      <c r="AP22" s="312">
        <f t="shared" ca="1" si="61"/>
        <v>0</v>
      </c>
      <c r="AQ22" s="312">
        <f t="shared" ca="1" si="61"/>
        <v>0</v>
      </c>
      <c r="AR22" s="312">
        <f t="shared" ca="1" si="61"/>
        <v>0</v>
      </c>
      <c r="AS22" s="312">
        <f t="shared" ca="1" si="59"/>
        <v>0</v>
      </c>
      <c r="AT22" s="312">
        <f t="shared" ca="1" si="59"/>
        <v>0</v>
      </c>
      <c r="AU22" s="312">
        <f t="shared" ca="1" si="59"/>
        <v>0</v>
      </c>
      <c r="AV22" s="312">
        <f t="shared" ca="1" si="59"/>
        <v>0</v>
      </c>
      <c r="AW22" s="312">
        <f t="shared" ca="1" si="59"/>
        <v>0</v>
      </c>
      <c r="AX22" s="312">
        <f t="shared" ca="1" si="59"/>
        <v>0</v>
      </c>
      <c r="AY22" s="266">
        <f t="shared" ca="1" si="8"/>
        <v>0</v>
      </c>
      <c r="BA22" s="308">
        <f t="shared" ref="BA22:BB23" ca="1" si="62">IFERROR(INDEX(INDIRECT($C22&amp;".Outputs["&amp;this.Year&amp;"]"), MATCH(BA$5, INDIRECT($C22&amp;".Outputs[Vector]"), 0)), 0)</f>
        <v>0</v>
      </c>
      <c r="BB22" s="308">
        <f t="shared" ca="1" si="62"/>
        <v>0</v>
      </c>
      <c r="BC22" s="309">
        <f t="shared" ca="1" si="10"/>
        <v>0</v>
      </c>
      <c r="BE22" s="135">
        <f t="shared" ca="1" si="11"/>
        <v>0</v>
      </c>
      <c r="BF22" s="135"/>
      <c r="BG22" s="1428"/>
      <c r="BH22" s="541">
        <f t="shared" ref="BH22:BQ23" ca="1" si="63">IFERROR(SUMIFS(INDIRECT($C22&amp;".Emissions["&amp;this.Year&amp;"]"), INDIRECT($C22&amp;".Emissions[GHG]"), BH$6, INDIRECT($C22&amp;".Emissions[IPCC Sector]"), BH$5),0)</f>
        <v>27.660641092964511</v>
      </c>
      <c r="BI22" s="542">
        <f t="shared" ca="1" si="63"/>
        <v>3.4437388963412661E-2</v>
      </c>
      <c r="BJ22" s="542">
        <f t="shared" ca="1" si="63"/>
        <v>0.49767161242297181</v>
      </c>
      <c r="BK22" s="542">
        <f t="shared" ca="1" si="63"/>
        <v>0</v>
      </c>
      <c r="BL22" s="542">
        <f t="shared" ca="1" si="63"/>
        <v>0</v>
      </c>
      <c r="BM22" s="542">
        <f t="shared" ca="1" si="63"/>
        <v>0</v>
      </c>
      <c r="BN22" s="542">
        <f t="shared" ca="1" si="63"/>
        <v>0</v>
      </c>
      <c r="BO22" s="542">
        <f t="shared" ca="1" si="63"/>
        <v>0</v>
      </c>
      <c r="BP22" s="542">
        <f t="shared" ca="1" si="63"/>
        <v>0</v>
      </c>
      <c r="BQ22" s="542">
        <f t="shared" ca="1" si="63"/>
        <v>0</v>
      </c>
      <c r="BR22" s="542">
        <f t="shared" ref="BR22:CA23" ca="1" si="64">IFERROR(SUMIFS(INDIRECT($C22&amp;".Emissions["&amp;this.Year&amp;"]"), INDIRECT($C22&amp;".Emissions[GHG]"), BR$6, INDIRECT($C22&amp;".Emissions[IPCC Sector]"), BR$5),0)</f>
        <v>0</v>
      </c>
      <c r="BS22" s="542">
        <f t="shared" ca="1" si="64"/>
        <v>0</v>
      </c>
      <c r="BT22" s="542">
        <f t="shared" ca="1" si="64"/>
        <v>0</v>
      </c>
      <c r="BU22" s="542">
        <f t="shared" ca="1" si="64"/>
        <v>0</v>
      </c>
      <c r="BV22" s="542">
        <f t="shared" ca="1" si="64"/>
        <v>0</v>
      </c>
      <c r="BW22" s="542">
        <f t="shared" ca="1" si="64"/>
        <v>0</v>
      </c>
      <c r="BX22" s="542">
        <f t="shared" ca="1" si="64"/>
        <v>0</v>
      </c>
      <c r="BY22" s="542">
        <f t="shared" ca="1" si="64"/>
        <v>0</v>
      </c>
      <c r="BZ22" s="542">
        <f t="shared" ca="1" si="64"/>
        <v>0</v>
      </c>
      <c r="CA22" s="542">
        <f t="shared" ca="1" si="64"/>
        <v>0</v>
      </c>
      <c r="CB22" s="542">
        <f t="shared" ref="CB22:CK23" ca="1" si="65">IFERROR(SUMIFS(INDIRECT($C22&amp;".Emissions["&amp;this.Year&amp;"]"), INDIRECT($C22&amp;".Emissions[GHG]"), CB$6, INDIRECT($C22&amp;".Emissions[IPCC Sector]"), CB$5),0)</f>
        <v>0</v>
      </c>
      <c r="CC22" s="542">
        <f t="shared" ca="1" si="65"/>
        <v>0</v>
      </c>
      <c r="CD22" s="542">
        <f t="shared" ca="1" si="65"/>
        <v>0</v>
      </c>
      <c r="CE22" s="542">
        <f t="shared" ca="1" si="65"/>
        <v>0</v>
      </c>
      <c r="CF22" s="542">
        <f t="shared" ca="1" si="65"/>
        <v>0</v>
      </c>
      <c r="CG22" s="542">
        <f t="shared" ca="1" si="65"/>
        <v>0</v>
      </c>
      <c r="CH22" s="542">
        <f t="shared" ca="1" si="65"/>
        <v>0</v>
      </c>
      <c r="CI22" s="542">
        <f t="shared" ca="1" si="65"/>
        <v>0</v>
      </c>
      <c r="CJ22" s="542">
        <f t="shared" ca="1" si="65"/>
        <v>0</v>
      </c>
      <c r="CK22" s="542">
        <f t="shared" ca="1" si="65"/>
        <v>0</v>
      </c>
      <c r="CL22" s="542">
        <f t="shared" ref="CL22:CU23" ca="1" si="66">IFERROR(SUMIFS(INDIRECT($C22&amp;".Emissions["&amp;this.Year&amp;"]"), INDIRECT($C22&amp;".Emissions[GHG]"), CL$6, INDIRECT($C22&amp;".Emissions[IPCC Sector]"), CL$5),0)</f>
        <v>0</v>
      </c>
      <c r="CM22" s="542">
        <f t="shared" ca="1" si="66"/>
        <v>0</v>
      </c>
      <c r="CN22" s="542">
        <f t="shared" ca="1" si="66"/>
        <v>0</v>
      </c>
      <c r="CO22" s="542">
        <f t="shared" ca="1" si="66"/>
        <v>0</v>
      </c>
      <c r="CP22" s="542">
        <f t="shared" ca="1" si="66"/>
        <v>0</v>
      </c>
      <c r="CQ22" s="542">
        <f t="shared" ca="1" si="66"/>
        <v>0</v>
      </c>
      <c r="CR22" s="542">
        <f t="shared" ca="1" si="66"/>
        <v>0</v>
      </c>
      <c r="CS22" s="542">
        <f t="shared" ca="1" si="66"/>
        <v>0</v>
      </c>
      <c r="CT22" s="542">
        <f t="shared" ca="1" si="66"/>
        <v>0</v>
      </c>
      <c r="CU22" s="542">
        <f t="shared" ca="1" si="66"/>
        <v>0</v>
      </c>
      <c r="CW22" s="151">
        <f t="shared" ca="1" si="37"/>
        <v>28.192750094350895</v>
      </c>
    </row>
    <row r="23" spans="1:101" s="84" customFormat="1" ht="12.75" customHeight="1" outlineLevel="1" x14ac:dyDescent="0.2">
      <c r="A23" s="543"/>
      <c r="B23" s="543"/>
      <c r="C23" s="86" t="s">
        <v>375</v>
      </c>
      <c r="D23" s="63" t="str">
        <f>INDEX(Modules[Module], MATCH($C23, Modules[Code], 0))</f>
        <v>Domestic freight</v>
      </c>
      <c r="E23" s="291"/>
      <c r="G23" s="297">
        <f t="shared" ca="1" si="58"/>
        <v>0</v>
      </c>
      <c r="H23" s="297">
        <f t="shared" ca="1" si="58"/>
        <v>0</v>
      </c>
      <c r="I23" s="297">
        <f t="shared" ca="1" si="58"/>
        <v>0</v>
      </c>
      <c r="J23" s="297">
        <f t="shared" ca="1" si="58"/>
        <v>0</v>
      </c>
      <c r="K23" s="297">
        <f t="shared" ca="1" si="58"/>
        <v>13.378991015597133</v>
      </c>
      <c r="L23" s="297">
        <f t="shared" ca="1" si="58"/>
        <v>8.4501501091424149</v>
      </c>
      <c r="M23" s="297">
        <f t="shared" ca="1" si="58"/>
        <v>0</v>
      </c>
      <c r="N23" s="297">
        <f t="shared" ca="1" si="58"/>
        <v>6.0295724006390912E-13</v>
      </c>
      <c r="O23" s="297">
        <f t="shared" ca="1" si="58"/>
        <v>6.9226984229543893</v>
      </c>
      <c r="P23" s="297">
        <f t="shared" ca="1" si="1"/>
        <v>28.751839547694544</v>
      </c>
      <c r="R23" s="304">
        <f t="shared" ca="1" si="59"/>
        <v>-11.874219431648278</v>
      </c>
      <c r="S23" s="304">
        <f t="shared" ca="1" si="59"/>
        <v>0</v>
      </c>
      <c r="T23" s="304">
        <f t="shared" ca="1" si="59"/>
        <v>0</v>
      </c>
      <c r="U23" s="304">
        <f t="shared" ca="1" si="59"/>
        <v>-15.664376407164552</v>
      </c>
      <c r="V23" s="304">
        <f t="shared" ca="1" si="59"/>
        <v>-1.2132437088817098</v>
      </c>
      <c r="W23" s="304">
        <f t="shared" ca="1" si="59"/>
        <v>0</v>
      </c>
      <c r="X23" s="304">
        <f t="shared" ca="1" si="60"/>
        <v>0</v>
      </c>
      <c r="Y23" s="304">
        <f t="shared" ca="1" si="60"/>
        <v>0</v>
      </c>
      <c r="Z23" s="304">
        <f t="shared" ca="1" si="60"/>
        <v>0</v>
      </c>
      <c r="AA23" s="304">
        <f t="shared" ca="1" si="59"/>
        <v>0</v>
      </c>
      <c r="AB23" s="304">
        <f t="shared" ca="1" si="59"/>
        <v>0</v>
      </c>
      <c r="AC23" s="304">
        <f t="shared" ca="1" si="59"/>
        <v>0</v>
      </c>
      <c r="AD23" s="304">
        <f t="shared" ca="1" si="59"/>
        <v>0</v>
      </c>
      <c r="AE23" s="304">
        <f t="shared" ca="1" si="59"/>
        <v>0</v>
      </c>
      <c r="AF23" s="304">
        <f t="shared" ca="1" si="59"/>
        <v>0</v>
      </c>
      <c r="AG23" s="304">
        <f t="shared" ca="1" si="59"/>
        <v>0</v>
      </c>
      <c r="AH23" s="305">
        <f t="shared" ca="1" si="5"/>
        <v>-28.751839547694541</v>
      </c>
      <c r="AJ23" s="312">
        <f t="shared" ca="1" si="61"/>
        <v>0</v>
      </c>
      <c r="AK23" s="312">
        <f t="shared" ca="1" si="61"/>
        <v>0</v>
      </c>
      <c r="AL23" s="312">
        <f t="shared" ca="1" si="61"/>
        <v>0</v>
      </c>
      <c r="AM23" s="312">
        <f t="shared" ca="1" si="61"/>
        <v>0</v>
      </c>
      <c r="AN23" s="312">
        <f t="shared" ca="1" si="61"/>
        <v>0</v>
      </c>
      <c r="AO23" s="312">
        <f t="shared" ca="1" si="61"/>
        <v>0</v>
      </c>
      <c r="AP23" s="312">
        <f t="shared" ca="1" si="61"/>
        <v>0</v>
      </c>
      <c r="AQ23" s="312">
        <f t="shared" ca="1" si="61"/>
        <v>0</v>
      </c>
      <c r="AR23" s="312">
        <f t="shared" ca="1" si="61"/>
        <v>0</v>
      </c>
      <c r="AS23" s="312">
        <f t="shared" ca="1" si="59"/>
        <v>0</v>
      </c>
      <c r="AT23" s="312">
        <f t="shared" ca="1" si="59"/>
        <v>0</v>
      </c>
      <c r="AU23" s="312">
        <f t="shared" ca="1" si="59"/>
        <v>0</v>
      </c>
      <c r="AV23" s="312">
        <f t="shared" ca="1" si="59"/>
        <v>0</v>
      </c>
      <c r="AW23" s="312">
        <f t="shared" ca="1" si="59"/>
        <v>0</v>
      </c>
      <c r="AX23" s="312">
        <f t="shared" ca="1" si="59"/>
        <v>0</v>
      </c>
      <c r="AY23" s="266">
        <f t="shared" ca="1" si="8"/>
        <v>0</v>
      </c>
      <c r="BA23" s="308">
        <f t="shared" ca="1" si="62"/>
        <v>0</v>
      </c>
      <c r="BB23" s="308">
        <f t="shared" ca="1" si="62"/>
        <v>0</v>
      </c>
      <c r="BC23" s="309">
        <f t="shared" ca="1" si="10"/>
        <v>0</v>
      </c>
      <c r="BE23" s="135">
        <f t="shared" ca="1" si="11"/>
        <v>3.5527136788005009E-15</v>
      </c>
      <c r="BF23" s="135"/>
      <c r="BG23" s="1428"/>
      <c r="BH23" s="541">
        <f t="shared" ca="1" si="63"/>
        <v>4.2194050290115657</v>
      </c>
      <c r="BI23" s="542">
        <f t="shared" ca="1" si="63"/>
        <v>5.253142603958272E-3</v>
      </c>
      <c r="BJ23" s="542">
        <f t="shared" ca="1" si="63"/>
        <v>7.5915742415235854E-2</v>
      </c>
      <c r="BK23" s="542">
        <f t="shared" ca="1" si="63"/>
        <v>0</v>
      </c>
      <c r="BL23" s="542">
        <f t="shared" ca="1" si="63"/>
        <v>0</v>
      </c>
      <c r="BM23" s="542">
        <f t="shared" ca="1" si="63"/>
        <v>0</v>
      </c>
      <c r="BN23" s="542">
        <f t="shared" ca="1" si="63"/>
        <v>0</v>
      </c>
      <c r="BO23" s="542">
        <f t="shared" ca="1" si="63"/>
        <v>0</v>
      </c>
      <c r="BP23" s="542">
        <f t="shared" ca="1" si="63"/>
        <v>0</v>
      </c>
      <c r="BQ23" s="542">
        <f t="shared" ca="1" si="63"/>
        <v>0</v>
      </c>
      <c r="BR23" s="542">
        <f t="shared" ca="1" si="64"/>
        <v>0</v>
      </c>
      <c r="BS23" s="542">
        <f t="shared" ca="1" si="64"/>
        <v>0</v>
      </c>
      <c r="BT23" s="542">
        <f t="shared" ca="1" si="64"/>
        <v>0</v>
      </c>
      <c r="BU23" s="542">
        <f t="shared" ca="1" si="64"/>
        <v>0</v>
      </c>
      <c r="BV23" s="542">
        <f t="shared" ca="1" si="64"/>
        <v>0</v>
      </c>
      <c r="BW23" s="542">
        <f t="shared" ca="1" si="64"/>
        <v>0</v>
      </c>
      <c r="BX23" s="542">
        <f t="shared" ca="1" si="64"/>
        <v>0</v>
      </c>
      <c r="BY23" s="542">
        <f t="shared" ca="1" si="64"/>
        <v>0</v>
      </c>
      <c r="BZ23" s="542">
        <f t="shared" ca="1" si="64"/>
        <v>0</v>
      </c>
      <c r="CA23" s="542">
        <f t="shared" ca="1" si="64"/>
        <v>0</v>
      </c>
      <c r="CB23" s="542">
        <f t="shared" ca="1" si="65"/>
        <v>0</v>
      </c>
      <c r="CC23" s="542">
        <f t="shared" ca="1" si="65"/>
        <v>0</v>
      </c>
      <c r="CD23" s="542">
        <f t="shared" ca="1" si="65"/>
        <v>0</v>
      </c>
      <c r="CE23" s="542">
        <f t="shared" ca="1" si="65"/>
        <v>0</v>
      </c>
      <c r="CF23" s="542">
        <f t="shared" ca="1" si="65"/>
        <v>0</v>
      </c>
      <c r="CG23" s="542">
        <f t="shared" ca="1" si="65"/>
        <v>0</v>
      </c>
      <c r="CH23" s="542">
        <f t="shared" ca="1" si="65"/>
        <v>0</v>
      </c>
      <c r="CI23" s="542">
        <f t="shared" ca="1" si="65"/>
        <v>0</v>
      </c>
      <c r="CJ23" s="542">
        <f t="shared" ca="1" si="65"/>
        <v>0</v>
      </c>
      <c r="CK23" s="542">
        <f t="shared" ca="1" si="65"/>
        <v>0</v>
      </c>
      <c r="CL23" s="542">
        <f t="shared" ca="1" si="66"/>
        <v>0</v>
      </c>
      <c r="CM23" s="542">
        <f t="shared" ca="1" si="66"/>
        <v>0</v>
      </c>
      <c r="CN23" s="542">
        <f t="shared" ca="1" si="66"/>
        <v>0</v>
      </c>
      <c r="CO23" s="542">
        <f t="shared" ca="1" si="66"/>
        <v>0</v>
      </c>
      <c r="CP23" s="542">
        <f t="shared" ca="1" si="66"/>
        <v>0</v>
      </c>
      <c r="CQ23" s="542">
        <f t="shared" ca="1" si="66"/>
        <v>0</v>
      </c>
      <c r="CR23" s="542">
        <f t="shared" ca="1" si="66"/>
        <v>0</v>
      </c>
      <c r="CS23" s="542">
        <f t="shared" ca="1" si="66"/>
        <v>0</v>
      </c>
      <c r="CT23" s="542">
        <f t="shared" ca="1" si="66"/>
        <v>0</v>
      </c>
      <c r="CU23" s="542">
        <f t="shared" ca="1" si="66"/>
        <v>0</v>
      </c>
      <c r="CW23" s="151">
        <f t="shared" ca="1" si="37"/>
        <v>4.3005739140307604</v>
      </c>
    </row>
    <row r="24" spans="1:101" s="84" customFormat="1" ht="15.75" x14ac:dyDescent="0.2">
      <c r="A24" s="18"/>
      <c r="B24" s="89"/>
      <c r="C24" s="85" t="s">
        <v>232</v>
      </c>
      <c r="D24" s="57" t="str">
        <f>INDEX(Workstreams[Workstream], MATCH($C24, Workstreams[Code], 0))</f>
        <v>Transport</v>
      </c>
      <c r="E24" s="53"/>
      <c r="G24" s="300">
        <f ca="1">G22+G23</f>
        <v>0</v>
      </c>
      <c r="H24" s="300">
        <f t="shared" ref="H24:AG24" ca="1" si="67">H22+H23</f>
        <v>0</v>
      </c>
      <c r="I24" s="300">
        <f t="shared" ca="1" si="67"/>
        <v>0</v>
      </c>
      <c r="J24" s="300">
        <f t="shared" ca="1" si="67"/>
        <v>0</v>
      </c>
      <c r="K24" s="300">
        <f t="shared" ca="1" si="67"/>
        <v>94.494594530868937</v>
      </c>
      <c r="L24" s="300">
        <f t="shared" ca="1" si="67"/>
        <v>62.417203676107818</v>
      </c>
      <c r="M24" s="300">
        <f t="shared" ca="1" si="67"/>
        <v>0</v>
      </c>
      <c r="N24" s="300">
        <f t="shared" ca="1" si="67"/>
        <v>6.0295724006390912E-13</v>
      </c>
      <c r="O24" s="300">
        <f t="shared" ca="1" si="67"/>
        <v>6.9226984229543893</v>
      </c>
      <c r="P24" s="300">
        <f t="shared" ca="1" si="67"/>
        <v>163.83449662993175</v>
      </c>
      <c r="Q24" s="300">
        <f t="shared" si="67"/>
        <v>0</v>
      </c>
      <c r="R24" s="300">
        <f t="shared" ca="1" si="67"/>
        <v>-26.351506252731951</v>
      </c>
      <c r="S24" s="300">
        <f t="shared" ca="1" si="67"/>
        <v>0</v>
      </c>
      <c r="T24" s="300">
        <f t="shared" ca="1" si="67"/>
        <v>0</v>
      </c>
      <c r="U24" s="300">
        <f t="shared" ca="1" si="67"/>
        <v>-126.3069407790226</v>
      </c>
      <c r="V24" s="300">
        <f t="shared" ca="1" si="67"/>
        <v>-11.176049598177185</v>
      </c>
      <c r="W24" s="300">
        <f t="shared" ca="1" si="67"/>
        <v>0</v>
      </c>
      <c r="X24" s="300">
        <f t="shared" ca="1" si="67"/>
        <v>0</v>
      </c>
      <c r="Y24" s="300">
        <f t="shared" ca="1" si="67"/>
        <v>0</v>
      </c>
      <c r="Z24" s="300">
        <f t="shared" ca="1" si="67"/>
        <v>0</v>
      </c>
      <c r="AA24" s="300">
        <f t="shared" ca="1" si="67"/>
        <v>0</v>
      </c>
      <c r="AB24" s="300">
        <f t="shared" ca="1" si="67"/>
        <v>0</v>
      </c>
      <c r="AC24" s="300">
        <f t="shared" ca="1" si="67"/>
        <v>0</v>
      </c>
      <c r="AD24" s="300">
        <f t="shared" ca="1" si="67"/>
        <v>0</v>
      </c>
      <c r="AE24" s="300">
        <f t="shared" ca="1" si="67"/>
        <v>0</v>
      </c>
      <c r="AF24" s="300">
        <f t="shared" ca="1" si="67"/>
        <v>0</v>
      </c>
      <c r="AG24" s="300">
        <f t="shared" ca="1" si="67"/>
        <v>0</v>
      </c>
      <c r="AH24" s="257">
        <f t="shared" ca="1" si="5"/>
        <v>-163.83449662993172</v>
      </c>
      <c r="AJ24" s="263">
        <f ca="1">AJ22+AJ23</f>
        <v>0</v>
      </c>
      <c r="AK24" s="263">
        <f t="shared" ref="AK24:BB24" ca="1" si="68">AK22+AK23</f>
        <v>0</v>
      </c>
      <c r="AL24" s="263">
        <f t="shared" ca="1" si="68"/>
        <v>0</v>
      </c>
      <c r="AM24" s="263">
        <f t="shared" ca="1" si="68"/>
        <v>0</v>
      </c>
      <c r="AN24" s="263">
        <f t="shared" ca="1" si="68"/>
        <v>0</v>
      </c>
      <c r="AO24" s="263">
        <f t="shared" ca="1" si="68"/>
        <v>0</v>
      </c>
      <c r="AP24" s="263">
        <f t="shared" ca="1" si="68"/>
        <v>0</v>
      </c>
      <c r="AQ24" s="263">
        <f t="shared" ca="1" si="68"/>
        <v>0</v>
      </c>
      <c r="AR24" s="263">
        <f t="shared" ca="1" si="68"/>
        <v>0</v>
      </c>
      <c r="AS24" s="263">
        <f t="shared" ca="1" si="68"/>
        <v>0</v>
      </c>
      <c r="AT24" s="263">
        <f t="shared" ca="1" si="68"/>
        <v>0</v>
      </c>
      <c r="AU24" s="263">
        <f t="shared" ca="1" si="68"/>
        <v>0</v>
      </c>
      <c r="AV24" s="263">
        <f t="shared" ca="1" si="68"/>
        <v>0</v>
      </c>
      <c r="AW24" s="263">
        <f t="shared" ca="1" si="68"/>
        <v>0</v>
      </c>
      <c r="AX24" s="263">
        <f t="shared" ca="1" si="68"/>
        <v>0</v>
      </c>
      <c r="AY24" s="263">
        <f t="shared" ca="1" si="68"/>
        <v>0</v>
      </c>
      <c r="AZ24" s="263">
        <f t="shared" si="68"/>
        <v>0</v>
      </c>
      <c r="BA24" s="263">
        <f t="shared" ca="1" si="68"/>
        <v>0</v>
      </c>
      <c r="BB24" s="263">
        <f t="shared" ca="1" si="68"/>
        <v>0</v>
      </c>
      <c r="BC24" s="277">
        <f t="shared" ca="1" si="10"/>
        <v>0</v>
      </c>
      <c r="BE24" s="55">
        <f t="shared" ca="1" si="11"/>
        <v>2.8421709430404007E-14</v>
      </c>
      <c r="BF24" s="55"/>
      <c r="BG24" s="1428"/>
      <c r="BH24" s="542">
        <f ca="1">BH22+BH23</f>
        <v>31.880046121976076</v>
      </c>
      <c r="BI24" s="542">
        <f t="shared" ref="BI24:CV24" ca="1" si="69">BI22+BI23</f>
        <v>3.9690531567370936E-2</v>
      </c>
      <c r="BJ24" s="542">
        <f t="shared" ca="1" si="69"/>
        <v>0.57358735483820766</v>
      </c>
      <c r="BK24" s="542">
        <f t="shared" ca="1" si="69"/>
        <v>0</v>
      </c>
      <c r="BL24" s="542">
        <f t="shared" ca="1" si="69"/>
        <v>0</v>
      </c>
      <c r="BM24" s="542">
        <f t="shared" ca="1" si="69"/>
        <v>0</v>
      </c>
      <c r="BN24" s="542">
        <f t="shared" ca="1" si="69"/>
        <v>0</v>
      </c>
      <c r="BO24" s="542">
        <f t="shared" ca="1" si="69"/>
        <v>0</v>
      </c>
      <c r="BP24" s="542">
        <f t="shared" ca="1" si="69"/>
        <v>0</v>
      </c>
      <c r="BQ24" s="542">
        <f t="shared" ca="1" si="69"/>
        <v>0</v>
      </c>
      <c r="BR24" s="542">
        <f t="shared" ca="1" si="69"/>
        <v>0</v>
      </c>
      <c r="BS24" s="542">
        <f t="shared" ca="1" si="69"/>
        <v>0</v>
      </c>
      <c r="BT24" s="542">
        <f t="shared" ca="1" si="69"/>
        <v>0</v>
      </c>
      <c r="BU24" s="542">
        <f t="shared" ca="1" si="69"/>
        <v>0</v>
      </c>
      <c r="BV24" s="542">
        <f t="shared" ca="1" si="69"/>
        <v>0</v>
      </c>
      <c r="BW24" s="542">
        <f t="shared" ca="1" si="69"/>
        <v>0</v>
      </c>
      <c r="BX24" s="542">
        <f t="shared" ca="1" si="69"/>
        <v>0</v>
      </c>
      <c r="BY24" s="542">
        <f t="shared" ca="1" si="69"/>
        <v>0</v>
      </c>
      <c r="BZ24" s="542">
        <f t="shared" ca="1" si="69"/>
        <v>0</v>
      </c>
      <c r="CA24" s="542">
        <f t="shared" ca="1" si="69"/>
        <v>0</v>
      </c>
      <c r="CB24" s="542">
        <f t="shared" ca="1" si="69"/>
        <v>0</v>
      </c>
      <c r="CC24" s="542">
        <f t="shared" ca="1" si="69"/>
        <v>0</v>
      </c>
      <c r="CD24" s="542">
        <f t="shared" ca="1" si="69"/>
        <v>0</v>
      </c>
      <c r="CE24" s="542">
        <f t="shared" ca="1" si="69"/>
        <v>0</v>
      </c>
      <c r="CF24" s="542">
        <f t="shared" ca="1" si="69"/>
        <v>0</v>
      </c>
      <c r="CG24" s="542">
        <f t="shared" ca="1" si="69"/>
        <v>0</v>
      </c>
      <c r="CH24" s="542">
        <f t="shared" ca="1" si="69"/>
        <v>0</v>
      </c>
      <c r="CI24" s="542">
        <f t="shared" ca="1" si="69"/>
        <v>0</v>
      </c>
      <c r="CJ24" s="542">
        <f t="shared" ca="1" si="69"/>
        <v>0</v>
      </c>
      <c r="CK24" s="542">
        <f t="shared" ca="1" si="69"/>
        <v>0</v>
      </c>
      <c r="CL24" s="542">
        <f t="shared" ca="1" si="69"/>
        <v>0</v>
      </c>
      <c r="CM24" s="542">
        <f t="shared" ca="1" si="69"/>
        <v>0</v>
      </c>
      <c r="CN24" s="542">
        <f t="shared" ca="1" si="69"/>
        <v>0</v>
      </c>
      <c r="CO24" s="542">
        <f t="shared" ca="1" si="69"/>
        <v>0</v>
      </c>
      <c r="CP24" s="542">
        <f t="shared" ca="1" si="69"/>
        <v>0</v>
      </c>
      <c r="CQ24" s="542">
        <f t="shared" ca="1" si="69"/>
        <v>0</v>
      </c>
      <c r="CR24" s="542">
        <f t="shared" ca="1" si="69"/>
        <v>0</v>
      </c>
      <c r="CS24" s="542">
        <f t="shared" ca="1" si="69"/>
        <v>0</v>
      </c>
      <c r="CT24" s="542">
        <f t="shared" ca="1" si="69"/>
        <v>0</v>
      </c>
      <c r="CU24" s="542">
        <f t="shared" ca="1" si="69"/>
        <v>0</v>
      </c>
      <c r="CV24" s="542">
        <f t="shared" si="69"/>
        <v>0</v>
      </c>
      <c r="CW24" s="151">
        <f t="shared" ca="1" si="37"/>
        <v>32.493324008381656</v>
      </c>
    </row>
    <row r="25" spans="1:101" s="84" customFormat="1" ht="12.75" customHeight="1" outlineLevel="1" x14ac:dyDescent="0.2">
      <c r="A25" s="18"/>
      <c r="B25" s="18"/>
      <c r="C25" s="87"/>
      <c r="D25" s="53"/>
      <c r="E25" s="53"/>
      <c r="G25" s="300"/>
      <c r="H25" s="300"/>
      <c r="I25" s="300"/>
      <c r="J25" s="300"/>
      <c r="K25" s="300"/>
      <c r="L25" s="300"/>
      <c r="M25" s="300"/>
      <c r="N25" s="300"/>
      <c r="O25" s="300"/>
      <c r="P25" s="300">
        <f t="shared" ref="P25:P56" si="70">SUM(G25:O25)</f>
        <v>0</v>
      </c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>
        <f t="shared" si="5"/>
        <v>0</v>
      </c>
      <c r="AJ25" s="263"/>
      <c r="AK25" s="263"/>
      <c r="AL25" s="263"/>
      <c r="AM25" s="263"/>
      <c r="AN25" s="263"/>
      <c r="AO25" s="263"/>
      <c r="AP25" s="263"/>
      <c r="AQ25" s="263"/>
      <c r="AR25" s="263"/>
      <c r="AS25" s="263"/>
      <c r="AT25" s="263"/>
      <c r="AU25" s="263"/>
      <c r="AV25" s="263"/>
      <c r="AW25" s="263"/>
      <c r="AX25" s="263"/>
      <c r="AY25" s="263">
        <f>SUM(AJ25:AX25)</f>
        <v>0</v>
      </c>
      <c r="BA25" s="277"/>
      <c r="BB25" s="277"/>
      <c r="BC25" s="277">
        <f t="shared" si="10"/>
        <v>0</v>
      </c>
      <c r="BE25" s="55">
        <f t="shared" si="11"/>
        <v>0</v>
      </c>
      <c r="BF25" s="55"/>
      <c r="BG25" s="18"/>
      <c r="BH25" s="542"/>
      <c r="BI25" s="542"/>
      <c r="BJ25" s="542"/>
      <c r="BK25" s="542"/>
      <c r="BL25" s="542"/>
      <c r="BM25" s="542"/>
      <c r="BN25" s="542"/>
      <c r="BO25" s="542"/>
      <c r="BP25" s="542"/>
      <c r="BQ25" s="542"/>
      <c r="BR25" s="542"/>
      <c r="BS25" s="542"/>
      <c r="BT25" s="542"/>
      <c r="BU25" s="542"/>
      <c r="BV25" s="542"/>
      <c r="BW25" s="542"/>
      <c r="BX25" s="542"/>
      <c r="BY25" s="542"/>
      <c r="BZ25" s="542"/>
      <c r="CA25" s="542"/>
      <c r="CB25" s="542"/>
      <c r="CC25" s="542"/>
      <c r="CD25" s="542"/>
      <c r="CE25" s="542"/>
      <c r="CF25" s="542"/>
      <c r="CG25" s="542"/>
      <c r="CH25" s="542"/>
      <c r="CI25" s="542"/>
      <c r="CJ25" s="542"/>
      <c r="CK25" s="542"/>
      <c r="CL25" s="542"/>
      <c r="CM25" s="542"/>
      <c r="CN25" s="542"/>
      <c r="CO25" s="542"/>
      <c r="CP25" s="542"/>
      <c r="CQ25" s="542"/>
      <c r="CR25" s="542"/>
      <c r="CS25" s="542"/>
      <c r="CT25" s="542"/>
      <c r="CU25" s="542"/>
      <c r="CW25" s="151">
        <f t="shared" si="37"/>
        <v>0</v>
      </c>
    </row>
    <row r="26" spans="1:101" s="84" customFormat="1" ht="12.75" customHeight="1" outlineLevel="1" x14ac:dyDescent="0.2">
      <c r="A26" s="18"/>
      <c r="B26" s="18"/>
      <c r="C26" s="87"/>
      <c r="D26" s="53"/>
      <c r="E26" s="53"/>
      <c r="G26" s="300"/>
      <c r="H26" s="300"/>
      <c r="I26" s="300"/>
      <c r="J26" s="300"/>
      <c r="K26" s="300"/>
      <c r="L26" s="300"/>
      <c r="M26" s="300"/>
      <c r="N26" s="300"/>
      <c r="O26" s="300"/>
      <c r="P26" s="300">
        <f t="shared" si="70"/>
        <v>0</v>
      </c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>
        <f t="shared" si="5"/>
        <v>0</v>
      </c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3"/>
      <c r="AY26" s="263">
        <f>SUM(AJ26:AX26)</f>
        <v>0</v>
      </c>
      <c r="BA26" s="277"/>
      <c r="BB26" s="277"/>
      <c r="BC26" s="277">
        <f t="shared" si="10"/>
        <v>0</v>
      </c>
      <c r="BE26" s="55">
        <f t="shared" si="11"/>
        <v>0</v>
      </c>
      <c r="BF26" s="55"/>
      <c r="BG26" s="18"/>
      <c r="BH26" s="541"/>
      <c r="BI26" s="542"/>
      <c r="BJ26" s="542"/>
      <c r="BK26" s="542"/>
      <c r="BL26" s="542"/>
      <c r="BM26" s="542"/>
      <c r="BN26" s="542"/>
      <c r="BO26" s="542"/>
      <c r="BP26" s="542"/>
      <c r="BQ26" s="542"/>
      <c r="BR26" s="542"/>
      <c r="BS26" s="542"/>
      <c r="BT26" s="542"/>
      <c r="BU26" s="542"/>
      <c r="BV26" s="542"/>
      <c r="BW26" s="542"/>
      <c r="BX26" s="542"/>
      <c r="BY26" s="542"/>
      <c r="BZ26" s="542"/>
      <c r="CA26" s="542"/>
      <c r="CB26" s="542"/>
      <c r="CC26" s="542"/>
      <c r="CD26" s="542"/>
      <c r="CE26" s="542"/>
      <c r="CF26" s="542"/>
      <c r="CG26" s="542"/>
      <c r="CH26" s="542"/>
      <c r="CI26" s="542"/>
      <c r="CJ26" s="542"/>
      <c r="CK26" s="542"/>
      <c r="CL26" s="542"/>
      <c r="CM26" s="542"/>
      <c r="CN26" s="542"/>
      <c r="CO26" s="542"/>
      <c r="CP26" s="542"/>
      <c r="CQ26" s="542"/>
      <c r="CR26" s="542"/>
      <c r="CS26" s="542"/>
      <c r="CT26" s="542"/>
      <c r="CU26" s="542"/>
      <c r="CW26" s="151">
        <f t="shared" si="37"/>
        <v>0</v>
      </c>
    </row>
    <row r="27" spans="1:101" s="84" customFormat="1" ht="7.5" customHeight="1" x14ac:dyDescent="0.2">
      <c r="C27" s="56"/>
      <c r="D27" s="57"/>
      <c r="E27" s="51"/>
      <c r="G27" s="300"/>
      <c r="H27" s="300"/>
      <c r="I27" s="300"/>
      <c r="J27" s="300"/>
      <c r="K27" s="300"/>
      <c r="L27" s="300"/>
      <c r="M27" s="300"/>
      <c r="N27" s="300"/>
      <c r="O27" s="300"/>
      <c r="P27" s="300">
        <f t="shared" si="70"/>
        <v>0</v>
      </c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>
        <f t="shared" si="5"/>
        <v>0</v>
      </c>
      <c r="AJ27" s="263"/>
      <c r="AK27" s="263"/>
      <c r="AL27" s="263"/>
      <c r="AM27" s="263"/>
      <c r="AN27" s="263"/>
      <c r="AO27" s="263"/>
      <c r="AP27" s="263"/>
      <c r="AQ27" s="263"/>
      <c r="AR27" s="263"/>
      <c r="AS27" s="263"/>
      <c r="AT27" s="263"/>
      <c r="AU27" s="263"/>
      <c r="AV27" s="263"/>
      <c r="AW27" s="263"/>
      <c r="AX27" s="263"/>
      <c r="AY27" s="263">
        <f>SUM(AJ27:AX27)</f>
        <v>0</v>
      </c>
      <c r="BA27" s="277"/>
      <c r="BB27" s="277"/>
      <c r="BC27" s="277">
        <f t="shared" si="10"/>
        <v>0</v>
      </c>
      <c r="BE27" s="55">
        <f t="shared" si="11"/>
        <v>0</v>
      </c>
      <c r="BF27" s="55"/>
      <c r="BH27" s="542"/>
      <c r="BI27" s="542"/>
      <c r="BJ27" s="542"/>
      <c r="BK27" s="542"/>
      <c r="BL27" s="542"/>
      <c r="BM27" s="542"/>
      <c r="BN27" s="542"/>
      <c r="BO27" s="542"/>
      <c r="BP27" s="542"/>
      <c r="BQ27" s="542"/>
      <c r="BR27" s="542"/>
      <c r="BS27" s="542"/>
      <c r="BT27" s="542"/>
      <c r="BU27" s="542"/>
      <c r="BV27" s="542"/>
      <c r="BW27" s="542"/>
      <c r="BX27" s="542"/>
      <c r="BY27" s="542"/>
      <c r="BZ27" s="542"/>
      <c r="CA27" s="542"/>
      <c r="CB27" s="542"/>
      <c r="CC27" s="542"/>
      <c r="CD27" s="542"/>
      <c r="CE27" s="542"/>
      <c r="CF27" s="542"/>
      <c r="CG27" s="542"/>
      <c r="CH27" s="542"/>
      <c r="CI27" s="542"/>
      <c r="CJ27" s="542"/>
      <c r="CK27" s="542"/>
      <c r="CL27" s="542"/>
      <c r="CM27" s="542"/>
      <c r="CN27" s="542"/>
      <c r="CO27" s="542"/>
      <c r="CP27" s="542"/>
      <c r="CQ27" s="542"/>
      <c r="CR27" s="542"/>
      <c r="CS27" s="542"/>
      <c r="CT27" s="542"/>
      <c r="CU27" s="542"/>
      <c r="CW27" s="151"/>
    </row>
    <row r="28" spans="1:101" s="84" customFormat="1" ht="15.75" x14ac:dyDescent="0.2">
      <c r="B28" s="89"/>
      <c r="C28" s="923" t="s">
        <v>883</v>
      </c>
      <c r="D28" s="69" t="s">
        <v>190</v>
      </c>
      <c r="E28" s="70"/>
      <c r="G28" s="302">
        <f ca="1">G$13+G$17+G$20+G$24</f>
        <v>104.15840897030208</v>
      </c>
      <c r="H28" s="302">
        <f t="shared" ref="H28:AG28" ca="1" si="71">H$13+H$17+H$20+H$24</f>
        <v>334.68229252873908</v>
      </c>
      <c r="I28" s="302">
        <f t="shared" ca="1" si="71"/>
        <v>253.51908831090404</v>
      </c>
      <c r="J28" s="302">
        <f t="shared" ca="1" si="71"/>
        <v>121.74076415005614</v>
      </c>
      <c r="K28" s="302">
        <f t="shared" ca="1" si="71"/>
        <v>94.494594530868937</v>
      </c>
      <c r="L28" s="302">
        <f t="shared" ca="1" si="71"/>
        <v>62.417203676107818</v>
      </c>
      <c r="M28" s="302">
        <f t="shared" ca="1" si="71"/>
        <v>0</v>
      </c>
      <c r="N28" s="302">
        <f t="shared" ca="1" si="71"/>
        <v>6.0295724006390912E-13</v>
      </c>
      <c r="O28" s="302">
        <f t="shared" ca="1" si="71"/>
        <v>6.9226984229543893</v>
      </c>
      <c r="P28" s="300">
        <f t="shared" ca="1" si="70"/>
        <v>977.9350505899331</v>
      </c>
      <c r="Q28" s="302">
        <f t="shared" si="71"/>
        <v>0</v>
      </c>
      <c r="R28" s="302">
        <f t="shared" ca="1" si="71"/>
        <v>-524.26494751037012</v>
      </c>
      <c r="S28" s="302">
        <f t="shared" ca="1" si="71"/>
        <v>0</v>
      </c>
      <c r="T28" s="302">
        <f t="shared" ca="1" si="71"/>
        <v>-3.4696117782766001</v>
      </c>
      <c r="U28" s="302">
        <f t="shared" ca="1" si="71"/>
        <v>-201.06524194286058</v>
      </c>
      <c r="V28" s="302">
        <f t="shared" ca="1" si="71"/>
        <v>-137.37964908130942</v>
      </c>
      <c r="W28" s="302">
        <f t="shared" ca="1" si="71"/>
        <v>-111.7556002771164</v>
      </c>
      <c r="X28" s="302">
        <f t="shared" ca="1" si="71"/>
        <v>0</v>
      </c>
      <c r="Y28" s="302">
        <f t="shared" ca="1" si="71"/>
        <v>0</v>
      </c>
      <c r="Z28" s="302">
        <f t="shared" ca="1" si="71"/>
        <v>0</v>
      </c>
      <c r="AA28" s="302">
        <f t="shared" ca="1" si="71"/>
        <v>0</v>
      </c>
      <c r="AB28" s="302">
        <f t="shared" ca="1" si="71"/>
        <v>0</v>
      </c>
      <c r="AC28" s="302">
        <f t="shared" ca="1" si="71"/>
        <v>0</v>
      </c>
      <c r="AD28" s="302">
        <f t="shared" ca="1" si="71"/>
        <v>0</v>
      </c>
      <c r="AE28" s="302">
        <f t="shared" ca="1" si="71"/>
        <v>0</v>
      </c>
      <c r="AF28" s="302">
        <f t="shared" ca="1" si="71"/>
        <v>0</v>
      </c>
      <c r="AG28" s="302">
        <f t="shared" ca="1" si="71"/>
        <v>0</v>
      </c>
      <c r="AH28" s="294">
        <f t="shared" ca="1" si="5"/>
        <v>-977.9350505899331</v>
      </c>
      <c r="AJ28" s="295">
        <f ca="1">AJ$13+AJ$17+AJ$20+AJ$24</f>
        <v>0</v>
      </c>
      <c r="AK28" s="295">
        <f t="shared" ref="AK28:BD28" ca="1" si="72">AK$13+AK$17+AK$20+AK$24</f>
        <v>0</v>
      </c>
      <c r="AL28" s="295">
        <f t="shared" ca="1" si="72"/>
        <v>0</v>
      </c>
      <c r="AM28" s="295">
        <f t="shared" ca="1" si="72"/>
        <v>0</v>
      </c>
      <c r="AN28" s="295">
        <f t="shared" ca="1" si="72"/>
        <v>0</v>
      </c>
      <c r="AO28" s="295">
        <f t="shared" ca="1" si="72"/>
        <v>0</v>
      </c>
      <c r="AP28" s="295">
        <f t="shared" ca="1" si="72"/>
        <v>0</v>
      </c>
      <c r="AQ28" s="295">
        <f t="shared" ca="1" si="72"/>
        <v>0</v>
      </c>
      <c r="AR28" s="295">
        <f t="shared" ca="1" si="72"/>
        <v>0</v>
      </c>
      <c r="AS28" s="295">
        <f t="shared" ca="1" si="72"/>
        <v>0</v>
      </c>
      <c r="AT28" s="295">
        <f t="shared" ca="1" si="72"/>
        <v>0</v>
      </c>
      <c r="AU28" s="295">
        <f t="shared" ca="1" si="72"/>
        <v>0</v>
      </c>
      <c r="AV28" s="295">
        <f t="shared" ca="1" si="72"/>
        <v>0</v>
      </c>
      <c r="AW28" s="295">
        <f t="shared" ca="1" si="72"/>
        <v>0</v>
      </c>
      <c r="AX28" s="295">
        <f t="shared" ca="1" si="72"/>
        <v>0</v>
      </c>
      <c r="AY28" s="295">
        <f t="shared" ca="1" si="72"/>
        <v>0</v>
      </c>
      <c r="AZ28" s="295">
        <f t="shared" si="72"/>
        <v>0</v>
      </c>
      <c r="BA28" s="295">
        <f t="shared" ca="1" si="72"/>
        <v>0</v>
      </c>
      <c r="BB28" s="295">
        <f t="shared" ca="1" si="72"/>
        <v>0</v>
      </c>
      <c r="BC28" s="277">
        <f t="shared" ca="1" si="10"/>
        <v>0</v>
      </c>
      <c r="BD28" s="295">
        <f t="shared" si="72"/>
        <v>0</v>
      </c>
      <c r="BE28" s="58">
        <f t="shared" ca="1" si="11"/>
        <v>0</v>
      </c>
      <c r="BF28" s="58"/>
      <c r="BH28" s="546">
        <f ca="1">BH$13+BH$17+BH$20+BH$24</f>
        <v>74.859724145541094</v>
      </c>
      <c r="BI28" s="546">
        <f t="shared" ref="BI28:CU28" ca="1" si="73">BI$13+BI$17+BI$20+BI$24</f>
        <v>22.501581156272692</v>
      </c>
      <c r="BJ28" s="546">
        <f t="shared" ca="1" si="73"/>
        <v>23.170165632240483</v>
      </c>
      <c r="BK28" s="546">
        <f t="shared" ca="1" si="73"/>
        <v>0</v>
      </c>
      <c r="BL28" s="546">
        <f t="shared" ca="1" si="73"/>
        <v>0</v>
      </c>
      <c r="BM28" s="546">
        <f t="shared" ca="1" si="73"/>
        <v>0</v>
      </c>
      <c r="BN28" s="546">
        <f t="shared" ca="1" si="73"/>
        <v>0</v>
      </c>
      <c r="BO28" s="546">
        <f t="shared" ca="1" si="73"/>
        <v>0</v>
      </c>
      <c r="BP28" s="546">
        <f t="shared" ca="1" si="73"/>
        <v>14.698135934862325</v>
      </c>
      <c r="BQ28" s="546">
        <f t="shared" ca="1" si="73"/>
        <v>0.13306254322391611</v>
      </c>
      <c r="BR28" s="546">
        <f t="shared" ca="1" si="73"/>
        <v>3.4902717676257011</v>
      </c>
      <c r="BS28" s="546">
        <f t="shared" ca="1" si="73"/>
        <v>8.8722415376226049</v>
      </c>
      <c r="BT28" s="546">
        <f t="shared" ca="1" si="73"/>
        <v>0</v>
      </c>
      <c r="BU28" s="546">
        <f t="shared" ca="1" si="73"/>
        <v>0</v>
      </c>
      <c r="BV28" s="546">
        <f t="shared" ca="1" si="73"/>
        <v>0</v>
      </c>
      <c r="BW28" s="546">
        <f t="shared" ca="1" si="73"/>
        <v>0</v>
      </c>
      <c r="BX28" s="546">
        <f t="shared" ca="1" si="73"/>
        <v>0</v>
      </c>
      <c r="BY28" s="546">
        <f t="shared" ca="1" si="73"/>
        <v>0</v>
      </c>
      <c r="BZ28" s="546">
        <f t="shared" ca="1" si="73"/>
        <v>0</v>
      </c>
      <c r="CA28" s="546">
        <f t="shared" ca="1" si="73"/>
        <v>0</v>
      </c>
      <c r="CB28" s="546">
        <f t="shared" ca="1" si="73"/>
        <v>0</v>
      </c>
      <c r="CC28" s="546">
        <f t="shared" ca="1" si="73"/>
        <v>0</v>
      </c>
      <c r="CD28" s="546">
        <f t="shared" ca="1" si="73"/>
        <v>0</v>
      </c>
      <c r="CE28" s="546">
        <f t="shared" ca="1" si="73"/>
        <v>0</v>
      </c>
      <c r="CF28" s="546">
        <f t="shared" ca="1" si="73"/>
        <v>0</v>
      </c>
      <c r="CG28" s="546">
        <f t="shared" ca="1" si="73"/>
        <v>0</v>
      </c>
      <c r="CH28" s="546">
        <f t="shared" ca="1" si="73"/>
        <v>0</v>
      </c>
      <c r="CI28" s="546">
        <f t="shared" ca="1" si="73"/>
        <v>0</v>
      </c>
      <c r="CJ28" s="546">
        <f t="shared" ca="1" si="73"/>
        <v>0</v>
      </c>
      <c r="CK28" s="546">
        <f t="shared" ca="1" si="73"/>
        <v>0</v>
      </c>
      <c r="CL28" s="546">
        <f t="shared" ca="1" si="73"/>
        <v>0</v>
      </c>
      <c r="CM28" s="546">
        <f t="shared" ca="1" si="73"/>
        <v>0</v>
      </c>
      <c r="CN28" s="546">
        <f t="shared" ca="1" si="73"/>
        <v>0</v>
      </c>
      <c r="CO28" s="546">
        <f t="shared" ca="1" si="73"/>
        <v>0</v>
      </c>
      <c r="CP28" s="546">
        <f t="shared" ca="1" si="73"/>
        <v>0</v>
      </c>
      <c r="CQ28" s="546">
        <f t="shared" ca="1" si="73"/>
        <v>0</v>
      </c>
      <c r="CR28" s="546">
        <f t="shared" ca="1" si="73"/>
        <v>0</v>
      </c>
      <c r="CS28" s="546">
        <f t="shared" ca="1" si="73"/>
        <v>0</v>
      </c>
      <c r="CT28" s="546">
        <f t="shared" ca="1" si="73"/>
        <v>0</v>
      </c>
      <c r="CU28" s="546">
        <f t="shared" ca="1" si="73"/>
        <v>0</v>
      </c>
      <c r="CW28" s="148">
        <f ca="1">SUM(BH28:CU28)</f>
        <v>147.72518271738883</v>
      </c>
    </row>
    <row r="29" spans="1:101" s="84" customFormat="1" ht="6" customHeight="1" x14ac:dyDescent="0.2">
      <c r="C29" s="51"/>
      <c r="D29" s="51"/>
      <c r="E29" s="51"/>
      <c r="G29" s="245"/>
      <c r="H29" s="245"/>
      <c r="I29" s="245"/>
      <c r="J29" s="245"/>
      <c r="K29" s="245"/>
      <c r="L29" s="247"/>
      <c r="M29" s="245"/>
      <c r="N29" s="245"/>
      <c r="O29" s="245"/>
      <c r="P29" s="245">
        <f t="shared" si="70"/>
        <v>0</v>
      </c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>
        <f t="shared" si="5"/>
        <v>0</v>
      </c>
      <c r="AJ29" s="263"/>
      <c r="AK29" s="263"/>
      <c r="AL29" s="263"/>
      <c r="AM29" s="263"/>
      <c r="AN29" s="263"/>
      <c r="AO29" s="263"/>
      <c r="AP29" s="263"/>
      <c r="AQ29" s="263"/>
      <c r="AR29" s="263"/>
      <c r="AS29" s="263"/>
      <c r="AT29" s="263"/>
      <c r="AU29" s="263"/>
      <c r="AV29" s="263"/>
      <c r="AW29" s="263"/>
      <c r="AX29" s="263"/>
      <c r="AY29" s="263">
        <f t="shared" ref="AY29:AY60" si="74">SUM(AJ29:AX29)</f>
        <v>0</v>
      </c>
      <c r="BA29" s="277"/>
      <c r="BB29" s="277"/>
      <c r="BC29" s="277">
        <f t="shared" si="10"/>
        <v>0</v>
      </c>
      <c r="BE29" s="55">
        <f t="shared" si="11"/>
        <v>0</v>
      </c>
      <c r="BF29" s="55"/>
      <c r="BH29" s="542"/>
      <c r="BI29" s="542"/>
      <c r="BJ29" s="542"/>
      <c r="BK29" s="542"/>
      <c r="BL29" s="542"/>
      <c r="BM29" s="542"/>
      <c r="BN29" s="542"/>
      <c r="BO29" s="542"/>
      <c r="BP29" s="542"/>
      <c r="BQ29" s="542"/>
      <c r="BR29" s="542"/>
      <c r="BS29" s="542"/>
      <c r="BT29" s="542"/>
      <c r="BU29" s="542"/>
      <c r="BV29" s="542"/>
      <c r="BW29" s="542"/>
      <c r="BX29" s="542"/>
      <c r="BY29" s="542"/>
      <c r="BZ29" s="542"/>
      <c r="CA29" s="542"/>
      <c r="CB29" s="542"/>
      <c r="CC29" s="542"/>
      <c r="CD29" s="542"/>
      <c r="CE29" s="542"/>
      <c r="CF29" s="542"/>
      <c r="CG29" s="542"/>
      <c r="CH29" s="542"/>
      <c r="CI29" s="542"/>
      <c r="CJ29" s="542"/>
      <c r="CK29" s="542"/>
      <c r="CL29" s="542"/>
      <c r="CM29" s="542"/>
      <c r="CN29" s="542"/>
      <c r="CO29" s="542"/>
      <c r="CP29" s="542"/>
      <c r="CQ29" s="542"/>
      <c r="CR29" s="542"/>
      <c r="CS29" s="542"/>
      <c r="CT29" s="542"/>
      <c r="CU29" s="542"/>
      <c r="CW29" s="151"/>
    </row>
    <row r="30" spans="1:101" s="84" customFormat="1" ht="24" customHeight="1" x14ac:dyDescent="0.2">
      <c r="C30" s="45" t="s">
        <v>58</v>
      </c>
      <c r="D30" s="45"/>
      <c r="E30" s="68"/>
      <c r="G30" s="244"/>
      <c r="H30" s="244"/>
      <c r="I30" s="244"/>
      <c r="J30" s="244"/>
      <c r="K30" s="244"/>
      <c r="L30" s="244"/>
      <c r="M30" s="244"/>
      <c r="N30" s="244"/>
      <c r="O30" s="244"/>
      <c r="P30" s="244">
        <f t="shared" si="70"/>
        <v>0</v>
      </c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>
        <f t="shared" si="5"/>
        <v>0</v>
      </c>
      <c r="AJ30" s="262"/>
      <c r="AK30" s="262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>
        <f t="shared" si="74"/>
        <v>0</v>
      </c>
      <c r="BA30" s="276"/>
      <c r="BB30" s="276"/>
      <c r="BC30" s="276">
        <f t="shared" si="10"/>
        <v>0</v>
      </c>
      <c r="BE30" s="54">
        <f t="shared" si="11"/>
        <v>0</v>
      </c>
      <c r="BF30" s="54"/>
      <c r="BH30" s="542"/>
      <c r="BI30" s="542"/>
      <c r="BJ30" s="542"/>
      <c r="BK30" s="542"/>
      <c r="BL30" s="542"/>
      <c r="BM30" s="542"/>
      <c r="BN30" s="542"/>
      <c r="BO30" s="542"/>
      <c r="BP30" s="542"/>
      <c r="BQ30" s="542"/>
      <c r="BR30" s="542"/>
      <c r="BS30" s="542"/>
      <c r="BT30" s="542"/>
      <c r="BU30" s="542"/>
      <c r="BV30" s="542"/>
      <c r="BW30" s="542"/>
      <c r="BX30" s="542"/>
      <c r="BY30" s="542"/>
      <c r="BZ30" s="542"/>
      <c r="CA30" s="542"/>
      <c r="CB30" s="542"/>
      <c r="CC30" s="542"/>
      <c r="CD30" s="542"/>
      <c r="CE30" s="542"/>
      <c r="CF30" s="542"/>
      <c r="CG30" s="542"/>
      <c r="CH30" s="542"/>
      <c r="CI30" s="542"/>
      <c r="CJ30" s="542"/>
      <c r="CK30" s="542"/>
      <c r="CL30" s="542"/>
      <c r="CM30" s="542"/>
      <c r="CN30" s="542"/>
      <c r="CO30" s="542"/>
      <c r="CP30" s="542"/>
      <c r="CQ30" s="542"/>
      <c r="CR30" s="542"/>
      <c r="CS30" s="542"/>
      <c r="CT30" s="542"/>
      <c r="CU30" s="542"/>
      <c r="CW30" s="151"/>
    </row>
    <row r="31" spans="1:101" s="84" customFormat="1" ht="12.75" customHeight="1" outlineLevel="1" x14ac:dyDescent="0.2">
      <c r="A31" s="18"/>
      <c r="B31" s="18"/>
      <c r="C31" s="87"/>
      <c r="D31" s="53"/>
      <c r="E31" s="53"/>
      <c r="G31" s="245"/>
      <c r="H31" s="245"/>
      <c r="I31" s="245"/>
      <c r="J31" s="245"/>
      <c r="K31" s="245"/>
      <c r="L31" s="247"/>
      <c r="M31" s="245"/>
      <c r="N31" s="245"/>
      <c r="O31" s="245"/>
      <c r="P31" s="245">
        <f t="shared" si="70"/>
        <v>0</v>
      </c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>
        <f t="shared" si="5"/>
        <v>0</v>
      </c>
      <c r="AJ31" s="263"/>
      <c r="AK31" s="263"/>
      <c r="AL31" s="263"/>
      <c r="AM31" s="263"/>
      <c r="AN31" s="263"/>
      <c r="AO31" s="263"/>
      <c r="AP31" s="263"/>
      <c r="AQ31" s="263"/>
      <c r="AR31" s="263"/>
      <c r="AS31" s="263"/>
      <c r="AT31" s="263"/>
      <c r="AU31" s="263"/>
      <c r="AV31" s="263"/>
      <c r="AW31" s="263"/>
      <c r="AX31" s="263"/>
      <c r="AY31" s="263">
        <f t="shared" si="74"/>
        <v>0</v>
      </c>
      <c r="BA31" s="277"/>
      <c r="BB31" s="277"/>
      <c r="BC31" s="277">
        <f t="shared" si="10"/>
        <v>0</v>
      </c>
      <c r="BE31" s="55">
        <f t="shared" si="11"/>
        <v>0</v>
      </c>
      <c r="BF31" s="55"/>
      <c r="BG31" s="18"/>
      <c r="BH31" s="542"/>
      <c r="BI31" s="542"/>
      <c r="BJ31" s="542"/>
      <c r="BK31" s="542"/>
      <c r="BL31" s="542"/>
      <c r="BM31" s="542"/>
      <c r="BN31" s="542"/>
      <c r="BO31" s="542"/>
      <c r="BP31" s="542"/>
      <c r="BQ31" s="542"/>
      <c r="BR31" s="542"/>
      <c r="BS31" s="542"/>
      <c r="BT31" s="542"/>
      <c r="BU31" s="542"/>
      <c r="BV31" s="542"/>
      <c r="BW31" s="542"/>
      <c r="BX31" s="542"/>
      <c r="BY31" s="542"/>
      <c r="BZ31" s="542"/>
      <c r="CA31" s="542"/>
      <c r="CB31" s="542"/>
      <c r="CC31" s="542"/>
      <c r="CD31" s="542"/>
      <c r="CE31" s="542"/>
      <c r="CF31" s="542"/>
      <c r="CG31" s="542"/>
      <c r="CH31" s="542"/>
      <c r="CI31" s="542"/>
      <c r="CJ31" s="542"/>
      <c r="CK31" s="542"/>
      <c r="CL31" s="542"/>
      <c r="CM31" s="542"/>
      <c r="CN31" s="542"/>
      <c r="CO31" s="542"/>
      <c r="CP31" s="542"/>
      <c r="CQ31" s="542"/>
      <c r="CR31" s="542"/>
      <c r="CS31" s="542"/>
      <c r="CT31" s="542"/>
      <c r="CU31" s="542"/>
      <c r="CW31" s="151"/>
    </row>
    <row r="32" spans="1:101" s="550" customFormat="1" ht="12.75" customHeight="1" outlineLevel="1" x14ac:dyDescent="0.2">
      <c r="C32" s="566" t="s">
        <v>945</v>
      </c>
      <c r="D32" s="567" t="s">
        <v>946</v>
      </c>
      <c r="E32" s="567"/>
      <c r="F32" s="882"/>
      <c r="G32" s="333"/>
      <c r="H32" s="333"/>
      <c r="I32" s="333"/>
      <c r="J32" s="333"/>
      <c r="K32" s="333"/>
      <c r="L32" s="334"/>
      <c r="M32" s="333"/>
      <c r="N32" s="333"/>
      <c r="O32" s="333"/>
      <c r="P32" s="333">
        <f t="shared" si="70"/>
        <v>0</v>
      </c>
      <c r="Q32" s="882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>
        <f t="shared" si="5"/>
        <v>0</v>
      </c>
      <c r="AI32" s="882"/>
      <c r="AJ32" s="336"/>
      <c r="AK32" s="336"/>
      <c r="AL32" s="336"/>
      <c r="AM32" s="336"/>
      <c r="AN32" s="336"/>
      <c r="AO32" s="336"/>
      <c r="AP32" s="336"/>
      <c r="AQ32" s="336"/>
      <c r="AR32" s="336"/>
      <c r="AS32" s="336"/>
      <c r="AT32" s="336"/>
      <c r="AU32" s="336"/>
      <c r="AV32" s="336"/>
      <c r="AW32" s="336"/>
      <c r="AX32" s="336"/>
      <c r="AY32" s="336">
        <f t="shared" si="74"/>
        <v>0</v>
      </c>
      <c r="AZ32" s="882"/>
      <c r="BA32" s="337"/>
      <c r="BB32" s="337"/>
      <c r="BC32" s="337">
        <f t="shared" si="10"/>
        <v>0</v>
      </c>
      <c r="BD32" s="882"/>
      <c r="BE32" s="568">
        <f t="shared" si="11"/>
        <v>0</v>
      </c>
      <c r="BF32" s="568"/>
      <c r="BH32" s="888"/>
      <c r="BI32" s="888"/>
      <c r="BJ32" s="888"/>
      <c r="BK32" s="888"/>
      <c r="BL32" s="888"/>
      <c r="BM32" s="888"/>
      <c r="BN32" s="888"/>
      <c r="BO32" s="888"/>
      <c r="BP32" s="888"/>
      <c r="BQ32" s="888"/>
      <c r="BR32" s="888"/>
      <c r="BS32" s="888"/>
      <c r="BT32" s="888"/>
      <c r="BU32" s="888"/>
      <c r="BV32" s="888"/>
      <c r="BW32" s="888"/>
      <c r="BX32" s="888"/>
      <c r="BY32" s="888"/>
      <c r="BZ32" s="888"/>
      <c r="CA32" s="888"/>
      <c r="CB32" s="888"/>
      <c r="CC32" s="888"/>
      <c r="CD32" s="888"/>
      <c r="CE32" s="888"/>
      <c r="CF32" s="888"/>
      <c r="CG32" s="888"/>
      <c r="CH32" s="888"/>
      <c r="CI32" s="888"/>
      <c r="CJ32" s="888"/>
      <c r="CK32" s="888"/>
      <c r="CL32" s="888"/>
      <c r="CM32" s="888"/>
      <c r="CN32" s="888"/>
      <c r="CO32" s="888"/>
      <c r="CP32" s="888"/>
      <c r="CQ32" s="888"/>
      <c r="CR32" s="888"/>
      <c r="CS32" s="888"/>
      <c r="CT32" s="888"/>
      <c r="CU32" s="888"/>
      <c r="CW32" s="887">
        <f t="shared" ref="CW32:CW43" si="75">SUM(BH32:CU32)</f>
        <v>0</v>
      </c>
    </row>
    <row r="33" spans="1:101" s="84" customFormat="1" outlineLevel="1" x14ac:dyDescent="0.2">
      <c r="C33" s="50"/>
      <c r="D33" s="51"/>
      <c r="E33" s="51"/>
      <c r="G33" s="245"/>
      <c r="H33" s="245"/>
      <c r="I33" s="245"/>
      <c r="J33" s="245"/>
      <c r="K33" s="245"/>
      <c r="L33" s="247"/>
      <c r="M33" s="245"/>
      <c r="N33" s="245"/>
      <c r="O33" s="245"/>
      <c r="P33" s="245">
        <f t="shared" si="70"/>
        <v>0</v>
      </c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>
        <f t="shared" si="5"/>
        <v>0</v>
      </c>
      <c r="AJ33" s="263"/>
      <c r="AK33" s="263"/>
      <c r="AL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  <c r="AW33" s="263"/>
      <c r="AX33" s="263"/>
      <c r="AY33" s="263">
        <f t="shared" si="74"/>
        <v>0</v>
      </c>
      <c r="BA33" s="277"/>
      <c r="BB33" s="277"/>
      <c r="BC33" s="277">
        <f t="shared" si="10"/>
        <v>0</v>
      </c>
      <c r="BE33" s="55">
        <f t="shared" si="11"/>
        <v>0</v>
      </c>
      <c r="BF33" s="55"/>
      <c r="BH33" s="542"/>
      <c r="BI33" s="542"/>
      <c r="BJ33" s="542"/>
      <c r="BK33" s="542"/>
      <c r="BL33" s="542"/>
      <c r="BM33" s="542"/>
      <c r="BN33" s="542"/>
      <c r="BO33" s="542"/>
      <c r="BP33" s="542"/>
      <c r="BQ33" s="542"/>
      <c r="BR33" s="542"/>
      <c r="BS33" s="542"/>
      <c r="BT33" s="542"/>
      <c r="BU33" s="542"/>
      <c r="BV33" s="542"/>
      <c r="BW33" s="542"/>
      <c r="BX33" s="542"/>
      <c r="BY33" s="542"/>
      <c r="BZ33" s="542"/>
      <c r="CA33" s="542"/>
      <c r="CB33" s="542"/>
      <c r="CC33" s="542"/>
      <c r="CD33" s="542"/>
      <c r="CE33" s="542"/>
      <c r="CF33" s="542"/>
      <c r="CG33" s="542"/>
      <c r="CH33" s="542"/>
      <c r="CI33" s="542"/>
      <c r="CJ33" s="542"/>
      <c r="CK33" s="542"/>
      <c r="CL33" s="542"/>
      <c r="CM33" s="542"/>
      <c r="CN33" s="542"/>
      <c r="CO33" s="542"/>
      <c r="CP33" s="542"/>
      <c r="CQ33" s="542"/>
      <c r="CR33" s="542"/>
      <c r="CS33" s="542"/>
      <c r="CT33" s="542"/>
      <c r="CU33" s="542"/>
      <c r="CW33" s="151">
        <f t="shared" si="75"/>
        <v>0</v>
      </c>
    </row>
    <row r="34" spans="1:101" s="84" customFormat="1" outlineLevel="1" x14ac:dyDescent="0.2">
      <c r="A34" s="543"/>
      <c r="B34" s="543"/>
      <c r="C34" s="86" t="s">
        <v>402</v>
      </c>
      <c r="D34" s="61" t="str">
        <f>INDEX(Modules[Module], MATCH($C34, Modules[Code], 0))</f>
        <v>Volume of Waste &amp; Recycling</v>
      </c>
      <c r="E34" s="61"/>
      <c r="G34" s="297">
        <f t="shared" ref="G34:O34" ca="1" si="76">IFERROR(INDEX(INDIRECT($C34&amp;".Outputs["&amp;this.Year&amp;"]"), MATCH(G$5, INDIRECT($C34&amp;".Outputs[Vector]"), 0)), 0)</f>
        <v>0</v>
      </c>
      <c r="H34" s="297">
        <f t="shared" ca="1" si="76"/>
        <v>0</v>
      </c>
      <c r="I34" s="297">
        <f t="shared" ca="1" si="76"/>
        <v>0</v>
      </c>
      <c r="J34" s="297">
        <f t="shared" ca="1" si="76"/>
        <v>0</v>
      </c>
      <c r="K34" s="297">
        <f t="shared" ca="1" si="76"/>
        <v>0</v>
      </c>
      <c r="L34" s="297">
        <f t="shared" ca="1" si="76"/>
        <v>0</v>
      </c>
      <c r="M34" s="297">
        <f t="shared" ca="1" si="76"/>
        <v>0</v>
      </c>
      <c r="N34" s="297">
        <f t="shared" ca="1" si="76"/>
        <v>0</v>
      </c>
      <c r="O34" s="297">
        <f t="shared" ca="1" si="76"/>
        <v>0</v>
      </c>
      <c r="P34" s="297">
        <f t="shared" ca="1" si="70"/>
        <v>0</v>
      </c>
      <c r="R34" s="304">
        <f t="shared" ref="R34:AX34" ca="1" si="77">IFERROR(INDEX(INDIRECT($C34&amp;".Outputs["&amp;this.Year&amp;"]"), MATCH(R$5, INDIRECT($C34&amp;".Outputs[Vector]"), 0)), 0)</f>
        <v>0</v>
      </c>
      <c r="S34" s="304">
        <f t="shared" ca="1" si="77"/>
        <v>0</v>
      </c>
      <c r="T34" s="304">
        <f t="shared" ca="1" si="77"/>
        <v>0</v>
      </c>
      <c r="U34" s="304">
        <f t="shared" ca="1" si="77"/>
        <v>0</v>
      </c>
      <c r="V34" s="304">
        <f t="shared" ca="1" si="77"/>
        <v>0</v>
      </c>
      <c r="W34" s="304">
        <f t="shared" ca="1" si="77"/>
        <v>0</v>
      </c>
      <c r="X34" s="304">
        <f t="shared" ref="X34:Z35" ca="1" si="78">IFERROR(INDEX(INDIRECT($C34&amp;".Outputs["&amp;this.Year&amp;"]"), MATCH(X$5, INDIRECT($C34&amp;".Outputs[Vector]"), 0)), 0)</f>
        <v>5.0467875208333339</v>
      </c>
      <c r="Y34" s="304">
        <f t="shared" ca="1" si="78"/>
        <v>0</v>
      </c>
      <c r="Z34" s="304">
        <f t="shared" ca="1" si="78"/>
        <v>0</v>
      </c>
      <c r="AA34" s="304">
        <f t="shared" ca="1" si="77"/>
        <v>0</v>
      </c>
      <c r="AB34" s="304">
        <f t="shared" ca="1" si="77"/>
        <v>0</v>
      </c>
      <c r="AC34" s="304">
        <f t="shared" ca="1" si="77"/>
        <v>0</v>
      </c>
      <c r="AD34" s="304">
        <f t="shared" ca="1" si="77"/>
        <v>0</v>
      </c>
      <c r="AE34" s="304">
        <f t="shared" ca="1" si="77"/>
        <v>8.5059410758333343</v>
      </c>
      <c r="AF34" s="304">
        <f t="shared" ca="1" si="77"/>
        <v>7.5243430051407643</v>
      </c>
      <c r="AG34" s="304">
        <f t="shared" ca="1" si="77"/>
        <v>6.7479704068045194</v>
      </c>
      <c r="AH34" s="305">
        <f t="shared" ca="1" si="5"/>
        <v>27.825042008611952</v>
      </c>
      <c r="AJ34" s="312">
        <f t="shared" ref="AJ34:AR35" ca="1" si="79">IFERROR(INDEX(INDIRECT($C34&amp;".Outputs["&amp;this.Year&amp;"]"), MATCH(AJ$5, INDIRECT($C34&amp;".Outputs[Vector]"), 0)), 0)</f>
        <v>0</v>
      </c>
      <c r="AK34" s="312">
        <f t="shared" ca="1" si="79"/>
        <v>0</v>
      </c>
      <c r="AL34" s="312">
        <f t="shared" ca="1" si="79"/>
        <v>0</v>
      </c>
      <c r="AM34" s="312">
        <f t="shared" ca="1" si="79"/>
        <v>0</v>
      </c>
      <c r="AN34" s="312">
        <f t="shared" ca="1" si="79"/>
        <v>0</v>
      </c>
      <c r="AO34" s="312">
        <f t="shared" ca="1" si="79"/>
        <v>0</v>
      </c>
      <c r="AP34" s="312">
        <f t="shared" ca="1" si="79"/>
        <v>0</v>
      </c>
      <c r="AQ34" s="312">
        <f t="shared" ca="1" si="79"/>
        <v>0</v>
      </c>
      <c r="AR34" s="312">
        <f t="shared" ca="1" si="79"/>
        <v>0</v>
      </c>
      <c r="AS34" s="312">
        <f t="shared" ca="1" si="77"/>
        <v>0</v>
      </c>
      <c r="AT34" s="312">
        <f t="shared" ca="1" si="77"/>
        <v>0</v>
      </c>
      <c r="AU34" s="312">
        <f t="shared" ca="1" si="77"/>
        <v>0</v>
      </c>
      <c r="AV34" s="312">
        <f t="shared" ca="1" si="77"/>
        <v>0</v>
      </c>
      <c r="AW34" s="312">
        <f t="shared" ca="1" si="77"/>
        <v>0</v>
      </c>
      <c r="AX34" s="312">
        <f t="shared" ca="1" si="77"/>
        <v>-27.825042008611952</v>
      </c>
      <c r="AY34" s="266">
        <f t="shared" ca="1" si="74"/>
        <v>-27.825042008611952</v>
      </c>
      <c r="BA34" s="308">
        <f t="shared" ref="BA34:BB35" ca="1" si="80">IFERROR(INDEX(INDIRECT($C34&amp;".Outputs["&amp;this.Year&amp;"]"), MATCH(BA$5, INDIRECT($C34&amp;".Outputs[Vector]"), 0)), 0)</f>
        <v>0</v>
      </c>
      <c r="BB34" s="308">
        <f t="shared" ca="1" si="80"/>
        <v>0</v>
      </c>
      <c r="BC34" s="309">
        <f t="shared" ca="1" si="10"/>
        <v>0</v>
      </c>
      <c r="BE34" s="135"/>
      <c r="BF34" s="135"/>
      <c r="BG34" s="1428"/>
      <c r="BH34" s="541">
        <f t="shared" ref="BH34:BQ35" ca="1" si="81">IFERROR(SUMIFS(INDIRECT($C34&amp;".Emissions["&amp;this.Year&amp;"]"), INDIRECT($C34&amp;".Emissions[GHG]"), BH$6, INDIRECT($C34&amp;".Emissions[IPCC Sector]"), BH$5),0)</f>
        <v>0</v>
      </c>
      <c r="BI34" s="542">
        <f t="shared" ca="1" si="81"/>
        <v>0</v>
      </c>
      <c r="BJ34" s="542">
        <f t="shared" ca="1" si="81"/>
        <v>0</v>
      </c>
      <c r="BK34" s="542">
        <f t="shared" ca="1" si="81"/>
        <v>0</v>
      </c>
      <c r="BL34" s="542">
        <f t="shared" ca="1" si="81"/>
        <v>0</v>
      </c>
      <c r="BM34" s="542">
        <f t="shared" ca="1" si="81"/>
        <v>0</v>
      </c>
      <c r="BN34" s="542">
        <f t="shared" ca="1" si="81"/>
        <v>0</v>
      </c>
      <c r="BO34" s="542">
        <f t="shared" ca="1" si="81"/>
        <v>0</v>
      </c>
      <c r="BP34" s="542">
        <f t="shared" ca="1" si="81"/>
        <v>0</v>
      </c>
      <c r="BQ34" s="542">
        <f t="shared" ca="1" si="81"/>
        <v>0</v>
      </c>
      <c r="BR34" s="542">
        <f t="shared" ref="BR34:CA35" ca="1" si="82">IFERROR(SUMIFS(INDIRECT($C34&amp;".Emissions["&amp;this.Year&amp;"]"), INDIRECT($C34&amp;".Emissions[GHG]"), BR$6, INDIRECT($C34&amp;".Emissions[IPCC Sector]"), BR$5),0)</f>
        <v>0</v>
      </c>
      <c r="BS34" s="542">
        <f t="shared" ca="1" si="82"/>
        <v>0</v>
      </c>
      <c r="BT34" s="542">
        <f t="shared" ca="1" si="82"/>
        <v>0</v>
      </c>
      <c r="BU34" s="542">
        <f t="shared" ca="1" si="82"/>
        <v>0</v>
      </c>
      <c r="BV34" s="542">
        <f t="shared" ca="1" si="82"/>
        <v>0</v>
      </c>
      <c r="BW34" s="542">
        <f t="shared" ca="1" si="82"/>
        <v>0</v>
      </c>
      <c r="BX34" s="542">
        <f t="shared" ca="1" si="82"/>
        <v>0</v>
      </c>
      <c r="BY34" s="542">
        <f t="shared" ca="1" si="82"/>
        <v>0</v>
      </c>
      <c r="BZ34" s="542">
        <f t="shared" ca="1" si="82"/>
        <v>0</v>
      </c>
      <c r="CA34" s="542">
        <f t="shared" ca="1" si="82"/>
        <v>0</v>
      </c>
      <c r="CB34" s="542">
        <f t="shared" ref="CB34:CK35" ca="1" si="83">IFERROR(SUMIFS(INDIRECT($C34&amp;".Emissions["&amp;this.Year&amp;"]"), INDIRECT($C34&amp;".Emissions[GHG]"), CB$6, INDIRECT($C34&amp;".Emissions[IPCC Sector]"), CB$5),0)</f>
        <v>0</v>
      </c>
      <c r="CC34" s="542">
        <f t="shared" ca="1" si="83"/>
        <v>0</v>
      </c>
      <c r="CD34" s="542">
        <f t="shared" ca="1" si="83"/>
        <v>0</v>
      </c>
      <c r="CE34" s="542">
        <f t="shared" ca="1" si="83"/>
        <v>0</v>
      </c>
      <c r="CF34" s="542">
        <f t="shared" ca="1" si="83"/>
        <v>0</v>
      </c>
      <c r="CG34" s="542">
        <f t="shared" ca="1" si="83"/>
        <v>3.4909205988141889</v>
      </c>
      <c r="CH34" s="542">
        <f t="shared" ca="1" si="83"/>
        <v>0</v>
      </c>
      <c r="CI34" s="542">
        <f t="shared" ca="1" si="83"/>
        <v>0</v>
      </c>
      <c r="CJ34" s="542">
        <f t="shared" ca="1" si="83"/>
        <v>0</v>
      </c>
      <c r="CK34" s="542">
        <f t="shared" ca="1" si="83"/>
        <v>0</v>
      </c>
      <c r="CL34" s="542">
        <f t="shared" ref="CL34:CU35" ca="1" si="84">IFERROR(SUMIFS(INDIRECT($C34&amp;".Emissions["&amp;this.Year&amp;"]"), INDIRECT($C34&amp;".Emissions[GHG]"), CL$6, INDIRECT($C34&amp;".Emissions[IPCC Sector]"), CL$5),0)</f>
        <v>0</v>
      </c>
      <c r="CM34" s="542">
        <f t="shared" ca="1" si="84"/>
        <v>0</v>
      </c>
      <c r="CN34" s="542">
        <f t="shared" ca="1" si="84"/>
        <v>0</v>
      </c>
      <c r="CO34" s="542">
        <f t="shared" ca="1" si="84"/>
        <v>0</v>
      </c>
      <c r="CP34" s="542">
        <f t="shared" ca="1" si="84"/>
        <v>0</v>
      </c>
      <c r="CQ34" s="542">
        <f t="shared" ca="1" si="84"/>
        <v>0</v>
      </c>
      <c r="CR34" s="542">
        <f t="shared" ca="1" si="84"/>
        <v>0</v>
      </c>
      <c r="CS34" s="542">
        <f t="shared" ca="1" si="84"/>
        <v>0</v>
      </c>
      <c r="CT34" s="542">
        <f t="shared" ca="1" si="84"/>
        <v>0</v>
      </c>
      <c r="CU34" s="542">
        <f t="shared" ca="1" si="84"/>
        <v>0</v>
      </c>
      <c r="CW34" s="151">
        <f t="shared" ca="1" si="75"/>
        <v>3.4909205988141889</v>
      </c>
    </row>
    <row r="35" spans="1:101" s="84" customFormat="1" ht="12.75" customHeight="1" outlineLevel="1" x14ac:dyDescent="0.2">
      <c r="A35" s="543"/>
      <c r="B35" s="543"/>
      <c r="C35" s="86" t="s">
        <v>380</v>
      </c>
      <c r="D35" s="292" t="str">
        <f>INDEX(Modules[Module], MATCH($C35, Modules[Code], 0))</f>
        <v>Agriculture and land use</v>
      </c>
      <c r="E35" s="292"/>
      <c r="G35" s="301">
        <f t="shared" ref="G35:O35" ca="1" si="85">IFERROR(INDEX(INDIRECT($C35&amp;".Outputs["&amp;this.Year&amp;"]"), MATCH(G$5, INDIRECT($C35&amp;".Outputs[Vector]"), 0)), 0)</f>
        <v>0</v>
      </c>
      <c r="H35" s="301">
        <f t="shared" ca="1" si="85"/>
        <v>0</v>
      </c>
      <c r="I35" s="301">
        <f t="shared" ca="1" si="85"/>
        <v>0</v>
      </c>
      <c r="J35" s="301">
        <f t="shared" ca="1" si="85"/>
        <v>13.550560137134806</v>
      </c>
      <c r="K35" s="301">
        <f t="shared" ca="1" si="85"/>
        <v>0</v>
      </c>
      <c r="L35" s="301">
        <f t="shared" ca="1" si="85"/>
        <v>0</v>
      </c>
      <c r="M35" s="301">
        <f t="shared" ca="1" si="85"/>
        <v>0</v>
      </c>
      <c r="N35" s="301">
        <f t="shared" ca="1" si="85"/>
        <v>0</v>
      </c>
      <c r="O35" s="301">
        <f t="shared" ca="1" si="85"/>
        <v>0</v>
      </c>
      <c r="P35" s="301">
        <f t="shared" ca="1" si="70"/>
        <v>13.550560137134806</v>
      </c>
      <c r="R35" s="307">
        <f t="shared" ref="R35:AG35" ca="1" si="86">IFERROR(INDEX(INDIRECT($C35&amp;".Outputs["&amp;this.Year&amp;"]"), MATCH(R$5, INDIRECT($C35&amp;".Outputs[Vector]"), 0)), 0)</f>
        <v>-1.6125166563190418</v>
      </c>
      <c r="S35" s="307">
        <f t="shared" ca="1" si="86"/>
        <v>0</v>
      </c>
      <c r="T35" s="307">
        <f t="shared" ca="1" si="86"/>
        <v>-1.3550560137134807E-2</v>
      </c>
      <c r="U35" s="307">
        <f t="shared" ca="1" si="86"/>
        <v>-2.5746064260556132</v>
      </c>
      <c r="V35" s="307">
        <f t="shared" ca="1" si="86"/>
        <v>-1.2195504123421326</v>
      </c>
      <c r="W35" s="307">
        <f t="shared" ca="1" si="86"/>
        <v>-8.1303360822808823</v>
      </c>
      <c r="X35" s="307">
        <f t="shared" ca="1" si="78"/>
        <v>0</v>
      </c>
      <c r="Y35" s="307">
        <f t="shared" ca="1" si="78"/>
        <v>0</v>
      </c>
      <c r="Z35" s="307">
        <f t="shared" ca="1" si="78"/>
        <v>0</v>
      </c>
      <c r="AA35" s="307">
        <f t="shared" ca="1" si="86"/>
        <v>0</v>
      </c>
      <c r="AB35" s="307">
        <f t="shared" ca="1" si="86"/>
        <v>0</v>
      </c>
      <c r="AC35" s="307">
        <f t="shared" ca="1" si="86"/>
        <v>2412.1223876296331</v>
      </c>
      <c r="AD35" s="307">
        <f t="shared" ca="1" si="86"/>
        <v>21.627866327074862</v>
      </c>
      <c r="AE35" s="307">
        <f t="shared" ca="1" si="86"/>
        <v>304.88524576708448</v>
      </c>
      <c r="AF35" s="307">
        <f t="shared" ca="1" si="86"/>
        <v>75.815925629616956</v>
      </c>
      <c r="AG35" s="307">
        <f t="shared" ca="1" si="86"/>
        <v>0</v>
      </c>
      <c r="AH35" s="306">
        <f t="shared" ca="1" si="5"/>
        <v>2800.9008652162752</v>
      </c>
      <c r="AJ35" s="315">
        <f t="shared" ca="1" si="79"/>
        <v>0</v>
      </c>
      <c r="AK35" s="315">
        <f t="shared" ca="1" si="79"/>
        <v>0</v>
      </c>
      <c r="AL35" s="315">
        <f t="shared" ca="1" si="79"/>
        <v>0</v>
      </c>
      <c r="AM35" s="315">
        <f t="shared" ca="1" si="79"/>
        <v>0</v>
      </c>
      <c r="AN35" s="315">
        <f t="shared" ca="1" si="79"/>
        <v>0</v>
      </c>
      <c r="AO35" s="315">
        <f t="shared" ca="1" si="79"/>
        <v>0</v>
      </c>
      <c r="AP35" s="315">
        <f t="shared" ca="1" si="79"/>
        <v>0</v>
      </c>
      <c r="AQ35" s="315">
        <f t="shared" ca="1" si="79"/>
        <v>0</v>
      </c>
      <c r="AR35" s="315">
        <f t="shared" ca="1" si="79"/>
        <v>0</v>
      </c>
      <c r="AS35" s="315">
        <f t="shared" ref="AS35:AX35" ca="1" si="87">IFERROR(INDEX(INDIRECT($C35&amp;".Outputs["&amp;this.Year&amp;"]"), MATCH(AS$5, INDIRECT($C35&amp;".Outputs[Vector]"), 0)), 0)</f>
        <v>0</v>
      </c>
      <c r="AT35" s="315">
        <f t="shared" ca="1" si="87"/>
        <v>0</v>
      </c>
      <c r="AU35" s="315">
        <f t="shared" ca="1" si="87"/>
        <v>0</v>
      </c>
      <c r="AV35" s="315">
        <f t="shared" ca="1" si="87"/>
        <v>0</v>
      </c>
      <c r="AW35" s="315">
        <f t="shared" ca="1" si="87"/>
        <v>-2433.7502539567081</v>
      </c>
      <c r="AX35" s="315">
        <f t="shared" ca="1" si="87"/>
        <v>-380.70117139670145</v>
      </c>
      <c r="AY35" s="293">
        <f t="shared" ca="1" si="74"/>
        <v>-2814.4514253534094</v>
      </c>
      <c r="BA35" s="311">
        <f t="shared" ca="1" si="80"/>
        <v>0</v>
      </c>
      <c r="BB35" s="311">
        <f t="shared" ca="1" si="80"/>
        <v>0</v>
      </c>
      <c r="BC35" s="310">
        <f t="shared" ca="1" si="10"/>
        <v>0</v>
      </c>
      <c r="BE35" s="135">
        <f ca="1">P35+AH35+AY35+BC35</f>
        <v>4.5474735088646412E-13</v>
      </c>
      <c r="BF35" s="135"/>
      <c r="BG35" s="1428"/>
      <c r="BH35" s="544">
        <f t="shared" ca="1" si="81"/>
        <v>0.87222245490709316</v>
      </c>
      <c r="BI35" s="545">
        <f t="shared" ca="1" si="81"/>
        <v>1.2634052894443736E-3</v>
      </c>
      <c r="BJ35" s="545">
        <f t="shared" ca="1" si="81"/>
        <v>1.2101365935673264E-2</v>
      </c>
      <c r="BK35" s="545">
        <f t="shared" ca="1" si="81"/>
        <v>0</v>
      </c>
      <c r="BL35" s="545">
        <f t="shared" ca="1" si="81"/>
        <v>0</v>
      </c>
      <c r="BM35" s="545">
        <f t="shared" ca="1" si="81"/>
        <v>0</v>
      </c>
      <c r="BN35" s="545">
        <f t="shared" ca="1" si="81"/>
        <v>0</v>
      </c>
      <c r="BO35" s="545">
        <f t="shared" ca="1" si="81"/>
        <v>0</v>
      </c>
      <c r="BP35" s="545">
        <f t="shared" ca="1" si="81"/>
        <v>0</v>
      </c>
      <c r="BQ35" s="545">
        <f t="shared" ca="1" si="81"/>
        <v>0</v>
      </c>
      <c r="BR35" s="545">
        <f t="shared" ca="1" si="82"/>
        <v>0</v>
      </c>
      <c r="BS35" s="545">
        <f t="shared" ca="1" si="82"/>
        <v>0</v>
      </c>
      <c r="BT35" s="545">
        <f t="shared" ca="1" si="82"/>
        <v>0</v>
      </c>
      <c r="BU35" s="545">
        <f t="shared" ca="1" si="82"/>
        <v>0</v>
      </c>
      <c r="BV35" s="545">
        <f t="shared" ca="1" si="82"/>
        <v>0</v>
      </c>
      <c r="BW35" s="545">
        <f t="shared" ca="1" si="82"/>
        <v>0</v>
      </c>
      <c r="BX35" s="545">
        <f t="shared" ca="1" si="82"/>
        <v>0</v>
      </c>
      <c r="BY35" s="545">
        <f t="shared" ca="1" si="82"/>
        <v>0</v>
      </c>
      <c r="BZ35" s="545">
        <f t="shared" ca="1" si="82"/>
        <v>21.61426622429525</v>
      </c>
      <c r="CA35" s="545">
        <f t="shared" ca="1" si="82"/>
        <v>0</v>
      </c>
      <c r="CB35" s="545">
        <f t="shared" ca="1" si="83"/>
        <v>6.4835049805000082</v>
      </c>
      <c r="CC35" s="545">
        <f t="shared" ca="1" si="83"/>
        <v>0</v>
      </c>
      <c r="CD35" s="545">
        <f t="shared" ca="1" si="83"/>
        <v>0</v>
      </c>
      <c r="CE35" s="545">
        <f t="shared" ca="1" si="83"/>
        <v>0</v>
      </c>
      <c r="CF35" s="545">
        <f t="shared" ca="1" si="83"/>
        <v>0</v>
      </c>
      <c r="CG35" s="545">
        <f t="shared" ca="1" si="83"/>
        <v>0</v>
      </c>
      <c r="CH35" s="545">
        <f t="shared" ca="1" si="83"/>
        <v>0</v>
      </c>
      <c r="CI35" s="545">
        <f t="shared" ca="1" si="83"/>
        <v>0</v>
      </c>
      <c r="CJ35" s="545">
        <f t="shared" ca="1" si="83"/>
        <v>0</v>
      </c>
      <c r="CK35" s="545">
        <f t="shared" ca="1" si="83"/>
        <v>0</v>
      </c>
      <c r="CL35" s="545">
        <f t="shared" ca="1" si="84"/>
        <v>0</v>
      </c>
      <c r="CM35" s="545">
        <f t="shared" ca="1" si="84"/>
        <v>0</v>
      </c>
      <c r="CN35" s="545">
        <f t="shared" ca="1" si="84"/>
        <v>0</v>
      </c>
      <c r="CO35" s="545">
        <f t="shared" ca="1" si="84"/>
        <v>0</v>
      </c>
      <c r="CP35" s="545">
        <f t="shared" ca="1" si="84"/>
        <v>0</v>
      </c>
      <c r="CQ35" s="545">
        <f t="shared" ca="1" si="84"/>
        <v>0</v>
      </c>
      <c r="CR35" s="545">
        <f t="shared" ca="1" si="84"/>
        <v>0</v>
      </c>
      <c r="CS35" s="545">
        <f t="shared" ca="1" si="84"/>
        <v>0</v>
      </c>
      <c r="CT35" s="545">
        <f t="shared" ca="1" si="84"/>
        <v>0</v>
      </c>
      <c r="CU35" s="545">
        <f t="shared" ca="1" si="84"/>
        <v>0</v>
      </c>
      <c r="CW35" s="151">
        <f t="shared" ca="1" si="75"/>
        <v>28.983358430927467</v>
      </c>
    </row>
    <row r="36" spans="1:101" s="84" customFormat="1" ht="15.75" x14ac:dyDescent="0.2">
      <c r="A36" s="18"/>
      <c r="B36" s="89"/>
      <c r="C36" s="85" t="s">
        <v>225</v>
      </c>
      <c r="D36" s="57" t="str">
        <f>INDEX(Workstreams[Workstream], MATCH($C36, Workstreams[Code], 0))</f>
        <v>Agriculture &amp; waste</v>
      </c>
      <c r="E36" s="53"/>
      <c r="G36" s="300">
        <f t="shared" ref="G36:O36" ca="1" si="88">SUM(G34:G35)</f>
        <v>0</v>
      </c>
      <c r="H36" s="300">
        <f t="shared" ca="1" si="88"/>
        <v>0</v>
      </c>
      <c r="I36" s="300">
        <f t="shared" ca="1" si="88"/>
        <v>0</v>
      </c>
      <c r="J36" s="300">
        <f t="shared" ca="1" si="88"/>
        <v>13.550560137134806</v>
      </c>
      <c r="K36" s="300">
        <f t="shared" ca="1" si="88"/>
        <v>0</v>
      </c>
      <c r="L36" s="300">
        <f t="shared" ca="1" si="88"/>
        <v>0</v>
      </c>
      <c r="M36" s="300">
        <f t="shared" ca="1" si="88"/>
        <v>0</v>
      </c>
      <c r="N36" s="300">
        <f t="shared" ca="1" si="88"/>
        <v>0</v>
      </c>
      <c r="O36" s="300">
        <f t="shared" ca="1" si="88"/>
        <v>0</v>
      </c>
      <c r="P36" s="300">
        <f t="shared" ca="1" si="70"/>
        <v>13.550560137134806</v>
      </c>
      <c r="R36" s="257">
        <f t="shared" ref="R36:AG36" ca="1" si="89">SUM(R34:R35)</f>
        <v>-1.6125166563190418</v>
      </c>
      <c r="S36" s="257">
        <f t="shared" ca="1" si="89"/>
        <v>0</v>
      </c>
      <c r="T36" s="257">
        <f t="shared" ca="1" si="89"/>
        <v>-1.3550560137134807E-2</v>
      </c>
      <c r="U36" s="257">
        <f t="shared" ca="1" si="89"/>
        <v>-2.5746064260556132</v>
      </c>
      <c r="V36" s="257">
        <f t="shared" ca="1" si="89"/>
        <v>-1.2195504123421326</v>
      </c>
      <c r="W36" s="257">
        <f t="shared" ca="1" si="89"/>
        <v>-8.1303360822808823</v>
      </c>
      <c r="X36" s="257">
        <f t="shared" ca="1" si="89"/>
        <v>5.0467875208333339</v>
      </c>
      <c r="Y36" s="257">
        <f t="shared" ca="1" si="89"/>
        <v>0</v>
      </c>
      <c r="Z36" s="257">
        <f t="shared" ca="1" si="89"/>
        <v>0</v>
      </c>
      <c r="AA36" s="257">
        <f t="shared" ca="1" si="89"/>
        <v>0</v>
      </c>
      <c r="AB36" s="257">
        <f t="shared" ca="1" si="89"/>
        <v>0</v>
      </c>
      <c r="AC36" s="257">
        <f t="shared" ca="1" si="89"/>
        <v>2412.1223876296331</v>
      </c>
      <c r="AD36" s="257">
        <f t="shared" ca="1" si="89"/>
        <v>21.627866327074862</v>
      </c>
      <c r="AE36" s="257">
        <f t="shared" ca="1" si="89"/>
        <v>313.39118684291782</v>
      </c>
      <c r="AF36" s="257">
        <f t="shared" ca="1" si="89"/>
        <v>83.34026863475772</v>
      </c>
      <c r="AG36" s="257">
        <f t="shared" ca="1" si="89"/>
        <v>6.7479704068045194</v>
      </c>
      <c r="AH36" s="257">
        <f t="shared" ca="1" si="5"/>
        <v>2828.7259072248867</v>
      </c>
      <c r="AJ36" s="263">
        <f t="shared" ref="AJ36:AX36" ca="1" si="90">SUM(AJ34:AJ35)</f>
        <v>0</v>
      </c>
      <c r="AK36" s="263">
        <f t="shared" ca="1" si="90"/>
        <v>0</v>
      </c>
      <c r="AL36" s="263">
        <f t="shared" ca="1" si="90"/>
        <v>0</v>
      </c>
      <c r="AM36" s="263">
        <f t="shared" ca="1" si="90"/>
        <v>0</v>
      </c>
      <c r="AN36" s="263">
        <f t="shared" ca="1" si="90"/>
        <v>0</v>
      </c>
      <c r="AO36" s="263">
        <f t="shared" ca="1" si="90"/>
        <v>0</v>
      </c>
      <c r="AP36" s="263">
        <f t="shared" ca="1" si="90"/>
        <v>0</v>
      </c>
      <c r="AQ36" s="263">
        <f t="shared" ca="1" si="90"/>
        <v>0</v>
      </c>
      <c r="AR36" s="263">
        <f t="shared" ca="1" si="90"/>
        <v>0</v>
      </c>
      <c r="AS36" s="263">
        <f t="shared" ca="1" si="90"/>
        <v>0</v>
      </c>
      <c r="AT36" s="263">
        <f t="shared" ca="1" si="90"/>
        <v>0</v>
      </c>
      <c r="AU36" s="263">
        <f t="shared" ca="1" si="90"/>
        <v>0</v>
      </c>
      <c r="AV36" s="263">
        <f t="shared" ca="1" si="90"/>
        <v>0</v>
      </c>
      <c r="AW36" s="263">
        <f t="shared" ca="1" si="90"/>
        <v>-2433.7502539567081</v>
      </c>
      <c r="AX36" s="263">
        <f t="shared" ca="1" si="90"/>
        <v>-408.5262134053134</v>
      </c>
      <c r="AY36" s="263">
        <f t="shared" ca="1" si="74"/>
        <v>-2842.2764673620213</v>
      </c>
      <c r="BA36" s="277">
        <f ca="1">SUM(BA34:BA35)</f>
        <v>0</v>
      </c>
      <c r="BB36" s="277">
        <f ca="1">SUM(BB34:BB35)</f>
        <v>0</v>
      </c>
      <c r="BC36" s="277">
        <f t="shared" ca="1" si="10"/>
        <v>0</v>
      </c>
      <c r="BE36" s="55">
        <f ca="1">P36+AH36+AY36+BC36</f>
        <v>0</v>
      </c>
      <c r="BF36" s="55"/>
      <c r="BG36" s="1428"/>
      <c r="BH36" s="542">
        <f t="shared" ref="BH36:CU36" ca="1" si="91">SUM(BH34:BH35)</f>
        <v>0.87222245490709316</v>
      </c>
      <c r="BI36" s="542">
        <f t="shared" ca="1" si="91"/>
        <v>1.2634052894443736E-3</v>
      </c>
      <c r="BJ36" s="542">
        <f t="shared" ca="1" si="91"/>
        <v>1.2101365935673264E-2</v>
      </c>
      <c r="BK36" s="542">
        <f t="shared" ca="1" si="91"/>
        <v>0</v>
      </c>
      <c r="BL36" s="542">
        <f t="shared" ca="1" si="91"/>
        <v>0</v>
      </c>
      <c r="BM36" s="542">
        <f t="shared" ca="1" si="91"/>
        <v>0</v>
      </c>
      <c r="BN36" s="542">
        <f t="shared" ca="1" si="91"/>
        <v>0</v>
      </c>
      <c r="BO36" s="542">
        <f t="shared" ca="1" si="91"/>
        <v>0</v>
      </c>
      <c r="BP36" s="542">
        <f t="shared" ca="1" si="91"/>
        <v>0</v>
      </c>
      <c r="BQ36" s="542">
        <f t="shared" ca="1" si="91"/>
        <v>0</v>
      </c>
      <c r="BR36" s="542">
        <f t="shared" ca="1" si="91"/>
        <v>0</v>
      </c>
      <c r="BS36" s="542">
        <f t="shared" ca="1" si="91"/>
        <v>0</v>
      </c>
      <c r="BT36" s="542">
        <f t="shared" ca="1" si="91"/>
        <v>0</v>
      </c>
      <c r="BU36" s="542">
        <f t="shared" ca="1" si="91"/>
        <v>0</v>
      </c>
      <c r="BV36" s="542">
        <f t="shared" ca="1" si="91"/>
        <v>0</v>
      </c>
      <c r="BW36" s="542">
        <f t="shared" ca="1" si="91"/>
        <v>0</v>
      </c>
      <c r="BX36" s="542">
        <f t="shared" ca="1" si="91"/>
        <v>0</v>
      </c>
      <c r="BY36" s="542">
        <f t="shared" ca="1" si="91"/>
        <v>0</v>
      </c>
      <c r="BZ36" s="542">
        <f t="shared" ca="1" si="91"/>
        <v>21.61426622429525</v>
      </c>
      <c r="CA36" s="542">
        <f t="shared" ca="1" si="91"/>
        <v>0</v>
      </c>
      <c r="CB36" s="542">
        <f t="shared" ca="1" si="91"/>
        <v>6.4835049805000082</v>
      </c>
      <c r="CC36" s="542">
        <f t="shared" ca="1" si="91"/>
        <v>0</v>
      </c>
      <c r="CD36" s="542">
        <f t="shared" ca="1" si="91"/>
        <v>0</v>
      </c>
      <c r="CE36" s="542">
        <f t="shared" ca="1" si="91"/>
        <v>0</v>
      </c>
      <c r="CF36" s="542">
        <f t="shared" ca="1" si="91"/>
        <v>0</v>
      </c>
      <c r="CG36" s="542">
        <f t="shared" ca="1" si="91"/>
        <v>3.4909205988141889</v>
      </c>
      <c r="CH36" s="542">
        <f t="shared" ca="1" si="91"/>
        <v>0</v>
      </c>
      <c r="CI36" s="542">
        <f t="shared" ca="1" si="91"/>
        <v>0</v>
      </c>
      <c r="CJ36" s="542">
        <f t="shared" ca="1" si="91"/>
        <v>0</v>
      </c>
      <c r="CK36" s="542">
        <f t="shared" ca="1" si="91"/>
        <v>0</v>
      </c>
      <c r="CL36" s="542">
        <f t="shared" ca="1" si="91"/>
        <v>0</v>
      </c>
      <c r="CM36" s="542">
        <f t="shared" ca="1" si="91"/>
        <v>0</v>
      </c>
      <c r="CN36" s="542">
        <f t="shared" ca="1" si="91"/>
        <v>0</v>
      </c>
      <c r="CO36" s="542">
        <f t="shared" ca="1" si="91"/>
        <v>0</v>
      </c>
      <c r="CP36" s="542">
        <f t="shared" ca="1" si="91"/>
        <v>0</v>
      </c>
      <c r="CQ36" s="542">
        <f t="shared" ca="1" si="91"/>
        <v>0</v>
      </c>
      <c r="CR36" s="542">
        <f t="shared" ca="1" si="91"/>
        <v>0</v>
      </c>
      <c r="CS36" s="542">
        <f t="shared" ca="1" si="91"/>
        <v>0</v>
      </c>
      <c r="CT36" s="542">
        <f t="shared" ca="1" si="91"/>
        <v>0</v>
      </c>
      <c r="CU36" s="542">
        <f t="shared" ca="1" si="91"/>
        <v>0</v>
      </c>
      <c r="CW36" s="151">
        <f t="shared" ca="1" si="75"/>
        <v>32.474279029741659</v>
      </c>
    </row>
    <row r="37" spans="1:101" s="84" customFormat="1" ht="12.75" customHeight="1" outlineLevel="1" x14ac:dyDescent="0.2">
      <c r="A37" s="18"/>
      <c r="B37" s="18"/>
      <c r="C37" s="87"/>
      <c r="D37" s="53"/>
      <c r="E37" s="53"/>
      <c r="G37" s="245"/>
      <c r="H37" s="245"/>
      <c r="I37" s="245"/>
      <c r="J37" s="245"/>
      <c r="K37" s="245"/>
      <c r="L37" s="247"/>
      <c r="M37" s="245"/>
      <c r="N37" s="245"/>
      <c r="O37" s="245"/>
      <c r="P37" s="245">
        <f t="shared" si="70"/>
        <v>0</v>
      </c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>
        <f t="shared" si="5"/>
        <v>0</v>
      </c>
      <c r="AJ37" s="263"/>
      <c r="AK37" s="263"/>
      <c r="AL37" s="263"/>
      <c r="AM37" s="263"/>
      <c r="AN37" s="263"/>
      <c r="AO37" s="263"/>
      <c r="AP37" s="263"/>
      <c r="AQ37" s="263"/>
      <c r="AR37" s="263"/>
      <c r="AS37" s="263"/>
      <c r="AT37" s="263"/>
      <c r="AU37" s="263"/>
      <c r="AV37" s="263"/>
      <c r="AW37" s="263"/>
      <c r="AX37" s="263"/>
      <c r="AY37" s="263">
        <f t="shared" si="74"/>
        <v>0</v>
      </c>
      <c r="BA37" s="277"/>
      <c r="BB37" s="277"/>
      <c r="BC37" s="277">
        <f t="shared" si="10"/>
        <v>0</v>
      </c>
      <c r="BE37" s="55">
        <f>P37+AH37+AY37+BC37</f>
        <v>0</v>
      </c>
      <c r="BF37" s="55"/>
      <c r="BG37" s="18"/>
      <c r="BH37" s="542"/>
      <c r="BI37" s="542"/>
      <c r="BJ37" s="542"/>
      <c r="BK37" s="542"/>
      <c r="BL37" s="542"/>
      <c r="BM37" s="542"/>
      <c r="BN37" s="542"/>
      <c r="BO37" s="542"/>
      <c r="BP37" s="542"/>
      <c r="BQ37" s="542"/>
      <c r="BR37" s="542"/>
      <c r="BS37" s="542"/>
      <c r="BT37" s="542"/>
      <c r="BU37" s="542"/>
      <c r="BV37" s="542"/>
      <c r="BW37" s="542"/>
      <c r="BX37" s="542"/>
      <c r="BY37" s="542"/>
      <c r="BZ37" s="542"/>
      <c r="CA37" s="542"/>
      <c r="CB37" s="542"/>
      <c r="CC37" s="542"/>
      <c r="CD37" s="542"/>
      <c r="CE37" s="542"/>
      <c r="CF37" s="542"/>
      <c r="CG37" s="542"/>
      <c r="CH37" s="542"/>
      <c r="CI37" s="542"/>
      <c r="CJ37" s="542"/>
      <c r="CK37" s="542"/>
      <c r="CL37" s="542"/>
      <c r="CM37" s="542"/>
      <c r="CN37" s="542"/>
      <c r="CO37" s="542"/>
      <c r="CP37" s="542"/>
      <c r="CQ37" s="542"/>
      <c r="CR37" s="542"/>
      <c r="CS37" s="542"/>
      <c r="CT37" s="542"/>
      <c r="CU37" s="542"/>
      <c r="CW37" s="151">
        <f t="shared" si="75"/>
        <v>0</v>
      </c>
    </row>
    <row r="38" spans="1:101" s="84" customFormat="1" outlineLevel="1" x14ac:dyDescent="0.2">
      <c r="A38" s="543"/>
      <c r="B38" s="543"/>
      <c r="C38" s="62" t="s">
        <v>405</v>
      </c>
      <c r="D38" s="61" t="str">
        <f>INDEX(Modules[Module], MATCH($C38, Modules[Code], 0))</f>
        <v>Petroleum refineries</v>
      </c>
      <c r="E38" s="61"/>
      <c r="G38" s="297">
        <f t="shared" ref="G38:O39" ca="1" si="92">IFERROR(INDEX(INDIRECT($C38&amp;".Outputs["&amp;this.Year&amp;"]"), MATCH(G$5, INDIRECT($C38&amp;".Outputs[Vector]"), 0)), 0)</f>
        <v>0</v>
      </c>
      <c r="H38" s="297">
        <f t="shared" ca="1" si="92"/>
        <v>0</v>
      </c>
      <c r="I38" s="297">
        <f t="shared" ca="1" si="92"/>
        <v>0</v>
      </c>
      <c r="J38" s="297">
        <f t="shared" ca="1" si="92"/>
        <v>0</v>
      </c>
      <c r="K38" s="297">
        <f t="shared" ca="1" si="92"/>
        <v>0</v>
      </c>
      <c r="L38" s="297">
        <f t="shared" ca="1" si="92"/>
        <v>0</v>
      </c>
      <c r="M38" s="297">
        <f t="shared" ca="1" si="92"/>
        <v>0</v>
      </c>
      <c r="N38" s="297">
        <f t="shared" ca="1" si="92"/>
        <v>0</v>
      </c>
      <c r="O38" s="297">
        <f t="shared" ca="1" si="92"/>
        <v>0</v>
      </c>
      <c r="P38" s="297">
        <f t="shared" ca="1" si="70"/>
        <v>0</v>
      </c>
      <c r="R38" s="304">
        <f t="shared" ref="R38:AX39" ca="1" si="93">IFERROR(INDEX(INDIRECT($C38&amp;".Outputs["&amp;this.Year&amp;"]"), MATCH(R$5, INDIRECT($C38&amp;".Outputs[Vector]"), 0)), 0)</f>
        <v>-3.0540966574687904</v>
      </c>
      <c r="S38" s="304">
        <f t="shared" ca="1" si="93"/>
        <v>0</v>
      </c>
      <c r="T38" s="304">
        <f t="shared" ca="1" si="93"/>
        <v>0</v>
      </c>
      <c r="U38" s="304">
        <f t="shared" ca="1" si="93"/>
        <v>-0.13885171631456306</v>
      </c>
      <c r="V38" s="304">
        <f t="shared" ca="1" si="93"/>
        <v>-0.28272112330826493</v>
      </c>
      <c r="W38" s="304">
        <f t="shared" ca="1" si="93"/>
        <v>0</v>
      </c>
      <c r="X38" s="304">
        <f t="shared" ref="X38:Z39" ca="1" si="94">IFERROR(INDEX(INDIRECT($C38&amp;".Outputs["&amp;this.Year&amp;"]"), MATCH(X$5, INDIRECT($C38&amp;".Outputs[Vector]"), 0)), 0)</f>
        <v>0</v>
      </c>
      <c r="Y38" s="304">
        <f t="shared" ca="1" si="94"/>
        <v>0</v>
      </c>
      <c r="Z38" s="304">
        <f t="shared" ca="1" si="94"/>
        <v>0</v>
      </c>
      <c r="AA38" s="304">
        <f t="shared" ca="1" si="93"/>
        <v>0</v>
      </c>
      <c r="AB38" s="304">
        <f t="shared" ca="1" si="93"/>
        <v>0</v>
      </c>
      <c r="AC38" s="304">
        <f t="shared" ca="1" si="93"/>
        <v>0</v>
      </c>
      <c r="AD38" s="304">
        <f t="shared" ca="1" si="93"/>
        <v>0</v>
      </c>
      <c r="AE38" s="304">
        <f t="shared" ca="1" si="93"/>
        <v>0</v>
      </c>
      <c r="AF38" s="304">
        <f t="shared" ca="1" si="93"/>
        <v>0</v>
      </c>
      <c r="AG38" s="304">
        <f t="shared" ca="1" si="93"/>
        <v>0</v>
      </c>
      <c r="AH38" s="305">
        <f t="shared" ca="1" si="5"/>
        <v>-3.4756694970916184</v>
      </c>
      <c r="AJ38" s="312">
        <f t="shared" ref="AJ38:AR39" ca="1" si="95">IFERROR(INDEX(INDIRECT($C38&amp;".Outputs["&amp;this.Year&amp;"]"), MATCH(AJ$5, INDIRECT($C38&amp;".Outputs[Vector]"), 0)), 0)</f>
        <v>0</v>
      </c>
      <c r="AK38" s="312">
        <f t="shared" ca="1" si="95"/>
        <v>0</v>
      </c>
      <c r="AL38" s="312">
        <f t="shared" ca="1" si="95"/>
        <v>0</v>
      </c>
      <c r="AM38" s="312">
        <f t="shared" ca="1" si="95"/>
        <v>0</v>
      </c>
      <c r="AN38" s="312">
        <f t="shared" ca="1" si="95"/>
        <v>0</v>
      </c>
      <c r="AO38" s="312">
        <f t="shared" ca="1" si="95"/>
        <v>0</v>
      </c>
      <c r="AP38" s="312">
        <f t="shared" ca="1" si="95"/>
        <v>0</v>
      </c>
      <c r="AQ38" s="312">
        <f t="shared" ca="1" si="95"/>
        <v>0</v>
      </c>
      <c r="AR38" s="312">
        <f t="shared" ca="1" si="95"/>
        <v>0</v>
      </c>
      <c r="AS38" s="312">
        <f t="shared" ca="1" si="93"/>
        <v>0</v>
      </c>
      <c r="AT38" s="312">
        <f t="shared" ca="1" si="93"/>
        <v>0</v>
      </c>
      <c r="AU38" s="312">
        <f t="shared" ca="1" si="93"/>
        <v>0</v>
      </c>
      <c r="AV38" s="312">
        <f t="shared" ca="1" si="93"/>
        <v>0</v>
      </c>
      <c r="AW38" s="312">
        <f t="shared" ca="1" si="93"/>
        <v>0</v>
      </c>
      <c r="AX38" s="312">
        <f t="shared" ca="1" si="93"/>
        <v>0</v>
      </c>
      <c r="AY38" s="266">
        <f t="shared" ca="1" si="74"/>
        <v>0</v>
      </c>
      <c r="BA38" s="308">
        <f ca="1">IFERROR(INDEX(INDIRECT($C38&amp;".Outputs["&amp;this.Year&amp;"]"), MATCH(BA$5, INDIRECT($C38&amp;".Outputs[Vector]"), 0)), 0)</f>
        <v>0</v>
      </c>
      <c r="BB38" s="308">
        <f ca="1">IFERROR(INDEX(INDIRECT($C38&amp;".Outputs["&amp;this.Year&amp;"]"), MATCH(BB$5, INDIRECT($C38&amp;".Outputs[Vector]"), 0)), 0)</f>
        <v>3.4756694970916184</v>
      </c>
      <c r="BC38" s="309">
        <f t="shared" ca="1" si="10"/>
        <v>3.4756694970916184</v>
      </c>
      <c r="BE38" s="135">
        <f ca="1">P38+AH38+AY38+BC38</f>
        <v>0</v>
      </c>
      <c r="BF38" s="135"/>
      <c r="BG38" s="1428"/>
      <c r="BH38" s="541">
        <f t="shared" ref="BH38:BQ39" ca="1" si="96">IFERROR(SUMIFS(INDIRECT($C38&amp;".Emissions["&amp;this.Year&amp;"]"), INDIRECT($C38&amp;".Emissions[GHG]"), BH$6, INDIRECT($C38&amp;".Emissions[IPCC Sector]"), BH$5),0)</f>
        <v>8.6733615767361494E-2</v>
      </c>
      <c r="BI38" s="542">
        <f t="shared" ca="1" si="96"/>
        <v>1.4749218266967606E-4</v>
      </c>
      <c r="BJ38" s="542">
        <f t="shared" ca="1" si="96"/>
        <v>7.3670925812959972E-4</v>
      </c>
      <c r="BK38" s="542">
        <f t="shared" ca="1" si="96"/>
        <v>0</v>
      </c>
      <c r="BL38" s="542">
        <f t="shared" ca="1" si="96"/>
        <v>0</v>
      </c>
      <c r="BM38" s="542">
        <f t="shared" ca="1" si="96"/>
        <v>0</v>
      </c>
      <c r="BN38" s="542">
        <f t="shared" ca="1" si="96"/>
        <v>0</v>
      </c>
      <c r="BO38" s="542">
        <f t="shared" ca="1" si="96"/>
        <v>0</v>
      </c>
      <c r="BP38" s="542">
        <f t="shared" ca="1" si="96"/>
        <v>0</v>
      </c>
      <c r="BQ38" s="542">
        <f t="shared" ca="1" si="96"/>
        <v>0</v>
      </c>
      <c r="BR38" s="542">
        <f t="shared" ref="BR38:CA39" ca="1" si="97">IFERROR(SUMIFS(INDIRECT($C38&amp;".Emissions["&amp;this.Year&amp;"]"), INDIRECT($C38&amp;".Emissions[GHG]"), BR$6, INDIRECT($C38&amp;".Emissions[IPCC Sector]"), BR$5),0)</f>
        <v>0</v>
      </c>
      <c r="BS38" s="542">
        <f t="shared" ca="1" si="97"/>
        <v>0</v>
      </c>
      <c r="BT38" s="542">
        <f t="shared" ca="1" si="97"/>
        <v>0</v>
      </c>
      <c r="BU38" s="542">
        <f t="shared" ca="1" si="97"/>
        <v>0</v>
      </c>
      <c r="BV38" s="542">
        <f t="shared" ca="1" si="97"/>
        <v>0</v>
      </c>
      <c r="BW38" s="542">
        <f t="shared" ca="1" si="97"/>
        <v>0</v>
      </c>
      <c r="BX38" s="542">
        <f t="shared" ca="1" si="97"/>
        <v>0</v>
      </c>
      <c r="BY38" s="542">
        <f t="shared" ca="1" si="97"/>
        <v>0</v>
      </c>
      <c r="BZ38" s="542">
        <f t="shared" ca="1" si="97"/>
        <v>0</v>
      </c>
      <c r="CA38" s="542">
        <f t="shared" ca="1" si="97"/>
        <v>0</v>
      </c>
      <c r="CB38" s="542">
        <f t="shared" ref="CB38:CK39" ca="1" si="98">IFERROR(SUMIFS(INDIRECT($C38&amp;".Emissions["&amp;this.Year&amp;"]"), INDIRECT($C38&amp;".Emissions[GHG]"), CB$6, INDIRECT($C38&amp;".Emissions[IPCC Sector]"), CB$5),0)</f>
        <v>0</v>
      </c>
      <c r="CC38" s="542">
        <f t="shared" ca="1" si="98"/>
        <v>0</v>
      </c>
      <c r="CD38" s="542">
        <f t="shared" ca="1" si="98"/>
        <v>0</v>
      </c>
      <c r="CE38" s="542">
        <f t="shared" ca="1" si="98"/>
        <v>0</v>
      </c>
      <c r="CF38" s="542">
        <f t="shared" ca="1" si="98"/>
        <v>0</v>
      </c>
      <c r="CG38" s="542">
        <f t="shared" ca="1" si="98"/>
        <v>0</v>
      </c>
      <c r="CH38" s="542">
        <f t="shared" ca="1" si="98"/>
        <v>0</v>
      </c>
      <c r="CI38" s="542">
        <f t="shared" ca="1" si="98"/>
        <v>0</v>
      </c>
      <c r="CJ38" s="542">
        <f t="shared" ca="1" si="98"/>
        <v>0</v>
      </c>
      <c r="CK38" s="542">
        <f t="shared" ca="1" si="98"/>
        <v>0</v>
      </c>
      <c r="CL38" s="542">
        <f t="shared" ref="CL38:CU39" ca="1" si="99">IFERROR(SUMIFS(INDIRECT($C38&amp;".Emissions["&amp;this.Year&amp;"]"), INDIRECT($C38&amp;".Emissions[GHG]"), CL$6, INDIRECT($C38&amp;".Emissions[IPCC Sector]"), CL$5),0)</f>
        <v>0</v>
      </c>
      <c r="CM38" s="542">
        <f t="shared" ca="1" si="99"/>
        <v>0</v>
      </c>
      <c r="CN38" s="542">
        <f t="shared" ca="1" si="99"/>
        <v>0</v>
      </c>
      <c r="CO38" s="542">
        <f t="shared" ca="1" si="99"/>
        <v>0</v>
      </c>
      <c r="CP38" s="542">
        <f t="shared" ca="1" si="99"/>
        <v>0</v>
      </c>
      <c r="CQ38" s="542">
        <f t="shared" ca="1" si="99"/>
        <v>0</v>
      </c>
      <c r="CR38" s="542">
        <f t="shared" ca="1" si="99"/>
        <v>0</v>
      </c>
      <c r="CS38" s="542">
        <f t="shared" ca="1" si="99"/>
        <v>0</v>
      </c>
      <c r="CT38" s="542">
        <f t="shared" ca="1" si="99"/>
        <v>0</v>
      </c>
      <c r="CU38" s="542">
        <f t="shared" ca="1" si="99"/>
        <v>0</v>
      </c>
      <c r="CW38" s="151">
        <f t="shared" ca="1" si="75"/>
        <v>8.7617817208160767E-2</v>
      </c>
    </row>
    <row r="39" spans="1:101" s="84" customFormat="1" outlineLevel="1" x14ac:dyDescent="0.2">
      <c r="A39" s="543"/>
      <c r="B39" s="543"/>
      <c r="C39" s="62" t="s">
        <v>415</v>
      </c>
      <c r="D39" s="292" t="str">
        <f>INDEX(Modules[Module], MATCH($C39, Modules[Code], 0))</f>
        <v>Indigenous fossil-fuel production</v>
      </c>
      <c r="E39" s="292"/>
      <c r="G39" s="301">
        <f t="shared" ca="1" si="92"/>
        <v>0</v>
      </c>
      <c r="H39" s="301">
        <f t="shared" ca="1" si="92"/>
        <v>0</v>
      </c>
      <c r="I39" s="301">
        <f t="shared" ca="1" si="92"/>
        <v>0</v>
      </c>
      <c r="J39" s="301">
        <f t="shared" ca="1" si="92"/>
        <v>174.70443477672771</v>
      </c>
      <c r="K39" s="301">
        <f t="shared" ca="1" si="92"/>
        <v>0</v>
      </c>
      <c r="L39" s="301">
        <f t="shared" ca="1" si="92"/>
        <v>0</v>
      </c>
      <c r="M39" s="301">
        <f t="shared" ca="1" si="92"/>
        <v>0</v>
      </c>
      <c r="N39" s="301">
        <f t="shared" ca="1" si="92"/>
        <v>0</v>
      </c>
      <c r="O39" s="301">
        <f t="shared" ca="1" si="92"/>
        <v>0</v>
      </c>
      <c r="P39" s="301">
        <f t="shared" ca="1" si="70"/>
        <v>174.70443477672771</v>
      </c>
      <c r="R39" s="307">
        <f t="shared" ca="1" si="93"/>
        <v>-1.2128996490429818</v>
      </c>
      <c r="S39" s="307">
        <f t="shared" ca="1" si="93"/>
        <v>0</v>
      </c>
      <c r="T39" s="307">
        <f t="shared" ca="1" si="93"/>
        <v>-1.8143471710189561E-2</v>
      </c>
      <c r="U39" s="307">
        <f t="shared" ca="1" si="93"/>
        <v>0</v>
      </c>
      <c r="V39" s="307">
        <f t="shared" ca="1" si="93"/>
        <v>-173.47339165597452</v>
      </c>
      <c r="W39" s="307">
        <f t="shared" ca="1" si="93"/>
        <v>0</v>
      </c>
      <c r="X39" s="307">
        <f t="shared" ca="1" si="94"/>
        <v>50.5</v>
      </c>
      <c r="Y39" s="307">
        <f t="shared" ca="1" si="94"/>
        <v>1417.253924912</v>
      </c>
      <c r="Z39" s="307">
        <f t="shared" ca="1" si="94"/>
        <v>907.82299999999998</v>
      </c>
      <c r="AA39" s="307">
        <f t="shared" ca="1" si="93"/>
        <v>0</v>
      </c>
      <c r="AB39" s="307">
        <f t="shared" ca="1" si="93"/>
        <v>0</v>
      </c>
      <c r="AC39" s="307">
        <f t="shared" ca="1" si="93"/>
        <v>0</v>
      </c>
      <c r="AD39" s="307">
        <f t="shared" ca="1" si="93"/>
        <v>0</v>
      </c>
      <c r="AE39" s="307">
        <f t="shared" ca="1" si="93"/>
        <v>0</v>
      </c>
      <c r="AF39" s="307">
        <f t="shared" ca="1" si="93"/>
        <v>0</v>
      </c>
      <c r="AG39" s="307">
        <f t="shared" ca="1" si="93"/>
        <v>0</v>
      </c>
      <c r="AH39" s="306">
        <f t="shared" ca="1" si="5"/>
        <v>2200.8724901352721</v>
      </c>
      <c r="AJ39" s="315">
        <f t="shared" ca="1" si="95"/>
        <v>-50.5</v>
      </c>
      <c r="AK39" s="315">
        <f t="shared" ca="1" si="95"/>
        <v>-1417.253924912</v>
      </c>
      <c r="AL39" s="315">
        <f t="shared" ca="1" si="95"/>
        <v>-907.82299999999998</v>
      </c>
      <c r="AM39" s="315">
        <f t="shared" ca="1" si="95"/>
        <v>0</v>
      </c>
      <c r="AN39" s="315">
        <f t="shared" ca="1" si="95"/>
        <v>0</v>
      </c>
      <c r="AO39" s="315">
        <f t="shared" ca="1" si="95"/>
        <v>0</v>
      </c>
      <c r="AP39" s="315">
        <f t="shared" ca="1" si="95"/>
        <v>0</v>
      </c>
      <c r="AQ39" s="315">
        <f t="shared" ca="1" si="95"/>
        <v>0</v>
      </c>
      <c r="AR39" s="315">
        <f t="shared" ca="1" si="95"/>
        <v>0</v>
      </c>
      <c r="AS39" s="315">
        <f t="shared" ca="1" si="93"/>
        <v>0</v>
      </c>
      <c r="AT39" s="315">
        <f t="shared" ca="1" si="93"/>
        <v>0</v>
      </c>
      <c r="AU39" s="315">
        <f t="shared" ca="1" si="93"/>
        <v>0</v>
      </c>
      <c r="AV39" s="315">
        <f t="shared" ca="1" si="93"/>
        <v>0</v>
      </c>
      <c r="AW39" s="315">
        <f t="shared" ca="1" si="93"/>
        <v>0</v>
      </c>
      <c r="AX39" s="315">
        <f t="shared" ca="1" si="93"/>
        <v>0</v>
      </c>
      <c r="AY39" s="293">
        <f t="shared" ca="1" si="74"/>
        <v>-2375.5769249119999</v>
      </c>
      <c r="BA39" s="311">
        <f ca="1">IFERROR(INDEX(INDIRECT($C39&amp;".Outputs["&amp;this.Year&amp;"]"), MATCH(BA$5, INDIRECT($C39&amp;".Outputs[Vector]"), 0)), 0)</f>
        <v>0</v>
      </c>
      <c r="BB39" s="311">
        <f ca="1">IFERROR(INDEX(INDIRECT($C39&amp;".Outputs["&amp;this.Year&amp;"]"), MATCH(BB$5, INDIRECT($C39&amp;".Outputs[Vector]"), 0)), 0)</f>
        <v>0</v>
      </c>
      <c r="BC39" s="310">
        <f t="shared" ca="1" si="10"/>
        <v>0</v>
      </c>
      <c r="BE39" s="135"/>
      <c r="BF39" s="135"/>
      <c r="BG39" s="1428"/>
      <c r="BH39" s="544">
        <f t="shared" ca="1" si="96"/>
        <v>31.912306627243488</v>
      </c>
      <c r="BI39" s="545">
        <f t="shared" ca="1" si="96"/>
        <v>6.3967762553983273E-2</v>
      </c>
      <c r="BJ39" s="545">
        <f t="shared" ca="1" si="96"/>
        <v>6.880043851759847E-2</v>
      </c>
      <c r="BK39" s="545">
        <f t="shared" ca="1" si="96"/>
        <v>0</v>
      </c>
      <c r="BL39" s="545">
        <f t="shared" ca="1" si="96"/>
        <v>6.4697142857142849</v>
      </c>
      <c r="BM39" s="545">
        <f t="shared" ca="1" si="96"/>
        <v>6.8728069435104233E-2</v>
      </c>
      <c r="BN39" s="545">
        <f t="shared" ca="1" si="96"/>
        <v>0</v>
      </c>
      <c r="BO39" s="545">
        <f t="shared" ca="1" si="96"/>
        <v>0</v>
      </c>
      <c r="BP39" s="545">
        <f t="shared" ca="1" si="96"/>
        <v>0</v>
      </c>
      <c r="BQ39" s="545">
        <f t="shared" ca="1" si="96"/>
        <v>0</v>
      </c>
      <c r="BR39" s="545">
        <f t="shared" ca="1" si="97"/>
        <v>0</v>
      </c>
      <c r="BS39" s="545">
        <f t="shared" ca="1" si="97"/>
        <v>0</v>
      </c>
      <c r="BT39" s="545">
        <f t="shared" ca="1" si="97"/>
        <v>0</v>
      </c>
      <c r="BU39" s="545">
        <f t="shared" ca="1" si="97"/>
        <v>0</v>
      </c>
      <c r="BV39" s="545">
        <f t="shared" ca="1" si="97"/>
        <v>0</v>
      </c>
      <c r="BW39" s="545">
        <f t="shared" ca="1" si="97"/>
        <v>0</v>
      </c>
      <c r="BX39" s="545">
        <f t="shared" ca="1" si="97"/>
        <v>0</v>
      </c>
      <c r="BY39" s="545">
        <f t="shared" ca="1" si="97"/>
        <v>0</v>
      </c>
      <c r="BZ39" s="545">
        <f t="shared" ca="1" si="97"/>
        <v>0</v>
      </c>
      <c r="CA39" s="545">
        <f t="shared" ca="1" si="97"/>
        <v>0</v>
      </c>
      <c r="CB39" s="545">
        <f t="shared" ca="1" si="98"/>
        <v>0</v>
      </c>
      <c r="CC39" s="545">
        <f t="shared" ca="1" si="98"/>
        <v>0</v>
      </c>
      <c r="CD39" s="545">
        <f t="shared" ca="1" si="98"/>
        <v>0</v>
      </c>
      <c r="CE39" s="545">
        <f t="shared" ca="1" si="98"/>
        <v>0</v>
      </c>
      <c r="CF39" s="545">
        <f t="shared" ca="1" si="98"/>
        <v>0</v>
      </c>
      <c r="CG39" s="545">
        <f t="shared" ca="1" si="98"/>
        <v>0</v>
      </c>
      <c r="CH39" s="545">
        <f t="shared" ca="1" si="98"/>
        <v>0</v>
      </c>
      <c r="CI39" s="545">
        <f t="shared" ca="1" si="98"/>
        <v>0</v>
      </c>
      <c r="CJ39" s="545">
        <f t="shared" ca="1" si="98"/>
        <v>0</v>
      </c>
      <c r="CK39" s="545">
        <f t="shared" ca="1" si="98"/>
        <v>0</v>
      </c>
      <c r="CL39" s="545">
        <f t="shared" ca="1" si="99"/>
        <v>0</v>
      </c>
      <c r="CM39" s="545">
        <f t="shared" ca="1" si="99"/>
        <v>0</v>
      </c>
      <c r="CN39" s="545">
        <f t="shared" ca="1" si="99"/>
        <v>0</v>
      </c>
      <c r="CO39" s="545">
        <f t="shared" ca="1" si="99"/>
        <v>0</v>
      </c>
      <c r="CP39" s="545">
        <f t="shared" ca="1" si="99"/>
        <v>0</v>
      </c>
      <c r="CQ39" s="545">
        <f t="shared" ca="1" si="99"/>
        <v>0</v>
      </c>
      <c r="CR39" s="545">
        <f t="shared" ca="1" si="99"/>
        <v>0</v>
      </c>
      <c r="CS39" s="545">
        <f t="shared" ca="1" si="99"/>
        <v>0</v>
      </c>
      <c r="CT39" s="545">
        <f t="shared" ca="1" si="99"/>
        <v>0</v>
      </c>
      <c r="CU39" s="545">
        <f t="shared" ca="1" si="99"/>
        <v>0</v>
      </c>
      <c r="CW39" s="151">
        <f t="shared" ca="1" si="75"/>
        <v>38.583517183464451</v>
      </c>
    </row>
    <row r="40" spans="1:101" s="84" customFormat="1" ht="15.75" x14ac:dyDescent="0.2">
      <c r="A40" s="547"/>
      <c r="B40" s="548"/>
      <c r="C40" s="85" t="s">
        <v>403</v>
      </c>
      <c r="D40" s="57" t="str">
        <f>INDEX(Workstreams[Workstream], MATCH($C40, Workstreams[Code], 0))</f>
        <v>Fossil fuel production</v>
      </c>
      <c r="E40" s="53"/>
      <c r="G40" s="300">
        <f ca="1">SUM(G38:G39)</f>
        <v>0</v>
      </c>
      <c r="H40" s="300">
        <f t="shared" ref="H40:O40" ca="1" si="100">SUM(H38:H39)</f>
        <v>0</v>
      </c>
      <c r="I40" s="300">
        <f ca="1">SUM(I38:I39)</f>
        <v>0</v>
      </c>
      <c r="J40" s="300">
        <f t="shared" ca="1" si="100"/>
        <v>174.70443477672771</v>
      </c>
      <c r="K40" s="300">
        <f t="shared" ca="1" si="100"/>
        <v>0</v>
      </c>
      <c r="L40" s="300">
        <f t="shared" ca="1" si="100"/>
        <v>0</v>
      </c>
      <c r="M40" s="300">
        <f t="shared" ca="1" si="100"/>
        <v>0</v>
      </c>
      <c r="N40" s="300">
        <f t="shared" ca="1" si="100"/>
        <v>0</v>
      </c>
      <c r="O40" s="300">
        <f t="shared" ca="1" si="100"/>
        <v>0</v>
      </c>
      <c r="P40" s="300">
        <f t="shared" ca="1" si="70"/>
        <v>174.70443477672771</v>
      </c>
      <c r="R40" s="257">
        <f t="shared" ref="R40:AE40" ca="1" si="101">SUM(R38:R39)</f>
        <v>-4.2669963065117722</v>
      </c>
      <c r="S40" s="257">
        <f t="shared" ca="1" si="101"/>
        <v>0</v>
      </c>
      <c r="T40" s="257">
        <f t="shared" ca="1" si="101"/>
        <v>-1.8143471710189561E-2</v>
      </c>
      <c r="U40" s="257">
        <f t="shared" ca="1" si="101"/>
        <v>-0.13885171631456306</v>
      </c>
      <c r="V40" s="257">
        <f t="shared" ca="1" si="101"/>
        <v>-173.7561127792828</v>
      </c>
      <c r="W40" s="257">
        <f ca="1">SUM(W38:W39)</f>
        <v>0</v>
      </c>
      <c r="X40" s="257">
        <f ca="1">SUM(X38:X39)</f>
        <v>50.5</v>
      </c>
      <c r="Y40" s="257">
        <f ca="1">SUM(Y38:Y39)</f>
        <v>1417.253924912</v>
      </c>
      <c r="Z40" s="257">
        <f ca="1">SUM(Z38:Z39)</f>
        <v>907.82299999999998</v>
      </c>
      <c r="AA40" s="257">
        <f t="shared" ca="1" si="101"/>
        <v>0</v>
      </c>
      <c r="AB40" s="257">
        <f t="shared" ca="1" si="101"/>
        <v>0</v>
      </c>
      <c r="AC40" s="257">
        <f ca="1">SUM(AC38:AC39)</f>
        <v>0</v>
      </c>
      <c r="AD40" s="257">
        <f ca="1">SUM(AD38:AD39)</f>
        <v>0</v>
      </c>
      <c r="AE40" s="257">
        <f t="shared" ca="1" si="101"/>
        <v>0</v>
      </c>
      <c r="AF40" s="257">
        <f ca="1">SUM(AF38:AF39)</f>
        <v>0</v>
      </c>
      <c r="AG40" s="257">
        <f ca="1">SUM(AG38:AG39)</f>
        <v>0</v>
      </c>
      <c r="AH40" s="257">
        <f t="shared" ca="1" si="5"/>
        <v>2197.3968206381805</v>
      </c>
      <c r="AJ40" s="263">
        <f t="shared" ref="AJ40:AX40" ca="1" si="102">SUM(AJ38:AJ39)</f>
        <v>-50.5</v>
      </c>
      <c r="AK40" s="263">
        <f t="shared" ca="1" si="102"/>
        <v>-1417.253924912</v>
      </c>
      <c r="AL40" s="263">
        <f t="shared" ca="1" si="102"/>
        <v>-907.82299999999998</v>
      </c>
      <c r="AM40" s="263">
        <f t="shared" ca="1" si="102"/>
        <v>0</v>
      </c>
      <c r="AN40" s="263">
        <f t="shared" ca="1" si="102"/>
        <v>0</v>
      </c>
      <c r="AO40" s="263">
        <f t="shared" ca="1" si="102"/>
        <v>0</v>
      </c>
      <c r="AP40" s="263">
        <f t="shared" ca="1" si="102"/>
        <v>0</v>
      </c>
      <c r="AQ40" s="263">
        <f t="shared" ca="1" si="102"/>
        <v>0</v>
      </c>
      <c r="AR40" s="263">
        <f t="shared" ca="1" si="102"/>
        <v>0</v>
      </c>
      <c r="AS40" s="263">
        <f t="shared" ca="1" si="102"/>
        <v>0</v>
      </c>
      <c r="AT40" s="263">
        <f t="shared" ca="1" si="102"/>
        <v>0</v>
      </c>
      <c r="AU40" s="263">
        <f t="shared" ca="1" si="102"/>
        <v>0</v>
      </c>
      <c r="AV40" s="263">
        <f t="shared" ca="1" si="102"/>
        <v>0</v>
      </c>
      <c r="AW40" s="263">
        <f t="shared" ca="1" si="102"/>
        <v>0</v>
      </c>
      <c r="AX40" s="263">
        <f t="shared" ca="1" si="102"/>
        <v>0</v>
      </c>
      <c r="AY40" s="263">
        <f t="shared" ca="1" si="74"/>
        <v>-2375.5769249119999</v>
      </c>
      <c r="BA40" s="277">
        <f ca="1">SUM(BA38:BA39)</f>
        <v>0</v>
      </c>
      <c r="BB40" s="277">
        <f ca="1">SUM(BB38:BB39)</f>
        <v>3.4756694970916184</v>
      </c>
      <c r="BC40" s="277">
        <f t="shared" ca="1" si="10"/>
        <v>3.4756694970916184</v>
      </c>
      <c r="BE40" s="55">
        <f t="shared" ref="BE40:BE47" ca="1" si="103">P40+AH40+AY40+BC40</f>
        <v>8.7929663550312398E-14</v>
      </c>
      <c r="BF40" s="164"/>
      <c r="BG40" s="1428"/>
      <c r="BH40" s="541">
        <f t="shared" ref="BH40:CU40" ca="1" si="104">SUM(BH38:BH39)</f>
        <v>31.99904024301085</v>
      </c>
      <c r="BI40" s="542">
        <f t="shared" ca="1" si="104"/>
        <v>6.4115254736652944E-2</v>
      </c>
      <c r="BJ40" s="542">
        <f t="shared" ca="1" si="104"/>
        <v>6.9537147775728073E-2</v>
      </c>
      <c r="BK40" s="542">
        <f t="shared" ca="1" si="104"/>
        <v>0</v>
      </c>
      <c r="BL40" s="542">
        <f t="shared" ca="1" si="104"/>
        <v>6.4697142857142849</v>
      </c>
      <c r="BM40" s="542">
        <f t="shared" ca="1" si="104"/>
        <v>6.8728069435104233E-2</v>
      </c>
      <c r="BN40" s="542">
        <f t="shared" ca="1" si="104"/>
        <v>0</v>
      </c>
      <c r="BO40" s="542">
        <f t="shared" ca="1" si="104"/>
        <v>0</v>
      </c>
      <c r="BP40" s="542">
        <f t="shared" ca="1" si="104"/>
        <v>0</v>
      </c>
      <c r="BQ40" s="542">
        <f t="shared" ca="1" si="104"/>
        <v>0</v>
      </c>
      <c r="BR40" s="542">
        <f t="shared" ca="1" si="104"/>
        <v>0</v>
      </c>
      <c r="BS40" s="542">
        <f t="shared" ca="1" si="104"/>
        <v>0</v>
      </c>
      <c r="BT40" s="542">
        <f t="shared" ca="1" si="104"/>
        <v>0</v>
      </c>
      <c r="BU40" s="542">
        <f t="shared" ca="1" si="104"/>
        <v>0</v>
      </c>
      <c r="BV40" s="542">
        <f t="shared" ca="1" si="104"/>
        <v>0</v>
      </c>
      <c r="BW40" s="542">
        <f t="shared" ca="1" si="104"/>
        <v>0</v>
      </c>
      <c r="BX40" s="542">
        <f t="shared" ca="1" si="104"/>
        <v>0</v>
      </c>
      <c r="BY40" s="542">
        <f t="shared" ca="1" si="104"/>
        <v>0</v>
      </c>
      <c r="BZ40" s="542">
        <f t="shared" ca="1" si="104"/>
        <v>0</v>
      </c>
      <c r="CA40" s="542">
        <f t="shared" ca="1" si="104"/>
        <v>0</v>
      </c>
      <c r="CB40" s="542">
        <f t="shared" ca="1" si="104"/>
        <v>0</v>
      </c>
      <c r="CC40" s="542">
        <f t="shared" ca="1" si="104"/>
        <v>0</v>
      </c>
      <c r="CD40" s="542">
        <f t="shared" ca="1" si="104"/>
        <v>0</v>
      </c>
      <c r="CE40" s="542">
        <f t="shared" ca="1" si="104"/>
        <v>0</v>
      </c>
      <c r="CF40" s="542">
        <f t="shared" ca="1" si="104"/>
        <v>0</v>
      </c>
      <c r="CG40" s="542">
        <f t="shared" ca="1" si="104"/>
        <v>0</v>
      </c>
      <c r="CH40" s="542">
        <f t="shared" ca="1" si="104"/>
        <v>0</v>
      </c>
      <c r="CI40" s="542">
        <f t="shared" ca="1" si="104"/>
        <v>0</v>
      </c>
      <c r="CJ40" s="542">
        <f t="shared" ca="1" si="104"/>
        <v>0</v>
      </c>
      <c r="CK40" s="542">
        <f t="shared" ca="1" si="104"/>
        <v>0</v>
      </c>
      <c r="CL40" s="542">
        <f t="shared" ca="1" si="104"/>
        <v>0</v>
      </c>
      <c r="CM40" s="542">
        <f t="shared" ca="1" si="104"/>
        <v>0</v>
      </c>
      <c r="CN40" s="542">
        <f t="shared" ca="1" si="104"/>
        <v>0</v>
      </c>
      <c r="CO40" s="542">
        <f t="shared" ca="1" si="104"/>
        <v>0</v>
      </c>
      <c r="CP40" s="542">
        <f t="shared" ca="1" si="104"/>
        <v>0</v>
      </c>
      <c r="CQ40" s="542">
        <f t="shared" ca="1" si="104"/>
        <v>0</v>
      </c>
      <c r="CR40" s="542">
        <f t="shared" ca="1" si="104"/>
        <v>0</v>
      </c>
      <c r="CS40" s="542">
        <f t="shared" ca="1" si="104"/>
        <v>0</v>
      </c>
      <c r="CT40" s="542">
        <f t="shared" ca="1" si="104"/>
        <v>0</v>
      </c>
      <c r="CU40" s="542">
        <f t="shared" ca="1" si="104"/>
        <v>0</v>
      </c>
      <c r="CW40" s="151">
        <f t="shared" ca="1" si="75"/>
        <v>38.671135000672614</v>
      </c>
    </row>
    <row r="41" spans="1:101" s="84" customFormat="1" outlineLevel="1" x14ac:dyDescent="0.2">
      <c r="C41" s="60"/>
      <c r="D41" s="34"/>
      <c r="E41" s="51"/>
      <c r="G41" s="245"/>
      <c r="H41" s="245"/>
      <c r="I41" s="245"/>
      <c r="J41" s="245"/>
      <c r="K41" s="245"/>
      <c r="L41" s="247"/>
      <c r="M41" s="245"/>
      <c r="N41" s="245"/>
      <c r="O41" s="245"/>
      <c r="P41" s="245">
        <f t="shared" si="70"/>
        <v>0</v>
      </c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>
        <f t="shared" si="5"/>
        <v>0</v>
      </c>
      <c r="AJ41" s="263"/>
      <c r="AK41" s="263"/>
      <c r="AL41" s="263"/>
      <c r="AM41" s="263"/>
      <c r="AN41" s="263"/>
      <c r="AO41" s="263"/>
      <c r="AP41" s="263"/>
      <c r="AQ41" s="263"/>
      <c r="AR41" s="263"/>
      <c r="AS41" s="263"/>
      <c r="AT41" s="263"/>
      <c r="AU41" s="263"/>
      <c r="AV41" s="263"/>
      <c r="AW41" s="263"/>
      <c r="AX41" s="263"/>
      <c r="AY41" s="263">
        <f t="shared" si="74"/>
        <v>0</v>
      </c>
      <c r="BA41" s="277"/>
      <c r="BB41" s="277"/>
      <c r="BC41" s="277">
        <f t="shared" si="10"/>
        <v>0</v>
      </c>
      <c r="BE41" s="55">
        <f t="shared" si="103"/>
        <v>0</v>
      </c>
      <c r="BF41" s="55"/>
      <c r="BH41" s="542"/>
      <c r="BI41" s="542"/>
      <c r="BJ41" s="542"/>
      <c r="BK41" s="542"/>
      <c r="BL41" s="542"/>
      <c r="BM41" s="542"/>
      <c r="BN41" s="542"/>
      <c r="BO41" s="542"/>
      <c r="BP41" s="542"/>
      <c r="BQ41" s="542"/>
      <c r="BR41" s="542"/>
      <c r="BS41" s="542"/>
      <c r="BT41" s="542"/>
      <c r="BU41" s="542"/>
      <c r="BV41" s="542"/>
      <c r="BW41" s="542"/>
      <c r="BX41" s="542"/>
      <c r="BY41" s="542"/>
      <c r="BZ41" s="542"/>
      <c r="CA41" s="542"/>
      <c r="CB41" s="542"/>
      <c r="CC41" s="542"/>
      <c r="CD41" s="542"/>
      <c r="CE41" s="542"/>
      <c r="CF41" s="542"/>
      <c r="CG41" s="542"/>
      <c r="CH41" s="542"/>
      <c r="CI41" s="542"/>
      <c r="CJ41" s="542"/>
      <c r="CK41" s="542"/>
      <c r="CL41" s="542"/>
      <c r="CM41" s="542"/>
      <c r="CN41" s="542"/>
      <c r="CO41" s="542"/>
      <c r="CP41" s="542"/>
      <c r="CQ41" s="542"/>
      <c r="CR41" s="542"/>
      <c r="CS41" s="542"/>
      <c r="CT41" s="542"/>
      <c r="CU41" s="542"/>
      <c r="CW41" s="151">
        <f t="shared" si="75"/>
        <v>0</v>
      </c>
    </row>
    <row r="42" spans="1:101" s="543" customFormat="1" ht="12.75" customHeight="1" outlineLevel="1" x14ac:dyDescent="0.2">
      <c r="C42" s="86" t="s">
        <v>864</v>
      </c>
      <c r="D42" s="61" t="str">
        <f>INDEX(Modules[Module], MATCH($C42, Modules[Code], 0))</f>
        <v xml:space="preserve">Wind </v>
      </c>
      <c r="E42" s="61"/>
      <c r="F42" s="84"/>
      <c r="G42" s="297">
        <f t="shared" ref="G42:O46" ca="1" si="105">IFERROR(INDEX(INDIRECT($C42&amp;".Outputs["&amp;this.Year&amp;"]"), MATCH(G$5, INDIRECT($C42&amp;".Outputs[Vector]"), 0)), 0)</f>
        <v>0</v>
      </c>
      <c r="H42" s="297">
        <f t="shared" ca="1" si="105"/>
        <v>0</v>
      </c>
      <c r="I42" s="297">
        <f t="shared" ca="1" si="105"/>
        <v>0</v>
      </c>
      <c r="J42" s="297">
        <f t="shared" ca="1" si="105"/>
        <v>0</v>
      </c>
      <c r="K42" s="297">
        <f t="shared" ca="1" si="105"/>
        <v>0</v>
      </c>
      <c r="L42" s="297">
        <f t="shared" ca="1" si="105"/>
        <v>0</v>
      </c>
      <c r="M42" s="297">
        <f t="shared" ca="1" si="105"/>
        <v>0</v>
      </c>
      <c r="N42" s="297">
        <f t="shared" ca="1" si="105"/>
        <v>0</v>
      </c>
      <c r="O42" s="297">
        <f t="shared" ca="1" si="105"/>
        <v>0</v>
      </c>
      <c r="P42" s="297">
        <f t="shared" ca="1" si="70"/>
        <v>0</v>
      </c>
      <c r="Q42" s="84"/>
      <c r="R42" s="304">
        <f t="shared" ref="R42:AX46" ca="1" si="106">IFERROR(INDEX(INDIRECT($C42&amp;".Outputs["&amp;this.Year&amp;"]"), MATCH(R$5, INDIRECT($C42&amp;".Outputs[Vector]"), 0)), 0)</f>
        <v>0</v>
      </c>
      <c r="S42" s="304">
        <f t="shared" ca="1" si="106"/>
        <v>14.726880000000001</v>
      </c>
      <c r="T42" s="304">
        <f t="shared" ca="1" si="106"/>
        <v>0</v>
      </c>
      <c r="U42" s="304">
        <f t="shared" ca="1" si="106"/>
        <v>0</v>
      </c>
      <c r="V42" s="304">
        <f t="shared" ca="1" si="106"/>
        <v>0</v>
      </c>
      <c r="W42" s="304">
        <f t="shared" ca="1" si="106"/>
        <v>0</v>
      </c>
      <c r="X42" s="304">
        <f t="shared" ref="X42:Z46" ca="1" si="107">IFERROR(INDEX(INDIRECT($C42&amp;".Outputs["&amp;this.Year&amp;"]"), MATCH(X$5, INDIRECT($C42&amp;".Outputs[Vector]"), 0)), 0)</f>
        <v>0</v>
      </c>
      <c r="Y42" s="304">
        <f t="shared" ca="1" si="107"/>
        <v>0</v>
      </c>
      <c r="Z42" s="304">
        <f t="shared" ca="1" si="107"/>
        <v>0</v>
      </c>
      <c r="AA42" s="304">
        <f t="shared" ca="1" si="106"/>
        <v>0</v>
      </c>
      <c r="AB42" s="304">
        <f t="shared" ca="1" si="106"/>
        <v>0</v>
      </c>
      <c r="AC42" s="304">
        <f t="shared" ca="1" si="106"/>
        <v>0</v>
      </c>
      <c r="AD42" s="304">
        <f t="shared" ca="1" si="106"/>
        <v>0</v>
      </c>
      <c r="AE42" s="304">
        <f t="shared" ca="1" si="106"/>
        <v>0</v>
      </c>
      <c r="AF42" s="304">
        <f t="shared" ca="1" si="106"/>
        <v>0</v>
      </c>
      <c r="AG42" s="304">
        <f t="shared" ca="1" si="106"/>
        <v>0</v>
      </c>
      <c r="AH42" s="305">
        <f t="shared" ca="1" si="5"/>
        <v>14.726880000000001</v>
      </c>
      <c r="AI42" s="84"/>
      <c r="AJ42" s="312">
        <f t="shared" ref="AJ42:AR46" ca="1" si="108">IFERROR(INDEX(INDIRECT($C42&amp;".Outputs["&amp;this.Year&amp;"]"), MATCH(AJ$5, INDIRECT($C42&amp;".Outputs[Vector]"), 0)), 0)</f>
        <v>0</v>
      </c>
      <c r="AK42" s="312">
        <f t="shared" ca="1" si="108"/>
        <v>0</v>
      </c>
      <c r="AL42" s="312">
        <f t="shared" ca="1" si="108"/>
        <v>0</v>
      </c>
      <c r="AM42" s="312">
        <f t="shared" ca="1" si="108"/>
        <v>0</v>
      </c>
      <c r="AN42" s="312">
        <f t="shared" ca="1" si="108"/>
        <v>0</v>
      </c>
      <c r="AO42" s="312">
        <f t="shared" ca="1" si="108"/>
        <v>0</v>
      </c>
      <c r="AP42" s="312">
        <f t="shared" ca="1" si="108"/>
        <v>0</v>
      </c>
      <c r="AQ42" s="312">
        <f t="shared" ca="1" si="108"/>
        <v>0</v>
      </c>
      <c r="AR42" s="312">
        <f t="shared" ca="1" si="108"/>
        <v>0</v>
      </c>
      <c r="AS42" s="312">
        <f t="shared" ca="1" si="106"/>
        <v>0</v>
      </c>
      <c r="AT42" s="312">
        <f t="shared" ca="1" si="106"/>
        <v>0</v>
      </c>
      <c r="AU42" s="312">
        <f t="shared" ca="1" si="106"/>
        <v>-14.726880000000001</v>
      </c>
      <c r="AV42" s="312">
        <f t="shared" ca="1" si="106"/>
        <v>0</v>
      </c>
      <c r="AW42" s="312">
        <f t="shared" ca="1" si="106"/>
        <v>0</v>
      </c>
      <c r="AX42" s="312">
        <f t="shared" ca="1" si="106"/>
        <v>0</v>
      </c>
      <c r="AY42" s="266">
        <f t="shared" ca="1" si="74"/>
        <v>-14.726880000000001</v>
      </c>
      <c r="AZ42" s="84"/>
      <c r="BA42" s="308">
        <f t="shared" ref="BA42:BB46" ca="1" si="109">IFERROR(INDEX(INDIRECT($C42&amp;".Outputs["&amp;this.Year&amp;"]"), MATCH(BA$5, INDIRECT($C42&amp;".Outputs[Vector]"), 0)), 0)</f>
        <v>0</v>
      </c>
      <c r="BB42" s="308">
        <f t="shared" ca="1" si="109"/>
        <v>0</v>
      </c>
      <c r="BC42" s="309">
        <f t="shared" ca="1" si="10"/>
        <v>0</v>
      </c>
      <c r="BD42" s="84"/>
      <c r="BE42" s="135">
        <f t="shared" ca="1" si="103"/>
        <v>0</v>
      </c>
      <c r="BF42" s="135"/>
      <c r="BG42" s="1428"/>
      <c r="BH42" s="541">
        <f t="shared" ref="BH42:BQ46" ca="1" si="110">IFERROR(SUMIFS(INDIRECT($C42&amp;".Emissions["&amp;this.Year&amp;"]"), INDIRECT($C42&amp;".Emissions[GHG]"), BH$6, INDIRECT($C42&amp;".Emissions[IPCC Sector]"), BH$5),0)</f>
        <v>0</v>
      </c>
      <c r="BI42" s="542">
        <f t="shared" ca="1" si="110"/>
        <v>0</v>
      </c>
      <c r="BJ42" s="542">
        <f t="shared" ca="1" si="110"/>
        <v>0</v>
      </c>
      <c r="BK42" s="542">
        <f t="shared" ca="1" si="110"/>
        <v>0</v>
      </c>
      <c r="BL42" s="542">
        <f t="shared" ca="1" si="110"/>
        <v>0</v>
      </c>
      <c r="BM42" s="542">
        <f t="shared" ca="1" si="110"/>
        <v>0</v>
      </c>
      <c r="BN42" s="542">
        <f t="shared" ca="1" si="110"/>
        <v>0</v>
      </c>
      <c r="BO42" s="542">
        <f t="shared" ca="1" si="110"/>
        <v>0</v>
      </c>
      <c r="BP42" s="542">
        <f t="shared" ca="1" si="110"/>
        <v>0</v>
      </c>
      <c r="BQ42" s="542">
        <f t="shared" ca="1" si="110"/>
        <v>0</v>
      </c>
      <c r="BR42" s="542">
        <f t="shared" ref="BR42:CA46" ca="1" si="111">IFERROR(SUMIFS(INDIRECT($C42&amp;".Emissions["&amp;this.Year&amp;"]"), INDIRECT($C42&amp;".Emissions[GHG]"), BR$6, INDIRECT($C42&amp;".Emissions[IPCC Sector]"), BR$5),0)</f>
        <v>0</v>
      </c>
      <c r="BS42" s="542">
        <f t="shared" ca="1" si="111"/>
        <v>0</v>
      </c>
      <c r="BT42" s="542">
        <f t="shared" ca="1" si="111"/>
        <v>0</v>
      </c>
      <c r="BU42" s="542">
        <f t="shared" ca="1" si="111"/>
        <v>0</v>
      </c>
      <c r="BV42" s="542">
        <f t="shared" ca="1" si="111"/>
        <v>0</v>
      </c>
      <c r="BW42" s="542">
        <f t="shared" ca="1" si="111"/>
        <v>0</v>
      </c>
      <c r="BX42" s="542">
        <f t="shared" ca="1" si="111"/>
        <v>0</v>
      </c>
      <c r="BY42" s="542">
        <f t="shared" ca="1" si="111"/>
        <v>0</v>
      </c>
      <c r="BZ42" s="542">
        <f t="shared" ca="1" si="111"/>
        <v>0</v>
      </c>
      <c r="CA42" s="542">
        <f t="shared" ca="1" si="111"/>
        <v>0</v>
      </c>
      <c r="CB42" s="542">
        <f t="shared" ref="CB42:CK46" ca="1" si="112">IFERROR(SUMIFS(INDIRECT($C42&amp;".Emissions["&amp;this.Year&amp;"]"), INDIRECT($C42&amp;".Emissions[GHG]"), CB$6, INDIRECT($C42&amp;".Emissions[IPCC Sector]"), CB$5),0)</f>
        <v>0</v>
      </c>
      <c r="CC42" s="542">
        <f t="shared" ca="1" si="112"/>
        <v>0</v>
      </c>
      <c r="CD42" s="542">
        <f t="shared" ca="1" si="112"/>
        <v>0</v>
      </c>
      <c r="CE42" s="542">
        <f t="shared" ca="1" si="112"/>
        <v>0</v>
      </c>
      <c r="CF42" s="542">
        <f t="shared" ca="1" si="112"/>
        <v>0</v>
      </c>
      <c r="CG42" s="542">
        <f t="shared" ca="1" si="112"/>
        <v>0</v>
      </c>
      <c r="CH42" s="542">
        <f t="shared" ca="1" si="112"/>
        <v>0</v>
      </c>
      <c r="CI42" s="542">
        <f t="shared" ca="1" si="112"/>
        <v>0</v>
      </c>
      <c r="CJ42" s="542">
        <f t="shared" ca="1" si="112"/>
        <v>0</v>
      </c>
      <c r="CK42" s="542">
        <f t="shared" ca="1" si="112"/>
        <v>0</v>
      </c>
      <c r="CL42" s="542">
        <f t="shared" ref="CL42:CU46" ca="1" si="113">IFERROR(SUMIFS(INDIRECT($C42&amp;".Emissions["&amp;this.Year&amp;"]"), INDIRECT($C42&amp;".Emissions[GHG]"), CL$6, INDIRECT($C42&amp;".Emissions[IPCC Sector]"), CL$5),0)</f>
        <v>0</v>
      </c>
      <c r="CM42" s="542">
        <f t="shared" ca="1" si="113"/>
        <v>0</v>
      </c>
      <c r="CN42" s="542">
        <f t="shared" ca="1" si="113"/>
        <v>0</v>
      </c>
      <c r="CO42" s="542">
        <f t="shared" ca="1" si="113"/>
        <v>0</v>
      </c>
      <c r="CP42" s="542">
        <f t="shared" ca="1" si="113"/>
        <v>0</v>
      </c>
      <c r="CQ42" s="542">
        <f t="shared" ca="1" si="113"/>
        <v>0</v>
      </c>
      <c r="CR42" s="542">
        <f t="shared" ca="1" si="113"/>
        <v>0</v>
      </c>
      <c r="CS42" s="542">
        <f t="shared" ca="1" si="113"/>
        <v>0</v>
      </c>
      <c r="CT42" s="542">
        <f t="shared" ca="1" si="113"/>
        <v>0</v>
      </c>
      <c r="CU42" s="542">
        <f t="shared" ca="1" si="113"/>
        <v>0</v>
      </c>
      <c r="CW42" s="151">
        <f t="shared" ca="1" si="75"/>
        <v>0</v>
      </c>
    </row>
    <row r="43" spans="1:101" s="543" customFormat="1" ht="12.75" customHeight="1" outlineLevel="1" x14ac:dyDescent="0.2">
      <c r="C43" s="86" t="s">
        <v>2366</v>
      </c>
      <c r="D43" s="61" t="str">
        <f>INDEX(Modules[Module], MATCH($C43, Modules[Code], 0))</f>
        <v>Large Hydroelectric power stations</v>
      </c>
      <c r="E43" s="61"/>
      <c r="F43" s="84"/>
      <c r="G43" s="297">
        <f t="shared" ca="1" si="105"/>
        <v>0</v>
      </c>
      <c r="H43" s="297">
        <f t="shared" ca="1" si="105"/>
        <v>0</v>
      </c>
      <c r="I43" s="297">
        <f t="shared" ca="1" si="105"/>
        <v>0</v>
      </c>
      <c r="J43" s="297">
        <f t="shared" ca="1" si="105"/>
        <v>0</v>
      </c>
      <c r="K43" s="297">
        <f t="shared" ca="1" si="105"/>
        <v>0</v>
      </c>
      <c r="L43" s="297">
        <f t="shared" ca="1" si="105"/>
        <v>0</v>
      </c>
      <c r="M43" s="297">
        <f t="shared" ca="1" si="105"/>
        <v>0</v>
      </c>
      <c r="N43" s="297">
        <f t="shared" ca="1" si="105"/>
        <v>0</v>
      </c>
      <c r="O43" s="297">
        <f t="shared" ca="1" si="105"/>
        <v>0</v>
      </c>
      <c r="P43" s="297">
        <f t="shared" ca="1" si="70"/>
        <v>0</v>
      </c>
      <c r="Q43" s="84"/>
      <c r="R43" s="304">
        <f t="shared" ca="1" si="106"/>
        <v>0</v>
      </c>
      <c r="S43" s="304">
        <f t="shared" ca="1" si="106"/>
        <v>38.079504000000007</v>
      </c>
      <c r="T43" s="304">
        <f t="shared" ca="1" si="106"/>
        <v>0</v>
      </c>
      <c r="U43" s="304">
        <f t="shared" ca="1" si="106"/>
        <v>0</v>
      </c>
      <c r="V43" s="304">
        <f t="shared" ca="1" si="106"/>
        <v>0</v>
      </c>
      <c r="W43" s="304">
        <f t="shared" ca="1" si="106"/>
        <v>0</v>
      </c>
      <c r="X43" s="304">
        <f t="shared" ca="1" si="107"/>
        <v>0</v>
      </c>
      <c r="Y43" s="304">
        <f t="shared" ca="1" si="107"/>
        <v>0</v>
      </c>
      <c r="Z43" s="304">
        <f t="shared" ca="1" si="107"/>
        <v>0</v>
      </c>
      <c r="AA43" s="304">
        <f t="shared" ca="1" si="106"/>
        <v>0</v>
      </c>
      <c r="AB43" s="304">
        <f t="shared" ca="1" si="106"/>
        <v>0</v>
      </c>
      <c r="AC43" s="304">
        <f t="shared" ca="1" si="106"/>
        <v>0</v>
      </c>
      <c r="AD43" s="304">
        <f t="shared" ca="1" si="106"/>
        <v>0</v>
      </c>
      <c r="AE43" s="304">
        <f t="shared" ca="1" si="106"/>
        <v>0</v>
      </c>
      <c r="AF43" s="304">
        <f t="shared" ca="1" si="106"/>
        <v>0</v>
      </c>
      <c r="AG43" s="304">
        <f t="shared" ca="1" si="106"/>
        <v>0</v>
      </c>
      <c r="AH43" s="305">
        <f t="shared" ca="1" si="5"/>
        <v>38.079504000000007</v>
      </c>
      <c r="AI43" s="84"/>
      <c r="AJ43" s="312">
        <f t="shared" ca="1" si="108"/>
        <v>0</v>
      </c>
      <c r="AK43" s="312">
        <f t="shared" ca="1" si="108"/>
        <v>0</v>
      </c>
      <c r="AL43" s="312">
        <f t="shared" ca="1" si="108"/>
        <v>0</v>
      </c>
      <c r="AM43" s="312">
        <f t="shared" ca="1" si="108"/>
        <v>0</v>
      </c>
      <c r="AN43" s="312">
        <f t="shared" ca="1" si="108"/>
        <v>0</v>
      </c>
      <c r="AO43" s="312">
        <f t="shared" ca="1" si="108"/>
        <v>0</v>
      </c>
      <c r="AP43" s="312">
        <f t="shared" ca="1" si="108"/>
        <v>0</v>
      </c>
      <c r="AQ43" s="312">
        <f t="shared" ca="1" si="108"/>
        <v>0</v>
      </c>
      <c r="AR43" s="312">
        <f t="shared" ca="1" si="108"/>
        <v>0</v>
      </c>
      <c r="AS43" s="312">
        <f t="shared" ca="1" si="106"/>
        <v>0</v>
      </c>
      <c r="AT43" s="312">
        <f t="shared" ca="1" si="106"/>
        <v>0</v>
      </c>
      <c r="AU43" s="312">
        <f t="shared" ca="1" si="106"/>
        <v>0</v>
      </c>
      <c r="AV43" s="312">
        <f t="shared" ca="1" si="106"/>
        <v>-38.079504000000007</v>
      </c>
      <c r="AW43" s="312">
        <f t="shared" ca="1" si="106"/>
        <v>0</v>
      </c>
      <c r="AX43" s="312">
        <f t="shared" ca="1" si="106"/>
        <v>0</v>
      </c>
      <c r="AY43" s="266">
        <f t="shared" ca="1" si="74"/>
        <v>-38.079504000000007</v>
      </c>
      <c r="AZ43" s="84"/>
      <c r="BA43" s="308">
        <f t="shared" ca="1" si="109"/>
        <v>0</v>
      </c>
      <c r="BB43" s="308">
        <f t="shared" ca="1" si="109"/>
        <v>0</v>
      </c>
      <c r="BC43" s="309">
        <f t="shared" ca="1" si="10"/>
        <v>0</v>
      </c>
      <c r="BD43" s="84"/>
      <c r="BE43" s="135">
        <f t="shared" ca="1" si="103"/>
        <v>0</v>
      </c>
      <c r="BF43" s="135"/>
      <c r="BG43" s="1428"/>
      <c r="BH43" s="541">
        <f t="shared" ca="1" si="110"/>
        <v>0</v>
      </c>
      <c r="BI43" s="542">
        <f t="shared" ca="1" si="110"/>
        <v>0</v>
      </c>
      <c r="BJ43" s="542">
        <f t="shared" ca="1" si="110"/>
        <v>0</v>
      </c>
      <c r="BK43" s="542">
        <f t="shared" ca="1" si="110"/>
        <v>0</v>
      </c>
      <c r="BL43" s="542">
        <f t="shared" ca="1" si="110"/>
        <v>0</v>
      </c>
      <c r="BM43" s="542">
        <f t="shared" ca="1" si="110"/>
        <v>0</v>
      </c>
      <c r="BN43" s="542">
        <f t="shared" ca="1" si="110"/>
        <v>0</v>
      </c>
      <c r="BO43" s="542">
        <f t="shared" ca="1" si="110"/>
        <v>0</v>
      </c>
      <c r="BP43" s="542">
        <f t="shared" ca="1" si="110"/>
        <v>0</v>
      </c>
      <c r="BQ43" s="542">
        <f t="shared" ca="1" si="110"/>
        <v>0</v>
      </c>
      <c r="BR43" s="542">
        <f t="shared" ca="1" si="111"/>
        <v>0</v>
      </c>
      <c r="BS43" s="542">
        <f t="shared" ca="1" si="111"/>
        <v>0</v>
      </c>
      <c r="BT43" s="542">
        <f t="shared" ca="1" si="111"/>
        <v>0</v>
      </c>
      <c r="BU43" s="542">
        <f t="shared" ca="1" si="111"/>
        <v>0</v>
      </c>
      <c r="BV43" s="542">
        <f t="shared" ca="1" si="111"/>
        <v>0</v>
      </c>
      <c r="BW43" s="542">
        <f t="shared" ca="1" si="111"/>
        <v>0</v>
      </c>
      <c r="BX43" s="542">
        <f t="shared" ca="1" si="111"/>
        <v>0</v>
      </c>
      <c r="BY43" s="542">
        <f t="shared" ca="1" si="111"/>
        <v>0</v>
      </c>
      <c r="BZ43" s="542">
        <f t="shared" ca="1" si="111"/>
        <v>0</v>
      </c>
      <c r="CA43" s="542">
        <f t="shared" ca="1" si="111"/>
        <v>0</v>
      </c>
      <c r="CB43" s="542">
        <f t="shared" ca="1" si="112"/>
        <v>0</v>
      </c>
      <c r="CC43" s="542">
        <f t="shared" ca="1" si="112"/>
        <v>0</v>
      </c>
      <c r="CD43" s="542">
        <f t="shared" ca="1" si="112"/>
        <v>0</v>
      </c>
      <c r="CE43" s="542">
        <f t="shared" ca="1" si="112"/>
        <v>0</v>
      </c>
      <c r="CF43" s="542">
        <f t="shared" ca="1" si="112"/>
        <v>0</v>
      </c>
      <c r="CG43" s="542">
        <f t="shared" ca="1" si="112"/>
        <v>0</v>
      </c>
      <c r="CH43" s="542">
        <f t="shared" ca="1" si="112"/>
        <v>0</v>
      </c>
      <c r="CI43" s="542">
        <f t="shared" ca="1" si="112"/>
        <v>0</v>
      </c>
      <c r="CJ43" s="542">
        <f t="shared" ca="1" si="112"/>
        <v>0</v>
      </c>
      <c r="CK43" s="542">
        <f t="shared" ca="1" si="112"/>
        <v>0</v>
      </c>
      <c r="CL43" s="542">
        <f t="shared" ca="1" si="113"/>
        <v>0</v>
      </c>
      <c r="CM43" s="542">
        <f t="shared" ca="1" si="113"/>
        <v>0</v>
      </c>
      <c r="CN43" s="542">
        <f t="shared" ca="1" si="113"/>
        <v>0</v>
      </c>
      <c r="CO43" s="542">
        <f t="shared" ca="1" si="113"/>
        <v>0</v>
      </c>
      <c r="CP43" s="542">
        <f t="shared" ca="1" si="113"/>
        <v>0</v>
      </c>
      <c r="CQ43" s="542">
        <f t="shared" ca="1" si="113"/>
        <v>0</v>
      </c>
      <c r="CR43" s="542">
        <f t="shared" ca="1" si="113"/>
        <v>0</v>
      </c>
      <c r="CS43" s="542">
        <f t="shared" ca="1" si="113"/>
        <v>0</v>
      </c>
      <c r="CT43" s="542">
        <f t="shared" ca="1" si="113"/>
        <v>0</v>
      </c>
      <c r="CU43" s="542">
        <f t="shared" ca="1" si="113"/>
        <v>0</v>
      </c>
      <c r="CW43" s="151">
        <f t="shared" ca="1" si="75"/>
        <v>0</v>
      </c>
    </row>
    <row r="44" spans="1:101" s="543" customFormat="1" ht="12.75" customHeight="1" outlineLevel="1" x14ac:dyDescent="0.2">
      <c r="C44" s="86" t="s">
        <v>2365</v>
      </c>
      <c r="D44" s="61" t="str">
        <f>INDEX(Modules[Module], MATCH($C44, Modules[Code], 0))</f>
        <v>Small Hydroelectric power stations</v>
      </c>
      <c r="E44" s="61"/>
      <c r="F44" s="84"/>
      <c r="G44" s="297">
        <f t="shared" ca="1" si="105"/>
        <v>0</v>
      </c>
      <c r="H44" s="297">
        <f t="shared" ca="1" si="105"/>
        <v>0</v>
      </c>
      <c r="I44" s="297">
        <f t="shared" ca="1" si="105"/>
        <v>0</v>
      </c>
      <c r="J44" s="297">
        <f t="shared" ca="1" si="105"/>
        <v>0</v>
      </c>
      <c r="K44" s="297">
        <f t="shared" ca="1" si="105"/>
        <v>0</v>
      </c>
      <c r="L44" s="297">
        <f t="shared" ca="1" si="105"/>
        <v>0</v>
      </c>
      <c r="M44" s="297">
        <f t="shared" ca="1" si="105"/>
        <v>0</v>
      </c>
      <c r="N44" s="297">
        <f t="shared" ca="1" si="105"/>
        <v>0</v>
      </c>
      <c r="O44" s="297">
        <f t="shared" ca="1" si="105"/>
        <v>0</v>
      </c>
      <c r="P44" s="297">
        <f t="shared" ca="1" si="70"/>
        <v>0</v>
      </c>
      <c r="Q44" s="84"/>
      <c r="R44" s="304">
        <f t="shared" ca="1" si="106"/>
        <v>0</v>
      </c>
      <c r="S44" s="304">
        <f t="shared" ca="1" si="106"/>
        <v>8.8865951142857327</v>
      </c>
      <c r="T44" s="304">
        <f t="shared" ca="1" si="106"/>
        <v>0</v>
      </c>
      <c r="U44" s="304">
        <f t="shared" ca="1" si="106"/>
        <v>0</v>
      </c>
      <c r="V44" s="304">
        <f t="shared" ca="1" si="106"/>
        <v>0</v>
      </c>
      <c r="W44" s="304">
        <f t="shared" ca="1" si="106"/>
        <v>0</v>
      </c>
      <c r="X44" s="304">
        <f t="shared" ca="1" si="107"/>
        <v>0</v>
      </c>
      <c r="Y44" s="304">
        <f t="shared" ca="1" si="107"/>
        <v>0</v>
      </c>
      <c r="Z44" s="304">
        <f t="shared" ca="1" si="107"/>
        <v>0</v>
      </c>
      <c r="AA44" s="304">
        <f t="shared" ca="1" si="106"/>
        <v>0</v>
      </c>
      <c r="AB44" s="304">
        <f t="shared" ca="1" si="106"/>
        <v>0</v>
      </c>
      <c r="AC44" s="304">
        <f t="shared" ca="1" si="106"/>
        <v>0</v>
      </c>
      <c r="AD44" s="304">
        <f t="shared" ca="1" si="106"/>
        <v>0</v>
      </c>
      <c r="AE44" s="304">
        <f t="shared" ca="1" si="106"/>
        <v>0</v>
      </c>
      <c r="AF44" s="304">
        <f t="shared" ca="1" si="106"/>
        <v>0</v>
      </c>
      <c r="AG44" s="304">
        <f t="shared" ca="1" si="106"/>
        <v>0</v>
      </c>
      <c r="AH44" s="305">
        <f t="shared" ca="1" si="5"/>
        <v>8.8865951142857327</v>
      </c>
      <c r="AI44" s="84"/>
      <c r="AJ44" s="312">
        <f t="shared" ca="1" si="108"/>
        <v>0</v>
      </c>
      <c r="AK44" s="312">
        <f t="shared" ca="1" si="108"/>
        <v>0</v>
      </c>
      <c r="AL44" s="312">
        <f t="shared" ca="1" si="108"/>
        <v>0</v>
      </c>
      <c r="AM44" s="312">
        <f t="shared" ca="1" si="108"/>
        <v>0</v>
      </c>
      <c r="AN44" s="312">
        <f t="shared" ca="1" si="108"/>
        <v>0</v>
      </c>
      <c r="AO44" s="312">
        <f t="shared" ca="1" si="108"/>
        <v>0</v>
      </c>
      <c r="AP44" s="312">
        <f t="shared" ca="1" si="108"/>
        <v>0</v>
      </c>
      <c r="AQ44" s="312">
        <f t="shared" ca="1" si="108"/>
        <v>0</v>
      </c>
      <c r="AR44" s="312">
        <f t="shared" ca="1" si="108"/>
        <v>0</v>
      </c>
      <c r="AS44" s="312">
        <f t="shared" ca="1" si="106"/>
        <v>0</v>
      </c>
      <c r="AT44" s="312">
        <f t="shared" ca="1" si="106"/>
        <v>0</v>
      </c>
      <c r="AU44" s="312">
        <f t="shared" ca="1" si="106"/>
        <v>0</v>
      </c>
      <c r="AV44" s="312">
        <f t="shared" ca="1" si="106"/>
        <v>-8.8865951142857327</v>
      </c>
      <c r="AW44" s="312">
        <f t="shared" ca="1" si="106"/>
        <v>0</v>
      </c>
      <c r="AX44" s="312">
        <f t="shared" ca="1" si="106"/>
        <v>0</v>
      </c>
      <c r="AY44" s="266">
        <f t="shared" ca="1" si="74"/>
        <v>-8.8865951142857327</v>
      </c>
      <c r="AZ44" s="84"/>
      <c r="BA44" s="308">
        <f t="shared" ca="1" si="109"/>
        <v>0</v>
      </c>
      <c r="BB44" s="308">
        <f t="shared" ca="1" si="109"/>
        <v>0</v>
      </c>
      <c r="BC44" s="309">
        <f t="shared" ca="1" si="10"/>
        <v>0</v>
      </c>
      <c r="BD44" s="84"/>
      <c r="BE44" s="135">
        <f t="shared" ca="1" si="103"/>
        <v>0</v>
      </c>
      <c r="BF44" s="135"/>
      <c r="BG44" s="1428"/>
      <c r="BH44" s="541">
        <f t="shared" ca="1" si="110"/>
        <v>0</v>
      </c>
      <c r="BI44" s="542">
        <f t="shared" ca="1" si="110"/>
        <v>0</v>
      </c>
      <c r="BJ44" s="542">
        <f t="shared" ca="1" si="110"/>
        <v>0</v>
      </c>
      <c r="BK44" s="542">
        <f t="shared" ca="1" si="110"/>
        <v>0</v>
      </c>
      <c r="BL44" s="542">
        <f t="shared" ca="1" si="110"/>
        <v>0</v>
      </c>
      <c r="BM44" s="542">
        <f t="shared" ca="1" si="110"/>
        <v>0</v>
      </c>
      <c r="BN44" s="542">
        <f t="shared" ca="1" si="110"/>
        <v>0</v>
      </c>
      <c r="BO44" s="542">
        <f t="shared" ca="1" si="110"/>
        <v>0</v>
      </c>
      <c r="BP44" s="542">
        <f t="shared" ca="1" si="110"/>
        <v>0</v>
      </c>
      <c r="BQ44" s="542">
        <f t="shared" ca="1" si="110"/>
        <v>0</v>
      </c>
      <c r="BR44" s="542">
        <f t="shared" ca="1" si="111"/>
        <v>0</v>
      </c>
      <c r="BS44" s="542">
        <f t="shared" ca="1" si="111"/>
        <v>0</v>
      </c>
      <c r="BT44" s="542">
        <f t="shared" ca="1" si="111"/>
        <v>0</v>
      </c>
      <c r="BU44" s="542">
        <f t="shared" ca="1" si="111"/>
        <v>0</v>
      </c>
      <c r="BV44" s="542">
        <f t="shared" ca="1" si="111"/>
        <v>0</v>
      </c>
      <c r="BW44" s="542">
        <f t="shared" ca="1" si="111"/>
        <v>0</v>
      </c>
      <c r="BX44" s="542">
        <f t="shared" ca="1" si="111"/>
        <v>0</v>
      </c>
      <c r="BY44" s="542">
        <f t="shared" ca="1" si="111"/>
        <v>0</v>
      </c>
      <c r="BZ44" s="542">
        <f t="shared" ca="1" si="111"/>
        <v>0</v>
      </c>
      <c r="CA44" s="542">
        <f t="shared" ca="1" si="111"/>
        <v>0</v>
      </c>
      <c r="CB44" s="542">
        <f t="shared" ca="1" si="112"/>
        <v>0</v>
      </c>
      <c r="CC44" s="542">
        <f t="shared" ca="1" si="112"/>
        <v>0</v>
      </c>
      <c r="CD44" s="542">
        <f t="shared" ca="1" si="112"/>
        <v>0</v>
      </c>
      <c r="CE44" s="542">
        <f t="shared" ca="1" si="112"/>
        <v>0</v>
      </c>
      <c r="CF44" s="542">
        <f t="shared" ca="1" si="112"/>
        <v>0</v>
      </c>
      <c r="CG44" s="542">
        <f t="shared" ca="1" si="112"/>
        <v>0</v>
      </c>
      <c r="CH44" s="542">
        <f t="shared" ca="1" si="112"/>
        <v>0</v>
      </c>
      <c r="CI44" s="542">
        <f t="shared" ca="1" si="112"/>
        <v>0</v>
      </c>
      <c r="CJ44" s="542">
        <f t="shared" ca="1" si="112"/>
        <v>0</v>
      </c>
      <c r="CK44" s="542">
        <f t="shared" ca="1" si="112"/>
        <v>0</v>
      </c>
      <c r="CL44" s="542">
        <f t="shared" ca="1" si="113"/>
        <v>0</v>
      </c>
      <c r="CM44" s="542">
        <f t="shared" ca="1" si="113"/>
        <v>0</v>
      </c>
      <c r="CN44" s="542">
        <f t="shared" ca="1" si="113"/>
        <v>0</v>
      </c>
      <c r="CO44" s="542">
        <f t="shared" ca="1" si="113"/>
        <v>0</v>
      </c>
      <c r="CP44" s="542">
        <f t="shared" ca="1" si="113"/>
        <v>0</v>
      </c>
      <c r="CQ44" s="542">
        <f t="shared" ca="1" si="113"/>
        <v>0</v>
      </c>
      <c r="CR44" s="542">
        <f t="shared" ca="1" si="113"/>
        <v>0</v>
      </c>
      <c r="CS44" s="542">
        <f t="shared" ca="1" si="113"/>
        <v>0</v>
      </c>
      <c r="CT44" s="542">
        <f t="shared" ca="1" si="113"/>
        <v>0</v>
      </c>
      <c r="CU44" s="542">
        <f t="shared" ca="1" si="113"/>
        <v>0</v>
      </c>
      <c r="CW44" s="151">
        <f ca="1">SUM(BH44:CU44)</f>
        <v>0</v>
      </c>
    </row>
    <row r="45" spans="1:101" s="543" customFormat="1" ht="12.75" customHeight="1" outlineLevel="1" x14ac:dyDescent="0.2">
      <c r="C45" s="86" t="s">
        <v>2364</v>
      </c>
      <c r="D45" s="61" t="str">
        <f>INDEX(Modules[Module], MATCH($C45, Modules[Code], 0))</f>
        <v>Grid Connected Solar PV</v>
      </c>
      <c r="E45" s="61"/>
      <c r="F45" s="84"/>
      <c r="G45" s="297">
        <f t="shared" ca="1" si="105"/>
        <v>0</v>
      </c>
      <c r="H45" s="297">
        <f t="shared" ca="1" si="105"/>
        <v>0</v>
      </c>
      <c r="I45" s="297">
        <f t="shared" ca="1" si="105"/>
        <v>0</v>
      </c>
      <c r="J45" s="297">
        <f t="shared" ca="1" si="105"/>
        <v>0</v>
      </c>
      <c r="K45" s="297">
        <f t="shared" ca="1" si="105"/>
        <v>0</v>
      </c>
      <c r="L45" s="297">
        <f t="shared" ca="1" si="105"/>
        <v>0</v>
      </c>
      <c r="M45" s="297">
        <f t="shared" ca="1" si="105"/>
        <v>0</v>
      </c>
      <c r="N45" s="297">
        <f t="shared" ca="1" si="105"/>
        <v>0</v>
      </c>
      <c r="O45" s="297">
        <f t="shared" ca="1" si="105"/>
        <v>0</v>
      </c>
      <c r="P45" s="297">
        <f t="shared" ca="1" si="70"/>
        <v>0</v>
      </c>
      <c r="Q45" s="84"/>
      <c r="R45" s="304">
        <f t="shared" ca="1" si="106"/>
        <v>0</v>
      </c>
      <c r="S45" s="304">
        <f t="shared" ca="1" si="106"/>
        <v>102.04807409999999</v>
      </c>
      <c r="T45" s="304">
        <f t="shared" ca="1" si="106"/>
        <v>0</v>
      </c>
      <c r="U45" s="304">
        <f t="shared" ca="1" si="106"/>
        <v>0</v>
      </c>
      <c r="V45" s="304">
        <f t="shared" ca="1" si="106"/>
        <v>0</v>
      </c>
      <c r="W45" s="304">
        <f t="shared" ca="1" si="106"/>
        <v>0</v>
      </c>
      <c r="X45" s="304">
        <f t="shared" ca="1" si="107"/>
        <v>0</v>
      </c>
      <c r="Y45" s="304">
        <f t="shared" ca="1" si="107"/>
        <v>0</v>
      </c>
      <c r="Z45" s="304">
        <f t="shared" ca="1" si="107"/>
        <v>0</v>
      </c>
      <c r="AA45" s="304">
        <f t="shared" ca="1" si="106"/>
        <v>0</v>
      </c>
      <c r="AB45" s="304">
        <f t="shared" ca="1" si="106"/>
        <v>0</v>
      </c>
      <c r="AC45" s="304">
        <f t="shared" ca="1" si="106"/>
        <v>0</v>
      </c>
      <c r="AD45" s="304">
        <f t="shared" ca="1" si="106"/>
        <v>0</v>
      </c>
      <c r="AE45" s="304">
        <f t="shared" ca="1" si="106"/>
        <v>0</v>
      </c>
      <c r="AF45" s="304">
        <f t="shared" ca="1" si="106"/>
        <v>0</v>
      </c>
      <c r="AG45" s="304">
        <f t="shared" ca="1" si="106"/>
        <v>0</v>
      </c>
      <c r="AH45" s="305">
        <f t="shared" ca="1" si="5"/>
        <v>102.04807409999999</v>
      </c>
      <c r="AI45" s="84"/>
      <c r="AJ45" s="312">
        <f t="shared" ca="1" si="108"/>
        <v>0</v>
      </c>
      <c r="AK45" s="312">
        <f t="shared" ca="1" si="108"/>
        <v>0</v>
      </c>
      <c r="AL45" s="312">
        <f t="shared" ca="1" si="108"/>
        <v>0</v>
      </c>
      <c r="AM45" s="312">
        <f t="shared" ca="1" si="108"/>
        <v>0</v>
      </c>
      <c r="AN45" s="312">
        <f t="shared" ca="1" si="108"/>
        <v>0</v>
      </c>
      <c r="AO45" s="312">
        <f t="shared" ca="1" si="108"/>
        <v>0</v>
      </c>
      <c r="AP45" s="312">
        <f t="shared" ca="1" si="108"/>
        <v>0</v>
      </c>
      <c r="AQ45" s="312">
        <f t="shared" ca="1" si="108"/>
        <v>0</v>
      </c>
      <c r="AR45" s="312">
        <f t="shared" ca="1" si="108"/>
        <v>0</v>
      </c>
      <c r="AS45" s="312">
        <f t="shared" ca="1" si="106"/>
        <v>0</v>
      </c>
      <c r="AT45" s="312">
        <f t="shared" ca="1" si="106"/>
        <v>-102.04807409999999</v>
      </c>
      <c r="AU45" s="312">
        <f t="shared" ca="1" si="106"/>
        <v>0</v>
      </c>
      <c r="AV45" s="312">
        <f t="shared" ca="1" si="106"/>
        <v>0</v>
      </c>
      <c r="AW45" s="312">
        <f t="shared" ca="1" si="106"/>
        <v>0</v>
      </c>
      <c r="AX45" s="312">
        <f t="shared" ca="1" si="106"/>
        <v>0</v>
      </c>
      <c r="AY45" s="266">
        <f t="shared" ca="1" si="74"/>
        <v>-102.04807409999999</v>
      </c>
      <c r="AZ45" s="84"/>
      <c r="BA45" s="308">
        <f t="shared" ca="1" si="109"/>
        <v>0</v>
      </c>
      <c r="BB45" s="308">
        <f t="shared" ca="1" si="109"/>
        <v>0</v>
      </c>
      <c r="BC45" s="309">
        <f t="shared" ca="1" si="10"/>
        <v>0</v>
      </c>
      <c r="BD45" s="84"/>
      <c r="BE45" s="135">
        <f t="shared" ca="1" si="103"/>
        <v>0</v>
      </c>
      <c r="BF45" s="135"/>
      <c r="BG45" s="1428"/>
      <c r="BH45" s="541">
        <f t="shared" ca="1" si="110"/>
        <v>0</v>
      </c>
      <c r="BI45" s="542">
        <f t="shared" ca="1" si="110"/>
        <v>0</v>
      </c>
      <c r="BJ45" s="542">
        <f t="shared" ca="1" si="110"/>
        <v>0</v>
      </c>
      <c r="BK45" s="542">
        <f t="shared" ca="1" si="110"/>
        <v>0</v>
      </c>
      <c r="BL45" s="542">
        <f t="shared" ca="1" si="110"/>
        <v>0</v>
      </c>
      <c r="BM45" s="542">
        <f t="shared" ca="1" si="110"/>
        <v>0</v>
      </c>
      <c r="BN45" s="542">
        <f t="shared" ca="1" si="110"/>
        <v>0</v>
      </c>
      <c r="BO45" s="542">
        <f t="shared" ca="1" si="110"/>
        <v>0</v>
      </c>
      <c r="BP45" s="542">
        <f t="shared" ca="1" si="110"/>
        <v>0</v>
      </c>
      <c r="BQ45" s="542">
        <f t="shared" ca="1" si="110"/>
        <v>0</v>
      </c>
      <c r="BR45" s="542">
        <f t="shared" ca="1" si="111"/>
        <v>0</v>
      </c>
      <c r="BS45" s="542">
        <f t="shared" ca="1" si="111"/>
        <v>0</v>
      </c>
      <c r="BT45" s="542">
        <f t="shared" ca="1" si="111"/>
        <v>0</v>
      </c>
      <c r="BU45" s="542">
        <f t="shared" ca="1" si="111"/>
        <v>0</v>
      </c>
      <c r="BV45" s="542">
        <f t="shared" ca="1" si="111"/>
        <v>0</v>
      </c>
      <c r="BW45" s="542">
        <f t="shared" ca="1" si="111"/>
        <v>0</v>
      </c>
      <c r="BX45" s="542">
        <f t="shared" ca="1" si="111"/>
        <v>0</v>
      </c>
      <c r="BY45" s="542">
        <f t="shared" ca="1" si="111"/>
        <v>0</v>
      </c>
      <c r="BZ45" s="542">
        <f t="shared" ca="1" si="111"/>
        <v>0</v>
      </c>
      <c r="CA45" s="542">
        <f t="shared" ca="1" si="111"/>
        <v>0</v>
      </c>
      <c r="CB45" s="542">
        <f t="shared" ca="1" si="112"/>
        <v>0</v>
      </c>
      <c r="CC45" s="542">
        <f t="shared" ca="1" si="112"/>
        <v>0</v>
      </c>
      <c r="CD45" s="542">
        <f t="shared" ca="1" si="112"/>
        <v>0</v>
      </c>
      <c r="CE45" s="542">
        <f t="shared" ca="1" si="112"/>
        <v>0</v>
      </c>
      <c r="CF45" s="542">
        <f t="shared" ca="1" si="112"/>
        <v>0</v>
      </c>
      <c r="CG45" s="542">
        <f t="shared" ca="1" si="112"/>
        <v>0</v>
      </c>
      <c r="CH45" s="542">
        <f t="shared" ca="1" si="112"/>
        <v>0</v>
      </c>
      <c r="CI45" s="542">
        <f t="shared" ca="1" si="112"/>
        <v>0</v>
      </c>
      <c r="CJ45" s="542">
        <f t="shared" ca="1" si="112"/>
        <v>0</v>
      </c>
      <c r="CK45" s="542">
        <f t="shared" ca="1" si="112"/>
        <v>0</v>
      </c>
      <c r="CL45" s="542">
        <f t="shared" ca="1" si="113"/>
        <v>0</v>
      </c>
      <c r="CM45" s="542">
        <f t="shared" ca="1" si="113"/>
        <v>0</v>
      </c>
      <c r="CN45" s="542">
        <f t="shared" ca="1" si="113"/>
        <v>0</v>
      </c>
      <c r="CO45" s="542">
        <f t="shared" ca="1" si="113"/>
        <v>0</v>
      </c>
      <c r="CP45" s="542">
        <f t="shared" ca="1" si="113"/>
        <v>0</v>
      </c>
      <c r="CQ45" s="542">
        <f t="shared" ca="1" si="113"/>
        <v>0</v>
      </c>
      <c r="CR45" s="542">
        <f t="shared" ca="1" si="113"/>
        <v>0</v>
      </c>
      <c r="CS45" s="542">
        <f t="shared" ca="1" si="113"/>
        <v>0</v>
      </c>
      <c r="CT45" s="542">
        <f t="shared" ca="1" si="113"/>
        <v>0</v>
      </c>
      <c r="CU45" s="542">
        <f t="shared" ca="1" si="113"/>
        <v>0</v>
      </c>
      <c r="CW45" s="151">
        <f t="shared" ref="CW45:CW57" ca="1" si="114">SUM(BH45:CU45)</f>
        <v>0</v>
      </c>
    </row>
    <row r="46" spans="1:101" s="84" customFormat="1" ht="12.75" customHeight="1" outlineLevel="1" x14ac:dyDescent="0.2">
      <c r="A46" s="543"/>
      <c r="B46" s="543"/>
      <c r="C46" s="86" t="s">
        <v>2376</v>
      </c>
      <c r="D46" s="292" t="str">
        <f>INDEX(Modules[Module], MATCH($C46, Modules[Code], 0))</f>
        <v>Concentrated Solar Power</v>
      </c>
      <c r="E46" s="292"/>
      <c r="G46" s="301">
        <f t="shared" ca="1" si="105"/>
        <v>0</v>
      </c>
      <c r="H46" s="301">
        <f t="shared" ca="1" si="105"/>
        <v>0</v>
      </c>
      <c r="I46" s="301">
        <f t="shared" ca="1" si="105"/>
        <v>0</v>
      </c>
      <c r="J46" s="301">
        <f t="shared" ca="1" si="105"/>
        <v>0</v>
      </c>
      <c r="K46" s="301">
        <f t="shared" ca="1" si="105"/>
        <v>0</v>
      </c>
      <c r="L46" s="301">
        <f t="shared" ca="1" si="105"/>
        <v>0</v>
      </c>
      <c r="M46" s="301">
        <f t="shared" ca="1" si="105"/>
        <v>0</v>
      </c>
      <c r="N46" s="301">
        <f t="shared" ca="1" si="105"/>
        <v>0</v>
      </c>
      <c r="O46" s="301">
        <f t="shared" ca="1" si="105"/>
        <v>0</v>
      </c>
      <c r="P46" s="301">
        <f t="shared" ca="1" si="70"/>
        <v>0</v>
      </c>
      <c r="R46" s="307">
        <f t="shared" ca="1" si="106"/>
        <v>0</v>
      </c>
      <c r="S46" s="307">
        <f t="shared" ca="1" si="106"/>
        <v>70.136765999999994</v>
      </c>
      <c r="T46" s="307">
        <f t="shared" ca="1" si="106"/>
        <v>0</v>
      </c>
      <c r="U46" s="307">
        <f t="shared" ca="1" si="106"/>
        <v>0</v>
      </c>
      <c r="V46" s="307">
        <f t="shared" ca="1" si="106"/>
        <v>0</v>
      </c>
      <c r="W46" s="307">
        <f t="shared" ca="1" si="106"/>
        <v>0</v>
      </c>
      <c r="X46" s="307">
        <f t="shared" ca="1" si="107"/>
        <v>0</v>
      </c>
      <c r="Y46" s="307">
        <f t="shared" ca="1" si="107"/>
        <v>0</v>
      </c>
      <c r="Z46" s="307">
        <f t="shared" ca="1" si="107"/>
        <v>0</v>
      </c>
      <c r="AA46" s="307">
        <f t="shared" ca="1" si="106"/>
        <v>0</v>
      </c>
      <c r="AB46" s="307">
        <f t="shared" ca="1" si="106"/>
        <v>0</v>
      </c>
      <c r="AC46" s="307">
        <f t="shared" ca="1" si="106"/>
        <v>0</v>
      </c>
      <c r="AD46" s="307">
        <f t="shared" ca="1" si="106"/>
        <v>0</v>
      </c>
      <c r="AE46" s="307">
        <f t="shared" ca="1" si="106"/>
        <v>0</v>
      </c>
      <c r="AF46" s="307">
        <f t="shared" ca="1" si="106"/>
        <v>0</v>
      </c>
      <c r="AG46" s="307">
        <f t="shared" ca="1" si="106"/>
        <v>0</v>
      </c>
      <c r="AH46" s="306">
        <f t="shared" ca="1" si="5"/>
        <v>70.136765999999994</v>
      </c>
      <c r="AJ46" s="315">
        <f t="shared" ca="1" si="108"/>
        <v>0</v>
      </c>
      <c r="AK46" s="315">
        <f t="shared" ca="1" si="108"/>
        <v>0</v>
      </c>
      <c r="AL46" s="315">
        <f t="shared" ca="1" si="108"/>
        <v>0</v>
      </c>
      <c r="AM46" s="315">
        <f t="shared" ca="1" si="108"/>
        <v>0</v>
      </c>
      <c r="AN46" s="315">
        <f t="shared" ca="1" si="108"/>
        <v>0</v>
      </c>
      <c r="AO46" s="315">
        <f t="shared" ca="1" si="108"/>
        <v>0</v>
      </c>
      <c r="AP46" s="315">
        <f t="shared" ca="1" si="108"/>
        <v>0</v>
      </c>
      <c r="AQ46" s="315">
        <f t="shared" ca="1" si="108"/>
        <v>0</v>
      </c>
      <c r="AR46" s="315">
        <f t="shared" ca="1" si="108"/>
        <v>0</v>
      </c>
      <c r="AS46" s="315">
        <f t="shared" ca="1" si="106"/>
        <v>0</v>
      </c>
      <c r="AT46" s="315">
        <f t="shared" ca="1" si="106"/>
        <v>-70.136765999999994</v>
      </c>
      <c r="AU46" s="315">
        <f t="shared" ca="1" si="106"/>
        <v>0</v>
      </c>
      <c r="AV46" s="315">
        <f t="shared" ca="1" si="106"/>
        <v>0</v>
      </c>
      <c r="AW46" s="315">
        <f t="shared" ca="1" si="106"/>
        <v>0</v>
      </c>
      <c r="AX46" s="315">
        <f t="shared" ca="1" si="106"/>
        <v>0</v>
      </c>
      <c r="AY46" s="293">
        <f t="shared" ca="1" si="74"/>
        <v>-70.136765999999994</v>
      </c>
      <c r="BA46" s="311">
        <f t="shared" ca="1" si="109"/>
        <v>0</v>
      </c>
      <c r="BB46" s="311">
        <f t="shared" ca="1" si="109"/>
        <v>0</v>
      </c>
      <c r="BC46" s="310">
        <f t="shared" ca="1" si="10"/>
        <v>0</v>
      </c>
      <c r="BE46" s="135">
        <f t="shared" ca="1" si="103"/>
        <v>0</v>
      </c>
      <c r="BF46" s="135"/>
      <c r="BG46" s="1428"/>
      <c r="BH46" s="544">
        <f t="shared" ca="1" si="110"/>
        <v>0</v>
      </c>
      <c r="BI46" s="545">
        <f t="shared" ca="1" si="110"/>
        <v>0</v>
      </c>
      <c r="BJ46" s="545">
        <f t="shared" ca="1" si="110"/>
        <v>0</v>
      </c>
      <c r="BK46" s="545">
        <f t="shared" ca="1" si="110"/>
        <v>0</v>
      </c>
      <c r="BL46" s="545">
        <f t="shared" ca="1" si="110"/>
        <v>0</v>
      </c>
      <c r="BM46" s="545">
        <f t="shared" ca="1" si="110"/>
        <v>0</v>
      </c>
      <c r="BN46" s="545">
        <f t="shared" ca="1" si="110"/>
        <v>0</v>
      </c>
      <c r="BO46" s="545">
        <f t="shared" ca="1" si="110"/>
        <v>0</v>
      </c>
      <c r="BP46" s="545">
        <f t="shared" ca="1" si="110"/>
        <v>0</v>
      </c>
      <c r="BQ46" s="545">
        <f t="shared" ca="1" si="110"/>
        <v>0</v>
      </c>
      <c r="BR46" s="545">
        <f t="shared" ca="1" si="111"/>
        <v>0</v>
      </c>
      <c r="BS46" s="545">
        <f t="shared" ca="1" si="111"/>
        <v>0</v>
      </c>
      <c r="BT46" s="545">
        <f t="shared" ca="1" si="111"/>
        <v>0</v>
      </c>
      <c r="BU46" s="545">
        <f t="shared" ca="1" si="111"/>
        <v>0</v>
      </c>
      <c r="BV46" s="545">
        <f t="shared" ca="1" si="111"/>
        <v>0</v>
      </c>
      <c r="BW46" s="545">
        <f t="shared" ca="1" si="111"/>
        <v>0</v>
      </c>
      <c r="BX46" s="545">
        <f t="shared" ca="1" si="111"/>
        <v>0</v>
      </c>
      <c r="BY46" s="545">
        <f t="shared" ca="1" si="111"/>
        <v>0</v>
      </c>
      <c r="BZ46" s="545">
        <f t="shared" ca="1" si="111"/>
        <v>0</v>
      </c>
      <c r="CA46" s="545">
        <f t="shared" ca="1" si="111"/>
        <v>0</v>
      </c>
      <c r="CB46" s="545">
        <f t="shared" ca="1" si="112"/>
        <v>0</v>
      </c>
      <c r="CC46" s="545">
        <f t="shared" ca="1" si="112"/>
        <v>0</v>
      </c>
      <c r="CD46" s="545">
        <f t="shared" ca="1" si="112"/>
        <v>0</v>
      </c>
      <c r="CE46" s="545">
        <f t="shared" ca="1" si="112"/>
        <v>0</v>
      </c>
      <c r="CF46" s="545">
        <f t="shared" ca="1" si="112"/>
        <v>0</v>
      </c>
      <c r="CG46" s="545">
        <f t="shared" ca="1" si="112"/>
        <v>0</v>
      </c>
      <c r="CH46" s="545">
        <f t="shared" ca="1" si="112"/>
        <v>0</v>
      </c>
      <c r="CI46" s="545">
        <f t="shared" ca="1" si="112"/>
        <v>0</v>
      </c>
      <c r="CJ46" s="545">
        <f t="shared" ca="1" si="112"/>
        <v>0</v>
      </c>
      <c r="CK46" s="545">
        <f t="shared" ca="1" si="112"/>
        <v>0</v>
      </c>
      <c r="CL46" s="545">
        <f t="shared" ca="1" si="113"/>
        <v>0</v>
      </c>
      <c r="CM46" s="545">
        <f t="shared" ca="1" si="113"/>
        <v>0</v>
      </c>
      <c r="CN46" s="545">
        <f t="shared" ca="1" si="113"/>
        <v>0</v>
      </c>
      <c r="CO46" s="545">
        <f t="shared" ca="1" si="113"/>
        <v>0</v>
      </c>
      <c r="CP46" s="545">
        <f t="shared" ca="1" si="113"/>
        <v>0</v>
      </c>
      <c r="CQ46" s="545">
        <f t="shared" ca="1" si="113"/>
        <v>0</v>
      </c>
      <c r="CR46" s="545">
        <f t="shared" ca="1" si="113"/>
        <v>0</v>
      </c>
      <c r="CS46" s="545">
        <f t="shared" ca="1" si="113"/>
        <v>0</v>
      </c>
      <c r="CT46" s="545">
        <f t="shared" ca="1" si="113"/>
        <v>0</v>
      </c>
      <c r="CU46" s="545">
        <f t="shared" ca="1" si="113"/>
        <v>0</v>
      </c>
      <c r="CW46" s="151">
        <f t="shared" ca="1" si="114"/>
        <v>0</v>
      </c>
    </row>
    <row r="47" spans="1:101" s="84" customFormat="1" ht="15.75" x14ac:dyDescent="0.2">
      <c r="A47" s="18"/>
      <c r="B47" s="89"/>
      <c r="C47" s="85" t="s">
        <v>62</v>
      </c>
      <c r="D47" s="57" t="str">
        <f>INDEX(Workstreams[Workstream], MATCH($C47, Workstreams[Code], 0))</f>
        <v>National renewable power generation</v>
      </c>
      <c r="E47" s="53"/>
      <c r="G47" s="245">
        <f t="shared" ref="G47:O47" ca="1" si="115">SUM(G42:G46)</f>
        <v>0</v>
      </c>
      <c r="H47" s="245">
        <f t="shared" ca="1" si="115"/>
        <v>0</v>
      </c>
      <c r="I47" s="245">
        <f ca="1">SUM(I42:I46)</f>
        <v>0</v>
      </c>
      <c r="J47" s="245">
        <f t="shared" ca="1" si="115"/>
        <v>0</v>
      </c>
      <c r="K47" s="245">
        <f t="shared" ca="1" si="115"/>
        <v>0</v>
      </c>
      <c r="L47" s="245">
        <f t="shared" ca="1" si="115"/>
        <v>0</v>
      </c>
      <c r="M47" s="245">
        <f t="shared" ca="1" si="115"/>
        <v>0</v>
      </c>
      <c r="N47" s="245">
        <f t="shared" ca="1" si="115"/>
        <v>0</v>
      </c>
      <c r="O47" s="245">
        <f t="shared" ca="1" si="115"/>
        <v>0</v>
      </c>
      <c r="P47" s="245">
        <f t="shared" ca="1" si="70"/>
        <v>0</v>
      </c>
      <c r="R47" s="257">
        <f t="shared" ref="R47:AF47" ca="1" si="116">SUM(R42:R46)</f>
        <v>0</v>
      </c>
      <c r="S47" s="257">
        <f t="shared" ca="1" si="116"/>
        <v>233.87781921428572</v>
      </c>
      <c r="T47" s="257">
        <f t="shared" ca="1" si="116"/>
        <v>0</v>
      </c>
      <c r="U47" s="257">
        <f t="shared" ca="1" si="116"/>
        <v>0</v>
      </c>
      <c r="V47" s="257">
        <f t="shared" ca="1" si="116"/>
        <v>0</v>
      </c>
      <c r="W47" s="257">
        <f ca="1">SUM(W42:W46)</f>
        <v>0</v>
      </c>
      <c r="X47" s="257">
        <f t="shared" ca="1" si="116"/>
        <v>0</v>
      </c>
      <c r="Y47" s="257">
        <f t="shared" ca="1" si="116"/>
        <v>0</v>
      </c>
      <c r="Z47" s="257">
        <f t="shared" ca="1" si="116"/>
        <v>0</v>
      </c>
      <c r="AA47" s="257">
        <f t="shared" ca="1" si="116"/>
        <v>0</v>
      </c>
      <c r="AB47" s="257">
        <f t="shared" ca="1" si="116"/>
        <v>0</v>
      </c>
      <c r="AC47" s="257">
        <f t="shared" ca="1" si="116"/>
        <v>0</v>
      </c>
      <c r="AD47" s="257">
        <f ca="1">SUM(AD42:AD46)</f>
        <v>0</v>
      </c>
      <c r="AE47" s="257">
        <f t="shared" ca="1" si="116"/>
        <v>0</v>
      </c>
      <c r="AF47" s="257">
        <f t="shared" ca="1" si="116"/>
        <v>0</v>
      </c>
      <c r="AG47" s="257">
        <f ca="1">SUM(AG42:AG46)</f>
        <v>0</v>
      </c>
      <c r="AH47" s="257">
        <f t="shared" ca="1" si="5"/>
        <v>233.87781921428572</v>
      </c>
      <c r="AJ47" s="263">
        <f t="shared" ref="AJ47:AX47" ca="1" si="117">SUM(AJ42:AJ46)</f>
        <v>0</v>
      </c>
      <c r="AK47" s="263">
        <f t="shared" ca="1" si="117"/>
        <v>0</v>
      </c>
      <c r="AL47" s="263">
        <f t="shared" ca="1" si="117"/>
        <v>0</v>
      </c>
      <c r="AM47" s="263">
        <f t="shared" ca="1" si="117"/>
        <v>0</v>
      </c>
      <c r="AN47" s="263">
        <f t="shared" ca="1" si="117"/>
        <v>0</v>
      </c>
      <c r="AO47" s="263">
        <f t="shared" ca="1" si="117"/>
        <v>0</v>
      </c>
      <c r="AP47" s="263">
        <f t="shared" ca="1" si="117"/>
        <v>0</v>
      </c>
      <c r="AQ47" s="263">
        <f t="shared" ca="1" si="117"/>
        <v>0</v>
      </c>
      <c r="AR47" s="263">
        <f t="shared" ca="1" si="117"/>
        <v>0</v>
      </c>
      <c r="AS47" s="263">
        <f t="shared" ca="1" si="117"/>
        <v>0</v>
      </c>
      <c r="AT47" s="263">
        <f t="shared" ca="1" si="117"/>
        <v>-172.18484009999997</v>
      </c>
      <c r="AU47" s="263">
        <f t="shared" ca="1" si="117"/>
        <v>-14.726880000000001</v>
      </c>
      <c r="AV47" s="263">
        <f t="shared" ca="1" si="117"/>
        <v>-46.96609911428574</v>
      </c>
      <c r="AW47" s="263">
        <f t="shared" ca="1" si="117"/>
        <v>0</v>
      </c>
      <c r="AX47" s="263">
        <f t="shared" ca="1" si="117"/>
        <v>0</v>
      </c>
      <c r="AY47" s="263">
        <f t="shared" ca="1" si="74"/>
        <v>-233.87781921428569</v>
      </c>
      <c r="BA47" s="277">
        <f ca="1">SUM(BA42:BA46)</f>
        <v>0</v>
      </c>
      <c r="BB47" s="277">
        <f ca="1">SUM(BB42:BB46)</f>
        <v>0</v>
      </c>
      <c r="BC47" s="277">
        <f t="shared" ca="1" si="10"/>
        <v>0</v>
      </c>
      <c r="BE47" s="55">
        <f t="shared" ca="1" si="103"/>
        <v>2.8421709430404007E-14</v>
      </c>
      <c r="BF47" s="55"/>
      <c r="BG47" s="1428"/>
      <c r="BH47" s="542">
        <f t="shared" ref="BH47:CU47" ca="1" si="118">SUM(BH42:BH46)</f>
        <v>0</v>
      </c>
      <c r="BI47" s="542">
        <f t="shared" ca="1" si="118"/>
        <v>0</v>
      </c>
      <c r="BJ47" s="542">
        <f t="shared" ca="1" si="118"/>
        <v>0</v>
      </c>
      <c r="BK47" s="542">
        <f t="shared" ca="1" si="118"/>
        <v>0</v>
      </c>
      <c r="BL47" s="542">
        <f t="shared" ca="1" si="118"/>
        <v>0</v>
      </c>
      <c r="BM47" s="542">
        <f t="shared" ca="1" si="118"/>
        <v>0</v>
      </c>
      <c r="BN47" s="542">
        <f t="shared" ca="1" si="118"/>
        <v>0</v>
      </c>
      <c r="BO47" s="542">
        <f t="shared" ca="1" si="118"/>
        <v>0</v>
      </c>
      <c r="BP47" s="542">
        <f t="shared" ca="1" si="118"/>
        <v>0</v>
      </c>
      <c r="BQ47" s="542">
        <f t="shared" ca="1" si="118"/>
        <v>0</v>
      </c>
      <c r="BR47" s="542">
        <f t="shared" ca="1" si="118"/>
        <v>0</v>
      </c>
      <c r="BS47" s="542">
        <f t="shared" ca="1" si="118"/>
        <v>0</v>
      </c>
      <c r="BT47" s="542">
        <f t="shared" ca="1" si="118"/>
        <v>0</v>
      </c>
      <c r="BU47" s="542">
        <f t="shared" ca="1" si="118"/>
        <v>0</v>
      </c>
      <c r="BV47" s="542">
        <f t="shared" ca="1" si="118"/>
        <v>0</v>
      </c>
      <c r="BW47" s="542">
        <f t="shared" ca="1" si="118"/>
        <v>0</v>
      </c>
      <c r="BX47" s="542">
        <f t="shared" ca="1" si="118"/>
        <v>0</v>
      </c>
      <c r="BY47" s="542">
        <f t="shared" ca="1" si="118"/>
        <v>0</v>
      </c>
      <c r="BZ47" s="542">
        <f t="shared" ca="1" si="118"/>
        <v>0</v>
      </c>
      <c r="CA47" s="542">
        <f t="shared" ca="1" si="118"/>
        <v>0</v>
      </c>
      <c r="CB47" s="542">
        <f t="shared" ca="1" si="118"/>
        <v>0</v>
      </c>
      <c r="CC47" s="542">
        <f t="shared" ca="1" si="118"/>
        <v>0</v>
      </c>
      <c r="CD47" s="542">
        <f t="shared" ca="1" si="118"/>
        <v>0</v>
      </c>
      <c r="CE47" s="542">
        <f t="shared" ca="1" si="118"/>
        <v>0</v>
      </c>
      <c r="CF47" s="542">
        <f t="shared" ca="1" si="118"/>
        <v>0</v>
      </c>
      <c r="CG47" s="542">
        <f t="shared" ca="1" si="118"/>
        <v>0</v>
      </c>
      <c r="CH47" s="542">
        <f t="shared" ca="1" si="118"/>
        <v>0</v>
      </c>
      <c r="CI47" s="542">
        <f t="shared" ca="1" si="118"/>
        <v>0</v>
      </c>
      <c r="CJ47" s="542">
        <f t="shared" ca="1" si="118"/>
        <v>0</v>
      </c>
      <c r="CK47" s="542">
        <f t="shared" ca="1" si="118"/>
        <v>0</v>
      </c>
      <c r="CL47" s="542">
        <f t="shared" ca="1" si="118"/>
        <v>0</v>
      </c>
      <c r="CM47" s="542">
        <f t="shared" ca="1" si="118"/>
        <v>0</v>
      </c>
      <c r="CN47" s="542">
        <f t="shared" ca="1" si="118"/>
        <v>0</v>
      </c>
      <c r="CO47" s="542">
        <f t="shared" ca="1" si="118"/>
        <v>0</v>
      </c>
      <c r="CP47" s="542">
        <f t="shared" ca="1" si="118"/>
        <v>0</v>
      </c>
      <c r="CQ47" s="542">
        <f t="shared" ca="1" si="118"/>
        <v>0</v>
      </c>
      <c r="CR47" s="542">
        <f t="shared" ca="1" si="118"/>
        <v>0</v>
      </c>
      <c r="CS47" s="542">
        <f t="shared" ca="1" si="118"/>
        <v>0</v>
      </c>
      <c r="CT47" s="542">
        <f t="shared" ca="1" si="118"/>
        <v>0</v>
      </c>
      <c r="CU47" s="542">
        <f t="shared" ca="1" si="118"/>
        <v>0</v>
      </c>
      <c r="CW47" s="151">
        <f t="shared" ca="1" si="114"/>
        <v>0</v>
      </c>
    </row>
    <row r="48" spans="1:101" s="84" customFormat="1" ht="12.75" customHeight="1" outlineLevel="1" x14ac:dyDescent="0.2">
      <c r="A48" s="18"/>
      <c r="B48" s="18"/>
      <c r="C48" s="87"/>
      <c r="D48" s="53"/>
      <c r="E48" s="53"/>
      <c r="G48" s="245"/>
      <c r="H48" s="245"/>
      <c r="I48" s="245"/>
      <c r="J48" s="245"/>
      <c r="K48" s="245"/>
      <c r="L48" s="247"/>
      <c r="M48" s="245"/>
      <c r="N48" s="245"/>
      <c r="O48" s="245"/>
      <c r="P48" s="245">
        <f t="shared" si="70"/>
        <v>0</v>
      </c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>
        <f t="shared" si="5"/>
        <v>0</v>
      </c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>
        <f t="shared" si="74"/>
        <v>0</v>
      </c>
      <c r="BA48" s="277"/>
      <c r="BB48" s="277"/>
      <c r="BC48" s="277">
        <f t="shared" si="10"/>
        <v>0</v>
      </c>
      <c r="BE48" s="55"/>
      <c r="BF48" s="55"/>
      <c r="BG48" s="18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W48" s="151">
        <f t="shared" si="114"/>
        <v>0</v>
      </c>
    </row>
    <row r="49" spans="1:101" s="543" customFormat="1" ht="12.75" customHeight="1" outlineLevel="1" x14ac:dyDescent="0.2">
      <c r="C49" s="86" t="s">
        <v>409</v>
      </c>
      <c r="D49" s="61" t="str">
        <f>INDEX(Modules[Module], MATCH($C49, Modules[Code], 0))</f>
        <v>Stand-Alone Solar PV</v>
      </c>
      <c r="E49" s="61"/>
      <c r="G49" s="595">
        <f t="shared" ref="G49:O49" ca="1" si="119">IFERROR(INDEX(INDIRECT($C49&amp;".Outputs["&amp;this.Year&amp;"]"), MATCH(G$5, INDIRECT($C49&amp;".Outputs[Vector]"), 0)), 0)</f>
        <v>0</v>
      </c>
      <c r="H49" s="595">
        <f t="shared" ca="1" si="119"/>
        <v>0</v>
      </c>
      <c r="I49" s="595">
        <f t="shared" ca="1" si="119"/>
        <v>0</v>
      </c>
      <c r="J49" s="595">
        <f t="shared" ca="1" si="119"/>
        <v>0</v>
      </c>
      <c r="K49" s="595">
        <f t="shared" ca="1" si="119"/>
        <v>0</v>
      </c>
      <c r="L49" s="596">
        <f t="shared" ca="1" si="119"/>
        <v>0</v>
      </c>
      <c r="M49" s="595">
        <f t="shared" ca="1" si="119"/>
        <v>0</v>
      </c>
      <c r="N49" s="595">
        <f t="shared" ca="1" si="119"/>
        <v>0</v>
      </c>
      <c r="O49" s="595">
        <f t="shared" ca="1" si="119"/>
        <v>0</v>
      </c>
      <c r="P49" s="595">
        <f t="shared" ca="1" si="70"/>
        <v>0</v>
      </c>
      <c r="R49" s="597">
        <f t="shared" ref="R49:AX49" ca="1" si="120">IFERROR(INDEX(INDIRECT($C49&amp;".Outputs["&amp;this.Year&amp;"]"), MATCH(R$5, INDIRECT($C49&amp;".Outputs[Vector]"), 0)), 0)</f>
        <v>0</v>
      </c>
      <c r="S49" s="597">
        <f t="shared" ca="1" si="120"/>
        <v>56.026574099999991</v>
      </c>
      <c r="T49" s="597">
        <f t="shared" ca="1" si="120"/>
        <v>0</v>
      </c>
      <c r="U49" s="597">
        <f t="shared" ca="1" si="120"/>
        <v>0</v>
      </c>
      <c r="V49" s="597">
        <f t="shared" ca="1" si="120"/>
        <v>0</v>
      </c>
      <c r="W49" s="597">
        <f t="shared" ca="1" si="120"/>
        <v>0</v>
      </c>
      <c r="X49" s="597">
        <f ca="1">IFERROR(INDEX(INDIRECT($C49&amp;".Outputs["&amp;this.Year&amp;"]"), MATCH(X$5, INDIRECT($C49&amp;".Outputs[Vector]"), 0)), 0)</f>
        <v>0</v>
      </c>
      <c r="Y49" s="597">
        <f ca="1">IFERROR(INDEX(INDIRECT($C49&amp;".Outputs["&amp;this.Year&amp;"]"), MATCH(Y$5, INDIRECT($C49&amp;".Outputs[Vector]"), 0)), 0)</f>
        <v>0</v>
      </c>
      <c r="Z49" s="597">
        <f ca="1">IFERROR(INDEX(INDIRECT($C49&amp;".Outputs["&amp;this.Year&amp;"]"), MATCH(Z$5, INDIRECT($C49&amp;".Outputs[Vector]"), 0)), 0)</f>
        <v>0</v>
      </c>
      <c r="AA49" s="597">
        <f t="shared" ca="1" si="120"/>
        <v>0</v>
      </c>
      <c r="AB49" s="597">
        <f t="shared" ca="1" si="120"/>
        <v>0</v>
      </c>
      <c r="AC49" s="597">
        <f t="shared" ca="1" si="120"/>
        <v>0</v>
      </c>
      <c r="AD49" s="597">
        <f t="shared" ca="1" si="120"/>
        <v>0</v>
      </c>
      <c r="AE49" s="597">
        <f t="shared" ca="1" si="120"/>
        <v>0</v>
      </c>
      <c r="AF49" s="597">
        <f t="shared" ca="1" si="120"/>
        <v>0</v>
      </c>
      <c r="AG49" s="597">
        <f t="shared" ca="1" si="120"/>
        <v>0</v>
      </c>
      <c r="AH49" s="259">
        <f t="shared" ca="1" si="5"/>
        <v>56.026574099999991</v>
      </c>
      <c r="AJ49" s="598">
        <f t="shared" ref="AJ49:AR49" ca="1" si="121">IFERROR(INDEX(INDIRECT($C49&amp;".Outputs["&amp;this.Year&amp;"]"), MATCH(AJ$5, INDIRECT($C49&amp;".Outputs[Vector]"), 0)), 0)</f>
        <v>0</v>
      </c>
      <c r="AK49" s="598">
        <f t="shared" ca="1" si="121"/>
        <v>0</v>
      </c>
      <c r="AL49" s="598">
        <f t="shared" ca="1" si="121"/>
        <v>0</v>
      </c>
      <c r="AM49" s="598">
        <f t="shared" ca="1" si="121"/>
        <v>0</v>
      </c>
      <c r="AN49" s="598">
        <f t="shared" ca="1" si="121"/>
        <v>0</v>
      </c>
      <c r="AO49" s="598">
        <f t="shared" ca="1" si="121"/>
        <v>0</v>
      </c>
      <c r="AP49" s="598">
        <f t="shared" ca="1" si="121"/>
        <v>0</v>
      </c>
      <c r="AQ49" s="598">
        <f t="shared" ca="1" si="121"/>
        <v>0</v>
      </c>
      <c r="AR49" s="598">
        <f t="shared" ca="1" si="121"/>
        <v>0</v>
      </c>
      <c r="AS49" s="598">
        <f t="shared" ca="1" si="120"/>
        <v>0</v>
      </c>
      <c r="AT49" s="598">
        <f t="shared" ca="1" si="120"/>
        <v>-56.026574099999991</v>
      </c>
      <c r="AU49" s="598">
        <f t="shared" ca="1" si="120"/>
        <v>0</v>
      </c>
      <c r="AV49" s="598">
        <f t="shared" ca="1" si="120"/>
        <v>0</v>
      </c>
      <c r="AW49" s="598">
        <f t="shared" ca="1" si="120"/>
        <v>0</v>
      </c>
      <c r="AX49" s="598">
        <f t="shared" ca="1" si="120"/>
        <v>0</v>
      </c>
      <c r="AY49" s="266">
        <f t="shared" ca="1" si="74"/>
        <v>-56.026574099999991</v>
      </c>
      <c r="BA49" s="599">
        <f ca="1">IFERROR(INDEX(INDIRECT($C49&amp;".Outputs["&amp;this.Year&amp;"]"), MATCH(BA$5, INDIRECT($C49&amp;".Outputs[Vector]"), 0)), 0)</f>
        <v>0</v>
      </c>
      <c r="BB49" s="599">
        <f ca="1">IFERROR(INDEX(INDIRECT($C49&amp;".Outputs["&amp;this.Year&amp;"]"), MATCH(BB$5, INDIRECT($C49&amp;".Outputs[Vector]"), 0)), 0)</f>
        <v>0</v>
      </c>
      <c r="BC49" s="279">
        <f t="shared" ca="1" si="10"/>
        <v>0</v>
      </c>
      <c r="BE49" s="135">
        <f ca="1">P49+AH49+AY49+BC49</f>
        <v>0</v>
      </c>
      <c r="BF49" s="135"/>
      <c r="BH49" s="593">
        <f t="shared" ref="BH49:CU49" ca="1" si="122">IFERROR(SUMIFS(INDIRECT($C49&amp;".Emissions["&amp;this.Year&amp;"]"), INDIRECT($C49&amp;".Emissions[GHG]"), BH$6, INDIRECT($C49&amp;".Emissions[IPCC Sector]"), BH$5),0)</f>
        <v>0</v>
      </c>
      <c r="BI49" s="593">
        <f t="shared" ca="1" si="122"/>
        <v>0</v>
      </c>
      <c r="BJ49" s="593">
        <f t="shared" ca="1" si="122"/>
        <v>0</v>
      </c>
      <c r="BK49" s="593">
        <f t="shared" ca="1" si="122"/>
        <v>0</v>
      </c>
      <c r="BL49" s="593">
        <f t="shared" ca="1" si="122"/>
        <v>0</v>
      </c>
      <c r="BM49" s="593">
        <f t="shared" ca="1" si="122"/>
        <v>0</v>
      </c>
      <c r="BN49" s="593">
        <f t="shared" ca="1" si="122"/>
        <v>0</v>
      </c>
      <c r="BO49" s="593">
        <f t="shared" ca="1" si="122"/>
        <v>0</v>
      </c>
      <c r="BP49" s="593">
        <f t="shared" ca="1" si="122"/>
        <v>0</v>
      </c>
      <c r="BQ49" s="593">
        <f t="shared" ca="1" si="122"/>
        <v>0</v>
      </c>
      <c r="BR49" s="593">
        <f t="shared" ca="1" si="122"/>
        <v>0</v>
      </c>
      <c r="BS49" s="593">
        <f t="shared" ca="1" si="122"/>
        <v>0</v>
      </c>
      <c r="BT49" s="593">
        <f t="shared" ca="1" si="122"/>
        <v>0</v>
      </c>
      <c r="BU49" s="593">
        <f t="shared" ca="1" si="122"/>
        <v>0</v>
      </c>
      <c r="BV49" s="593">
        <f t="shared" ca="1" si="122"/>
        <v>0</v>
      </c>
      <c r="BW49" s="593">
        <f t="shared" ca="1" si="122"/>
        <v>0</v>
      </c>
      <c r="BX49" s="593">
        <f t="shared" ca="1" si="122"/>
        <v>0</v>
      </c>
      <c r="BY49" s="593">
        <f t="shared" ca="1" si="122"/>
        <v>0</v>
      </c>
      <c r="BZ49" s="593">
        <f t="shared" ca="1" si="122"/>
        <v>0</v>
      </c>
      <c r="CA49" s="593">
        <f t="shared" ca="1" si="122"/>
        <v>0</v>
      </c>
      <c r="CB49" s="593">
        <f t="shared" ca="1" si="122"/>
        <v>0</v>
      </c>
      <c r="CC49" s="593">
        <f t="shared" ca="1" si="122"/>
        <v>0</v>
      </c>
      <c r="CD49" s="593">
        <f t="shared" ca="1" si="122"/>
        <v>0</v>
      </c>
      <c r="CE49" s="593">
        <f t="shared" ca="1" si="122"/>
        <v>0</v>
      </c>
      <c r="CF49" s="593">
        <f t="shared" ca="1" si="122"/>
        <v>0</v>
      </c>
      <c r="CG49" s="593">
        <f t="shared" ca="1" si="122"/>
        <v>0</v>
      </c>
      <c r="CH49" s="593">
        <f t="shared" ca="1" si="122"/>
        <v>0</v>
      </c>
      <c r="CI49" s="593">
        <f t="shared" ca="1" si="122"/>
        <v>0</v>
      </c>
      <c r="CJ49" s="593">
        <f t="shared" ca="1" si="122"/>
        <v>0</v>
      </c>
      <c r="CK49" s="593">
        <f t="shared" ca="1" si="122"/>
        <v>0</v>
      </c>
      <c r="CL49" s="593">
        <f t="shared" ca="1" si="122"/>
        <v>0</v>
      </c>
      <c r="CM49" s="593">
        <f t="shared" ca="1" si="122"/>
        <v>0</v>
      </c>
      <c r="CN49" s="593">
        <f t="shared" ca="1" si="122"/>
        <v>0</v>
      </c>
      <c r="CO49" s="593">
        <f t="shared" ca="1" si="122"/>
        <v>0</v>
      </c>
      <c r="CP49" s="593">
        <f t="shared" ca="1" si="122"/>
        <v>0</v>
      </c>
      <c r="CQ49" s="593">
        <f t="shared" ca="1" si="122"/>
        <v>0</v>
      </c>
      <c r="CR49" s="593">
        <f t="shared" ca="1" si="122"/>
        <v>0</v>
      </c>
      <c r="CS49" s="593">
        <f t="shared" ca="1" si="122"/>
        <v>0</v>
      </c>
      <c r="CT49" s="593">
        <f t="shared" ca="1" si="122"/>
        <v>0</v>
      </c>
      <c r="CU49" s="593">
        <f t="shared" ca="1" si="122"/>
        <v>0</v>
      </c>
      <c r="CW49" s="594">
        <f t="shared" ca="1" si="114"/>
        <v>0</v>
      </c>
    </row>
    <row r="50" spans="1:101" s="84" customFormat="1" ht="15.75" x14ac:dyDescent="0.2">
      <c r="A50" s="18"/>
      <c r="B50" s="89"/>
      <c r="C50" s="85" t="s">
        <v>63</v>
      </c>
      <c r="D50" s="57" t="str">
        <f>INDEX(Workstreams[Workstream], MATCH($C50, Workstreams[Code], 0))</f>
        <v>Distributed renewable power generation</v>
      </c>
      <c r="E50" s="53"/>
      <c r="G50" s="300">
        <f t="shared" ref="G50:O50" ca="1" si="123">SUM(G49:G49)</f>
        <v>0</v>
      </c>
      <c r="H50" s="300">
        <f t="shared" ca="1" si="123"/>
        <v>0</v>
      </c>
      <c r="I50" s="300">
        <f t="shared" ca="1" si="123"/>
        <v>0</v>
      </c>
      <c r="J50" s="300">
        <f t="shared" ca="1" si="123"/>
        <v>0</v>
      </c>
      <c r="K50" s="300">
        <f t="shared" ca="1" si="123"/>
        <v>0</v>
      </c>
      <c r="L50" s="300">
        <f t="shared" ca="1" si="123"/>
        <v>0</v>
      </c>
      <c r="M50" s="300">
        <f t="shared" ca="1" si="123"/>
        <v>0</v>
      </c>
      <c r="N50" s="300">
        <f t="shared" ca="1" si="123"/>
        <v>0</v>
      </c>
      <c r="O50" s="300">
        <f t="shared" ca="1" si="123"/>
        <v>0</v>
      </c>
      <c r="P50" s="300">
        <f t="shared" ca="1" si="70"/>
        <v>0</v>
      </c>
      <c r="R50" s="257">
        <f t="shared" ref="R50:AG50" ca="1" si="124">SUM(R49:R49)</f>
        <v>0</v>
      </c>
      <c r="S50" s="257">
        <f t="shared" ca="1" si="124"/>
        <v>56.026574099999991</v>
      </c>
      <c r="T50" s="257">
        <f t="shared" ca="1" si="124"/>
        <v>0</v>
      </c>
      <c r="U50" s="257">
        <f t="shared" ca="1" si="124"/>
        <v>0</v>
      </c>
      <c r="V50" s="257">
        <f t="shared" ca="1" si="124"/>
        <v>0</v>
      </c>
      <c r="W50" s="257">
        <f t="shared" ca="1" si="124"/>
        <v>0</v>
      </c>
      <c r="X50" s="257">
        <f t="shared" ca="1" si="124"/>
        <v>0</v>
      </c>
      <c r="Y50" s="257">
        <f t="shared" ca="1" si="124"/>
        <v>0</v>
      </c>
      <c r="Z50" s="257">
        <f t="shared" ca="1" si="124"/>
        <v>0</v>
      </c>
      <c r="AA50" s="257">
        <f t="shared" ca="1" si="124"/>
        <v>0</v>
      </c>
      <c r="AB50" s="257">
        <f t="shared" ca="1" si="124"/>
        <v>0</v>
      </c>
      <c r="AC50" s="257">
        <f t="shared" ca="1" si="124"/>
        <v>0</v>
      </c>
      <c r="AD50" s="257">
        <f t="shared" ca="1" si="124"/>
        <v>0</v>
      </c>
      <c r="AE50" s="257">
        <f t="shared" ca="1" si="124"/>
        <v>0</v>
      </c>
      <c r="AF50" s="257">
        <f t="shared" ca="1" si="124"/>
        <v>0</v>
      </c>
      <c r="AG50" s="257">
        <f t="shared" ca="1" si="124"/>
        <v>0</v>
      </c>
      <c r="AH50" s="257">
        <f t="shared" ca="1" si="5"/>
        <v>56.026574099999991</v>
      </c>
      <c r="AJ50" s="263">
        <f t="shared" ref="AJ50:AX50" ca="1" si="125">SUM(AJ49:AJ49)</f>
        <v>0</v>
      </c>
      <c r="AK50" s="263">
        <f t="shared" ca="1" si="125"/>
        <v>0</v>
      </c>
      <c r="AL50" s="263">
        <f t="shared" ca="1" si="125"/>
        <v>0</v>
      </c>
      <c r="AM50" s="263">
        <f t="shared" ca="1" si="125"/>
        <v>0</v>
      </c>
      <c r="AN50" s="263">
        <f t="shared" ca="1" si="125"/>
        <v>0</v>
      </c>
      <c r="AO50" s="263">
        <f t="shared" ca="1" si="125"/>
        <v>0</v>
      </c>
      <c r="AP50" s="263">
        <f t="shared" ca="1" si="125"/>
        <v>0</v>
      </c>
      <c r="AQ50" s="263">
        <f t="shared" ca="1" si="125"/>
        <v>0</v>
      </c>
      <c r="AR50" s="263">
        <f t="shared" ca="1" si="125"/>
        <v>0</v>
      </c>
      <c r="AS50" s="263">
        <f t="shared" ca="1" si="125"/>
        <v>0</v>
      </c>
      <c r="AT50" s="263">
        <f t="shared" ca="1" si="125"/>
        <v>-56.026574099999991</v>
      </c>
      <c r="AU50" s="263">
        <f t="shared" ca="1" si="125"/>
        <v>0</v>
      </c>
      <c r="AV50" s="263">
        <f t="shared" ca="1" si="125"/>
        <v>0</v>
      </c>
      <c r="AW50" s="263">
        <f t="shared" ca="1" si="125"/>
        <v>0</v>
      </c>
      <c r="AX50" s="263">
        <f t="shared" ca="1" si="125"/>
        <v>0</v>
      </c>
      <c r="AY50" s="263">
        <f t="shared" ca="1" si="74"/>
        <v>-56.026574099999991</v>
      </c>
      <c r="BA50" s="277">
        <f ca="1">SUM(BA49:BA49)</f>
        <v>0</v>
      </c>
      <c r="BB50" s="277">
        <f ca="1">SUM(BB49:BB49)</f>
        <v>0</v>
      </c>
      <c r="BC50" s="277">
        <f t="shared" ca="1" si="10"/>
        <v>0</v>
      </c>
      <c r="BE50" s="55">
        <f ca="1">P50+AH50+AY50+BC50</f>
        <v>0</v>
      </c>
      <c r="BF50" s="55"/>
      <c r="BG50" s="1428"/>
      <c r="BH50" s="542">
        <f t="shared" ref="BH50:CU50" ca="1" si="126">SUM(BH49:BH49)</f>
        <v>0</v>
      </c>
      <c r="BI50" s="542">
        <f t="shared" ca="1" si="126"/>
        <v>0</v>
      </c>
      <c r="BJ50" s="542">
        <f t="shared" ca="1" si="126"/>
        <v>0</v>
      </c>
      <c r="BK50" s="542">
        <f t="shared" ca="1" si="126"/>
        <v>0</v>
      </c>
      <c r="BL50" s="542">
        <f t="shared" ca="1" si="126"/>
        <v>0</v>
      </c>
      <c r="BM50" s="542">
        <f t="shared" ca="1" si="126"/>
        <v>0</v>
      </c>
      <c r="BN50" s="542">
        <f t="shared" ca="1" si="126"/>
        <v>0</v>
      </c>
      <c r="BO50" s="542">
        <f t="shared" ca="1" si="126"/>
        <v>0</v>
      </c>
      <c r="BP50" s="542">
        <f t="shared" ca="1" si="126"/>
        <v>0</v>
      </c>
      <c r="BQ50" s="542">
        <f t="shared" ca="1" si="126"/>
        <v>0</v>
      </c>
      <c r="BR50" s="542">
        <f t="shared" ca="1" si="126"/>
        <v>0</v>
      </c>
      <c r="BS50" s="542">
        <f t="shared" ca="1" si="126"/>
        <v>0</v>
      </c>
      <c r="BT50" s="542">
        <f t="shared" ca="1" si="126"/>
        <v>0</v>
      </c>
      <c r="BU50" s="542">
        <f t="shared" ca="1" si="126"/>
        <v>0</v>
      </c>
      <c r="BV50" s="542">
        <f t="shared" ca="1" si="126"/>
        <v>0</v>
      </c>
      <c r="BW50" s="542">
        <f t="shared" ca="1" si="126"/>
        <v>0</v>
      </c>
      <c r="BX50" s="542">
        <f t="shared" ca="1" si="126"/>
        <v>0</v>
      </c>
      <c r="BY50" s="542">
        <f t="shared" ca="1" si="126"/>
        <v>0</v>
      </c>
      <c r="BZ50" s="542">
        <f t="shared" ca="1" si="126"/>
        <v>0</v>
      </c>
      <c r="CA50" s="542">
        <f t="shared" ca="1" si="126"/>
        <v>0</v>
      </c>
      <c r="CB50" s="542">
        <f t="shared" ca="1" si="126"/>
        <v>0</v>
      </c>
      <c r="CC50" s="542">
        <f t="shared" ca="1" si="126"/>
        <v>0</v>
      </c>
      <c r="CD50" s="542">
        <f t="shared" ca="1" si="126"/>
        <v>0</v>
      </c>
      <c r="CE50" s="542">
        <f t="shared" ca="1" si="126"/>
        <v>0</v>
      </c>
      <c r="CF50" s="542">
        <f t="shared" ca="1" si="126"/>
        <v>0</v>
      </c>
      <c r="CG50" s="542">
        <f t="shared" ca="1" si="126"/>
        <v>0</v>
      </c>
      <c r="CH50" s="542">
        <f t="shared" ca="1" si="126"/>
        <v>0</v>
      </c>
      <c r="CI50" s="542">
        <f t="shared" ca="1" si="126"/>
        <v>0</v>
      </c>
      <c r="CJ50" s="542">
        <f t="shared" ca="1" si="126"/>
        <v>0</v>
      </c>
      <c r="CK50" s="542">
        <f t="shared" ca="1" si="126"/>
        <v>0</v>
      </c>
      <c r="CL50" s="542">
        <f t="shared" ca="1" si="126"/>
        <v>0</v>
      </c>
      <c r="CM50" s="542">
        <f t="shared" ca="1" si="126"/>
        <v>0</v>
      </c>
      <c r="CN50" s="542">
        <f t="shared" ca="1" si="126"/>
        <v>0</v>
      </c>
      <c r="CO50" s="542">
        <f t="shared" ca="1" si="126"/>
        <v>0</v>
      </c>
      <c r="CP50" s="542">
        <f t="shared" ca="1" si="126"/>
        <v>0</v>
      </c>
      <c r="CQ50" s="542">
        <f t="shared" ca="1" si="126"/>
        <v>0</v>
      </c>
      <c r="CR50" s="542">
        <f t="shared" ca="1" si="126"/>
        <v>0</v>
      </c>
      <c r="CS50" s="542">
        <f t="shared" ca="1" si="126"/>
        <v>0</v>
      </c>
      <c r="CT50" s="542">
        <f t="shared" ca="1" si="126"/>
        <v>0</v>
      </c>
      <c r="CU50" s="542">
        <f t="shared" ca="1" si="126"/>
        <v>0</v>
      </c>
      <c r="CW50" s="151">
        <f t="shared" ca="1" si="114"/>
        <v>0</v>
      </c>
    </row>
    <row r="51" spans="1:101" s="84" customFormat="1" ht="12.75" customHeight="1" outlineLevel="1" x14ac:dyDescent="0.2">
      <c r="A51" s="18"/>
      <c r="B51" s="18"/>
      <c r="C51" s="87"/>
      <c r="D51" s="53"/>
      <c r="E51" s="53"/>
      <c r="G51" s="245"/>
      <c r="H51" s="245"/>
      <c r="I51" s="245"/>
      <c r="J51" s="245"/>
      <c r="K51" s="245"/>
      <c r="L51" s="247"/>
      <c r="M51" s="245"/>
      <c r="N51" s="245"/>
      <c r="O51" s="245"/>
      <c r="P51" s="245">
        <f t="shared" si="70"/>
        <v>0</v>
      </c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>
        <f t="shared" si="5"/>
        <v>0</v>
      </c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>
        <f t="shared" si="74"/>
        <v>0</v>
      </c>
      <c r="BA51" s="277"/>
      <c r="BB51" s="277"/>
      <c r="BC51" s="277">
        <f t="shared" si="10"/>
        <v>0</v>
      </c>
      <c r="BE51" s="55"/>
      <c r="BF51" s="55"/>
      <c r="BG51" s="18"/>
      <c r="BH51" s="542"/>
      <c r="BI51" s="542"/>
      <c r="BJ51" s="542"/>
      <c r="BK51" s="542"/>
      <c r="BL51" s="542"/>
      <c r="BM51" s="542"/>
      <c r="BN51" s="542"/>
      <c r="BO51" s="542"/>
      <c r="BP51" s="542"/>
      <c r="BQ51" s="542"/>
      <c r="BR51" s="542"/>
      <c r="BS51" s="542"/>
      <c r="BT51" s="542"/>
      <c r="BU51" s="542"/>
      <c r="BV51" s="542"/>
      <c r="BW51" s="542"/>
      <c r="BX51" s="542"/>
      <c r="BY51" s="542"/>
      <c r="BZ51" s="542"/>
      <c r="CA51" s="542"/>
      <c r="CB51" s="542"/>
      <c r="CC51" s="542"/>
      <c r="CD51" s="542"/>
      <c r="CE51" s="542"/>
      <c r="CF51" s="542"/>
      <c r="CG51" s="542"/>
      <c r="CH51" s="542"/>
      <c r="CI51" s="542"/>
      <c r="CJ51" s="542"/>
      <c r="CK51" s="542"/>
      <c r="CL51" s="542"/>
      <c r="CM51" s="542"/>
      <c r="CN51" s="542"/>
      <c r="CO51" s="542"/>
      <c r="CP51" s="542"/>
      <c r="CQ51" s="542"/>
      <c r="CR51" s="542"/>
      <c r="CS51" s="542"/>
      <c r="CT51" s="542"/>
      <c r="CU51" s="542"/>
      <c r="CW51" s="151">
        <f t="shared" si="114"/>
        <v>0</v>
      </c>
    </row>
    <row r="52" spans="1:101" s="547" customFormat="1" ht="12.75" customHeight="1" outlineLevel="1" x14ac:dyDescent="0.2">
      <c r="C52" s="319" t="s">
        <v>855</v>
      </c>
      <c r="D52" s="320" t="s">
        <v>587</v>
      </c>
      <c r="E52" s="320"/>
      <c r="F52" s="84"/>
      <c r="G52" s="321"/>
      <c r="H52" s="321"/>
      <c r="I52" s="321"/>
      <c r="J52" s="321"/>
      <c r="K52" s="321"/>
      <c r="L52" s="322"/>
      <c r="M52" s="321"/>
      <c r="N52" s="321"/>
      <c r="O52" s="321"/>
      <c r="P52" s="321">
        <f t="shared" si="70"/>
        <v>0</v>
      </c>
      <c r="Q52" s="84"/>
      <c r="R52" s="323">
        <f ca="1">R$28+R$36+R$80+R$40+R$74+R$47+R$50</f>
        <v>-530.14446047320098</v>
      </c>
      <c r="S52" s="323">
        <f ca="1">S$28+S$36+S$80+S$40+S$74+S$47+S$50</f>
        <v>242.31576688612188</v>
      </c>
      <c r="T52" s="323"/>
      <c r="U52" s="323"/>
      <c r="V52" s="323"/>
      <c r="W52" s="323"/>
      <c r="X52" s="323"/>
      <c r="Y52" s="323"/>
      <c r="Z52" s="323"/>
      <c r="AA52" s="323"/>
      <c r="AB52" s="323"/>
      <c r="AC52" s="323"/>
      <c r="AD52" s="323"/>
      <c r="AE52" s="323"/>
      <c r="AF52" s="323"/>
      <c r="AG52" s="323"/>
      <c r="AH52" s="323">
        <f t="shared" ca="1" si="5"/>
        <v>-287.8286935870791</v>
      </c>
      <c r="AI52" s="84"/>
      <c r="AJ52" s="324"/>
      <c r="AK52" s="324"/>
      <c r="AL52" s="324"/>
      <c r="AM52" s="324"/>
      <c r="AN52" s="324"/>
      <c r="AO52" s="324"/>
      <c r="AP52" s="324"/>
      <c r="AQ52" s="324"/>
      <c r="AR52" s="324"/>
      <c r="AS52" s="324"/>
      <c r="AT52" s="324"/>
      <c r="AU52" s="324"/>
      <c r="AV52" s="324"/>
      <c r="AW52" s="324"/>
      <c r="AX52" s="324"/>
      <c r="AY52" s="324">
        <f t="shared" si="74"/>
        <v>0</v>
      </c>
      <c r="AZ52" s="84"/>
      <c r="BA52" s="325"/>
      <c r="BB52" s="325"/>
      <c r="BC52" s="325">
        <f t="shared" si="10"/>
        <v>0</v>
      </c>
      <c r="BD52" s="84"/>
      <c r="BE52" s="164"/>
      <c r="BF52" s="164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  <c r="CG52" s="549"/>
      <c r="CH52" s="549"/>
      <c r="CI52" s="549"/>
      <c r="CJ52" s="549"/>
      <c r="CK52" s="549"/>
      <c r="CL52" s="549"/>
      <c r="CM52" s="549"/>
      <c r="CN52" s="549"/>
      <c r="CO52" s="549"/>
      <c r="CP52" s="549"/>
      <c r="CQ52" s="549"/>
      <c r="CR52" s="549"/>
      <c r="CS52" s="549"/>
      <c r="CT52" s="549"/>
      <c r="CU52" s="549"/>
      <c r="CW52" s="151">
        <f t="shared" si="114"/>
        <v>0</v>
      </c>
    </row>
    <row r="53" spans="1:101" s="543" customFormat="1" ht="12.75" customHeight="1" outlineLevel="1" x14ac:dyDescent="0.2">
      <c r="C53" s="86" t="s">
        <v>297</v>
      </c>
      <c r="D53" s="292" t="str">
        <f>INDEX(Modules[Module], MATCH($C53, Modules[Code], 0))</f>
        <v>Nuclear power</v>
      </c>
      <c r="E53" s="292"/>
      <c r="F53" s="84"/>
      <c r="G53" s="301">
        <f t="shared" ref="G53:O53" ca="1" si="127">IFERROR(INDEX(INDIRECT($C53&amp;".Outputs["&amp;this.Year&amp;"]"), MATCH(G$5, INDIRECT($C53&amp;".Outputs[Vector]"), 0)), 0)</f>
        <v>0</v>
      </c>
      <c r="H53" s="301">
        <f t="shared" ca="1" si="127"/>
        <v>0</v>
      </c>
      <c r="I53" s="301">
        <f t="shared" ca="1" si="127"/>
        <v>0</v>
      </c>
      <c r="J53" s="301">
        <f t="shared" ca="1" si="127"/>
        <v>0</v>
      </c>
      <c r="K53" s="301">
        <f t="shared" ca="1" si="127"/>
        <v>0</v>
      </c>
      <c r="L53" s="301">
        <f t="shared" ca="1" si="127"/>
        <v>0</v>
      </c>
      <c r="M53" s="301">
        <f t="shared" ca="1" si="127"/>
        <v>0</v>
      </c>
      <c r="N53" s="301">
        <f t="shared" ca="1" si="127"/>
        <v>0</v>
      </c>
      <c r="O53" s="301">
        <f t="shared" ca="1" si="127"/>
        <v>0</v>
      </c>
      <c r="P53" s="301">
        <f t="shared" ca="1" si="70"/>
        <v>0</v>
      </c>
      <c r="Q53" s="84"/>
      <c r="R53" s="307">
        <f t="shared" ref="R53:AX53" ca="1" si="128">IFERROR(INDEX(INDIRECT($C53&amp;".Outputs["&amp;this.Year&amp;"]"), MATCH(R$5, INDIRECT($C53&amp;".Outputs[Vector]"), 0)), 0)</f>
        <v>0</v>
      </c>
      <c r="S53" s="307">
        <f t="shared" ca="1" si="128"/>
        <v>25.947360000000003</v>
      </c>
      <c r="T53" s="307">
        <f t="shared" ca="1" si="128"/>
        <v>0</v>
      </c>
      <c r="U53" s="307">
        <f t="shared" ca="1" si="128"/>
        <v>0</v>
      </c>
      <c r="V53" s="307">
        <f t="shared" ca="1" si="128"/>
        <v>0</v>
      </c>
      <c r="W53" s="307">
        <f t="shared" ca="1" si="128"/>
        <v>0</v>
      </c>
      <c r="X53" s="307">
        <f ca="1">IFERROR(INDEX(INDIRECT($C53&amp;".Outputs["&amp;this.Year&amp;"]"), MATCH(X$5, INDIRECT($C53&amp;".Outputs[Vector]"), 0)), 0)</f>
        <v>0</v>
      </c>
      <c r="Y53" s="307">
        <f ca="1">IFERROR(INDEX(INDIRECT($C53&amp;".Outputs["&amp;this.Year&amp;"]"), MATCH(Y$5, INDIRECT($C53&amp;".Outputs[Vector]"), 0)), 0)</f>
        <v>0</v>
      </c>
      <c r="Z53" s="307">
        <f ca="1">IFERROR(INDEX(INDIRECT($C53&amp;".Outputs["&amp;this.Year&amp;"]"), MATCH(Z$5, INDIRECT($C53&amp;".Outputs[Vector]"), 0)), 0)</f>
        <v>0</v>
      </c>
      <c r="AA53" s="307">
        <f t="shared" ca="1" si="128"/>
        <v>0</v>
      </c>
      <c r="AB53" s="307">
        <f t="shared" ca="1" si="128"/>
        <v>0</v>
      </c>
      <c r="AC53" s="307">
        <f t="shared" ca="1" si="128"/>
        <v>0</v>
      </c>
      <c r="AD53" s="307">
        <f t="shared" ca="1" si="128"/>
        <v>0</v>
      </c>
      <c r="AE53" s="307">
        <f t="shared" ca="1" si="128"/>
        <v>0</v>
      </c>
      <c r="AF53" s="307">
        <f t="shared" ca="1" si="128"/>
        <v>0</v>
      </c>
      <c r="AG53" s="307">
        <f t="shared" ca="1" si="128"/>
        <v>0</v>
      </c>
      <c r="AH53" s="306">
        <f t="shared" ca="1" si="5"/>
        <v>25.947360000000003</v>
      </c>
      <c r="AI53" s="84"/>
      <c r="AJ53" s="315">
        <f t="shared" ref="AJ53:AR53" ca="1" si="129">IFERROR(INDEX(INDIRECT($C53&amp;".Outputs["&amp;this.Year&amp;"]"), MATCH(AJ$5, INDIRECT($C53&amp;".Outputs[Vector]"), 0)), 0)</f>
        <v>0</v>
      </c>
      <c r="AK53" s="315">
        <f t="shared" ca="1" si="129"/>
        <v>0</v>
      </c>
      <c r="AL53" s="315">
        <f t="shared" ca="1" si="129"/>
        <v>0</v>
      </c>
      <c r="AM53" s="315">
        <f t="shared" ca="1" si="129"/>
        <v>0</v>
      </c>
      <c r="AN53" s="315">
        <f t="shared" ca="1" si="129"/>
        <v>0</v>
      </c>
      <c r="AO53" s="315">
        <f t="shared" ca="1" si="129"/>
        <v>0</v>
      </c>
      <c r="AP53" s="315">
        <f t="shared" ca="1" si="129"/>
        <v>0</v>
      </c>
      <c r="AQ53" s="315">
        <f t="shared" ca="1" si="129"/>
        <v>0</v>
      </c>
      <c r="AR53" s="315">
        <f t="shared" ca="1" si="129"/>
        <v>0</v>
      </c>
      <c r="AS53" s="315">
        <f t="shared" ca="1" si="128"/>
        <v>-79.283600000000021</v>
      </c>
      <c r="AT53" s="315">
        <f t="shared" ca="1" si="128"/>
        <v>0</v>
      </c>
      <c r="AU53" s="315">
        <f t="shared" ca="1" si="128"/>
        <v>0</v>
      </c>
      <c r="AV53" s="315">
        <f t="shared" ca="1" si="128"/>
        <v>0</v>
      </c>
      <c r="AW53" s="315">
        <f t="shared" ca="1" si="128"/>
        <v>0</v>
      </c>
      <c r="AX53" s="315">
        <f t="shared" ca="1" si="128"/>
        <v>0</v>
      </c>
      <c r="AY53" s="293">
        <f t="shared" ca="1" si="74"/>
        <v>-79.283600000000021</v>
      </c>
      <c r="AZ53" s="84"/>
      <c r="BA53" s="311">
        <f ca="1">IFERROR(INDEX(INDIRECT($C53&amp;".Outputs["&amp;this.Year&amp;"]"), MATCH(BA$5, INDIRECT($C53&amp;".Outputs[Vector]"), 0)), 0)</f>
        <v>50.74150400000002</v>
      </c>
      <c r="BB53" s="311">
        <f ca="1">IFERROR(INDEX(INDIRECT($C53&amp;".Outputs["&amp;this.Year&amp;"]"), MATCH(BB$5, INDIRECT($C53&amp;".Outputs[Vector]"), 0)), 0)</f>
        <v>2.5947360000000006</v>
      </c>
      <c r="BC53" s="310">
        <f t="shared" ca="1" si="10"/>
        <v>53.336240000000018</v>
      </c>
      <c r="BD53" s="84"/>
      <c r="BE53" s="135">
        <f ca="1">P53+AH53+AY53+BC53</f>
        <v>0</v>
      </c>
      <c r="BF53" s="135"/>
      <c r="BG53" s="1428"/>
      <c r="BH53" s="544">
        <f t="shared" ref="BH53:CU53" ca="1" si="130">IFERROR(SUMIFS(INDIRECT($C53&amp;".Emissions["&amp;this.Year&amp;"]"), INDIRECT($C53&amp;".Emissions[GHG]"), BH$6, INDIRECT($C53&amp;".Emissions[IPCC Sector]"), BH$5),0)</f>
        <v>0</v>
      </c>
      <c r="BI53" s="545">
        <f t="shared" ca="1" si="130"/>
        <v>0</v>
      </c>
      <c r="BJ53" s="545">
        <f t="shared" ca="1" si="130"/>
        <v>0</v>
      </c>
      <c r="BK53" s="545">
        <f t="shared" ca="1" si="130"/>
        <v>0</v>
      </c>
      <c r="BL53" s="545">
        <f t="shared" ca="1" si="130"/>
        <v>0</v>
      </c>
      <c r="BM53" s="545">
        <f t="shared" ca="1" si="130"/>
        <v>0</v>
      </c>
      <c r="BN53" s="545">
        <f t="shared" ca="1" si="130"/>
        <v>0</v>
      </c>
      <c r="BO53" s="545">
        <f t="shared" ca="1" si="130"/>
        <v>0</v>
      </c>
      <c r="BP53" s="545">
        <f t="shared" ca="1" si="130"/>
        <v>0</v>
      </c>
      <c r="BQ53" s="545">
        <f t="shared" ca="1" si="130"/>
        <v>0</v>
      </c>
      <c r="BR53" s="545">
        <f t="shared" ca="1" si="130"/>
        <v>0</v>
      </c>
      <c r="BS53" s="545">
        <f t="shared" ca="1" si="130"/>
        <v>0</v>
      </c>
      <c r="BT53" s="545">
        <f t="shared" ca="1" si="130"/>
        <v>0</v>
      </c>
      <c r="BU53" s="545">
        <f t="shared" ca="1" si="130"/>
        <v>0</v>
      </c>
      <c r="BV53" s="545">
        <f t="shared" ca="1" si="130"/>
        <v>0</v>
      </c>
      <c r="BW53" s="545">
        <f t="shared" ca="1" si="130"/>
        <v>0</v>
      </c>
      <c r="BX53" s="545">
        <f t="shared" ca="1" si="130"/>
        <v>0</v>
      </c>
      <c r="BY53" s="545">
        <f t="shared" ca="1" si="130"/>
        <v>0</v>
      </c>
      <c r="BZ53" s="545">
        <f t="shared" ca="1" si="130"/>
        <v>0</v>
      </c>
      <c r="CA53" s="545">
        <f t="shared" ca="1" si="130"/>
        <v>0</v>
      </c>
      <c r="CB53" s="545">
        <f t="shared" ca="1" si="130"/>
        <v>0</v>
      </c>
      <c r="CC53" s="545">
        <f t="shared" ca="1" si="130"/>
        <v>0</v>
      </c>
      <c r="CD53" s="545">
        <f t="shared" ca="1" si="130"/>
        <v>0</v>
      </c>
      <c r="CE53" s="545">
        <f t="shared" ca="1" si="130"/>
        <v>0</v>
      </c>
      <c r="CF53" s="545">
        <f t="shared" ca="1" si="130"/>
        <v>0</v>
      </c>
      <c r="CG53" s="545">
        <f t="shared" ca="1" si="130"/>
        <v>0</v>
      </c>
      <c r="CH53" s="545">
        <f t="shared" ca="1" si="130"/>
        <v>0</v>
      </c>
      <c r="CI53" s="545">
        <f t="shared" ca="1" si="130"/>
        <v>0</v>
      </c>
      <c r="CJ53" s="545">
        <f t="shared" ca="1" si="130"/>
        <v>0</v>
      </c>
      <c r="CK53" s="545">
        <f t="shared" ca="1" si="130"/>
        <v>0</v>
      </c>
      <c r="CL53" s="545">
        <f t="shared" ca="1" si="130"/>
        <v>0</v>
      </c>
      <c r="CM53" s="545">
        <f t="shared" ca="1" si="130"/>
        <v>0</v>
      </c>
      <c r="CN53" s="545">
        <f t="shared" ca="1" si="130"/>
        <v>0</v>
      </c>
      <c r="CO53" s="545">
        <f t="shared" ca="1" si="130"/>
        <v>0</v>
      </c>
      <c r="CP53" s="545">
        <f t="shared" ca="1" si="130"/>
        <v>0</v>
      </c>
      <c r="CQ53" s="545">
        <f t="shared" ca="1" si="130"/>
        <v>0</v>
      </c>
      <c r="CR53" s="545">
        <f t="shared" ca="1" si="130"/>
        <v>0</v>
      </c>
      <c r="CS53" s="545">
        <f t="shared" ca="1" si="130"/>
        <v>0</v>
      </c>
      <c r="CT53" s="545">
        <f t="shared" ca="1" si="130"/>
        <v>0</v>
      </c>
      <c r="CU53" s="545">
        <f t="shared" ca="1" si="130"/>
        <v>0</v>
      </c>
      <c r="CW53" s="151">
        <f t="shared" ca="1" si="114"/>
        <v>0</v>
      </c>
    </row>
    <row r="54" spans="1:101" s="84" customFormat="1" ht="15.75" x14ac:dyDescent="0.2">
      <c r="A54" s="18"/>
      <c r="B54" s="89"/>
      <c r="C54" s="85" t="s">
        <v>61</v>
      </c>
      <c r="D54" s="57" t="str">
        <f>INDEX(Workstreams[Workstream], MATCH($C54, Workstreams[Code], 0))</f>
        <v>Nuclear power generation</v>
      </c>
      <c r="E54" s="53"/>
      <c r="G54" s="300">
        <f ca="1">G53</f>
        <v>0</v>
      </c>
      <c r="H54" s="300">
        <f t="shared" ref="H54:O54" ca="1" si="131">H53</f>
        <v>0</v>
      </c>
      <c r="I54" s="300">
        <f ca="1">I53</f>
        <v>0</v>
      </c>
      <c r="J54" s="300">
        <f t="shared" ca="1" si="131"/>
        <v>0</v>
      </c>
      <c r="K54" s="300">
        <f t="shared" ca="1" si="131"/>
        <v>0</v>
      </c>
      <c r="L54" s="300">
        <f t="shared" ca="1" si="131"/>
        <v>0</v>
      </c>
      <c r="M54" s="300">
        <f t="shared" ca="1" si="131"/>
        <v>0</v>
      </c>
      <c r="N54" s="300">
        <f t="shared" ca="1" si="131"/>
        <v>0</v>
      </c>
      <c r="O54" s="300">
        <f t="shared" ca="1" si="131"/>
        <v>0</v>
      </c>
      <c r="P54" s="300">
        <f t="shared" ca="1" si="70"/>
        <v>0</v>
      </c>
      <c r="R54" s="257">
        <f t="shared" ref="R54:AE54" ca="1" si="132">R53</f>
        <v>0</v>
      </c>
      <c r="S54" s="257">
        <f t="shared" ca="1" si="132"/>
        <v>25.947360000000003</v>
      </c>
      <c r="T54" s="257">
        <f t="shared" ca="1" si="132"/>
        <v>0</v>
      </c>
      <c r="U54" s="257">
        <f t="shared" ca="1" si="132"/>
        <v>0</v>
      </c>
      <c r="V54" s="257">
        <f t="shared" ca="1" si="132"/>
        <v>0</v>
      </c>
      <c r="W54" s="257">
        <f ca="1">W53</f>
        <v>0</v>
      </c>
      <c r="X54" s="257">
        <f t="shared" ca="1" si="132"/>
        <v>0</v>
      </c>
      <c r="Y54" s="257">
        <f t="shared" ca="1" si="132"/>
        <v>0</v>
      </c>
      <c r="Z54" s="257">
        <f t="shared" ca="1" si="132"/>
        <v>0</v>
      </c>
      <c r="AA54" s="257">
        <f t="shared" ca="1" si="132"/>
        <v>0</v>
      </c>
      <c r="AB54" s="257">
        <f t="shared" ca="1" si="132"/>
        <v>0</v>
      </c>
      <c r="AC54" s="257">
        <f ca="1">AC53</f>
        <v>0</v>
      </c>
      <c r="AD54" s="257">
        <f ca="1">AD53</f>
        <v>0</v>
      </c>
      <c r="AE54" s="257">
        <f t="shared" ca="1" si="132"/>
        <v>0</v>
      </c>
      <c r="AF54" s="257">
        <f ca="1">AF53</f>
        <v>0</v>
      </c>
      <c r="AG54" s="257">
        <f ca="1">AG53</f>
        <v>0</v>
      </c>
      <c r="AH54" s="257">
        <f t="shared" ca="1" si="5"/>
        <v>25.947360000000003</v>
      </c>
      <c r="AJ54" s="263">
        <f ca="1">AJ53</f>
        <v>0</v>
      </c>
      <c r="AK54" s="263">
        <f t="shared" ref="AK54:AX54" ca="1" si="133">AK53</f>
        <v>0</v>
      </c>
      <c r="AL54" s="263">
        <f t="shared" ca="1" si="133"/>
        <v>0</v>
      </c>
      <c r="AM54" s="263">
        <f t="shared" ca="1" si="133"/>
        <v>0</v>
      </c>
      <c r="AN54" s="263">
        <f t="shared" ca="1" si="133"/>
        <v>0</v>
      </c>
      <c r="AO54" s="263">
        <f t="shared" ca="1" si="133"/>
        <v>0</v>
      </c>
      <c r="AP54" s="263">
        <f t="shared" ca="1" si="133"/>
        <v>0</v>
      </c>
      <c r="AQ54" s="263">
        <f t="shared" ca="1" si="133"/>
        <v>0</v>
      </c>
      <c r="AR54" s="263">
        <f t="shared" ca="1" si="133"/>
        <v>0</v>
      </c>
      <c r="AS54" s="263">
        <f t="shared" ca="1" si="133"/>
        <v>-79.283600000000021</v>
      </c>
      <c r="AT54" s="263">
        <f t="shared" ca="1" si="133"/>
        <v>0</v>
      </c>
      <c r="AU54" s="263">
        <f t="shared" ca="1" si="133"/>
        <v>0</v>
      </c>
      <c r="AV54" s="263">
        <f t="shared" ca="1" si="133"/>
        <v>0</v>
      </c>
      <c r="AW54" s="263">
        <f t="shared" ca="1" si="133"/>
        <v>0</v>
      </c>
      <c r="AX54" s="263">
        <f t="shared" ca="1" si="133"/>
        <v>0</v>
      </c>
      <c r="AY54" s="263">
        <f t="shared" ca="1" si="74"/>
        <v>-79.283600000000021</v>
      </c>
      <c r="BA54" s="277">
        <f ca="1">BA53</f>
        <v>50.74150400000002</v>
      </c>
      <c r="BB54" s="277">
        <f ca="1">BB53</f>
        <v>2.5947360000000006</v>
      </c>
      <c r="BC54" s="277">
        <f t="shared" ca="1" si="10"/>
        <v>53.336240000000018</v>
      </c>
      <c r="BE54" s="55">
        <f ca="1">P54+AH54+AY54+BC54</f>
        <v>0</v>
      </c>
      <c r="BF54" s="55"/>
      <c r="BG54" s="1428"/>
      <c r="BH54" s="542">
        <f t="shared" ref="BH54:CU54" ca="1" si="134">BH53</f>
        <v>0</v>
      </c>
      <c r="BI54" s="542">
        <f t="shared" ca="1" si="134"/>
        <v>0</v>
      </c>
      <c r="BJ54" s="542">
        <f t="shared" ca="1" si="134"/>
        <v>0</v>
      </c>
      <c r="BK54" s="542">
        <f t="shared" ca="1" si="134"/>
        <v>0</v>
      </c>
      <c r="BL54" s="542">
        <f t="shared" ca="1" si="134"/>
        <v>0</v>
      </c>
      <c r="BM54" s="542">
        <f t="shared" ca="1" si="134"/>
        <v>0</v>
      </c>
      <c r="BN54" s="542">
        <f t="shared" ca="1" si="134"/>
        <v>0</v>
      </c>
      <c r="BO54" s="542">
        <f t="shared" ca="1" si="134"/>
        <v>0</v>
      </c>
      <c r="BP54" s="542">
        <f t="shared" ca="1" si="134"/>
        <v>0</v>
      </c>
      <c r="BQ54" s="542">
        <f t="shared" ca="1" si="134"/>
        <v>0</v>
      </c>
      <c r="BR54" s="542">
        <f t="shared" ca="1" si="134"/>
        <v>0</v>
      </c>
      <c r="BS54" s="542">
        <f t="shared" ca="1" si="134"/>
        <v>0</v>
      </c>
      <c r="BT54" s="542">
        <f t="shared" ca="1" si="134"/>
        <v>0</v>
      </c>
      <c r="BU54" s="542">
        <f t="shared" ca="1" si="134"/>
        <v>0</v>
      </c>
      <c r="BV54" s="542">
        <f t="shared" ca="1" si="134"/>
        <v>0</v>
      </c>
      <c r="BW54" s="542">
        <f t="shared" ca="1" si="134"/>
        <v>0</v>
      </c>
      <c r="BX54" s="542">
        <f t="shared" ca="1" si="134"/>
        <v>0</v>
      </c>
      <c r="BY54" s="542">
        <f t="shared" ca="1" si="134"/>
        <v>0</v>
      </c>
      <c r="BZ54" s="542">
        <f t="shared" ca="1" si="134"/>
        <v>0</v>
      </c>
      <c r="CA54" s="542">
        <f t="shared" ca="1" si="134"/>
        <v>0</v>
      </c>
      <c r="CB54" s="542">
        <f t="shared" ca="1" si="134"/>
        <v>0</v>
      </c>
      <c r="CC54" s="542">
        <f t="shared" ca="1" si="134"/>
        <v>0</v>
      </c>
      <c r="CD54" s="542">
        <f t="shared" ca="1" si="134"/>
        <v>0</v>
      </c>
      <c r="CE54" s="542">
        <f t="shared" ca="1" si="134"/>
        <v>0</v>
      </c>
      <c r="CF54" s="542">
        <f t="shared" ca="1" si="134"/>
        <v>0</v>
      </c>
      <c r="CG54" s="542">
        <f t="shared" ca="1" si="134"/>
        <v>0</v>
      </c>
      <c r="CH54" s="542">
        <f t="shared" ca="1" si="134"/>
        <v>0</v>
      </c>
      <c r="CI54" s="542">
        <f t="shared" ca="1" si="134"/>
        <v>0</v>
      </c>
      <c r="CJ54" s="542">
        <f t="shared" ca="1" si="134"/>
        <v>0</v>
      </c>
      <c r="CK54" s="542">
        <f t="shared" ca="1" si="134"/>
        <v>0</v>
      </c>
      <c r="CL54" s="542">
        <f t="shared" ca="1" si="134"/>
        <v>0</v>
      </c>
      <c r="CM54" s="542">
        <f t="shared" ca="1" si="134"/>
        <v>0</v>
      </c>
      <c r="CN54" s="542">
        <f t="shared" ca="1" si="134"/>
        <v>0</v>
      </c>
      <c r="CO54" s="542">
        <f t="shared" ca="1" si="134"/>
        <v>0</v>
      </c>
      <c r="CP54" s="542">
        <f t="shared" ca="1" si="134"/>
        <v>0</v>
      </c>
      <c r="CQ54" s="542">
        <f t="shared" ca="1" si="134"/>
        <v>0</v>
      </c>
      <c r="CR54" s="542">
        <f t="shared" ca="1" si="134"/>
        <v>0</v>
      </c>
      <c r="CS54" s="542">
        <f t="shared" ca="1" si="134"/>
        <v>0</v>
      </c>
      <c r="CT54" s="542">
        <f t="shared" ca="1" si="134"/>
        <v>0</v>
      </c>
      <c r="CU54" s="542">
        <f t="shared" ca="1" si="134"/>
        <v>0</v>
      </c>
      <c r="CW54" s="151">
        <f t="shared" ca="1" si="114"/>
        <v>0</v>
      </c>
    </row>
    <row r="55" spans="1:101" s="84" customFormat="1" ht="12.75" customHeight="1" outlineLevel="1" x14ac:dyDescent="0.2">
      <c r="A55" s="18"/>
      <c r="B55" s="18"/>
      <c r="C55" s="87"/>
      <c r="D55" s="53"/>
      <c r="E55" s="53"/>
      <c r="G55" s="245"/>
      <c r="H55" s="245"/>
      <c r="I55" s="245"/>
      <c r="J55" s="245"/>
      <c r="K55" s="245"/>
      <c r="L55" s="247"/>
      <c r="M55" s="245"/>
      <c r="N55" s="245"/>
      <c r="O55" s="245"/>
      <c r="P55" s="245">
        <f t="shared" si="70"/>
        <v>0</v>
      </c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>
        <f t="shared" si="5"/>
        <v>0</v>
      </c>
      <c r="AJ55" s="263"/>
      <c r="AK55" s="263"/>
      <c r="AL55" s="263"/>
      <c r="AM55" s="263"/>
      <c r="AN55" s="263"/>
      <c r="AO55" s="263"/>
      <c r="AP55" s="263"/>
      <c r="AQ55" s="263"/>
      <c r="AR55" s="263"/>
      <c r="AS55" s="263"/>
      <c r="AT55" s="263"/>
      <c r="AU55" s="263"/>
      <c r="AV55" s="263"/>
      <c r="AW55" s="263"/>
      <c r="AX55" s="263"/>
      <c r="AY55" s="263">
        <f t="shared" si="74"/>
        <v>0</v>
      </c>
      <c r="BA55" s="277"/>
      <c r="BB55" s="277"/>
      <c r="BC55" s="277">
        <f t="shared" si="10"/>
        <v>0</v>
      </c>
      <c r="BE55" s="55">
        <f>P55+AH55+AY55+BC55</f>
        <v>0</v>
      </c>
      <c r="BF55" s="55"/>
      <c r="BG55" s="18"/>
      <c r="BH55" s="542"/>
      <c r="BI55" s="542"/>
      <c r="BJ55" s="542"/>
      <c r="BK55" s="542"/>
      <c r="BL55" s="542"/>
      <c r="BM55" s="542"/>
      <c r="BN55" s="542"/>
      <c r="BO55" s="542"/>
      <c r="BP55" s="542"/>
      <c r="BQ55" s="542"/>
      <c r="BR55" s="542"/>
      <c r="BS55" s="542"/>
      <c r="BT55" s="542"/>
      <c r="BU55" s="542"/>
      <c r="BV55" s="542"/>
      <c r="BW55" s="542"/>
      <c r="BX55" s="542"/>
      <c r="BY55" s="542"/>
      <c r="BZ55" s="542"/>
      <c r="CA55" s="542"/>
      <c r="CB55" s="542"/>
      <c r="CC55" s="542"/>
      <c r="CD55" s="542"/>
      <c r="CE55" s="542"/>
      <c r="CF55" s="542"/>
      <c r="CG55" s="542"/>
      <c r="CH55" s="542"/>
      <c r="CI55" s="542"/>
      <c r="CJ55" s="542"/>
      <c r="CK55" s="542"/>
      <c r="CL55" s="542"/>
      <c r="CM55" s="542"/>
      <c r="CN55" s="542"/>
      <c r="CO55" s="542"/>
      <c r="CP55" s="542"/>
      <c r="CQ55" s="542"/>
      <c r="CR55" s="542"/>
      <c r="CS55" s="542"/>
      <c r="CT55" s="542"/>
      <c r="CU55" s="542"/>
      <c r="CW55" s="151">
        <f t="shared" si="114"/>
        <v>0</v>
      </c>
    </row>
    <row r="56" spans="1:101" s="547" customFormat="1" ht="12.75" customHeight="1" outlineLevel="1" x14ac:dyDescent="0.2">
      <c r="C56" s="319" t="s">
        <v>856</v>
      </c>
      <c r="D56" s="320" t="s">
        <v>587</v>
      </c>
      <c r="E56" s="320"/>
      <c r="F56" s="84"/>
      <c r="G56" s="321"/>
      <c r="H56" s="321"/>
      <c r="I56" s="321"/>
      <c r="J56" s="321"/>
      <c r="K56" s="321"/>
      <c r="L56" s="322"/>
      <c r="M56" s="321"/>
      <c r="N56" s="321"/>
      <c r="O56" s="321"/>
      <c r="P56" s="321">
        <f t="shared" si="70"/>
        <v>0</v>
      </c>
      <c r="Q56" s="84"/>
      <c r="R56" s="323">
        <f ca="1">R$52+R$54</f>
        <v>-530.14446047320098</v>
      </c>
      <c r="S56" s="323">
        <f ca="1">S$52+S$54</f>
        <v>268.26312688612188</v>
      </c>
      <c r="T56" s="323"/>
      <c r="U56" s="323"/>
      <c r="V56" s="323"/>
      <c r="W56" s="323"/>
      <c r="X56" s="323"/>
      <c r="Y56" s="323"/>
      <c r="Z56" s="323"/>
      <c r="AA56" s="323"/>
      <c r="AB56" s="323"/>
      <c r="AC56" s="323"/>
      <c r="AD56" s="323"/>
      <c r="AE56" s="323"/>
      <c r="AF56" s="323"/>
      <c r="AG56" s="323"/>
      <c r="AH56" s="323">
        <f t="shared" ca="1" si="5"/>
        <v>-261.8813335870791</v>
      </c>
      <c r="AI56" s="84"/>
      <c r="AJ56" s="324"/>
      <c r="AK56" s="324"/>
      <c r="AL56" s="324"/>
      <c r="AM56" s="324"/>
      <c r="AN56" s="324"/>
      <c r="AO56" s="324"/>
      <c r="AP56" s="324"/>
      <c r="AQ56" s="324"/>
      <c r="AR56" s="324"/>
      <c r="AS56" s="324"/>
      <c r="AT56" s="324"/>
      <c r="AU56" s="324"/>
      <c r="AV56" s="324"/>
      <c r="AW56" s="324"/>
      <c r="AX56" s="324"/>
      <c r="AY56" s="324">
        <f t="shared" si="74"/>
        <v>0</v>
      </c>
      <c r="AZ56" s="84"/>
      <c r="BA56" s="325"/>
      <c r="BB56" s="325"/>
      <c r="BC56" s="325">
        <f t="shared" si="10"/>
        <v>0</v>
      </c>
      <c r="BD56" s="84"/>
      <c r="BE56" s="164"/>
      <c r="BF56" s="164"/>
      <c r="BH56" s="549"/>
      <c r="BI56" s="549"/>
      <c r="BJ56" s="549"/>
      <c r="BK56" s="549"/>
      <c r="BL56" s="549"/>
      <c r="BM56" s="549"/>
      <c r="BN56" s="549"/>
      <c r="BO56" s="549"/>
      <c r="BP56" s="549"/>
      <c r="BQ56" s="549"/>
      <c r="BR56" s="549"/>
      <c r="BS56" s="549"/>
      <c r="BT56" s="549"/>
      <c r="BU56" s="549"/>
      <c r="BV56" s="549"/>
      <c r="BW56" s="549"/>
      <c r="BX56" s="549"/>
      <c r="BY56" s="549"/>
      <c r="BZ56" s="549"/>
      <c r="CA56" s="549"/>
      <c r="CB56" s="549"/>
      <c r="CC56" s="549"/>
      <c r="CD56" s="549"/>
      <c r="CE56" s="549"/>
      <c r="CF56" s="549"/>
      <c r="CG56" s="549"/>
      <c r="CH56" s="549"/>
      <c r="CI56" s="549"/>
      <c r="CJ56" s="549"/>
      <c r="CK56" s="549"/>
      <c r="CL56" s="549"/>
      <c r="CM56" s="549"/>
      <c r="CN56" s="549"/>
      <c r="CO56" s="549"/>
      <c r="CP56" s="549"/>
      <c r="CQ56" s="549"/>
      <c r="CR56" s="549"/>
      <c r="CS56" s="549"/>
      <c r="CT56" s="549"/>
      <c r="CU56" s="549"/>
      <c r="CW56" s="151">
        <f t="shared" si="114"/>
        <v>0</v>
      </c>
    </row>
    <row r="57" spans="1:101" s="543" customFormat="1" ht="12.75" customHeight="1" outlineLevel="1" x14ac:dyDescent="0.2">
      <c r="C57" s="86" t="s">
        <v>352</v>
      </c>
      <c r="D57" s="61" t="str">
        <f>INDEX(Modules[Module], MATCH($C57, Modules[Code], 0))</f>
        <v>Biomass power station</v>
      </c>
      <c r="E57" s="61"/>
      <c r="F57" s="84"/>
      <c r="G57" s="892">
        <f t="shared" ref="G57:O59" ca="1" si="135">IFERROR(INDEX(INDIRECT($C57&amp;".Outputs["&amp;this.Year&amp;"]"), MATCH(G$5, INDIRECT($C57&amp;".Outputs[Vector]"), 0)), 0)</f>
        <v>0</v>
      </c>
      <c r="H57" s="892">
        <f t="shared" ca="1" si="135"/>
        <v>0</v>
      </c>
      <c r="I57" s="892">
        <f t="shared" ca="1" si="135"/>
        <v>0</v>
      </c>
      <c r="J57" s="892">
        <f t="shared" ca="1" si="135"/>
        <v>0</v>
      </c>
      <c r="K57" s="892">
        <f t="shared" ca="1" si="135"/>
        <v>0</v>
      </c>
      <c r="L57" s="892">
        <f t="shared" ca="1" si="135"/>
        <v>0</v>
      </c>
      <c r="M57" s="892">
        <f t="shared" ca="1" si="135"/>
        <v>0</v>
      </c>
      <c r="N57" s="892">
        <f t="shared" ca="1" si="135"/>
        <v>0</v>
      </c>
      <c r="O57" s="892">
        <f t="shared" ca="1" si="135"/>
        <v>0</v>
      </c>
      <c r="P57" s="892">
        <f t="shared" ref="P57:P89" ca="1" si="136">SUM(G57:O57)</f>
        <v>0</v>
      </c>
      <c r="Q57" s="84"/>
      <c r="R57" s="893">
        <f t="shared" ref="R57:AG57" ca="1" si="137">IFERROR(INDEX(INDIRECT($C57&amp;".Outputs["&amp;this.Year&amp;"]"), MATCH(R$5, INDIRECT($C57&amp;".Outputs[Vector]"), 0)), 0)</f>
        <v>0</v>
      </c>
      <c r="S57" s="893">
        <f t="shared" ca="1" si="137"/>
        <v>31.557600000000001</v>
      </c>
      <c r="T57" s="893">
        <f t="shared" ca="1" si="137"/>
        <v>-94.672800000000009</v>
      </c>
      <c r="U57" s="893">
        <f t="shared" ca="1" si="137"/>
        <v>0</v>
      </c>
      <c r="V57" s="893">
        <f t="shared" ca="1" si="137"/>
        <v>0</v>
      </c>
      <c r="W57" s="893">
        <f t="shared" ca="1" si="137"/>
        <v>0</v>
      </c>
      <c r="X57" s="893">
        <f t="shared" ca="1" si="137"/>
        <v>0</v>
      </c>
      <c r="Y57" s="893">
        <f t="shared" ca="1" si="137"/>
        <v>0</v>
      </c>
      <c r="Z57" s="893">
        <f t="shared" ca="1" si="137"/>
        <v>0</v>
      </c>
      <c r="AA57" s="893">
        <f t="shared" ca="1" si="137"/>
        <v>0</v>
      </c>
      <c r="AB57" s="893">
        <f t="shared" ca="1" si="137"/>
        <v>0</v>
      </c>
      <c r="AC57" s="893">
        <f t="shared" ca="1" si="137"/>
        <v>0</v>
      </c>
      <c r="AD57" s="893">
        <f t="shared" ca="1" si="137"/>
        <v>0</v>
      </c>
      <c r="AE57" s="893">
        <f t="shared" ca="1" si="137"/>
        <v>0</v>
      </c>
      <c r="AF57" s="893">
        <f t="shared" ca="1" si="137"/>
        <v>0</v>
      </c>
      <c r="AG57" s="893">
        <f t="shared" ca="1" si="137"/>
        <v>0</v>
      </c>
      <c r="AH57" s="894">
        <f t="shared" ca="1" si="5"/>
        <v>-63.115200000000009</v>
      </c>
      <c r="AI57" s="84"/>
      <c r="AJ57" s="895">
        <f t="shared" ref="AJ57:AR59" ca="1" si="138">IFERROR(INDEX(INDIRECT($C57&amp;".Outputs["&amp;this.Year&amp;"]"), MATCH(AJ$5, INDIRECT($C57&amp;".Outputs[Vector]"), 0)), 0)</f>
        <v>0</v>
      </c>
      <c r="AK57" s="895">
        <f t="shared" ca="1" si="138"/>
        <v>0</v>
      </c>
      <c r="AL57" s="895">
        <f t="shared" ca="1" si="138"/>
        <v>0</v>
      </c>
      <c r="AM57" s="895">
        <f t="shared" ca="1" si="138"/>
        <v>0</v>
      </c>
      <c r="AN57" s="895">
        <f t="shared" ca="1" si="138"/>
        <v>0</v>
      </c>
      <c r="AO57" s="895">
        <f t="shared" ca="1" si="138"/>
        <v>0</v>
      </c>
      <c r="AP57" s="895">
        <f t="shared" ca="1" si="138"/>
        <v>0</v>
      </c>
      <c r="AQ57" s="895">
        <f t="shared" ca="1" si="138"/>
        <v>0</v>
      </c>
      <c r="AR57" s="895">
        <f t="shared" ca="1" si="138"/>
        <v>0</v>
      </c>
      <c r="AS57" s="895">
        <f t="shared" ref="AS57:AX57" ca="1" si="139">IFERROR(INDEX(INDIRECT($C57&amp;".Outputs["&amp;this.Year&amp;"]"), MATCH(AS$5, INDIRECT($C57&amp;".Outputs[Vector]"), 0)), 0)</f>
        <v>0</v>
      </c>
      <c r="AT57" s="895">
        <f t="shared" ca="1" si="139"/>
        <v>0</v>
      </c>
      <c r="AU57" s="895">
        <f t="shared" ca="1" si="139"/>
        <v>0</v>
      </c>
      <c r="AV57" s="895">
        <f t="shared" ca="1" si="139"/>
        <v>0</v>
      </c>
      <c r="AW57" s="895">
        <f t="shared" ca="1" si="139"/>
        <v>0</v>
      </c>
      <c r="AX57" s="895">
        <f t="shared" ca="1" si="139"/>
        <v>0</v>
      </c>
      <c r="AY57" s="896">
        <f t="shared" ca="1" si="74"/>
        <v>0</v>
      </c>
      <c r="AZ57" s="84"/>
      <c r="BA57" s="897">
        <f ca="1">IFERROR(INDEX(INDIRECT($C57&amp;".Outputs["&amp;this.Year&amp;"]"), MATCH(BA$5, INDIRECT($C57&amp;".Outputs[Vector]"), 0)), 0)</f>
        <v>61.537320000000008</v>
      </c>
      <c r="BB57" s="897">
        <f ca="1">IFERROR(INDEX(INDIRECT($C57&amp;".Outputs["&amp;this.Year&amp;"]"), MATCH(BB$5, INDIRECT($C57&amp;".Outputs[Vector]"), 0)), 0)</f>
        <v>1.5778800000000002</v>
      </c>
      <c r="BC57" s="898">
        <f t="shared" ca="1" si="10"/>
        <v>63.115200000000009</v>
      </c>
      <c r="BD57" s="84"/>
      <c r="BE57" s="135">
        <f ca="1">P57+AH57+AY57+BC57</f>
        <v>0</v>
      </c>
      <c r="BF57" s="135"/>
      <c r="BG57" s="1428"/>
      <c r="BH57" s="541">
        <f t="shared" ref="BH57:CU59" ca="1" si="140">IFERROR(SUMIFS(INDIRECT($C57&amp;".Emissions["&amp;this.Year&amp;"]"), INDIRECT($C57&amp;".Emissions[GHG]"), BH$6, INDIRECT($C57&amp;".Emissions[IPCC Sector]"), BH$5),0)</f>
        <v>29.159222399999997</v>
      </c>
      <c r="BI57" s="542">
        <f t="shared" ca="1" si="140"/>
        <v>8.5659257962799815E-2</v>
      </c>
      <c r="BJ57" s="542">
        <f t="shared" ca="1" si="140"/>
        <v>0.25830736343818017</v>
      </c>
      <c r="BK57" s="542">
        <f t="shared" ca="1" si="140"/>
        <v>0</v>
      </c>
      <c r="BL57" s="542">
        <f t="shared" ca="1" si="140"/>
        <v>0</v>
      </c>
      <c r="BM57" s="542">
        <f t="shared" ca="1" si="140"/>
        <v>0</v>
      </c>
      <c r="BN57" s="542">
        <f t="shared" ca="1" si="140"/>
        <v>0</v>
      </c>
      <c r="BO57" s="542">
        <f t="shared" ca="1" si="140"/>
        <v>0</v>
      </c>
      <c r="BP57" s="542">
        <f t="shared" ca="1" si="140"/>
        <v>0</v>
      </c>
      <c r="BQ57" s="542">
        <f t="shared" ca="1" si="140"/>
        <v>0</v>
      </c>
      <c r="BR57" s="542">
        <f t="shared" ca="1" si="140"/>
        <v>0</v>
      </c>
      <c r="BS57" s="542">
        <f t="shared" ca="1" si="140"/>
        <v>0</v>
      </c>
      <c r="BT57" s="542">
        <f t="shared" ca="1" si="140"/>
        <v>0</v>
      </c>
      <c r="BU57" s="542">
        <f t="shared" ca="1" si="140"/>
        <v>0</v>
      </c>
      <c r="BV57" s="542">
        <f t="shared" ca="1" si="140"/>
        <v>0</v>
      </c>
      <c r="BW57" s="542">
        <f t="shared" ca="1" si="140"/>
        <v>0</v>
      </c>
      <c r="BX57" s="542">
        <f t="shared" ca="1" si="140"/>
        <v>0</v>
      </c>
      <c r="BY57" s="542">
        <f t="shared" ca="1" si="140"/>
        <v>0</v>
      </c>
      <c r="BZ57" s="542">
        <f t="shared" ca="1" si="140"/>
        <v>0</v>
      </c>
      <c r="CA57" s="542">
        <f t="shared" ca="1" si="140"/>
        <v>0</v>
      </c>
      <c r="CB57" s="542">
        <f t="shared" ca="1" si="140"/>
        <v>0</v>
      </c>
      <c r="CC57" s="542">
        <f t="shared" ca="1" si="140"/>
        <v>0</v>
      </c>
      <c r="CD57" s="542">
        <f t="shared" ca="1" si="140"/>
        <v>0</v>
      </c>
      <c r="CE57" s="542">
        <f t="shared" ca="1" si="140"/>
        <v>0</v>
      </c>
      <c r="CF57" s="542">
        <f t="shared" ca="1" si="140"/>
        <v>0</v>
      </c>
      <c r="CG57" s="542">
        <f t="shared" ca="1" si="140"/>
        <v>0</v>
      </c>
      <c r="CH57" s="542">
        <f t="shared" ca="1" si="140"/>
        <v>0</v>
      </c>
      <c r="CI57" s="542">
        <f t="shared" ca="1" si="140"/>
        <v>0</v>
      </c>
      <c r="CJ57" s="542">
        <f t="shared" ca="1" si="140"/>
        <v>0</v>
      </c>
      <c r="CK57" s="542">
        <f t="shared" ca="1" si="140"/>
        <v>0</v>
      </c>
      <c r="CL57" s="542">
        <f t="shared" ca="1" si="140"/>
        <v>0</v>
      </c>
      <c r="CM57" s="542">
        <f t="shared" ca="1" si="140"/>
        <v>0</v>
      </c>
      <c r="CN57" s="542">
        <f t="shared" ca="1" si="140"/>
        <v>0</v>
      </c>
      <c r="CO57" s="542">
        <f t="shared" ca="1" si="140"/>
        <v>0</v>
      </c>
      <c r="CP57" s="542">
        <f t="shared" ca="1" si="140"/>
        <v>0</v>
      </c>
      <c r="CQ57" s="542">
        <f t="shared" ca="1" si="140"/>
        <v>0</v>
      </c>
      <c r="CR57" s="542">
        <f t="shared" ca="1" si="140"/>
        <v>0</v>
      </c>
      <c r="CS57" s="542">
        <f t="shared" ca="1" si="140"/>
        <v>0</v>
      </c>
      <c r="CT57" s="542">
        <f t="shared" ca="1" si="140"/>
        <v>0</v>
      </c>
      <c r="CU57" s="542">
        <f t="shared" ca="1" si="140"/>
        <v>0</v>
      </c>
      <c r="CW57" s="151">
        <f t="shared" ca="1" si="114"/>
        <v>29.503189021400978</v>
      </c>
    </row>
    <row r="58" spans="1:101" s="543" customFormat="1" ht="12.75" customHeight="1" outlineLevel="1" x14ac:dyDescent="0.2">
      <c r="C58" s="319" t="s">
        <v>2381</v>
      </c>
      <c r="D58" s="320" t="s">
        <v>587</v>
      </c>
      <c r="E58" s="61"/>
      <c r="F58" s="84"/>
      <c r="G58" s="892"/>
      <c r="H58" s="892"/>
      <c r="I58" s="892"/>
      <c r="J58" s="892"/>
      <c r="K58" s="892"/>
      <c r="L58" s="892"/>
      <c r="M58" s="892"/>
      <c r="N58" s="892"/>
      <c r="O58" s="892"/>
      <c r="P58" s="892">
        <f t="shared" si="136"/>
        <v>0</v>
      </c>
      <c r="Q58" s="84"/>
      <c r="R58" s="893">
        <f ca="1">R56+R57</f>
        <v>-530.14446047320098</v>
      </c>
      <c r="S58" s="893">
        <f ca="1">S56+S57</f>
        <v>299.82072688612186</v>
      </c>
      <c r="T58" s="893"/>
      <c r="U58" s="893"/>
      <c r="V58" s="893"/>
      <c r="W58" s="893"/>
      <c r="X58" s="893"/>
      <c r="Y58" s="893"/>
      <c r="Z58" s="893"/>
      <c r="AA58" s="893"/>
      <c r="AB58" s="893"/>
      <c r="AC58" s="893"/>
      <c r="AD58" s="893"/>
      <c r="AE58" s="893"/>
      <c r="AF58" s="893"/>
      <c r="AG58" s="893"/>
      <c r="AH58" s="894">
        <f t="shared" ca="1" si="5"/>
        <v>-230.32373358707912</v>
      </c>
      <c r="AI58" s="84"/>
      <c r="AJ58" s="895"/>
      <c r="AK58" s="895"/>
      <c r="AL58" s="895"/>
      <c r="AM58" s="895"/>
      <c r="AN58" s="895"/>
      <c r="AO58" s="895"/>
      <c r="AP58" s="895"/>
      <c r="AQ58" s="895"/>
      <c r="AR58" s="895"/>
      <c r="AS58" s="895"/>
      <c r="AT58" s="895"/>
      <c r="AU58" s="895"/>
      <c r="AV58" s="895"/>
      <c r="AW58" s="895"/>
      <c r="AX58" s="895"/>
      <c r="AY58" s="896">
        <f t="shared" si="74"/>
        <v>0</v>
      </c>
      <c r="AZ58" s="84"/>
      <c r="BA58" s="897"/>
      <c r="BB58" s="897"/>
      <c r="BC58" s="898">
        <f t="shared" si="10"/>
        <v>0</v>
      </c>
      <c r="BD58" s="84"/>
      <c r="BE58" s="135"/>
      <c r="BF58" s="135"/>
      <c r="BG58" s="1428"/>
      <c r="BH58" s="541"/>
      <c r="BI58" s="542"/>
      <c r="BJ58" s="542"/>
      <c r="BK58" s="542"/>
      <c r="BL58" s="542"/>
      <c r="BM58" s="542"/>
      <c r="BN58" s="542"/>
      <c r="BO58" s="542"/>
      <c r="BP58" s="542"/>
      <c r="BQ58" s="542"/>
      <c r="BR58" s="542"/>
      <c r="BS58" s="542"/>
      <c r="BT58" s="542"/>
      <c r="BU58" s="542"/>
      <c r="BV58" s="542"/>
      <c r="BW58" s="542"/>
      <c r="BX58" s="542"/>
      <c r="BY58" s="542"/>
      <c r="BZ58" s="542"/>
      <c r="CA58" s="542"/>
      <c r="CB58" s="542"/>
      <c r="CC58" s="542"/>
      <c r="CD58" s="542"/>
      <c r="CE58" s="542"/>
      <c r="CF58" s="542"/>
      <c r="CG58" s="542"/>
      <c r="CH58" s="542"/>
      <c r="CI58" s="542"/>
      <c r="CJ58" s="542"/>
      <c r="CK58" s="542"/>
      <c r="CL58" s="542"/>
      <c r="CM58" s="542"/>
      <c r="CN58" s="542"/>
      <c r="CO58" s="542"/>
      <c r="CP58" s="542"/>
      <c r="CQ58" s="542"/>
      <c r="CR58" s="542"/>
      <c r="CS58" s="542"/>
      <c r="CT58" s="542"/>
      <c r="CU58" s="542"/>
      <c r="CW58" s="151"/>
    </row>
    <row r="59" spans="1:101" s="543" customFormat="1" ht="12.75" customHeight="1" outlineLevel="1" x14ac:dyDescent="0.2">
      <c r="C59" s="86" t="s">
        <v>2146</v>
      </c>
      <c r="D59" s="61" t="str">
        <f>INDEX(Modules[Module], MATCH($C59, Modules[Code], 0))</f>
        <v>Coal power stations</v>
      </c>
      <c r="E59" s="61"/>
      <c r="F59" s="84"/>
      <c r="G59" s="892">
        <f t="shared" ca="1" si="135"/>
        <v>0</v>
      </c>
      <c r="H59" s="892">
        <f t="shared" ca="1" si="135"/>
        <v>0</v>
      </c>
      <c r="I59" s="892">
        <f t="shared" ca="1" si="135"/>
        <v>0</v>
      </c>
      <c r="J59" s="892">
        <f t="shared" ca="1" si="135"/>
        <v>0</v>
      </c>
      <c r="K59" s="892">
        <f t="shared" ca="1" si="135"/>
        <v>0</v>
      </c>
      <c r="L59" s="892">
        <f t="shared" ca="1" si="135"/>
        <v>0</v>
      </c>
      <c r="M59" s="892">
        <f t="shared" ca="1" si="135"/>
        <v>0</v>
      </c>
      <c r="N59" s="892">
        <f t="shared" ca="1" si="135"/>
        <v>0</v>
      </c>
      <c r="O59" s="892">
        <f t="shared" ca="1" si="135"/>
        <v>0</v>
      </c>
      <c r="P59" s="892">
        <f t="shared" ca="1" si="136"/>
        <v>0</v>
      </c>
      <c r="Q59" s="84"/>
      <c r="R59" s="893">
        <f t="shared" ref="R59:AG59" ca="1" si="141">IFERROR(INDEX(INDIRECT($C59&amp;".Outputs["&amp;this.Year&amp;"]"), MATCH(R$5, INDIRECT($C59&amp;".Outputs[Vector]"), 0)), 0)</f>
        <v>0</v>
      </c>
      <c r="S59" s="893">
        <f t="shared" ca="1" si="141"/>
        <v>149.89860000000002</v>
      </c>
      <c r="T59" s="893">
        <f t="shared" ca="1" si="141"/>
        <v>-414.19350000000009</v>
      </c>
      <c r="U59" s="893">
        <f t="shared" ca="1" si="141"/>
        <v>0</v>
      </c>
      <c r="V59" s="893">
        <f t="shared" ca="1" si="141"/>
        <v>0</v>
      </c>
      <c r="W59" s="893">
        <f t="shared" ca="1" si="141"/>
        <v>0</v>
      </c>
      <c r="X59" s="893">
        <f t="shared" ca="1" si="141"/>
        <v>0</v>
      </c>
      <c r="Y59" s="893">
        <f t="shared" ca="1" si="141"/>
        <v>0</v>
      </c>
      <c r="Z59" s="893">
        <f t="shared" ca="1" si="141"/>
        <v>0</v>
      </c>
      <c r="AA59" s="893">
        <f t="shared" ca="1" si="141"/>
        <v>0</v>
      </c>
      <c r="AB59" s="893">
        <f t="shared" ca="1" si="141"/>
        <v>0</v>
      </c>
      <c r="AC59" s="893">
        <f t="shared" ca="1" si="141"/>
        <v>0</v>
      </c>
      <c r="AD59" s="893">
        <f t="shared" ca="1" si="141"/>
        <v>0</v>
      </c>
      <c r="AE59" s="893">
        <f t="shared" ca="1" si="141"/>
        <v>0</v>
      </c>
      <c r="AF59" s="893">
        <f t="shared" ca="1" si="141"/>
        <v>0</v>
      </c>
      <c r="AG59" s="893">
        <f t="shared" ca="1" si="141"/>
        <v>0</v>
      </c>
      <c r="AH59" s="894">
        <f t="shared" ca="1" si="5"/>
        <v>-264.2949000000001</v>
      </c>
      <c r="AI59" s="84"/>
      <c r="AJ59" s="895">
        <f t="shared" ca="1" si="138"/>
        <v>0</v>
      </c>
      <c r="AK59" s="895">
        <f t="shared" ca="1" si="138"/>
        <v>0</v>
      </c>
      <c r="AL59" s="895">
        <f t="shared" ca="1" si="138"/>
        <v>0</v>
      </c>
      <c r="AM59" s="895">
        <f t="shared" ca="1" si="138"/>
        <v>0</v>
      </c>
      <c r="AN59" s="895">
        <f t="shared" ca="1" si="138"/>
        <v>0</v>
      </c>
      <c r="AO59" s="895">
        <f t="shared" ca="1" si="138"/>
        <v>0</v>
      </c>
      <c r="AP59" s="895">
        <f t="shared" ca="1" si="138"/>
        <v>0</v>
      </c>
      <c r="AQ59" s="895">
        <f t="shared" ca="1" si="138"/>
        <v>0</v>
      </c>
      <c r="AR59" s="895">
        <f t="shared" ca="1" si="138"/>
        <v>0</v>
      </c>
      <c r="AS59" s="895">
        <f t="shared" ref="AS59:AX59" ca="1" si="142">IFERROR(INDEX(INDIRECT($C59&amp;".Outputs["&amp;this.Year&amp;"]"), MATCH(AS$5, INDIRECT($C59&amp;".Outputs[Vector]"), 0)), 0)</f>
        <v>0</v>
      </c>
      <c r="AT59" s="895">
        <f t="shared" ca="1" si="142"/>
        <v>0</v>
      </c>
      <c r="AU59" s="895">
        <f t="shared" ca="1" si="142"/>
        <v>0</v>
      </c>
      <c r="AV59" s="895">
        <f t="shared" ca="1" si="142"/>
        <v>0</v>
      </c>
      <c r="AW59" s="895">
        <f t="shared" ca="1" si="142"/>
        <v>0</v>
      </c>
      <c r="AX59" s="895">
        <f t="shared" ca="1" si="142"/>
        <v>0</v>
      </c>
      <c r="AY59" s="896">
        <f t="shared" ca="1" si="74"/>
        <v>0</v>
      </c>
      <c r="AZ59" s="84"/>
      <c r="BA59" s="897">
        <f ca="1">IFERROR(INDEX(INDIRECT($C59&amp;".Outputs["&amp;this.Year&amp;"]"), MATCH(BA$5, INDIRECT($C59&amp;".Outputs[Vector]"), 0)), 0)</f>
        <v>256.79997000000003</v>
      </c>
      <c r="BB59" s="897">
        <f ca="1">IFERROR(INDEX(INDIRECT($C59&amp;".Outputs["&amp;this.Year&amp;"]"), MATCH(BB$5, INDIRECT($C59&amp;".Outputs[Vector]"), 0)), 0)</f>
        <v>7.494930000000001</v>
      </c>
      <c r="BC59" s="898">
        <f t="shared" ca="1" si="10"/>
        <v>264.29490000000004</v>
      </c>
      <c r="BD59" s="84"/>
      <c r="BE59" s="135">
        <f ca="1">P59+AH59+AY59+BC59</f>
        <v>0</v>
      </c>
      <c r="BF59" s="135"/>
      <c r="BG59" s="1428"/>
      <c r="BH59" s="541">
        <f t="shared" ca="1" si="140"/>
        <v>127.57159800000001</v>
      </c>
      <c r="BI59" s="542">
        <f t="shared" ca="1" si="140"/>
        <v>0.37475925358724921</v>
      </c>
      <c r="BJ59" s="542">
        <f t="shared" ca="1" si="140"/>
        <v>1.1300947150420384</v>
      </c>
      <c r="BK59" s="542">
        <f t="shared" ca="1" si="140"/>
        <v>0</v>
      </c>
      <c r="BL59" s="542">
        <f t="shared" ca="1" si="140"/>
        <v>0</v>
      </c>
      <c r="BM59" s="542">
        <f t="shared" ca="1" si="140"/>
        <v>0</v>
      </c>
      <c r="BN59" s="542">
        <f t="shared" ca="1" si="140"/>
        <v>0</v>
      </c>
      <c r="BO59" s="542">
        <f t="shared" ca="1" si="140"/>
        <v>0</v>
      </c>
      <c r="BP59" s="542">
        <f t="shared" ca="1" si="140"/>
        <v>0</v>
      </c>
      <c r="BQ59" s="542">
        <f t="shared" ca="1" si="140"/>
        <v>0</v>
      </c>
      <c r="BR59" s="542">
        <f t="shared" ca="1" si="140"/>
        <v>0</v>
      </c>
      <c r="BS59" s="542">
        <f t="shared" ca="1" si="140"/>
        <v>0</v>
      </c>
      <c r="BT59" s="542">
        <f t="shared" ca="1" si="140"/>
        <v>0</v>
      </c>
      <c r="BU59" s="542">
        <f t="shared" ca="1" si="140"/>
        <v>0</v>
      </c>
      <c r="BV59" s="542">
        <f t="shared" ca="1" si="140"/>
        <v>0</v>
      </c>
      <c r="BW59" s="542">
        <f t="shared" ca="1" si="140"/>
        <v>0</v>
      </c>
      <c r="BX59" s="542">
        <f t="shared" ca="1" si="140"/>
        <v>0</v>
      </c>
      <c r="BY59" s="542">
        <f t="shared" ca="1" si="140"/>
        <v>0</v>
      </c>
      <c r="BZ59" s="542">
        <f t="shared" ca="1" si="140"/>
        <v>0</v>
      </c>
      <c r="CA59" s="542">
        <f t="shared" ca="1" si="140"/>
        <v>0</v>
      </c>
      <c r="CB59" s="542">
        <f t="shared" ca="1" si="140"/>
        <v>0</v>
      </c>
      <c r="CC59" s="542">
        <f t="shared" ca="1" si="140"/>
        <v>0</v>
      </c>
      <c r="CD59" s="542">
        <f t="shared" ca="1" si="140"/>
        <v>0</v>
      </c>
      <c r="CE59" s="542">
        <f t="shared" ca="1" si="140"/>
        <v>0</v>
      </c>
      <c r="CF59" s="542">
        <f t="shared" ca="1" si="140"/>
        <v>0</v>
      </c>
      <c r="CG59" s="542">
        <f t="shared" ca="1" si="140"/>
        <v>0</v>
      </c>
      <c r="CH59" s="542">
        <f t="shared" ca="1" si="140"/>
        <v>0</v>
      </c>
      <c r="CI59" s="542">
        <f t="shared" ca="1" si="140"/>
        <v>0</v>
      </c>
      <c r="CJ59" s="542">
        <f t="shared" ca="1" si="140"/>
        <v>0</v>
      </c>
      <c r="CK59" s="542">
        <f t="shared" ca="1" si="140"/>
        <v>0</v>
      </c>
      <c r="CL59" s="542">
        <f t="shared" ca="1" si="140"/>
        <v>0</v>
      </c>
      <c r="CM59" s="542">
        <f t="shared" ca="1" si="140"/>
        <v>0</v>
      </c>
      <c r="CN59" s="542">
        <f t="shared" ca="1" si="140"/>
        <v>0</v>
      </c>
      <c r="CO59" s="542">
        <f t="shared" ca="1" si="140"/>
        <v>0</v>
      </c>
      <c r="CP59" s="542">
        <f t="shared" ca="1" si="140"/>
        <v>0</v>
      </c>
      <c r="CQ59" s="542">
        <f t="shared" ca="1" si="140"/>
        <v>0</v>
      </c>
      <c r="CR59" s="542">
        <f t="shared" ca="1" si="140"/>
        <v>0</v>
      </c>
      <c r="CS59" s="542">
        <f t="shared" ca="1" si="140"/>
        <v>0</v>
      </c>
      <c r="CT59" s="542">
        <f t="shared" ca="1" si="140"/>
        <v>0</v>
      </c>
      <c r="CU59" s="542">
        <f t="shared" ca="1" si="140"/>
        <v>0</v>
      </c>
      <c r="CW59" s="151">
        <f t="shared" ref="CW59:CW64" ca="1" si="143">SUM(BH59:CU59)</f>
        <v>129.0764519686293</v>
      </c>
    </row>
    <row r="60" spans="1:101" s="550" customFormat="1" ht="12.75" customHeight="1" outlineLevel="1" x14ac:dyDescent="0.2">
      <c r="C60" s="566" t="s">
        <v>857</v>
      </c>
      <c r="D60" s="320" t="s">
        <v>587</v>
      </c>
      <c r="E60" s="567"/>
      <c r="F60" s="882"/>
      <c r="G60" s="333"/>
      <c r="H60" s="333"/>
      <c r="I60" s="333"/>
      <c r="J60" s="333"/>
      <c r="K60" s="333"/>
      <c r="L60" s="334"/>
      <c r="M60" s="333"/>
      <c r="N60" s="333"/>
      <c r="O60" s="333"/>
      <c r="P60" s="333">
        <f t="shared" si="136"/>
        <v>0</v>
      </c>
      <c r="Q60" s="882"/>
      <c r="R60" s="335">
        <f ca="1">R58+R59</f>
        <v>-530.14446047320098</v>
      </c>
      <c r="S60" s="335">
        <f ca="1">S58+S59</f>
        <v>449.71932688612185</v>
      </c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>
        <f t="shared" ca="1" si="5"/>
        <v>-80.425133587079131</v>
      </c>
      <c r="AI60" s="882"/>
      <c r="AJ60" s="336"/>
      <c r="AK60" s="336"/>
      <c r="AL60" s="336"/>
      <c r="AM60" s="336"/>
      <c r="AN60" s="336"/>
      <c r="AO60" s="336"/>
      <c r="AP60" s="336"/>
      <c r="AQ60" s="336"/>
      <c r="AR60" s="336"/>
      <c r="AS60" s="336"/>
      <c r="AT60" s="336"/>
      <c r="AU60" s="336"/>
      <c r="AV60" s="336"/>
      <c r="AW60" s="336"/>
      <c r="AX60" s="336"/>
      <c r="AY60" s="336">
        <f t="shared" si="74"/>
        <v>0</v>
      </c>
      <c r="AZ60" s="882"/>
      <c r="BA60" s="337"/>
      <c r="BB60" s="337"/>
      <c r="BC60" s="337">
        <f t="shared" si="10"/>
        <v>0</v>
      </c>
      <c r="BD60" s="882"/>
      <c r="BE60" s="568"/>
      <c r="BF60" s="568"/>
      <c r="BH60" s="888"/>
      <c r="BI60" s="888"/>
      <c r="BJ60" s="888"/>
      <c r="BK60" s="888"/>
      <c r="BL60" s="888"/>
      <c r="BM60" s="888"/>
      <c r="BN60" s="888"/>
      <c r="BO60" s="888"/>
      <c r="BP60" s="888"/>
      <c r="BQ60" s="888"/>
      <c r="BR60" s="888"/>
      <c r="BS60" s="888"/>
      <c r="BT60" s="888"/>
      <c r="BU60" s="888"/>
      <c r="BV60" s="888"/>
      <c r="BW60" s="888"/>
      <c r="BX60" s="888"/>
      <c r="BY60" s="888"/>
      <c r="BZ60" s="888"/>
      <c r="CA60" s="888"/>
      <c r="CB60" s="888"/>
      <c r="CC60" s="888"/>
      <c r="CD60" s="888"/>
      <c r="CE60" s="888"/>
      <c r="CF60" s="888"/>
      <c r="CG60" s="888"/>
      <c r="CH60" s="888"/>
      <c r="CI60" s="888"/>
      <c r="CJ60" s="888"/>
      <c r="CK60" s="888"/>
      <c r="CL60" s="888"/>
      <c r="CM60" s="888"/>
      <c r="CN60" s="888"/>
      <c r="CO60" s="888"/>
      <c r="CP60" s="888"/>
      <c r="CQ60" s="888"/>
      <c r="CR60" s="888"/>
      <c r="CS60" s="888"/>
      <c r="CT60" s="888"/>
      <c r="CU60" s="888"/>
      <c r="CW60" s="887">
        <f t="shared" si="143"/>
        <v>0</v>
      </c>
    </row>
    <row r="61" spans="1:101" s="543" customFormat="1" ht="12.75" customHeight="1" outlineLevel="1" x14ac:dyDescent="0.2">
      <c r="C61" s="86" t="s">
        <v>288</v>
      </c>
      <c r="D61" s="61" t="str">
        <f>INDEX(Modules[Module], MATCH($C61, Modules[Code], 0))</f>
        <v>Natural gas power stations</v>
      </c>
      <c r="E61" s="61"/>
      <c r="F61" s="84"/>
      <c r="G61" s="301">
        <f t="shared" ref="G61:O61" ca="1" si="144">IFERROR(INDEX(INDIRECT($C61&amp;".Outputs["&amp;this.Year&amp;"]"), MATCH(G$5, INDIRECT($C61&amp;".Outputs[Vector]"), 0)), 0)</f>
        <v>0</v>
      </c>
      <c r="H61" s="301">
        <f t="shared" ca="1" si="144"/>
        <v>0</v>
      </c>
      <c r="I61" s="301">
        <f t="shared" ca="1" si="144"/>
        <v>0</v>
      </c>
      <c r="J61" s="301">
        <f t="shared" ca="1" si="144"/>
        <v>0</v>
      </c>
      <c r="K61" s="301">
        <f t="shared" ca="1" si="144"/>
        <v>0</v>
      </c>
      <c r="L61" s="301">
        <f t="shared" ca="1" si="144"/>
        <v>0</v>
      </c>
      <c r="M61" s="301">
        <f t="shared" ca="1" si="144"/>
        <v>0</v>
      </c>
      <c r="N61" s="301">
        <f t="shared" ca="1" si="144"/>
        <v>0</v>
      </c>
      <c r="O61" s="301">
        <f t="shared" ca="1" si="144"/>
        <v>0</v>
      </c>
      <c r="P61" s="301">
        <f t="shared" ca="1" si="136"/>
        <v>0</v>
      </c>
      <c r="Q61" s="84"/>
      <c r="R61" s="307">
        <f t="shared" ref="R61:AX61" ca="1" si="145">IFERROR(INDEX(INDIRECT($C61&amp;".Outputs["&amp;this.Year&amp;"]"), MATCH(R$5, INDIRECT($C61&amp;".Outputs[Vector]"), 0)), 0)</f>
        <v>0</v>
      </c>
      <c r="S61" s="307">
        <f t="shared" ca="1" si="145"/>
        <v>281.83566599999995</v>
      </c>
      <c r="T61" s="307">
        <f t="shared" ca="1" si="145"/>
        <v>0</v>
      </c>
      <c r="U61" s="307">
        <f t="shared" ca="1" si="145"/>
        <v>0</v>
      </c>
      <c r="V61" s="307">
        <f t="shared" ca="1" si="145"/>
        <v>-591.85489859999984</v>
      </c>
      <c r="W61" s="307">
        <f t="shared" ca="1" si="145"/>
        <v>0</v>
      </c>
      <c r="X61" s="307">
        <f ca="1">IFERROR(INDEX(INDIRECT($C61&amp;".Outputs["&amp;this.Year&amp;"]"), MATCH(X$5, INDIRECT($C61&amp;".Outputs[Vector]"), 0)), 0)</f>
        <v>0</v>
      </c>
      <c r="Y61" s="307">
        <f ca="1">IFERROR(INDEX(INDIRECT($C61&amp;".Outputs["&amp;this.Year&amp;"]"), MATCH(Y$5, INDIRECT($C61&amp;".Outputs[Vector]"), 0)), 0)</f>
        <v>0</v>
      </c>
      <c r="Z61" s="307">
        <f ca="1">IFERROR(INDEX(INDIRECT($C61&amp;".Outputs["&amp;this.Year&amp;"]"), MATCH(Z$5, INDIRECT($C61&amp;".Outputs[Vector]"), 0)), 0)</f>
        <v>0</v>
      </c>
      <c r="AA61" s="307">
        <f t="shared" ca="1" si="145"/>
        <v>0</v>
      </c>
      <c r="AB61" s="307">
        <f t="shared" ca="1" si="145"/>
        <v>0</v>
      </c>
      <c r="AC61" s="307">
        <f t="shared" ca="1" si="145"/>
        <v>0</v>
      </c>
      <c r="AD61" s="307">
        <f t="shared" ca="1" si="145"/>
        <v>0</v>
      </c>
      <c r="AE61" s="307">
        <f t="shared" ca="1" si="145"/>
        <v>0</v>
      </c>
      <c r="AF61" s="307">
        <f t="shared" ca="1" si="145"/>
        <v>0</v>
      </c>
      <c r="AG61" s="307">
        <f t="shared" ca="1" si="145"/>
        <v>0</v>
      </c>
      <c r="AH61" s="306">
        <f t="shared" ca="1" si="5"/>
        <v>-310.0192325999999</v>
      </c>
      <c r="AI61" s="84"/>
      <c r="AJ61" s="315">
        <f t="shared" ref="AJ61:AR61" ca="1" si="146">IFERROR(INDEX(INDIRECT($C61&amp;".Outputs["&amp;this.Year&amp;"]"), MATCH(AJ$5, INDIRECT($C61&amp;".Outputs[Vector]"), 0)), 0)</f>
        <v>0</v>
      </c>
      <c r="AK61" s="315">
        <f t="shared" ca="1" si="146"/>
        <v>0</v>
      </c>
      <c r="AL61" s="315">
        <f t="shared" ca="1" si="146"/>
        <v>0</v>
      </c>
      <c r="AM61" s="315">
        <f t="shared" ca="1" si="146"/>
        <v>0</v>
      </c>
      <c r="AN61" s="315">
        <f t="shared" ca="1" si="146"/>
        <v>0</v>
      </c>
      <c r="AO61" s="315">
        <f t="shared" ca="1" si="146"/>
        <v>0</v>
      </c>
      <c r="AP61" s="315">
        <f t="shared" ca="1" si="146"/>
        <v>0</v>
      </c>
      <c r="AQ61" s="315">
        <f t="shared" ca="1" si="146"/>
        <v>0</v>
      </c>
      <c r="AR61" s="315">
        <f t="shared" ca="1" si="146"/>
        <v>0</v>
      </c>
      <c r="AS61" s="315">
        <f t="shared" ca="1" si="145"/>
        <v>0</v>
      </c>
      <c r="AT61" s="315">
        <f t="shared" ca="1" si="145"/>
        <v>0</v>
      </c>
      <c r="AU61" s="315">
        <f t="shared" ca="1" si="145"/>
        <v>0</v>
      </c>
      <c r="AV61" s="315">
        <f t="shared" ca="1" si="145"/>
        <v>0</v>
      </c>
      <c r="AW61" s="315">
        <f t="shared" ca="1" si="145"/>
        <v>0</v>
      </c>
      <c r="AX61" s="315">
        <f t="shared" ca="1" si="145"/>
        <v>0</v>
      </c>
      <c r="AY61" s="293">
        <f t="shared" ref="AY61:AY90" ca="1" si="147">SUM(AJ61:AX61)</f>
        <v>0</v>
      </c>
      <c r="AZ61" s="84"/>
      <c r="BA61" s="311">
        <f ca="1">IFERROR(INDEX(INDIRECT($C61&amp;".Outputs["&amp;this.Year&amp;"]"), MATCH(BA$5, INDIRECT($C61&amp;".Outputs[Vector]"), 0)), 0)</f>
        <v>295.92744929999992</v>
      </c>
      <c r="BB61" s="311">
        <f ca="1">IFERROR(INDEX(INDIRECT($C61&amp;".Outputs["&amp;this.Year&amp;"]"), MATCH(BB$5, INDIRECT($C61&amp;".Outputs[Vector]"), 0)), 0)</f>
        <v>14.091783299999998</v>
      </c>
      <c r="BC61" s="310">
        <f t="shared" ca="1" si="10"/>
        <v>310.0192325999999</v>
      </c>
      <c r="BD61" s="84"/>
      <c r="BE61" s="135">
        <f ca="1">P61+AH61+AY61+BC61</f>
        <v>0</v>
      </c>
      <c r="BF61" s="135"/>
      <c r="BG61" s="1428"/>
      <c r="BH61" s="544">
        <f t="shared" ref="BH61:CU61" ca="1" si="148">IFERROR(SUMIFS(INDIRECT($C61&amp;".Emissions["&amp;this.Year&amp;"]"), INDIRECT($C61&amp;".Emissions[GHG]"), BH$6, INDIRECT($C61&amp;".Emissions[IPCC Sector]"), BH$5),0)</f>
        <v>108.90130134239995</v>
      </c>
      <c r="BI61" s="545">
        <f t="shared" ca="1" si="148"/>
        <v>0.21829110215879566</v>
      </c>
      <c r="BJ61" s="545">
        <f t="shared" ca="1" si="148"/>
        <v>0.23478269292818688</v>
      </c>
      <c r="BK61" s="545">
        <f t="shared" ca="1" si="148"/>
        <v>0</v>
      </c>
      <c r="BL61" s="545">
        <f t="shared" ca="1" si="148"/>
        <v>0</v>
      </c>
      <c r="BM61" s="545">
        <f t="shared" ca="1" si="148"/>
        <v>0</v>
      </c>
      <c r="BN61" s="545">
        <f t="shared" ca="1" si="148"/>
        <v>0</v>
      </c>
      <c r="BO61" s="545">
        <f t="shared" ca="1" si="148"/>
        <v>0</v>
      </c>
      <c r="BP61" s="545">
        <f t="shared" ca="1" si="148"/>
        <v>0</v>
      </c>
      <c r="BQ61" s="545">
        <f t="shared" ca="1" si="148"/>
        <v>0</v>
      </c>
      <c r="BR61" s="545">
        <f t="shared" ca="1" si="148"/>
        <v>0</v>
      </c>
      <c r="BS61" s="545">
        <f t="shared" ca="1" si="148"/>
        <v>0</v>
      </c>
      <c r="BT61" s="545">
        <f t="shared" ca="1" si="148"/>
        <v>0</v>
      </c>
      <c r="BU61" s="545">
        <f t="shared" ca="1" si="148"/>
        <v>0</v>
      </c>
      <c r="BV61" s="545">
        <f t="shared" ca="1" si="148"/>
        <v>0</v>
      </c>
      <c r="BW61" s="545">
        <f t="shared" ca="1" si="148"/>
        <v>0</v>
      </c>
      <c r="BX61" s="545">
        <f t="shared" ca="1" si="148"/>
        <v>0</v>
      </c>
      <c r="BY61" s="545">
        <f t="shared" ca="1" si="148"/>
        <v>0</v>
      </c>
      <c r="BZ61" s="545">
        <f t="shared" ca="1" si="148"/>
        <v>0</v>
      </c>
      <c r="CA61" s="545">
        <f t="shared" ca="1" si="148"/>
        <v>0</v>
      </c>
      <c r="CB61" s="545">
        <f t="shared" ca="1" si="148"/>
        <v>0</v>
      </c>
      <c r="CC61" s="545">
        <f t="shared" ca="1" si="148"/>
        <v>0</v>
      </c>
      <c r="CD61" s="545">
        <f t="shared" ca="1" si="148"/>
        <v>0</v>
      </c>
      <c r="CE61" s="545">
        <f t="shared" ca="1" si="148"/>
        <v>0</v>
      </c>
      <c r="CF61" s="545">
        <f t="shared" ca="1" si="148"/>
        <v>0</v>
      </c>
      <c r="CG61" s="545">
        <f t="shared" ca="1" si="148"/>
        <v>0</v>
      </c>
      <c r="CH61" s="545">
        <f t="shared" ca="1" si="148"/>
        <v>0</v>
      </c>
      <c r="CI61" s="545">
        <f t="shared" ca="1" si="148"/>
        <v>0</v>
      </c>
      <c r="CJ61" s="545">
        <f t="shared" ca="1" si="148"/>
        <v>0</v>
      </c>
      <c r="CK61" s="545">
        <f t="shared" ca="1" si="148"/>
        <v>0</v>
      </c>
      <c r="CL61" s="545">
        <f t="shared" ca="1" si="148"/>
        <v>0</v>
      </c>
      <c r="CM61" s="545">
        <f t="shared" ca="1" si="148"/>
        <v>0</v>
      </c>
      <c r="CN61" s="545">
        <f t="shared" ca="1" si="148"/>
        <v>0</v>
      </c>
      <c r="CO61" s="545">
        <f t="shared" ca="1" si="148"/>
        <v>0</v>
      </c>
      <c r="CP61" s="545">
        <f t="shared" ca="1" si="148"/>
        <v>0</v>
      </c>
      <c r="CQ61" s="545">
        <f t="shared" ca="1" si="148"/>
        <v>0</v>
      </c>
      <c r="CR61" s="545">
        <f t="shared" ca="1" si="148"/>
        <v>0</v>
      </c>
      <c r="CS61" s="545">
        <f t="shared" ca="1" si="148"/>
        <v>0</v>
      </c>
      <c r="CT61" s="545">
        <f t="shared" ca="1" si="148"/>
        <v>0</v>
      </c>
      <c r="CU61" s="545">
        <f t="shared" ca="1" si="148"/>
        <v>0</v>
      </c>
      <c r="CW61" s="151">
        <f t="shared" ca="1" si="143"/>
        <v>109.35437513748694</v>
      </c>
    </row>
    <row r="62" spans="1:101" s="543" customFormat="1" ht="12.75" customHeight="1" outlineLevel="1" x14ac:dyDescent="0.2">
      <c r="C62" s="319" t="s">
        <v>2402</v>
      </c>
      <c r="D62" s="320" t="s">
        <v>587</v>
      </c>
      <c r="E62" s="61"/>
      <c r="F62" s="84"/>
      <c r="G62" s="333"/>
      <c r="H62" s="333"/>
      <c r="I62" s="333"/>
      <c r="J62" s="333"/>
      <c r="K62" s="333"/>
      <c r="L62" s="334"/>
      <c r="M62" s="333"/>
      <c r="N62" s="333"/>
      <c r="O62" s="333"/>
      <c r="P62" s="333">
        <f t="shared" si="136"/>
        <v>0</v>
      </c>
      <c r="Q62" s="882"/>
      <c r="R62" s="335">
        <f ca="1">R60+R61</f>
        <v>-530.14446047320098</v>
      </c>
      <c r="S62" s="335">
        <f ca="1">S60+S61</f>
        <v>731.55499288612179</v>
      </c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>
        <f t="shared" ca="1" si="5"/>
        <v>201.41053241292082</v>
      </c>
      <c r="AI62" s="882"/>
      <c r="AJ62" s="336"/>
      <c r="AK62" s="336"/>
      <c r="AL62" s="336"/>
      <c r="AM62" s="336"/>
      <c r="AN62" s="336"/>
      <c r="AO62" s="336"/>
      <c r="AP62" s="336"/>
      <c r="AQ62" s="336"/>
      <c r="AR62" s="336"/>
      <c r="AS62" s="336"/>
      <c r="AT62" s="336"/>
      <c r="AU62" s="336"/>
      <c r="AV62" s="336"/>
      <c r="AW62" s="336"/>
      <c r="AX62" s="336"/>
      <c r="AY62" s="336">
        <f t="shared" si="147"/>
        <v>0</v>
      </c>
      <c r="AZ62" s="882"/>
      <c r="BA62" s="337"/>
      <c r="BB62" s="337"/>
      <c r="BC62" s="337">
        <f t="shared" si="10"/>
        <v>0</v>
      </c>
      <c r="BD62" s="882"/>
      <c r="BE62" s="568"/>
      <c r="BF62" s="568"/>
      <c r="BG62" s="550"/>
      <c r="BH62" s="888"/>
      <c r="BI62" s="888"/>
      <c r="BJ62" s="888"/>
      <c r="BK62" s="888"/>
      <c r="BL62" s="888"/>
      <c r="BM62" s="888"/>
      <c r="BN62" s="888"/>
      <c r="BO62" s="888"/>
      <c r="BP62" s="888"/>
      <c r="BQ62" s="888"/>
      <c r="BR62" s="888"/>
      <c r="BS62" s="888"/>
      <c r="BT62" s="888"/>
      <c r="BU62" s="888"/>
      <c r="BV62" s="888"/>
      <c r="BW62" s="888"/>
      <c r="BX62" s="888"/>
      <c r="BY62" s="888"/>
      <c r="BZ62" s="888"/>
      <c r="CA62" s="888"/>
      <c r="CB62" s="888"/>
      <c r="CC62" s="888"/>
      <c r="CD62" s="888"/>
      <c r="CE62" s="888"/>
      <c r="CF62" s="888"/>
      <c r="CG62" s="888"/>
      <c r="CH62" s="888"/>
      <c r="CI62" s="888"/>
      <c r="CJ62" s="888"/>
      <c r="CK62" s="888"/>
      <c r="CL62" s="888"/>
      <c r="CM62" s="888"/>
      <c r="CN62" s="888"/>
      <c r="CO62" s="888"/>
      <c r="CP62" s="888"/>
      <c r="CQ62" s="888"/>
      <c r="CR62" s="888"/>
      <c r="CS62" s="888"/>
      <c r="CT62" s="888"/>
      <c r="CU62" s="888"/>
      <c r="CV62" s="550"/>
      <c r="CW62" s="887">
        <f t="shared" si="143"/>
        <v>0</v>
      </c>
    </row>
    <row r="63" spans="1:101" s="543" customFormat="1" ht="12.75" customHeight="1" outlineLevel="1" x14ac:dyDescent="0.2">
      <c r="C63" s="86" t="s">
        <v>2382</v>
      </c>
      <c r="D63" s="61" t="str">
        <f>INDEX(Modules[Module], MATCH($C63, Modules[Code], 0))</f>
        <v xml:space="preserve">Self Generation </v>
      </c>
      <c r="E63" s="61"/>
      <c r="F63" s="84"/>
      <c r="G63" s="892">
        <f t="shared" ref="G63:O63" ca="1" si="149">IFERROR(INDEX(INDIRECT($C63&amp;".Outputs["&amp;this.Year&amp;"]"), MATCH(G$5, INDIRECT($C63&amp;".Outputs[Vector]"), 0)), 0)</f>
        <v>0</v>
      </c>
      <c r="H63" s="892">
        <f t="shared" ca="1" si="149"/>
        <v>0</v>
      </c>
      <c r="I63" s="892">
        <f t="shared" ca="1" si="149"/>
        <v>0</v>
      </c>
      <c r="J63" s="892">
        <f t="shared" ca="1" si="149"/>
        <v>0</v>
      </c>
      <c r="K63" s="892">
        <f t="shared" ca="1" si="149"/>
        <v>0</v>
      </c>
      <c r="L63" s="892">
        <f t="shared" ca="1" si="149"/>
        <v>0</v>
      </c>
      <c r="M63" s="892">
        <f t="shared" ca="1" si="149"/>
        <v>0</v>
      </c>
      <c r="N63" s="892">
        <f t="shared" ca="1" si="149"/>
        <v>0</v>
      </c>
      <c r="O63" s="892">
        <f t="shared" ca="1" si="149"/>
        <v>0</v>
      </c>
      <c r="P63" s="892">
        <f t="shared" ca="1" si="136"/>
        <v>0</v>
      </c>
      <c r="Q63" s="84"/>
      <c r="R63" s="893">
        <f t="shared" ref="R63:AX63" ca="1" si="150">IFERROR(INDEX(INDIRECT($C63&amp;".Outputs["&amp;this.Year&amp;"]"), MATCH(R$5, INDIRECT($C63&amp;".Outputs[Vector]"), 0)), 0)</f>
        <v>0</v>
      </c>
      <c r="S63" s="893">
        <f t="shared" ca="1" si="150"/>
        <v>0</v>
      </c>
      <c r="T63" s="893">
        <f t="shared" ca="1" si="150"/>
        <v>0</v>
      </c>
      <c r="U63" s="893">
        <f t="shared" ca="1" si="150"/>
        <v>0</v>
      </c>
      <c r="V63" s="893">
        <f t="shared" ca="1" si="150"/>
        <v>0</v>
      </c>
      <c r="W63" s="893">
        <f t="shared" ca="1" si="150"/>
        <v>0</v>
      </c>
      <c r="X63" s="893">
        <f ca="1">IFERROR(INDEX(INDIRECT($C63&amp;".Outputs["&amp;this.Year&amp;"]"), MATCH(X$5, INDIRECT($C63&amp;".Outputs[Vector]"), 0)), 0)</f>
        <v>0</v>
      </c>
      <c r="Y63" s="893">
        <f ca="1">IFERROR(INDEX(INDIRECT($C63&amp;".Outputs["&amp;this.Year&amp;"]"), MATCH(Y$5, INDIRECT($C63&amp;".Outputs[Vector]"), 0)), 0)</f>
        <v>0</v>
      </c>
      <c r="Z63" s="893">
        <f ca="1">IFERROR(INDEX(INDIRECT($C63&amp;".Outputs["&amp;this.Year&amp;"]"), MATCH(Z$5, INDIRECT($C63&amp;".Outputs[Vector]"), 0)), 0)</f>
        <v>0</v>
      </c>
      <c r="AA63" s="893">
        <f t="shared" ca="1" si="150"/>
        <v>0</v>
      </c>
      <c r="AB63" s="893">
        <f t="shared" ca="1" si="150"/>
        <v>0</v>
      </c>
      <c r="AC63" s="893">
        <f t="shared" ca="1" si="150"/>
        <v>0</v>
      </c>
      <c r="AD63" s="893">
        <f t="shared" ca="1" si="150"/>
        <v>0</v>
      </c>
      <c r="AE63" s="893">
        <f t="shared" ca="1" si="150"/>
        <v>0</v>
      </c>
      <c r="AF63" s="893">
        <f t="shared" ca="1" si="150"/>
        <v>0</v>
      </c>
      <c r="AG63" s="893">
        <f t="shared" ca="1" si="150"/>
        <v>0</v>
      </c>
      <c r="AH63" s="894">
        <f t="shared" ca="1" si="5"/>
        <v>0</v>
      </c>
      <c r="AI63" s="84"/>
      <c r="AJ63" s="895">
        <f t="shared" ref="AJ63:AR63" ca="1" si="151">IFERROR(INDEX(INDIRECT($C63&amp;".Outputs["&amp;this.Year&amp;"]"), MATCH(AJ$5, INDIRECT($C63&amp;".Outputs[Vector]"), 0)), 0)</f>
        <v>0</v>
      </c>
      <c r="AK63" s="895">
        <f t="shared" ca="1" si="151"/>
        <v>0</v>
      </c>
      <c r="AL63" s="895">
        <f t="shared" ca="1" si="151"/>
        <v>0</v>
      </c>
      <c r="AM63" s="895">
        <f t="shared" ca="1" si="151"/>
        <v>0</v>
      </c>
      <c r="AN63" s="895">
        <f t="shared" ca="1" si="151"/>
        <v>0</v>
      </c>
      <c r="AO63" s="895">
        <f t="shared" ca="1" si="151"/>
        <v>0</v>
      </c>
      <c r="AP63" s="895">
        <f t="shared" ca="1" si="151"/>
        <v>0</v>
      </c>
      <c r="AQ63" s="895">
        <f t="shared" ca="1" si="151"/>
        <v>0</v>
      </c>
      <c r="AR63" s="895">
        <f t="shared" ca="1" si="151"/>
        <v>0</v>
      </c>
      <c r="AS63" s="895">
        <f t="shared" ca="1" si="150"/>
        <v>0</v>
      </c>
      <c r="AT63" s="895">
        <f t="shared" ca="1" si="150"/>
        <v>0</v>
      </c>
      <c r="AU63" s="895">
        <f t="shared" ca="1" si="150"/>
        <v>0</v>
      </c>
      <c r="AV63" s="895">
        <f t="shared" ca="1" si="150"/>
        <v>0</v>
      </c>
      <c r="AW63" s="895">
        <f t="shared" ca="1" si="150"/>
        <v>0</v>
      </c>
      <c r="AX63" s="895">
        <f t="shared" ca="1" si="150"/>
        <v>0</v>
      </c>
      <c r="AY63" s="896">
        <f t="shared" ca="1" si="147"/>
        <v>0</v>
      </c>
      <c r="AZ63" s="84"/>
      <c r="BA63" s="897">
        <f ca="1">IFERROR(INDEX(INDIRECT($C63&amp;".Outputs["&amp;this.Year&amp;"]"), MATCH(BA$5, INDIRECT($C63&amp;".Outputs[Vector]"), 0)), 0)</f>
        <v>0</v>
      </c>
      <c r="BB63" s="897">
        <f ca="1">IFERROR(INDEX(INDIRECT($C63&amp;".Outputs["&amp;this.Year&amp;"]"), MATCH(BB$5, INDIRECT($C63&amp;".Outputs[Vector]"), 0)), 0)</f>
        <v>0</v>
      </c>
      <c r="BC63" s="898">
        <f t="shared" ca="1" si="10"/>
        <v>0</v>
      </c>
      <c r="BD63" s="84"/>
      <c r="BE63" s="135">
        <f ca="1">P63+AH63+AY63+BC63</f>
        <v>0</v>
      </c>
      <c r="BF63" s="135"/>
      <c r="BG63" s="1428"/>
      <c r="BH63" s="541">
        <f t="shared" ref="BH63:CU63" ca="1" si="152">IFERROR(SUMIFS(INDIRECT($C63&amp;".Emissions["&amp;this.Year&amp;"]"), INDIRECT($C63&amp;".Emissions[GHG]"), BH$6, INDIRECT($C63&amp;".Emissions[IPCC Sector]"), BH$5),0)</f>
        <v>0</v>
      </c>
      <c r="BI63" s="542">
        <f t="shared" ca="1" si="152"/>
        <v>0</v>
      </c>
      <c r="BJ63" s="542">
        <f t="shared" ca="1" si="152"/>
        <v>0</v>
      </c>
      <c r="BK63" s="542">
        <f t="shared" ca="1" si="152"/>
        <v>0</v>
      </c>
      <c r="BL63" s="542">
        <f t="shared" ca="1" si="152"/>
        <v>0</v>
      </c>
      <c r="BM63" s="542">
        <f t="shared" ca="1" si="152"/>
        <v>0</v>
      </c>
      <c r="BN63" s="542">
        <f t="shared" ca="1" si="152"/>
        <v>0</v>
      </c>
      <c r="BO63" s="542">
        <f t="shared" ca="1" si="152"/>
        <v>0</v>
      </c>
      <c r="BP63" s="542">
        <f t="shared" ca="1" si="152"/>
        <v>0</v>
      </c>
      <c r="BQ63" s="542">
        <f t="shared" ca="1" si="152"/>
        <v>0</v>
      </c>
      <c r="BR63" s="542">
        <f t="shared" ca="1" si="152"/>
        <v>0</v>
      </c>
      <c r="BS63" s="542">
        <f t="shared" ca="1" si="152"/>
        <v>0</v>
      </c>
      <c r="BT63" s="542">
        <f t="shared" ca="1" si="152"/>
        <v>0</v>
      </c>
      <c r="BU63" s="542">
        <f t="shared" ca="1" si="152"/>
        <v>0</v>
      </c>
      <c r="BV63" s="542">
        <f t="shared" ca="1" si="152"/>
        <v>0</v>
      </c>
      <c r="BW63" s="542">
        <f t="shared" ca="1" si="152"/>
        <v>0</v>
      </c>
      <c r="BX63" s="542">
        <f t="shared" ca="1" si="152"/>
        <v>0</v>
      </c>
      <c r="BY63" s="542">
        <f t="shared" ca="1" si="152"/>
        <v>0</v>
      </c>
      <c r="BZ63" s="542">
        <f t="shared" ca="1" si="152"/>
        <v>0</v>
      </c>
      <c r="CA63" s="542">
        <f t="shared" ca="1" si="152"/>
        <v>0</v>
      </c>
      <c r="CB63" s="542">
        <f t="shared" ca="1" si="152"/>
        <v>0</v>
      </c>
      <c r="CC63" s="542">
        <f t="shared" ca="1" si="152"/>
        <v>0</v>
      </c>
      <c r="CD63" s="542">
        <f t="shared" ca="1" si="152"/>
        <v>0</v>
      </c>
      <c r="CE63" s="542">
        <f t="shared" ca="1" si="152"/>
        <v>0</v>
      </c>
      <c r="CF63" s="542">
        <f t="shared" ca="1" si="152"/>
        <v>0</v>
      </c>
      <c r="CG63" s="542">
        <f t="shared" ca="1" si="152"/>
        <v>0</v>
      </c>
      <c r="CH63" s="542">
        <f t="shared" ca="1" si="152"/>
        <v>0</v>
      </c>
      <c r="CI63" s="542">
        <f t="shared" ca="1" si="152"/>
        <v>0</v>
      </c>
      <c r="CJ63" s="542">
        <f t="shared" ca="1" si="152"/>
        <v>0</v>
      </c>
      <c r="CK63" s="542">
        <f t="shared" ca="1" si="152"/>
        <v>0</v>
      </c>
      <c r="CL63" s="542">
        <f t="shared" ca="1" si="152"/>
        <v>0</v>
      </c>
      <c r="CM63" s="542">
        <f t="shared" ca="1" si="152"/>
        <v>0</v>
      </c>
      <c r="CN63" s="542">
        <f t="shared" ca="1" si="152"/>
        <v>0</v>
      </c>
      <c r="CO63" s="542">
        <f t="shared" ca="1" si="152"/>
        <v>0</v>
      </c>
      <c r="CP63" s="542">
        <f t="shared" ca="1" si="152"/>
        <v>0</v>
      </c>
      <c r="CQ63" s="542">
        <f t="shared" ca="1" si="152"/>
        <v>0</v>
      </c>
      <c r="CR63" s="542">
        <f t="shared" ca="1" si="152"/>
        <v>0</v>
      </c>
      <c r="CS63" s="542">
        <f t="shared" ca="1" si="152"/>
        <v>0</v>
      </c>
      <c r="CT63" s="542">
        <f t="shared" ca="1" si="152"/>
        <v>0</v>
      </c>
      <c r="CU63" s="542">
        <f t="shared" ca="1" si="152"/>
        <v>0</v>
      </c>
      <c r="CW63" s="151">
        <f t="shared" ca="1" si="143"/>
        <v>0</v>
      </c>
    </row>
    <row r="64" spans="1:101" s="84" customFormat="1" ht="15.75" x14ac:dyDescent="0.2">
      <c r="A64" s="18"/>
      <c r="B64" s="89"/>
      <c r="C64" s="85" t="s">
        <v>60</v>
      </c>
      <c r="D64" s="57" t="str">
        <f>INDEX(Workstreams[Workstream], MATCH($C64, Workstreams[Code], 0))</f>
        <v>Hydrocarbon fuel power generation</v>
      </c>
      <c r="E64" s="53"/>
      <c r="G64" s="300">
        <f ca="1">G57+G61+G63+G59</f>
        <v>0</v>
      </c>
      <c r="H64" s="300">
        <f t="shared" ref="H64:BS64" ca="1" si="153">H57+H61+H63+H59</f>
        <v>0</v>
      </c>
      <c r="I64" s="300">
        <f t="shared" ca="1" si="153"/>
        <v>0</v>
      </c>
      <c r="J64" s="300">
        <f t="shared" ca="1" si="153"/>
        <v>0</v>
      </c>
      <c r="K64" s="300">
        <f t="shared" ca="1" si="153"/>
        <v>0</v>
      </c>
      <c r="L64" s="300">
        <f t="shared" ca="1" si="153"/>
        <v>0</v>
      </c>
      <c r="M64" s="300">
        <f t="shared" ca="1" si="153"/>
        <v>0</v>
      </c>
      <c r="N64" s="300">
        <f t="shared" ca="1" si="153"/>
        <v>0</v>
      </c>
      <c r="O64" s="300">
        <f t="shared" ca="1" si="153"/>
        <v>0</v>
      </c>
      <c r="P64" s="300">
        <f t="shared" ca="1" si="136"/>
        <v>0</v>
      </c>
      <c r="Q64" s="300">
        <f t="shared" si="153"/>
        <v>0</v>
      </c>
      <c r="R64" s="300">
        <f t="shared" ca="1" si="153"/>
        <v>0</v>
      </c>
      <c r="S64" s="300">
        <f t="shared" ca="1" si="153"/>
        <v>463.29186599999991</v>
      </c>
      <c r="T64" s="300">
        <f t="shared" ca="1" si="153"/>
        <v>-508.86630000000008</v>
      </c>
      <c r="U64" s="300">
        <f t="shared" ca="1" si="153"/>
        <v>0</v>
      </c>
      <c r="V64" s="300">
        <f t="shared" ca="1" si="153"/>
        <v>-591.85489859999984</v>
      </c>
      <c r="W64" s="300">
        <f t="shared" ca="1" si="153"/>
        <v>0</v>
      </c>
      <c r="X64" s="300">
        <f t="shared" ca="1" si="153"/>
        <v>0</v>
      </c>
      <c r="Y64" s="300">
        <f t="shared" ca="1" si="153"/>
        <v>0</v>
      </c>
      <c r="Z64" s="300">
        <f t="shared" ca="1" si="153"/>
        <v>0</v>
      </c>
      <c r="AA64" s="300">
        <f t="shared" ca="1" si="153"/>
        <v>0</v>
      </c>
      <c r="AB64" s="300">
        <f t="shared" ca="1" si="153"/>
        <v>0</v>
      </c>
      <c r="AC64" s="300">
        <f t="shared" ca="1" si="153"/>
        <v>0</v>
      </c>
      <c r="AD64" s="300">
        <f t="shared" ca="1" si="153"/>
        <v>0</v>
      </c>
      <c r="AE64" s="300">
        <f t="shared" ca="1" si="153"/>
        <v>0</v>
      </c>
      <c r="AF64" s="300">
        <f t="shared" ca="1" si="153"/>
        <v>0</v>
      </c>
      <c r="AG64" s="300">
        <f t="shared" ca="1" si="153"/>
        <v>0</v>
      </c>
      <c r="AH64" s="300">
        <f t="shared" ca="1" si="5"/>
        <v>-637.42933259999995</v>
      </c>
      <c r="AI64" s="300">
        <f t="shared" si="153"/>
        <v>0</v>
      </c>
      <c r="AJ64" s="300">
        <f t="shared" ca="1" si="153"/>
        <v>0</v>
      </c>
      <c r="AK64" s="300">
        <f t="shared" ca="1" si="153"/>
        <v>0</v>
      </c>
      <c r="AL64" s="300">
        <f t="shared" ca="1" si="153"/>
        <v>0</v>
      </c>
      <c r="AM64" s="300">
        <f t="shared" ca="1" si="153"/>
        <v>0</v>
      </c>
      <c r="AN64" s="300">
        <f t="shared" ca="1" si="153"/>
        <v>0</v>
      </c>
      <c r="AO64" s="300">
        <f t="shared" ca="1" si="153"/>
        <v>0</v>
      </c>
      <c r="AP64" s="300">
        <f t="shared" ca="1" si="153"/>
        <v>0</v>
      </c>
      <c r="AQ64" s="300">
        <f t="shared" ca="1" si="153"/>
        <v>0</v>
      </c>
      <c r="AR64" s="300">
        <f t="shared" ca="1" si="153"/>
        <v>0</v>
      </c>
      <c r="AS64" s="300">
        <f t="shared" ca="1" si="153"/>
        <v>0</v>
      </c>
      <c r="AT64" s="300">
        <f t="shared" ca="1" si="153"/>
        <v>0</v>
      </c>
      <c r="AU64" s="300">
        <f t="shared" ca="1" si="153"/>
        <v>0</v>
      </c>
      <c r="AV64" s="300">
        <f t="shared" ca="1" si="153"/>
        <v>0</v>
      </c>
      <c r="AW64" s="300">
        <f t="shared" ca="1" si="153"/>
        <v>0</v>
      </c>
      <c r="AX64" s="300">
        <f t="shared" ca="1" si="153"/>
        <v>0</v>
      </c>
      <c r="AY64" s="300">
        <f t="shared" ca="1" si="147"/>
        <v>0</v>
      </c>
      <c r="AZ64" s="300">
        <f t="shared" si="153"/>
        <v>0</v>
      </c>
      <c r="BA64" s="300">
        <f t="shared" ca="1" si="153"/>
        <v>614.26473929999997</v>
      </c>
      <c r="BB64" s="300">
        <f t="shared" ca="1" si="153"/>
        <v>23.1645933</v>
      </c>
      <c r="BC64" s="300">
        <f t="shared" ca="1" si="10"/>
        <v>637.42933259999995</v>
      </c>
      <c r="BD64" s="300">
        <f t="shared" si="153"/>
        <v>0</v>
      </c>
      <c r="BE64" s="300">
        <f t="shared" ca="1" si="153"/>
        <v>0</v>
      </c>
      <c r="BF64" s="300">
        <f t="shared" si="153"/>
        <v>0</v>
      </c>
      <c r="BG64" s="300">
        <f t="shared" si="153"/>
        <v>0</v>
      </c>
      <c r="BH64" s="300">
        <f t="shared" ca="1" si="153"/>
        <v>265.63212174239993</v>
      </c>
      <c r="BI64" s="300">
        <f t="shared" ca="1" si="153"/>
        <v>0.67870961370884464</v>
      </c>
      <c r="BJ64" s="300">
        <f t="shared" ca="1" si="153"/>
        <v>1.6231847714084053</v>
      </c>
      <c r="BK64" s="300">
        <f t="shared" ca="1" si="153"/>
        <v>0</v>
      </c>
      <c r="BL64" s="300">
        <f t="shared" ca="1" si="153"/>
        <v>0</v>
      </c>
      <c r="BM64" s="300">
        <f t="shared" ca="1" si="153"/>
        <v>0</v>
      </c>
      <c r="BN64" s="300">
        <f t="shared" ca="1" si="153"/>
        <v>0</v>
      </c>
      <c r="BO64" s="300">
        <f t="shared" ca="1" si="153"/>
        <v>0</v>
      </c>
      <c r="BP64" s="300">
        <f t="shared" ca="1" si="153"/>
        <v>0</v>
      </c>
      <c r="BQ64" s="300">
        <f t="shared" ca="1" si="153"/>
        <v>0</v>
      </c>
      <c r="BR64" s="300">
        <f t="shared" ca="1" si="153"/>
        <v>0</v>
      </c>
      <c r="BS64" s="300">
        <f t="shared" ca="1" si="153"/>
        <v>0</v>
      </c>
      <c r="BT64" s="300">
        <f t="shared" ref="BT64:CU64" ca="1" si="154">BT57+BT61+BT63+BT59</f>
        <v>0</v>
      </c>
      <c r="BU64" s="300">
        <f t="shared" ca="1" si="154"/>
        <v>0</v>
      </c>
      <c r="BV64" s="300">
        <f t="shared" ca="1" si="154"/>
        <v>0</v>
      </c>
      <c r="BW64" s="300">
        <f t="shared" ca="1" si="154"/>
        <v>0</v>
      </c>
      <c r="BX64" s="300">
        <f t="shared" ca="1" si="154"/>
        <v>0</v>
      </c>
      <c r="BY64" s="300">
        <f t="shared" ca="1" si="154"/>
        <v>0</v>
      </c>
      <c r="BZ64" s="300">
        <f t="shared" ca="1" si="154"/>
        <v>0</v>
      </c>
      <c r="CA64" s="300">
        <f t="shared" ca="1" si="154"/>
        <v>0</v>
      </c>
      <c r="CB64" s="300">
        <f t="shared" ca="1" si="154"/>
        <v>0</v>
      </c>
      <c r="CC64" s="300">
        <f t="shared" ca="1" si="154"/>
        <v>0</v>
      </c>
      <c r="CD64" s="300">
        <f t="shared" ca="1" si="154"/>
        <v>0</v>
      </c>
      <c r="CE64" s="300">
        <f t="shared" ca="1" si="154"/>
        <v>0</v>
      </c>
      <c r="CF64" s="300">
        <f t="shared" ca="1" si="154"/>
        <v>0</v>
      </c>
      <c r="CG64" s="300">
        <f t="shared" ca="1" si="154"/>
        <v>0</v>
      </c>
      <c r="CH64" s="300">
        <f t="shared" ca="1" si="154"/>
        <v>0</v>
      </c>
      <c r="CI64" s="300">
        <f t="shared" ca="1" si="154"/>
        <v>0</v>
      </c>
      <c r="CJ64" s="300">
        <f t="shared" ca="1" si="154"/>
        <v>0</v>
      </c>
      <c r="CK64" s="300">
        <f t="shared" ca="1" si="154"/>
        <v>0</v>
      </c>
      <c r="CL64" s="300">
        <f t="shared" ca="1" si="154"/>
        <v>0</v>
      </c>
      <c r="CM64" s="300">
        <f t="shared" ca="1" si="154"/>
        <v>0</v>
      </c>
      <c r="CN64" s="300">
        <f t="shared" ca="1" si="154"/>
        <v>0</v>
      </c>
      <c r="CO64" s="300">
        <f t="shared" ca="1" si="154"/>
        <v>0</v>
      </c>
      <c r="CP64" s="300">
        <f t="shared" ca="1" si="154"/>
        <v>0</v>
      </c>
      <c r="CQ64" s="300">
        <f t="shared" ca="1" si="154"/>
        <v>0</v>
      </c>
      <c r="CR64" s="300">
        <f t="shared" ca="1" si="154"/>
        <v>0</v>
      </c>
      <c r="CS64" s="300">
        <f t="shared" ca="1" si="154"/>
        <v>0</v>
      </c>
      <c r="CT64" s="300">
        <f t="shared" ca="1" si="154"/>
        <v>0</v>
      </c>
      <c r="CU64" s="300">
        <f t="shared" ca="1" si="154"/>
        <v>0</v>
      </c>
      <c r="CW64" s="151">
        <f t="shared" ca="1" si="143"/>
        <v>267.93401612751722</v>
      </c>
    </row>
    <row r="65" spans="1:101" s="84" customFormat="1" ht="6" customHeight="1" x14ac:dyDescent="0.2">
      <c r="C65" s="56"/>
      <c r="D65" s="57"/>
      <c r="E65" s="51"/>
      <c r="G65" s="245"/>
      <c r="H65" s="245"/>
      <c r="I65" s="245"/>
      <c r="J65" s="245"/>
      <c r="K65" s="245"/>
      <c r="L65" s="247"/>
      <c r="M65" s="245"/>
      <c r="N65" s="245"/>
      <c r="O65" s="245"/>
      <c r="P65" s="245">
        <f t="shared" si="136"/>
        <v>0</v>
      </c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>
        <f t="shared" si="5"/>
        <v>0</v>
      </c>
      <c r="AJ65" s="263"/>
      <c r="AK65" s="263"/>
      <c r="AL65" s="263"/>
      <c r="AM65" s="263"/>
      <c r="AN65" s="263"/>
      <c r="AO65" s="263"/>
      <c r="AP65" s="263"/>
      <c r="AQ65" s="263"/>
      <c r="AR65" s="263"/>
      <c r="AS65" s="263"/>
      <c r="AT65" s="263"/>
      <c r="AU65" s="263"/>
      <c r="AV65" s="263"/>
      <c r="AW65" s="263"/>
      <c r="AX65" s="263"/>
      <c r="AY65" s="263">
        <f t="shared" si="147"/>
        <v>0</v>
      </c>
      <c r="BA65" s="277"/>
      <c r="BB65" s="277"/>
      <c r="BC65" s="277">
        <f t="shared" si="10"/>
        <v>0</v>
      </c>
      <c r="BE65" s="55">
        <f>P65+AH65+AY65+BC65</f>
        <v>0</v>
      </c>
      <c r="BF65" s="55"/>
      <c r="BH65" s="542"/>
      <c r="BI65" s="542"/>
      <c r="BJ65" s="542"/>
      <c r="BK65" s="542"/>
      <c r="BL65" s="542"/>
      <c r="BM65" s="542"/>
      <c r="BN65" s="542"/>
      <c r="BO65" s="542"/>
      <c r="BP65" s="542"/>
      <c r="BQ65" s="542"/>
      <c r="BR65" s="542"/>
      <c r="BS65" s="542"/>
      <c r="BT65" s="542"/>
      <c r="BU65" s="542"/>
      <c r="BV65" s="542"/>
      <c r="BW65" s="542"/>
      <c r="BX65" s="542"/>
      <c r="BY65" s="542"/>
      <c r="BZ65" s="542"/>
      <c r="CA65" s="542"/>
      <c r="CB65" s="542"/>
      <c r="CC65" s="542"/>
      <c r="CD65" s="542"/>
      <c r="CE65" s="542"/>
      <c r="CF65" s="542"/>
      <c r="CG65" s="542"/>
      <c r="CH65" s="542"/>
      <c r="CI65" s="542"/>
      <c r="CJ65" s="542"/>
      <c r="CK65" s="542"/>
      <c r="CL65" s="542"/>
      <c r="CM65" s="542"/>
      <c r="CN65" s="542"/>
      <c r="CO65" s="542"/>
      <c r="CP65" s="542"/>
      <c r="CQ65" s="542"/>
      <c r="CR65" s="542"/>
      <c r="CS65" s="542"/>
      <c r="CT65" s="542"/>
      <c r="CU65" s="542"/>
      <c r="CW65" s="151"/>
    </row>
    <row r="66" spans="1:101" s="84" customFormat="1" ht="15.75" x14ac:dyDescent="0.2">
      <c r="B66" s="89"/>
      <c r="C66" s="923" t="s">
        <v>884</v>
      </c>
      <c r="D66" s="69" t="s">
        <v>124</v>
      </c>
      <c r="E66" s="70"/>
      <c r="G66" s="338">
        <f t="shared" ref="G66:O66" ca="1" si="155">G$36+G$40+G$47+G$50+G$54+G$64</f>
        <v>0</v>
      </c>
      <c r="H66" s="338">
        <f t="shared" ca="1" si="155"/>
        <v>0</v>
      </c>
      <c r="I66" s="338">
        <f t="shared" ca="1" si="155"/>
        <v>0</v>
      </c>
      <c r="J66" s="338">
        <f t="shared" ca="1" si="155"/>
        <v>188.2549949138625</v>
      </c>
      <c r="K66" s="338">
        <f t="shared" ca="1" si="155"/>
        <v>0</v>
      </c>
      <c r="L66" s="338">
        <f t="shared" ca="1" si="155"/>
        <v>0</v>
      </c>
      <c r="M66" s="338">
        <f t="shared" ca="1" si="155"/>
        <v>0</v>
      </c>
      <c r="N66" s="338">
        <f t="shared" ca="1" si="155"/>
        <v>0</v>
      </c>
      <c r="O66" s="338">
        <f t="shared" ca="1" si="155"/>
        <v>0</v>
      </c>
      <c r="P66" s="338">
        <f t="shared" ca="1" si="136"/>
        <v>188.2549949138625</v>
      </c>
      <c r="R66" s="294">
        <f t="shared" ref="R66:AG66" ca="1" si="156">R$36+R$40+R$47+R$50+R$54+R$64</f>
        <v>-5.8795129628308143</v>
      </c>
      <c r="S66" s="294">
        <f ca="1">S$36+S$40+S$47+S$50+S$54+S$64</f>
        <v>779.14361931428562</v>
      </c>
      <c r="T66" s="294">
        <f t="shared" ca="1" si="156"/>
        <v>-508.89799403184742</v>
      </c>
      <c r="U66" s="294">
        <f t="shared" ca="1" si="156"/>
        <v>-2.7134581423701762</v>
      </c>
      <c r="V66" s="294">
        <f t="shared" ca="1" si="156"/>
        <v>-766.83056179162475</v>
      </c>
      <c r="W66" s="294">
        <f t="shared" ca="1" si="156"/>
        <v>-8.1303360822808823</v>
      </c>
      <c r="X66" s="294">
        <f t="shared" ca="1" si="156"/>
        <v>55.546787520833334</v>
      </c>
      <c r="Y66" s="294">
        <f t="shared" ca="1" si="156"/>
        <v>1417.253924912</v>
      </c>
      <c r="Z66" s="294">
        <f t="shared" ca="1" si="156"/>
        <v>907.82299999999998</v>
      </c>
      <c r="AA66" s="294">
        <f t="shared" ca="1" si="156"/>
        <v>0</v>
      </c>
      <c r="AB66" s="294">
        <f t="shared" ca="1" si="156"/>
        <v>0</v>
      </c>
      <c r="AC66" s="294">
        <f t="shared" ca="1" si="156"/>
        <v>2412.1223876296331</v>
      </c>
      <c r="AD66" s="294">
        <f t="shared" ca="1" si="156"/>
        <v>21.627866327074862</v>
      </c>
      <c r="AE66" s="294">
        <f t="shared" ca="1" si="156"/>
        <v>313.39118684291782</v>
      </c>
      <c r="AF66" s="294">
        <f t="shared" ca="1" si="156"/>
        <v>83.34026863475772</v>
      </c>
      <c r="AG66" s="294">
        <f t="shared" ca="1" si="156"/>
        <v>6.7479704068045194</v>
      </c>
      <c r="AH66" s="294">
        <f t="shared" ca="1" si="5"/>
        <v>4704.5451485773528</v>
      </c>
      <c r="AJ66" s="295">
        <f t="shared" ref="AJ66:AX66" ca="1" si="157">AJ$36+AJ$40+AJ$47+AJ$50+AJ$54+AJ$64</f>
        <v>-50.5</v>
      </c>
      <c r="AK66" s="295">
        <f t="shared" ca="1" si="157"/>
        <v>-1417.253924912</v>
      </c>
      <c r="AL66" s="295">
        <f t="shared" ca="1" si="157"/>
        <v>-907.82299999999998</v>
      </c>
      <c r="AM66" s="295">
        <f t="shared" ca="1" si="157"/>
        <v>0</v>
      </c>
      <c r="AN66" s="295">
        <f t="shared" ca="1" si="157"/>
        <v>0</v>
      </c>
      <c r="AO66" s="295">
        <f t="shared" ca="1" si="157"/>
        <v>0</v>
      </c>
      <c r="AP66" s="295">
        <f t="shared" ca="1" si="157"/>
        <v>0</v>
      </c>
      <c r="AQ66" s="295">
        <f t="shared" ca="1" si="157"/>
        <v>0</v>
      </c>
      <c r="AR66" s="295">
        <f t="shared" ca="1" si="157"/>
        <v>0</v>
      </c>
      <c r="AS66" s="295">
        <f t="shared" ca="1" si="157"/>
        <v>-79.283600000000021</v>
      </c>
      <c r="AT66" s="295">
        <f t="shared" ca="1" si="157"/>
        <v>-228.21141419999998</v>
      </c>
      <c r="AU66" s="295">
        <f t="shared" ca="1" si="157"/>
        <v>-14.726880000000001</v>
      </c>
      <c r="AV66" s="295">
        <f t="shared" ca="1" si="157"/>
        <v>-46.96609911428574</v>
      </c>
      <c r="AW66" s="295">
        <f t="shared" ca="1" si="157"/>
        <v>-2433.7502539567081</v>
      </c>
      <c r="AX66" s="295">
        <f t="shared" ca="1" si="157"/>
        <v>-408.5262134053134</v>
      </c>
      <c r="AY66" s="295">
        <f t="shared" ca="1" si="147"/>
        <v>-5587.041385588308</v>
      </c>
      <c r="BA66" s="296">
        <f ca="1">BA$36+BA$40+BA$47+BA$50+BA$54+BA$64</f>
        <v>665.00624330000005</v>
      </c>
      <c r="BB66" s="296">
        <f ca="1">BB$36+BB$40+BB$47+BB$50+BB$54+BB$64</f>
        <v>29.23499879709162</v>
      </c>
      <c r="BC66" s="296">
        <f t="shared" ca="1" si="10"/>
        <v>694.24124209709169</v>
      </c>
      <c r="BE66" s="58">
        <f ca="1">P66+AH66+AY66+BC66</f>
        <v>0</v>
      </c>
      <c r="BF66" s="58"/>
      <c r="BH66" s="546">
        <f t="shared" ref="BH66:CU66" ca="1" si="158">BH$36+BH$40+BH$47+BH$50+BH$54+BH$64</f>
        <v>298.50338444031786</v>
      </c>
      <c r="BI66" s="546">
        <f t="shared" ca="1" si="158"/>
        <v>0.74408827373494191</v>
      </c>
      <c r="BJ66" s="546">
        <f t="shared" ca="1" si="158"/>
        <v>1.7048232851198066</v>
      </c>
      <c r="BK66" s="546">
        <f t="shared" ca="1" si="158"/>
        <v>0</v>
      </c>
      <c r="BL66" s="546">
        <f t="shared" ca="1" si="158"/>
        <v>6.4697142857142849</v>
      </c>
      <c r="BM66" s="546">
        <f t="shared" ca="1" si="158"/>
        <v>6.8728069435104233E-2</v>
      </c>
      <c r="BN66" s="546">
        <f t="shared" ca="1" si="158"/>
        <v>0</v>
      </c>
      <c r="BO66" s="546">
        <f t="shared" ca="1" si="158"/>
        <v>0</v>
      </c>
      <c r="BP66" s="546">
        <f t="shared" ca="1" si="158"/>
        <v>0</v>
      </c>
      <c r="BQ66" s="546">
        <f t="shared" ca="1" si="158"/>
        <v>0</v>
      </c>
      <c r="BR66" s="546">
        <f t="shared" ca="1" si="158"/>
        <v>0</v>
      </c>
      <c r="BS66" s="546">
        <f t="shared" ca="1" si="158"/>
        <v>0</v>
      </c>
      <c r="BT66" s="546">
        <f t="shared" ca="1" si="158"/>
        <v>0</v>
      </c>
      <c r="BU66" s="546">
        <f t="shared" ca="1" si="158"/>
        <v>0</v>
      </c>
      <c r="BV66" s="546">
        <f t="shared" ca="1" si="158"/>
        <v>0</v>
      </c>
      <c r="BW66" s="546">
        <f t="shared" ca="1" si="158"/>
        <v>0</v>
      </c>
      <c r="BX66" s="546">
        <f t="shared" ca="1" si="158"/>
        <v>0</v>
      </c>
      <c r="BY66" s="546">
        <f t="shared" ca="1" si="158"/>
        <v>0</v>
      </c>
      <c r="BZ66" s="546">
        <f t="shared" ca="1" si="158"/>
        <v>21.61426622429525</v>
      </c>
      <c r="CA66" s="546">
        <f t="shared" ca="1" si="158"/>
        <v>0</v>
      </c>
      <c r="CB66" s="546">
        <f t="shared" ca="1" si="158"/>
        <v>6.4835049805000082</v>
      </c>
      <c r="CC66" s="546">
        <f t="shared" ca="1" si="158"/>
        <v>0</v>
      </c>
      <c r="CD66" s="546">
        <f t="shared" ca="1" si="158"/>
        <v>0</v>
      </c>
      <c r="CE66" s="546">
        <f t="shared" ca="1" si="158"/>
        <v>0</v>
      </c>
      <c r="CF66" s="546">
        <f t="shared" ca="1" si="158"/>
        <v>0</v>
      </c>
      <c r="CG66" s="546">
        <f t="shared" ca="1" si="158"/>
        <v>3.4909205988141889</v>
      </c>
      <c r="CH66" s="546">
        <f t="shared" ca="1" si="158"/>
        <v>0</v>
      </c>
      <c r="CI66" s="546">
        <f t="shared" ca="1" si="158"/>
        <v>0</v>
      </c>
      <c r="CJ66" s="546">
        <f t="shared" ca="1" si="158"/>
        <v>0</v>
      </c>
      <c r="CK66" s="546">
        <f t="shared" ca="1" si="158"/>
        <v>0</v>
      </c>
      <c r="CL66" s="546">
        <f t="shared" ca="1" si="158"/>
        <v>0</v>
      </c>
      <c r="CM66" s="546">
        <f t="shared" ca="1" si="158"/>
        <v>0</v>
      </c>
      <c r="CN66" s="546">
        <f t="shared" ca="1" si="158"/>
        <v>0</v>
      </c>
      <c r="CO66" s="546">
        <f t="shared" ca="1" si="158"/>
        <v>0</v>
      </c>
      <c r="CP66" s="546">
        <f t="shared" ca="1" si="158"/>
        <v>0</v>
      </c>
      <c r="CQ66" s="546">
        <f t="shared" ca="1" si="158"/>
        <v>0</v>
      </c>
      <c r="CR66" s="546">
        <f t="shared" ca="1" si="158"/>
        <v>0</v>
      </c>
      <c r="CS66" s="546">
        <f t="shared" ca="1" si="158"/>
        <v>0</v>
      </c>
      <c r="CT66" s="546">
        <f t="shared" ca="1" si="158"/>
        <v>0</v>
      </c>
      <c r="CU66" s="546">
        <f t="shared" ca="1" si="158"/>
        <v>0</v>
      </c>
      <c r="CW66" s="148">
        <f ca="1">SUM(BH66:CU66)</f>
        <v>339.07943015793143</v>
      </c>
    </row>
    <row r="67" spans="1:101" s="84" customFormat="1" ht="6" customHeight="1" x14ac:dyDescent="0.2">
      <c r="C67" s="56"/>
      <c r="D67" s="57"/>
      <c r="E67" s="51"/>
      <c r="G67" s="245"/>
      <c r="H67" s="245"/>
      <c r="I67" s="245"/>
      <c r="J67" s="245"/>
      <c r="K67" s="245"/>
      <c r="L67" s="247"/>
      <c r="M67" s="245"/>
      <c r="N67" s="245"/>
      <c r="O67" s="245"/>
      <c r="P67" s="245">
        <f t="shared" si="136"/>
        <v>0</v>
      </c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>
        <f t="shared" ref="AH67:AH90" si="159">SUM(R67:AG67)</f>
        <v>0</v>
      </c>
      <c r="AJ67" s="263"/>
      <c r="AK67" s="263"/>
      <c r="AL67" s="263"/>
      <c r="AM67" s="263"/>
      <c r="AN67" s="263"/>
      <c r="AO67" s="263"/>
      <c r="AP67" s="263"/>
      <c r="AQ67" s="263"/>
      <c r="AR67" s="263"/>
      <c r="AS67" s="263"/>
      <c r="AT67" s="263"/>
      <c r="AU67" s="263"/>
      <c r="AV67" s="263"/>
      <c r="AW67" s="263"/>
      <c r="AX67" s="263"/>
      <c r="AY67" s="263">
        <f t="shared" si="147"/>
        <v>0</v>
      </c>
      <c r="BA67" s="277"/>
      <c r="BB67" s="277"/>
      <c r="BC67" s="277">
        <f t="shared" ref="BC67:BC90" si="160">SUM(BA67:BB67)</f>
        <v>0</v>
      </c>
      <c r="BE67" s="55">
        <f>P67+AH67+AY67+BC67</f>
        <v>0</v>
      </c>
      <c r="BF67" s="55"/>
      <c r="BH67" s="542"/>
      <c r="BI67" s="542"/>
      <c r="BJ67" s="542"/>
      <c r="BK67" s="542"/>
      <c r="BL67" s="542"/>
      <c r="BM67" s="542"/>
      <c r="BN67" s="542"/>
      <c r="BO67" s="542"/>
      <c r="BP67" s="542"/>
      <c r="BQ67" s="542"/>
      <c r="BR67" s="542"/>
      <c r="BS67" s="542"/>
      <c r="BT67" s="542"/>
      <c r="BU67" s="542"/>
      <c r="BV67" s="542"/>
      <c r="BW67" s="542"/>
      <c r="BX67" s="542"/>
      <c r="BY67" s="542"/>
      <c r="BZ67" s="542"/>
      <c r="CA67" s="542"/>
      <c r="CB67" s="542"/>
      <c r="CC67" s="542"/>
      <c r="CD67" s="542"/>
      <c r="CE67" s="542"/>
      <c r="CF67" s="542"/>
      <c r="CG67" s="542"/>
      <c r="CH67" s="542"/>
      <c r="CI67" s="542"/>
      <c r="CJ67" s="542"/>
      <c r="CK67" s="542"/>
      <c r="CL67" s="542"/>
      <c r="CM67" s="542"/>
      <c r="CN67" s="542"/>
      <c r="CO67" s="542"/>
      <c r="CP67" s="542"/>
      <c r="CQ67" s="542"/>
      <c r="CR67" s="542"/>
      <c r="CS67" s="542"/>
      <c r="CT67" s="542"/>
      <c r="CU67" s="542"/>
      <c r="CW67" s="151"/>
    </row>
    <row r="68" spans="1:101" s="84" customFormat="1" ht="24" customHeight="1" x14ac:dyDescent="0.2">
      <c r="C68" s="45" t="s">
        <v>414</v>
      </c>
      <c r="D68" s="45"/>
      <c r="E68" s="68"/>
      <c r="G68" s="244"/>
      <c r="H68" s="244"/>
      <c r="I68" s="244"/>
      <c r="J68" s="244"/>
      <c r="K68" s="244"/>
      <c r="L68" s="244"/>
      <c r="M68" s="244"/>
      <c r="N68" s="244"/>
      <c r="O68" s="244"/>
      <c r="P68" s="244">
        <f t="shared" si="136"/>
        <v>0</v>
      </c>
      <c r="R68" s="260"/>
      <c r="S68" s="260"/>
      <c r="T68" s="260"/>
      <c r="U68" s="260"/>
      <c r="V68" s="260"/>
      <c r="W68" s="260"/>
      <c r="X68" s="256"/>
      <c r="Y68" s="256"/>
      <c r="Z68" s="256"/>
      <c r="AA68" s="260"/>
      <c r="AB68" s="260"/>
      <c r="AC68" s="260"/>
      <c r="AD68" s="260"/>
      <c r="AE68" s="260"/>
      <c r="AF68" s="260"/>
      <c r="AG68" s="260"/>
      <c r="AH68" s="260">
        <f t="shared" si="159"/>
        <v>0</v>
      </c>
      <c r="AJ68" s="267"/>
      <c r="AK68" s="267"/>
      <c r="AL68" s="267"/>
      <c r="AM68" s="267"/>
      <c r="AN68" s="267"/>
      <c r="AO68" s="267"/>
      <c r="AP68" s="267"/>
      <c r="AQ68" s="267"/>
      <c r="AR68" s="267"/>
      <c r="AS68" s="267"/>
      <c r="AT68" s="262"/>
      <c r="AU68" s="262"/>
      <c r="AV68" s="262"/>
      <c r="AW68" s="262"/>
      <c r="AX68" s="262"/>
      <c r="AY68" s="267">
        <f t="shared" si="147"/>
        <v>0</v>
      </c>
      <c r="BA68" s="280"/>
      <c r="BB68" s="280"/>
      <c r="BC68" s="280">
        <f t="shared" si="160"/>
        <v>0</v>
      </c>
      <c r="BE68" s="54">
        <f>P68+AH68+AY68+BC68</f>
        <v>0</v>
      </c>
      <c r="BF68" s="54"/>
      <c r="BH68" s="542"/>
      <c r="BI68" s="542"/>
      <c r="BJ68" s="542"/>
      <c r="BK68" s="542"/>
      <c r="BL68" s="542"/>
      <c r="BM68" s="542"/>
      <c r="BN68" s="542"/>
      <c r="BO68" s="542"/>
      <c r="BP68" s="542"/>
      <c r="BQ68" s="542"/>
      <c r="BR68" s="542"/>
      <c r="BS68" s="542"/>
      <c r="BT68" s="542"/>
      <c r="BU68" s="542"/>
      <c r="BV68" s="542"/>
      <c r="BW68" s="542"/>
      <c r="BX68" s="542"/>
      <c r="BY68" s="542"/>
      <c r="BZ68" s="542"/>
      <c r="CA68" s="542"/>
      <c r="CB68" s="542"/>
      <c r="CC68" s="542"/>
      <c r="CD68" s="542"/>
      <c r="CE68" s="542"/>
      <c r="CF68" s="542"/>
      <c r="CG68" s="542"/>
      <c r="CH68" s="542"/>
      <c r="CI68" s="542"/>
      <c r="CJ68" s="542"/>
      <c r="CK68" s="542"/>
      <c r="CL68" s="542"/>
      <c r="CM68" s="542"/>
      <c r="CN68" s="542"/>
      <c r="CO68" s="542"/>
      <c r="CP68" s="542"/>
      <c r="CQ68" s="542"/>
      <c r="CR68" s="542"/>
      <c r="CS68" s="542"/>
      <c r="CT68" s="542"/>
      <c r="CU68" s="542"/>
      <c r="CW68" s="151"/>
    </row>
    <row r="69" spans="1:101" s="84" customFormat="1" ht="6" customHeight="1" x14ac:dyDescent="0.2">
      <c r="C69" s="60"/>
      <c r="D69" s="34"/>
      <c r="E69" s="51"/>
      <c r="G69" s="245"/>
      <c r="H69" s="245"/>
      <c r="I69" s="245"/>
      <c r="J69" s="245"/>
      <c r="K69" s="245"/>
      <c r="L69" s="247"/>
      <c r="M69" s="245"/>
      <c r="N69" s="245"/>
      <c r="O69" s="245"/>
      <c r="P69" s="245">
        <f t="shared" si="136"/>
        <v>0</v>
      </c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>
        <f t="shared" si="159"/>
        <v>0</v>
      </c>
      <c r="AJ69" s="263"/>
      <c r="AK69" s="263"/>
      <c r="AL69" s="263"/>
      <c r="AM69" s="263"/>
      <c r="AN69" s="263"/>
      <c r="AO69" s="263"/>
      <c r="AP69" s="263"/>
      <c r="AQ69" s="263"/>
      <c r="AR69" s="263"/>
      <c r="AS69" s="263"/>
      <c r="AT69" s="263"/>
      <c r="AU69" s="263"/>
      <c r="AV69" s="263"/>
      <c r="AW69" s="263"/>
      <c r="AX69" s="263"/>
      <c r="AY69" s="263">
        <f t="shared" si="147"/>
        <v>0</v>
      </c>
      <c r="BA69" s="277"/>
      <c r="BB69" s="277"/>
      <c r="BC69" s="277">
        <f t="shared" si="160"/>
        <v>0</v>
      </c>
      <c r="BE69" s="55">
        <f>P69+AH69+AY69+BC69</f>
        <v>0</v>
      </c>
      <c r="BF69" s="55"/>
      <c r="BH69" s="542"/>
      <c r="BI69" s="542"/>
      <c r="BJ69" s="542"/>
      <c r="BK69" s="542"/>
      <c r="BL69" s="542"/>
      <c r="BM69" s="542"/>
      <c r="BN69" s="542"/>
      <c r="BO69" s="542"/>
      <c r="BP69" s="542"/>
      <c r="BQ69" s="542"/>
      <c r="BR69" s="542"/>
      <c r="BS69" s="542"/>
      <c r="BT69" s="542"/>
      <c r="BU69" s="542"/>
      <c r="BV69" s="542"/>
      <c r="BW69" s="542"/>
      <c r="BX69" s="542"/>
      <c r="BY69" s="542"/>
      <c r="BZ69" s="542"/>
      <c r="CA69" s="542"/>
      <c r="CB69" s="542"/>
      <c r="CC69" s="542"/>
      <c r="CD69" s="542"/>
      <c r="CE69" s="542"/>
      <c r="CF69" s="542"/>
      <c r="CG69" s="542"/>
      <c r="CH69" s="542"/>
      <c r="CI69" s="542"/>
      <c r="CJ69" s="542"/>
      <c r="CK69" s="542"/>
      <c r="CL69" s="542"/>
      <c r="CM69" s="542"/>
      <c r="CN69" s="542"/>
      <c r="CO69" s="542"/>
      <c r="CP69" s="542"/>
      <c r="CQ69" s="542"/>
      <c r="CR69" s="542"/>
      <c r="CS69" s="542"/>
      <c r="CT69" s="542"/>
      <c r="CU69" s="542"/>
      <c r="CW69" s="151"/>
    </row>
    <row r="70" spans="1:101" s="84" customFormat="1" outlineLevel="1" x14ac:dyDescent="0.2">
      <c r="A70" s="547"/>
      <c r="B70" s="547"/>
      <c r="C70" s="162"/>
      <c r="D70" s="163"/>
      <c r="E70" s="163"/>
      <c r="G70" s="248"/>
      <c r="H70" s="248"/>
      <c r="I70" s="248"/>
      <c r="J70" s="248"/>
      <c r="K70" s="248"/>
      <c r="L70" s="249"/>
      <c r="M70" s="248"/>
      <c r="N70" s="248"/>
      <c r="O70" s="248"/>
      <c r="P70" s="248">
        <f t="shared" si="136"/>
        <v>0</v>
      </c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>
        <f t="shared" si="159"/>
        <v>0</v>
      </c>
      <c r="AJ70" s="265"/>
      <c r="AK70" s="265"/>
      <c r="AL70" s="265"/>
      <c r="AM70" s="265"/>
      <c r="AN70" s="265"/>
      <c r="AO70" s="265"/>
      <c r="AP70" s="265"/>
      <c r="AQ70" s="265"/>
      <c r="AR70" s="265"/>
      <c r="AS70" s="265"/>
      <c r="AT70" s="265"/>
      <c r="AU70" s="265"/>
      <c r="AV70" s="265"/>
      <c r="AW70" s="265"/>
      <c r="AX70" s="265"/>
      <c r="AY70" s="265">
        <f t="shared" si="147"/>
        <v>0</v>
      </c>
      <c r="BA70" s="278"/>
      <c r="BB70" s="278"/>
      <c r="BC70" s="278">
        <f t="shared" si="160"/>
        <v>0</v>
      </c>
      <c r="BE70" s="164"/>
      <c r="BF70" s="164"/>
      <c r="BG70" s="547"/>
      <c r="BH70" s="549"/>
      <c r="BI70" s="542"/>
      <c r="BJ70" s="542"/>
      <c r="BK70" s="542"/>
      <c r="BL70" s="542"/>
      <c r="BM70" s="542"/>
      <c r="BN70" s="542"/>
      <c r="BO70" s="542"/>
      <c r="BP70" s="542"/>
      <c r="BQ70" s="542"/>
      <c r="BR70" s="542"/>
      <c r="BS70" s="542"/>
      <c r="BT70" s="542"/>
      <c r="BU70" s="542"/>
      <c r="BV70" s="542"/>
      <c r="BW70" s="542"/>
      <c r="BX70" s="542"/>
      <c r="BY70" s="542"/>
      <c r="BZ70" s="542"/>
      <c r="CA70" s="542"/>
      <c r="CB70" s="542"/>
      <c r="CC70" s="542"/>
      <c r="CD70" s="542"/>
      <c r="CE70" s="542"/>
      <c r="CF70" s="542"/>
      <c r="CG70" s="542"/>
      <c r="CH70" s="542"/>
      <c r="CI70" s="542"/>
      <c r="CJ70" s="542"/>
      <c r="CK70" s="542"/>
      <c r="CL70" s="542"/>
      <c r="CM70" s="542"/>
      <c r="CN70" s="542"/>
      <c r="CO70" s="542"/>
      <c r="CP70" s="542"/>
      <c r="CQ70" s="542"/>
      <c r="CR70" s="542"/>
      <c r="CS70" s="542"/>
      <c r="CT70" s="542"/>
      <c r="CU70" s="542"/>
      <c r="CW70" s="151"/>
    </row>
    <row r="71" spans="1:101" s="543" customFormat="1" outlineLevel="1" x14ac:dyDescent="0.2">
      <c r="C71" s="62" t="s">
        <v>305</v>
      </c>
      <c r="D71" s="61" t="str">
        <f>INDEX(Modules[Module], MATCH($C71, Modules[Code], 0))</f>
        <v>Electricity imports</v>
      </c>
      <c r="E71" s="61"/>
      <c r="F71" s="84"/>
      <c r="G71" s="297">
        <f t="shared" ref="G71:O71" ca="1" si="161">IFERROR(INDEX(INDIRECT($C71&amp;".Outputs["&amp;this.Year&amp;"]"), MATCH(G$5, INDIRECT($C71&amp;".Outputs[Vector]"), 0)), 0)</f>
        <v>0</v>
      </c>
      <c r="H71" s="297">
        <f t="shared" ca="1" si="161"/>
        <v>0</v>
      </c>
      <c r="I71" s="297">
        <f t="shared" ca="1" si="161"/>
        <v>0</v>
      </c>
      <c r="J71" s="297">
        <f t="shared" ca="1" si="161"/>
        <v>0</v>
      </c>
      <c r="K71" s="297">
        <f t="shared" ca="1" si="161"/>
        <v>0</v>
      </c>
      <c r="L71" s="297">
        <f t="shared" ca="1" si="161"/>
        <v>0</v>
      </c>
      <c r="M71" s="297">
        <f t="shared" ca="1" si="161"/>
        <v>0</v>
      </c>
      <c r="N71" s="297">
        <f t="shared" ca="1" si="161"/>
        <v>0</v>
      </c>
      <c r="O71" s="297">
        <f t="shared" ca="1" si="161"/>
        <v>0</v>
      </c>
      <c r="P71" s="297">
        <f t="shared" ca="1" si="136"/>
        <v>0</v>
      </c>
      <c r="Q71" s="84"/>
      <c r="R71" s="304">
        <f t="shared" ref="R71:AG71" ca="1" si="162">IFERROR(INDEX(INDIRECT($C71&amp;".Outputs["&amp;this.Year&amp;"]"), MATCH(R$5, INDIRECT($C71&amp;".Outputs[Vector]"), 0)), 0)</f>
        <v>0</v>
      </c>
      <c r="S71" s="304">
        <f t="shared" ca="1" si="162"/>
        <v>24.703800000000001</v>
      </c>
      <c r="T71" s="304">
        <f t="shared" ca="1" si="162"/>
        <v>0</v>
      </c>
      <c r="U71" s="304">
        <f t="shared" ca="1" si="162"/>
        <v>0</v>
      </c>
      <c r="V71" s="304">
        <f t="shared" ca="1" si="162"/>
        <v>0</v>
      </c>
      <c r="W71" s="304">
        <f t="shared" ca="1" si="162"/>
        <v>0</v>
      </c>
      <c r="X71" s="304">
        <f ca="1">IFERROR(INDEX(INDIRECT($C71&amp;".Outputs["&amp;this.Year&amp;"]"), MATCH(X$5, INDIRECT($C71&amp;".Outputs[Vector]"), 0)), 0)</f>
        <v>0</v>
      </c>
      <c r="Y71" s="304">
        <f ca="1">IFERROR(INDEX(INDIRECT($C71&amp;".Outputs["&amp;this.Year&amp;"]"), MATCH(Y$5, INDIRECT($C71&amp;".Outputs[Vector]"), 0)), 0)</f>
        <v>0</v>
      </c>
      <c r="Z71" s="304">
        <f ca="1">IFERROR(INDEX(INDIRECT($C71&amp;".Outputs["&amp;this.Year&amp;"]"), MATCH(Z$5, INDIRECT($C71&amp;".Outputs[Vector]"), 0)), 0)</f>
        <v>0</v>
      </c>
      <c r="AA71" s="304">
        <f t="shared" ca="1" si="162"/>
        <v>0</v>
      </c>
      <c r="AB71" s="304">
        <f t="shared" ca="1" si="162"/>
        <v>0</v>
      </c>
      <c r="AC71" s="304">
        <f t="shared" ca="1" si="162"/>
        <v>0</v>
      </c>
      <c r="AD71" s="304">
        <f t="shared" ca="1" si="162"/>
        <v>0</v>
      </c>
      <c r="AE71" s="304">
        <f t="shared" ca="1" si="162"/>
        <v>0</v>
      </c>
      <c r="AF71" s="304">
        <f t="shared" ca="1" si="162"/>
        <v>0</v>
      </c>
      <c r="AG71" s="304">
        <f t="shared" ca="1" si="162"/>
        <v>0</v>
      </c>
      <c r="AH71" s="305">
        <f t="shared" ca="1" si="159"/>
        <v>24.703800000000001</v>
      </c>
      <c r="AI71" s="84"/>
      <c r="AJ71" s="312">
        <f t="shared" ref="AJ71:AR71" ca="1" si="163">IFERROR(INDEX(INDIRECT($C71&amp;".Outputs["&amp;this.Year&amp;"]"), MATCH(AJ$5, INDIRECT($C71&amp;".Outputs[Vector]"), 0)), 0)</f>
        <v>0</v>
      </c>
      <c r="AK71" s="312">
        <f t="shared" ca="1" si="163"/>
        <v>0</v>
      </c>
      <c r="AL71" s="312">
        <f t="shared" ca="1" si="163"/>
        <v>0</v>
      </c>
      <c r="AM71" s="312">
        <f t="shared" ca="1" si="163"/>
        <v>0</v>
      </c>
      <c r="AN71" s="312">
        <f t="shared" ca="1" si="163"/>
        <v>-24.703800000000001</v>
      </c>
      <c r="AO71" s="312">
        <f t="shared" ca="1" si="163"/>
        <v>0</v>
      </c>
      <c r="AP71" s="312">
        <f t="shared" ca="1" si="163"/>
        <v>0</v>
      </c>
      <c r="AQ71" s="312">
        <f t="shared" ca="1" si="163"/>
        <v>0</v>
      </c>
      <c r="AR71" s="312">
        <f t="shared" ca="1" si="163"/>
        <v>0</v>
      </c>
      <c r="AS71" s="312">
        <f t="shared" ref="AS71:AX71" ca="1" si="164">IFERROR(INDEX(INDIRECT($C71&amp;".Outputs["&amp;this.Year&amp;"]"), MATCH(AS$5, INDIRECT($C71&amp;".Outputs[Vector]"), 0)), 0)</f>
        <v>0</v>
      </c>
      <c r="AT71" s="312">
        <f t="shared" ca="1" si="164"/>
        <v>0</v>
      </c>
      <c r="AU71" s="312">
        <f t="shared" ca="1" si="164"/>
        <v>0</v>
      </c>
      <c r="AV71" s="312">
        <f t="shared" ca="1" si="164"/>
        <v>0</v>
      </c>
      <c r="AW71" s="312">
        <f t="shared" ca="1" si="164"/>
        <v>0</v>
      </c>
      <c r="AX71" s="312">
        <f t="shared" ca="1" si="164"/>
        <v>0</v>
      </c>
      <c r="AY71" s="266">
        <f t="shared" ca="1" si="147"/>
        <v>-24.703800000000001</v>
      </c>
      <c r="AZ71" s="84"/>
      <c r="BA71" s="308">
        <f ca="1">IFERROR(INDEX(INDIRECT($C71&amp;".Outputs["&amp;this.Year&amp;"]"), MATCH(BA$5, INDIRECT($C71&amp;".Outputs[Vector]"), 0)), 0)</f>
        <v>0</v>
      </c>
      <c r="BB71" s="308">
        <f ca="1">IFERROR(INDEX(INDIRECT($C71&amp;".Outputs["&amp;this.Year&amp;"]"), MATCH(BB$5, INDIRECT($C71&amp;".Outputs[Vector]"), 0)), 0)</f>
        <v>0</v>
      </c>
      <c r="BC71" s="309">
        <f t="shared" ca="1" si="160"/>
        <v>0</v>
      </c>
      <c r="BD71" s="84"/>
      <c r="BE71" s="135">
        <f ca="1">P71+AH71+AY71+BC71</f>
        <v>0</v>
      </c>
      <c r="BF71" s="135"/>
      <c r="BH71" s="541">
        <f t="shared" ref="BH71:CU71" ca="1" si="165">IFERROR(SUMIFS(INDIRECT($C71&amp;".Emissions["&amp;this.Year&amp;"]"), INDIRECT($C71&amp;".Emissions[GHG]"), BH$6, INDIRECT($C71&amp;".Emissions[IPCC Sector]"), BH$5),0)</f>
        <v>0</v>
      </c>
      <c r="BI71" s="542">
        <f t="shared" ca="1" si="165"/>
        <v>0</v>
      </c>
      <c r="BJ71" s="542">
        <f t="shared" ca="1" si="165"/>
        <v>0</v>
      </c>
      <c r="BK71" s="542">
        <f t="shared" ca="1" si="165"/>
        <v>0</v>
      </c>
      <c r="BL71" s="542">
        <f t="shared" ca="1" si="165"/>
        <v>0</v>
      </c>
      <c r="BM71" s="542">
        <f t="shared" ca="1" si="165"/>
        <v>0</v>
      </c>
      <c r="BN71" s="542">
        <f t="shared" ca="1" si="165"/>
        <v>0</v>
      </c>
      <c r="BO71" s="542">
        <f t="shared" ca="1" si="165"/>
        <v>0</v>
      </c>
      <c r="BP71" s="542">
        <f t="shared" ca="1" si="165"/>
        <v>0</v>
      </c>
      <c r="BQ71" s="542">
        <f t="shared" ca="1" si="165"/>
        <v>0</v>
      </c>
      <c r="BR71" s="542">
        <f t="shared" ca="1" si="165"/>
        <v>0</v>
      </c>
      <c r="BS71" s="542">
        <f t="shared" ca="1" si="165"/>
        <v>0</v>
      </c>
      <c r="BT71" s="542">
        <f t="shared" ca="1" si="165"/>
        <v>0</v>
      </c>
      <c r="BU71" s="542">
        <f t="shared" ca="1" si="165"/>
        <v>0</v>
      </c>
      <c r="BV71" s="542">
        <f t="shared" ca="1" si="165"/>
        <v>0</v>
      </c>
      <c r="BW71" s="542">
        <f t="shared" ca="1" si="165"/>
        <v>0</v>
      </c>
      <c r="BX71" s="542">
        <f t="shared" ca="1" si="165"/>
        <v>0</v>
      </c>
      <c r="BY71" s="542">
        <f t="shared" ca="1" si="165"/>
        <v>0</v>
      </c>
      <c r="BZ71" s="542">
        <f t="shared" ca="1" si="165"/>
        <v>0</v>
      </c>
      <c r="CA71" s="542">
        <f t="shared" ca="1" si="165"/>
        <v>0</v>
      </c>
      <c r="CB71" s="542">
        <f t="shared" ca="1" si="165"/>
        <v>0</v>
      </c>
      <c r="CC71" s="542">
        <f t="shared" ca="1" si="165"/>
        <v>0</v>
      </c>
      <c r="CD71" s="542">
        <f t="shared" ca="1" si="165"/>
        <v>0</v>
      </c>
      <c r="CE71" s="542">
        <f t="shared" ca="1" si="165"/>
        <v>0</v>
      </c>
      <c r="CF71" s="542">
        <f t="shared" ca="1" si="165"/>
        <v>0</v>
      </c>
      <c r="CG71" s="542">
        <f t="shared" ca="1" si="165"/>
        <v>0</v>
      </c>
      <c r="CH71" s="542">
        <f t="shared" ca="1" si="165"/>
        <v>0</v>
      </c>
      <c r="CI71" s="542">
        <f t="shared" ca="1" si="165"/>
        <v>0</v>
      </c>
      <c r="CJ71" s="542">
        <f t="shared" ca="1" si="165"/>
        <v>0</v>
      </c>
      <c r="CK71" s="542">
        <f t="shared" ca="1" si="165"/>
        <v>0</v>
      </c>
      <c r="CL71" s="542">
        <f t="shared" ca="1" si="165"/>
        <v>0</v>
      </c>
      <c r="CM71" s="542">
        <f t="shared" ca="1" si="165"/>
        <v>0</v>
      </c>
      <c r="CN71" s="542">
        <f t="shared" ca="1" si="165"/>
        <v>0</v>
      </c>
      <c r="CO71" s="542">
        <f t="shared" ca="1" si="165"/>
        <v>0</v>
      </c>
      <c r="CP71" s="542">
        <f t="shared" ca="1" si="165"/>
        <v>0</v>
      </c>
      <c r="CQ71" s="542">
        <f t="shared" ca="1" si="165"/>
        <v>0</v>
      </c>
      <c r="CR71" s="542">
        <f t="shared" ca="1" si="165"/>
        <v>0</v>
      </c>
      <c r="CS71" s="542">
        <f t="shared" ca="1" si="165"/>
        <v>0</v>
      </c>
      <c r="CT71" s="542">
        <f t="shared" ca="1" si="165"/>
        <v>0</v>
      </c>
      <c r="CU71" s="542">
        <f t="shared" ca="1" si="165"/>
        <v>0</v>
      </c>
      <c r="CW71" s="151"/>
    </row>
    <row r="72" spans="1:101" s="547" customFormat="1" ht="12.75" customHeight="1" outlineLevel="1" x14ac:dyDescent="0.2">
      <c r="C72" s="319" t="s">
        <v>858</v>
      </c>
      <c r="D72" s="320" t="s">
        <v>588</v>
      </c>
      <c r="E72" s="320"/>
      <c r="F72" s="84"/>
      <c r="G72" s="333"/>
      <c r="H72" s="333"/>
      <c r="I72" s="333"/>
      <c r="J72" s="333"/>
      <c r="K72" s="333"/>
      <c r="L72" s="334"/>
      <c r="M72" s="333"/>
      <c r="N72" s="333"/>
      <c r="O72" s="333"/>
      <c r="P72" s="333">
        <f t="shared" si="136"/>
        <v>0</v>
      </c>
      <c r="Q72" s="84"/>
      <c r="R72" s="335">
        <f ca="1">R$28+R$36+R$80+R$40+R$71</f>
        <v>-530.14446047320098</v>
      </c>
      <c r="S72" s="335">
        <f ca="1">S$28+S$36+S$80+S$40+S$71</f>
        <v>24.703800000000001</v>
      </c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>
        <f t="shared" ca="1" si="159"/>
        <v>-505.44066047320098</v>
      </c>
      <c r="AI72" s="84"/>
      <c r="AJ72" s="336"/>
      <c r="AK72" s="336"/>
      <c r="AL72" s="336"/>
      <c r="AM72" s="336"/>
      <c r="AN72" s="336"/>
      <c r="AO72" s="336"/>
      <c r="AP72" s="336"/>
      <c r="AQ72" s="336"/>
      <c r="AR72" s="336"/>
      <c r="AS72" s="336"/>
      <c r="AT72" s="336"/>
      <c r="AU72" s="336"/>
      <c r="AV72" s="336"/>
      <c r="AW72" s="336"/>
      <c r="AX72" s="336"/>
      <c r="AY72" s="336">
        <f t="shared" si="147"/>
        <v>0</v>
      </c>
      <c r="AZ72" s="84"/>
      <c r="BA72" s="337"/>
      <c r="BB72" s="337"/>
      <c r="BC72" s="337">
        <f t="shared" si="160"/>
        <v>0</v>
      </c>
      <c r="BD72" s="84"/>
      <c r="BE72" s="164"/>
      <c r="BF72" s="164"/>
      <c r="BH72" s="549"/>
      <c r="BI72" s="549"/>
      <c r="BJ72" s="549"/>
      <c r="BK72" s="549"/>
      <c r="BL72" s="549"/>
      <c r="BM72" s="549"/>
      <c r="BN72" s="549"/>
      <c r="BO72" s="549"/>
      <c r="BP72" s="549"/>
      <c r="BQ72" s="549"/>
      <c r="BR72" s="549"/>
      <c r="BS72" s="549"/>
      <c r="BT72" s="549"/>
      <c r="BU72" s="549"/>
      <c r="BV72" s="549"/>
      <c r="BW72" s="549"/>
      <c r="BX72" s="549"/>
      <c r="BY72" s="549"/>
      <c r="BZ72" s="549"/>
      <c r="CA72" s="549"/>
      <c r="CB72" s="549"/>
      <c r="CC72" s="549"/>
      <c r="CD72" s="549"/>
      <c r="CE72" s="549"/>
      <c r="CF72" s="549"/>
      <c r="CG72" s="549"/>
      <c r="CH72" s="549"/>
      <c r="CI72" s="549"/>
      <c r="CJ72" s="549"/>
      <c r="CK72" s="549"/>
      <c r="CL72" s="549"/>
      <c r="CM72" s="549"/>
      <c r="CN72" s="549"/>
      <c r="CO72" s="549"/>
      <c r="CP72" s="549"/>
      <c r="CQ72" s="549"/>
      <c r="CR72" s="549"/>
      <c r="CS72" s="549"/>
      <c r="CT72" s="549"/>
      <c r="CU72" s="549"/>
      <c r="CW72" s="151"/>
    </row>
    <row r="73" spans="1:101" s="543" customFormat="1" outlineLevel="1" x14ac:dyDescent="0.2">
      <c r="C73" s="62" t="s">
        <v>313</v>
      </c>
      <c r="D73" s="61" t="str">
        <f>INDEX(Modules[Module], MATCH($C73, Modules[Code], 0))</f>
        <v>Electricity grid distribution</v>
      </c>
      <c r="E73" s="61"/>
      <c r="F73" s="84"/>
      <c r="G73" s="297">
        <f t="shared" ref="G73:O73" ca="1" si="166">IFERROR(INDEX(INDIRECT($C73&amp;".Outputs["&amp;this.Year&amp;"]"), MATCH(G$5, INDIRECT($C73&amp;".Outputs[Vector]"), 0)), 0)</f>
        <v>0</v>
      </c>
      <c r="H73" s="297">
        <f t="shared" ca="1" si="166"/>
        <v>0</v>
      </c>
      <c r="I73" s="297">
        <f t="shared" ca="1" si="166"/>
        <v>0</v>
      </c>
      <c r="J73" s="297">
        <f t="shared" ca="1" si="166"/>
        <v>0</v>
      </c>
      <c r="K73" s="297">
        <f t="shared" ca="1" si="166"/>
        <v>0</v>
      </c>
      <c r="L73" s="297">
        <f t="shared" ca="1" si="166"/>
        <v>0</v>
      </c>
      <c r="M73" s="297">
        <f t="shared" ca="1" si="166"/>
        <v>0</v>
      </c>
      <c r="N73" s="297">
        <f t="shared" ca="1" si="166"/>
        <v>0</v>
      </c>
      <c r="O73" s="297">
        <f t="shared" ca="1" si="166"/>
        <v>0</v>
      </c>
      <c r="P73" s="297">
        <f t="shared" ca="1" si="136"/>
        <v>0</v>
      </c>
      <c r="Q73" s="84"/>
      <c r="R73" s="304">
        <f t="shared" ref="R73:AG73" ca="1" si="167">IFERROR(INDEX(INDIRECT($C73&amp;".Outputs["&amp;this.Year&amp;"]"), MATCH(R$5, INDIRECT($C73&amp;".Outputs[Vector]"), 0)), 0)</f>
        <v>0</v>
      </c>
      <c r="S73" s="304">
        <f t="shared" ca="1" si="167"/>
        <v>-72.292426428163822</v>
      </c>
      <c r="T73" s="304">
        <f t="shared" ca="1" si="167"/>
        <v>0</v>
      </c>
      <c r="U73" s="304">
        <f t="shared" ca="1" si="167"/>
        <v>0</v>
      </c>
      <c r="V73" s="304">
        <f t="shared" ca="1" si="167"/>
        <v>0</v>
      </c>
      <c r="W73" s="304">
        <f t="shared" ca="1" si="167"/>
        <v>0</v>
      </c>
      <c r="X73" s="304">
        <f t="shared" ref="X73:Z73" ca="1" si="168">IFERROR(INDEX(INDIRECT($C73&amp;".Outputs["&amp;this.Year&amp;"]"), MATCH(X$5, INDIRECT($C73&amp;".Outputs[Vector]"), 0)), 0)</f>
        <v>0</v>
      </c>
      <c r="Y73" s="304">
        <f t="shared" ca="1" si="168"/>
        <v>0</v>
      </c>
      <c r="Z73" s="304">
        <f t="shared" ca="1" si="168"/>
        <v>0</v>
      </c>
      <c r="AA73" s="304">
        <f t="shared" ca="1" si="167"/>
        <v>0</v>
      </c>
      <c r="AB73" s="304">
        <f t="shared" ca="1" si="167"/>
        <v>0</v>
      </c>
      <c r="AC73" s="304">
        <f t="shared" ca="1" si="167"/>
        <v>0</v>
      </c>
      <c r="AD73" s="304">
        <f t="shared" ca="1" si="167"/>
        <v>0</v>
      </c>
      <c r="AE73" s="304">
        <f t="shared" ca="1" si="167"/>
        <v>0</v>
      </c>
      <c r="AF73" s="304">
        <f t="shared" ca="1" si="167"/>
        <v>0</v>
      </c>
      <c r="AG73" s="304">
        <f t="shared" ca="1" si="167"/>
        <v>0</v>
      </c>
      <c r="AH73" s="305">
        <f t="shared" ca="1" si="159"/>
        <v>-72.292426428163822</v>
      </c>
      <c r="AI73" s="84"/>
      <c r="AJ73" s="312">
        <f t="shared" ref="AJ73:AR73" ca="1" si="169">IFERROR(INDEX(INDIRECT($C73&amp;".Outputs["&amp;this.Year&amp;"]"), MATCH(AJ$5, INDIRECT($C73&amp;".Outputs[Vector]"), 0)), 0)</f>
        <v>0</v>
      </c>
      <c r="AK73" s="312">
        <f t="shared" ca="1" si="169"/>
        <v>0</v>
      </c>
      <c r="AL73" s="312">
        <f t="shared" ca="1" si="169"/>
        <v>0</v>
      </c>
      <c r="AM73" s="312">
        <f t="shared" ca="1" si="169"/>
        <v>0</v>
      </c>
      <c r="AN73" s="312">
        <f t="shared" ca="1" si="169"/>
        <v>0</v>
      </c>
      <c r="AO73" s="312">
        <f t="shared" ca="1" si="169"/>
        <v>0</v>
      </c>
      <c r="AP73" s="312">
        <f t="shared" ca="1" si="169"/>
        <v>0</v>
      </c>
      <c r="AQ73" s="312">
        <f t="shared" ca="1" si="169"/>
        <v>0</v>
      </c>
      <c r="AR73" s="312">
        <f t="shared" ca="1" si="169"/>
        <v>0</v>
      </c>
      <c r="AS73" s="312">
        <f t="shared" ref="AS73:AX73" ca="1" si="170">IFERROR(INDEX(INDIRECT($C73&amp;".Outputs["&amp;this.Year&amp;"]"), MATCH(AS$5, INDIRECT($C73&amp;".Outputs[Vector]"), 0)), 0)</f>
        <v>0</v>
      </c>
      <c r="AT73" s="312">
        <f t="shared" ca="1" si="170"/>
        <v>0</v>
      </c>
      <c r="AU73" s="312">
        <f t="shared" ca="1" si="170"/>
        <v>0</v>
      </c>
      <c r="AV73" s="312">
        <f t="shared" ca="1" si="170"/>
        <v>0</v>
      </c>
      <c r="AW73" s="312">
        <f t="shared" ca="1" si="170"/>
        <v>0</v>
      </c>
      <c r="AX73" s="312">
        <f t="shared" ca="1" si="170"/>
        <v>0</v>
      </c>
      <c r="AY73" s="266">
        <f t="shared" ca="1" si="147"/>
        <v>0</v>
      </c>
      <c r="AZ73" s="84"/>
      <c r="BA73" s="308">
        <f ca="1">IFERROR(INDEX(INDIRECT($C73&amp;".Outputs["&amp;this.Year&amp;"]"), MATCH(BA$5, INDIRECT($C73&amp;".Outputs[Vector]"), 0)), 0)</f>
        <v>0</v>
      </c>
      <c r="BB73" s="308">
        <f ca="1">IFERROR(INDEX(INDIRECT($C73&amp;".Outputs["&amp;this.Year&amp;"]"), MATCH(BB$5, INDIRECT($C73&amp;".Outputs[Vector]"), 0)), 0)</f>
        <v>72.292426428163779</v>
      </c>
      <c r="BC73" s="309">
        <f t="shared" ca="1" si="160"/>
        <v>72.292426428163779</v>
      </c>
      <c r="BD73" s="84"/>
      <c r="BE73" s="164">
        <f ca="1">P73+AH73+AY73+BC73</f>
        <v>0</v>
      </c>
      <c r="BF73" s="135"/>
      <c r="BH73" s="541">
        <f t="shared" ref="BH73:BQ73" ca="1" si="171">IFERROR(SUMIFS(INDIRECT($C73&amp;".Emissions["&amp;this.Year&amp;"]"), INDIRECT($C73&amp;".Emissions[GHG]"), BH$6, INDIRECT($C73&amp;".Emissions[IPCC Sector]"), BH$5),0)</f>
        <v>0</v>
      </c>
      <c r="BI73" s="542">
        <f t="shared" ca="1" si="171"/>
        <v>0</v>
      </c>
      <c r="BJ73" s="542">
        <f t="shared" ca="1" si="171"/>
        <v>0</v>
      </c>
      <c r="BK73" s="542">
        <f t="shared" ca="1" si="171"/>
        <v>0</v>
      </c>
      <c r="BL73" s="542">
        <f t="shared" ca="1" si="171"/>
        <v>0</v>
      </c>
      <c r="BM73" s="542">
        <f t="shared" ca="1" si="171"/>
        <v>0</v>
      </c>
      <c r="BN73" s="542">
        <f t="shared" ca="1" si="171"/>
        <v>0</v>
      </c>
      <c r="BO73" s="542">
        <f t="shared" ca="1" si="171"/>
        <v>0</v>
      </c>
      <c r="BP73" s="542">
        <f t="shared" ca="1" si="171"/>
        <v>0</v>
      </c>
      <c r="BQ73" s="542">
        <f t="shared" ca="1" si="171"/>
        <v>0</v>
      </c>
      <c r="BR73" s="542">
        <f t="shared" ref="BR73:CA73" ca="1" si="172">IFERROR(SUMIFS(INDIRECT($C73&amp;".Emissions["&amp;this.Year&amp;"]"), INDIRECT($C73&amp;".Emissions[GHG]"), BR$6, INDIRECT($C73&amp;".Emissions[IPCC Sector]"), BR$5),0)</f>
        <v>0</v>
      </c>
      <c r="BS73" s="542">
        <f t="shared" ca="1" si="172"/>
        <v>0</v>
      </c>
      <c r="BT73" s="542">
        <f t="shared" ca="1" si="172"/>
        <v>0</v>
      </c>
      <c r="BU73" s="542">
        <f t="shared" ca="1" si="172"/>
        <v>0</v>
      </c>
      <c r="BV73" s="542">
        <f t="shared" ca="1" si="172"/>
        <v>0</v>
      </c>
      <c r="BW73" s="542">
        <f t="shared" ca="1" si="172"/>
        <v>0</v>
      </c>
      <c r="BX73" s="542">
        <f t="shared" ca="1" si="172"/>
        <v>0</v>
      </c>
      <c r="BY73" s="542">
        <f t="shared" ca="1" si="172"/>
        <v>0</v>
      </c>
      <c r="BZ73" s="542">
        <f t="shared" ca="1" si="172"/>
        <v>0</v>
      </c>
      <c r="CA73" s="542">
        <f t="shared" ca="1" si="172"/>
        <v>0</v>
      </c>
      <c r="CB73" s="542">
        <f t="shared" ref="CB73:CK73" ca="1" si="173">IFERROR(SUMIFS(INDIRECT($C73&amp;".Emissions["&amp;this.Year&amp;"]"), INDIRECT($C73&amp;".Emissions[GHG]"), CB$6, INDIRECT($C73&amp;".Emissions[IPCC Sector]"), CB$5),0)</f>
        <v>0</v>
      </c>
      <c r="CC73" s="542">
        <f t="shared" ca="1" si="173"/>
        <v>0</v>
      </c>
      <c r="CD73" s="542">
        <f t="shared" ca="1" si="173"/>
        <v>0</v>
      </c>
      <c r="CE73" s="542">
        <f t="shared" ca="1" si="173"/>
        <v>0</v>
      </c>
      <c r="CF73" s="542">
        <f t="shared" ca="1" si="173"/>
        <v>0</v>
      </c>
      <c r="CG73" s="542">
        <f t="shared" ca="1" si="173"/>
        <v>0</v>
      </c>
      <c r="CH73" s="542">
        <f t="shared" ca="1" si="173"/>
        <v>0</v>
      </c>
      <c r="CI73" s="542">
        <f t="shared" ca="1" si="173"/>
        <v>0</v>
      </c>
      <c r="CJ73" s="542">
        <f t="shared" ca="1" si="173"/>
        <v>0</v>
      </c>
      <c r="CK73" s="542">
        <f t="shared" ca="1" si="173"/>
        <v>0</v>
      </c>
      <c r="CL73" s="542">
        <f t="shared" ref="CL73:CU73" ca="1" si="174">IFERROR(SUMIFS(INDIRECT($C73&amp;".Emissions["&amp;this.Year&amp;"]"), INDIRECT($C73&amp;".Emissions[GHG]"), CL$6, INDIRECT($C73&amp;".Emissions[IPCC Sector]"), CL$5),0)</f>
        <v>0</v>
      </c>
      <c r="CM73" s="542">
        <f t="shared" ca="1" si="174"/>
        <v>0</v>
      </c>
      <c r="CN73" s="542">
        <f t="shared" ca="1" si="174"/>
        <v>0</v>
      </c>
      <c r="CO73" s="542">
        <f t="shared" ca="1" si="174"/>
        <v>0</v>
      </c>
      <c r="CP73" s="542">
        <f t="shared" ca="1" si="174"/>
        <v>0</v>
      </c>
      <c r="CQ73" s="542">
        <f t="shared" ca="1" si="174"/>
        <v>0</v>
      </c>
      <c r="CR73" s="542">
        <f t="shared" ca="1" si="174"/>
        <v>0</v>
      </c>
      <c r="CS73" s="542">
        <f t="shared" ca="1" si="174"/>
        <v>0</v>
      </c>
      <c r="CT73" s="542">
        <f t="shared" ca="1" si="174"/>
        <v>0</v>
      </c>
      <c r="CU73" s="542">
        <f t="shared" ca="1" si="174"/>
        <v>0</v>
      </c>
      <c r="CW73" s="151"/>
    </row>
    <row r="74" spans="1:101" s="18" customFormat="1" ht="12.75" customHeight="1" x14ac:dyDescent="0.2">
      <c r="B74" s="89"/>
      <c r="C74" s="85" t="s">
        <v>226</v>
      </c>
      <c r="D74" s="57" t="str">
        <f>INDEX(Workstreams[Workstream], MATCH($C74, Workstreams[Code], 0))</f>
        <v>Electricity distribution, storage &amp; balancing</v>
      </c>
      <c r="E74" s="53"/>
      <c r="F74" s="84"/>
      <c r="G74" s="245">
        <f ca="1">G$71+G$73</f>
        <v>0</v>
      </c>
      <c r="H74" s="245">
        <f t="shared" ref="H74:BS74" ca="1" si="175">H$71+H$73</f>
        <v>0</v>
      </c>
      <c r="I74" s="245">
        <f t="shared" ca="1" si="175"/>
        <v>0</v>
      </c>
      <c r="J74" s="245">
        <f t="shared" ca="1" si="175"/>
        <v>0</v>
      </c>
      <c r="K74" s="245">
        <f t="shared" ca="1" si="175"/>
        <v>0</v>
      </c>
      <c r="L74" s="245">
        <f t="shared" ca="1" si="175"/>
        <v>0</v>
      </c>
      <c r="M74" s="245">
        <f t="shared" ca="1" si="175"/>
        <v>0</v>
      </c>
      <c r="N74" s="245">
        <f t="shared" ca="1" si="175"/>
        <v>0</v>
      </c>
      <c r="O74" s="245">
        <f t="shared" ca="1" si="175"/>
        <v>0</v>
      </c>
      <c r="P74" s="245">
        <f t="shared" ca="1" si="136"/>
        <v>0</v>
      </c>
      <c r="Q74" s="245">
        <f t="shared" si="175"/>
        <v>0</v>
      </c>
      <c r="R74" s="245">
        <f t="shared" ca="1" si="175"/>
        <v>0</v>
      </c>
      <c r="S74" s="245">
        <f t="shared" ca="1" si="175"/>
        <v>-47.58862642816382</v>
      </c>
      <c r="T74" s="245">
        <f t="shared" ca="1" si="175"/>
        <v>0</v>
      </c>
      <c r="U74" s="245">
        <f t="shared" ca="1" si="175"/>
        <v>0</v>
      </c>
      <c r="V74" s="245">
        <f t="shared" ca="1" si="175"/>
        <v>0</v>
      </c>
      <c r="W74" s="245">
        <f t="shared" ca="1" si="175"/>
        <v>0</v>
      </c>
      <c r="X74" s="245">
        <f t="shared" ca="1" si="175"/>
        <v>0</v>
      </c>
      <c r="Y74" s="245">
        <f t="shared" ca="1" si="175"/>
        <v>0</v>
      </c>
      <c r="Z74" s="245">
        <f t="shared" ca="1" si="175"/>
        <v>0</v>
      </c>
      <c r="AA74" s="245">
        <f t="shared" ca="1" si="175"/>
        <v>0</v>
      </c>
      <c r="AB74" s="245">
        <f t="shared" ca="1" si="175"/>
        <v>0</v>
      </c>
      <c r="AC74" s="245">
        <f t="shared" ca="1" si="175"/>
        <v>0</v>
      </c>
      <c r="AD74" s="245">
        <f t="shared" ca="1" si="175"/>
        <v>0</v>
      </c>
      <c r="AE74" s="245">
        <f t="shared" ca="1" si="175"/>
        <v>0</v>
      </c>
      <c r="AF74" s="245">
        <f t="shared" ca="1" si="175"/>
        <v>0</v>
      </c>
      <c r="AG74" s="245">
        <f t="shared" ca="1" si="175"/>
        <v>0</v>
      </c>
      <c r="AH74" s="245">
        <f t="shared" ca="1" si="159"/>
        <v>-47.58862642816382</v>
      </c>
      <c r="AI74" s="245">
        <f t="shared" si="175"/>
        <v>0</v>
      </c>
      <c r="AJ74" s="245">
        <f t="shared" ca="1" si="175"/>
        <v>0</v>
      </c>
      <c r="AK74" s="245">
        <f t="shared" ca="1" si="175"/>
        <v>0</v>
      </c>
      <c r="AL74" s="245">
        <f t="shared" ca="1" si="175"/>
        <v>0</v>
      </c>
      <c r="AM74" s="245">
        <f t="shared" ca="1" si="175"/>
        <v>0</v>
      </c>
      <c r="AN74" s="245">
        <f t="shared" ca="1" si="175"/>
        <v>-24.703800000000001</v>
      </c>
      <c r="AO74" s="245">
        <f t="shared" ca="1" si="175"/>
        <v>0</v>
      </c>
      <c r="AP74" s="245">
        <f t="shared" ca="1" si="175"/>
        <v>0</v>
      </c>
      <c r="AQ74" s="245">
        <f t="shared" ca="1" si="175"/>
        <v>0</v>
      </c>
      <c r="AR74" s="245">
        <f t="shared" ca="1" si="175"/>
        <v>0</v>
      </c>
      <c r="AS74" s="245">
        <f t="shared" ca="1" si="175"/>
        <v>0</v>
      </c>
      <c r="AT74" s="245">
        <f t="shared" ca="1" si="175"/>
        <v>0</v>
      </c>
      <c r="AU74" s="245">
        <f t="shared" ca="1" si="175"/>
        <v>0</v>
      </c>
      <c r="AV74" s="245">
        <f t="shared" ca="1" si="175"/>
        <v>0</v>
      </c>
      <c r="AW74" s="245">
        <f t="shared" ca="1" si="175"/>
        <v>0</v>
      </c>
      <c r="AX74" s="245">
        <f t="shared" ca="1" si="175"/>
        <v>0</v>
      </c>
      <c r="AY74" s="245">
        <f t="shared" ca="1" si="147"/>
        <v>-24.703800000000001</v>
      </c>
      <c r="AZ74" s="245">
        <f t="shared" si="175"/>
        <v>0</v>
      </c>
      <c r="BA74" s="245">
        <f t="shared" ca="1" si="175"/>
        <v>0</v>
      </c>
      <c r="BB74" s="245">
        <f t="shared" ca="1" si="175"/>
        <v>72.292426428163779</v>
      </c>
      <c r="BC74" s="245">
        <f t="shared" ca="1" si="160"/>
        <v>72.292426428163779</v>
      </c>
      <c r="BD74" s="245">
        <f t="shared" si="175"/>
        <v>0</v>
      </c>
      <c r="BE74" s="245">
        <f t="shared" ca="1" si="175"/>
        <v>0</v>
      </c>
      <c r="BF74" s="245">
        <f t="shared" si="175"/>
        <v>0</v>
      </c>
      <c r="BG74" s="245">
        <f t="shared" si="175"/>
        <v>0</v>
      </c>
      <c r="BH74" s="245">
        <f t="shared" ca="1" si="175"/>
        <v>0</v>
      </c>
      <c r="BI74" s="245">
        <f t="shared" ca="1" si="175"/>
        <v>0</v>
      </c>
      <c r="BJ74" s="245">
        <f t="shared" ca="1" si="175"/>
        <v>0</v>
      </c>
      <c r="BK74" s="245">
        <f t="shared" ca="1" si="175"/>
        <v>0</v>
      </c>
      <c r="BL74" s="245">
        <f t="shared" ca="1" si="175"/>
        <v>0</v>
      </c>
      <c r="BM74" s="245">
        <f t="shared" ca="1" si="175"/>
        <v>0</v>
      </c>
      <c r="BN74" s="245">
        <f t="shared" ca="1" si="175"/>
        <v>0</v>
      </c>
      <c r="BO74" s="245">
        <f t="shared" ca="1" si="175"/>
        <v>0</v>
      </c>
      <c r="BP74" s="245">
        <f t="shared" ca="1" si="175"/>
        <v>0</v>
      </c>
      <c r="BQ74" s="245">
        <f t="shared" ca="1" si="175"/>
        <v>0</v>
      </c>
      <c r="BR74" s="245">
        <f t="shared" ca="1" si="175"/>
        <v>0</v>
      </c>
      <c r="BS74" s="245">
        <f t="shared" ca="1" si="175"/>
        <v>0</v>
      </c>
      <c r="BT74" s="245">
        <f t="shared" ref="BT74:CW74" ca="1" si="176">BT$71+BT$73</f>
        <v>0</v>
      </c>
      <c r="BU74" s="245">
        <f t="shared" ca="1" si="176"/>
        <v>0</v>
      </c>
      <c r="BV74" s="245">
        <f t="shared" ca="1" si="176"/>
        <v>0</v>
      </c>
      <c r="BW74" s="245">
        <f t="shared" ca="1" si="176"/>
        <v>0</v>
      </c>
      <c r="BX74" s="245">
        <f t="shared" ca="1" si="176"/>
        <v>0</v>
      </c>
      <c r="BY74" s="245">
        <f t="shared" ca="1" si="176"/>
        <v>0</v>
      </c>
      <c r="BZ74" s="245">
        <f t="shared" ca="1" si="176"/>
        <v>0</v>
      </c>
      <c r="CA74" s="245">
        <f t="shared" ca="1" si="176"/>
        <v>0</v>
      </c>
      <c r="CB74" s="245">
        <f t="shared" ca="1" si="176"/>
        <v>0</v>
      </c>
      <c r="CC74" s="245">
        <f t="shared" ca="1" si="176"/>
        <v>0</v>
      </c>
      <c r="CD74" s="245">
        <f t="shared" ca="1" si="176"/>
        <v>0</v>
      </c>
      <c r="CE74" s="245">
        <f t="shared" ca="1" si="176"/>
        <v>0</v>
      </c>
      <c r="CF74" s="245">
        <f t="shared" ca="1" si="176"/>
        <v>0</v>
      </c>
      <c r="CG74" s="245">
        <f t="shared" ca="1" si="176"/>
        <v>0</v>
      </c>
      <c r="CH74" s="245">
        <f t="shared" ca="1" si="176"/>
        <v>0</v>
      </c>
      <c r="CI74" s="245">
        <f t="shared" ca="1" si="176"/>
        <v>0</v>
      </c>
      <c r="CJ74" s="245">
        <f t="shared" ca="1" si="176"/>
        <v>0</v>
      </c>
      <c r="CK74" s="245">
        <f t="shared" ca="1" si="176"/>
        <v>0</v>
      </c>
      <c r="CL74" s="245">
        <f t="shared" ca="1" si="176"/>
        <v>0</v>
      </c>
      <c r="CM74" s="245">
        <f t="shared" ca="1" si="176"/>
        <v>0</v>
      </c>
      <c r="CN74" s="245">
        <f t="shared" ca="1" si="176"/>
        <v>0</v>
      </c>
      <c r="CO74" s="245">
        <f t="shared" ca="1" si="176"/>
        <v>0</v>
      </c>
      <c r="CP74" s="245">
        <f t="shared" ca="1" si="176"/>
        <v>0</v>
      </c>
      <c r="CQ74" s="245">
        <f t="shared" ca="1" si="176"/>
        <v>0</v>
      </c>
      <c r="CR74" s="245">
        <f t="shared" ca="1" si="176"/>
        <v>0</v>
      </c>
      <c r="CS74" s="245">
        <f t="shared" ca="1" si="176"/>
        <v>0</v>
      </c>
      <c r="CT74" s="245">
        <f t="shared" ca="1" si="176"/>
        <v>0</v>
      </c>
      <c r="CU74" s="245">
        <f t="shared" ca="1" si="176"/>
        <v>0</v>
      </c>
      <c r="CV74" s="245">
        <f t="shared" si="176"/>
        <v>0</v>
      </c>
      <c r="CW74" s="245">
        <f t="shared" si="176"/>
        <v>0</v>
      </c>
    </row>
    <row r="75" spans="1:101" s="84" customFormat="1" ht="12.75" customHeight="1" outlineLevel="1" x14ac:dyDescent="0.2">
      <c r="A75" s="18"/>
      <c r="B75" s="18"/>
      <c r="C75" s="87"/>
      <c r="D75" s="53"/>
      <c r="E75" s="53"/>
      <c r="G75" s="245"/>
      <c r="H75" s="245"/>
      <c r="I75" s="245"/>
      <c r="J75" s="245"/>
      <c r="K75" s="245"/>
      <c r="L75" s="247"/>
      <c r="M75" s="245"/>
      <c r="N75" s="245"/>
      <c r="O75" s="245"/>
      <c r="P75" s="245">
        <f t="shared" si="136"/>
        <v>0</v>
      </c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>
        <f t="shared" si="159"/>
        <v>0</v>
      </c>
      <c r="AJ75" s="263"/>
      <c r="AK75" s="263"/>
      <c r="AL75" s="263"/>
      <c r="AM75" s="263"/>
      <c r="AN75" s="263"/>
      <c r="AO75" s="263"/>
      <c r="AP75" s="263"/>
      <c r="AQ75" s="263"/>
      <c r="AR75" s="263"/>
      <c r="AS75" s="263"/>
      <c r="AT75" s="263"/>
      <c r="AU75" s="263"/>
      <c r="AV75" s="263"/>
      <c r="AW75" s="263"/>
      <c r="AX75" s="263"/>
      <c r="AY75" s="263">
        <f t="shared" si="147"/>
        <v>0</v>
      </c>
      <c r="BA75" s="277"/>
      <c r="BB75" s="277"/>
      <c r="BC75" s="277">
        <f t="shared" si="160"/>
        <v>0</v>
      </c>
      <c r="BE75" s="55">
        <f>P75+AH75+AY75+BC75</f>
        <v>0</v>
      </c>
      <c r="BF75" s="55"/>
      <c r="BG75" s="1428"/>
      <c r="BH75" s="542"/>
      <c r="BI75" s="542"/>
      <c r="BJ75" s="542"/>
      <c r="BK75" s="542"/>
      <c r="BL75" s="542"/>
      <c r="BM75" s="542"/>
      <c r="BN75" s="542"/>
      <c r="BO75" s="542"/>
      <c r="BP75" s="542"/>
      <c r="BQ75" s="542"/>
      <c r="BR75" s="542"/>
      <c r="BS75" s="542"/>
      <c r="BT75" s="542"/>
      <c r="BU75" s="542"/>
      <c r="BV75" s="542"/>
      <c r="BW75" s="542"/>
      <c r="BX75" s="542"/>
      <c r="BY75" s="542"/>
      <c r="BZ75" s="542"/>
      <c r="CA75" s="542"/>
      <c r="CB75" s="542"/>
      <c r="CC75" s="542"/>
      <c r="CD75" s="542"/>
      <c r="CE75" s="542"/>
      <c r="CF75" s="542"/>
      <c r="CG75" s="542"/>
      <c r="CH75" s="542"/>
      <c r="CI75" s="542"/>
      <c r="CJ75" s="542"/>
      <c r="CK75" s="542"/>
      <c r="CL75" s="542"/>
      <c r="CM75" s="542"/>
      <c r="CN75" s="542"/>
      <c r="CO75" s="542"/>
      <c r="CP75" s="542"/>
      <c r="CQ75" s="542"/>
      <c r="CR75" s="542"/>
      <c r="CS75" s="542"/>
      <c r="CT75" s="542"/>
      <c r="CU75" s="542"/>
      <c r="CW75" s="151">
        <f t="shared" ref="CW75:CW85" si="177">SUM(BH75:CU75)</f>
        <v>0</v>
      </c>
    </row>
    <row r="76" spans="1:101" s="550" customFormat="1" ht="12.75" customHeight="1" outlineLevel="1" x14ac:dyDescent="0.2">
      <c r="C76" s="566" t="s">
        <v>859</v>
      </c>
      <c r="D76" s="567" t="s">
        <v>817</v>
      </c>
      <c r="E76" s="567"/>
      <c r="G76" s="333"/>
      <c r="H76" s="333"/>
      <c r="I76" s="333"/>
      <c r="J76" s="333"/>
      <c r="K76" s="333"/>
      <c r="L76" s="334"/>
      <c r="M76" s="333"/>
      <c r="N76" s="333"/>
      <c r="O76" s="333"/>
      <c r="P76" s="333">
        <f t="shared" si="136"/>
        <v>0</v>
      </c>
      <c r="R76" s="335"/>
      <c r="S76" s="335"/>
      <c r="T76" s="335">
        <f ca="1">(T$28+T$66+T$74)</f>
        <v>-512.36760581012402</v>
      </c>
      <c r="U76" s="335">
        <f ca="1">(U$28+U$66+U$74)</f>
        <v>-203.77870008523075</v>
      </c>
      <c r="V76" s="335">
        <f ca="1">(V$28+V$66+V$74)</f>
        <v>-904.21021087293411</v>
      </c>
      <c r="W76" s="335">
        <f ca="1">(W$28+W$66+W$74)</f>
        <v>-119.88593635939728</v>
      </c>
      <c r="X76" s="335"/>
      <c r="Y76" s="335"/>
      <c r="Z76" s="335"/>
      <c r="AA76" s="335"/>
      <c r="AB76" s="335">
        <f t="shared" ref="AB76:AG76" ca="1" si="178">(AB$28+AB$66+AB$74)</f>
        <v>0</v>
      </c>
      <c r="AC76" s="335">
        <f t="shared" ca="1" si="178"/>
        <v>2412.1223876296331</v>
      </c>
      <c r="AD76" s="335">
        <f t="shared" ca="1" si="178"/>
        <v>21.627866327074862</v>
      </c>
      <c r="AE76" s="335">
        <f t="shared" ca="1" si="178"/>
        <v>313.39118684291782</v>
      </c>
      <c r="AF76" s="335">
        <f t="shared" ca="1" si="178"/>
        <v>83.34026863475772</v>
      </c>
      <c r="AG76" s="335">
        <f t="shared" ca="1" si="178"/>
        <v>6.7479704068045194</v>
      </c>
      <c r="AH76" s="335">
        <f t="shared" ca="1" si="159"/>
        <v>1096.987226713502</v>
      </c>
      <c r="AJ76" s="336"/>
      <c r="AK76" s="336"/>
      <c r="AL76" s="336"/>
      <c r="AM76" s="336"/>
      <c r="AN76" s="336"/>
      <c r="AO76" s="336"/>
      <c r="AP76" s="336"/>
      <c r="AQ76" s="336"/>
      <c r="AR76" s="336"/>
      <c r="AS76" s="336"/>
      <c r="AT76" s="336"/>
      <c r="AU76" s="336"/>
      <c r="AV76" s="336"/>
      <c r="AW76" s="336"/>
      <c r="AX76" s="336">
        <f ca="1">AX28+AX36</f>
        <v>-408.5262134053134</v>
      </c>
      <c r="AY76" s="336">
        <f t="shared" ca="1" si="147"/>
        <v>-408.5262134053134</v>
      </c>
      <c r="BA76" s="337"/>
      <c r="BB76" s="337"/>
      <c r="BC76" s="337">
        <f t="shared" si="160"/>
        <v>0</v>
      </c>
      <c r="BE76" s="568"/>
      <c r="BF76" s="568"/>
      <c r="BG76" s="569"/>
      <c r="BH76" s="570"/>
      <c r="BI76" s="570"/>
      <c r="BJ76" s="570"/>
      <c r="BK76" s="570"/>
      <c r="BL76" s="570"/>
      <c r="BM76" s="570"/>
      <c r="BN76" s="570"/>
      <c r="BO76" s="570"/>
      <c r="BP76" s="570"/>
      <c r="BQ76" s="570"/>
      <c r="BR76" s="570"/>
      <c r="BS76" s="570"/>
      <c r="BT76" s="570"/>
      <c r="BU76" s="570"/>
      <c r="BV76" s="570"/>
      <c r="BW76" s="570"/>
      <c r="BX76" s="570"/>
      <c r="BY76" s="570"/>
      <c r="BZ76" s="570"/>
      <c r="CA76" s="570"/>
      <c r="CB76" s="570"/>
      <c r="CC76" s="570"/>
      <c r="CD76" s="570"/>
      <c r="CE76" s="570"/>
      <c r="CF76" s="570"/>
      <c r="CG76" s="570"/>
      <c r="CH76" s="570"/>
      <c r="CI76" s="570"/>
      <c r="CJ76" s="570"/>
      <c r="CK76" s="570"/>
      <c r="CL76" s="570"/>
      <c r="CM76" s="570"/>
      <c r="CN76" s="570"/>
      <c r="CO76" s="570"/>
      <c r="CP76" s="570"/>
      <c r="CQ76" s="570"/>
      <c r="CR76" s="570"/>
      <c r="CS76" s="570"/>
      <c r="CT76" s="570"/>
      <c r="CU76" s="570"/>
      <c r="CW76" s="569">
        <f t="shared" si="177"/>
        <v>0</v>
      </c>
    </row>
    <row r="77" spans="1:101" s="882" customFormat="1" ht="12.75" customHeight="1" outlineLevel="1" x14ac:dyDescent="0.2">
      <c r="A77" s="879"/>
      <c r="B77" s="879"/>
      <c r="C77" s="880" t="s">
        <v>400</v>
      </c>
      <c r="D77" s="881" t="str">
        <f>INDEX(Modules[Module], MATCH($C77, Modules[Code], 0))</f>
        <v>Types of fuel from Biomass</v>
      </c>
      <c r="E77" s="881"/>
      <c r="G77" s="326">
        <f t="shared" ref="G77:O79" ca="1" si="179">IFERROR(INDEX(INDIRECT($C77&amp;".Outputs["&amp;this.Year&amp;"]"), MATCH(G$5, INDIRECT($C77&amp;".Outputs[Vector]"), 0)), 0)</f>
        <v>0</v>
      </c>
      <c r="H77" s="326">
        <f t="shared" ca="1" si="179"/>
        <v>0</v>
      </c>
      <c r="I77" s="326">
        <f t="shared" ca="1" si="179"/>
        <v>0</v>
      </c>
      <c r="J77" s="326">
        <f t="shared" ca="1" si="179"/>
        <v>0</v>
      </c>
      <c r="K77" s="326">
        <f t="shared" ca="1" si="179"/>
        <v>0</v>
      </c>
      <c r="L77" s="326">
        <f t="shared" ca="1" si="179"/>
        <v>0</v>
      </c>
      <c r="M77" s="326">
        <f t="shared" ca="1" si="179"/>
        <v>0</v>
      </c>
      <c r="N77" s="326">
        <f t="shared" ca="1" si="179"/>
        <v>0</v>
      </c>
      <c r="O77" s="326">
        <f t="shared" ca="1" si="179"/>
        <v>0</v>
      </c>
      <c r="P77" s="326">
        <f t="shared" ca="1" si="136"/>
        <v>0</v>
      </c>
      <c r="R77" s="327">
        <f t="shared" ref="R77:AG79" ca="1" si="180">IFERROR(INDEX(INDIRECT($C77&amp;".Outputs["&amp;this.Year&amp;"]"), MATCH(R$5, INDIRECT($C77&amp;".Outputs[Vector]"), 0)), 0)</f>
        <v>0</v>
      </c>
      <c r="S77" s="327">
        <f t="shared" ca="1" si="180"/>
        <v>0</v>
      </c>
      <c r="T77" s="327">
        <f t="shared" ca="1" si="180"/>
        <v>0</v>
      </c>
      <c r="U77" s="327">
        <f t="shared" ca="1" si="180"/>
        <v>5.4675246074845258</v>
      </c>
      <c r="V77" s="327">
        <f t="shared" ca="1" si="180"/>
        <v>735.43019244224729</v>
      </c>
      <c r="W77" s="327">
        <f t="shared" ca="1" si="180"/>
        <v>1731.7930401887158</v>
      </c>
      <c r="X77" s="327">
        <f t="shared" ca="1" si="180"/>
        <v>0</v>
      </c>
      <c r="Y77" s="327">
        <f t="shared" ca="1" si="180"/>
        <v>0</v>
      </c>
      <c r="Z77" s="327">
        <f t="shared" ca="1" si="180"/>
        <v>0</v>
      </c>
      <c r="AA77" s="327">
        <f t="shared" ca="1" si="180"/>
        <v>0</v>
      </c>
      <c r="AB77" s="327">
        <f t="shared" ca="1" si="180"/>
        <v>0</v>
      </c>
      <c r="AC77" s="327">
        <f t="shared" ca="1" si="180"/>
        <v>-2412.1223876296331</v>
      </c>
      <c r="AD77" s="327">
        <f t="shared" ca="1" si="180"/>
        <v>-21.627866327074862</v>
      </c>
      <c r="AE77" s="327">
        <f t="shared" ca="1" si="180"/>
        <v>-313.39118684291782</v>
      </c>
      <c r="AF77" s="327">
        <f t="shared" ca="1" si="180"/>
        <v>-83.34026863475772</v>
      </c>
      <c r="AG77" s="327">
        <f t="shared" ca="1" si="180"/>
        <v>-6.7479704068045194</v>
      </c>
      <c r="AH77" s="328">
        <f t="shared" ca="1" si="159"/>
        <v>-364.53892260274046</v>
      </c>
      <c r="AJ77" s="329">
        <f t="shared" ref="AJ77:AX79" ca="1" si="181">IFERROR(INDEX(INDIRECT($C77&amp;".Outputs["&amp;this.Year&amp;"]"), MATCH(AJ$5, INDIRECT($C77&amp;".Outputs[Vector]"), 0)), 0)</f>
        <v>0</v>
      </c>
      <c r="AK77" s="329">
        <f t="shared" ca="1" si="181"/>
        <v>0</v>
      </c>
      <c r="AL77" s="329">
        <f t="shared" ca="1" si="181"/>
        <v>0</v>
      </c>
      <c r="AM77" s="329">
        <f t="shared" ca="1" si="181"/>
        <v>0</v>
      </c>
      <c r="AN77" s="329">
        <f t="shared" ca="1" si="181"/>
        <v>0</v>
      </c>
      <c r="AO77" s="329">
        <f t="shared" ca="1" si="181"/>
        <v>0</v>
      </c>
      <c r="AP77" s="329">
        <f t="shared" ca="1" si="181"/>
        <v>0</v>
      </c>
      <c r="AQ77" s="329">
        <f t="shared" ca="1" si="181"/>
        <v>0</v>
      </c>
      <c r="AR77" s="329">
        <f t="shared" ca="1" si="181"/>
        <v>0</v>
      </c>
      <c r="AS77" s="329">
        <f t="shared" ca="1" si="181"/>
        <v>0</v>
      </c>
      <c r="AT77" s="329">
        <f t="shared" ca="1" si="181"/>
        <v>0</v>
      </c>
      <c r="AU77" s="329">
        <f t="shared" ca="1" si="181"/>
        <v>0</v>
      </c>
      <c r="AV77" s="329">
        <f t="shared" ca="1" si="181"/>
        <v>0</v>
      </c>
      <c r="AW77" s="329">
        <f t="shared" ca="1" si="181"/>
        <v>0</v>
      </c>
      <c r="AX77" s="329">
        <f t="shared" ca="1" si="181"/>
        <v>0</v>
      </c>
      <c r="AY77" s="330">
        <f t="shared" ca="1" si="147"/>
        <v>0</v>
      </c>
      <c r="BA77" s="331">
        <f ca="1">IFERROR(INDEX(INDIRECT($C77&amp;".Outputs["&amp;this.Year&amp;"]"), MATCH(BA$5, INDIRECT($C77&amp;".Outputs[Vector]"), 0)), 0)</f>
        <v>364.53892260274051</v>
      </c>
      <c r="BB77" s="331">
        <f ca="1">IFERROR(INDEX(INDIRECT($C77&amp;".Outputs["&amp;this.Year&amp;"]"), MATCH(BB$5, INDIRECT($C77&amp;".Outputs[Vector]"), 0)), 0)</f>
        <v>0</v>
      </c>
      <c r="BC77" s="332">
        <f t="shared" ca="1" si="160"/>
        <v>364.53892260274051</v>
      </c>
      <c r="BE77" s="883">
        <f ca="1">P77+AH77+AY77+BC77</f>
        <v>0</v>
      </c>
      <c r="BF77" s="883"/>
      <c r="BG77" s="884"/>
      <c r="BH77" s="885">
        <f t="shared" ref="BH77:CU79" ca="1" si="182">IFERROR(SUMIFS(INDIRECT($C77&amp;".Emissions["&amp;this.Year&amp;"]"), INDIRECT($C77&amp;".Emissions[GHG]"), BH$6, INDIRECT($C77&amp;".Emissions[IPCC Sector]"), BH$5),0)</f>
        <v>0</v>
      </c>
      <c r="BI77" s="886">
        <f t="shared" ca="1" si="182"/>
        <v>0</v>
      </c>
      <c r="BJ77" s="886">
        <f t="shared" ca="1" si="182"/>
        <v>0</v>
      </c>
      <c r="BK77" s="886">
        <f t="shared" ca="1" si="182"/>
        <v>0</v>
      </c>
      <c r="BL77" s="886">
        <f t="shared" ca="1" si="182"/>
        <v>0</v>
      </c>
      <c r="BM77" s="886">
        <f t="shared" ca="1" si="182"/>
        <v>0</v>
      </c>
      <c r="BN77" s="886">
        <f t="shared" ca="1" si="182"/>
        <v>0</v>
      </c>
      <c r="BO77" s="886">
        <f t="shared" ca="1" si="182"/>
        <v>0</v>
      </c>
      <c r="BP77" s="886">
        <f t="shared" ca="1" si="182"/>
        <v>0</v>
      </c>
      <c r="BQ77" s="886">
        <f t="shared" ca="1" si="182"/>
        <v>0</v>
      </c>
      <c r="BR77" s="886">
        <f t="shared" ca="1" si="182"/>
        <v>0</v>
      </c>
      <c r="BS77" s="886">
        <f t="shared" ca="1" si="182"/>
        <v>0</v>
      </c>
      <c r="BT77" s="886">
        <f t="shared" ca="1" si="182"/>
        <v>0</v>
      </c>
      <c r="BU77" s="886">
        <f t="shared" ca="1" si="182"/>
        <v>0</v>
      </c>
      <c r="BV77" s="886">
        <f t="shared" ca="1" si="182"/>
        <v>0</v>
      </c>
      <c r="BW77" s="886">
        <f t="shared" ca="1" si="182"/>
        <v>0</v>
      </c>
      <c r="BX77" s="886">
        <f t="shared" ca="1" si="182"/>
        <v>0</v>
      </c>
      <c r="BY77" s="886">
        <f t="shared" ca="1" si="182"/>
        <v>0</v>
      </c>
      <c r="BZ77" s="886">
        <f t="shared" ca="1" si="182"/>
        <v>0</v>
      </c>
      <c r="CA77" s="886">
        <f t="shared" ca="1" si="182"/>
        <v>0</v>
      </c>
      <c r="CB77" s="886">
        <f t="shared" ca="1" si="182"/>
        <v>0</v>
      </c>
      <c r="CC77" s="886">
        <f t="shared" ca="1" si="182"/>
        <v>0</v>
      </c>
      <c r="CD77" s="886">
        <f t="shared" ca="1" si="182"/>
        <v>0</v>
      </c>
      <c r="CE77" s="886">
        <f t="shared" ca="1" si="182"/>
        <v>0</v>
      </c>
      <c r="CF77" s="886">
        <f t="shared" ca="1" si="182"/>
        <v>0</v>
      </c>
      <c r="CG77" s="886">
        <f t="shared" ca="1" si="182"/>
        <v>0</v>
      </c>
      <c r="CH77" s="886">
        <f t="shared" ca="1" si="182"/>
        <v>0</v>
      </c>
      <c r="CI77" s="886">
        <f t="shared" ca="1" si="182"/>
        <v>0</v>
      </c>
      <c r="CJ77" s="886">
        <f t="shared" ca="1" si="182"/>
        <v>0</v>
      </c>
      <c r="CK77" s="886">
        <f t="shared" ca="1" si="182"/>
        <v>0</v>
      </c>
      <c r="CL77" s="886">
        <f t="shared" ca="1" si="182"/>
        <v>0</v>
      </c>
      <c r="CM77" s="886">
        <f t="shared" ca="1" si="182"/>
        <v>0</v>
      </c>
      <c r="CN77" s="886">
        <f t="shared" ca="1" si="182"/>
        <v>-136.68603656124461</v>
      </c>
      <c r="CO77" s="886">
        <f t="shared" ca="1" si="182"/>
        <v>0</v>
      </c>
      <c r="CP77" s="886">
        <f t="shared" ca="1" si="182"/>
        <v>0</v>
      </c>
      <c r="CQ77" s="886">
        <f t="shared" ca="1" si="182"/>
        <v>0</v>
      </c>
      <c r="CR77" s="886">
        <f t="shared" ca="1" si="182"/>
        <v>0</v>
      </c>
      <c r="CS77" s="886">
        <f t="shared" ca="1" si="182"/>
        <v>0</v>
      </c>
      <c r="CT77" s="886">
        <f t="shared" ca="1" si="182"/>
        <v>0</v>
      </c>
      <c r="CU77" s="886">
        <f t="shared" ca="1" si="182"/>
        <v>0</v>
      </c>
      <c r="CW77" s="887">
        <f t="shared" ca="1" si="177"/>
        <v>-136.68603656124461</v>
      </c>
    </row>
    <row r="78" spans="1:101" s="550" customFormat="1" ht="12.75" customHeight="1" outlineLevel="1" x14ac:dyDescent="0.2">
      <c r="C78" s="566" t="s">
        <v>860</v>
      </c>
      <c r="D78" s="567" t="s">
        <v>817</v>
      </c>
      <c r="E78" s="567"/>
      <c r="G78" s="333"/>
      <c r="H78" s="333"/>
      <c r="I78" s="333"/>
      <c r="J78" s="333"/>
      <c r="K78" s="333"/>
      <c r="L78" s="334"/>
      <c r="M78" s="333"/>
      <c r="N78" s="333"/>
      <c r="O78" s="333"/>
      <c r="P78" s="333">
        <f t="shared" si="136"/>
        <v>0</v>
      </c>
      <c r="R78" s="335"/>
      <c r="S78" s="335"/>
      <c r="T78" s="335">
        <f ca="1">T$76+T$77</f>
        <v>-512.36760581012402</v>
      </c>
      <c r="U78" s="335">
        <f ca="1">U$76+U$77</f>
        <v>-198.31117547774622</v>
      </c>
      <c r="V78" s="335">
        <f ca="1">V$76+V$77</f>
        <v>-168.78001843068682</v>
      </c>
      <c r="W78" s="335">
        <f ca="1">W$76+W$77</f>
        <v>1611.9071038293187</v>
      </c>
      <c r="X78" s="335"/>
      <c r="Y78" s="335"/>
      <c r="Z78" s="335"/>
      <c r="AA78" s="335"/>
      <c r="AB78" s="335">
        <f t="shared" ref="AB78:AG78" ca="1" si="183">AB$76+AB$77</f>
        <v>0</v>
      </c>
      <c r="AC78" s="335">
        <f t="shared" ca="1" si="183"/>
        <v>0</v>
      </c>
      <c r="AD78" s="335">
        <f t="shared" ca="1" si="183"/>
        <v>0</v>
      </c>
      <c r="AE78" s="335">
        <f t="shared" ca="1" si="183"/>
        <v>0</v>
      </c>
      <c r="AF78" s="335">
        <f t="shared" ca="1" si="183"/>
        <v>0</v>
      </c>
      <c r="AG78" s="335">
        <f t="shared" ca="1" si="183"/>
        <v>0</v>
      </c>
      <c r="AH78" s="335">
        <f t="shared" ca="1" si="159"/>
        <v>732.44830411076157</v>
      </c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  <c r="AT78" s="336"/>
      <c r="AU78" s="336"/>
      <c r="AV78" s="336"/>
      <c r="AW78" s="336"/>
      <c r="AX78" s="336">
        <f ca="1">AX30+AX34+AX38</f>
        <v>-27.825042008611952</v>
      </c>
      <c r="AY78" s="336">
        <f t="shared" ca="1" si="147"/>
        <v>-27.825042008611952</v>
      </c>
      <c r="BA78" s="337"/>
      <c r="BB78" s="337"/>
      <c r="BC78" s="337">
        <f t="shared" si="160"/>
        <v>0</v>
      </c>
      <c r="BE78" s="568"/>
      <c r="BF78" s="568"/>
      <c r="BG78" s="569"/>
      <c r="BH78" s="570"/>
      <c r="BI78" s="570"/>
      <c r="BJ78" s="570"/>
      <c r="BK78" s="570"/>
      <c r="BL78" s="570"/>
      <c r="BM78" s="570"/>
      <c r="BN78" s="570"/>
      <c r="BO78" s="570"/>
      <c r="BP78" s="570"/>
      <c r="BQ78" s="570"/>
      <c r="BR78" s="570"/>
      <c r="BS78" s="570"/>
      <c r="BT78" s="570"/>
      <c r="BU78" s="570"/>
      <c r="BV78" s="570"/>
      <c r="BW78" s="570"/>
      <c r="BX78" s="570"/>
      <c r="BY78" s="570"/>
      <c r="BZ78" s="570"/>
      <c r="CA78" s="570"/>
      <c r="CB78" s="570"/>
      <c r="CC78" s="570"/>
      <c r="CD78" s="570"/>
      <c r="CE78" s="570"/>
      <c r="CF78" s="570"/>
      <c r="CG78" s="570"/>
      <c r="CH78" s="570"/>
      <c r="CI78" s="570"/>
      <c r="CJ78" s="570"/>
      <c r="CK78" s="570"/>
      <c r="CL78" s="570"/>
      <c r="CM78" s="570"/>
      <c r="CN78" s="570"/>
      <c r="CO78" s="570"/>
      <c r="CP78" s="570"/>
      <c r="CQ78" s="570"/>
      <c r="CR78" s="570"/>
      <c r="CS78" s="570"/>
      <c r="CT78" s="570"/>
      <c r="CU78" s="570"/>
      <c r="CW78" s="569">
        <f>SUM(BH78:CU78)</f>
        <v>0</v>
      </c>
    </row>
    <row r="79" spans="1:101" s="2685" customFormat="1" ht="12.75" customHeight="1" outlineLevel="1" x14ac:dyDescent="0.2">
      <c r="C79" s="319" t="s">
        <v>838</v>
      </c>
      <c r="D79" s="881" t="str">
        <f>INDEX(Modules[Module], MATCH($C79, Modules[Code], 0))</f>
        <v>Bioenergy imports</v>
      </c>
      <c r="E79" s="163"/>
      <c r="G79" s="326">
        <f t="shared" ca="1" si="179"/>
        <v>0</v>
      </c>
      <c r="H79" s="326">
        <f t="shared" ca="1" si="179"/>
        <v>0</v>
      </c>
      <c r="I79" s="326">
        <f t="shared" ca="1" si="179"/>
        <v>0</v>
      </c>
      <c r="J79" s="326">
        <f t="shared" ca="1" si="179"/>
        <v>0</v>
      </c>
      <c r="K79" s="326">
        <f t="shared" ca="1" si="179"/>
        <v>0</v>
      </c>
      <c r="L79" s="326">
        <f t="shared" ca="1" si="179"/>
        <v>0</v>
      </c>
      <c r="M79" s="326">
        <f t="shared" ca="1" si="179"/>
        <v>0</v>
      </c>
      <c r="N79" s="326">
        <f t="shared" ca="1" si="179"/>
        <v>0</v>
      </c>
      <c r="O79" s="326">
        <f t="shared" ca="1" si="179"/>
        <v>0</v>
      </c>
      <c r="P79" s="326">
        <f t="shared" ref="P79" ca="1" si="184">SUM(G79:O79)</f>
        <v>0</v>
      </c>
      <c r="Q79" s="882"/>
      <c r="R79" s="327">
        <f t="shared" ca="1" si="180"/>
        <v>0</v>
      </c>
      <c r="S79" s="327">
        <f t="shared" ca="1" si="180"/>
        <v>0</v>
      </c>
      <c r="T79" s="327">
        <f t="shared" ca="1" si="180"/>
        <v>0</v>
      </c>
      <c r="U79" s="327">
        <f t="shared" ca="1" si="180"/>
        <v>0</v>
      </c>
      <c r="V79" s="327">
        <f t="shared" ca="1" si="180"/>
        <v>0</v>
      </c>
      <c r="W79" s="327">
        <f t="shared" ca="1" si="180"/>
        <v>-1611.9071038293187</v>
      </c>
      <c r="X79" s="327">
        <f t="shared" ca="1" si="180"/>
        <v>0</v>
      </c>
      <c r="Y79" s="327">
        <f t="shared" ca="1" si="180"/>
        <v>0</v>
      </c>
      <c r="Z79" s="327">
        <f t="shared" ca="1" si="180"/>
        <v>0</v>
      </c>
      <c r="AA79" s="327">
        <f t="shared" ca="1" si="180"/>
        <v>0</v>
      </c>
      <c r="AB79" s="327">
        <f t="shared" ca="1" si="180"/>
        <v>0</v>
      </c>
      <c r="AC79" s="327">
        <f t="shared" ca="1" si="180"/>
        <v>0</v>
      </c>
      <c r="AD79" s="327">
        <f t="shared" ca="1" si="180"/>
        <v>0</v>
      </c>
      <c r="AE79" s="327">
        <f t="shared" ca="1" si="180"/>
        <v>0</v>
      </c>
      <c r="AF79" s="327">
        <f t="shared" ca="1" si="180"/>
        <v>0</v>
      </c>
      <c r="AG79" s="327">
        <f t="shared" ca="1" si="180"/>
        <v>0</v>
      </c>
      <c r="AH79" s="328">
        <f t="shared" ca="1" si="159"/>
        <v>-1611.9071038293187</v>
      </c>
      <c r="AI79" s="882"/>
      <c r="AJ79" s="329">
        <f t="shared" ca="1" si="181"/>
        <v>0</v>
      </c>
      <c r="AK79" s="329">
        <f t="shared" ca="1" si="181"/>
        <v>0</v>
      </c>
      <c r="AL79" s="329">
        <f t="shared" ca="1" si="181"/>
        <v>0</v>
      </c>
      <c r="AM79" s="329">
        <f t="shared" ca="1" si="181"/>
        <v>1611.9071038293187</v>
      </c>
      <c r="AN79" s="329">
        <f t="shared" ca="1" si="181"/>
        <v>0</v>
      </c>
      <c r="AO79" s="329">
        <f t="shared" ca="1" si="181"/>
        <v>0</v>
      </c>
      <c r="AP79" s="329">
        <f t="shared" ca="1" si="181"/>
        <v>0</v>
      </c>
      <c r="AQ79" s="329">
        <f t="shared" ca="1" si="181"/>
        <v>0</v>
      </c>
      <c r="AR79" s="329">
        <f t="shared" ca="1" si="181"/>
        <v>0</v>
      </c>
      <c r="AS79" s="329">
        <f t="shared" ca="1" si="181"/>
        <v>0</v>
      </c>
      <c r="AT79" s="329">
        <f t="shared" ca="1" si="181"/>
        <v>0</v>
      </c>
      <c r="AU79" s="329">
        <f t="shared" ca="1" si="181"/>
        <v>0</v>
      </c>
      <c r="AV79" s="329">
        <f t="shared" ca="1" si="181"/>
        <v>0</v>
      </c>
      <c r="AW79" s="329">
        <f t="shared" ca="1" si="181"/>
        <v>0</v>
      </c>
      <c r="AX79" s="329">
        <f t="shared" ca="1" si="181"/>
        <v>0</v>
      </c>
      <c r="AY79" s="330">
        <f t="shared" ref="AY79" ca="1" si="185">SUM(AJ79:AX79)</f>
        <v>1611.9071038293187</v>
      </c>
      <c r="AZ79" s="882"/>
      <c r="BA79" s="331">
        <f ca="1">IFERROR(INDEX(INDIRECT($C79&amp;".Outputs["&amp;this.Year&amp;"]"), MATCH(BA$5, INDIRECT($C79&amp;".Outputs[Vector]"), 0)), 0)</f>
        <v>0</v>
      </c>
      <c r="BB79" s="331">
        <f ca="1">IFERROR(INDEX(INDIRECT($C79&amp;".Outputs["&amp;this.Year&amp;"]"), MATCH(BB$5, INDIRECT($C79&amp;".Outputs[Vector]"), 0)), 0)</f>
        <v>0</v>
      </c>
      <c r="BC79" s="332">
        <f t="shared" ref="BC79" ca="1" si="186">SUM(BA79:BB79)</f>
        <v>0</v>
      </c>
      <c r="BD79" s="882"/>
      <c r="BE79" s="883">
        <f ca="1">P79+AH79+AY79+BC79</f>
        <v>0</v>
      </c>
      <c r="BF79" s="883"/>
      <c r="BG79" s="884"/>
      <c r="BH79" s="885">
        <f t="shared" ca="1" si="182"/>
        <v>0</v>
      </c>
      <c r="BI79" s="886">
        <f t="shared" ca="1" si="182"/>
        <v>0</v>
      </c>
      <c r="BJ79" s="886">
        <f t="shared" ca="1" si="182"/>
        <v>0</v>
      </c>
      <c r="BK79" s="886">
        <f t="shared" ca="1" si="182"/>
        <v>0</v>
      </c>
      <c r="BL79" s="886">
        <f t="shared" ca="1" si="182"/>
        <v>0</v>
      </c>
      <c r="BM79" s="886">
        <f t="shared" ca="1" si="182"/>
        <v>0</v>
      </c>
      <c r="BN79" s="886">
        <f t="shared" ca="1" si="182"/>
        <v>0</v>
      </c>
      <c r="BO79" s="886">
        <f t="shared" ca="1" si="182"/>
        <v>0</v>
      </c>
      <c r="BP79" s="886">
        <f t="shared" ca="1" si="182"/>
        <v>0</v>
      </c>
      <c r="BQ79" s="886">
        <f t="shared" ca="1" si="182"/>
        <v>0</v>
      </c>
      <c r="BR79" s="886">
        <f t="shared" ca="1" si="182"/>
        <v>0</v>
      </c>
      <c r="BS79" s="886">
        <f t="shared" ca="1" si="182"/>
        <v>0</v>
      </c>
      <c r="BT79" s="886">
        <f t="shared" ca="1" si="182"/>
        <v>0</v>
      </c>
      <c r="BU79" s="886">
        <f t="shared" ca="1" si="182"/>
        <v>0</v>
      </c>
      <c r="BV79" s="886">
        <f t="shared" ca="1" si="182"/>
        <v>0</v>
      </c>
      <c r="BW79" s="886">
        <f t="shared" ca="1" si="182"/>
        <v>0</v>
      </c>
      <c r="BX79" s="886">
        <f t="shared" ca="1" si="182"/>
        <v>0</v>
      </c>
      <c r="BY79" s="886">
        <f t="shared" ca="1" si="182"/>
        <v>0</v>
      </c>
      <c r="BZ79" s="886">
        <f t="shared" ca="1" si="182"/>
        <v>0</v>
      </c>
      <c r="CA79" s="886">
        <f t="shared" ca="1" si="182"/>
        <v>0</v>
      </c>
      <c r="CB79" s="886">
        <f t="shared" ca="1" si="182"/>
        <v>0</v>
      </c>
      <c r="CC79" s="886">
        <f t="shared" ca="1" si="182"/>
        <v>0</v>
      </c>
      <c r="CD79" s="886">
        <f t="shared" ca="1" si="182"/>
        <v>0</v>
      </c>
      <c r="CE79" s="886">
        <f t="shared" ca="1" si="182"/>
        <v>0</v>
      </c>
      <c r="CF79" s="886">
        <f t="shared" ca="1" si="182"/>
        <v>0</v>
      </c>
      <c r="CG79" s="886">
        <f t="shared" ca="1" si="182"/>
        <v>0</v>
      </c>
      <c r="CH79" s="886">
        <f t="shared" ca="1" si="182"/>
        <v>0</v>
      </c>
      <c r="CI79" s="886">
        <f t="shared" ca="1" si="182"/>
        <v>0</v>
      </c>
      <c r="CJ79" s="886">
        <f t="shared" ca="1" si="182"/>
        <v>0</v>
      </c>
      <c r="CK79" s="886">
        <f t="shared" ca="1" si="182"/>
        <v>0</v>
      </c>
      <c r="CL79" s="886">
        <f t="shared" ca="1" si="182"/>
        <v>0</v>
      </c>
      <c r="CM79" s="886">
        <f t="shared" ca="1" si="182"/>
        <v>0</v>
      </c>
      <c r="CN79" s="886">
        <f t="shared" ca="1" si="182"/>
        <v>0</v>
      </c>
      <c r="CO79" s="886">
        <f t="shared" ca="1" si="182"/>
        <v>0</v>
      </c>
      <c r="CP79" s="886">
        <f t="shared" ca="1" si="182"/>
        <v>0</v>
      </c>
      <c r="CQ79" s="886">
        <f t="shared" ca="1" si="182"/>
        <v>0</v>
      </c>
      <c r="CR79" s="886">
        <f t="shared" ca="1" si="182"/>
        <v>0</v>
      </c>
      <c r="CS79" s="886">
        <f t="shared" ca="1" si="182"/>
        <v>0</v>
      </c>
      <c r="CT79" s="886">
        <f t="shared" ca="1" si="182"/>
        <v>0</v>
      </c>
      <c r="CU79" s="886">
        <f t="shared" ca="1" si="182"/>
        <v>0</v>
      </c>
      <c r="CV79" s="882"/>
      <c r="CW79" s="887">
        <f t="shared" ref="CW79" ca="1" si="187">SUM(BH79:CU79)</f>
        <v>0</v>
      </c>
    </row>
    <row r="80" spans="1:101" s="84" customFormat="1" ht="15.75" x14ac:dyDescent="0.2">
      <c r="A80" s="18"/>
      <c r="B80" s="89"/>
      <c r="C80" s="85" t="s">
        <v>224</v>
      </c>
      <c r="D80" s="57" t="str">
        <f>INDEX(Workstreams[Workstream], MATCH($C80, Workstreams[Code], 0))</f>
        <v>Bioenergy</v>
      </c>
      <c r="E80" s="53"/>
      <c r="G80" s="300">
        <f ca="1">G$77+G79</f>
        <v>0</v>
      </c>
      <c r="H80" s="300">
        <f t="shared" ref="H80:O80" ca="1" si="188">H$77+H79</f>
        <v>0</v>
      </c>
      <c r="I80" s="300">
        <f t="shared" ca="1" si="188"/>
        <v>0</v>
      </c>
      <c r="J80" s="300">
        <f t="shared" ca="1" si="188"/>
        <v>0</v>
      </c>
      <c r="K80" s="300">
        <f t="shared" ca="1" si="188"/>
        <v>0</v>
      </c>
      <c r="L80" s="300">
        <f t="shared" ca="1" si="188"/>
        <v>0</v>
      </c>
      <c r="M80" s="300">
        <f t="shared" ca="1" si="188"/>
        <v>0</v>
      </c>
      <c r="N80" s="300">
        <f t="shared" ca="1" si="188"/>
        <v>0</v>
      </c>
      <c r="O80" s="300">
        <f t="shared" ca="1" si="188"/>
        <v>0</v>
      </c>
      <c r="P80" s="300">
        <f t="shared" ca="1" si="136"/>
        <v>0</v>
      </c>
      <c r="R80" s="257">
        <f ca="1">R$77+R79</f>
        <v>0</v>
      </c>
      <c r="S80" s="257">
        <f t="shared" ref="S80:AG80" ca="1" si="189">S$77+S79</f>
        <v>0</v>
      </c>
      <c r="T80" s="257">
        <f t="shared" ca="1" si="189"/>
        <v>0</v>
      </c>
      <c r="U80" s="257">
        <f t="shared" ca="1" si="189"/>
        <v>5.4675246074845258</v>
      </c>
      <c r="V80" s="257">
        <f t="shared" ca="1" si="189"/>
        <v>735.43019244224729</v>
      </c>
      <c r="W80" s="257">
        <f t="shared" ca="1" si="189"/>
        <v>119.88593635939719</v>
      </c>
      <c r="X80" s="257">
        <f t="shared" ca="1" si="189"/>
        <v>0</v>
      </c>
      <c r="Y80" s="257">
        <f t="shared" ca="1" si="189"/>
        <v>0</v>
      </c>
      <c r="Z80" s="257">
        <f t="shared" ca="1" si="189"/>
        <v>0</v>
      </c>
      <c r="AA80" s="257">
        <f t="shared" ca="1" si="189"/>
        <v>0</v>
      </c>
      <c r="AB80" s="257">
        <f t="shared" ca="1" si="189"/>
        <v>0</v>
      </c>
      <c r="AC80" s="257">
        <f t="shared" ca="1" si="189"/>
        <v>-2412.1223876296331</v>
      </c>
      <c r="AD80" s="257">
        <f t="shared" ca="1" si="189"/>
        <v>-21.627866327074862</v>
      </c>
      <c r="AE80" s="257">
        <f t="shared" ca="1" si="189"/>
        <v>-313.39118684291782</v>
      </c>
      <c r="AF80" s="257">
        <f t="shared" ca="1" si="189"/>
        <v>-83.34026863475772</v>
      </c>
      <c r="AG80" s="257">
        <f t="shared" ca="1" si="189"/>
        <v>-6.7479704068045194</v>
      </c>
      <c r="AH80" s="257">
        <f t="shared" ca="1" si="159"/>
        <v>-1976.4460264320592</v>
      </c>
      <c r="AJ80" s="263">
        <f ca="1">AJ$77+AJ79</f>
        <v>0</v>
      </c>
      <c r="AK80" s="263">
        <f t="shared" ref="AK80:AX80" ca="1" si="190">AK$77+AK79</f>
        <v>0</v>
      </c>
      <c r="AL80" s="263">
        <f t="shared" ca="1" si="190"/>
        <v>0</v>
      </c>
      <c r="AM80" s="263">
        <f t="shared" ca="1" si="190"/>
        <v>1611.9071038293187</v>
      </c>
      <c r="AN80" s="263">
        <f t="shared" ca="1" si="190"/>
        <v>0</v>
      </c>
      <c r="AO80" s="263">
        <f t="shared" ca="1" si="190"/>
        <v>0</v>
      </c>
      <c r="AP80" s="263">
        <f t="shared" ca="1" si="190"/>
        <v>0</v>
      </c>
      <c r="AQ80" s="263">
        <f t="shared" ca="1" si="190"/>
        <v>0</v>
      </c>
      <c r="AR80" s="263">
        <f t="shared" ca="1" si="190"/>
        <v>0</v>
      </c>
      <c r="AS80" s="263">
        <f t="shared" ca="1" si="190"/>
        <v>0</v>
      </c>
      <c r="AT80" s="263">
        <f t="shared" ca="1" si="190"/>
        <v>0</v>
      </c>
      <c r="AU80" s="263">
        <f t="shared" ca="1" si="190"/>
        <v>0</v>
      </c>
      <c r="AV80" s="263">
        <f t="shared" ca="1" si="190"/>
        <v>0</v>
      </c>
      <c r="AW80" s="263">
        <f t="shared" ca="1" si="190"/>
        <v>0</v>
      </c>
      <c r="AX80" s="263">
        <f t="shared" ca="1" si="190"/>
        <v>0</v>
      </c>
      <c r="AY80" s="263">
        <f t="shared" ca="1" si="147"/>
        <v>1611.9071038293187</v>
      </c>
      <c r="BA80" s="277">
        <f ca="1">BA$77+BA79</f>
        <v>364.53892260274051</v>
      </c>
      <c r="BB80" s="277">
        <f ca="1">BB$77+BB79</f>
        <v>0</v>
      </c>
      <c r="BC80" s="277">
        <f t="shared" ca="1" si="160"/>
        <v>364.53892260274051</v>
      </c>
      <c r="BE80" s="55">
        <f ca="1">P80+AH80+AY80+BC80</f>
        <v>0</v>
      </c>
      <c r="BF80" s="55"/>
      <c r="BG80" s="1428"/>
      <c r="BH80" s="542">
        <f ca="1">BH$77+BH79</f>
        <v>0</v>
      </c>
      <c r="BI80" s="542">
        <f t="shared" ref="BI80:CU80" ca="1" si="191">BI$77+BI79</f>
        <v>0</v>
      </c>
      <c r="BJ80" s="542">
        <f t="shared" ca="1" si="191"/>
        <v>0</v>
      </c>
      <c r="BK80" s="542">
        <f t="shared" ca="1" si="191"/>
        <v>0</v>
      </c>
      <c r="BL80" s="542">
        <f t="shared" ca="1" si="191"/>
        <v>0</v>
      </c>
      <c r="BM80" s="542">
        <f t="shared" ca="1" si="191"/>
        <v>0</v>
      </c>
      <c r="BN80" s="542">
        <f t="shared" ca="1" si="191"/>
        <v>0</v>
      </c>
      <c r="BO80" s="542">
        <f t="shared" ca="1" si="191"/>
        <v>0</v>
      </c>
      <c r="BP80" s="542">
        <f t="shared" ca="1" si="191"/>
        <v>0</v>
      </c>
      <c r="BQ80" s="542">
        <f t="shared" ca="1" si="191"/>
        <v>0</v>
      </c>
      <c r="BR80" s="542">
        <f t="shared" ca="1" si="191"/>
        <v>0</v>
      </c>
      <c r="BS80" s="542">
        <f t="shared" ca="1" si="191"/>
        <v>0</v>
      </c>
      <c r="BT80" s="542">
        <f t="shared" ca="1" si="191"/>
        <v>0</v>
      </c>
      <c r="BU80" s="542">
        <f t="shared" ca="1" si="191"/>
        <v>0</v>
      </c>
      <c r="BV80" s="542">
        <f t="shared" ca="1" si="191"/>
        <v>0</v>
      </c>
      <c r="BW80" s="542">
        <f t="shared" ca="1" si="191"/>
        <v>0</v>
      </c>
      <c r="BX80" s="542">
        <f t="shared" ca="1" si="191"/>
        <v>0</v>
      </c>
      <c r="BY80" s="542">
        <f t="shared" ca="1" si="191"/>
        <v>0</v>
      </c>
      <c r="BZ80" s="542">
        <f t="shared" ca="1" si="191"/>
        <v>0</v>
      </c>
      <c r="CA80" s="542">
        <f t="shared" ca="1" si="191"/>
        <v>0</v>
      </c>
      <c r="CB80" s="542">
        <f t="shared" ca="1" si="191"/>
        <v>0</v>
      </c>
      <c r="CC80" s="542">
        <f t="shared" ca="1" si="191"/>
        <v>0</v>
      </c>
      <c r="CD80" s="542">
        <f t="shared" ca="1" si="191"/>
        <v>0</v>
      </c>
      <c r="CE80" s="542">
        <f t="shared" ca="1" si="191"/>
        <v>0</v>
      </c>
      <c r="CF80" s="542">
        <f t="shared" ca="1" si="191"/>
        <v>0</v>
      </c>
      <c r="CG80" s="542">
        <f t="shared" ca="1" si="191"/>
        <v>0</v>
      </c>
      <c r="CH80" s="542">
        <f t="shared" ca="1" si="191"/>
        <v>0</v>
      </c>
      <c r="CI80" s="542">
        <f t="shared" ca="1" si="191"/>
        <v>0</v>
      </c>
      <c r="CJ80" s="542">
        <f t="shared" ca="1" si="191"/>
        <v>0</v>
      </c>
      <c r="CK80" s="542">
        <f t="shared" ca="1" si="191"/>
        <v>0</v>
      </c>
      <c r="CL80" s="542">
        <f t="shared" ca="1" si="191"/>
        <v>0</v>
      </c>
      <c r="CM80" s="542">
        <f t="shared" ca="1" si="191"/>
        <v>0</v>
      </c>
      <c r="CN80" s="542">
        <f t="shared" ca="1" si="191"/>
        <v>-136.68603656124461</v>
      </c>
      <c r="CO80" s="542">
        <f t="shared" ca="1" si="191"/>
        <v>0</v>
      </c>
      <c r="CP80" s="542">
        <f t="shared" ca="1" si="191"/>
        <v>0</v>
      </c>
      <c r="CQ80" s="542">
        <f t="shared" ca="1" si="191"/>
        <v>0</v>
      </c>
      <c r="CR80" s="542">
        <f t="shared" ca="1" si="191"/>
        <v>0</v>
      </c>
      <c r="CS80" s="542">
        <f t="shared" ca="1" si="191"/>
        <v>0</v>
      </c>
      <c r="CT80" s="542">
        <f t="shared" ca="1" si="191"/>
        <v>0</v>
      </c>
      <c r="CU80" s="542">
        <f t="shared" ca="1" si="191"/>
        <v>0</v>
      </c>
      <c r="CW80" s="151">
        <f t="shared" ca="1" si="177"/>
        <v>-136.68603656124461</v>
      </c>
    </row>
    <row r="81" spans="2:101" s="18" customFormat="1" ht="12.75" customHeight="1" outlineLevel="1" x14ac:dyDescent="0.2">
      <c r="B81" s="89"/>
      <c r="C81" s="85"/>
      <c r="D81" s="57"/>
      <c r="E81" s="53"/>
      <c r="F81" s="84"/>
      <c r="G81" s="245"/>
      <c r="H81" s="245"/>
      <c r="I81" s="245"/>
      <c r="J81" s="245"/>
      <c r="K81" s="245"/>
      <c r="L81" s="247"/>
      <c r="M81" s="245"/>
      <c r="N81" s="245"/>
      <c r="O81" s="245"/>
      <c r="P81" s="245">
        <f t="shared" si="136"/>
        <v>0</v>
      </c>
      <c r="Q81" s="84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>
        <f t="shared" si="159"/>
        <v>0</v>
      </c>
      <c r="AI81" s="84"/>
      <c r="AJ81" s="263"/>
      <c r="AK81" s="263"/>
      <c r="AL81" s="263"/>
      <c r="AM81" s="263"/>
      <c r="AN81" s="263"/>
      <c r="AO81" s="263"/>
      <c r="AP81" s="263"/>
      <c r="AQ81" s="263"/>
      <c r="AR81" s="263"/>
      <c r="AS81" s="263"/>
      <c r="AT81" s="263"/>
      <c r="AU81" s="263"/>
      <c r="AV81" s="263"/>
      <c r="AW81" s="263"/>
      <c r="AX81" s="263"/>
      <c r="AY81" s="263">
        <f t="shared" si="147"/>
        <v>0</v>
      </c>
      <c r="AZ81" s="84"/>
      <c r="BA81" s="277"/>
      <c r="BB81" s="277"/>
      <c r="BC81" s="277">
        <f t="shared" si="160"/>
        <v>0</v>
      </c>
      <c r="BD81" s="84"/>
      <c r="BE81" s="55"/>
      <c r="BF81" s="55"/>
      <c r="BH81" s="542"/>
      <c r="BI81" s="542"/>
      <c r="BJ81" s="542"/>
      <c r="BK81" s="542"/>
      <c r="BL81" s="542"/>
      <c r="BM81" s="542"/>
      <c r="BN81" s="542"/>
      <c r="BO81" s="542"/>
      <c r="BP81" s="542"/>
      <c r="BQ81" s="542"/>
      <c r="BR81" s="542"/>
      <c r="BS81" s="542"/>
      <c r="BT81" s="542"/>
      <c r="BU81" s="542"/>
      <c r="BV81" s="542"/>
      <c r="BW81" s="542"/>
      <c r="BX81" s="542"/>
      <c r="BY81" s="542"/>
      <c r="BZ81" s="542"/>
      <c r="CA81" s="542"/>
      <c r="CB81" s="542"/>
      <c r="CC81" s="542"/>
      <c r="CD81" s="542"/>
      <c r="CE81" s="542"/>
      <c r="CF81" s="542"/>
      <c r="CG81" s="542"/>
      <c r="CH81" s="542"/>
      <c r="CI81" s="542"/>
      <c r="CJ81" s="542"/>
      <c r="CK81" s="542"/>
      <c r="CL81" s="542"/>
      <c r="CM81" s="542"/>
      <c r="CN81" s="542"/>
      <c r="CO81" s="542"/>
      <c r="CP81" s="542"/>
      <c r="CQ81" s="542"/>
      <c r="CR81" s="542"/>
      <c r="CS81" s="542"/>
      <c r="CT81" s="542"/>
      <c r="CU81" s="542"/>
      <c r="CW81" s="151">
        <f t="shared" si="177"/>
        <v>0</v>
      </c>
    </row>
    <row r="82" spans="2:101" s="547" customFormat="1" ht="12.75" customHeight="1" outlineLevel="1" x14ac:dyDescent="0.2">
      <c r="C82" s="319" t="s">
        <v>861</v>
      </c>
      <c r="D82" s="163" t="s">
        <v>817</v>
      </c>
      <c r="E82" s="163"/>
      <c r="G82" s="333"/>
      <c r="H82" s="333"/>
      <c r="I82" s="333"/>
      <c r="J82" s="333"/>
      <c r="K82" s="333"/>
      <c r="L82" s="334"/>
      <c r="M82" s="333"/>
      <c r="N82" s="333"/>
      <c r="O82" s="333"/>
      <c r="P82" s="333">
        <f t="shared" si="136"/>
        <v>0</v>
      </c>
      <c r="Q82" s="550"/>
      <c r="R82" s="335">
        <f t="shared" ref="R82:W82" ca="1" si="192">(R$28+R$66+R$74+R$80)</f>
        <v>-530.14446047320098</v>
      </c>
      <c r="S82" s="335">
        <f t="shared" ca="1" si="192"/>
        <v>731.55499288612179</v>
      </c>
      <c r="T82" s="335">
        <f t="shared" ca="1" si="192"/>
        <v>-512.36760581012402</v>
      </c>
      <c r="U82" s="335">
        <f t="shared" ca="1" si="192"/>
        <v>-198.31117547774622</v>
      </c>
      <c r="V82" s="335">
        <f t="shared" ca="1" si="192"/>
        <v>-168.78001843068682</v>
      </c>
      <c r="W82" s="335">
        <f t="shared" ca="1" si="192"/>
        <v>-8.5265128291212022E-14</v>
      </c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>
        <f t="shared" ca="1" si="159"/>
        <v>-678.04826730563639</v>
      </c>
      <c r="AI82" s="550"/>
      <c r="AJ82" s="336"/>
      <c r="AK82" s="336"/>
      <c r="AL82" s="336"/>
      <c r="AM82" s="336"/>
      <c r="AN82" s="336"/>
      <c r="AO82" s="336"/>
      <c r="AP82" s="336"/>
      <c r="AQ82" s="336"/>
      <c r="AR82" s="336"/>
      <c r="AS82" s="336"/>
      <c r="AT82" s="336"/>
      <c r="AU82" s="336"/>
      <c r="AV82" s="336"/>
      <c r="AW82" s="336"/>
      <c r="AX82" s="336"/>
      <c r="AY82" s="336">
        <f t="shared" si="147"/>
        <v>0</v>
      </c>
      <c r="AZ82" s="550"/>
      <c r="BA82" s="337"/>
      <c r="BB82" s="337"/>
      <c r="BC82" s="337">
        <f t="shared" si="160"/>
        <v>0</v>
      </c>
      <c r="BE82" s="164"/>
      <c r="BF82" s="164"/>
      <c r="BH82" s="549"/>
      <c r="BI82" s="549"/>
      <c r="BJ82" s="549"/>
      <c r="BK82" s="549"/>
      <c r="BL82" s="549"/>
      <c r="BM82" s="549"/>
      <c r="BN82" s="549"/>
      <c r="BO82" s="549"/>
      <c r="BP82" s="549"/>
      <c r="BQ82" s="549"/>
      <c r="BR82" s="549"/>
      <c r="BS82" s="549"/>
      <c r="BT82" s="549"/>
      <c r="BU82" s="549"/>
      <c r="BV82" s="549"/>
      <c r="BW82" s="549"/>
      <c r="BX82" s="549"/>
      <c r="BY82" s="549"/>
      <c r="BZ82" s="549"/>
      <c r="CA82" s="549"/>
      <c r="CB82" s="549"/>
      <c r="CC82" s="549"/>
      <c r="CD82" s="549"/>
      <c r="CE82" s="549"/>
      <c r="CF82" s="549"/>
      <c r="CG82" s="549"/>
      <c r="CH82" s="549"/>
      <c r="CI82" s="549"/>
      <c r="CJ82" s="549"/>
      <c r="CK82" s="549"/>
      <c r="CL82" s="549"/>
      <c r="CM82" s="549"/>
      <c r="CN82" s="549"/>
      <c r="CO82" s="549"/>
      <c r="CP82" s="549"/>
      <c r="CQ82" s="549"/>
      <c r="CR82" s="549"/>
      <c r="CS82" s="549"/>
      <c r="CT82" s="549"/>
      <c r="CU82" s="549"/>
      <c r="CW82" s="151">
        <f t="shared" si="177"/>
        <v>0</v>
      </c>
    </row>
    <row r="83" spans="2:101" s="543" customFormat="1" ht="12.75" customHeight="1" outlineLevel="1" x14ac:dyDescent="0.2">
      <c r="B83" s="551"/>
      <c r="C83" s="62" t="s">
        <v>439</v>
      </c>
      <c r="D83" s="61" t="str">
        <f>INDEX(Modules[Module], MATCH($C83, Modules[Code], 0))</f>
        <v>Fossil fuel transfers</v>
      </c>
      <c r="E83" s="61"/>
      <c r="F83" s="84"/>
      <c r="G83" s="250">
        <f t="shared" ref="G83:O83" ca="1" si="193">IFERROR(INDEX(INDIRECT($C83&amp;".Outputs["&amp;this.Year&amp;"]"), MATCH(G$5, INDIRECT($C83&amp;".Outputs[Vector]"), 0)), 0)</f>
        <v>0</v>
      </c>
      <c r="H83" s="250">
        <f t="shared" ca="1" si="193"/>
        <v>0</v>
      </c>
      <c r="I83" s="250">
        <f t="shared" ca="1" si="193"/>
        <v>0</v>
      </c>
      <c r="J83" s="250">
        <f t="shared" ca="1" si="193"/>
        <v>0</v>
      </c>
      <c r="K83" s="250">
        <f t="shared" ca="1" si="193"/>
        <v>0</v>
      </c>
      <c r="L83" s="251">
        <f t="shared" ca="1" si="193"/>
        <v>0</v>
      </c>
      <c r="M83" s="250">
        <f t="shared" ca="1" si="193"/>
        <v>0</v>
      </c>
      <c r="N83" s="250">
        <f t="shared" ca="1" si="193"/>
        <v>0</v>
      </c>
      <c r="O83" s="250">
        <f t="shared" ca="1" si="193"/>
        <v>0</v>
      </c>
      <c r="P83" s="250">
        <f t="shared" ca="1" si="136"/>
        <v>0</v>
      </c>
      <c r="Q83" s="84"/>
      <c r="R83" s="259">
        <f t="shared" ref="R83:AG83" ca="1" si="194">IFERROR(INDEX(INDIRECT($C83&amp;".Outputs["&amp;this.Year&amp;"]"), MATCH(R$5, INDIRECT($C83&amp;".Outputs[Vector]"), 0)), 0)</f>
        <v>0</v>
      </c>
      <c r="S83" s="259">
        <f t="shared" ca="1" si="194"/>
        <v>0</v>
      </c>
      <c r="T83" s="259">
        <f t="shared" ca="1" si="194"/>
        <v>512.36760581012402</v>
      </c>
      <c r="U83" s="259">
        <f t="shared" ca="1" si="194"/>
        <v>198.31117547774622</v>
      </c>
      <c r="V83" s="259">
        <f t="shared" ca="1" si="194"/>
        <v>168.78001843068682</v>
      </c>
      <c r="W83" s="259">
        <f t="shared" ca="1" si="194"/>
        <v>8.5265128291212022E-14</v>
      </c>
      <c r="X83" s="259">
        <f t="shared" ca="1" si="194"/>
        <v>-512.36760581012402</v>
      </c>
      <c r="Y83" s="259">
        <f t="shared" ca="1" si="194"/>
        <v>-198.31117547774622</v>
      </c>
      <c r="Z83" s="259">
        <f t="shared" ca="1" si="194"/>
        <v>-170.80537865185505</v>
      </c>
      <c r="AA83" s="259">
        <f t="shared" ca="1" si="194"/>
        <v>0</v>
      </c>
      <c r="AB83" s="259">
        <f t="shared" ca="1" si="194"/>
        <v>0</v>
      </c>
      <c r="AC83" s="259">
        <f t="shared" ca="1" si="194"/>
        <v>0</v>
      </c>
      <c r="AD83" s="259">
        <f t="shared" ca="1" si="194"/>
        <v>0</v>
      </c>
      <c r="AE83" s="259">
        <f t="shared" ca="1" si="194"/>
        <v>0</v>
      </c>
      <c r="AF83" s="259">
        <f t="shared" ca="1" si="194"/>
        <v>0</v>
      </c>
      <c r="AG83" s="259">
        <f t="shared" ca="1" si="194"/>
        <v>0</v>
      </c>
      <c r="AH83" s="259">
        <f t="shared" ca="1" si="159"/>
        <v>-2.0253602211680857</v>
      </c>
      <c r="AI83" s="84"/>
      <c r="AJ83" s="266">
        <f t="shared" ref="AJ83:AX83" ca="1" si="195">IFERROR(INDEX(INDIRECT($C83&amp;".Outputs["&amp;this.Year&amp;"]"), MATCH(AJ$5, INDIRECT($C83&amp;".Outputs[Vector]"), 0)), 0)</f>
        <v>0</v>
      </c>
      <c r="AK83" s="266">
        <f t="shared" ca="1" si="195"/>
        <v>0</v>
      </c>
      <c r="AL83" s="266">
        <f t="shared" ca="1" si="195"/>
        <v>0</v>
      </c>
      <c r="AM83" s="266">
        <f t="shared" ca="1" si="195"/>
        <v>0</v>
      </c>
      <c r="AN83" s="266">
        <f t="shared" ca="1" si="195"/>
        <v>0</v>
      </c>
      <c r="AO83" s="266">
        <f t="shared" ca="1" si="195"/>
        <v>0</v>
      </c>
      <c r="AP83" s="266">
        <f t="shared" ca="1" si="195"/>
        <v>0</v>
      </c>
      <c r="AQ83" s="266">
        <f t="shared" ca="1" si="195"/>
        <v>0</v>
      </c>
      <c r="AR83" s="266">
        <f t="shared" ca="1" si="195"/>
        <v>0</v>
      </c>
      <c r="AS83" s="266">
        <f t="shared" ca="1" si="195"/>
        <v>0</v>
      </c>
      <c r="AT83" s="266">
        <f t="shared" ca="1" si="195"/>
        <v>0</v>
      </c>
      <c r="AU83" s="266">
        <f t="shared" ca="1" si="195"/>
        <v>0</v>
      </c>
      <c r="AV83" s="266">
        <f t="shared" ca="1" si="195"/>
        <v>0</v>
      </c>
      <c r="AW83" s="266">
        <f t="shared" ca="1" si="195"/>
        <v>0</v>
      </c>
      <c r="AX83" s="266">
        <f t="shared" ca="1" si="195"/>
        <v>0</v>
      </c>
      <c r="AY83" s="266">
        <f t="shared" ca="1" si="147"/>
        <v>0</v>
      </c>
      <c r="AZ83" s="84"/>
      <c r="BA83" s="279">
        <f ca="1">IFERROR(INDEX(INDIRECT($C83&amp;".Outputs["&amp;this.Year&amp;"]"), MATCH(BA$5, INDIRECT($C83&amp;".Outputs[Vector]"), 0)), 0)</f>
        <v>0</v>
      </c>
      <c r="BB83" s="279">
        <f ca="1">IFERROR(INDEX(INDIRECT($C83&amp;".Outputs["&amp;this.Year&amp;"]"), MATCH(BB$5, INDIRECT($C83&amp;".Outputs[Vector]"), 0)), 0)</f>
        <v>2.025360221168242</v>
      </c>
      <c r="BC83" s="279">
        <f t="shared" ca="1" si="160"/>
        <v>2.025360221168242</v>
      </c>
      <c r="BD83" s="84"/>
      <c r="BE83" s="55">
        <f t="shared" ref="BE83:BE90" ca="1" si="196">P83+AH83+AY83+BC83</f>
        <v>1.5631940186722204E-13</v>
      </c>
      <c r="BF83" s="135"/>
      <c r="BH83" s="541">
        <f t="shared" ref="BH83:BQ84" ca="1" si="197">IFERROR(SUMIFS(INDIRECT($C83&amp;".Emissions["&amp;this.Year&amp;"]"), INDIRECT($C83&amp;".Emissions[GHG]"), BH$6, INDIRECT($C83&amp;".Emissions[IPCC Sector]"), BH$5),0)</f>
        <v>0</v>
      </c>
      <c r="BI83" s="542">
        <f t="shared" ca="1" si="197"/>
        <v>0</v>
      </c>
      <c r="BJ83" s="542">
        <f t="shared" ca="1" si="197"/>
        <v>0</v>
      </c>
      <c r="BK83" s="542">
        <f t="shared" ca="1" si="197"/>
        <v>0</v>
      </c>
      <c r="BL83" s="542">
        <f t="shared" ca="1" si="197"/>
        <v>0</v>
      </c>
      <c r="BM83" s="542">
        <f t="shared" ca="1" si="197"/>
        <v>14.903994945999537</v>
      </c>
      <c r="BN83" s="542">
        <f t="shared" ca="1" si="197"/>
        <v>0</v>
      </c>
      <c r="BO83" s="542">
        <f t="shared" ca="1" si="197"/>
        <v>0</v>
      </c>
      <c r="BP83" s="542">
        <f t="shared" ca="1" si="197"/>
        <v>0</v>
      </c>
      <c r="BQ83" s="542">
        <f t="shared" ca="1" si="197"/>
        <v>0</v>
      </c>
      <c r="BR83" s="542">
        <f t="shared" ref="BR83:CA84" ca="1" si="198">IFERROR(SUMIFS(INDIRECT($C83&amp;".Emissions["&amp;this.Year&amp;"]"), INDIRECT($C83&amp;".Emissions[GHG]"), BR$6, INDIRECT($C83&amp;".Emissions[IPCC Sector]"), BR$5),0)</f>
        <v>0</v>
      </c>
      <c r="BS83" s="542">
        <f t="shared" ca="1" si="198"/>
        <v>0</v>
      </c>
      <c r="BT83" s="542">
        <f t="shared" ca="1" si="198"/>
        <v>0</v>
      </c>
      <c r="BU83" s="542">
        <f t="shared" ca="1" si="198"/>
        <v>0</v>
      </c>
      <c r="BV83" s="542">
        <f t="shared" ca="1" si="198"/>
        <v>0</v>
      </c>
      <c r="BW83" s="542">
        <f t="shared" ca="1" si="198"/>
        <v>0</v>
      </c>
      <c r="BX83" s="542">
        <f t="shared" ca="1" si="198"/>
        <v>0</v>
      </c>
      <c r="BY83" s="542">
        <f t="shared" ca="1" si="198"/>
        <v>0</v>
      </c>
      <c r="BZ83" s="542">
        <f t="shared" ca="1" si="198"/>
        <v>0</v>
      </c>
      <c r="CA83" s="542">
        <f t="shared" ca="1" si="198"/>
        <v>0</v>
      </c>
      <c r="CB83" s="542">
        <f t="shared" ref="CB83:CK84" ca="1" si="199">IFERROR(SUMIFS(INDIRECT($C83&amp;".Emissions["&amp;this.Year&amp;"]"), INDIRECT($C83&amp;".Emissions[GHG]"), CB$6, INDIRECT($C83&amp;".Emissions[IPCC Sector]"), CB$5),0)</f>
        <v>0</v>
      </c>
      <c r="CC83" s="542">
        <f t="shared" ca="1" si="199"/>
        <v>0</v>
      </c>
      <c r="CD83" s="542">
        <f t="shared" ca="1" si="199"/>
        <v>0</v>
      </c>
      <c r="CE83" s="542">
        <f t="shared" ca="1" si="199"/>
        <v>0</v>
      </c>
      <c r="CF83" s="542">
        <f t="shared" ca="1" si="199"/>
        <v>0</v>
      </c>
      <c r="CG83" s="542">
        <f t="shared" ca="1" si="199"/>
        <v>0</v>
      </c>
      <c r="CH83" s="542">
        <f t="shared" ca="1" si="199"/>
        <v>0</v>
      </c>
      <c r="CI83" s="542">
        <f t="shared" ca="1" si="199"/>
        <v>0</v>
      </c>
      <c r="CJ83" s="542">
        <f t="shared" ca="1" si="199"/>
        <v>0</v>
      </c>
      <c r="CK83" s="542">
        <f t="shared" ca="1" si="199"/>
        <v>0</v>
      </c>
      <c r="CL83" s="542">
        <f t="shared" ref="CL83:CU84" ca="1" si="200">IFERROR(SUMIFS(INDIRECT($C83&amp;".Emissions["&amp;this.Year&amp;"]"), INDIRECT($C83&amp;".Emissions[GHG]"), CL$6, INDIRECT($C83&amp;".Emissions[IPCC Sector]"), CL$5),0)</f>
        <v>0</v>
      </c>
      <c r="CM83" s="542">
        <f t="shared" ca="1" si="200"/>
        <v>0</v>
      </c>
      <c r="CN83" s="542">
        <f t="shared" ca="1" si="200"/>
        <v>0</v>
      </c>
      <c r="CO83" s="542">
        <f t="shared" ca="1" si="200"/>
        <v>0</v>
      </c>
      <c r="CP83" s="542">
        <f t="shared" ca="1" si="200"/>
        <v>0</v>
      </c>
      <c r="CQ83" s="542">
        <f t="shared" ca="1" si="200"/>
        <v>0</v>
      </c>
      <c r="CR83" s="542">
        <f t="shared" ca="1" si="200"/>
        <v>0</v>
      </c>
      <c r="CS83" s="542">
        <f t="shared" ca="1" si="200"/>
        <v>0</v>
      </c>
      <c r="CT83" s="542">
        <f t="shared" ca="1" si="200"/>
        <v>0</v>
      </c>
      <c r="CU83" s="542">
        <f t="shared" ca="1" si="200"/>
        <v>0</v>
      </c>
      <c r="CW83" s="151">
        <f t="shared" ca="1" si="177"/>
        <v>14.903994945999537</v>
      </c>
    </row>
    <row r="84" spans="2:101" s="543" customFormat="1" ht="12.75" customHeight="1" outlineLevel="1" x14ac:dyDescent="0.2">
      <c r="B84" s="551" t="s">
        <v>322</v>
      </c>
      <c r="C84" s="62" t="s">
        <v>440</v>
      </c>
      <c r="D84" s="292" t="str">
        <f>INDEX(Modules[Module], MATCH($C84, Modules[Code], 0))</f>
        <v>Balancing imports</v>
      </c>
      <c r="E84" s="292"/>
      <c r="F84" s="84"/>
      <c r="G84" s="361"/>
      <c r="H84" s="361"/>
      <c r="I84" s="361"/>
      <c r="J84" s="361"/>
      <c r="K84" s="361"/>
      <c r="L84" s="362"/>
      <c r="M84" s="361"/>
      <c r="N84" s="361"/>
      <c r="O84" s="361"/>
      <c r="P84" s="361">
        <f t="shared" si="136"/>
        <v>0</v>
      </c>
      <c r="Q84" s="84"/>
      <c r="R84" s="363"/>
      <c r="S84" s="363">
        <f ca="1">-(S$82+R$82)</f>
        <v>-201.41053241292082</v>
      </c>
      <c r="T84" s="363"/>
      <c r="U84" s="363"/>
      <c r="V84" s="363"/>
      <c r="W84" s="363"/>
      <c r="X84" s="363">
        <f ca="1">-(X$28+X$66+X$74+X$80+X$83)</f>
        <v>456.82081828929068</v>
      </c>
      <c r="Y84" s="363">
        <f ca="1">-(Y$28+Y$66+Y$74+Y$80+Y$83)</f>
        <v>-1218.9427494342538</v>
      </c>
      <c r="Z84" s="363">
        <f ca="1">-(Z$28+Z$66+Z$74+Z$80+Z$83)</f>
        <v>-737.01762134814498</v>
      </c>
      <c r="AA84" s="363"/>
      <c r="AB84" s="363"/>
      <c r="AC84" s="363"/>
      <c r="AD84" s="363"/>
      <c r="AE84" s="363"/>
      <c r="AF84" s="363"/>
      <c r="AG84" s="363"/>
      <c r="AH84" s="363">
        <f t="shared" ca="1" si="159"/>
        <v>-1700.5500849060288</v>
      </c>
      <c r="AI84" s="84"/>
      <c r="AJ84" s="293"/>
      <c r="AK84" s="293"/>
      <c r="AL84" s="293"/>
      <c r="AM84" s="293"/>
      <c r="AN84" s="293">
        <f ca="1">-S84</f>
        <v>201.41053241292082</v>
      </c>
      <c r="AO84" s="293">
        <f>-U84</f>
        <v>0</v>
      </c>
      <c r="AP84" s="293">
        <f ca="1">-X84</f>
        <v>-456.82081828929068</v>
      </c>
      <c r="AQ84" s="293">
        <f ca="1">-Y84</f>
        <v>1218.9427494342538</v>
      </c>
      <c r="AR84" s="293">
        <f ca="1">-Z84</f>
        <v>737.01762134814498</v>
      </c>
      <c r="AS84" s="293"/>
      <c r="AT84" s="293"/>
      <c r="AU84" s="293"/>
      <c r="AV84" s="293"/>
      <c r="AW84" s="293"/>
      <c r="AX84" s="293"/>
      <c r="AY84" s="293">
        <f t="shared" ca="1" si="147"/>
        <v>1700.5500849060288</v>
      </c>
      <c r="AZ84" s="84"/>
      <c r="BA84" s="364"/>
      <c r="BB84" s="364"/>
      <c r="BC84" s="364">
        <f t="shared" si="160"/>
        <v>0</v>
      </c>
      <c r="BD84" s="84"/>
      <c r="BE84" s="55">
        <f t="shared" ca="1" si="196"/>
        <v>0</v>
      </c>
      <c r="BF84" s="135"/>
      <c r="BH84" s="544">
        <f t="shared" ca="1" si="197"/>
        <v>0</v>
      </c>
      <c r="BI84" s="545">
        <f t="shared" ca="1" si="197"/>
        <v>0</v>
      </c>
      <c r="BJ84" s="545">
        <f t="shared" ca="1" si="197"/>
        <v>0</v>
      </c>
      <c r="BK84" s="545">
        <f t="shared" ca="1" si="197"/>
        <v>0</v>
      </c>
      <c r="BL84" s="545">
        <f t="shared" ca="1" si="197"/>
        <v>0</v>
      </c>
      <c r="BM84" s="545">
        <f t="shared" ca="1" si="197"/>
        <v>0</v>
      </c>
      <c r="BN84" s="545">
        <f t="shared" ca="1" si="197"/>
        <v>0</v>
      </c>
      <c r="BO84" s="545">
        <f t="shared" ca="1" si="197"/>
        <v>0</v>
      </c>
      <c r="BP84" s="545">
        <f t="shared" ca="1" si="197"/>
        <v>0</v>
      </c>
      <c r="BQ84" s="545">
        <f t="shared" ca="1" si="197"/>
        <v>0</v>
      </c>
      <c r="BR84" s="545">
        <f t="shared" ca="1" si="198"/>
        <v>0</v>
      </c>
      <c r="BS84" s="545">
        <f t="shared" ca="1" si="198"/>
        <v>0</v>
      </c>
      <c r="BT84" s="545">
        <f t="shared" ca="1" si="198"/>
        <v>0</v>
      </c>
      <c r="BU84" s="545">
        <f t="shared" ca="1" si="198"/>
        <v>0</v>
      </c>
      <c r="BV84" s="545">
        <f t="shared" ca="1" si="198"/>
        <v>0</v>
      </c>
      <c r="BW84" s="545">
        <f t="shared" ca="1" si="198"/>
        <v>0</v>
      </c>
      <c r="BX84" s="545">
        <f t="shared" ca="1" si="198"/>
        <v>0</v>
      </c>
      <c r="BY84" s="545">
        <f t="shared" ca="1" si="198"/>
        <v>0</v>
      </c>
      <c r="BZ84" s="545">
        <f t="shared" ca="1" si="198"/>
        <v>0</v>
      </c>
      <c r="CA84" s="545">
        <f t="shared" ca="1" si="198"/>
        <v>0</v>
      </c>
      <c r="CB84" s="545">
        <f t="shared" ca="1" si="199"/>
        <v>0</v>
      </c>
      <c r="CC84" s="545">
        <f t="shared" ca="1" si="199"/>
        <v>0</v>
      </c>
      <c r="CD84" s="545">
        <f t="shared" ca="1" si="199"/>
        <v>0</v>
      </c>
      <c r="CE84" s="545">
        <f t="shared" ca="1" si="199"/>
        <v>0</v>
      </c>
      <c r="CF84" s="545">
        <f t="shared" ca="1" si="199"/>
        <v>0</v>
      </c>
      <c r="CG84" s="545">
        <f t="shared" ca="1" si="199"/>
        <v>0</v>
      </c>
      <c r="CH84" s="545">
        <f t="shared" ca="1" si="199"/>
        <v>0</v>
      </c>
      <c r="CI84" s="545">
        <f t="shared" ca="1" si="199"/>
        <v>0</v>
      </c>
      <c r="CJ84" s="545">
        <f t="shared" ca="1" si="199"/>
        <v>0</v>
      </c>
      <c r="CK84" s="545">
        <f t="shared" ca="1" si="199"/>
        <v>0</v>
      </c>
      <c r="CL84" s="545">
        <f t="shared" ca="1" si="200"/>
        <v>0</v>
      </c>
      <c r="CM84" s="545">
        <f t="shared" ca="1" si="200"/>
        <v>0</v>
      </c>
      <c r="CN84" s="545">
        <f t="shared" ca="1" si="200"/>
        <v>0</v>
      </c>
      <c r="CO84" s="545">
        <f t="shared" ca="1" si="200"/>
        <v>0</v>
      </c>
      <c r="CP84" s="545">
        <f t="shared" ca="1" si="200"/>
        <v>0</v>
      </c>
      <c r="CQ84" s="545">
        <f t="shared" ca="1" si="200"/>
        <v>0</v>
      </c>
      <c r="CR84" s="545">
        <f t="shared" ca="1" si="200"/>
        <v>0</v>
      </c>
      <c r="CS84" s="545">
        <f t="shared" ca="1" si="200"/>
        <v>0</v>
      </c>
      <c r="CT84" s="545">
        <f t="shared" ca="1" si="200"/>
        <v>0</v>
      </c>
      <c r="CU84" s="545">
        <f t="shared" ca="1" si="200"/>
        <v>0</v>
      </c>
      <c r="CW84" s="151">
        <f t="shared" ca="1" si="177"/>
        <v>0</v>
      </c>
    </row>
    <row r="85" spans="2:101" s="84" customFormat="1" ht="15.75" x14ac:dyDescent="0.2">
      <c r="B85" s="89" t="s">
        <v>322</v>
      </c>
      <c r="C85" s="56" t="s">
        <v>438</v>
      </c>
      <c r="D85" s="57" t="str">
        <f>INDEX(Workstreams[Workstream], MATCH($C85, Workstreams[Code], 0))</f>
        <v>Transfers</v>
      </c>
      <c r="E85" s="51"/>
      <c r="G85" s="300">
        <f ca="1">SUM(G83:G84)</f>
        <v>0</v>
      </c>
      <c r="H85" s="300">
        <f t="shared" ref="H85:O85" ca="1" si="201">SUM(H83:H84)</f>
        <v>0</v>
      </c>
      <c r="I85" s="300">
        <f t="shared" ca="1" si="201"/>
        <v>0</v>
      </c>
      <c r="J85" s="300">
        <f t="shared" ca="1" si="201"/>
        <v>0</v>
      </c>
      <c r="K85" s="300">
        <f t="shared" ca="1" si="201"/>
        <v>0</v>
      </c>
      <c r="L85" s="300">
        <f t="shared" ca="1" si="201"/>
        <v>0</v>
      </c>
      <c r="M85" s="300">
        <f t="shared" ca="1" si="201"/>
        <v>0</v>
      </c>
      <c r="N85" s="300">
        <f t="shared" ca="1" si="201"/>
        <v>0</v>
      </c>
      <c r="O85" s="300">
        <f t="shared" ca="1" si="201"/>
        <v>0</v>
      </c>
      <c r="P85" s="300">
        <f t="shared" ca="1" si="136"/>
        <v>0</v>
      </c>
      <c r="R85" s="257">
        <f t="shared" ref="R85:AE85" ca="1" si="202">SUM(R83:R84)</f>
        <v>0</v>
      </c>
      <c r="S85" s="257">
        <f t="shared" ca="1" si="202"/>
        <v>-201.41053241292082</v>
      </c>
      <c r="T85" s="257">
        <f t="shared" ca="1" si="202"/>
        <v>512.36760581012402</v>
      </c>
      <c r="U85" s="257">
        <f t="shared" ca="1" si="202"/>
        <v>198.31117547774622</v>
      </c>
      <c r="V85" s="257">
        <f t="shared" ca="1" si="202"/>
        <v>168.78001843068682</v>
      </c>
      <c r="W85" s="257">
        <f ca="1">SUM(W83:W84)</f>
        <v>8.5265128291212022E-14</v>
      </c>
      <c r="X85" s="257">
        <f t="shared" ca="1" si="202"/>
        <v>-55.546787520833334</v>
      </c>
      <c r="Y85" s="257">
        <f t="shared" ca="1" si="202"/>
        <v>-1417.253924912</v>
      </c>
      <c r="Z85" s="257">
        <f t="shared" ca="1" si="202"/>
        <v>-907.82300000000009</v>
      </c>
      <c r="AA85" s="257">
        <f t="shared" ca="1" si="202"/>
        <v>0</v>
      </c>
      <c r="AB85" s="257">
        <f t="shared" ca="1" si="202"/>
        <v>0</v>
      </c>
      <c r="AC85" s="257">
        <f ca="1">SUM(AC83:AC84)</f>
        <v>0</v>
      </c>
      <c r="AD85" s="257">
        <f ca="1">SUM(AD83:AD84)</f>
        <v>0</v>
      </c>
      <c r="AE85" s="257">
        <f t="shared" ca="1" si="202"/>
        <v>0</v>
      </c>
      <c r="AF85" s="257">
        <f ca="1">SUM(AF83:AF84)</f>
        <v>0</v>
      </c>
      <c r="AG85" s="257">
        <f ca="1">SUM(AG83:AG84)</f>
        <v>0</v>
      </c>
      <c r="AH85" s="257">
        <f t="shared" ca="1" si="159"/>
        <v>-1702.5754451271971</v>
      </c>
      <c r="AJ85" s="263">
        <f t="shared" ref="AJ85:AX85" ca="1" si="203">SUM(AJ83:AJ84)</f>
        <v>0</v>
      </c>
      <c r="AK85" s="263">
        <f t="shared" ca="1" si="203"/>
        <v>0</v>
      </c>
      <c r="AL85" s="263">
        <f t="shared" ca="1" si="203"/>
        <v>0</v>
      </c>
      <c r="AM85" s="263">
        <f t="shared" ca="1" si="203"/>
        <v>0</v>
      </c>
      <c r="AN85" s="263">
        <f t="shared" ca="1" si="203"/>
        <v>201.41053241292082</v>
      </c>
      <c r="AO85" s="263">
        <f t="shared" ca="1" si="203"/>
        <v>0</v>
      </c>
      <c r="AP85" s="263">
        <f t="shared" ca="1" si="203"/>
        <v>-456.82081828929068</v>
      </c>
      <c r="AQ85" s="263">
        <f t="shared" ca="1" si="203"/>
        <v>1218.9427494342538</v>
      </c>
      <c r="AR85" s="263">
        <f t="shared" ca="1" si="203"/>
        <v>737.01762134814498</v>
      </c>
      <c r="AS85" s="263">
        <f t="shared" ca="1" si="203"/>
        <v>0</v>
      </c>
      <c r="AT85" s="263">
        <f t="shared" ca="1" si="203"/>
        <v>0</v>
      </c>
      <c r="AU85" s="263">
        <f t="shared" ca="1" si="203"/>
        <v>0</v>
      </c>
      <c r="AV85" s="263">
        <f t="shared" ca="1" si="203"/>
        <v>0</v>
      </c>
      <c r="AW85" s="263">
        <f t="shared" ca="1" si="203"/>
        <v>0</v>
      </c>
      <c r="AX85" s="263">
        <f t="shared" ca="1" si="203"/>
        <v>0</v>
      </c>
      <c r="AY85" s="263">
        <f t="shared" ca="1" si="147"/>
        <v>1700.5500849060288</v>
      </c>
      <c r="BA85" s="277">
        <f ca="1">SUM(BA83:BA84)</f>
        <v>0</v>
      </c>
      <c r="BB85" s="277">
        <f ca="1">SUM(BB83:BB84)</f>
        <v>2.025360221168242</v>
      </c>
      <c r="BC85" s="277">
        <f t="shared" ca="1" si="160"/>
        <v>2.025360221168242</v>
      </c>
      <c r="BE85" s="55">
        <f t="shared" ca="1" si="196"/>
        <v>-4.2632564145606011E-14</v>
      </c>
      <c r="BF85" s="55"/>
      <c r="BG85" s="1428"/>
      <c r="BH85" s="542">
        <f t="shared" ref="BH85:CU85" ca="1" si="204">SUM(BH83:BH84)</f>
        <v>0</v>
      </c>
      <c r="BI85" s="542">
        <f t="shared" ca="1" si="204"/>
        <v>0</v>
      </c>
      <c r="BJ85" s="542">
        <f t="shared" ca="1" si="204"/>
        <v>0</v>
      </c>
      <c r="BK85" s="542">
        <f t="shared" ca="1" si="204"/>
        <v>0</v>
      </c>
      <c r="BL85" s="542">
        <f t="shared" ca="1" si="204"/>
        <v>0</v>
      </c>
      <c r="BM85" s="542">
        <f t="shared" ca="1" si="204"/>
        <v>14.903994945999537</v>
      </c>
      <c r="BN85" s="542">
        <f t="shared" ca="1" si="204"/>
        <v>0</v>
      </c>
      <c r="BO85" s="542">
        <f t="shared" ca="1" si="204"/>
        <v>0</v>
      </c>
      <c r="BP85" s="542">
        <f t="shared" ca="1" si="204"/>
        <v>0</v>
      </c>
      <c r="BQ85" s="542">
        <f t="shared" ca="1" si="204"/>
        <v>0</v>
      </c>
      <c r="BR85" s="542">
        <f t="shared" ca="1" si="204"/>
        <v>0</v>
      </c>
      <c r="BS85" s="542">
        <f t="shared" ca="1" si="204"/>
        <v>0</v>
      </c>
      <c r="BT85" s="542">
        <f t="shared" ca="1" si="204"/>
        <v>0</v>
      </c>
      <c r="BU85" s="542">
        <f t="shared" ca="1" si="204"/>
        <v>0</v>
      </c>
      <c r="BV85" s="542">
        <f t="shared" ca="1" si="204"/>
        <v>0</v>
      </c>
      <c r="BW85" s="542">
        <f t="shared" ca="1" si="204"/>
        <v>0</v>
      </c>
      <c r="BX85" s="542">
        <f t="shared" ca="1" si="204"/>
        <v>0</v>
      </c>
      <c r="BY85" s="542">
        <f t="shared" ca="1" si="204"/>
        <v>0</v>
      </c>
      <c r="BZ85" s="542">
        <f t="shared" ca="1" si="204"/>
        <v>0</v>
      </c>
      <c r="CA85" s="542">
        <f t="shared" ca="1" si="204"/>
        <v>0</v>
      </c>
      <c r="CB85" s="542">
        <f t="shared" ca="1" si="204"/>
        <v>0</v>
      </c>
      <c r="CC85" s="542">
        <f t="shared" ca="1" si="204"/>
        <v>0</v>
      </c>
      <c r="CD85" s="542">
        <f t="shared" ca="1" si="204"/>
        <v>0</v>
      </c>
      <c r="CE85" s="542">
        <f t="shared" ca="1" si="204"/>
        <v>0</v>
      </c>
      <c r="CF85" s="542">
        <f t="shared" ca="1" si="204"/>
        <v>0</v>
      </c>
      <c r="CG85" s="542">
        <f t="shared" ca="1" si="204"/>
        <v>0</v>
      </c>
      <c r="CH85" s="542">
        <f t="shared" ca="1" si="204"/>
        <v>0</v>
      </c>
      <c r="CI85" s="542">
        <f t="shared" ca="1" si="204"/>
        <v>0</v>
      </c>
      <c r="CJ85" s="542">
        <f t="shared" ca="1" si="204"/>
        <v>0</v>
      </c>
      <c r="CK85" s="542">
        <f t="shared" ca="1" si="204"/>
        <v>0</v>
      </c>
      <c r="CL85" s="542">
        <f t="shared" ca="1" si="204"/>
        <v>0</v>
      </c>
      <c r="CM85" s="542">
        <f t="shared" ca="1" si="204"/>
        <v>0</v>
      </c>
      <c r="CN85" s="542">
        <f t="shared" ca="1" si="204"/>
        <v>0</v>
      </c>
      <c r="CO85" s="542">
        <f t="shared" ca="1" si="204"/>
        <v>0</v>
      </c>
      <c r="CP85" s="542">
        <f t="shared" ca="1" si="204"/>
        <v>0</v>
      </c>
      <c r="CQ85" s="542">
        <f t="shared" ca="1" si="204"/>
        <v>0</v>
      </c>
      <c r="CR85" s="542">
        <f t="shared" ca="1" si="204"/>
        <v>0</v>
      </c>
      <c r="CS85" s="542">
        <f t="shared" ca="1" si="204"/>
        <v>0</v>
      </c>
      <c r="CT85" s="542">
        <f t="shared" ca="1" si="204"/>
        <v>0</v>
      </c>
      <c r="CU85" s="542">
        <f t="shared" ca="1" si="204"/>
        <v>0</v>
      </c>
      <c r="CW85" s="151">
        <f t="shared" ca="1" si="177"/>
        <v>14.903994945999537</v>
      </c>
    </row>
    <row r="86" spans="2:101" s="84" customFormat="1" ht="6" customHeight="1" x14ac:dyDescent="0.2">
      <c r="C86" s="50"/>
      <c r="D86" s="51"/>
      <c r="E86" s="51"/>
      <c r="G86" s="245"/>
      <c r="H86" s="245"/>
      <c r="I86" s="245"/>
      <c r="J86" s="245"/>
      <c r="K86" s="245"/>
      <c r="L86" s="247"/>
      <c r="M86" s="245"/>
      <c r="N86" s="245"/>
      <c r="O86" s="245"/>
      <c r="P86" s="245">
        <f t="shared" si="136"/>
        <v>0</v>
      </c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>
        <f t="shared" si="159"/>
        <v>0</v>
      </c>
      <c r="AJ86" s="263"/>
      <c r="AK86" s="263"/>
      <c r="AL86" s="263"/>
      <c r="AM86" s="263"/>
      <c r="AN86" s="263"/>
      <c r="AO86" s="263"/>
      <c r="AP86" s="263"/>
      <c r="AQ86" s="263"/>
      <c r="AR86" s="263"/>
      <c r="AS86" s="263"/>
      <c r="AT86" s="263"/>
      <c r="AU86" s="263"/>
      <c r="AV86" s="263"/>
      <c r="AW86" s="263"/>
      <c r="AX86" s="263"/>
      <c r="AY86" s="263">
        <f t="shared" si="147"/>
        <v>0</v>
      </c>
      <c r="BA86" s="277"/>
      <c r="BB86" s="277"/>
      <c r="BC86" s="277">
        <f t="shared" si="160"/>
        <v>0</v>
      </c>
      <c r="BE86" s="55">
        <f t="shared" si="196"/>
        <v>0</v>
      </c>
      <c r="BF86" s="55"/>
      <c r="BH86" s="542"/>
      <c r="BI86" s="542"/>
      <c r="BJ86" s="542"/>
      <c r="BK86" s="542"/>
      <c r="BL86" s="542"/>
      <c r="BM86" s="542"/>
      <c r="BN86" s="542"/>
      <c r="BO86" s="542"/>
      <c r="BP86" s="542"/>
      <c r="BQ86" s="542"/>
      <c r="BR86" s="542"/>
      <c r="BS86" s="542"/>
      <c r="BT86" s="542"/>
      <c r="BU86" s="542"/>
      <c r="BV86" s="542"/>
      <c r="BW86" s="542"/>
      <c r="BX86" s="542"/>
      <c r="BY86" s="542"/>
      <c r="BZ86" s="542"/>
      <c r="CA86" s="542"/>
      <c r="CB86" s="542"/>
      <c r="CC86" s="542"/>
      <c r="CD86" s="542"/>
      <c r="CE86" s="542"/>
      <c r="CF86" s="542"/>
      <c r="CG86" s="542"/>
      <c r="CH86" s="542"/>
      <c r="CI86" s="542"/>
      <c r="CJ86" s="542"/>
      <c r="CK86" s="542"/>
      <c r="CL86" s="542"/>
      <c r="CM86" s="542"/>
      <c r="CN86" s="542"/>
      <c r="CO86" s="542"/>
      <c r="CP86" s="542"/>
      <c r="CQ86" s="542"/>
      <c r="CR86" s="542"/>
      <c r="CS86" s="542"/>
      <c r="CT86" s="542"/>
      <c r="CU86" s="542"/>
      <c r="CW86" s="151"/>
    </row>
    <row r="87" spans="2:101" s="84" customFormat="1" ht="15.75" x14ac:dyDescent="0.2">
      <c r="B87" s="89"/>
      <c r="C87" s="923" t="s">
        <v>885</v>
      </c>
      <c r="D87" s="69" t="s">
        <v>442</v>
      </c>
      <c r="E87" s="70"/>
      <c r="G87" s="338">
        <f ca="1">G$74+G$80+G$85</f>
        <v>0</v>
      </c>
      <c r="H87" s="338">
        <f ca="1">H$74+H$80+H$85</f>
        <v>0</v>
      </c>
      <c r="I87" s="338">
        <f ca="1">I$74+I$80+I$85</f>
        <v>0</v>
      </c>
      <c r="J87" s="338">
        <f t="shared" ref="J87:O87" ca="1" si="205">J$74+J$80+J$85</f>
        <v>0</v>
      </c>
      <c r="K87" s="338">
        <f t="shared" ca="1" si="205"/>
        <v>0</v>
      </c>
      <c r="L87" s="339">
        <f t="shared" ca="1" si="205"/>
        <v>0</v>
      </c>
      <c r="M87" s="338">
        <f t="shared" ca="1" si="205"/>
        <v>0</v>
      </c>
      <c r="N87" s="338">
        <f t="shared" ca="1" si="205"/>
        <v>0</v>
      </c>
      <c r="O87" s="338">
        <f t="shared" ca="1" si="205"/>
        <v>0</v>
      </c>
      <c r="P87" s="338">
        <f t="shared" ca="1" si="136"/>
        <v>0</v>
      </c>
      <c r="R87" s="294">
        <f t="shared" ref="R87:AG87" ca="1" si="206">R$74+R$80+R$85</f>
        <v>0</v>
      </c>
      <c r="S87" s="294">
        <f t="shared" ca="1" si="206"/>
        <v>-248.99915884108464</v>
      </c>
      <c r="T87" s="294">
        <f t="shared" ca="1" si="206"/>
        <v>512.36760581012402</v>
      </c>
      <c r="U87" s="294">
        <f t="shared" ca="1" si="206"/>
        <v>203.77870008523075</v>
      </c>
      <c r="V87" s="294">
        <f t="shared" ca="1" si="206"/>
        <v>904.21021087293411</v>
      </c>
      <c r="W87" s="294">
        <f t="shared" ca="1" si="206"/>
        <v>119.88593635939728</v>
      </c>
      <c r="X87" s="294">
        <f t="shared" ca="1" si="206"/>
        <v>-55.546787520833334</v>
      </c>
      <c r="Y87" s="294">
        <f t="shared" ca="1" si="206"/>
        <v>-1417.253924912</v>
      </c>
      <c r="Z87" s="294">
        <f t="shared" ca="1" si="206"/>
        <v>-907.82300000000009</v>
      </c>
      <c r="AA87" s="294">
        <f t="shared" ca="1" si="206"/>
        <v>0</v>
      </c>
      <c r="AB87" s="294">
        <f t="shared" ca="1" si="206"/>
        <v>0</v>
      </c>
      <c r="AC87" s="294">
        <f t="shared" ca="1" si="206"/>
        <v>-2412.1223876296331</v>
      </c>
      <c r="AD87" s="294">
        <f t="shared" ca="1" si="206"/>
        <v>-21.627866327074862</v>
      </c>
      <c r="AE87" s="294">
        <f t="shared" ca="1" si="206"/>
        <v>-313.39118684291782</v>
      </c>
      <c r="AF87" s="294">
        <f t="shared" ca="1" si="206"/>
        <v>-83.34026863475772</v>
      </c>
      <c r="AG87" s="294">
        <f t="shared" ca="1" si="206"/>
        <v>-6.7479704068045194</v>
      </c>
      <c r="AH87" s="294">
        <f t="shared" ca="1" si="159"/>
        <v>-3726.61009798742</v>
      </c>
      <c r="AJ87" s="295">
        <f t="shared" ref="AJ87:AX87" ca="1" si="207">AJ$74+AJ$80+AJ$85</f>
        <v>0</v>
      </c>
      <c r="AK87" s="295">
        <f t="shared" ca="1" si="207"/>
        <v>0</v>
      </c>
      <c r="AL87" s="295">
        <f t="shared" ca="1" si="207"/>
        <v>0</v>
      </c>
      <c r="AM87" s="295">
        <f t="shared" ca="1" si="207"/>
        <v>1611.9071038293187</v>
      </c>
      <c r="AN87" s="295">
        <f t="shared" ca="1" si="207"/>
        <v>176.70673241292081</v>
      </c>
      <c r="AO87" s="295">
        <f t="shared" ca="1" si="207"/>
        <v>0</v>
      </c>
      <c r="AP87" s="295">
        <f t="shared" ca="1" si="207"/>
        <v>-456.82081828929068</v>
      </c>
      <c r="AQ87" s="295">
        <f t="shared" ca="1" si="207"/>
        <v>1218.9427494342538</v>
      </c>
      <c r="AR87" s="295">
        <f t="shared" ca="1" si="207"/>
        <v>737.01762134814498</v>
      </c>
      <c r="AS87" s="295">
        <f t="shared" ca="1" si="207"/>
        <v>0</v>
      </c>
      <c r="AT87" s="295">
        <f t="shared" ca="1" si="207"/>
        <v>0</v>
      </c>
      <c r="AU87" s="295">
        <f t="shared" ca="1" si="207"/>
        <v>0</v>
      </c>
      <c r="AV87" s="295">
        <f t="shared" ca="1" si="207"/>
        <v>0</v>
      </c>
      <c r="AW87" s="295">
        <f t="shared" ca="1" si="207"/>
        <v>0</v>
      </c>
      <c r="AX87" s="295">
        <f t="shared" ca="1" si="207"/>
        <v>0</v>
      </c>
      <c r="AY87" s="295">
        <f t="shared" ca="1" si="147"/>
        <v>3287.7533887353475</v>
      </c>
      <c r="BA87" s="296">
        <f ca="1">BA$74+BA$80+BA$85</f>
        <v>364.53892260274051</v>
      </c>
      <c r="BB87" s="296">
        <f ca="1">BB$74+BB$80+BB$85</f>
        <v>74.317786649332021</v>
      </c>
      <c r="BC87" s="296">
        <f t="shared" ca="1" si="160"/>
        <v>438.85670925207251</v>
      </c>
      <c r="BE87" s="58">
        <f t="shared" ca="1" si="196"/>
        <v>0</v>
      </c>
      <c r="BF87" s="58"/>
      <c r="BH87" s="546">
        <f t="shared" ref="BH87:CT87" ca="1" si="208">BH$74+BH$80+BH$85</f>
        <v>0</v>
      </c>
      <c r="BI87" s="546">
        <f t="shared" ca="1" si="208"/>
        <v>0</v>
      </c>
      <c r="BJ87" s="546">
        <f t="shared" ca="1" si="208"/>
        <v>0</v>
      </c>
      <c r="BK87" s="546">
        <f t="shared" ca="1" si="208"/>
        <v>0</v>
      </c>
      <c r="BL87" s="546">
        <f t="shared" ca="1" si="208"/>
        <v>0</v>
      </c>
      <c r="BM87" s="546">
        <f t="shared" ca="1" si="208"/>
        <v>14.903994945999537</v>
      </c>
      <c r="BN87" s="546">
        <f t="shared" ca="1" si="208"/>
        <v>0</v>
      </c>
      <c r="BO87" s="546">
        <f t="shared" ca="1" si="208"/>
        <v>0</v>
      </c>
      <c r="BP87" s="546">
        <f t="shared" ca="1" si="208"/>
        <v>0</v>
      </c>
      <c r="BQ87" s="546">
        <f t="shared" ca="1" si="208"/>
        <v>0</v>
      </c>
      <c r="BR87" s="546">
        <f t="shared" ca="1" si="208"/>
        <v>0</v>
      </c>
      <c r="BS87" s="546">
        <f t="shared" ca="1" si="208"/>
        <v>0</v>
      </c>
      <c r="BT87" s="546">
        <f t="shared" ca="1" si="208"/>
        <v>0</v>
      </c>
      <c r="BU87" s="546">
        <f t="shared" ca="1" si="208"/>
        <v>0</v>
      </c>
      <c r="BV87" s="546">
        <f t="shared" ca="1" si="208"/>
        <v>0</v>
      </c>
      <c r="BW87" s="546">
        <f t="shared" ca="1" si="208"/>
        <v>0</v>
      </c>
      <c r="BX87" s="546">
        <f t="shared" ca="1" si="208"/>
        <v>0</v>
      </c>
      <c r="BY87" s="546">
        <f t="shared" ca="1" si="208"/>
        <v>0</v>
      </c>
      <c r="BZ87" s="546">
        <f t="shared" ca="1" si="208"/>
        <v>0</v>
      </c>
      <c r="CA87" s="546">
        <f t="shared" ca="1" si="208"/>
        <v>0</v>
      </c>
      <c r="CB87" s="546">
        <f t="shared" ca="1" si="208"/>
        <v>0</v>
      </c>
      <c r="CC87" s="546">
        <f t="shared" ca="1" si="208"/>
        <v>0</v>
      </c>
      <c r="CD87" s="546">
        <f t="shared" ca="1" si="208"/>
        <v>0</v>
      </c>
      <c r="CE87" s="546">
        <f t="shared" ca="1" si="208"/>
        <v>0</v>
      </c>
      <c r="CF87" s="546">
        <f t="shared" ca="1" si="208"/>
        <v>0</v>
      </c>
      <c r="CG87" s="546">
        <f t="shared" ca="1" si="208"/>
        <v>0</v>
      </c>
      <c r="CH87" s="546">
        <f t="shared" ca="1" si="208"/>
        <v>0</v>
      </c>
      <c r="CI87" s="546">
        <f t="shared" ca="1" si="208"/>
        <v>0</v>
      </c>
      <c r="CJ87" s="546">
        <f t="shared" ca="1" si="208"/>
        <v>0</v>
      </c>
      <c r="CK87" s="546">
        <f t="shared" ca="1" si="208"/>
        <v>0</v>
      </c>
      <c r="CL87" s="546">
        <f t="shared" ca="1" si="208"/>
        <v>0</v>
      </c>
      <c r="CM87" s="546">
        <f t="shared" ca="1" si="208"/>
        <v>0</v>
      </c>
      <c r="CN87" s="546">
        <f t="shared" ca="1" si="208"/>
        <v>-136.68603656124461</v>
      </c>
      <c r="CO87" s="546">
        <f t="shared" ca="1" si="208"/>
        <v>0</v>
      </c>
      <c r="CP87" s="546">
        <f t="shared" ca="1" si="208"/>
        <v>0</v>
      </c>
      <c r="CQ87" s="546">
        <f t="shared" ca="1" si="208"/>
        <v>0</v>
      </c>
      <c r="CR87" s="546">
        <f t="shared" ca="1" si="208"/>
        <v>0</v>
      </c>
      <c r="CS87" s="546">
        <f t="shared" ca="1" si="208"/>
        <v>0</v>
      </c>
      <c r="CT87" s="546">
        <f t="shared" ca="1" si="208"/>
        <v>0</v>
      </c>
      <c r="CU87" s="546">
        <f ca="1">CU$74+CU$85</f>
        <v>0</v>
      </c>
      <c r="CW87" s="148">
        <f ca="1">SUM(BH87:CU87)</f>
        <v>-121.78204161524506</v>
      </c>
    </row>
    <row r="88" spans="2:101" s="84" customFormat="1" x14ac:dyDescent="0.2">
      <c r="C88" s="50"/>
      <c r="D88" s="51"/>
      <c r="E88" s="51"/>
      <c r="G88" s="245"/>
      <c r="H88" s="245"/>
      <c r="I88" s="245"/>
      <c r="J88" s="245"/>
      <c r="K88" s="245"/>
      <c r="L88" s="247"/>
      <c r="M88" s="245"/>
      <c r="N88" s="245"/>
      <c r="O88" s="245"/>
      <c r="P88" s="245">
        <f t="shared" si="136"/>
        <v>0</v>
      </c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>
        <f t="shared" si="159"/>
        <v>0</v>
      </c>
      <c r="AJ88" s="263"/>
      <c r="AK88" s="263"/>
      <c r="AL88" s="263"/>
      <c r="AM88" s="263"/>
      <c r="AN88" s="263"/>
      <c r="AO88" s="263"/>
      <c r="AP88" s="263"/>
      <c r="AQ88" s="263"/>
      <c r="AR88" s="263"/>
      <c r="AS88" s="263"/>
      <c r="AT88" s="263"/>
      <c r="AU88" s="263"/>
      <c r="AV88" s="263"/>
      <c r="AW88" s="263"/>
      <c r="AX88" s="263"/>
      <c r="AY88" s="263">
        <f t="shared" si="147"/>
        <v>0</v>
      </c>
      <c r="BA88" s="277"/>
      <c r="BB88" s="277"/>
      <c r="BC88" s="277">
        <f t="shared" si="160"/>
        <v>0</v>
      </c>
      <c r="BE88" s="55">
        <f t="shared" si="196"/>
        <v>0</v>
      </c>
      <c r="BF88" s="55"/>
      <c r="BH88" s="542"/>
      <c r="BI88" s="542"/>
      <c r="BJ88" s="542"/>
      <c r="BK88" s="542"/>
      <c r="BL88" s="542"/>
      <c r="BM88" s="542"/>
      <c r="BN88" s="542"/>
      <c r="BO88" s="542"/>
      <c r="BP88" s="542"/>
      <c r="BQ88" s="542"/>
      <c r="BR88" s="542"/>
      <c r="BS88" s="542"/>
      <c r="BT88" s="542"/>
      <c r="BU88" s="542"/>
      <c r="BV88" s="542"/>
      <c r="BW88" s="542"/>
      <c r="BX88" s="542"/>
      <c r="BY88" s="542"/>
      <c r="BZ88" s="542"/>
      <c r="CA88" s="542"/>
      <c r="CB88" s="542"/>
      <c r="CC88" s="542"/>
      <c r="CD88" s="542"/>
      <c r="CE88" s="542"/>
      <c r="CF88" s="542"/>
      <c r="CG88" s="542"/>
      <c r="CH88" s="542"/>
      <c r="CI88" s="542"/>
      <c r="CJ88" s="542"/>
      <c r="CK88" s="542"/>
      <c r="CL88" s="542"/>
      <c r="CM88" s="542"/>
      <c r="CN88" s="542"/>
      <c r="CO88" s="542"/>
      <c r="CP88" s="542"/>
      <c r="CQ88" s="542"/>
      <c r="CR88" s="542"/>
      <c r="CS88" s="542"/>
      <c r="CT88" s="542"/>
      <c r="CU88" s="542"/>
      <c r="CW88" s="151"/>
    </row>
    <row r="89" spans="2:101" s="84" customFormat="1" ht="13.5" thickBot="1" x14ac:dyDescent="0.25">
      <c r="C89" s="50"/>
      <c r="D89" s="51"/>
      <c r="E89" s="51"/>
      <c r="G89" s="245"/>
      <c r="H89" s="245"/>
      <c r="I89" s="245"/>
      <c r="J89" s="245"/>
      <c r="K89" s="245"/>
      <c r="L89" s="247"/>
      <c r="M89" s="245"/>
      <c r="N89" s="245"/>
      <c r="O89" s="245"/>
      <c r="P89" s="245">
        <f t="shared" si="136"/>
        <v>0</v>
      </c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>
        <f t="shared" si="159"/>
        <v>0</v>
      </c>
      <c r="AJ89" s="263"/>
      <c r="AK89" s="263"/>
      <c r="AL89" s="263"/>
      <c r="AM89" s="263"/>
      <c r="AN89" s="263"/>
      <c r="AO89" s="263"/>
      <c r="AP89" s="263"/>
      <c r="AQ89" s="263"/>
      <c r="AR89" s="263"/>
      <c r="AS89" s="263"/>
      <c r="AT89" s="263"/>
      <c r="AU89" s="263"/>
      <c r="AV89" s="263"/>
      <c r="AW89" s="263"/>
      <c r="AX89" s="263"/>
      <c r="AY89" s="263">
        <f t="shared" si="147"/>
        <v>0</v>
      </c>
      <c r="BA89" s="277"/>
      <c r="BB89" s="277"/>
      <c r="BC89" s="277">
        <f t="shared" si="160"/>
        <v>0</v>
      </c>
      <c r="BE89" s="55">
        <f t="shared" si="196"/>
        <v>0</v>
      </c>
      <c r="BF89" s="55"/>
      <c r="BH89" s="542"/>
      <c r="BI89" s="542"/>
      <c r="BJ89" s="542"/>
      <c r="BK89" s="542"/>
      <c r="BL89" s="542"/>
      <c r="BM89" s="542"/>
      <c r="BN89" s="542"/>
      <c r="BO89" s="542"/>
      <c r="BP89" s="542"/>
      <c r="BQ89" s="542"/>
      <c r="BR89" s="542"/>
      <c r="BS89" s="542"/>
      <c r="BT89" s="542"/>
      <c r="BU89" s="542"/>
      <c r="BV89" s="542"/>
      <c r="BW89" s="542"/>
      <c r="BX89" s="542"/>
      <c r="BY89" s="542"/>
      <c r="BZ89" s="542"/>
      <c r="CA89" s="542"/>
      <c r="CB89" s="542"/>
      <c r="CC89" s="542"/>
      <c r="CD89" s="542"/>
      <c r="CE89" s="542"/>
      <c r="CF89" s="542"/>
      <c r="CG89" s="542"/>
      <c r="CH89" s="542"/>
      <c r="CI89" s="542"/>
      <c r="CJ89" s="542"/>
      <c r="CK89" s="542"/>
      <c r="CL89" s="542"/>
      <c r="CM89" s="542"/>
      <c r="CN89" s="542"/>
      <c r="CO89" s="542"/>
      <c r="CP89" s="542"/>
      <c r="CQ89" s="542"/>
      <c r="CR89" s="542"/>
      <c r="CS89" s="542"/>
      <c r="CT89" s="542"/>
      <c r="CU89" s="542"/>
      <c r="CW89" s="151"/>
    </row>
    <row r="90" spans="2:101" s="84" customFormat="1" ht="24" customHeight="1" thickBot="1" x14ac:dyDescent="0.25">
      <c r="C90" s="67" t="s">
        <v>189</v>
      </c>
      <c r="D90" s="67"/>
      <c r="E90" s="67"/>
      <c r="G90" s="357">
        <f ca="1">G$28+G$66+G$87</f>
        <v>104.15840897030208</v>
      </c>
      <c r="H90" s="357">
        <f ca="1">H$28+H$66+H$87</f>
        <v>334.68229252873908</v>
      </c>
      <c r="I90" s="357">
        <f ca="1">I$28+I$66+I$87</f>
        <v>253.51908831090404</v>
      </c>
      <c r="J90" s="357">
        <f t="shared" ref="J90:O90" ca="1" si="209">J$28+J$66+J$87</f>
        <v>309.99575906391863</v>
      </c>
      <c r="K90" s="357">
        <f t="shared" ca="1" si="209"/>
        <v>94.494594530868937</v>
      </c>
      <c r="L90" s="357">
        <f t="shared" ca="1" si="209"/>
        <v>62.417203676107818</v>
      </c>
      <c r="M90" s="357">
        <f t="shared" ca="1" si="209"/>
        <v>0</v>
      </c>
      <c r="N90" s="357">
        <f t="shared" ca="1" si="209"/>
        <v>6.0295724006390912E-13</v>
      </c>
      <c r="O90" s="357">
        <f t="shared" ca="1" si="209"/>
        <v>6.9226984229543893</v>
      </c>
      <c r="P90" s="357">
        <f t="shared" ref="P90" ca="1" si="210">SUM(G90:O90)</f>
        <v>1166.1900455037958</v>
      </c>
      <c r="R90" s="358">
        <f t="shared" ref="R90:AG90" ca="1" si="211">R$28+R$66+R$87</f>
        <v>-530.14446047320098</v>
      </c>
      <c r="S90" s="358">
        <f t="shared" ca="1" si="211"/>
        <v>530.14446047320098</v>
      </c>
      <c r="T90" s="358">
        <f t="shared" ca="1" si="211"/>
        <v>0</v>
      </c>
      <c r="U90" s="358">
        <f t="shared" ca="1" si="211"/>
        <v>0</v>
      </c>
      <c r="V90" s="358">
        <f t="shared" ca="1" si="211"/>
        <v>0</v>
      </c>
      <c r="W90" s="358">
        <f t="shared" ca="1" si="211"/>
        <v>0</v>
      </c>
      <c r="X90" s="358">
        <f t="shared" ca="1" si="211"/>
        <v>0</v>
      </c>
      <c r="Y90" s="358">
        <f t="shared" ca="1" si="211"/>
        <v>0</v>
      </c>
      <c r="Z90" s="358">
        <f t="shared" ca="1" si="211"/>
        <v>0</v>
      </c>
      <c r="AA90" s="358">
        <f t="shared" ca="1" si="211"/>
        <v>0</v>
      </c>
      <c r="AB90" s="358">
        <f t="shared" ca="1" si="211"/>
        <v>0</v>
      </c>
      <c r="AC90" s="358">
        <f t="shared" ca="1" si="211"/>
        <v>0</v>
      </c>
      <c r="AD90" s="358">
        <f t="shared" ca="1" si="211"/>
        <v>0</v>
      </c>
      <c r="AE90" s="358">
        <f t="shared" ca="1" si="211"/>
        <v>0</v>
      </c>
      <c r="AF90" s="358">
        <f t="shared" ca="1" si="211"/>
        <v>0</v>
      </c>
      <c r="AG90" s="358">
        <f t="shared" ca="1" si="211"/>
        <v>0</v>
      </c>
      <c r="AH90" s="358">
        <f t="shared" ca="1" si="159"/>
        <v>0</v>
      </c>
      <c r="AJ90" s="359">
        <f t="shared" ref="AJ90:AX90" ca="1" si="212">AJ$28+AJ$66+AJ$87</f>
        <v>-50.5</v>
      </c>
      <c r="AK90" s="359">
        <f t="shared" ca="1" si="212"/>
        <v>-1417.253924912</v>
      </c>
      <c r="AL90" s="359">
        <f t="shared" ca="1" si="212"/>
        <v>-907.82299999999998</v>
      </c>
      <c r="AM90" s="359">
        <f t="shared" ca="1" si="212"/>
        <v>1611.9071038293187</v>
      </c>
      <c r="AN90" s="359">
        <f t="shared" ca="1" si="212"/>
        <v>176.70673241292081</v>
      </c>
      <c r="AO90" s="359">
        <f t="shared" ca="1" si="212"/>
        <v>0</v>
      </c>
      <c r="AP90" s="359">
        <f t="shared" ca="1" si="212"/>
        <v>-456.82081828929068</v>
      </c>
      <c r="AQ90" s="359">
        <f t="shared" ca="1" si="212"/>
        <v>1218.9427494342538</v>
      </c>
      <c r="AR90" s="359">
        <f t="shared" ca="1" si="212"/>
        <v>737.01762134814498</v>
      </c>
      <c r="AS90" s="359">
        <f t="shared" ca="1" si="212"/>
        <v>-79.283600000000021</v>
      </c>
      <c r="AT90" s="359">
        <f t="shared" ca="1" si="212"/>
        <v>-228.21141419999998</v>
      </c>
      <c r="AU90" s="359">
        <f t="shared" ca="1" si="212"/>
        <v>-14.726880000000001</v>
      </c>
      <c r="AV90" s="359">
        <f t="shared" ca="1" si="212"/>
        <v>-46.96609911428574</v>
      </c>
      <c r="AW90" s="359">
        <f t="shared" ca="1" si="212"/>
        <v>-2433.7502539567081</v>
      </c>
      <c r="AX90" s="359">
        <f t="shared" ca="1" si="212"/>
        <v>-408.5262134053134</v>
      </c>
      <c r="AY90" s="359">
        <f t="shared" ca="1" si="147"/>
        <v>-2299.2879968529596</v>
      </c>
      <c r="BA90" s="360">
        <f ca="1">BA$28+BA$66+BA$87</f>
        <v>1029.5451659027406</v>
      </c>
      <c r="BB90" s="360">
        <f ca="1">BB$28+BB$66+BB$87</f>
        <v>103.55278544642364</v>
      </c>
      <c r="BC90" s="360">
        <f t="shared" ca="1" si="160"/>
        <v>1133.0979513491643</v>
      </c>
      <c r="BE90" s="54">
        <f t="shared" ca="1" si="196"/>
        <v>0</v>
      </c>
      <c r="BF90" s="54"/>
      <c r="BH90" s="552">
        <f t="shared" ref="BH90:CU90" ca="1" si="213">BH$28+BH$66+BH$87</f>
        <v>373.36310858585898</v>
      </c>
      <c r="BI90" s="552">
        <f ca="1">BI$28+BI$66+BI$87</f>
        <v>23.245669430007634</v>
      </c>
      <c r="BJ90" s="552">
        <f t="shared" ca="1" si="213"/>
        <v>24.874988917360291</v>
      </c>
      <c r="BK90" s="552">
        <f t="shared" ca="1" si="213"/>
        <v>0</v>
      </c>
      <c r="BL90" s="552">
        <f t="shared" ca="1" si="213"/>
        <v>6.4697142857142849</v>
      </c>
      <c r="BM90" s="552">
        <f t="shared" ca="1" si="213"/>
        <v>14.972723015434642</v>
      </c>
      <c r="BN90" s="552">
        <f t="shared" ca="1" si="213"/>
        <v>0</v>
      </c>
      <c r="BO90" s="552">
        <f t="shared" ca="1" si="213"/>
        <v>0</v>
      </c>
      <c r="BP90" s="552">
        <f t="shared" ca="1" si="213"/>
        <v>14.698135934862325</v>
      </c>
      <c r="BQ90" s="552">
        <f t="shared" ca="1" si="213"/>
        <v>0.13306254322391611</v>
      </c>
      <c r="BR90" s="552">
        <f t="shared" ca="1" si="213"/>
        <v>3.4902717676257011</v>
      </c>
      <c r="BS90" s="552">
        <f t="shared" ca="1" si="213"/>
        <v>8.8722415376226049</v>
      </c>
      <c r="BT90" s="552">
        <f t="shared" ca="1" si="213"/>
        <v>0</v>
      </c>
      <c r="BU90" s="552">
        <f t="shared" ca="1" si="213"/>
        <v>0</v>
      </c>
      <c r="BV90" s="552">
        <f t="shared" ca="1" si="213"/>
        <v>0</v>
      </c>
      <c r="BW90" s="552">
        <f t="shared" ca="1" si="213"/>
        <v>0</v>
      </c>
      <c r="BX90" s="552">
        <f t="shared" ca="1" si="213"/>
        <v>0</v>
      </c>
      <c r="BY90" s="552">
        <f t="shared" ca="1" si="213"/>
        <v>0</v>
      </c>
      <c r="BZ90" s="552">
        <f t="shared" ca="1" si="213"/>
        <v>21.61426622429525</v>
      </c>
      <c r="CA90" s="552">
        <f t="shared" ca="1" si="213"/>
        <v>0</v>
      </c>
      <c r="CB90" s="552">
        <f t="shared" ca="1" si="213"/>
        <v>6.4835049805000082</v>
      </c>
      <c r="CC90" s="552">
        <f t="shared" ca="1" si="213"/>
        <v>0</v>
      </c>
      <c r="CD90" s="552">
        <f t="shared" ca="1" si="213"/>
        <v>0</v>
      </c>
      <c r="CE90" s="552">
        <f t="shared" ca="1" si="213"/>
        <v>0</v>
      </c>
      <c r="CF90" s="552">
        <f t="shared" ca="1" si="213"/>
        <v>0</v>
      </c>
      <c r="CG90" s="552">
        <f t="shared" ca="1" si="213"/>
        <v>3.4909205988141889</v>
      </c>
      <c r="CH90" s="552">
        <f t="shared" ca="1" si="213"/>
        <v>0</v>
      </c>
      <c r="CI90" s="552">
        <f t="shared" ca="1" si="213"/>
        <v>0</v>
      </c>
      <c r="CJ90" s="552">
        <f t="shared" ca="1" si="213"/>
        <v>0</v>
      </c>
      <c r="CK90" s="552">
        <f t="shared" ca="1" si="213"/>
        <v>0</v>
      </c>
      <c r="CL90" s="552">
        <f t="shared" ca="1" si="213"/>
        <v>0</v>
      </c>
      <c r="CM90" s="552">
        <f t="shared" ca="1" si="213"/>
        <v>0</v>
      </c>
      <c r="CN90" s="552">
        <f t="shared" ca="1" si="213"/>
        <v>-136.68603656124461</v>
      </c>
      <c r="CO90" s="552">
        <f t="shared" ca="1" si="213"/>
        <v>0</v>
      </c>
      <c r="CP90" s="552">
        <f t="shared" ca="1" si="213"/>
        <v>0</v>
      </c>
      <c r="CQ90" s="552">
        <f t="shared" ca="1" si="213"/>
        <v>0</v>
      </c>
      <c r="CR90" s="552">
        <f t="shared" ca="1" si="213"/>
        <v>0</v>
      </c>
      <c r="CS90" s="552">
        <f t="shared" ca="1" si="213"/>
        <v>0</v>
      </c>
      <c r="CT90" s="552">
        <f t="shared" ca="1" si="213"/>
        <v>0</v>
      </c>
      <c r="CU90" s="552">
        <f t="shared" ca="1" si="213"/>
        <v>0</v>
      </c>
      <c r="CW90" s="148">
        <f ca="1">SUM(BH90:CU90)</f>
        <v>365.02257126007521</v>
      </c>
    </row>
    <row r="91" spans="2:101" s="84" customFormat="1" x14ac:dyDescent="0.2">
      <c r="C91" s="50"/>
      <c r="D91" s="51"/>
      <c r="E91" s="51"/>
      <c r="G91" s="282"/>
      <c r="H91" s="282"/>
      <c r="I91" s="282"/>
      <c r="J91" s="282"/>
      <c r="K91" s="282"/>
      <c r="L91" s="283"/>
      <c r="M91" s="282"/>
      <c r="N91" s="282"/>
      <c r="O91" s="282"/>
      <c r="P91" s="282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BA91" s="289"/>
      <c r="BB91" s="289"/>
      <c r="BC91" s="289"/>
      <c r="BE91" s="55"/>
      <c r="BF91" s="55"/>
      <c r="BH91" s="553"/>
      <c r="BI91" s="553"/>
      <c r="BJ91" s="553"/>
      <c r="BK91" s="553"/>
      <c r="BL91" s="553"/>
      <c r="BM91" s="553"/>
      <c r="BN91" s="553"/>
      <c r="BO91" s="553"/>
      <c r="BP91" s="553"/>
      <c r="BQ91" s="553"/>
      <c r="BR91" s="553"/>
      <c r="BS91" s="553"/>
      <c r="BT91" s="553"/>
      <c r="BU91" s="553"/>
      <c r="BV91" s="553"/>
      <c r="BW91" s="553"/>
      <c r="BX91" s="553"/>
      <c r="BY91" s="553"/>
      <c r="BZ91" s="553"/>
      <c r="CA91" s="553"/>
      <c r="CB91" s="553"/>
      <c r="CC91" s="553"/>
      <c r="CD91" s="553"/>
      <c r="CE91" s="553"/>
      <c r="CF91" s="553"/>
      <c r="CG91" s="553"/>
      <c r="CH91" s="553"/>
      <c r="CI91" s="553"/>
      <c r="CJ91" s="553"/>
      <c r="CK91" s="553"/>
      <c r="CL91" s="553"/>
      <c r="CM91" s="553"/>
      <c r="CN91" s="553"/>
      <c r="CO91" s="553"/>
      <c r="CP91" s="553"/>
      <c r="CQ91" s="553"/>
      <c r="CR91" s="553"/>
      <c r="CS91" s="553"/>
      <c r="CT91" s="553"/>
      <c r="CU91" s="553"/>
    </row>
    <row r="92" spans="2:101" x14ac:dyDescent="0.2">
      <c r="G92" s="55"/>
      <c r="H92" s="55"/>
      <c r="I92" s="55"/>
      <c r="J92" s="55"/>
      <c r="K92" s="55"/>
      <c r="L92" s="59"/>
      <c r="M92" s="55"/>
      <c r="N92" s="55"/>
      <c r="O92" s="55"/>
      <c r="P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BA92" s="55"/>
      <c r="BB92" s="55"/>
      <c r="BC92" s="55"/>
      <c r="BE92" s="55"/>
      <c r="BF92" s="55"/>
    </row>
    <row r="93" spans="2:101" x14ac:dyDescent="0.2">
      <c r="G93" s="55"/>
      <c r="H93" s="55"/>
      <c r="I93" s="55"/>
      <c r="J93" s="55"/>
      <c r="K93" s="55"/>
      <c r="L93" s="59"/>
      <c r="M93" s="55"/>
      <c r="N93" s="55"/>
      <c r="O93" s="55"/>
      <c r="P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BA93" s="55"/>
      <c r="BB93" s="55"/>
      <c r="BC93" s="55"/>
      <c r="BE93" s="55"/>
      <c r="BF93" s="55"/>
      <c r="CU93" s="1426" t="s">
        <v>1183</v>
      </c>
      <c r="CW93" s="2480">
        <f ca="1">SUM(CW47,CW50,CW54,CW64)</f>
        <v>267.93401612751722</v>
      </c>
    </row>
    <row r="94" spans="2:101" x14ac:dyDescent="0.2">
      <c r="B94" s="2479" t="s">
        <v>322</v>
      </c>
      <c r="C94" s="355" t="s">
        <v>443</v>
      </c>
      <c r="G94" s="55"/>
      <c r="H94" s="55"/>
      <c r="I94" s="55"/>
      <c r="J94" s="55"/>
      <c r="K94" s="55"/>
      <c r="L94" s="59"/>
      <c r="M94" s="55"/>
      <c r="N94" s="55"/>
      <c r="O94" s="55"/>
      <c r="P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BA94" s="55"/>
      <c r="BB94" s="55"/>
      <c r="BC94" s="55"/>
      <c r="BE94" s="55"/>
      <c r="BF94" s="55"/>
      <c r="CU94" s="1426" t="s">
        <v>1184</v>
      </c>
      <c r="CW94" s="2480">
        <f ca="1">S90-MIN(S84,0)</f>
        <v>731.55499288612179</v>
      </c>
    </row>
    <row r="95" spans="2:101" ht="15.75" x14ac:dyDescent="0.25">
      <c r="B95" s="3"/>
      <c r="G95" s="55"/>
      <c r="H95" s="55"/>
      <c r="I95" s="55"/>
      <c r="J95" s="55"/>
      <c r="K95" s="55"/>
      <c r="L95" s="59"/>
      <c r="M95" s="55"/>
      <c r="N95" s="55"/>
      <c r="O95" s="55"/>
      <c r="P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BA95" s="55"/>
      <c r="BB95" s="55"/>
      <c r="BC95" s="55"/>
      <c r="BE95" s="55"/>
      <c r="BF95" s="55"/>
      <c r="CU95" s="1426" t="s">
        <v>1185</v>
      </c>
      <c r="CW95" s="2479">
        <f ca="1">CW93/CW94</f>
        <v>0.3662527338791951</v>
      </c>
    </row>
    <row r="96" spans="2:101" x14ac:dyDescent="0.2">
      <c r="G96" s="55"/>
      <c r="H96" s="55"/>
      <c r="I96" s="55"/>
      <c r="J96" s="55"/>
      <c r="K96" s="55"/>
      <c r="L96" s="59"/>
      <c r="M96" s="55"/>
      <c r="N96" s="55"/>
      <c r="O96" s="55"/>
      <c r="P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BA96" s="55"/>
      <c r="BB96" s="55"/>
      <c r="BC96" s="55"/>
      <c r="BE96" s="55"/>
      <c r="BF96" s="55"/>
    </row>
    <row r="97" spans="2:58" ht="15.75" x14ac:dyDescent="0.25">
      <c r="B97" s="3"/>
      <c r="G97" s="55"/>
      <c r="H97" s="55"/>
      <c r="I97" s="55"/>
      <c r="J97" s="55"/>
      <c r="K97" s="55"/>
      <c r="L97" s="59"/>
      <c r="M97" s="55"/>
      <c r="N97" s="55"/>
      <c r="O97" s="55"/>
      <c r="P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BA97" s="55"/>
      <c r="BB97" s="55"/>
      <c r="BC97" s="55"/>
      <c r="BE97" s="55"/>
      <c r="BF97" s="55"/>
    </row>
    <row r="98" spans="2:58" ht="15.75" x14ac:dyDescent="0.25">
      <c r="B98" s="3"/>
      <c r="G98" s="55"/>
      <c r="H98" s="55"/>
      <c r="I98" s="55"/>
      <c r="J98" s="55"/>
      <c r="K98" s="55"/>
      <c r="L98" s="59"/>
      <c r="M98" s="55"/>
      <c r="N98" s="55"/>
      <c r="O98" s="55"/>
      <c r="P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BA98" s="55"/>
      <c r="BB98" s="55"/>
      <c r="BC98" s="55"/>
      <c r="BE98" s="55"/>
      <c r="BF98" s="55"/>
    </row>
    <row r="99" spans="2:58" ht="15.75" x14ac:dyDescent="0.25">
      <c r="B99" s="3"/>
      <c r="G99" s="55"/>
      <c r="H99" s="55"/>
      <c r="I99" s="55"/>
      <c r="J99" s="55"/>
      <c r="K99" s="55"/>
      <c r="L99" s="59"/>
      <c r="M99" s="55"/>
      <c r="N99" s="55"/>
      <c r="O99" s="55"/>
      <c r="P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BA99" s="55"/>
      <c r="BB99" s="55"/>
      <c r="BC99" s="55"/>
      <c r="BE99" s="55"/>
      <c r="BF99" s="55"/>
    </row>
    <row r="100" spans="2:58" ht="15.75" x14ac:dyDescent="0.25">
      <c r="B100" s="3"/>
      <c r="G100" s="55"/>
      <c r="H100" s="55"/>
      <c r="I100" s="55"/>
      <c r="J100" s="55"/>
      <c r="K100" s="55"/>
      <c r="L100" s="59"/>
      <c r="M100" s="55"/>
      <c r="N100" s="55"/>
      <c r="O100" s="55"/>
      <c r="P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BA100" s="55"/>
      <c r="BB100" s="55"/>
      <c r="BC100" s="55"/>
      <c r="BE100" s="55"/>
      <c r="BF100" s="55"/>
    </row>
    <row r="101" spans="2:58" ht="15.75" x14ac:dyDescent="0.25">
      <c r="B101" s="3"/>
      <c r="G101" s="55"/>
      <c r="H101" s="55"/>
      <c r="I101" s="55"/>
      <c r="J101" s="55"/>
      <c r="K101" s="55"/>
      <c r="L101" s="59"/>
      <c r="M101" s="55"/>
      <c r="N101" s="55"/>
      <c r="O101" s="55"/>
      <c r="P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BA101" s="55"/>
      <c r="BB101" s="55"/>
      <c r="BC101" s="55"/>
      <c r="BE101" s="55"/>
      <c r="BF101" s="55"/>
    </row>
    <row r="102" spans="2:58" ht="15.75" x14ac:dyDescent="0.25">
      <c r="B102" s="3"/>
      <c r="G102" s="55"/>
      <c r="H102" s="55"/>
      <c r="I102" s="55"/>
      <c r="J102" s="55"/>
      <c r="K102" s="55"/>
      <c r="L102" s="59"/>
      <c r="M102" s="55"/>
      <c r="N102" s="55"/>
      <c r="O102" s="55"/>
      <c r="P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BA102" s="55"/>
      <c r="BB102" s="55"/>
      <c r="BC102" s="55"/>
      <c r="BE102" s="55"/>
      <c r="BF102" s="55"/>
    </row>
    <row r="103" spans="2:58" ht="24" customHeight="1" x14ac:dyDescent="0.2">
      <c r="G103" s="55"/>
      <c r="H103" s="55"/>
      <c r="I103" s="55"/>
      <c r="J103" s="55"/>
      <c r="K103" s="55"/>
      <c r="L103" s="59"/>
      <c r="M103" s="55"/>
      <c r="N103" s="55"/>
      <c r="O103" s="55"/>
      <c r="P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BA103" s="55"/>
      <c r="BB103" s="55"/>
      <c r="BC103" s="55"/>
      <c r="BE103" s="55"/>
      <c r="BF103" s="55"/>
    </row>
    <row r="104" spans="2:58" x14ac:dyDescent="0.2">
      <c r="G104" s="55"/>
      <c r="H104" s="55"/>
      <c r="I104" s="55"/>
      <c r="J104" s="55"/>
      <c r="K104" s="55"/>
      <c r="L104" s="59"/>
      <c r="M104" s="55"/>
      <c r="N104" s="55"/>
      <c r="O104" s="55"/>
      <c r="P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BA104" s="55"/>
      <c r="BB104" s="55"/>
      <c r="BC104" s="55"/>
      <c r="BE104" s="55"/>
      <c r="BF104" s="55"/>
    </row>
    <row r="105" spans="2:58" x14ac:dyDescent="0.2">
      <c r="G105" s="55"/>
      <c r="H105" s="55"/>
      <c r="I105" s="55"/>
      <c r="J105" s="55"/>
      <c r="K105" s="55"/>
      <c r="L105" s="59"/>
      <c r="M105" s="55"/>
      <c r="N105" s="55"/>
      <c r="O105" s="55"/>
      <c r="P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BA105" s="55"/>
      <c r="BB105" s="55"/>
      <c r="BC105" s="55"/>
      <c r="BE105" s="55"/>
      <c r="BF105" s="55"/>
    </row>
    <row r="106" spans="2:58" x14ac:dyDescent="0.2">
      <c r="C106" s="60"/>
      <c r="D106" s="34"/>
      <c r="G106" s="55"/>
      <c r="H106" s="55"/>
      <c r="I106" s="55"/>
      <c r="J106" s="55"/>
      <c r="K106" s="55"/>
      <c r="L106" s="59"/>
      <c r="M106" s="55"/>
      <c r="N106" s="55"/>
      <c r="O106" s="55"/>
      <c r="P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BA106" s="55"/>
      <c r="BB106" s="55"/>
      <c r="BC106" s="55"/>
      <c r="BE106" s="55"/>
      <c r="BF106" s="55"/>
    </row>
    <row r="107" spans="2:58" x14ac:dyDescent="0.2">
      <c r="G107" s="55"/>
      <c r="H107" s="55"/>
      <c r="I107" s="55"/>
      <c r="J107" s="55"/>
      <c r="K107" s="55"/>
      <c r="L107" s="59"/>
      <c r="M107" s="55"/>
      <c r="N107" s="55"/>
      <c r="O107" s="55"/>
      <c r="P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BA107" s="55"/>
      <c r="BB107" s="55"/>
      <c r="BC107" s="55"/>
      <c r="BE107" s="55"/>
      <c r="BF107" s="55"/>
    </row>
    <row r="108" spans="2:58" x14ac:dyDescent="0.2">
      <c r="G108" s="55"/>
      <c r="H108" s="55"/>
      <c r="I108" s="55"/>
      <c r="J108" s="55"/>
      <c r="K108" s="55"/>
      <c r="L108" s="59"/>
      <c r="M108" s="55"/>
      <c r="N108" s="55"/>
      <c r="O108" s="55"/>
      <c r="P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BA108" s="55"/>
      <c r="BB108" s="55"/>
      <c r="BC108" s="55"/>
      <c r="BE108" s="55"/>
      <c r="BF108" s="55"/>
    </row>
    <row r="109" spans="2:58" x14ac:dyDescent="0.2">
      <c r="G109" s="55"/>
      <c r="H109" s="55"/>
      <c r="I109" s="55"/>
      <c r="J109" s="55"/>
      <c r="K109" s="55"/>
      <c r="L109" s="59"/>
      <c r="M109" s="55"/>
      <c r="N109" s="55"/>
      <c r="O109" s="55"/>
      <c r="P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BA109" s="55"/>
      <c r="BB109" s="55"/>
      <c r="BC109" s="55"/>
      <c r="BE109" s="55"/>
      <c r="BF109" s="55"/>
    </row>
    <row r="110" spans="2:58" x14ac:dyDescent="0.2">
      <c r="G110" s="55"/>
      <c r="H110" s="55"/>
      <c r="I110" s="55"/>
      <c r="J110" s="55"/>
      <c r="K110" s="55"/>
      <c r="L110" s="59"/>
      <c r="M110" s="55"/>
      <c r="N110" s="55"/>
      <c r="O110" s="55"/>
      <c r="P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BA110" s="55"/>
      <c r="BB110" s="55"/>
      <c r="BC110" s="55"/>
      <c r="BE110" s="55"/>
      <c r="BF110" s="55"/>
    </row>
    <row r="111" spans="2:58" x14ac:dyDescent="0.2">
      <c r="G111" s="55"/>
      <c r="H111" s="55"/>
      <c r="I111" s="55"/>
      <c r="J111" s="55"/>
      <c r="K111" s="55"/>
      <c r="L111" s="59"/>
      <c r="M111" s="55"/>
      <c r="N111" s="55"/>
      <c r="O111" s="55"/>
      <c r="P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BA111" s="55"/>
      <c r="BB111" s="55"/>
      <c r="BC111" s="55"/>
      <c r="BE111" s="55"/>
      <c r="BF111" s="55"/>
    </row>
    <row r="112" spans="2:58" x14ac:dyDescent="0.2">
      <c r="G112" s="55"/>
      <c r="H112" s="55"/>
      <c r="I112" s="55"/>
      <c r="J112" s="55"/>
      <c r="K112" s="55"/>
      <c r="L112" s="59"/>
      <c r="M112" s="55"/>
      <c r="N112" s="55"/>
      <c r="O112" s="55"/>
      <c r="P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BA112" s="55"/>
      <c r="BB112" s="55"/>
      <c r="BC112" s="55"/>
      <c r="BE112" s="55"/>
      <c r="BF112" s="55"/>
    </row>
    <row r="113" spans="7:58" s="2479" customFormat="1" x14ac:dyDescent="0.2">
      <c r="G113" s="55"/>
      <c r="H113" s="55"/>
      <c r="I113" s="55"/>
      <c r="J113" s="55"/>
      <c r="K113" s="55"/>
      <c r="L113" s="59"/>
      <c r="M113" s="55"/>
      <c r="N113" s="55"/>
      <c r="O113" s="55"/>
      <c r="P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BA113" s="55"/>
      <c r="BB113" s="55"/>
      <c r="BC113" s="55"/>
      <c r="BE113" s="55"/>
      <c r="BF113" s="55"/>
    </row>
    <row r="114" spans="7:58" s="2479" customFormat="1" x14ac:dyDescent="0.2">
      <c r="G114" s="55"/>
      <c r="H114" s="55"/>
      <c r="I114" s="55"/>
      <c r="J114" s="55"/>
      <c r="K114" s="55"/>
      <c r="L114" s="59"/>
      <c r="M114" s="55"/>
      <c r="N114" s="55"/>
      <c r="O114" s="55"/>
      <c r="P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BA114" s="55"/>
      <c r="BB114" s="55"/>
      <c r="BC114" s="55"/>
      <c r="BE114" s="55"/>
      <c r="BF114" s="55"/>
    </row>
    <row r="115" spans="7:58" s="2479" customFormat="1" x14ac:dyDescent="0.2">
      <c r="G115" s="55"/>
      <c r="H115" s="55"/>
      <c r="I115" s="55"/>
      <c r="J115" s="55"/>
      <c r="K115" s="55"/>
      <c r="L115" s="59"/>
      <c r="M115" s="55"/>
      <c r="N115" s="55"/>
      <c r="O115" s="55"/>
      <c r="P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BA115" s="55"/>
      <c r="BB115" s="55"/>
      <c r="BC115" s="55"/>
      <c r="BE115" s="55"/>
      <c r="BF115" s="55"/>
    </row>
    <row r="116" spans="7:58" s="2479" customFormat="1" x14ac:dyDescent="0.2">
      <c r="G116" s="55"/>
      <c r="H116" s="55"/>
      <c r="I116" s="55"/>
      <c r="J116" s="55"/>
      <c r="K116" s="55"/>
      <c r="L116" s="59"/>
      <c r="M116" s="55"/>
      <c r="N116" s="55"/>
      <c r="O116" s="55"/>
      <c r="P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BA116" s="55"/>
      <c r="BB116" s="55"/>
      <c r="BC116" s="55"/>
      <c r="BE116" s="55"/>
      <c r="BF116" s="55"/>
    </row>
    <row r="117" spans="7:58" s="2479" customFormat="1" x14ac:dyDescent="0.2">
      <c r="G117" s="55"/>
      <c r="H117" s="55"/>
      <c r="I117" s="55"/>
      <c r="J117" s="55"/>
      <c r="K117" s="55"/>
      <c r="L117" s="59"/>
      <c r="M117" s="55"/>
      <c r="N117" s="55"/>
      <c r="O117" s="55"/>
      <c r="P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BA117" s="55"/>
      <c r="BB117" s="55"/>
      <c r="BC117" s="55"/>
      <c r="BE117" s="55"/>
      <c r="BF117" s="55"/>
    </row>
    <row r="118" spans="7:58" s="2479" customFormat="1" x14ac:dyDescent="0.2">
      <c r="G118" s="55"/>
      <c r="H118" s="55"/>
      <c r="I118" s="55"/>
      <c r="J118" s="55"/>
      <c r="K118" s="55"/>
      <c r="L118" s="59"/>
      <c r="M118" s="55"/>
      <c r="N118" s="55"/>
      <c r="O118" s="55"/>
      <c r="P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BA118" s="55"/>
      <c r="BB118" s="55"/>
      <c r="BC118" s="55"/>
      <c r="BE118" s="55"/>
      <c r="BF118" s="55"/>
    </row>
    <row r="119" spans="7:58" s="2479" customFormat="1" x14ac:dyDescent="0.2">
      <c r="G119" s="55"/>
      <c r="H119" s="55"/>
      <c r="I119" s="55"/>
      <c r="J119" s="55"/>
      <c r="K119" s="55"/>
      <c r="L119" s="59"/>
      <c r="M119" s="55"/>
      <c r="N119" s="55"/>
      <c r="O119" s="55"/>
      <c r="P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BA119" s="55"/>
      <c r="BB119" s="55"/>
      <c r="BC119" s="55"/>
      <c r="BE119" s="55"/>
      <c r="BF119" s="55"/>
    </row>
    <row r="120" spans="7:58" s="2479" customFormat="1" x14ac:dyDescent="0.2">
      <c r="G120" s="55"/>
      <c r="H120" s="55"/>
      <c r="I120" s="55"/>
      <c r="J120" s="55"/>
      <c r="K120" s="55"/>
      <c r="L120" s="59"/>
      <c r="M120" s="55"/>
      <c r="N120" s="55"/>
      <c r="O120" s="55"/>
      <c r="P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BA120" s="55"/>
      <c r="BB120" s="55"/>
      <c r="BC120" s="55"/>
      <c r="BE120" s="55"/>
      <c r="BF120" s="55"/>
    </row>
    <row r="121" spans="7:58" s="2479" customFormat="1" x14ac:dyDescent="0.2">
      <c r="G121" s="55"/>
      <c r="H121" s="55"/>
      <c r="I121" s="55"/>
      <c r="J121" s="55"/>
      <c r="K121" s="55"/>
      <c r="L121" s="59"/>
      <c r="M121" s="55"/>
      <c r="N121" s="55"/>
      <c r="O121" s="55"/>
      <c r="P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BA121" s="55"/>
      <c r="BB121" s="55"/>
      <c r="BC121" s="55"/>
      <c r="BE121" s="55"/>
      <c r="BF121" s="55"/>
    </row>
    <row r="122" spans="7:58" s="2479" customFormat="1" x14ac:dyDescent="0.2">
      <c r="G122" s="55"/>
      <c r="H122" s="55"/>
      <c r="I122" s="55"/>
      <c r="J122" s="55"/>
      <c r="K122" s="55"/>
      <c r="L122" s="59"/>
      <c r="M122" s="55"/>
      <c r="N122" s="55"/>
      <c r="O122" s="55"/>
      <c r="P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BA122" s="55"/>
      <c r="BB122" s="55"/>
      <c r="BC122" s="55"/>
      <c r="BE122" s="55"/>
      <c r="BF122" s="55"/>
    </row>
    <row r="123" spans="7:58" s="2479" customFormat="1" x14ac:dyDescent="0.2">
      <c r="G123" s="55"/>
      <c r="H123" s="55"/>
      <c r="I123" s="55"/>
      <c r="J123" s="55"/>
      <c r="K123" s="55"/>
      <c r="L123" s="59"/>
      <c r="M123" s="55"/>
      <c r="N123" s="55"/>
      <c r="O123" s="55"/>
      <c r="P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BA123" s="55"/>
      <c r="BB123" s="55"/>
      <c r="BC123" s="55"/>
      <c r="BE123" s="55"/>
      <c r="BF123" s="55"/>
    </row>
    <row r="124" spans="7:58" s="2479" customFormat="1" x14ac:dyDescent="0.2">
      <c r="G124" s="55"/>
      <c r="H124" s="55"/>
      <c r="I124" s="55"/>
      <c r="J124" s="55"/>
      <c r="K124" s="55"/>
      <c r="L124" s="59"/>
      <c r="M124" s="55"/>
      <c r="N124" s="55"/>
      <c r="O124" s="55"/>
      <c r="P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BA124" s="55"/>
      <c r="BB124" s="55"/>
      <c r="BC124" s="55"/>
      <c r="BE124" s="55"/>
      <c r="BF124" s="55"/>
    </row>
    <row r="125" spans="7:58" s="2479" customFormat="1" x14ac:dyDescent="0.2">
      <c r="G125" s="55"/>
      <c r="H125" s="55"/>
      <c r="I125" s="55"/>
      <c r="J125" s="55"/>
      <c r="K125" s="55"/>
      <c r="L125" s="59"/>
      <c r="M125" s="55"/>
      <c r="N125" s="55"/>
      <c r="O125" s="55"/>
      <c r="P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BA125" s="55"/>
      <c r="BB125" s="55"/>
      <c r="BC125" s="55"/>
      <c r="BE125" s="55"/>
      <c r="BF125" s="55"/>
    </row>
    <row r="126" spans="7:58" s="2479" customFormat="1" x14ac:dyDescent="0.2">
      <c r="G126" s="55"/>
      <c r="H126" s="55"/>
      <c r="I126" s="55"/>
      <c r="J126" s="55"/>
      <c r="K126" s="55"/>
      <c r="L126" s="59"/>
      <c r="M126" s="55"/>
      <c r="N126" s="55"/>
      <c r="O126" s="55"/>
      <c r="P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BA126" s="55"/>
      <c r="BB126" s="55"/>
      <c r="BC126" s="55"/>
      <c r="BE126" s="55"/>
      <c r="BF126" s="55"/>
    </row>
    <row r="127" spans="7:58" s="2479" customFormat="1" x14ac:dyDescent="0.2">
      <c r="G127" s="55"/>
      <c r="H127" s="55"/>
      <c r="I127" s="55"/>
      <c r="J127" s="55"/>
      <c r="K127" s="55"/>
      <c r="L127" s="59"/>
      <c r="M127" s="55"/>
      <c r="N127" s="55"/>
      <c r="O127" s="55"/>
      <c r="P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BA127" s="55"/>
      <c r="BB127" s="55"/>
      <c r="BC127" s="55"/>
      <c r="BE127" s="55"/>
      <c r="BF127" s="55"/>
    </row>
    <row r="128" spans="7:58" s="2479" customFormat="1" x14ac:dyDescent="0.2">
      <c r="G128" s="55"/>
      <c r="H128" s="55"/>
      <c r="I128" s="55"/>
      <c r="J128" s="55"/>
      <c r="K128" s="55"/>
      <c r="L128" s="59"/>
      <c r="M128" s="55"/>
      <c r="N128" s="55"/>
      <c r="O128" s="55"/>
      <c r="P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BA128" s="55"/>
      <c r="BB128" s="55"/>
      <c r="BC128" s="55"/>
      <c r="BE128" s="55"/>
      <c r="BF128" s="55"/>
    </row>
    <row r="129" spans="7:58" s="2479" customFormat="1" x14ac:dyDescent="0.2">
      <c r="G129" s="55"/>
      <c r="H129" s="55"/>
      <c r="I129" s="55"/>
      <c r="J129" s="55"/>
      <c r="K129" s="55"/>
      <c r="L129" s="59"/>
      <c r="M129" s="55"/>
      <c r="N129" s="55"/>
      <c r="O129" s="55"/>
      <c r="P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BA129" s="55"/>
      <c r="BB129" s="55"/>
      <c r="BC129" s="55"/>
      <c r="BE129" s="55"/>
      <c r="BF129" s="55"/>
    </row>
  </sheetData>
  <pageMargins left="0.25" right="0.25" top="0.75" bottom="0.75" header="0.3" footer="0.3"/>
  <pageSetup orientation="portrait" horizontalDpi="1200" verticalDpi="1200" r:id="rId1"/>
  <headerFooter>
    <oddFooter>&amp;L&amp;"+,Regular"Pathways to 2050 -- Energy Flow Model&amp;R&amp;"+,Regular"&amp;F  |  This version printed &amp;D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autoPageBreaks="0"/>
  </sheetPr>
  <dimension ref="A1:CW129"/>
  <sheetViews>
    <sheetView windowProtection="1" zoomScale="106" zoomScaleNormal="106" workbookViewId="0">
      <selection activeCell="E3" sqref="E3"/>
    </sheetView>
  </sheetViews>
  <sheetFormatPr defaultColWidth="8.7109375" defaultRowHeight="12.75" outlineLevelRow="2" outlineLevelCol="2" x14ac:dyDescent="0.2"/>
  <cols>
    <col min="1" max="1" width="1.7109375" style="2479" customWidth="1"/>
    <col min="2" max="2" width="1.42578125" style="2479" customWidth="1"/>
    <col min="3" max="3" width="4.42578125" style="50" customWidth="1"/>
    <col min="4" max="4" width="6.7109375" style="51" customWidth="1"/>
    <col min="5" max="5" width="41.7109375" style="51" customWidth="1"/>
    <col min="6" max="6" width="1.140625" style="2479" customWidth="1" outlineLevel="1"/>
    <col min="7" max="11" width="10" style="51" customWidth="1" outlineLevel="2"/>
    <col min="12" max="12" width="10" style="65" customWidth="1" outlineLevel="2"/>
    <col min="13" max="15" width="10" style="51" customWidth="1" outlineLevel="2"/>
    <col min="16" max="16" width="10" style="51" customWidth="1" outlineLevel="1"/>
    <col min="17" max="17" width="1.140625" style="2479" customWidth="1" outlineLevel="1"/>
    <col min="18" max="33" width="10" style="51" customWidth="1" outlineLevel="2"/>
    <col min="34" max="34" width="10" style="51" customWidth="1" outlineLevel="1"/>
    <col min="35" max="35" width="1.140625" style="2479" customWidth="1" outlineLevel="1"/>
    <col min="36" max="50" width="10" style="51" customWidth="1" outlineLevel="2"/>
    <col min="51" max="51" width="10" style="51" customWidth="1" outlineLevel="1"/>
    <col min="52" max="52" width="1.140625" style="2479" customWidth="1" outlineLevel="1"/>
    <col min="53" max="54" width="10" style="51" customWidth="1" outlineLevel="2"/>
    <col min="55" max="55" width="10" style="51" customWidth="1" outlineLevel="1"/>
    <col min="56" max="56" width="1.140625" style="2479" customWidth="1" outlineLevel="1"/>
    <col min="57" max="57" width="11" style="51" customWidth="1" outlineLevel="1"/>
    <col min="58" max="58" width="5.28515625" style="51" customWidth="1"/>
    <col min="59" max="59" width="8.7109375" style="2479"/>
    <col min="60" max="99" width="7.42578125" style="2479" customWidth="1"/>
    <col min="100" max="100" width="2.42578125" style="2479" customWidth="1"/>
    <col min="101" max="16384" width="8.7109375" style="2479"/>
  </cols>
  <sheetData>
    <row r="1" spans="1:101" ht="6" customHeight="1" x14ac:dyDescent="0.2"/>
    <row r="2" spans="1:101" ht="21" customHeight="1" x14ac:dyDescent="0.2">
      <c r="D2" s="43"/>
      <c r="E2" s="252">
        <v>2040</v>
      </c>
      <c r="G2" s="2479"/>
      <c r="H2" s="2479"/>
      <c r="I2" s="2479"/>
      <c r="J2" s="2479"/>
      <c r="K2" s="2479"/>
      <c r="L2" s="2479"/>
      <c r="M2" s="2479"/>
      <c r="N2" s="2479"/>
      <c r="O2" s="2479"/>
      <c r="P2" s="2479"/>
      <c r="R2" s="2479"/>
      <c r="S2" s="2479"/>
      <c r="T2" s="2479"/>
      <c r="U2" s="2479"/>
      <c r="V2" s="2479"/>
      <c r="W2" s="2479"/>
      <c r="X2" s="2479"/>
      <c r="Y2" s="2479"/>
      <c r="Z2" s="2479"/>
      <c r="AA2" s="2479"/>
      <c r="AB2" s="2479"/>
      <c r="AC2" s="2479"/>
      <c r="AD2" s="2479"/>
      <c r="AE2" s="2479"/>
      <c r="AF2" s="2479"/>
      <c r="AG2" s="2479"/>
      <c r="AH2" s="2479"/>
      <c r="AJ2" s="2479"/>
      <c r="AK2" s="2479"/>
      <c r="AL2" s="2479"/>
      <c r="AM2" s="2479"/>
      <c r="AN2" s="2479"/>
      <c r="AO2" s="2479"/>
      <c r="AP2" s="2479"/>
      <c r="AQ2" s="2479"/>
      <c r="AR2" s="2479"/>
      <c r="AS2" s="2479"/>
      <c r="AT2" s="2479"/>
      <c r="AU2" s="2479"/>
      <c r="AV2" s="2479"/>
      <c r="AW2" s="2479"/>
      <c r="AX2" s="2479"/>
      <c r="AY2" s="2479"/>
      <c r="BA2" s="2479"/>
      <c r="BB2" s="2479"/>
      <c r="BC2" s="2479"/>
      <c r="BE2" s="2479"/>
      <c r="BF2" s="72"/>
    </row>
    <row r="3" spans="1:101" ht="39" customHeight="1" x14ac:dyDescent="0.2">
      <c r="A3" s="90"/>
      <c r="B3" s="90"/>
      <c r="C3" s="90"/>
      <c r="D3" s="44"/>
      <c r="E3" s="133" t="str">
        <f>Preferences.EnergyUnits</f>
        <v>TWh</v>
      </c>
      <c r="G3" s="281" t="s">
        <v>293</v>
      </c>
      <c r="H3" s="281"/>
      <c r="I3" s="281"/>
      <c r="J3" s="281"/>
      <c r="K3" s="281"/>
      <c r="L3" s="281"/>
      <c r="M3" s="281"/>
      <c r="N3" s="281"/>
      <c r="O3" s="281"/>
      <c r="P3" s="281"/>
      <c r="R3" s="375" t="s">
        <v>239</v>
      </c>
      <c r="S3" s="376"/>
      <c r="T3" s="376"/>
      <c r="U3" s="376"/>
      <c r="V3" s="376"/>
      <c r="W3" s="376"/>
      <c r="X3" s="380"/>
      <c r="Y3" s="376"/>
      <c r="Z3" s="376"/>
      <c r="AA3" s="376"/>
      <c r="AB3" s="376"/>
      <c r="AC3" s="376"/>
      <c r="AD3" s="376"/>
      <c r="AE3" s="376"/>
      <c r="AF3" s="376"/>
      <c r="AG3" s="376"/>
      <c r="AH3" s="379"/>
      <c r="AJ3" s="377" t="s">
        <v>481</v>
      </c>
      <c r="AK3" s="378"/>
      <c r="AL3" s="378"/>
      <c r="AM3" s="381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82"/>
      <c r="BA3" s="303" t="s">
        <v>387</v>
      </c>
      <c r="BB3" s="290"/>
      <c r="BC3" s="290"/>
      <c r="BE3" s="47"/>
      <c r="BF3" s="47"/>
      <c r="BG3" s="90"/>
      <c r="BH3" s="384" t="s">
        <v>485</v>
      </c>
      <c r="BI3" s="385"/>
      <c r="BJ3" s="385"/>
      <c r="BK3" s="385"/>
      <c r="BL3" s="385"/>
      <c r="BM3" s="385"/>
      <c r="BN3" s="385"/>
      <c r="BO3" s="385"/>
      <c r="BP3" s="385"/>
      <c r="BQ3" s="385"/>
      <c r="BR3" s="385"/>
      <c r="BS3" s="385"/>
      <c r="BT3" s="385"/>
      <c r="BU3" s="385"/>
      <c r="BV3" s="385"/>
      <c r="BW3" s="385"/>
      <c r="BX3" s="385"/>
      <c r="BY3" s="385"/>
      <c r="BZ3" s="385"/>
      <c r="CA3" s="385"/>
      <c r="CB3" s="385"/>
      <c r="CC3" s="385"/>
      <c r="CD3" s="385"/>
      <c r="CE3" s="385"/>
      <c r="CF3" s="385"/>
      <c r="CG3" s="385"/>
      <c r="CH3" s="385"/>
      <c r="CI3" s="385"/>
      <c r="CJ3" s="385"/>
      <c r="CK3" s="385"/>
      <c r="CL3" s="385"/>
      <c r="CM3" s="385"/>
      <c r="CN3" s="385"/>
      <c r="CO3" s="385"/>
      <c r="CP3" s="385"/>
      <c r="CQ3" s="385"/>
      <c r="CR3" s="514"/>
      <c r="CS3" s="514"/>
      <c r="CT3" s="514"/>
      <c r="CU3" s="514"/>
    </row>
    <row r="4" spans="1:101" ht="36.75" customHeight="1" x14ac:dyDescent="0.2">
      <c r="C4" s="48"/>
      <c r="D4" s="48"/>
      <c r="G4" s="253" t="str">
        <f>INDEX(Vectors[Description], MATCH(G$5,Vectors[Code],FALSE))</f>
        <v>Cooling</v>
      </c>
      <c r="H4" s="253" t="str">
        <f>INDEX(Vectors[Description], MATCH(H$5,Vectors[Code],FALSE))</f>
        <v>Lighting &amp; appliances</v>
      </c>
      <c r="I4" s="253" t="str">
        <f>INDEX(Vectors[Description], MATCH(I$5,Vectors[Code],FALSE))</f>
        <v>Cooking</v>
      </c>
      <c r="J4" s="253" t="str">
        <f>INDEX(Vectors[Description], MATCH(J$5,Vectors[Code],FALSE))</f>
        <v>Industry</v>
      </c>
      <c r="K4" s="253" t="str">
        <f>INDEX(Vectors[Description], MATCH(K$5,Vectors[Code],FALSE))</f>
        <v>Road transport</v>
      </c>
      <c r="L4" s="253" t="str">
        <f>INDEX(Vectors[Description], MATCH(L$5,Vectors[Code],FALSE))</f>
        <v>Rail transport</v>
      </c>
      <c r="M4" s="253" t="str">
        <f>INDEX(Vectors[Description], MATCH(M$5,Vectors[Code],FALSE))</f>
        <v>Domestic aviation</v>
      </c>
      <c r="N4" s="253" t="str">
        <f>INDEX(Vectors[Description], MATCH(N$5,Vectors[Code],FALSE))</f>
        <v>Berge</v>
      </c>
      <c r="O4" s="253" t="str">
        <f>INDEX(Vectors[Description], MATCH(O$5,Vectors[Code],FALSE))</f>
        <v>Pipeline</v>
      </c>
      <c r="P4" s="270" t="s">
        <v>391</v>
      </c>
      <c r="R4" s="254" t="str">
        <f>INDEX(Vectors[Description], MATCH(R$5,Vectors[Code],FALSE))</f>
        <v>Electricity (delivered to end user)</v>
      </c>
      <c r="S4" s="254" t="str">
        <f>INDEX(Vectors[Description], MATCH(S$5,Vectors[Code],FALSE))</f>
        <v>Electricity (supplied to grid)</v>
      </c>
      <c r="T4" s="254" t="str">
        <f>INDEX(Vectors[Description], MATCH(T$5,Vectors[Code],FALSE))</f>
        <v>Solid hydrocarbons</v>
      </c>
      <c r="U4" s="254" t="str">
        <f>INDEX(Vectors[Description], MATCH(U$5,Vectors[Code],FALSE))</f>
        <v>Liquid hydrocarbons</v>
      </c>
      <c r="V4" s="254" t="str">
        <f>INDEX(Vectors[Description], MATCH(V$5,Vectors[Code],FALSE))</f>
        <v>Gaseous hydrocarbons</v>
      </c>
      <c r="W4" s="254" t="str">
        <f>INDEX(Vectors[Description], MATCH(W$5,Vectors[Code],FALSE))</f>
        <v>Traditional Fuel</v>
      </c>
      <c r="X4" s="254" t="str">
        <f>INDEX(Vectors[Description], MATCH(X$5,Vectors[Code],FALSE))</f>
        <v>Coal and fossil waste</v>
      </c>
      <c r="Y4" s="254" t="str">
        <f>INDEX(Vectors[Description], MATCH(Y$5,Vectors[Code],FALSE))</f>
        <v>Oil and petroleum products</v>
      </c>
      <c r="Z4" s="254" t="str">
        <f>INDEX(Vectors[Description], MATCH(Z$5,Vectors[Code],FALSE))</f>
        <v>Natural gas</v>
      </c>
      <c r="AA4" s="254" t="str">
        <f>INDEX(Vectors[Description], MATCH(AA$5,Vectors[Code],FALSE))</f>
        <v>Blast furnace gas</v>
      </c>
      <c r="AB4" s="254" t="str">
        <f>INDEX(Vectors[Description], MATCH(AB$5,Vectors[Code],FALSE))</f>
        <v>Edible biomass</v>
      </c>
      <c r="AC4" s="254" t="str">
        <f>INDEX(Vectors[Description], MATCH(AC$5,Vectors[Code],FALSE))</f>
        <v>Energy crops (second generation)</v>
      </c>
      <c r="AD4" s="254" t="str">
        <f>INDEX(Vectors[Description], MATCH(AD$5,Vectors[Code],FALSE))</f>
        <v>Energy crops (first generation)</v>
      </c>
      <c r="AE4" s="254" t="str">
        <f>INDEX(Vectors[Description], MATCH(AE$5,Vectors[Code],FALSE))</f>
        <v>Dry biomass and waste</v>
      </c>
      <c r="AF4" s="254" t="str">
        <f>INDEX(Vectors[Description], MATCH(AF$5,Vectors[Code],FALSE))</f>
        <v>Wet biomass and waste</v>
      </c>
      <c r="AG4" s="254" t="str">
        <f>INDEX(Vectors[Description], MATCH(AG$5,Vectors[Code],FALSE))</f>
        <v>Gaseous waste</v>
      </c>
      <c r="AH4" s="284" t="s">
        <v>237</v>
      </c>
      <c r="AJ4" s="268" t="str">
        <f>INDEX(Vectors[Description], MATCH(AJ$5,Vectors[Code],FALSE))</f>
        <v>Coal reserves</v>
      </c>
      <c r="AK4" s="268" t="str">
        <f>INDEX(Vectors[Description], MATCH(AK$5,Vectors[Code],FALSE))</f>
        <v>Oil reserves</v>
      </c>
      <c r="AL4" s="268" t="str">
        <f>INDEX(Vectors[Description], MATCH(AL$5,Vectors[Code],FALSE))</f>
        <v>Gas reserves</v>
      </c>
      <c r="AM4" s="268" t="str">
        <f>INDEX(Vectors[Description], MATCH(AM$5,Vectors[Code],FALSE))</f>
        <v>Biomass oversupply (imports)</v>
      </c>
      <c r="AN4" s="268" t="str">
        <f>INDEX(Vectors[Description], MATCH(AN$5,Vectors[Code],FALSE))</f>
        <v>Electricity oversupply (imports)</v>
      </c>
      <c r="AO4" s="268" t="str">
        <f>INDEX(Vectors[Description], MATCH(AO$5,Vectors[Code],FALSE))</f>
        <v>Petroleum products oversupply</v>
      </c>
      <c r="AP4" s="268" t="str">
        <f>INDEX(Vectors[Description], MATCH(AP$5,Vectors[Code],FALSE))</f>
        <v>Coal oversupply (imports)</v>
      </c>
      <c r="AQ4" s="268" t="str">
        <f>INDEX(Vectors[Description], MATCH(AQ$5,Vectors[Code],FALSE))</f>
        <v>Oil and petroleum products oversupply (imports)</v>
      </c>
      <c r="AR4" s="268" t="str">
        <f>INDEX(Vectors[Description], MATCH(AR$5,Vectors[Code],FALSE))</f>
        <v>Gas oversupply (imports)</v>
      </c>
      <c r="AS4" s="268" t="str">
        <f>INDEX(Vectors[Description], MATCH(AS$5,Vectors[Code],FALSE))</f>
        <v>Nuclear fission</v>
      </c>
      <c r="AT4" s="268" t="str">
        <f>INDEX(Vectors[Description], MATCH(AT$5,Vectors[Code],FALSE))</f>
        <v>Solar</v>
      </c>
      <c r="AU4" s="268" t="str">
        <f>INDEX(Vectors[Description], MATCH(AU$5,Vectors[Code],FALSE))</f>
        <v>Wind</v>
      </c>
      <c r="AV4" s="268" t="str">
        <f>INDEX(Vectors[Description], MATCH(AV$5,Vectors[Code],FALSE))</f>
        <v>Hydro</v>
      </c>
      <c r="AW4" s="268" t="str">
        <f>INDEX(Vectors[Description], MATCH(AW$5,Vectors[Code],FALSE))</f>
        <v>Agriculture</v>
      </c>
      <c r="AX4" s="268" t="str">
        <f>INDEX(Vectors[Description], MATCH(AX$5,Vectors[Code],FALSE))</f>
        <v>Waste</v>
      </c>
      <c r="AY4" s="286" t="s">
        <v>238</v>
      </c>
      <c r="BA4" s="273" t="str">
        <f>INDEX(Vectors[Description], MATCH(BA$5,Vectors[Code],FALSE))</f>
        <v>Conversion losses</v>
      </c>
      <c r="BB4" s="273" t="str">
        <f>INDEX(Vectors[Description], MATCH(BB$5,Vectors[Code],FALSE))</f>
        <v>Distribution losses and own use</v>
      </c>
      <c r="BC4" s="288" t="s">
        <v>386</v>
      </c>
      <c r="BE4" s="49" t="str">
        <f>INDEX(Vectors[Description], MATCH(BE$5,Vectors[Code],FALSE))</f>
        <v>Unallocated</v>
      </c>
      <c r="BF4" s="49"/>
      <c r="BH4" s="389" t="str">
        <f>INDEX(IPCC[Sector_description], MATCH(BH$5, IPCC[Sector_code], 0))</f>
        <v>Fuel Combustion</v>
      </c>
      <c r="BI4" s="390"/>
      <c r="BJ4" s="390"/>
      <c r="BK4" s="391"/>
      <c r="BL4" s="389" t="str">
        <f>INDEX(IPCC[Sector_description], MATCH(BL$5, IPCC[Sector_code], 0))</f>
        <v>Fugitive Emissions from Fuels</v>
      </c>
      <c r="BM4" s="390"/>
      <c r="BN4" s="390"/>
      <c r="BO4" s="391"/>
      <c r="BP4" s="389" t="str">
        <f>INDEX(IPCC[Sector_description], MATCH(BP$5, IPCC[Sector_code], 0))</f>
        <v>Industrial Processes</v>
      </c>
      <c r="BQ4" s="390"/>
      <c r="BR4" s="390"/>
      <c r="BS4" s="391"/>
      <c r="BT4" s="389" t="str">
        <f>INDEX(IPCC[Sector_description], MATCH(BT$5, IPCC[Sector_code], 0))</f>
        <v>Solvent and Other Product Use</v>
      </c>
      <c r="BU4" s="390"/>
      <c r="BV4" s="390"/>
      <c r="BW4" s="391"/>
      <c r="BX4" s="389" t="str">
        <f>INDEX(IPCC[Sector_description], MATCH(BX$5, IPCC[Sector_code], 0))</f>
        <v>Agriculture</v>
      </c>
      <c r="BY4" s="390"/>
      <c r="BZ4" s="390"/>
      <c r="CA4" s="391"/>
      <c r="CB4" s="389" t="str">
        <f>INDEX(IPCC[Sector_description], MATCH(CB$5, IPCC[Sector_code], 0))</f>
        <v>LULUCF</v>
      </c>
      <c r="CC4" s="390"/>
      <c r="CD4" s="390"/>
      <c r="CE4" s="391"/>
      <c r="CF4" s="389" t="str">
        <f>INDEX(IPCC[Sector_description], MATCH(CF$5, IPCC[Sector_code], 0))</f>
        <v>Waste</v>
      </c>
      <c r="CG4" s="390"/>
      <c r="CH4" s="390"/>
      <c r="CI4" s="391"/>
      <c r="CJ4" s="389" t="str">
        <f>INDEX(IPCC[Sector_description], MATCH(CJ$5, IPCC[Sector_code], 0))</f>
        <v>Other</v>
      </c>
      <c r="CK4" s="390"/>
      <c r="CL4" s="390"/>
      <c r="CM4" s="391"/>
      <c r="CN4" s="389" t="str">
        <f>INDEX(IPCC[Sector_description], MATCH(CN$5, IPCC[Sector_code], 0))</f>
        <v>Bioenergy credit</v>
      </c>
      <c r="CO4" s="390"/>
      <c r="CP4" s="390"/>
      <c r="CQ4" s="391"/>
      <c r="CR4" s="389" t="str">
        <f>INDEX(IPCC[Sector_description], MATCH(CR$5, IPCC[Sector_code], 0))</f>
        <v>Carbon capture</v>
      </c>
      <c r="CS4" s="390"/>
      <c r="CT4" s="390"/>
      <c r="CU4" s="391"/>
      <c r="CW4" s="539" t="s">
        <v>105</v>
      </c>
    </row>
    <row r="5" spans="1:101" x14ac:dyDescent="0.2">
      <c r="D5" s="239" t="s">
        <v>117</v>
      </c>
      <c r="G5" s="271" t="s">
        <v>5</v>
      </c>
      <c r="H5" s="271" t="s">
        <v>44</v>
      </c>
      <c r="I5" s="271" t="s">
        <v>2205</v>
      </c>
      <c r="J5" s="271" t="s">
        <v>9</v>
      </c>
      <c r="K5" s="271" t="s">
        <v>28</v>
      </c>
      <c r="L5" s="271" t="s">
        <v>29</v>
      </c>
      <c r="M5" s="271" t="s">
        <v>30</v>
      </c>
      <c r="N5" s="271" t="s">
        <v>31</v>
      </c>
      <c r="O5" s="271" t="s">
        <v>2336</v>
      </c>
      <c r="P5" s="271"/>
      <c r="R5" s="272" t="s">
        <v>34</v>
      </c>
      <c r="S5" s="272" t="s">
        <v>35</v>
      </c>
      <c r="T5" s="272" t="s">
        <v>36</v>
      </c>
      <c r="U5" s="272" t="s">
        <v>38</v>
      </c>
      <c r="V5" s="272" t="s">
        <v>39</v>
      </c>
      <c r="W5" s="272" t="s">
        <v>2184</v>
      </c>
      <c r="X5" s="272" t="s">
        <v>51</v>
      </c>
      <c r="Y5" s="272" t="s">
        <v>52</v>
      </c>
      <c r="Z5" s="272" t="s">
        <v>53</v>
      </c>
      <c r="AA5" s="272" t="s">
        <v>92</v>
      </c>
      <c r="AB5" s="272" t="s">
        <v>295</v>
      </c>
      <c r="AC5" s="272" t="s">
        <v>871</v>
      </c>
      <c r="AD5" s="272" t="s">
        <v>1161</v>
      </c>
      <c r="AE5" s="272" t="s">
        <v>296</v>
      </c>
      <c r="AF5" s="272" t="s">
        <v>383</v>
      </c>
      <c r="AG5" s="272" t="s">
        <v>1164</v>
      </c>
      <c r="AH5" s="272"/>
      <c r="AJ5" s="269" t="s">
        <v>425</v>
      </c>
      <c r="AK5" s="269" t="s">
        <v>426</v>
      </c>
      <c r="AL5" s="269" t="s">
        <v>427</v>
      </c>
      <c r="AM5" s="269" t="s">
        <v>46</v>
      </c>
      <c r="AN5" s="269" t="s">
        <v>47</v>
      </c>
      <c r="AO5" s="269" t="s">
        <v>323</v>
      </c>
      <c r="AP5" s="269" t="s">
        <v>417</v>
      </c>
      <c r="AQ5" s="269" t="s">
        <v>418</v>
      </c>
      <c r="AR5" s="269" t="s">
        <v>419</v>
      </c>
      <c r="AS5" s="269" t="s">
        <v>6</v>
      </c>
      <c r="AT5" s="269" t="s">
        <v>25</v>
      </c>
      <c r="AU5" s="269" t="s">
        <v>7</v>
      </c>
      <c r="AV5" s="269" t="s">
        <v>8</v>
      </c>
      <c r="AW5" s="269" t="s">
        <v>451</v>
      </c>
      <c r="AX5" s="269" t="s">
        <v>42</v>
      </c>
      <c r="AY5" s="269"/>
      <c r="BA5" s="274" t="s">
        <v>26</v>
      </c>
      <c r="BB5" s="274" t="s">
        <v>27</v>
      </c>
      <c r="BC5" s="274"/>
      <c r="BE5" s="46" t="s">
        <v>48</v>
      </c>
      <c r="BF5" s="46"/>
      <c r="BH5" s="392" t="s">
        <v>483</v>
      </c>
      <c r="BI5" s="393" t="s">
        <v>483</v>
      </c>
      <c r="BJ5" s="393" t="s">
        <v>483</v>
      </c>
      <c r="BK5" s="394" t="s">
        <v>483</v>
      </c>
      <c r="BL5" s="392" t="s">
        <v>482</v>
      </c>
      <c r="BM5" s="393" t="s">
        <v>482</v>
      </c>
      <c r="BN5" s="393" t="s">
        <v>482</v>
      </c>
      <c r="BO5" s="394" t="s">
        <v>482</v>
      </c>
      <c r="BP5" s="392">
        <v>2</v>
      </c>
      <c r="BQ5" s="393">
        <v>2</v>
      </c>
      <c r="BR5" s="393">
        <v>2</v>
      </c>
      <c r="BS5" s="394">
        <v>2</v>
      </c>
      <c r="BT5" s="392">
        <v>3</v>
      </c>
      <c r="BU5" s="393">
        <v>3</v>
      </c>
      <c r="BV5" s="393">
        <v>3</v>
      </c>
      <c r="BW5" s="394">
        <v>3</v>
      </c>
      <c r="BX5" s="392">
        <v>4</v>
      </c>
      <c r="BY5" s="393">
        <v>4</v>
      </c>
      <c r="BZ5" s="393">
        <v>4</v>
      </c>
      <c r="CA5" s="394">
        <v>4</v>
      </c>
      <c r="CB5" s="392">
        <v>5</v>
      </c>
      <c r="CC5" s="393">
        <v>5</v>
      </c>
      <c r="CD5" s="393">
        <v>5</v>
      </c>
      <c r="CE5" s="394">
        <v>5</v>
      </c>
      <c r="CF5" s="392">
        <v>6</v>
      </c>
      <c r="CG5" s="393">
        <v>6</v>
      </c>
      <c r="CH5" s="393">
        <v>6</v>
      </c>
      <c r="CI5" s="394">
        <v>6</v>
      </c>
      <c r="CJ5" s="392">
        <v>7</v>
      </c>
      <c r="CK5" s="393">
        <v>7</v>
      </c>
      <c r="CL5" s="393">
        <v>7</v>
      </c>
      <c r="CM5" s="394">
        <v>7</v>
      </c>
      <c r="CN5" s="392" t="s">
        <v>469</v>
      </c>
      <c r="CO5" s="393" t="s">
        <v>469</v>
      </c>
      <c r="CP5" s="393" t="s">
        <v>469</v>
      </c>
      <c r="CQ5" s="394" t="s">
        <v>469</v>
      </c>
      <c r="CR5" s="392" t="s">
        <v>495</v>
      </c>
      <c r="CS5" s="393" t="s">
        <v>495</v>
      </c>
      <c r="CT5" s="393" t="s">
        <v>495</v>
      </c>
      <c r="CU5" s="394" t="s">
        <v>495</v>
      </c>
    </row>
    <row r="6" spans="1:101" ht="15.75" customHeight="1" x14ac:dyDescent="0.2">
      <c r="G6" s="242"/>
      <c r="H6" s="242"/>
      <c r="I6" s="242"/>
      <c r="J6" s="242"/>
      <c r="K6" s="242"/>
      <c r="L6" s="243"/>
      <c r="M6" s="242"/>
      <c r="N6" s="242"/>
      <c r="O6" s="242"/>
      <c r="P6" s="242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261"/>
      <c r="AV6" s="261"/>
      <c r="AW6" s="261"/>
      <c r="AX6" s="261"/>
      <c r="AY6" s="261"/>
      <c r="BA6" s="275"/>
      <c r="BB6" s="275"/>
      <c r="BC6" s="275"/>
      <c r="BE6" s="52"/>
      <c r="BF6" s="52"/>
      <c r="BH6" s="386" t="s">
        <v>473</v>
      </c>
      <c r="BI6" s="386" t="s">
        <v>474</v>
      </c>
      <c r="BJ6" s="386" t="s">
        <v>475</v>
      </c>
      <c r="BK6" s="386" t="s">
        <v>476</v>
      </c>
      <c r="BL6" s="386" t="s">
        <v>473</v>
      </c>
      <c r="BM6" s="386" t="s">
        <v>474</v>
      </c>
      <c r="BN6" s="386" t="s">
        <v>475</v>
      </c>
      <c r="BO6" s="386" t="s">
        <v>476</v>
      </c>
      <c r="BP6" s="386" t="s">
        <v>473</v>
      </c>
      <c r="BQ6" s="386" t="s">
        <v>474</v>
      </c>
      <c r="BR6" s="386" t="s">
        <v>475</v>
      </c>
      <c r="BS6" s="386" t="s">
        <v>476</v>
      </c>
      <c r="BT6" s="386" t="s">
        <v>473</v>
      </c>
      <c r="BU6" s="386" t="s">
        <v>474</v>
      </c>
      <c r="BV6" s="386" t="s">
        <v>475</v>
      </c>
      <c r="BW6" s="386" t="s">
        <v>476</v>
      </c>
      <c r="BX6" s="386" t="s">
        <v>473</v>
      </c>
      <c r="BY6" s="386" t="s">
        <v>474</v>
      </c>
      <c r="BZ6" s="386" t="s">
        <v>475</v>
      </c>
      <c r="CA6" s="386" t="s">
        <v>476</v>
      </c>
      <c r="CB6" s="386" t="s">
        <v>473</v>
      </c>
      <c r="CC6" s="386" t="s">
        <v>474</v>
      </c>
      <c r="CD6" s="386" t="s">
        <v>475</v>
      </c>
      <c r="CE6" s="386" t="s">
        <v>476</v>
      </c>
      <c r="CF6" s="386" t="s">
        <v>473</v>
      </c>
      <c r="CG6" s="386" t="s">
        <v>474</v>
      </c>
      <c r="CH6" s="386" t="s">
        <v>475</v>
      </c>
      <c r="CI6" s="386" t="s">
        <v>476</v>
      </c>
      <c r="CJ6" s="386" t="s">
        <v>473</v>
      </c>
      <c r="CK6" s="386" t="s">
        <v>474</v>
      </c>
      <c r="CL6" s="386" t="s">
        <v>475</v>
      </c>
      <c r="CM6" s="386" t="s">
        <v>476</v>
      </c>
      <c r="CN6" s="386" t="s">
        <v>473</v>
      </c>
      <c r="CO6" s="386" t="s">
        <v>474</v>
      </c>
      <c r="CP6" s="386" t="s">
        <v>475</v>
      </c>
      <c r="CQ6" s="386" t="s">
        <v>476</v>
      </c>
      <c r="CR6" s="386" t="s">
        <v>473</v>
      </c>
      <c r="CS6" s="386" t="s">
        <v>474</v>
      </c>
      <c r="CT6" s="386" t="s">
        <v>475</v>
      </c>
      <c r="CU6" s="386" t="s">
        <v>476</v>
      </c>
    </row>
    <row r="7" spans="1:101" ht="18" customHeight="1" x14ac:dyDescent="0.2">
      <c r="C7" s="45" t="s">
        <v>188</v>
      </c>
      <c r="D7" s="45"/>
      <c r="E7" s="68"/>
      <c r="G7" s="244"/>
      <c r="H7" s="244"/>
      <c r="I7" s="244"/>
      <c r="J7" s="244"/>
      <c r="K7" s="244"/>
      <c r="L7" s="244"/>
      <c r="M7" s="244"/>
      <c r="N7" s="244"/>
      <c r="O7" s="244"/>
      <c r="P7" s="244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BA7" s="276"/>
      <c r="BB7" s="276"/>
      <c r="BC7" s="276"/>
      <c r="BE7" s="54"/>
      <c r="BF7" s="54"/>
      <c r="BH7" s="387"/>
      <c r="BI7" s="387"/>
      <c r="BJ7" s="387"/>
      <c r="BK7" s="387"/>
      <c r="BL7" s="387"/>
      <c r="BM7" s="387"/>
      <c r="BN7" s="387"/>
      <c r="BO7" s="387"/>
      <c r="BP7" s="387"/>
      <c r="BQ7" s="387"/>
      <c r="BR7" s="387"/>
      <c r="BS7" s="387"/>
      <c r="BT7" s="387"/>
      <c r="BU7" s="387"/>
      <c r="BV7" s="387"/>
      <c r="BW7" s="387"/>
      <c r="BX7" s="387"/>
      <c r="BY7" s="387"/>
      <c r="BZ7" s="387"/>
      <c r="CA7" s="387"/>
      <c r="CB7" s="387"/>
      <c r="CC7" s="387"/>
      <c r="CD7" s="387"/>
      <c r="CE7" s="387"/>
      <c r="CF7" s="387"/>
      <c r="CG7" s="387"/>
      <c r="CH7" s="387"/>
      <c r="CI7" s="387"/>
      <c r="CJ7" s="387"/>
      <c r="CK7" s="387"/>
      <c r="CL7" s="387"/>
      <c r="CM7" s="387"/>
      <c r="CN7" s="387"/>
      <c r="CO7" s="387"/>
      <c r="CP7" s="387"/>
      <c r="CQ7" s="387"/>
      <c r="CR7" s="387"/>
      <c r="CS7" s="387"/>
      <c r="CT7" s="387"/>
      <c r="CU7" s="387"/>
    </row>
    <row r="8" spans="1:101" outlineLevel="1" x14ac:dyDescent="0.2">
      <c r="G8" s="245"/>
      <c r="H8" s="245"/>
      <c r="I8" s="245"/>
      <c r="J8" s="245"/>
      <c r="K8" s="245"/>
      <c r="L8" s="246"/>
      <c r="M8" s="245"/>
      <c r="N8" s="245"/>
      <c r="O8" s="245"/>
      <c r="P8" s="245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J8" s="263"/>
      <c r="AK8" s="263"/>
      <c r="AL8" s="263"/>
      <c r="AM8" s="263"/>
      <c r="AN8" s="263"/>
      <c r="AO8" s="263"/>
      <c r="AP8" s="263"/>
      <c r="AQ8" s="263"/>
      <c r="AR8" s="263"/>
      <c r="AS8" s="263"/>
      <c r="AT8" s="263"/>
      <c r="AU8" s="263"/>
      <c r="AV8" s="263"/>
      <c r="AW8" s="263"/>
      <c r="AX8" s="263"/>
      <c r="AY8" s="263"/>
      <c r="BA8" s="277"/>
      <c r="BB8" s="277"/>
      <c r="BC8" s="277"/>
      <c r="BE8" s="55"/>
      <c r="BF8" s="55"/>
      <c r="BH8" s="388"/>
      <c r="BI8" s="388"/>
      <c r="BJ8" s="388"/>
      <c r="BK8" s="388"/>
      <c r="BL8" s="388"/>
      <c r="BM8" s="388"/>
      <c r="BN8" s="388"/>
      <c r="BO8" s="388"/>
      <c r="BP8" s="388"/>
      <c r="BQ8" s="388"/>
      <c r="BR8" s="388"/>
      <c r="BS8" s="388"/>
      <c r="BT8" s="388"/>
      <c r="BU8" s="388"/>
      <c r="BV8" s="388"/>
      <c r="BW8" s="388"/>
      <c r="BX8" s="388"/>
      <c r="BY8" s="388"/>
      <c r="BZ8" s="388"/>
      <c r="CA8" s="388"/>
      <c r="CB8" s="388"/>
      <c r="CC8" s="388"/>
      <c r="CD8" s="388"/>
      <c r="CE8" s="388"/>
      <c r="CF8" s="388"/>
      <c r="CG8" s="388"/>
      <c r="CH8" s="388"/>
      <c r="CI8" s="388"/>
      <c r="CJ8" s="388"/>
      <c r="CK8" s="388"/>
      <c r="CL8" s="388"/>
      <c r="CM8" s="388"/>
      <c r="CN8" s="388"/>
      <c r="CO8" s="388"/>
      <c r="CP8" s="388"/>
      <c r="CQ8" s="388"/>
      <c r="CR8" s="388"/>
      <c r="CS8" s="388"/>
      <c r="CT8" s="388"/>
      <c r="CU8" s="388"/>
    </row>
    <row r="9" spans="1:101" s="84" customFormat="1" ht="10.5" customHeight="1" outlineLevel="2" x14ac:dyDescent="0.2">
      <c r="A9" s="540"/>
      <c r="B9" s="540"/>
      <c r="C9" s="86" t="s">
        <v>341</v>
      </c>
      <c r="D9" s="540" t="str">
        <f>INDEX(Modules[Module], MATCH($C9, Modules[Code], 0))</f>
        <v>Residential Cooling</v>
      </c>
      <c r="E9" s="61"/>
      <c r="G9" s="297">
        <f ca="1">IFERROR(INDEX(INDIRECT($C9&amp;".Outputs["&amp;this.Year&amp;"]"), MATCH(G$5, INDIRECT($C9&amp;".Outputs[Vector]"), 0)), 0)</f>
        <v>90.481230811821106</v>
      </c>
      <c r="H9" s="297">
        <f t="shared" ref="G9:O11" ca="1" si="0">IFERROR(INDEX(INDIRECT($C9&amp;".Outputs["&amp;this.Year&amp;"]"), MATCH(H$5, INDIRECT($C9&amp;".Outputs[Vector]"), 0)), 0)</f>
        <v>0</v>
      </c>
      <c r="I9" s="297">
        <f t="shared" ca="1" si="0"/>
        <v>0</v>
      </c>
      <c r="J9" s="297">
        <f t="shared" ca="1" si="0"/>
        <v>0</v>
      </c>
      <c r="K9" s="297">
        <f t="shared" ca="1" si="0"/>
        <v>0</v>
      </c>
      <c r="L9" s="297">
        <f t="shared" ca="1" si="0"/>
        <v>0</v>
      </c>
      <c r="M9" s="297">
        <f t="shared" ca="1" si="0"/>
        <v>0</v>
      </c>
      <c r="N9" s="297">
        <f t="shared" ca="1" si="0"/>
        <v>0</v>
      </c>
      <c r="O9" s="297">
        <f t="shared" ca="1" si="0"/>
        <v>0</v>
      </c>
      <c r="P9" s="297">
        <f t="shared" ref="P9:P23" ca="1" si="1">SUM(G9:O9)</f>
        <v>90.481230811821106</v>
      </c>
      <c r="R9" s="304">
        <f t="shared" ref="R9:W9" ca="1" si="2">IFERROR(INDEX(INDIRECT($C9&amp;".Outputs["&amp;this.Year&amp;"]"), MATCH(R$5, INDIRECT($C9&amp;".Outputs[Vector]"), 0)), 0)</f>
        <v>-90.481230811821106</v>
      </c>
      <c r="S9" s="304">
        <f t="shared" ca="1" si="2"/>
        <v>0</v>
      </c>
      <c r="T9" s="304">
        <f t="shared" ca="1" si="2"/>
        <v>0</v>
      </c>
      <c r="U9" s="304">
        <f t="shared" ca="1" si="2"/>
        <v>0</v>
      </c>
      <c r="V9" s="304">
        <f t="shared" ca="1" si="2"/>
        <v>0</v>
      </c>
      <c r="W9" s="304">
        <f t="shared" ca="1" si="2"/>
        <v>0</v>
      </c>
      <c r="X9" s="304">
        <f t="shared" ref="X9:Z9" ca="1" si="3">IFERROR(INDEX(INDIRECT($C9&amp;".Outputs["&amp;this.Year&amp;"]"), MATCH(X$5, INDIRECT($C9&amp;".Outputs[Vector]"), 0)), 0)</f>
        <v>0</v>
      </c>
      <c r="Y9" s="304">
        <f t="shared" ca="1" si="3"/>
        <v>0</v>
      </c>
      <c r="Z9" s="304">
        <f t="shared" ca="1" si="3"/>
        <v>0</v>
      </c>
      <c r="AA9" s="304">
        <f t="shared" ref="AA9:AG9" ca="1" si="4">IFERROR(INDEX(INDIRECT($C9&amp;".Outputs["&amp;this.Year&amp;"]"), MATCH(AA$5, INDIRECT($C9&amp;".Outputs[Vector]"), 0)), 0)</f>
        <v>0</v>
      </c>
      <c r="AB9" s="304">
        <f t="shared" ca="1" si="4"/>
        <v>0</v>
      </c>
      <c r="AC9" s="304">
        <f t="shared" ca="1" si="4"/>
        <v>0</v>
      </c>
      <c r="AD9" s="304">
        <f t="shared" ca="1" si="4"/>
        <v>0</v>
      </c>
      <c r="AE9" s="304">
        <f t="shared" ca="1" si="4"/>
        <v>0</v>
      </c>
      <c r="AF9" s="304">
        <f t="shared" ca="1" si="4"/>
        <v>0</v>
      </c>
      <c r="AG9" s="304">
        <f t="shared" ca="1" si="4"/>
        <v>0</v>
      </c>
      <c r="AH9" s="305">
        <f t="shared" ref="AH9:AH66" ca="1" si="5">SUM(R9:AG9)</f>
        <v>-90.481230811821106</v>
      </c>
      <c r="AJ9" s="312">
        <f t="shared" ref="AJ9:AR9" ca="1" si="6">IFERROR(INDEX(INDIRECT($C9&amp;".Outputs["&amp;this.Year&amp;"]"), MATCH(AJ$5, INDIRECT($C9&amp;".Outputs[Vector]"), 0)), 0)</f>
        <v>0</v>
      </c>
      <c r="AK9" s="312">
        <f t="shared" ca="1" si="6"/>
        <v>0</v>
      </c>
      <c r="AL9" s="312">
        <f t="shared" ca="1" si="6"/>
        <v>0</v>
      </c>
      <c r="AM9" s="312">
        <f t="shared" ca="1" si="6"/>
        <v>0</v>
      </c>
      <c r="AN9" s="312">
        <f t="shared" ca="1" si="6"/>
        <v>0</v>
      </c>
      <c r="AO9" s="312">
        <f t="shared" ca="1" si="6"/>
        <v>0</v>
      </c>
      <c r="AP9" s="312">
        <f t="shared" ca="1" si="6"/>
        <v>0</v>
      </c>
      <c r="AQ9" s="312">
        <f t="shared" ca="1" si="6"/>
        <v>0</v>
      </c>
      <c r="AR9" s="312">
        <f t="shared" ca="1" si="6"/>
        <v>0</v>
      </c>
      <c r="AS9" s="312">
        <f t="shared" ref="AS9:AX9" ca="1" si="7">IFERROR(INDEX(INDIRECT($C9&amp;".Outputs["&amp;this.Year&amp;"]"), MATCH(AS$5, INDIRECT($C9&amp;".Outputs[Vector]"), 0)), 0)</f>
        <v>0</v>
      </c>
      <c r="AT9" s="312">
        <f t="shared" ca="1" si="7"/>
        <v>0</v>
      </c>
      <c r="AU9" s="312">
        <f t="shared" ca="1" si="7"/>
        <v>0</v>
      </c>
      <c r="AV9" s="312">
        <f t="shared" ca="1" si="7"/>
        <v>0</v>
      </c>
      <c r="AW9" s="312">
        <f t="shared" ca="1" si="7"/>
        <v>0</v>
      </c>
      <c r="AX9" s="312">
        <f t="shared" ca="1" si="7"/>
        <v>0</v>
      </c>
      <c r="AY9" s="264">
        <f t="shared" ref="AY9:AY23" ca="1" si="8">SUM(AJ9:AX9)</f>
        <v>0</v>
      </c>
      <c r="BA9" s="308">
        <f t="shared" ref="BA9:BB11" ca="1" si="9">IFERROR(INDEX(INDIRECT($C9&amp;".Outputs["&amp;this.Year&amp;"]"), MATCH(BA$5, INDIRECT($C9&amp;".Outputs[Vector]"), 0)), 0)</f>
        <v>0</v>
      </c>
      <c r="BB9" s="308">
        <f t="shared" ca="1" si="9"/>
        <v>0</v>
      </c>
      <c r="BC9" s="309">
        <f t="shared" ref="BC9:BC66" ca="1" si="10">SUM(BA9:BB9)</f>
        <v>0</v>
      </c>
      <c r="BE9" s="64">
        <f t="shared" ref="BE9:BE33" ca="1" si="11">P9+AH9+AY9+BC9</f>
        <v>0</v>
      </c>
      <c r="BF9" s="64"/>
      <c r="BG9" s="1428"/>
      <c r="BH9" s="541">
        <f t="shared" ref="BH9:BQ9" ca="1" si="12">IFERROR(SUMIFS(INDIRECT($C9&amp;".Emissions["&amp;this.Year&amp;"]"), INDIRECT($C9&amp;".Emissions[GHG]"), BH$6, INDIRECT($C9&amp;".Emissions[IPCC Sector]"), BH$5),0)</f>
        <v>0</v>
      </c>
      <c r="BI9" s="542">
        <f t="shared" ca="1" si="12"/>
        <v>0</v>
      </c>
      <c r="BJ9" s="542">
        <f t="shared" ca="1" si="12"/>
        <v>0</v>
      </c>
      <c r="BK9" s="542">
        <f t="shared" ca="1" si="12"/>
        <v>0</v>
      </c>
      <c r="BL9" s="542">
        <f t="shared" ca="1" si="12"/>
        <v>0</v>
      </c>
      <c r="BM9" s="542">
        <f t="shared" ca="1" si="12"/>
        <v>0</v>
      </c>
      <c r="BN9" s="542">
        <f t="shared" ca="1" si="12"/>
        <v>0</v>
      </c>
      <c r="BO9" s="542">
        <f t="shared" ca="1" si="12"/>
        <v>0</v>
      </c>
      <c r="BP9" s="542">
        <f t="shared" ca="1" si="12"/>
        <v>0</v>
      </c>
      <c r="BQ9" s="542">
        <f t="shared" ca="1" si="12"/>
        <v>0</v>
      </c>
      <c r="BR9" s="542">
        <f t="shared" ref="BR9:CA9" ca="1" si="13">IFERROR(SUMIFS(INDIRECT($C9&amp;".Emissions["&amp;this.Year&amp;"]"), INDIRECT($C9&amp;".Emissions[GHG]"), BR$6, INDIRECT($C9&amp;".Emissions[IPCC Sector]"), BR$5),0)</f>
        <v>0</v>
      </c>
      <c r="BS9" s="542">
        <f t="shared" ca="1" si="13"/>
        <v>0</v>
      </c>
      <c r="BT9" s="542">
        <f t="shared" ca="1" si="13"/>
        <v>0</v>
      </c>
      <c r="BU9" s="542">
        <f t="shared" ca="1" si="13"/>
        <v>0</v>
      </c>
      <c r="BV9" s="542">
        <f t="shared" ca="1" si="13"/>
        <v>0</v>
      </c>
      <c r="BW9" s="542">
        <f t="shared" ca="1" si="13"/>
        <v>0</v>
      </c>
      <c r="BX9" s="542">
        <f t="shared" ca="1" si="13"/>
        <v>0</v>
      </c>
      <c r="BY9" s="542">
        <f t="shared" ca="1" si="13"/>
        <v>0</v>
      </c>
      <c r="BZ9" s="542">
        <f t="shared" ca="1" si="13"/>
        <v>0</v>
      </c>
      <c r="CA9" s="542">
        <f t="shared" ca="1" si="13"/>
        <v>0</v>
      </c>
      <c r="CB9" s="542">
        <f t="shared" ref="CB9:CK9" ca="1" si="14">IFERROR(SUMIFS(INDIRECT($C9&amp;".Emissions["&amp;this.Year&amp;"]"), INDIRECT($C9&amp;".Emissions[GHG]"), CB$6, INDIRECT($C9&amp;".Emissions[IPCC Sector]"), CB$5),0)</f>
        <v>0</v>
      </c>
      <c r="CC9" s="542">
        <f t="shared" ca="1" si="14"/>
        <v>0</v>
      </c>
      <c r="CD9" s="542">
        <f t="shared" ca="1" si="14"/>
        <v>0</v>
      </c>
      <c r="CE9" s="542">
        <f t="shared" ca="1" si="14"/>
        <v>0</v>
      </c>
      <c r="CF9" s="542">
        <f t="shared" ca="1" si="14"/>
        <v>0</v>
      </c>
      <c r="CG9" s="542">
        <f t="shared" ca="1" si="14"/>
        <v>0</v>
      </c>
      <c r="CH9" s="542">
        <f t="shared" ca="1" si="14"/>
        <v>0</v>
      </c>
      <c r="CI9" s="542">
        <f t="shared" ca="1" si="14"/>
        <v>0</v>
      </c>
      <c r="CJ9" s="542">
        <f t="shared" ca="1" si="14"/>
        <v>0</v>
      </c>
      <c r="CK9" s="542">
        <f t="shared" ca="1" si="14"/>
        <v>0</v>
      </c>
      <c r="CL9" s="542">
        <f t="shared" ref="CL9:CU9" ca="1" si="15">IFERROR(SUMIFS(INDIRECT($C9&amp;".Emissions["&amp;this.Year&amp;"]"), INDIRECT($C9&amp;".Emissions[GHG]"), CL$6, INDIRECT($C9&amp;".Emissions[IPCC Sector]"), CL$5),0)</f>
        <v>0</v>
      </c>
      <c r="CM9" s="542">
        <f t="shared" ca="1" si="15"/>
        <v>0</v>
      </c>
      <c r="CN9" s="542">
        <f t="shared" ca="1" si="15"/>
        <v>0</v>
      </c>
      <c r="CO9" s="542">
        <f t="shared" ca="1" si="15"/>
        <v>0</v>
      </c>
      <c r="CP9" s="542">
        <f t="shared" ca="1" si="15"/>
        <v>0</v>
      </c>
      <c r="CQ9" s="542">
        <f t="shared" ca="1" si="15"/>
        <v>0</v>
      </c>
      <c r="CR9" s="542">
        <f t="shared" ca="1" si="15"/>
        <v>0</v>
      </c>
      <c r="CS9" s="542">
        <f t="shared" ca="1" si="15"/>
        <v>0</v>
      </c>
      <c r="CT9" s="542">
        <f t="shared" ca="1" si="15"/>
        <v>0</v>
      </c>
      <c r="CU9" s="542">
        <f t="shared" ca="1" si="15"/>
        <v>0</v>
      </c>
      <c r="CW9" s="151"/>
    </row>
    <row r="10" spans="1:101" s="84" customFormat="1" ht="12.75" customHeight="1" outlineLevel="1" x14ac:dyDescent="0.2">
      <c r="A10" s="543"/>
      <c r="B10" s="543"/>
      <c r="C10" s="86"/>
      <c r="D10" s="543" t="s">
        <v>389</v>
      </c>
      <c r="E10" s="61"/>
      <c r="G10" s="298">
        <f t="shared" ref="G10:O10" ca="1" si="16">SUM(G9:G9)</f>
        <v>90.481230811821106</v>
      </c>
      <c r="H10" s="298">
        <f t="shared" ca="1" si="16"/>
        <v>0</v>
      </c>
      <c r="I10" s="298">
        <f t="shared" ca="1" si="16"/>
        <v>0</v>
      </c>
      <c r="J10" s="298">
        <f t="shared" ca="1" si="16"/>
        <v>0</v>
      </c>
      <c r="K10" s="298">
        <f t="shared" ca="1" si="16"/>
        <v>0</v>
      </c>
      <c r="L10" s="298">
        <f t="shared" ca="1" si="16"/>
        <v>0</v>
      </c>
      <c r="M10" s="298">
        <f t="shared" ca="1" si="16"/>
        <v>0</v>
      </c>
      <c r="N10" s="298">
        <f t="shared" ca="1" si="16"/>
        <v>0</v>
      </c>
      <c r="O10" s="298">
        <f t="shared" ca="1" si="16"/>
        <v>0</v>
      </c>
      <c r="P10" s="298">
        <f t="shared" ca="1" si="1"/>
        <v>90.481230811821106</v>
      </c>
      <c r="R10" s="305">
        <f t="shared" ref="R10:AG10" ca="1" si="17">SUM(R9:R9)</f>
        <v>-90.481230811821106</v>
      </c>
      <c r="S10" s="305">
        <f t="shared" ca="1" si="17"/>
        <v>0</v>
      </c>
      <c r="T10" s="305">
        <f t="shared" ca="1" si="17"/>
        <v>0</v>
      </c>
      <c r="U10" s="305">
        <f t="shared" ca="1" si="17"/>
        <v>0</v>
      </c>
      <c r="V10" s="305">
        <f t="shared" ca="1" si="17"/>
        <v>0</v>
      </c>
      <c r="W10" s="305">
        <f t="shared" ca="1" si="17"/>
        <v>0</v>
      </c>
      <c r="X10" s="305">
        <f t="shared" ca="1" si="17"/>
        <v>0</v>
      </c>
      <c r="Y10" s="305">
        <f t="shared" ca="1" si="17"/>
        <v>0</v>
      </c>
      <c r="Z10" s="305">
        <f t="shared" ca="1" si="17"/>
        <v>0</v>
      </c>
      <c r="AA10" s="305">
        <f t="shared" ca="1" si="17"/>
        <v>0</v>
      </c>
      <c r="AB10" s="305">
        <f t="shared" ca="1" si="17"/>
        <v>0</v>
      </c>
      <c r="AC10" s="305">
        <f t="shared" ca="1" si="17"/>
        <v>0</v>
      </c>
      <c r="AD10" s="305">
        <f t="shared" ca="1" si="17"/>
        <v>0</v>
      </c>
      <c r="AE10" s="305">
        <f t="shared" ca="1" si="17"/>
        <v>0</v>
      </c>
      <c r="AF10" s="305">
        <f t="shared" ca="1" si="17"/>
        <v>0</v>
      </c>
      <c r="AG10" s="305">
        <f t="shared" ca="1" si="17"/>
        <v>0</v>
      </c>
      <c r="AH10" s="305">
        <f t="shared" ca="1" si="5"/>
        <v>-90.481230811821106</v>
      </c>
      <c r="AJ10" s="313">
        <f t="shared" ref="AJ10:AX10" ca="1" si="18">SUM(AJ9:AJ9)</f>
        <v>0</v>
      </c>
      <c r="AK10" s="313">
        <f t="shared" ca="1" si="18"/>
        <v>0</v>
      </c>
      <c r="AL10" s="313">
        <f t="shared" ca="1" si="18"/>
        <v>0</v>
      </c>
      <c r="AM10" s="313">
        <f t="shared" ca="1" si="18"/>
        <v>0</v>
      </c>
      <c r="AN10" s="313">
        <f t="shared" ca="1" si="18"/>
        <v>0</v>
      </c>
      <c r="AO10" s="313">
        <f t="shared" ca="1" si="18"/>
        <v>0</v>
      </c>
      <c r="AP10" s="313">
        <f t="shared" ca="1" si="18"/>
        <v>0</v>
      </c>
      <c r="AQ10" s="313">
        <f t="shared" ca="1" si="18"/>
        <v>0</v>
      </c>
      <c r="AR10" s="313">
        <f t="shared" ca="1" si="18"/>
        <v>0</v>
      </c>
      <c r="AS10" s="313">
        <f t="shared" ca="1" si="18"/>
        <v>0</v>
      </c>
      <c r="AT10" s="313">
        <f t="shared" ca="1" si="18"/>
        <v>0</v>
      </c>
      <c r="AU10" s="313">
        <f t="shared" ca="1" si="18"/>
        <v>0</v>
      </c>
      <c r="AV10" s="313">
        <f t="shared" ca="1" si="18"/>
        <v>0</v>
      </c>
      <c r="AW10" s="313">
        <f t="shared" ca="1" si="18"/>
        <v>0</v>
      </c>
      <c r="AX10" s="313">
        <f t="shared" ca="1" si="18"/>
        <v>0</v>
      </c>
      <c r="AY10" s="266">
        <f t="shared" ca="1" si="8"/>
        <v>0</v>
      </c>
      <c r="BA10" s="309">
        <f ca="1">SUM(BA9:BA9)</f>
        <v>0</v>
      </c>
      <c r="BB10" s="309">
        <f ca="1">SUM(BB9:BB9)</f>
        <v>0</v>
      </c>
      <c r="BC10" s="309">
        <f t="shared" ca="1" si="10"/>
        <v>0</v>
      </c>
      <c r="BE10" s="135">
        <f t="shared" ca="1" si="11"/>
        <v>0</v>
      </c>
      <c r="BF10" s="135"/>
      <c r="BG10" s="1428"/>
      <c r="BH10" s="541">
        <f t="shared" ref="BH10:CU10" ca="1" si="19">SUM(BH9:BH9)</f>
        <v>0</v>
      </c>
      <c r="BI10" s="542">
        <f t="shared" ca="1" si="19"/>
        <v>0</v>
      </c>
      <c r="BJ10" s="542">
        <f t="shared" ca="1" si="19"/>
        <v>0</v>
      </c>
      <c r="BK10" s="542">
        <f t="shared" ca="1" si="19"/>
        <v>0</v>
      </c>
      <c r="BL10" s="542">
        <f t="shared" ca="1" si="19"/>
        <v>0</v>
      </c>
      <c r="BM10" s="542">
        <f t="shared" ca="1" si="19"/>
        <v>0</v>
      </c>
      <c r="BN10" s="542">
        <f t="shared" ca="1" si="19"/>
        <v>0</v>
      </c>
      <c r="BO10" s="542">
        <f t="shared" ca="1" si="19"/>
        <v>0</v>
      </c>
      <c r="BP10" s="542">
        <f t="shared" ca="1" si="19"/>
        <v>0</v>
      </c>
      <c r="BQ10" s="542">
        <f t="shared" ca="1" si="19"/>
        <v>0</v>
      </c>
      <c r="BR10" s="542">
        <f t="shared" ca="1" si="19"/>
        <v>0</v>
      </c>
      <c r="BS10" s="542">
        <f t="shared" ca="1" si="19"/>
        <v>0</v>
      </c>
      <c r="BT10" s="542">
        <f t="shared" ca="1" si="19"/>
        <v>0</v>
      </c>
      <c r="BU10" s="542">
        <f t="shared" ca="1" si="19"/>
        <v>0</v>
      </c>
      <c r="BV10" s="542">
        <f t="shared" ca="1" si="19"/>
        <v>0</v>
      </c>
      <c r="BW10" s="542">
        <f t="shared" ca="1" si="19"/>
        <v>0</v>
      </c>
      <c r="BX10" s="542">
        <f t="shared" ca="1" si="19"/>
        <v>0</v>
      </c>
      <c r="BY10" s="542">
        <f t="shared" ca="1" si="19"/>
        <v>0</v>
      </c>
      <c r="BZ10" s="542">
        <f t="shared" ca="1" si="19"/>
        <v>0</v>
      </c>
      <c r="CA10" s="542">
        <f t="shared" ca="1" si="19"/>
        <v>0</v>
      </c>
      <c r="CB10" s="542">
        <f t="shared" ca="1" si="19"/>
        <v>0</v>
      </c>
      <c r="CC10" s="542">
        <f t="shared" ca="1" si="19"/>
        <v>0</v>
      </c>
      <c r="CD10" s="542">
        <f t="shared" ca="1" si="19"/>
        <v>0</v>
      </c>
      <c r="CE10" s="542">
        <f t="shared" ca="1" si="19"/>
        <v>0</v>
      </c>
      <c r="CF10" s="542">
        <f t="shared" ca="1" si="19"/>
        <v>0</v>
      </c>
      <c r="CG10" s="542">
        <f t="shared" ca="1" si="19"/>
        <v>0</v>
      </c>
      <c r="CH10" s="542">
        <f t="shared" ca="1" si="19"/>
        <v>0</v>
      </c>
      <c r="CI10" s="542">
        <f t="shared" ca="1" si="19"/>
        <v>0</v>
      </c>
      <c r="CJ10" s="542">
        <f t="shared" ca="1" si="19"/>
        <v>0</v>
      </c>
      <c r="CK10" s="542">
        <f t="shared" ca="1" si="19"/>
        <v>0</v>
      </c>
      <c r="CL10" s="542">
        <f t="shared" ca="1" si="19"/>
        <v>0</v>
      </c>
      <c r="CM10" s="542">
        <f t="shared" ca="1" si="19"/>
        <v>0</v>
      </c>
      <c r="CN10" s="542">
        <f t="shared" ca="1" si="19"/>
        <v>0</v>
      </c>
      <c r="CO10" s="542">
        <f t="shared" ca="1" si="19"/>
        <v>0</v>
      </c>
      <c r="CP10" s="542">
        <f t="shared" ca="1" si="19"/>
        <v>0</v>
      </c>
      <c r="CQ10" s="542">
        <f t="shared" ca="1" si="19"/>
        <v>0</v>
      </c>
      <c r="CR10" s="542">
        <f t="shared" ca="1" si="19"/>
        <v>0</v>
      </c>
      <c r="CS10" s="542">
        <f t="shared" ca="1" si="19"/>
        <v>0</v>
      </c>
      <c r="CT10" s="542">
        <f t="shared" ca="1" si="19"/>
        <v>0</v>
      </c>
      <c r="CU10" s="542">
        <f t="shared" ca="1" si="19"/>
        <v>0</v>
      </c>
      <c r="CW10" s="151"/>
    </row>
    <row r="11" spans="1:101" s="84" customFormat="1" ht="10.5" customHeight="1" outlineLevel="2" x14ac:dyDescent="0.2">
      <c r="A11" s="540"/>
      <c r="B11" s="540"/>
      <c r="C11" s="86" t="s">
        <v>388</v>
      </c>
      <c r="D11" s="540" t="str">
        <f>INDEX(Modules[Module], MATCH($C11, Modules[Code], 0))</f>
        <v>Service Sector Cooling</v>
      </c>
      <c r="E11" s="291"/>
      <c r="G11" s="297">
        <f t="shared" ca="1" si="0"/>
        <v>24.342374876529728</v>
      </c>
      <c r="H11" s="297">
        <f t="shared" ca="1" si="0"/>
        <v>0</v>
      </c>
      <c r="I11" s="297">
        <f t="shared" ca="1" si="0"/>
        <v>0</v>
      </c>
      <c r="J11" s="297">
        <f t="shared" ca="1" si="0"/>
        <v>0</v>
      </c>
      <c r="K11" s="297">
        <f t="shared" ca="1" si="0"/>
        <v>0</v>
      </c>
      <c r="L11" s="297">
        <f t="shared" ca="1" si="0"/>
        <v>0</v>
      </c>
      <c r="M11" s="297">
        <f t="shared" ca="1" si="0"/>
        <v>0</v>
      </c>
      <c r="N11" s="297">
        <f t="shared" ca="1" si="0"/>
        <v>0</v>
      </c>
      <c r="O11" s="297">
        <f t="shared" ca="1" si="0"/>
        <v>0</v>
      </c>
      <c r="P11" s="297">
        <f t="shared" ca="1" si="1"/>
        <v>24.342374876529728</v>
      </c>
      <c r="R11" s="304">
        <f t="shared" ref="R11:W11" ca="1" si="20">IFERROR(INDEX(INDIRECT($C11&amp;".Outputs["&amp;this.Year&amp;"]"), MATCH(R$5, INDIRECT($C11&amp;".Outputs[Vector]"), 0)), 0)</f>
        <v>-24.342374876529728</v>
      </c>
      <c r="S11" s="304">
        <f t="shared" ca="1" si="20"/>
        <v>0</v>
      </c>
      <c r="T11" s="304">
        <f t="shared" ca="1" si="20"/>
        <v>0</v>
      </c>
      <c r="U11" s="304">
        <f t="shared" ca="1" si="20"/>
        <v>0</v>
      </c>
      <c r="V11" s="304">
        <f t="shared" ca="1" si="20"/>
        <v>0</v>
      </c>
      <c r="W11" s="304">
        <f t="shared" ca="1" si="20"/>
        <v>0</v>
      </c>
      <c r="X11" s="304">
        <f t="shared" ref="X11:Z11" ca="1" si="21">IFERROR(INDEX(INDIRECT($C11&amp;".Outputs["&amp;this.Year&amp;"]"), MATCH(X$5, INDIRECT($C11&amp;".Outputs[Vector]"), 0)), 0)</f>
        <v>0</v>
      </c>
      <c r="Y11" s="304">
        <f t="shared" ca="1" si="21"/>
        <v>0</v>
      </c>
      <c r="Z11" s="304">
        <f t="shared" ca="1" si="21"/>
        <v>0</v>
      </c>
      <c r="AA11" s="304">
        <f t="shared" ref="AA11:AG11" ca="1" si="22">IFERROR(INDEX(INDIRECT($C11&amp;".Outputs["&amp;this.Year&amp;"]"), MATCH(AA$5, INDIRECT($C11&amp;".Outputs[Vector]"), 0)), 0)</f>
        <v>0</v>
      </c>
      <c r="AB11" s="304">
        <f t="shared" ca="1" si="22"/>
        <v>0</v>
      </c>
      <c r="AC11" s="304">
        <f t="shared" ca="1" si="22"/>
        <v>0</v>
      </c>
      <c r="AD11" s="304">
        <f t="shared" ca="1" si="22"/>
        <v>0</v>
      </c>
      <c r="AE11" s="304">
        <f t="shared" ca="1" si="22"/>
        <v>0</v>
      </c>
      <c r="AF11" s="304">
        <f t="shared" ca="1" si="22"/>
        <v>0</v>
      </c>
      <c r="AG11" s="304">
        <f t="shared" ca="1" si="22"/>
        <v>0</v>
      </c>
      <c r="AH11" s="305">
        <f t="shared" ca="1" si="5"/>
        <v>-24.342374876529728</v>
      </c>
      <c r="AJ11" s="312">
        <f t="shared" ref="AJ11:AR11" ca="1" si="23">IFERROR(INDEX(INDIRECT($C11&amp;".Outputs["&amp;this.Year&amp;"]"), MATCH(AJ$5, INDIRECT($C11&amp;".Outputs[Vector]"), 0)), 0)</f>
        <v>0</v>
      </c>
      <c r="AK11" s="312">
        <f t="shared" ca="1" si="23"/>
        <v>0</v>
      </c>
      <c r="AL11" s="312">
        <f t="shared" ca="1" si="23"/>
        <v>0</v>
      </c>
      <c r="AM11" s="312">
        <f t="shared" ca="1" si="23"/>
        <v>0</v>
      </c>
      <c r="AN11" s="312">
        <f t="shared" ca="1" si="23"/>
        <v>0</v>
      </c>
      <c r="AO11" s="312">
        <f t="shared" ca="1" si="23"/>
        <v>0</v>
      </c>
      <c r="AP11" s="312">
        <f t="shared" ca="1" si="23"/>
        <v>0</v>
      </c>
      <c r="AQ11" s="312">
        <f t="shared" ca="1" si="23"/>
        <v>0</v>
      </c>
      <c r="AR11" s="312">
        <f t="shared" ca="1" si="23"/>
        <v>0</v>
      </c>
      <c r="AS11" s="312">
        <f t="shared" ref="AS11:AX11" ca="1" si="24">IFERROR(INDEX(INDIRECT($C11&amp;".Outputs["&amp;this.Year&amp;"]"), MATCH(AS$5, INDIRECT($C11&amp;".Outputs[Vector]"), 0)), 0)</f>
        <v>0</v>
      </c>
      <c r="AT11" s="312">
        <f t="shared" ca="1" si="24"/>
        <v>0</v>
      </c>
      <c r="AU11" s="312">
        <f t="shared" ca="1" si="24"/>
        <v>0</v>
      </c>
      <c r="AV11" s="312">
        <f t="shared" ca="1" si="24"/>
        <v>0</v>
      </c>
      <c r="AW11" s="312">
        <f t="shared" ca="1" si="24"/>
        <v>0</v>
      </c>
      <c r="AX11" s="312">
        <f t="shared" ca="1" si="24"/>
        <v>0</v>
      </c>
      <c r="AY11" s="264">
        <f t="shared" ca="1" si="8"/>
        <v>0</v>
      </c>
      <c r="BA11" s="308">
        <f t="shared" ca="1" si="9"/>
        <v>0</v>
      </c>
      <c r="BB11" s="308">
        <f t="shared" ca="1" si="9"/>
        <v>0</v>
      </c>
      <c r="BC11" s="309">
        <f t="shared" ca="1" si="10"/>
        <v>0</v>
      </c>
      <c r="BE11" s="64">
        <f t="shared" ca="1" si="11"/>
        <v>0</v>
      </c>
      <c r="BF11" s="64"/>
      <c r="BG11" s="1428"/>
      <c r="BH11" s="541">
        <f t="shared" ref="BH11:BQ11" ca="1" si="25">IFERROR(SUMIFS(INDIRECT($C11&amp;".Emissions["&amp;this.Year&amp;"]"), INDIRECT($C11&amp;".Emissions[GHG]"), BH$6, INDIRECT($C11&amp;".Emissions[IPCC Sector]"), BH$5),0)</f>
        <v>0</v>
      </c>
      <c r="BI11" s="542">
        <f t="shared" ca="1" si="25"/>
        <v>0</v>
      </c>
      <c r="BJ11" s="542">
        <f t="shared" ca="1" si="25"/>
        <v>0</v>
      </c>
      <c r="BK11" s="542">
        <f t="shared" ca="1" si="25"/>
        <v>0</v>
      </c>
      <c r="BL11" s="542">
        <f t="shared" ca="1" si="25"/>
        <v>0</v>
      </c>
      <c r="BM11" s="542">
        <f t="shared" ca="1" si="25"/>
        <v>0</v>
      </c>
      <c r="BN11" s="542">
        <f t="shared" ca="1" si="25"/>
        <v>0</v>
      </c>
      <c r="BO11" s="542">
        <f t="shared" ca="1" si="25"/>
        <v>0</v>
      </c>
      <c r="BP11" s="542">
        <f t="shared" ca="1" si="25"/>
        <v>0</v>
      </c>
      <c r="BQ11" s="542">
        <f t="shared" ca="1" si="25"/>
        <v>0</v>
      </c>
      <c r="BR11" s="542">
        <f t="shared" ref="BR11:CA11" ca="1" si="26">IFERROR(SUMIFS(INDIRECT($C11&amp;".Emissions["&amp;this.Year&amp;"]"), INDIRECT($C11&amp;".Emissions[GHG]"), BR$6, INDIRECT($C11&amp;".Emissions[IPCC Sector]"), BR$5),0)</f>
        <v>0</v>
      </c>
      <c r="BS11" s="542">
        <f t="shared" ca="1" si="26"/>
        <v>0</v>
      </c>
      <c r="BT11" s="542">
        <f t="shared" ca="1" si="26"/>
        <v>0</v>
      </c>
      <c r="BU11" s="542">
        <f t="shared" ca="1" si="26"/>
        <v>0</v>
      </c>
      <c r="BV11" s="542">
        <f t="shared" ca="1" si="26"/>
        <v>0</v>
      </c>
      <c r="BW11" s="542">
        <f t="shared" ca="1" si="26"/>
        <v>0</v>
      </c>
      <c r="BX11" s="542">
        <f t="shared" ca="1" si="26"/>
        <v>0</v>
      </c>
      <c r="BY11" s="542">
        <f t="shared" ca="1" si="26"/>
        <v>0</v>
      </c>
      <c r="BZ11" s="542">
        <f t="shared" ca="1" si="26"/>
        <v>0</v>
      </c>
      <c r="CA11" s="542">
        <f t="shared" ca="1" si="26"/>
        <v>0</v>
      </c>
      <c r="CB11" s="542">
        <f t="shared" ref="CB11:CK11" ca="1" si="27">IFERROR(SUMIFS(INDIRECT($C11&amp;".Emissions["&amp;this.Year&amp;"]"), INDIRECT($C11&amp;".Emissions[GHG]"), CB$6, INDIRECT($C11&amp;".Emissions[IPCC Sector]"), CB$5),0)</f>
        <v>0</v>
      </c>
      <c r="CC11" s="542">
        <f t="shared" ca="1" si="27"/>
        <v>0</v>
      </c>
      <c r="CD11" s="542">
        <f t="shared" ca="1" si="27"/>
        <v>0</v>
      </c>
      <c r="CE11" s="542">
        <f t="shared" ca="1" si="27"/>
        <v>0</v>
      </c>
      <c r="CF11" s="542">
        <f t="shared" ca="1" si="27"/>
        <v>0</v>
      </c>
      <c r="CG11" s="542">
        <f t="shared" ca="1" si="27"/>
        <v>0</v>
      </c>
      <c r="CH11" s="542">
        <f t="shared" ca="1" si="27"/>
        <v>0</v>
      </c>
      <c r="CI11" s="542">
        <f t="shared" ca="1" si="27"/>
        <v>0</v>
      </c>
      <c r="CJ11" s="542">
        <f t="shared" ca="1" si="27"/>
        <v>0</v>
      </c>
      <c r="CK11" s="542">
        <f t="shared" ca="1" si="27"/>
        <v>0</v>
      </c>
      <c r="CL11" s="542">
        <f t="shared" ref="CL11:CU11" ca="1" si="28">IFERROR(SUMIFS(INDIRECT($C11&amp;".Emissions["&amp;this.Year&amp;"]"), INDIRECT($C11&amp;".Emissions[GHG]"), CL$6, INDIRECT($C11&amp;".Emissions[IPCC Sector]"), CL$5),0)</f>
        <v>0</v>
      </c>
      <c r="CM11" s="542">
        <f t="shared" ca="1" si="28"/>
        <v>0</v>
      </c>
      <c r="CN11" s="542">
        <f t="shared" ca="1" si="28"/>
        <v>0</v>
      </c>
      <c r="CO11" s="542">
        <f t="shared" ca="1" si="28"/>
        <v>0</v>
      </c>
      <c r="CP11" s="542">
        <f t="shared" ca="1" si="28"/>
        <v>0</v>
      </c>
      <c r="CQ11" s="542">
        <f t="shared" ca="1" si="28"/>
        <v>0</v>
      </c>
      <c r="CR11" s="542">
        <f t="shared" ca="1" si="28"/>
        <v>0</v>
      </c>
      <c r="CS11" s="542">
        <f t="shared" ca="1" si="28"/>
        <v>0</v>
      </c>
      <c r="CT11" s="542">
        <f t="shared" ca="1" si="28"/>
        <v>0</v>
      </c>
      <c r="CU11" s="542">
        <f t="shared" ca="1" si="28"/>
        <v>0</v>
      </c>
      <c r="CW11" s="151"/>
    </row>
    <row r="12" spans="1:101" s="84" customFormat="1" ht="12.75" customHeight="1" outlineLevel="1" x14ac:dyDescent="0.2">
      <c r="A12" s="543"/>
      <c r="B12" s="543"/>
      <c r="C12" s="86"/>
      <c r="D12" s="292" t="s">
        <v>390</v>
      </c>
      <c r="E12" s="292"/>
      <c r="G12" s="299">
        <f t="shared" ref="G12:O12" ca="1" si="29">SUM(G11:G11)</f>
        <v>24.342374876529728</v>
      </c>
      <c r="H12" s="299">
        <f t="shared" ca="1" si="29"/>
        <v>0</v>
      </c>
      <c r="I12" s="299">
        <f t="shared" ca="1" si="29"/>
        <v>0</v>
      </c>
      <c r="J12" s="299">
        <f t="shared" ca="1" si="29"/>
        <v>0</v>
      </c>
      <c r="K12" s="299">
        <f t="shared" ca="1" si="29"/>
        <v>0</v>
      </c>
      <c r="L12" s="299">
        <f t="shared" ca="1" si="29"/>
        <v>0</v>
      </c>
      <c r="M12" s="299">
        <f t="shared" ca="1" si="29"/>
        <v>0</v>
      </c>
      <c r="N12" s="299">
        <f t="shared" ca="1" si="29"/>
        <v>0</v>
      </c>
      <c r="O12" s="299">
        <f t="shared" ca="1" si="29"/>
        <v>0</v>
      </c>
      <c r="P12" s="299">
        <f t="shared" ca="1" si="1"/>
        <v>24.342374876529728</v>
      </c>
      <c r="R12" s="306">
        <f t="shared" ref="R12:AG12" ca="1" si="30">SUM(R11:R11)</f>
        <v>-24.342374876529728</v>
      </c>
      <c r="S12" s="306">
        <f t="shared" ca="1" si="30"/>
        <v>0</v>
      </c>
      <c r="T12" s="306">
        <f t="shared" ca="1" si="30"/>
        <v>0</v>
      </c>
      <c r="U12" s="306">
        <f t="shared" ca="1" si="30"/>
        <v>0</v>
      </c>
      <c r="V12" s="306">
        <f t="shared" ca="1" si="30"/>
        <v>0</v>
      </c>
      <c r="W12" s="306">
        <f t="shared" ca="1" si="30"/>
        <v>0</v>
      </c>
      <c r="X12" s="306">
        <f t="shared" ca="1" si="30"/>
        <v>0</v>
      </c>
      <c r="Y12" s="306">
        <f t="shared" ca="1" si="30"/>
        <v>0</v>
      </c>
      <c r="Z12" s="306">
        <f t="shared" ca="1" si="30"/>
        <v>0</v>
      </c>
      <c r="AA12" s="306">
        <f t="shared" ca="1" si="30"/>
        <v>0</v>
      </c>
      <c r="AB12" s="306">
        <f t="shared" ca="1" si="30"/>
        <v>0</v>
      </c>
      <c r="AC12" s="306">
        <f t="shared" ca="1" si="30"/>
        <v>0</v>
      </c>
      <c r="AD12" s="306">
        <f t="shared" ca="1" si="30"/>
        <v>0</v>
      </c>
      <c r="AE12" s="306">
        <f t="shared" ca="1" si="30"/>
        <v>0</v>
      </c>
      <c r="AF12" s="306">
        <f t="shared" ca="1" si="30"/>
        <v>0</v>
      </c>
      <c r="AG12" s="306">
        <f t="shared" ca="1" si="30"/>
        <v>0</v>
      </c>
      <c r="AH12" s="306">
        <f t="shared" ca="1" si="5"/>
        <v>-24.342374876529728</v>
      </c>
      <c r="AJ12" s="314">
        <f t="shared" ref="AJ12:AX12" ca="1" si="31">SUM(AJ11:AJ11)</f>
        <v>0</v>
      </c>
      <c r="AK12" s="314">
        <f t="shared" ca="1" si="31"/>
        <v>0</v>
      </c>
      <c r="AL12" s="314">
        <f t="shared" ca="1" si="31"/>
        <v>0</v>
      </c>
      <c r="AM12" s="314">
        <f t="shared" ca="1" si="31"/>
        <v>0</v>
      </c>
      <c r="AN12" s="314">
        <f t="shared" ca="1" si="31"/>
        <v>0</v>
      </c>
      <c r="AO12" s="314">
        <f t="shared" ca="1" si="31"/>
        <v>0</v>
      </c>
      <c r="AP12" s="314">
        <f t="shared" ca="1" si="31"/>
        <v>0</v>
      </c>
      <c r="AQ12" s="314">
        <f t="shared" ca="1" si="31"/>
        <v>0</v>
      </c>
      <c r="AR12" s="314">
        <f t="shared" ca="1" si="31"/>
        <v>0</v>
      </c>
      <c r="AS12" s="314">
        <f t="shared" ca="1" si="31"/>
        <v>0</v>
      </c>
      <c r="AT12" s="314">
        <f t="shared" ca="1" si="31"/>
        <v>0</v>
      </c>
      <c r="AU12" s="314">
        <f t="shared" ca="1" si="31"/>
        <v>0</v>
      </c>
      <c r="AV12" s="314">
        <f t="shared" ca="1" si="31"/>
        <v>0</v>
      </c>
      <c r="AW12" s="314">
        <f t="shared" ca="1" si="31"/>
        <v>0</v>
      </c>
      <c r="AX12" s="314">
        <f t="shared" ca="1" si="31"/>
        <v>0</v>
      </c>
      <c r="AY12" s="293">
        <f t="shared" ca="1" si="8"/>
        <v>0</v>
      </c>
      <c r="BA12" s="310">
        <f ca="1">SUM(BA11:BA11)</f>
        <v>0</v>
      </c>
      <c r="BB12" s="310">
        <f ca="1">SUM(BB11:BB11)</f>
        <v>0</v>
      </c>
      <c r="BC12" s="310">
        <f t="shared" ca="1" si="10"/>
        <v>0</v>
      </c>
      <c r="BE12" s="135">
        <f t="shared" ca="1" si="11"/>
        <v>0</v>
      </c>
      <c r="BF12" s="135"/>
      <c r="BG12" s="1428"/>
      <c r="BH12" s="544">
        <f t="shared" ref="BH12:CU12" ca="1" si="32">SUM(BH11:BH11)</f>
        <v>0</v>
      </c>
      <c r="BI12" s="545">
        <f t="shared" ca="1" si="32"/>
        <v>0</v>
      </c>
      <c r="BJ12" s="545">
        <f t="shared" ca="1" si="32"/>
        <v>0</v>
      </c>
      <c r="BK12" s="545">
        <f t="shared" ca="1" si="32"/>
        <v>0</v>
      </c>
      <c r="BL12" s="545">
        <f t="shared" ca="1" si="32"/>
        <v>0</v>
      </c>
      <c r="BM12" s="545">
        <f t="shared" ca="1" si="32"/>
        <v>0</v>
      </c>
      <c r="BN12" s="545">
        <f t="shared" ca="1" si="32"/>
        <v>0</v>
      </c>
      <c r="BO12" s="545">
        <f t="shared" ca="1" si="32"/>
        <v>0</v>
      </c>
      <c r="BP12" s="545">
        <f t="shared" ca="1" si="32"/>
        <v>0</v>
      </c>
      <c r="BQ12" s="545">
        <f t="shared" ca="1" si="32"/>
        <v>0</v>
      </c>
      <c r="BR12" s="545">
        <f t="shared" ca="1" si="32"/>
        <v>0</v>
      </c>
      <c r="BS12" s="545">
        <f t="shared" ca="1" si="32"/>
        <v>0</v>
      </c>
      <c r="BT12" s="545">
        <f t="shared" ca="1" si="32"/>
        <v>0</v>
      </c>
      <c r="BU12" s="545">
        <f t="shared" ca="1" si="32"/>
        <v>0</v>
      </c>
      <c r="BV12" s="545">
        <f t="shared" ca="1" si="32"/>
        <v>0</v>
      </c>
      <c r="BW12" s="545">
        <f t="shared" ca="1" si="32"/>
        <v>0</v>
      </c>
      <c r="BX12" s="545">
        <f t="shared" ca="1" si="32"/>
        <v>0</v>
      </c>
      <c r="BY12" s="545">
        <f t="shared" ca="1" si="32"/>
        <v>0</v>
      </c>
      <c r="BZ12" s="545">
        <f t="shared" ca="1" si="32"/>
        <v>0</v>
      </c>
      <c r="CA12" s="545">
        <f t="shared" ca="1" si="32"/>
        <v>0</v>
      </c>
      <c r="CB12" s="545">
        <f t="shared" ca="1" si="32"/>
        <v>0</v>
      </c>
      <c r="CC12" s="545">
        <f t="shared" ca="1" si="32"/>
        <v>0</v>
      </c>
      <c r="CD12" s="545">
        <f t="shared" ca="1" si="32"/>
        <v>0</v>
      </c>
      <c r="CE12" s="545">
        <f t="shared" ca="1" si="32"/>
        <v>0</v>
      </c>
      <c r="CF12" s="545">
        <f t="shared" ca="1" si="32"/>
        <v>0</v>
      </c>
      <c r="CG12" s="545">
        <f t="shared" ca="1" si="32"/>
        <v>0</v>
      </c>
      <c r="CH12" s="545">
        <f t="shared" ca="1" si="32"/>
        <v>0</v>
      </c>
      <c r="CI12" s="545">
        <f t="shared" ca="1" si="32"/>
        <v>0</v>
      </c>
      <c r="CJ12" s="545">
        <f t="shared" ca="1" si="32"/>
        <v>0</v>
      </c>
      <c r="CK12" s="545">
        <f t="shared" ca="1" si="32"/>
        <v>0</v>
      </c>
      <c r="CL12" s="545">
        <f t="shared" ca="1" si="32"/>
        <v>0</v>
      </c>
      <c r="CM12" s="545">
        <f t="shared" ca="1" si="32"/>
        <v>0</v>
      </c>
      <c r="CN12" s="545">
        <f t="shared" ca="1" si="32"/>
        <v>0</v>
      </c>
      <c r="CO12" s="545">
        <f t="shared" ca="1" si="32"/>
        <v>0</v>
      </c>
      <c r="CP12" s="545">
        <f t="shared" ca="1" si="32"/>
        <v>0</v>
      </c>
      <c r="CQ12" s="545">
        <f t="shared" ca="1" si="32"/>
        <v>0</v>
      </c>
      <c r="CR12" s="545">
        <f t="shared" ca="1" si="32"/>
        <v>0</v>
      </c>
      <c r="CS12" s="545">
        <f t="shared" ca="1" si="32"/>
        <v>0</v>
      </c>
      <c r="CT12" s="545">
        <f t="shared" ca="1" si="32"/>
        <v>0</v>
      </c>
      <c r="CU12" s="545">
        <f t="shared" ca="1" si="32"/>
        <v>0</v>
      </c>
      <c r="CW12" s="151"/>
    </row>
    <row r="13" spans="1:101" s="84" customFormat="1" ht="15.75" x14ac:dyDescent="0.2">
      <c r="A13" s="18"/>
      <c r="B13" s="89"/>
      <c r="C13" s="85" t="s">
        <v>229</v>
      </c>
      <c r="D13" s="57" t="str">
        <f>INDEX(Workstreams[Workstream], MATCH($C13, Workstreams[Code], 0))</f>
        <v>Cooling</v>
      </c>
      <c r="E13" s="53"/>
      <c r="G13" s="300">
        <f t="shared" ref="G13:O13" ca="1" si="33">G12+G10</f>
        <v>114.82360568835084</v>
      </c>
      <c r="H13" s="300">
        <f t="shared" ca="1" si="33"/>
        <v>0</v>
      </c>
      <c r="I13" s="300">
        <f t="shared" ca="1" si="33"/>
        <v>0</v>
      </c>
      <c r="J13" s="300">
        <f t="shared" ca="1" si="33"/>
        <v>0</v>
      </c>
      <c r="K13" s="300">
        <f t="shared" ca="1" si="33"/>
        <v>0</v>
      </c>
      <c r="L13" s="300">
        <f t="shared" ca="1" si="33"/>
        <v>0</v>
      </c>
      <c r="M13" s="300">
        <f t="shared" ca="1" si="33"/>
        <v>0</v>
      </c>
      <c r="N13" s="300">
        <f t="shared" ca="1" si="33"/>
        <v>0</v>
      </c>
      <c r="O13" s="300">
        <f t="shared" ca="1" si="33"/>
        <v>0</v>
      </c>
      <c r="P13" s="300">
        <f t="shared" ca="1" si="1"/>
        <v>114.82360568835084</v>
      </c>
      <c r="R13" s="257">
        <f t="shared" ref="R13:AG13" ca="1" si="34">R12+R10</f>
        <v>-114.82360568835084</v>
      </c>
      <c r="S13" s="257">
        <f t="shared" ca="1" si="34"/>
        <v>0</v>
      </c>
      <c r="T13" s="257">
        <f t="shared" ca="1" si="34"/>
        <v>0</v>
      </c>
      <c r="U13" s="257">
        <f t="shared" ca="1" si="34"/>
        <v>0</v>
      </c>
      <c r="V13" s="257">
        <f t="shared" ca="1" si="34"/>
        <v>0</v>
      </c>
      <c r="W13" s="257">
        <f t="shared" ca="1" si="34"/>
        <v>0</v>
      </c>
      <c r="X13" s="257">
        <f t="shared" ca="1" si="34"/>
        <v>0</v>
      </c>
      <c r="Y13" s="257">
        <f t="shared" ca="1" si="34"/>
        <v>0</v>
      </c>
      <c r="Z13" s="257">
        <f t="shared" ca="1" si="34"/>
        <v>0</v>
      </c>
      <c r="AA13" s="257">
        <f t="shared" ca="1" si="34"/>
        <v>0</v>
      </c>
      <c r="AB13" s="257">
        <f t="shared" ca="1" si="34"/>
        <v>0</v>
      </c>
      <c r="AC13" s="257">
        <f t="shared" ca="1" si="34"/>
        <v>0</v>
      </c>
      <c r="AD13" s="257">
        <f t="shared" ca="1" si="34"/>
        <v>0</v>
      </c>
      <c r="AE13" s="257">
        <f t="shared" ca="1" si="34"/>
        <v>0</v>
      </c>
      <c r="AF13" s="257">
        <f t="shared" ca="1" si="34"/>
        <v>0</v>
      </c>
      <c r="AG13" s="257">
        <f t="shared" ca="1" si="34"/>
        <v>0</v>
      </c>
      <c r="AH13" s="257">
        <f t="shared" ca="1" si="5"/>
        <v>-114.82360568835084</v>
      </c>
      <c r="AJ13" s="263">
        <f t="shared" ref="AJ13:AX13" ca="1" si="35">AJ12+AJ10</f>
        <v>0</v>
      </c>
      <c r="AK13" s="263">
        <f t="shared" ca="1" si="35"/>
        <v>0</v>
      </c>
      <c r="AL13" s="263">
        <f t="shared" ca="1" si="35"/>
        <v>0</v>
      </c>
      <c r="AM13" s="263">
        <f t="shared" ca="1" si="35"/>
        <v>0</v>
      </c>
      <c r="AN13" s="263">
        <f t="shared" ca="1" si="35"/>
        <v>0</v>
      </c>
      <c r="AO13" s="263">
        <f t="shared" ca="1" si="35"/>
        <v>0</v>
      </c>
      <c r="AP13" s="263">
        <f t="shared" ca="1" si="35"/>
        <v>0</v>
      </c>
      <c r="AQ13" s="263">
        <f t="shared" ca="1" si="35"/>
        <v>0</v>
      </c>
      <c r="AR13" s="263">
        <f t="shared" ca="1" si="35"/>
        <v>0</v>
      </c>
      <c r="AS13" s="263">
        <f t="shared" ca="1" si="35"/>
        <v>0</v>
      </c>
      <c r="AT13" s="263">
        <f t="shared" ca="1" si="35"/>
        <v>0</v>
      </c>
      <c r="AU13" s="263">
        <f t="shared" ca="1" si="35"/>
        <v>0</v>
      </c>
      <c r="AV13" s="263">
        <f t="shared" ca="1" si="35"/>
        <v>0</v>
      </c>
      <c r="AW13" s="263">
        <f t="shared" ca="1" si="35"/>
        <v>0</v>
      </c>
      <c r="AX13" s="263">
        <f t="shared" ca="1" si="35"/>
        <v>0</v>
      </c>
      <c r="AY13" s="263">
        <f t="shared" ca="1" si="8"/>
        <v>0</v>
      </c>
      <c r="BA13" s="277">
        <f ca="1">BA12+BA10</f>
        <v>0</v>
      </c>
      <c r="BB13" s="277">
        <f ca="1">BB12+BB10</f>
        <v>0</v>
      </c>
      <c r="BC13" s="277">
        <f t="shared" ca="1" si="10"/>
        <v>0</v>
      </c>
      <c r="BE13" s="55">
        <f t="shared" ca="1" si="11"/>
        <v>0</v>
      </c>
      <c r="BF13" s="55"/>
      <c r="BG13" s="1428"/>
      <c r="BH13" s="542">
        <f t="shared" ref="BH13:CU13" ca="1" si="36">BH12+BH10</f>
        <v>0</v>
      </c>
      <c r="BI13" s="542">
        <f t="shared" ca="1" si="36"/>
        <v>0</v>
      </c>
      <c r="BJ13" s="542">
        <f t="shared" ca="1" si="36"/>
        <v>0</v>
      </c>
      <c r="BK13" s="542">
        <f t="shared" ca="1" si="36"/>
        <v>0</v>
      </c>
      <c r="BL13" s="542">
        <f t="shared" ca="1" si="36"/>
        <v>0</v>
      </c>
      <c r="BM13" s="542">
        <f t="shared" ca="1" si="36"/>
        <v>0</v>
      </c>
      <c r="BN13" s="542">
        <f t="shared" ca="1" si="36"/>
        <v>0</v>
      </c>
      <c r="BO13" s="542">
        <f t="shared" ca="1" si="36"/>
        <v>0</v>
      </c>
      <c r="BP13" s="542">
        <f t="shared" ca="1" si="36"/>
        <v>0</v>
      </c>
      <c r="BQ13" s="542">
        <f t="shared" ca="1" si="36"/>
        <v>0</v>
      </c>
      <c r="BR13" s="542">
        <f t="shared" ca="1" si="36"/>
        <v>0</v>
      </c>
      <c r="BS13" s="542">
        <f t="shared" ca="1" si="36"/>
        <v>0</v>
      </c>
      <c r="BT13" s="542">
        <f t="shared" ca="1" si="36"/>
        <v>0</v>
      </c>
      <c r="BU13" s="542">
        <f t="shared" ca="1" si="36"/>
        <v>0</v>
      </c>
      <c r="BV13" s="542">
        <f t="shared" ca="1" si="36"/>
        <v>0</v>
      </c>
      <c r="BW13" s="542">
        <f t="shared" ca="1" si="36"/>
        <v>0</v>
      </c>
      <c r="BX13" s="542">
        <f t="shared" ca="1" si="36"/>
        <v>0</v>
      </c>
      <c r="BY13" s="542">
        <f t="shared" ca="1" si="36"/>
        <v>0</v>
      </c>
      <c r="BZ13" s="542">
        <f t="shared" ca="1" si="36"/>
        <v>0</v>
      </c>
      <c r="CA13" s="542">
        <f t="shared" ca="1" si="36"/>
        <v>0</v>
      </c>
      <c r="CB13" s="542">
        <f t="shared" ca="1" si="36"/>
        <v>0</v>
      </c>
      <c r="CC13" s="542">
        <f t="shared" ca="1" si="36"/>
        <v>0</v>
      </c>
      <c r="CD13" s="542">
        <f t="shared" ca="1" si="36"/>
        <v>0</v>
      </c>
      <c r="CE13" s="542">
        <f t="shared" ca="1" si="36"/>
        <v>0</v>
      </c>
      <c r="CF13" s="542">
        <f t="shared" ca="1" si="36"/>
        <v>0</v>
      </c>
      <c r="CG13" s="542">
        <f t="shared" ca="1" si="36"/>
        <v>0</v>
      </c>
      <c r="CH13" s="542">
        <f t="shared" ca="1" si="36"/>
        <v>0</v>
      </c>
      <c r="CI13" s="542">
        <f t="shared" ca="1" si="36"/>
        <v>0</v>
      </c>
      <c r="CJ13" s="542">
        <f t="shared" ca="1" si="36"/>
        <v>0</v>
      </c>
      <c r="CK13" s="542">
        <f t="shared" ca="1" si="36"/>
        <v>0</v>
      </c>
      <c r="CL13" s="542">
        <f t="shared" ca="1" si="36"/>
        <v>0</v>
      </c>
      <c r="CM13" s="542">
        <f t="shared" ca="1" si="36"/>
        <v>0</v>
      </c>
      <c r="CN13" s="542">
        <f t="shared" ca="1" si="36"/>
        <v>0</v>
      </c>
      <c r="CO13" s="542">
        <f t="shared" ca="1" si="36"/>
        <v>0</v>
      </c>
      <c r="CP13" s="542">
        <f t="shared" ca="1" si="36"/>
        <v>0</v>
      </c>
      <c r="CQ13" s="542">
        <f t="shared" ca="1" si="36"/>
        <v>0</v>
      </c>
      <c r="CR13" s="542">
        <f t="shared" ca="1" si="36"/>
        <v>0</v>
      </c>
      <c r="CS13" s="542">
        <f t="shared" ca="1" si="36"/>
        <v>0</v>
      </c>
      <c r="CT13" s="542">
        <f t="shared" ca="1" si="36"/>
        <v>0</v>
      </c>
      <c r="CU13" s="542">
        <f t="shared" ca="1" si="36"/>
        <v>0</v>
      </c>
      <c r="CW13" s="151">
        <f t="shared" ref="CW13:CW26" ca="1" si="37">SUM(BH13:CU13)</f>
        <v>0</v>
      </c>
    </row>
    <row r="14" spans="1:101" s="84" customFormat="1" outlineLevel="1" x14ac:dyDescent="0.2">
      <c r="A14" s="543"/>
      <c r="B14" s="543"/>
      <c r="C14" s="86"/>
      <c r="D14" s="61"/>
      <c r="E14" s="61"/>
      <c r="G14" s="298"/>
      <c r="H14" s="298"/>
      <c r="I14" s="298"/>
      <c r="J14" s="298"/>
      <c r="K14" s="298"/>
      <c r="L14" s="298"/>
      <c r="M14" s="298"/>
      <c r="N14" s="298"/>
      <c r="O14" s="298"/>
      <c r="P14" s="298">
        <f t="shared" si="1"/>
        <v>0</v>
      </c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5">
        <f t="shared" si="5"/>
        <v>0</v>
      </c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266">
        <f t="shared" si="8"/>
        <v>0</v>
      </c>
      <c r="BA14" s="309"/>
      <c r="BB14" s="309"/>
      <c r="BC14" s="309">
        <f t="shared" si="10"/>
        <v>0</v>
      </c>
      <c r="BE14" s="135">
        <f t="shared" si="11"/>
        <v>0</v>
      </c>
      <c r="BF14" s="135"/>
      <c r="BG14" s="543"/>
      <c r="BH14" s="541"/>
      <c r="BI14" s="542"/>
      <c r="BJ14" s="542"/>
      <c r="BK14" s="542"/>
      <c r="BL14" s="542"/>
      <c r="BM14" s="542"/>
      <c r="BN14" s="542"/>
      <c r="BO14" s="542"/>
      <c r="BP14" s="542"/>
      <c r="BQ14" s="542"/>
      <c r="BR14" s="542"/>
      <c r="BS14" s="542"/>
      <c r="BT14" s="542"/>
      <c r="BU14" s="542"/>
      <c r="BV14" s="542"/>
      <c r="BW14" s="542"/>
      <c r="BX14" s="542"/>
      <c r="BY14" s="542"/>
      <c r="BZ14" s="542"/>
      <c r="CA14" s="542"/>
      <c r="CB14" s="542"/>
      <c r="CC14" s="542"/>
      <c r="CD14" s="542"/>
      <c r="CE14" s="542"/>
      <c r="CF14" s="542"/>
      <c r="CG14" s="542"/>
      <c r="CH14" s="542"/>
      <c r="CI14" s="542"/>
      <c r="CJ14" s="542"/>
      <c r="CK14" s="542"/>
      <c r="CL14" s="542"/>
      <c r="CM14" s="542"/>
      <c r="CN14" s="542"/>
      <c r="CO14" s="542"/>
      <c r="CP14" s="542"/>
      <c r="CQ14" s="542"/>
      <c r="CR14" s="542"/>
      <c r="CS14" s="542"/>
      <c r="CT14" s="542"/>
      <c r="CU14" s="542"/>
      <c r="CW14" s="151">
        <f t="shared" si="37"/>
        <v>0</v>
      </c>
    </row>
    <row r="15" spans="1:101" s="84" customFormat="1" ht="12.75" customHeight="1" outlineLevel="1" x14ac:dyDescent="0.2">
      <c r="A15" s="543"/>
      <c r="B15" s="543"/>
      <c r="C15" s="86" t="s">
        <v>392</v>
      </c>
      <c r="D15" s="540" t="str">
        <f>INDEX(Modules[Module], MATCH($C15, Modules[Code], 0))</f>
        <v>Residential Lighting, Appliances, and Cooking</v>
      </c>
      <c r="E15" s="291"/>
      <c r="G15" s="297">
        <f t="shared" ref="G15:O16" ca="1" si="38">IFERROR(INDEX(INDIRECT($C15&amp;".Outputs["&amp;this.Year&amp;"]"), MATCH(G$5, INDIRECT($C15&amp;".Outputs[Vector]"), 0)), 0)</f>
        <v>0</v>
      </c>
      <c r="H15" s="297">
        <f t="shared" ca="1" si="38"/>
        <v>414.47798462598342</v>
      </c>
      <c r="I15" s="297">
        <f t="shared" ca="1" si="38"/>
        <v>205.18027450009868</v>
      </c>
      <c r="J15" s="297">
        <f t="shared" ca="1" si="38"/>
        <v>0</v>
      </c>
      <c r="K15" s="297">
        <f t="shared" ca="1" si="38"/>
        <v>0</v>
      </c>
      <c r="L15" s="297">
        <f t="shared" ca="1" si="38"/>
        <v>0</v>
      </c>
      <c r="M15" s="297">
        <f t="shared" ca="1" si="38"/>
        <v>0</v>
      </c>
      <c r="N15" s="297">
        <f t="shared" ca="1" si="38"/>
        <v>0</v>
      </c>
      <c r="O15" s="297">
        <f t="shared" ca="1" si="38"/>
        <v>0</v>
      </c>
      <c r="P15" s="297">
        <f t="shared" ca="1" si="1"/>
        <v>619.65825912608216</v>
      </c>
      <c r="R15" s="304">
        <f t="shared" ref="R15:AX16" ca="1" si="39">IFERROR(INDEX(INDIRECT($C15&amp;".Outputs["&amp;this.Year&amp;"]"), MATCH(R$5, INDIRECT($C15&amp;".Outputs[Vector]"), 0)), 0)</f>
        <v>-446.79387785974899</v>
      </c>
      <c r="S15" s="304">
        <f t="shared" ca="1" si="39"/>
        <v>0</v>
      </c>
      <c r="T15" s="304">
        <f t="shared" ca="1" si="39"/>
        <v>0</v>
      </c>
      <c r="U15" s="304">
        <f t="shared" ca="1" si="39"/>
        <v>-43.08785764502074</v>
      </c>
      <c r="V15" s="304">
        <f t="shared" ca="1" si="39"/>
        <v>-64.11883578128085</v>
      </c>
      <c r="W15" s="304">
        <f t="shared" ca="1" si="39"/>
        <v>-65.657687840031599</v>
      </c>
      <c r="X15" s="304">
        <f t="shared" ref="X15:Z16" ca="1" si="40">IFERROR(INDEX(INDIRECT($C15&amp;".Outputs["&amp;this.Year&amp;"]"), MATCH(X$5, INDIRECT($C15&amp;".Outputs[Vector]"), 0)), 0)</f>
        <v>0</v>
      </c>
      <c r="Y15" s="304">
        <f t="shared" ca="1" si="40"/>
        <v>0</v>
      </c>
      <c r="Z15" s="304">
        <f t="shared" ca="1" si="40"/>
        <v>0</v>
      </c>
      <c r="AA15" s="304">
        <f t="shared" ca="1" si="39"/>
        <v>0</v>
      </c>
      <c r="AB15" s="304">
        <f t="shared" ca="1" si="39"/>
        <v>0</v>
      </c>
      <c r="AC15" s="304">
        <f t="shared" ca="1" si="39"/>
        <v>0</v>
      </c>
      <c r="AD15" s="304">
        <f t="shared" ca="1" si="39"/>
        <v>0</v>
      </c>
      <c r="AE15" s="304">
        <f t="shared" ca="1" si="39"/>
        <v>0</v>
      </c>
      <c r="AF15" s="304">
        <f t="shared" ca="1" si="39"/>
        <v>0</v>
      </c>
      <c r="AG15" s="304">
        <f t="shared" ca="1" si="39"/>
        <v>0</v>
      </c>
      <c r="AH15" s="305">
        <f t="shared" ca="1" si="5"/>
        <v>-619.65825912608216</v>
      </c>
      <c r="AJ15" s="312">
        <f t="shared" ref="AJ15:AR16" ca="1" si="41">IFERROR(INDEX(INDIRECT($C15&amp;".Outputs["&amp;this.Year&amp;"]"), MATCH(AJ$5, INDIRECT($C15&amp;".Outputs[Vector]"), 0)), 0)</f>
        <v>0</v>
      </c>
      <c r="AK15" s="312">
        <f t="shared" ca="1" si="41"/>
        <v>0</v>
      </c>
      <c r="AL15" s="312">
        <f t="shared" ca="1" si="41"/>
        <v>0</v>
      </c>
      <c r="AM15" s="312">
        <f t="shared" ca="1" si="41"/>
        <v>0</v>
      </c>
      <c r="AN15" s="312">
        <f t="shared" ca="1" si="41"/>
        <v>0</v>
      </c>
      <c r="AO15" s="312">
        <f t="shared" ca="1" si="41"/>
        <v>0</v>
      </c>
      <c r="AP15" s="312">
        <f t="shared" ca="1" si="41"/>
        <v>0</v>
      </c>
      <c r="AQ15" s="312">
        <f t="shared" ca="1" si="41"/>
        <v>0</v>
      </c>
      <c r="AR15" s="312">
        <f t="shared" ca="1" si="41"/>
        <v>0</v>
      </c>
      <c r="AS15" s="312">
        <f t="shared" ca="1" si="39"/>
        <v>0</v>
      </c>
      <c r="AT15" s="312">
        <f t="shared" ca="1" si="39"/>
        <v>0</v>
      </c>
      <c r="AU15" s="312">
        <f t="shared" ca="1" si="39"/>
        <v>0</v>
      </c>
      <c r="AV15" s="312">
        <f t="shared" ca="1" si="39"/>
        <v>0</v>
      </c>
      <c r="AW15" s="312">
        <f t="shared" ca="1" si="39"/>
        <v>0</v>
      </c>
      <c r="AX15" s="312">
        <f t="shared" ca="1" si="39"/>
        <v>0</v>
      </c>
      <c r="AY15" s="266">
        <f t="shared" ca="1" si="8"/>
        <v>0</v>
      </c>
      <c r="BA15" s="308">
        <f ca="1">IFERROR(INDEX(INDIRECT($C15&amp;".Outputs["&amp;this.Year&amp;"]"), MATCH(BA$5, INDIRECT($C15&amp;".Outputs[Vector]"), 0)), 0)</f>
        <v>0</v>
      </c>
      <c r="BB15" s="308">
        <f ca="1">IFERROR(INDEX(INDIRECT($C15&amp;".Outputs["&amp;this.Year&amp;"]"), MATCH(BB$5, INDIRECT($C15&amp;".Outputs[Vector]"), 0)), 0)</f>
        <v>0</v>
      </c>
      <c r="BC15" s="309">
        <f t="shared" ca="1" si="10"/>
        <v>0</v>
      </c>
      <c r="BE15" s="135">
        <f t="shared" ca="1" si="11"/>
        <v>0</v>
      </c>
      <c r="BF15" s="135"/>
      <c r="BG15" s="1428"/>
      <c r="BH15" s="541">
        <f t="shared" ref="BH15:BQ16" ca="1" si="42">IFERROR(SUMIFS(INDIRECT($C15&amp;".Emissions["&amp;this.Year&amp;"]"), INDIRECT($C15&amp;".Emissions[GHG]"), BH$6, INDIRECT($C15&amp;".Emissions[IPCC Sector]"), BH$5),0)</f>
        <v>22.569830195010859</v>
      </c>
      <c r="BI15" s="542">
        <f t="shared" ca="1" si="42"/>
        <v>22.569830195010859</v>
      </c>
      <c r="BJ15" s="542">
        <f t="shared" ca="1" si="42"/>
        <v>22.569830195010859</v>
      </c>
      <c r="BK15" s="542">
        <f t="shared" ca="1" si="42"/>
        <v>0</v>
      </c>
      <c r="BL15" s="542">
        <f t="shared" ca="1" si="42"/>
        <v>0</v>
      </c>
      <c r="BM15" s="542">
        <f t="shared" ca="1" si="42"/>
        <v>0</v>
      </c>
      <c r="BN15" s="542">
        <f t="shared" ca="1" si="42"/>
        <v>0</v>
      </c>
      <c r="BO15" s="542">
        <f t="shared" ca="1" si="42"/>
        <v>0</v>
      </c>
      <c r="BP15" s="542">
        <f t="shared" ca="1" si="42"/>
        <v>0</v>
      </c>
      <c r="BQ15" s="542">
        <f t="shared" ca="1" si="42"/>
        <v>0</v>
      </c>
      <c r="BR15" s="542">
        <f t="shared" ref="BR15:CA16" ca="1" si="43">IFERROR(SUMIFS(INDIRECT($C15&amp;".Emissions["&amp;this.Year&amp;"]"), INDIRECT($C15&amp;".Emissions[GHG]"), BR$6, INDIRECT($C15&amp;".Emissions[IPCC Sector]"), BR$5),0)</f>
        <v>0</v>
      </c>
      <c r="BS15" s="542">
        <f t="shared" ca="1" si="43"/>
        <v>0</v>
      </c>
      <c r="BT15" s="542">
        <f t="shared" ca="1" si="43"/>
        <v>0</v>
      </c>
      <c r="BU15" s="542">
        <f t="shared" ca="1" si="43"/>
        <v>0</v>
      </c>
      <c r="BV15" s="542">
        <f t="shared" ca="1" si="43"/>
        <v>0</v>
      </c>
      <c r="BW15" s="542">
        <f t="shared" ca="1" si="43"/>
        <v>0</v>
      </c>
      <c r="BX15" s="542">
        <f t="shared" ca="1" si="43"/>
        <v>0</v>
      </c>
      <c r="BY15" s="542">
        <f t="shared" ca="1" si="43"/>
        <v>0</v>
      </c>
      <c r="BZ15" s="542">
        <f t="shared" ca="1" si="43"/>
        <v>0</v>
      </c>
      <c r="CA15" s="542">
        <f t="shared" ca="1" si="43"/>
        <v>0</v>
      </c>
      <c r="CB15" s="542">
        <f t="shared" ref="CB15:CK16" ca="1" si="44">IFERROR(SUMIFS(INDIRECT($C15&amp;".Emissions["&amp;this.Year&amp;"]"), INDIRECT($C15&amp;".Emissions[GHG]"), CB$6, INDIRECT($C15&amp;".Emissions[IPCC Sector]"), CB$5),0)</f>
        <v>0</v>
      </c>
      <c r="CC15" s="542">
        <f t="shared" ca="1" si="44"/>
        <v>0</v>
      </c>
      <c r="CD15" s="542">
        <f t="shared" ca="1" si="44"/>
        <v>0</v>
      </c>
      <c r="CE15" s="542">
        <f t="shared" ca="1" si="44"/>
        <v>0</v>
      </c>
      <c r="CF15" s="542">
        <f t="shared" ca="1" si="44"/>
        <v>0</v>
      </c>
      <c r="CG15" s="542">
        <f t="shared" ca="1" si="44"/>
        <v>0</v>
      </c>
      <c r="CH15" s="542">
        <f t="shared" ca="1" si="44"/>
        <v>0</v>
      </c>
      <c r="CI15" s="542">
        <f t="shared" ca="1" si="44"/>
        <v>0</v>
      </c>
      <c r="CJ15" s="542">
        <f t="shared" ca="1" si="44"/>
        <v>0</v>
      </c>
      <c r="CK15" s="542">
        <f t="shared" ca="1" si="44"/>
        <v>0</v>
      </c>
      <c r="CL15" s="542">
        <f t="shared" ref="CL15:CU16" ca="1" si="45">IFERROR(SUMIFS(INDIRECT($C15&amp;".Emissions["&amp;this.Year&amp;"]"), INDIRECT($C15&amp;".Emissions[GHG]"), CL$6, INDIRECT($C15&amp;".Emissions[IPCC Sector]"), CL$5),0)</f>
        <v>0</v>
      </c>
      <c r="CM15" s="542">
        <f t="shared" ca="1" si="45"/>
        <v>0</v>
      </c>
      <c r="CN15" s="542">
        <f t="shared" ca="1" si="45"/>
        <v>0</v>
      </c>
      <c r="CO15" s="542">
        <f t="shared" ca="1" si="45"/>
        <v>0</v>
      </c>
      <c r="CP15" s="542">
        <f t="shared" ca="1" si="45"/>
        <v>0</v>
      </c>
      <c r="CQ15" s="542">
        <f t="shared" ca="1" si="45"/>
        <v>0</v>
      </c>
      <c r="CR15" s="542">
        <f t="shared" ca="1" si="45"/>
        <v>0</v>
      </c>
      <c r="CS15" s="542">
        <f t="shared" ca="1" si="45"/>
        <v>0</v>
      </c>
      <c r="CT15" s="542">
        <f t="shared" ca="1" si="45"/>
        <v>0</v>
      </c>
      <c r="CU15" s="542">
        <f t="shared" ca="1" si="45"/>
        <v>0</v>
      </c>
      <c r="CW15" s="151">
        <f t="shared" ca="1" si="37"/>
        <v>67.709490585032569</v>
      </c>
    </row>
    <row r="16" spans="1:101" s="84" customFormat="1" ht="12.75" customHeight="1" outlineLevel="1" x14ac:dyDescent="0.2">
      <c r="A16" s="543"/>
      <c r="B16" s="543"/>
      <c r="C16" s="86" t="s">
        <v>393</v>
      </c>
      <c r="D16" s="292" t="str">
        <f>INDEX(Modules[Module], MATCH($C16, Modules[Code], 0))</f>
        <v>Service Sector Lighting, Appliances, and Cooking</v>
      </c>
      <c r="E16" s="292"/>
      <c r="G16" s="301">
        <f t="shared" ca="1" si="38"/>
        <v>0</v>
      </c>
      <c r="H16" s="301">
        <f t="shared" ca="1" si="38"/>
        <v>24.619985277799998</v>
      </c>
      <c r="I16" s="301">
        <f t="shared" ca="1" si="38"/>
        <v>27.310274320515173</v>
      </c>
      <c r="J16" s="301">
        <f t="shared" ca="1" si="38"/>
        <v>0</v>
      </c>
      <c r="K16" s="301">
        <f t="shared" ca="1" si="38"/>
        <v>0</v>
      </c>
      <c r="L16" s="301">
        <f t="shared" ca="1" si="38"/>
        <v>0</v>
      </c>
      <c r="M16" s="301">
        <f t="shared" ca="1" si="38"/>
        <v>0</v>
      </c>
      <c r="N16" s="301">
        <f t="shared" ca="1" si="38"/>
        <v>0</v>
      </c>
      <c r="O16" s="301">
        <f t="shared" ca="1" si="38"/>
        <v>0</v>
      </c>
      <c r="P16" s="301">
        <f t="shared" ca="1" si="1"/>
        <v>51.930259598315175</v>
      </c>
      <c r="R16" s="307">
        <f t="shared" ca="1" si="39"/>
        <v>-28.921353483281138</v>
      </c>
      <c r="S16" s="307">
        <f t="shared" ca="1" si="39"/>
        <v>0</v>
      </c>
      <c r="T16" s="307">
        <f t="shared" ca="1" si="39"/>
        <v>0</v>
      </c>
      <c r="U16" s="307">
        <f t="shared" ca="1" si="39"/>
        <v>-5.735157607308186</v>
      </c>
      <c r="V16" s="307">
        <f t="shared" ca="1" si="39"/>
        <v>-8.5344607251609919</v>
      </c>
      <c r="W16" s="307">
        <f t="shared" ca="1" si="39"/>
        <v>-8.7392877825648565</v>
      </c>
      <c r="X16" s="307">
        <f t="shared" ca="1" si="40"/>
        <v>0</v>
      </c>
      <c r="Y16" s="307">
        <f t="shared" ca="1" si="40"/>
        <v>0</v>
      </c>
      <c r="Z16" s="307">
        <f t="shared" ca="1" si="40"/>
        <v>0</v>
      </c>
      <c r="AA16" s="307">
        <f t="shared" ca="1" si="39"/>
        <v>0</v>
      </c>
      <c r="AB16" s="307">
        <f t="shared" ca="1" si="39"/>
        <v>0</v>
      </c>
      <c r="AC16" s="307">
        <f t="shared" ca="1" si="39"/>
        <v>0</v>
      </c>
      <c r="AD16" s="307">
        <f t="shared" ca="1" si="39"/>
        <v>0</v>
      </c>
      <c r="AE16" s="307">
        <f t="shared" ca="1" si="39"/>
        <v>0</v>
      </c>
      <c r="AF16" s="307">
        <f t="shared" ca="1" si="39"/>
        <v>0</v>
      </c>
      <c r="AG16" s="307">
        <f t="shared" ca="1" si="39"/>
        <v>0</v>
      </c>
      <c r="AH16" s="306">
        <f t="shared" ca="1" si="5"/>
        <v>-51.930259598315175</v>
      </c>
      <c r="AJ16" s="315">
        <f t="shared" ca="1" si="41"/>
        <v>0</v>
      </c>
      <c r="AK16" s="315">
        <f t="shared" ca="1" si="41"/>
        <v>0</v>
      </c>
      <c r="AL16" s="315">
        <f t="shared" ca="1" si="41"/>
        <v>0</v>
      </c>
      <c r="AM16" s="315">
        <f t="shared" ca="1" si="41"/>
        <v>0</v>
      </c>
      <c r="AN16" s="315">
        <f t="shared" ca="1" si="41"/>
        <v>0</v>
      </c>
      <c r="AO16" s="315">
        <f t="shared" ca="1" si="41"/>
        <v>0</v>
      </c>
      <c r="AP16" s="315">
        <f t="shared" ca="1" si="41"/>
        <v>0</v>
      </c>
      <c r="AQ16" s="315">
        <f t="shared" ca="1" si="41"/>
        <v>0</v>
      </c>
      <c r="AR16" s="315">
        <f t="shared" ca="1" si="41"/>
        <v>0</v>
      </c>
      <c r="AS16" s="315">
        <f t="shared" ca="1" si="39"/>
        <v>0</v>
      </c>
      <c r="AT16" s="315">
        <f t="shared" ca="1" si="39"/>
        <v>0</v>
      </c>
      <c r="AU16" s="315">
        <f t="shared" ca="1" si="39"/>
        <v>0</v>
      </c>
      <c r="AV16" s="315">
        <f t="shared" ca="1" si="39"/>
        <v>0</v>
      </c>
      <c r="AW16" s="315">
        <f t="shared" ca="1" si="39"/>
        <v>0</v>
      </c>
      <c r="AX16" s="315">
        <f t="shared" ca="1" si="39"/>
        <v>0</v>
      </c>
      <c r="AY16" s="293">
        <f t="shared" ca="1" si="8"/>
        <v>0</v>
      </c>
      <c r="BA16" s="311">
        <f ca="1">IFERROR(INDEX(INDIRECT($C16&amp;".Outputs["&amp;this.Year&amp;"]"), MATCH(BA$5, INDIRECT($C16&amp;".Outputs[Vector]"), 0)), 0)</f>
        <v>0</v>
      </c>
      <c r="BB16" s="311">
        <f ca="1">IFERROR(INDEX(INDIRECT($C16&amp;".Outputs["&amp;this.Year&amp;"]"), MATCH(BB$5, INDIRECT($C16&amp;".Outputs[Vector]"), 0)), 0)</f>
        <v>0</v>
      </c>
      <c r="BC16" s="310">
        <f t="shared" ca="1" si="10"/>
        <v>0</v>
      </c>
      <c r="BE16" s="135">
        <f t="shared" ca="1" si="11"/>
        <v>0</v>
      </c>
      <c r="BF16" s="135"/>
      <c r="BG16" s="1428"/>
      <c r="BH16" s="544">
        <f t="shared" ca="1" si="42"/>
        <v>3.0041301752566687</v>
      </c>
      <c r="BI16" s="545">
        <f t="shared" ca="1" si="42"/>
        <v>4.932787782570028E-3</v>
      </c>
      <c r="BJ16" s="545">
        <f t="shared" ca="1" si="42"/>
        <v>2.9182341257978427E-2</v>
      </c>
      <c r="BK16" s="545">
        <f t="shared" ca="1" si="42"/>
        <v>0</v>
      </c>
      <c r="BL16" s="545">
        <f t="shared" ca="1" si="42"/>
        <v>0</v>
      </c>
      <c r="BM16" s="545">
        <f t="shared" ca="1" si="42"/>
        <v>0</v>
      </c>
      <c r="BN16" s="545">
        <f t="shared" ca="1" si="42"/>
        <v>0</v>
      </c>
      <c r="BO16" s="545">
        <f t="shared" ca="1" si="42"/>
        <v>0</v>
      </c>
      <c r="BP16" s="545">
        <f t="shared" ca="1" si="42"/>
        <v>0</v>
      </c>
      <c r="BQ16" s="545">
        <f t="shared" ca="1" si="42"/>
        <v>0</v>
      </c>
      <c r="BR16" s="545">
        <f t="shared" ca="1" si="43"/>
        <v>0</v>
      </c>
      <c r="BS16" s="545">
        <f t="shared" ca="1" si="43"/>
        <v>0</v>
      </c>
      <c r="BT16" s="545">
        <f t="shared" ca="1" si="43"/>
        <v>0</v>
      </c>
      <c r="BU16" s="545">
        <f t="shared" ca="1" si="43"/>
        <v>0</v>
      </c>
      <c r="BV16" s="545">
        <f t="shared" ca="1" si="43"/>
        <v>0</v>
      </c>
      <c r="BW16" s="545">
        <f t="shared" ca="1" si="43"/>
        <v>0</v>
      </c>
      <c r="BX16" s="545">
        <f t="shared" ca="1" si="43"/>
        <v>0</v>
      </c>
      <c r="BY16" s="545">
        <f t="shared" ca="1" si="43"/>
        <v>0</v>
      </c>
      <c r="BZ16" s="545">
        <f t="shared" ca="1" si="43"/>
        <v>0</v>
      </c>
      <c r="CA16" s="545">
        <f t="shared" ca="1" si="43"/>
        <v>0</v>
      </c>
      <c r="CB16" s="545">
        <f t="shared" ca="1" si="44"/>
        <v>0</v>
      </c>
      <c r="CC16" s="545">
        <f t="shared" ca="1" si="44"/>
        <v>0</v>
      </c>
      <c r="CD16" s="545">
        <f t="shared" ca="1" si="44"/>
        <v>0</v>
      </c>
      <c r="CE16" s="545">
        <f t="shared" ca="1" si="44"/>
        <v>0</v>
      </c>
      <c r="CF16" s="545">
        <f t="shared" ca="1" si="44"/>
        <v>0</v>
      </c>
      <c r="CG16" s="545">
        <f t="shared" ca="1" si="44"/>
        <v>0</v>
      </c>
      <c r="CH16" s="545">
        <f t="shared" ca="1" si="44"/>
        <v>0</v>
      </c>
      <c r="CI16" s="545">
        <f t="shared" ca="1" si="44"/>
        <v>0</v>
      </c>
      <c r="CJ16" s="545">
        <f t="shared" ca="1" si="44"/>
        <v>0</v>
      </c>
      <c r="CK16" s="545">
        <f t="shared" ca="1" si="44"/>
        <v>0</v>
      </c>
      <c r="CL16" s="545">
        <f t="shared" ca="1" si="45"/>
        <v>0</v>
      </c>
      <c r="CM16" s="545">
        <f t="shared" ca="1" si="45"/>
        <v>0</v>
      </c>
      <c r="CN16" s="545">
        <f t="shared" ca="1" si="45"/>
        <v>0</v>
      </c>
      <c r="CO16" s="545">
        <f t="shared" ca="1" si="45"/>
        <v>0</v>
      </c>
      <c r="CP16" s="545">
        <f t="shared" ca="1" si="45"/>
        <v>0</v>
      </c>
      <c r="CQ16" s="545">
        <f t="shared" ca="1" si="45"/>
        <v>0</v>
      </c>
      <c r="CR16" s="545">
        <f t="shared" ca="1" si="45"/>
        <v>0</v>
      </c>
      <c r="CS16" s="545">
        <f t="shared" ca="1" si="45"/>
        <v>0</v>
      </c>
      <c r="CT16" s="545">
        <f t="shared" ca="1" si="45"/>
        <v>0</v>
      </c>
      <c r="CU16" s="545">
        <f t="shared" ca="1" si="45"/>
        <v>0</v>
      </c>
      <c r="CW16" s="151">
        <f t="shared" ca="1" si="37"/>
        <v>3.0382453042972171</v>
      </c>
    </row>
    <row r="17" spans="1:101" s="84" customFormat="1" ht="15.75" x14ac:dyDescent="0.2">
      <c r="A17" s="18"/>
      <c r="B17" s="89"/>
      <c r="C17" s="85" t="s">
        <v>230</v>
      </c>
      <c r="D17" s="57" t="str">
        <f>INDEX(Workstreams[Workstream], MATCH($C17, Workstreams[Code], 0))</f>
        <v>Lighting, Appliances &amp; Cooking</v>
      </c>
      <c r="E17" s="53"/>
      <c r="G17" s="300">
        <f ca="1">G15+G16</f>
        <v>0</v>
      </c>
      <c r="H17" s="300">
        <f t="shared" ref="H17:O17" ca="1" si="46">H15+H16</f>
        <v>439.09796990378345</v>
      </c>
      <c r="I17" s="300">
        <f ca="1">I15+I16</f>
        <v>232.49054882061384</v>
      </c>
      <c r="J17" s="300">
        <f t="shared" ca="1" si="46"/>
        <v>0</v>
      </c>
      <c r="K17" s="300">
        <f t="shared" ca="1" si="46"/>
        <v>0</v>
      </c>
      <c r="L17" s="300">
        <f t="shared" ca="1" si="46"/>
        <v>0</v>
      </c>
      <c r="M17" s="300">
        <f t="shared" ca="1" si="46"/>
        <v>0</v>
      </c>
      <c r="N17" s="300">
        <f t="shared" ca="1" si="46"/>
        <v>0</v>
      </c>
      <c r="O17" s="300">
        <f t="shared" ca="1" si="46"/>
        <v>0</v>
      </c>
      <c r="P17" s="300">
        <f t="shared" ca="1" si="1"/>
        <v>671.58851872439732</v>
      </c>
      <c r="R17" s="257">
        <f ca="1">R15+R16</f>
        <v>-475.71523134303015</v>
      </c>
      <c r="S17" s="257">
        <f t="shared" ref="S17:AE17" ca="1" si="47">S15+S16</f>
        <v>0</v>
      </c>
      <c r="T17" s="257">
        <f t="shared" ca="1" si="47"/>
        <v>0</v>
      </c>
      <c r="U17" s="257">
        <f t="shared" ca="1" si="47"/>
        <v>-48.823015252328929</v>
      </c>
      <c r="V17" s="257">
        <f t="shared" ca="1" si="47"/>
        <v>-72.653296506441848</v>
      </c>
      <c r="W17" s="257">
        <f ca="1">W15+W16</f>
        <v>-74.396975622596457</v>
      </c>
      <c r="X17" s="257">
        <f ca="1">X15+X16</f>
        <v>0</v>
      </c>
      <c r="Y17" s="257">
        <f ca="1">Y15+Y16</f>
        <v>0</v>
      </c>
      <c r="Z17" s="257">
        <f ca="1">Z15+Z16</f>
        <v>0</v>
      </c>
      <c r="AA17" s="257">
        <f t="shared" ca="1" si="47"/>
        <v>0</v>
      </c>
      <c r="AB17" s="257">
        <f t="shared" ca="1" si="47"/>
        <v>0</v>
      </c>
      <c r="AC17" s="257">
        <f ca="1">AC15+AC16</f>
        <v>0</v>
      </c>
      <c r="AD17" s="257">
        <f ca="1">AD15+AD16</f>
        <v>0</v>
      </c>
      <c r="AE17" s="257">
        <f t="shared" ca="1" si="47"/>
        <v>0</v>
      </c>
      <c r="AF17" s="257">
        <f ca="1">AF15+AF16</f>
        <v>0</v>
      </c>
      <c r="AG17" s="257">
        <f ca="1">AG15+AG16</f>
        <v>0</v>
      </c>
      <c r="AH17" s="257">
        <f t="shared" ca="1" si="5"/>
        <v>-671.58851872439732</v>
      </c>
      <c r="AJ17" s="263">
        <f t="shared" ref="AJ17:AX17" ca="1" si="48">AJ15+AJ16</f>
        <v>0</v>
      </c>
      <c r="AK17" s="263">
        <f t="shared" ca="1" si="48"/>
        <v>0</v>
      </c>
      <c r="AL17" s="263">
        <f t="shared" ca="1" si="48"/>
        <v>0</v>
      </c>
      <c r="AM17" s="263">
        <f t="shared" ca="1" si="48"/>
        <v>0</v>
      </c>
      <c r="AN17" s="263">
        <f t="shared" ca="1" si="48"/>
        <v>0</v>
      </c>
      <c r="AO17" s="263">
        <f t="shared" ca="1" si="48"/>
        <v>0</v>
      </c>
      <c r="AP17" s="263">
        <f t="shared" ca="1" si="48"/>
        <v>0</v>
      </c>
      <c r="AQ17" s="263">
        <f t="shared" ca="1" si="48"/>
        <v>0</v>
      </c>
      <c r="AR17" s="263">
        <f t="shared" ca="1" si="48"/>
        <v>0</v>
      </c>
      <c r="AS17" s="263">
        <f t="shared" ca="1" si="48"/>
        <v>0</v>
      </c>
      <c r="AT17" s="263">
        <f t="shared" ca="1" si="48"/>
        <v>0</v>
      </c>
      <c r="AU17" s="263">
        <f t="shared" ca="1" si="48"/>
        <v>0</v>
      </c>
      <c r="AV17" s="263">
        <f t="shared" ca="1" si="48"/>
        <v>0</v>
      </c>
      <c r="AW17" s="263">
        <f t="shared" ca="1" si="48"/>
        <v>0</v>
      </c>
      <c r="AX17" s="263">
        <f t="shared" ca="1" si="48"/>
        <v>0</v>
      </c>
      <c r="AY17" s="263">
        <f t="shared" ca="1" si="8"/>
        <v>0</v>
      </c>
      <c r="BA17" s="277">
        <f ca="1">BA15+BA16</f>
        <v>0</v>
      </c>
      <c r="BB17" s="277">
        <f ca="1">BB15+BB16</f>
        <v>0</v>
      </c>
      <c r="BC17" s="277">
        <f t="shared" ca="1" si="10"/>
        <v>0</v>
      </c>
      <c r="BE17" s="55">
        <f t="shared" ca="1" si="11"/>
        <v>0</v>
      </c>
      <c r="BF17" s="55"/>
      <c r="BG17" s="1428"/>
      <c r="BH17" s="542">
        <f t="shared" ref="BH17:CU17" ca="1" si="49">BH15+BH16</f>
        <v>25.573960370267528</v>
      </c>
      <c r="BI17" s="542">
        <f t="shared" ca="1" si="49"/>
        <v>22.57476298279343</v>
      </c>
      <c r="BJ17" s="542">
        <f t="shared" ca="1" si="49"/>
        <v>22.599012536268837</v>
      </c>
      <c r="BK17" s="542">
        <f t="shared" ca="1" si="49"/>
        <v>0</v>
      </c>
      <c r="BL17" s="542">
        <f t="shared" ca="1" si="49"/>
        <v>0</v>
      </c>
      <c r="BM17" s="542">
        <f t="shared" ca="1" si="49"/>
        <v>0</v>
      </c>
      <c r="BN17" s="542">
        <f t="shared" ca="1" si="49"/>
        <v>0</v>
      </c>
      <c r="BO17" s="542">
        <f t="shared" ca="1" si="49"/>
        <v>0</v>
      </c>
      <c r="BP17" s="542">
        <f t="shared" ca="1" si="49"/>
        <v>0</v>
      </c>
      <c r="BQ17" s="542">
        <f t="shared" ca="1" si="49"/>
        <v>0</v>
      </c>
      <c r="BR17" s="542">
        <f t="shared" ca="1" si="49"/>
        <v>0</v>
      </c>
      <c r="BS17" s="542">
        <f t="shared" ca="1" si="49"/>
        <v>0</v>
      </c>
      <c r="BT17" s="542">
        <f t="shared" ca="1" si="49"/>
        <v>0</v>
      </c>
      <c r="BU17" s="542">
        <f t="shared" ca="1" si="49"/>
        <v>0</v>
      </c>
      <c r="BV17" s="542">
        <f t="shared" ca="1" si="49"/>
        <v>0</v>
      </c>
      <c r="BW17" s="542">
        <f t="shared" ca="1" si="49"/>
        <v>0</v>
      </c>
      <c r="BX17" s="542">
        <f t="shared" ca="1" si="49"/>
        <v>0</v>
      </c>
      <c r="BY17" s="542">
        <f t="shared" ca="1" si="49"/>
        <v>0</v>
      </c>
      <c r="BZ17" s="542">
        <f t="shared" ca="1" si="49"/>
        <v>0</v>
      </c>
      <c r="CA17" s="542">
        <f t="shared" ca="1" si="49"/>
        <v>0</v>
      </c>
      <c r="CB17" s="542">
        <f t="shared" ca="1" si="49"/>
        <v>0</v>
      </c>
      <c r="CC17" s="542">
        <f t="shared" ca="1" si="49"/>
        <v>0</v>
      </c>
      <c r="CD17" s="542">
        <f t="shared" ca="1" si="49"/>
        <v>0</v>
      </c>
      <c r="CE17" s="542">
        <f t="shared" ca="1" si="49"/>
        <v>0</v>
      </c>
      <c r="CF17" s="542">
        <f t="shared" ca="1" si="49"/>
        <v>0</v>
      </c>
      <c r="CG17" s="542">
        <f t="shared" ca="1" si="49"/>
        <v>0</v>
      </c>
      <c r="CH17" s="542">
        <f t="shared" ca="1" si="49"/>
        <v>0</v>
      </c>
      <c r="CI17" s="542">
        <f t="shared" ca="1" si="49"/>
        <v>0</v>
      </c>
      <c r="CJ17" s="542">
        <f t="shared" ca="1" si="49"/>
        <v>0</v>
      </c>
      <c r="CK17" s="542">
        <f t="shared" ca="1" si="49"/>
        <v>0</v>
      </c>
      <c r="CL17" s="542">
        <f t="shared" ca="1" si="49"/>
        <v>0</v>
      </c>
      <c r="CM17" s="542">
        <f t="shared" ca="1" si="49"/>
        <v>0</v>
      </c>
      <c r="CN17" s="542">
        <f t="shared" ca="1" si="49"/>
        <v>0</v>
      </c>
      <c r="CO17" s="542">
        <f t="shared" ca="1" si="49"/>
        <v>0</v>
      </c>
      <c r="CP17" s="542">
        <f t="shared" ca="1" si="49"/>
        <v>0</v>
      </c>
      <c r="CQ17" s="542">
        <f t="shared" ca="1" si="49"/>
        <v>0</v>
      </c>
      <c r="CR17" s="542">
        <f t="shared" ca="1" si="49"/>
        <v>0</v>
      </c>
      <c r="CS17" s="542">
        <f t="shared" ca="1" si="49"/>
        <v>0</v>
      </c>
      <c r="CT17" s="542">
        <f t="shared" ca="1" si="49"/>
        <v>0</v>
      </c>
      <c r="CU17" s="542">
        <f t="shared" ca="1" si="49"/>
        <v>0</v>
      </c>
      <c r="CW17" s="151">
        <f t="shared" ca="1" si="37"/>
        <v>70.747735889329789</v>
      </c>
    </row>
    <row r="18" spans="1:101" s="84" customFormat="1" ht="12.75" customHeight="1" outlineLevel="1" x14ac:dyDescent="0.2">
      <c r="A18" s="543"/>
      <c r="B18" s="543"/>
      <c r="C18" s="86"/>
      <c r="D18" s="61"/>
      <c r="E18" s="61"/>
      <c r="G18" s="298"/>
      <c r="H18" s="298"/>
      <c r="I18" s="298"/>
      <c r="J18" s="298"/>
      <c r="K18" s="298"/>
      <c r="L18" s="298"/>
      <c r="M18" s="298"/>
      <c r="N18" s="298"/>
      <c r="O18" s="298"/>
      <c r="P18" s="298">
        <f t="shared" si="1"/>
        <v>0</v>
      </c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>
        <f t="shared" si="5"/>
        <v>0</v>
      </c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266">
        <f t="shared" si="8"/>
        <v>0</v>
      </c>
      <c r="BA18" s="309"/>
      <c r="BB18" s="309"/>
      <c r="BC18" s="309">
        <f t="shared" si="10"/>
        <v>0</v>
      </c>
      <c r="BE18" s="135">
        <f t="shared" si="11"/>
        <v>0</v>
      </c>
      <c r="BF18" s="135"/>
      <c r="BG18" s="543"/>
      <c r="BH18" s="541"/>
      <c r="BI18" s="542"/>
      <c r="BJ18" s="542"/>
      <c r="BK18" s="542"/>
      <c r="BL18" s="542"/>
      <c r="BM18" s="542"/>
      <c r="BN18" s="542"/>
      <c r="BO18" s="542"/>
      <c r="BP18" s="542"/>
      <c r="BQ18" s="542"/>
      <c r="BR18" s="542"/>
      <c r="BS18" s="542"/>
      <c r="BT18" s="542"/>
      <c r="BU18" s="542"/>
      <c r="BV18" s="542"/>
      <c r="BW18" s="542"/>
      <c r="BX18" s="542"/>
      <c r="BY18" s="542"/>
      <c r="BZ18" s="542"/>
      <c r="CA18" s="542"/>
      <c r="CB18" s="542"/>
      <c r="CC18" s="542"/>
      <c r="CD18" s="542"/>
      <c r="CE18" s="542"/>
      <c r="CF18" s="542"/>
      <c r="CG18" s="542"/>
      <c r="CH18" s="542"/>
      <c r="CI18" s="542"/>
      <c r="CJ18" s="542"/>
      <c r="CK18" s="542"/>
      <c r="CL18" s="542"/>
      <c r="CM18" s="542"/>
      <c r="CN18" s="542"/>
      <c r="CO18" s="542"/>
      <c r="CP18" s="542"/>
      <c r="CQ18" s="542"/>
      <c r="CR18" s="542"/>
      <c r="CS18" s="542"/>
      <c r="CT18" s="542"/>
      <c r="CU18" s="542"/>
      <c r="CW18" s="151">
        <f t="shared" si="37"/>
        <v>0</v>
      </c>
    </row>
    <row r="19" spans="1:101" s="84" customFormat="1" ht="12.75" customHeight="1" outlineLevel="1" x14ac:dyDescent="0.2">
      <c r="A19" s="543"/>
      <c r="B19" s="543"/>
      <c r="C19" s="86" t="s">
        <v>360</v>
      </c>
      <c r="D19" s="292" t="str">
        <f>INDEX(Modules[Module], MATCH($C19, Modules[Code], 0))</f>
        <v>Industrial processes</v>
      </c>
      <c r="E19" s="292"/>
      <c r="G19" s="301">
        <f t="shared" ref="G19:O19" ca="1" si="50">IFERROR(INDEX(INDIRECT($C19&amp;".Outputs["&amp;this.Year&amp;"]"), MATCH(G$5, INDIRECT($C19&amp;".Outputs[Vector]"), 0)), 0)</f>
        <v>0</v>
      </c>
      <c r="H19" s="301">
        <f t="shared" ca="1" si="50"/>
        <v>0</v>
      </c>
      <c r="I19" s="301">
        <f t="shared" ca="1" si="50"/>
        <v>0</v>
      </c>
      <c r="J19" s="301">
        <f t="shared" ca="1" si="50"/>
        <v>140.80186989915305</v>
      </c>
      <c r="K19" s="301">
        <f t="shared" ca="1" si="50"/>
        <v>0</v>
      </c>
      <c r="L19" s="301">
        <f t="shared" ca="1" si="50"/>
        <v>0</v>
      </c>
      <c r="M19" s="301">
        <f t="shared" ca="1" si="50"/>
        <v>0</v>
      </c>
      <c r="N19" s="301">
        <f t="shared" ca="1" si="50"/>
        <v>0</v>
      </c>
      <c r="O19" s="301">
        <f t="shared" ca="1" si="50"/>
        <v>0</v>
      </c>
      <c r="P19" s="301">
        <f t="shared" ca="1" si="1"/>
        <v>140.80186989915305</v>
      </c>
      <c r="R19" s="307">
        <f t="shared" ref="R19:AX19" ca="1" si="51">IFERROR(INDEX(INDIRECT($C19&amp;".Outputs["&amp;this.Year&amp;"]"), MATCH(R$5, INDIRECT($C19&amp;".Outputs[Vector]"), 0)), 0)</f>
        <v>-29.427590808922986</v>
      </c>
      <c r="S19" s="307">
        <f t="shared" ca="1" si="51"/>
        <v>0</v>
      </c>
      <c r="T19" s="307">
        <f t="shared" ca="1" si="51"/>
        <v>-4.0832542270754386</v>
      </c>
      <c r="U19" s="307">
        <f t="shared" ca="1" si="51"/>
        <v>-28.441977719628916</v>
      </c>
      <c r="V19" s="307">
        <f t="shared" ca="1" si="51"/>
        <v>-69.133718120484147</v>
      </c>
      <c r="W19" s="307">
        <f t="shared" ca="1" si="51"/>
        <v>-9.7153290230415603</v>
      </c>
      <c r="X19" s="307">
        <f ca="1">IFERROR(INDEX(INDIRECT($C19&amp;".Outputs["&amp;this.Year&amp;"]"), MATCH(X$5, INDIRECT($C19&amp;".Outputs[Vector]"), 0)), 0)</f>
        <v>0</v>
      </c>
      <c r="Y19" s="307">
        <f ca="1">IFERROR(INDEX(INDIRECT($C19&amp;".Outputs["&amp;this.Year&amp;"]"), MATCH(Y$5, INDIRECT($C19&amp;".Outputs[Vector]"), 0)), 0)</f>
        <v>0</v>
      </c>
      <c r="Z19" s="307">
        <f ca="1">IFERROR(INDEX(INDIRECT($C19&amp;".Outputs["&amp;this.Year&amp;"]"), MATCH(Z$5, INDIRECT($C19&amp;".Outputs[Vector]"), 0)), 0)</f>
        <v>0</v>
      </c>
      <c r="AA19" s="307">
        <f t="shared" ca="1" si="51"/>
        <v>0</v>
      </c>
      <c r="AB19" s="307">
        <f t="shared" ca="1" si="51"/>
        <v>0</v>
      </c>
      <c r="AC19" s="307">
        <f t="shared" ca="1" si="51"/>
        <v>0</v>
      </c>
      <c r="AD19" s="307">
        <f t="shared" ca="1" si="51"/>
        <v>0</v>
      </c>
      <c r="AE19" s="307">
        <f t="shared" ca="1" si="51"/>
        <v>0</v>
      </c>
      <c r="AF19" s="307">
        <f t="shared" ca="1" si="51"/>
        <v>0</v>
      </c>
      <c r="AG19" s="307">
        <f t="shared" ca="1" si="51"/>
        <v>0</v>
      </c>
      <c r="AH19" s="306">
        <f t="shared" ca="1" si="5"/>
        <v>-140.80186989915305</v>
      </c>
      <c r="AJ19" s="315">
        <f t="shared" ref="AJ19:AR19" ca="1" si="52">IFERROR(INDEX(INDIRECT($C19&amp;".Outputs["&amp;this.Year&amp;"]"), MATCH(AJ$5, INDIRECT($C19&amp;".Outputs[Vector]"), 0)), 0)</f>
        <v>0</v>
      </c>
      <c r="AK19" s="315">
        <f t="shared" ca="1" si="52"/>
        <v>0</v>
      </c>
      <c r="AL19" s="315">
        <f t="shared" ca="1" si="52"/>
        <v>0</v>
      </c>
      <c r="AM19" s="315">
        <f t="shared" ca="1" si="52"/>
        <v>0</v>
      </c>
      <c r="AN19" s="315">
        <f t="shared" ca="1" si="52"/>
        <v>0</v>
      </c>
      <c r="AO19" s="315">
        <f t="shared" ca="1" si="52"/>
        <v>0</v>
      </c>
      <c r="AP19" s="315">
        <f t="shared" ca="1" si="52"/>
        <v>0</v>
      </c>
      <c r="AQ19" s="315">
        <f t="shared" ca="1" si="52"/>
        <v>0</v>
      </c>
      <c r="AR19" s="315">
        <f t="shared" ca="1" si="52"/>
        <v>0</v>
      </c>
      <c r="AS19" s="315">
        <f t="shared" ca="1" si="51"/>
        <v>0</v>
      </c>
      <c r="AT19" s="315">
        <f t="shared" ca="1" si="51"/>
        <v>0</v>
      </c>
      <c r="AU19" s="315">
        <f t="shared" ca="1" si="51"/>
        <v>0</v>
      </c>
      <c r="AV19" s="315">
        <f t="shared" ca="1" si="51"/>
        <v>0</v>
      </c>
      <c r="AW19" s="315">
        <f t="shared" ca="1" si="51"/>
        <v>0</v>
      </c>
      <c r="AX19" s="315">
        <f t="shared" ca="1" si="51"/>
        <v>0</v>
      </c>
      <c r="AY19" s="293">
        <f t="shared" ca="1" si="8"/>
        <v>0</v>
      </c>
      <c r="BA19" s="311">
        <f ca="1">IFERROR(INDEX(INDIRECT($C19&amp;".Outputs["&amp;this.Year&amp;"]"), MATCH(BA$5, INDIRECT($C19&amp;".Outputs[Vector]"), 0)), 0)</f>
        <v>0</v>
      </c>
      <c r="BB19" s="311">
        <f ca="1">IFERROR(INDEX(INDIRECT($C19&amp;".Outputs["&amp;this.Year&amp;"]"), MATCH(BB$5, INDIRECT($C19&amp;".Outputs[Vector]"), 0)), 0)</f>
        <v>0</v>
      </c>
      <c r="BC19" s="310">
        <f t="shared" ca="1" si="10"/>
        <v>0</v>
      </c>
      <c r="BE19" s="135">
        <f t="shared" ca="1" si="11"/>
        <v>0</v>
      </c>
      <c r="BF19" s="135"/>
      <c r="BG19" s="1428"/>
      <c r="BH19" s="544">
        <f t="shared" ref="BH19:CU19" ca="1" si="53">IFERROR(SUMIFS(INDIRECT($C19&amp;".Emissions["&amp;this.Year&amp;"]"), INDIRECT($C19&amp;".Emissions[GHG]"), BH$6, INDIRECT($C19&amp;".Emissions[IPCC Sector]"), BH$5),0)</f>
        <v>21.088740866015545</v>
      </c>
      <c r="BI19" s="545">
        <f t="shared" ca="1" si="53"/>
        <v>3.8045305284095776E-2</v>
      </c>
      <c r="BJ19" s="545">
        <f t="shared" ca="1" si="53"/>
        <v>0.16649783422135445</v>
      </c>
      <c r="BK19" s="545">
        <f t="shared" ca="1" si="53"/>
        <v>0</v>
      </c>
      <c r="BL19" s="545">
        <f t="shared" ca="1" si="53"/>
        <v>0</v>
      </c>
      <c r="BM19" s="545">
        <f t="shared" ca="1" si="53"/>
        <v>0</v>
      </c>
      <c r="BN19" s="545">
        <f t="shared" ca="1" si="53"/>
        <v>0</v>
      </c>
      <c r="BO19" s="545">
        <f t="shared" ca="1" si="53"/>
        <v>0</v>
      </c>
      <c r="BP19" s="545">
        <f t="shared" ca="1" si="53"/>
        <v>14.628813841363048</v>
      </c>
      <c r="BQ19" s="545">
        <f t="shared" ca="1" si="53"/>
        <v>0.13511675102916507</v>
      </c>
      <c r="BR19" s="545">
        <f t="shared" ca="1" si="53"/>
        <v>3.5829235236805861</v>
      </c>
      <c r="BS19" s="545">
        <f t="shared" ca="1" si="53"/>
        <v>8.5205687194014956</v>
      </c>
      <c r="BT19" s="545">
        <f t="shared" ca="1" si="53"/>
        <v>0</v>
      </c>
      <c r="BU19" s="545">
        <f t="shared" ca="1" si="53"/>
        <v>0</v>
      </c>
      <c r="BV19" s="545">
        <f t="shared" ca="1" si="53"/>
        <v>0</v>
      </c>
      <c r="BW19" s="545">
        <f t="shared" ca="1" si="53"/>
        <v>0</v>
      </c>
      <c r="BX19" s="545">
        <f t="shared" ca="1" si="53"/>
        <v>0</v>
      </c>
      <c r="BY19" s="545">
        <f t="shared" ca="1" si="53"/>
        <v>0</v>
      </c>
      <c r="BZ19" s="545">
        <f t="shared" ca="1" si="53"/>
        <v>0</v>
      </c>
      <c r="CA19" s="545">
        <f t="shared" ca="1" si="53"/>
        <v>0</v>
      </c>
      <c r="CB19" s="545">
        <f t="shared" ca="1" si="53"/>
        <v>0</v>
      </c>
      <c r="CC19" s="545">
        <f t="shared" ca="1" si="53"/>
        <v>0</v>
      </c>
      <c r="CD19" s="545">
        <f t="shared" ca="1" si="53"/>
        <v>0</v>
      </c>
      <c r="CE19" s="545">
        <f t="shared" ca="1" si="53"/>
        <v>0</v>
      </c>
      <c r="CF19" s="545">
        <f t="shared" ca="1" si="53"/>
        <v>0</v>
      </c>
      <c r="CG19" s="545">
        <f t="shared" ca="1" si="53"/>
        <v>0</v>
      </c>
      <c r="CH19" s="545">
        <f t="shared" ca="1" si="53"/>
        <v>0</v>
      </c>
      <c r="CI19" s="545">
        <f t="shared" ca="1" si="53"/>
        <v>0</v>
      </c>
      <c r="CJ19" s="545">
        <f t="shared" ca="1" si="53"/>
        <v>0</v>
      </c>
      <c r="CK19" s="545">
        <f t="shared" ca="1" si="53"/>
        <v>0</v>
      </c>
      <c r="CL19" s="545">
        <f t="shared" ca="1" si="53"/>
        <v>0</v>
      </c>
      <c r="CM19" s="545">
        <f t="shared" ca="1" si="53"/>
        <v>0</v>
      </c>
      <c r="CN19" s="545">
        <f t="shared" ca="1" si="53"/>
        <v>0</v>
      </c>
      <c r="CO19" s="545">
        <f t="shared" ca="1" si="53"/>
        <v>0</v>
      </c>
      <c r="CP19" s="545">
        <f t="shared" ca="1" si="53"/>
        <v>0</v>
      </c>
      <c r="CQ19" s="545">
        <f t="shared" ca="1" si="53"/>
        <v>0</v>
      </c>
      <c r="CR19" s="545">
        <f t="shared" ca="1" si="53"/>
        <v>0</v>
      </c>
      <c r="CS19" s="545">
        <f t="shared" ca="1" si="53"/>
        <v>0</v>
      </c>
      <c r="CT19" s="545">
        <f t="shared" ca="1" si="53"/>
        <v>0</v>
      </c>
      <c r="CU19" s="545">
        <f t="shared" ca="1" si="53"/>
        <v>0</v>
      </c>
      <c r="CW19" s="151">
        <f t="shared" ca="1" si="37"/>
        <v>48.160706840995289</v>
      </c>
    </row>
    <row r="20" spans="1:101" s="84" customFormat="1" ht="15.75" x14ac:dyDescent="0.2">
      <c r="A20" s="18"/>
      <c r="B20" s="89"/>
      <c r="C20" s="85" t="s">
        <v>231</v>
      </c>
      <c r="D20" s="57" t="str">
        <f>INDEX(Workstreams[Workstream], MATCH($C20, Workstreams[Code], 0))</f>
        <v>Industry</v>
      </c>
      <c r="E20" s="53"/>
      <c r="G20" s="300">
        <f ca="1">G19</f>
        <v>0</v>
      </c>
      <c r="H20" s="300">
        <f t="shared" ref="H20:O20" ca="1" si="54">H19</f>
        <v>0</v>
      </c>
      <c r="I20" s="300">
        <f ca="1">I19</f>
        <v>0</v>
      </c>
      <c r="J20" s="300">
        <f t="shared" ca="1" si="54"/>
        <v>140.80186989915305</v>
      </c>
      <c r="K20" s="300">
        <f t="shared" ca="1" si="54"/>
        <v>0</v>
      </c>
      <c r="L20" s="300">
        <f t="shared" ca="1" si="54"/>
        <v>0</v>
      </c>
      <c r="M20" s="300">
        <f t="shared" ca="1" si="54"/>
        <v>0</v>
      </c>
      <c r="N20" s="300">
        <f t="shared" ca="1" si="54"/>
        <v>0</v>
      </c>
      <c r="O20" s="300">
        <f t="shared" ca="1" si="54"/>
        <v>0</v>
      </c>
      <c r="P20" s="300">
        <f t="shared" ca="1" si="1"/>
        <v>140.80186989915305</v>
      </c>
      <c r="R20" s="257">
        <f t="shared" ref="R20:AG20" ca="1" si="55">R19</f>
        <v>-29.427590808922986</v>
      </c>
      <c r="S20" s="257">
        <f t="shared" ca="1" si="55"/>
        <v>0</v>
      </c>
      <c r="T20" s="257">
        <f t="shared" ca="1" si="55"/>
        <v>-4.0832542270754386</v>
      </c>
      <c r="U20" s="257">
        <f t="shared" ca="1" si="55"/>
        <v>-28.441977719628916</v>
      </c>
      <c r="V20" s="257">
        <f t="shared" ca="1" si="55"/>
        <v>-69.133718120484147</v>
      </c>
      <c r="W20" s="257">
        <f ca="1">W19</f>
        <v>-9.7153290230415603</v>
      </c>
      <c r="X20" s="257">
        <f t="shared" ca="1" si="55"/>
        <v>0</v>
      </c>
      <c r="Y20" s="257">
        <f t="shared" ca="1" si="55"/>
        <v>0</v>
      </c>
      <c r="Z20" s="257">
        <f t="shared" ca="1" si="55"/>
        <v>0</v>
      </c>
      <c r="AA20" s="257">
        <f t="shared" ca="1" si="55"/>
        <v>0</v>
      </c>
      <c r="AB20" s="257">
        <f t="shared" ca="1" si="55"/>
        <v>0</v>
      </c>
      <c r="AC20" s="257">
        <f t="shared" ca="1" si="55"/>
        <v>0</v>
      </c>
      <c r="AD20" s="257">
        <f t="shared" ca="1" si="55"/>
        <v>0</v>
      </c>
      <c r="AE20" s="257">
        <f t="shared" ca="1" si="55"/>
        <v>0</v>
      </c>
      <c r="AF20" s="257">
        <f t="shared" ca="1" si="55"/>
        <v>0</v>
      </c>
      <c r="AG20" s="257">
        <f t="shared" ca="1" si="55"/>
        <v>0</v>
      </c>
      <c r="AH20" s="257">
        <f t="shared" ca="1" si="5"/>
        <v>-140.80186989915305</v>
      </c>
      <c r="AJ20" s="263">
        <f t="shared" ref="AJ20:AX20" ca="1" si="56">AJ19</f>
        <v>0</v>
      </c>
      <c r="AK20" s="263">
        <f t="shared" ca="1" si="56"/>
        <v>0</v>
      </c>
      <c r="AL20" s="263">
        <f t="shared" ca="1" si="56"/>
        <v>0</v>
      </c>
      <c r="AM20" s="263">
        <f t="shared" ca="1" si="56"/>
        <v>0</v>
      </c>
      <c r="AN20" s="263">
        <f t="shared" ca="1" si="56"/>
        <v>0</v>
      </c>
      <c r="AO20" s="263">
        <f t="shared" ca="1" si="56"/>
        <v>0</v>
      </c>
      <c r="AP20" s="263">
        <f t="shared" ca="1" si="56"/>
        <v>0</v>
      </c>
      <c r="AQ20" s="263">
        <f t="shared" ca="1" si="56"/>
        <v>0</v>
      </c>
      <c r="AR20" s="263">
        <f t="shared" ca="1" si="56"/>
        <v>0</v>
      </c>
      <c r="AS20" s="263">
        <f t="shared" ca="1" si="56"/>
        <v>0</v>
      </c>
      <c r="AT20" s="263">
        <f t="shared" ca="1" si="56"/>
        <v>0</v>
      </c>
      <c r="AU20" s="263">
        <f t="shared" ca="1" si="56"/>
        <v>0</v>
      </c>
      <c r="AV20" s="263">
        <f t="shared" ca="1" si="56"/>
        <v>0</v>
      </c>
      <c r="AW20" s="263">
        <f t="shared" ca="1" si="56"/>
        <v>0</v>
      </c>
      <c r="AX20" s="263">
        <f t="shared" ca="1" si="56"/>
        <v>0</v>
      </c>
      <c r="AY20" s="263">
        <f t="shared" ca="1" si="8"/>
        <v>0</v>
      </c>
      <c r="BA20" s="277">
        <f ca="1">BA19</f>
        <v>0</v>
      </c>
      <c r="BB20" s="277">
        <f ca="1">BB19</f>
        <v>0</v>
      </c>
      <c r="BC20" s="277">
        <f t="shared" ca="1" si="10"/>
        <v>0</v>
      </c>
      <c r="BE20" s="55">
        <f t="shared" ca="1" si="11"/>
        <v>0</v>
      </c>
      <c r="BF20" s="55"/>
      <c r="BG20" s="1428"/>
      <c r="BH20" s="542">
        <f t="shared" ref="BH20:CU20" ca="1" si="57">BH19</f>
        <v>21.088740866015545</v>
      </c>
      <c r="BI20" s="542">
        <f t="shared" ca="1" si="57"/>
        <v>3.8045305284095776E-2</v>
      </c>
      <c r="BJ20" s="542">
        <f t="shared" ca="1" si="57"/>
        <v>0.16649783422135445</v>
      </c>
      <c r="BK20" s="542">
        <f t="shared" ca="1" si="57"/>
        <v>0</v>
      </c>
      <c r="BL20" s="542">
        <f t="shared" ca="1" si="57"/>
        <v>0</v>
      </c>
      <c r="BM20" s="542">
        <f t="shared" ca="1" si="57"/>
        <v>0</v>
      </c>
      <c r="BN20" s="542">
        <f t="shared" ca="1" si="57"/>
        <v>0</v>
      </c>
      <c r="BO20" s="542">
        <f t="shared" ca="1" si="57"/>
        <v>0</v>
      </c>
      <c r="BP20" s="542">
        <f t="shared" ca="1" si="57"/>
        <v>14.628813841363048</v>
      </c>
      <c r="BQ20" s="542">
        <f t="shared" ca="1" si="57"/>
        <v>0.13511675102916507</v>
      </c>
      <c r="BR20" s="542">
        <f t="shared" ca="1" si="57"/>
        <v>3.5829235236805861</v>
      </c>
      <c r="BS20" s="542">
        <f t="shared" ca="1" si="57"/>
        <v>8.5205687194014956</v>
      </c>
      <c r="BT20" s="542">
        <f t="shared" ca="1" si="57"/>
        <v>0</v>
      </c>
      <c r="BU20" s="542">
        <f t="shared" ca="1" si="57"/>
        <v>0</v>
      </c>
      <c r="BV20" s="542">
        <f t="shared" ca="1" si="57"/>
        <v>0</v>
      </c>
      <c r="BW20" s="542">
        <f t="shared" ca="1" si="57"/>
        <v>0</v>
      </c>
      <c r="BX20" s="542">
        <f t="shared" ca="1" si="57"/>
        <v>0</v>
      </c>
      <c r="BY20" s="542">
        <f t="shared" ca="1" si="57"/>
        <v>0</v>
      </c>
      <c r="BZ20" s="542">
        <f t="shared" ca="1" si="57"/>
        <v>0</v>
      </c>
      <c r="CA20" s="542">
        <f t="shared" ca="1" si="57"/>
        <v>0</v>
      </c>
      <c r="CB20" s="542">
        <f t="shared" ca="1" si="57"/>
        <v>0</v>
      </c>
      <c r="CC20" s="542">
        <f t="shared" ca="1" si="57"/>
        <v>0</v>
      </c>
      <c r="CD20" s="542">
        <f t="shared" ca="1" si="57"/>
        <v>0</v>
      </c>
      <c r="CE20" s="542">
        <f t="shared" ca="1" si="57"/>
        <v>0</v>
      </c>
      <c r="CF20" s="542">
        <f t="shared" ca="1" si="57"/>
        <v>0</v>
      </c>
      <c r="CG20" s="542">
        <f t="shared" ca="1" si="57"/>
        <v>0</v>
      </c>
      <c r="CH20" s="542">
        <f t="shared" ca="1" si="57"/>
        <v>0</v>
      </c>
      <c r="CI20" s="542">
        <f t="shared" ca="1" si="57"/>
        <v>0</v>
      </c>
      <c r="CJ20" s="542">
        <f t="shared" ca="1" si="57"/>
        <v>0</v>
      </c>
      <c r="CK20" s="542">
        <f t="shared" ca="1" si="57"/>
        <v>0</v>
      </c>
      <c r="CL20" s="542">
        <f t="shared" ca="1" si="57"/>
        <v>0</v>
      </c>
      <c r="CM20" s="542">
        <f t="shared" ca="1" si="57"/>
        <v>0</v>
      </c>
      <c r="CN20" s="542">
        <f t="shared" ca="1" si="57"/>
        <v>0</v>
      </c>
      <c r="CO20" s="542">
        <f t="shared" ca="1" si="57"/>
        <v>0</v>
      </c>
      <c r="CP20" s="542">
        <f t="shared" ca="1" si="57"/>
        <v>0</v>
      </c>
      <c r="CQ20" s="542">
        <f t="shared" ca="1" si="57"/>
        <v>0</v>
      </c>
      <c r="CR20" s="542">
        <f t="shared" ca="1" si="57"/>
        <v>0</v>
      </c>
      <c r="CS20" s="542">
        <f t="shared" ca="1" si="57"/>
        <v>0</v>
      </c>
      <c r="CT20" s="542">
        <f t="shared" ca="1" si="57"/>
        <v>0</v>
      </c>
      <c r="CU20" s="542">
        <f t="shared" ca="1" si="57"/>
        <v>0</v>
      </c>
      <c r="CW20" s="151">
        <f t="shared" ca="1" si="37"/>
        <v>48.160706840995289</v>
      </c>
    </row>
    <row r="21" spans="1:101" s="84" customFormat="1" ht="12.75" customHeight="1" outlineLevel="1" x14ac:dyDescent="0.2">
      <c r="A21" s="18"/>
      <c r="B21" s="18"/>
      <c r="C21" s="87"/>
      <c r="D21" s="53"/>
      <c r="E21" s="53"/>
      <c r="G21" s="300"/>
      <c r="H21" s="300"/>
      <c r="I21" s="300"/>
      <c r="J21" s="300"/>
      <c r="K21" s="300"/>
      <c r="L21" s="300"/>
      <c r="M21" s="300"/>
      <c r="N21" s="300"/>
      <c r="O21" s="300"/>
      <c r="P21" s="300">
        <f t="shared" si="1"/>
        <v>0</v>
      </c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>
        <f t="shared" si="5"/>
        <v>0</v>
      </c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>
        <f t="shared" si="8"/>
        <v>0</v>
      </c>
      <c r="BA21" s="277"/>
      <c r="BB21" s="277"/>
      <c r="BC21" s="277">
        <f t="shared" si="10"/>
        <v>0</v>
      </c>
      <c r="BE21" s="55">
        <f t="shared" si="11"/>
        <v>0</v>
      </c>
      <c r="BF21" s="55"/>
      <c r="BG21" s="18"/>
      <c r="BH21" s="542"/>
      <c r="BI21" s="542"/>
      <c r="BJ21" s="542"/>
      <c r="BK21" s="542"/>
      <c r="BL21" s="542"/>
      <c r="BM21" s="542"/>
      <c r="BN21" s="542"/>
      <c r="BO21" s="542"/>
      <c r="BP21" s="542"/>
      <c r="BQ21" s="542"/>
      <c r="BR21" s="542"/>
      <c r="BS21" s="542"/>
      <c r="BT21" s="542"/>
      <c r="BU21" s="542"/>
      <c r="BV21" s="542"/>
      <c r="BW21" s="542"/>
      <c r="BX21" s="542"/>
      <c r="BY21" s="542"/>
      <c r="BZ21" s="542"/>
      <c r="CA21" s="542"/>
      <c r="CB21" s="542"/>
      <c r="CC21" s="542"/>
      <c r="CD21" s="542"/>
      <c r="CE21" s="542"/>
      <c r="CF21" s="542"/>
      <c r="CG21" s="542"/>
      <c r="CH21" s="542"/>
      <c r="CI21" s="542"/>
      <c r="CJ21" s="542"/>
      <c r="CK21" s="542"/>
      <c r="CL21" s="542"/>
      <c r="CM21" s="542"/>
      <c r="CN21" s="542"/>
      <c r="CO21" s="542"/>
      <c r="CP21" s="542"/>
      <c r="CQ21" s="542"/>
      <c r="CR21" s="542"/>
      <c r="CS21" s="542"/>
      <c r="CT21" s="542"/>
      <c r="CU21" s="542"/>
      <c r="CW21" s="151">
        <f t="shared" si="37"/>
        <v>0</v>
      </c>
    </row>
    <row r="22" spans="1:101" s="84" customFormat="1" ht="12.75" customHeight="1" outlineLevel="1" x14ac:dyDescent="0.2">
      <c r="A22" s="543"/>
      <c r="B22" s="543"/>
      <c r="C22" s="86" t="s">
        <v>362</v>
      </c>
      <c r="D22" s="63" t="str">
        <f>INDEX(Modules[Module], MATCH($C22, Modules[Code], 0))</f>
        <v>Domestic passenger transport</v>
      </c>
      <c r="E22" s="291"/>
      <c r="G22" s="297">
        <f t="shared" ref="G22:O23" ca="1" si="58">IFERROR(INDEX(INDIRECT($C22&amp;".Outputs["&amp;this.Year&amp;"]"), MATCH(G$5, INDIRECT($C22&amp;".Outputs[Vector]"), 0)), 0)</f>
        <v>0</v>
      </c>
      <c r="H22" s="297">
        <f t="shared" ca="1" si="58"/>
        <v>0</v>
      </c>
      <c r="I22" s="297">
        <f t="shared" ca="1" si="58"/>
        <v>0</v>
      </c>
      <c r="J22" s="297">
        <f t="shared" ca="1" si="58"/>
        <v>0</v>
      </c>
      <c r="K22" s="297">
        <f t="shared" ca="1" si="58"/>
        <v>86.419781127919151</v>
      </c>
      <c r="L22" s="297">
        <f t="shared" ca="1" si="58"/>
        <v>53.334358506851046</v>
      </c>
      <c r="M22" s="297">
        <f t="shared" ca="1" si="58"/>
        <v>0</v>
      </c>
      <c r="N22" s="297">
        <f t="shared" ca="1" si="58"/>
        <v>0</v>
      </c>
      <c r="O22" s="297">
        <f t="shared" ca="1" si="58"/>
        <v>0</v>
      </c>
      <c r="P22" s="297">
        <f t="shared" ca="1" si="1"/>
        <v>139.75413963477018</v>
      </c>
      <c r="R22" s="304">
        <f t="shared" ref="R22:AX23" ca="1" si="59">IFERROR(INDEX(INDIRECT($C22&amp;".Outputs["&amp;this.Year&amp;"]"), MATCH(R$5, INDIRECT($C22&amp;".Outputs[Vector]"), 0)), 0)</f>
        <v>-19.471332056571008</v>
      </c>
      <c r="S22" s="304">
        <f t="shared" ca="1" si="59"/>
        <v>0</v>
      </c>
      <c r="T22" s="304">
        <f t="shared" ca="1" si="59"/>
        <v>0</v>
      </c>
      <c r="U22" s="304">
        <f t="shared" ca="1" si="59"/>
        <v>-107.40120119151992</v>
      </c>
      <c r="V22" s="304">
        <f t="shared" ca="1" si="59"/>
        <v>-12.881606386679284</v>
      </c>
      <c r="W22" s="304">
        <f t="shared" ca="1" si="59"/>
        <v>0</v>
      </c>
      <c r="X22" s="304">
        <f t="shared" ref="X22:Z23" ca="1" si="60">IFERROR(INDEX(INDIRECT($C22&amp;".Outputs["&amp;this.Year&amp;"]"), MATCH(X$5, INDIRECT($C22&amp;".Outputs[Vector]"), 0)), 0)</f>
        <v>0</v>
      </c>
      <c r="Y22" s="304">
        <f t="shared" ca="1" si="60"/>
        <v>0</v>
      </c>
      <c r="Z22" s="304">
        <f t="shared" ca="1" si="60"/>
        <v>0</v>
      </c>
      <c r="AA22" s="304">
        <f t="shared" ca="1" si="59"/>
        <v>0</v>
      </c>
      <c r="AB22" s="304">
        <f t="shared" ca="1" si="59"/>
        <v>0</v>
      </c>
      <c r="AC22" s="304">
        <f t="shared" ca="1" si="59"/>
        <v>0</v>
      </c>
      <c r="AD22" s="304">
        <f t="shared" ca="1" si="59"/>
        <v>0</v>
      </c>
      <c r="AE22" s="304">
        <f t="shared" ca="1" si="59"/>
        <v>0</v>
      </c>
      <c r="AF22" s="304">
        <f t="shared" ca="1" si="59"/>
        <v>0</v>
      </c>
      <c r="AG22" s="304">
        <f t="shared" ca="1" si="59"/>
        <v>0</v>
      </c>
      <c r="AH22" s="305">
        <f t="shared" ca="1" si="5"/>
        <v>-139.75413963477021</v>
      </c>
      <c r="AJ22" s="312">
        <f t="shared" ref="AJ22:AR23" ca="1" si="61">IFERROR(INDEX(INDIRECT($C22&amp;".Outputs["&amp;this.Year&amp;"]"), MATCH(AJ$5, INDIRECT($C22&amp;".Outputs[Vector]"), 0)), 0)</f>
        <v>0</v>
      </c>
      <c r="AK22" s="312">
        <f t="shared" ca="1" si="61"/>
        <v>0</v>
      </c>
      <c r="AL22" s="312">
        <f t="shared" ca="1" si="61"/>
        <v>0</v>
      </c>
      <c r="AM22" s="312">
        <f t="shared" ca="1" si="61"/>
        <v>0</v>
      </c>
      <c r="AN22" s="312">
        <f t="shared" ca="1" si="61"/>
        <v>0</v>
      </c>
      <c r="AO22" s="312">
        <f t="shared" ca="1" si="61"/>
        <v>0</v>
      </c>
      <c r="AP22" s="312">
        <f t="shared" ca="1" si="61"/>
        <v>0</v>
      </c>
      <c r="AQ22" s="312">
        <f t="shared" ca="1" si="61"/>
        <v>0</v>
      </c>
      <c r="AR22" s="312">
        <f t="shared" ca="1" si="61"/>
        <v>0</v>
      </c>
      <c r="AS22" s="312">
        <f t="shared" ca="1" si="59"/>
        <v>0</v>
      </c>
      <c r="AT22" s="312">
        <f t="shared" ca="1" si="59"/>
        <v>0</v>
      </c>
      <c r="AU22" s="312">
        <f t="shared" ca="1" si="59"/>
        <v>0</v>
      </c>
      <c r="AV22" s="312">
        <f t="shared" ca="1" si="59"/>
        <v>0</v>
      </c>
      <c r="AW22" s="312">
        <f t="shared" ca="1" si="59"/>
        <v>0</v>
      </c>
      <c r="AX22" s="312">
        <f t="shared" ca="1" si="59"/>
        <v>0</v>
      </c>
      <c r="AY22" s="266">
        <f t="shared" ca="1" si="8"/>
        <v>0</v>
      </c>
      <c r="BA22" s="308">
        <f t="shared" ref="BA22:BB23" ca="1" si="62">IFERROR(INDEX(INDIRECT($C22&amp;".Outputs["&amp;this.Year&amp;"]"), MATCH(BA$5, INDIRECT($C22&amp;".Outputs[Vector]"), 0)), 0)</f>
        <v>0</v>
      </c>
      <c r="BB22" s="308">
        <f t="shared" ca="1" si="62"/>
        <v>0</v>
      </c>
      <c r="BC22" s="309">
        <f t="shared" ca="1" si="10"/>
        <v>0</v>
      </c>
      <c r="BE22" s="135">
        <f t="shared" ca="1" si="11"/>
        <v>-2.8421709430404007E-14</v>
      </c>
      <c r="BF22" s="135"/>
      <c r="BG22" s="1428"/>
      <c r="BH22" s="541">
        <f t="shared" ref="BH22:BQ23" ca="1" si="63">IFERROR(SUMIFS(INDIRECT($C22&amp;".Emissions["&amp;this.Year&amp;"]"), INDIRECT($C22&amp;".Emissions[GHG]"), BH$6, INDIRECT($C22&amp;".Emissions[IPCC Sector]"), BH$5),0)</f>
        <v>26.850300297879979</v>
      </c>
      <c r="BI22" s="542">
        <f t="shared" ca="1" si="63"/>
        <v>3.342851787255624E-2</v>
      </c>
      <c r="BJ22" s="542">
        <f t="shared" ca="1" si="63"/>
        <v>0.48309192105766913</v>
      </c>
      <c r="BK22" s="542">
        <f t="shared" ca="1" si="63"/>
        <v>0</v>
      </c>
      <c r="BL22" s="542">
        <f t="shared" ca="1" si="63"/>
        <v>0</v>
      </c>
      <c r="BM22" s="542">
        <f t="shared" ca="1" si="63"/>
        <v>0</v>
      </c>
      <c r="BN22" s="542">
        <f t="shared" ca="1" si="63"/>
        <v>0</v>
      </c>
      <c r="BO22" s="542">
        <f t="shared" ca="1" si="63"/>
        <v>0</v>
      </c>
      <c r="BP22" s="542">
        <f t="shared" ca="1" si="63"/>
        <v>0</v>
      </c>
      <c r="BQ22" s="542">
        <f t="shared" ca="1" si="63"/>
        <v>0</v>
      </c>
      <c r="BR22" s="542">
        <f t="shared" ref="BR22:CA23" ca="1" si="64">IFERROR(SUMIFS(INDIRECT($C22&amp;".Emissions["&amp;this.Year&amp;"]"), INDIRECT($C22&amp;".Emissions[GHG]"), BR$6, INDIRECT($C22&amp;".Emissions[IPCC Sector]"), BR$5),0)</f>
        <v>0</v>
      </c>
      <c r="BS22" s="542">
        <f t="shared" ca="1" si="64"/>
        <v>0</v>
      </c>
      <c r="BT22" s="542">
        <f t="shared" ca="1" si="64"/>
        <v>0</v>
      </c>
      <c r="BU22" s="542">
        <f t="shared" ca="1" si="64"/>
        <v>0</v>
      </c>
      <c r="BV22" s="542">
        <f t="shared" ca="1" si="64"/>
        <v>0</v>
      </c>
      <c r="BW22" s="542">
        <f t="shared" ca="1" si="64"/>
        <v>0</v>
      </c>
      <c r="BX22" s="542">
        <f t="shared" ca="1" si="64"/>
        <v>0</v>
      </c>
      <c r="BY22" s="542">
        <f t="shared" ca="1" si="64"/>
        <v>0</v>
      </c>
      <c r="BZ22" s="542">
        <f t="shared" ca="1" si="64"/>
        <v>0</v>
      </c>
      <c r="CA22" s="542">
        <f t="shared" ca="1" si="64"/>
        <v>0</v>
      </c>
      <c r="CB22" s="542">
        <f t="shared" ref="CB22:CK23" ca="1" si="65">IFERROR(SUMIFS(INDIRECT($C22&amp;".Emissions["&amp;this.Year&amp;"]"), INDIRECT($C22&amp;".Emissions[GHG]"), CB$6, INDIRECT($C22&amp;".Emissions[IPCC Sector]"), CB$5),0)</f>
        <v>0</v>
      </c>
      <c r="CC22" s="542">
        <f t="shared" ca="1" si="65"/>
        <v>0</v>
      </c>
      <c r="CD22" s="542">
        <f t="shared" ca="1" si="65"/>
        <v>0</v>
      </c>
      <c r="CE22" s="542">
        <f t="shared" ca="1" si="65"/>
        <v>0</v>
      </c>
      <c r="CF22" s="542">
        <f t="shared" ca="1" si="65"/>
        <v>0</v>
      </c>
      <c r="CG22" s="542">
        <f t="shared" ca="1" si="65"/>
        <v>0</v>
      </c>
      <c r="CH22" s="542">
        <f t="shared" ca="1" si="65"/>
        <v>0</v>
      </c>
      <c r="CI22" s="542">
        <f t="shared" ca="1" si="65"/>
        <v>0</v>
      </c>
      <c r="CJ22" s="542">
        <f t="shared" ca="1" si="65"/>
        <v>0</v>
      </c>
      <c r="CK22" s="542">
        <f t="shared" ca="1" si="65"/>
        <v>0</v>
      </c>
      <c r="CL22" s="542">
        <f t="shared" ref="CL22:CU23" ca="1" si="66">IFERROR(SUMIFS(INDIRECT($C22&amp;".Emissions["&amp;this.Year&amp;"]"), INDIRECT($C22&amp;".Emissions[GHG]"), CL$6, INDIRECT($C22&amp;".Emissions[IPCC Sector]"), CL$5),0)</f>
        <v>0</v>
      </c>
      <c r="CM22" s="542">
        <f t="shared" ca="1" si="66"/>
        <v>0</v>
      </c>
      <c r="CN22" s="542">
        <f t="shared" ca="1" si="66"/>
        <v>0</v>
      </c>
      <c r="CO22" s="542">
        <f t="shared" ca="1" si="66"/>
        <v>0</v>
      </c>
      <c r="CP22" s="542">
        <f t="shared" ca="1" si="66"/>
        <v>0</v>
      </c>
      <c r="CQ22" s="542">
        <f t="shared" ca="1" si="66"/>
        <v>0</v>
      </c>
      <c r="CR22" s="542">
        <f t="shared" ca="1" si="66"/>
        <v>0</v>
      </c>
      <c r="CS22" s="542">
        <f t="shared" ca="1" si="66"/>
        <v>0</v>
      </c>
      <c r="CT22" s="542">
        <f t="shared" ca="1" si="66"/>
        <v>0</v>
      </c>
      <c r="CU22" s="542">
        <f t="shared" ca="1" si="66"/>
        <v>0</v>
      </c>
      <c r="CW22" s="151">
        <f t="shared" ca="1" si="37"/>
        <v>27.366820736810205</v>
      </c>
    </row>
    <row r="23" spans="1:101" s="84" customFormat="1" ht="12.75" customHeight="1" outlineLevel="1" x14ac:dyDescent="0.2">
      <c r="A23" s="543"/>
      <c r="B23" s="543"/>
      <c r="C23" s="86" t="s">
        <v>375</v>
      </c>
      <c r="D23" s="63" t="str">
        <f>INDEX(Modules[Module], MATCH($C23, Modules[Code], 0))</f>
        <v>Domestic freight</v>
      </c>
      <c r="E23" s="291"/>
      <c r="G23" s="297">
        <f t="shared" ca="1" si="58"/>
        <v>0</v>
      </c>
      <c r="H23" s="297">
        <f t="shared" ca="1" si="58"/>
        <v>0</v>
      </c>
      <c r="I23" s="297">
        <f t="shared" ca="1" si="58"/>
        <v>0</v>
      </c>
      <c r="J23" s="297">
        <f t="shared" ca="1" si="58"/>
        <v>0</v>
      </c>
      <c r="K23" s="297">
        <f t="shared" ca="1" si="58"/>
        <v>13.79464584335866</v>
      </c>
      <c r="L23" s="297">
        <f t="shared" ca="1" si="58"/>
        <v>10.085003207747235</v>
      </c>
      <c r="M23" s="297">
        <f t="shared" ca="1" si="58"/>
        <v>0</v>
      </c>
      <c r="N23" s="297">
        <f t="shared" ca="1" si="58"/>
        <v>7.2354868807669103E-13</v>
      </c>
      <c r="O23" s="297">
        <f t="shared" ca="1" si="58"/>
        <v>8.0982509853428706</v>
      </c>
      <c r="P23" s="297">
        <f t="shared" ca="1" si="1"/>
        <v>31.977900036449491</v>
      </c>
      <c r="R23" s="304">
        <f t="shared" ca="1" si="59"/>
        <v>-14.040076195775544</v>
      </c>
      <c r="S23" s="304">
        <f t="shared" ca="1" si="59"/>
        <v>0</v>
      </c>
      <c r="T23" s="304">
        <f t="shared" ca="1" si="59"/>
        <v>0</v>
      </c>
      <c r="U23" s="304">
        <f t="shared" ca="1" si="59"/>
        <v>-16.534154059253513</v>
      </c>
      <c r="V23" s="304">
        <f t="shared" ca="1" si="59"/>
        <v>-1.4036697814204333</v>
      </c>
      <c r="W23" s="304">
        <f t="shared" ca="1" si="59"/>
        <v>0</v>
      </c>
      <c r="X23" s="304">
        <f t="shared" ca="1" si="60"/>
        <v>0</v>
      </c>
      <c r="Y23" s="304">
        <f t="shared" ca="1" si="60"/>
        <v>0</v>
      </c>
      <c r="Z23" s="304">
        <f t="shared" ca="1" si="60"/>
        <v>0</v>
      </c>
      <c r="AA23" s="304">
        <f t="shared" ca="1" si="59"/>
        <v>0</v>
      </c>
      <c r="AB23" s="304">
        <f t="shared" ca="1" si="59"/>
        <v>0</v>
      </c>
      <c r="AC23" s="304">
        <f t="shared" ca="1" si="59"/>
        <v>0</v>
      </c>
      <c r="AD23" s="304">
        <f t="shared" ca="1" si="59"/>
        <v>0</v>
      </c>
      <c r="AE23" s="304">
        <f t="shared" ca="1" si="59"/>
        <v>0</v>
      </c>
      <c r="AF23" s="304">
        <f t="shared" ca="1" si="59"/>
        <v>0</v>
      </c>
      <c r="AG23" s="304">
        <f t="shared" ca="1" si="59"/>
        <v>0</v>
      </c>
      <c r="AH23" s="305">
        <f t="shared" ca="1" si="5"/>
        <v>-31.977900036449491</v>
      </c>
      <c r="AJ23" s="312">
        <f t="shared" ca="1" si="61"/>
        <v>0</v>
      </c>
      <c r="AK23" s="312">
        <f t="shared" ca="1" si="61"/>
        <v>0</v>
      </c>
      <c r="AL23" s="312">
        <f t="shared" ca="1" si="61"/>
        <v>0</v>
      </c>
      <c r="AM23" s="312">
        <f t="shared" ca="1" si="61"/>
        <v>0</v>
      </c>
      <c r="AN23" s="312">
        <f t="shared" ca="1" si="61"/>
        <v>0</v>
      </c>
      <c r="AO23" s="312">
        <f t="shared" ca="1" si="61"/>
        <v>0</v>
      </c>
      <c r="AP23" s="312">
        <f t="shared" ca="1" si="61"/>
        <v>0</v>
      </c>
      <c r="AQ23" s="312">
        <f t="shared" ca="1" si="61"/>
        <v>0</v>
      </c>
      <c r="AR23" s="312">
        <f t="shared" ca="1" si="61"/>
        <v>0</v>
      </c>
      <c r="AS23" s="312">
        <f t="shared" ca="1" si="59"/>
        <v>0</v>
      </c>
      <c r="AT23" s="312">
        <f t="shared" ca="1" si="59"/>
        <v>0</v>
      </c>
      <c r="AU23" s="312">
        <f t="shared" ca="1" si="59"/>
        <v>0</v>
      </c>
      <c r="AV23" s="312">
        <f t="shared" ca="1" si="59"/>
        <v>0</v>
      </c>
      <c r="AW23" s="312">
        <f t="shared" ca="1" si="59"/>
        <v>0</v>
      </c>
      <c r="AX23" s="312">
        <f t="shared" ca="1" si="59"/>
        <v>0</v>
      </c>
      <c r="AY23" s="266">
        <f t="shared" ca="1" si="8"/>
        <v>0</v>
      </c>
      <c r="BA23" s="308">
        <f t="shared" ca="1" si="62"/>
        <v>0</v>
      </c>
      <c r="BB23" s="308">
        <f t="shared" ca="1" si="62"/>
        <v>0</v>
      </c>
      <c r="BC23" s="309">
        <f t="shared" ca="1" si="10"/>
        <v>0</v>
      </c>
      <c r="BE23" s="135">
        <f t="shared" ca="1" si="11"/>
        <v>0</v>
      </c>
      <c r="BF23" s="135"/>
      <c r="BG23" s="1428"/>
      <c r="BH23" s="541">
        <f t="shared" ca="1" si="63"/>
        <v>4.4844559601684866</v>
      </c>
      <c r="BI23" s="542">
        <f t="shared" ca="1" si="63"/>
        <v>5.5831299668935158E-3</v>
      </c>
      <c r="BJ23" s="542">
        <f t="shared" ca="1" si="63"/>
        <v>8.0684551780128927E-2</v>
      </c>
      <c r="BK23" s="542">
        <f t="shared" ca="1" si="63"/>
        <v>0</v>
      </c>
      <c r="BL23" s="542">
        <f t="shared" ca="1" si="63"/>
        <v>0</v>
      </c>
      <c r="BM23" s="542">
        <f t="shared" ca="1" si="63"/>
        <v>0</v>
      </c>
      <c r="BN23" s="542">
        <f t="shared" ca="1" si="63"/>
        <v>0</v>
      </c>
      <c r="BO23" s="542">
        <f t="shared" ca="1" si="63"/>
        <v>0</v>
      </c>
      <c r="BP23" s="542">
        <f t="shared" ca="1" si="63"/>
        <v>0</v>
      </c>
      <c r="BQ23" s="542">
        <f t="shared" ca="1" si="63"/>
        <v>0</v>
      </c>
      <c r="BR23" s="542">
        <f t="shared" ca="1" si="64"/>
        <v>0</v>
      </c>
      <c r="BS23" s="542">
        <f t="shared" ca="1" si="64"/>
        <v>0</v>
      </c>
      <c r="BT23" s="542">
        <f t="shared" ca="1" si="64"/>
        <v>0</v>
      </c>
      <c r="BU23" s="542">
        <f t="shared" ca="1" si="64"/>
        <v>0</v>
      </c>
      <c r="BV23" s="542">
        <f t="shared" ca="1" si="64"/>
        <v>0</v>
      </c>
      <c r="BW23" s="542">
        <f t="shared" ca="1" si="64"/>
        <v>0</v>
      </c>
      <c r="BX23" s="542">
        <f t="shared" ca="1" si="64"/>
        <v>0</v>
      </c>
      <c r="BY23" s="542">
        <f t="shared" ca="1" si="64"/>
        <v>0</v>
      </c>
      <c r="BZ23" s="542">
        <f t="shared" ca="1" si="64"/>
        <v>0</v>
      </c>
      <c r="CA23" s="542">
        <f t="shared" ca="1" si="64"/>
        <v>0</v>
      </c>
      <c r="CB23" s="542">
        <f t="shared" ca="1" si="65"/>
        <v>0</v>
      </c>
      <c r="CC23" s="542">
        <f t="shared" ca="1" si="65"/>
        <v>0</v>
      </c>
      <c r="CD23" s="542">
        <f t="shared" ca="1" si="65"/>
        <v>0</v>
      </c>
      <c r="CE23" s="542">
        <f t="shared" ca="1" si="65"/>
        <v>0</v>
      </c>
      <c r="CF23" s="542">
        <f t="shared" ca="1" si="65"/>
        <v>0</v>
      </c>
      <c r="CG23" s="542">
        <f t="shared" ca="1" si="65"/>
        <v>0</v>
      </c>
      <c r="CH23" s="542">
        <f t="shared" ca="1" si="65"/>
        <v>0</v>
      </c>
      <c r="CI23" s="542">
        <f t="shared" ca="1" si="65"/>
        <v>0</v>
      </c>
      <c r="CJ23" s="542">
        <f t="shared" ca="1" si="65"/>
        <v>0</v>
      </c>
      <c r="CK23" s="542">
        <f t="shared" ca="1" si="65"/>
        <v>0</v>
      </c>
      <c r="CL23" s="542">
        <f t="shared" ca="1" si="66"/>
        <v>0</v>
      </c>
      <c r="CM23" s="542">
        <f t="shared" ca="1" si="66"/>
        <v>0</v>
      </c>
      <c r="CN23" s="542">
        <f t="shared" ca="1" si="66"/>
        <v>0</v>
      </c>
      <c r="CO23" s="542">
        <f t="shared" ca="1" si="66"/>
        <v>0</v>
      </c>
      <c r="CP23" s="542">
        <f t="shared" ca="1" si="66"/>
        <v>0</v>
      </c>
      <c r="CQ23" s="542">
        <f t="shared" ca="1" si="66"/>
        <v>0</v>
      </c>
      <c r="CR23" s="542">
        <f t="shared" ca="1" si="66"/>
        <v>0</v>
      </c>
      <c r="CS23" s="542">
        <f t="shared" ca="1" si="66"/>
        <v>0</v>
      </c>
      <c r="CT23" s="542">
        <f t="shared" ca="1" si="66"/>
        <v>0</v>
      </c>
      <c r="CU23" s="542">
        <f t="shared" ca="1" si="66"/>
        <v>0</v>
      </c>
      <c r="CW23" s="151">
        <f t="shared" ca="1" si="37"/>
        <v>4.5707236419155093</v>
      </c>
    </row>
    <row r="24" spans="1:101" s="84" customFormat="1" ht="15.75" x14ac:dyDescent="0.2">
      <c r="A24" s="18"/>
      <c r="B24" s="89"/>
      <c r="C24" s="85" t="s">
        <v>232</v>
      </c>
      <c r="D24" s="57" t="str">
        <f>INDEX(Workstreams[Workstream], MATCH($C24, Workstreams[Code], 0))</f>
        <v>Transport</v>
      </c>
      <c r="E24" s="53"/>
      <c r="G24" s="300">
        <f ca="1">G22+G23</f>
        <v>0</v>
      </c>
      <c r="H24" s="300">
        <f t="shared" ref="H24:AG24" ca="1" si="67">H22+H23</f>
        <v>0</v>
      </c>
      <c r="I24" s="300">
        <f t="shared" ca="1" si="67"/>
        <v>0</v>
      </c>
      <c r="J24" s="300">
        <f t="shared" ca="1" si="67"/>
        <v>0</v>
      </c>
      <c r="K24" s="300">
        <f t="shared" ca="1" si="67"/>
        <v>100.21442697127782</v>
      </c>
      <c r="L24" s="300">
        <f t="shared" ca="1" si="67"/>
        <v>63.419361714598281</v>
      </c>
      <c r="M24" s="300">
        <f t="shared" ca="1" si="67"/>
        <v>0</v>
      </c>
      <c r="N24" s="300">
        <f t="shared" ca="1" si="67"/>
        <v>7.2354868807669103E-13</v>
      </c>
      <c r="O24" s="300">
        <f t="shared" ca="1" si="67"/>
        <v>8.0982509853428706</v>
      </c>
      <c r="P24" s="300">
        <f t="shared" ca="1" si="67"/>
        <v>171.73203967121967</v>
      </c>
      <c r="Q24" s="300">
        <f t="shared" si="67"/>
        <v>0</v>
      </c>
      <c r="R24" s="300">
        <f t="shared" ca="1" si="67"/>
        <v>-33.511408252346556</v>
      </c>
      <c r="S24" s="300">
        <f t="shared" ca="1" si="67"/>
        <v>0</v>
      </c>
      <c r="T24" s="300">
        <f t="shared" ca="1" si="67"/>
        <v>0</v>
      </c>
      <c r="U24" s="300">
        <f t="shared" ca="1" si="67"/>
        <v>-123.93535525077343</v>
      </c>
      <c r="V24" s="300">
        <f t="shared" ca="1" si="67"/>
        <v>-14.285276168099717</v>
      </c>
      <c r="W24" s="300">
        <f t="shared" ca="1" si="67"/>
        <v>0</v>
      </c>
      <c r="X24" s="300">
        <f t="shared" ca="1" si="67"/>
        <v>0</v>
      </c>
      <c r="Y24" s="300">
        <f t="shared" ca="1" si="67"/>
        <v>0</v>
      </c>
      <c r="Z24" s="300">
        <f t="shared" ca="1" si="67"/>
        <v>0</v>
      </c>
      <c r="AA24" s="300">
        <f t="shared" ca="1" si="67"/>
        <v>0</v>
      </c>
      <c r="AB24" s="300">
        <f t="shared" ca="1" si="67"/>
        <v>0</v>
      </c>
      <c r="AC24" s="300">
        <f t="shared" ca="1" si="67"/>
        <v>0</v>
      </c>
      <c r="AD24" s="300">
        <f t="shared" ca="1" si="67"/>
        <v>0</v>
      </c>
      <c r="AE24" s="300">
        <f t="shared" ca="1" si="67"/>
        <v>0</v>
      </c>
      <c r="AF24" s="300">
        <f t="shared" ca="1" si="67"/>
        <v>0</v>
      </c>
      <c r="AG24" s="300">
        <f t="shared" ca="1" si="67"/>
        <v>0</v>
      </c>
      <c r="AH24" s="257">
        <f t="shared" ca="1" si="5"/>
        <v>-171.73203967121972</v>
      </c>
      <c r="AJ24" s="263">
        <f ca="1">AJ22+AJ23</f>
        <v>0</v>
      </c>
      <c r="AK24" s="263">
        <f t="shared" ref="AK24:BB24" ca="1" si="68">AK22+AK23</f>
        <v>0</v>
      </c>
      <c r="AL24" s="263">
        <f t="shared" ca="1" si="68"/>
        <v>0</v>
      </c>
      <c r="AM24" s="263">
        <f t="shared" ca="1" si="68"/>
        <v>0</v>
      </c>
      <c r="AN24" s="263">
        <f t="shared" ca="1" si="68"/>
        <v>0</v>
      </c>
      <c r="AO24" s="263">
        <f t="shared" ca="1" si="68"/>
        <v>0</v>
      </c>
      <c r="AP24" s="263">
        <f t="shared" ca="1" si="68"/>
        <v>0</v>
      </c>
      <c r="AQ24" s="263">
        <f t="shared" ca="1" si="68"/>
        <v>0</v>
      </c>
      <c r="AR24" s="263">
        <f t="shared" ca="1" si="68"/>
        <v>0</v>
      </c>
      <c r="AS24" s="263">
        <f t="shared" ca="1" si="68"/>
        <v>0</v>
      </c>
      <c r="AT24" s="263">
        <f t="shared" ca="1" si="68"/>
        <v>0</v>
      </c>
      <c r="AU24" s="263">
        <f t="shared" ca="1" si="68"/>
        <v>0</v>
      </c>
      <c r="AV24" s="263">
        <f t="shared" ca="1" si="68"/>
        <v>0</v>
      </c>
      <c r="AW24" s="263">
        <f t="shared" ca="1" si="68"/>
        <v>0</v>
      </c>
      <c r="AX24" s="263">
        <f t="shared" ca="1" si="68"/>
        <v>0</v>
      </c>
      <c r="AY24" s="263">
        <f t="shared" ca="1" si="68"/>
        <v>0</v>
      </c>
      <c r="AZ24" s="263">
        <f t="shared" si="68"/>
        <v>0</v>
      </c>
      <c r="BA24" s="263">
        <f t="shared" ca="1" si="68"/>
        <v>0</v>
      </c>
      <c r="BB24" s="263">
        <f t="shared" ca="1" si="68"/>
        <v>0</v>
      </c>
      <c r="BC24" s="277">
        <f t="shared" ca="1" si="10"/>
        <v>0</v>
      </c>
      <c r="BE24" s="55">
        <f t="shared" ca="1" si="11"/>
        <v>-5.6843418860808015E-14</v>
      </c>
      <c r="BF24" s="55"/>
      <c r="BG24" s="1428"/>
      <c r="BH24" s="542">
        <f ca="1">BH22+BH23</f>
        <v>31.334756258048465</v>
      </c>
      <c r="BI24" s="542">
        <f t="shared" ref="BI24:CV24" ca="1" si="69">BI22+BI23</f>
        <v>3.9011647839449756E-2</v>
      </c>
      <c r="BJ24" s="542">
        <f t="shared" ca="1" si="69"/>
        <v>0.56377647283779808</v>
      </c>
      <c r="BK24" s="542">
        <f t="shared" ca="1" si="69"/>
        <v>0</v>
      </c>
      <c r="BL24" s="542">
        <f t="shared" ca="1" si="69"/>
        <v>0</v>
      </c>
      <c r="BM24" s="542">
        <f t="shared" ca="1" si="69"/>
        <v>0</v>
      </c>
      <c r="BN24" s="542">
        <f t="shared" ca="1" si="69"/>
        <v>0</v>
      </c>
      <c r="BO24" s="542">
        <f t="shared" ca="1" si="69"/>
        <v>0</v>
      </c>
      <c r="BP24" s="542">
        <f t="shared" ca="1" si="69"/>
        <v>0</v>
      </c>
      <c r="BQ24" s="542">
        <f t="shared" ca="1" si="69"/>
        <v>0</v>
      </c>
      <c r="BR24" s="542">
        <f t="shared" ca="1" si="69"/>
        <v>0</v>
      </c>
      <c r="BS24" s="542">
        <f t="shared" ca="1" si="69"/>
        <v>0</v>
      </c>
      <c r="BT24" s="542">
        <f t="shared" ca="1" si="69"/>
        <v>0</v>
      </c>
      <c r="BU24" s="542">
        <f t="shared" ca="1" si="69"/>
        <v>0</v>
      </c>
      <c r="BV24" s="542">
        <f t="shared" ca="1" si="69"/>
        <v>0</v>
      </c>
      <c r="BW24" s="542">
        <f t="shared" ca="1" si="69"/>
        <v>0</v>
      </c>
      <c r="BX24" s="542">
        <f t="shared" ca="1" si="69"/>
        <v>0</v>
      </c>
      <c r="BY24" s="542">
        <f t="shared" ca="1" si="69"/>
        <v>0</v>
      </c>
      <c r="BZ24" s="542">
        <f t="shared" ca="1" si="69"/>
        <v>0</v>
      </c>
      <c r="CA24" s="542">
        <f t="shared" ca="1" si="69"/>
        <v>0</v>
      </c>
      <c r="CB24" s="542">
        <f t="shared" ca="1" si="69"/>
        <v>0</v>
      </c>
      <c r="CC24" s="542">
        <f t="shared" ca="1" si="69"/>
        <v>0</v>
      </c>
      <c r="CD24" s="542">
        <f t="shared" ca="1" si="69"/>
        <v>0</v>
      </c>
      <c r="CE24" s="542">
        <f t="shared" ca="1" si="69"/>
        <v>0</v>
      </c>
      <c r="CF24" s="542">
        <f t="shared" ca="1" si="69"/>
        <v>0</v>
      </c>
      <c r="CG24" s="542">
        <f t="shared" ca="1" si="69"/>
        <v>0</v>
      </c>
      <c r="CH24" s="542">
        <f t="shared" ca="1" si="69"/>
        <v>0</v>
      </c>
      <c r="CI24" s="542">
        <f t="shared" ca="1" si="69"/>
        <v>0</v>
      </c>
      <c r="CJ24" s="542">
        <f t="shared" ca="1" si="69"/>
        <v>0</v>
      </c>
      <c r="CK24" s="542">
        <f t="shared" ca="1" si="69"/>
        <v>0</v>
      </c>
      <c r="CL24" s="542">
        <f t="shared" ca="1" si="69"/>
        <v>0</v>
      </c>
      <c r="CM24" s="542">
        <f t="shared" ca="1" si="69"/>
        <v>0</v>
      </c>
      <c r="CN24" s="542">
        <f t="shared" ca="1" si="69"/>
        <v>0</v>
      </c>
      <c r="CO24" s="542">
        <f t="shared" ca="1" si="69"/>
        <v>0</v>
      </c>
      <c r="CP24" s="542">
        <f t="shared" ca="1" si="69"/>
        <v>0</v>
      </c>
      <c r="CQ24" s="542">
        <f t="shared" ca="1" si="69"/>
        <v>0</v>
      </c>
      <c r="CR24" s="542">
        <f t="shared" ca="1" si="69"/>
        <v>0</v>
      </c>
      <c r="CS24" s="542">
        <f t="shared" ca="1" si="69"/>
        <v>0</v>
      </c>
      <c r="CT24" s="542">
        <f t="shared" ca="1" si="69"/>
        <v>0</v>
      </c>
      <c r="CU24" s="542">
        <f t="shared" ca="1" si="69"/>
        <v>0</v>
      </c>
      <c r="CV24" s="542">
        <f t="shared" si="69"/>
        <v>0</v>
      </c>
      <c r="CW24" s="151">
        <f t="shared" ca="1" si="37"/>
        <v>31.937544378725711</v>
      </c>
    </row>
    <row r="25" spans="1:101" s="84" customFormat="1" ht="12.75" customHeight="1" outlineLevel="1" x14ac:dyDescent="0.2">
      <c r="A25" s="18"/>
      <c r="B25" s="18"/>
      <c r="C25" s="87"/>
      <c r="D25" s="53"/>
      <c r="E25" s="53"/>
      <c r="G25" s="300"/>
      <c r="H25" s="300"/>
      <c r="I25" s="300"/>
      <c r="J25" s="300"/>
      <c r="K25" s="300"/>
      <c r="L25" s="300"/>
      <c r="M25" s="300"/>
      <c r="N25" s="300"/>
      <c r="O25" s="300"/>
      <c r="P25" s="300">
        <f t="shared" ref="P25:P56" si="70">SUM(G25:O25)</f>
        <v>0</v>
      </c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>
        <f t="shared" si="5"/>
        <v>0</v>
      </c>
      <c r="AJ25" s="263"/>
      <c r="AK25" s="263"/>
      <c r="AL25" s="263"/>
      <c r="AM25" s="263"/>
      <c r="AN25" s="263"/>
      <c r="AO25" s="263"/>
      <c r="AP25" s="263"/>
      <c r="AQ25" s="263"/>
      <c r="AR25" s="263"/>
      <c r="AS25" s="263"/>
      <c r="AT25" s="263"/>
      <c r="AU25" s="263"/>
      <c r="AV25" s="263"/>
      <c r="AW25" s="263"/>
      <c r="AX25" s="263"/>
      <c r="AY25" s="263">
        <f>SUM(AJ25:AX25)</f>
        <v>0</v>
      </c>
      <c r="BA25" s="277"/>
      <c r="BB25" s="277"/>
      <c r="BC25" s="277">
        <f t="shared" si="10"/>
        <v>0</v>
      </c>
      <c r="BE25" s="55">
        <f t="shared" si="11"/>
        <v>0</v>
      </c>
      <c r="BF25" s="55"/>
      <c r="BG25" s="18"/>
      <c r="BH25" s="542"/>
      <c r="BI25" s="542"/>
      <c r="BJ25" s="542"/>
      <c r="BK25" s="542"/>
      <c r="BL25" s="542"/>
      <c r="BM25" s="542"/>
      <c r="BN25" s="542"/>
      <c r="BO25" s="542"/>
      <c r="BP25" s="542"/>
      <c r="BQ25" s="542"/>
      <c r="BR25" s="542"/>
      <c r="BS25" s="542"/>
      <c r="BT25" s="542"/>
      <c r="BU25" s="542"/>
      <c r="BV25" s="542"/>
      <c r="BW25" s="542"/>
      <c r="BX25" s="542"/>
      <c r="BY25" s="542"/>
      <c r="BZ25" s="542"/>
      <c r="CA25" s="542"/>
      <c r="CB25" s="542"/>
      <c r="CC25" s="542"/>
      <c r="CD25" s="542"/>
      <c r="CE25" s="542"/>
      <c r="CF25" s="542"/>
      <c r="CG25" s="542"/>
      <c r="CH25" s="542"/>
      <c r="CI25" s="542"/>
      <c r="CJ25" s="542"/>
      <c r="CK25" s="542"/>
      <c r="CL25" s="542"/>
      <c r="CM25" s="542"/>
      <c r="CN25" s="542"/>
      <c r="CO25" s="542"/>
      <c r="CP25" s="542"/>
      <c r="CQ25" s="542"/>
      <c r="CR25" s="542"/>
      <c r="CS25" s="542"/>
      <c r="CT25" s="542"/>
      <c r="CU25" s="542"/>
      <c r="CW25" s="151">
        <f t="shared" si="37"/>
        <v>0</v>
      </c>
    </row>
    <row r="26" spans="1:101" s="84" customFormat="1" ht="12.75" customHeight="1" outlineLevel="1" x14ac:dyDescent="0.2">
      <c r="A26" s="18"/>
      <c r="B26" s="18"/>
      <c r="C26" s="87"/>
      <c r="D26" s="53"/>
      <c r="E26" s="53"/>
      <c r="G26" s="300"/>
      <c r="H26" s="300"/>
      <c r="I26" s="300"/>
      <c r="J26" s="300"/>
      <c r="K26" s="300"/>
      <c r="L26" s="300"/>
      <c r="M26" s="300"/>
      <c r="N26" s="300"/>
      <c r="O26" s="300"/>
      <c r="P26" s="300">
        <f t="shared" si="70"/>
        <v>0</v>
      </c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>
        <f t="shared" si="5"/>
        <v>0</v>
      </c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3"/>
      <c r="AY26" s="263">
        <f>SUM(AJ26:AX26)</f>
        <v>0</v>
      </c>
      <c r="BA26" s="277"/>
      <c r="BB26" s="277"/>
      <c r="BC26" s="277">
        <f t="shared" si="10"/>
        <v>0</v>
      </c>
      <c r="BE26" s="55">
        <f t="shared" si="11"/>
        <v>0</v>
      </c>
      <c r="BF26" s="55"/>
      <c r="BG26" s="18"/>
      <c r="BH26" s="541"/>
      <c r="BI26" s="542"/>
      <c r="BJ26" s="542"/>
      <c r="BK26" s="542"/>
      <c r="BL26" s="542"/>
      <c r="BM26" s="542"/>
      <c r="BN26" s="542"/>
      <c r="BO26" s="542"/>
      <c r="BP26" s="542"/>
      <c r="BQ26" s="542"/>
      <c r="BR26" s="542"/>
      <c r="BS26" s="542"/>
      <c r="BT26" s="542"/>
      <c r="BU26" s="542"/>
      <c r="BV26" s="542"/>
      <c r="BW26" s="542"/>
      <c r="BX26" s="542"/>
      <c r="BY26" s="542"/>
      <c r="BZ26" s="542"/>
      <c r="CA26" s="542"/>
      <c r="CB26" s="542"/>
      <c r="CC26" s="542"/>
      <c r="CD26" s="542"/>
      <c r="CE26" s="542"/>
      <c r="CF26" s="542"/>
      <c r="CG26" s="542"/>
      <c r="CH26" s="542"/>
      <c r="CI26" s="542"/>
      <c r="CJ26" s="542"/>
      <c r="CK26" s="542"/>
      <c r="CL26" s="542"/>
      <c r="CM26" s="542"/>
      <c r="CN26" s="542"/>
      <c r="CO26" s="542"/>
      <c r="CP26" s="542"/>
      <c r="CQ26" s="542"/>
      <c r="CR26" s="542"/>
      <c r="CS26" s="542"/>
      <c r="CT26" s="542"/>
      <c r="CU26" s="542"/>
      <c r="CW26" s="151">
        <f t="shared" si="37"/>
        <v>0</v>
      </c>
    </row>
    <row r="27" spans="1:101" s="84" customFormat="1" ht="7.5" customHeight="1" x14ac:dyDescent="0.2">
      <c r="C27" s="56"/>
      <c r="D27" s="57"/>
      <c r="E27" s="51"/>
      <c r="G27" s="300"/>
      <c r="H27" s="300"/>
      <c r="I27" s="300"/>
      <c r="J27" s="300"/>
      <c r="K27" s="300"/>
      <c r="L27" s="300"/>
      <c r="M27" s="300"/>
      <c r="N27" s="300"/>
      <c r="O27" s="300"/>
      <c r="P27" s="300">
        <f t="shared" si="70"/>
        <v>0</v>
      </c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>
        <f t="shared" si="5"/>
        <v>0</v>
      </c>
      <c r="AJ27" s="263"/>
      <c r="AK27" s="263"/>
      <c r="AL27" s="263"/>
      <c r="AM27" s="263"/>
      <c r="AN27" s="263"/>
      <c r="AO27" s="263"/>
      <c r="AP27" s="263"/>
      <c r="AQ27" s="263"/>
      <c r="AR27" s="263"/>
      <c r="AS27" s="263"/>
      <c r="AT27" s="263"/>
      <c r="AU27" s="263"/>
      <c r="AV27" s="263"/>
      <c r="AW27" s="263"/>
      <c r="AX27" s="263"/>
      <c r="AY27" s="263">
        <f>SUM(AJ27:AX27)</f>
        <v>0</v>
      </c>
      <c r="BA27" s="277"/>
      <c r="BB27" s="277"/>
      <c r="BC27" s="277">
        <f t="shared" si="10"/>
        <v>0</v>
      </c>
      <c r="BE27" s="55">
        <f t="shared" si="11"/>
        <v>0</v>
      </c>
      <c r="BF27" s="55"/>
      <c r="BH27" s="542"/>
      <c r="BI27" s="542"/>
      <c r="BJ27" s="542"/>
      <c r="BK27" s="542"/>
      <c r="BL27" s="542"/>
      <c r="BM27" s="542"/>
      <c r="BN27" s="542"/>
      <c r="BO27" s="542"/>
      <c r="BP27" s="542"/>
      <c r="BQ27" s="542"/>
      <c r="BR27" s="542"/>
      <c r="BS27" s="542"/>
      <c r="BT27" s="542"/>
      <c r="BU27" s="542"/>
      <c r="BV27" s="542"/>
      <c r="BW27" s="542"/>
      <c r="BX27" s="542"/>
      <c r="BY27" s="542"/>
      <c r="BZ27" s="542"/>
      <c r="CA27" s="542"/>
      <c r="CB27" s="542"/>
      <c r="CC27" s="542"/>
      <c r="CD27" s="542"/>
      <c r="CE27" s="542"/>
      <c r="CF27" s="542"/>
      <c r="CG27" s="542"/>
      <c r="CH27" s="542"/>
      <c r="CI27" s="542"/>
      <c r="CJ27" s="542"/>
      <c r="CK27" s="542"/>
      <c r="CL27" s="542"/>
      <c r="CM27" s="542"/>
      <c r="CN27" s="542"/>
      <c r="CO27" s="542"/>
      <c r="CP27" s="542"/>
      <c r="CQ27" s="542"/>
      <c r="CR27" s="542"/>
      <c r="CS27" s="542"/>
      <c r="CT27" s="542"/>
      <c r="CU27" s="542"/>
      <c r="CW27" s="151"/>
    </row>
    <row r="28" spans="1:101" s="84" customFormat="1" ht="15.75" x14ac:dyDescent="0.2">
      <c r="B28" s="89"/>
      <c r="C28" s="923" t="s">
        <v>883</v>
      </c>
      <c r="D28" s="69" t="s">
        <v>190</v>
      </c>
      <c r="E28" s="70"/>
      <c r="G28" s="302">
        <f ca="1">G$13+G$17+G$20+G$24</f>
        <v>114.82360568835084</v>
      </c>
      <c r="H28" s="302">
        <f t="shared" ref="H28:AG28" ca="1" si="71">H$13+H$17+H$20+H$24</f>
        <v>439.09796990378345</v>
      </c>
      <c r="I28" s="302">
        <f t="shared" ca="1" si="71"/>
        <v>232.49054882061384</v>
      </c>
      <c r="J28" s="302">
        <f t="shared" ca="1" si="71"/>
        <v>140.80186989915305</v>
      </c>
      <c r="K28" s="302">
        <f t="shared" ca="1" si="71"/>
        <v>100.21442697127782</v>
      </c>
      <c r="L28" s="302">
        <f t="shared" ca="1" si="71"/>
        <v>63.419361714598281</v>
      </c>
      <c r="M28" s="302">
        <f t="shared" ca="1" si="71"/>
        <v>0</v>
      </c>
      <c r="N28" s="302">
        <f t="shared" ca="1" si="71"/>
        <v>7.2354868807669103E-13</v>
      </c>
      <c r="O28" s="302">
        <f t="shared" ca="1" si="71"/>
        <v>8.0982509853428706</v>
      </c>
      <c r="P28" s="300">
        <f t="shared" ca="1" si="70"/>
        <v>1098.946033983121</v>
      </c>
      <c r="Q28" s="302">
        <f t="shared" si="71"/>
        <v>0</v>
      </c>
      <c r="R28" s="302">
        <f t="shared" ca="1" si="71"/>
        <v>-653.47783609265059</v>
      </c>
      <c r="S28" s="302">
        <f t="shared" ca="1" si="71"/>
        <v>0</v>
      </c>
      <c r="T28" s="302">
        <f t="shared" ca="1" si="71"/>
        <v>-4.0832542270754386</v>
      </c>
      <c r="U28" s="302">
        <f t="shared" ca="1" si="71"/>
        <v>-201.20034822273126</v>
      </c>
      <c r="V28" s="302">
        <f t="shared" ca="1" si="71"/>
        <v>-156.07229079502574</v>
      </c>
      <c r="W28" s="302">
        <f t="shared" ca="1" si="71"/>
        <v>-84.112304645638019</v>
      </c>
      <c r="X28" s="302">
        <f t="shared" ca="1" si="71"/>
        <v>0</v>
      </c>
      <c r="Y28" s="302">
        <f t="shared" ca="1" si="71"/>
        <v>0</v>
      </c>
      <c r="Z28" s="302">
        <f t="shared" ca="1" si="71"/>
        <v>0</v>
      </c>
      <c r="AA28" s="302">
        <f t="shared" ca="1" si="71"/>
        <v>0</v>
      </c>
      <c r="AB28" s="302">
        <f t="shared" ca="1" si="71"/>
        <v>0</v>
      </c>
      <c r="AC28" s="302">
        <f t="shared" ca="1" si="71"/>
        <v>0</v>
      </c>
      <c r="AD28" s="302">
        <f t="shared" ca="1" si="71"/>
        <v>0</v>
      </c>
      <c r="AE28" s="302">
        <f t="shared" ca="1" si="71"/>
        <v>0</v>
      </c>
      <c r="AF28" s="302">
        <f t="shared" ca="1" si="71"/>
        <v>0</v>
      </c>
      <c r="AG28" s="302">
        <f t="shared" ca="1" si="71"/>
        <v>0</v>
      </c>
      <c r="AH28" s="294">
        <f t="shared" ca="1" si="5"/>
        <v>-1098.9460339831212</v>
      </c>
      <c r="AJ28" s="295">
        <f ca="1">AJ$13+AJ$17+AJ$20+AJ$24</f>
        <v>0</v>
      </c>
      <c r="AK28" s="295">
        <f t="shared" ref="AK28:BD28" ca="1" si="72">AK$13+AK$17+AK$20+AK$24</f>
        <v>0</v>
      </c>
      <c r="AL28" s="295">
        <f t="shared" ca="1" si="72"/>
        <v>0</v>
      </c>
      <c r="AM28" s="295">
        <f t="shared" ca="1" si="72"/>
        <v>0</v>
      </c>
      <c r="AN28" s="295">
        <f t="shared" ca="1" si="72"/>
        <v>0</v>
      </c>
      <c r="AO28" s="295">
        <f t="shared" ca="1" si="72"/>
        <v>0</v>
      </c>
      <c r="AP28" s="295">
        <f t="shared" ca="1" si="72"/>
        <v>0</v>
      </c>
      <c r="AQ28" s="295">
        <f t="shared" ca="1" si="72"/>
        <v>0</v>
      </c>
      <c r="AR28" s="295">
        <f t="shared" ca="1" si="72"/>
        <v>0</v>
      </c>
      <c r="AS28" s="295">
        <f t="shared" ca="1" si="72"/>
        <v>0</v>
      </c>
      <c r="AT28" s="295">
        <f t="shared" ca="1" si="72"/>
        <v>0</v>
      </c>
      <c r="AU28" s="295">
        <f t="shared" ca="1" si="72"/>
        <v>0</v>
      </c>
      <c r="AV28" s="295">
        <f t="shared" ca="1" si="72"/>
        <v>0</v>
      </c>
      <c r="AW28" s="295">
        <f t="shared" ca="1" si="72"/>
        <v>0</v>
      </c>
      <c r="AX28" s="295">
        <f t="shared" ca="1" si="72"/>
        <v>0</v>
      </c>
      <c r="AY28" s="295">
        <f t="shared" ca="1" si="72"/>
        <v>0</v>
      </c>
      <c r="AZ28" s="295">
        <f t="shared" si="72"/>
        <v>0</v>
      </c>
      <c r="BA28" s="295">
        <f t="shared" ca="1" si="72"/>
        <v>0</v>
      </c>
      <c r="BB28" s="295">
        <f t="shared" ca="1" si="72"/>
        <v>0</v>
      </c>
      <c r="BC28" s="277">
        <f t="shared" ca="1" si="10"/>
        <v>0</v>
      </c>
      <c r="BD28" s="295">
        <f t="shared" si="72"/>
        <v>0</v>
      </c>
      <c r="BE28" s="58">
        <f t="shared" ca="1" si="11"/>
        <v>-2.2737367544323206E-13</v>
      </c>
      <c r="BF28" s="58"/>
      <c r="BH28" s="546">
        <f ca="1">BH$13+BH$17+BH$20+BH$24</f>
        <v>77.997457494331542</v>
      </c>
      <c r="BI28" s="546">
        <f t="shared" ref="BI28:CU28" ca="1" si="73">BI$13+BI$17+BI$20+BI$24</f>
        <v>22.651819935916976</v>
      </c>
      <c r="BJ28" s="546">
        <f t="shared" ca="1" si="73"/>
        <v>23.329286843327989</v>
      </c>
      <c r="BK28" s="546">
        <f t="shared" ca="1" si="73"/>
        <v>0</v>
      </c>
      <c r="BL28" s="546">
        <f t="shared" ca="1" si="73"/>
        <v>0</v>
      </c>
      <c r="BM28" s="546">
        <f t="shared" ca="1" si="73"/>
        <v>0</v>
      </c>
      <c r="BN28" s="546">
        <f t="shared" ca="1" si="73"/>
        <v>0</v>
      </c>
      <c r="BO28" s="546">
        <f t="shared" ca="1" si="73"/>
        <v>0</v>
      </c>
      <c r="BP28" s="546">
        <f t="shared" ca="1" si="73"/>
        <v>14.628813841363048</v>
      </c>
      <c r="BQ28" s="546">
        <f t="shared" ca="1" si="73"/>
        <v>0.13511675102916507</v>
      </c>
      <c r="BR28" s="546">
        <f t="shared" ca="1" si="73"/>
        <v>3.5829235236805861</v>
      </c>
      <c r="BS28" s="546">
        <f t="shared" ca="1" si="73"/>
        <v>8.5205687194014956</v>
      </c>
      <c r="BT28" s="546">
        <f t="shared" ca="1" si="73"/>
        <v>0</v>
      </c>
      <c r="BU28" s="546">
        <f t="shared" ca="1" si="73"/>
        <v>0</v>
      </c>
      <c r="BV28" s="546">
        <f t="shared" ca="1" si="73"/>
        <v>0</v>
      </c>
      <c r="BW28" s="546">
        <f t="shared" ca="1" si="73"/>
        <v>0</v>
      </c>
      <c r="BX28" s="546">
        <f t="shared" ca="1" si="73"/>
        <v>0</v>
      </c>
      <c r="BY28" s="546">
        <f t="shared" ca="1" si="73"/>
        <v>0</v>
      </c>
      <c r="BZ28" s="546">
        <f t="shared" ca="1" si="73"/>
        <v>0</v>
      </c>
      <c r="CA28" s="546">
        <f t="shared" ca="1" si="73"/>
        <v>0</v>
      </c>
      <c r="CB28" s="546">
        <f t="shared" ca="1" si="73"/>
        <v>0</v>
      </c>
      <c r="CC28" s="546">
        <f t="shared" ca="1" si="73"/>
        <v>0</v>
      </c>
      <c r="CD28" s="546">
        <f t="shared" ca="1" si="73"/>
        <v>0</v>
      </c>
      <c r="CE28" s="546">
        <f t="shared" ca="1" si="73"/>
        <v>0</v>
      </c>
      <c r="CF28" s="546">
        <f t="shared" ca="1" si="73"/>
        <v>0</v>
      </c>
      <c r="CG28" s="546">
        <f t="shared" ca="1" si="73"/>
        <v>0</v>
      </c>
      <c r="CH28" s="546">
        <f t="shared" ca="1" si="73"/>
        <v>0</v>
      </c>
      <c r="CI28" s="546">
        <f t="shared" ca="1" si="73"/>
        <v>0</v>
      </c>
      <c r="CJ28" s="546">
        <f t="shared" ca="1" si="73"/>
        <v>0</v>
      </c>
      <c r="CK28" s="546">
        <f t="shared" ca="1" si="73"/>
        <v>0</v>
      </c>
      <c r="CL28" s="546">
        <f t="shared" ca="1" si="73"/>
        <v>0</v>
      </c>
      <c r="CM28" s="546">
        <f t="shared" ca="1" si="73"/>
        <v>0</v>
      </c>
      <c r="CN28" s="546">
        <f t="shared" ca="1" si="73"/>
        <v>0</v>
      </c>
      <c r="CO28" s="546">
        <f t="shared" ca="1" si="73"/>
        <v>0</v>
      </c>
      <c r="CP28" s="546">
        <f t="shared" ca="1" si="73"/>
        <v>0</v>
      </c>
      <c r="CQ28" s="546">
        <f t="shared" ca="1" si="73"/>
        <v>0</v>
      </c>
      <c r="CR28" s="546">
        <f t="shared" ca="1" si="73"/>
        <v>0</v>
      </c>
      <c r="CS28" s="546">
        <f t="shared" ca="1" si="73"/>
        <v>0</v>
      </c>
      <c r="CT28" s="546">
        <f t="shared" ca="1" si="73"/>
        <v>0</v>
      </c>
      <c r="CU28" s="546">
        <f t="shared" ca="1" si="73"/>
        <v>0</v>
      </c>
      <c r="CW28" s="148">
        <f ca="1">SUM(BH28:CU28)</f>
        <v>150.84598710905081</v>
      </c>
    </row>
    <row r="29" spans="1:101" s="84" customFormat="1" ht="6" customHeight="1" x14ac:dyDescent="0.2">
      <c r="C29" s="51"/>
      <c r="D29" s="51"/>
      <c r="E29" s="51"/>
      <c r="G29" s="245"/>
      <c r="H29" s="245"/>
      <c r="I29" s="245"/>
      <c r="J29" s="245"/>
      <c r="K29" s="245"/>
      <c r="L29" s="247"/>
      <c r="M29" s="245"/>
      <c r="N29" s="245"/>
      <c r="O29" s="245"/>
      <c r="P29" s="245">
        <f t="shared" si="70"/>
        <v>0</v>
      </c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>
        <f t="shared" si="5"/>
        <v>0</v>
      </c>
      <c r="AJ29" s="263"/>
      <c r="AK29" s="263"/>
      <c r="AL29" s="263"/>
      <c r="AM29" s="263"/>
      <c r="AN29" s="263"/>
      <c r="AO29" s="263"/>
      <c r="AP29" s="263"/>
      <c r="AQ29" s="263"/>
      <c r="AR29" s="263"/>
      <c r="AS29" s="263"/>
      <c r="AT29" s="263"/>
      <c r="AU29" s="263"/>
      <c r="AV29" s="263"/>
      <c r="AW29" s="263"/>
      <c r="AX29" s="263"/>
      <c r="AY29" s="263">
        <f t="shared" ref="AY29:AY60" si="74">SUM(AJ29:AX29)</f>
        <v>0</v>
      </c>
      <c r="BA29" s="277"/>
      <c r="BB29" s="277"/>
      <c r="BC29" s="277">
        <f t="shared" si="10"/>
        <v>0</v>
      </c>
      <c r="BE29" s="55">
        <f t="shared" si="11"/>
        <v>0</v>
      </c>
      <c r="BF29" s="55"/>
      <c r="BH29" s="542"/>
      <c r="BI29" s="542"/>
      <c r="BJ29" s="542"/>
      <c r="BK29" s="542"/>
      <c r="BL29" s="542"/>
      <c r="BM29" s="542"/>
      <c r="BN29" s="542"/>
      <c r="BO29" s="542"/>
      <c r="BP29" s="542"/>
      <c r="BQ29" s="542"/>
      <c r="BR29" s="542"/>
      <c r="BS29" s="542"/>
      <c r="BT29" s="542"/>
      <c r="BU29" s="542"/>
      <c r="BV29" s="542"/>
      <c r="BW29" s="542"/>
      <c r="BX29" s="542"/>
      <c r="BY29" s="542"/>
      <c r="BZ29" s="542"/>
      <c r="CA29" s="542"/>
      <c r="CB29" s="542"/>
      <c r="CC29" s="542"/>
      <c r="CD29" s="542"/>
      <c r="CE29" s="542"/>
      <c r="CF29" s="542"/>
      <c r="CG29" s="542"/>
      <c r="CH29" s="542"/>
      <c r="CI29" s="542"/>
      <c r="CJ29" s="542"/>
      <c r="CK29" s="542"/>
      <c r="CL29" s="542"/>
      <c r="CM29" s="542"/>
      <c r="CN29" s="542"/>
      <c r="CO29" s="542"/>
      <c r="CP29" s="542"/>
      <c r="CQ29" s="542"/>
      <c r="CR29" s="542"/>
      <c r="CS29" s="542"/>
      <c r="CT29" s="542"/>
      <c r="CU29" s="542"/>
      <c r="CW29" s="151"/>
    </row>
    <row r="30" spans="1:101" s="84" customFormat="1" ht="24" customHeight="1" x14ac:dyDescent="0.2">
      <c r="C30" s="45" t="s">
        <v>58</v>
      </c>
      <c r="D30" s="45"/>
      <c r="E30" s="68"/>
      <c r="G30" s="244"/>
      <c r="H30" s="244"/>
      <c r="I30" s="244"/>
      <c r="J30" s="244"/>
      <c r="K30" s="244"/>
      <c r="L30" s="244"/>
      <c r="M30" s="244"/>
      <c r="N30" s="244"/>
      <c r="O30" s="244"/>
      <c r="P30" s="244">
        <f t="shared" si="70"/>
        <v>0</v>
      </c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>
        <f t="shared" si="5"/>
        <v>0</v>
      </c>
      <c r="AJ30" s="262"/>
      <c r="AK30" s="262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>
        <f t="shared" si="74"/>
        <v>0</v>
      </c>
      <c r="BA30" s="276"/>
      <c r="BB30" s="276"/>
      <c r="BC30" s="276">
        <f t="shared" si="10"/>
        <v>0</v>
      </c>
      <c r="BE30" s="54">
        <f t="shared" si="11"/>
        <v>0</v>
      </c>
      <c r="BF30" s="54"/>
      <c r="BH30" s="542"/>
      <c r="BI30" s="542"/>
      <c r="BJ30" s="542"/>
      <c r="BK30" s="542"/>
      <c r="BL30" s="542"/>
      <c r="BM30" s="542"/>
      <c r="BN30" s="542"/>
      <c r="BO30" s="542"/>
      <c r="BP30" s="542"/>
      <c r="BQ30" s="542"/>
      <c r="BR30" s="542"/>
      <c r="BS30" s="542"/>
      <c r="BT30" s="542"/>
      <c r="BU30" s="542"/>
      <c r="BV30" s="542"/>
      <c r="BW30" s="542"/>
      <c r="BX30" s="542"/>
      <c r="BY30" s="542"/>
      <c r="BZ30" s="542"/>
      <c r="CA30" s="542"/>
      <c r="CB30" s="542"/>
      <c r="CC30" s="542"/>
      <c r="CD30" s="542"/>
      <c r="CE30" s="542"/>
      <c r="CF30" s="542"/>
      <c r="CG30" s="542"/>
      <c r="CH30" s="542"/>
      <c r="CI30" s="542"/>
      <c r="CJ30" s="542"/>
      <c r="CK30" s="542"/>
      <c r="CL30" s="542"/>
      <c r="CM30" s="542"/>
      <c r="CN30" s="542"/>
      <c r="CO30" s="542"/>
      <c r="CP30" s="542"/>
      <c r="CQ30" s="542"/>
      <c r="CR30" s="542"/>
      <c r="CS30" s="542"/>
      <c r="CT30" s="542"/>
      <c r="CU30" s="542"/>
      <c r="CW30" s="151"/>
    </row>
    <row r="31" spans="1:101" s="84" customFormat="1" ht="12.75" customHeight="1" outlineLevel="1" x14ac:dyDescent="0.2">
      <c r="A31" s="18"/>
      <c r="B31" s="18"/>
      <c r="C31" s="87"/>
      <c r="D31" s="53"/>
      <c r="E31" s="53"/>
      <c r="G31" s="245"/>
      <c r="H31" s="245"/>
      <c r="I31" s="245"/>
      <c r="J31" s="245"/>
      <c r="K31" s="245"/>
      <c r="L31" s="247"/>
      <c r="M31" s="245"/>
      <c r="N31" s="245"/>
      <c r="O31" s="245"/>
      <c r="P31" s="245">
        <f t="shared" si="70"/>
        <v>0</v>
      </c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>
        <f t="shared" si="5"/>
        <v>0</v>
      </c>
      <c r="AJ31" s="263"/>
      <c r="AK31" s="263"/>
      <c r="AL31" s="263"/>
      <c r="AM31" s="263"/>
      <c r="AN31" s="263"/>
      <c r="AO31" s="263"/>
      <c r="AP31" s="263"/>
      <c r="AQ31" s="263"/>
      <c r="AR31" s="263"/>
      <c r="AS31" s="263"/>
      <c r="AT31" s="263"/>
      <c r="AU31" s="263"/>
      <c r="AV31" s="263"/>
      <c r="AW31" s="263"/>
      <c r="AX31" s="263"/>
      <c r="AY31" s="263">
        <f t="shared" si="74"/>
        <v>0</v>
      </c>
      <c r="BA31" s="277"/>
      <c r="BB31" s="277"/>
      <c r="BC31" s="277">
        <f t="shared" si="10"/>
        <v>0</v>
      </c>
      <c r="BE31" s="55">
        <f t="shared" si="11"/>
        <v>0</v>
      </c>
      <c r="BF31" s="55"/>
      <c r="BG31" s="18"/>
      <c r="BH31" s="542"/>
      <c r="BI31" s="542"/>
      <c r="BJ31" s="542"/>
      <c r="BK31" s="542"/>
      <c r="BL31" s="542"/>
      <c r="BM31" s="542"/>
      <c r="BN31" s="542"/>
      <c r="BO31" s="542"/>
      <c r="BP31" s="542"/>
      <c r="BQ31" s="542"/>
      <c r="BR31" s="542"/>
      <c r="BS31" s="542"/>
      <c r="BT31" s="542"/>
      <c r="BU31" s="542"/>
      <c r="BV31" s="542"/>
      <c r="BW31" s="542"/>
      <c r="BX31" s="542"/>
      <c r="BY31" s="542"/>
      <c r="BZ31" s="542"/>
      <c r="CA31" s="542"/>
      <c r="CB31" s="542"/>
      <c r="CC31" s="542"/>
      <c r="CD31" s="542"/>
      <c r="CE31" s="542"/>
      <c r="CF31" s="542"/>
      <c r="CG31" s="542"/>
      <c r="CH31" s="542"/>
      <c r="CI31" s="542"/>
      <c r="CJ31" s="542"/>
      <c r="CK31" s="542"/>
      <c r="CL31" s="542"/>
      <c r="CM31" s="542"/>
      <c r="CN31" s="542"/>
      <c r="CO31" s="542"/>
      <c r="CP31" s="542"/>
      <c r="CQ31" s="542"/>
      <c r="CR31" s="542"/>
      <c r="CS31" s="542"/>
      <c r="CT31" s="542"/>
      <c r="CU31" s="542"/>
      <c r="CW31" s="151"/>
    </row>
    <row r="32" spans="1:101" s="550" customFormat="1" ht="12.75" customHeight="1" outlineLevel="1" x14ac:dyDescent="0.2">
      <c r="C32" s="566" t="s">
        <v>945</v>
      </c>
      <c r="D32" s="567" t="s">
        <v>946</v>
      </c>
      <c r="E32" s="567"/>
      <c r="F32" s="882"/>
      <c r="G32" s="333"/>
      <c r="H32" s="333"/>
      <c r="I32" s="333"/>
      <c r="J32" s="333"/>
      <c r="K32" s="333"/>
      <c r="L32" s="334"/>
      <c r="M32" s="333"/>
      <c r="N32" s="333"/>
      <c r="O32" s="333"/>
      <c r="P32" s="333">
        <f t="shared" si="70"/>
        <v>0</v>
      </c>
      <c r="Q32" s="882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>
        <f t="shared" si="5"/>
        <v>0</v>
      </c>
      <c r="AI32" s="882"/>
      <c r="AJ32" s="336"/>
      <c r="AK32" s="336"/>
      <c r="AL32" s="336"/>
      <c r="AM32" s="336"/>
      <c r="AN32" s="336"/>
      <c r="AO32" s="336"/>
      <c r="AP32" s="336"/>
      <c r="AQ32" s="336"/>
      <c r="AR32" s="336"/>
      <c r="AS32" s="336"/>
      <c r="AT32" s="336"/>
      <c r="AU32" s="336"/>
      <c r="AV32" s="336"/>
      <c r="AW32" s="336"/>
      <c r="AX32" s="336"/>
      <c r="AY32" s="336">
        <f t="shared" si="74"/>
        <v>0</v>
      </c>
      <c r="AZ32" s="882"/>
      <c r="BA32" s="337"/>
      <c r="BB32" s="337"/>
      <c r="BC32" s="337">
        <f t="shared" si="10"/>
        <v>0</v>
      </c>
      <c r="BD32" s="882"/>
      <c r="BE32" s="568">
        <f t="shared" si="11"/>
        <v>0</v>
      </c>
      <c r="BF32" s="568"/>
      <c r="BH32" s="888"/>
      <c r="BI32" s="888"/>
      <c r="BJ32" s="888"/>
      <c r="BK32" s="888"/>
      <c r="BL32" s="888"/>
      <c r="BM32" s="888"/>
      <c r="BN32" s="888"/>
      <c r="BO32" s="888"/>
      <c r="BP32" s="888"/>
      <c r="BQ32" s="888"/>
      <c r="BR32" s="888"/>
      <c r="BS32" s="888"/>
      <c r="BT32" s="888"/>
      <c r="BU32" s="888"/>
      <c r="BV32" s="888"/>
      <c r="BW32" s="888"/>
      <c r="BX32" s="888"/>
      <c r="BY32" s="888"/>
      <c r="BZ32" s="888"/>
      <c r="CA32" s="888"/>
      <c r="CB32" s="888"/>
      <c r="CC32" s="888"/>
      <c r="CD32" s="888"/>
      <c r="CE32" s="888"/>
      <c r="CF32" s="888"/>
      <c r="CG32" s="888"/>
      <c r="CH32" s="888"/>
      <c r="CI32" s="888"/>
      <c r="CJ32" s="888"/>
      <c r="CK32" s="888"/>
      <c r="CL32" s="888"/>
      <c r="CM32" s="888"/>
      <c r="CN32" s="888"/>
      <c r="CO32" s="888"/>
      <c r="CP32" s="888"/>
      <c r="CQ32" s="888"/>
      <c r="CR32" s="888"/>
      <c r="CS32" s="888"/>
      <c r="CT32" s="888"/>
      <c r="CU32" s="888"/>
      <c r="CW32" s="887">
        <f t="shared" ref="CW32:CW43" si="75">SUM(BH32:CU32)</f>
        <v>0</v>
      </c>
    </row>
    <row r="33" spans="1:101" s="84" customFormat="1" outlineLevel="1" x14ac:dyDescent="0.2">
      <c r="C33" s="50"/>
      <c r="D33" s="51"/>
      <c r="E33" s="51"/>
      <c r="G33" s="245"/>
      <c r="H33" s="245"/>
      <c r="I33" s="245"/>
      <c r="J33" s="245"/>
      <c r="K33" s="245"/>
      <c r="L33" s="247"/>
      <c r="M33" s="245"/>
      <c r="N33" s="245"/>
      <c r="O33" s="245"/>
      <c r="P33" s="245">
        <f t="shared" si="70"/>
        <v>0</v>
      </c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>
        <f t="shared" si="5"/>
        <v>0</v>
      </c>
      <c r="AJ33" s="263"/>
      <c r="AK33" s="263"/>
      <c r="AL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  <c r="AW33" s="263"/>
      <c r="AX33" s="263"/>
      <c r="AY33" s="263">
        <f t="shared" si="74"/>
        <v>0</v>
      </c>
      <c r="BA33" s="277"/>
      <c r="BB33" s="277"/>
      <c r="BC33" s="277">
        <f t="shared" si="10"/>
        <v>0</v>
      </c>
      <c r="BE33" s="55">
        <f t="shared" si="11"/>
        <v>0</v>
      </c>
      <c r="BF33" s="55"/>
      <c r="BH33" s="542"/>
      <c r="BI33" s="542"/>
      <c r="BJ33" s="542"/>
      <c r="BK33" s="542"/>
      <c r="BL33" s="542"/>
      <c r="BM33" s="542"/>
      <c r="BN33" s="542"/>
      <c r="BO33" s="542"/>
      <c r="BP33" s="542"/>
      <c r="BQ33" s="542"/>
      <c r="BR33" s="542"/>
      <c r="BS33" s="542"/>
      <c r="BT33" s="542"/>
      <c r="BU33" s="542"/>
      <c r="BV33" s="542"/>
      <c r="BW33" s="542"/>
      <c r="BX33" s="542"/>
      <c r="BY33" s="542"/>
      <c r="BZ33" s="542"/>
      <c r="CA33" s="542"/>
      <c r="CB33" s="542"/>
      <c r="CC33" s="542"/>
      <c r="CD33" s="542"/>
      <c r="CE33" s="542"/>
      <c r="CF33" s="542"/>
      <c r="CG33" s="542"/>
      <c r="CH33" s="542"/>
      <c r="CI33" s="542"/>
      <c r="CJ33" s="542"/>
      <c r="CK33" s="542"/>
      <c r="CL33" s="542"/>
      <c r="CM33" s="542"/>
      <c r="CN33" s="542"/>
      <c r="CO33" s="542"/>
      <c r="CP33" s="542"/>
      <c r="CQ33" s="542"/>
      <c r="CR33" s="542"/>
      <c r="CS33" s="542"/>
      <c r="CT33" s="542"/>
      <c r="CU33" s="542"/>
      <c r="CW33" s="151">
        <f t="shared" si="75"/>
        <v>0</v>
      </c>
    </row>
    <row r="34" spans="1:101" s="84" customFormat="1" outlineLevel="1" x14ac:dyDescent="0.2">
      <c r="A34" s="543"/>
      <c r="B34" s="543"/>
      <c r="C34" s="86" t="s">
        <v>402</v>
      </c>
      <c r="D34" s="61" t="str">
        <f>INDEX(Modules[Module], MATCH($C34, Modules[Code], 0))</f>
        <v>Volume of Waste &amp; Recycling</v>
      </c>
      <c r="E34" s="61"/>
      <c r="G34" s="297">
        <f t="shared" ref="G34:O34" ca="1" si="76">IFERROR(INDEX(INDIRECT($C34&amp;".Outputs["&amp;this.Year&amp;"]"), MATCH(G$5, INDIRECT($C34&amp;".Outputs[Vector]"), 0)), 0)</f>
        <v>0</v>
      </c>
      <c r="H34" s="297">
        <f t="shared" ca="1" si="76"/>
        <v>0</v>
      </c>
      <c r="I34" s="297">
        <f t="shared" ca="1" si="76"/>
        <v>0</v>
      </c>
      <c r="J34" s="297">
        <f t="shared" ca="1" si="76"/>
        <v>0</v>
      </c>
      <c r="K34" s="297">
        <f t="shared" ca="1" si="76"/>
        <v>0</v>
      </c>
      <c r="L34" s="297">
        <f t="shared" ca="1" si="76"/>
        <v>0</v>
      </c>
      <c r="M34" s="297">
        <f t="shared" ca="1" si="76"/>
        <v>0</v>
      </c>
      <c r="N34" s="297">
        <f t="shared" ca="1" si="76"/>
        <v>0</v>
      </c>
      <c r="O34" s="297">
        <f t="shared" ca="1" si="76"/>
        <v>0</v>
      </c>
      <c r="P34" s="297">
        <f t="shared" ca="1" si="70"/>
        <v>0</v>
      </c>
      <c r="R34" s="304">
        <f t="shared" ref="R34:AX34" ca="1" si="77">IFERROR(INDEX(INDIRECT($C34&amp;".Outputs["&amp;this.Year&amp;"]"), MATCH(R$5, INDIRECT($C34&amp;".Outputs[Vector]"), 0)), 0)</f>
        <v>0</v>
      </c>
      <c r="S34" s="304">
        <f t="shared" ca="1" si="77"/>
        <v>0</v>
      </c>
      <c r="T34" s="304">
        <f t="shared" ca="1" si="77"/>
        <v>0</v>
      </c>
      <c r="U34" s="304">
        <f t="shared" ca="1" si="77"/>
        <v>0</v>
      </c>
      <c r="V34" s="304">
        <f t="shared" ca="1" si="77"/>
        <v>0</v>
      </c>
      <c r="W34" s="304">
        <f t="shared" ca="1" si="77"/>
        <v>0</v>
      </c>
      <c r="X34" s="304">
        <f t="shared" ref="X34:Z35" ca="1" si="78">IFERROR(INDEX(INDIRECT($C34&amp;".Outputs["&amp;this.Year&amp;"]"), MATCH(X$5, INDIRECT($C34&amp;".Outputs[Vector]"), 0)), 0)</f>
        <v>4.7702389583333344</v>
      </c>
      <c r="Y34" s="304">
        <f t="shared" ca="1" si="78"/>
        <v>0</v>
      </c>
      <c r="Z34" s="304">
        <f t="shared" ca="1" si="78"/>
        <v>0</v>
      </c>
      <c r="AA34" s="304">
        <f t="shared" ca="1" si="77"/>
        <v>0</v>
      </c>
      <c r="AB34" s="304">
        <f t="shared" ca="1" si="77"/>
        <v>0</v>
      </c>
      <c r="AC34" s="304">
        <f t="shared" ca="1" si="77"/>
        <v>0</v>
      </c>
      <c r="AD34" s="304">
        <f t="shared" ca="1" si="77"/>
        <v>0</v>
      </c>
      <c r="AE34" s="304">
        <f t="shared" ca="1" si="77"/>
        <v>8.0622514750000001</v>
      </c>
      <c r="AF34" s="304">
        <f t="shared" ca="1" si="77"/>
        <v>7.897442243302689</v>
      </c>
      <c r="AG34" s="304">
        <f t="shared" ca="1" si="77"/>
        <v>5.9620308549013927</v>
      </c>
      <c r="AH34" s="305">
        <f t="shared" ca="1" si="5"/>
        <v>26.691963531537414</v>
      </c>
      <c r="AJ34" s="312">
        <f t="shared" ref="AJ34:AR35" ca="1" si="79">IFERROR(INDEX(INDIRECT($C34&amp;".Outputs["&amp;this.Year&amp;"]"), MATCH(AJ$5, INDIRECT($C34&amp;".Outputs[Vector]"), 0)), 0)</f>
        <v>0</v>
      </c>
      <c r="AK34" s="312">
        <f t="shared" ca="1" si="79"/>
        <v>0</v>
      </c>
      <c r="AL34" s="312">
        <f t="shared" ca="1" si="79"/>
        <v>0</v>
      </c>
      <c r="AM34" s="312">
        <f t="shared" ca="1" si="79"/>
        <v>0</v>
      </c>
      <c r="AN34" s="312">
        <f t="shared" ca="1" si="79"/>
        <v>0</v>
      </c>
      <c r="AO34" s="312">
        <f t="shared" ca="1" si="79"/>
        <v>0</v>
      </c>
      <c r="AP34" s="312">
        <f t="shared" ca="1" si="79"/>
        <v>0</v>
      </c>
      <c r="AQ34" s="312">
        <f t="shared" ca="1" si="79"/>
        <v>0</v>
      </c>
      <c r="AR34" s="312">
        <f t="shared" ca="1" si="79"/>
        <v>0</v>
      </c>
      <c r="AS34" s="312">
        <f t="shared" ca="1" si="77"/>
        <v>0</v>
      </c>
      <c r="AT34" s="312">
        <f t="shared" ca="1" si="77"/>
        <v>0</v>
      </c>
      <c r="AU34" s="312">
        <f t="shared" ca="1" si="77"/>
        <v>0</v>
      </c>
      <c r="AV34" s="312">
        <f t="shared" ca="1" si="77"/>
        <v>0</v>
      </c>
      <c r="AW34" s="312">
        <f t="shared" ca="1" si="77"/>
        <v>0</v>
      </c>
      <c r="AX34" s="312">
        <f t="shared" ca="1" si="77"/>
        <v>-26.691963531537414</v>
      </c>
      <c r="AY34" s="266">
        <f t="shared" ca="1" si="74"/>
        <v>-26.691963531537414</v>
      </c>
      <c r="BA34" s="308">
        <f t="shared" ref="BA34:BB35" ca="1" si="80">IFERROR(INDEX(INDIRECT($C34&amp;".Outputs["&amp;this.Year&amp;"]"), MATCH(BA$5, INDIRECT($C34&amp;".Outputs[Vector]"), 0)), 0)</f>
        <v>0</v>
      </c>
      <c r="BB34" s="308">
        <f t="shared" ca="1" si="80"/>
        <v>0</v>
      </c>
      <c r="BC34" s="309">
        <f t="shared" ca="1" si="10"/>
        <v>0</v>
      </c>
      <c r="BE34" s="135"/>
      <c r="BF34" s="135"/>
      <c r="BG34" s="1428"/>
      <c r="BH34" s="541">
        <f t="shared" ref="BH34:BQ35" ca="1" si="81">IFERROR(SUMIFS(INDIRECT($C34&amp;".Emissions["&amp;this.Year&amp;"]"), INDIRECT($C34&amp;".Emissions[GHG]"), BH$6, INDIRECT($C34&amp;".Emissions[IPCC Sector]"), BH$5),0)</f>
        <v>0</v>
      </c>
      <c r="BI34" s="542">
        <f t="shared" ca="1" si="81"/>
        <v>0</v>
      </c>
      <c r="BJ34" s="542">
        <f t="shared" ca="1" si="81"/>
        <v>0</v>
      </c>
      <c r="BK34" s="542">
        <f t="shared" ca="1" si="81"/>
        <v>0</v>
      </c>
      <c r="BL34" s="542">
        <f t="shared" ca="1" si="81"/>
        <v>0</v>
      </c>
      <c r="BM34" s="542">
        <f t="shared" ca="1" si="81"/>
        <v>0</v>
      </c>
      <c r="BN34" s="542">
        <f t="shared" ca="1" si="81"/>
        <v>0</v>
      </c>
      <c r="BO34" s="542">
        <f t="shared" ca="1" si="81"/>
        <v>0</v>
      </c>
      <c r="BP34" s="542">
        <f t="shared" ca="1" si="81"/>
        <v>0</v>
      </c>
      <c r="BQ34" s="542">
        <f t="shared" ca="1" si="81"/>
        <v>0</v>
      </c>
      <c r="BR34" s="542">
        <f t="shared" ref="BR34:CA35" ca="1" si="82">IFERROR(SUMIFS(INDIRECT($C34&amp;".Emissions["&amp;this.Year&amp;"]"), INDIRECT($C34&amp;".Emissions[GHG]"), BR$6, INDIRECT($C34&amp;".Emissions[IPCC Sector]"), BR$5),0)</f>
        <v>0</v>
      </c>
      <c r="BS34" s="542">
        <f t="shared" ca="1" si="82"/>
        <v>0</v>
      </c>
      <c r="BT34" s="542">
        <f t="shared" ca="1" si="82"/>
        <v>0</v>
      </c>
      <c r="BU34" s="542">
        <f t="shared" ca="1" si="82"/>
        <v>0</v>
      </c>
      <c r="BV34" s="542">
        <f t="shared" ca="1" si="82"/>
        <v>0</v>
      </c>
      <c r="BW34" s="542">
        <f t="shared" ca="1" si="82"/>
        <v>0</v>
      </c>
      <c r="BX34" s="542">
        <f t="shared" ca="1" si="82"/>
        <v>0</v>
      </c>
      <c r="BY34" s="542">
        <f t="shared" ca="1" si="82"/>
        <v>0</v>
      </c>
      <c r="BZ34" s="542">
        <f t="shared" ca="1" si="82"/>
        <v>0</v>
      </c>
      <c r="CA34" s="542">
        <f t="shared" ca="1" si="82"/>
        <v>0</v>
      </c>
      <c r="CB34" s="542">
        <f t="shared" ref="CB34:CK35" ca="1" si="83">IFERROR(SUMIFS(INDIRECT($C34&amp;".Emissions["&amp;this.Year&amp;"]"), INDIRECT($C34&amp;".Emissions[GHG]"), CB$6, INDIRECT($C34&amp;".Emissions[IPCC Sector]"), CB$5),0)</f>
        <v>0</v>
      </c>
      <c r="CC34" s="542">
        <f t="shared" ca="1" si="83"/>
        <v>0</v>
      </c>
      <c r="CD34" s="542">
        <f t="shared" ca="1" si="83"/>
        <v>0</v>
      </c>
      <c r="CE34" s="542">
        <f t="shared" ca="1" si="83"/>
        <v>0</v>
      </c>
      <c r="CF34" s="542">
        <f t="shared" ca="1" si="83"/>
        <v>0</v>
      </c>
      <c r="CG34" s="542">
        <f t="shared" ca="1" si="83"/>
        <v>2.5873928502248216</v>
      </c>
      <c r="CH34" s="542">
        <f t="shared" ca="1" si="83"/>
        <v>0</v>
      </c>
      <c r="CI34" s="542">
        <f t="shared" ca="1" si="83"/>
        <v>0</v>
      </c>
      <c r="CJ34" s="542">
        <f t="shared" ca="1" si="83"/>
        <v>0</v>
      </c>
      <c r="CK34" s="542">
        <f t="shared" ca="1" si="83"/>
        <v>0</v>
      </c>
      <c r="CL34" s="542">
        <f t="shared" ref="CL34:CU35" ca="1" si="84">IFERROR(SUMIFS(INDIRECT($C34&amp;".Emissions["&amp;this.Year&amp;"]"), INDIRECT($C34&amp;".Emissions[GHG]"), CL$6, INDIRECT($C34&amp;".Emissions[IPCC Sector]"), CL$5),0)</f>
        <v>0</v>
      </c>
      <c r="CM34" s="542">
        <f t="shared" ca="1" si="84"/>
        <v>0</v>
      </c>
      <c r="CN34" s="542">
        <f t="shared" ca="1" si="84"/>
        <v>0</v>
      </c>
      <c r="CO34" s="542">
        <f t="shared" ca="1" si="84"/>
        <v>0</v>
      </c>
      <c r="CP34" s="542">
        <f t="shared" ca="1" si="84"/>
        <v>0</v>
      </c>
      <c r="CQ34" s="542">
        <f t="shared" ca="1" si="84"/>
        <v>0</v>
      </c>
      <c r="CR34" s="542">
        <f t="shared" ca="1" si="84"/>
        <v>0</v>
      </c>
      <c r="CS34" s="542">
        <f t="shared" ca="1" si="84"/>
        <v>0</v>
      </c>
      <c r="CT34" s="542">
        <f t="shared" ca="1" si="84"/>
        <v>0</v>
      </c>
      <c r="CU34" s="542">
        <f t="shared" ca="1" si="84"/>
        <v>0</v>
      </c>
      <c r="CW34" s="151">
        <f t="shared" ca="1" si="75"/>
        <v>2.5873928502248216</v>
      </c>
    </row>
    <row r="35" spans="1:101" s="84" customFormat="1" ht="12.75" customHeight="1" outlineLevel="1" x14ac:dyDescent="0.2">
      <c r="A35" s="543"/>
      <c r="B35" s="543"/>
      <c r="C35" s="86" t="s">
        <v>380</v>
      </c>
      <c r="D35" s="292" t="str">
        <f>INDEX(Modules[Module], MATCH($C35, Modules[Code], 0))</f>
        <v>Agriculture and land use</v>
      </c>
      <c r="E35" s="292"/>
      <c r="G35" s="301">
        <f t="shared" ref="G35:O35" ca="1" si="85">IFERROR(INDEX(INDIRECT($C35&amp;".Outputs["&amp;this.Year&amp;"]"), MATCH(G$5, INDIRECT($C35&amp;".Outputs[Vector]"), 0)), 0)</f>
        <v>0</v>
      </c>
      <c r="H35" s="301">
        <f t="shared" ca="1" si="85"/>
        <v>0</v>
      </c>
      <c r="I35" s="301">
        <f t="shared" ca="1" si="85"/>
        <v>0</v>
      </c>
      <c r="J35" s="301">
        <f t="shared" ca="1" si="85"/>
        <v>14.440229236642454</v>
      </c>
      <c r="K35" s="301">
        <f t="shared" ca="1" si="85"/>
        <v>0</v>
      </c>
      <c r="L35" s="301">
        <f t="shared" ca="1" si="85"/>
        <v>0</v>
      </c>
      <c r="M35" s="301">
        <f t="shared" ca="1" si="85"/>
        <v>0</v>
      </c>
      <c r="N35" s="301">
        <f t="shared" ca="1" si="85"/>
        <v>0</v>
      </c>
      <c r="O35" s="301">
        <f t="shared" ca="1" si="85"/>
        <v>0</v>
      </c>
      <c r="P35" s="301">
        <f t="shared" ca="1" si="70"/>
        <v>14.440229236642454</v>
      </c>
      <c r="R35" s="307">
        <f t="shared" ref="R35:AG35" ca="1" si="86">IFERROR(INDEX(INDIRECT($C35&amp;".Outputs["&amp;this.Year&amp;"]"), MATCH(R$5, INDIRECT($C35&amp;".Outputs[Vector]"), 0)), 0)</f>
        <v>-1.718387279160452</v>
      </c>
      <c r="S35" s="307">
        <f t="shared" ca="1" si="86"/>
        <v>0</v>
      </c>
      <c r="T35" s="307">
        <f t="shared" ca="1" si="86"/>
        <v>-1.4440229236642455E-2</v>
      </c>
      <c r="U35" s="307">
        <f t="shared" ca="1" si="86"/>
        <v>-2.7436435549620661</v>
      </c>
      <c r="V35" s="307">
        <f t="shared" ca="1" si="86"/>
        <v>-1.2996206312978207</v>
      </c>
      <c r="W35" s="307">
        <f t="shared" ca="1" si="86"/>
        <v>-8.6641375419854718</v>
      </c>
      <c r="X35" s="307">
        <f t="shared" ca="1" si="78"/>
        <v>0</v>
      </c>
      <c r="Y35" s="307">
        <f t="shared" ca="1" si="78"/>
        <v>0</v>
      </c>
      <c r="Z35" s="307">
        <f t="shared" ca="1" si="78"/>
        <v>0</v>
      </c>
      <c r="AA35" s="307">
        <f t="shared" ca="1" si="86"/>
        <v>0</v>
      </c>
      <c r="AB35" s="307">
        <f t="shared" ca="1" si="86"/>
        <v>0</v>
      </c>
      <c r="AC35" s="307">
        <f t="shared" ca="1" si="86"/>
        <v>2598.5408636047873</v>
      </c>
      <c r="AD35" s="307">
        <f t="shared" ca="1" si="86"/>
        <v>24.860764027112872</v>
      </c>
      <c r="AE35" s="307">
        <f t="shared" ca="1" si="86"/>
        <v>339.46482353152311</v>
      </c>
      <c r="AF35" s="307">
        <f t="shared" ca="1" si="86"/>
        <v>84.636532592019392</v>
      </c>
      <c r="AG35" s="307">
        <f t="shared" ca="1" si="86"/>
        <v>0</v>
      </c>
      <c r="AH35" s="306">
        <f t="shared" ca="1" si="5"/>
        <v>3033.0627545187999</v>
      </c>
      <c r="AJ35" s="315">
        <f t="shared" ca="1" si="79"/>
        <v>0</v>
      </c>
      <c r="AK35" s="315">
        <f t="shared" ca="1" si="79"/>
        <v>0</v>
      </c>
      <c r="AL35" s="315">
        <f t="shared" ca="1" si="79"/>
        <v>0</v>
      </c>
      <c r="AM35" s="315">
        <f t="shared" ca="1" si="79"/>
        <v>0</v>
      </c>
      <c r="AN35" s="315">
        <f t="shared" ca="1" si="79"/>
        <v>0</v>
      </c>
      <c r="AO35" s="315">
        <f t="shared" ca="1" si="79"/>
        <v>0</v>
      </c>
      <c r="AP35" s="315">
        <f t="shared" ca="1" si="79"/>
        <v>0</v>
      </c>
      <c r="AQ35" s="315">
        <f t="shared" ca="1" si="79"/>
        <v>0</v>
      </c>
      <c r="AR35" s="315">
        <f t="shared" ca="1" si="79"/>
        <v>0</v>
      </c>
      <c r="AS35" s="315">
        <f t="shared" ref="AS35:AX35" ca="1" si="87">IFERROR(INDEX(INDIRECT($C35&amp;".Outputs["&amp;this.Year&amp;"]"), MATCH(AS$5, INDIRECT($C35&amp;".Outputs[Vector]"), 0)), 0)</f>
        <v>0</v>
      </c>
      <c r="AT35" s="315">
        <f t="shared" ca="1" si="87"/>
        <v>0</v>
      </c>
      <c r="AU35" s="315">
        <f t="shared" ca="1" si="87"/>
        <v>0</v>
      </c>
      <c r="AV35" s="315">
        <f t="shared" ca="1" si="87"/>
        <v>0</v>
      </c>
      <c r="AW35" s="315">
        <f t="shared" ca="1" si="87"/>
        <v>-2623.4016276319003</v>
      </c>
      <c r="AX35" s="315">
        <f t="shared" ca="1" si="87"/>
        <v>-424.10135612354247</v>
      </c>
      <c r="AY35" s="293">
        <f t="shared" ca="1" si="74"/>
        <v>-3047.502983755443</v>
      </c>
      <c r="BA35" s="311">
        <f t="shared" ca="1" si="80"/>
        <v>0</v>
      </c>
      <c r="BB35" s="311">
        <f t="shared" ca="1" si="80"/>
        <v>0</v>
      </c>
      <c r="BC35" s="310">
        <f t="shared" ca="1" si="10"/>
        <v>0</v>
      </c>
      <c r="BE35" s="135">
        <f ca="1">P35+AH35+AY35+BC35</f>
        <v>-4.5474735088646412E-13</v>
      </c>
      <c r="BF35" s="135"/>
      <c r="BG35" s="1428"/>
      <c r="BH35" s="544">
        <f t="shared" ca="1" si="81"/>
        <v>0.92948867550420133</v>
      </c>
      <c r="BI35" s="545">
        <f t="shared" ca="1" si="81"/>
        <v>1.346354823249464E-3</v>
      </c>
      <c r="BJ35" s="545">
        <f t="shared" ca="1" si="81"/>
        <v>1.2895887433371249E-2</v>
      </c>
      <c r="BK35" s="545">
        <f t="shared" ca="1" si="81"/>
        <v>0</v>
      </c>
      <c r="BL35" s="545">
        <f t="shared" ca="1" si="81"/>
        <v>0</v>
      </c>
      <c r="BM35" s="545">
        <f t="shared" ca="1" si="81"/>
        <v>0</v>
      </c>
      <c r="BN35" s="545">
        <f t="shared" ca="1" si="81"/>
        <v>0</v>
      </c>
      <c r="BO35" s="545">
        <f t="shared" ca="1" si="81"/>
        <v>0</v>
      </c>
      <c r="BP35" s="545">
        <f t="shared" ca="1" si="81"/>
        <v>0</v>
      </c>
      <c r="BQ35" s="545">
        <f t="shared" ca="1" si="81"/>
        <v>0</v>
      </c>
      <c r="BR35" s="545">
        <f t="shared" ca="1" si="82"/>
        <v>0</v>
      </c>
      <c r="BS35" s="545">
        <f t="shared" ca="1" si="82"/>
        <v>0</v>
      </c>
      <c r="BT35" s="545">
        <f t="shared" ca="1" si="82"/>
        <v>0</v>
      </c>
      <c r="BU35" s="545">
        <f t="shared" ca="1" si="82"/>
        <v>0</v>
      </c>
      <c r="BV35" s="545">
        <f t="shared" ca="1" si="82"/>
        <v>0</v>
      </c>
      <c r="BW35" s="545">
        <f t="shared" ca="1" si="82"/>
        <v>0</v>
      </c>
      <c r="BX35" s="545">
        <f t="shared" ca="1" si="82"/>
        <v>0</v>
      </c>
      <c r="BY35" s="545">
        <f t="shared" ca="1" si="82"/>
        <v>0</v>
      </c>
      <c r="BZ35" s="545">
        <f t="shared" ca="1" si="82"/>
        <v>21.541610830175813</v>
      </c>
      <c r="CA35" s="545">
        <f t="shared" ca="1" si="82"/>
        <v>0</v>
      </c>
      <c r="CB35" s="545">
        <f t="shared" ca="1" si="83"/>
        <v>3.6992471491666095</v>
      </c>
      <c r="CC35" s="545">
        <f t="shared" ca="1" si="83"/>
        <v>0</v>
      </c>
      <c r="CD35" s="545">
        <f t="shared" ca="1" si="83"/>
        <v>0</v>
      </c>
      <c r="CE35" s="545">
        <f t="shared" ca="1" si="83"/>
        <v>0</v>
      </c>
      <c r="CF35" s="545">
        <f t="shared" ca="1" si="83"/>
        <v>0</v>
      </c>
      <c r="CG35" s="545">
        <f t="shared" ca="1" si="83"/>
        <v>0</v>
      </c>
      <c r="CH35" s="545">
        <f t="shared" ca="1" si="83"/>
        <v>0</v>
      </c>
      <c r="CI35" s="545">
        <f t="shared" ca="1" si="83"/>
        <v>0</v>
      </c>
      <c r="CJ35" s="545">
        <f t="shared" ca="1" si="83"/>
        <v>0</v>
      </c>
      <c r="CK35" s="545">
        <f t="shared" ca="1" si="83"/>
        <v>0</v>
      </c>
      <c r="CL35" s="545">
        <f t="shared" ca="1" si="84"/>
        <v>0</v>
      </c>
      <c r="CM35" s="545">
        <f t="shared" ca="1" si="84"/>
        <v>0</v>
      </c>
      <c r="CN35" s="545">
        <f t="shared" ca="1" si="84"/>
        <v>0</v>
      </c>
      <c r="CO35" s="545">
        <f t="shared" ca="1" si="84"/>
        <v>0</v>
      </c>
      <c r="CP35" s="545">
        <f t="shared" ca="1" si="84"/>
        <v>0</v>
      </c>
      <c r="CQ35" s="545">
        <f t="shared" ca="1" si="84"/>
        <v>0</v>
      </c>
      <c r="CR35" s="545">
        <f t="shared" ca="1" si="84"/>
        <v>0</v>
      </c>
      <c r="CS35" s="545">
        <f t="shared" ca="1" si="84"/>
        <v>0</v>
      </c>
      <c r="CT35" s="545">
        <f t="shared" ca="1" si="84"/>
        <v>0</v>
      </c>
      <c r="CU35" s="545">
        <f t="shared" ca="1" si="84"/>
        <v>0</v>
      </c>
      <c r="CW35" s="151">
        <f t="shared" ca="1" si="75"/>
        <v>26.184588897103243</v>
      </c>
    </row>
    <row r="36" spans="1:101" s="84" customFormat="1" ht="15.75" x14ac:dyDescent="0.2">
      <c r="A36" s="18"/>
      <c r="B36" s="89"/>
      <c r="C36" s="85" t="s">
        <v>225</v>
      </c>
      <c r="D36" s="57" t="str">
        <f>INDEX(Workstreams[Workstream], MATCH($C36, Workstreams[Code], 0))</f>
        <v>Agriculture &amp; waste</v>
      </c>
      <c r="E36" s="53"/>
      <c r="G36" s="300">
        <f t="shared" ref="G36:O36" ca="1" si="88">SUM(G34:G35)</f>
        <v>0</v>
      </c>
      <c r="H36" s="300">
        <f t="shared" ca="1" si="88"/>
        <v>0</v>
      </c>
      <c r="I36" s="300">
        <f t="shared" ca="1" si="88"/>
        <v>0</v>
      </c>
      <c r="J36" s="300">
        <f t="shared" ca="1" si="88"/>
        <v>14.440229236642454</v>
      </c>
      <c r="K36" s="300">
        <f t="shared" ca="1" si="88"/>
        <v>0</v>
      </c>
      <c r="L36" s="300">
        <f t="shared" ca="1" si="88"/>
        <v>0</v>
      </c>
      <c r="M36" s="300">
        <f t="shared" ca="1" si="88"/>
        <v>0</v>
      </c>
      <c r="N36" s="300">
        <f t="shared" ca="1" si="88"/>
        <v>0</v>
      </c>
      <c r="O36" s="300">
        <f t="shared" ca="1" si="88"/>
        <v>0</v>
      </c>
      <c r="P36" s="300">
        <f t="shared" ca="1" si="70"/>
        <v>14.440229236642454</v>
      </c>
      <c r="R36" s="257">
        <f t="shared" ref="R36:AG36" ca="1" si="89">SUM(R34:R35)</f>
        <v>-1.718387279160452</v>
      </c>
      <c r="S36" s="257">
        <f t="shared" ca="1" si="89"/>
        <v>0</v>
      </c>
      <c r="T36" s="257">
        <f t="shared" ca="1" si="89"/>
        <v>-1.4440229236642455E-2</v>
      </c>
      <c r="U36" s="257">
        <f t="shared" ca="1" si="89"/>
        <v>-2.7436435549620661</v>
      </c>
      <c r="V36" s="257">
        <f t="shared" ca="1" si="89"/>
        <v>-1.2996206312978207</v>
      </c>
      <c r="W36" s="257">
        <f t="shared" ca="1" si="89"/>
        <v>-8.6641375419854718</v>
      </c>
      <c r="X36" s="257">
        <f t="shared" ca="1" si="89"/>
        <v>4.7702389583333344</v>
      </c>
      <c r="Y36" s="257">
        <f t="shared" ca="1" si="89"/>
        <v>0</v>
      </c>
      <c r="Z36" s="257">
        <f t="shared" ca="1" si="89"/>
        <v>0</v>
      </c>
      <c r="AA36" s="257">
        <f t="shared" ca="1" si="89"/>
        <v>0</v>
      </c>
      <c r="AB36" s="257">
        <f t="shared" ca="1" si="89"/>
        <v>0</v>
      </c>
      <c r="AC36" s="257">
        <f t="shared" ca="1" si="89"/>
        <v>2598.5408636047873</v>
      </c>
      <c r="AD36" s="257">
        <f t="shared" ca="1" si="89"/>
        <v>24.860764027112872</v>
      </c>
      <c r="AE36" s="257">
        <f t="shared" ca="1" si="89"/>
        <v>347.52707500652309</v>
      </c>
      <c r="AF36" s="257">
        <f t="shared" ca="1" si="89"/>
        <v>92.533974835322084</v>
      </c>
      <c r="AG36" s="257">
        <f t="shared" ca="1" si="89"/>
        <v>5.9620308549013927</v>
      </c>
      <c r="AH36" s="257">
        <f t="shared" ca="1" si="5"/>
        <v>3059.7547180503379</v>
      </c>
      <c r="AJ36" s="263">
        <f t="shared" ref="AJ36:AX36" ca="1" si="90">SUM(AJ34:AJ35)</f>
        <v>0</v>
      </c>
      <c r="AK36" s="263">
        <f t="shared" ca="1" si="90"/>
        <v>0</v>
      </c>
      <c r="AL36" s="263">
        <f t="shared" ca="1" si="90"/>
        <v>0</v>
      </c>
      <c r="AM36" s="263">
        <f t="shared" ca="1" si="90"/>
        <v>0</v>
      </c>
      <c r="AN36" s="263">
        <f t="shared" ca="1" si="90"/>
        <v>0</v>
      </c>
      <c r="AO36" s="263">
        <f t="shared" ca="1" si="90"/>
        <v>0</v>
      </c>
      <c r="AP36" s="263">
        <f t="shared" ca="1" si="90"/>
        <v>0</v>
      </c>
      <c r="AQ36" s="263">
        <f t="shared" ca="1" si="90"/>
        <v>0</v>
      </c>
      <c r="AR36" s="263">
        <f t="shared" ca="1" si="90"/>
        <v>0</v>
      </c>
      <c r="AS36" s="263">
        <f t="shared" ca="1" si="90"/>
        <v>0</v>
      </c>
      <c r="AT36" s="263">
        <f t="shared" ca="1" si="90"/>
        <v>0</v>
      </c>
      <c r="AU36" s="263">
        <f t="shared" ca="1" si="90"/>
        <v>0</v>
      </c>
      <c r="AV36" s="263">
        <f t="shared" ca="1" si="90"/>
        <v>0</v>
      </c>
      <c r="AW36" s="263">
        <f t="shared" ca="1" si="90"/>
        <v>-2623.4016276319003</v>
      </c>
      <c r="AX36" s="263">
        <f t="shared" ca="1" si="90"/>
        <v>-450.79331965507987</v>
      </c>
      <c r="AY36" s="263">
        <f t="shared" ca="1" si="74"/>
        <v>-3074.1949472869801</v>
      </c>
      <c r="BA36" s="277">
        <f ca="1">SUM(BA34:BA35)</f>
        <v>0</v>
      </c>
      <c r="BB36" s="277">
        <f ca="1">SUM(BB34:BB35)</f>
        <v>0</v>
      </c>
      <c r="BC36" s="277">
        <f t="shared" ca="1" si="10"/>
        <v>0</v>
      </c>
      <c r="BE36" s="55">
        <f ca="1">P36+AH36+AY36+BC36</f>
        <v>4.5474735088646412E-13</v>
      </c>
      <c r="BF36" s="55"/>
      <c r="BG36" s="1428"/>
      <c r="BH36" s="542">
        <f t="shared" ref="BH36:CU36" ca="1" si="91">SUM(BH34:BH35)</f>
        <v>0.92948867550420133</v>
      </c>
      <c r="BI36" s="542">
        <f t="shared" ca="1" si="91"/>
        <v>1.346354823249464E-3</v>
      </c>
      <c r="BJ36" s="542">
        <f t="shared" ca="1" si="91"/>
        <v>1.2895887433371249E-2</v>
      </c>
      <c r="BK36" s="542">
        <f t="shared" ca="1" si="91"/>
        <v>0</v>
      </c>
      <c r="BL36" s="542">
        <f t="shared" ca="1" si="91"/>
        <v>0</v>
      </c>
      <c r="BM36" s="542">
        <f t="shared" ca="1" si="91"/>
        <v>0</v>
      </c>
      <c r="BN36" s="542">
        <f t="shared" ca="1" si="91"/>
        <v>0</v>
      </c>
      <c r="BO36" s="542">
        <f t="shared" ca="1" si="91"/>
        <v>0</v>
      </c>
      <c r="BP36" s="542">
        <f t="shared" ca="1" si="91"/>
        <v>0</v>
      </c>
      <c r="BQ36" s="542">
        <f t="shared" ca="1" si="91"/>
        <v>0</v>
      </c>
      <c r="BR36" s="542">
        <f t="shared" ca="1" si="91"/>
        <v>0</v>
      </c>
      <c r="BS36" s="542">
        <f t="shared" ca="1" si="91"/>
        <v>0</v>
      </c>
      <c r="BT36" s="542">
        <f t="shared" ca="1" si="91"/>
        <v>0</v>
      </c>
      <c r="BU36" s="542">
        <f t="shared" ca="1" si="91"/>
        <v>0</v>
      </c>
      <c r="BV36" s="542">
        <f t="shared" ca="1" si="91"/>
        <v>0</v>
      </c>
      <c r="BW36" s="542">
        <f t="shared" ca="1" si="91"/>
        <v>0</v>
      </c>
      <c r="BX36" s="542">
        <f t="shared" ca="1" si="91"/>
        <v>0</v>
      </c>
      <c r="BY36" s="542">
        <f t="shared" ca="1" si="91"/>
        <v>0</v>
      </c>
      <c r="BZ36" s="542">
        <f t="shared" ca="1" si="91"/>
        <v>21.541610830175813</v>
      </c>
      <c r="CA36" s="542">
        <f t="shared" ca="1" si="91"/>
        <v>0</v>
      </c>
      <c r="CB36" s="542">
        <f t="shared" ca="1" si="91"/>
        <v>3.6992471491666095</v>
      </c>
      <c r="CC36" s="542">
        <f t="shared" ca="1" si="91"/>
        <v>0</v>
      </c>
      <c r="CD36" s="542">
        <f t="shared" ca="1" si="91"/>
        <v>0</v>
      </c>
      <c r="CE36" s="542">
        <f t="shared" ca="1" si="91"/>
        <v>0</v>
      </c>
      <c r="CF36" s="542">
        <f t="shared" ca="1" si="91"/>
        <v>0</v>
      </c>
      <c r="CG36" s="542">
        <f t="shared" ca="1" si="91"/>
        <v>2.5873928502248216</v>
      </c>
      <c r="CH36" s="542">
        <f t="shared" ca="1" si="91"/>
        <v>0</v>
      </c>
      <c r="CI36" s="542">
        <f t="shared" ca="1" si="91"/>
        <v>0</v>
      </c>
      <c r="CJ36" s="542">
        <f t="shared" ca="1" si="91"/>
        <v>0</v>
      </c>
      <c r="CK36" s="542">
        <f t="shared" ca="1" si="91"/>
        <v>0</v>
      </c>
      <c r="CL36" s="542">
        <f t="shared" ca="1" si="91"/>
        <v>0</v>
      </c>
      <c r="CM36" s="542">
        <f t="shared" ca="1" si="91"/>
        <v>0</v>
      </c>
      <c r="CN36" s="542">
        <f t="shared" ca="1" si="91"/>
        <v>0</v>
      </c>
      <c r="CO36" s="542">
        <f t="shared" ca="1" si="91"/>
        <v>0</v>
      </c>
      <c r="CP36" s="542">
        <f t="shared" ca="1" si="91"/>
        <v>0</v>
      </c>
      <c r="CQ36" s="542">
        <f t="shared" ca="1" si="91"/>
        <v>0</v>
      </c>
      <c r="CR36" s="542">
        <f t="shared" ca="1" si="91"/>
        <v>0</v>
      </c>
      <c r="CS36" s="542">
        <f t="shared" ca="1" si="91"/>
        <v>0</v>
      </c>
      <c r="CT36" s="542">
        <f t="shared" ca="1" si="91"/>
        <v>0</v>
      </c>
      <c r="CU36" s="542">
        <f t="shared" ca="1" si="91"/>
        <v>0</v>
      </c>
      <c r="CW36" s="151">
        <f t="shared" ca="1" si="75"/>
        <v>28.771981747328063</v>
      </c>
    </row>
    <row r="37" spans="1:101" s="84" customFormat="1" ht="12.75" customHeight="1" outlineLevel="1" x14ac:dyDescent="0.2">
      <c r="A37" s="18"/>
      <c r="B37" s="18"/>
      <c r="C37" s="87"/>
      <c r="D37" s="53"/>
      <c r="E37" s="53"/>
      <c r="G37" s="245"/>
      <c r="H37" s="245"/>
      <c r="I37" s="245"/>
      <c r="J37" s="245"/>
      <c r="K37" s="245"/>
      <c r="L37" s="247"/>
      <c r="M37" s="245"/>
      <c r="N37" s="245"/>
      <c r="O37" s="245"/>
      <c r="P37" s="245">
        <f t="shared" si="70"/>
        <v>0</v>
      </c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>
        <f t="shared" si="5"/>
        <v>0</v>
      </c>
      <c r="AJ37" s="263"/>
      <c r="AK37" s="263"/>
      <c r="AL37" s="263"/>
      <c r="AM37" s="263"/>
      <c r="AN37" s="263"/>
      <c r="AO37" s="263"/>
      <c r="AP37" s="263"/>
      <c r="AQ37" s="263"/>
      <c r="AR37" s="263"/>
      <c r="AS37" s="263"/>
      <c r="AT37" s="263"/>
      <c r="AU37" s="263"/>
      <c r="AV37" s="263"/>
      <c r="AW37" s="263"/>
      <c r="AX37" s="263"/>
      <c r="AY37" s="263">
        <f t="shared" si="74"/>
        <v>0</v>
      </c>
      <c r="BA37" s="277"/>
      <c r="BB37" s="277"/>
      <c r="BC37" s="277">
        <f t="shared" si="10"/>
        <v>0</v>
      </c>
      <c r="BE37" s="55">
        <f>P37+AH37+AY37+BC37</f>
        <v>0</v>
      </c>
      <c r="BF37" s="55"/>
      <c r="BG37" s="18"/>
      <c r="BH37" s="542"/>
      <c r="BI37" s="542"/>
      <c r="BJ37" s="542"/>
      <c r="BK37" s="542"/>
      <c r="BL37" s="542"/>
      <c r="BM37" s="542"/>
      <c r="BN37" s="542"/>
      <c r="BO37" s="542"/>
      <c r="BP37" s="542"/>
      <c r="BQ37" s="542"/>
      <c r="BR37" s="542"/>
      <c r="BS37" s="542"/>
      <c r="BT37" s="542"/>
      <c r="BU37" s="542"/>
      <c r="BV37" s="542"/>
      <c r="BW37" s="542"/>
      <c r="BX37" s="542"/>
      <c r="BY37" s="542"/>
      <c r="BZ37" s="542"/>
      <c r="CA37" s="542"/>
      <c r="CB37" s="542"/>
      <c r="CC37" s="542"/>
      <c r="CD37" s="542"/>
      <c r="CE37" s="542"/>
      <c r="CF37" s="542"/>
      <c r="CG37" s="542"/>
      <c r="CH37" s="542"/>
      <c r="CI37" s="542"/>
      <c r="CJ37" s="542"/>
      <c r="CK37" s="542"/>
      <c r="CL37" s="542"/>
      <c r="CM37" s="542"/>
      <c r="CN37" s="542"/>
      <c r="CO37" s="542"/>
      <c r="CP37" s="542"/>
      <c r="CQ37" s="542"/>
      <c r="CR37" s="542"/>
      <c r="CS37" s="542"/>
      <c r="CT37" s="542"/>
      <c r="CU37" s="542"/>
      <c r="CW37" s="151">
        <f t="shared" si="75"/>
        <v>0</v>
      </c>
    </row>
    <row r="38" spans="1:101" s="84" customFormat="1" outlineLevel="1" x14ac:dyDescent="0.2">
      <c r="A38" s="543"/>
      <c r="B38" s="543"/>
      <c r="C38" s="62" t="s">
        <v>405</v>
      </c>
      <c r="D38" s="61" t="str">
        <f>INDEX(Modules[Module], MATCH($C38, Modules[Code], 0))</f>
        <v>Petroleum refineries</v>
      </c>
      <c r="E38" s="61"/>
      <c r="G38" s="297">
        <f t="shared" ref="G38:O39" ca="1" si="92">IFERROR(INDEX(INDIRECT($C38&amp;".Outputs["&amp;this.Year&amp;"]"), MATCH(G$5, INDIRECT($C38&amp;".Outputs[Vector]"), 0)), 0)</f>
        <v>0</v>
      </c>
      <c r="H38" s="297">
        <f t="shared" ca="1" si="92"/>
        <v>0</v>
      </c>
      <c r="I38" s="297">
        <f t="shared" ca="1" si="92"/>
        <v>0</v>
      </c>
      <c r="J38" s="297">
        <f t="shared" ca="1" si="92"/>
        <v>0</v>
      </c>
      <c r="K38" s="297">
        <f t="shared" ca="1" si="92"/>
        <v>0</v>
      </c>
      <c r="L38" s="297">
        <f t="shared" ca="1" si="92"/>
        <v>0</v>
      </c>
      <c r="M38" s="297">
        <f t="shared" ca="1" si="92"/>
        <v>0</v>
      </c>
      <c r="N38" s="297">
        <f t="shared" ca="1" si="92"/>
        <v>0</v>
      </c>
      <c r="O38" s="297">
        <f t="shared" ca="1" si="92"/>
        <v>0</v>
      </c>
      <c r="P38" s="297">
        <f t="shared" ca="1" si="70"/>
        <v>0</v>
      </c>
      <c r="R38" s="304">
        <f t="shared" ref="R38:AX39" ca="1" si="93">IFERROR(INDEX(INDIRECT($C38&amp;".Outputs["&amp;this.Year&amp;"]"), MATCH(R$5, INDIRECT($C38&amp;".Outputs[Vector]"), 0)), 0)</f>
        <v>-3.0304652332819488</v>
      </c>
      <c r="S38" s="304">
        <f t="shared" ca="1" si="93"/>
        <v>0</v>
      </c>
      <c r="T38" s="304">
        <f t="shared" ca="1" si="93"/>
        <v>0</v>
      </c>
      <c r="U38" s="304">
        <f t="shared" ca="1" si="93"/>
        <v>-0.13777733518806001</v>
      </c>
      <c r="V38" s="304">
        <f t="shared" ca="1" si="93"/>
        <v>-0.28053353609646553</v>
      </c>
      <c r="W38" s="304">
        <f t="shared" ca="1" si="93"/>
        <v>0</v>
      </c>
      <c r="X38" s="304">
        <f t="shared" ref="X38:Z39" ca="1" si="94">IFERROR(INDEX(INDIRECT($C38&amp;".Outputs["&amp;this.Year&amp;"]"), MATCH(X$5, INDIRECT($C38&amp;".Outputs[Vector]"), 0)), 0)</f>
        <v>0</v>
      </c>
      <c r="Y38" s="304">
        <f t="shared" ca="1" si="94"/>
        <v>0</v>
      </c>
      <c r="Z38" s="304">
        <f t="shared" ca="1" si="94"/>
        <v>0</v>
      </c>
      <c r="AA38" s="304">
        <f t="shared" ca="1" si="93"/>
        <v>0</v>
      </c>
      <c r="AB38" s="304">
        <f t="shared" ca="1" si="93"/>
        <v>0</v>
      </c>
      <c r="AC38" s="304">
        <f t="shared" ca="1" si="93"/>
        <v>0</v>
      </c>
      <c r="AD38" s="304">
        <f t="shared" ca="1" si="93"/>
        <v>0</v>
      </c>
      <c r="AE38" s="304">
        <f t="shared" ca="1" si="93"/>
        <v>0</v>
      </c>
      <c r="AF38" s="304">
        <f t="shared" ca="1" si="93"/>
        <v>0</v>
      </c>
      <c r="AG38" s="304">
        <f t="shared" ca="1" si="93"/>
        <v>0</v>
      </c>
      <c r="AH38" s="305">
        <f t="shared" ca="1" si="5"/>
        <v>-3.4487761045664747</v>
      </c>
      <c r="AJ38" s="312">
        <f t="shared" ref="AJ38:AR39" ca="1" si="95">IFERROR(INDEX(INDIRECT($C38&amp;".Outputs["&amp;this.Year&amp;"]"), MATCH(AJ$5, INDIRECT($C38&amp;".Outputs[Vector]"), 0)), 0)</f>
        <v>0</v>
      </c>
      <c r="AK38" s="312">
        <f t="shared" ca="1" si="95"/>
        <v>0</v>
      </c>
      <c r="AL38" s="312">
        <f t="shared" ca="1" si="95"/>
        <v>0</v>
      </c>
      <c r="AM38" s="312">
        <f t="shared" ca="1" si="95"/>
        <v>0</v>
      </c>
      <c r="AN38" s="312">
        <f t="shared" ca="1" si="95"/>
        <v>0</v>
      </c>
      <c r="AO38" s="312">
        <f t="shared" ca="1" si="95"/>
        <v>0</v>
      </c>
      <c r="AP38" s="312">
        <f t="shared" ca="1" si="95"/>
        <v>0</v>
      </c>
      <c r="AQ38" s="312">
        <f t="shared" ca="1" si="95"/>
        <v>0</v>
      </c>
      <c r="AR38" s="312">
        <f t="shared" ca="1" si="95"/>
        <v>0</v>
      </c>
      <c r="AS38" s="312">
        <f t="shared" ca="1" si="93"/>
        <v>0</v>
      </c>
      <c r="AT38" s="312">
        <f t="shared" ca="1" si="93"/>
        <v>0</v>
      </c>
      <c r="AU38" s="312">
        <f t="shared" ca="1" si="93"/>
        <v>0</v>
      </c>
      <c r="AV38" s="312">
        <f t="shared" ca="1" si="93"/>
        <v>0</v>
      </c>
      <c r="AW38" s="312">
        <f t="shared" ca="1" si="93"/>
        <v>0</v>
      </c>
      <c r="AX38" s="312">
        <f t="shared" ca="1" si="93"/>
        <v>0</v>
      </c>
      <c r="AY38" s="266">
        <f t="shared" ca="1" si="74"/>
        <v>0</v>
      </c>
      <c r="BA38" s="308">
        <f ca="1">IFERROR(INDEX(INDIRECT($C38&amp;".Outputs["&amp;this.Year&amp;"]"), MATCH(BA$5, INDIRECT($C38&amp;".Outputs[Vector]"), 0)), 0)</f>
        <v>0</v>
      </c>
      <c r="BB38" s="308">
        <f ca="1">IFERROR(INDEX(INDIRECT($C38&amp;".Outputs["&amp;this.Year&amp;"]"), MATCH(BB$5, INDIRECT($C38&amp;".Outputs[Vector]"), 0)), 0)</f>
        <v>3.4487761045664747</v>
      </c>
      <c r="BC38" s="309">
        <f t="shared" ca="1" si="10"/>
        <v>3.4487761045664747</v>
      </c>
      <c r="BE38" s="135">
        <f ca="1">P38+AH38+AY38+BC38</f>
        <v>0</v>
      </c>
      <c r="BF38" s="135"/>
      <c r="BG38" s="1428"/>
      <c r="BH38" s="541">
        <f t="shared" ref="BH38:BQ39" ca="1" si="96">IFERROR(SUMIFS(INDIRECT($C38&amp;".Emissions["&amp;this.Year&amp;"]"), INDIRECT($C38&amp;".Emissions[GHG]"), BH$6, INDIRECT($C38&amp;".Emissions[IPCC Sector]"), BH$5),0)</f>
        <v>8.6062504438764648E-2</v>
      </c>
      <c r="BI38" s="542">
        <f t="shared" ca="1" si="96"/>
        <v>1.4635094494087444E-4</v>
      </c>
      <c r="BJ38" s="542">
        <f t="shared" ca="1" si="96"/>
        <v>7.310088855043066E-4</v>
      </c>
      <c r="BK38" s="542">
        <f t="shared" ca="1" si="96"/>
        <v>0</v>
      </c>
      <c r="BL38" s="542">
        <f t="shared" ca="1" si="96"/>
        <v>0</v>
      </c>
      <c r="BM38" s="542">
        <f t="shared" ca="1" si="96"/>
        <v>0</v>
      </c>
      <c r="BN38" s="542">
        <f t="shared" ca="1" si="96"/>
        <v>0</v>
      </c>
      <c r="BO38" s="542">
        <f t="shared" ca="1" si="96"/>
        <v>0</v>
      </c>
      <c r="BP38" s="542">
        <f t="shared" ca="1" si="96"/>
        <v>0</v>
      </c>
      <c r="BQ38" s="542">
        <f t="shared" ca="1" si="96"/>
        <v>0</v>
      </c>
      <c r="BR38" s="542">
        <f t="shared" ref="BR38:CA39" ca="1" si="97">IFERROR(SUMIFS(INDIRECT($C38&amp;".Emissions["&amp;this.Year&amp;"]"), INDIRECT($C38&amp;".Emissions[GHG]"), BR$6, INDIRECT($C38&amp;".Emissions[IPCC Sector]"), BR$5),0)</f>
        <v>0</v>
      </c>
      <c r="BS38" s="542">
        <f t="shared" ca="1" si="97"/>
        <v>0</v>
      </c>
      <c r="BT38" s="542">
        <f t="shared" ca="1" si="97"/>
        <v>0</v>
      </c>
      <c r="BU38" s="542">
        <f t="shared" ca="1" si="97"/>
        <v>0</v>
      </c>
      <c r="BV38" s="542">
        <f t="shared" ca="1" si="97"/>
        <v>0</v>
      </c>
      <c r="BW38" s="542">
        <f t="shared" ca="1" si="97"/>
        <v>0</v>
      </c>
      <c r="BX38" s="542">
        <f t="shared" ca="1" si="97"/>
        <v>0</v>
      </c>
      <c r="BY38" s="542">
        <f t="shared" ca="1" si="97"/>
        <v>0</v>
      </c>
      <c r="BZ38" s="542">
        <f t="shared" ca="1" si="97"/>
        <v>0</v>
      </c>
      <c r="CA38" s="542">
        <f t="shared" ca="1" si="97"/>
        <v>0</v>
      </c>
      <c r="CB38" s="542">
        <f t="shared" ref="CB38:CK39" ca="1" si="98">IFERROR(SUMIFS(INDIRECT($C38&amp;".Emissions["&amp;this.Year&amp;"]"), INDIRECT($C38&amp;".Emissions[GHG]"), CB$6, INDIRECT($C38&amp;".Emissions[IPCC Sector]"), CB$5),0)</f>
        <v>0</v>
      </c>
      <c r="CC38" s="542">
        <f t="shared" ca="1" si="98"/>
        <v>0</v>
      </c>
      <c r="CD38" s="542">
        <f t="shared" ca="1" si="98"/>
        <v>0</v>
      </c>
      <c r="CE38" s="542">
        <f t="shared" ca="1" si="98"/>
        <v>0</v>
      </c>
      <c r="CF38" s="542">
        <f t="shared" ca="1" si="98"/>
        <v>0</v>
      </c>
      <c r="CG38" s="542">
        <f t="shared" ca="1" si="98"/>
        <v>0</v>
      </c>
      <c r="CH38" s="542">
        <f t="shared" ca="1" si="98"/>
        <v>0</v>
      </c>
      <c r="CI38" s="542">
        <f t="shared" ca="1" si="98"/>
        <v>0</v>
      </c>
      <c r="CJ38" s="542">
        <f t="shared" ca="1" si="98"/>
        <v>0</v>
      </c>
      <c r="CK38" s="542">
        <f t="shared" ca="1" si="98"/>
        <v>0</v>
      </c>
      <c r="CL38" s="542">
        <f t="shared" ref="CL38:CU39" ca="1" si="99">IFERROR(SUMIFS(INDIRECT($C38&amp;".Emissions["&amp;this.Year&amp;"]"), INDIRECT($C38&amp;".Emissions[GHG]"), CL$6, INDIRECT($C38&amp;".Emissions[IPCC Sector]"), CL$5),0)</f>
        <v>0</v>
      </c>
      <c r="CM38" s="542">
        <f t="shared" ca="1" si="99"/>
        <v>0</v>
      </c>
      <c r="CN38" s="542">
        <f t="shared" ca="1" si="99"/>
        <v>0</v>
      </c>
      <c r="CO38" s="542">
        <f t="shared" ca="1" si="99"/>
        <v>0</v>
      </c>
      <c r="CP38" s="542">
        <f t="shared" ca="1" si="99"/>
        <v>0</v>
      </c>
      <c r="CQ38" s="542">
        <f t="shared" ca="1" si="99"/>
        <v>0</v>
      </c>
      <c r="CR38" s="542">
        <f t="shared" ca="1" si="99"/>
        <v>0</v>
      </c>
      <c r="CS38" s="542">
        <f t="shared" ca="1" si="99"/>
        <v>0</v>
      </c>
      <c r="CT38" s="542">
        <f t="shared" ca="1" si="99"/>
        <v>0</v>
      </c>
      <c r="CU38" s="542">
        <f t="shared" ca="1" si="99"/>
        <v>0</v>
      </c>
      <c r="CW38" s="151">
        <f t="shared" ca="1" si="75"/>
        <v>8.6939864269209827E-2</v>
      </c>
    </row>
    <row r="39" spans="1:101" s="84" customFormat="1" outlineLevel="1" x14ac:dyDescent="0.2">
      <c r="A39" s="543"/>
      <c r="B39" s="543"/>
      <c r="C39" s="62" t="s">
        <v>415</v>
      </c>
      <c r="D39" s="292" t="str">
        <f>INDEX(Modules[Module], MATCH($C39, Modules[Code], 0))</f>
        <v>Indigenous fossil-fuel production</v>
      </c>
      <c r="E39" s="292"/>
      <c r="G39" s="301">
        <f t="shared" ca="1" si="92"/>
        <v>0</v>
      </c>
      <c r="H39" s="301">
        <f t="shared" ca="1" si="92"/>
        <v>0</v>
      </c>
      <c r="I39" s="301">
        <f t="shared" ca="1" si="92"/>
        <v>0</v>
      </c>
      <c r="J39" s="301">
        <f t="shared" ca="1" si="92"/>
        <v>139.63172654219483</v>
      </c>
      <c r="K39" s="301">
        <f t="shared" ca="1" si="92"/>
        <v>0</v>
      </c>
      <c r="L39" s="301">
        <f t="shared" ca="1" si="92"/>
        <v>0</v>
      </c>
      <c r="M39" s="301">
        <f t="shared" ca="1" si="92"/>
        <v>0</v>
      </c>
      <c r="N39" s="301">
        <f t="shared" ca="1" si="92"/>
        <v>0</v>
      </c>
      <c r="O39" s="301">
        <f t="shared" ca="1" si="92"/>
        <v>0</v>
      </c>
      <c r="P39" s="301">
        <f t="shared" ca="1" si="70"/>
        <v>139.63172654219483</v>
      </c>
      <c r="R39" s="307">
        <f t="shared" ca="1" si="93"/>
        <v>-1.3373056861205583</v>
      </c>
      <c r="S39" s="307">
        <f t="shared" ca="1" si="93"/>
        <v>0</v>
      </c>
      <c r="T39" s="307">
        <f t="shared" ca="1" si="93"/>
        <v>-2.4071536724409912E-2</v>
      </c>
      <c r="U39" s="307">
        <f t="shared" ca="1" si="93"/>
        <v>0</v>
      </c>
      <c r="V39" s="307">
        <f t="shared" ca="1" si="93"/>
        <v>-138.27034931934986</v>
      </c>
      <c r="W39" s="307">
        <f t="shared" ca="1" si="93"/>
        <v>0</v>
      </c>
      <c r="X39" s="307">
        <f t="shared" ca="1" si="94"/>
        <v>67</v>
      </c>
      <c r="Y39" s="307">
        <f t="shared" ca="1" si="94"/>
        <v>1406.83294017</v>
      </c>
      <c r="Z39" s="307">
        <f t="shared" ca="1" si="94"/>
        <v>923.54866666666669</v>
      </c>
      <c r="AA39" s="307">
        <f t="shared" ca="1" si="93"/>
        <v>0</v>
      </c>
      <c r="AB39" s="307">
        <f t="shared" ca="1" si="93"/>
        <v>0</v>
      </c>
      <c r="AC39" s="307">
        <f t="shared" ca="1" si="93"/>
        <v>0</v>
      </c>
      <c r="AD39" s="307">
        <f t="shared" ca="1" si="93"/>
        <v>0</v>
      </c>
      <c r="AE39" s="307">
        <f t="shared" ca="1" si="93"/>
        <v>0</v>
      </c>
      <c r="AF39" s="307">
        <f t="shared" ca="1" si="93"/>
        <v>0</v>
      </c>
      <c r="AG39" s="307">
        <f t="shared" ca="1" si="93"/>
        <v>0</v>
      </c>
      <c r="AH39" s="306">
        <f t="shared" ca="1" si="5"/>
        <v>2257.749880294472</v>
      </c>
      <c r="AJ39" s="315">
        <f t="shared" ca="1" si="95"/>
        <v>-67</v>
      </c>
      <c r="AK39" s="315">
        <f t="shared" ca="1" si="95"/>
        <v>-1406.83294017</v>
      </c>
      <c r="AL39" s="315">
        <f t="shared" ca="1" si="95"/>
        <v>-923.54866666666669</v>
      </c>
      <c r="AM39" s="315">
        <f t="shared" ca="1" si="95"/>
        <v>0</v>
      </c>
      <c r="AN39" s="315">
        <f t="shared" ca="1" si="95"/>
        <v>0</v>
      </c>
      <c r="AO39" s="315">
        <f t="shared" ca="1" si="95"/>
        <v>0</v>
      </c>
      <c r="AP39" s="315">
        <f t="shared" ca="1" si="95"/>
        <v>0</v>
      </c>
      <c r="AQ39" s="315">
        <f t="shared" ca="1" si="95"/>
        <v>0</v>
      </c>
      <c r="AR39" s="315">
        <f t="shared" ca="1" si="95"/>
        <v>0</v>
      </c>
      <c r="AS39" s="315">
        <f t="shared" ca="1" si="93"/>
        <v>0</v>
      </c>
      <c r="AT39" s="315">
        <f t="shared" ca="1" si="93"/>
        <v>0</v>
      </c>
      <c r="AU39" s="315">
        <f t="shared" ca="1" si="93"/>
        <v>0</v>
      </c>
      <c r="AV39" s="315">
        <f t="shared" ca="1" si="93"/>
        <v>0</v>
      </c>
      <c r="AW39" s="315">
        <f t="shared" ca="1" si="93"/>
        <v>0</v>
      </c>
      <c r="AX39" s="315">
        <f t="shared" ca="1" si="93"/>
        <v>0</v>
      </c>
      <c r="AY39" s="293">
        <f t="shared" ca="1" si="74"/>
        <v>-2397.3816068366668</v>
      </c>
      <c r="BA39" s="311">
        <f ca="1">IFERROR(INDEX(INDIRECT($C39&amp;".Outputs["&amp;this.Year&amp;"]"), MATCH(BA$5, INDIRECT($C39&amp;".Outputs[Vector]"), 0)), 0)</f>
        <v>0</v>
      </c>
      <c r="BB39" s="311">
        <f ca="1">IFERROR(INDEX(INDIRECT($C39&amp;".Outputs["&amp;this.Year&amp;"]"), MATCH(BB$5, INDIRECT($C39&amp;".Outputs[Vector]"), 0)), 0)</f>
        <v>0</v>
      </c>
      <c r="BC39" s="310">
        <f t="shared" ca="1" si="10"/>
        <v>0</v>
      </c>
      <c r="BE39" s="135"/>
      <c r="BF39" s="135"/>
      <c r="BG39" s="1428"/>
      <c r="BH39" s="544">
        <f t="shared" ca="1" si="96"/>
        <v>25.43272589239324</v>
      </c>
      <c r="BI39" s="545">
        <f t="shared" ca="1" si="96"/>
        <v>5.0979535575040286E-2</v>
      </c>
      <c r="BJ39" s="545">
        <f t="shared" ca="1" si="96"/>
        <v>5.4830968959189832E-2</v>
      </c>
      <c r="BK39" s="545">
        <f t="shared" ca="1" si="96"/>
        <v>0</v>
      </c>
      <c r="BL39" s="545">
        <f t="shared" ca="1" si="96"/>
        <v>6.4221428571428563</v>
      </c>
      <c r="BM39" s="545">
        <f t="shared" ca="1" si="96"/>
        <v>9.1183775290138283E-2</v>
      </c>
      <c r="BN39" s="545">
        <f t="shared" ca="1" si="96"/>
        <v>0</v>
      </c>
      <c r="BO39" s="545">
        <f t="shared" ca="1" si="96"/>
        <v>0</v>
      </c>
      <c r="BP39" s="545">
        <f t="shared" ca="1" si="96"/>
        <v>0</v>
      </c>
      <c r="BQ39" s="545">
        <f t="shared" ca="1" si="96"/>
        <v>0</v>
      </c>
      <c r="BR39" s="545">
        <f t="shared" ca="1" si="97"/>
        <v>0</v>
      </c>
      <c r="BS39" s="545">
        <f t="shared" ca="1" si="97"/>
        <v>0</v>
      </c>
      <c r="BT39" s="545">
        <f t="shared" ca="1" si="97"/>
        <v>0</v>
      </c>
      <c r="BU39" s="545">
        <f t="shared" ca="1" si="97"/>
        <v>0</v>
      </c>
      <c r="BV39" s="545">
        <f t="shared" ca="1" si="97"/>
        <v>0</v>
      </c>
      <c r="BW39" s="545">
        <f t="shared" ca="1" si="97"/>
        <v>0</v>
      </c>
      <c r="BX39" s="545">
        <f t="shared" ca="1" si="97"/>
        <v>0</v>
      </c>
      <c r="BY39" s="545">
        <f t="shared" ca="1" si="97"/>
        <v>0</v>
      </c>
      <c r="BZ39" s="545">
        <f t="shared" ca="1" si="97"/>
        <v>0</v>
      </c>
      <c r="CA39" s="545">
        <f t="shared" ca="1" si="97"/>
        <v>0</v>
      </c>
      <c r="CB39" s="545">
        <f t="shared" ca="1" si="98"/>
        <v>0</v>
      </c>
      <c r="CC39" s="545">
        <f t="shared" ca="1" si="98"/>
        <v>0</v>
      </c>
      <c r="CD39" s="545">
        <f t="shared" ca="1" si="98"/>
        <v>0</v>
      </c>
      <c r="CE39" s="545">
        <f t="shared" ca="1" si="98"/>
        <v>0</v>
      </c>
      <c r="CF39" s="545">
        <f t="shared" ca="1" si="98"/>
        <v>0</v>
      </c>
      <c r="CG39" s="545">
        <f t="shared" ca="1" si="98"/>
        <v>0</v>
      </c>
      <c r="CH39" s="545">
        <f t="shared" ca="1" si="98"/>
        <v>0</v>
      </c>
      <c r="CI39" s="545">
        <f t="shared" ca="1" si="98"/>
        <v>0</v>
      </c>
      <c r="CJ39" s="545">
        <f t="shared" ca="1" si="98"/>
        <v>0</v>
      </c>
      <c r="CK39" s="545">
        <f t="shared" ca="1" si="98"/>
        <v>0</v>
      </c>
      <c r="CL39" s="545">
        <f t="shared" ca="1" si="99"/>
        <v>0</v>
      </c>
      <c r="CM39" s="545">
        <f t="shared" ca="1" si="99"/>
        <v>0</v>
      </c>
      <c r="CN39" s="545">
        <f t="shared" ca="1" si="99"/>
        <v>0</v>
      </c>
      <c r="CO39" s="545">
        <f t="shared" ca="1" si="99"/>
        <v>0</v>
      </c>
      <c r="CP39" s="545">
        <f t="shared" ca="1" si="99"/>
        <v>0</v>
      </c>
      <c r="CQ39" s="545">
        <f t="shared" ca="1" si="99"/>
        <v>0</v>
      </c>
      <c r="CR39" s="545">
        <f t="shared" ca="1" si="99"/>
        <v>0</v>
      </c>
      <c r="CS39" s="545">
        <f t="shared" ca="1" si="99"/>
        <v>0</v>
      </c>
      <c r="CT39" s="545">
        <f t="shared" ca="1" si="99"/>
        <v>0</v>
      </c>
      <c r="CU39" s="545">
        <f t="shared" ca="1" si="99"/>
        <v>0</v>
      </c>
      <c r="CW39" s="151">
        <f t="shared" ca="1" si="75"/>
        <v>32.051863029360469</v>
      </c>
    </row>
    <row r="40" spans="1:101" s="84" customFormat="1" ht="15.75" x14ac:dyDescent="0.2">
      <c r="A40" s="547"/>
      <c r="B40" s="548"/>
      <c r="C40" s="85" t="s">
        <v>403</v>
      </c>
      <c r="D40" s="57" t="str">
        <f>INDEX(Workstreams[Workstream], MATCH($C40, Workstreams[Code], 0))</f>
        <v>Fossil fuel production</v>
      </c>
      <c r="E40" s="53"/>
      <c r="G40" s="300">
        <f ca="1">SUM(G38:G39)</f>
        <v>0</v>
      </c>
      <c r="H40" s="300">
        <f t="shared" ref="H40:O40" ca="1" si="100">SUM(H38:H39)</f>
        <v>0</v>
      </c>
      <c r="I40" s="300">
        <f ca="1">SUM(I38:I39)</f>
        <v>0</v>
      </c>
      <c r="J40" s="300">
        <f t="shared" ca="1" si="100"/>
        <v>139.63172654219483</v>
      </c>
      <c r="K40" s="300">
        <f t="shared" ca="1" si="100"/>
        <v>0</v>
      </c>
      <c r="L40" s="300">
        <f t="shared" ca="1" si="100"/>
        <v>0</v>
      </c>
      <c r="M40" s="300">
        <f t="shared" ca="1" si="100"/>
        <v>0</v>
      </c>
      <c r="N40" s="300">
        <f t="shared" ca="1" si="100"/>
        <v>0</v>
      </c>
      <c r="O40" s="300">
        <f t="shared" ca="1" si="100"/>
        <v>0</v>
      </c>
      <c r="P40" s="300">
        <f t="shared" ca="1" si="70"/>
        <v>139.63172654219483</v>
      </c>
      <c r="R40" s="257">
        <f t="shared" ref="R40:AE40" ca="1" si="101">SUM(R38:R39)</f>
        <v>-4.3677709194025072</v>
      </c>
      <c r="S40" s="257">
        <f t="shared" ca="1" si="101"/>
        <v>0</v>
      </c>
      <c r="T40" s="257">
        <f t="shared" ca="1" si="101"/>
        <v>-2.4071536724409912E-2</v>
      </c>
      <c r="U40" s="257">
        <f t="shared" ca="1" si="101"/>
        <v>-0.13777733518806001</v>
      </c>
      <c r="V40" s="257">
        <f t="shared" ca="1" si="101"/>
        <v>-138.55088285544633</v>
      </c>
      <c r="W40" s="257">
        <f ca="1">SUM(W38:W39)</f>
        <v>0</v>
      </c>
      <c r="X40" s="257">
        <f ca="1">SUM(X38:X39)</f>
        <v>67</v>
      </c>
      <c r="Y40" s="257">
        <f ca="1">SUM(Y38:Y39)</f>
        <v>1406.83294017</v>
      </c>
      <c r="Z40" s="257">
        <f ca="1">SUM(Z38:Z39)</f>
        <v>923.54866666666669</v>
      </c>
      <c r="AA40" s="257">
        <f t="shared" ca="1" si="101"/>
        <v>0</v>
      </c>
      <c r="AB40" s="257">
        <f t="shared" ca="1" si="101"/>
        <v>0</v>
      </c>
      <c r="AC40" s="257">
        <f ca="1">SUM(AC38:AC39)</f>
        <v>0</v>
      </c>
      <c r="AD40" s="257">
        <f ca="1">SUM(AD38:AD39)</f>
        <v>0</v>
      </c>
      <c r="AE40" s="257">
        <f t="shared" ca="1" si="101"/>
        <v>0</v>
      </c>
      <c r="AF40" s="257">
        <f ca="1">SUM(AF38:AF39)</f>
        <v>0</v>
      </c>
      <c r="AG40" s="257">
        <f ca="1">SUM(AG38:AG39)</f>
        <v>0</v>
      </c>
      <c r="AH40" s="257">
        <f t="shared" ca="1" si="5"/>
        <v>2254.3011041899053</v>
      </c>
      <c r="AJ40" s="263">
        <f t="shared" ref="AJ40:AX40" ca="1" si="102">SUM(AJ38:AJ39)</f>
        <v>-67</v>
      </c>
      <c r="AK40" s="263">
        <f t="shared" ca="1" si="102"/>
        <v>-1406.83294017</v>
      </c>
      <c r="AL40" s="263">
        <f t="shared" ca="1" si="102"/>
        <v>-923.54866666666669</v>
      </c>
      <c r="AM40" s="263">
        <f t="shared" ca="1" si="102"/>
        <v>0</v>
      </c>
      <c r="AN40" s="263">
        <f t="shared" ca="1" si="102"/>
        <v>0</v>
      </c>
      <c r="AO40" s="263">
        <f t="shared" ca="1" si="102"/>
        <v>0</v>
      </c>
      <c r="AP40" s="263">
        <f t="shared" ca="1" si="102"/>
        <v>0</v>
      </c>
      <c r="AQ40" s="263">
        <f t="shared" ca="1" si="102"/>
        <v>0</v>
      </c>
      <c r="AR40" s="263">
        <f t="shared" ca="1" si="102"/>
        <v>0</v>
      </c>
      <c r="AS40" s="263">
        <f t="shared" ca="1" si="102"/>
        <v>0</v>
      </c>
      <c r="AT40" s="263">
        <f t="shared" ca="1" si="102"/>
        <v>0</v>
      </c>
      <c r="AU40" s="263">
        <f t="shared" ca="1" si="102"/>
        <v>0</v>
      </c>
      <c r="AV40" s="263">
        <f t="shared" ca="1" si="102"/>
        <v>0</v>
      </c>
      <c r="AW40" s="263">
        <f t="shared" ca="1" si="102"/>
        <v>0</v>
      </c>
      <c r="AX40" s="263">
        <f t="shared" ca="1" si="102"/>
        <v>0</v>
      </c>
      <c r="AY40" s="263">
        <f t="shared" ca="1" si="74"/>
        <v>-2397.3816068366668</v>
      </c>
      <c r="BA40" s="277">
        <f ca="1">SUM(BA38:BA39)</f>
        <v>0</v>
      </c>
      <c r="BB40" s="277">
        <f ca="1">SUM(BB38:BB39)</f>
        <v>3.4487761045664747</v>
      </c>
      <c r="BC40" s="277">
        <f t="shared" ca="1" si="10"/>
        <v>3.4487761045664747</v>
      </c>
      <c r="BE40" s="55">
        <f t="shared" ref="BE40:BE47" ca="1" si="103">P40+AH40+AY40+BC40</f>
        <v>-1.3011813848606835E-13</v>
      </c>
      <c r="BF40" s="164"/>
      <c r="BG40" s="1428"/>
      <c r="BH40" s="541">
        <f t="shared" ref="BH40:CU40" ca="1" si="104">SUM(BH38:BH39)</f>
        <v>25.518788396832004</v>
      </c>
      <c r="BI40" s="542">
        <f t="shared" ca="1" si="104"/>
        <v>5.1125886519981158E-2</v>
      </c>
      <c r="BJ40" s="542">
        <f t="shared" ca="1" si="104"/>
        <v>5.556197784469414E-2</v>
      </c>
      <c r="BK40" s="542">
        <f t="shared" ca="1" si="104"/>
        <v>0</v>
      </c>
      <c r="BL40" s="542">
        <f t="shared" ca="1" si="104"/>
        <v>6.4221428571428563</v>
      </c>
      <c r="BM40" s="542">
        <f t="shared" ca="1" si="104"/>
        <v>9.1183775290138283E-2</v>
      </c>
      <c r="BN40" s="542">
        <f t="shared" ca="1" si="104"/>
        <v>0</v>
      </c>
      <c r="BO40" s="542">
        <f t="shared" ca="1" si="104"/>
        <v>0</v>
      </c>
      <c r="BP40" s="542">
        <f t="shared" ca="1" si="104"/>
        <v>0</v>
      </c>
      <c r="BQ40" s="542">
        <f t="shared" ca="1" si="104"/>
        <v>0</v>
      </c>
      <c r="BR40" s="542">
        <f t="shared" ca="1" si="104"/>
        <v>0</v>
      </c>
      <c r="BS40" s="542">
        <f t="shared" ca="1" si="104"/>
        <v>0</v>
      </c>
      <c r="BT40" s="542">
        <f t="shared" ca="1" si="104"/>
        <v>0</v>
      </c>
      <c r="BU40" s="542">
        <f t="shared" ca="1" si="104"/>
        <v>0</v>
      </c>
      <c r="BV40" s="542">
        <f t="shared" ca="1" si="104"/>
        <v>0</v>
      </c>
      <c r="BW40" s="542">
        <f t="shared" ca="1" si="104"/>
        <v>0</v>
      </c>
      <c r="BX40" s="542">
        <f t="shared" ca="1" si="104"/>
        <v>0</v>
      </c>
      <c r="BY40" s="542">
        <f t="shared" ca="1" si="104"/>
        <v>0</v>
      </c>
      <c r="BZ40" s="542">
        <f t="shared" ca="1" si="104"/>
        <v>0</v>
      </c>
      <c r="CA40" s="542">
        <f t="shared" ca="1" si="104"/>
        <v>0</v>
      </c>
      <c r="CB40" s="542">
        <f t="shared" ca="1" si="104"/>
        <v>0</v>
      </c>
      <c r="CC40" s="542">
        <f t="shared" ca="1" si="104"/>
        <v>0</v>
      </c>
      <c r="CD40" s="542">
        <f t="shared" ca="1" si="104"/>
        <v>0</v>
      </c>
      <c r="CE40" s="542">
        <f t="shared" ca="1" si="104"/>
        <v>0</v>
      </c>
      <c r="CF40" s="542">
        <f t="shared" ca="1" si="104"/>
        <v>0</v>
      </c>
      <c r="CG40" s="542">
        <f t="shared" ca="1" si="104"/>
        <v>0</v>
      </c>
      <c r="CH40" s="542">
        <f t="shared" ca="1" si="104"/>
        <v>0</v>
      </c>
      <c r="CI40" s="542">
        <f t="shared" ca="1" si="104"/>
        <v>0</v>
      </c>
      <c r="CJ40" s="542">
        <f t="shared" ca="1" si="104"/>
        <v>0</v>
      </c>
      <c r="CK40" s="542">
        <f t="shared" ca="1" si="104"/>
        <v>0</v>
      </c>
      <c r="CL40" s="542">
        <f t="shared" ca="1" si="104"/>
        <v>0</v>
      </c>
      <c r="CM40" s="542">
        <f t="shared" ca="1" si="104"/>
        <v>0</v>
      </c>
      <c r="CN40" s="542">
        <f t="shared" ca="1" si="104"/>
        <v>0</v>
      </c>
      <c r="CO40" s="542">
        <f t="shared" ca="1" si="104"/>
        <v>0</v>
      </c>
      <c r="CP40" s="542">
        <f t="shared" ca="1" si="104"/>
        <v>0</v>
      </c>
      <c r="CQ40" s="542">
        <f t="shared" ca="1" si="104"/>
        <v>0</v>
      </c>
      <c r="CR40" s="542">
        <f t="shared" ca="1" si="104"/>
        <v>0</v>
      </c>
      <c r="CS40" s="542">
        <f t="shared" ca="1" si="104"/>
        <v>0</v>
      </c>
      <c r="CT40" s="542">
        <f t="shared" ca="1" si="104"/>
        <v>0</v>
      </c>
      <c r="CU40" s="542">
        <f t="shared" ca="1" si="104"/>
        <v>0</v>
      </c>
      <c r="CW40" s="151">
        <f t="shared" ca="1" si="75"/>
        <v>32.138802893629673</v>
      </c>
    </row>
    <row r="41" spans="1:101" s="84" customFormat="1" outlineLevel="1" x14ac:dyDescent="0.2">
      <c r="C41" s="60"/>
      <c r="D41" s="34"/>
      <c r="E41" s="51"/>
      <c r="G41" s="245"/>
      <c r="H41" s="245"/>
      <c r="I41" s="245"/>
      <c r="J41" s="245"/>
      <c r="K41" s="245"/>
      <c r="L41" s="247"/>
      <c r="M41" s="245"/>
      <c r="N41" s="245"/>
      <c r="O41" s="245"/>
      <c r="P41" s="245">
        <f t="shared" si="70"/>
        <v>0</v>
      </c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>
        <f t="shared" si="5"/>
        <v>0</v>
      </c>
      <c r="AJ41" s="263"/>
      <c r="AK41" s="263"/>
      <c r="AL41" s="263"/>
      <c r="AM41" s="263"/>
      <c r="AN41" s="263"/>
      <c r="AO41" s="263"/>
      <c r="AP41" s="263"/>
      <c r="AQ41" s="263"/>
      <c r="AR41" s="263"/>
      <c r="AS41" s="263"/>
      <c r="AT41" s="263"/>
      <c r="AU41" s="263"/>
      <c r="AV41" s="263"/>
      <c r="AW41" s="263"/>
      <c r="AX41" s="263"/>
      <c r="AY41" s="263">
        <f t="shared" si="74"/>
        <v>0</v>
      </c>
      <c r="BA41" s="277"/>
      <c r="BB41" s="277"/>
      <c r="BC41" s="277">
        <f t="shared" si="10"/>
        <v>0</v>
      </c>
      <c r="BE41" s="55">
        <f t="shared" si="103"/>
        <v>0</v>
      </c>
      <c r="BF41" s="55"/>
      <c r="BH41" s="542"/>
      <c r="BI41" s="542"/>
      <c r="BJ41" s="542"/>
      <c r="BK41" s="542"/>
      <c r="BL41" s="542"/>
      <c r="BM41" s="542"/>
      <c r="BN41" s="542"/>
      <c r="BO41" s="542"/>
      <c r="BP41" s="542"/>
      <c r="BQ41" s="542"/>
      <c r="BR41" s="542"/>
      <c r="BS41" s="542"/>
      <c r="BT41" s="542"/>
      <c r="BU41" s="542"/>
      <c r="BV41" s="542"/>
      <c r="BW41" s="542"/>
      <c r="BX41" s="542"/>
      <c r="BY41" s="542"/>
      <c r="BZ41" s="542"/>
      <c r="CA41" s="542"/>
      <c r="CB41" s="542"/>
      <c r="CC41" s="542"/>
      <c r="CD41" s="542"/>
      <c r="CE41" s="542"/>
      <c r="CF41" s="542"/>
      <c r="CG41" s="542"/>
      <c r="CH41" s="542"/>
      <c r="CI41" s="542"/>
      <c r="CJ41" s="542"/>
      <c r="CK41" s="542"/>
      <c r="CL41" s="542"/>
      <c r="CM41" s="542"/>
      <c r="CN41" s="542"/>
      <c r="CO41" s="542"/>
      <c r="CP41" s="542"/>
      <c r="CQ41" s="542"/>
      <c r="CR41" s="542"/>
      <c r="CS41" s="542"/>
      <c r="CT41" s="542"/>
      <c r="CU41" s="542"/>
      <c r="CW41" s="151">
        <f t="shared" si="75"/>
        <v>0</v>
      </c>
    </row>
    <row r="42" spans="1:101" s="543" customFormat="1" ht="12.75" customHeight="1" outlineLevel="1" x14ac:dyDescent="0.2">
      <c r="C42" s="86" t="s">
        <v>864</v>
      </c>
      <c r="D42" s="61" t="str">
        <f>INDEX(Modules[Module], MATCH($C42, Modules[Code], 0))</f>
        <v xml:space="preserve">Wind </v>
      </c>
      <c r="E42" s="61"/>
      <c r="F42" s="84"/>
      <c r="G42" s="297">
        <f t="shared" ref="G42:O46" ca="1" si="105">IFERROR(INDEX(INDIRECT($C42&amp;".Outputs["&amp;this.Year&amp;"]"), MATCH(G$5, INDIRECT($C42&amp;".Outputs[Vector]"), 0)), 0)</f>
        <v>0</v>
      </c>
      <c r="H42" s="297">
        <f t="shared" ca="1" si="105"/>
        <v>0</v>
      </c>
      <c r="I42" s="297">
        <f t="shared" ca="1" si="105"/>
        <v>0</v>
      </c>
      <c r="J42" s="297">
        <f t="shared" ca="1" si="105"/>
        <v>0</v>
      </c>
      <c r="K42" s="297">
        <f t="shared" ca="1" si="105"/>
        <v>0</v>
      </c>
      <c r="L42" s="297">
        <f t="shared" ca="1" si="105"/>
        <v>0</v>
      </c>
      <c r="M42" s="297">
        <f t="shared" ca="1" si="105"/>
        <v>0</v>
      </c>
      <c r="N42" s="297">
        <f t="shared" ca="1" si="105"/>
        <v>0</v>
      </c>
      <c r="O42" s="297">
        <f t="shared" ca="1" si="105"/>
        <v>0</v>
      </c>
      <c r="P42" s="297">
        <f t="shared" ca="1" si="70"/>
        <v>0</v>
      </c>
      <c r="Q42" s="84"/>
      <c r="R42" s="304">
        <f t="shared" ref="R42:AX46" ca="1" si="106">IFERROR(INDEX(INDIRECT($C42&amp;".Outputs["&amp;this.Year&amp;"]"), MATCH(R$5, INDIRECT($C42&amp;".Outputs[Vector]"), 0)), 0)</f>
        <v>0</v>
      </c>
      <c r="S42" s="304">
        <f t="shared" ca="1" si="106"/>
        <v>14.726880000000001</v>
      </c>
      <c r="T42" s="304">
        <f t="shared" ca="1" si="106"/>
        <v>0</v>
      </c>
      <c r="U42" s="304">
        <f t="shared" ca="1" si="106"/>
        <v>0</v>
      </c>
      <c r="V42" s="304">
        <f t="shared" ca="1" si="106"/>
        <v>0</v>
      </c>
      <c r="W42" s="304">
        <f t="shared" ca="1" si="106"/>
        <v>0</v>
      </c>
      <c r="X42" s="304">
        <f t="shared" ref="X42:Z46" ca="1" si="107">IFERROR(INDEX(INDIRECT($C42&amp;".Outputs["&amp;this.Year&amp;"]"), MATCH(X$5, INDIRECT($C42&amp;".Outputs[Vector]"), 0)), 0)</f>
        <v>0</v>
      </c>
      <c r="Y42" s="304">
        <f t="shared" ca="1" si="107"/>
        <v>0</v>
      </c>
      <c r="Z42" s="304">
        <f t="shared" ca="1" si="107"/>
        <v>0</v>
      </c>
      <c r="AA42" s="304">
        <f t="shared" ca="1" si="106"/>
        <v>0</v>
      </c>
      <c r="AB42" s="304">
        <f t="shared" ca="1" si="106"/>
        <v>0</v>
      </c>
      <c r="AC42" s="304">
        <f t="shared" ca="1" si="106"/>
        <v>0</v>
      </c>
      <c r="AD42" s="304">
        <f t="shared" ca="1" si="106"/>
        <v>0</v>
      </c>
      <c r="AE42" s="304">
        <f t="shared" ca="1" si="106"/>
        <v>0</v>
      </c>
      <c r="AF42" s="304">
        <f t="shared" ca="1" si="106"/>
        <v>0</v>
      </c>
      <c r="AG42" s="304">
        <f t="shared" ca="1" si="106"/>
        <v>0</v>
      </c>
      <c r="AH42" s="305">
        <f t="shared" ca="1" si="5"/>
        <v>14.726880000000001</v>
      </c>
      <c r="AI42" s="84"/>
      <c r="AJ42" s="312">
        <f t="shared" ref="AJ42:AR46" ca="1" si="108">IFERROR(INDEX(INDIRECT($C42&amp;".Outputs["&amp;this.Year&amp;"]"), MATCH(AJ$5, INDIRECT($C42&amp;".Outputs[Vector]"), 0)), 0)</f>
        <v>0</v>
      </c>
      <c r="AK42" s="312">
        <f t="shared" ca="1" si="108"/>
        <v>0</v>
      </c>
      <c r="AL42" s="312">
        <f t="shared" ca="1" si="108"/>
        <v>0</v>
      </c>
      <c r="AM42" s="312">
        <f t="shared" ca="1" si="108"/>
        <v>0</v>
      </c>
      <c r="AN42" s="312">
        <f t="shared" ca="1" si="108"/>
        <v>0</v>
      </c>
      <c r="AO42" s="312">
        <f t="shared" ca="1" si="108"/>
        <v>0</v>
      </c>
      <c r="AP42" s="312">
        <f t="shared" ca="1" si="108"/>
        <v>0</v>
      </c>
      <c r="AQ42" s="312">
        <f t="shared" ca="1" si="108"/>
        <v>0</v>
      </c>
      <c r="AR42" s="312">
        <f t="shared" ca="1" si="108"/>
        <v>0</v>
      </c>
      <c r="AS42" s="312">
        <f t="shared" ca="1" si="106"/>
        <v>0</v>
      </c>
      <c r="AT42" s="312">
        <f t="shared" ca="1" si="106"/>
        <v>0</v>
      </c>
      <c r="AU42" s="312">
        <f t="shared" ca="1" si="106"/>
        <v>-14.726880000000001</v>
      </c>
      <c r="AV42" s="312">
        <f t="shared" ca="1" si="106"/>
        <v>0</v>
      </c>
      <c r="AW42" s="312">
        <f t="shared" ca="1" si="106"/>
        <v>0</v>
      </c>
      <c r="AX42" s="312">
        <f t="shared" ca="1" si="106"/>
        <v>0</v>
      </c>
      <c r="AY42" s="266">
        <f t="shared" ca="1" si="74"/>
        <v>-14.726880000000001</v>
      </c>
      <c r="AZ42" s="84"/>
      <c r="BA42" s="308">
        <f t="shared" ref="BA42:BB46" ca="1" si="109">IFERROR(INDEX(INDIRECT($C42&amp;".Outputs["&amp;this.Year&amp;"]"), MATCH(BA$5, INDIRECT($C42&amp;".Outputs[Vector]"), 0)), 0)</f>
        <v>0</v>
      </c>
      <c r="BB42" s="308">
        <f t="shared" ca="1" si="109"/>
        <v>0</v>
      </c>
      <c r="BC42" s="309">
        <f t="shared" ca="1" si="10"/>
        <v>0</v>
      </c>
      <c r="BD42" s="84"/>
      <c r="BE42" s="135">
        <f t="shared" ca="1" si="103"/>
        <v>0</v>
      </c>
      <c r="BF42" s="135"/>
      <c r="BG42" s="1428"/>
      <c r="BH42" s="541">
        <f t="shared" ref="BH42:BQ46" ca="1" si="110">IFERROR(SUMIFS(INDIRECT($C42&amp;".Emissions["&amp;this.Year&amp;"]"), INDIRECT($C42&amp;".Emissions[GHG]"), BH$6, INDIRECT($C42&amp;".Emissions[IPCC Sector]"), BH$5),0)</f>
        <v>0</v>
      </c>
      <c r="BI42" s="542">
        <f t="shared" ca="1" si="110"/>
        <v>0</v>
      </c>
      <c r="BJ42" s="542">
        <f t="shared" ca="1" si="110"/>
        <v>0</v>
      </c>
      <c r="BK42" s="542">
        <f t="shared" ca="1" si="110"/>
        <v>0</v>
      </c>
      <c r="BL42" s="542">
        <f t="shared" ca="1" si="110"/>
        <v>0</v>
      </c>
      <c r="BM42" s="542">
        <f t="shared" ca="1" si="110"/>
        <v>0</v>
      </c>
      <c r="BN42" s="542">
        <f t="shared" ca="1" si="110"/>
        <v>0</v>
      </c>
      <c r="BO42" s="542">
        <f t="shared" ca="1" si="110"/>
        <v>0</v>
      </c>
      <c r="BP42" s="542">
        <f t="shared" ca="1" si="110"/>
        <v>0</v>
      </c>
      <c r="BQ42" s="542">
        <f t="shared" ca="1" si="110"/>
        <v>0</v>
      </c>
      <c r="BR42" s="542">
        <f t="shared" ref="BR42:CA46" ca="1" si="111">IFERROR(SUMIFS(INDIRECT($C42&amp;".Emissions["&amp;this.Year&amp;"]"), INDIRECT($C42&amp;".Emissions[GHG]"), BR$6, INDIRECT($C42&amp;".Emissions[IPCC Sector]"), BR$5),0)</f>
        <v>0</v>
      </c>
      <c r="BS42" s="542">
        <f t="shared" ca="1" si="111"/>
        <v>0</v>
      </c>
      <c r="BT42" s="542">
        <f t="shared" ca="1" si="111"/>
        <v>0</v>
      </c>
      <c r="BU42" s="542">
        <f t="shared" ca="1" si="111"/>
        <v>0</v>
      </c>
      <c r="BV42" s="542">
        <f t="shared" ca="1" si="111"/>
        <v>0</v>
      </c>
      <c r="BW42" s="542">
        <f t="shared" ca="1" si="111"/>
        <v>0</v>
      </c>
      <c r="BX42" s="542">
        <f t="shared" ca="1" si="111"/>
        <v>0</v>
      </c>
      <c r="BY42" s="542">
        <f t="shared" ca="1" si="111"/>
        <v>0</v>
      </c>
      <c r="BZ42" s="542">
        <f t="shared" ca="1" si="111"/>
        <v>0</v>
      </c>
      <c r="CA42" s="542">
        <f t="shared" ca="1" si="111"/>
        <v>0</v>
      </c>
      <c r="CB42" s="542">
        <f t="shared" ref="CB42:CK46" ca="1" si="112">IFERROR(SUMIFS(INDIRECT($C42&amp;".Emissions["&amp;this.Year&amp;"]"), INDIRECT($C42&amp;".Emissions[GHG]"), CB$6, INDIRECT($C42&amp;".Emissions[IPCC Sector]"), CB$5),0)</f>
        <v>0</v>
      </c>
      <c r="CC42" s="542">
        <f t="shared" ca="1" si="112"/>
        <v>0</v>
      </c>
      <c r="CD42" s="542">
        <f t="shared" ca="1" si="112"/>
        <v>0</v>
      </c>
      <c r="CE42" s="542">
        <f t="shared" ca="1" si="112"/>
        <v>0</v>
      </c>
      <c r="CF42" s="542">
        <f t="shared" ca="1" si="112"/>
        <v>0</v>
      </c>
      <c r="CG42" s="542">
        <f t="shared" ca="1" si="112"/>
        <v>0</v>
      </c>
      <c r="CH42" s="542">
        <f t="shared" ca="1" si="112"/>
        <v>0</v>
      </c>
      <c r="CI42" s="542">
        <f t="shared" ca="1" si="112"/>
        <v>0</v>
      </c>
      <c r="CJ42" s="542">
        <f t="shared" ca="1" si="112"/>
        <v>0</v>
      </c>
      <c r="CK42" s="542">
        <f t="shared" ca="1" si="112"/>
        <v>0</v>
      </c>
      <c r="CL42" s="542">
        <f t="shared" ref="CL42:CU46" ca="1" si="113">IFERROR(SUMIFS(INDIRECT($C42&amp;".Emissions["&amp;this.Year&amp;"]"), INDIRECT($C42&amp;".Emissions[GHG]"), CL$6, INDIRECT($C42&amp;".Emissions[IPCC Sector]"), CL$5),0)</f>
        <v>0</v>
      </c>
      <c r="CM42" s="542">
        <f t="shared" ca="1" si="113"/>
        <v>0</v>
      </c>
      <c r="CN42" s="542">
        <f t="shared" ca="1" si="113"/>
        <v>0</v>
      </c>
      <c r="CO42" s="542">
        <f t="shared" ca="1" si="113"/>
        <v>0</v>
      </c>
      <c r="CP42" s="542">
        <f t="shared" ca="1" si="113"/>
        <v>0</v>
      </c>
      <c r="CQ42" s="542">
        <f t="shared" ca="1" si="113"/>
        <v>0</v>
      </c>
      <c r="CR42" s="542">
        <f t="shared" ca="1" si="113"/>
        <v>0</v>
      </c>
      <c r="CS42" s="542">
        <f t="shared" ca="1" si="113"/>
        <v>0</v>
      </c>
      <c r="CT42" s="542">
        <f t="shared" ca="1" si="113"/>
        <v>0</v>
      </c>
      <c r="CU42" s="542">
        <f t="shared" ca="1" si="113"/>
        <v>0</v>
      </c>
      <c r="CW42" s="151">
        <f t="shared" ca="1" si="75"/>
        <v>0</v>
      </c>
    </row>
    <row r="43" spans="1:101" s="543" customFormat="1" ht="12.75" customHeight="1" outlineLevel="1" x14ac:dyDescent="0.2">
      <c r="C43" s="86" t="s">
        <v>2366</v>
      </c>
      <c r="D43" s="61" t="str">
        <f>INDEX(Modules[Module], MATCH($C43, Modules[Code], 0))</f>
        <v>Large Hydroelectric power stations</v>
      </c>
      <c r="E43" s="61"/>
      <c r="F43" s="84"/>
      <c r="G43" s="297">
        <f t="shared" ca="1" si="105"/>
        <v>0</v>
      </c>
      <c r="H43" s="297">
        <f t="shared" ca="1" si="105"/>
        <v>0</v>
      </c>
      <c r="I43" s="297">
        <f t="shared" ca="1" si="105"/>
        <v>0</v>
      </c>
      <c r="J43" s="297">
        <f t="shared" ca="1" si="105"/>
        <v>0</v>
      </c>
      <c r="K43" s="297">
        <f t="shared" ca="1" si="105"/>
        <v>0</v>
      </c>
      <c r="L43" s="297">
        <f t="shared" ca="1" si="105"/>
        <v>0</v>
      </c>
      <c r="M43" s="297">
        <f t="shared" ca="1" si="105"/>
        <v>0</v>
      </c>
      <c r="N43" s="297">
        <f t="shared" ca="1" si="105"/>
        <v>0</v>
      </c>
      <c r="O43" s="297">
        <f t="shared" ca="1" si="105"/>
        <v>0</v>
      </c>
      <c r="P43" s="297">
        <f t="shared" ca="1" si="70"/>
        <v>0</v>
      </c>
      <c r="Q43" s="84"/>
      <c r="R43" s="304">
        <f t="shared" ca="1" si="106"/>
        <v>0</v>
      </c>
      <c r="S43" s="304">
        <f t="shared" ca="1" si="106"/>
        <v>45.127367999999997</v>
      </c>
      <c r="T43" s="304">
        <f t="shared" ca="1" si="106"/>
        <v>0</v>
      </c>
      <c r="U43" s="304">
        <f t="shared" ca="1" si="106"/>
        <v>0</v>
      </c>
      <c r="V43" s="304">
        <f t="shared" ca="1" si="106"/>
        <v>0</v>
      </c>
      <c r="W43" s="304">
        <f t="shared" ca="1" si="106"/>
        <v>0</v>
      </c>
      <c r="X43" s="304">
        <f t="shared" ca="1" si="107"/>
        <v>0</v>
      </c>
      <c r="Y43" s="304">
        <f t="shared" ca="1" si="107"/>
        <v>0</v>
      </c>
      <c r="Z43" s="304">
        <f t="shared" ca="1" si="107"/>
        <v>0</v>
      </c>
      <c r="AA43" s="304">
        <f t="shared" ca="1" si="106"/>
        <v>0</v>
      </c>
      <c r="AB43" s="304">
        <f t="shared" ca="1" si="106"/>
        <v>0</v>
      </c>
      <c r="AC43" s="304">
        <f t="shared" ca="1" si="106"/>
        <v>0</v>
      </c>
      <c r="AD43" s="304">
        <f t="shared" ca="1" si="106"/>
        <v>0</v>
      </c>
      <c r="AE43" s="304">
        <f t="shared" ca="1" si="106"/>
        <v>0</v>
      </c>
      <c r="AF43" s="304">
        <f t="shared" ca="1" si="106"/>
        <v>0</v>
      </c>
      <c r="AG43" s="304">
        <f t="shared" ca="1" si="106"/>
        <v>0</v>
      </c>
      <c r="AH43" s="305">
        <f t="shared" ca="1" si="5"/>
        <v>45.127367999999997</v>
      </c>
      <c r="AI43" s="84"/>
      <c r="AJ43" s="312">
        <f t="shared" ca="1" si="108"/>
        <v>0</v>
      </c>
      <c r="AK43" s="312">
        <f t="shared" ca="1" si="108"/>
        <v>0</v>
      </c>
      <c r="AL43" s="312">
        <f t="shared" ca="1" si="108"/>
        <v>0</v>
      </c>
      <c r="AM43" s="312">
        <f t="shared" ca="1" si="108"/>
        <v>0</v>
      </c>
      <c r="AN43" s="312">
        <f t="shared" ca="1" si="108"/>
        <v>0</v>
      </c>
      <c r="AO43" s="312">
        <f t="shared" ca="1" si="108"/>
        <v>0</v>
      </c>
      <c r="AP43" s="312">
        <f t="shared" ca="1" si="108"/>
        <v>0</v>
      </c>
      <c r="AQ43" s="312">
        <f t="shared" ca="1" si="108"/>
        <v>0</v>
      </c>
      <c r="AR43" s="312">
        <f t="shared" ca="1" si="108"/>
        <v>0</v>
      </c>
      <c r="AS43" s="312">
        <f t="shared" ca="1" si="106"/>
        <v>0</v>
      </c>
      <c r="AT43" s="312">
        <f t="shared" ca="1" si="106"/>
        <v>0</v>
      </c>
      <c r="AU43" s="312">
        <f t="shared" ca="1" si="106"/>
        <v>0</v>
      </c>
      <c r="AV43" s="312">
        <f t="shared" ca="1" si="106"/>
        <v>-45.127367999999997</v>
      </c>
      <c r="AW43" s="312">
        <f t="shared" ca="1" si="106"/>
        <v>0</v>
      </c>
      <c r="AX43" s="312">
        <f t="shared" ca="1" si="106"/>
        <v>0</v>
      </c>
      <c r="AY43" s="266">
        <f t="shared" ca="1" si="74"/>
        <v>-45.127367999999997</v>
      </c>
      <c r="AZ43" s="84"/>
      <c r="BA43" s="308">
        <f t="shared" ca="1" si="109"/>
        <v>0</v>
      </c>
      <c r="BB43" s="308">
        <f t="shared" ca="1" si="109"/>
        <v>0</v>
      </c>
      <c r="BC43" s="309">
        <f t="shared" ca="1" si="10"/>
        <v>0</v>
      </c>
      <c r="BD43" s="84"/>
      <c r="BE43" s="135">
        <f t="shared" ca="1" si="103"/>
        <v>0</v>
      </c>
      <c r="BF43" s="135"/>
      <c r="BG43" s="1428"/>
      <c r="BH43" s="541">
        <f t="shared" ca="1" si="110"/>
        <v>0</v>
      </c>
      <c r="BI43" s="542">
        <f t="shared" ca="1" si="110"/>
        <v>0</v>
      </c>
      <c r="BJ43" s="542">
        <f t="shared" ca="1" si="110"/>
        <v>0</v>
      </c>
      <c r="BK43" s="542">
        <f t="shared" ca="1" si="110"/>
        <v>0</v>
      </c>
      <c r="BL43" s="542">
        <f t="shared" ca="1" si="110"/>
        <v>0</v>
      </c>
      <c r="BM43" s="542">
        <f t="shared" ca="1" si="110"/>
        <v>0</v>
      </c>
      <c r="BN43" s="542">
        <f t="shared" ca="1" si="110"/>
        <v>0</v>
      </c>
      <c r="BO43" s="542">
        <f t="shared" ca="1" si="110"/>
        <v>0</v>
      </c>
      <c r="BP43" s="542">
        <f t="shared" ca="1" si="110"/>
        <v>0</v>
      </c>
      <c r="BQ43" s="542">
        <f t="shared" ca="1" si="110"/>
        <v>0</v>
      </c>
      <c r="BR43" s="542">
        <f t="shared" ca="1" si="111"/>
        <v>0</v>
      </c>
      <c r="BS43" s="542">
        <f t="shared" ca="1" si="111"/>
        <v>0</v>
      </c>
      <c r="BT43" s="542">
        <f t="shared" ca="1" si="111"/>
        <v>0</v>
      </c>
      <c r="BU43" s="542">
        <f t="shared" ca="1" si="111"/>
        <v>0</v>
      </c>
      <c r="BV43" s="542">
        <f t="shared" ca="1" si="111"/>
        <v>0</v>
      </c>
      <c r="BW43" s="542">
        <f t="shared" ca="1" si="111"/>
        <v>0</v>
      </c>
      <c r="BX43" s="542">
        <f t="shared" ca="1" si="111"/>
        <v>0</v>
      </c>
      <c r="BY43" s="542">
        <f t="shared" ca="1" si="111"/>
        <v>0</v>
      </c>
      <c r="BZ43" s="542">
        <f t="shared" ca="1" si="111"/>
        <v>0</v>
      </c>
      <c r="CA43" s="542">
        <f t="shared" ca="1" si="111"/>
        <v>0</v>
      </c>
      <c r="CB43" s="542">
        <f t="shared" ca="1" si="112"/>
        <v>0</v>
      </c>
      <c r="CC43" s="542">
        <f t="shared" ca="1" si="112"/>
        <v>0</v>
      </c>
      <c r="CD43" s="542">
        <f t="shared" ca="1" si="112"/>
        <v>0</v>
      </c>
      <c r="CE43" s="542">
        <f t="shared" ca="1" si="112"/>
        <v>0</v>
      </c>
      <c r="CF43" s="542">
        <f t="shared" ca="1" si="112"/>
        <v>0</v>
      </c>
      <c r="CG43" s="542">
        <f t="shared" ca="1" si="112"/>
        <v>0</v>
      </c>
      <c r="CH43" s="542">
        <f t="shared" ca="1" si="112"/>
        <v>0</v>
      </c>
      <c r="CI43" s="542">
        <f t="shared" ca="1" si="112"/>
        <v>0</v>
      </c>
      <c r="CJ43" s="542">
        <f t="shared" ca="1" si="112"/>
        <v>0</v>
      </c>
      <c r="CK43" s="542">
        <f t="shared" ca="1" si="112"/>
        <v>0</v>
      </c>
      <c r="CL43" s="542">
        <f t="shared" ca="1" si="113"/>
        <v>0</v>
      </c>
      <c r="CM43" s="542">
        <f t="shared" ca="1" si="113"/>
        <v>0</v>
      </c>
      <c r="CN43" s="542">
        <f t="shared" ca="1" si="113"/>
        <v>0</v>
      </c>
      <c r="CO43" s="542">
        <f t="shared" ca="1" si="113"/>
        <v>0</v>
      </c>
      <c r="CP43" s="542">
        <f t="shared" ca="1" si="113"/>
        <v>0</v>
      </c>
      <c r="CQ43" s="542">
        <f t="shared" ca="1" si="113"/>
        <v>0</v>
      </c>
      <c r="CR43" s="542">
        <f t="shared" ca="1" si="113"/>
        <v>0</v>
      </c>
      <c r="CS43" s="542">
        <f t="shared" ca="1" si="113"/>
        <v>0</v>
      </c>
      <c r="CT43" s="542">
        <f t="shared" ca="1" si="113"/>
        <v>0</v>
      </c>
      <c r="CU43" s="542">
        <f t="shared" ca="1" si="113"/>
        <v>0</v>
      </c>
      <c r="CW43" s="151">
        <f t="shared" ca="1" si="75"/>
        <v>0</v>
      </c>
    </row>
    <row r="44" spans="1:101" s="543" customFormat="1" ht="12.75" customHeight="1" outlineLevel="1" x14ac:dyDescent="0.2">
      <c r="C44" s="86" t="s">
        <v>2365</v>
      </c>
      <c r="D44" s="61" t="str">
        <f>INDEX(Modules[Module], MATCH($C44, Modules[Code], 0))</f>
        <v>Small Hydroelectric power stations</v>
      </c>
      <c r="E44" s="61"/>
      <c r="F44" s="84"/>
      <c r="G44" s="297">
        <f t="shared" ca="1" si="105"/>
        <v>0</v>
      </c>
      <c r="H44" s="297">
        <f t="shared" ca="1" si="105"/>
        <v>0</v>
      </c>
      <c r="I44" s="297">
        <f t="shared" ca="1" si="105"/>
        <v>0</v>
      </c>
      <c r="J44" s="297">
        <f t="shared" ca="1" si="105"/>
        <v>0</v>
      </c>
      <c r="K44" s="297">
        <f t="shared" ca="1" si="105"/>
        <v>0</v>
      </c>
      <c r="L44" s="297">
        <f t="shared" ca="1" si="105"/>
        <v>0</v>
      </c>
      <c r="M44" s="297">
        <f t="shared" ca="1" si="105"/>
        <v>0</v>
      </c>
      <c r="N44" s="297">
        <f t="shared" ca="1" si="105"/>
        <v>0</v>
      </c>
      <c r="O44" s="297">
        <f t="shared" ca="1" si="105"/>
        <v>0</v>
      </c>
      <c r="P44" s="297">
        <f t="shared" ca="1" si="70"/>
        <v>0</v>
      </c>
      <c r="Q44" s="84"/>
      <c r="R44" s="304">
        <f t="shared" ca="1" si="106"/>
        <v>0</v>
      </c>
      <c r="S44" s="304">
        <f t="shared" ca="1" si="106"/>
        <v>11.037896742857155</v>
      </c>
      <c r="T44" s="304">
        <f t="shared" ca="1" si="106"/>
        <v>0</v>
      </c>
      <c r="U44" s="304">
        <f t="shared" ca="1" si="106"/>
        <v>0</v>
      </c>
      <c r="V44" s="304">
        <f t="shared" ca="1" si="106"/>
        <v>0</v>
      </c>
      <c r="W44" s="304">
        <f t="shared" ca="1" si="106"/>
        <v>0</v>
      </c>
      <c r="X44" s="304">
        <f t="shared" ca="1" si="107"/>
        <v>0</v>
      </c>
      <c r="Y44" s="304">
        <f t="shared" ca="1" si="107"/>
        <v>0</v>
      </c>
      <c r="Z44" s="304">
        <f t="shared" ca="1" si="107"/>
        <v>0</v>
      </c>
      <c r="AA44" s="304">
        <f t="shared" ca="1" si="106"/>
        <v>0</v>
      </c>
      <c r="AB44" s="304">
        <f t="shared" ca="1" si="106"/>
        <v>0</v>
      </c>
      <c r="AC44" s="304">
        <f t="shared" ca="1" si="106"/>
        <v>0</v>
      </c>
      <c r="AD44" s="304">
        <f t="shared" ca="1" si="106"/>
        <v>0</v>
      </c>
      <c r="AE44" s="304">
        <f t="shared" ca="1" si="106"/>
        <v>0</v>
      </c>
      <c r="AF44" s="304">
        <f t="shared" ca="1" si="106"/>
        <v>0</v>
      </c>
      <c r="AG44" s="304">
        <f t="shared" ca="1" si="106"/>
        <v>0</v>
      </c>
      <c r="AH44" s="305">
        <f t="shared" ca="1" si="5"/>
        <v>11.037896742857155</v>
      </c>
      <c r="AI44" s="84"/>
      <c r="AJ44" s="312">
        <f t="shared" ca="1" si="108"/>
        <v>0</v>
      </c>
      <c r="AK44" s="312">
        <f t="shared" ca="1" si="108"/>
        <v>0</v>
      </c>
      <c r="AL44" s="312">
        <f t="shared" ca="1" si="108"/>
        <v>0</v>
      </c>
      <c r="AM44" s="312">
        <f t="shared" ca="1" si="108"/>
        <v>0</v>
      </c>
      <c r="AN44" s="312">
        <f t="shared" ca="1" si="108"/>
        <v>0</v>
      </c>
      <c r="AO44" s="312">
        <f t="shared" ca="1" si="108"/>
        <v>0</v>
      </c>
      <c r="AP44" s="312">
        <f t="shared" ca="1" si="108"/>
        <v>0</v>
      </c>
      <c r="AQ44" s="312">
        <f t="shared" ca="1" si="108"/>
        <v>0</v>
      </c>
      <c r="AR44" s="312">
        <f t="shared" ca="1" si="108"/>
        <v>0</v>
      </c>
      <c r="AS44" s="312">
        <f t="shared" ca="1" si="106"/>
        <v>0</v>
      </c>
      <c r="AT44" s="312">
        <f t="shared" ca="1" si="106"/>
        <v>0</v>
      </c>
      <c r="AU44" s="312">
        <f t="shared" ca="1" si="106"/>
        <v>0</v>
      </c>
      <c r="AV44" s="312">
        <f t="shared" ca="1" si="106"/>
        <v>-11.037896742857155</v>
      </c>
      <c r="AW44" s="312">
        <f t="shared" ca="1" si="106"/>
        <v>0</v>
      </c>
      <c r="AX44" s="312">
        <f t="shared" ca="1" si="106"/>
        <v>0</v>
      </c>
      <c r="AY44" s="266">
        <f t="shared" ca="1" si="74"/>
        <v>-11.037896742857155</v>
      </c>
      <c r="AZ44" s="84"/>
      <c r="BA44" s="308">
        <f t="shared" ca="1" si="109"/>
        <v>0</v>
      </c>
      <c r="BB44" s="308">
        <f t="shared" ca="1" si="109"/>
        <v>0</v>
      </c>
      <c r="BC44" s="309">
        <f t="shared" ca="1" si="10"/>
        <v>0</v>
      </c>
      <c r="BD44" s="84"/>
      <c r="BE44" s="135">
        <f t="shared" ca="1" si="103"/>
        <v>0</v>
      </c>
      <c r="BF44" s="135"/>
      <c r="BG44" s="1428"/>
      <c r="BH44" s="541">
        <f t="shared" ca="1" si="110"/>
        <v>0</v>
      </c>
      <c r="BI44" s="542">
        <f t="shared" ca="1" si="110"/>
        <v>0</v>
      </c>
      <c r="BJ44" s="542">
        <f t="shared" ca="1" si="110"/>
        <v>0</v>
      </c>
      <c r="BK44" s="542">
        <f t="shared" ca="1" si="110"/>
        <v>0</v>
      </c>
      <c r="BL44" s="542">
        <f t="shared" ca="1" si="110"/>
        <v>0</v>
      </c>
      <c r="BM44" s="542">
        <f t="shared" ca="1" si="110"/>
        <v>0</v>
      </c>
      <c r="BN44" s="542">
        <f t="shared" ca="1" si="110"/>
        <v>0</v>
      </c>
      <c r="BO44" s="542">
        <f t="shared" ca="1" si="110"/>
        <v>0</v>
      </c>
      <c r="BP44" s="542">
        <f t="shared" ca="1" si="110"/>
        <v>0</v>
      </c>
      <c r="BQ44" s="542">
        <f t="shared" ca="1" si="110"/>
        <v>0</v>
      </c>
      <c r="BR44" s="542">
        <f t="shared" ca="1" si="111"/>
        <v>0</v>
      </c>
      <c r="BS44" s="542">
        <f t="shared" ca="1" si="111"/>
        <v>0</v>
      </c>
      <c r="BT44" s="542">
        <f t="shared" ca="1" si="111"/>
        <v>0</v>
      </c>
      <c r="BU44" s="542">
        <f t="shared" ca="1" si="111"/>
        <v>0</v>
      </c>
      <c r="BV44" s="542">
        <f t="shared" ca="1" si="111"/>
        <v>0</v>
      </c>
      <c r="BW44" s="542">
        <f t="shared" ca="1" si="111"/>
        <v>0</v>
      </c>
      <c r="BX44" s="542">
        <f t="shared" ca="1" si="111"/>
        <v>0</v>
      </c>
      <c r="BY44" s="542">
        <f t="shared" ca="1" si="111"/>
        <v>0</v>
      </c>
      <c r="BZ44" s="542">
        <f t="shared" ca="1" si="111"/>
        <v>0</v>
      </c>
      <c r="CA44" s="542">
        <f t="shared" ca="1" si="111"/>
        <v>0</v>
      </c>
      <c r="CB44" s="542">
        <f t="shared" ca="1" si="112"/>
        <v>0</v>
      </c>
      <c r="CC44" s="542">
        <f t="shared" ca="1" si="112"/>
        <v>0</v>
      </c>
      <c r="CD44" s="542">
        <f t="shared" ca="1" si="112"/>
        <v>0</v>
      </c>
      <c r="CE44" s="542">
        <f t="shared" ca="1" si="112"/>
        <v>0</v>
      </c>
      <c r="CF44" s="542">
        <f t="shared" ca="1" si="112"/>
        <v>0</v>
      </c>
      <c r="CG44" s="542">
        <f t="shared" ca="1" si="112"/>
        <v>0</v>
      </c>
      <c r="CH44" s="542">
        <f t="shared" ca="1" si="112"/>
        <v>0</v>
      </c>
      <c r="CI44" s="542">
        <f t="shared" ca="1" si="112"/>
        <v>0</v>
      </c>
      <c r="CJ44" s="542">
        <f t="shared" ca="1" si="112"/>
        <v>0</v>
      </c>
      <c r="CK44" s="542">
        <f t="shared" ca="1" si="112"/>
        <v>0</v>
      </c>
      <c r="CL44" s="542">
        <f t="shared" ca="1" si="113"/>
        <v>0</v>
      </c>
      <c r="CM44" s="542">
        <f t="shared" ca="1" si="113"/>
        <v>0</v>
      </c>
      <c r="CN44" s="542">
        <f t="shared" ca="1" si="113"/>
        <v>0</v>
      </c>
      <c r="CO44" s="542">
        <f t="shared" ca="1" si="113"/>
        <v>0</v>
      </c>
      <c r="CP44" s="542">
        <f t="shared" ca="1" si="113"/>
        <v>0</v>
      </c>
      <c r="CQ44" s="542">
        <f t="shared" ca="1" si="113"/>
        <v>0</v>
      </c>
      <c r="CR44" s="542">
        <f t="shared" ca="1" si="113"/>
        <v>0</v>
      </c>
      <c r="CS44" s="542">
        <f t="shared" ca="1" si="113"/>
        <v>0</v>
      </c>
      <c r="CT44" s="542">
        <f t="shared" ca="1" si="113"/>
        <v>0</v>
      </c>
      <c r="CU44" s="542">
        <f t="shared" ca="1" si="113"/>
        <v>0</v>
      </c>
      <c r="CW44" s="151">
        <f ca="1">SUM(BH44:CU44)</f>
        <v>0</v>
      </c>
    </row>
    <row r="45" spans="1:101" s="543" customFormat="1" ht="12.75" customHeight="1" outlineLevel="1" x14ac:dyDescent="0.2">
      <c r="C45" s="86" t="s">
        <v>2364</v>
      </c>
      <c r="D45" s="61" t="str">
        <f>INDEX(Modules[Module], MATCH($C45, Modules[Code], 0))</f>
        <v>Grid Connected Solar PV</v>
      </c>
      <c r="E45" s="61"/>
      <c r="F45" s="84"/>
      <c r="G45" s="297">
        <f t="shared" ca="1" si="105"/>
        <v>0</v>
      </c>
      <c r="H45" s="297">
        <f t="shared" ca="1" si="105"/>
        <v>0</v>
      </c>
      <c r="I45" s="297">
        <f t="shared" ca="1" si="105"/>
        <v>0</v>
      </c>
      <c r="J45" s="297">
        <f t="shared" ca="1" si="105"/>
        <v>0</v>
      </c>
      <c r="K45" s="297">
        <f t="shared" ca="1" si="105"/>
        <v>0</v>
      </c>
      <c r="L45" s="297">
        <f t="shared" ca="1" si="105"/>
        <v>0</v>
      </c>
      <c r="M45" s="297">
        <f t="shared" ca="1" si="105"/>
        <v>0</v>
      </c>
      <c r="N45" s="297">
        <f t="shared" ca="1" si="105"/>
        <v>0</v>
      </c>
      <c r="O45" s="297">
        <f t="shared" ca="1" si="105"/>
        <v>0</v>
      </c>
      <c r="P45" s="297">
        <f t="shared" ca="1" si="70"/>
        <v>0</v>
      </c>
      <c r="Q45" s="84"/>
      <c r="R45" s="304">
        <f t="shared" ca="1" si="106"/>
        <v>0</v>
      </c>
      <c r="S45" s="304">
        <f t="shared" ca="1" si="106"/>
        <v>129.39404940000003</v>
      </c>
      <c r="T45" s="304">
        <f t="shared" ca="1" si="106"/>
        <v>0</v>
      </c>
      <c r="U45" s="304">
        <f t="shared" ca="1" si="106"/>
        <v>0</v>
      </c>
      <c r="V45" s="304">
        <f t="shared" ca="1" si="106"/>
        <v>0</v>
      </c>
      <c r="W45" s="304">
        <f t="shared" ca="1" si="106"/>
        <v>0</v>
      </c>
      <c r="X45" s="304">
        <f t="shared" ca="1" si="107"/>
        <v>0</v>
      </c>
      <c r="Y45" s="304">
        <f t="shared" ca="1" si="107"/>
        <v>0</v>
      </c>
      <c r="Z45" s="304">
        <f t="shared" ca="1" si="107"/>
        <v>0</v>
      </c>
      <c r="AA45" s="304">
        <f t="shared" ca="1" si="106"/>
        <v>0</v>
      </c>
      <c r="AB45" s="304">
        <f t="shared" ca="1" si="106"/>
        <v>0</v>
      </c>
      <c r="AC45" s="304">
        <f t="shared" ca="1" si="106"/>
        <v>0</v>
      </c>
      <c r="AD45" s="304">
        <f t="shared" ca="1" si="106"/>
        <v>0</v>
      </c>
      <c r="AE45" s="304">
        <f t="shared" ca="1" si="106"/>
        <v>0</v>
      </c>
      <c r="AF45" s="304">
        <f t="shared" ca="1" si="106"/>
        <v>0</v>
      </c>
      <c r="AG45" s="304">
        <f t="shared" ca="1" si="106"/>
        <v>0</v>
      </c>
      <c r="AH45" s="305">
        <f t="shared" ca="1" si="5"/>
        <v>129.39404940000003</v>
      </c>
      <c r="AI45" s="84"/>
      <c r="AJ45" s="312">
        <f t="shared" ca="1" si="108"/>
        <v>0</v>
      </c>
      <c r="AK45" s="312">
        <f t="shared" ca="1" si="108"/>
        <v>0</v>
      </c>
      <c r="AL45" s="312">
        <f t="shared" ca="1" si="108"/>
        <v>0</v>
      </c>
      <c r="AM45" s="312">
        <f t="shared" ca="1" si="108"/>
        <v>0</v>
      </c>
      <c r="AN45" s="312">
        <f t="shared" ca="1" si="108"/>
        <v>0</v>
      </c>
      <c r="AO45" s="312">
        <f t="shared" ca="1" si="108"/>
        <v>0</v>
      </c>
      <c r="AP45" s="312">
        <f t="shared" ca="1" si="108"/>
        <v>0</v>
      </c>
      <c r="AQ45" s="312">
        <f t="shared" ca="1" si="108"/>
        <v>0</v>
      </c>
      <c r="AR45" s="312">
        <f t="shared" ca="1" si="108"/>
        <v>0</v>
      </c>
      <c r="AS45" s="312">
        <f t="shared" ca="1" si="106"/>
        <v>0</v>
      </c>
      <c r="AT45" s="312">
        <f t="shared" ca="1" si="106"/>
        <v>-129.39404940000003</v>
      </c>
      <c r="AU45" s="312">
        <f t="shared" ca="1" si="106"/>
        <v>0</v>
      </c>
      <c r="AV45" s="312">
        <f t="shared" ca="1" si="106"/>
        <v>0</v>
      </c>
      <c r="AW45" s="312">
        <f t="shared" ca="1" si="106"/>
        <v>0</v>
      </c>
      <c r="AX45" s="312">
        <f t="shared" ca="1" si="106"/>
        <v>0</v>
      </c>
      <c r="AY45" s="266">
        <f t="shared" ca="1" si="74"/>
        <v>-129.39404940000003</v>
      </c>
      <c r="AZ45" s="84"/>
      <c r="BA45" s="308">
        <f t="shared" ca="1" si="109"/>
        <v>0</v>
      </c>
      <c r="BB45" s="308">
        <f t="shared" ca="1" si="109"/>
        <v>0</v>
      </c>
      <c r="BC45" s="309">
        <f t="shared" ca="1" si="10"/>
        <v>0</v>
      </c>
      <c r="BD45" s="84"/>
      <c r="BE45" s="135">
        <f t="shared" ca="1" si="103"/>
        <v>0</v>
      </c>
      <c r="BF45" s="135"/>
      <c r="BG45" s="1428"/>
      <c r="BH45" s="541">
        <f t="shared" ca="1" si="110"/>
        <v>0</v>
      </c>
      <c r="BI45" s="542">
        <f t="shared" ca="1" si="110"/>
        <v>0</v>
      </c>
      <c r="BJ45" s="542">
        <f t="shared" ca="1" si="110"/>
        <v>0</v>
      </c>
      <c r="BK45" s="542">
        <f t="shared" ca="1" si="110"/>
        <v>0</v>
      </c>
      <c r="BL45" s="542">
        <f t="shared" ca="1" si="110"/>
        <v>0</v>
      </c>
      <c r="BM45" s="542">
        <f t="shared" ca="1" si="110"/>
        <v>0</v>
      </c>
      <c r="BN45" s="542">
        <f t="shared" ca="1" si="110"/>
        <v>0</v>
      </c>
      <c r="BO45" s="542">
        <f t="shared" ca="1" si="110"/>
        <v>0</v>
      </c>
      <c r="BP45" s="542">
        <f t="shared" ca="1" si="110"/>
        <v>0</v>
      </c>
      <c r="BQ45" s="542">
        <f t="shared" ca="1" si="110"/>
        <v>0</v>
      </c>
      <c r="BR45" s="542">
        <f t="shared" ca="1" si="111"/>
        <v>0</v>
      </c>
      <c r="BS45" s="542">
        <f t="shared" ca="1" si="111"/>
        <v>0</v>
      </c>
      <c r="BT45" s="542">
        <f t="shared" ca="1" si="111"/>
        <v>0</v>
      </c>
      <c r="BU45" s="542">
        <f t="shared" ca="1" si="111"/>
        <v>0</v>
      </c>
      <c r="BV45" s="542">
        <f t="shared" ca="1" si="111"/>
        <v>0</v>
      </c>
      <c r="BW45" s="542">
        <f t="shared" ca="1" si="111"/>
        <v>0</v>
      </c>
      <c r="BX45" s="542">
        <f t="shared" ca="1" si="111"/>
        <v>0</v>
      </c>
      <c r="BY45" s="542">
        <f t="shared" ca="1" si="111"/>
        <v>0</v>
      </c>
      <c r="BZ45" s="542">
        <f t="shared" ca="1" si="111"/>
        <v>0</v>
      </c>
      <c r="CA45" s="542">
        <f t="shared" ca="1" si="111"/>
        <v>0</v>
      </c>
      <c r="CB45" s="542">
        <f t="shared" ca="1" si="112"/>
        <v>0</v>
      </c>
      <c r="CC45" s="542">
        <f t="shared" ca="1" si="112"/>
        <v>0</v>
      </c>
      <c r="CD45" s="542">
        <f t="shared" ca="1" si="112"/>
        <v>0</v>
      </c>
      <c r="CE45" s="542">
        <f t="shared" ca="1" si="112"/>
        <v>0</v>
      </c>
      <c r="CF45" s="542">
        <f t="shared" ca="1" si="112"/>
        <v>0</v>
      </c>
      <c r="CG45" s="542">
        <f t="shared" ca="1" si="112"/>
        <v>0</v>
      </c>
      <c r="CH45" s="542">
        <f t="shared" ca="1" si="112"/>
        <v>0</v>
      </c>
      <c r="CI45" s="542">
        <f t="shared" ca="1" si="112"/>
        <v>0</v>
      </c>
      <c r="CJ45" s="542">
        <f t="shared" ca="1" si="112"/>
        <v>0</v>
      </c>
      <c r="CK45" s="542">
        <f t="shared" ca="1" si="112"/>
        <v>0</v>
      </c>
      <c r="CL45" s="542">
        <f t="shared" ca="1" si="113"/>
        <v>0</v>
      </c>
      <c r="CM45" s="542">
        <f t="shared" ca="1" si="113"/>
        <v>0</v>
      </c>
      <c r="CN45" s="542">
        <f t="shared" ca="1" si="113"/>
        <v>0</v>
      </c>
      <c r="CO45" s="542">
        <f t="shared" ca="1" si="113"/>
        <v>0</v>
      </c>
      <c r="CP45" s="542">
        <f t="shared" ca="1" si="113"/>
        <v>0</v>
      </c>
      <c r="CQ45" s="542">
        <f t="shared" ca="1" si="113"/>
        <v>0</v>
      </c>
      <c r="CR45" s="542">
        <f t="shared" ca="1" si="113"/>
        <v>0</v>
      </c>
      <c r="CS45" s="542">
        <f t="shared" ca="1" si="113"/>
        <v>0</v>
      </c>
      <c r="CT45" s="542">
        <f t="shared" ca="1" si="113"/>
        <v>0</v>
      </c>
      <c r="CU45" s="542">
        <f t="shared" ca="1" si="113"/>
        <v>0</v>
      </c>
      <c r="CW45" s="151">
        <f t="shared" ref="CW45:CW57" ca="1" si="114">SUM(BH45:CU45)</f>
        <v>0</v>
      </c>
    </row>
    <row r="46" spans="1:101" s="84" customFormat="1" ht="12.75" customHeight="1" outlineLevel="1" x14ac:dyDescent="0.2">
      <c r="A46" s="543"/>
      <c r="B46" s="543"/>
      <c r="C46" s="86" t="s">
        <v>2376</v>
      </c>
      <c r="D46" s="292" t="str">
        <f>INDEX(Modules[Module], MATCH($C46, Modules[Code], 0))</f>
        <v>Concentrated Solar Power</v>
      </c>
      <c r="E46" s="292"/>
      <c r="G46" s="301">
        <f t="shared" ca="1" si="105"/>
        <v>0</v>
      </c>
      <c r="H46" s="301">
        <f t="shared" ca="1" si="105"/>
        <v>0</v>
      </c>
      <c r="I46" s="301">
        <f t="shared" ca="1" si="105"/>
        <v>0</v>
      </c>
      <c r="J46" s="301">
        <f t="shared" ca="1" si="105"/>
        <v>0</v>
      </c>
      <c r="K46" s="301">
        <f t="shared" ca="1" si="105"/>
        <v>0</v>
      </c>
      <c r="L46" s="301">
        <f t="shared" ca="1" si="105"/>
        <v>0</v>
      </c>
      <c r="M46" s="301">
        <f t="shared" ca="1" si="105"/>
        <v>0</v>
      </c>
      <c r="N46" s="301">
        <f t="shared" ca="1" si="105"/>
        <v>0</v>
      </c>
      <c r="O46" s="301">
        <f t="shared" ca="1" si="105"/>
        <v>0</v>
      </c>
      <c r="P46" s="301">
        <f t="shared" ca="1" si="70"/>
        <v>0</v>
      </c>
      <c r="R46" s="307">
        <f t="shared" ca="1" si="106"/>
        <v>0</v>
      </c>
      <c r="S46" s="307">
        <f t="shared" ca="1" si="106"/>
        <v>87.655616999999992</v>
      </c>
      <c r="T46" s="307">
        <f t="shared" ca="1" si="106"/>
        <v>0</v>
      </c>
      <c r="U46" s="307">
        <f t="shared" ca="1" si="106"/>
        <v>0</v>
      </c>
      <c r="V46" s="307">
        <f t="shared" ca="1" si="106"/>
        <v>0</v>
      </c>
      <c r="W46" s="307">
        <f t="shared" ca="1" si="106"/>
        <v>0</v>
      </c>
      <c r="X46" s="307">
        <f t="shared" ca="1" si="107"/>
        <v>0</v>
      </c>
      <c r="Y46" s="307">
        <f t="shared" ca="1" si="107"/>
        <v>0</v>
      </c>
      <c r="Z46" s="307">
        <f t="shared" ca="1" si="107"/>
        <v>0</v>
      </c>
      <c r="AA46" s="307">
        <f t="shared" ca="1" si="106"/>
        <v>0</v>
      </c>
      <c r="AB46" s="307">
        <f t="shared" ca="1" si="106"/>
        <v>0</v>
      </c>
      <c r="AC46" s="307">
        <f t="shared" ca="1" si="106"/>
        <v>0</v>
      </c>
      <c r="AD46" s="307">
        <f t="shared" ca="1" si="106"/>
        <v>0</v>
      </c>
      <c r="AE46" s="307">
        <f t="shared" ca="1" si="106"/>
        <v>0</v>
      </c>
      <c r="AF46" s="307">
        <f t="shared" ca="1" si="106"/>
        <v>0</v>
      </c>
      <c r="AG46" s="307">
        <f t="shared" ca="1" si="106"/>
        <v>0</v>
      </c>
      <c r="AH46" s="306">
        <f t="shared" ca="1" si="5"/>
        <v>87.655616999999992</v>
      </c>
      <c r="AJ46" s="315">
        <f t="shared" ca="1" si="108"/>
        <v>0</v>
      </c>
      <c r="AK46" s="315">
        <f t="shared" ca="1" si="108"/>
        <v>0</v>
      </c>
      <c r="AL46" s="315">
        <f t="shared" ca="1" si="108"/>
        <v>0</v>
      </c>
      <c r="AM46" s="315">
        <f t="shared" ca="1" si="108"/>
        <v>0</v>
      </c>
      <c r="AN46" s="315">
        <f t="shared" ca="1" si="108"/>
        <v>0</v>
      </c>
      <c r="AO46" s="315">
        <f t="shared" ca="1" si="108"/>
        <v>0</v>
      </c>
      <c r="AP46" s="315">
        <f t="shared" ca="1" si="108"/>
        <v>0</v>
      </c>
      <c r="AQ46" s="315">
        <f t="shared" ca="1" si="108"/>
        <v>0</v>
      </c>
      <c r="AR46" s="315">
        <f t="shared" ca="1" si="108"/>
        <v>0</v>
      </c>
      <c r="AS46" s="315">
        <f t="shared" ca="1" si="106"/>
        <v>0</v>
      </c>
      <c r="AT46" s="315">
        <f t="shared" ca="1" si="106"/>
        <v>-87.655616999999992</v>
      </c>
      <c r="AU46" s="315">
        <f t="shared" ca="1" si="106"/>
        <v>0</v>
      </c>
      <c r="AV46" s="315">
        <f t="shared" ca="1" si="106"/>
        <v>0</v>
      </c>
      <c r="AW46" s="315">
        <f t="shared" ca="1" si="106"/>
        <v>0</v>
      </c>
      <c r="AX46" s="315">
        <f t="shared" ca="1" si="106"/>
        <v>0</v>
      </c>
      <c r="AY46" s="293">
        <f t="shared" ca="1" si="74"/>
        <v>-87.655616999999992</v>
      </c>
      <c r="BA46" s="311">
        <f t="shared" ca="1" si="109"/>
        <v>0</v>
      </c>
      <c r="BB46" s="311">
        <f t="shared" ca="1" si="109"/>
        <v>0</v>
      </c>
      <c r="BC46" s="310">
        <f t="shared" ca="1" si="10"/>
        <v>0</v>
      </c>
      <c r="BE46" s="135">
        <f t="shared" ca="1" si="103"/>
        <v>0</v>
      </c>
      <c r="BF46" s="135"/>
      <c r="BG46" s="1428"/>
      <c r="BH46" s="544">
        <f t="shared" ca="1" si="110"/>
        <v>0</v>
      </c>
      <c r="BI46" s="545">
        <f t="shared" ca="1" si="110"/>
        <v>0</v>
      </c>
      <c r="BJ46" s="545">
        <f t="shared" ca="1" si="110"/>
        <v>0</v>
      </c>
      <c r="BK46" s="545">
        <f t="shared" ca="1" si="110"/>
        <v>0</v>
      </c>
      <c r="BL46" s="545">
        <f t="shared" ca="1" si="110"/>
        <v>0</v>
      </c>
      <c r="BM46" s="545">
        <f t="shared" ca="1" si="110"/>
        <v>0</v>
      </c>
      <c r="BN46" s="545">
        <f t="shared" ca="1" si="110"/>
        <v>0</v>
      </c>
      <c r="BO46" s="545">
        <f t="shared" ca="1" si="110"/>
        <v>0</v>
      </c>
      <c r="BP46" s="545">
        <f t="shared" ca="1" si="110"/>
        <v>0</v>
      </c>
      <c r="BQ46" s="545">
        <f t="shared" ca="1" si="110"/>
        <v>0</v>
      </c>
      <c r="BR46" s="545">
        <f t="shared" ca="1" si="111"/>
        <v>0</v>
      </c>
      <c r="BS46" s="545">
        <f t="shared" ca="1" si="111"/>
        <v>0</v>
      </c>
      <c r="BT46" s="545">
        <f t="shared" ca="1" si="111"/>
        <v>0</v>
      </c>
      <c r="BU46" s="545">
        <f t="shared" ca="1" si="111"/>
        <v>0</v>
      </c>
      <c r="BV46" s="545">
        <f t="shared" ca="1" si="111"/>
        <v>0</v>
      </c>
      <c r="BW46" s="545">
        <f t="shared" ca="1" si="111"/>
        <v>0</v>
      </c>
      <c r="BX46" s="545">
        <f t="shared" ca="1" si="111"/>
        <v>0</v>
      </c>
      <c r="BY46" s="545">
        <f t="shared" ca="1" si="111"/>
        <v>0</v>
      </c>
      <c r="BZ46" s="545">
        <f t="shared" ca="1" si="111"/>
        <v>0</v>
      </c>
      <c r="CA46" s="545">
        <f t="shared" ca="1" si="111"/>
        <v>0</v>
      </c>
      <c r="CB46" s="545">
        <f t="shared" ca="1" si="112"/>
        <v>0</v>
      </c>
      <c r="CC46" s="545">
        <f t="shared" ca="1" si="112"/>
        <v>0</v>
      </c>
      <c r="CD46" s="545">
        <f t="shared" ca="1" si="112"/>
        <v>0</v>
      </c>
      <c r="CE46" s="545">
        <f t="shared" ca="1" si="112"/>
        <v>0</v>
      </c>
      <c r="CF46" s="545">
        <f t="shared" ca="1" si="112"/>
        <v>0</v>
      </c>
      <c r="CG46" s="545">
        <f t="shared" ca="1" si="112"/>
        <v>0</v>
      </c>
      <c r="CH46" s="545">
        <f t="shared" ca="1" si="112"/>
        <v>0</v>
      </c>
      <c r="CI46" s="545">
        <f t="shared" ca="1" si="112"/>
        <v>0</v>
      </c>
      <c r="CJ46" s="545">
        <f t="shared" ca="1" si="112"/>
        <v>0</v>
      </c>
      <c r="CK46" s="545">
        <f t="shared" ca="1" si="112"/>
        <v>0</v>
      </c>
      <c r="CL46" s="545">
        <f t="shared" ca="1" si="113"/>
        <v>0</v>
      </c>
      <c r="CM46" s="545">
        <f t="shared" ca="1" si="113"/>
        <v>0</v>
      </c>
      <c r="CN46" s="545">
        <f t="shared" ca="1" si="113"/>
        <v>0</v>
      </c>
      <c r="CO46" s="545">
        <f t="shared" ca="1" si="113"/>
        <v>0</v>
      </c>
      <c r="CP46" s="545">
        <f t="shared" ca="1" si="113"/>
        <v>0</v>
      </c>
      <c r="CQ46" s="545">
        <f t="shared" ca="1" si="113"/>
        <v>0</v>
      </c>
      <c r="CR46" s="545">
        <f t="shared" ca="1" si="113"/>
        <v>0</v>
      </c>
      <c r="CS46" s="545">
        <f t="shared" ca="1" si="113"/>
        <v>0</v>
      </c>
      <c r="CT46" s="545">
        <f t="shared" ca="1" si="113"/>
        <v>0</v>
      </c>
      <c r="CU46" s="545">
        <f t="shared" ca="1" si="113"/>
        <v>0</v>
      </c>
      <c r="CW46" s="151">
        <f t="shared" ca="1" si="114"/>
        <v>0</v>
      </c>
    </row>
    <row r="47" spans="1:101" s="84" customFormat="1" ht="15.75" x14ac:dyDescent="0.2">
      <c r="A47" s="18"/>
      <c r="B47" s="89"/>
      <c r="C47" s="85" t="s">
        <v>62</v>
      </c>
      <c r="D47" s="57" t="str">
        <f>INDEX(Workstreams[Workstream], MATCH($C47, Workstreams[Code], 0))</f>
        <v>National renewable power generation</v>
      </c>
      <c r="E47" s="53"/>
      <c r="G47" s="245">
        <f t="shared" ref="G47:O47" ca="1" si="115">SUM(G42:G46)</f>
        <v>0</v>
      </c>
      <c r="H47" s="245">
        <f t="shared" ca="1" si="115"/>
        <v>0</v>
      </c>
      <c r="I47" s="245">
        <f ca="1">SUM(I42:I46)</f>
        <v>0</v>
      </c>
      <c r="J47" s="245">
        <f t="shared" ca="1" si="115"/>
        <v>0</v>
      </c>
      <c r="K47" s="245">
        <f t="shared" ca="1" si="115"/>
        <v>0</v>
      </c>
      <c r="L47" s="245">
        <f t="shared" ca="1" si="115"/>
        <v>0</v>
      </c>
      <c r="M47" s="245">
        <f t="shared" ca="1" si="115"/>
        <v>0</v>
      </c>
      <c r="N47" s="245">
        <f t="shared" ca="1" si="115"/>
        <v>0</v>
      </c>
      <c r="O47" s="245">
        <f t="shared" ca="1" si="115"/>
        <v>0</v>
      </c>
      <c r="P47" s="245">
        <f t="shared" ca="1" si="70"/>
        <v>0</v>
      </c>
      <c r="R47" s="257">
        <f t="shared" ref="R47:AF47" ca="1" si="116">SUM(R42:R46)</f>
        <v>0</v>
      </c>
      <c r="S47" s="257">
        <f t="shared" ca="1" si="116"/>
        <v>287.9418111428572</v>
      </c>
      <c r="T47" s="257">
        <f t="shared" ca="1" si="116"/>
        <v>0</v>
      </c>
      <c r="U47" s="257">
        <f t="shared" ca="1" si="116"/>
        <v>0</v>
      </c>
      <c r="V47" s="257">
        <f t="shared" ca="1" si="116"/>
        <v>0</v>
      </c>
      <c r="W47" s="257">
        <f ca="1">SUM(W42:W46)</f>
        <v>0</v>
      </c>
      <c r="X47" s="257">
        <f t="shared" ca="1" si="116"/>
        <v>0</v>
      </c>
      <c r="Y47" s="257">
        <f t="shared" ca="1" si="116"/>
        <v>0</v>
      </c>
      <c r="Z47" s="257">
        <f t="shared" ca="1" si="116"/>
        <v>0</v>
      </c>
      <c r="AA47" s="257">
        <f t="shared" ca="1" si="116"/>
        <v>0</v>
      </c>
      <c r="AB47" s="257">
        <f t="shared" ca="1" si="116"/>
        <v>0</v>
      </c>
      <c r="AC47" s="257">
        <f t="shared" ca="1" si="116"/>
        <v>0</v>
      </c>
      <c r="AD47" s="257">
        <f ca="1">SUM(AD42:AD46)</f>
        <v>0</v>
      </c>
      <c r="AE47" s="257">
        <f t="shared" ca="1" si="116"/>
        <v>0</v>
      </c>
      <c r="AF47" s="257">
        <f t="shared" ca="1" si="116"/>
        <v>0</v>
      </c>
      <c r="AG47" s="257">
        <f ca="1">SUM(AG42:AG46)</f>
        <v>0</v>
      </c>
      <c r="AH47" s="257">
        <f t="shared" ca="1" si="5"/>
        <v>287.9418111428572</v>
      </c>
      <c r="AJ47" s="263">
        <f t="shared" ref="AJ47:AX47" ca="1" si="117">SUM(AJ42:AJ46)</f>
        <v>0</v>
      </c>
      <c r="AK47" s="263">
        <f t="shared" ca="1" si="117"/>
        <v>0</v>
      </c>
      <c r="AL47" s="263">
        <f t="shared" ca="1" si="117"/>
        <v>0</v>
      </c>
      <c r="AM47" s="263">
        <f t="shared" ca="1" si="117"/>
        <v>0</v>
      </c>
      <c r="AN47" s="263">
        <f t="shared" ca="1" si="117"/>
        <v>0</v>
      </c>
      <c r="AO47" s="263">
        <f t="shared" ca="1" si="117"/>
        <v>0</v>
      </c>
      <c r="AP47" s="263">
        <f t="shared" ca="1" si="117"/>
        <v>0</v>
      </c>
      <c r="AQ47" s="263">
        <f t="shared" ca="1" si="117"/>
        <v>0</v>
      </c>
      <c r="AR47" s="263">
        <f t="shared" ca="1" si="117"/>
        <v>0</v>
      </c>
      <c r="AS47" s="263">
        <f t="shared" ca="1" si="117"/>
        <v>0</v>
      </c>
      <c r="AT47" s="263">
        <f t="shared" ca="1" si="117"/>
        <v>-217.04966640000004</v>
      </c>
      <c r="AU47" s="263">
        <f t="shared" ca="1" si="117"/>
        <v>-14.726880000000001</v>
      </c>
      <c r="AV47" s="263">
        <f t="shared" ca="1" si="117"/>
        <v>-56.165264742857154</v>
      </c>
      <c r="AW47" s="263">
        <f t="shared" ca="1" si="117"/>
        <v>0</v>
      </c>
      <c r="AX47" s="263">
        <f t="shared" ca="1" si="117"/>
        <v>0</v>
      </c>
      <c r="AY47" s="263">
        <f t="shared" ca="1" si="74"/>
        <v>-287.9418111428572</v>
      </c>
      <c r="BA47" s="277">
        <f ca="1">SUM(BA42:BA46)</f>
        <v>0</v>
      </c>
      <c r="BB47" s="277">
        <f ca="1">SUM(BB42:BB46)</f>
        <v>0</v>
      </c>
      <c r="BC47" s="277">
        <f t="shared" ca="1" si="10"/>
        <v>0</v>
      </c>
      <c r="BE47" s="55">
        <f t="shared" ca="1" si="103"/>
        <v>0</v>
      </c>
      <c r="BF47" s="55"/>
      <c r="BG47" s="1428"/>
      <c r="BH47" s="542">
        <f t="shared" ref="BH47:CU47" ca="1" si="118">SUM(BH42:BH46)</f>
        <v>0</v>
      </c>
      <c r="BI47" s="542">
        <f t="shared" ca="1" si="118"/>
        <v>0</v>
      </c>
      <c r="BJ47" s="542">
        <f t="shared" ca="1" si="118"/>
        <v>0</v>
      </c>
      <c r="BK47" s="542">
        <f t="shared" ca="1" si="118"/>
        <v>0</v>
      </c>
      <c r="BL47" s="542">
        <f t="shared" ca="1" si="118"/>
        <v>0</v>
      </c>
      <c r="BM47" s="542">
        <f t="shared" ca="1" si="118"/>
        <v>0</v>
      </c>
      <c r="BN47" s="542">
        <f t="shared" ca="1" si="118"/>
        <v>0</v>
      </c>
      <c r="BO47" s="542">
        <f t="shared" ca="1" si="118"/>
        <v>0</v>
      </c>
      <c r="BP47" s="542">
        <f t="shared" ca="1" si="118"/>
        <v>0</v>
      </c>
      <c r="BQ47" s="542">
        <f t="shared" ca="1" si="118"/>
        <v>0</v>
      </c>
      <c r="BR47" s="542">
        <f t="shared" ca="1" si="118"/>
        <v>0</v>
      </c>
      <c r="BS47" s="542">
        <f t="shared" ca="1" si="118"/>
        <v>0</v>
      </c>
      <c r="BT47" s="542">
        <f t="shared" ca="1" si="118"/>
        <v>0</v>
      </c>
      <c r="BU47" s="542">
        <f t="shared" ca="1" si="118"/>
        <v>0</v>
      </c>
      <c r="BV47" s="542">
        <f t="shared" ca="1" si="118"/>
        <v>0</v>
      </c>
      <c r="BW47" s="542">
        <f t="shared" ca="1" si="118"/>
        <v>0</v>
      </c>
      <c r="BX47" s="542">
        <f t="shared" ca="1" si="118"/>
        <v>0</v>
      </c>
      <c r="BY47" s="542">
        <f t="shared" ca="1" si="118"/>
        <v>0</v>
      </c>
      <c r="BZ47" s="542">
        <f t="shared" ca="1" si="118"/>
        <v>0</v>
      </c>
      <c r="CA47" s="542">
        <f t="shared" ca="1" si="118"/>
        <v>0</v>
      </c>
      <c r="CB47" s="542">
        <f t="shared" ca="1" si="118"/>
        <v>0</v>
      </c>
      <c r="CC47" s="542">
        <f t="shared" ca="1" si="118"/>
        <v>0</v>
      </c>
      <c r="CD47" s="542">
        <f t="shared" ca="1" si="118"/>
        <v>0</v>
      </c>
      <c r="CE47" s="542">
        <f t="shared" ca="1" si="118"/>
        <v>0</v>
      </c>
      <c r="CF47" s="542">
        <f t="shared" ca="1" si="118"/>
        <v>0</v>
      </c>
      <c r="CG47" s="542">
        <f t="shared" ca="1" si="118"/>
        <v>0</v>
      </c>
      <c r="CH47" s="542">
        <f t="shared" ca="1" si="118"/>
        <v>0</v>
      </c>
      <c r="CI47" s="542">
        <f t="shared" ca="1" si="118"/>
        <v>0</v>
      </c>
      <c r="CJ47" s="542">
        <f t="shared" ca="1" si="118"/>
        <v>0</v>
      </c>
      <c r="CK47" s="542">
        <f t="shared" ca="1" si="118"/>
        <v>0</v>
      </c>
      <c r="CL47" s="542">
        <f t="shared" ca="1" si="118"/>
        <v>0</v>
      </c>
      <c r="CM47" s="542">
        <f t="shared" ca="1" si="118"/>
        <v>0</v>
      </c>
      <c r="CN47" s="542">
        <f t="shared" ca="1" si="118"/>
        <v>0</v>
      </c>
      <c r="CO47" s="542">
        <f t="shared" ca="1" si="118"/>
        <v>0</v>
      </c>
      <c r="CP47" s="542">
        <f t="shared" ca="1" si="118"/>
        <v>0</v>
      </c>
      <c r="CQ47" s="542">
        <f t="shared" ca="1" si="118"/>
        <v>0</v>
      </c>
      <c r="CR47" s="542">
        <f t="shared" ca="1" si="118"/>
        <v>0</v>
      </c>
      <c r="CS47" s="542">
        <f t="shared" ca="1" si="118"/>
        <v>0</v>
      </c>
      <c r="CT47" s="542">
        <f t="shared" ca="1" si="118"/>
        <v>0</v>
      </c>
      <c r="CU47" s="542">
        <f t="shared" ca="1" si="118"/>
        <v>0</v>
      </c>
      <c r="CW47" s="151">
        <f t="shared" ca="1" si="114"/>
        <v>0</v>
      </c>
    </row>
    <row r="48" spans="1:101" s="84" customFormat="1" ht="12.75" customHeight="1" outlineLevel="1" x14ac:dyDescent="0.2">
      <c r="A48" s="18"/>
      <c r="B48" s="18"/>
      <c r="C48" s="87"/>
      <c r="D48" s="53"/>
      <c r="E48" s="53"/>
      <c r="G48" s="245"/>
      <c r="H48" s="245"/>
      <c r="I48" s="245"/>
      <c r="J48" s="245"/>
      <c r="K48" s="245"/>
      <c r="L48" s="247"/>
      <c r="M48" s="245"/>
      <c r="N48" s="245"/>
      <c r="O48" s="245"/>
      <c r="P48" s="245">
        <f t="shared" si="70"/>
        <v>0</v>
      </c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>
        <f t="shared" si="5"/>
        <v>0</v>
      </c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>
        <f t="shared" si="74"/>
        <v>0</v>
      </c>
      <c r="BA48" s="277"/>
      <c r="BB48" s="277"/>
      <c r="BC48" s="277">
        <f t="shared" si="10"/>
        <v>0</v>
      </c>
      <c r="BE48" s="55"/>
      <c r="BF48" s="55"/>
      <c r="BG48" s="18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W48" s="151">
        <f t="shared" si="114"/>
        <v>0</v>
      </c>
    </row>
    <row r="49" spans="1:101" s="543" customFormat="1" ht="12.75" customHeight="1" outlineLevel="1" x14ac:dyDescent="0.2">
      <c r="C49" s="86" t="s">
        <v>409</v>
      </c>
      <c r="D49" s="61" t="str">
        <f>INDEX(Modules[Module], MATCH($C49, Modules[Code], 0))</f>
        <v>Stand-Alone Solar PV</v>
      </c>
      <c r="E49" s="61"/>
      <c r="G49" s="595">
        <f t="shared" ref="G49:O49" ca="1" si="119">IFERROR(INDEX(INDIRECT($C49&amp;".Outputs["&amp;this.Year&amp;"]"), MATCH(G$5, INDIRECT($C49&amp;".Outputs[Vector]"), 0)), 0)</f>
        <v>0</v>
      </c>
      <c r="H49" s="595">
        <f t="shared" ca="1" si="119"/>
        <v>0</v>
      </c>
      <c r="I49" s="595">
        <f t="shared" ca="1" si="119"/>
        <v>0</v>
      </c>
      <c r="J49" s="595">
        <f t="shared" ca="1" si="119"/>
        <v>0</v>
      </c>
      <c r="K49" s="595">
        <f t="shared" ca="1" si="119"/>
        <v>0</v>
      </c>
      <c r="L49" s="596">
        <f t="shared" ca="1" si="119"/>
        <v>0</v>
      </c>
      <c r="M49" s="595">
        <f t="shared" ca="1" si="119"/>
        <v>0</v>
      </c>
      <c r="N49" s="595">
        <f t="shared" ca="1" si="119"/>
        <v>0</v>
      </c>
      <c r="O49" s="595">
        <f t="shared" ca="1" si="119"/>
        <v>0</v>
      </c>
      <c r="P49" s="595">
        <f t="shared" ca="1" si="70"/>
        <v>0</v>
      </c>
      <c r="R49" s="597">
        <f t="shared" ref="R49:AX49" ca="1" si="120">IFERROR(INDEX(INDIRECT($C49&amp;".Outputs["&amp;this.Year&amp;"]"), MATCH(R$5, INDIRECT($C49&amp;".Outputs[Vector]"), 0)), 0)</f>
        <v>0</v>
      </c>
      <c r="S49" s="597">
        <f t="shared" ca="1" si="120"/>
        <v>68.111819999999994</v>
      </c>
      <c r="T49" s="597">
        <f t="shared" ca="1" si="120"/>
        <v>0</v>
      </c>
      <c r="U49" s="597">
        <f t="shared" ca="1" si="120"/>
        <v>0</v>
      </c>
      <c r="V49" s="597">
        <f t="shared" ca="1" si="120"/>
        <v>0</v>
      </c>
      <c r="W49" s="597">
        <f t="shared" ca="1" si="120"/>
        <v>0</v>
      </c>
      <c r="X49" s="597">
        <f ca="1">IFERROR(INDEX(INDIRECT($C49&amp;".Outputs["&amp;this.Year&amp;"]"), MATCH(X$5, INDIRECT($C49&amp;".Outputs[Vector]"), 0)), 0)</f>
        <v>0</v>
      </c>
      <c r="Y49" s="597">
        <f ca="1">IFERROR(INDEX(INDIRECT($C49&amp;".Outputs["&amp;this.Year&amp;"]"), MATCH(Y$5, INDIRECT($C49&amp;".Outputs[Vector]"), 0)), 0)</f>
        <v>0</v>
      </c>
      <c r="Z49" s="597">
        <f ca="1">IFERROR(INDEX(INDIRECT($C49&amp;".Outputs["&amp;this.Year&amp;"]"), MATCH(Z$5, INDIRECT($C49&amp;".Outputs[Vector]"), 0)), 0)</f>
        <v>0</v>
      </c>
      <c r="AA49" s="597">
        <f t="shared" ca="1" si="120"/>
        <v>0</v>
      </c>
      <c r="AB49" s="597">
        <f t="shared" ca="1" si="120"/>
        <v>0</v>
      </c>
      <c r="AC49" s="597">
        <f t="shared" ca="1" si="120"/>
        <v>0</v>
      </c>
      <c r="AD49" s="597">
        <f t="shared" ca="1" si="120"/>
        <v>0</v>
      </c>
      <c r="AE49" s="597">
        <f t="shared" ca="1" si="120"/>
        <v>0</v>
      </c>
      <c r="AF49" s="597">
        <f t="shared" ca="1" si="120"/>
        <v>0</v>
      </c>
      <c r="AG49" s="597">
        <f t="shared" ca="1" si="120"/>
        <v>0</v>
      </c>
      <c r="AH49" s="259">
        <f t="shared" ca="1" si="5"/>
        <v>68.111819999999994</v>
      </c>
      <c r="AJ49" s="598">
        <f t="shared" ref="AJ49:AR49" ca="1" si="121">IFERROR(INDEX(INDIRECT($C49&amp;".Outputs["&amp;this.Year&amp;"]"), MATCH(AJ$5, INDIRECT($C49&amp;".Outputs[Vector]"), 0)), 0)</f>
        <v>0</v>
      </c>
      <c r="AK49" s="598">
        <f t="shared" ca="1" si="121"/>
        <v>0</v>
      </c>
      <c r="AL49" s="598">
        <f t="shared" ca="1" si="121"/>
        <v>0</v>
      </c>
      <c r="AM49" s="598">
        <f t="shared" ca="1" si="121"/>
        <v>0</v>
      </c>
      <c r="AN49" s="598">
        <f t="shared" ca="1" si="121"/>
        <v>0</v>
      </c>
      <c r="AO49" s="598">
        <f t="shared" ca="1" si="121"/>
        <v>0</v>
      </c>
      <c r="AP49" s="598">
        <f t="shared" ca="1" si="121"/>
        <v>0</v>
      </c>
      <c r="AQ49" s="598">
        <f t="shared" ca="1" si="121"/>
        <v>0</v>
      </c>
      <c r="AR49" s="598">
        <f t="shared" ca="1" si="121"/>
        <v>0</v>
      </c>
      <c r="AS49" s="598">
        <f t="shared" ca="1" si="120"/>
        <v>0</v>
      </c>
      <c r="AT49" s="598">
        <f t="shared" ca="1" si="120"/>
        <v>-68.111819999999994</v>
      </c>
      <c r="AU49" s="598">
        <f t="shared" ca="1" si="120"/>
        <v>0</v>
      </c>
      <c r="AV49" s="598">
        <f t="shared" ca="1" si="120"/>
        <v>0</v>
      </c>
      <c r="AW49" s="598">
        <f t="shared" ca="1" si="120"/>
        <v>0</v>
      </c>
      <c r="AX49" s="598">
        <f t="shared" ca="1" si="120"/>
        <v>0</v>
      </c>
      <c r="AY49" s="266">
        <f t="shared" ca="1" si="74"/>
        <v>-68.111819999999994</v>
      </c>
      <c r="BA49" s="599">
        <f ca="1">IFERROR(INDEX(INDIRECT($C49&amp;".Outputs["&amp;this.Year&amp;"]"), MATCH(BA$5, INDIRECT($C49&amp;".Outputs[Vector]"), 0)), 0)</f>
        <v>0</v>
      </c>
      <c r="BB49" s="599">
        <f ca="1">IFERROR(INDEX(INDIRECT($C49&amp;".Outputs["&amp;this.Year&amp;"]"), MATCH(BB$5, INDIRECT($C49&amp;".Outputs[Vector]"), 0)), 0)</f>
        <v>0</v>
      </c>
      <c r="BC49" s="279">
        <f t="shared" ca="1" si="10"/>
        <v>0</v>
      </c>
      <c r="BE49" s="135">
        <f ca="1">P49+AH49+AY49+BC49</f>
        <v>0</v>
      </c>
      <c r="BF49" s="135"/>
      <c r="BH49" s="593">
        <f t="shared" ref="BH49:CU49" ca="1" si="122">IFERROR(SUMIFS(INDIRECT($C49&amp;".Emissions["&amp;this.Year&amp;"]"), INDIRECT($C49&amp;".Emissions[GHG]"), BH$6, INDIRECT($C49&amp;".Emissions[IPCC Sector]"), BH$5),0)</f>
        <v>0</v>
      </c>
      <c r="BI49" s="593">
        <f t="shared" ca="1" si="122"/>
        <v>0</v>
      </c>
      <c r="BJ49" s="593">
        <f t="shared" ca="1" si="122"/>
        <v>0</v>
      </c>
      <c r="BK49" s="593">
        <f t="shared" ca="1" si="122"/>
        <v>0</v>
      </c>
      <c r="BL49" s="593">
        <f t="shared" ca="1" si="122"/>
        <v>0</v>
      </c>
      <c r="BM49" s="593">
        <f t="shared" ca="1" si="122"/>
        <v>0</v>
      </c>
      <c r="BN49" s="593">
        <f t="shared" ca="1" si="122"/>
        <v>0</v>
      </c>
      <c r="BO49" s="593">
        <f t="shared" ca="1" si="122"/>
        <v>0</v>
      </c>
      <c r="BP49" s="593">
        <f t="shared" ca="1" si="122"/>
        <v>0</v>
      </c>
      <c r="BQ49" s="593">
        <f t="shared" ca="1" si="122"/>
        <v>0</v>
      </c>
      <c r="BR49" s="593">
        <f t="shared" ca="1" si="122"/>
        <v>0</v>
      </c>
      <c r="BS49" s="593">
        <f t="shared" ca="1" si="122"/>
        <v>0</v>
      </c>
      <c r="BT49" s="593">
        <f t="shared" ca="1" si="122"/>
        <v>0</v>
      </c>
      <c r="BU49" s="593">
        <f t="shared" ca="1" si="122"/>
        <v>0</v>
      </c>
      <c r="BV49" s="593">
        <f t="shared" ca="1" si="122"/>
        <v>0</v>
      </c>
      <c r="BW49" s="593">
        <f t="shared" ca="1" si="122"/>
        <v>0</v>
      </c>
      <c r="BX49" s="593">
        <f t="shared" ca="1" si="122"/>
        <v>0</v>
      </c>
      <c r="BY49" s="593">
        <f t="shared" ca="1" si="122"/>
        <v>0</v>
      </c>
      <c r="BZ49" s="593">
        <f t="shared" ca="1" si="122"/>
        <v>0</v>
      </c>
      <c r="CA49" s="593">
        <f t="shared" ca="1" si="122"/>
        <v>0</v>
      </c>
      <c r="CB49" s="593">
        <f t="shared" ca="1" si="122"/>
        <v>0</v>
      </c>
      <c r="CC49" s="593">
        <f t="shared" ca="1" si="122"/>
        <v>0</v>
      </c>
      <c r="CD49" s="593">
        <f t="shared" ca="1" si="122"/>
        <v>0</v>
      </c>
      <c r="CE49" s="593">
        <f t="shared" ca="1" si="122"/>
        <v>0</v>
      </c>
      <c r="CF49" s="593">
        <f t="shared" ca="1" si="122"/>
        <v>0</v>
      </c>
      <c r="CG49" s="593">
        <f t="shared" ca="1" si="122"/>
        <v>0</v>
      </c>
      <c r="CH49" s="593">
        <f t="shared" ca="1" si="122"/>
        <v>0</v>
      </c>
      <c r="CI49" s="593">
        <f t="shared" ca="1" si="122"/>
        <v>0</v>
      </c>
      <c r="CJ49" s="593">
        <f t="shared" ca="1" si="122"/>
        <v>0</v>
      </c>
      <c r="CK49" s="593">
        <f t="shared" ca="1" si="122"/>
        <v>0</v>
      </c>
      <c r="CL49" s="593">
        <f t="shared" ca="1" si="122"/>
        <v>0</v>
      </c>
      <c r="CM49" s="593">
        <f t="shared" ca="1" si="122"/>
        <v>0</v>
      </c>
      <c r="CN49" s="593">
        <f t="shared" ca="1" si="122"/>
        <v>0</v>
      </c>
      <c r="CO49" s="593">
        <f t="shared" ca="1" si="122"/>
        <v>0</v>
      </c>
      <c r="CP49" s="593">
        <f t="shared" ca="1" si="122"/>
        <v>0</v>
      </c>
      <c r="CQ49" s="593">
        <f t="shared" ca="1" si="122"/>
        <v>0</v>
      </c>
      <c r="CR49" s="593">
        <f t="shared" ca="1" si="122"/>
        <v>0</v>
      </c>
      <c r="CS49" s="593">
        <f t="shared" ca="1" si="122"/>
        <v>0</v>
      </c>
      <c r="CT49" s="593">
        <f t="shared" ca="1" si="122"/>
        <v>0</v>
      </c>
      <c r="CU49" s="593">
        <f t="shared" ca="1" si="122"/>
        <v>0</v>
      </c>
      <c r="CW49" s="594">
        <f t="shared" ca="1" si="114"/>
        <v>0</v>
      </c>
    </row>
    <row r="50" spans="1:101" s="84" customFormat="1" ht="15.75" x14ac:dyDescent="0.2">
      <c r="A50" s="18"/>
      <c r="B50" s="89"/>
      <c r="C50" s="85" t="s">
        <v>63</v>
      </c>
      <c r="D50" s="57" t="str">
        <f>INDEX(Workstreams[Workstream], MATCH($C50, Workstreams[Code], 0))</f>
        <v>Distributed renewable power generation</v>
      </c>
      <c r="E50" s="53"/>
      <c r="G50" s="300">
        <f t="shared" ref="G50:O50" ca="1" si="123">SUM(G49:G49)</f>
        <v>0</v>
      </c>
      <c r="H50" s="300">
        <f t="shared" ca="1" si="123"/>
        <v>0</v>
      </c>
      <c r="I50" s="300">
        <f t="shared" ca="1" si="123"/>
        <v>0</v>
      </c>
      <c r="J50" s="300">
        <f t="shared" ca="1" si="123"/>
        <v>0</v>
      </c>
      <c r="K50" s="300">
        <f t="shared" ca="1" si="123"/>
        <v>0</v>
      </c>
      <c r="L50" s="300">
        <f t="shared" ca="1" si="123"/>
        <v>0</v>
      </c>
      <c r="M50" s="300">
        <f t="shared" ca="1" si="123"/>
        <v>0</v>
      </c>
      <c r="N50" s="300">
        <f t="shared" ca="1" si="123"/>
        <v>0</v>
      </c>
      <c r="O50" s="300">
        <f t="shared" ca="1" si="123"/>
        <v>0</v>
      </c>
      <c r="P50" s="300">
        <f t="shared" ca="1" si="70"/>
        <v>0</v>
      </c>
      <c r="R50" s="257">
        <f t="shared" ref="R50:AG50" ca="1" si="124">SUM(R49:R49)</f>
        <v>0</v>
      </c>
      <c r="S50" s="257">
        <f t="shared" ca="1" si="124"/>
        <v>68.111819999999994</v>
      </c>
      <c r="T50" s="257">
        <f t="shared" ca="1" si="124"/>
        <v>0</v>
      </c>
      <c r="U50" s="257">
        <f t="shared" ca="1" si="124"/>
        <v>0</v>
      </c>
      <c r="V50" s="257">
        <f t="shared" ca="1" si="124"/>
        <v>0</v>
      </c>
      <c r="W50" s="257">
        <f t="shared" ca="1" si="124"/>
        <v>0</v>
      </c>
      <c r="X50" s="257">
        <f t="shared" ca="1" si="124"/>
        <v>0</v>
      </c>
      <c r="Y50" s="257">
        <f t="shared" ca="1" si="124"/>
        <v>0</v>
      </c>
      <c r="Z50" s="257">
        <f t="shared" ca="1" si="124"/>
        <v>0</v>
      </c>
      <c r="AA50" s="257">
        <f t="shared" ca="1" si="124"/>
        <v>0</v>
      </c>
      <c r="AB50" s="257">
        <f t="shared" ca="1" si="124"/>
        <v>0</v>
      </c>
      <c r="AC50" s="257">
        <f t="shared" ca="1" si="124"/>
        <v>0</v>
      </c>
      <c r="AD50" s="257">
        <f t="shared" ca="1" si="124"/>
        <v>0</v>
      </c>
      <c r="AE50" s="257">
        <f t="shared" ca="1" si="124"/>
        <v>0</v>
      </c>
      <c r="AF50" s="257">
        <f t="shared" ca="1" si="124"/>
        <v>0</v>
      </c>
      <c r="AG50" s="257">
        <f t="shared" ca="1" si="124"/>
        <v>0</v>
      </c>
      <c r="AH50" s="257">
        <f t="shared" ca="1" si="5"/>
        <v>68.111819999999994</v>
      </c>
      <c r="AJ50" s="263">
        <f t="shared" ref="AJ50:AX50" ca="1" si="125">SUM(AJ49:AJ49)</f>
        <v>0</v>
      </c>
      <c r="AK50" s="263">
        <f t="shared" ca="1" si="125"/>
        <v>0</v>
      </c>
      <c r="AL50" s="263">
        <f t="shared" ca="1" si="125"/>
        <v>0</v>
      </c>
      <c r="AM50" s="263">
        <f t="shared" ca="1" si="125"/>
        <v>0</v>
      </c>
      <c r="AN50" s="263">
        <f t="shared" ca="1" si="125"/>
        <v>0</v>
      </c>
      <c r="AO50" s="263">
        <f t="shared" ca="1" si="125"/>
        <v>0</v>
      </c>
      <c r="AP50" s="263">
        <f t="shared" ca="1" si="125"/>
        <v>0</v>
      </c>
      <c r="AQ50" s="263">
        <f t="shared" ca="1" si="125"/>
        <v>0</v>
      </c>
      <c r="AR50" s="263">
        <f t="shared" ca="1" si="125"/>
        <v>0</v>
      </c>
      <c r="AS50" s="263">
        <f t="shared" ca="1" si="125"/>
        <v>0</v>
      </c>
      <c r="AT50" s="263">
        <f t="shared" ca="1" si="125"/>
        <v>-68.111819999999994</v>
      </c>
      <c r="AU50" s="263">
        <f t="shared" ca="1" si="125"/>
        <v>0</v>
      </c>
      <c r="AV50" s="263">
        <f t="shared" ca="1" si="125"/>
        <v>0</v>
      </c>
      <c r="AW50" s="263">
        <f t="shared" ca="1" si="125"/>
        <v>0</v>
      </c>
      <c r="AX50" s="263">
        <f t="shared" ca="1" si="125"/>
        <v>0</v>
      </c>
      <c r="AY50" s="263">
        <f t="shared" ca="1" si="74"/>
        <v>-68.111819999999994</v>
      </c>
      <c r="BA50" s="277">
        <f ca="1">SUM(BA49:BA49)</f>
        <v>0</v>
      </c>
      <c r="BB50" s="277">
        <f ca="1">SUM(BB49:BB49)</f>
        <v>0</v>
      </c>
      <c r="BC50" s="277">
        <f t="shared" ca="1" si="10"/>
        <v>0</v>
      </c>
      <c r="BE50" s="55">
        <f ca="1">P50+AH50+AY50+BC50</f>
        <v>0</v>
      </c>
      <c r="BF50" s="55"/>
      <c r="BG50" s="1428"/>
      <c r="BH50" s="542">
        <f t="shared" ref="BH50:CU50" ca="1" si="126">SUM(BH49:BH49)</f>
        <v>0</v>
      </c>
      <c r="BI50" s="542">
        <f t="shared" ca="1" si="126"/>
        <v>0</v>
      </c>
      <c r="BJ50" s="542">
        <f t="shared" ca="1" si="126"/>
        <v>0</v>
      </c>
      <c r="BK50" s="542">
        <f t="shared" ca="1" si="126"/>
        <v>0</v>
      </c>
      <c r="BL50" s="542">
        <f t="shared" ca="1" si="126"/>
        <v>0</v>
      </c>
      <c r="BM50" s="542">
        <f t="shared" ca="1" si="126"/>
        <v>0</v>
      </c>
      <c r="BN50" s="542">
        <f t="shared" ca="1" si="126"/>
        <v>0</v>
      </c>
      <c r="BO50" s="542">
        <f t="shared" ca="1" si="126"/>
        <v>0</v>
      </c>
      <c r="BP50" s="542">
        <f t="shared" ca="1" si="126"/>
        <v>0</v>
      </c>
      <c r="BQ50" s="542">
        <f t="shared" ca="1" si="126"/>
        <v>0</v>
      </c>
      <c r="BR50" s="542">
        <f t="shared" ca="1" si="126"/>
        <v>0</v>
      </c>
      <c r="BS50" s="542">
        <f t="shared" ca="1" si="126"/>
        <v>0</v>
      </c>
      <c r="BT50" s="542">
        <f t="shared" ca="1" si="126"/>
        <v>0</v>
      </c>
      <c r="BU50" s="542">
        <f t="shared" ca="1" si="126"/>
        <v>0</v>
      </c>
      <c r="BV50" s="542">
        <f t="shared" ca="1" si="126"/>
        <v>0</v>
      </c>
      <c r="BW50" s="542">
        <f t="shared" ca="1" si="126"/>
        <v>0</v>
      </c>
      <c r="BX50" s="542">
        <f t="shared" ca="1" si="126"/>
        <v>0</v>
      </c>
      <c r="BY50" s="542">
        <f t="shared" ca="1" si="126"/>
        <v>0</v>
      </c>
      <c r="BZ50" s="542">
        <f t="shared" ca="1" si="126"/>
        <v>0</v>
      </c>
      <c r="CA50" s="542">
        <f t="shared" ca="1" si="126"/>
        <v>0</v>
      </c>
      <c r="CB50" s="542">
        <f t="shared" ca="1" si="126"/>
        <v>0</v>
      </c>
      <c r="CC50" s="542">
        <f t="shared" ca="1" si="126"/>
        <v>0</v>
      </c>
      <c r="CD50" s="542">
        <f t="shared" ca="1" si="126"/>
        <v>0</v>
      </c>
      <c r="CE50" s="542">
        <f t="shared" ca="1" si="126"/>
        <v>0</v>
      </c>
      <c r="CF50" s="542">
        <f t="shared" ca="1" si="126"/>
        <v>0</v>
      </c>
      <c r="CG50" s="542">
        <f t="shared" ca="1" si="126"/>
        <v>0</v>
      </c>
      <c r="CH50" s="542">
        <f t="shared" ca="1" si="126"/>
        <v>0</v>
      </c>
      <c r="CI50" s="542">
        <f t="shared" ca="1" si="126"/>
        <v>0</v>
      </c>
      <c r="CJ50" s="542">
        <f t="shared" ca="1" si="126"/>
        <v>0</v>
      </c>
      <c r="CK50" s="542">
        <f t="shared" ca="1" si="126"/>
        <v>0</v>
      </c>
      <c r="CL50" s="542">
        <f t="shared" ca="1" si="126"/>
        <v>0</v>
      </c>
      <c r="CM50" s="542">
        <f t="shared" ca="1" si="126"/>
        <v>0</v>
      </c>
      <c r="CN50" s="542">
        <f t="shared" ca="1" si="126"/>
        <v>0</v>
      </c>
      <c r="CO50" s="542">
        <f t="shared" ca="1" si="126"/>
        <v>0</v>
      </c>
      <c r="CP50" s="542">
        <f t="shared" ca="1" si="126"/>
        <v>0</v>
      </c>
      <c r="CQ50" s="542">
        <f t="shared" ca="1" si="126"/>
        <v>0</v>
      </c>
      <c r="CR50" s="542">
        <f t="shared" ca="1" si="126"/>
        <v>0</v>
      </c>
      <c r="CS50" s="542">
        <f t="shared" ca="1" si="126"/>
        <v>0</v>
      </c>
      <c r="CT50" s="542">
        <f t="shared" ca="1" si="126"/>
        <v>0</v>
      </c>
      <c r="CU50" s="542">
        <f t="shared" ca="1" si="126"/>
        <v>0</v>
      </c>
      <c r="CW50" s="151">
        <f t="shared" ca="1" si="114"/>
        <v>0</v>
      </c>
    </row>
    <row r="51" spans="1:101" s="84" customFormat="1" ht="12.75" customHeight="1" outlineLevel="1" x14ac:dyDescent="0.2">
      <c r="A51" s="18"/>
      <c r="B51" s="18"/>
      <c r="C51" s="87"/>
      <c r="D51" s="53"/>
      <c r="E51" s="53"/>
      <c r="G51" s="245"/>
      <c r="H51" s="245"/>
      <c r="I51" s="245"/>
      <c r="J51" s="245"/>
      <c r="K51" s="245"/>
      <c r="L51" s="247"/>
      <c r="M51" s="245"/>
      <c r="N51" s="245"/>
      <c r="O51" s="245"/>
      <c r="P51" s="245">
        <f t="shared" si="70"/>
        <v>0</v>
      </c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>
        <f t="shared" si="5"/>
        <v>0</v>
      </c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>
        <f t="shared" si="74"/>
        <v>0</v>
      </c>
      <c r="BA51" s="277"/>
      <c r="BB51" s="277"/>
      <c r="BC51" s="277">
        <f t="shared" si="10"/>
        <v>0</v>
      </c>
      <c r="BE51" s="55"/>
      <c r="BF51" s="55"/>
      <c r="BG51" s="18"/>
      <c r="BH51" s="542"/>
      <c r="BI51" s="542"/>
      <c r="BJ51" s="542"/>
      <c r="BK51" s="542"/>
      <c r="BL51" s="542"/>
      <c r="BM51" s="542"/>
      <c r="BN51" s="542"/>
      <c r="BO51" s="542"/>
      <c r="BP51" s="542"/>
      <c r="BQ51" s="542"/>
      <c r="BR51" s="542"/>
      <c r="BS51" s="542"/>
      <c r="BT51" s="542"/>
      <c r="BU51" s="542"/>
      <c r="BV51" s="542"/>
      <c r="BW51" s="542"/>
      <c r="BX51" s="542"/>
      <c r="BY51" s="542"/>
      <c r="BZ51" s="542"/>
      <c r="CA51" s="542"/>
      <c r="CB51" s="542"/>
      <c r="CC51" s="542"/>
      <c r="CD51" s="542"/>
      <c r="CE51" s="542"/>
      <c r="CF51" s="542"/>
      <c r="CG51" s="542"/>
      <c r="CH51" s="542"/>
      <c r="CI51" s="542"/>
      <c r="CJ51" s="542"/>
      <c r="CK51" s="542"/>
      <c r="CL51" s="542"/>
      <c r="CM51" s="542"/>
      <c r="CN51" s="542"/>
      <c r="CO51" s="542"/>
      <c r="CP51" s="542"/>
      <c r="CQ51" s="542"/>
      <c r="CR51" s="542"/>
      <c r="CS51" s="542"/>
      <c r="CT51" s="542"/>
      <c r="CU51" s="542"/>
      <c r="CW51" s="151">
        <f t="shared" si="114"/>
        <v>0</v>
      </c>
    </row>
    <row r="52" spans="1:101" s="547" customFormat="1" ht="12.75" customHeight="1" outlineLevel="1" x14ac:dyDescent="0.2">
      <c r="C52" s="319" t="s">
        <v>855</v>
      </c>
      <c r="D52" s="320" t="s">
        <v>587</v>
      </c>
      <c r="E52" s="320"/>
      <c r="F52" s="84"/>
      <c r="G52" s="321"/>
      <c r="H52" s="321"/>
      <c r="I52" s="321"/>
      <c r="J52" s="321"/>
      <c r="K52" s="321"/>
      <c r="L52" s="322"/>
      <c r="M52" s="321"/>
      <c r="N52" s="321"/>
      <c r="O52" s="321"/>
      <c r="P52" s="321">
        <f t="shared" si="70"/>
        <v>0</v>
      </c>
      <c r="Q52" s="84"/>
      <c r="R52" s="323">
        <f ca="1">R$28+R$36+R$80+R$40+R$74+R$47+R$50</f>
        <v>-659.56399429121348</v>
      </c>
      <c r="S52" s="323">
        <f ca="1">S$28+S$36+S$80+S$40+S$74+S$47+S$50</f>
        <v>303.43128646678269</v>
      </c>
      <c r="T52" s="323"/>
      <c r="U52" s="323"/>
      <c r="V52" s="323"/>
      <c r="W52" s="323"/>
      <c r="X52" s="323"/>
      <c r="Y52" s="323"/>
      <c r="Z52" s="323"/>
      <c r="AA52" s="323"/>
      <c r="AB52" s="323"/>
      <c r="AC52" s="323"/>
      <c r="AD52" s="323"/>
      <c r="AE52" s="323"/>
      <c r="AF52" s="323"/>
      <c r="AG52" s="323"/>
      <c r="AH52" s="323">
        <f t="shared" ca="1" si="5"/>
        <v>-356.13270782443078</v>
      </c>
      <c r="AI52" s="84"/>
      <c r="AJ52" s="324"/>
      <c r="AK52" s="324"/>
      <c r="AL52" s="324"/>
      <c r="AM52" s="324"/>
      <c r="AN52" s="324"/>
      <c r="AO52" s="324"/>
      <c r="AP52" s="324"/>
      <c r="AQ52" s="324"/>
      <c r="AR52" s="324"/>
      <c r="AS52" s="324"/>
      <c r="AT52" s="324"/>
      <c r="AU52" s="324"/>
      <c r="AV52" s="324"/>
      <c r="AW52" s="324"/>
      <c r="AX52" s="324"/>
      <c r="AY52" s="324">
        <f t="shared" si="74"/>
        <v>0</v>
      </c>
      <c r="AZ52" s="84"/>
      <c r="BA52" s="325"/>
      <c r="BB52" s="325"/>
      <c r="BC52" s="325">
        <f t="shared" si="10"/>
        <v>0</v>
      </c>
      <c r="BD52" s="84"/>
      <c r="BE52" s="164"/>
      <c r="BF52" s="164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  <c r="CG52" s="549"/>
      <c r="CH52" s="549"/>
      <c r="CI52" s="549"/>
      <c r="CJ52" s="549"/>
      <c r="CK52" s="549"/>
      <c r="CL52" s="549"/>
      <c r="CM52" s="549"/>
      <c r="CN52" s="549"/>
      <c r="CO52" s="549"/>
      <c r="CP52" s="549"/>
      <c r="CQ52" s="549"/>
      <c r="CR52" s="549"/>
      <c r="CS52" s="549"/>
      <c r="CT52" s="549"/>
      <c r="CU52" s="549"/>
      <c r="CW52" s="151">
        <f t="shared" si="114"/>
        <v>0</v>
      </c>
    </row>
    <row r="53" spans="1:101" s="543" customFormat="1" ht="12.75" customHeight="1" outlineLevel="1" x14ac:dyDescent="0.2">
      <c r="C53" s="86" t="s">
        <v>297</v>
      </c>
      <c r="D53" s="292" t="str">
        <f>INDEX(Modules[Module], MATCH($C53, Modules[Code], 0))</f>
        <v>Nuclear power</v>
      </c>
      <c r="E53" s="292"/>
      <c r="F53" s="84"/>
      <c r="G53" s="301">
        <f t="shared" ref="G53:O53" ca="1" si="127">IFERROR(INDEX(INDIRECT($C53&amp;".Outputs["&amp;this.Year&amp;"]"), MATCH(G$5, INDIRECT($C53&amp;".Outputs[Vector]"), 0)), 0)</f>
        <v>0</v>
      </c>
      <c r="H53" s="301">
        <f t="shared" ca="1" si="127"/>
        <v>0</v>
      </c>
      <c r="I53" s="301">
        <f t="shared" ca="1" si="127"/>
        <v>0</v>
      </c>
      <c r="J53" s="301">
        <f t="shared" ca="1" si="127"/>
        <v>0</v>
      </c>
      <c r="K53" s="301">
        <f t="shared" ca="1" si="127"/>
        <v>0</v>
      </c>
      <c r="L53" s="301">
        <f t="shared" ca="1" si="127"/>
        <v>0</v>
      </c>
      <c r="M53" s="301">
        <f t="shared" ca="1" si="127"/>
        <v>0</v>
      </c>
      <c r="N53" s="301">
        <f t="shared" ca="1" si="127"/>
        <v>0</v>
      </c>
      <c r="O53" s="301">
        <f t="shared" ca="1" si="127"/>
        <v>0</v>
      </c>
      <c r="P53" s="301">
        <f t="shared" ca="1" si="70"/>
        <v>0</v>
      </c>
      <c r="Q53" s="84"/>
      <c r="R53" s="307">
        <f t="shared" ref="R53:AX53" ca="1" si="128">IFERROR(INDEX(INDIRECT($C53&amp;".Outputs["&amp;this.Year&amp;"]"), MATCH(R$5, INDIRECT($C53&amp;".Outputs[Vector]"), 0)), 0)</f>
        <v>0</v>
      </c>
      <c r="S53" s="307">
        <f t="shared" ca="1" si="128"/>
        <v>49.790880000000001</v>
      </c>
      <c r="T53" s="307">
        <f t="shared" ca="1" si="128"/>
        <v>0</v>
      </c>
      <c r="U53" s="307">
        <f t="shared" ca="1" si="128"/>
        <v>0</v>
      </c>
      <c r="V53" s="307">
        <f t="shared" ca="1" si="128"/>
        <v>0</v>
      </c>
      <c r="W53" s="307">
        <f t="shared" ca="1" si="128"/>
        <v>0</v>
      </c>
      <c r="X53" s="307">
        <f ca="1">IFERROR(INDEX(INDIRECT($C53&amp;".Outputs["&amp;this.Year&amp;"]"), MATCH(X$5, INDIRECT($C53&amp;".Outputs[Vector]"), 0)), 0)</f>
        <v>0</v>
      </c>
      <c r="Y53" s="307">
        <f ca="1">IFERROR(INDEX(INDIRECT($C53&amp;".Outputs["&amp;this.Year&amp;"]"), MATCH(Y$5, INDIRECT($C53&amp;".Outputs[Vector]"), 0)), 0)</f>
        <v>0</v>
      </c>
      <c r="Z53" s="307">
        <f ca="1">IFERROR(INDEX(INDIRECT($C53&amp;".Outputs["&amp;this.Year&amp;"]"), MATCH(Z$5, INDIRECT($C53&amp;".Outputs[Vector]"), 0)), 0)</f>
        <v>0</v>
      </c>
      <c r="AA53" s="307">
        <f t="shared" ca="1" si="128"/>
        <v>0</v>
      </c>
      <c r="AB53" s="307">
        <f t="shared" ca="1" si="128"/>
        <v>0</v>
      </c>
      <c r="AC53" s="307">
        <f t="shared" ca="1" si="128"/>
        <v>0</v>
      </c>
      <c r="AD53" s="307">
        <f t="shared" ca="1" si="128"/>
        <v>0</v>
      </c>
      <c r="AE53" s="307">
        <f t="shared" ca="1" si="128"/>
        <v>0</v>
      </c>
      <c r="AF53" s="307">
        <f t="shared" ca="1" si="128"/>
        <v>0</v>
      </c>
      <c r="AG53" s="307">
        <f t="shared" ca="1" si="128"/>
        <v>0</v>
      </c>
      <c r="AH53" s="306">
        <f t="shared" ca="1" si="5"/>
        <v>49.790880000000001</v>
      </c>
      <c r="AI53" s="84"/>
      <c r="AJ53" s="315">
        <f t="shared" ref="AJ53:AR53" ca="1" si="129">IFERROR(INDEX(INDIRECT($C53&amp;".Outputs["&amp;this.Year&amp;"]"), MATCH(AJ$5, INDIRECT($C53&amp;".Outputs[Vector]"), 0)), 0)</f>
        <v>0</v>
      </c>
      <c r="AK53" s="315">
        <f t="shared" ca="1" si="129"/>
        <v>0</v>
      </c>
      <c r="AL53" s="315">
        <f t="shared" ca="1" si="129"/>
        <v>0</v>
      </c>
      <c r="AM53" s="315">
        <f t="shared" ca="1" si="129"/>
        <v>0</v>
      </c>
      <c r="AN53" s="315">
        <f t="shared" ca="1" si="129"/>
        <v>0</v>
      </c>
      <c r="AO53" s="315">
        <f t="shared" ca="1" si="129"/>
        <v>0</v>
      </c>
      <c r="AP53" s="315">
        <f t="shared" ca="1" si="129"/>
        <v>0</v>
      </c>
      <c r="AQ53" s="315">
        <f t="shared" ca="1" si="129"/>
        <v>0</v>
      </c>
      <c r="AR53" s="315">
        <f t="shared" ca="1" si="129"/>
        <v>0</v>
      </c>
      <c r="AS53" s="315">
        <f t="shared" ca="1" si="128"/>
        <v>-152.13880000000003</v>
      </c>
      <c r="AT53" s="315">
        <f t="shared" ca="1" si="128"/>
        <v>0</v>
      </c>
      <c r="AU53" s="315">
        <f t="shared" ca="1" si="128"/>
        <v>0</v>
      </c>
      <c r="AV53" s="315">
        <f t="shared" ca="1" si="128"/>
        <v>0</v>
      </c>
      <c r="AW53" s="315">
        <f t="shared" ca="1" si="128"/>
        <v>0</v>
      </c>
      <c r="AX53" s="315">
        <f t="shared" ca="1" si="128"/>
        <v>0</v>
      </c>
      <c r="AY53" s="293">
        <f t="shared" ca="1" si="74"/>
        <v>-152.13880000000003</v>
      </c>
      <c r="AZ53" s="84"/>
      <c r="BA53" s="311">
        <f ca="1">IFERROR(INDEX(INDIRECT($C53&amp;".Outputs["&amp;this.Year&amp;"]"), MATCH(BA$5, INDIRECT($C53&amp;".Outputs[Vector]"), 0)), 0)</f>
        <v>97.368832000000026</v>
      </c>
      <c r="BB53" s="311">
        <f ca="1">IFERROR(INDEX(INDIRECT($C53&amp;".Outputs["&amp;this.Year&amp;"]"), MATCH(BB$5, INDIRECT($C53&amp;".Outputs[Vector]"), 0)), 0)</f>
        <v>4.9790880000000008</v>
      </c>
      <c r="BC53" s="310">
        <f t="shared" ca="1" si="10"/>
        <v>102.34792000000003</v>
      </c>
      <c r="BD53" s="84"/>
      <c r="BE53" s="135">
        <f ca="1">P53+AH53+AY53+BC53</f>
        <v>0</v>
      </c>
      <c r="BF53" s="135"/>
      <c r="BG53" s="1428"/>
      <c r="BH53" s="544">
        <f t="shared" ref="BH53:CU53" ca="1" si="130">IFERROR(SUMIFS(INDIRECT($C53&amp;".Emissions["&amp;this.Year&amp;"]"), INDIRECT($C53&amp;".Emissions[GHG]"), BH$6, INDIRECT($C53&amp;".Emissions[IPCC Sector]"), BH$5),0)</f>
        <v>0</v>
      </c>
      <c r="BI53" s="545">
        <f t="shared" ca="1" si="130"/>
        <v>0</v>
      </c>
      <c r="BJ53" s="545">
        <f t="shared" ca="1" si="130"/>
        <v>0</v>
      </c>
      <c r="BK53" s="545">
        <f t="shared" ca="1" si="130"/>
        <v>0</v>
      </c>
      <c r="BL53" s="545">
        <f t="shared" ca="1" si="130"/>
        <v>0</v>
      </c>
      <c r="BM53" s="545">
        <f t="shared" ca="1" si="130"/>
        <v>0</v>
      </c>
      <c r="BN53" s="545">
        <f t="shared" ca="1" si="130"/>
        <v>0</v>
      </c>
      <c r="BO53" s="545">
        <f t="shared" ca="1" si="130"/>
        <v>0</v>
      </c>
      <c r="BP53" s="545">
        <f t="shared" ca="1" si="130"/>
        <v>0</v>
      </c>
      <c r="BQ53" s="545">
        <f t="shared" ca="1" si="130"/>
        <v>0</v>
      </c>
      <c r="BR53" s="545">
        <f t="shared" ca="1" si="130"/>
        <v>0</v>
      </c>
      <c r="BS53" s="545">
        <f t="shared" ca="1" si="130"/>
        <v>0</v>
      </c>
      <c r="BT53" s="545">
        <f t="shared" ca="1" si="130"/>
        <v>0</v>
      </c>
      <c r="BU53" s="545">
        <f t="shared" ca="1" si="130"/>
        <v>0</v>
      </c>
      <c r="BV53" s="545">
        <f t="shared" ca="1" si="130"/>
        <v>0</v>
      </c>
      <c r="BW53" s="545">
        <f t="shared" ca="1" si="130"/>
        <v>0</v>
      </c>
      <c r="BX53" s="545">
        <f t="shared" ca="1" si="130"/>
        <v>0</v>
      </c>
      <c r="BY53" s="545">
        <f t="shared" ca="1" si="130"/>
        <v>0</v>
      </c>
      <c r="BZ53" s="545">
        <f t="shared" ca="1" si="130"/>
        <v>0</v>
      </c>
      <c r="CA53" s="545">
        <f t="shared" ca="1" si="130"/>
        <v>0</v>
      </c>
      <c r="CB53" s="545">
        <f t="shared" ca="1" si="130"/>
        <v>0</v>
      </c>
      <c r="CC53" s="545">
        <f t="shared" ca="1" si="130"/>
        <v>0</v>
      </c>
      <c r="CD53" s="545">
        <f t="shared" ca="1" si="130"/>
        <v>0</v>
      </c>
      <c r="CE53" s="545">
        <f t="shared" ca="1" si="130"/>
        <v>0</v>
      </c>
      <c r="CF53" s="545">
        <f t="shared" ca="1" si="130"/>
        <v>0</v>
      </c>
      <c r="CG53" s="545">
        <f t="shared" ca="1" si="130"/>
        <v>0</v>
      </c>
      <c r="CH53" s="545">
        <f t="shared" ca="1" si="130"/>
        <v>0</v>
      </c>
      <c r="CI53" s="545">
        <f t="shared" ca="1" si="130"/>
        <v>0</v>
      </c>
      <c r="CJ53" s="545">
        <f t="shared" ca="1" si="130"/>
        <v>0</v>
      </c>
      <c r="CK53" s="545">
        <f t="shared" ca="1" si="130"/>
        <v>0</v>
      </c>
      <c r="CL53" s="545">
        <f t="shared" ca="1" si="130"/>
        <v>0</v>
      </c>
      <c r="CM53" s="545">
        <f t="shared" ca="1" si="130"/>
        <v>0</v>
      </c>
      <c r="CN53" s="545">
        <f t="shared" ca="1" si="130"/>
        <v>0</v>
      </c>
      <c r="CO53" s="545">
        <f t="shared" ca="1" si="130"/>
        <v>0</v>
      </c>
      <c r="CP53" s="545">
        <f t="shared" ca="1" si="130"/>
        <v>0</v>
      </c>
      <c r="CQ53" s="545">
        <f t="shared" ca="1" si="130"/>
        <v>0</v>
      </c>
      <c r="CR53" s="545">
        <f t="shared" ca="1" si="130"/>
        <v>0</v>
      </c>
      <c r="CS53" s="545">
        <f t="shared" ca="1" si="130"/>
        <v>0</v>
      </c>
      <c r="CT53" s="545">
        <f t="shared" ca="1" si="130"/>
        <v>0</v>
      </c>
      <c r="CU53" s="545">
        <f t="shared" ca="1" si="130"/>
        <v>0</v>
      </c>
      <c r="CW53" s="151">
        <f t="shared" ca="1" si="114"/>
        <v>0</v>
      </c>
    </row>
    <row r="54" spans="1:101" s="84" customFormat="1" ht="15.75" x14ac:dyDescent="0.2">
      <c r="A54" s="18"/>
      <c r="B54" s="89"/>
      <c r="C54" s="85" t="s">
        <v>61</v>
      </c>
      <c r="D54" s="57" t="str">
        <f>INDEX(Workstreams[Workstream], MATCH($C54, Workstreams[Code], 0))</f>
        <v>Nuclear power generation</v>
      </c>
      <c r="E54" s="53"/>
      <c r="G54" s="300">
        <f ca="1">G53</f>
        <v>0</v>
      </c>
      <c r="H54" s="300">
        <f t="shared" ref="H54:O54" ca="1" si="131">H53</f>
        <v>0</v>
      </c>
      <c r="I54" s="300">
        <f ca="1">I53</f>
        <v>0</v>
      </c>
      <c r="J54" s="300">
        <f t="shared" ca="1" si="131"/>
        <v>0</v>
      </c>
      <c r="K54" s="300">
        <f t="shared" ca="1" si="131"/>
        <v>0</v>
      </c>
      <c r="L54" s="300">
        <f t="shared" ca="1" si="131"/>
        <v>0</v>
      </c>
      <c r="M54" s="300">
        <f t="shared" ca="1" si="131"/>
        <v>0</v>
      </c>
      <c r="N54" s="300">
        <f t="shared" ca="1" si="131"/>
        <v>0</v>
      </c>
      <c r="O54" s="300">
        <f t="shared" ca="1" si="131"/>
        <v>0</v>
      </c>
      <c r="P54" s="300">
        <f t="shared" ca="1" si="70"/>
        <v>0</v>
      </c>
      <c r="R54" s="257">
        <f t="shared" ref="R54:AE54" ca="1" si="132">R53</f>
        <v>0</v>
      </c>
      <c r="S54" s="257">
        <f t="shared" ca="1" si="132"/>
        <v>49.790880000000001</v>
      </c>
      <c r="T54" s="257">
        <f t="shared" ca="1" si="132"/>
        <v>0</v>
      </c>
      <c r="U54" s="257">
        <f t="shared" ca="1" si="132"/>
        <v>0</v>
      </c>
      <c r="V54" s="257">
        <f t="shared" ca="1" si="132"/>
        <v>0</v>
      </c>
      <c r="W54" s="257">
        <f ca="1">W53</f>
        <v>0</v>
      </c>
      <c r="X54" s="257">
        <f t="shared" ca="1" si="132"/>
        <v>0</v>
      </c>
      <c r="Y54" s="257">
        <f t="shared" ca="1" si="132"/>
        <v>0</v>
      </c>
      <c r="Z54" s="257">
        <f t="shared" ca="1" si="132"/>
        <v>0</v>
      </c>
      <c r="AA54" s="257">
        <f t="shared" ca="1" si="132"/>
        <v>0</v>
      </c>
      <c r="AB54" s="257">
        <f t="shared" ca="1" si="132"/>
        <v>0</v>
      </c>
      <c r="AC54" s="257">
        <f ca="1">AC53</f>
        <v>0</v>
      </c>
      <c r="AD54" s="257">
        <f ca="1">AD53</f>
        <v>0</v>
      </c>
      <c r="AE54" s="257">
        <f t="shared" ca="1" si="132"/>
        <v>0</v>
      </c>
      <c r="AF54" s="257">
        <f ca="1">AF53</f>
        <v>0</v>
      </c>
      <c r="AG54" s="257">
        <f ca="1">AG53</f>
        <v>0</v>
      </c>
      <c r="AH54" s="257">
        <f t="shared" ca="1" si="5"/>
        <v>49.790880000000001</v>
      </c>
      <c r="AJ54" s="263">
        <f ca="1">AJ53</f>
        <v>0</v>
      </c>
      <c r="AK54" s="263">
        <f t="shared" ref="AK54:AX54" ca="1" si="133">AK53</f>
        <v>0</v>
      </c>
      <c r="AL54" s="263">
        <f t="shared" ca="1" si="133"/>
        <v>0</v>
      </c>
      <c r="AM54" s="263">
        <f t="shared" ca="1" si="133"/>
        <v>0</v>
      </c>
      <c r="AN54" s="263">
        <f t="shared" ca="1" si="133"/>
        <v>0</v>
      </c>
      <c r="AO54" s="263">
        <f t="shared" ca="1" si="133"/>
        <v>0</v>
      </c>
      <c r="AP54" s="263">
        <f t="shared" ca="1" si="133"/>
        <v>0</v>
      </c>
      <c r="AQ54" s="263">
        <f t="shared" ca="1" si="133"/>
        <v>0</v>
      </c>
      <c r="AR54" s="263">
        <f t="shared" ca="1" si="133"/>
        <v>0</v>
      </c>
      <c r="AS54" s="263">
        <f t="shared" ca="1" si="133"/>
        <v>-152.13880000000003</v>
      </c>
      <c r="AT54" s="263">
        <f t="shared" ca="1" si="133"/>
        <v>0</v>
      </c>
      <c r="AU54" s="263">
        <f t="shared" ca="1" si="133"/>
        <v>0</v>
      </c>
      <c r="AV54" s="263">
        <f t="shared" ca="1" si="133"/>
        <v>0</v>
      </c>
      <c r="AW54" s="263">
        <f t="shared" ca="1" si="133"/>
        <v>0</v>
      </c>
      <c r="AX54" s="263">
        <f t="shared" ca="1" si="133"/>
        <v>0</v>
      </c>
      <c r="AY54" s="263">
        <f t="shared" ca="1" si="74"/>
        <v>-152.13880000000003</v>
      </c>
      <c r="BA54" s="277">
        <f ca="1">BA53</f>
        <v>97.368832000000026</v>
      </c>
      <c r="BB54" s="277">
        <f ca="1">BB53</f>
        <v>4.9790880000000008</v>
      </c>
      <c r="BC54" s="277">
        <f t="shared" ca="1" si="10"/>
        <v>102.34792000000003</v>
      </c>
      <c r="BE54" s="55">
        <f ca="1">P54+AH54+AY54+BC54</f>
        <v>0</v>
      </c>
      <c r="BF54" s="55"/>
      <c r="BG54" s="1428"/>
      <c r="BH54" s="542">
        <f t="shared" ref="BH54:CU54" ca="1" si="134">BH53</f>
        <v>0</v>
      </c>
      <c r="BI54" s="542">
        <f t="shared" ca="1" si="134"/>
        <v>0</v>
      </c>
      <c r="BJ54" s="542">
        <f t="shared" ca="1" si="134"/>
        <v>0</v>
      </c>
      <c r="BK54" s="542">
        <f t="shared" ca="1" si="134"/>
        <v>0</v>
      </c>
      <c r="BL54" s="542">
        <f t="shared" ca="1" si="134"/>
        <v>0</v>
      </c>
      <c r="BM54" s="542">
        <f t="shared" ca="1" si="134"/>
        <v>0</v>
      </c>
      <c r="BN54" s="542">
        <f t="shared" ca="1" si="134"/>
        <v>0</v>
      </c>
      <c r="BO54" s="542">
        <f t="shared" ca="1" si="134"/>
        <v>0</v>
      </c>
      <c r="BP54" s="542">
        <f t="shared" ca="1" si="134"/>
        <v>0</v>
      </c>
      <c r="BQ54" s="542">
        <f t="shared" ca="1" si="134"/>
        <v>0</v>
      </c>
      <c r="BR54" s="542">
        <f t="shared" ca="1" si="134"/>
        <v>0</v>
      </c>
      <c r="BS54" s="542">
        <f t="shared" ca="1" si="134"/>
        <v>0</v>
      </c>
      <c r="BT54" s="542">
        <f t="shared" ca="1" si="134"/>
        <v>0</v>
      </c>
      <c r="BU54" s="542">
        <f t="shared" ca="1" si="134"/>
        <v>0</v>
      </c>
      <c r="BV54" s="542">
        <f t="shared" ca="1" si="134"/>
        <v>0</v>
      </c>
      <c r="BW54" s="542">
        <f t="shared" ca="1" si="134"/>
        <v>0</v>
      </c>
      <c r="BX54" s="542">
        <f t="shared" ca="1" si="134"/>
        <v>0</v>
      </c>
      <c r="BY54" s="542">
        <f t="shared" ca="1" si="134"/>
        <v>0</v>
      </c>
      <c r="BZ54" s="542">
        <f t="shared" ca="1" si="134"/>
        <v>0</v>
      </c>
      <c r="CA54" s="542">
        <f t="shared" ca="1" si="134"/>
        <v>0</v>
      </c>
      <c r="CB54" s="542">
        <f t="shared" ca="1" si="134"/>
        <v>0</v>
      </c>
      <c r="CC54" s="542">
        <f t="shared" ca="1" si="134"/>
        <v>0</v>
      </c>
      <c r="CD54" s="542">
        <f t="shared" ca="1" si="134"/>
        <v>0</v>
      </c>
      <c r="CE54" s="542">
        <f t="shared" ca="1" si="134"/>
        <v>0</v>
      </c>
      <c r="CF54" s="542">
        <f t="shared" ca="1" si="134"/>
        <v>0</v>
      </c>
      <c r="CG54" s="542">
        <f t="shared" ca="1" si="134"/>
        <v>0</v>
      </c>
      <c r="CH54" s="542">
        <f t="shared" ca="1" si="134"/>
        <v>0</v>
      </c>
      <c r="CI54" s="542">
        <f t="shared" ca="1" si="134"/>
        <v>0</v>
      </c>
      <c r="CJ54" s="542">
        <f t="shared" ca="1" si="134"/>
        <v>0</v>
      </c>
      <c r="CK54" s="542">
        <f t="shared" ca="1" si="134"/>
        <v>0</v>
      </c>
      <c r="CL54" s="542">
        <f t="shared" ca="1" si="134"/>
        <v>0</v>
      </c>
      <c r="CM54" s="542">
        <f t="shared" ca="1" si="134"/>
        <v>0</v>
      </c>
      <c r="CN54" s="542">
        <f t="shared" ca="1" si="134"/>
        <v>0</v>
      </c>
      <c r="CO54" s="542">
        <f t="shared" ca="1" si="134"/>
        <v>0</v>
      </c>
      <c r="CP54" s="542">
        <f t="shared" ca="1" si="134"/>
        <v>0</v>
      </c>
      <c r="CQ54" s="542">
        <f t="shared" ca="1" si="134"/>
        <v>0</v>
      </c>
      <c r="CR54" s="542">
        <f t="shared" ca="1" si="134"/>
        <v>0</v>
      </c>
      <c r="CS54" s="542">
        <f t="shared" ca="1" si="134"/>
        <v>0</v>
      </c>
      <c r="CT54" s="542">
        <f t="shared" ca="1" si="134"/>
        <v>0</v>
      </c>
      <c r="CU54" s="542">
        <f t="shared" ca="1" si="134"/>
        <v>0</v>
      </c>
      <c r="CW54" s="151">
        <f t="shared" ca="1" si="114"/>
        <v>0</v>
      </c>
    </row>
    <row r="55" spans="1:101" s="84" customFormat="1" ht="12.75" customHeight="1" outlineLevel="1" x14ac:dyDescent="0.2">
      <c r="A55" s="18"/>
      <c r="B55" s="18"/>
      <c r="C55" s="87"/>
      <c r="D55" s="53"/>
      <c r="E55" s="53"/>
      <c r="G55" s="245"/>
      <c r="H55" s="245"/>
      <c r="I55" s="245"/>
      <c r="J55" s="245"/>
      <c r="K55" s="245"/>
      <c r="L55" s="247"/>
      <c r="M55" s="245"/>
      <c r="N55" s="245"/>
      <c r="O55" s="245"/>
      <c r="P55" s="245">
        <f t="shared" si="70"/>
        <v>0</v>
      </c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>
        <f t="shared" si="5"/>
        <v>0</v>
      </c>
      <c r="AJ55" s="263"/>
      <c r="AK55" s="263"/>
      <c r="AL55" s="263"/>
      <c r="AM55" s="263"/>
      <c r="AN55" s="263"/>
      <c r="AO55" s="263"/>
      <c r="AP55" s="263"/>
      <c r="AQ55" s="263"/>
      <c r="AR55" s="263"/>
      <c r="AS55" s="263"/>
      <c r="AT55" s="263"/>
      <c r="AU55" s="263"/>
      <c r="AV55" s="263"/>
      <c r="AW55" s="263"/>
      <c r="AX55" s="263"/>
      <c r="AY55" s="263">
        <f t="shared" si="74"/>
        <v>0</v>
      </c>
      <c r="BA55" s="277"/>
      <c r="BB55" s="277"/>
      <c r="BC55" s="277">
        <f t="shared" si="10"/>
        <v>0</v>
      </c>
      <c r="BE55" s="55">
        <f>P55+AH55+AY55+BC55</f>
        <v>0</v>
      </c>
      <c r="BF55" s="55"/>
      <c r="BG55" s="18"/>
      <c r="BH55" s="542"/>
      <c r="BI55" s="542"/>
      <c r="BJ55" s="542"/>
      <c r="BK55" s="542"/>
      <c r="BL55" s="542"/>
      <c r="BM55" s="542"/>
      <c r="BN55" s="542"/>
      <c r="BO55" s="542"/>
      <c r="BP55" s="542"/>
      <c r="BQ55" s="542"/>
      <c r="BR55" s="542"/>
      <c r="BS55" s="542"/>
      <c r="BT55" s="542"/>
      <c r="BU55" s="542"/>
      <c r="BV55" s="542"/>
      <c r="BW55" s="542"/>
      <c r="BX55" s="542"/>
      <c r="BY55" s="542"/>
      <c r="BZ55" s="542"/>
      <c r="CA55" s="542"/>
      <c r="CB55" s="542"/>
      <c r="CC55" s="542"/>
      <c r="CD55" s="542"/>
      <c r="CE55" s="542"/>
      <c r="CF55" s="542"/>
      <c r="CG55" s="542"/>
      <c r="CH55" s="542"/>
      <c r="CI55" s="542"/>
      <c r="CJ55" s="542"/>
      <c r="CK55" s="542"/>
      <c r="CL55" s="542"/>
      <c r="CM55" s="542"/>
      <c r="CN55" s="542"/>
      <c r="CO55" s="542"/>
      <c r="CP55" s="542"/>
      <c r="CQ55" s="542"/>
      <c r="CR55" s="542"/>
      <c r="CS55" s="542"/>
      <c r="CT55" s="542"/>
      <c r="CU55" s="542"/>
      <c r="CW55" s="151">
        <f t="shared" si="114"/>
        <v>0</v>
      </c>
    </row>
    <row r="56" spans="1:101" s="547" customFormat="1" ht="12.75" customHeight="1" outlineLevel="1" x14ac:dyDescent="0.2">
      <c r="C56" s="319" t="s">
        <v>856</v>
      </c>
      <c r="D56" s="320" t="s">
        <v>587</v>
      </c>
      <c r="E56" s="320"/>
      <c r="F56" s="84"/>
      <c r="G56" s="321"/>
      <c r="H56" s="321"/>
      <c r="I56" s="321"/>
      <c r="J56" s="321"/>
      <c r="K56" s="321"/>
      <c r="L56" s="322"/>
      <c r="M56" s="321"/>
      <c r="N56" s="321"/>
      <c r="O56" s="321"/>
      <c r="P56" s="321">
        <f t="shared" si="70"/>
        <v>0</v>
      </c>
      <c r="Q56" s="84"/>
      <c r="R56" s="323">
        <f ca="1">R$52+R$54</f>
        <v>-659.56399429121348</v>
      </c>
      <c r="S56" s="323">
        <f ca="1">S$52+S$54</f>
        <v>353.22216646678271</v>
      </c>
      <c r="T56" s="323"/>
      <c r="U56" s="323"/>
      <c r="V56" s="323"/>
      <c r="W56" s="323"/>
      <c r="X56" s="323"/>
      <c r="Y56" s="323"/>
      <c r="Z56" s="323"/>
      <c r="AA56" s="323"/>
      <c r="AB56" s="323"/>
      <c r="AC56" s="323"/>
      <c r="AD56" s="323"/>
      <c r="AE56" s="323"/>
      <c r="AF56" s="323"/>
      <c r="AG56" s="323"/>
      <c r="AH56" s="323">
        <f t="shared" ca="1" si="5"/>
        <v>-306.34182782443077</v>
      </c>
      <c r="AI56" s="84"/>
      <c r="AJ56" s="324"/>
      <c r="AK56" s="324"/>
      <c r="AL56" s="324"/>
      <c r="AM56" s="324"/>
      <c r="AN56" s="324"/>
      <c r="AO56" s="324"/>
      <c r="AP56" s="324"/>
      <c r="AQ56" s="324"/>
      <c r="AR56" s="324"/>
      <c r="AS56" s="324"/>
      <c r="AT56" s="324"/>
      <c r="AU56" s="324"/>
      <c r="AV56" s="324"/>
      <c r="AW56" s="324"/>
      <c r="AX56" s="324"/>
      <c r="AY56" s="324">
        <f t="shared" si="74"/>
        <v>0</v>
      </c>
      <c r="AZ56" s="84"/>
      <c r="BA56" s="325"/>
      <c r="BB56" s="325"/>
      <c r="BC56" s="325">
        <f t="shared" si="10"/>
        <v>0</v>
      </c>
      <c r="BD56" s="84"/>
      <c r="BE56" s="164"/>
      <c r="BF56" s="164"/>
      <c r="BH56" s="549"/>
      <c r="BI56" s="549"/>
      <c r="BJ56" s="549"/>
      <c r="BK56" s="549"/>
      <c r="BL56" s="549"/>
      <c r="BM56" s="549"/>
      <c r="BN56" s="549"/>
      <c r="BO56" s="549"/>
      <c r="BP56" s="549"/>
      <c r="BQ56" s="549"/>
      <c r="BR56" s="549"/>
      <c r="BS56" s="549"/>
      <c r="BT56" s="549"/>
      <c r="BU56" s="549"/>
      <c r="BV56" s="549"/>
      <c r="BW56" s="549"/>
      <c r="BX56" s="549"/>
      <c r="BY56" s="549"/>
      <c r="BZ56" s="549"/>
      <c r="CA56" s="549"/>
      <c r="CB56" s="549"/>
      <c r="CC56" s="549"/>
      <c r="CD56" s="549"/>
      <c r="CE56" s="549"/>
      <c r="CF56" s="549"/>
      <c r="CG56" s="549"/>
      <c r="CH56" s="549"/>
      <c r="CI56" s="549"/>
      <c r="CJ56" s="549"/>
      <c r="CK56" s="549"/>
      <c r="CL56" s="549"/>
      <c r="CM56" s="549"/>
      <c r="CN56" s="549"/>
      <c r="CO56" s="549"/>
      <c r="CP56" s="549"/>
      <c r="CQ56" s="549"/>
      <c r="CR56" s="549"/>
      <c r="CS56" s="549"/>
      <c r="CT56" s="549"/>
      <c r="CU56" s="549"/>
      <c r="CW56" s="151">
        <f t="shared" si="114"/>
        <v>0</v>
      </c>
    </row>
    <row r="57" spans="1:101" s="543" customFormat="1" ht="12.75" customHeight="1" outlineLevel="1" x14ac:dyDescent="0.2">
      <c r="C57" s="86" t="s">
        <v>352</v>
      </c>
      <c r="D57" s="61" t="str">
        <f>INDEX(Modules[Module], MATCH($C57, Modules[Code], 0))</f>
        <v>Biomass power station</v>
      </c>
      <c r="E57" s="61"/>
      <c r="F57" s="84"/>
      <c r="G57" s="892">
        <f t="shared" ref="G57:O59" ca="1" si="135">IFERROR(INDEX(INDIRECT($C57&amp;".Outputs["&amp;this.Year&amp;"]"), MATCH(G$5, INDIRECT($C57&amp;".Outputs[Vector]"), 0)), 0)</f>
        <v>0</v>
      </c>
      <c r="H57" s="892">
        <f t="shared" ca="1" si="135"/>
        <v>0</v>
      </c>
      <c r="I57" s="892">
        <f t="shared" ca="1" si="135"/>
        <v>0</v>
      </c>
      <c r="J57" s="892">
        <f t="shared" ca="1" si="135"/>
        <v>0</v>
      </c>
      <c r="K57" s="892">
        <f t="shared" ca="1" si="135"/>
        <v>0</v>
      </c>
      <c r="L57" s="892">
        <f t="shared" ca="1" si="135"/>
        <v>0</v>
      </c>
      <c r="M57" s="892">
        <f t="shared" ca="1" si="135"/>
        <v>0</v>
      </c>
      <c r="N57" s="892">
        <f t="shared" ca="1" si="135"/>
        <v>0</v>
      </c>
      <c r="O57" s="892">
        <f t="shared" ca="1" si="135"/>
        <v>0</v>
      </c>
      <c r="P57" s="892">
        <f t="shared" ref="P57:P89" ca="1" si="136">SUM(G57:O57)</f>
        <v>0</v>
      </c>
      <c r="Q57" s="84"/>
      <c r="R57" s="893">
        <f t="shared" ref="R57:AG57" ca="1" si="137">IFERROR(INDEX(INDIRECT($C57&amp;".Outputs["&amp;this.Year&amp;"]"), MATCH(R$5, INDIRECT($C57&amp;".Outputs[Vector]"), 0)), 0)</f>
        <v>0</v>
      </c>
      <c r="S57" s="893">
        <f t="shared" ca="1" si="137"/>
        <v>47.336400000000005</v>
      </c>
      <c r="T57" s="893">
        <f t="shared" ca="1" si="137"/>
        <v>-142.00920000000002</v>
      </c>
      <c r="U57" s="893">
        <f t="shared" ca="1" si="137"/>
        <v>0</v>
      </c>
      <c r="V57" s="893">
        <f t="shared" ca="1" si="137"/>
        <v>0</v>
      </c>
      <c r="W57" s="893">
        <f t="shared" ca="1" si="137"/>
        <v>0</v>
      </c>
      <c r="X57" s="893">
        <f t="shared" ca="1" si="137"/>
        <v>0</v>
      </c>
      <c r="Y57" s="893">
        <f t="shared" ca="1" si="137"/>
        <v>0</v>
      </c>
      <c r="Z57" s="893">
        <f t="shared" ca="1" si="137"/>
        <v>0</v>
      </c>
      <c r="AA57" s="893">
        <f t="shared" ca="1" si="137"/>
        <v>0</v>
      </c>
      <c r="AB57" s="893">
        <f t="shared" ca="1" si="137"/>
        <v>0</v>
      </c>
      <c r="AC57" s="893">
        <f t="shared" ca="1" si="137"/>
        <v>0</v>
      </c>
      <c r="AD57" s="893">
        <f t="shared" ca="1" si="137"/>
        <v>0</v>
      </c>
      <c r="AE57" s="893">
        <f t="shared" ca="1" si="137"/>
        <v>0</v>
      </c>
      <c r="AF57" s="893">
        <f t="shared" ca="1" si="137"/>
        <v>0</v>
      </c>
      <c r="AG57" s="893">
        <f t="shared" ca="1" si="137"/>
        <v>0</v>
      </c>
      <c r="AH57" s="894">
        <f t="shared" ca="1" si="5"/>
        <v>-94.672800000000024</v>
      </c>
      <c r="AI57" s="84"/>
      <c r="AJ57" s="895">
        <f t="shared" ref="AJ57:AR59" ca="1" si="138">IFERROR(INDEX(INDIRECT($C57&amp;".Outputs["&amp;this.Year&amp;"]"), MATCH(AJ$5, INDIRECT($C57&amp;".Outputs[Vector]"), 0)), 0)</f>
        <v>0</v>
      </c>
      <c r="AK57" s="895">
        <f t="shared" ca="1" si="138"/>
        <v>0</v>
      </c>
      <c r="AL57" s="895">
        <f t="shared" ca="1" si="138"/>
        <v>0</v>
      </c>
      <c r="AM57" s="895">
        <f t="shared" ca="1" si="138"/>
        <v>0</v>
      </c>
      <c r="AN57" s="895">
        <f t="shared" ca="1" si="138"/>
        <v>0</v>
      </c>
      <c r="AO57" s="895">
        <f t="shared" ca="1" si="138"/>
        <v>0</v>
      </c>
      <c r="AP57" s="895">
        <f t="shared" ca="1" si="138"/>
        <v>0</v>
      </c>
      <c r="AQ57" s="895">
        <f t="shared" ca="1" si="138"/>
        <v>0</v>
      </c>
      <c r="AR57" s="895">
        <f t="shared" ca="1" si="138"/>
        <v>0</v>
      </c>
      <c r="AS57" s="895">
        <f t="shared" ref="AS57:AX57" ca="1" si="139">IFERROR(INDEX(INDIRECT($C57&amp;".Outputs["&amp;this.Year&amp;"]"), MATCH(AS$5, INDIRECT($C57&amp;".Outputs[Vector]"), 0)), 0)</f>
        <v>0</v>
      </c>
      <c r="AT57" s="895">
        <f t="shared" ca="1" si="139"/>
        <v>0</v>
      </c>
      <c r="AU57" s="895">
        <f t="shared" ca="1" si="139"/>
        <v>0</v>
      </c>
      <c r="AV57" s="895">
        <f t="shared" ca="1" si="139"/>
        <v>0</v>
      </c>
      <c r="AW57" s="895">
        <f t="shared" ca="1" si="139"/>
        <v>0</v>
      </c>
      <c r="AX57" s="895">
        <f t="shared" ca="1" si="139"/>
        <v>0</v>
      </c>
      <c r="AY57" s="896">
        <f t="shared" ca="1" si="74"/>
        <v>0</v>
      </c>
      <c r="AZ57" s="84"/>
      <c r="BA57" s="897">
        <f ca="1">IFERROR(INDEX(INDIRECT($C57&amp;".Outputs["&amp;this.Year&amp;"]"), MATCH(BA$5, INDIRECT($C57&amp;".Outputs[Vector]"), 0)), 0)</f>
        <v>92.305980000000019</v>
      </c>
      <c r="BB57" s="897">
        <f ca="1">IFERROR(INDEX(INDIRECT($C57&amp;".Outputs["&amp;this.Year&amp;"]"), MATCH(BB$5, INDIRECT($C57&amp;".Outputs[Vector]"), 0)), 0)</f>
        <v>2.3668200000000001</v>
      </c>
      <c r="BC57" s="898">
        <f t="shared" ca="1" si="10"/>
        <v>94.672800000000024</v>
      </c>
      <c r="BD57" s="84"/>
      <c r="BE57" s="135">
        <f ca="1">P57+AH57+AY57+BC57</f>
        <v>0</v>
      </c>
      <c r="BF57" s="135"/>
      <c r="BG57" s="1428"/>
      <c r="BH57" s="541">
        <f t="shared" ref="BH57:CU59" ca="1" si="140">IFERROR(SUMIFS(INDIRECT($C57&amp;".Emissions["&amp;this.Year&amp;"]"), INDIRECT($C57&amp;".Emissions[GHG]"), BH$6, INDIRECT($C57&amp;".Emissions[IPCC Sector]"), BH$5),0)</f>
        <v>43.7388336</v>
      </c>
      <c r="BI57" s="542">
        <f t="shared" ca="1" si="140"/>
        <v>0.12848888694419972</v>
      </c>
      <c r="BJ57" s="542">
        <f t="shared" ca="1" si="140"/>
        <v>0.38746104515727031</v>
      </c>
      <c r="BK57" s="542">
        <f t="shared" ca="1" si="140"/>
        <v>0</v>
      </c>
      <c r="BL57" s="542">
        <f t="shared" ca="1" si="140"/>
        <v>0</v>
      </c>
      <c r="BM57" s="542">
        <f t="shared" ca="1" si="140"/>
        <v>0</v>
      </c>
      <c r="BN57" s="542">
        <f t="shared" ca="1" si="140"/>
        <v>0</v>
      </c>
      <c r="BO57" s="542">
        <f t="shared" ca="1" si="140"/>
        <v>0</v>
      </c>
      <c r="BP57" s="542">
        <f t="shared" ca="1" si="140"/>
        <v>0</v>
      </c>
      <c r="BQ57" s="542">
        <f t="shared" ca="1" si="140"/>
        <v>0</v>
      </c>
      <c r="BR57" s="542">
        <f t="shared" ca="1" si="140"/>
        <v>0</v>
      </c>
      <c r="BS57" s="542">
        <f t="shared" ca="1" si="140"/>
        <v>0</v>
      </c>
      <c r="BT57" s="542">
        <f t="shared" ca="1" si="140"/>
        <v>0</v>
      </c>
      <c r="BU57" s="542">
        <f t="shared" ca="1" si="140"/>
        <v>0</v>
      </c>
      <c r="BV57" s="542">
        <f t="shared" ca="1" si="140"/>
        <v>0</v>
      </c>
      <c r="BW57" s="542">
        <f t="shared" ca="1" si="140"/>
        <v>0</v>
      </c>
      <c r="BX57" s="542">
        <f t="shared" ca="1" si="140"/>
        <v>0</v>
      </c>
      <c r="BY57" s="542">
        <f t="shared" ca="1" si="140"/>
        <v>0</v>
      </c>
      <c r="BZ57" s="542">
        <f t="shared" ca="1" si="140"/>
        <v>0</v>
      </c>
      <c r="CA57" s="542">
        <f t="shared" ca="1" si="140"/>
        <v>0</v>
      </c>
      <c r="CB57" s="542">
        <f t="shared" ca="1" si="140"/>
        <v>0</v>
      </c>
      <c r="CC57" s="542">
        <f t="shared" ca="1" si="140"/>
        <v>0</v>
      </c>
      <c r="CD57" s="542">
        <f t="shared" ca="1" si="140"/>
        <v>0</v>
      </c>
      <c r="CE57" s="542">
        <f t="shared" ca="1" si="140"/>
        <v>0</v>
      </c>
      <c r="CF57" s="542">
        <f t="shared" ca="1" si="140"/>
        <v>0</v>
      </c>
      <c r="CG57" s="542">
        <f t="shared" ca="1" si="140"/>
        <v>0</v>
      </c>
      <c r="CH57" s="542">
        <f t="shared" ca="1" si="140"/>
        <v>0</v>
      </c>
      <c r="CI57" s="542">
        <f t="shared" ca="1" si="140"/>
        <v>0</v>
      </c>
      <c r="CJ57" s="542">
        <f t="shared" ca="1" si="140"/>
        <v>0</v>
      </c>
      <c r="CK57" s="542">
        <f t="shared" ca="1" si="140"/>
        <v>0</v>
      </c>
      <c r="CL57" s="542">
        <f t="shared" ca="1" si="140"/>
        <v>0</v>
      </c>
      <c r="CM57" s="542">
        <f t="shared" ca="1" si="140"/>
        <v>0</v>
      </c>
      <c r="CN57" s="542">
        <f t="shared" ca="1" si="140"/>
        <v>0</v>
      </c>
      <c r="CO57" s="542">
        <f t="shared" ca="1" si="140"/>
        <v>0</v>
      </c>
      <c r="CP57" s="542">
        <f t="shared" ca="1" si="140"/>
        <v>0</v>
      </c>
      <c r="CQ57" s="542">
        <f t="shared" ca="1" si="140"/>
        <v>0</v>
      </c>
      <c r="CR57" s="542">
        <f t="shared" ca="1" si="140"/>
        <v>0</v>
      </c>
      <c r="CS57" s="542">
        <f t="shared" ca="1" si="140"/>
        <v>0</v>
      </c>
      <c r="CT57" s="542">
        <f t="shared" ca="1" si="140"/>
        <v>0</v>
      </c>
      <c r="CU57" s="542">
        <f t="shared" ca="1" si="140"/>
        <v>0</v>
      </c>
      <c r="CW57" s="151">
        <f t="shared" ca="1" si="114"/>
        <v>44.25478353210147</v>
      </c>
    </row>
    <row r="58" spans="1:101" s="543" customFormat="1" ht="12.75" customHeight="1" outlineLevel="1" x14ac:dyDescent="0.2">
      <c r="C58" s="319" t="s">
        <v>2381</v>
      </c>
      <c r="D58" s="320" t="s">
        <v>587</v>
      </c>
      <c r="E58" s="61"/>
      <c r="F58" s="84"/>
      <c r="G58" s="892"/>
      <c r="H58" s="892"/>
      <c r="I58" s="892"/>
      <c r="J58" s="892"/>
      <c r="K58" s="892"/>
      <c r="L58" s="892"/>
      <c r="M58" s="892"/>
      <c r="N58" s="892"/>
      <c r="O58" s="892"/>
      <c r="P58" s="892">
        <f t="shared" si="136"/>
        <v>0</v>
      </c>
      <c r="Q58" s="84"/>
      <c r="R58" s="893">
        <f ca="1">R56+R57</f>
        <v>-659.56399429121348</v>
      </c>
      <c r="S58" s="893">
        <f ca="1">S56+S57</f>
        <v>400.55856646678274</v>
      </c>
      <c r="T58" s="893"/>
      <c r="U58" s="893"/>
      <c r="V58" s="893"/>
      <c r="W58" s="893"/>
      <c r="X58" s="893"/>
      <c r="Y58" s="893"/>
      <c r="Z58" s="893"/>
      <c r="AA58" s="893"/>
      <c r="AB58" s="893"/>
      <c r="AC58" s="893"/>
      <c r="AD58" s="893"/>
      <c r="AE58" s="893"/>
      <c r="AF58" s="893"/>
      <c r="AG58" s="893"/>
      <c r="AH58" s="894">
        <f t="shared" ca="1" si="5"/>
        <v>-259.00542782443074</v>
      </c>
      <c r="AI58" s="84"/>
      <c r="AJ58" s="895"/>
      <c r="AK58" s="895"/>
      <c r="AL58" s="895"/>
      <c r="AM58" s="895"/>
      <c r="AN58" s="895"/>
      <c r="AO58" s="895"/>
      <c r="AP58" s="895"/>
      <c r="AQ58" s="895"/>
      <c r="AR58" s="895"/>
      <c r="AS58" s="895"/>
      <c r="AT58" s="895"/>
      <c r="AU58" s="895"/>
      <c r="AV58" s="895"/>
      <c r="AW58" s="895"/>
      <c r="AX58" s="895"/>
      <c r="AY58" s="896">
        <f t="shared" si="74"/>
        <v>0</v>
      </c>
      <c r="AZ58" s="84"/>
      <c r="BA58" s="897"/>
      <c r="BB58" s="897"/>
      <c r="BC58" s="898">
        <f t="shared" si="10"/>
        <v>0</v>
      </c>
      <c r="BD58" s="84"/>
      <c r="BE58" s="135"/>
      <c r="BF58" s="135"/>
      <c r="BG58" s="1428"/>
      <c r="BH58" s="541"/>
      <c r="BI58" s="542"/>
      <c r="BJ58" s="542"/>
      <c r="BK58" s="542"/>
      <c r="BL58" s="542"/>
      <c r="BM58" s="542"/>
      <c r="BN58" s="542"/>
      <c r="BO58" s="542"/>
      <c r="BP58" s="542"/>
      <c r="BQ58" s="542"/>
      <c r="BR58" s="542"/>
      <c r="BS58" s="542"/>
      <c r="BT58" s="542"/>
      <c r="BU58" s="542"/>
      <c r="BV58" s="542"/>
      <c r="BW58" s="542"/>
      <c r="BX58" s="542"/>
      <c r="BY58" s="542"/>
      <c r="BZ58" s="542"/>
      <c r="CA58" s="542"/>
      <c r="CB58" s="542"/>
      <c r="CC58" s="542"/>
      <c r="CD58" s="542"/>
      <c r="CE58" s="542"/>
      <c r="CF58" s="542"/>
      <c r="CG58" s="542"/>
      <c r="CH58" s="542"/>
      <c r="CI58" s="542"/>
      <c r="CJ58" s="542"/>
      <c r="CK58" s="542"/>
      <c r="CL58" s="542"/>
      <c r="CM58" s="542"/>
      <c r="CN58" s="542"/>
      <c r="CO58" s="542"/>
      <c r="CP58" s="542"/>
      <c r="CQ58" s="542"/>
      <c r="CR58" s="542"/>
      <c r="CS58" s="542"/>
      <c r="CT58" s="542"/>
      <c r="CU58" s="542"/>
      <c r="CW58" s="151"/>
    </row>
    <row r="59" spans="1:101" s="543" customFormat="1" ht="12.75" customHeight="1" outlineLevel="1" x14ac:dyDescent="0.2">
      <c r="C59" s="86" t="s">
        <v>2146</v>
      </c>
      <c r="D59" s="61" t="str">
        <f>INDEX(Modules[Module], MATCH($C59, Modules[Code], 0))</f>
        <v>Coal power stations</v>
      </c>
      <c r="E59" s="61"/>
      <c r="F59" s="84"/>
      <c r="G59" s="892">
        <f t="shared" ca="1" si="135"/>
        <v>0</v>
      </c>
      <c r="H59" s="892">
        <f t="shared" ca="1" si="135"/>
        <v>0</v>
      </c>
      <c r="I59" s="892">
        <f t="shared" ca="1" si="135"/>
        <v>0</v>
      </c>
      <c r="J59" s="892">
        <f t="shared" ca="1" si="135"/>
        <v>0</v>
      </c>
      <c r="K59" s="892">
        <f t="shared" ca="1" si="135"/>
        <v>0</v>
      </c>
      <c r="L59" s="892">
        <f t="shared" ca="1" si="135"/>
        <v>0</v>
      </c>
      <c r="M59" s="892">
        <f t="shared" ca="1" si="135"/>
        <v>0</v>
      </c>
      <c r="N59" s="892">
        <f t="shared" ca="1" si="135"/>
        <v>0</v>
      </c>
      <c r="O59" s="892">
        <f t="shared" ca="1" si="135"/>
        <v>0</v>
      </c>
      <c r="P59" s="892">
        <f t="shared" ca="1" si="136"/>
        <v>0</v>
      </c>
      <c r="Q59" s="84"/>
      <c r="R59" s="893">
        <f t="shared" ref="R59:AG59" ca="1" si="141">IFERROR(INDEX(INDIRECT($C59&amp;".Outputs["&amp;this.Year&amp;"]"), MATCH(R$5, INDIRECT($C59&amp;".Outputs[Vector]"), 0)), 0)</f>
        <v>0</v>
      </c>
      <c r="S59" s="893">
        <f t="shared" ca="1" si="141"/>
        <v>220.90320000000003</v>
      </c>
      <c r="T59" s="893">
        <f t="shared" ca="1" si="141"/>
        <v>-610.39042105263172</v>
      </c>
      <c r="U59" s="893">
        <f t="shared" ca="1" si="141"/>
        <v>0</v>
      </c>
      <c r="V59" s="893">
        <f t="shared" ca="1" si="141"/>
        <v>0</v>
      </c>
      <c r="W59" s="893">
        <f t="shared" ca="1" si="141"/>
        <v>0</v>
      </c>
      <c r="X59" s="893">
        <f t="shared" ca="1" si="141"/>
        <v>0</v>
      </c>
      <c r="Y59" s="893">
        <f t="shared" ca="1" si="141"/>
        <v>0</v>
      </c>
      <c r="Z59" s="893">
        <f t="shared" ca="1" si="141"/>
        <v>0</v>
      </c>
      <c r="AA59" s="893">
        <f t="shared" ca="1" si="141"/>
        <v>0</v>
      </c>
      <c r="AB59" s="893">
        <f t="shared" ca="1" si="141"/>
        <v>0</v>
      </c>
      <c r="AC59" s="893">
        <f t="shared" ca="1" si="141"/>
        <v>0</v>
      </c>
      <c r="AD59" s="893">
        <f t="shared" ca="1" si="141"/>
        <v>0</v>
      </c>
      <c r="AE59" s="893">
        <f t="shared" ca="1" si="141"/>
        <v>0</v>
      </c>
      <c r="AF59" s="893">
        <f t="shared" ca="1" si="141"/>
        <v>0</v>
      </c>
      <c r="AG59" s="893">
        <f t="shared" ca="1" si="141"/>
        <v>0</v>
      </c>
      <c r="AH59" s="894">
        <f t="shared" ca="1" si="5"/>
        <v>-389.4872210526317</v>
      </c>
      <c r="AI59" s="84"/>
      <c r="AJ59" s="895">
        <f t="shared" ca="1" si="138"/>
        <v>0</v>
      </c>
      <c r="AK59" s="895">
        <f t="shared" ca="1" si="138"/>
        <v>0</v>
      </c>
      <c r="AL59" s="895">
        <f t="shared" ca="1" si="138"/>
        <v>0</v>
      </c>
      <c r="AM59" s="895">
        <f t="shared" ca="1" si="138"/>
        <v>0</v>
      </c>
      <c r="AN59" s="895">
        <f t="shared" ca="1" si="138"/>
        <v>0</v>
      </c>
      <c r="AO59" s="895">
        <f t="shared" ca="1" si="138"/>
        <v>0</v>
      </c>
      <c r="AP59" s="895">
        <f t="shared" ca="1" si="138"/>
        <v>0</v>
      </c>
      <c r="AQ59" s="895">
        <f t="shared" ca="1" si="138"/>
        <v>0</v>
      </c>
      <c r="AR59" s="895">
        <f t="shared" ca="1" si="138"/>
        <v>0</v>
      </c>
      <c r="AS59" s="895">
        <f t="shared" ref="AS59:AX59" ca="1" si="142">IFERROR(INDEX(INDIRECT($C59&amp;".Outputs["&amp;this.Year&amp;"]"), MATCH(AS$5, INDIRECT($C59&amp;".Outputs[Vector]"), 0)), 0)</f>
        <v>0</v>
      </c>
      <c r="AT59" s="895">
        <f t="shared" ca="1" si="142"/>
        <v>0</v>
      </c>
      <c r="AU59" s="895">
        <f t="shared" ca="1" si="142"/>
        <v>0</v>
      </c>
      <c r="AV59" s="895">
        <f t="shared" ca="1" si="142"/>
        <v>0</v>
      </c>
      <c r="AW59" s="895">
        <f t="shared" ca="1" si="142"/>
        <v>0</v>
      </c>
      <c r="AX59" s="895">
        <f t="shared" ca="1" si="142"/>
        <v>0</v>
      </c>
      <c r="AY59" s="896">
        <f t="shared" ca="1" si="74"/>
        <v>0</v>
      </c>
      <c r="AZ59" s="84"/>
      <c r="BA59" s="897">
        <f ca="1">IFERROR(INDEX(INDIRECT($C59&amp;".Outputs["&amp;this.Year&amp;"]"), MATCH(BA$5, INDIRECT($C59&amp;".Outputs[Vector]"), 0)), 0)</f>
        <v>378.44206105263169</v>
      </c>
      <c r="BB59" s="897">
        <f ca="1">IFERROR(INDEX(INDIRECT($C59&amp;".Outputs["&amp;this.Year&amp;"]"), MATCH(BB$5, INDIRECT($C59&amp;".Outputs[Vector]"), 0)), 0)</f>
        <v>11.045160000000003</v>
      </c>
      <c r="BC59" s="898">
        <f t="shared" ca="1" si="10"/>
        <v>389.4872210526317</v>
      </c>
      <c r="BD59" s="84"/>
      <c r="BE59" s="135">
        <f ca="1">P59+AH59+AY59+BC59</f>
        <v>0</v>
      </c>
      <c r="BF59" s="135"/>
      <c r="BG59" s="1428"/>
      <c r="BH59" s="541">
        <f t="shared" ca="1" si="140"/>
        <v>188.00024968421053</v>
      </c>
      <c r="BI59" s="542">
        <f t="shared" ca="1" si="140"/>
        <v>0.55227679476015679</v>
      </c>
      <c r="BJ59" s="542">
        <f t="shared" ca="1" si="140"/>
        <v>1.6654027379566883</v>
      </c>
      <c r="BK59" s="542">
        <f t="shared" ca="1" si="140"/>
        <v>0</v>
      </c>
      <c r="BL59" s="542">
        <f t="shared" ca="1" si="140"/>
        <v>0</v>
      </c>
      <c r="BM59" s="542">
        <f t="shared" ca="1" si="140"/>
        <v>0</v>
      </c>
      <c r="BN59" s="542">
        <f t="shared" ca="1" si="140"/>
        <v>0</v>
      </c>
      <c r="BO59" s="542">
        <f t="shared" ca="1" si="140"/>
        <v>0</v>
      </c>
      <c r="BP59" s="542">
        <f t="shared" ca="1" si="140"/>
        <v>0</v>
      </c>
      <c r="BQ59" s="542">
        <f t="shared" ca="1" si="140"/>
        <v>0</v>
      </c>
      <c r="BR59" s="542">
        <f t="shared" ca="1" si="140"/>
        <v>0</v>
      </c>
      <c r="BS59" s="542">
        <f t="shared" ca="1" si="140"/>
        <v>0</v>
      </c>
      <c r="BT59" s="542">
        <f t="shared" ca="1" si="140"/>
        <v>0</v>
      </c>
      <c r="BU59" s="542">
        <f t="shared" ca="1" si="140"/>
        <v>0</v>
      </c>
      <c r="BV59" s="542">
        <f t="shared" ca="1" si="140"/>
        <v>0</v>
      </c>
      <c r="BW59" s="542">
        <f t="shared" ca="1" si="140"/>
        <v>0</v>
      </c>
      <c r="BX59" s="542">
        <f t="shared" ca="1" si="140"/>
        <v>0</v>
      </c>
      <c r="BY59" s="542">
        <f t="shared" ca="1" si="140"/>
        <v>0</v>
      </c>
      <c r="BZ59" s="542">
        <f t="shared" ca="1" si="140"/>
        <v>0</v>
      </c>
      <c r="CA59" s="542">
        <f t="shared" ca="1" si="140"/>
        <v>0</v>
      </c>
      <c r="CB59" s="542">
        <f t="shared" ca="1" si="140"/>
        <v>0</v>
      </c>
      <c r="CC59" s="542">
        <f t="shared" ca="1" si="140"/>
        <v>0</v>
      </c>
      <c r="CD59" s="542">
        <f t="shared" ca="1" si="140"/>
        <v>0</v>
      </c>
      <c r="CE59" s="542">
        <f t="shared" ca="1" si="140"/>
        <v>0</v>
      </c>
      <c r="CF59" s="542">
        <f t="shared" ca="1" si="140"/>
        <v>0</v>
      </c>
      <c r="CG59" s="542">
        <f t="shared" ca="1" si="140"/>
        <v>0</v>
      </c>
      <c r="CH59" s="542">
        <f t="shared" ca="1" si="140"/>
        <v>0</v>
      </c>
      <c r="CI59" s="542">
        <f t="shared" ca="1" si="140"/>
        <v>0</v>
      </c>
      <c r="CJ59" s="542">
        <f t="shared" ca="1" si="140"/>
        <v>0</v>
      </c>
      <c r="CK59" s="542">
        <f t="shared" ca="1" si="140"/>
        <v>0</v>
      </c>
      <c r="CL59" s="542">
        <f t="shared" ca="1" si="140"/>
        <v>0</v>
      </c>
      <c r="CM59" s="542">
        <f t="shared" ca="1" si="140"/>
        <v>0</v>
      </c>
      <c r="CN59" s="542">
        <f t="shared" ca="1" si="140"/>
        <v>0</v>
      </c>
      <c r="CO59" s="542">
        <f t="shared" ca="1" si="140"/>
        <v>0</v>
      </c>
      <c r="CP59" s="542">
        <f t="shared" ca="1" si="140"/>
        <v>0</v>
      </c>
      <c r="CQ59" s="542">
        <f t="shared" ca="1" si="140"/>
        <v>0</v>
      </c>
      <c r="CR59" s="542">
        <f t="shared" ca="1" si="140"/>
        <v>0</v>
      </c>
      <c r="CS59" s="542">
        <f t="shared" ca="1" si="140"/>
        <v>0</v>
      </c>
      <c r="CT59" s="542">
        <f t="shared" ca="1" si="140"/>
        <v>0</v>
      </c>
      <c r="CU59" s="542">
        <f t="shared" ca="1" si="140"/>
        <v>0</v>
      </c>
      <c r="CW59" s="151">
        <f t="shared" ref="CW59:CW64" ca="1" si="143">SUM(BH59:CU59)</f>
        <v>190.21792921692739</v>
      </c>
    </row>
    <row r="60" spans="1:101" s="550" customFormat="1" ht="12.75" customHeight="1" outlineLevel="1" x14ac:dyDescent="0.2">
      <c r="C60" s="566" t="s">
        <v>857</v>
      </c>
      <c r="D60" s="320" t="s">
        <v>587</v>
      </c>
      <c r="E60" s="567"/>
      <c r="F60" s="882"/>
      <c r="G60" s="333"/>
      <c r="H60" s="333"/>
      <c r="I60" s="333"/>
      <c r="J60" s="333"/>
      <c r="K60" s="333"/>
      <c r="L60" s="334"/>
      <c r="M60" s="333"/>
      <c r="N60" s="333"/>
      <c r="O60" s="333"/>
      <c r="P60" s="333">
        <f t="shared" si="136"/>
        <v>0</v>
      </c>
      <c r="Q60" s="882"/>
      <c r="R60" s="335">
        <f ca="1">R58+R59</f>
        <v>-659.56399429121348</v>
      </c>
      <c r="S60" s="335">
        <f ca="1">S58+S59</f>
        <v>621.46176646678282</v>
      </c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>
        <f t="shared" ca="1" si="5"/>
        <v>-38.102227824430656</v>
      </c>
      <c r="AI60" s="882"/>
      <c r="AJ60" s="336"/>
      <c r="AK60" s="336"/>
      <c r="AL60" s="336"/>
      <c r="AM60" s="336"/>
      <c r="AN60" s="336"/>
      <c r="AO60" s="336"/>
      <c r="AP60" s="336"/>
      <c r="AQ60" s="336"/>
      <c r="AR60" s="336"/>
      <c r="AS60" s="336"/>
      <c r="AT60" s="336"/>
      <c r="AU60" s="336"/>
      <c r="AV60" s="336"/>
      <c r="AW60" s="336"/>
      <c r="AX60" s="336"/>
      <c r="AY60" s="336">
        <f t="shared" si="74"/>
        <v>0</v>
      </c>
      <c r="AZ60" s="882"/>
      <c r="BA60" s="337"/>
      <c r="BB60" s="337"/>
      <c r="BC60" s="337">
        <f t="shared" si="10"/>
        <v>0</v>
      </c>
      <c r="BD60" s="882"/>
      <c r="BE60" s="568"/>
      <c r="BF60" s="568"/>
      <c r="BH60" s="888"/>
      <c r="BI60" s="888"/>
      <c r="BJ60" s="888"/>
      <c r="BK60" s="888"/>
      <c r="BL60" s="888"/>
      <c r="BM60" s="888"/>
      <c r="BN60" s="888"/>
      <c r="BO60" s="888"/>
      <c r="BP60" s="888"/>
      <c r="BQ60" s="888"/>
      <c r="BR60" s="888"/>
      <c r="BS60" s="888"/>
      <c r="BT60" s="888"/>
      <c r="BU60" s="888"/>
      <c r="BV60" s="888"/>
      <c r="BW60" s="888"/>
      <c r="BX60" s="888"/>
      <c r="BY60" s="888"/>
      <c r="BZ60" s="888"/>
      <c r="CA60" s="888"/>
      <c r="CB60" s="888"/>
      <c r="CC60" s="888"/>
      <c r="CD60" s="888"/>
      <c r="CE60" s="888"/>
      <c r="CF60" s="888"/>
      <c r="CG60" s="888"/>
      <c r="CH60" s="888"/>
      <c r="CI60" s="888"/>
      <c r="CJ60" s="888"/>
      <c r="CK60" s="888"/>
      <c r="CL60" s="888"/>
      <c r="CM60" s="888"/>
      <c r="CN60" s="888"/>
      <c r="CO60" s="888"/>
      <c r="CP60" s="888"/>
      <c r="CQ60" s="888"/>
      <c r="CR60" s="888"/>
      <c r="CS60" s="888"/>
      <c r="CT60" s="888"/>
      <c r="CU60" s="888"/>
      <c r="CW60" s="887">
        <f t="shared" si="143"/>
        <v>0</v>
      </c>
    </row>
    <row r="61" spans="1:101" s="543" customFormat="1" ht="12.75" customHeight="1" outlineLevel="1" x14ac:dyDescent="0.2">
      <c r="C61" s="86" t="s">
        <v>288</v>
      </c>
      <c r="D61" s="61" t="str">
        <f>INDEX(Modules[Module], MATCH($C61, Modules[Code], 0))</f>
        <v>Natural gas power stations</v>
      </c>
      <c r="E61" s="61"/>
      <c r="F61" s="84"/>
      <c r="G61" s="301">
        <f t="shared" ref="G61:O61" ca="1" si="144">IFERROR(INDEX(INDIRECT($C61&amp;".Outputs["&amp;this.Year&amp;"]"), MATCH(G$5, INDIRECT($C61&amp;".Outputs[Vector]"), 0)), 0)</f>
        <v>0</v>
      </c>
      <c r="H61" s="301">
        <f t="shared" ca="1" si="144"/>
        <v>0</v>
      </c>
      <c r="I61" s="301">
        <f t="shared" ca="1" si="144"/>
        <v>0</v>
      </c>
      <c r="J61" s="301">
        <f t="shared" ca="1" si="144"/>
        <v>0</v>
      </c>
      <c r="K61" s="301">
        <f t="shared" ca="1" si="144"/>
        <v>0</v>
      </c>
      <c r="L61" s="301">
        <f t="shared" ca="1" si="144"/>
        <v>0</v>
      </c>
      <c r="M61" s="301">
        <f t="shared" ca="1" si="144"/>
        <v>0</v>
      </c>
      <c r="N61" s="301">
        <f t="shared" ca="1" si="144"/>
        <v>0</v>
      </c>
      <c r="O61" s="301">
        <f t="shared" ca="1" si="144"/>
        <v>0</v>
      </c>
      <c r="P61" s="301">
        <f t="shared" ca="1" si="136"/>
        <v>0</v>
      </c>
      <c r="Q61" s="84"/>
      <c r="R61" s="307">
        <f t="shared" ref="R61:AX61" ca="1" si="145">IFERROR(INDEX(INDIRECT($C61&amp;".Outputs["&amp;this.Year&amp;"]"), MATCH(R$5, INDIRECT($C61&amp;".Outputs[Vector]"), 0)), 0)</f>
        <v>0</v>
      </c>
      <c r="S61" s="307">
        <f t="shared" ca="1" si="145"/>
        <v>352.64741399999997</v>
      </c>
      <c r="T61" s="307">
        <f t="shared" ca="1" si="145"/>
        <v>0</v>
      </c>
      <c r="U61" s="307">
        <f t="shared" ca="1" si="145"/>
        <v>0</v>
      </c>
      <c r="V61" s="307">
        <f t="shared" ca="1" si="145"/>
        <v>-740.55956939999999</v>
      </c>
      <c r="W61" s="307">
        <f t="shared" ca="1" si="145"/>
        <v>0</v>
      </c>
      <c r="X61" s="307">
        <f ca="1">IFERROR(INDEX(INDIRECT($C61&amp;".Outputs["&amp;this.Year&amp;"]"), MATCH(X$5, INDIRECT($C61&amp;".Outputs[Vector]"), 0)), 0)</f>
        <v>0</v>
      </c>
      <c r="Y61" s="307">
        <f ca="1">IFERROR(INDEX(INDIRECT($C61&amp;".Outputs["&amp;this.Year&amp;"]"), MATCH(Y$5, INDIRECT($C61&amp;".Outputs[Vector]"), 0)), 0)</f>
        <v>0</v>
      </c>
      <c r="Z61" s="307">
        <f ca="1">IFERROR(INDEX(INDIRECT($C61&amp;".Outputs["&amp;this.Year&amp;"]"), MATCH(Z$5, INDIRECT($C61&amp;".Outputs[Vector]"), 0)), 0)</f>
        <v>0</v>
      </c>
      <c r="AA61" s="307">
        <f t="shared" ca="1" si="145"/>
        <v>0</v>
      </c>
      <c r="AB61" s="307">
        <f t="shared" ca="1" si="145"/>
        <v>0</v>
      </c>
      <c r="AC61" s="307">
        <f t="shared" ca="1" si="145"/>
        <v>0</v>
      </c>
      <c r="AD61" s="307">
        <f t="shared" ca="1" si="145"/>
        <v>0</v>
      </c>
      <c r="AE61" s="307">
        <f t="shared" ca="1" si="145"/>
        <v>0</v>
      </c>
      <c r="AF61" s="307">
        <f t="shared" ca="1" si="145"/>
        <v>0</v>
      </c>
      <c r="AG61" s="307">
        <f t="shared" ca="1" si="145"/>
        <v>0</v>
      </c>
      <c r="AH61" s="306">
        <f t="shared" ca="1" si="5"/>
        <v>-387.91215540000002</v>
      </c>
      <c r="AI61" s="84"/>
      <c r="AJ61" s="315">
        <f t="shared" ref="AJ61:AR61" ca="1" si="146">IFERROR(INDEX(INDIRECT($C61&amp;".Outputs["&amp;this.Year&amp;"]"), MATCH(AJ$5, INDIRECT($C61&amp;".Outputs[Vector]"), 0)), 0)</f>
        <v>0</v>
      </c>
      <c r="AK61" s="315">
        <f t="shared" ca="1" si="146"/>
        <v>0</v>
      </c>
      <c r="AL61" s="315">
        <f t="shared" ca="1" si="146"/>
        <v>0</v>
      </c>
      <c r="AM61" s="315">
        <f t="shared" ca="1" si="146"/>
        <v>0</v>
      </c>
      <c r="AN61" s="315">
        <f t="shared" ca="1" si="146"/>
        <v>0</v>
      </c>
      <c r="AO61" s="315">
        <f t="shared" ca="1" si="146"/>
        <v>0</v>
      </c>
      <c r="AP61" s="315">
        <f t="shared" ca="1" si="146"/>
        <v>0</v>
      </c>
      <c r="AQ61" s="315">
        <f t="shared" ca="1" si="146"/>
        <v>0</v>
      </c>
      <c r="AR61" s="315">
        <f t="shared" ca="1" si="146"/>
        <v>0</v>
      </c>
      <c r="AS61" s="315">
        <f t="shared" ca="1" si="145"/>
        <v>0</v>
      </c>
      <c r="AT61" s="315">
        <f t="shared" ca="1" si="145"/>
        <v>0</v>
      </c>
      <c r="AU61" s="315">
        <f t="shared" ca="1" si="145"/>
        <v>0</v>
      </c>
      <c r="AV61" s="315">
        <f t="shared" ca="1" si="145"/>
        <v>0</v>
      </c>
      <c r="AW61" s="315">
        <f t="shared" ca="1" si="145"/>
        <v>0</v>
      </c>
      <c r="AX61" s="315">
        <f t="shared" ca="1" si="145"/>
        <v>0</v>
      </c>
      <c r="AY61" s="293">
        <f t="shared" ref="AY61:AY90" ca="1" si="147">SUM(AJ61:AX61)</f>
        <v>0</v>
      </c>
      <c r="AZ61" s="84"/>
      <c r="BA61" s="311">
        <f ca="1">IFERROR(INDEX(INDIRECT($C61&amp;".Outputs["&amp;this.Year&amp;"]"), MATCH(BA$5, INDIRECT($C61&amp;".Outputs[Vector]"), 0)), 0)</f>
        <v>370.27978469999999</v>
      </c>
      <c r="BB61" s="311">
        <f ca="1">IFERROR(INDEX(INDIRECT($C61&amp;".Outputs["&amp;this.Year&amp;"]"), MATCH(BB$5, INDIRECT($C61&amp;".Outputs[Vector]"), 0)), 0)</f>
        <v>17.632370699999999</v>
      </c>
      <c r="BC61" s="310">
        <f t="shared" ca="1" si="10"/>
        <v>387.91215540000002</v>
      </c>
      <c r="BD61" s="84"/>
      <c r="BE61" s="135">
        <f ca="1">P61+AH61+AY61+BC61</f>
        <v>0</v>
      </c>
      <c r="BF61" s="135"/>
      <c r="BG61" s="1428"/>
      <c r="BH61" s="544">
        <f t="shared" ref="BH61:CU61" ca="1" si="148">IFERROR(SUMIFS(INDIRECT($C61&amp;".Emissions["&amp;this.Year&amp;"]"), INDIRECT($C61&amp;".Emissions[GHG]"), BH$6, INDIRECT($C61&amp;".Emissions[IPCC Sector]"), BH$5),0)</f>
        <v>136.26296076959997</v>
      </c>
      <c r="BI61" s="545">
        <f t="shared" ca="1" si="148"/>
        <v>0.27313715743666428</v>
      </c>
      <c r="BJ61" s="545">
        <f t="shared" ca="1" si="148"/>
        <v>0.29377229180454828</v>
      </c>
      <c r="BK61" s="545">
        <f t="shared" ca="1" si="148"/>
        <v>0</v>
      </c>
      <c r="BL61" s="545">
        <f t="shared" ca="1" si="148"/>
        <v>0</v>
      </c>
      <c r="BM61" s="545">
        <f t="shared" ca="1" si="148"/>
        <v>0</v>
      </c>
      <c r="BN61" s="545">
        <f t="shared" ca="1" si="148"/>
        <v>0</v>
      </c>
      <c r="BO61" s="545">
        <f t="shared" ca="1" si="148"/>
        <v>0</v>
      </c>
      <c r="BP61" s="545">
        <f t="shared" ca="1" si="148"/>
        <v>0</v>
      </c>
      <c r="BQ61" s="545">
        <f t="shared" ca="1" si="148"/>
        <v>0</v>
      </c>
      <c r="BR61" s="545">
        <f t="shared" ca="1" si="148"/>
        <v>0</v>
      </c>
      <c r="BS61" s="545">
        <f t="shared" ca="1" si="148"/>
        <v>0</v>
      </c>
      <c r="BT61" s="545">
        <f t="shared" ca="1" si="148"/>
        <v>0</v>
      </c>
      <c r="BU61" s="545">
        <f t="shared" ca="1" si="148"/>
        <v>0</v>
      </c>
      <c r="BV61" s="545">
        <f t="shared" ca="1" si="148"/>
        <v>0</v>
      </c>
      <c r="BW61" s="545">
        <f t="shared" ca="1" si="148"/>
        <v>0</v>
      </c>
      <c r="BX61" s="545">
        <f t="shared" ca="1" si="148"/>
        <v>0</v>
      </c>
      <c r="BY61" s="545">
        <f t="shared" ca="1" si="148"/>
        <v>0</v>
      </c>
      <c r="BZ61" s="545">
        <f t="shared" ca="1" si="148"/>
        <v>0</v>
      </c>
      <c r="CA61" s="545">
        <f t="shared" ca="1" si="148"/>
        <v>0</v>
      </c>
      <c r="CB61" s="545">
        <f t="shared" ca="1" si="148"/>
        <v>0</v>
      </c>
      <c r="CC61" s="545">
        <f t="shared" ca="1" si="148"/>
        <v>0</v>
      </c>
      <c r="CD61" s="545">
        <f t="shared" ca="1" si="148"/>
        <v>0</v>
      </c>
      <c r="CE61" s="545">
        <f t="shared" ca="1" si="148"/>
        <v>0</v>
      </c>
      <c r="CF61" s="545">
        <f t="shared" ca="1" si="148"/>
        <v>0</v>
      </c>
      <c r="CG61" s="545">
        <f t="shared" ca="1" si="148"/>
        <v>0</v>
      </c>
      <c r="CH61" s="545">
        <f t="shared" ca="1" si="148"/>
        <v>0</v>
      </c>
      <c r="CI61" s="545">
        <f t="shared" ca="1" si="148"/>
        <v>0</v>
      </c>
      <c r="CJ61" s="545">
        <f t="shared" ca="1" si="148"/>
        <v>0</v>
      </c>
      <c r="CK61" s="545">
        <f t="shared" ca="1" si="148"/>
        <v>0</v>
      </c>
      <c r="CL61" s="545">
        <f t="shared" ca="1" si="148"/>
        <v>0</v>
      </c>
      <c r="CM61" s="545">
        <f t="shared" ca="1" si="148"/>
        <v>0</v>
      </c>
      <c r="CN61" s="545">
        <f t="shared" ca="1" si="148"/>
        <v>0</v>
      </c>
      <c r="CO61" s="545">
        <f t="shared" ca="1" si="148"/>
        <v>0</v>
      </c>
      <c r="CP61" s="545">
        <f t="shared" ca="1" si="148"/>
        <v>0</v>
      </c>
      <c r="CQ61" s="545">
        <f t="shared" ca="1" si="148"/>
        <v>0</v>
      </c>
      <c r="CR61" s="545">
        <f t="shared" ca="1" si="148"/>
        <v>0</v>
      </c>
      <c r="CS61" s="545">
        <f t="shared" ca="1" si="148"/>
        <v>0</v>
      </c>
      <c r="CT61" s="545">
        <f t="shared" ca="1" si="148"/>
        <v>0</v>
      </c>
      <c r="CU61" s="545">
        <f t="shared" ca="1" si="148"/>
        <v>0</v>
      </c>
      <c r="CW61" s="151">
        <f t="shared" ca="1" si="143"/>
        <v>136.82987021884117</v>
      </c>
    </row>
    <row r="62" spans="1:101" s="543" customFormat="1" ht="12.75" customHeight="1" outlineLevel="1" x14ac:dyDescent="0.2">
      <c r="C62" s="319" t="s">
        <v>2402</v>
      </c>
      <c r="D62" s="320" t="s">
        <v>587</v>
      </c>
      <c r="E62" s="61"/>
      <c r="F62" s="84"/>
      <c r="G62" s="333"/>
      <c r="H62" s="333"/>
      <c r="I62" s="333"/>
      <c r="J62" s="333"/>
      <c r="K62" s="333"/>
      <c r="L62" s="334"/>
      <c r="M62" s="333"/>
      <c r="N62" s="333"/>
      <c r="O62" s="333"/>
      <c r="P62" s="333">
        <f t="shared" si="136"/>
        <v>0</v>
      </c>
      <c r="Q62" s="882"/>
      <c r="R62" s="335">
        <f ca="1">R60+R61</f>
        <v>-659.56399429121348</v>
      </c>
      <c r="S62" s="335">
        <f ca="1">S60+S61</f>
        <v>974.10918046678285</v>
      </c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>
        <f t="shared" ca="1" si="5"/>
        <v>314.54518617556937</v>
      </c>
      <c r="AI62" s="882"/>
      <c r="AJ62" s="336"/>
      <c r="AK62" s="336"/>
      <c r="AL62" s="336"/>
      <c r="AM62" s="336"/>
      <c r="AN62" s="336"/>
      <c r="AO62" s="336"/>
      <c r="AP62" s="336"/>
      <c r="AQ62" s="336"/>
      <c r="AR62" s="336"/>
      <c r="AS62" s="336"/>
      <c r="AT62" s="336"/>
      <c r="AU62" s="336"/>
      <c r="AV62" s="336"/>
      <c r="AW62" s="336"/>
      <c r="AX62" s="336"/>
      <c r="AY62" s="336">
        <f t="shared" si="147"/>
        <v>0</v>
      </c>
      <c r="AZ62" s="882"/>
      <c r="BA62" s="337"/>
      <c r="BB62" s="337"/>
      <c r="BC62" s="337">
        <f t="shared" si="10"/>
        <v>0</v>
      </c>
      <c r="BD62" s="882"/>
      <c r="BE62" s="568"/>
      <c r="BF62" s="568"/>
      <c r="BG62" s="550"/>
      <c r="BH62" s="888"/>
      <c r="BI62" s="888"/>
      <c r="BJ62" s="888"/>
      <c r="BK62" s="888"/>
      <c r="BL62" s="888"/>
      <c r="BM62" s="888"/>
      <c r="BN62" s="888"/>
      <c r="BO62" s="888"/>
      <c r="BP62" s="888"/>
      <c r="BQ62" s="888"/>
      <c r="BR62" s="888"/>
      <c r="BS62" s="888"/>
      <c r="BT62" s="888"/>
      <c r="BU62" s="888"/>
      <c r="BV62" s="888"/>
      <c r="BW62" s="888"/>
      <c r="BX62" s="888"/>
      <c r="BY62" s="888"/>
      <c r="BZ62" s="888"/>
      <c r="CA62" s="888"/>
      <c r="CB62" s="888"/>
      <c r="CC62" s="888"/>
      <c r="CD62" s="888"/>
      <c r="CE62" s="888"/>
      <c r="CF62" s="888"/>
      <c r="CG62" s="888"/>
      <c r="CH62" s="888"/>
      <c r="CI62" s="888"/>
      <c r="CJ62" s="888"/>
      <c r="CK62" s="888"/>
      <c r="CL62" s="888"/>
      <c r="CM62" s="888"/>
      <c r="CN62" s="888"/>
      <c r="CO62" s="888"/>
      <c r="CP62" s="888"/>
      <c r="CQ62" s="888"/>
      <c r="CR62" s="888"/>
      <c r="CS62" s="888"/>
      <c r="CT62" s="888"/>
      <c r="CU62" s="888"/>
      <c r="CV62" s="550"/>
      <c r="CW62" s="887">
        <f t="shared" si="143"/>
        <v>0</v>
      </c>
    </row>
    <row r="63" spans="1:101" s="543" customFormat="1" ht="12.75" customHeight="1" outlineLevel="1" x14ac:dyDescent="0.2">
      <c r="C63" s="86" t="s">
        <v>2382</v>
      </c>
      <c r="D63" s="61" t="str">
        <f>INDEX(Modules[Module], MATCH($C63, Modules[Code], 0))</f>
        <v xml:space="preserve">Self Generation </v>
      </c>
      <c r="E63" s="61"/>
      <c r="F63" s="84"/>
      <c r="G63" s="892">
        <f t="shared" ref="G63:O63" ca="1" si="149">IFERROR(INDEX(INDIRECT($C63&amp;".Outputs["&amp;this.Year&amp;"]"), MATCH(G$5, INDIRECT($C63&amp;".Outputs[Vector]"), 0)), 0)</f>
        <v>0</v>
      </c>
      <c r="H63" s="892">
        <f t="shared" ca="1" si="149"/>
        <v>0</v>
      </c>
      <c r="I63" s="892">
        <f t="shared" ca="1" si="149"/>
        <v>0</v>
      </c>
      <c r="J63" s="892">
        <f t="shared" ca="1" si="149"/>
        <v>0</v>
      </c>
      <c r="K63" s="892">
        <f t="shared" ca="1" si="149"/>
        <v>0</v>
      </c>
      <c r="L63" s="892">
        <f t="shared" ca="1" si="149"/>
        <v>0</v>
      </c>
      <c r="M63" s="892">
        <f t="shared" ca="1" si="149"/>
        <v>0</v>
      </c>
      <c r="N63" s="892">
        <f t="shared" ca="1" si="149"/>
        <v>0</v>
      </c>
      <c r="O63" s="892">
        <f t="shared" ca="1" si="149"/>
        <v>0</v>
      </c>
      <c r="P63" s="892">
        <f t="shared" ca="1" si="136"/>
        <v>0</v>
      </c>
      <c r="Q63" s="84"/>
      <c r="R63" s="893">
        <f t="shared" ref="R63:AX63" ca="1" si="150">IFERROR(INDEX(INDIRECT($C63&amp;".Outputs["&amp;this.Year&amp;"]"), MATCH(R$5, INDIRECT($C63&amp;".Outputs[Vector]"), 0)), 0)</f>
        <v>0</v>
      </c>
      <c r="S63" s="893">
        <f t="shared" ca="1" si="150"/>
        <v>0</v>
      </c>
      <c r="T63" s="893">
        <f t="shared" ca="1" si="150"/>
        <v>0</v>
      </c>
      <c r="U63" s="893">
        <f t="shared" ca="1" si="150"/>
        <v>0</v>
      </c>
      <c r="V63" s="893">
        <f t="shared" ca="1" si="150"/>
        <v>0</v>
      </c>
      <c r="W63" s="893">
        <f t="shared" ca="1" si="150"/>
        <v>0</v>
      </c>
      <c r="X63" s="893">
        <f ca="1">IFERROR(INDEX(INDIRECT($C63&amp;".Outputs["&amp;this.Year&amp;"]"), MATCH(X$5, INDIRECT($C63&amp;".Outputs[Vector]"), 0)), 0)</f>
        <v>0</v>
      </c>
      <c r="Y63" s="893">
        <f ca="1">IFERROR(INDEX(INDIRECT($C63&amp;".Outputs["&amp;this.Year&amp;"]"), MATCH(Y$5, INDIRECT($C63&amp;".Outputs[Vector]"), 0)), 0)</f>
        <v>0</v>
      </c>
      <c r="Z63" s="893">
        <f ca="1">IFERROR(INDEX(INDIRECT($C63&amp;".Outputs["&amp;this.Year&amp;"]"), MATCH(Z$5, INDIRECT($C63&amp;".Outputs[Vector]"), 0)), 0)</f>
        <v>0</v>
      </c>
      <c r="AA63" s="893">
        <f t="shared" ca="1" si="150"/>
        <v>0</v>
      </c>
      <c r="AB63" s="893">
        <f t="shared" ca="1" si="150"/>
        <v>0</v>
      </c>
      <c r="AC63" s="893">
        <f t="shared" ca="1" si="150"/>
        <v>0</v>
      </c>
      <c r="AD63" s="893">
        <f t="shared" ca="1" si="150"/>
        <v>0</v>
      </c>
      <c r="AE63" s="893">
        <f t="shared" ca="1" si="150"/>
        <v>0</v>
      </c>
      <c r="AF63" s="893">
        <f t="shared" ca="1" si="150"/>
        <v>0</v>
      </c>
      <c r="AG63" s="893">
        <f t="shared" ca="1" si="150"/>
        <v>0</v>
      </c>
      <c r="AH63" s="894">
        <f t="shared" ca="1" si="5"/>
        <v>0</v>
      </c>
      <c r="AI63" s="84"/>
      <c r="AJ63" s="895">
        <f t="shared" ref="AJ63:AR63" ca="1" si="151">IFERROR(INDEX(INDIRECT($C63&amp;".Outputs["&amp;this.Year&amp;"]"), MATCH(AJ$5, INDIRECT($C63&amp;".Outputs[Vector]"), 0)), 0)</f>
        <v>0</v>
      </c>
      <c r="AK63" s="895">
        <f t="shared" ca="1" si="151"/>
        <v>0</v>
      </c>
      <c r="AL63" s="895">
        <f t="shared" ca="1" si="151"/>
        <v>0</v>
      </c>
      <c r="AM63" s="895">
        <f t="shared" ca="1" si="151"/>
        <v>0</v>
      </c>
      <c r="AN63" s="895">
        <f t="shared" ca="1" si="151"/>
        <v>0</v>
      </c>
      <c r="AO63" s="895">
        <f t="shared" ca="1" si="151"/>
        <v>0</v>
      </c>
      <c r="AP63" s="895">
        <f t="shared" ca="1" si="151"/>
        <v>0</v>
      </c>
      <c r="AQ63" s="895">
        <f t="shared" ca="1" si="151"/>
        <v>0</v>
      </c>
      <c r="AR63" s="895">
        <f t="shared" ca="1" si="151"/>
        <v>0</v>
      </c>
      <c r="AS63" s="895">
        <f t="shared" ca="1" si="150"/>
        <v>0</v>
      </c>
      <c r="AT63" s="895">
        <f t="shared" ca="1" si="150"/>
        <v>0</v>
      </c>
      <c r="AU63" s="895">
        <f t="shared" ca="1" si="150"/>
        <v>0</v>
      </c>
      <c r="AV63" s="895">
        <f t="shared" ca="1" si="150"/>
        <v>0</v>
      </c>
      <c r="AW63" s="895">
        <f t="shared" ca="1" si="150"/>
        <v>0</v>
      </c>
      <c r="AX63" s="895">
        <f t="shared" ca="1" si="150"/>
        <v>0</v>
      </c>
      <c r="AY63" s="896">
        <f t="shared" ca="1" si="147"/>
        <v>0</v>
      </c>
      <c r="AZ63" s="84"/>
      <c r="BA63" s="897">
        <f ca="1">IFERROR(INDEX(INDIRECT($C63&amp;".Outputs["&amp;this.Year&amp;"]"), MATCH(BA$5, INDIRECT($C63&amp;".Outputs[Vector]"), 0)), 0)</f>
        <v>0</v>
      </c>
      <c r="BB63" s="897">
        <f ca="1">IFERROR(INDEX(INDIRECT($C63&amp;".Outputs["&amp;this.Year&amp;"]"), MATCH(BB$5, INDIRECT($C63&amp;".Outputs[Vector]"), 0)), 0)</f>
        <v>0</v>
      </c>
      <c r="BC63" s="898">
        <f t="shared" ca="1" si="10"/>
        <v>0</v>
      </c>
      <c r="BD63" s="84"/>
      <c r="BE63" s="135">
        <f ca="1">P63+AH63+AY63+BC63</f>
        <v>0</v>
      </c>
      <c r="BF63" s="135"/>
      <c r="BG63" s="1428"/>
      <c r="BH63" s="541">
        <f t="shared" ref="BH63:CU63" ca="1" si="152">IFERROR(SUMIFS(INDIRECT($C63&amp;".Emissions["&amp;this.Year&amp;"]"), INDIRECT($C63&amp;".Emissions[GHG]"), BH$6, INDIRECT($C63&amp;".Emissions[IPCC Sector]"), BH$5),0)</f>
        <v>0</v>
      </c>
      <c r="BI63" s="542">
        <f t="shared" ca="1" si="152"/>
        <v>0</v>
      </c>
      <c r="BJ63" s="542">
        <f t="shared" ca="1" si="152"/>
        <v>0</v>
      </c>
      <c r="BK63" s="542">
        <f t="shared" ca="1" si="152"/>
        <v>0</v>
      </c>
      <c r="BL63" s="542">
        <f t="shared" ca="1" si="152"/>
        <v>0</v>
      </c>
      <c r="BM63" s="542">
        <f t="shared" ca="1" si="152"/>
        <v>0</v>
      </c>
      <c r="BN63" s="542">
        <f t="shared" ca="1" si="152"/>
        <v>0</v>
      </c>
      <c r="BO63" s="542">
        <f t="shared" ca="1" si="152"/>
        <v>0</v>
      </c>
      <c r="BP63" s="542">
        <f t="shared" ca="1" si="152"/>
        <v>0</v>
      </c>
      <c r="BQ63" s="542">
        <f t="shared" ca="1" si="152"/>
        <v>0</v>
      </c>
      <c r="BR63" s="542">
        <f t="shared" ca="1" si="152"/>
        <v>0</v>
      </c>
      <c r="BS63" s="542">
        <f t="shared" ca="1" si="152"/>
        <v>0</v>
      </c>
      <c r="BT63" s="542">
        <f t="shared" ca="1" si="152"/>
        <v>0</v>
      </c>
      <c r="BU63" s="542">
        <f t="shared" ca="1" si="152"/>
        <v>0</v>
      </c>
      <c r="BV63" s="542">
        <f t="shared" ca="1" si="152"/>
        <v>0</v>
      </c>
      <c r="BW63" s="542">
        <f t="shared" ca="1" si="152"/>
        <v>0</v>
      </c>
      <c r="BX63" s="542">
        <f t="shared" ca="1" si="152"/>
        <v>0</v>
      </c>
      <c r="BY63" s="542">
        <f t="shared" ca="1" si="152"/>
        <v>0</v>
      </c>
      <c r="BZ63" s="542">
        <f t="shared" ca="1" si="152"/>
        <v>0</v>
      </c>
      <c r="CA63" s="542">
        <f t="shared" ca="1" si="152"/>
        <v>0</v>
      </c>
      <c r="CB63" s="542">
        <f t="shared" ca="1" si="152"/>
        <v>0</v>
      </c>
      <c r="CC63" s="542">
        <f t="shared" ca="1" si="152"/>
        <v>0</v>
      </c>
      <c r="CD63" s="542">
        <f t="shared" ca="1" si="152"/>
        <v>0</v>
      </c>
      <c r="CE63" s="542">
        <f t="shared" ca="1" si="152"/>
        <v>0</v>
      </c>
      <c r="CF63" s="542">
        <f t="shared" ca="1" si="152"/>
        <v>0</v>
      </c>
      <c r="CG63" s="542">
        <f t="shared" ca="1" si="152"/>
        <v>0</v>
      </c>
      <c r="CH63" s="542">
        <f t="shared" ca="1" si="152"/>
        <v>0</v>
      </c>
      <c r="CI63" s="542">
        <f t="shared" ca="1" si="152"/>
        <v>0</v>
      </c>
      <c r="CJ63" s="542">
        <f t="shared" ca="1" si="152"/>
        <v>0</v>
      </c>
      <c r="CK63" s="542">
        <f t="shared" ca="1" si="152"/>
        <v>0</v>
      </c>
      <c r="CL63" s="542">
        <f t="shared" ca="1" si="152"/>
        <v>0</v>
      </c>
      <c r="CM63" s="542">
        <f t="shared" ca="1" si="152"/>
        <v>0</v>
      </c>
      <c r="CN63" s="542">
        <f t="shared" ca="1" si="152"/>
        <v>0</v>
      </c>
      <c r="CO63" s="542">
        <f t="shared" ca="1" si="152"/>
        <v>0</v>
      </c>
      <c r="CP63" s="542">
        <f t="shared" ca="1" si="152"/>
        <v>0</v>
      </c>
      <c r="CQ63" s="542">
        <f t="shared" ca="1" si="152"/>
        <v>0</v>
      </c>
      <c r="CR63" s="542">
        <f t="shared" ca="1" si="152"/>
        <v>0</v>
      </c>
      <c r="CS63" s="542">
        <f t="shared" ca="1" si="152"/>
        <v>0</v>
      </c>
      <c r="CT63" s="542">
        <f t="shared" ca="1" si="152"/>
        <v>0</v>
      </c>
      <c r="CU63" s="542">
        <f t="shared" ca="1" si="152"/>
        <v>0</v>
      </c>
      <c r="CW63" s="151">
        <f t="shared" ca="1" si="143"/>
        <v>0</v>
      </c>
    </row>
    <row r="64" spans="1:101" s="84" customFormat="1" ht="15.75" x14ac:dyDescent="0.2">
      <c r="A64" s="18"/>
      <c r="B64" s="89"/>
      <c r="C64" s="85" t="s">
        <v>60</v>
      </c>
      <c r="D64" s="57" t="str">
        <f>INDEX(Workstreams[Workstream], MATCH($C64, Workstreams[Code], 0))</f>
        <v>Hydrocarbon fuel power generation</v>
      </c>
      <c r="E64" s="53"/>
      <c r="G64" s="300">
        <f ca="1">G57+G61+G63+G59</f>
        <v>0</v>
      </c>
      <c r="H64" s="300">
        <f t="shared" ref="H64:BS64" ca="1" si="153">H57+H61+H63+H59</f>
        <v>0</v>
      </c>
      <c r="I64" s="300">
        <f t="shared" ca="1" si="153"/>
        <v>0</v>
      </c>
      <c r="J64" s="300">
        <f t="shared" ca="1" si="153"/>
        <v>0</v>
      </c>
      <c r="K64" s="300">
        <f t="shared" ca="1" si="153"/>
        <v>0</v>
      </c>
      <c r="L64" s="300">
        <f t="shared" ca="1" si="153"/>
        <v>0</v>
      </c>
      <c r="M64" s="300">
        <f t="shared" ca="1" si="153"/>
        <v>0</v>
      </c>
      <c r="N64" s="300">
        <f t="shared" ca="1" si="153"/>
        <v>0</v>
      </c>
      <c r="O64" s="300">
        <f t="shared" ca="1" si="153"/>
        <v>0</v>
      </c>
      <c r="P64" s="300">
        <f t="shared" ca="1" si="136"/>
        <v>0</v>
      </c>
      <c r="Q64" s="300">
        <f t="shared" si="153"/>
        <v>0</v>
      </c>
      <c r="R64" s="300">
        <f t="shared" ca="1" si="153"/>
        <v>0</v>
      </c>
      <c r="S64" s="300">
        <f t="shared" ca="1" si="153"/>
        <v>620.88701400000002</v>
      </c>
      <c r="T64" s="300">
        <f t="shared" ca="1" si="153"/>
        <v>-752.3996210526318</v>
      </c>
      <c r="U64" s="300">
        <f t="shared" ca="1" si="153"/>
        <v>0</v>
      </c>
      <c r="V64" s="300">
        <f t="shared" ca="1" si="153"/>
        <v>-740.55956939999999</v>
      </c>
      <c r="W64" s="300">
        <f t="shared" ca="1" si="153"/>
        <v>0</v>
      </c>
      <c r="X64" s="300">
        <f t="shared" ca="1" si="153"/>
        <v>0</v>
      </c>
      <c r="Y64" s="300">
        <f t="shared" ca="1" si="153"/>
        <v>0</v>
      </c>
      <c r="Z64" s="300">
        <f t="shared" ca="1" si="153"/>
        <v>0</v>
      </c>
      <c r="AA64" s="300">
        <f t="shared" ca="1" si="153"/>
        <v>0</v>
      </c>
      <c r="AB64" s="300">
        <f t="shared" ca="1" si="153"/>
        <v>0</v>
      </c>
      <c r="AC64" s="300">
        <f t="shared" ca="1" si="153"/>
        <v>0</v>
      </c>
      <c r="AD64" s="300">
        <f t="shared" ca="1" si="153"/>
        <v>0</v>
      </c>
      <c r="AE64" s="300">
        <f t="shared" ca="1" si="153"/>
        <v>0</v>
      </c>
      <c r="AF64" s="300">
        <f t="shared" ca="1" si="153"/>
        <v>0</v>
      </c>
      <c r="AG64" s="300">
        <f t="shared" ca="1" si="153"/>
        <v>0</v>
      </c>
      <c r="AH64" s="300">
        <f t="shared" ca="1" si="5"/>
        <v>-872.07217645263177</v>
      </c>
      <c r="AI64" s="300">
        <f t="shared" si="153"/>
        <v>0</v>
      </c>
      <c r="AJ64" s="300">
        <f t="shared" ca="1" si="153"/>
        <v>0</v>
      </c>
      <c r="AK64" s="300">
        <f t="shared" ca="1" si="153"/>
        <v>0</v>
      </c>
      <c r="AL64" s="300">
        <f t="shared" ca="1" si="153"/>
        <v>0</v>
      </c>
      <c r="AM64" s="300">
        <f t="shared" ca="1" si="153"/>
        <v>0</v>
      </c>
      <c r="AN64" s="300">
        <f t="shared" ca="1" si="153"/>
        <v>0</v>
      </c>
      <c r="AO64" s="300">
        <f t="shared" ca="1" si="153"/>
        <v>0</v>
      </c>
      <c r="AP64" s="300">
        <f t="shared" ca="1" si="153"/>
        <v>0</v>
      </c>
      <c r="AQ64" s="300">
        <f t="shared" ca="1" si="153"/>
        <v>0</v>
      </c>
      <c r="AR64" s="300">
        <f t="shared" ca="1" si="153"/>
        <v>0</v>
      </c>
      <c r="AS64" s="300">
        <f t="shared" ca="1" si="153"/>
        <v>0</v>
      </c>
      <c r="AT64" s="300">
        <f t="shared" ca="1" si="153"/>
        <v>0</v>
      </c>
      <c r="AU64" s="300">
        <f t="shared" ca="1" si="153"/>
        <v>0</v>
      </c>
      <c r="AV64" s="300">
        <f t="shared" ca="1" si="153"/>
        <v>0</v>
      </c>
      <c r="AW64" s="300">
        <f t="shared" ca="1" si="153"/>
        <v>0</v>
      </c>
      <c r="AX64" s="300">
        <f t="shared" ca="1" si="153"/>
        <v>0</v>
      </c>
      <c r="AY64" s="300">
        <f t="shared" ca="1" si="147"/>
        <v>0</v>
      </c>
      <c r="AZ64" s="300">
        <f t="shared" si="153"/>
        <v>0</v>
      </c>
      <c r="BA64" s="300">
        <f t="shared" ca="1" si="153"/>
        <v>841.02782575263177</v>
      </c>
      <c r="BB64" s="300">
        <f t="shared" ca="1" si="153"/>
        <v>31.044350700000003</v>
      </c>
      <c r="BC64" s="300">
        <f t="shared" ca="1" si="10"/>
        <v>872.07217645263177</v>
      </c>
      <c r="BD64" s="300">
        <f t="shared" si="153"/>
        <v>0</v>
      </c>
      <c r="BE64" s="300">
        <f t="shared" ca="1" si="153"/>
        <v>0</v>
      </c>
      <c r="BF64" s="300">
        <f t="shared" si="153"/>
        <v>0</v>
      </c>
      <c r="BG64" s="300">
        <f t="shared" si="153"/>
        <v>0</v>
      </c>
      <c r="BH64" s="300">
        <f t="shared" ca="1" si="153"/>
        <v>368.00204405381049</v>
      </c>
      <c r="BI64" s="300">
        <f t="shared" ca="1" si="153"/>
        <v>0.95390283914102081</v>
      </c>
      <c r="BJ64" s="300">
        <f t="shared" ca="1" si="153"/>
        <v>2.3466360749185071</v>
      </c>
      <c r="BK64" s="300">
        <f t="shared" ca="1" si="153"/>
        <v>0</v>
      </c>
      <c r="BL64" s="300">
        <f t="shared" ca="1" si="153"/>
        <v>0</v>
      </c>
      <c r="BM64" s="300">
        <f t="shared" ca="1" si="153"/>
        <v>0</v>
      </c>
      <c r="BN64" s="300">
        <f t="shared" ca="1" si="153"/>
        <v>0</v>
      </c>
      <c r="BO64" s="300">
        <f t="shared" ca="1" si="153"/>
        <v>0</v>
      </c>
      <c r="BP64" s="300">
        <f t="shared" ca="1" si="153"/>
        <v>0</v>
      </c>
      <c r="BQ64" s="300">
        <f t="shared" ca="1" si="153"/>
        <v>0</v>
      </c>
      <c r="BR64" s="300">
        <f t="shared" ca="1" si="153"/>
        <v>0</v>
      </c>
      <c r="BS64" s="300">
        <f t="shared" ca="1" si="153"/>
        <v>0</v>
      </c>
      <c r="BT64" s="300">
        <f t="shared" ref="BT64:CU64" ca="1" si="154">BT57+BT61+BT63+BT59</f>
        <v>0</v>
      </c>
      <c r="BU64" s="300">
        <f t="shared" ca="1" si="154"/>
        <v>0</v>
      </c>
      <c r="BV64" s="300">
        <f t="shared" ca="1" si="154"/>
        <v>0</v>
      </c>
      <c r="BW64" s="300">
        <f t="shared" ca="1" si="154"/>
        <v>0</v>
      </c>
      <c r="BX64" s="300">
        <f t="shared" ca="1" si="154"/>
        <v>0</v>
      </c>
      <c r="BY64" s="300">
        <f t="shared" ca="1" si="154"/>
        <v>0</v>
      </c>
      <c r="BZ64" s="300">
        <f t="shared" ca="1" si="154"/>
        <v>0</v>
      </c>
      <c r="CA64" s="300">
        <f t="shared" ca="1" si="154"/>
        <v>0</v>
      </c>
      <c r="CB64" s="300">
        <f t="shared" ca="1" si="154"/>
        <v>0</v>
      </c>
      <c r="CC64" s="300">
        <f t="shared" ca="1" si="154"/>
        <v>0</v>
      </c>
      <c r="CD64" s="300">
        <f t="shared" ca="1" si="154"/>
        <v>0</v>
      </c>
      <c r="CE64" s="300">
        <f t="shared" ca="1" si="154"/>
        <v>0</v>
      </c>
      <c r="CF64" s="300">
        <f t="shared" ca="1" si="154"/>
        <v>0</v>
      </c>
      <c r="CG64" s="300">
        <f t="shared" ca="1" si="154"/>
        <v>0</v>
      </c>
      <c r="CH64" s="300">
        <f t="shared" ca="1" si="154"/>
        <v>0</v>
      </c>
      <c r="CI64" s="300">
        <f t="shared" ca="1" si="154"/>
        <v>0</v>
      </c>
      <c r="CJ64" s="300">
        <f t="shared" ca="1" si="154"/>
        <v>0</v>
      </c>
      <c r="CK64" s="300">
        <f t="shared" ca="1" si="154"/>
        <v>0</v>
      </c>
      <c r="CL64" s="300">
        <f t="shared" ca="1" si="154"/>
        <v>0</v>
      </c>
      <c r="CM64" s="300">
        <f t="shared" ca="1" si="154"/>
        <v>0</v>
      </c>
      <c r="CN64" s="300">
        <f t="shared" ca="1" si="154"/>
        <v>0</v>
      </c>
      <c r="CO64" s="300">
        <f t="shared" ca="1" si="154"/>
        <v>0</v>
      </c>
      <c r="CP64" s="300">
        <f t="shared" ca="1" si="154"/>
        <v>0</v>
      </c>
      <c r="CQ64" s="300">
        <f t="shared" ca="1" si="154"/>
        <v>0</v>
      </c>
      <c r="CR64" s="300">
        <f t="shared" ca="1" si="154"/>
        <v>0</v>
      </c>
      <c r="CS64" s="300">
        <f t="shared" ca="1" si="154"/>
        <v>0</v>
      </c>
      <c r="CT64" s="300">
        <f t="shared" ca="1" si="154"/>
        <v>0</v>
      </c>
      <c r="CU64" s="300">
        <f t="shared" ca="1" si="154"/>
        <v>0</v>
      </c>
      <c r="CW64" s="151">
        <f t="shared" ca="1" si="143"/>
        <v>371.30258296786997</v>
      </c>
    </row>
    <row r="65" spans="1:101" s="84" customFormat="1" ht="6" customHeight="1" x14ac:dyDescent="0.2">
      <c r="C65" s="56"/>
      <c r="D65" s="57"/>
      <c r="E65" s="51"/>
      <c r="G65" s="245"/>
      <c r="H65" s="245"/>
      <c r="I65" s="245"/>
      <c r="J65" s="245"/>
      <c r="K65" s="245"/>
      <c r="L65" s="247"/>
      <c r="M65" s="245"/>
      <c r="N65" s="245"/>
      <c r="O65" s="245"/>
      <c r="P65" s="245">
        <f t="shared" si="136"/>
        <v>0</v>
      </c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>
        <f t="shared" si="5"/>
        <v>0</v>
      </c>
      <c r="AJ65" s="263"/>
      <c r="AK65" s="263"/>
      <c r="AL65" s="263"/>
      <c r="AM65" s="263"/>
      <c r="AN65" s="263"/>
      <c r="AO65" s="263"/>
      <c r="AP65" s="263"/>
      <c r="AQ65" s="263"/>
      <c r="AR65" s="263"/>
      <c r="AS65" s="263"/>
      <c r="AT65" s="263"/>
      <c r="AU65" s="263"/>
      <c r="AV65" s="263"/>
      <c r="AW65" s="263"/>
      <c r="AX65" s="263"/>
      <c r="AY65" s="263">
        <f t="shared" si="147"/>
        <v>0</v>
      </c>
      <c r="BA65" s="277"/>
      <c r="BB65" s="277"/>
      <c r="BC65" s="277">
        <f t="shared" si="10"/>
        <v>0</v>
      </c>
      <c r="BE65" s="55">
        <f>P65+AH65+AY65+BC65</f>
        <v>0</v>
      </c>
      <c r="BF65" s="55"/>
      <c r="BH65" s="542"/>
      <c r="BI65" s="542"/>
      <c r="BJ65" s="542"/>
      <c r="BK65" s="542"/>
      <c r="BL65" s="542"/>
      <c r="BM65" s="542"/>
      <c r="BN65" s="542"/>
      <c r="BO65" s="542"/>
      <c r="BP65" s="542"/>
      <c r="BQ65" s="542"/>
      <c r="BR65" s="542"/>
      <c r="BS65" s="542"/>
      <c r="BT65" s="542"/>
      <c r="BU65" s="542"/>
      <c r="BV65" s="542"/>
      <c r="BW65" s="542"/>
      <c r="BX65" s="542"/>
      <c r="BY65" s="542"/>
      <c r="BZ65" s="542"/>
      <c r="CA65" s="542"/>
      <c r="CB65" s="542"/>
      <c r="CC65" s="542"/>
      <c r="CD65" s="542"/>
      <c r="CE65" s="542"/>
      <c r="CF65" s="542"/>
      <c r="CG65" s="542"/>
      <c r="CH65" s="542"/>
      <c r="CI65" s="542"/>
      <c r="CJ65" s="542"/>
      <c r="CK65" s="542"/>
      <c r="CL65" s="542"/>
      <c r="CM65" s="542"/>
      <c r="CN65" s="542"/>
      <c r="CO65" s="542"/>
      <c r="CP65" s="542"/>
      <c r="CQ65" s="542"/>
      <c r="CR65" s="542"/>
      <c r="CS65" s="542"/>
      <c r="CT65" s="542"/>
      <c r="CU65" s="542"/>
      <c r="CW65" s="151"/>
    </row>
    <row r="66" spans="1:101" s="84" customFormat="1" ht="15.75" x14ac:dyDescent="0.2">
      <c r="B66" s="89"/>
      <c r="C66" s="923" t="s">
        <v>884</v>
      </c>
      <c r="D66" s="69" t="s">
        <v>124</v>
      </c>
      <c r="E66" s="70"/>
      <c r="G66" s="338">
        <f t="shared" ref="G66:O66" ca="1" si="155">G$36+G$40+G$47+G$50+G$54+G$64</f>
        <v>0</v>
      </c>
      <c r="H66" s="338">
        <f t="shared" ca="1" si="155"/>
        <v>0</v>
      </c>
      <c r="I66" s="338">
        <f t="shared" ca="1" si="155"/>
        <v>0</v>
      </c>
      <c r="J66" s="338">
        <f t="shared" ca="1" si="155"/>
        <v>154.07195577883729</v>
      </c>
      <c r="K66" s="338">
        <f t="shared" ca="1" si="155"/>
        <v>0</v>
      </c>
      <c r="L66" s="338">
        <f t="shared" ca="1" si="155"/>
        <v>0</v>
      </c>
      <c r="M66" s="338">
        <f t="shared" ca="1" si="155"/>
        <v>0</v>
      </c>
      <c r="N66" s="338">
        <f t="shared" ca="1" si="155"/>
        <v>0</v>
      </c>
      <c r="O66" s="338">
        <f t="shared" ca="1" si="155"/>
        <v>0</v>
      </c>
      <c r="P66" s="338">
        <f t="shared" ca="1" si="136"/>
        <v>154.07195577883729</v>
      </c>
      <c r="R66" s="294">
        <f t="shared" ref="R66:AG66" ca="1" si="156">R$36+R$40+R$47+R$50+R$54+R$64</f>
        <v>-6.0861581985629591</v>
      </c>
      <c r="S66" s="294">
        <f ca="1">S$36+S$40+S$47+S$50+S$54+S$64</f>
        <v>1026.7315251428572</v>
      </c>
      <c r="T66" s="294">
        <f t="shared" ca="1" si="156"/>
        <v>-752.43813281859286</v>
      </c>
      <c r="U66" s="294">
        <f t="shared" ca="1" si="156"/>
        <v>-2.8814208901501264</v>
      </c>
      <c r="V66" s="294">
        <f t="shared" ca="1" si="156"/>
        <v>-880.41007288674416</v>
      </c>
      <c r="W66" s="294">
        <f t="shared" ca="1" si="156"/>
        <v>-8.6641375419854718</v>
      </c>
      <c r="X66" s="294">
        <f t="shared" ca="1" si="156"/>
        <v>71.770238958333337</v>
      </c>
      <c r="Y66" s="294">
        <f t="shared" ca="1" si="156"/>
        <v>1406.83294017</v>
      </c>
      <c r="Z66" s="294">
        <f t="shared" ca="1" si="156"/>
        <v>923.54866666666669</v>
      </c>
      <c r="AA66" s="294">
        <f t="shared" ca="1" si="156"/>
        <v>0</v>
      </c>
      <c r="AB66" s="294">
        <f t="shared" ca="1" si="156"/>
        <v>0</v>
      </c>
      <c r="AC66" s="294">
        <f t="shared" ca="1" si="156"/>
        <v>2598.5408636047873</v>
      </c>
      <c r="AD66" s="294">
        <f t="shared" ca="1" si="156"/>
        <v>24.860764027112872</v>
      </c>
      <c r="AE66" s="294">
        <f t="shared" ca="1" si="156"/>
        <v>347.52707500652309</v>
      </c>
      <c r="AF66" s="294">
        <f t="shared" ca="1" si="156"/>
        <v>92.533974835322084</v>
      </c>
      <c r="AG66" s="294">
        <f t="shared" ca="1" si="156"/>
        <v>5.9620308549013927</v>
      </c>
      <c r="AH66" s="294">
        <f t="shared" ca="1" si="5"/>
        <v>4847.8281569304681</v>
      </c>
      <c r="AJ66" s="295">
        <f t="shared" ref="AJ66:AX66" ca="1" si="157">AJ$36+AJ$40+AJ$47+AJ$50+AJ$54+AJ$64</f>
        <v>-67</v>
      </c>
      <c r="AK66" s="295">
        <f t="shared" ca="1" si="157"/>
        <v>-1406.83294017</v>
      </c>
      <c r="AL66" s="295">
        <f t="shared" ca="1" si="157"/>
        <v>-923.54866666666669</v>
      </c>
      <c r="AM66" s="295">
        <f t="shared" ca="1" si="157"/>
        <v>0</v>
      </c>
      <c r="AN66" s="295">
        <f t="shared" ca="1" si="157"/>
        <v>0</v>
      </c>
      <c r="AO66" s="295">
        <f t="shared" ca="1" si="157"/>
        <v>0</v>
      </c>
      <c r="AP66" s="295">
        <f t="shared" ca="1" si="157"/>
        <v>0</v>
      </c>
      <c r="AQ66" s="295">
        <f t="shared" ca="1" si="157"/>
        <v>0</v>
      </c>
      <c r="AR66" s="295">
        <f t="shared" ca="1" si="157"/>
        <v>0</v>
      </c>
      <c r="AS66" s="295">
        <f t="shared" ca="1" si="157"/>
        <v>-152.13880000000003</v>
      </c>
      <c r="AT66" s="295">
        <f t="shared" ca="1" si="157"/>
        <v>-285.16148640000006</v>
      </c>
      <c r="AU66" s="295">
        <f t="shared" ca="1" si="157"/>
        <v>-14.726880000000001</v>
      </c>
      <c r="AV66" s="295">
        <f t="shared" ca="1" si="157"/>
        <v>-56.165264742857154</v>
      </c>
      <c r="AW66" s="295">
        <f t="shared" ca="1" si="157"/>
        <v>-2623.4016276319003</v>
      </c>
      <c r="AX66" s="295">
        <f t="shared" ca="1" si="157"/>
        <v>-450.79331965507987</v>
      </c>
      <c r="AY66" s="295">
        <f t="shared" ca="1" si="147"/>
        <v>-5979.7689852665044</v>
      </c>
      <c r="BA66" s="296">
        <f ca="1">BA$36+BA$40+BA$47+BA$50+BA$54+BA$64</f>
        <v>938.39665775263177</v>
      </c>
      <c r="BB66" s="296">
        <f ca="1">BB$36+BB$40+BB$47+BB$50+BB$54+BB$64</f>
        <v>39.472214804566477</v>
      </c>
      <c r="BC66" s="296">
        <f t="shared" ca="1" si="10"/>
        <v>977.8688725571983</v>
      </c>
      <c r="BE66" s="58">
        <f ca="1">P66+AH66+AY66+BC66</f>
        <v>-9.0949470177292824E-13</v>
      </c>
      <c r="BF66" s="58"/>
      <c r="BH66" s="546">
        <f t="shared" ref="BH66:CU66" ca="1" si="158">BH$36+BH$40+BH$47+BH$50+BH$54+BH$64</f>
        <v>394.45032112614672</v>
      </c>
      <c r="BI66" s="546">
        <f t="shared" ca="1" si="158"/>
        <v>1.0063750804842515</v>
      </c>
      <c r="BJ66" s="546">
        <f t="shared" ca="1" si="158"/>
        <v>2.4150939401965723</v>
      </c>
      <c r="BK66" s="546">
        <f t="shared" ca="1" si="158"/>
        <v>0</v>
      </c>
      <c r="BL66" s="546">
        <f t="shared" ca="1" si="158"/>
        <v>6.4221428571428563</v>
      </c>
      <c r="BM66" s="546">
        <f t="shared" ca="1" si="158"/>
        <v>9.1183775290138283E-2</v>
      </c>
      <c r="BN66" s="546">
        <f t="shared" ca="1" si="158"/>
        <v>0</v>
      </c>
      <c r="BO66" s="546">
        <f t="shared" ca="1" si="158"/>
        <v>0</v>
      </c>
      <c r="BP66" s="546">
        <f t="shared" ca="1" si="158"/>
        <v>0</v>
      </c>
      <c r="BQ66" s="546">
        <f t="shared" ca="1" si="158"/>
        <v>0</v>
      </c>
      <c r="BR66" s="546">
        <f t="shared" ca="1" si="158"/>
        <v>0</v>
      </c>
      <c r="BS66" s="546">
        <f t="shared" ca="1" si="158"/>
        <v>0</v>
      </c>
      <c r="BT66" s="546">
        <f t="shared" ca="1" si="158"/>
        <v>0</v>
      </c>
      <c r="BU66" s="546">
        <f t="shared" ca="1" si="158"/>
        <v>0</v>
      </c>
      <c r="BV66" s="546">
        <f t="shared" ca="1" si="158"/>
        <v>0</v>
      </c>
      <c r="BW66" s="546">
        <f t="shared" ca="1" si="158"/>
        <v>0</v>
      </c>
      <c r="BX66" s="546">
        <f t="shared" ca="1" si="158"/>
        <v>0</v>
      </c>
      <c r="BY66" s="546">
        <f t="shared" ca="1" si="158"/>
        <v>0</v>
      </c>
      <c r="BZ66" s="546">
        <f t="shared" ca="1" si="158"/>
        <v>21.541610830175813</v>
      </c>
      <c r="CA66" s="546">
        <f t="shared" ca="1" si="158"/>
        <v>0</v>
      </c>
      <c r="CB66" s="546">
        <f t="shared" ca="1" si="158"/>
        <v>3.6992471491666095</v>
      </c>
      <c r="CC66" s="546">
        <f t="shared" ca="1" si="158"/>
        <v>0</v>
      </c>
      <c r="CD66" s="546">
        <f t="shared" ca="1" si="158"/>
        <v>0</v>
      </c>
      <c r="CE66" s="546">
        <f t="shared" ca="1" si="158"/>
        <v>0</v>
      </c>
      <c r="CF66" s="546">
        <f t="shared" ca="1" si="158"/>
        <v>0</v>
      </c>
      <c r="CG66" s="546">
        <f t="shared" ca="1" si="158"/>
        <v>2.5873928502248216</v>
      </c>
      <c r="CH66" s="546">
        <f t="shared" ca="1" si="158"/>
        <v>0</v>
      </c>
      <c r="CI66" s="546">
        <f t="shared" ca="1" si="158"/>
        <v>0</v>
      </c>
      <c r="CJ66" s="546">
        <f t="shared" ca="1" si="158"/>
        <v>0</v>
      </c>
      <c r="CK66" s="546">
        <f t="shared" ca="1" si="158"/>
        <v>0</v>
      </c>
      <c r="CL66" s="546">
        <f t="shared" ca="1" si="158"/>
        <v>0</v>
      </c>
      <c r="CM66" s="546">
        <f t="shared" ca="1" si="158"/>
        <v>0</v>
      </c>
      <c r="CN66" s="546">
        <f t="shared" ca="1" si="158"/>
        <v>0</v>
      </c>
      <c r="CO66" s="546">
        <f t="shared" ca="1" si="158"/>
        <v>0</v>
      </c>
      <c r="CP66" s="546">
        <f t="shared" ca="1" si="158"/>
        <v>0</v>
      </c>
      <c r="CQ66" s="546">
        <f t="shared" ca="1" si="158"/>
        <v>0</v>
      </c>
      <c r="CR66" s="546">
        <f t="shared" ca="1" si="158"/>
        <v>0</v>
      </c>
      <c r="CS66" s="546">
        <f t="shared" ca="1" si="158"/>
        <v>0</v>
      </c>
      <c r="CT66" s="546">
        <f t="shared" ca="1" si="158"/>
        <v>0</v>
      </c>
      <c r="CU66" s="546">
        <f t="shared" ca="1" si="158"/>
        <v>0</v>
      </c>
      <c r="CW66" s="148">
        <f ca="1">SUM(BH66:CU66)</f>
        <v>432.2133676088277</v>
      </c>
    </row>
    <row r="67" spans="1:101" s="84" customFormat="1" ht="6" customHeight="1" x14ac:dyDescent="0.2">
      <c r="C67" s="56"/>
      <c r="D67" s="57"/>
      <c r="E67" s="51"/>
      <c r="G67" s="245"/>
      <c r="H67" s="245"/>
      <c r="I67" s="245"/>
      <c r="J67" s="245"/>
      <c r="K67" s="245"/>
      <c r="L67" s="247"/>
      <c r="M67" s="245"/>
      <c r="N67" s="245"/>
      <c r="O67" s="245"/>
      <c r="P67" s="245">
        <f t="shared" si="136"/>
        <v>0</v>
      </c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>
        <f t="shared" ref="AH67:AH90" si="159">SUM(R67:AG67)</f>
        <v>0</v>
      </c>
      <c r="AJ67" s="263"/>
      <c r="AK67" s="263"/>
      <c r="AL67" s="263"/>
      <c r="AM67" s="263"/>
      <c r="AN67" s="263"/>
      <c r="AO67" s="263"/>
      <c r="AP67" s="263"/>
      <c r="AQ67" s="263"/>
      <c r="AR67" s="263"/>
      <c r="AS67" s="263"/>
      <c r="AT67" s="263"/>
      <c r="AU67" s="263"/>
      <c r="AV67" s="263"/>
      <c r="AW67" s="263"/>
      <c r="AX67" s="263"/>
      <c r="AY67" s="263">
        <f t="shared" si="147"/>
        <v>0</v>
      </c>
      <c r="BA67" s="277"/>
      <c r="BB67" s="277"/>
      <c r="BC67" s="277">
        <f t="shared" ref="BC67:BC90" si="160">SUM(BA67:BB67)</f>
        <v>0</v>
      </c>
      <c r="BE67" s="55">
        <f>P67+AH67+AY67+BC67</f>
        <v>0</v>
      </c>
      <c r="BF67" s="55"/>
      <c r="BH67" s="542"/>
      <c r="BI67" s="542"/>
      <c r="BJ67" s="542"/>
      <c r="BK67" s="542"/>
      <c r="BL67" s="542"/>
      <c r="BM67" s="542"/>
      <c r="BN67" s="542"/>
      <c r="BO67" s="542"/>
      <c r="BP67" s="542"/>
      <c r="BQ67" s="542"/>
      <c r="BR67" s="542"/>
      <c r="BS67" s="542"/>
      <c r="BT67" s="542"/>
      <c r="BU67" s="542"/>
      <c r="BV67" s="542"/>
      <c r="BW67" s="542"/>
      <c r="BX67" s="542"/>
      <c r="BY67" s="542"/>
      <c r="BZ67" s="542"/>
      <c r="CA67" s="542"/>
      <c r="CB67" s="542"/>
      <c r="CC67" s="542"/>
      <c r="CD67" s="542"/>
      <c r="CE67" s="542"/>
      <c r="CF67" s="542"/>
      <c r="CG67" s="542"/>
      <c r="CH67" s="542"/>
      <c r="CI67" s="542"/>
      <c r="CJ67" s="542"/>
      <c r="CK67" s="542"/>
      <c r="CL67" s="542"/>
      <c r="CM67" s="542"/>
      <c r="CN67" s="542"/>
      <c r="CO67" s="542"/>
      <c r="CP67" s="542"/>
      <c r="CQ67" s="542"/>
      <c r="CR67" s="542"/>
      <c r="CS67" s="542"/>
      <c r="CT67" s="542"/>
      <c r="CU67" s="542"/>
      <c r="CW67" s="151"/>
    </row>
    <row r="68" spans="1:101" s="84" customFormat="1" ht="24" customHeight="1" x14ac:dyDescent="0.2">
      <c r="C68" s="45" t="s">
        <v>414</v>
      </c>
      <c r="D68" s="45"/>
      <c r="E68" s="68"/>
      <c r="G68" s="244"/>
      <c r="H68" s="244"/>
      <c r="I68" s="244"/>
      <c r="J68" s="244"/>
      <c r="K68" s="244"/>
      <c r="L68" s="244"/>
      <c r="M68" s="244"/>
      <c r="N68" s="244"/>
      <c r="O68" s="244"/>
      <c r="P68" s="244">
        <f t="shared" si="136"/>
        <v>0</v>
      </c>
      <c r="R68" s="260"/>
      <c r="S68" s="260"/>
      <c r="T68" s="260"/>
      <c r="U68" s="260"/>
      <c r="V68" s="260"/>
      <c r="W68" s="260"/>
      <c r="X68" s="256"/>
      <c r="Y68" s="256"/>
      <c r="Z68" s="256"/>
      <c r="AA68" s="260"/>
      <c r="AB68" s="260"/>
      <c r="AC68" s="260"/>
      <c r="AD68" s="260"/>
      <c r="AE68" s="260"/>
      <c r="AF68" s="260"/>
      <c r="AG68" s="260"/>
      <c r="AH68" s="260">
        <f t="shared" si="159"/>
        <v>0</v>
      </c>
      <c r="AJ68" s="267"/>
      <c r="AK68" s="267"/>
      <c r="AL68" s="267"/>
      <c r="AM68" s="267"/>
      <c r="AN68" s="267"/>
      <c r="AO68" s="267"/>
      <c r="AP68" s="267"/>
      <c r="AQ68" s="267"/>
      <c r="AR68" s="267"/>
      <c r="AS68" s="267"/>
      <c r="AT68" s="262"/>
      <c r="AU68" s="262"/>
      <c r="AV68" s="262"/>
      <c r="AW68" s="262"/>
      <c r="AX68" s="262"/>
      <c r="AY68" s="267">
        <f t="shared" si="147"/>
        <v>0</v>
      </c>
      <c r="BA68" s="280"/>
      <c r="BB68" s="280"/>
      <c r="BC68" s="280">
        <f t="shared" si="160"/>
        <v>0</v>
      </c>
      <c r="BE68" s="54">
        <f>P68+AH68+AY68+BC68</f>
        <v>0</v>
      </c>
      <c r="BF68" s="54"/>
      <c r="BH68" s="542"/>
      <c r="BI68" s="542"/>
      <c r="BJ68" s="542"/>
      <c r="BK68" s="542"/>
      <c r="BL68" s="542"/>
      <c r="BM68" s="542"/>
      <c r="BN68" s="542"/>
      <c r="BO68" s="542"/>
      <c r="BP68" s="542"/>
      <c r="BQ68" s="542"/>
      <c r="BR68" s="542"/>
      <c r="BS68" s="542"/>
      <c r="BT68" s="542"/>
      <c r="BU68" s="542"/>
      <c r="BV68" s="542"/>
      <c r="BW68" s="542"/>
      <c r="BX68" s="542"/>
      <c r="BY68" s="542"/>
      <c r="BZ68" s="542"/>
      <c r="CA68" s="542"/>
      <c r="CB68" s="542"/>
      <c r="CC68" s="542"/>
      <c r="CD68" s="542"/>
      <c r="CE68" s="542"/>
      <c r="CF68" s="542"/>
      <c r="CG68" s="542"/>
      <c r="CH68" s="542"/>
      <c r="CI68" s="542"/>
      <c r="CJ68" s="542"/>
      <c r="CK68" s="542"/>
      <c r="CL68" s="542"/>
      <c r="CM68" s="542"/>
      <c r="CN68" s="542"/>
      <c r="CO68" s="542"/>
      <c r="CP68" s="542"/>
      <c r="CQ68" s="542"/>
      <c r="CR68" s="542"/>
      <c r="CS68" s="542"/>
      <c r="CT68" s="542"/>
      <c r="CU68" s="542"/>
      <c r="CW68" s="151"/>
    </row>
    <row r="69" spans="1:101" s="84" customFormat="1" ht="6" customHeight="1" x14ac:dyDescent="0.2">
      <c r="C69" s="60"/>
      <c r="D69" s="34"/>
      <c r="E69" s="51"/>
      <c r="G69" s="245"/>
      <c r="H69" s="245"/>
      <c r="I69" s="245"/>
      <c r="J69" s="245"/>
      <c r="K69" s="245"/>
      <c r="L69" s="247"/>
      <c r="M69" s="245"/>
      <c r="N69" s="245"/>
      <c r="O69" s="245"/>
      <c r="P69" s="245">
        <f t="shared" si="136"/>
        <v>0</v>
      </c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>
        <f t="shared" si="159"/>
        <v>0</v>
      </c>
      <c r="AJ69" s="263"/>
      <c r="AK69" s="263"/>
      <c r="AL69" s="263"/>
      <c r="AM69" s="263"/>
      <c r="AN69" s="263"/>
      <c r="AO69" s="263"/>
      <c r="AP69" s="263"/>
      <c r="AQ69" s="263"/>
      <c r="AR69" s="263"/>
      <c r="AS69" s="263"/>
      <c r="AT69" s="263"/>
      <c r="AU69" s="263"/>
      <c r="AV69" s="263"/>
      <c r="AW69" s="263"/>
      <c r="AX69" s="263"/>
      <c r="AY69" s="263">
        <f t="shared" si="147"/>
        <v>0</v>
      </c>
      <c r="BA69" s="277"/>
      <c r="BB69" s="277"/>
      <c r="BC69" s="277">
        <f t="shared" si="160"/>
        <v>0</v>
      </c>
      <c r="BE69" s="55">
        <f>P69+AH69+AY69+BC69</f>
        <v>0</v>
      </c>
      <c r="BF69" s="55"/>
      <c r="BH69" s="542"/>
      <c r="BI69" s="542"/>
      <c r="BJ69" s="542"/>
      <c r="BK69" s="542"/>
      <c r="BL69" s="542"/>
      <c r="BM69" s="542"/>
      <c r="BN69" s="542"/>
      <c r="BO69" s="542"/>
      <c r="BP69" s="542"/>
      <c r="BQ69" s="542"/>
      <c r="BR69" s="542"/>
      <c r="BS69" s="542"/>
      <c r="BT69" s="542"/>
      <c r="BU69" s="542"/>
      <c r="BV69" s="542"/>
      <c r="BW69" s="542"/>
      <c r="BX69" s="542"/>
      <c r="BY69" s="542"/>
      <c r="BZ69" s="542"/>
      <c r="CA69" s="542"/>
      <c r="CB69" s="542"/>
      <c r="CC69" s="542"/>
      <c r="CD69" s="542"/>
      <c r="CE69" s="542"/>
      <c r="CF69" s="542"/>
      <c r="CG69" s="542"/>
      <c r="CH69" s="542"/>
      <c r="CI69" s="542"/>
      <c r="CJ69" s="542"/>
      <c r="CK69" s="542"/>
      <c r="CL69" s="542"/>
      <c r="CM69" s="542"/>
      <c r="CN69" s="542"/>
      <c r="CO69" s="542"/>
      <c r="CP69" s="542"/>
      <c r="CQ69" s="542"/>
      <c r="CR69" s="542"/>
      <c r="CS69" s="542"/>
      <c r="CT69" s="542"/>
      <c r="CU69" s="542"/>
      <c r="CW69" s="151"/>
    </row>
    <row r="70" spans="1:101" s="84" customFormat="1" outlineLevel="1" x14ac:dyDescent="0.2">
      <c r="A70" s="547"/>
      <c r="B70" s="547"/>
      <c r="C70" s="162"/>
      <c r="D70" s="163"/>
      <c r="E70" s="163"/>
      <c r="G70" s="248"/>
      <c r="H70" s="248"/>
      <c r="I70" s="248"/>
      <c r="J70" s="248"/>
      <c r="K70" s="248"/>
      <c r="L70" s="249"/>
      <c r="M70" s="248"/>
      <c r="N70" s="248"/>
      <c r="O70" s="248"/>
      <c r="P70" s="248">
        <f t="shared" si="136"/>
        <v>0</v>
      </c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>
        <f t="shared" si="159"/>
        <v>0</v>
      </c>
      <c r="AJ70" s="265"/>
      <c r="AK70" s="265"/>
      <c r="AL70" s="265"/>
      <c r="AM70" s="265"/>
      <c r="AN70" s="265"/>
      <c r="AO70" s="265"/>
      <c r="AP70" s="265"/>
      <c r="AQ70" s="265"/>
      <c r="AR70" s="265"/>
      <c r="AS70" s="265"/>
      <c r="AT70" s="265"/>
      <c r="AU70" s="265"/>
      <c r="AV70" s="265"/>
      <c r="AW70" s="265"/>
      <c r="AX70" s="265"/>
      <c r="AY70" s="265">
        <f t="shared" si="147"/>
        <v>0</v>
      </c>
      <c r="BA70" s="278"/>
      <c r="BB70" s="278"/>
      <c r="BC70" s="278">
        <f t="shared" si="160"/>
        <v>0</v>
      </c>
      <c r="BE70" s="164"/>
      <c r="BF70" s="164"/>
      <c r="BG70" s="547"/>
      <c r="BH70" s="549"/>
      <c r="BI70" s="542"/>
      <c r="BJ70" s="542"/>
      <c r="BK70" s="542"/>
      <c r="BL70" s="542"/>
      <c r="BM70" s="542"/>
      <c r="BN70" s="542"/>
      <c r="BO70" s="542"/>
      <c r="BP70" s="542"/>
      <c r="BQ70" s="542"/>
      <c r="BR70" s="542"/>
      <c r="BS70" s="542"/>
      <c r="BT70" s="542"/>
      <c r="BU70" s="542"/>
      <c r="BV70" s="542"/>
      <c r="BW70" s="542"/>
      <c r="BX70" s="542"/>
      <c r="BY70" s="542"/>
      <c r="BZ70" s="542"/>
      <c r="CA70" s="542"/>
      <c r="CB70" s="542"/>
      <c r="CC70" s="542"/>
      <c r="CD70" s="542"/>
      <c r="CE70" s="542"/>
      <c r="CF70" s="542"/>
      <c r="CG70" s="542"/>
      <c r="CH70" s="542"/>
      <c r="CI70" s="542"/>
      <c r="CJ70" s="542"/>
      <c r="CK70" s="542"/>
      <c r="CL70" s="542"/>
      <c r="CM70" s="542"/>
      <c r="CN70" s="542"/>
      <c r="CO70" s="542"/>
      <c r="CP70" s="542"/>
      <c r="CQ70" s="542"/>
      <c r="CR70" s="542"/>
      <c r="CS70" s="542"/>
      <c r="CT70" s="542"/>
      <c r="CU70" s="542"/>
      <c r="CW70" s="151"/>
    </row>
    <row r="71" spans="1:101" s="543" customFormat="1" outlineLevel="1" x14ac:dyDescent="0.2">
      <c r="C71" s="62" t="s">
        <v>305</v>
      </c>
      <c r="D71" s="61" t="str">
        <f>INDEX(Modules[Module], MATCH($C71, Modules[Code], 0))</f>
        <v>Electricity imports</v>
      </c>
      <c r="E71" s="61"/>
      <c r="F71" s="84"/>
      <c r="G71" s="297">
        <f t="shared" ref="G71:O71" ca="1" si="161">IFERROR(INDEX(INDIRECT($C71&amp;".Outputs["&amp;this.Year&amp;"]"), MATCH(G$5, INDIRECT($C71&amp;".Outputs[Vector]"), 0)), 0)</f>
        <v>0</v>
      </c>
      <c r="H71" s="297">
        <f t="shared" ca="1" si="161"/>
        <v>0</v>
      </c>
      <c r="I71" s="297">
        <f t="shared" ca="1" si="161"/>
        <v>0</v>
      </c>
      <c r="J71" s="297">
        <f t="shared" ca="1" si="161"/>
        <v>0</v>
      </c>
      <c r="K71" s="297">
        <f t="shared" ca="1" si="161"/>
        <v>0</v>
      </c>
      <c r="L71" s="297">
        <f t="shared" ca="1" si="161"/>
        <v>0</v>
      </c>
      <c r="M71" s="297">
        <f t="shared" ca="1" si="161"/>
        <v>0</v>
      </c>
      <c r="N71" s="297">
        <f t="shared" ca="1" si="161"/>
        <v>0</v>
      </c>
      <c r="O71" s="297">
        <f t="shared" ca="1" si="161"/>
        <v>0</v>
      </c>
      <c r="P71" s="297">
        <f t="shared" ca="1" si="136"/>
        <v>0</v>
      </c>
      <c r="Q71" s="84"/>
      <c r="R71" s="304">
        <f t="shared" ref="R71:AG71" ca="1" si="162">IFERROR(INDEX(INDIRECT($C71&amp;".Outputs["&amp;this.Year&amp;"]"), MATCH(R$5, INDIRECT($C71&amp;".Outputs[Vector]"), 0)), 0)</f>
        <v>0</v>
      </c>
      <c r="S71" s="304">
        <f t="shared" ca="1" si="162"/>
        <v>37.318200000000004</v>
      </c>
      <c r="T71" s="304">
        <f t="shared" ca="1" si="162"/>
        <v>0</v>
      </c>
      <c r="U71" s="304">
        <f t="shared" ca="1" si="162"/>
        <v>0</v>
      </c>
      <c r="V71" s="304">
        <f t="shared" ca="1" si="162"/>
        <v>0</v>
      </c>
      <c r="W71" s="304">
        <f t="shared" ca="1" si="162"/>
        <v>0</v>
      </c>
      <c r="X71" s="304">
        <f ca="1">IFERROR(INDEX(INDIRECT($C71&amp;".Outputs["&amp;this.Year&amp;"]"), MATCH(X$5, INDIRECT($C71&amp;".Outputs[Vector]"), 0)), 0)</f>
        <v>0</v>
      </c>
      <c r="Y71" s="304">
        <f ca="1">IFERROR(INDEX(INDIRECT($C71&amp;".Outputs["&amp;this.Year&amp;"]"), MATCH(Y$5, INDIRECT($C71&amp;".Outputs[Vector]"), 0)), 0)</f>
        <v>0</v>
      </c>
      <c r="Z71" s="304">
        <f ca="1">IFERROR(INDEX(INDIRECT($C71&amp;".Outputs["&amp;this.Year&amp;"]"), MATCH(Z$5, INDIRECT($C71&amp;".Outputs[Vector]"), 0)), 0)</f>
        <v>0</v>
      </c>
      <c r="AA71" s="304">
        <f t="shared" ca="1" si="162"/>
        <v>0</v>
      </c>
      <c r="AB71" s="304">
        <f t="shared" ca="1" si="162"/>
        <v>0</v>
      </c>
      <c r="AC71" s="304">
        <f t="shared" ca="1" si="162"/>
        <v>0</v>
      </c>
      <c r="AD71" s="304">
        <f t="shared" ca="1" si="162"/>
        <v>0</v>
      </c>
      <c r="AE71" s="304">
        <f t="shared" ca="1" si="162"/>
        <v>0</v>
      </c>
      <c r="AF71" s="304">
        <f t="shared" ca="1" si="162"/>
        <v>0</v>
      </c>
      <c r="AG71" s="304">
        <f t="shared" ca="1" si="162"/>
        <v>0</v>
      </c>
      <c r="AH71" s="305">
        <f t="shared" ca="1" si="159"/>
        <v>37.318200000000004</v>
      </c>
      <c r="AI71" s="84"/>
      <c r="AJ71" s="312">
        <f t="shared" ref="AJ71:AR71" ca="1" si="163">IFERROR(INDEX(INDIRECT($C71&amp;".Outputs["&amp;this.Year&amp;"]"), MATCH(AJ$5, INDIRECT($C71&amp;".Outputs[Vector]"), 0)), 0)</f>
        <v>0</v>
      </c>
      <c r="AK71" s="312">
        <f t="shared" ca="1" si="163"/>
        <v>0</v>
      </c>
      <c r="AL71" s="312">
        <f t="shared" ca="1" si="163"/>
        <v>0</v>
      </c>
      <c r="AM71" s="312">
        <f t="shared" ca="1" si="163"/>
        <v>0</v>
      </c>
      <c r="AN71" s="312">
        <f t="shared" ca="1" si="163"/>
        <v>-37.318200000000004</v>
      </c>
      <c r="AO71" s="312">
        <f t="shared" ca="1" si="163"/>
        <v>0</v>
      </c>
      <c r="AP71" s="312">
        <f t="shared" ca="1" si="163"/>
        <v>0</v>
      </c>
      <c r="AQ71" s="312">
        <f t="shared" ca="1" si="163"/>
        <v>0</v>
      </c>
      <c r="AR71" s="312">
        <f t="shared" ca="1" si="163"/>
        <v>0</v>
      </c>
      <c r="AS71" s="312">
        <f t="shared" ref="AS71:AX71" ca="1" si="164">IFERROR(INDEX(INDIRECT($C71&amp;".Outputs["&amp;this.Year&amp;"]"), MATCH(AS$5, INDIRECT($C71&amp;".Outputs[Vector]"), 0)), 0)</f>
        <v>0</v>
      </c>
      <c r="AT71" s="312">
        <f t="shared" ca="1" si="164"/>
        <v>0</v>
      </c>
      <c r="AU71" s="312">
        <f t="shared" ca="1" si="164"/>
        <v>0</v>
      </c>
      <c r="AV71" s="312">
        <f t="shared" ca="1" si="164"/>
        <v>0</v>
      </c>
      <c r="AW71" s="312">
        <f t="shared" ca="1" si="164"/>
        <v>0</v>
      </c>
      <c r="AX71" s="312">
        <f t="shared" ca="1" si="164"/>
        <v>0</v>
      </c>
      <c r="AY71" s="266">
        <f t="shared" ca="1" si="147"/>
        <v>-37.318200000000004</v>
      </c>
      <c r="AZ71" s="84"/>
      <c r="BA71" s="308">
        <f ca="1">IFERROR(INDEX(INDIRECT($C71&amp;".Outputs["&amp;this.Year&amp;"]"), MATCH(BA$5, INDIRECT($C71&amp;".Outputs[Vector]"), 0)), 0)</f>
        <v>0</v>
      </c>
      <c r="BB71" s="308">
        <f ca="1">IFERROR(INDEX(INDIRECT($C71&amp;".Outputs["&amp;this.Year&amp;"]"), MATCH(BB$5, INDIRECT($C71&amp;".Outputs[Vector]"), 0)), 0)</f>
        <v>0</v>
      </c>
      <c r="BC71" s="309">
        <f t="shared" ca="1" si="160"/>
        <v>0</v>
      </c>
      <c r="BD71" s="84"/>
      <c r="BE71" s="135">
        <f ca="1">P71+AH71+AY71+BC71</f>
        <v>0</v>
      </c>
      <c r="BF71" s="135"/>
      <c r="BH71" s="541">
        <f t="shared" ref="BH71:CU71" ca="1" si="165">IFERROR(SUMIFS(INDIRECT($C71&amp;".Emissions["&amp;this.Year&amp;"]"), INDIRECT($C71&amp;".Emissions[GHG]"), BH$6, INDIRECT($C71&amp;".Emissions[IPCC Sector]"), BH$5),0)</f>
        <v>0</v>
      </c>
      <c r="BI71" s="542">
        <f t="shared" ca="1" si="165"/>
        <v>0</v>
      </c>
      <c r="BJ71" s="542">
        <f t="shared" ca="1" si="165"/>
        <v>0</v>
      </c>
      <c r="BK71" s="542">
        <f t="shared" ca="1" si="165"/>
        <v>0</v>
      </c>
      <c r="BL71" s="542">
        <f t="shared" ca="1" si="165"/>
        <v>0</v>
      </c>
      <c r="BM71" s="542">
        <f t="shared" ca="1" si="165"/>
        <v>0</v>
      </c>
      <c r="BN71" s="542">
        <f t="shared" ca="1" si="165"/>
        <v>0</v>
      </c>
      <c r="BO71" s="542">
        <f t="shared" ca="1" si="165"/>
        <v>0</v>
      </c>
      <c r="BP71" s="542">
        <f t="shared" ca="1" si="165"/>
        <v>0</v>
      </c>
      <c r="BQ71" s="542">
        <f t="shared" ca="1" si="165"/>
        <v>0</v>
      </c>
      <c r="BR71" s="542">
        <f t="shared" ca="1" si="165"/>
        <v>0</v>
      </c>
      <c r="BS71" s="542">
        <f t="shared" ca="1" si="165"/>
        <v>0</v>
      </c>
      <c r="BT71" s="542">
        <f t="shared" ca="1" si="165"/>
        <v>0</v>
      </c>
      <c r="BU71" s="542">
        <f t="shared" ca="1" si="165"/>
        <v>0</v>
      </c>
      <c r="BV71" s="542">
        <f t="shared" ca="1" si="165"/>
        <v>0</v>
      </c>
      <c r="BW71" s="542">
        <f t="shared" ca="1" si="165"/>
        <v>0</v>
      </c>
      <c r="BX71" s="542">
        <f t="shared" ca="1" si="165"/>
        <v>0</v>
      </c>
      <c r="BY71" s="542">
        <f t="shared" ca="1" si="165"/>
        <v>0</v>
      </c>
      <c r="BZ71" s="542">
        <f t="shared" ca="1" si="165"/>
        <v>0</v>
      </c>
      <c r="CA71" s="542">
        <f t="shared" ca="1" si="165"/>
        <v>0</v>
      </c>
      <c r="CB71" s="542">
        <f t="shared" ca="1" si="165"/>
        <v>0</v>
      </c>
      <c r="CC71" s="542">
        <f t="shared" ca="1" si="165"/>
        <v>0</v>
      </c>
      <c r="CD71" s="542">
        <f t="shared" ca="1" si="165"/>
        <v>0</v>
      </c>
      <c r="CE71" s="542">
        <f t="shared" ca="1" si="165"/>
        <v>0</v>
      </c>
      <c r="CF71" s="542">
        <f t="shared" ca="1" si="165"/>
        <v>0</v>
      </c>
      <c r="CG71" s="542">
        <f t="shared" ca="1" si="165"/>
        <v>0</v>
      </c>
      <c r="CH71" s="542">
        <f t="shared" ca="1" si="165"/>
        <v>0</v>
      </c>
      <c r="CI71" s="542">
        <f t="shared" ca="1" si="165"/>
        <v>0</v>
      </c>
      <c r="CJ71" s="542">
        <f t="shared" ca="1" si="165"/>
        <v>0</v>
      </c>
      <c r="CK71" s="542">
        <f t="shared" ca="1" si="165"/>
        <v>0</v>
      </c>
      <c r="CL71" s="542">
        <f t="shared" ca="1" si="165"/>
        <v>0</v>
      </c>
      <c r="CM71" s="542">
        <f t="shared" ca="1" si="165"/>
        <v>0</v>
      </c>
      <c r="CN71" s="542">
        <f t="shared" ca="1" si="165"/>
        <v>0</v>
      </c>
      <c r="CO71" s="542">
        <f t="shared" ca="1" si="165"/>
        <v>0</v>
      </c>
      <c r="CP71" s="542">
        <f t="shared" ca="1" si="165"/>
        <v>0</v>
      </c>
      <c r="CQ71" s="542">
        <f t="shared" ca="1" si="165"/>
        <v>0</v>
      </c>
      <c r="CR71" s="542">
        <f t="shared" ca="1" si="165"/>
        <v>0</v>
      </c>
      <c r="CS71" s="542">
        <f t="shared" ca="1" si="165"/>
        <v>0</v>
      </c>
      <c r="CT71" s="542">
        <f t="shared" ca="1" si="165"/>
        <v>0</v>
      </c>
      <c r="CU71" s="542">
        <f t="shared" ca="1" si="165"/>
        <v>0</v>
      </c>
      <c r="CW71" s="151"/>
    </row>
    <row r="72" spans="1:101" s="547" customFormat="1" ht="12.75" customHeight="1" outlineLevel="1" x14ac:dyDescent="0.2">
      <c r="C72" s="319" t="s">
        <v>858</v>
      </c>
      <c r="D72" s="320" t="s">
        <v>588</v>
      </c>
      <c r="E72" s="320"/>
      <c r="F72" s="84"/>
      <c r="G72" s="333"/>
      <c r="H72" s="333"/>
      <c r="I72" s="333"/>
      <c r="J72" s="333"/>
      <c r="K72" s="333"/>
      <c r="L72" s="334"/>
      <c r="M72" s="333"/>
      <c r="N72" s="333"/>
      <c r="O72" s="333"/>
      <c r="P72" s="333">
        <f t="shared" si="136"/>
        <v>0</v>
      </c>
      <c r="Q72" s="84"/>
      <c r="R72" s="335">
        <f ca="1">R$28+R$36+R$80+R$40+R$71</f>
        <v>-659.56399429121348</v>
      </c>
      <c r="S72" s="335">
        <f ca="1">S$28+S$36+S$80+S$40+S$71</f>
        <v>37.318200000000004</v>
      </c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>
        <f t="shared" ca="1" si="159"/>
        <v>-622.24579429121343</v>
      </c>
      <c r="AI72" s="84"/>
      <c r="AJ72" s="336"/>
      <c r="AK72" s="336"/>
      <c r="AL72" s="336"/>
      <c r="AM72" s="336"/>
      <c r="AN72" s="336"/>
      <c r="AO72" s="336"/>
      <c r="AP72" s="336"/>
      <c r="AQ72" s="336"/>
      <c r="AR72" s="336"/>
      <c r="AS72" s="336"/>
      <c r="AT72" s="336"/>
      <c r="AU72" s="336"/>
      <c r="AV72" s="336"/>
      <c r="AW72" s="336"/>
      <c r="AX72" s="336"/>
      <c r="AY72" s="336">
        <f t="shared" si="147"/>
        <v>0</v>
      </c>
      <c r="AZ72" s="84"/>
      <c r="BA72" s="337"/>
      <c r="BB72" s="337"/>
      <c r="BC72" s="337">
        <f t="shared" si="160"/>
        <v>0</v>
      </c>
      <c r="BD72" s="84"/>
      <c r="BE72" s="164"/>
      <c r="BF72" s="164"/>
      <c r="BH72" s="549"/>
      <c r="BI72" s="549"/>
      <c r="BJ72" s="549"/>
      <c r="BK72" s="549"/>
      <c r="BL72" s="549"/>
      <c r="BM72" s="549"/>
      <c r="BN72" s="549"/>
      <c r="BO72" s="549"/>
      <c r="BP72" s="549"/>
      <c r="BQ72" s="549"/>
      <c r="BR72" s="549"/>
      <c r="BS72" s="549"/>
      <c r="BT72" s="549"/>
      <c r="BU72" s="549"/>
      <c r="BV72" s="549"/>
      <c r="BW72" s="549"/>
      <c r="BX72" s="549"/>
      <c r="BY72" s="549"/>
      <c r="BZ72" s="549"/>
      <c r="CA72" s="549"/>
      <c r="CB72" s="549"/>
      <c r="CC72" s="549"/>
      <c r="CD72" s="549"/>
      <c r="CE72" s="549"/>
      <c r="CF72" s="549"/>
      <c r="CG72" s="549"/>
      <c r="CH72" s="549"/>
      <c r="CI72" s="549"/>
      <c r="CJ72" s="549"/>
      <c r="CK72" s="549"/>
      <c r="CL72" s="549"/>
      <c r="CM72" s="549"/>
      <c r="CN72" s="549"/>
      <c r="CO72" s="549"/>
      <c r="CP72" s="549"/>
      <c r="CQ72" s="549"/>
      <c r="CR72" s="549"/>
      <c r="CS72" s="549"/>
      <c r="CT72" s="549"/>
      <c r="CU72" s="549"/>
      <c r="CW72" s="151"/>
    </row>
    <row r="73" spans="1:101" s="543" customFormat="1" outlineLevel="1" x14ac:dyDescent="0.2">
      <c r="C73" s="62" t="s">
        <v>313</v>
      </c>
      <c r="D73" s="61" t="str">
        <f>INDEX(Modules[Module], MATCH($C73, Modules[Code], 0))</f>
        <v>Electricity grid distribution</v>
      </c>
      <c r="E73" s="61"/>
      <c r="F73" s="84"/>
      <c r="G73" s="297">
        <f t="shared" ref="G73:O73" ca="1" si="166">IFERROR(INDEX(INDIRECT($C73&amp;".Outputs["&amp;this.Year&amp;"]"), MATCH(G$5, INDIRECT($C73&amp;".Outputs[Vector]"), 0)), 0)</f>
        <v>0</v>
      </c>
      <c r="H73" s="297">
        <f t="shared" ca="1" si="166"/>
        <v>0</v>
      </c>
      <c r="I73" s="297">
        <f t="shared" ca="1" si="166"/>
        <v>0</v>
      </c>
      <c r="J73" s="297">
        <f t="shared" ca="1" si="166"/>
        <v>0</v>
      </c>
      <c r="K73" s="297">
        <f t="shared" ca="1" si="166"/>
        <v>0</v>
      </c>
      <c r="L73" s="297">
        <f t="shared" ca="1" si="166"/>
        <v>0</v>
      </c>
      <c r="M73" s="297">
        <f t="shared" ca="1" si="166"/>
        <v>0</v>
      </c>
      <c r="N73" s="297">
        <f t="shared" ca="1" si="166"/>
        <v>0</v>
      </c>
      <c r="O73" s="297">
        <f t="shared" ca="1" si="166"/>
        <v>0</v>
      </c>
      <c r="P73" s="297">
        <f t="shared" ca="1" si="136"/>
        <v>0</v>
      </c>
      <c r="Q73" s="84"/>
      <c r="R73" s="304">
        <f t="shared" ref="R73:AG73" ca="1" si="167">IFERROR(INDEX(INDIRECT($C73&amp;".Outputs["&amp;this.Year&amp;"]"), MATCH(R$5, INDIRECT($C73&amp;".Outputs[Vector]"), 0)), 0)</f>
        <v>0</v>
      </c>
      <c r="S73" s="304">
        <f t="shared" ca="1" si="167"/>
        <v>-89.940544676074524</v>
      </c>
      <c r="T73" s="304">
        <f t="shared" ca="1" si="167"/>
        <v>0</v>
      </c>
      <c r="U73" s="304">
        <f t="shared" ca="1" si="167"/>
        <v>0</v>
      </c>
      <c r="V73" s="304">
        <f t="shared" ca="1" si="167"/>
        <v>0</v>
      </c>
      <c r="W73" s="304">
        <f t="shared" ca="1" si="167"/>
        <v>0</v>
      </c>
      <c r="X73" s="304">
        <f t="shared" ref="X73:Z73" ca="1" si="168">IFERROR(INDEX(INDIRECT($C73&amp;".Outputs["&amp;this.Year&amp;"]"), MATCH(X$5, INDIRECT($C73&amp;".Outputs[Vector]"), 0)), 0)</f>
        <v>0</v>
      </c>
      <c r="Y73" s="304">
        <f t="shared" ca="1" si="168"/>
        <v>0</v>
      </c>
      <c r="Z73" s="304">
        <f t="shared" ca="1" si="168"/>
        <v>0</v>
      </c>
      <c r="AA73" s="304">
        <f t="shared" ca="1" si="167"/>
        <v>0</v>
      </c>
      <c r="AB73" s="304">
        <f t="shared" ca="1" si="167"/>
        <v>0</v>
      </c>
      <c r="AC73" s="304">
        <f t="shared" ca="1" si="167"/>
        <v>0</v>
      </c>
      <c r="AD73" s="304">
        <f t="shared" ca="1" si="167"/>
        <v>0</v>
      </c>
      <c r="AE73" s="304">
        <f t="shared" ca="1" si="167"/>
        <v>0</v>
      </c>
      <c r="AF73" s="304">
        <f t="shared" ca="1" si="167"/>
        <v>0</v>
      </c>
      <c r="AG73" s="304">
        <f t="shared" ca="1" si="167"/>
        <v>0</v>
      </c>
      <c r="AH73" s="305">
        <f t="shared" ca="1" si="159"/>
        <v>-89.940544676074524</v>
      </c>
      <c r="AI73" s="84"/>
      <c r="AJ73" s="312">
        <f t="shared" ref="AJ73:AR73" ca="1" si="169">IFERROR(INDEX(INDIRECT($C73&amp;".Outputs["&amp;this.Year&amp;"]"), MATCH(AJ$5, INDIRECT($C73&amp;".Outputs[Vector]"), 0)), 0)</f>
        <v>0</v>
      </c>
      <c r="AK73" s="312">
        <f t="shared" ca="1" si="169"/>
        <v>0</v>
      </c>
      <c r="AL73" s="312">
        <f t="shared" ca="1" si="169"/>
        <v>0</v>
      </c>
      <c r="AM73" s="312">
        <f t="shared" ca="1" si="169"/>
        <v>0</v>
      </c>
      <c r="AN73" s="312">
        <f t="shared" ca="1" si="169"/>
        <v>0</v>
      </c>
      <c r="AO73" s="312">
        <f t="shared" ca="1" si="169"/>
        <v>0</v>
      </c>
      <c r="AP73" s="312">
        <f t="shared" ca="1" si="169"/>
        <v>0</v>
      </c>
      <c r="AQ73" s="312">
        <f t="shared" ca="1" si="169"/>
        <v>0</v>
      </c>
      <c r="AR73" s="312">
        <f t="shared" ca="1" si="169"/>
        <v>0</v>
      </c>
      <c r="AS73" s="312">
        <f t="shared" ref="AS73:AX73" ca="1" si="170">IFERROR(INDEX(INDIRECT($C73&amp;".Outputs["&amp;this.Year&amp;"]"), MATCH(AS$5, INDIRECT($C73&amp;".Outputs[Vector]"), 0)), 0)</f>
        <v>0</v>
      </c>
      <c r="AT73" s="312">
        <f t="shared" ca="1" si="170"/>
        <v>0</v>
      </c>
      <c r="AU73" s="312">
        <f t="shared" ca="1" si="170"/>
        <v>0</v>
      </c>
      <c r="AV73" s="312">
        <f t="shared" ca="1" si="170"/>
        <v>0</v>
      </c>
      <c r="AW73" s="312">
        <f t="shared" ca="1" si="170"/>
        <v>0</v>
      </c>
      <c r="AX73" s="312">
        <f t="shared" ca="1" si="170"/>
        <v>0</v>
      </c>
      <c r="AY73" s="266">
        <f t="shared" ca="1" si="147"/>
        <v>0</v>
      </c>
      <c r="AZ73" s="84"/>
      <c r="BA73" s="308">
        <f ca="1">IFERROR(INDEX(INDIRECT($C73&amp;".Outputs["&amp;this.Year&amp;"]"), MATCH(BA$5, INDIRECT($C73&amp;".Outputs[Vector]"), 0)), 0)</f>
        <v>0</v>
      </c>
      <c r="BB73" s="308">
        <f ca="1">IFERROR(INDEX(INDIRECT($C73&amp;".Outputs["&amp;this.Year&amp;"]"), MATCH(BB$5, INDIRECT($C73&amp;".Outputs[Vector]"), 0)), 0)</f>
        <v>89.940544676074552</v>
      </c>
      <c r="BC73" s="309">
        <f t="shared" ca="1" si="160"/>
        <v>89.940544676074552</v>
      </c>
      <c r="BD73" s="84"/>
      <c r="BE73" s="164">
        <f ca="1">P73+AH73+AY73+BC73</f>
        <v>0</v>
      </c>
      <c r="BF73" s="135"/>
      <c r="BH73" s="541">
        <f t="shared" ref="BH73:BQ73" ca="1" si="171">IFERROR(SUMIFS(INDIRECT($C73&amp;".Emissions["&amp;this.Year&amp;"]"), INDIRECT($C73&amp;".Emissions[GHG]"), BH$6, INDIRECT($C73&amp;".Emissions[IPCC Sector]"), BH$5),0)</f>
        <v>0</v>
      </c>
      <c r="BI73" s="542">
        <f t="shared" ca="1" si="171"/>
        <v>0</v>
      </c>
      <c r="BJ73" s="542">
        <f t="shared" ca="1" si="171"/>
        <v>0</v>
      </c>
      <c r="BK73" s="542">
        <f t="shared" ca="1" si="171"/>
        <v>0</v>
      </c>
      <c r="BL73" s="542">
        <f t="shared" ca="1" si="171"/>
        <v>0</v>
      </c>
      <c r="BM73" s="542">
        <f t="shared" ca="1" si="171"/>
        <v>0</v>
      </c>
      <c r="BN73" s="542">
        <f t="shared" ca="1" si="171"/>
        <v>0</v>
      </c>
      <c r="BO73" s="542">
        <f t="shared" ca="1" si="171"/>
        <v>0</v>
      </c>
      <c r="BP73" s="542">
        <f t="shared" ca="1" si="171"/>
        <v>0</v>
      </c>
      <c r="BQ73" s="542">
        <f t="shared" ca="1" si="171"/>
        <v>0</v>
      </c>
      <c r="BR73" s="542">
        <f t="shared" ref="BR73:CA73" ca="1" si="172">IFERROR(SUMIFS(INDIRECT($C73&amp;".Emissions["&amp;this.Year&amp;"]"), INDIRECT($C73&amp;".Emissions[GHG]"), BR$6, INDIRECT($C73&amp;".Emissions[IPCC Sector]"), BR$5),0)</f>
        <v>0</v>
      </c>
      <c r="BS73" s="542">
        <f t="shared" ca="1" si="172"/>
        <v>0</v>
      </c>
      <c r="BT73" s="542">
        <f t="shared" ca="1" si="172"/>
        <v>0</v>
      </c>
      <c r="BU73" s="542">
        <f t="shared" ca="1" si="172"/>
        <v>0</v>
      </c>
      <c r="BV73" s="542">
        <f t="shared" ca="1" si="172"/>
        <v>0</v>
      </c>
      <c r="BW73" s="542">
        <f t="shared" ca="1" si="172"/>
        <v>0</v>
      </c>
      <c r="BX73" s="542">
        <f t="shared" ca="1" si="172"/>
        <v>0</v>
      </c>
      <c r="BY73" s="542">
        <f t="shared" ca="1" si="172"/>
        <v>0</v>
      </c>
      <c r="BZ73" s="542">
        <f t="shared" ca="1" si="172"/>
        <v>0</v>
      </c>
      <c r="CA73" s="542">
        <f t="shared" ca="1" si="172"/>
        <v>0</v>
      </c>
      <c r="CB73" s="542">
        <f t="shared" ref="CB73:CK73" ca="1" si="173">IFERROR(SUMIFS(INDIRECT($C73&amp;".Emissions["&amp;this.Year&amp;"]"), INDIRECT($C73&amp;".Emissions[GHG]"), CB$6, INDIRECT($C73&amp;".Emissions[IPCC Sector]"), CB$5),0)</f>
        <v>0</v>
      </c>
      <c r="CC73" s="542">
        <f t="shared" ca="1" si="173"/>
        <v>0</v>
      </c>
      <c r="CD73" s="542">
        <f t="shared" ca="1" si="173"/>
        <v>0</v>
      </c>
      <c r="CE73" s="542">
        <f t="shared" ca="1" si="173"/>
        <v>0</v>
      </c>
      <c r="CF73" s="542">
        <f t="shared" ca="1" si="173"/>
        <v>0</v>
      </c>
      <c r="CG73" s="542">
        <f t="shared" ca="1" si="173"/>
        <v>0</v>
      </c>
      <c r="CH73" s="542">
        <f t="shared" ca="1" si="173"/>
        <v>0</v>
      </c>
      <c r="CI73" s="542">
        <f t="shared" ca="1" si="173"/>
        <v>0</v>
      </c>
      <c r="CJ73" s="542">
        <f t="shared" ca="1" si="173"/>
        <v>0</v>
      </c>
      <c r="CK73" s="542">
        <f t="shared" ca="1" si="173"/>
        <v>0</v>
      </c>
      <c r="CL73" s="542">
        <f t="shared" ref="CL73:CU73" ca="1" si="174">IFERROR(SUMIFS(INDIRECT($C73&amp;".Emissions["&amp;this.Year&amp;"]"), INDIRECT($C73&amp;".Emissions[GHG]"), CL$6, INDIRECT($C73&amp;".Emissions[IPCC Sector]"), CL$5),0)</f>
        <v>0</v>
      </c>
      <c r="CM73" s="542">
        <f t="shared" ca="1" si="174"/>
        <v>0</v>
      </c>
      <c r="CN73" s="542">
        <f t="shared" ca="1" si="174"/>
        <v>0</v>
      </c>
      <c r="CO73" s="542">
        <f t="shared" ca="1" si="174"/>
        <v>0</v>
      </c>
      <c r="CP73" s="542">
        <f t="shared" ca="1" si="174"/>
        <v>0</v>
      </c>
      <c r="CQ73" s="542">
        <f t="shared" ca="1" si="174"/>
        <v>0</v>
      </c>
      <c r="CR73" s="542">
        <f t="shared" ca="1" si="174"/>
        <v>0</v>
      </c>
      <c r="CS73" s="542">
        <f t="shared" ca="1" si="174"/>
        <v>0</v>
      </c>
      <c r="CT73" s="542">
        <f t="shared" ca="1" si="174"/>
        <v>0</v>
      </c>
      <c r="CU73" s="542">
        <f t="shared" ca="1" si="174"/>
        <v>0</v>
      </c>
      <c r="CW73" s="151"/>
    </row>
    <row r="74" spans="1:101" s="18" customFormat="1" ht="12.75" customHeight="1" x14ac:dyDescent="0.2">
      <c r="B74" s="89"/>
      <c r="C74" s="85" t="s">
        <v>226</v>
      </c>
      <c r="D74" s="57" t="str">
        <f>INDEX(Workstreams[Workstream], MATCH($C74, Workstreams[Code], 0))</f>
        <v>Electricity distribution, storage &amp; balancing</v>
      </c>
      <c r="E74" s="53"/>
      <c r="F74" s="84"/>
      <c r="G74" s="245">
        <f ca="1">G$71+G$73</f>
        <v>0</v>
      </c>
      <c r="H74" s="245">
        <f t="shared" ref="H74:BS74" ca="1" si="175">H$71+H$73</f>
        <v>0</v>
      </c>
      <c r="I74" s="245">
        <f t="shared" ca="1" si="175"/>
        <v>0</v>
      </c>
      <c r="J74" s="245">
        <f t="shared" ca="1" si="175"/>
        <v>0</v>
      </c>
      <c r="K74" s="245">
        <f t="shared" ca="1" si="175"/>
        <v>0</v>
      </c>
      <c r="L74" s="245">
        <f t="shared" ca="1" si="175"/>
        <v>0</v>
      </c>
      <c r="M74" s="245">
        <f t="shared" ca="1" si="175"/>
        <v>0</v>
      </c>
      <c r="N74" s="245">
        <f t="shared" ca="1" si="175"/>
        <v>0</v>
      </c>
      <c r="O74" s="245">
        <f t="shared" ca="1" si="175"/>
        <v>0</v>
      </c>
      <c r="P74" s="245">
        <f t="shared" ca="1" si="136"/>
        <v>0</v>
      </c>
      <c r="Q74" s="245">
        <f t="shared" si="175"/>
        <v>0</v>
      </c>
      <c r="R74" s="245">
        <f t="shared" ca="1" si="175"/>
        <v>0</v>
      </c>
      <c r="S74" s="245">
        <f t="shared" ca="1" si="175"/>
        <v>-52.622344676074519</v>
      </c>
      <c r="T74" s="245">
        <f t="shared" ca="1" si="175"/>
        <v>0</v>
      </c>
      <c r="U74" s="245">
        <f t="shared" ca="1" si="175"/>
        <v>0</v>
      </c>
      <c r="V74" s="245">
        <f t="shared" ca="1" si="175"/>
        <v>0</v>
      </c>
      <c r="W74" s="245">
        <f t="shared" ca="1" si="175"/>
        <v>0</v>
      </c>
      <c r="X74" s="245">
        <f t="shared" ca="1" si="175"/>
        <v>0</v>
      </c>
      <c r="Y74" s="245">
        <f t="shared" ca="1" si="175"/>
        <v>0</v>
      </c>
      <c r="Z74" s="245">
        <f t="shared" ca="1" si="175"/>
        <v>0</v>
      </c>
      <c r="AA74" s="245">
        <f t="shared" ca="1" si="175"/>
        <v>0</v>
      </c>
      <c r="AB74" s="245">
        <f t="shared" ca="1" si="175"/>
        <v>0</v>
      </c>
      <c r="AC74" s="245">
        <f t="shared" ca="1" si="175"/>
        <v>0</v>
      </c>
      <c r="AD74" s="245">
        <f t="shared" ca="1" si="175"/>
        <v>0</v>
      </c>
      <c r="AE74" s="245">
        <f t="shared" ca="1" si="175"/>
        <v>0</v>
      </c>
      <c r="AF74" s="245">
        <f t="shared" ca="1" si="175"/>
        <v>0</v>
      </c>
      <c r="AG74" s="245">
        <f t="shared" ca="1" si="175"/>
        <v>0</v>
      </c>
      <c r="AH74" s="245">
        <f t="shared" ca="1" si="159"/>
        <v>-52.622344676074519</v>
      </c>
      <c r="AI74" s="245">
        <f t="shared" si="175"/>
        <v>0</v>
      </c>
      <c r="AJ74" s="245">
        <f t="shared" ca="1" si="175"/>
        <v>0</v>
      </c>
      <c r="AK74" s="245">
        <f t="shared" ca="1" si="175"/>
        <v>0</v>
      </c>
      <c r="AL74" s="245">
        <f t="shared" ca="1" si="175"/>
        <v>0</v>
      </c>
      <c r="AM74" s="245">
        <f t="shared" ca="1" si="175"/>
        <v>0</v>
      </c>
      <c r="AN74" s="245">
        <f t="shared" ca="1" si="175"/>
        <v>-37.318200000000004</v>
      </c>
      <c r="AO74" s="245">
        <f t="shared" ca="1" si="175"/>
        <v>0</v>
      </c>
      <c r="AP74" s="245">
        <f t="shared" ca="1" si="175"/>
        <v>0</v>
      </c>
      <c r="AQ74" s="245">
        <f t="shared" ca="1" si="175"/>
        <v>0</v>
      </c>
      <c r="AR74" s="245">
        <f t="shared" ca="1" si="175"/>
        <v>0</v>
      </c>
      <c r="AS74" s="245">
        <f t="shared" ca="1" si="175"/>
        <v>0</v>
      </c>
      <c r="AT74" s="245">
        <f t="shared" ca="1" si="175"/>
        <v>0</v>
      </c>
      <c r="AU74" s="245">
        <f t="shared" ca="1" si="175"/>
        <v>0</v>
      </c>
      <c r="AV74" s="245">
        <f t="shared" ca="1" si="175"/>
        <v>0</v>
      </c>
      <c r="AW74" s="245">
        <f t="shared" ca="1" si="175"/>
        <v>0</v>
      </c>
      <c r="AX74" s="245">
        <f t="shared" ca="1" si="175"/>
        <v>0</v>
      </c>
      <c r="AY74" s="245">
        <f t="shared" ca="1" si="147"/>
        <v>-37.318200000000004</v>
      </c>
      <c r="AZ74" s="245">
        <f t="shared" si="175"/>
        <v>0</v>
      </c>
      <c r="BA74" s="245">
        <f t="shared" ca="1" si="175"/>
        <v>0</v>
      </c>
      <c r="BB74" s="245">
        <f t="shared" ca="1" si="175"/>
        <v>89.940544676074552</v>
      </c>
      <c r="BC74" s="245">
        <f t="shared" ca="1" si="160"/>
        <v>89.940544676074552</v>
      </c>
      <c r="BD74" s="245">
        <f t="shared" si="175"/>
        <v>0</v>
      </c>
      <c r="BE74" s="245">
        <f t="shared" ca="1" si="175"/>
        <v>0</v>
      </c>
      <c r="BF74" s="245">
        <f t="shared" si="175"/>
        <v>0</v>
      </c>
      <c r="BG74" s="245">
        <f t="shared" si="175"/>
        <v>0</v>
      </c>
      <c r="BH74" s="245">
        <f t="shared" ca="1" si="175"/>
        <v>0</v>
      </c>
      <c r="BI74" s="245">
        <f t="shared" ca="1" si="175"/>
        <v>0</v>
      </c>
      <c r="BJ74" s="245">
        <f t="shared" ca="1" si="175"/>
        <v>0</v>
      </c>
      <c r="BK74" s="245">
        <f t="shared" ca="1" si="175"/>
        <v>0</v>
      </c>
      <c r="BL74" s="245">
        <f t="shared" ca="1" si="175"/>
        <v>0</v>
      </c>
      <c r="BM74" s="245">
        <f t="shared" ca="1" si="175"/>
        <v>0</v>
      </c>
      <c r="BN74" s="245">
        <f t="shared" ca="1" si="175"/>
        <v>0</v>
      </c>
      <c r="BO74" s="245">
        <f t="shared" ca="1" si="175"/>
        <v>0</v>
      </c>
      <c r="BP74" s="245">
        <f t="shared" ca="1" si="175"/>
        <v>0</v>
      </c>
      <c r="BQ74" s="245">
        <f t="shared" ca="1" si="175"/>
        <v>0</v>
      </c>
      <c r="BR74" s="245">
        <f t="shared" ca="1" si="175"/>
        <v>0</v>
      </c>
      <c r="BS74" s="245">
        <f t="shared" ca="1" si="175"/>
        <v>0</v>
      </c>
      <c r="BT74" s="245">
        <f t="shared" ref="BT74:CW74" ca="1" si="176">BT$71+BT$73</f>
        <v>0</v>
      </c>
      <c r="BU74" s="245">
        <f t="shared" ca="1" si="176"/>
        <v>0</v>
      </c>
      <c r="BV74" s="245">
        <f t="shared" ca="1" si="176"/>
        <v>0</v>
      </c>
      <c r="BW74" s="245">
        <f t="shared" ca="1" si="176"/>
        <v>0</v>
      </c>
      <c r="BX74" s="245">
        <f t="shared" ca="1" si="176"/>
        <v>0</v>
      </c>
      <c r="BY74" s="245">
        <f t="shared" ca="1" si="176"/>
        <v>0</v>
      </c>
      <c r="BZ74" s="245">
        <f t="shared" ca="1" si="176"/>
        <v>0</v>
      </c>
      <c r="CA74" s="245">
        <f t="shared" ca="1" si="176"/>
        <v>0</v>
      </c>
      <c r="CB74" s="245">
        <f t="shared" ca="1" si="176"/>
        <v>0</v>
      </c>
      <c r="CC74" s="245">
        <f t="shared" ca="1" si="176"/>
        <v>0</v>
      </c>
      <c r="CD74" s="245">
        <f t="shared" ca="1" si="176"/>
        <v>0</v>
      </c>
      <c r="CE74" s="245">
        <f t="shared" ca="1" si="176"/>
        <v>0</v>
      </c>
      <c r="CF74" s="245">
        <f t="shared" ca="1" si="176"/>
        <v>0</v>
      </c>
      <c r="CG74" s="245">
        <f t="shared" ca="1" si="176"/>
        <v>0</v>
      </c>
      <c r="CH74" s="245">
        <f t="shared" ca="1" si="176"/>
        <v>0</v>
      </c>
      <c r="CI74" s="245">
        <f t="shared" ca="1" si="176"/>
        <v>0</v>
      </c>
      <c r="CJ74" s="245">
        <f t="shared" ca="1" si="176"/>
        <v>0</v>
      </c>
      <c r="CK74" s="245">
        <f t="shared" ca="1" si="176"/>
        <v>0</v>
      </c>
      <c r="CL74" s="245">
        <f t="shared" ca="1" si="176"/>
        <v>0</v>
      </c>
      <c r="CM74" s="245">
        <f t="shared" ca="1" si="176"/>
        <v>0</v>
      </c>
      <c r="CN74" s="245">
        <f t="shared" ca="1" si="176"/>
        <v>0</v>
      </c>
      <c r="CO74" s="245">
        <f t="shared" ca="1" si="176"/>
        <v>0</v>
      </c>
      <c r="CP74" s="245">
        <f t="shared" ca="1" si="176"/>
        <v>0</v>
      </c>
      <c r="CQ74" s="245">
        <f t="shared" ca="1" si="176"/>
        <v>0</v>
      </c>
      <c r="CR74" s="245">
        <f t="shared" ca="1" si="176"/>
        <v>0</v>
      </c>
      <c r="CS74" s="245">
        <f t="shared" ca="1" si="176"/>
        <v>0</v>
      </c>
      <c r="CT74" s="245">
        <f t="shared" ca="1" si="176"/>
        <v>0</v>
      </c>
      <c r="CU74" s="245">
        <f t="shared" ca="1" si="176"/>
        <v>0</v>
      </c>
      <c r="CV74" s="245">
        <f t="shared" si="176"/>
        <v>0</v>
      </c>
      <c r="CW74" s="245">
        <f t="shared" si="176"/>
        <v>0</v>
      </c>
    </row>
    <row r="75" spans="1:101" s="84" customFormat="1" ht="12.75" customHeight="1" outlineLevel="1" x14ac:dyDescent="0.2">
      <c r="A75" s="18"/>
      <c r="B75" s="18"/>
      <c r="C75" s="87"/>
      <c r="D75" s="53"/>
      <c r="E75" s="53"/>
      <c r="G75" s="245"/>
      <c r="H75" s="245"/>
      <c r="I75" s="245"/>
      <c r="J75" s="245"/>
      <c r="K75" s="245"/>
      <c r="L75" s="247"/>
      <c r="M75" s="245"/>
      <c r="N75" s="245"/>
      <c r="O75" s="245"/>
      <c r="P75" s="245">
        <f t="shared" si="136"/>
        <v>0</v>
      </c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>
        <f t="shared" si="159"/>
        <v>0</v>
      </c>
      <c r="AJ75" s="263"/>
      <c r="AK75" s="263"/>
      <c r="AL75" s="263"/>
      <c r="AM75" s="263"/>
      <c r="AN75" s="263"/>
      <c r="AO75" s="263"/>
      <c r="AP75" s="263"/>
      <c r="AQ75" s="263"/>
      <c r="AR75" s="263"/>
      <c r="AS75" s="263"/>
      <c r="AT75" s="263"/>
      <c r="AU75" s="263"/>
      <c r="AV75" s="263"/>
      <c r="AW75" s="263"/>
      <c r="AX75" s="263"/>
      <c r="AY75" s="263">
        <f t="shared" si="147"/>
        <v>0</v>
      </c>
      <c r="BA75" s="277"/>
      <c r="BB75" s="277"/>
      <c r="BC75" s="277">
        <f t="shared" si="160"/>
        <v>0</v>
      </c>
      <c r="BE75" s="55">
        <f>P75+AH75+AY75+BC75</f>
        <v>0</v>
      </c>
      <c r="BF75" s="55"/>
      <c r="BG75" s="1428"/>
      <c r="BH75" s="542"/>
      <c r="BI75" s="542"/>
      <c r="BJ75" s="542"/>
      <c r="BK75" s="542"/>
      <c r="BL75" s="542"/>
      <c r="BM75" s="542"/>
      <c r="BN75" s="542"/>
      <c r="BO75" s="542"/>
      <c r="BP75" s="542"/>
      <c r="BQ75" s="542"/>
      <c r="BR75" s="542"/>
      <c r="BS75" s="542"/>
      <c r="BT75" s="542"/>
      <c r="BU75" s="542"/>
      <c r="BV75" s="542"/>
      <c r="BW75" s="542"/>
      <c r="BX75" s="542"/>
      <c r="BY75" s="542"/>
      <c r="BZ75" s="542"/>
      <c r="CA75" s="542"/>
      <c r="CB75" s="542"/>
      <c r="CC75" s="542"/>
      <c r="CD75" s="542"/>
      <c r="CE75" s="542"/>
      <c r="CF75" s="542"/>
      <c r="CG75" s="542"/>
      <c r="CH75" s="542"/>
      <c r="CI75" s="542"/>
      <c r="CJ75" s="542"/>
      <c r="CK75" s="542"/>
      <c r="CL75" s="542"/>
      <c r="CM75" s="542"/>
      <c r="CN75" s="542"/>
      <c r="CO75" s="542"/>
      <c r="CP75" s="542"/>
      <c r="CQ75" s="542"/>
      <c r="CR75" s="542"/>
      <c r="CS75" s="542"/>
      <c r="CT75" s="542"/>
      <c r="CU75" s="542"/>
      <c r="CW75" s="151">
        <f t="shared" ref="CW75:CW85" si="177">SUM(BH75:CU75)</f>
        <v>0</v>
      </c>
    </row>
    <row r="76" spans="1:101" s="550" customFormat="1" ht="12.75" customHeight="1" outlineLevel="1" x14ac:dyDescent="0.2">
      <c r="C76" s="566" t="s">
        <v>859</v>
      </c>
      <c r="D76" s="567" t="s">
        <v>817</v>
      </c>
      <c r="E76" s="567"/>
      <c r="G76" s="333"/>
      <c r="H76" s="333"/>
      <c r="I76" s="333"/>
      <c r="J76" s="333"/>
      <c r="K76" s="333"/>
      <c r="L76" s="334"/>
      <c r="M76" s="333"/>
      <c r="N76" s="333"/>
      <c r="O76" s="333"/>
      <c r="P76" s="333">
        <f t="shared" si="136"/>
        <v>0</v>
      </c>
      <c r="R76" s="335"/>
      <c r="S76" s="335"/>
      <c r="T76" s="335">
        <f ca="1">(T$28+T$66+T$74)</f>
        <v>-756.52138704566835</v>
      </c>
      <c r="U76" s="335">
        <f ca="1">(U$28+U$66+U$74)</f>
        <v>-204.0817691128814</v>
      </c>
      <c r="V76" s="335">
        <f ca="1">(V$28+V$66+V$74)</f>
        <v>-1036.4823636817698</v>
      </c>
      <c r="W76" s="335">
        <f ca="1">(W$28+W$66+W$74)</f>
        <v>-92.776442187623488</v>
      </c>
      <c r="X76" s="335"/>
      <c r="Y76" s="335"/>
      <c r="Z76" s="335"/>
      <c r="AA76" s="335"/>
      <c r="AB76" s="335">
        <f t="shared" ref="AB76:AG76" ca="1" si="178">(AB$28+AB$66+AB$74)</f>
        <v>0</v>
      </c>
      <c r="AC76" s="335">
        <f t="shared" ca="1" si="178"/>
        <v>2598.5408636047873</v>
      </c>
      <c r="AD76" s="335">
        <f t="shared" ca="1" si="178"/>
        <v>24.860764027112872</v>
      </c>
      <c r="AE76" s="335">
        <f t="shared" ca="1" si="178"/>
        <v>347.52707500652309</v>
      </c>
      <c r="AF76" s="335">
        <f t="shared" ca="1" si="178"/>
        <v>92.533974835322084</v>
      </c>
      <c r="AG76" s="335">
        <f t="shared" ca="1" si="178"/>
        <v>5.9620308549013927</v>
      </c>
      <c r="AH76" s="335">
        <f t="shared" ca="1" si="159"/>
        <v>979.56274630070345</v>
      </c>
      <c r="AJ76" s="336"/>
      <c r="AK76" s="336"/>
      <c r="AL76" s="336"/>
      <c r="AM76" s="336"/>
      <c r="AN76" s="336"/>
      <c r="AO76" s="336"/>
      <c r="AP76" s="336"/>
      <c r="AQ76" s="336"/>
      <c r="AR76" s="336"/>
      <c r="AS76" s="336"/>
      <c r="AT76" s="336"/>
      <c r="AU76" s="336"/>
      <c r="AV76" s="336"/>
      <c r="AW76" s="336"/>
      <c r="AX76" s="336">
        <f ca="1">AX28+AX36</f>
        <v>-450.79331965507987</v>
      </c>
      <c r="AY76" s="336">
        <f t="shared" ca="1" si="147"/>
        <v>-450.79331965507987</v>
      </c>
      <c r="BA76" s="337"/>
      <c r="BB76" s="337"/>
      <c r="BC76" s="337">
        <f t="shared" si="160"/>
        <v>0</v>
      </c>
      <c r="BE76" s="568"/>
      <c r="BF76" s="568"/>
      <c r="BG76" s="569"/>
      <c r="BH76" s="570"/>
      <c r="BI76" s="570"/>
      <c r="BJ76" s="570"/>
      <c r="BK76" s="570"/>
      <c r="BL76" s="570"/>
      <c r="BM76" s="570"/>
      <c r="BN76" s="570"/>
      <c r="BO76" s="570"/>
      <c r="BP76" s="570"/>
      <c r="BQ76" s="570"/>
      <c r="BR76" s="570"/>
      <c r="BS76" s="570"/>
      <c r="BT76" s="570"/>
      <c r="BU76" s="570"/>
      <c r="BV76" s="570"/>
      <c r="BW76" s="570"/>
      <c r="BX76" s="570"/>
      <c r="BY76" s="570"/>
      <c r="BZ76" s="570"/>
      <c r="CA76" s="570"/>
      <c r="CB76" s="570"/>
      <c r="CC76" s="570"/>
      <c r="CD76" s="570"/>
      <c r="CE76" s="570"/>
      <c r="CF76" s="570"/>
      <c r="CG76" s="570"/>
      <c r="CH76" s="570"/>
      <c r="CI76" s="570"/>
      <c r="CJ76" s="570"/>
      <c r="CK76" s="570"/>
      <c r="CL76" s="570"/>
      <c r="CM76" s="570"/>
      <c r="CN76" s="570"/>
      <c r="CO76" s="570"/>
      <c r="CP76" s="570"/>
      <c r="CQ76" s="570"/>
      <c r="CR76" s="570"/>
      <c r="CS76" s="570"/>
      <c r="CT76" s="570"/>
      <c r="CU76" s="570"/>
      <c r="CW76" s="569">
        <f t="shared" si="177"/>
        <v>0</v>
      </c>
    </row>
    <row r="77" spans="1:101" s="882" customFormat="1" ht="12.75" customHeight="1" outlineLevel="1" x14ac:dyDescent="0.2">
      <c r="A77" s="879"/>
      <c r="B77" s="879"/>
      <c r="C77" s="880" t="s">
        <v>400</v>
      </c>
      <c r="D77" s="881" t="str">
        <f>INDEX(Modules[Module], MATCH($C77, Modules[Code], 0))</f>
        <v>Types of fuel from Biomass</v>
      </c>
      <c r="E77" s="881"/>
      <c r="G77" s="326">
        <f t="shared" ref="G77:O79" ca="1" si="179">IFERROR(INDEX(INDIRECT($C77&amp;".Outputs["&amp;this.Year&amp;"]"), MATCH(G$5, INDIRECT($C77&amp;".Outputs[Vector]"), 0)), 0)</f>
        <v>0</v>
      </c>
      <c r="H77" s="326">
        <f t="shared" ca="1" si="179"/>
        <v>0</v>
      </c>
      <c r="I77" s="326">
        <f t="shared" ca="1" si="179"/>
        <v>0</v>
      </c>
      <c r="J77" s="326">
        <f t="shared" ca="1" si="179"/>
        <v>0</v>
      </c>
      <c r="K77" s="326">
        <f t="shared" ca="1" si="179"/>
        <v>0</v>
      </c>
      <c r="L77" s="326">
        <f t="shared" ca="1" si="179"/>
        <v>0</v>
      </c>
      <c r="M77" s="326">
        <f t="shared" ca="1" si="179"/>
        <v>0</v>
      </c>
      <c r="N77" s="326">
        <f t="shared" ca="1" si="179"/>
        <v>0</v>
      </c>
      <c r="O77" s="326">
        <f t="shared" ca="1" si="179"/>
        <v>0</v>
      </c>
      <c r="P77" s="326">
        <f t="shared" ca="1" si="136"/>
        <v>0</v>
      </c>
      <c r="R77" s="327">
        <f t="shared" ref="R77:AG79" ca="1" si="180">IFERROR(INDEX(INDIRECT($C77&amp;".Outputs["&amp;this.Year&amp;"]"), MATCH(R$5, INDIRECT($C77&amp;".Outputs[Vector]"), 0)), 0)</f>
        <v>0</v>
      </c>
      <c r="S77" s="327">
        <f t="shared" ca="1" si="180"/>
        <v>0</v>
      </c>
      <c r="T77" s="327">
        <f t="shared" ca="1" si="180"/>
        <v>0</v>
      </c>
      <c r="U77" s="327">
        <f t="shared" ca="1" si="180"/>
        <v>6.284801146054134</v>
      </c>
      <c r="V77" s="327">
        <f t="shared" ca="1" si="180"/>
        <v>795.92533754094541</v>
      </c>
      <c r="W77" s="327">
        <f t="shared" ca="1" si="180"/>
        <v>1871.5823977109778</v>
      </c>
      <c r="X77" s="327">
        <f t="shared" ca="1" si="180"/>
        <v>0</v>
      </c>
      <c r="Y77" s="327">
        <f t="shared" ca="1" si="180"/>
        <v>0</v>
      </c>
      <c r="Z77" s="327">
        <f t="shared" ca="1" si="180"/>
        <v>0</v>
      </c>
      <c r="AA77" s="327">
        <f t="shared" ca="1" si="180"/>
        <v>0</v>
      </c>
      <c r="AB77" s="327">
        <f t="shared" ca="1" si="180"/>
        <v>0</v>
      </c>
      <c r="AC77" s="327">
        <f t="shared" ca="1" si="180"/>
        <v>-2598.5408636047873</v>
      </c>
      <c r="AD77" s="327">
        <f t="shared" ca="1" si="180"/>
        <v>-24.860764027112872</v>
      </c>
      <c r="AE77" s="327">
        <f t="shared" ca="1" si="180"/>
        <v>-347.52707500652309</v>
      </c>
      <c r="AF77" s="327">
        <f t="shared" ca="1" si="180"/>
        <v>-92.533974835322084</v>
      </c>
      <c r="AG77" s="327">
        <f t="shared" ca="1" si="180"/>
        <v>-5.9620308549013927</v>
      </c>
      <c r="AH77" s="328">
        <f t="shared" ca="1" si="159"/>
        <v>-395.63217193066919</v>
      </c>
      <c r="AJ77" s="329">
        <f t="shared" ref="AJ77:AX79" ca="1" si="181">IFERROR(INDEX(INDIRECT($C77&amp;".Outputs["&amp;this.Year&amp;"]"), MATCH(AJ$5, INDIRECT($C77&amp;".Outputs[Vector]"), 0)), 0)</f>
        <v>0</v>
      </c>
      <c r="AK77" s="329">
        <f t="shared" ca="1" si="181"/>
        <v>0</v>
      </c>
      <c r="AL77" s="329">
        <f t="shared" ca="1" si="181"/>
        <v>0</v>
      </c>
      <c r="AM77" s="329">
        <f t="shared" ca="1" si="181"/>
        <v>0</v>
      </c>
      <c r="AN77" s="329">
        <f t="shared" ca="1" si="181"/>
        <v>0</v>
      </c>
      <c r="AO77" s="329">
        <f t="shared" ca="1" si="181"/>
        <v>0</v>
      </c>
      <c r="AP77" s="329">
        <f t="shared" ca="1" si="181"/>
        <v>0</v>
      </c>
      <c r="AQ77" s="329">
        <f t="shared" ca="1" si="181"/>
        <v>0</v>
      </c>
      <c r="AR77" s="329">
        <f t="shared" ca="1" si="181"/>
        <v>0</v>
      </c>
      <c r="AS77" s="329">
        <f t="shared" ca="1" si="181"/>
        <v>0</v>
      </c>
      <c r="AT77" s="329">
        <f t="shared" ca="1" si="181"/>
        <v>0</v>
      </c>
      <c r="AU77" s="329">
        <f t="shared" ca="1" si="181"/>
        <v>0</v>
      </c>
      <c r="AV77" s="329">
        <f t="shared" ca="1" si="181"/>
        <v>0</v>
      </c>
      <c r="AW77" s="329">
        <f t="shared" ca="1" si="181"/>
        <v>0</v>
      </c>
      <c r="AX77" s="329">
        <f t="shared" ca="1" si="181"/>
        <v>0</v>
      </c>
      <c r="AY77" s="330">
        <f t="shared" ca="1" si="147"/>
        <v>0</v>
      </c>
      <c r="BA77" s="331">
        <f ca="1">IFERROR(INDEX(INDIRECT($C77&amp;".Outputs["&amp;this.Year&amp;"]"), MATCH(BA$5, INDIRECT($C77&amp;".Outputs[Vector]"), 0)), 0)</f>
        <v>395.6321719306693</v>
      </c>
      <c r="BB77" s="331">
        <f ca="1">IFERROR(INDEX(INDIRECT($C77&amp;".Outputs["&amp;this.Year&amp;"]"), MATCH(BB$5, INDIRECT($C77&amp;".Outputs[Vector]"), 0)), 0)</f>
        <v>0</v>
      </c>
      <c r="BC77" s="332">
        <f t="shared" ca="1" si="160"/>
        <v>395.6321719306693</v>
      </c>
      <c r="BE77" s="883">
        <f ca="1">P77+AH77+AY77+BC77</f>
        <v>0</v>
      </c>
      <c r="BF77" s="883"/>
      <c r="BG77" s="884"/>
      <c r="BH77" s="885">
        <f t="shared" ref="BH77:CU79" ca="1" si="182">IFERROR(SUMIFS(INDIRECT($C77&amp;".Emissions["&amp;this.Year&amp;"]"), INDIRECT($C77&amp;".Emissions[GHG]"), BH$6, INDIRECT($C77&amp;".Emissions[IPCC Sector]"), BH$5),0)</f>
        <v>0</v>
      </c>
      <c r="BI77" s="886">
        <f t="shared" ca="1" si="182"/>
        <v>0</v>
      </c>
      <c r="BJ77" s="886">
        <f t="shared" ca="1" si="182"/>
        <v>0</v>
      </c>
      <c r="BK77" s="886">
        <f t="shared" ca="1" si="182"/>
        <v>0</v>
      </c>
      <c r="BL77" s="886">
        <f t="shared" ca="1" si="182"/>
        <v>0</v>
      </c>
      <c r="BM77" s="886">
        <f t="shared" ca="1" si="182"/>
        <v>0</v>
      </c>
      <c r="BN77" s="886">
        <f t="shared" ca="1" si="182"/>
        <v>0</v>
      </c>
      <c r="BO77" s="886">
        <f t="shared" ca="1" si="182"/>
        <v>0</v>
      </c>
      <c r="BP77" s="886">
        <f t="shared" ca="1" si="182"/>
        <v>0</v>
      </c>
      <c r="BQ77" s="886">
        <f t="shared" ca="1" si="182"/>
        <v>0</v>
      </c>
      <c r="BR77" s="886">
        <f t="shared" ca="1" si="182"/>
        <v>0</v>
      </c>
      <c r="BS77" s="886">
        <f t="shared" ca="1" si="182"/>
        <v>0</v>
      </c>
      <c r="BT77" s="886">
        <f t="shared" ca="1" si="182"/>
        <v>0</v>
      </c>
      <c r="BU77" s="886">
        <f t="shared" ca="1" si="182"/>
        <v>0</v>
      </c>
      <c r="BV77" s="886">
        <f t="shared" ca="1" si="182"/>
        <v>0</v>
      </c>
      <c r="BW77" s="886">
        <f t="shared" ca="1" si="182"/>
        <v>0</v>
      </c>
      <c r="BX77" s="886">
        <f t="shared" ca="1" si="182"/>
        <v>0</v>
      </c>
      <c r="BY77" s="886">
        <f t="shared" ca="1" si="182"/>
        <v>0</v>
      </c>
      <c r="BZ77" s="886">
        <f t="shared" ca="1" si="182"/>
        <v>0</v>
      </c>
      <c r="CA77" s="886">
        <f t="shared" ca="1" si="182"/>
        <v>0</v>
      </c>
      <c r="CB77" s="886">
        <f t="shared" ca="1" si="182"/>
        <v>0</v>
      </c>
      <c r="CC77" s="886">
        <f t="shared" ca="1" si="182"/>
        <v>0</v>
      </c>
      <c r="CD77" s="886">
        <f t="shared" ca="1" si="182"/>
        <v>0</v>
      </c>
      <c r="CE77" s="886">
        <f t="shared" ca="1" si="182"/>
        <v>0</v>
      </c>
      <c r="CF77" s="886">
        <f t="shared" ca="1" si="182"/>
        <v>0</v>
      </c>
      <c r="CG77" s="886">
        <f t="shared" ca="1" si="182"/>
        <v>0</v>
      </c>
      <c r="CH77" s="886">
        <f t="shared" ca="1" si="182"/>
        <v>0</v>
      </c>
      <c r="CI77" s="886">
        <f t="shared" ca="1" si="182"/>
        <v>0</v>
      </c>
      <c r="CJ77" s="886">
        <f t="shared" ca="1" si="182"/>
        <v>0</v>
      </c>
      <c r="CK77" s="886">
        <f t="shared" ca="1" si="182"/>
        <v>0</v>
      </c>
      <c r="CL77" s="886">
        <f t="shared" ca="1" si="182"/>
        <v>0</v>
      </c>
      <c r="CM77" s="886">
        <f t="shared" ca="1" si="182"/>
        <v>0</v>
      </c>
      <c r="CN77" s="886">
        <f t="shared" ca="1" si="182"/>
        <v>-148.02146239404746</v>
      </c>
      <c r="CO77" s="886">
        <f t="shared" ca="1" si="182"/>
        <v>0</v>
      </c>
      <c r="CP77" s="886">
        <f t="shared" ca="1" si="182"/>
        <v>0</v>
      </c>
      <c r="CQ77" s="886">
        <f t="shared" ca="1" si="182"/>
        <v>0</v>
      </c>
      <c r="CR77" s="886">
        <f t="shared" ca="1" si="182"/>
        <v>0</v>
      </c>
      <c r="CS77" s="886">
        <f t="shared" ca="1" si="182"/>
        <v>0</v>
      </c>
      <c r="CT77" s="886">
        <f t="shared" ca="1" si="182"/>
        <v>0</v>
      </c>
      <c r="CU77" s="886">
        <f t="shared" ca="1" si="182"/>
        <v>0</v>
      </c>
      <c r="CW77" s="887">
        <f t="shared" ca="1" si="177"/>
        <v>-148.02146239404746</v>
      </c>
    </row>
    <row r="78" spans="1:101" s="550" customFormat="1" ht="12.75" customHeight="1" outlineLevel="1" x14ac:dyDescent="0.2">
      <c r="C78" s="566" t="s">
        <v>860</v>
      </c>
      <c r="D78" s="567" t="s">
        <v>817</v>
      </c>
      <c r="E78" s="567"/>
      <c r="G78" s="333"/>
      <c r="H78" s="333"/>
      <c r="I78" s="333"/>
      <c r="J78" s="333"/>
      <c r="K78" s="333"/>
      <c r="L78" s="334"/>
      <c r="M78" s="333"/>
      <c r="N78" s="333"/>
      <c r="O78" s="333"/>
      <c r="P78" s="333">
        <f t="shared" si="136"/>
        <v>0</v>
      </c>
      <c r="R78" s="335"/>
      <c r="S78" s="335"/>
      <c r="T78" s="335">
        <f ca="1">T$76+T$77</f>
        <v>-756.52138704566835</v>
      </c>
      <c r="U78" s="335">
        <f ca="1">U$76+U$77</f>
        <v>-197.79696796682728</v>
      </c>
      <c r="V78" s="335">
        <f ca="1">V$76+V$77</f>
        <v>-240.55702614082441</v>
      </c>
      <c r="W78" s="335">
        <f ca="1">W$76+W$77</f>
        <v>1778.8059555233544</v>
      </c>
      <c r="X78" s="335"/>
      <c r="Y78" s="335"/>
      <c r="Z78" s="335"/>
      <c r="AA78" s="335"/>
      <c r="AB78" s="335">
        <f t="shared" ref="AB78:AG78" ca="1" si="183">AB$76+AB$77</f>
        <v>0</v>
      </c>
      <c r="AC78" s="335">
        <f t="shared" ca="1" si="183"/>
        <v>0</v>
      </c>
      <c r="AD78" s="335">
        <f t="shared" ca="1" si="183"/>
        <v>0</v>
      </c>
      <c r="AE78" s="335">
        <f t="shared" ca="1" si="183"/>
        <v>0</v>
      </c>
      <c r="AF78" s="335">
        <f t="shared" ca="1" si="183"/>
        <v>0</v>
      </c>
      <c r="AG78" s="335">
        <f t="shared" ca="1" si="183"/>
        <v>0</v>
      </c>
      <c r="AH78" s="335">
        <f t="shared" ca="1" si="159"/>
        <v>583.93057437003426</v>
      </c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  <c r="AT78" s="336"/>
      <c r="AU78" s="336"/>
      <c r="AV78" s="336"/>
      <c r="AW78" s="336"/>
      <c r="AX78" s="336">
        <f ca="1">AX30+AX34+AX38</f>
        <v>-26.691963531537414</v>
      </c>
      <c r="AY78" s="336">
        <f t="shared" ca="1" si="147"/>
        <v>-26.691963531537414</v>
      </c>
      <c r="BA78" s="337"/>
      <c r="BB78" s="337"/>
      <c r="BC78" s="337">
        <f t="shared" si="160"/>
        <v>0</v>
      </c>
      <c r="BE78" s="568"/>
      <c r="BF78" s="568"/>
      <c r="BG78" s="569"/>
      <c r="BH78" s="570"/>
      <c r="BI78" s="570"/>
      <c r="BJ78" s="570"/>
      <c r="BK78" s="570"/>
      <c r="BL78" s="570"/>
      <c r="BM78" s="570"/>
      <c r="BN78" s="570"/>
      <c r="BO78" s="570"/>
      <c r="BP78" s="570"/>
      <c r="BQ78" s="570"/>
      <c r="BR78" s="570"/>
      <c r="BS78" s="570"/>
      <c r="BT78" s="570"/>
      <c r="BU78" s="570"/>
      <c r="BV78" s="570"/>
      <c r="BW78" s="570"/>
      <c r="BX78" s="570"/>
      <c r="BY78" s="570"/>
      <c r="BZ78" s="570"/>
      <c r="CA78" s="570"/>
      <c r="CB78" s="570"/>
      <c r="CC78" s="570"/>
      <c r="CD78" s="570"/>
      <c r="CE78" s="570"/>
      <c r="CF78" s="570"/>
      <c r="CG78" s="570"/>
      <c r="CH78" s="570"/>
      <c r="CI78" s="570"/>
      <c r="CJ78" s="570"/>
      <c r="CK78" s="570"/>
      <c r="CL78" s="570"/>
      <c r="CM78" s="570"/>
      <c r="CN78" s="570"/>
      <c r="CO78" s="570"/>
      <c r="CP78" s="570"/>
      <c r="CQ78" s="570"/>
      <c r="CR78" s="570"/>
      <c r="CS78" s="570"/>
      <c r="CT78" s="570"/>
      <c r="CU78" s="570"/>
      <c r="CW78" s="569">
        <f>SUM(BH78:CU78)</f>
        <v>0</v>
      </c>
    </row>
    <row r="79" spans="1:101" s="2685" customFormat="1" ht="12.75" customHeight="1" outlineLevel="1" x14ac:dyDescent="0.2">
      <c r="C79" s="319" t="s">
        <v>838</v>
      </c>
      <c r="D79" s="881" t="str">
        <f>INDEX(Modules[Module], MATCH($C79, Modules[Code], 0))</f>
        <v>Bioenergy imports</v>
      </c>
      <c r="E79" s="163"/>
      <c r="G79" s="326">
        <f t="shared" ca="1" si="179"/>
        <v>0</v>
      </c>
      <c r="H79" s="326">
        <f t="shared" ca="1" si="179"/>
        <v>0</v>
      </c>
      <c r="I79" s="326">
        <f t="shared" ca="1" si="179"/>
        <v>0</v>
      </c>
      <c r="J79" s="326">
        <f t="shared" ca="1" si="179"/>
        <v>0</v>
      </c>
      <c r="K79" s="326">
        <f t="shared" ca="1" si="179"/>
        <v>0</v>
      </c>
      <c r="L79" s="326">
        <f t="shared" ca="1" si="179"/>
        <v>0</v>
      </c>
      <c r="M79" s="326">
        <f t="shared" ca="1" si="179"/>
        <v>0</v>
      </c>
      <c r="N79" s="326">
        <f t="shared" ca="1" si="179"/>
        <v>0</v>
      </c>
      <c r="O79" s="326">
        <f t="shared" ca="1" si="179"/>
        <v>0</v>
      </c>
      <c r="P79" s="326">
        <f t="shared" ref="P79" ca="1" si="184">SUM(G79:O79)</f>
        <v>0</v>
      </c>
      <c r="Q79" s="882"/>
      <c r="R79" s="327">
        <f t="shared" ca="1" si="180"/>
        <v>0</v>
      </c>
      <c r="S79" s="327">
        <f t="shared" ca="1" si="180"/>
        <v>0</v>
      </c>
      <c r="T79" s="327">
        <f t="shared" ca="1" si="180"/>
        <v>0</v>
      </c>
      <c r="U79" s="327">
        <f t="shared" ca="1" si="180"/>
        <v>0</v>
      </c>
      <c r="V79" s="327">
        <f t="shared" ca="1" si="180"/>
        <v>0</v>
      </c>
      <c r="W79" s="327">
        <f t="shared" ca="1" si="180"/>
        <v>-1778.8059555233544</v>
      </c>
      <c r="X79" s="327">
        <f t="shared" ca="1" si="180"/>
        <v>0</v>
      </c>
      <c r="Y79" s="327">
        <f t="shared" ca="1" si="180"/>
        <v>0</v>
      </c>
      <c r="Z79" s="327">
        <f t="shared" ca="1" si="180"/>
        <v>0</v>
      </c>
      <c r="AA79" s="327">
        <f t="shared" ca="1" si="180"/>
        <v>0</v>
      </c>
      <c r="AB79" s="327">
        <f t="shared" ca="1" si="180"/>
        <v>0</v>
      </c>
      <c r="AC79" s="327">
        <f t="shared" ca="1" si="180"/>
        <v>0</v>
      </c>
      <c r="AD79" s="327">
        <f t="shared" ca="1" si="180"/>
        <v>0</v>
      </c>
      <c r="AE79" s="327">
        <f t="shared" ca="1" si="180"/>
        <v>0</v>
      </c>
      <c r="AF79" s="327">
        <f t="shared" ca="1" si="180"/>
        <v>0</v>
      </c>
      <c r="AG79" s="327">
        <f t="shared" ca="1" si="180"/>
        <v>0</v>
      </c>
      <c r="AH79" s="328">
        <f t="shared" ca="1" si="159"/>
        <v>-1778.8059555233544</v>
      </c>
      <c r="AI79" s="882"/>
      <c r="AJ79" s="329">
        <f t="shared" ca="1" si="181"/>
        <v>0</v>
      </c>
      <c r="AK79" s="329">
        <f t="shared" ca="1" si="181"/>
        <v>0</v>
      </c>
      <c r="AL79" s="329">
        <f t="shared" ca="1" si="181"/>
        <v>0</v>
      </c>
      <c r="AM79" s="329">
        <f t="shared" ca="1" si="181"/>
        <v>1778.8059555233544</v>
      </c>
      <c r="AN79" s="329">
        <f t="shared" ca="1" si="181"/>
        <v>0</v>
      </c>
      <c r="AO79" s="329">
        <f t="shared" ca="1" si="181"/>
        <v>0</v>
      </c>
      <c r="AP79" s="329">
        <f t="shared" ca="1" si="181"/>
        <v>0</v>
      </c>
      <c r="AQ79" s="329">
        <f t="shared" ca="1" si="181"/>
        <v>0</v>
      </c>
      <c r="AR79" s="329">
        <f t="shared" ca="1" si="181"/>
        <v>0</v>
      </c>
      <c r="AS79" s="329">
        <f t="shared" ca="1" si="181"/>
        <v>0</v>
      </c>
      <c r="AT79" s="329">
        <f t="shared" ca="1" si="181"/>
        <v>0</v>
      </c>
      <c r="AU79" s="329">
        <f t="shared" ca="1" si="181"/>
        <v>0</v>
      </c>
      <c r="AV79" s="329">
        <f t="shared" ca="1" si="181"/>
        <v>0</v>
      </c>
      <c r="AW79" s="329">
        <f t="shared" ca="1" si="181"/>
        <v>0</v>
      </c>
      <c r="AX79" s="329">
        <f t="shared" ca="1" si="181"/>
        <v>0</v>
      </c>
      <c r="AY79" s="330">
        <f t="shared" ref="AY79" ca="1" si="185">SUM(AJ79:AX79)</f>
        <v>1778.8059555233544</v>
      </c>
      <c r="AZ79" s="882"/>
      <c r="BA79" s="331">
        <f ca="1">IFERROR(INDEX(INDIRECT($C79&amp;".Outputs["&amp;this.Year&amp;"]"), MATCH(BA$5, INDIRECT($C79&amp;".Outputs[Vector]"), 0)), 0)</f>
        <v>0</v>
      </c>
      <c r="BB79" s="331">
        <f ca="1">IFERROR(INDEX(INDIRECT($C79&amp;".Outputs["&amp;this.Year&amp;"]"), MATCH(BB$5, INDIRECT($C79&amp;".Outputs[Vector]"), 0)), 0)</f>
        <v>0</v>
      </c>
      <c r="BC79" s="332">
        <f t="shared" ref="BC79" ca="1" si="186">SUM(BA79:BB79)</f>
        <v>0</v>
      </c>
      <c r="BD79" s="882"/>
      <c r="BE79" s="883">
        <f ca="1">P79+AH79+AY79+BC79</f>
        <v>0</v>
      </c>
      <c r="BF79" s="883"/>
      <c r="BG79" s="884"/>
      <c r="BH79" s="885">
        <f t="shared" ca="1" si="182"/>
        <v>0</v>
      </c>
      <c r="BI79" s="886">
        <f t="shared" ca="1" si="182"/>
        <v>0</v>
      </c>
      <c r="BJ79" s="886">
        <f t="shared" ca="1" si="182"/>
        <v>0</v>
      </c>
      <c r="BK79" s="886">
        <f t="shared" ca="1" si="182"/>
        <v>0</v>
      </c>
      <c r="BL79" s="886">
        <f t="shared" ca="1" si="182"/>
        <v>0</v>
      </c>
      <c r="BM79" s="886">
        <f t="shared" ca="1" si="182"/>
        <v>0</v>
      </c>
      <c r="BN79" s="886">
        <f t="shared" ca="1" si="182"/>
        <v>0</v>
      </c>
      <c r="BO79" s="886">
        <f t="shared" ca="1" si="182"/>
        <v>0</v>
      </c>
      <c r="BP79" s="886">
        <f t="shared" ca="1" si="182"/>
        <v>0</v>
      </c>
      <c r="BQ79" s="886">
        <f t="shared" ca="1" si="182"/>
        <v>0</v>
      </c>
      <c r="BR79" s="886">
        <f t="shared" ca="1" si="182"/>
        <v>0</v>
      </c>
      <c r="BS79" s="886">
        <f t="shared" ca="1" si="182"/>
        <v>0</v>
      </c>
      <c r="BT79" s="886">
        <f t="shared" ca="1" si="182"/>
        <v>0</v>
      </c>
      <c r="BU79" s="886">
        <f t="shared" ca="1" si="182"/>
        <v>0</v>
      </c>
      <c r="BV79" s="886">
        <f t="shared" ca="1" si="182"/>
        <v>0</v>
      </c>
      <c r="BW79" s="886">
        <f t="shared" ca="1" si="182"/>
        <v>0</v>
      </c>
      <c r="BX79" s="886">
        <f t="shared" ca="1" si="182"/>
        <v>0</v>
      </c>
      <c r="BY79" s="886">
        <f t="shared" ca="1" si="182"/>
        <v>0</v>
      </c>
      <c r="BZ79" s="886">
        <f t="shared" ca="1" si="182"/>
        <v>0</v>
      </c>
      <c r="CA79" s="886">
        <f t="shared" ca="1" si="182"/>
        <v>0</v>
      </c>
      <c r="CB79" s="886">
        <f t="shared" ca="1" si="182"/>
        <v>0</v>
      </c>
      <c r="CC79" s="886">
        <f t="shared" ca="1" si="182"/>
        <v>0</v>
      </c>
      <c r="CD79" s="886">
        <f t="shared" ca="1" si="182"/>
        <v>0</v>
      </c>
      <c r="CE79" s="886">
        <f t="shared" ca="1" si="182"/>
        <v>0</v>
      </c>
      <c r="CF79" s="886">
        <f t="shared" ca="1" si="182"/>
        <v>0</v>
      </c>
      <c r="CG79" s="886">
        <f t="shared" ca="1" si="182"/>
        <v>0</v>
      </c>
      <c r="CH79" s="886">
        <f t="shared" ca="1" si="182"/>
        <v>0</v>
      </c>
      <c r="CI79" s="886">
        <f t="shared" ca="1" si="182"/>
        <v>0</v>
      </c>
      <c r="CJ79" s="886">
        <f t="shared" ca="1" si="182"/>
        <v>0</v>
      </c>
      <c r="CK79" s="886">
        <f t="shared" ca="1" si="182"/>
        <v>0</v>
      </c>
      <c r="CL79" s="886">
        <f t="shared" ca="1" si="182"/>
        <v>0</v>
      </c>
      <c r="CM79" s="886">
        <f t="shared" ca="1" si="182"/>
        <v>0</v>
      </c>
      <c r="CN79" s="886">
        <f t="shared" ca="1" si="182"/>
        <v>0</v>
      </c>
      <c r="CO79" s="886">
        <f t="shared" ca="1" si="182"/>
        <v>0</v>
      </c>
      <c r="CP79" s="886">
        <f t="shared" ca="1" si="182"/>
        <v>0</v>
      </c>
      <c r="CQ79" s="886">
        <f t="shared" ca="1" si="182"/>
        <v>0</v>
      </c>
      <c r="CR79" s="886">
        <f t="shared" ca="1" si="182"/>
        <v>0</v>
      </c>
      <c r="CS79" s="886">
        <f t="shared" ca="1" si="182"/>
        <v>0</v>
      </c>
      <c r="CT79" s="886">
        <f t="shared" ca="1" si="182"/>
        <v>0</v>
      </c>
      <c r="CU79" s="886">
        <f t="shared" ca="1" si="182"/>
        <v>0</v>
      </c>
      <c r="CV79" s="882"/>
      <c r="CW79" s="887">
        <f t="shared" ref="CW79" ca="1" si="187">SUM(BH79:CU79)</f>
        <v>0</v>
      </c>
    </row>
    <row r="80" spans="1:101" s="84" customFormat="1" ht="15.75" x14ac:dyDescent="0.2">
      <c r="A80" s="18"/>
      <c r="B80" s="89"/>
      <c r="C80" s="85" t="s">
        <v>224</v>
      </c>
      <c r="D80" s="57" t="str">
        <f>INDEX(Workstreams[Workstream], MATCH($C80, Workstreams[Code], 0))</f>
        <v>Bioenergy</v>
      </c>
      <c r="E80" s="53"/>
      <c r="G80" s="300">
        <f ca="1">G$77+G79</f>
        <v>0</v>
      </c>
      <c r="H80" s="300">
        <f t="shared" ref="H80:O80" ca="1" si="188">H$77+H79</f>
        <v>0</v>
      </c>
      <c r="I80" s="300">
        <f t="shared" ca="1" si="188"/>
        <v>0</v>
      </c>
      <c r="J80" s="300">
        <f t="shared" ca="1" si="188"/>
        <v>0</v>
      </c>
      <c r="K80" s="300">
        <f t="shared" ca="1" si="188"/>
        <v>0</v>
      </c>
      <c r="L80" s="300">
        <f t="shared" ca="1" si="188"/>
        <v>0</v>
      </c>
      <c r="M80" s="300">
        <f t="shared" ca="1" si="188"/>
        <v>0</v>
      </c>
      <c r="N80" s="300">
        <f t="shared" ca="1" si="188"/>
        <v>0</v>
      </c>
      <c r="O80" s="300">
        <f t="shared" ca="1" si="188"/>
        <v>0</v>
      </c>
      <c r="P80" s="300">
        <f t="shared" ca="1" si="136"/>
        <v>0</v>
      </c>
      <c r="R80" s="257">
        <f ca="1">R$77+R79</f>
        <v>0</v>
      </c>
      <c r="S80" s="257">
        <f t="shared" ref="S80:AG80" ca="1" si="189">S$77+S79</f>
        <v>0</v>
      </c>
      <c r="T80" s="257">
        <f t="shared" ca="1" si="189"/>
        <v>0</v>
      </c>
      <c r="U80" s="257">
        <f t="shared" ca="1" si="189"/>
        <v>6.284801146054134</v>
      </c>
      <c r="V80" s="257">
        <f t="shared" ca="1" si="189"/>
        <v>795.92533754094541</v>
      </c>
      <c r="W80" s="257">
        <f t="shared" ca="1" si="189"/>
        <v>92.776442187623388</v>
      </c>
      <c r="X80" s="257">
        <f t="shared" ca="1" si="189"/>
        <v>0</v>
      </c>
      <c r="Y80" s="257">
        <f t="shared" ca="1" si="189"/>
        <v>0</v>
      </c>
      <c r="Z80" s="257">
        <f t="shared" ca="1" si="189"/>
        <v>0</v>
      </c>
      <c r="AA80" s="257">
        <f t="shared" ca="1" si="189"/>
        <v>0</v>
      </c>
      <c r="AB80" s="257">
        <f t="shared" ca="1" si="189"/>
        <v>0</v>
      </c>
      <c r="AC80" s="257">
        <f t="shared" ca="1" si="189"/>
        <v>-2598.5408636047873</v>
      </c>
      <c r="AD80" s="257">
        <f t="shared" ca="1" si="189"/>
        <v>-24.860764027112872</v>
      </c>
      <c r="AE80" s="257">
        <f t="shared" ca="1" si="189"/>
        <v>-347.52707500652309</v>
      </c>
      <c r="AF80" s="257">
        <f t="shared" ca="1" si="189"/>
        <v>-92.533974835322084</v>
      </c>
      <c r="AG80" s="257">
        <f t="shared" ca="1" si="189"/>
        <v>-5.9620308549013927</v>
      </c>
      <c r="AH80" s="257">
        <f t="shared" ca="1" si="159"/>
        <v>-2174.4381274540237</v>
      </c>
      <c r="AJ80" s="263">
        <f ca="1">AJ$77+AJ79</f>
        <v>0</v>
      </c>
      <c r="AK80" s="263">
        <f t="shared" ref="AK80:AX80" ca="1" si="190">AK$77+AK79</f>
        <v>0</v>
      </c>
      <c r="AL80" s="263">
        <f t="shared" ca="1" si="190"/>
        <v>0</v>
      </c>
      <c r="AM80" s="263">
        <f t="shared" ca="1" si="190"/>
        <v>1778.8059555233544</v>
      </c>
      <c r="AN80" s="263">
        <f t="shared" ca="1" si="190"/>
        <v>0</v>
      </c>
      <c r="AO80" s="263">
        <f t="shared" ca="1" si="190"/>
        <v>0</v>
      </c>
      <c r="AP80" s="263">
        <f t="shared" ca="1" si="190"/>
        <v>0</v>
      </c>
      <c r="AQ80" s="263">
        <f t="shared" ca="1" si="190"/>
        <v>0</v>
      </c>
      <c r="AR80" s="263">
        <f t="shared" ca="1" si="190"/>
        <v>0</v>
      </c>
      <c r="AS80" s="263">
        <f t="shared" ca="1" si="190"/>
        <v>0</v>
      </c>
      <c r="AT80" s="263">
        <f t="shared" ca="1" si="190"/>
        <v>0</v>
      </c>
      <c r="AU80" s="263">
        <f t="shared" ca="1" si="190"/>
        <v>0</v>
      </c>
      <c r="AV80" s="263">
        <f t="shared" ca="1" si="190"/>
        <v>0</v>
      </c>
      <c r="AW80" s="263">
        <f t="shared" ca="1" si="190"/>
        <v>0</v>
      </c>
      <c r="AX80" s="263">
        <f t="shared" ca="1" si="190"/>
        <v>0</v>
      </c>
      <c r="AY80" s="263">
        <f t="shared" ca="1" si="147"/>
        <v>1778.8059555233544</v>
      </c>
      <c r="BA80" s="277">
        <f ca="1">BA$77+BA79</f>
        <v>395.6321719306693</v>
      </c>
      <c r="BB80" s="277">
        <f ca="1">BB$77+BB79</f>
        <v>0</v>
      </c>
      <c r="BC80" s="277">
        <f t="shared" ca="1" si="160"/>
        <v>395.6321719306693</v>
      </c>
      <c r="BE80" s="55">
        <f ca="1">P80+AH80+AY80+BC80</f>
        <v>0</v>
      </c>
      <c r="BF80" s="55"/>
      <c r="BG80" s="1428"/>
      <c r="BH80" s="542">
        <f ca="1">BH$77+BH79</f>
        <v>0</v>
      </c>
      <c r="BI80" s="542">
        <f t="shared" ref="BI80:CU80" ca="1" si="191">BI$77+BI79</f>
        <v>0</v>
      </c>
      <c r="BJ80" s="542">
        <f t="shared" ca="1" si="191"/>
        <v>0</v>
      </c>
      <c r="BK80" s="542">
        <f t="shared" ca="1" si="191"/>
        <v>0</v>
      </c>
      <c r="BL80" s="542">
        <f t="shared" ca="1" si="191"/>
        <v>0</v>
      </c>
      <c r="BM80" s="542">
        <f t="shared" ca="1" si="191"/>
        <v>0</v>
      </c>
      <c r="BN80" s="542">
        <f t="shared" ca="1" si="191"/>
        <v>0</v>
      </c>
      <c r="BO80" s="542">
        <f t="shared" ca="1" si="191"/>
        <v>0</v>
      </c>
      <c r="BP80" s="542">
        <f t="shared" ca="1" si="191"/>
        <v>0</v>
      </c>
      <c r="BQ80" s="542">
        <f t="shared" ca="1" si="191"/>
        <v>0</v>
      </c>
      <c r="BR80" s="542">
        <f t="shared" ca="1" si="191"/>
        <v>0</v>
      </c>
      <c r="BS80" s="542">
        <f t="shared" ca="1" si="191"/>
        <v>0</v>
      </c>
      <c r="BT80" s="542">
        <f t="shared" ca="1" si="191"/>
        <v>0</v>
      </c>
      <c r="BU80" s="542">
        <f t="shared" ca="1" si="191"/>
        <v>0</v>
      </c>
      <c r="BV80" s="542">
        <f t="shared" ca="1" si="191"/>
        <v>0</v>
      </c>
      <c r="BW80" s="542">
        <f t="shared" ca="1" si="191"/>
        <v>0</v>
      </c>
      <c r="BX80" s="542">
        <f t="shared" ca="1" si="191"/>
        <v>0</v>
      </c>
      <c r="BY80" s="542">
        <f t="shared" ca="1" si="191"/>
        <v>0</v>
      </c>
      <c r="BZ80" s="542">
        <f t="shared" ca="1" si="191"/>
        <v>0</v>
      </c>
      <c r="CA80" s="542">
        <f t="shared" ca="1" si="191"/>
        <v>0</v>
      </c>
      <c r="CB80" s="542">
        <f t="shared" ca="1" si="191"/>
        <v>0</v>
      </c>
      <c r="CC80" s="542">
        <f t="shared" ca="1" si="191"/>
        <v>0</v>
      </c>
      <c r="CD80" s="542">
        <f t="shared" ca="1" si="191"/>
        <v>0</v>
      </c>
      <c r="CE80" s="542">
        <f t="shared" ca="1" si="191"/>
        <v>0</v>
      </c>
      <c r="CF80" s="542">
        <f t="shared" ca="1" si="191"/>
        <v>0</v>
      </c>
      <c r="CG80" s="542">
        <f t="shared" ca="1" si="191"/>
        <v>0</v>
      </c>
      <c r="CH80" s="542">
        <f t="shared" ca="1" si="191"/>
        <v>0</v>
      </c>
      <c r="CI80" s="542">
        <f t="shared" ca="1" si="191"/>
        <v>0</v>
      </c>
      <c r="CJ80" s="542">
        <f t="shared" ca="1" si="191"/>
        <v>0</v>
      </c>
      <c r="CK80" s="542">
        <f t="shared" ca="1" si="191"/>
        <v>0</v>
      </c>
      <c r="CL80" s="542">
        <f t="shared" ca="1" si="191"/>
        <v>0</v>
      </c>
      <c r="CM80" s="542">
        <f t="shared" ca="1" si="191"/>
        <v>0</v>
      </c>
      <c r="CN80" s="542">
        <f t="shared" ca="1" si="191"/>
        <v>-148.02146239404746</v>
      </c>
      <c r="CO80" s="542">
        <f t="shared" ca="1" si="191"/>
        <v>0</v>
      </c>
      <c r="CP80" s="542">
        <f t="shared" ca="1" si="191"/>
        <v>0</v>
      </c>
      <c r="CQ80" s="542">
        <f t="shared" ca="1" si="191"/>
        <v>0</v>
      </c>
      <c r="CR80" s="542">
        <f t="shared" ca="1" si="191"/>
        <v>0</v>
      </c>
      <c r="CS80" s="542">
        <f t="shared" ca="1" si="191"/>
        <v>0</v>
      </c>
      <c r="CT80" s="542">
        <f t="shared" ca="1" si="191"/>
        <v>0</v>
      </c>
      <c r="CU80" s="542">
        <f t="shared" ca="1" si="191"/>
        <v>0</v>
      </c>
      <c r="CW80" s="151">
        <f t="shared" ca="1" si="177"/>
        <v>-148.02146239404746</v>
      </c>
    </row>
    <row r="81" spans="2:101" s="18" customFormat="1" ht="12.75" customHeight="1" outlineLevel="1" x14ac:dyDescent="0.2">
      <c r="B81" s="89"/>
      <c r="C81" s="85"/>
      <c r="D81" s="57"/>
      <c r="E81" s="53"/>
      <c r="F81" s="84"/>
      <c r="G81" s="245"/>
      <c r="H81" s="245"/>
      <c r="I81" s="245"/>
      <c r="J81" s="245"/>
      <c r="K81" s="245"/>
      <c r="L81" s="247"/>
      <c r="M81" s="245"/>
      <c r="N81" s="245"/>
      <c r="O81" s="245"/>
      <c r="P81" s="245">
        <f t="shared" si="136"/>
        <v>0</v>
      </c>
      <c r="Q81" s="84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>
        <f t="shared" si="159"/>
        <v>0</v>
      </c>
      <c r="AI81" s="84"/>
      <c r="AJ81" s="263"/>
      <c r="AK81" s="263"/>
      <c r="AL81" s="263"/>
      <c r="AM81" s="263"/>
      <c r="AN81" s="263"/>
      <c r="AO81" s="263"/>
      <c r="AP81" s="263"/>
      <c r="AQ81" s="263"/>
      <c r="AR81" s="263"/>
      <c r="AS81" s="263"/>
      <c r="AT81" s="263"/>
      <c r="AU81" s="263"/>
      <c r="AV81" s="263"/>
      <c r="AW81" s="263"/>
      <c r="AX81" s="263"/>
      <c r="AY81" s="263">
        <f t="shared" si="147"/>
        <v>0</v>
      </c>
      <c r="AZ81" s="84"/>
      <c r="BA81" s="277"/>
      <c r="BB81" s="277"/>
      <c r="BC81" s="277">
        <f t="shared" si="160"/>
        <v>0</v>
      </c>
      <c r="BD81" s="84"/>
      <c r="BE81" s="55"/>
      <c r="BF81" s="55"/>
      <c r="BH81" s="542"/>
      <c r="BI81" s="542"/>
      <c r="BJ81" s="542"/>
      <c r="BK81" s="542"/>
      <c r="BL81" s="542"/>
      <c r="BM81" s="542"/>
      <c r="BN81" s="542"/>
      <c r="BO81" s="542"/>
      <c r="BP81" s="542"/>
      <c r="BQ81" s="542"/>
      <c r="BR81" s="542"/>
      <c r="BS81" s="542"/>
      <c r="BT81" s="542"/>
      <c r="BU81" s="542"/>
      <c r="BV81" s="542"/>
      <c r="BW81" s="542"/>
      <c r="BX81" s="542"/>
      <c r="BY81" s="542"/>
      <c r="BZ81" s="542"/>
      <c r="CA81" s="542"/>
      <c r="CB81" s="542"/>
      <c r="CC81" s="542"/>
      <c r="CD81" s="542"/>
      <c r="CE81" s="542"/>
      <c r="CF81" s="542"/>
      <c r="CG81" s="542"/>
      <c r="CH81" s="542"/>
      <c r="CI81" s="542"/>
      <c r="CJ81" s="542"/>
      <c r="CK81" s="542"/>
      <c r="CL81" s="542"/>
      <c r="CM81" s="542"/>
      <c r="CN81" s="542"/>
      <c r="CO81" s="542"/>
      <c r="CP81" s="542"/>
      <c r="CQ81" s="542"/>
      <c r="CR81" s="542"/>
      <c r="CS81" s="542"/>
      <c r="CT81" s="542"/>
      <c r="CU81" s="542"/>
      <c r="CW81" s="151">
        <f t="shared" si="177"/>
        <v>0</v>
      </c>
    </row>
    <row r="82" spans="2:101" s="547" customFormat="1" ht="12.75" customHeight="1" outlineLevel="1" x14ac:dyDescent="0.2">
      <c r="C82" s="319" t="s">
        <v>861</v>
      </c>
      <c r="D82" s="163" t="s">
        <v>817</v>
      </c>
      <c r="E82" s="163"/>
      <c r="G82" s="333"/>
      <c r="H82" s="333"/>
      <c r="I82" s="333"/>
      <c r="J82" s="333"/>
      <c r="K82" s="333"/>
      <c r="L82" s="334"/>
      <c r="M82" s="333"/>
      <c r="N82" s="333"/>
      <c r="O82" s="333"/>
      <c r="P82" s="333">
        <f t="shared" si="136"/>
        <v>0</v>
      </c>
      <c r="Q82" s="550"/>
      <c r="R82" s="335">
        <f t="shared" ref="R82:W82" ca="1" si="192">(R$28+R$66+R$74+R$80)</f>
        <v>-659.56399429121359</v>
      </c>
      <c r="S82" s="335">
        <f t="shared" ca="1" si="192"/>
        <v>974.10918046678273</v>
      </c>
      <c r="T82" s="335">
        <f t="shared" ca="1" si="192"/>
        <v>-756.52138704566835</v>
      </c>
      <c r="U82" s="335">
        <f t="shared" ca="1" si="192"/>
        <v>-197.79696796682728</v>
      </c>
      <c r="V82" s="335">
        <f t="shared" ca="1" si="192"/>
        <v>-240.55702614082441</v>
      </c>
      <c r="W82" s="335">
        <f t="shared" ca="1" si="192"/>
        <v>-9.9475983006414026E-14</v>
      </c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>
        <f t="shared" ca="1" si="159"/>
        <v>-880.33019497775103</v>
      </c>
      <c r="AI82" s="550"/>
      <c r="AJ82" s="336"/>
      <c r="AK82" s="336"/>
      <c r="AL82" s="336"/>
      <c r="AM82" s="336"/>
      <c r="AN82" s="336"/>
      <c r="AO82" s="336"/>
      <c r="AP82" s="336"/>
      <c r="AQ82" s="336"/>
      <c r="AR82" s="336"/>
      <c r="AS82" s="336"/>
      <c r="AT82" s="336"/>
      <c r="AU82" s="336"/>
      <c r="AV82" s="336"/>
      <c r="AW82" s="336"/>
      <c r="AX82" s="336"/>
      <c r="AY82" s="336">
        <f t="shared" si="147"/>
        <v>0</v>
      </c>
      <c r="AZ82" s="550"/>
      <c r="BA82" s="337"/>
      <c r="BB82" s="337"/>
      <c r="BC82" s="337">
        <f t="shared" si="160"/>
        <v>0</v>
      </c>
      <c r="BE82" s="164"/>
      <c r="BF82" s="164"/>
      <c r="BH82" s="549"/>
      <c r="BI82" s="549"/>
      <c r="BJ82" s="549"/>
      <c r="BK82" s="549"/>
      <c r="BL82" s="549"/>
      <c r="BM82" s="549"/>
      <c r="BN82" s="549"/>
      <c r="BO82" s="549"/>
      <c r="BP82" s="549"/>
      <c r="BQ82" s="549"/>
      <c r="BR82" s="549"/>
      <c r="BS82" s="549"/>
      <c r="BT82" s="549"/>
      <c r="BU82" s="549"/>
      <c r="BV82" s="549"/>
      <c r="BW82" s="549"/>
      <c r="BX82" s="549"/>
      <c r="BY82" s="549"/>
      <c r="BZ82" s="549"/>
      <c r="CA82" s="549"/>
      <c r="CB82" s="549"/>
      <c r="CC82" s="549"/>
      <c r="CD82" s="549"/>
      <c r="CE82" s="549"/>
      <c r="CF82" s="549"/>
      <c r="CG82" s="549"/>
      <c r="CH82" s="549"/>
      <c r="CI82" s="549"/>
      <c r="CJ82" s="549"/>
      <c r="CK82" s="549"/>
      <c r="CL82" s="549"/>
      <c r="CM82" s="549"/>
      <c r="CN82" s="549"/>
      <c r="CO82" s="549"/>
      <c r="CP82" s="549"/>
      <c r="CQ82" s="549"/>
      <c r="CR82" s="549"/>
      <c r="CS82" s="549"/>
      <c r="CT82" s="549"/>
      <c r="CU82" s="549"/>
      <c r="CW82" s="151">
        <f t="shared" si="177"/>
        <v>0</v>
      </c>
    </row>
    <row r="83" spans="2:101" s="543" customFormat="1" ht="12.75" customHeight="1" outlineLevel="1" x14ac:dyDescent="0.2">
      <c r="B83" s="551"/>
      <c r="C83" s="62" t="s">
        <v>439</v>
      </c>
      <c r="D83" s="61" t="str">
        <f>INDEX(Modules[Module], MATCH($C83, Modules[Code], 0))</f>
        <v>Fossil fuel transfers</v>
      </c>
      <c r="E83" s="61"/>
      <c r="F83" s="84"/>
      <c r="G83" s="250">
        <f t="shared" ref="G83:O83" ca="1" si="193">IFERROR(INDEX(INDIRECT($C83&amp;".Outputs["&amp;this.Year&amp;"]"), MATCH(G$5, INDIRECT($C83&amp;".Outputs[Vector]"), 0)), 0)</f>
        <v>0</v>
      </c>
      <c r="H83" s="250">
        <f t="shared" ca="1" si="193"/>
        <v>0</v>
      </c>
      <c r="I83" s="250">
        <f t="shared" ca="1" si="193"/>
        <v>0</v>
      </c>
      <c r="J83" s="250">
        <f t="shared" ca="1" si="193"/>
        <v>0</v>
      </c>
      <c r="K83" s="250">
        <f t="shared" ca="1" si="193"/>
        <v>0</v>
      </c>
      <c r="L83" s="251">
        <f t="shared" ca="1" si="193"/>
        <v>0</v>
      </c>
      <c r="M83" s="250">
        <f t="shared" ca="1" si="193"/>
        <v>0</v>
      </c>
      <c r="N83" s="250">
        <f t="shared" ca="1" si="193"/>
        <v>0</v>
      </c>
      <c r="O83" s="250">
        <f t="shared" ca="1" si="193"/>
        <v>0</v>
      </c>
      <c r="P83" s="250">
        <f t="shared" ca="1" si="136"/>
        <v>0</v>
      </c>
      <c r="Q83" s="84"/>
      <c r="R83" s="259">
        <f t="shared" ref="R83:AG83" ca="1" si="194">IFERROR(INDEX(INDIRECT($C83&amp;".Outputs["&amp;this.Year&amp;"]"), MATCH(R$5, INDIRECT($C83&amp;".Outputs[Vector]"), 0)), 0)</f>
        <v>0</v>
      </c>
      <c r="S83" s="259">
        <f t="shared" ca="1" si="194"/>
        <v>0</v>
      </c>
      <c r="T83" s="259">
        <f t="shared" ca="1" si="194"/>
        <v>756.52138704566835</v>
      </c>
      <c r="U83" s="259">
        <f t="shared" ca="1" si="194"/>
        <v>197.79696796682728</v>
      </c>
      <c r="V83" s="259">
        <f t="shared" ca="1" si="194"/>
        <v>240.55702614082441</v>
      </c>
      <c r="W83" s="259">
        <f t="shared" ca="1" si="194"/>
        <v>9.9475983006414026E-14</v>
      </c>
      <c r="X83" s="259">
        <f t="shared" ca="1" si="194"/>
        <v>-756.52138704566835</v>
      </c>
      <c r="Y83" s="259">
        <f t="shared" ca="1" si="194"/>
        <v>-197.79696796682728</v>
      </c>
      <c r="Z83" s="259">
        <f t="shared" ca="1" si="194"/>
        <v>-243.4437104545143</v>
      </c>
      <c r="AA83" s="259">
        <f t="shared" ca="1" si="194"/>
        <v>0</v>
      </c>
      <c r="AB83" s="259">
        <f t="shared" ca="1" si="194"/>
        <v>0</v>
      </c>
      <c r="AC83" s="259">
        <f t="shared" ca="1" si="194"/>
        <v>0</v>
      </c>
      <c r="AD83" s="259">
        <f t="shared" ca="1" si="194"/>
        <v>0</v>
      </c>
      <c r="AE83" s="259">
        <f t="shared" ca="1" si="194"/>
        <v>0</v>
      </c>
      <c r="AF83" s="259">
        <f t="shared" ca="1" si="194"/>
        <v>0</v>
      </c>
      <c r="AG83" s="259">
        <f t="shared" ca="1" si="194"/>
        <v>0</v>
      </c>
      <c r="AH83" s="259">
        <f t="shared" ca="1" si="159"/>
        <v>-2.8866843136897558</v>
      </c>
      <c r="AI83" s="84"/>
      <c r="AJ83" s="266">
        <f t="shared" ref="AJ83:AX83" ca="1" si="195">IFERROR(INDEX(INDIRECT($C83&amp;".Outputs["&amp;this.Year&amp;"]"), MATCH(AJ$5, INDIRECT($C83&amp;".Outputs[Vector]"), 0)), 0)</f>
        <v>0</v>
      </c>
      <c r="AK83" s="266">
        <f t="shared" ca="1" si="195"/>
        <v>0</v>
      </c>
      <c r="AL83" s="266">
        <f t="shared" ca="1" si="195"/>
        <v>0</v>
      </c>
      <c r="AM83" s="266">
        <f t="shared" ca="1" si="195"/>
        <v>0</v>
      </c>
      <c r="AN83" s="266">
        <f t="shared" ca="1" si="195"/>
        <v>0</v>
      </c>
      <c r="AO83" s="266">
        <f t="shared" ca="1" si="195"/>
        <v>0</v>
      </c>
      <c r="AP83" s="266">
        <f t="shared" ca="1" si="195"/>
        <v>0</v>
      </c>
      <c r="AQ83" s="266">
        <f t="shared" ca="1" si="195"/>
        <v>0</v>
      </c>
      <c r="AR83" s="266">
        <f t="shared" ca="1" si="195"/>
        <v>0</v>
      </c>
      <c r="AS83" s="266">
        <f t="shared" ca="1" si="195"/>
        <v>0</v>
      </c>
      <c r="AT83" s="266">
        <f t="shared" ca="1" si="195"/>
        <v>0</v>
      </c>
      <c r="AU83" s="266">
        <f t="shared" ca="1" si="195"/>
        <v>0</v>
      </c>
      <c r="AV83" s="266">
        <f t="shared" ca="1" si="195"/>
        <v>0</v>
      </c>
      <c r="AW83" s="266">
        <f t="shared" ca="1" si="195"/>
        <v>0</v>
      </c>
      <c r="AX83" s="266">
        <f t="shared" ca="1" si="195"/>
        <v>0</v>
      </c>
      <c r="AY83" s="266">
        <f t="shared" ca="1" si="147"/>
        <v>0</v>
      </c>
      <c r="AZ83" s="84"/>
      <c r="BA83" s="279">
        <f ca="1">IFERROR(INDEX(INDIRECT($C83&amp;".Outputs["&amp;this.Year&amp;"]"), MATCH(BA$5, INDIRECT($C83&amp;".Outputs[Vector]"), 0)), 0)</f>
        <v>0</v>
      </c>
      <c r="BB83" s="279">
        <f ca="1">IFERROR(INDEX(INDIRECT($C83&amp;".Outputs["&amp;this.Year&amp;"]"), MATCH(BB$5, INDIRECT($C83&amp;".Outputs[Vector]"), 0)), 0)</f>
        <v>2.886684313689893</v>
      </c>
      <c r="BC83" s="279">
        <f t="shared" ca="1" si="160"/>
        <v>2.886684313689893</v>
      </c>
      <c r="BD83" s="84"/>
      <c r="BE83" s="55">
        <f t="shared" ref="BE83:BE90" ca="1" si="196">P83+AH83+AY83+BC83</f>
        <v>1.3722356584366935E-13</v>
      </c>
      <c r="BF83" s="135"/>
      <c r="BH83" s="541">
        <f t="shared" ref="BH83:BQ84" ca="1" si="197">IFERROR(SUMIFS(INDIRECT($C83&amp;".Emissions["&amp;this.Year&amp;"]"), INDIRECT($C83&amp;".Emissions[GHG]"), BH$6, INDIRECT($C83&amp;".Emissions[IPCC Sector]"), BH$5),0)</f>
        <v>0</v>
      </c>
      <c r="BI83" s="542">
        <f t="shared" ca="1" si="197"/>
        <v>0</v>
      </c>
      <c r="BJ83" s="542">
        <f t="shared" ca="1" si="197"/>
        <v>0</v>
      </c>
      <c r="BK83" s="542">
        <f t="shared" ca="1" si="197"/>
        <v>0</v>
      </c>
      <c r="BL83" s="542">
        <f t="shared" ca="1" si="197"/>
        <v>0</v>
      </c>
      <c r="BM83" s="542">
        <f t="shared" ca="1" si="197"/>
        <v>21.242210631111469</v>
      </c>
      <c r="BN83" s="542">
        <f t="shared" ca="1" si="197"/>
        <v>0</v>
      </c>
      <c r="BO83" s="542">
        <f t="shared" ca="1" si="197"/>
        <v>0</v>
      </c>
      <c r="BP83" s="542">
        <f t="shared" ca="1" si="197"/>
        <v>0</v>
      </c>
      <c r="BQ83" s="542">
        <f t="shared" ca="1" si="197"/>
        <v>0</v>
      </c>
      <c r="BR83" s="542">
        <f t="shared" ref="BR83:CA84" ca="1" si="198">IFERROR(SUMIFS(INDIRECT($C83&amp;".Emissions["&amp;this.Year&amp;"]"), INDIRECT($C83&amp;".Emissions[GHG]"), BR$6, INDIRECT($C83&amp;".Emissions[IPCC Sector]"), BR$5),0)</f>
        <v>0</v>
      </c>
      <c r="BS83" s="542">
        <f t="shared" ca="1" si="198"/>
        <v>0</v>
      </c>
      <c r="BT83" s="542">
        <f t="shared" ca="1" si="198"/>
        <v>0</v>
      </c>
      <c r="BU83" s="542">
        <f t="shared" ca="1" si="198"/>
        <v>0</v>
      </c>
      <c r="BV83" s="542">
        <f t="shared" ca="1" si="198"/>
        <v>0</v>
      </c>
      <c r="BW83" s="542">
        <f t="shared" ca="1" si="198"/>
        <v>0</v>
      </c>
      <c r="BX83" s="542">
        <f t="shared" ca="1" si="198"/>
        <v>0</v>
      </c>
      <c r="BY83" s="542">
        <f t="shared" ca="1" si="198"/>
        <v>0</v>
      </c>
      <c r="BZ83" s="542">
        <f t="shared" ca="1" si="198"/>
        <v>0</v>
      </c>
      <c r="CA83" s="542">
        <f t="shared" ca="1" si="198"/>
        <v>0</v>
      </c>
      <c r="CB83" s="542">
        <f t="shared" ref="CB83:CK84" ca="1" si="199">IFERROR(SUMIFS(INDIRECT($C83&amp;".Emissions["&amp;this.Year&amp;"]"), INDIRECT($C83&amp;".Emissions[GHG]"), CB$6, INDIRECT($C83&amp;".Emissions[IPCC Sector]"), CB$5),0)</f>
        <v>0</v>
      </c>
      <c r="CC83" s="542">
        <f t="shared" ca="1" si="199"/>
        <v>0</v>
      </c>
      <c r="CD83" s="542">
        <f t="shared" ca="1" si="199"/>
        <v>0</v>
      </c>
      <c r="CE83" s="542">
        <f t="shared" ca="1" si="199"/>
        <v>0</v>
      </c>
      <c r="CF83" s="542">
        <f t="shared" ca="1" si="199"/>
        <v>0</v>
      </c>
      <c r="CG83" s="542">
        <f t="shared" ca="1" si="199"/>
        <v>0</v>
      </c>
      <c r="CH83" s="542">
        <f t="shared" ca="1" si="199"/>
        <v>0</v>
      </c>
      <c r="CI83" s="542">
        <f t="shared" ca="1" si="199"/>
        <v>0</v>
      </c>
      <c r="CJ83" s="542">
        <f t="shared" ca="1" si="199"/>
        <v>0</v>
      </c>
      <c r="CK83" s="542">
        <f t="shared" ca="1" si="199"/>
        <v>0</v>
      </c>
      <c r="CL83" s="542">
        <f t="shared" ref="CL83:CU84" ca="1" si="200">IFERROR(SUMIFS(INDIRECT($C83&amp;".Emissions["&amp;this.Year&amp;"]"), INDIRECT($C83&amp;".Emissions[GHG]"), CL$6, INDIRECT($C83&amp;".Emissions[IPCC Sector]"), CL$5),0)</f>
        <v>0</v>
      </c>
      <c r="CM83" s="542">
        <f t="shared" ca="1" si="200"/>
        <v>0</v>
      </c>
      <c r="CN83" s="542">
        <f t="shared" ca="1" si="200"/>
        <v>0</v>
      </c>
      <c r="CO83" s="542">
        <f t="shared" ca="1" si="200"/>
        <v>0</v>
      </c>
      <c r="CP83" s="542">
        <f t="shared" ca="1" si="200"/>
        <v>0</v>
      </c>
      <c r="CQ83" s="542">
        <f t="shared" ca="1" si="200"/>
        <v>0</v>
      </c>
      <c r="CR83" s="542">
        <f t="shared" ca="1" si="200"/>
        <v>0</v>
      </c>
      <c r="CS83" s="542">
        <f t="shared" ca="1" si="200"/>
        <v>0</v>
      </c>
      <c r="CT83" s="542">
        <f t="shared" ca="1" si="200"/>
        <v>0</v>
      </c>
      <c r="CU83" s="542">
        <f t="shared" ca="1" si="200"/>
        <v>0</v>
      </c>
      <c r="CW83" s="151">
        <f t="shared" ca="1" si="177"/>
        <v>21.242210631111469</v>
      </c>
    </row>
    <row r="84" spans="2:101" s="543" customFormat="1" ht="12.75" customHeight="1" outlineLevel="1" x14ac:dyDescent="0.2">
      <c r="B84" s="551" t="s">
        <v>322</v>
      </c>
      <c r="C84" s="62" t="s">
        <v>440</v>
      </c>
      <c r="D84" s="292" t="str">
        <f>INDEX(Modules[Module], MATCH($C84, Modules[Code], 0))</f>
        <v>Balancing imports</v>
      </c>
      <c r="E84" s="292"/>
      <c r="F84" s="84"/>
      <c r="G84" s="361"/>
      <c r="H84" s="361"/>
      <c r="I84" s="361"/>
      <c r="J84" s="361"/>
      <c r="K84" s="361"/>
      <c r="L84" s="362"/>
      <c r="M84" s="361"/>
      <c r="N84" s="361"/>
      <c r="O84" s="361"/>
      <c r="P84" s="361">
        <f t="shared" si="136"/>
        <v>0</v>
      </c>
      <c r="Q84" s="84"/>
      <c r="R84" s="363"/>
      <c r="S84" s="363">
        <f ca="1">-(S$82+R$82)</f>
        <v>-314.54518617556914</v>
      </c>
      <c r="T84" s="363"/>
      <c r="U84" s="363"/>
      <c r="V84" s="363"/>
      <c r="W84" s="363"/>
      <c r="X84" s="363">
        <f ca="1">-(X$28+X$66+X$74+X$80+X$83)</f>
        <v>684.75114808733497</v>
      </c>
      <c r="Y84" s="363">
        <f ca="1">-(Y$28+Y$66+Y$74+Y$80+Y$83)</f>
        <v>-1209.0359722031728</v>
      </c>
      <c r="Z84" s="363">
        <f ca="1">-(Z$28+Z$66+Z$74+Z$80+Z$83)</f>
        <v>-680.10495621215239</v>
      </c>
      <c r="AA84" s="363"/>
      <c r="AB84" s="363"/>
      <c r="AC84" s="363"/>
      <c r="AD84" s="363"/>
      <c r="AE84" s="363"/>
      <c r="AF84" s="363"/>
      <c r="AG84" s="363"/>
      <c r="AH84" s="363">
        <f t="shared" ca="1" si="159"/>
        <v>-1518.9349665035593</v>
      </c>
      <c r="AI84" s="84"/>
      <c r="AJ84" s="293"/>
      <c r="AK84" s="293"/>
      <c r="AL84" s="293"/>
      <c r="AM84" s="293"/>
      <c r="AN84" s="293">
        <f ca="1">-S84</f>
        <v>314.54518617556914</v>
      </c>
      <c r="AO84" s="293">
        <f>-U84</f>
        <v>0</v>
      </c>
      <c r="AP84" s="293">
        <f ca="1">-X84</f>
        <v>-684.75114808733497</v>
      </c>
      <c r="AQ84" s="293">
        <f ca="1">-Y84</f>
        <v>1209.0359722031728</v>
      </c>
      <c r="AR84" s="293">
        <f ca="1">-Z84</f>
        <v>680.10495621215239</v>
      </c>
      <c r="AS84" s="293"/>
      <c r="AT84" s="293"/>
      <c r="AU84" s="293"/>
      <c r="AV84" s="293"/>
      <c r="AW84" s="293"/>
      <c r="AX84" s="293"/>
      <c r="AY84" s="293">
        <f t="shared" ca="1" si="147"/>
        <v>1518.9349665035593</v>
      </c>
      <c r="AZ84" s="84"/>
      <c r="BA84" s="364"/>
      <c r="BB84" s="364"/>
      <c r="BC84" s="364">
        <f t="shared" si="160"/>
        <v>0</v>
      </c>
      <c r="BD84" s="84"/>
      <c r="BE84" s="55">
        <f t="shared" ca="1" si="196"/>
        <v>0</v>
      </c>
      <c r="BF84" s="135"/>
      <c r="BH84" s="544">
        <f t="shared" ca="1" si="197"/>
        <v>0</v>
      </c>
      <c r="BI84" s="545">
        <f t="shared" ca="1" si="197"/>
        <v>0</v>
      </c>
      <c r="BJ84" s="545">
        <f t="shared" ca="1" si="197"/>
        <v>0</v>
      </c>
      <c r="BK84" s="545">
        <f t="shared" ca="1" si="197"/>
        <v>0</v>
      </c>
      <c r="BL84" s="545">
        <f t="shared" ca="1" si="197"/>
        <v>0</v>
      </c>
      <c r="BM84" s="545">
        <f t="shared" ca="1" si="197"/>
        <v>0</v>
      </c>
      <c r="BN84" s="545">
        <f t="shared" ca="1" si="197"/>
        <v>0</v>
      </c>
      <c r="BO84" s="545">
        <f t="shared" ca="1" si="197"/>
        <v>0</v>
      </c>
      <c r="BP84" s="545">
        <f t="shared" ca="1" si="197"/>
        <v>0</v>
      </c>
      <c r="BQ84" s="545">
        <f t="shared" ca="1" si="197"/>
        <v>0</v>
      </c>
      <c r="BR84" s="545">
        <f t="shared" ca="1" si="198"/>
        <v>0</v>
      </c>
      <c r="BS84" s="545">
        <f t="shared" ca="1" si="198"/>
        <v>0</v>
      </c>
      <c r="BT84" s="545">
        <f t="shared" ca="1" si="198"/>
        <v>0</v>
      </c>
      <c r="BU84" s="545">
        <f t="shared" ca="1" si="198"/>
        <v>0</v>
      </c>
      <c r="BV84" s="545">
        <f t="shared" ca="1" si="198"/>
        <v>0</v>
      </c>
      <c r="BW84" s="545">
        <f t="shared" ca="1" si="198"/>
        <v>0</v>
      </c>
      <c r="BX84" s="545">
        <f t="shared" ca="1" si="198"/>
        <v>0</v>
      </c>
      <c r="BY84" s="545">
        <f t="shared" ca="1" si="198"/>
        <v>0</v>
      </c>
      <c r="BZ84" s="545">
        <f t="shared" ca="1" si="198"/>
        <v>0</v>
      </c>
      <c r="CA84" s="545">
        <f t="shared" ca="1" si="198"/>
        <v>0</v>
      </c>
      <c r="CB84" s="545">
        <f t="shared" ca="1" si="199"/>
        <v>0</v>
      </c>
      <c r="CC84" s="545">
        <f t="shared" ca="1" si="199"/>
        <v>0</v>
      </c>
      <c r="CD84" s="545">
        <f t="shared" ca="1" si="199"/>
        <v>0</v>
      </c>
      <c r="CE84" s="545">
        <f t="shared" ca="1" si="199"/>
        <v>0</v>
      </c>
      <c r="CF84" s="545">
        <f t="shared" ca="1" si="199"/>
        <v>0</v>
      </c>
      <c r="CG84" s="545">
        <f t="shared" ca="1" si="199"/>
        <v>0</v>
      </c>
      <c r="CH84" s="545">
        <f t="shared" ca="1" si="199"/>
        <v>0</v>
      </c>
      <c r="CI84" s="545">
        <f t="shared" ca="1" si="199"/>
        <v>0</v>
      </c>
      <c r="CJ84" s="545">
        <f t="shared" ca="1" si="199"/>
        <v>0</v>
      </c>
      <c r="CK84" s="545">
        <f t="shared" ca="1" si="199"/>
        <v>0</v>
      </c>
      <c r="CL84" s="545">
        <f t="shared" ca="1" si="200"/>
        <v>0</v>
      </c>
      <c r="CM84" s="545">
        <f t="shared" ca="1" si="200"/>
        <v>0</v>
      </c>
      <c r="CN84" s="545">
        <f t="shared" ca="1" si="200"/>
        <v>0</v>
      </c>
      <c r="CO84" s="545">
        <f t="shared" ca="1" si="200"/>
        <v>0</v>
      </c>
      <c r="CP84" s="545">
        <f t="shared" ca="1" si="200"/>
        <v>0</v>
      </c>
      <c r="CQ84" s="545">
        <f t="shared" ca="1" si="200"/>
        <v>0</v>
      </c>
      <c r="CR84" s="545">
        <f t="shared" ca="1" si="200"/>
        <v>0</v>
      </c>
      <c r="CS84" s="545">
        <f t="shared" ca="1" si="200"/>
        <v>0</v>
      </c>
      <c r="CT84" s="545">
        <f t="shared" ca="1" si="200"/>
        <v>0</v>
      </c>
      <c r="CU84" s="545">
        <f t="shared" ca="1" si="200"/>
        <v>0</v>
      </c>
      <c r="CW84" s="151">
        <f t="shared" ca="1" si="177"/>
        <v>0</v>
      </c>
    </row>
    <row r="85" spans="2:101" s="84" customFormat="1" ht="15.75" x14ac:dyDescent="0.2">
      <c r="B85" s="89" t="s">
        <v>322</v>
      </c>
      <c r="C85" s="56" t="s">
        <v>438</v>
      </c>
      <c r="D85" s="57" t="str">
        <f>INDEX(Workstreams[Workstream], MATCH($C85, Workstreams[Code], 0))</f>
        <v>Transfers</v>
      </c>
      <c r="E85" s="51"/>
      <c r="G85" s="300">
        <f ca="1">SUM(G83:G84)</f>
        <v>0</v>
      </c>
      <c r="H85" s="300">
        <f t="shared" ref="H85:O85" ca="1" si="201">SUM(H83:H84)</f>
        <v>0</v>
      </c>
      <c r="I85" s="300">
        <f t="shared" ca="1" si="201"/>
        <v>0</v>
      </c>
      <c r="J85" s="300">
        <f t="shared" ca="1" si="201"/>
        <v>0</v>
      </c>
      <c r="K85" s="300">
        <f t="shared" ca="1" si="201"/>
        <v>0</v>
      </c>
      <c r="L85" s="300">
        <f t="shared" ca="1" si="201"/>
        <v>0</v>
      </c>
      <c r="M85" s="300">
        <f t="shared" ca="1" si="201"/>
        <v>0</v>
      </c>
      <c r="N85" s="300">
        <f t="shared" ca="1" si="201"/>
        <v>0</v>
      </c>
      <c r="O85" s="300">
        <f t="shared" ca="1" si="201"/>
        <v>0</v>
      </c>
      <c r="P85" s="300">
        <f t="shared" ca="1" si="136"/>
        <v>0</v>
      </c>
      <c r="R85" s="257">
        <f t="shared" ref="R85:AE85" ca="1" si="202">SUM(R83:R84)</f>
        <v>0</v>
      </c>
      <c r="S85" s="257">
        <f t="shared" ca="1" si="202"/>
        <v>-314.54518617556914</v>
      </c>
      <c r="T85" s="257">
        <f t="shared" ca="1" si="202"/>
        <v>756.52138704566835</v>
      </c>
      <c r="U85" s="257">
        <f t="shared" ca="1" si="202"/>
        <v>197.79696796682728</v>
      </c>
      <c r="V85" s="257">
        <f t="shared" ca="1" si="202"/>
        <v>240.55702614082441</v>
      </c>
      <c r="W85" s="257">
        <f ca="1">SUM(W83:W84)</f>
        <v>9.9475983006414026E-14</v>
      </c>
      <c r="X85" s="257">
        <f t="shared" ca="1" si="202"/>
        <v>-71.77023895833338</v>
      </c>
      <c r="Y85" s="257">
        <f t="shared" ca="1" si="202"/>
        <v>-1406.83294017</v>
      </c>
      <c r="Z85" s="257">
        <f t="shared" ca="1" si="202"/>
        <v>-923.54866666666669</v>
      </c>
      <c r="AA85" s="257">
        <f t="shared" ca="1" si="202"/>
        <v>0</v>
      </c>
      <c r="AB85" s="257">
        <f t="shared" ca="1" si="202"/>
        <v>0</v>
      </c>
      <c r="AC85" s="257">
        <f ca="1">SUM(AC83:AC84)</f>
        <v>0</v>
      </c>
      <c r="AD85" s="257">
        <f ca="1">SUM(AD83:AD84)</f>
        <v>0</v>
      </c>
      <c r="AE85" s="257">
        <f t="shared" ca="1" si="202"/>
        <v>0</v>
      </c>
      <c r="AF85" s="257">
        <f ca="1">SUM(AF83:AF84)</f>
        <v>0</v>
      </c>
      <c r="AG85" s="257">
        <f ca="1">SUM(AG83:AG84)</f>
        <v>0</v>
      </c>
      <c r="AH85" s="257">
        <f t="shared" ca="1" si="159"/>
        <v>-1521.8216508172491</v>
      </c>
      <c r="AJ85" s="263">
        <f t="shared" ref="AJ85:AX85" ca="1" si="203">SUM(AJ83:AJ84)</f>
        <v>0</v>
      </c>
      <c r="AK85" s="263">
        <f t="shared" ca="1" si="203"/>
        <v>0</v>
      </c>
      <c r="AL85" s="263">
        <f t="shared" ca="1" si="203"/>
        <v>0</v>
      </c>
      <c r="AM85" s="263">
        <f t="shared" ca="1" si="203"/>
        <v>0</v>
      </c>
      <c r="AN85" s="263">
        <f t="shared" ca="1" si="203"/>
        <v>314.54518617556914</v>
      </c>
      <c r="AO85" s="263">
        <f t="shared" ca="1" si="203"/>
        <v>0</v>
      </c>
      <c r="AP85" s="263">
        <f t="shared" ca="1" si="203"/>
        <v>-684.75114808733497</v>
      </c>
      <c r="AQ85" s="263">
        <f t="shared" ca="1" si="203"/>
        <v>1209.0359722031728</v>
      </c>
      <c r="AR85" s="263">
        <f t="shared" ca="1" si="203"/>
        <v>680.10495621215239</v>
      </c>
      <c r="AS85" s="263">
        <f t="shared" ca="1" si="203"/>
        <v>0</v>
      </c>
      <c r="AT85" s="263">
        <f t="shared" ca="1" si="203"/>
        <v>0</v>
      </c>
      <c r="AU85" s="263">
        <f t="shared" ca="1" si="203"/>
        <v>0</v>
      </c>
      <c r="AV85" s="263">
        <f t="shared" ca="1" si="203"/>
        <v>0</v>
      </c>
      <c r="AW85" s="263">
        <f t="shared" ca="1" si="203"/>
        <v>0</v>
      </c>
      <c r="AX85" s="263">
        <f t="shared" ca="1" si="203"/>
        <v>0</v>
      </c>
      <c r="AY85" s="263">
        <f t="shared" ca="1" si="147"/>
        <v>1518.9349665035593</v>
      </c>
      <c r="BA85" s="277">
        <f ca="1">SUM(BA83:BA84)</f>
        <v>0</v>
      </c>
      <c r="BB85" s="277">
        <f ca="1">SUM(BB83:BB84)</f>
        <v>2.886684313689893</v>
      </c>
      <c r="BC85" s="277">
        <f t="shared" ca="1" si="160"/>
        <v>2.886684313689893</v>
      </c>
      <c r="BE85" s="55">
        <f t="shared" ca="1" si="196"/>
        <v>1.0880185641326534E-13</v>
      </c>
      <c r="BF85" s="55"/>
      <c r="BG85" s="1428"/>
      <c r="BH85" s="542">
        <f t="shared" ref="BH85:CU85" ca="1" si="204">SUM(BH83:BH84)</f>
        <v>0</v>
      </c>
      <c r="BI85" s="542">
        <f t="shared" ca="1" si="204"/>
        <v>0</v>
      </c>
      <c r="BJ85" s="542">
        <f t="shared" ca="1" si="204"/>
        <v>0</v>
      </c>
      <c r="BK85" s="542">
        <f t="shared" ca="1" si="204"/>
        <v>0</v>
      </c>
      <c r="BL85" s="542">
        <f t="shared" ca="1" si="204"/>
        <v>0</v>
      </c>
      <c r="BM85" s="542">
        <f t="shared" ca="1" si="204"/>
        <v>21.242210631111469</v>
      </c>
      <c r="BN85" s="542">
        <f t="shared" ca="1" si="204"/>
        <v>0</v>
      </c>
      <c r="BO85" s="542">
        <f t="shared" ca="1" si="204"/>
        <v>0</v>
      </c>
      <c r="BP85" s="542">
        <f t="shared" ca="1" si="204"/>
        <v>0</v>
      </c>
      <c r="BQ85" s="542">
        <f t="shared" ca="1" si="204"/>
        <v>0</v>
      </c>
      <c r="BR85" s="542">
        <f t="shared" ca="1" si="204"/>
        <v>0</v>
      </c>
      <c r="BS85" s="542">
        <f t="shared" ca="1" si="204"/>
        <v>0</v>
      </c>
      <c r="BT85" s="542">
        <f t="shared" ca="1" si="204"/>
        <v>0</v>
      </c>
      <c r="BU85" s="542">
        <f t="shared" ca="1" si="204"/>
        <v>0</v>
      </c>
      <c r="BV85" s="542">
        <f t="shared" ca="1" si="204"/>
        <v>0</v>
      </c>
      <c r="BW85" s="542">
        <f t="shared" ca="1" si="204"/>
        <v>0</v>
      </c>
      <c r="BX85" s="542">
        <f t="shared" ca="1" si="204"/>
        <v>0</v>
      </c>
      <c r="BY85" s="542">
        <f t="shared" ca="1" si="204"/>
        <v>0</v>
      </c>
      <c r="BZ85" s="542">
        <f t="shared" ca="1" si="204"/>
        <v>0</v>
      </c>
      <c r="CA85" s="542">
        <f t="shared" ca="1" si="204"/>
        <v>0</v>
      </c>
      <c r="CB85" s="542">
        <f t="shared" ca="1" si="204"/>
        <v>0</v>
      </c>
      <c r="CC85" s="542">
        <f t="shared" ca="1" si="204"/>
        <v>0</v>
      </c>
      <c r="CD85" s="542">
        <f t="shared" ca="1" si="204"/>
        <v>0</v>
      </c>
      <c r="CE85" s="542">
        <f t="shared" ca="1" si="204"/>
        <v>0</v>
      </c>
      <c r="CF85" s="542">
        <f t="shared" ca="1" si="204"/>
        <v>0</v>
      </c>
      <c r="CG85" s="542">
        <f t="shared" ca="1" si="204"/>
        <v>0</v>
      </c>
      <c r="CH85" s="542">
        <f t="shared" ca="1" si="204"/>
        <v>0</v>
      </c>
      <c r="CI85" s="542">
        <f t="shared" ca="1" si="204"/>
        <v>0</v>
      </c>
      <c r="CJ85" s="542">
        <f t="shared" ca="1" si="204"/>
        <v>0</v>
      </c>
      <c r="CK85" s="542">
        <f t="shared" ca="1" si="204"/>
        <v>0</v>
      </c>
      <c r="CL85" s="542">
        <f t="shared" ca="1" si="204"/>
        <v>0</v>
      </c>
      <c r="CM85" s="542">
        <f t="shared" ca="1" si="204"/>
        <v>0</v>
      </c>
      <c r="CN85" s="542">
        <f t="shared" ca="1" si="204"/>
        <v>0</v>
      </c>
      <c r="CO85" s="542">
        <f t="shared" ca="1" si="204"/>
        <v>0</v>
      </c>
      <c r="CP85" s="542">
        <f t="shared" ca="1" si="204"/>
        <v>0</v>
      </c>
      <c r="CQ85" s="542">
        <f t="shared" ca="1" si="204"/>
        <v>0</v>
      </c>
      <c r="CR85" s="542">
        <f t="shared" ca="1" si="204"/>
        <v>0</v>
      </c>
      <c r="CS85" s="542">
        <f t="shared" ca="1" si="204"/>
        <v>0</v>
      </c>
      <c r="CT85" s="542">
        <f t="shared" ca="1" si="204"/>
        <v>0</v>
      </c>
      <c r="CU85" s="542">
        <f t="shared" ca="1" si="204"/>
        <v>0</v>
      </c>
      <c r="CW85" s="151">
        <f t="shared" ca="1" si="177"/>
        <v>21.242210631111469</v>
      </c>
    </row>
    <row r="86" spans="2:101" s="84" customFormat="1" ht="6" customHeight="1" x14ac:dyDescent="0.2">
      <c r="C86" s="50"/>
      <c r="D86" s="51"/>
      <c r="E86" s="51"/>
      <c r="G86" s="245"/>
      <c r="H86" s="245"/>
      <c r="I86" s="245"/>
      <c r="J86" s="245"/>
      <c r="K86" s="245"/>
      <c r="L86" s="247"/>
      <c r="M86" s="245"/>
      <c r="N86" s="245"/>
      <c r="O86" s="245"/>
      <c r="P86" s="245">
        <f t="shared" si="136"/>
        <v>0</v>
      </c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>
        <f t="shared" si="159"/>
        <v>0</v>
      </c>
      <c r="AJ86" s="263"/>
      <c r="AK86" s="263"/>
      <c r="AL86" s="263"/>
      <c r="AM86" s="263"/>
      <c r="AN86" s="263"/>
      <c r="AO86" s="263"/>
      <c r="AP86" s="263"/>
      <c r="AQ86" s="263"/>
      <c r="AR86" s="263"/>
      <c r="AS86" s="263"/>
      <c r="AT86" s="263"/>
      <c r="AU86" s="263"/>
      <c r="AV86" s="263"/>
      <c r="AW86" s="263"/>
      <c r="AX86" s="263"/>
      <c r="AY86" s="263">
        <f t="shared" si="147"/>
        <v>0</v>
      </c>
      <c r="BA86" s="277"/>
      <c r="BB86" s="277"/>
      <c r="BC86" s="277">
        <f t="shared" si="160"/>
        <v>0</v>
      </c>
      <c r="BE86" s="55">
        <f t="shared" si="196"/>
        <v>0</v>
      </c>
      <c r="BF86" s="55"/>
      <c r="BH86" s="542"/>
      <c r="BI86" s="542"/>
      <c r="BJ86" s="542"/>
      <c r="BK86" s="542"/>
      <c r="BL86" s="542"/>
      <c r="BM86" s="542"/>
      <c r="BN86" s="542"/>
      <c r="BO86" s="542"/>
      <c r="BP86" s="542"/>
      <c r="BQ86" s="542"/>
      <c r="BR86" s="542"/>
      <c r="BS86" s="542"/>
      <c r="BT86" s="542"/>
      <c r="BU86" s="542"/>
      <c r="BV86" s="542"/>
      <c r="BW86" s="542"/>
      <c r="BX86" s="542"/>
      <c r="BY86" s="542"/>
      <c r="BZ86" s="542"/>
      <c r="CA86" s="542"/>
      <c r="CB86" s="542"/>
      <c r="CC86" s="542"/>
      <c r="CD86" s="542"/>
      <c r="CE86" s="542"/>
      <c r="CF86" s="542"/>
      <c r="CG86" s="542"/>
      <c r="CH86" s="542"/>
      <c r="CI86" s="542"/>
      <c r="CJ86" s="542"/>
      <c r="CK86" s="542"/>
      <c r="CL86" s="542"/>
      <c r="CM86" s="542"/>
      <c r="CN86" s="542"/>
      <c r="CO86" s="542"/>
      <c r="CP86" s="542"/>
      <c r="CQ86" s="542"/>
      <c r="CR86" s="542"/>
      <c r="CS86" s="542"/>
      <c r="CT86" s="542"/>
      <c r="CU86" s="542"/>
      <c r="CW86" s="151"/>
    </row>
    <row r="87" spans="2:101" s="84" customFormat="1" ht="15.75" x14ac:dyDescent="0.2">
      <c r="B87" s="89"/>
      <c r="C87" s="923" t="s">
        <v>885</v>
      </c>
      <c r="D87" s="69" t="s">
        <v>442</v>
      </c>
      <c r="E87" s="70"/>
      <c r="G87" s="338">
        <f ca="1">G$74+G$80+G$85</f>
        <v>0</v>
      </c>
      <c r="H87" s="338">
        <f ca="1">H$74+H$80+H$85</f>
        <v>0</v>
      </c>
      <c r="I87" s="338">
        <f ca="1">I$74+I$80+I$85</f>
        <v>0</v>
      </c>
      <c r="J87" s="338">
        <f t="shared" ref="J87:O87" ca="1" si="205">J$74+J$80+J$85</f>
        <v>0</v>
      </c>
      <c r="K87" s="338">
        <f t="shared" ca="1" si="205"/>
        <v>0</v>
      </c>
      <c r="L87" s="339">
        <f t="shared" ca="1" si="205"/>
        <v>0</v>
      </c>
      <c r="M87" s="338">
        <f t="shared" ca="1" si="205"/>
        <v>0</v>
      </c>
      <c r="N87" s="338">
        <f t="shared" ca="1" si="205"/>
        <v>0</v>
      </c>
      <c r="O87" s="338">
        <f t="shared" ca="1" si="205"/>
        <v>0</v>
      </c>
      <c r="P87" s="338">
        <f t="shared" ca="1" si="136"/>
        <v>0</v>
      </c>
      <c r="R87" s="294">
        <f t="shared" ref="R87:AG87" ca="1" si="206">R$74+R$80+R$85</f>
        <v>0</v>
      </c>
      <c r="S87" s="294">
        <f t="shared" ca="1" si="206"/>
        <v>-367.16753085164368</v>
      </c>
      <c r="T87" s="294">
        <f t="shared" ca="1" si="206"/>
        <v>756.52138704566835</v>
      </c>
      <c r="U87" s="294">
        <f t="shared" ca="1" si="206"/>
        <v>204.0817691128814</v>
      </c>
      <c r="V87" s="294">
        <f t="shared" ca="1" si="206"/>
        <v>1036.4823636817698</v>
      </c>
      <c r="W87" s="294">
        <f t="shared" ca="1" si="206"/>
        <v>92.776442187623488</v>
      </c>
      <c r="X87" s="294">
        <f t="shared" ca="1" si="206"/>
        <v>-71.77023895833338</v>
      </c>
      <c r="Y87" s="294">
        <f t="shared" ca="1" si="206"/>
        <v>-1406.83294017</v>
      </c>
      <c r="Z87" s="294">
        <f t="shared" ca="1" si="206"/>
        <v>-923.54866666666669</v>
      </c>
      <c r="AA87" s="294">
        <f t="shared" ca="1" si="206"/>
        <v>0</v>
      </c>
      <c r="AB87" s="294">
        <f t="shared" ca="1" si="206"/>
        <v>0</v>
      </c>
      <c r="AC87" s="294">
        <f t="shared" ca="1" si="206"/>
        <v>-2598.5408636047873</v>
      </c>
      <c r="AD87" s="294">
        <f t="shared" ca="1" si="206"/>
        <v>-24.860764027112872</v>
      </c>
      <c r="AE87" s="294">
        <f t="shared" ca="1" si="206"/>
        <v>-347.52707500652309</v>
      </c>
      <c r="AF87" s="294">
        <f t="shared" ca="1" si="206"/>
        <v>-92.533974835322084</v>
      </c>
      <c r="AG87" s="294">
        <f t="shared" ca="1" si="206"/>
        <v>-5.9620308549013927</v>
      </c>
      <c r="AH87" s="294">
        <f t="shared" ca="1" si="159"/>
        <v>-3748.8821229473479</v>
      </c>
      <c r="AJ87" s="295">
        <f t="shared" ref="AJ87:AX87" ca="1" si="207">AJ$74+AJ$80+AJ$85</f>
        <v>0</v>
      </c>
      <c r="AK87" s="295">
        <f t="shared" ca="1" si="207"/>
        <v>0</v>
      </c>
      <c r="AL87" s="295">
        <f t="shared" ca="1" si="207"/>
        <v>0</v>
      </c>
      <c r="AM87" s="295">
        <f t="shared" ca="1" si="207"/>
        <v>1778.8059555233544</v>
      </c>
      <c r="AN87" s="295">
        <f t="shared" ca="1" si="207"/>
        <v>277.22698617556915</v>
      </c>
      <c r="AO87" s="295">
        <f t="shared" ca="1" si="207"/>
        <v>0</v>
      </c>
      <c r="AP87" s="295">
        <f t="shared" ca="1" si="207"/>
        <v>-684.75114808733497</v>
      </c>
      <c r="AQ87" s="295">
        <f t="shared" ca="1" si="207"/>
        <v>1209.0359722031728</v>
      </c>
      <c r="AR87" s="295">
        <f t="shared" ca="1" si="207"/>
        <v>680.10495621215239</v>
      </c>
      <c r="AS87" s="295">
        <f t="shared" ca="1" si="207"/>
        <v>0</v>
      </c>
      <c r="AT87" s="295">
        <f t="shared" ca="1" si="207"/>
        <v>0</v>
      </c>
      <c r="AU87" s="295">
        <f t="shared" ca="1" si="207"/>
        <v>0</v>
      </c>
      <c r="AV87" s="295">
        <f t="shared" ca="1" si="207"/>
        <v>0</v>
      </c>
      <c r="AW87" s="295">
        <f t="shared" ca="1" si="207"/>
        <v>0</v>
      </c>
      <c r="AX87" s="295">
        <f t="shared" ca="1" si="207"/>
        <v>0</v>
      </c>
      <c r="AY87" s="295">
        <f t="shared" ca="1" si="147"/>
        <v>3260.422722026914</v>
      </c>
      <c r="BA87" s="296">
        <f ca="1">BA$74+BA$80+BA$85</f>
        <v>395.6321719306693</v>
      </c>
      <c r="BB87" s="296">
        <f ca="1">BB$74+BB$80+BB$85</f>
        <v>92.82722898976445</v>
      </c>
      <c r="BC87" s="296">
        <f t="shared" ca="1" si="160"/>
        <v>488.45940092043372</v>
      </c>
      <c r="BE87" s="58">
        <f t="shared" ca="1" si="196"/>
        <v>0</v>
      </c>
      <c r="BF87" s="58"/>
      <c r="BH87" s="546">
        <f t="shared" ref="BH87:CT87" ca="1" si="208">BH$74+BH$80+BH$85</f>
        <v>0</v>
      </c>
      <c r="BI87" s="546">
        <f t="shared" ca="1" si="208"/>
        <v>0</v>
      </c>
      <c r="BJ87" s="546">
        <f t="shared" ca="1" si="208"/>
        <v>0</v>
      </c>
      <c r="BK87" s="546">
        <f t="shared" ca="1" si="208"/>
        <v>0</v>
      </c>
      <c r="BL87" s="546">
        <f t="shared" ca="1" si="208"/>
        <v>0</v>
      </c>
      <c r="BM87" s="546">
        <f t="shared" ca="1" si="208"/>
        <v>21.242210631111469</v>
      </c>
      <c r="BN87" s="546">
        <f t="shared" ca="1" si="208"/>
        <v>0</v>
      </c>
      <c r="BO87" s="546">
        <f t="shared" ca="1" si="208"/>
        <v>0</v>
      </c>
      <c r="BP87" s="546">
        <f t="shared" ca="1" si="208"/>
        <v>0</v>
      </c>
      <c r="BQ87" s="546">
        <f t="shared" ca="1" si="208"/>
        <v>0</v>
      </c>
      <c r="BR87" s="546">
        <f t="shared" ca="1" si="208"/>
        <v>0</v>
      </c>
      <c r="BS87" s="546">
        <f t="shared" ca="1" si="208"/>
        <v>0</v>
      </c>
      <c r="BT87" s="546">
        <f t="shared" ca="1" si="208"/>
        <v>0</v>
      </c>
      <c r="BU87" s="546">
        <f t="shared" ca="1" si="208"/>
        <v>0</v>
      </c>
      <c r="BV87" s="546">
        <f t="shared" ca="1" si="208"/>
        <v>0</v>
      </c>
      <c r="BW87" s="546">
        <f t="shared" ca="1" si="208"/>
        <v>0</v>
      </c>
      <c r="BX87" s="546">
        <f t="shared" ca="1" si="208"/>
        <v>0</v>
      </c>
      <c r="BY87" s="546">
        <f t="shared" ca="1" si="208"/>
        <v>0</v>
      </c>
      <c r="BZ87" s="546">
        <f t="shared" ca="1" si="208"/>
        <v>0</v>
      </c>
      <c r="CA87" s="546">
        <f t="shared" ca="1" si="208"/>
        <v>0</v>
      </c>
      <c r="CB87" s="546">
        <f t="shared" ca="1" si="208"/>
        <v>0</v>
      </c>
      <c r="CC87" s="546">
        <f t="shared" ca="1" si="208"/>
        <v>0</v>
      </c>
      <c r="CD87" s="546">
        <f t="shared" ca="1" si="208"/>
        <v>0</v>
      </c>
      <c r="CE87" s="546">
        <f t="shared" ca="1" si="208"/>
        <v>0</v>
      </c>
      <c r="CF87" s="546">
        <f t="shared" ca="1" si="208"/>
        <v>0</v>
      </c>
      <c r="CG87" s="546">
        <f t="shared" ca="1" si="208"/>
        <v>0</v>
      </c>
      <c r="CH87" s="546">
        <f t="shared" ca="1" si="208"/>
        <v>0</v>
      </c>
      <c r="CI87" s="546">
        <f t="shared" ca="1" si="208"/>
        <v>0</v>
      </c>
      <c r="CJ87" s="546">
        <f t="shared" ca="1" si="208"/>
        <v>0</v>
      </c>
      <c r="CK87" s="546">
        <f t="shared" ca="1" si="208"/>
        <v>0</v>
      </c>
      <c r="CL87" s="546">
        <f t="shared" ca="1" si="208"/>
        <v>0</v>
      </c>
      <c r="CM87" s="546">
        <f t="shared" ca="1" si="208"/>
        <v>0</v>
      </c>
      <c r="CN87" s="546">
        <f t="shared" ca="1" si="208"/>
        <v>-148.02146239404746</v>
      </c>
      <c r="CO87" s="546">
        <f t="shared" ca="1" si="208"/>
        <v>0</v>
      </c>
      <c r="CP87" s="546">
        <f t="shared" ca="1" si="208"/>
        <v>0</v>
      </c>
      <c r="CQ87" s="546">
        <f t="shared" ca="1" si="208"/>
        <v>0</v>
      </c>
      <c r="CR87" s="546">
        <f t="shared" ca="1" si="208"/>
        <v>0</v>
      </c>
      <c r="CS87" s="546">
        <f t="shared" ca="1" si="208"/>
        <v>0</v>
      </c>
      <c r="CT87" s="546">
        <f t="shared" ca="1" si="208"/>
        <v>0</v>
      </c>
      <c r="CU87" s="546">
        <f ca="1">CU$74+CU$85</f>
        <v>0</v>
      </c>
      <c r="CW87" s="148">
        <f ca="1">SUM(BH87:CU87)</f>
        <v>-126.77925176293598</v>
      </c>
    </row>
    <row r="88" spans="2:101" s="84" customFormat="1" x14ac:dyDescent="0.2">
      <c r="C88" s="50"/>
      <c r="D88" s="51"/>
      <c r="E88" s="51"/>
      <c r="G88" s="245"/>
      <c r="H88" s="245"/>
      <c r="I88" s="245"/>
      <c r="J88" s="245"/>
      <c r="K88" s="245"/>
      <c r="L88" s="247"/>
      <c r="M88" s="245"/>
      <c r="N88" s="245"/>
      <c r="O88" s="245"/>
      <c r="P88" s="245">
        <f t="shared" si="136"/>
        <v>0</v>
      </c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>
        <f t="shared" si="159"/>
        <v>0</v>
      </c>
      <c r="AJ88" s="263"/>
      <c r="AK88" s="263"/>
      <c r="AL88" s="263"/>
      <c r="AM88" s="263"/>
      <c r="AN88" s="263"/>
      <c r="AO88" s="263"/>
      <c r="AP88" s="263"/>
      <c r="AQ88" s="263"/>
      <c r="AR88" s="263"/>
      <c r="AS88" s="263"/>
      <c r="AT88" s="263"/>
      <c r="AU88" s="263"/>
      <c r="AV88" s="263"/>
      <c r="AW88" s="263"/>
      <c r="AX88" s="263"/>
      <c r="AY88" s="263">
        <f t="shared" si="147"/>
        <v>0</v>
      </c>
      <c r="BA88" s="277"/>
      <c r="BB88" s="277"/>
      <c r="BC88" s="277">
        <f t="shared" si="160"/>
        <v>0</v>
      </c>
      <c r="BE88" s="55">
        <f t="shared" si="196"/>
        <v>0</v>
      </c>
      <c r="BF88" s="55"/>
      <c r="BH88" s="542"/>
      <c r="BI88" s="542"/>
      <c r="BJ88" s="542"/>
      <c r="BK88" s="542"/>
      <c r="BL88" s="542"/>
      <c r="BM88" s="542"/>
      <c r="BN88" s="542"/>
      <c r="BO88" s="542"/>
      <c r="BP88" s="542"/>
      <c r="BQ88" s="542"/>
      <c r="BR88" s="542"/>
      <c r="BS88" s="542"/>
      <c r="BT88" s="542"/>
      <c r="BU88" s="542"/>
      <c r="BV88" s="542"/>
      <c r="BW88" s="542"/>
      <c r="BX88" s="542"/>
      <c r="BY88" s="542"/>
      <c r="BZ88" s="542"/>
      <c r="CA88" s="542"/>
      <c r="CB88" s="542"/>
      <c r="CC88" s="542"/>
      <c r="CD88" s="542"/>
      <c r="CE88" s="542"/>
      <c r="CF88" s="542"/>
      <c r="CG88" s="542"/>
      <c r="CH88" s="542"/>
      <c r="CI88" s="542"/>
      <c r="CJ88" s="542"/>
      <c r="CK88" s="542"/>
      <c r="CL88" s="542"/>
      <c r="CM88" s="542"/>
      <c r="CN88" s="542"/>
      <c r="CO88" s="542"/>
      <c r="CP88" s="542"/>
      <c r="CQ88" s="542"/>
      <c r="CR88" s="542"/>
      <c r="CS88" s="542"/>
      <c r="CT88" s="542"/>
      <c r="CU88" s="542"/>
      <c r="CW88" s="151"/>
    </row>
    <row r="89" spans="2:101" s="84" customFormat="1" ht="13.5" thickBot="1" x14ac:dyDescent="0.25">
      <c r="C89" s="50"/>
      <c r="D89" s="51"/>
      <c r="E89" s="51"/>
      <c r="G89" s="245"/>
      <c r="H89" s="245"/>
      <c r="I89" s="245"/>
      <c r="J89" s="245"/>
      <c r="K89" s="245"/>
      <c r="L89" s="247"/>
      <c r="M89" s="245"/>
      <c r="N89" s="245"/>
      <c r="O89" s="245"/>
      <c r="P89" s="245">
        <f t="shared" si="136"/>
        <v>0</v>
      </c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>
        <f t="shared" si="159"/>
        <v>0</v>
      </c>
      <c r="AJ89" s="263"/>
      <c r="AK89" s="263"/>
      <c r="AL89" s="263"/>
      <c r="AM89" s="263"/>
      <c r="AN89" s="263"/>
      <c r="AO89" s="263"/>
      <c r="AP89" s="263"/>
      <c r="AQ89" s="263"/>
      <c r="AR89" s="263"/>
      <c r="AS89" s="263"/>
      <c r="AT89" s="263"/>
      <c r="AU89" s="263"/>
      <c r="AV89" s="263"/>
      <c r="AW89" s="263"/>
      <c r="AX89" s="263"/>
      <c r="AY89" s="263">
        <f t="shared" si="147"/>
        <v>0</v>
      </c>
      <c r="BA89" s="277"/>
      <c r="BB89" s="277"/>
      <c r="BC89" s="277">
        <f t="shared" si="160"/>
        <v>0</v>
      </c>
      <c r="BE89" s="55">
        <f t="shared" si="196"/>
        <v>0</v>
      </c>
      <c r="BF89" s="55"/>
      <c r="BH89" s="542"/>
      <c r="BI89" s="542"/>
      <c r="BJ89" s="542"/>
      <c r="BK89" s="542"/>
      <c r="BL89" s="542"/>
      <c r="BM89" s="542"/>
      <c r="BN89" s="542"/>
      <c r="BO89" s="542"/>
      <c r="BP89" s="542"/>
      <c r="BQ89" s="542"/>
      <c r="BR89" s="542"/>
      <c r="BS89" s="542"/>
      <c r="BT89" s="542"/>
      <c r="BU89" s="542"/>
      <c r="BV89" s="542"/>
      <c r="BW89" s="542"/>
      <c r="BX89" s="542"/>
      <c r="BY89" s="542"/>
      <c r="BZ89" s="542"/>
      <c r="CA89" s="542"/>
      <c r="CB89" s="542"/>
      <c r="CC89" s="542"/>
      <c r="CD89" s="542"/>
      <c r="CE89" s="542"/>
      <c r="CF89" s="542"/>
      <c r="CG89" s="542"/>
      <c r="CH89" s="542"/>
      <c r="CI89" s="542"/>
      <c r="CJ89" s="542"/>
      <c r="CK89" s="542"/>
      <c r="CL89" s="542"/>
      <c r="CM89" s="542"/>
      <c r="CN89" s="542"/>
      <c r="CO89" s="542"/>
      <c r="CP89" s="542"/>
      <c r="CQ89" s="542"/>
      <c r="CR89" s="542"/>
      <c r="CS89" s="542"/>
      <c r="CT89" s="542"/>
      <c r="CU89" s="542"/>
      <c r="CW89" s="151"/>
    </row>
    <row r="90" spans="2:101" s="84" customFormat="1" ht="24" customHeight="1" thickBot="1" x14ac:dyDescent="0.25">
      <c r="C90" s="67" t="s">
        <v>189</v>
      </c>
      <c r="D90" s="67"/>
      <c r="E90" s="67"/>
      <c r="G90" s="357">
        <f ca="1">G$28+G$66+G$87</f>
        <v>114.82360568835084</v>
      </c>
      <c r="H90" s="357">
        <f ca="1">H$28+H$66+H$87</f>
        <v>439.09796990378345</v>
      </c>
      <c r="I90" s="357">
        <f ca="1">I$28+I$66+I$87</f>
        <v>232.49054882061384</v>
      </c>
      <c r="J90" s="357">
        <f t="shared" ref="J90:O90" ca="1" si="209">J$28+J$66+J$87</f>
        <v>294.87382567799034</v>
      </c>
      <c r="K90" s="357">
        <f t="shared" ca="1" si="209"/>
        <v>100.21442697127782</v>
      </c>
      <c r="L90" s="357">
        <f t="shared" ca="1" si="209"/>
        <v>63.419361714598281</v>
      </c>
      <c r="M90" s="357">
        <f t="shared" ca="1" si="209"/>
        <v>0</v>
      </c>
      <c r="N90" s="357">
        <f t="shared" ca="1" si="209"/>
        <v>7.2354868807669103E-13</v>
      </c>
      <c r="O90" s="357">
        <f t="shared" ca="1" si="209"/>
        <v>8.0982509853428706</v>
      </c>
      <c r="P90" s="357">
        <f t="shared" ref="P90" ca="1" si="210">SUM(G90:O90)</f>
        <v>1253.0179897619582</v>
      </c>
      <c r="R90" s="358">
        <f t="shared" ref="R90:AG90" ca="1" si="211">R$28+R$66+R$87</f>
        <v>-659.56399429121359</v>
      </c>
      <c r="S90" s="358">
        <f t="shared" ca="1" si="211"/>
        <v>659.56399429121348</v>
      </c>
      <c r="T90" s="358">
        <f t="shared" ca="1" si="211"/>
        <v>0</v>
      </c>
      <c r="U90" s="358">
        <f t="shared" ca="1" si="211"/>
        <v>0</v>
      </c>
      <c r="V90" s="358">
        <f t="shared" ca="1" si="211"/>
        <v>0</v>
      </c>
      <c r="W90" s="358">
        <f t="shared" ca="1" si="211"/>
        <v>0</v>
      </c>
      <c r="X90" s="358">
        <f t="shared" ca="1" si="211"/>
        <v>0</v>
      </c>
      <c r="Y90" s="358">
        <f t="shared" ca="1" si="211"/>
        <v>0</v>
      </c>
      <c r="Z90" s="358">
        <f t="shared" ca="1" si="211"/>
        <v>0</v>
      </c>
      <c r="AA90" s="358">
        <f t="shared" ca="1" si="211"/>
        <v>0</v>
      </c>
      <c r="AB90" s="358">
        <f t="shared" ca="1" si="211"/>
        <v>0</v>
      </c>
      <c r="AC90" s="358">
        <f t="shared" ca="1" si="211"/>
        <v>0</v>
      </c>
      <c r="AD90" s="358">
        <f t="shared" ca="1" si="211"/>
        <v>0</v>
      </c>
      <c r="AE90" s="358">
        <f t="shared" ca="1" si="211"/>
        <v>0</v>
      </c>
      <c r="AF90" s="358">
        <f t="shared" ca="1" si="211"/>
        <v>0</v>
      </c>
      <c r="AG90" s="358">
        <f t="shared" ca="1" si="211"/>
        <v>0</v>
      </c>
      <c r="AH90" s="358">
        <f t="shared" ca="1" si="159"/>
        <v>-1.1368683772161603E-13</v>
      </c>
      <c r="AJ90" s="359">
        <f t="shared" ref="AJ90:AX90" ca="1" si="212">AJ$28+AJ$66+AJ$87</f>
        <v>-67</v>
      </c>
      <c r="AK90" s="359">
        <f t="shared" ca="1" si="212"/>
        <v>-1406.83294017</v>
      </c>
      <c r="AL90" s="359">
        <f t="shared" ca="1" si="212"/>
        <v>-923.54866666666669</v>
      </c>
      <c r="AM90" s="359">
        <f t="shared" ca="1" si="212"/>
        <v>1778.8059555233544</v>
      </c>
      <c r="AN90" s="359">
        <f t="shared" ca="1" si="212"/>
        <v>277.22698617556915</v>
      </c>
      <c r="AO90" s="359">
        <f t="shared" ca="1" si="212"/>
        <v>0</v>
      </c>
      <c r="AP90" s="359">
        <f t="shared" ca="1" si="212"/>
        <v>-684.75114808733497</v>
      </c>
      <c r="AQ90" s="359">
        <f t="shared" ca="1" si="212"/>
        <v>1209.0359722031728</v>
      </c>
      <c r="AR90" s="359">
        <f t="shared" ca="1" si="212"/>
        <v>680.10495621215239</v>
      </c>
      <c r="AS90" s="359">
        <f t="shared" ca="1" si="212"/>
        <v>-152.13880000000003</v>
      </c>
      <c r="AT90" s="359">
        <f t="shared" ca="1" si="212"/>
        <v>-285.16148640000006</v>
      </c>
      <c r="AU90" s="359">
        <f t="shared" ca="1" si="212"/>
        <v>-14.726880000000001</v>
      </c>
      <c r="AV90" s="359">
        <f t="shared" ca="1" si="212"/>
        <v>-56.165264742857154</v>
      </c>
      <c r="AW90" s="359">
        <f t="shared" ca="1" si="212"/>
        <v>-2623.4016276319003</v>
      </c>
      <c r="AX90" s="359">
        <f t="shared" ca="1" si="212"/>
        <v>-450.79331965507987</v>
      </c>
      <c r="AY90" s="359">
        <f t="shared" ca="1" si="147"/>
        <v>-2719.3462632395904</v>
      </c>
      <c r="BA90" s="360">
        <f ca="1">BA$28+BA$66+BA$87</f>
        <v>1334.028829683301</v>
      </c>
      <c r="BB90" s="360">
        <f ca="1">BB$28+BB$66+BB$87</f>
        <v>132.29944379433093</v>
      </c>
      <c r="BC90" s="360">
        <f t="shared" ca="1" si="160"/>
        <v>1466.3282734776319</v>
      </c>
      <c r="BE90" s="54">
        <f t="shared" ca="1" si="196"/>
        <v>0</v>
      </c>
      <c r="BF90" s="54"/>
      <c r="BH90" s="552">
        <f t="shared" ref="BH90:CU90" ca="1" si="213">BH$28+BH$66+BH$87</f>
        <v>472.44777862047829</v>
      </c>
      <c r="BI90" s="552">
        <f ca="1">BI$28+BI$66+BI$87</f>
        <v>23.658195016401226</v>
      </c>
      <c r="BJ90" s="552">
        <f t="shared" ca="1" si="213"/>
        <v>25.744380783524562</v>
      </c>
      <c r="BK90" s="552">
        <f t="shared" ca="1" si="213"/>
        <v>0</v>
      </c>
      <c r="BL90" s="552">
        <f t="shared" ca="1" si="213"/>
        <v>6.4221428571428563</v>
      </c>
      <c r="BM90" s="552">
        <f t="shared" ca="1" si="213"/>
        <v>21.333394406401606</v>
      </c>
      <c r="BN90" s="552">
        <f t="shared" ca="1" si="213"/>
        <v>0</v>
      </c>
      <c r="BO90" s="552">
        <f t="shared" ca="1" si="213"/>
        <v>0</v>
      </c>
      <c r="BP90" s="552">
        <f t="shared" ca="1" si="213"/>
        <v>14.628813841363048</v>
      </c>
      <c r="BQ90" s="552">
        <f t="shared" ca="1" si="213"/>
        <v>0.13511675102916507</v>
      </c>
      <c r="BR90" s="552">
        <f t="shared" ca="1" si="213"/>
        <v>3.5829235236805861</v>
      </c>
      <c r="BS90" s="552">
        <f t="shared" ca="1" si="213"/>
        <v>8.5205687194014956</v>
      </c>
      <c r="BT90" s="552">
        <f t="shared" ca="1" si="213"/>
        <v>0</v>
      </c>
      <c r="BU90" s="552">
        <f t="shared" ca="1" si="213"/>
        <v>0</v>
      </c>
      <c r="BV90" s="552">
        <f t="shared" ca="1" si="213"/>
        <v>0</v>
      </c>
      <c r="BW90" s="552">
        <f t="shared" ca="1" si="213"/>
        <v>0</v>
      </c>
      <c r="BX90" s="552">
        <f t="shared" ca="1" si="213"/>
        <v>0</v>
      </c>
      <c r="BY90" s="552">
        <f t="shared" ca="1" si="213"/>
        <v>0</v>
      </c>
      <c r="BZ90" s="552">
        <f t="shared" ca="1" si="213"/>
        <v>21.541610830175813</v>
      </c>
      <c r="CA90" s="552">
        <f t="shared" ca="1" si="213"/>
        <v>0</v>
      </c>
      <c r="CB90" s="552">
        <f t="shared" ca="1" si="213"/>
        <v>3.6992471491666095</v>
      </c>
      <c r="CC90" s="552">
        <f t="shared" ca="1" si="213"/>
        <v>0</v>
      </c>
      <c r="CD90" s="552">
        <f t="shared" ca="1" si="213"/>
        <v>0</v>
      </c>
      <c r="CE90" s="552">
        <f t="shared" ca="1" si="213"/>
        <v>0</v>
      </c>
      <c r="CF90" s="552">
        <f t="shared" ca="1" si="213"/>
        <v>0</v>
      </c>
      <c r="CG90" s="552">
        <f t="shared" ca="1" si="213"/>
        <v>2.5873928502248216</v>
      </c>
      <c r="CH90" s="552">
        <f t="shared" ca="1" si="213"/>
        <v>0</v>
      </c>
      <c r="CI90" s="552">
        <f t="shared" ca="1" si="213"/>
        <v>0</v>
      </c>
      <c r="CJ90" s="552">
        <f t="shared" ca="1" si="213"/>
        <v>0</v>
      </c>
      <c r="CK90" s="552">
        <f t="shared" ca="1" si="213"/>
        <v>0</v>
      </c>
      <c r="CL90" s="552">
        <f t="shared" ca="1" si="213"/>
        <v>0</v>
      </c>
      <c r="CM90" s="552">
        <f t="shared" ca="1" si="213"/>
        <v>0</v>
      </c>
      <c r="CN90" s="552">
        <f t="shared" ca="1" si="213"/>
        <v>-148.02146239404746</v>
      </c>
      <c r="CO90" s="552">
        <f t="shared" ca="1" si="213"/>
        <v>0</v>
      </c>
      <c r="CP90" s="552">
        <f t="shared" ca="1" si="213"/>
        <v>0</v>
      </c>
      <c r="CQ90" s="552">
        <f t="shared" ca="1" si="213"/>
        <v>0</v>
      </c>
      <c r="CR90" s="552">
        <f t="shared" ca="1" si="213"/>
        <v>0</v>
      </c>
      <c r="CS90" s="552">
        <f t="shared" ca="1" si="213"/>
        <v>0</v>
      </c>
      <c r="CT90" s="552">
        <f t="shared" ca="1" si="213"/>
        <v>0</v>
      </c>
      <c r="CU90" s="552">
        <f t="shared" ca="1" si="213"/>
        <v>0</v>
      </c>
      <c r="CW90" s="148">
        <f ca="1">SUM(BH90:CU90)</f>
        <v>456.28010295494244</v>
      </c>
    </row>
    <row r="91" spans="2:101" s="84" customFormat="1" x14ac:dyDescent="0.2">
      <c r="C91" s="50"/>
      <c r="D91" s="51"/>
      <c r="E91" s="51"/>
      <c r="G91" s="282"/>
      <c r="H91" s="282"/>
      <c r="I91" s="282"/>
      <c r="J91" s="282"/>
      <c r="K91" s="282"/>
      <c r="L91" s="283"/>
      <c r="M91" s="282"/>
      <c r="N91" s="282"/>
      <c r="O91" s="282"/>
      <c r="P91" s="282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BA91" s="289"/>
      <c r="BB91" s="289"/>
      <c r="BC91" s="289"/>
      <c r="BE91" s="55"/>
      <c r="BF91" s="55"/>
      <c r="BH91" s="553"/>
      <c r="BI91" s="553"/>
      <c r="BJ91" s="553"/>
      <c r="BK91" s="553"/>
      <c r="BL91" s="553"/>
      <c r="BM91" s="553"/>
      <c r="BN91" s="553"/>
      <c r="BO91" s="553"/>
      <c r="BP91" s="553"/>
      <c r="BQ91" s="553"/>
      <c r="BR91" s="553"/>
      <c r="BS91" s="553"/>
      <c r="BT91" s="553"/>
      <c r="BU91" s="553"/>
      <c r="BV91" s="553"/>
      <c r="BW91" s="553"/>
      <c r="BX91" s="553"/>
      <c r="BY91" s="553"/>
      <c r="BZ91" s="553"/>
      <c r="CA91" s="553"/>
      <c r="CB91" s="553"/>
      <c r="CC91" s="553"/>
      <c r="CD91" s="553"/>
      <c r="CE91" s="553"/>
      <c r="CF91" s="553"/>
      <c r="CG91" s="553"/>
      <c r="CH91" s="553"/>
      <c r="CI91" s="553"/>
      <c r="CJ91" s="553"/>
      <c r="CK91" s="553"/>
      <c r="CL91" s="553"/>
      <c r="CM91" s="553"/>
      <c r="CN91" s="553"/>
      <c r="CO91" s="553"/>
      <c r="CP91" s="553"/>
      <c r="CQ91" s="553"/>
      <c r="CR91" s="553"/>
      <c r="CS91" s="553"/>
      <c r="CT91" s="553"/>
      <c r="CU91" s="553"/>
    </row>
    <row r="92" spans="2:101" x14ac:dyDescent="0.2">
      <c r="G92" s="55"/>
      <c r="H92" s="55"/>
      <c r="I92" s="55"/>
      <c r="J92" s="55"/>
      <c r="K92" s="55"/>
      <c r="L92" s="59"/>
      <c r="M92" s="55"/>
      <c r="N92" s="55"/>
      <c r="O92" s="55"/>
      <c r="P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BA92" s="55"/>
      <c r="BB92" s="55"/>
      <c r="BC92" s="55"/>
      <c r="BE92" s="55"/>
      <c r="BF92" s="55"/>
    </row>
    <row r="93" spans="2:101" x14ac:dyDescent="0.2">
      <c r="G93" s="55"/>
      <c r="H93" s="55"/>
      <c r="I93" s="55"/>
      <c r="J93" s="55"/>
      <c r="K93" s="55"/>
      <c r="L93" s="59"/>
      <c r="M93" s="55"/>
      <c r="N93" s="55"/>
      <c r="O93" s="55"/>
      <c r="P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BA93" s="55"/>
      <c r="BB93" s="55"/>
      <c r="BC93" s="55"/>
      <c r="BE93" s="55"/>
      <c r="BF93" s="55"/>
      <c r="CU93" s="1426" t="s">
        <v>1183</v>
      </c>
      <c r="CW93" s="2480">
        <f ca="1">SUM(CW47,CW50,CW54,CW64)</f>
        <v>371.30258296786997</v>
      </c>
    </row>
    <row r="94" spans="2:101" x14ac:dyDescent="0.2">
      <c r="B94" s="2479" t="s">
        <v>322</v>
      </c>
      <c r="C94" s="355" t="s">
        <v>443</v>
      </c>
      <c r="G94" s="55"/>
      <c r="H94" s="55"/>
      <c r="I94" s="55"/>
      <c r="J94" s="55"/>
      <c r="K94" s="55"/>
      <c r="L94" s="59"/>
      <c r="M94" s="55"/>
      <c r="N94" s="55"/>
      <c r="O94" s="55"/>
      <c r="P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BA94" s="55"/>
      <c r="BB94" s="55"/>
      <c r="BC94" s="55"/>
      <c r="BE94" s="55"/>
      <c r="BF94" s="55"/>
      <c r="CU94" s="1426" t="s">
        <v>1184</v>
      </c>
      <c r="CW94" s="2480">
        <f ca="1">S90-MIN(S84,0)</f>
        <v>974.10918046678262</v>
      </c>
    </row>
    <row r="95" spans="2:101" ht="15.75" x14ac:dyDescent="0.25">
      <c r="B95" s="3"/>
      <c r="G95" s="55"/>
      <c r="H95" s="55"/>
      <c r="I95" s="55"/>
      <c r="J95" s="55"/>
      <c r="K95" s="55"/>
      <c r="L95" s="59"/>
      <c r="M95" s="55"/>
      <c r="N95" s="55"/>
      <c r="O95" s="55"/>
      <c r="P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BA95" s="55"/>
      <c r="BB95" s="55"/>
      <c r="BC95" s="55"/>
      <c r="BE95" s="55"/>
      <c r="BF95" s="55"/>
      <c r="CU95" s="1426" t="s">
        <v>1185</v>
      </c>
      <c r="CW95" s="2479">
        <f ca="1">CW93/CW94</f>
        <v>0.381171423505059</v>
      </c>
    </row>
    <row r="96" spans="2:101" x14ac:dyDescent="0.2">
      <c r="G96" s="55"/>
      <c r="H96" s="55"/>
      <c r="I96" s="55"/>
      <c r="J96" s="55"/>
      <c r="K96" s="55"/>
      <c r="L96" s="59"/>
      <c r="M96" s="55"/>
      <c r="N96" s="55"/>
      <c r="O96" s="55"/>
      <c r="P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BA96" s="55"/>
      <c r="BB96" s="55"/>
      <c r="BC96" s="55"/>
      <c r="BE96" s="55"/>
      <c r="BF96" s="55"/>
    </row>
    <row r="97" spans="2:58" ht="15.75" x14ac:dyDescent="0.25">
      <c r="B97" s="3"/>
      <c r="G97" s="55"/>
      <c r="H97" s="55"/>
      <c r="I97" s="55"/>
      <c r="J97" s="55"/>
      <c r="K97" s="55"/>
      <c r="L97" s="59"/>
      <c r="M97" s="55"/>
      <c r="N97" s="55"/>
      <c r="O97" s="55"/>
      <c r="P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BA97" s="55"/>
      <c r="BB97" s="55"/>
      <c r="BC97" s="55"/>
      <c r="BE97" s="55"/>
      <c r="BF97" s="55"/>
    </row>
    <row r="98" spans="2:58" ht="15.75" x14ac:dyDescent="0.25">
      <c r="B98" s="3"/>
      <c r="G98" s="55"/>
      <c r="H98" s="55"/>
      <c r="I98" s="55"/>
      <c r="J98" s="55"/>
      <c r="K98" s="55"/>
      <c r="L98" s="59"/>
      <c r="M98" s="55"/>
      <c r="N98" s="55"/>
      <c r="O98" s="55"/>
      <c r="P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BA98" s="55"/>
      <c r="BB98" s="55"/>
      <c r="BC98" s="55"/>
      <c r="BE98" s="55"/>
      <c r="BF98" s="55"/>
    </row>
    <row r="99" spans="2:58" ht="15.75" x14ac:dyDescent="0.25">
      <c r="B99" s="3"/>
      <c r="G99" s="55"/>
      <c r="H99" s="55"/>
      <c r="I99" s="55"/>
      <c r="J99" s="55"/>
      <c r="K99" s="55"/>
      <c r="L99" s="59"/>
      <c r="M99" s="55"/>
      <c r="N99" s="55"/>
      <c r="O99" s="55"/>
      <c r="P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BA99" s="55"/>
      <c r="BB99" s="55"/>
      <c r="BC99" s="55"/>
      <c r="BE99" s="55"/>
      <c r="BF99" s="55"/>
    </row>
    <row r="100" spans="2:58" ht="15.75" x14ac:dyDescent="0.25">
      <c r="B100" s="3"/>
      <c r="G100" s="55"/>
      <c r="H100" s="55"/>
      <c r="I100" s="55"/>
      <c r="J100" s="55"/>
      <c r="K100" s="55"/>
      <c r="L100" s="59"/>
      <c r="M100" s="55"/>
      <c r="N100" s="55"/>
      <c r="O100" s="55"/>
      <c r="P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BA100" s="55"/>
      <c r="BB100" s="55"/>
      <c r="BC100" s="55"/>
      <c r="BE100" s="55"/>
      <c r="BF100" s="55"/>
    </row>
    <row r="101" spans="2:58" ht="15.75" x14ac:dyDescent="0.25">
      <c r="B101" s="3"/>
      <c r="G101" s="55"/>
      <c r="H101" s="55"/>
      <c r="I101" s="55"/>
      <c r="J101" s="55"/>
      <c r="K101" s="55"/>
      <c r="L101" s="59"/>
      <c r="M101" s="55"/>
      <c r="N101" s="55"/>
      <c r="O101" s="55"/>
      <c r="P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BA101" s="55"/>
      <c r="BB101" s="55"/>
      <c r="BC101" s="55"/>
      <c r="BE101" s="55"/>
      <c r="BF101" s="55"/>
    </row>
    <row r="102" spans="2:58" ht="15.75" x14ac:dyDescent="0.25">
      <c r="B102" s="3"/>
      <c r="G102" s="55"/>
      <c r="H102" s="55"/>
      <c r="I102" s="55"/>
      <c r="J102" s="55"/>
      <c r="K102" s="55"/>
      <c r="L102" s="59"/>
      <c r="M102" s="55"/>
      <c r="N102" s="55"/>
      <c r="O102" s="55"/>
      <c r="P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BA102" s="55"/>
      <c r="BB102" s="55"/>
      <c r="BC102" s="55"/>
      <c r="BE102" s="55"/>
      <c r="BF102" s="55"/>
    </row>
    <row r="103" spans="2:58" ht="24" customHeight="1" x14ac:dyDescent="0.2">
      <c r="G103" s="55"/>
      <c r="H103" s="55"/>
      <c r="I103" s="55"/>
      <c r="J103" s="55"/>
      <c r="K103" s="55"/>
      <c r="L103" s="59"/>
      <c r="M103" s="55"/>
      <c r="N103" s="55"/>
      <c r="O103" s="55"/>
      <c r="P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BA103" s="55"/>
      <c r="BB103" s="55"/>
      <c r="BC103" s="55"/>
      <c r="BE103" s="55"/>
      <c r="BF103" s="55"/>
    </row>
    <row r="104" spans="2:58" x14ac:dyDescent="0.2">
      <c r="G104" s="55"/>
      <c r="H104" s="55"/>
      <c r="I104" s="55"/>
      <c r="J104" s="55"/>
      <c r="K104" s="55"/>
      <c r="L104" s="59"/>
      <c r="M104" s="55"/>
      <c r="N104" s="55"/>
      <c r="O104" s="55"/>
      <c r="P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BA104" s="55"/>
      <c r="BB104" s="55"/>
      <c r="BC104" s="55"/>
      <c r="BE104" s="55"/>
      <c r="BF104" s="55"/>
    </row>
    <row r="105" spans="2:58" x14ac:dyDescent="0.2">
      <c r="G105" s="55"/>
      <c r="H105" s="55"/>
      <c r="I105" s="55"/>
      <c r="J105" s="55"/>
      <c r="K105" s="55"/>
      <c r="L105" s="59"/>
      <c r="M105" s="55"/>
      <c r="N105" s="55"/>
      <c r="O105" s="55"/>
      <c r="P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BA105" s="55"/>
      <c r="BB105" s="55"/>
      <c r="BC105" s="55"/>
      <c r="BE105" s="55"/>
      <c r="BF105" s="55"/>
    </row>
    <row r="106" spans="2:58" x14ac:dyDescent="0.2">
      <c r="C106" s="60"/>
      <c r="D106" s="34"/>
      <c r="G106" s="55"/>
      <c r="H106" s="55"/>
      <c r="I106" s="55"/>
      <c r="J106" s="55"/>
      <c r="K106" s="55"/>
      <c r="L106" s="59"/>
      <c r="M106" s="55"/>
      <c r="N106" s="55"/>
      <c r="O106" s="55"/>
      <c r="P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BA106" s="55"/>
      <c r="BB106" s="55"/>
      <c r="BC106" s="55"/>
      <c r="BE106" s="55"/>
      <c r="BF106" s="55"/>
    </row>
    <row r="107" spans="2:58" x14ac:dyDescent="0.2">
      <c r="G107" s="55"/>
      <c r="H107" s="55"/>
      <c r="I107" s="55"/>
      <c r="J107" s="55"/>
      <c r="K107" s="55"/>
      <c r="L107" s="59"/>
      <c r="M107" s="55"/>
      <c r="N107" s="55"/>
      <c r="O107" s="55"/>
      <c r="P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BA107" s="55"/>
      <c r="BB107" s="55"/>
      <c r="BC107" s="55"/>
      <c r="BE107" s="55"/>
      <c r="BF107" s="55"/>
    </row>
    <row r="108" spans="2:58" x14ac:dyDescent="0.2">
      <c r="G108" s="55"/>
      <c r="H108" s="55"/>
      <c r="I108" s="55"/>
      <c r="J108" s="55"/>
      <c r="K108" s="55"/>
      <c r="L108" s="59"/>
      <c r="M108" s="55"/>
      <c r="N108" s="55"/>
      <c r="O108" s="55"/>
      <c r="P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BA108" s="55"/>
      <c r="BB108" s="55"/>
      <c r="BC108" s="55"/>
      <c r="BE108" s="55"/>
      <c r="BF108" s="55"/>
    </row>
    <row r="109" spans="2:58" x14ac:dyDescent="0.2">
      <c r="G109" s="55"/>
      <c r="H109" s="55"/>
      <c r="I109" s="55"/>
      <c r="J109" s="55"/>
      <c r="K109" s="55"/>
      <c r="L109" s="59"/>
      <c r="M109" s="55"/>
      <c r="N109" s="55"/>
      <c r="O109" s="55"/>
      <c r="P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BA109" s="55"/>
      <c r="BB109" s="55"/>
      <c r="BC109" s="55"/>
      <c r="BE109" s="55"/>
      <c r="BF109" s="55"/>
    </row>
    <row r="110" spans="2:58" x14ac:dyDescent="0.2">
      <c r="G110" s="55"/>
      <c r="H110" s="55"/>
      <c r="I110" s="55"/>
      <c r="J110" s="55"/>
      <c r="K110" s="55"/>
      <c r="L110" s="59"/>
      <c r="M110" s="55"/>
      <c r="N110" s="55"/>
      <c r="O110" s="55"/>
      <c r="P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BA110" s="55"/>
      <c r="BB110" s="55"/>
      <c r="BC110" s="55"/>
      <c r="BE110" s="55"/>
      <c r="BF110" s="55"/>
    </row>
    <row r="111" spans="2:58" x14ac:dyDescent="0.2">
      <c r="G111" s="55"/>
      <c r="H111" s="55"/>
      <c r="I111" s="55"/>
      <c r="J111" s="55"/>
      <c r="K111" s="55"/>
      <c r="L111" s="59"/>
      <c r="M111" s="55"/>
      <c r="N111" s="55"/>
      <c r="O111" s="55"/>
      <c r="P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BA111" s="55"/>
      <c r="BB111" s="55"/>
      <c r="BC111" s="55"/>
      <c r="BE111" s="55"/>
      <c r="BF111" s="55"/>
    </row>
    <row r="112" spans="2:58" x14ac:dyDescent="0.2">
      <c r="G112" s="55"/>
      <c r="H112" s="55"/>
      <c r="I112" s="55"/>
      <c r="J112" s="55"/>
      <c r="K112" s="55"/>
      <c r="L112" s="59"/>
      <c r="M112" s="55"/>
      <c r="N112" s="55"/>
      <c r="O112" s="55"/>
      <c r="P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BA112" s="55"/>
      <c r="BB112" s="55"/>
      <c r="BC112" s="55"/>
      <c r="BE112" s="55"/>
      <c r="BF112" s="55"/>
    </row>
    <row r="113" spans="7:58" s="2479" customFormat="1" x14ac:dyDescent="0.2">
      <c r="G113" s="55"/>
      <c r="H113" s="55"/>
      <c r="I113" s="55"/>
      <c r="J113" s="55"/>
      <c r="K113" s="55"/>
      <c r="L113" s="59"/>
      <c r="M113" s="55"/>
      <c r="N113" s="55"/>
      <c r="O113" s="55"/>
      <c r="P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BA113" s="55"/>
      <c r="BB113" s="55"/>
      <c r="BC113" s="55"/>
      <c r="BE113" s="55"/>
      <c r="BF113" s="55"/>
    </row>
    <row r="114" spans="7:58" s="2479" customFormat="1" x14ac:dyDescent="0.2">
      <c r="G114" s="55"/>
      <c r="H114" s="55"/>
      <c r="I114" s="55"/>
      <c r="J114" s="55"/>
      <c r="K114" s="55"/>
      <c r="L114" s="59"/>
      <c r="M114" s="55"/>
      <c r="N114" s="55"/>
      <c r="O114" s="55"/>
      <c r="P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BA114" s="55"/>
      <c r="BB114" s="55"/>
      <c r="BC114" s="55"/>
      <c r="BE114" s="55"/>
      <c r="BF114" s="55"/>
    </row>
    <row r="115" spans="7:58" s="2479" customFormat="1" x14ac:dyDescent="0.2">
      <c r="G115" s="55"/>
      <c r="H115" s="55"/>
      <c r="I115" s="55"/>
      <c r="J115" s="55"/>
      <c r="K115" s="55"/>
      <c r="L115" s="59"/>
      <c r="M115" s="55"/>
      <c r="N115" s="55"/>
      <c r="O115" s="55"/>
      <c r="P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BA115" s="55"/>
      <c r="BB115" s="55"/>
      <c r="BC115" s="55"/>
      <c r="BE115" s="55"/>
      <c r="BF115" s="55"/>
    </row>
    <row r="116" spans="7:58" s="2479" customFormat="1" x14ac:dyDescent="0.2">
      <c r="G116" s="55"/>
      <c r="H116" s="55"/>
      <c r="I116" s="55"/>
      <c r="J116" s="55"/>
      <c r="K116" s="55"/>
      <c r="L116" s="59"/>
      <c r="M116" s="55"/>
      <c r="N116" s="55"/>
      <c r="O116" s="55"/>
      <c r="P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BA116" s="55"/>
      <c r="BB116" s="55"/>
      <c r="BC116" s="55"/>
      <c r="BE116" s="55"/>
      <c r="BF116" s="55"/>
    </row>
    <row r="117" spans="7:58" s="2479" customFormat="1" x14ac:dyDescent="0.2">
      <c r="G117" s="55"/>
      <c r="H117" s="55"/>
      <c r="I117" s="55"/>
      <c r="J117" s="55"/>
      <c r="K117" s="55"/>
      <c r="L117" s="59"/>
      <c r="M117" s="55"/>
      <c r="N117" s="55"/>
      <c r="O117" s="55"/>
      <c r="P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BA117" s="55"/>
      <c r="BB117" s="55"/>
      <c r="BC117" s="55"/>
      <c r="BE117" s="55"/>
      <c r="BF117" s="55"/>
    </row>
    <row r="118" spans="7:58" s="2479" customFormat="1" x14ac:dyDescent="0.2">
      <c r="G118" s="55"/>
      <c r="H118" s="55"/>
      <c r="I118" s="55"/>
      <c r="J118" s="55"/>
      <c r="K118" s="55"/>
      <c r="L118" s="59"/>
      <c r="M118" s="55"/>
      <c r="N118" s="55"/>
      <c r="O118" s="55"/>
      <c r="P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BA118" s="55"/>
      <c r="BB118" s="55"/>
      <c r="BC118" s="55"/>
      <c r="BE118" s="55"/>
      <c r="BF118" s="55"/>
    </row>
    <row r="119" spans="7:58" s="2479" customFormat="1" x14ac:dyDescent="0.2">
      <c r="G119" s="55"/>
      <c r="H119" s="55"/>
      <c r="I119" s="55"/>
      <c r="J119" s="55"/>
      <c r="K119" s="55"/>
      <c r="L119" s="59"/>
      <c r="M119" s="55"/>
      <c r="N119" s="55"/>
      <c r="O119" s="55"/>
      <c r="P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BA119" s="55"/>
      <c r="BB119" s="55"/>
      <c r="BC119" s="55"/>
      <c r="BE119" s="55"/>
      <c r="BF119" s="55"/>
    </row>
    <row r="120" spans="7:58" s="2479" customFormat="1" x14ac:dyDescent="0.2">
      <c r="G120" s="55"/>
      <c r="H120" s="55"/>
      <c r="I120" s="55"/>
      <c r="J120" s="55"/>
      <c r="K120" s="55"/>
      <c r="L120" s="59"/>
      <c r="M120" s="55"/>
      <c r="N120" s="55"/>
      <c r="O120" s="55"/>
      <c r="P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BA120" s="55"/>
      <c r="BB120" s="55"/>
      <c r="BC120" s="55"/>
      <c r="BE120" s="55"/>
      <c r="BF120" s="55"/>
    </row>
    <row r="121" spans="7:58" s="2479" customFormat="1" x14ac:dyDescent="0.2">
      <c r="G121" s="55"/>
      <c r="H121" s="55"/>
      <c r="I121" s="55"/>
      <c r="J121" s="55"/>
      <c r="K121" s="55"/>
      <c r="L121" s="59"/>
      <c r="M121" s="55"/>
      <c r="N121" s="55"/>
      <c r="O121" s="55"/>
      <c r="P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BA121" s="55"/>
      <c r="BB121" s="55"/>
      <c r="BC121" s="55"/>
      <c r="BE121" s="55"/>
      <c r="BF121" s="55"/>
    </row>
    <row r="122" spans="7:58" s="2479" customFormat="1" x14ac:dyDescent="0.2">
      <c r="G122" s="55"/>
      <c r="H122" s="55"/>
      <c r="I122" s="55"/>
      <c r="J122" s="55"/>
      <c r="K122" s="55"/>
      <c r="L122" s="59"/>
      <c r="M122" s="55"/>
      <c r="N122" s="55"/>
      <c r="O122" s="55"/>
      <c r="P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BA122" s="55"/>
      <c r="BB122" s="55"/>
      <c r="BC122" s="55"/>
      <c r="BE122" s="55"/>
      <c r="BF122" s="55"/>
    </row>
    <row r="123" spans="7:58" s="2479" customFormat="1" x14ac:dyDescent="0.2">
      <c r="G123" s="55"/>
      <c r="H123" s="55"/>
      <c r="I123" s="55"/>
      <c r="J123" s="55"/>
      <c r="K123" s="55"/>
      <c r="L123" s="59"/>
      <c r="M123" s="55"/>
      <c r="N123" s="55"/>
      <c r="O123" s="55"/>
      <c r="P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BA123" s="55"/>
      <c r="BB123" s="55"/>
      <c r="BC123" s="55"/>
      <c r="BE123" s="55"/>
      <c r="BF123" s="55"/>
    </row>
    <row r="124" spans="7:58" s="2479" customFormat="1" x14ac:dyDescent="0.2">
      <c r="G124" s="55"/>
      <c r="H124" s="55"/>
      <c r="I124" s="55"/>
      <c r="J124" s="55"/>
      <c r="K124" s="55"/>
      <c r="L124" s="59"/>
      <c r="M124" s="55"/>
      <c r="N124" s="55"/>
      <c r="O124" s="55"/>
      <c r="P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BA124" s="55"/>
      <c r="BB124" s="55"/>
      <c r="BC124" s="55"/>
      <c r="BE124" s="55"/>
      <c r="BF124" s="55"/>
    </row>
    <row r="125" spans="7:58" s="2479" customFormat="1" x14ac:dyDescent="0.2">
      <c r="G125" s="55"/>
      <c r="H125" s="55"/>
      <c r="I125" s="55"/>
      <c r="J125" s="55"/>
      <c r="K125" s="55"/>
      <c r="L125" s="59"/>
      <c r="M125" s="55"/>
      <c r="N125" s="55"/>
      <c r="O125" s="55"/>
      <c r="P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BA125" s="55"/>
      <c r="BB125" s="55"/>
      <c r="BC125" s="55"/>
      <c r="BE125" s="55"/>
      <c r="BF125" s="55"/>
    </row>
    <row r="126" spans="7:58" s="2479" customFormat="1" x14ac:dyDescent="0.2">
      <c r="G126" s="55"/>
      <c r="H126" s="55"/>
      <c r="I126" s="55"/>
      <c r="J126" s="55"/>
      <c r="K126" s="55"/>
      <c r="L126" s="59"/>
      <c r="M126" s="55"/>
      <c r="N126" s="55"/>
      <c r="O126" s="55"/>
      <c r="P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BA126" s="55"/>
      <c r="BB126" s="55"/>
      <c r="BC126" s="55"/>
      <c r="BE126" s="55"/>
      <c r="BF126" s="55"/>
    </row>
    <row r="127" spans="7:58" s="2479" customFormat="1" x14ac:dyDescent="0.2">
      <c r="G127" s="55"/>
      <c r="H127" s="55"/>
      <c r="I127" s="55"/>
      <c r="J127" s="55"/>
      <c r="K127" s="55"/>
      <c r="L127" s="59"/>
      <c r="M127" s="55"/>
      <c r="N127" s="55"/>
      <c r="O127" s="55"/>
      <c r="P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BA127" s="55"/>
      <c r="BB127" s="55"/>
      <c r="BC127" s="55"/>
      <c r="BE127" s="55"/>
      <c r="BF127" s="55"/>
    </row>
    <row r="128" spans="7:58" s="2479" customFormat="1" x14ac:dyDescent="0.2">
      <c r="G128" s="55"/>
      <c r="H128" s="55"/>
      <c r="I128" s="55"/>
      <c r="J128" s="55"/>
      <c r="K128" s="55"/>
      <c r="L128" s="59"/>
      <c r="M128" s="55"/>
      <c r="N128" s="55"/>
      <c r="O128" s="55"/>
      <c r="P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BA128" s="55"/>
      <c r="BB128" s="55"/>
      <c r="BC128" s="55"/>
      <c r="BE128" s="55"/>
      <c r="BF128" s="55"/>
    </row>
    <row r="129" spans="7:58" s="2479" customFormat="1" x14ac:dyDescent="0.2">
      <c r="G129" s="55"/>
      <c r="H129" s="55"/>
      <c r="I129" s="55"/>
      <c r="J129" s="55"/>
      <c r="K129" s="55"/>
      <c r="L129" s="59"/>
      <c r="M129" s="55"/>
      <c r="N129" s="55"/>
      <c r="O129" s="55"/>
      <c r="P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BA129" s="55"/>
      <c r="BB129" s="55"/>
      <c r="BC129" s="55"/>
      <c r="BE129" s="55"/>
      <c r="BF129" s="55"/>
    </row>
  </sheetData>
  <pageMargins left="0.25" right="0.25" top="0.75" bottom="0.75" header="0.3" footer="0.3"/>
  <pageSetup orientation="portrait" horizontalDpi="1200" verticalDpi="1200" r:id="rId1"/>
  <headerFooter>
    <oddFooter>&amp;L&amp;"+,Regular"Pathways to 2050 -- Energy Flow Model&amp;R&amp;"+,Regular"&amp;F  |  This version printed &amp;D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autoPageBreaks="0"/>
  </sheetPr>
  <dimension ref="A1:CW129"/>
  <sheetViews>
    <sheetView windowProtection="1" zoomScale="106" zoomScaleNormal="106" workbookViewId="0">
      <selection activeCell="E3" sqref="E3"/>
    </sheetView>
  </sheetViews>
  <sheetFormatPr defaultColWidth="8.7109375" defaultRowHeight="12.75" outlineLevelRow="2" outlineLevelCol="2" x14ac:dyDescent="0.2"/>
  <cols>
    <col min="1" max="1" width="1.7109375" style="2479" customWidth="1"/>
    <col min="2" max="2" width="1.42578125" style="2479" customWidth="1"/>
    <col min="3" max="3" width="4.42578125" style="50" customWidth="1"/>
    <col min="4" max="4" width="6.7109375" style="51" customWidth="1"/>
    <col min="5" max="5" width="41.7109375" style="51" customWidth="1"/>
    <col min="6" max="6" width="1.140625" style="2479" customWidth="1" outlineLevel="1"/>
    <col min="7" max="11" width="10" style="51" customWidth="1" outlineLevel="2"/>
    <col min="12" max="12" width="10" style="65" customWidth="1" outlineLevel="2"/>
    <col min="13" max="15" width="10" style="51" customWidth="1" outlineLevel="2"/>
    <col min="16" max="16" width="10" style="51" customWidth="1" outlineLevel="1"/>
    <col min="17" max="17" width="1.140625" style="2479" customWidth="1" outlineLevel="1"/>
    <col min="18" max="33" width="10" style="51" customWidth="1" outlineLevel="2"/>
    <col min="34" max="34" width="10" style="51" customWidth="1" outlineLevel="1"/>
    <col min="35" max="35" width="1.140625" style="2479" customWidth="1" outlineLevel="1"/>
    <col min="36" max="50" width="10" style="51" customWidth="1" outlineLevel="2"/>
    <col min="51" max="51" width="10" style="51" customWidth="1" outlineLevel="1"/>
    <col min="52" max="52" width="1.140625" style="2479" customWidth="1" outlineLevel="1"/>
    <col min="53" max="54" width="10" style="51" customWidth="1" outlineLevel="2"/>
    <col min="55" max="55" width="10" style="51" customWidth="1" outlineLevel="1"/>
    <col min="56" max="56" width="1.140625" style="2479" customWidth="1" outlineLevel="1"/>
    <col min="57" max="57" width="11" style="51" customWidth="1" outlineLevel="1"/>
    <col min="58" max="58" width="5.28515625" style="51" customWidth="1"/>
    <col min="59" max="59" width="8.7109375" style="2479"/>
    <col min="60" max="99" width="7.42578125" style="2479" customWidth="1"/>
    <col min="100" max="100" width="2.42578125" style="2479" customWidth="1"/>
    <col min="101" max="16384" width="8.7109375" style="2479"/>
  </cols>
  <sheetData>
    <row r="1" spans="1:101" ht="6" customHeight="1" x14ac:dyDescent="0.2"/>
    <row r="2" spans="1:101" ht="21" customHeight="1" x14ac:dyDescent="0.2">
      <c r="D2" s="43"/>
      <c r="E2" s="252">
        <v>2045</v>
      </c>
      <c r="G2" s="2479"/>
      <c r="H2" s="2479"/>
      <c r="I2" s="2479"/>
      <c r="J2" s="2479"/>
      <c r="K2" s="2479"/>
      <c r="L2" s="2479"/>
      <c r="M2" s="2479"/>
      <c r="N2" s="2479"/>
      <c r="O2" s="2479"/>
      <c r="P2" s="2479"/>
      <c r="R2" s="2479"/>
      <c r="S2" s="2479"/>
      <c r="T2" s="2479"/>
      <c r="U2" s="2479"/>
      <c r="V2" s="2479"/>
      <c r="W2" s="2479"/>
      <c r="X2" s="2479"/>
      <c r="Y2" s="2479"/>
      <c r="Z2" s="2479"/>
      <c r="AA2" s="2479"/>
      <c r="AB2" s="2479"/>
      <c r="AC2" s="2479"/>
      <c r="AD2" s="2479"/>
      <c r="AE2" s="2479"/>
      <c r="AF2" s="2479"/>
      <c r="AG2" s="2479"/>
      <c r="AH2" s="2479"/>
      <c r="AJ2" s="2479"/>
      <c r="AK2" s="2479"/>
      <c r="AL2" s="2479"/>
      <c r="AM2" s="2479"/>
      <c r="AN2" s="2479"/>
      <c r="AO2" s="2479"/>
      <c r="AP2" s="2479"/>
      <c r="AQ2" s="2479"/>
      <c r="AR2" s="2479"/>
      <c r="AS2" s="2479"/>
      <c r="AT2" s="2479"/>
      <c r="AU2" s="2479"/>
      <c r="AV2" s="2479"/>
      <c r="AW2" s="2479"/>
      <c r="AX2" s="2479"/>
      <c r="AY2" s="2479"/>
      <c r="BA2" s="2479"/>
      <c r="BB2" s="2479"/>
      <c r="BC2" s="2479"/>
      <c r="BE2" s="2479"/>
      <c r="BF2" s="72"/>
    </row>
    <row r="3" spans="1:101" ht="39" customHeight="1" x14ac:dyDescent="0.2">
      <c r="A3" s="90"/>
      <c r="B3" s="90"/>
      <c r="C3" s="90"/>
      <c r="D3" s="44"/>
      <c r="E3" s="133" t="str">
        <f>Preferences.EnergyUnits</f>
        <v>TWh</v>
      </c>
      <c r="G3" s="281" t="s">
        <v>293</v>
      </c>
      <c r="H3" s="281"/>
      <c r="I3" s="281"/>
      <c r="J3" s="281"/>
      <c r="K3" s="281"/>
      <c r="L3" s="281"/>
      <c r="M3" s="281"/>
      <c r="N3" s="281"/>
      <c r="O3" s="281"/>
      <c r="P3" s="281"/>
      <c r="R3" s="375" t="s">
        <v>239</v>
      </c>
      <c r="S3" s="376"/>
      <c r="T3" s="376"/>
      <c r="U3" s="376"/>
      <c r="V3" s="376"/>
      <c r="W3" s="376"/>
      <c r="X3" s="380"/>
      <c r="Y3" s="376"/>
      <c r="Z3" s="376"/>
      <c r="AA3" s="376"/>
      <c r="AB3" s="376"/>
      <c r="AC3" s="376"/>
      <c r="AD3" s="376"/>
      <c r="AE3" s="376"/>
      <c r="AF3" s="376"/>
      <c r="AG3" s="376"/>
      <c r="AH3" s="379"/>
      <c r="AJ3" s="377" t="s">
        <v>481</v>
      </c>
      <c r="AK3" s="378"/>
      <c r="AL3" s="378"/>
      <c r="AM3" s="381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82"/>
      <c r="BA3" s="303" t="s">
        <v>387</v>
      </c>
      <c r="BB3" s="290"/>
      <c r="BC3" s="290"/>
      <c r="BE3" s="47"/>
      <c r="BF3" s="47"/>
      <c r="BG3" s="90"/>
      <c r="BH3" s="384" t="s">
        <v>485</v>
      </c>
      <c r="BI3" s="385"/>
      <c r="BJ3" s="385"/>
      <c r="BK3" s="385"/>
      <c r="BL3" s="385"/>
      <c r="BM3" s="385"/>
      <c r="BN3" s="385"/>
      <c r="BO3" s="385"/>
      <c r="BP3" s="385"/>
      <c r="BQ3" s="385"/>
      <c r="BR3" s="385"/>
      <c r="BS3" s="385"/>
      <c r="BT3" s="385"/>
      <c r="BU3" s="385"/>
      <c r="BV3" s="385"/>
      <c r="BW3" s="385"/>
      <c r="BX3" s="385"/>
      <c r="BY3" s="385"/>
      <c r="BZ3" s="385"/>
      <c r="CA3" s="385"/>
      <c r="CB3" s="385"/>
      <c r="CC3" s="385"/>
      <c r="CD3" s="385"/>
      <c r="CE3" s="385"/>
      <c r="CF3" s="385"/>
      <c r="CG3" s="385"/>
      <c r="CH3" s="385"/>
      <c r="CI3" s="385"/>
      <c r="CJ3" s="385"/>
      <c r="CK3" s="385"/>
      <c r="CL3" s="385"/>
      <c r="CM3" s="385"/>
      <c r="CN3" s="385"/>
      <c r="CO3" s="385"/>
      <c r="CP3" s="385"/>
      <c r="CQ3" s="385"/>
      <c r="CR3" s="514"/>
      <c r="CS3" s="514"/>
      <c r="CT3" s="514"/>
      <c r="CU3" s="514"/>
    </row>
    <row r="4" spans="1:101" ht="36.75" customHeight="1" x14ac:dyDescent="0.2">
      <c r="C4" s="48"/>
      <c r="D4" s="48"/>
      <c r="G4" s="253" t="str">
        <f>INDEX(Vectors[Description], MATCH(G$5,Vectors[Code],FALSE))</f>
        <v>Cooling</v>
      </c>
      <c r="H4" s="253" t="str">
        <f>INDEX(Vectors[Description], MATCH(H$5,Vectors[Code],FALSE))</f>
        <v>Lighting &amp; appliances</v>
      </c>
      <c r="I4" s="253" t="str">
        <f>INDEX(Vectors[Description], MATCH(I$5,Vectors[Code],FALSE))</f>
        <v>Cooking</v>
      </c>
      <c r="J4" s="253" t="str">
        <f>INDEX(Vectors[Description], MATCH(J$5,Vectors[Code],FALSE))</f>
        <v>Industry</v>
      </c>
      <c r="K4" s="253" t="str">
        <f>INDEX(Vectors[Description], MATCH(K$5,Vectors[Code],FALSE))</f>
        <v>Road transport</v>
      </c>
      <c r="L4" s="253" t="str">
        <f>INDEX(Vectors[Description], MATCH(L$5,Vectors[Code],FALSE))</f>
        <v>Rail transport</v>
      </c>
      <c r="M4" s="253" t="str">
        <f>INDEX(Vectors[Description], MATCH(M$5,Vectors[Code],FALSE))</f>
        <v>Domestic aviation</v>
      </c>
      <c r="N4" s="253" t="str">
        <f>INDEX(Vectors[Description], MATCH(N$5,Vectors[Code],FALSE))</f>
        <v>Berge</v>
      </c>
      <c r="O4" s="253" t="str">
        <f>INDEX(Vectors[Description], MATCH(O$5,Vectors[Code],FALSE))</f>
        <v>Pipeline</v>
      </c>
      <c r="P4" s="270" t="s">
        <v>391</v>
      </c>
      <c r="R4" s="254" t="str">
        <f>INDEX(Vectors[Description], MATCH(R$5,Vectors[Code],FALSE))</f>
        <v>Electricity (delivered to end user)</v>
      </c>
      <c r="S4" s="254" t="str">
        <f>INDEX(Vectors[Description], MATCH(S$5,Vectors[Code],FALSE))</f>
        <v>Electricity (supplied to grid)</v>
      </c>
      <c r="T4" s="254" t="str">
        <f>INDEX(Vectors[Description], MATCH(T$5,Vectors[Code],FALSE))</f>
        <v>Solid hydrocarbons</v>
      </c>
      <c r="U4" s="254" t="str">
        <f>INDEX(Vectors[Description], MATCH(U$5,Vectors[Code],FALSE))</f>
        <v>Liquid hydrocarbons</v>
      </c>
      <c r="V4" s="254" t="str">
        <f>INDEX(Vectors[Description], MATCH(V$5,Vectors[Code],FALSE))</f>
        <v>Gaseous hydrocarbons</v>
      </c>
      <c r="W4" s="254" t="str">
        <f>INDEX(Vectors[Description], MATCH(W$5,Vectors[Code],FALSE))</f>
        <v>Traditional Fuel</v>
      </c>
      <c r="X4" s="254" t="str">
        <f>INDEX(Vectors[Description], MATCH(X$5,Vectors[Code],FALSE))</f>
        <v>Coal and fossil waste</v>
      </c>
      <c r="Y4" s="254" t="str">
        <f>INDEX(Vectors[Description], MATCH(Y$5,Vectors[Code],FALSE))</f>
        <v>Oil and petroleum products</v>
      </c>
      <c r="Z4" s="254" t="str">
        <f>INDEX(Vectors[Description], MATCH(Z$5,Vectors[Code],FALSE))</f>
        <v>Natural gas</v>
      </c>
      <c r="AA4" s="254" t="str">
        <f>INDEX(Vectors[Description], MATCH(AA$5,Vectors[Code],FALSE))</f>
        <v>Blast furnace gas</v>
      </c>
      <c r="AB4" s="254" t="str">
        <f>INDEX(Vectors[Description], MATCH(AB$5,Vectors[Code],FALSE))</f>
        <v>Edible biomass</v>
      </c>
      <c r="AC4" s="254" t="str">
        <f>INDEX(Vectors[Description], MATCH(AC$5,Vectors[Code],FALSE))</f>
        <v>Energy crops (second generation)</v>
      </c>
      <c r="AD4" s="254" t="str">
        <f>INDEX(Vectors[Description], MATCH(AD$5,Vectors[Code],FALSE))</f>
        <v>Energy crops (first generation)</v>
      </c>
      <c r="AE4" s="254" t="str">
        <f>INDEX(Vectors[Description], MATCH(AE$5,Vectors[Code],FALSE))</f>
        <v>Dry biomass and waste</v>
      </c>
      <c r="AF4" s="254" t="str">
        <f>INDEX(Vectors[Description], MATCH(AF$5,Vectors[Code],FALSE))</f>
        <v>Wet biomass and waste</v>
      </c>
      <c r="AG4" s="254" t="str">
        <f>INDEX(Vectors[Description], MATCH(AG$5,Vectors[Code],FALSE))</f>
        <v>Gaseous waste</v>
      </c>
      <c r="AH4" s="284" t="s">
        <v>237</v>
      </c>
      <c r="AJ4" s="268" t="str">
        <f>INDEX(Vectors[Description], MATCH(AJ$5,Vectors[Code],FALSE))</f>
        <v>Coal reserves</v>
      </c>
      <c r="AK4" s="268" t="str">
        <f>INDEX(Vectors[Description], MATCH(AK$5,Vectors[Code],FALSE))</f>
        <v>Oil reserves</v>
      </c>
      <c r="AL4" s="268" t="str">
        <f>INDEX(Vectors[Description], MATCH(AL$5,Vectors[Code],FALSE))</f>
        <v>Gas reserves</v>
      </c>
      <c r="AM4" s="268" t="str">
        <f>INDEX(Vectors[Description], MATCH(AM$5,Vectors[Code],FALSE))</f>
        <v>Biomass oversupply (imports)</v>
      </c>
      <c r="AN4" s="268" t="str">
        <f>INDEX(Vectors[Description], MATCH(AN$5,Vectors[Code],FALSE))</f>
        <v>Electricity oversupply (imports)</v>
      </c>
      <c r="AO4" s="268" t="str">
        <f>INDEX(Vectors[Description], MATCH(AO$5,Vectors[Code],FALSE))</f>
        <v>Petroleum products oversupply</v>
      </c>
      <c r="AP4" s="268" t="str">
        <f>INDEX(Vectors[Description], MATCH(AP$5,Vectors[Code],FALSE))</f>
        <v>Coal oversupply (imports)</v>
      </c>
      <c r="AQ4" s="268" t="str">
        <f>INDEX(Vectors[Description], MATCH(AQ$5,Vectors[Code],FALSE))</f>
        <v>Oil and petroleum products oversupply (imports)</v>
      </c>
      <c r="AR4" s="268" t="str">
        <f>INDEX(Vectors[Description], MATCH(AR$5,Vectors[Code],FALSE))</f>
        <v>Gas oversupply (imports)</v>
      </c>
      <c r="AS4" s="268" t="str">
        <f>INDEX(Vectors[Description], MATCH(AS$5,Vectors[Code],FALSE))</f>
        <v>Nuclear fission</v>
      </c>
      <c r="AT4" s="268" t="str">
        <f>INDEX(Vectors[Description], MATCH(AT$5,Vectors[Code],FALSE))</f>
        <v>Solar</v>
      </c>
      <c r="AU4" s="268" t="str">
        <f>INDEX(Vectors[Description], MATCH(AU$5,Vectors[Code],FALSE))</f>
        <v>Wind</v>
      </c>
      <c r="AV4" s="268" t="str">
        <f>INDEX(Vectors[Description], MATCH(AV$5,Vectors[Code],FALSE))</f>
        <v>Hydro</v>
      </c>
      <c r="AW4" s="268" t="str">
        <f>INDEX(Vectors[Description], MATCH(AW$5,Vectors[Code],FALSE))</f>
        <v>Agriculture</v>
      </c>
      <c r="AX4" s="268" t="str">
        <f>INDEX(Vectors[Description], MATCH(AX$5,Vectors[Code],FALSE))</f>
        <v>Waste</v>
      </c>
      <c r="AY4" s="286" t="s">
        <v>238</v>
      </c>
      <c r="BA4" s="273" t="str">
        <f>INDEX(Vectors[Description], MATCH(BA$5,Vectors[Code],FALSE))</f>
        <v>Conversion losses</v>
      </c>
      <c r="BB4" s="273" t="str">
        <f>INDEX(Vectors[Description], MATCH(BB$5,Vectors[Code],FALSE))</f>
        <v>Distribution losses and own use</v>
      </c>
      <c r="BC4" s="288" t="s">
        <v>386</v>
      </c>
      <c r="BE4" s="49" t="str">
        <f>INDEX(Vectors[Description], MATCH(BE$5,Vectors[Code],FALSE))</f>
        <v>Unallocated</v>
      </c>
      <c r="BF4" s="49"/>
      <c r="BH4" s="389" t="str">
        <f>INDEX(IPCC[Sector_description], MATCH(BH$5, IPCC[Sector_code], 0))</f>
        <v>Fuel Combustion</v>
      </c>
      <c r="BI4" s="390"/>
      <c r="BJ4" s="390"/>
      <c r="BK4" s="391"/>
      <c r="BL4" s="389" t="str">
        <f>INDEX(IPCC[Sector_description], MATCH(BL$5, IPCC[Sector_code], 0))</f>
        <v>Fugitive Emissions from Fuels</v>
      </c>
      <c r="BM4" s="390"/>
      <c r="BN4" s="390"/>
      <c r="BO4" s="391"/>
      <c r="BP4" s="389" t="str">
        <f>INDEX(IPCC[Sector_description], MATCH(BP$5, IPCC[Sector_code], 0))</f>
        <v>Industrial Processes</v>
      </c>
      <c r="BQ4" s="390"/>
      <c r="BR4" s="390"/>
      <c r="BS4" s="391"/>
      <c r="BT4" s="389" t="str">
        <f>INDEX(IPCC[Sector_description], MATCH(BT$5, IPCC[Sector_code], 0))</f>
        <v>Solvent and Other Product Use</v>
      </c>
      <c r="BU4" s="390"/>
      <c r="BV4" s="390"/>
      <c r="BW4" s="391"/>
      <c r="BX4" s="389" t="str">
        <f>INDEX(IPCC[Sector_description], MATCH(BX$5, IPCC[Sector_code], 0))</f>
        <v>Agriculture</v>
      </c>
      <c r="BY4" s="390"/>
      <c r="BZ4" s="390"/>
      <c r="CA4" s="391"/>
      <c r="CB4" s="389" t="str">
        <f>INDEX(IPCC[Sector_description], MATCH(CB$5, IPCC[Sector_code], 0))</f>
        <v>LULUCF</v>
      </c>
      <c r="CC4" s="390"/>
      <c r="CD4" s="390"/>
      <c r="CE4" s="391"/>
      <c r="CF4" s="389" t="str">
        <f>INDEX(IPCC[Sector_description], MATCH(CF$5, IPCC[Sector_code], 0))</f>
        <v>Waste</v>
      </c>
      <c r="CG4" s="390"/>
      <c r="CH4" s="390"/>
      <c r="CI4" s="391"/>
      <c r="CJ4" s="389" t="str">
        <f>INDEX(IPCC[Sector_description], MATCH(CJ$5, IPCC[Sector_code], 0))</f>
        <v>Other</v>
      </c>
      <c r="CK4" s="390"/>
      <c r="CL4" s="390"/>
      <c r="CM4" s="391"/>
      <c r="CN4" s="389" t="str">
        <f>INDEX(IPCC[Sector_description], MATCH(CN$5, IPCC[Sector_code], 0))</f>
        <v>Bioenergy credit</v>
      </c>
      <c r="CO4" s="390"/>
      <c r="CP4" s="390"/>
      <c r="CQ4" s="391"/>
      <c r="CR4" s="389" t="str">
        <f>INDEX(IPCC[Sector_description], MATCH(CR$5, IPCC[Sector_code], 0))</f>
        <v>Carbon capture</v>
      </c>
      <c r="CS4" s="390"/>
      <c r="CT4" s="390"/>
      <c r="CU4" s="391"/>
      <c r="CW4" s="539" t="s">
        <v>105</v>
      </c>
    </row>
    <row r="5" spans="1:101" x14ac:dyDescent="0.2">
      <c r="D5" s="239" t="s">
        <v>117</v>
      </c>
      <c r="G5" s="271" t="s">
        <v>5</v>
      </c>
      <c r="H5" s="271" t="s">
        <v>44</v>
      </c>
      <c r="I5" s="271" t="s">
        <v>2205</v>
      </c>
      <c r="J5" s="271" t="s">
        <v>9</v>
      </c>
      <c r="K5" s="271" t="s">
        <v>28</v>
      </c>
      <c r="L5" s="271" t="s">
        <v>29</v>
      </c>
      <c r="M5" s="271" t="s">
        <v>30</v>
      </c>
      <c r="N5" s="271" t="s">
        <v>31</v>
      </c>
      <c r="O5" s="271" t="s">
        <v>2336</v>
      </c>
      <c r="P5" s="271"/>
      <c r="R5" s="272" t="s">
        <v>34</v>
      </c>
      <c r="S5" s="272" t="s">
        <v>35</v>
      </c>
      <c r="T5" s="272" t="s">
        <v>36</v>
      </c>
      <c r="U5" s="272" t="s">
        <v>38</v>
      </c>
      <c r="V5" s="272" t="s">
        <v>39</v>
      </c>
      <c r="W5" s="272" t="s">
        <v>2184</v>
      </c>
      <c r="X5" s="272" t="s">
        <v>51</v>
      </c>
      <c r="Y5" s="272" t="s">
        <v>52</v>
      </c>
      <c r="Z5" s="272" t="s">
        <v>53</v>
      </c>
      <c r="AA5" s="272" t="s">
        <v>92</v>
      </c>
      <c r="AB5" s="272" t="s">
        <v>295</v>
      </c>
      <c r="AC5" s="272" t="s">
        <v>871</v>
      </c>
      <c r="AD5" s="272" t="s">
        <v>1161</v>
      </c>
      <c r="AE5" s="272" t="s">
        <v>296</v>
      </c>
      <c r="AF5" s="272" t="s">
        <v>383</v>
      </c>
      <c r="AG5" s="272" t="s">
        <v>1164</v>
      </c>
      <c r="AH5" s="272"/>
      <c r="AJ5" s="269" t="s">
        <v>425</v>
      </c>
      <c r="AK5" s="269" t="s">
        <v>426</v>
      </c>
      <c r="AL5" s="269" t="s">
        <v>427</v>
      </c>
      <c r="AM5" s="269" t="s">
        <v>46</v>
      </c>
      <c r="AN5" s="269" t="s">
        <v>47</v>
      </c>
      <c r="AO5" s="269" t="s">
        <v>323</v>
      </c>
      <c r="AP5" s="269" t="s">
        <v>417</v>
      </c>
      <c r="AQ5" s="269" t="s">
        <v>418</v>
      </c>
      <c r="AR5" s="269" t="s">
        <v>419</v>
      </c>
      <c r="AS5" s="269" t="s">
        <v>6</v>
      </c>
      <c r="AT5" s="269" t="s">
        <v>25</v>
      </c>
      <c r="AU5" s="269" t="s">
        <v>7</v>
      </c>
      <c r="AV5" s="269" t="s">
        <v>8</v>
      </c>
      <c r="AW5" s="269" t="s">
        <v>451</v>
      </c>
      <c r="AX5" s="269" t="s">
        <v>42</v>
      </c>
      <c r="AY5" s="269"/>
      <c r="BA5" s="274" t="s">
        <v>26</v>
      </c>
      <c r="BB5" s="274" t="s">
        <v>27</v>
      </c>
      <c r="BC5" s="274"/>
      <c r="BE5" s="46" t="s">
        <v>48</v>
      </c>
      <c r="BF5" s="46"/>
      <c r="BH5" s="392" t="s">
        <v>483</v>
      </c>
      <c r="BI5" s="393" t="s">
        <v>483</v>
      </c>
      <c r="BJ5" s="393" t="s">
        <v>483</v>
      </c>
      <c r="BK5" s="394" t="s">
        <v>483</v>
      </c>
      <c r="BL5" s="392" t="s">
        <v>482</v>
      </c>
      <c r="BM5" s="393" t="s">
        <v>482</v>
      </c>
      <c r="BN5" s="393" t="s">
        <v>482</v>
      </c>
      <c r="BO5" s="394" t="s">
        <v>482</v>
      </c>
      <c r="BP5" s="392">
        <v>2</v>
      </c>
      <c r="BQ5" s="393">
        <v>2</v>
      </c>
      <c r="BR5" s="393">
        <v>2</v>
      </c>
      <c r="BS5" s="394">
        <v>2</v>
      </c>
      <c r="BT5" s="392">
        <v>3</v>
      </c>
      <c r="BU5" s="393">
        <v>3</v>
      </c>
      <c r="BV5" s="393">
        <v>3</v>
      </c>
      <c r="BW5" s="394">
        <v>3</v>
      </c>
      <c r="BX5" s="392">
        <v>4</v>
      </c>
      <c r="BY5" s="393">
        <v>4</v>
      </c>
      <c r="BZ5" s="393">
        <v>4</v>
      </c>
      <c r="CA5" s="394">
        <v>4</v>
      </c>
      <c r="CB5" s="392">
        <v>5</v>
      </c>
      <c r="CC5" s="393">
        <v>5</v>
      </c>
      <c r="CD5" s="393">
        <v>5</v>
      </c>
      <c r="CE5" s="394">
        <v>5</v>
      </c>
      <c r="CF5" s="392">
        <v>6</v>
      </c>
      <c r="CG5" s="393">
        <v>6</v>
      </c>
      <c r="CH5" s="393">
        <v>6</v>
      </c>
      <c r="CI5" s="394">
        <v>6</v>
      </c>
      <c r="CJ5" s="392">
        <v>7</v>
      </c>
      <c r="CK5" s="393">
        <v>7</v>
      </c>
      <c r="CL5" s="393">
        <v>7</v>
      </c>
      <c r="CM5" s="394">
        <v>7</v>
      </c>
      <c r="CN5" s="392" t="s">
        <v>469</v>
      </c>
      <c r="CO5" s="393" t="s">
        <v>469</v>
      </c>
      <c r="CP5" s="393" t="s">
        <v>469</v>
      </c>
      <c r="CQ5" s="394" t="s">
        <v>469</v>
      </c>
      <c r="CR5" s="392" t="s">
        <v>495</v>
      </c>
      <c r="CS5" s="393" t="s">
        <v>495</v>
      </c>
      <c r="CT5" s="393" t="s">
        <v>495</v>
      </c>
      <c r="CU5" s="394" t="s">
        <v>495</v>
      </c>
    </row>
    <row r="6" spans="1:101" ht="15.75" customHeight="1" x14ac:dyDescent="0.2">
      <c r="G6" s="242"/>
      <c r="H6" s="242"/>
      <c r="I6" s="242"/>
      <c r="J6" s="242"/>
      <c r="K6" s="242"/>
      <c r="L6" s="243"/>
      <c r="M6" s="242"/>
      <c r="N6" s="242"/>
      <c r="O6" s="242"/>
      <c r="P6" s="242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261"/>
      <c r="AV6" s="261"/>
      <c r="AW6" s="261"/>
      <c r="AX6" s="261"/>
      <c r="AY6" s="261"/>
      <c r="BA6" s="275"/>
      <c r="BB6" s="275"/>
      <c r="BC6" s="275"/>
      <c r="BE6" s="52"/>
      <c r="BF6" s="52"/>
      <c r="BH6" s="386" t="s">
        <v>473</v>
      </c>
      <c r="BI6" s="386" t="s">
        <v>474</v>
      </c>
      <c r="BJ6" s="386" t="s">
        <v>475</v>
      </c>
      <c r="BK6" s="386" t="s">
        <v>476</v>
      </c>
      <c r="BL6" s="386" t="s">
        <v>473</v>
      </c>
      <c r="BM6" s="386" t="s">
        <v>474</v>
      </c>
      <c r="BN6" s="386" t="s">
        <v>475</v>
      </c>
      <c r="BO6" s="386" t="s">
        <v>476</v>
      </c>
      <c r="BP6" s="386" t="s">
        <v>473</v>
      </c>
      <c r="BQ6" s="386" t="s">
        <v>474</v>
      </c>
      <c r="BR6" s="386" t="s">
        <v>475</v>
      </c>
      <c r="BS6" s="386" t="s">
        <v>476</v>
      </c>
      <c r="BT6" s="386" t="s">
        <v>473</v>
      </c>
      <c r="BU6" s="386" t="s">
        <v>474</v>
      </c>
      <c r="BV6" s="386" t="s">
        <v>475</v>
      </c>
      <c r="BW6" s="386" t="s">
        <v>476</v>
      </c>
      <c r="BX6" s="386" t="s">
        <v>473</v>
      </c>
      <c r="BY6" s="386" t="s">
        <v>474</v>
      </c>
      <c r="BZ6" s="386" t="s">
        <v>475</v>
      </c>
      <c r="CA6" s="386" t="s">
        <v>476</v>
      </c>
      <c r="CB6" s="386" t="s">
        <v>473</v>
      </c>
      <c r="CC6" s="386" t="s">
        <v>474</v>
      </c>
      <c r="CD6" s="386" t="s">
        <v>475</v>
      </c>
      <c r="CE6" s="386" t="s">
        <v>476</v>
      </c>
      <c r="CF6" s="386" t="s">
        <v>473</v>
      </c>
      <c r="CG6" s="386" t="s">
        <v>474</v>
      </c>
      <c r="CH6" s="386" t="s">
        <v>475</v>
      </c>
      <c r="CI6" s="386" t="s">
        <v>476</v>
      </c>
      <c r="CJ6" s="386" t="s">
        <v>473</v>
      </c>
      <c r="CK6" s="386" t="s">
        <v>474</v>
      </c>
      <c r="CL6" s="386" t="s">
        <v>475</v>
      </c>
      <c r="CM6" s="386" t="s">
        <v>476</v>
      </c>
      <c r="CN6" s="386" t="s">
        <v>473</v>
      </c>
      <c r="CO6" s="386" t="s">
        <v>474</v>
      </c>
      <c r="CP6" s="386" t="s">
        <v>475</v>
      </c>
      <c r="CQ6" s="386" t="s">
        <v>476</v>
      </c>
      <c r="CR6" s="386" t="s">
        <v>473</v>
      </c>
      <c r="CS6" s="386" t="s">
        <v>474</v>
      </c>
      <c r="CT6" s="386" t="s">
        <v>475</v>
      </c>
      <c r="CU6" s="386" t="s">
        <v>476</v>
      </c>
    </row>
    <row r="7" spans="1:101" ht="18" customHeight="1" x14ac:dyDescent="0.2">
      <c r="C7" s="45" t="s">
        <v>188</v>
      </c>
      <c r="D7" s="45"/>
      <c r="E7" s="68"/>
      <c r="G7" s="244"/>
      <c r="H7" s="244"/>
      <c r="I7" s="244"/>
      <c r="J7" s="244"/>
      <c r="K7" s="244"/>
      <c r="L7" s="244"/>
      <c r="M7" s="244"/>
      <c r="N7" s="244"/>
      <c r="O7" s="244"/>
      <c r="P7" s="244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BA7" s="276"/>
      <c r="BB7" s="276"/>
      <c r="BC7" s="276"/>
      <c r="BE7" s="54"/>
      <c r="BF7" s="54"/>
      <c r="BH7" s="387"/>
      <c r="BI7" s="387"/>
      <c r="BJ7" s="387"/>
      <c r="BK7" s="387"/>
      <c r="BL7" s="387"/>
      <c r="BM7" s="387"/>
      <c r="BN7" s="387"/>
      <c r="BO7" s="387"/>
      <c r="BP7" s="387"/>
      <c r="BQ7" s="387"/>
      <c r="BR7" s="387"/>
      <c r="BS7" s="387"/>
      <c r="BT7" s="387"/>
      <c r="BU7" s="387"/>
      <c r="BV7" s="387"/>
      <c r="BW7" s="387"/>
      <c r="BX7" s="387"/>
      <c r="BY7" s="387"/>
      <c r="BZ7" s="387"/>
      <c r="CA7" s="387"/>
      <c r="CB7" s="387"/>
      <c r="CC7" s="387"/>
      <c r="CD7" s="387"/>
      <c r="CE7" s="387"/>
      <c r="CF7" s="387"/>
      <c r="CG7" s="387"/>
      <c r="CH7" s="387"/>
      <c r="CI7" s="387"/>
      <c r="CJ7" s="387"/>
      <c r="CK7" s="387"/>
      <c r="CL7" s="387"/>
      <c r="CM7" s="387"/>
      <c r="CN7" s="387"/>
      <c r="CO7" s="387"/>
      <c r="CP7" s="387"/>
      <c r="CQ7" s="387"/>
      <c r="CR7" s="387"/>
      <c r="CS7" s="387"/>
      <c r="CT7" s="387"/>
      <c r="CU7" s="387"/>
    </row>
    <row r="8" spans="1:101" outlineLevel="1" x14ac:dyDescent="0.2">
      <c r="G8" s="245"/>
      <c r="H8" s="245"/>
      <c r="I8" s="245"/>
      <c r="J8" s="245"/>
      <c r="K8" s="245"/>
      <c r="L8" s="246"/>
      <c r="M8" s="245"/>
      <c r="N8" s="245"/>
      <c r="O8" s="245"/>
      <c r="P8" s="245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J8" s="263"/>
      <c r="AK8" s="263"/>
      <c r="AL8" s="263"/>
      <c r="AM8" s="263"/>
      <c r="AN8" s="263"/>
      <c r="AO8" s="263"/>
      <c r="AP8" s="263"/>
      <c r="AQ8" s="263"/>
      <c r="AR8" s="263"/>
      <c r="AS8" s="263"/>
      <c r="AT8" s="263"/>
      <c r="AU8" s="263"/>
      <c r="AV8" s="263"/>
      <c r="AW8" s="263"/>
      <c r="AX8" s="263"/>
      <c r="AY8" s="263"/>
      <c r="BA8" s="277"/>
      <c r="BB8" s="277"/>
      <c r="BC8" s="277"/>
      <c r="BE8" s="55"/>
      <c r="BF8" s="55"/>
      <c r="BH8" s="388"/>
      <c r="BI8" s="388"/>
      <c r="BJ8" s="388"/>
      <c r="BK8" s="388"/>
      <c r="BL8" s="388"/>
      <c r="BM8" s="388"/>
      <c r="BN8" s="388"/>
      <c r="BO8" s="388"/>
      <c r="BP8" s="388"/>
      <c r="BQ8" s="388"/>
      <c r="BR8" s="388"/>
      <c r="BS8" s="388"/>
      <c r="BT8" s="388"/>
      <c r="BU8" s="388"/>
      <c r="BV8" s="388"/>
      <c r="BW8" s="388"/>
      <c r="BX8" s="388"/>
      <c r="BY8" s="388"/>
      <c r="BZ8" s="388"/>
      <c r="CA8" s="388"/>
      <c r="CB8" s="388"/>
      <c r="CC8" s="388"/>
      <c r="CD8" s="388"/>
      <c r="CE8" s="388"/>
      <c r="CF8" s="388"/>
      <c r="CG8" s="388"/>
      <c r="CH8" s="388"/>
      <c r="CI8" s="388"/>
      <c r="CJ8" s="388"/>
      <c r="CK8" s="388"/>
      <c r="CL8" s="388"/>
      <c r="CM8" s="388"/>
      <c r="CN8" s="388"/>
      <c r="CO8" s="388"/>
      <c r="CP8" s="388"/>
      <c r="CQ8" s="388"/>
      <c r="CR8" s="388"/>
      <c r="CS8" s="388"/>
      <c r="CT8" s="388"/>
      <c r="CU8" s="388"/>
    </row>
    <row r="9" spans="1:101" s="84" customFormat="1" ht="10.5" customHeight="1" outlineLevel="2" x14ac:dyDescent="0.2">
      <c r="A9" s="540"/>
      <c r="B9" s="540"/>
      <c r="C9" s="86" t="s">
        <v>341</v>
      </c>
      <c r="D9" s="540" t="str">
        <f>INDEX(Modules[Module], MATCH($C9, Modules[Code], 0))</f>
        <v>Residential Cooling</v>
      </c>
      <c r="E9" s="61"/>
      <c r="G9" s="297">
        <f ca="1">IFERROR(INDEX(INDIRECT($C9&amp;".Outputs["&amp;this.Year&amp;"]"), MATCH(G$5, INDIRECT($C9&amp;".Outputs[Vector]"), 0)), 0)</f>
        <v>99.556795631218193</v>
      </c>
      <c r="H9" s="297">
        <f t="shared" ref="G9:O11" ca="1" si="0">IFERROR(INDEX(INDIRECT($C9&amp;".Outputs["&amp;this.Year&amp;"]"), MATCH(H$5, INDIRECT($C9&amp;".Outputs[Vector]"), 0)), 0)</f>
        <v>0</v>
      </c>
      <c r="I9" s="297">
        <f t="shared" ca="1" si="0"/>
        <v>0</v>
      </c>
      <c r="J9" s="297">
        <f t="shared" ca="1" si="0"/>
        <v>0</v>
      </c>
      <c r="K9" s="297">
        <f t="shared" ca="1" si="0"/>
        <v>0</v>
      </c>
      <c r="L9" s="297">
        <f t="shared" ca="1" si="0"/>
        <v>0</v>
      </c>
      <c r="M9" s="297">
        <f t="shared" ca="1" si="0"/>
        <v>0</v>
      </c>
      <c r="N9" s="297">
        <f t="shared" ca="1" si="0"/>
        <v>0</v>
      </c>
      <c r="O9" s="297">
        <f t="shared" ca="1" si="0"/>
        <v>0</v>
      </c>
      <c r="P9" s="297">
        <f t="shared" ref="P9:P23" ca="1" si="1">SUM(G9:O9)</f>
        <v>99.556795631218193</v>
      </c>
      <c r="R9" s="304">
        <f t="shared" ref="R9:W9" ca="1" si="2">IFERROR(INDEX(INDIRECT($C9&amp;".Outputs["&amp;this.Year&amp;"]"), MATCH(R$5, INDIRECT($C9&amp;".Outputs[Vector]"), 0)), 0)</f>
        <v>-99.556795631218193</v>
      </c>
      <c r="S9" s="304">
        <f t="shared" ca="1" si="2"/>
        <v>0</v>
      </c>
      <c r="T9" s="304">
        <f t="shared" ca="1" si="2"/>
        <v>0</v>
      </c>
      <c r="U9" s="304">
        <f t="shared" ca="1" si="2"/>
        <v>0</v>
      </c>
      <c r="V9" s="304">
        <f t="shared" ca="1" si="2"/>
        <v>0</v>
      </c>
      <c r="W9" s="304">
        <f t="shared" ca="1" si="2"/>
        <v>0</v>
      </c>
      <c r="X9" s="304">
        <f t="shared" ref="X9:Z9" ca="1" si="3">IFERROR(INDEX(INDIRECT($C9&amp;".Outputs["&amp;this.Year&amp;"]"), MATCH(X$5, INDIRECT($C9&amp;".Outputs[Vector]"), 0)), 0)</f>
        <v>0</v>
      </c>
      <c r="Y9" s="304">
        <f t="shared" ca="1" si="3"/>
        <v>0</v>
      </c>
      <c r="Z9" s="304">
        <f t="shared" ca="1" si="3"/>
        <v>0</v>
      </c>
      <c r="AA9" s="304">
        <f t="shared" ref="AA9:AG9" ca="1" si="4">IFERROR(INDEX(INDIRECT($C9&amp;".Outputs["&amp;this.Year&amp;"]"), MATCH(AA$5, INDIRECT($C9&amp;".Outputs[Vector]"), 0)), 0)</f>
        <v>0</v>
      </c>
      <c r="AB9" s="304">
        <f t="shared" ca="1" si="4"/>
        <v>0</v>
      </c>
      <c r="AC9" s="304">
        <f t="shared" ca="1" si="4"/>
        <v>0</v>
      </c>
      <c r="AD9" s="304">
        <f t="shared" ca="1" si="4"/>
        <v>0</v>
      </c>
      <c r="AE9" s="304">
        <f t="shared" ca="1" si="4"/>
        <v>0</v>
      </c>
      <c r="AF9" s="304">
        <f t="shared" ca="1" si="4"/>
        <v>0</v>
      </c>
      <c r="AG9" s="304">
        <f t="shared" ca="1" si="4"/>
        <v>0</v>
      </c>
      <c r="AH9" s="305">
        <f t="shared" ref="AH9:AH66" ca="1" si="5">SUM(R9:AG9)</f>
        <v>-99.556795631218193</v>
      </c>
      <c r="AJ9" s="312">
        <f t="shared" ref="AJ9:AR9" ca="1" si="6">IFERROR(INDEX(INDIRECT($C9&amp;".Outputs["&amp;this.Year&amp;"]"), MATCH(AJ$5, INDIRECT($C9&amp;".Outputs[Vector]"), 0)), 0)</f>
        <v>0</v>
      </c>
      <c r="AK9" s="312">
        <f t="shared" ca="1" si="6"/>
        <v>0</v>
      </c>
      <c r="AL9" s="312">
        <f t="shared" ca="1" si="6"/>
        <v>0</v>
      </c>
      <c r="AM9" s="312">
        <f t="shared" ca="1" si="6"/>
        <v>0</v>
      </c>
      <c r="AN9" s="312">
        <f t="shared" ca="1" si="6"/>
        <v>0</v>
      </c>
      <c r="AO9" s="312">
        <f t="shared" ca="1" si="6"/>
        <v>0</v>
      </c>
      <c r="AP9" s="312">
        <f t="shared" ca="1" si="6"/>
        <v>0</v>
      </c>
      <c r="AQ9" s="312">
        <f t="shared" ca="1" si="6"/>
        <v>0</v>
      </c>
      <c r="AR9" s="312">
        <f t="shared" ca="1" si="6"/>
        <v>0</v>
      </c>
      <c r="AS9" s="312">
        <f t="shared" ref="AS9:AX9" ca="1" si="7">IFERROR(INDEX(INDIRECT($C9&amp;".Outputs["&amp;this.Year&amp;"]"), MATCH(AS$5, INDIRECT($C9&amp;".Outputs[Vector]"), 0)), 0)</f>
        <v>0</v>
      </c>
      <c r="AT9" s="312">
        <f t="shared" ca="1" si="7"/>
        <v>0</v>
      </c>
      <c r="AU9" s="312">
        <f t="shared" ca="1" si="7"/>
        <v>0</v>
      </c>
      <c r="AV9" s="312">
        <f t="shared" ca="1" si="7"/>
        <v>0</v>
      </c>
      <c r="AW9" s="312">
        <f t="shared" ca="1" si="7"/>
        <v>0</v>
      </c>
      <c r="AX9" s="312">
        <f t="shared" ca="1" si="7"/>
        <v>0</v>
      </c>
      <c r="AY9" s="264">
        <f t="shared" ref="AY9:AY23" ca="1" si="8">SUM(AJ9:AX9)</f>
        <v>0</v>
      </c>
      <c r="BA9" s="308">
        <f t="shared" ref="BA9:BB11" ca="1" si="9">IFERROR(INDEX(INDIRECT($C9&amp;".Outputs["&amp;this.Year&amp;"]"), MATCH(BA$5, INDIRECT($C9&amp;".Outputs[Vector]"), 0)), 0)</f>
        <v>0</v>
      </c>
      <c r="BB9" s="308">
        <f t="shared" ca="1" si="9"/>
        <v>0</v>
      </c>
      <c r="BC9" s="309">
        <f t="shared" ref="BC9:BC66" ca="1" si="10">SUM(BA9:BB9)</f>
        <v>0</v>
      </c>
      <c r="BE9" s="64">
        <f t="shared" ref="BE9:BE33" ca="1" si="11">P9+AH9+AY9+BC9</f>
        <v>0</v>
      </c>
      <c r="BF9" s="64"/>
      <c r="BG9" s="1428"/>
      <c r="BH9" s="541">
        <f t="shared" ref="BH9:BQ9" ca="1" si="12">IFERROR(SUMIFS(INDIRECT($C9&amp;".Emissions["&amp;this.Year&amp;"]"), INDIRECT($C9&amp;".Emissions[GHG]"), BH$6, INDIRECT($C9&amp;".Emissions[IPCC Sector]"), BH$5),0)</f>
        <v>0</v>
      </c>
      <c r="BI9" s="542">
        <f t="shared" ca="1" si="12"/>
        <v>0</v>
      </c>
      <c r="BJ9" s="542">
        <f t="shared" ca="1" si="12"/>
        <v>0</v>
      </c>
      <c r="BK9" s="542">
        <f t="shared" ca="1" si="12"/>
        <v>0</v>
      </c>
      <c r="BL9" s="542">
        <f t="shared" ca="1" si="12"/>
        <v>0</v>
      </c>
      <c r="BM9" s="542">
        <f t="shared" ca="1" si="12"/>
        <v>0</v>
      </c>
      <c r="BN9" s="542">
        <f t="shared" ca="1" si="12"/>
        <v>0</v>
      </c>
      <c r="BO9" s="542">
        <f t="shared" ca="1" si="12"/>
        <v>0</v>
      </c>
      <c r="BP9" s="542">
        <f t="shared" ca="1" si="12"/>
        <v>0</v>
      </c>
      <c r="BQ9" s="542">
        <f t="shared" ca="1" si="12"/>
        <v>0</v>
      </c>
      <c r="BR9" s="542">
        <f t="shared" ref="BR9:CA9" ca="1" si="13">IFERROR(SUMIFS(INDIRECT($C9&amp;".Emissions["&amp;this.Year&amp;"]"), INDIRECT($C9&amp;".Emissions[GHG]"), BR$6, INDIRECT($C9&amp;".Emissions[IPCC Sector]"), BR$5),0)</f>
        <v>0</v>
      </c>
      <c r="BS9" s="542">
        <f t="shared" ca="1" si="13"/>
        <v>0</v>
      </c>
      <c r="BT9" s="542">
        <f t="shared" ca="1" si="13"/>
        <v>0</v>
      </c>
      <c r="BU9" s="542">
        <f t="shared" ca="1" si="13"/>
        <v>0</v>
      </c>
      <c r="BV9" s="542">
        <f t="shared" ca="1" si="13"/>
        <v>0</v>
      </c>
      <c r="BW9" s="542">
        <f t="shared" ca="1" si="13"/>
        <v>0</v>
      </c>
      <c r="BX9" s="542">
        <f t="shared" ca="1" si="13"/>
        <v>0</v>
      </c>
      <c r="BY9" s="542">
        <f t="shared" ca="1" si="13"/>
        <v>0</v>
      </c>
      <c r="BZ9" s="542">
        <f t="shared" ca="1" si="13"/>
        <v>0</v>
      </c>
      <c r="CA9" s="542">
        <f t="shared" ca="1" si="13"/>
        <v>0</v>
      </c>
      <c r="CB9" s="542">
        <f t="shared" ref="CB9:CK9" ca="1" si="14">IFERROR(SUMIFS(INDIRECT($C9&amp;".Emissions["&amp;this.Year&amp;"]"), INDIRECT($C9&amp;".Emissions[GHG]"), CB$6, INDIRECT($C9&amp;".Emissions[IPCC Sector]"), CB$5),0)</f>
        <v>0</v>
      </c>
      <c r="CC9" s="542">
        <f t="shared" ca="1" si="14"/>
        <v>0</v>
      </c>
      <c r="CD9" s="542">
        <f t="shared" ca="1" si="14"/>
        <v>0</v>
      </c>
      <c r="CE9" s="542">
        <f t="shared" ca="1" si="14"/>
        <v>0</v>
      </c>
      <c r="CF9" s="542">
        <f t="shared" ca="1" si="14"/>
        <v>0</v>
      </c>
      <c r="CG9" s="542">
        <f t="shared" ca="1" si="14"/>
        <v>0</v>
      </c>
      <c r="CH9" s="542">
        <f t="shared" ca="1" si="14"/>
        <v>0</v>
      </c>
      <c r="CI9" s="542">
        <f t="shared" ca="1" si="14"/>
        <v>0</v>
      </c>
      <c r="CJ9" s="542">
        <f t="shared" ca="1" si="14"/>
        <v>0</v>
      </c>
      <c r="CK9" s="542">
        <f t="shared" ca="1" si="14"/>
        <v>0</v>
      </c>
      <c r="CL9" s="542">
        <f t="shared" ref="CL9:CU9" ca="1" si="15">IFERROR(SUMIFS(INDIRECT($C9&amp;".Emissions["&amp;this.Year&amp;"]"), INDIRECT($C9&amp;".Emissions[GHG]"), CL$6, INDIRECT($C9&amp;".Emissions[IPCC Sector]"), CL$5),0)</f>
        <v>0</v>
      </c>
      <c r="CM9" s="542">
        <f t="shared" ca="1" si="15"/>
        <v>0</v>
      </c>
      <c r="CN9" s="542">
        <f t="shared" ca="1" si="15"/>
        <v>0</v>
      </c>
      <c r="CO9" s="542">
        <f t="shared" ca="1" si="15"/>
        <v>0</v>
      </c>
      <c r="CP9" s="542">
        <f t="shared" ca="1" si="15"/>
        <v>0</v>
      </c>
      <c r="CQ9" s="542">
        <f t="shared" ca="1" si="15"/>
        <v>0</v>
      </c>
      <c r="CR9" s="542">
        <f t="shared" ca="1" si="15"/>
        <v>0</v>
      </c>
      <c r="CS9" s="542">
        <f t="shared" ca="1" si="15"/>
        <v>0</v>
      </c>
      <c r="CT9" s="542">
        <f t="shared" ca="1" si="15"/>
        <v>0</v>
      </c>
      <c r="CU9" s="542">
        <f t="shared" ca="1" si="15"/>
        <v>0</v>
      </c>
      <c r="CW9" s="151"/>
    </row>
    <row r="10" spans="1:101" s="84" customFormat="1" ht="12.75" customHeight="1" outlineLevel="1" x14ac:dyDescent="0.2">
      <c r="A10" s="543"/>
      <c r="B10" s="543"/>
      <c r="C10" s="86"/>
      <c r="D10" s="543" t="s">
        <v>389</v>
      </c>
      <c r="E10" s="61"/>
      <c r="G10" s="298">
        <f t="shared" ref="G10:O10" ca="1" si="16">SUM(G9:G9)</f>
        <v>99.556795631218193</v>
      </c>
      <c r="H10" s="298">
        <f t="shared" ca="1" si="16"/>
        <v>0</v>
      </c>
      <c r="I10" s="298">
        <f t="shared" ca="1" si="16"/>
        <v>0</v>
      </c>
      <c r="J10" s="298">
        <f t="shared" ca="1" si="16"/>
        <v>0</v>
      </c>
      <c r="K10" s="298">
        <f t="shared" ca="1" si="16"/>
        <v>0</v>
      </c>
      <c r="L10" s="298">
        <f t="shared" ca="1" si="16"/>
        <v>0</v>
      </c>
      <c r="M10" s="298">
        <f t="shared" ca="1" si="16"/>
        <v>0</v>
      </c>
      <c r="N10" s="298">
        <f t="shared" ca="1" si="16"/>
        <v>0</v>
      </c>
      <c r="O10" s="298">
        <f t="shared" ca="1" si="16"/>
        <v>0</v>
      </c>
      <c r="P10" s="298">
        <f t="shared" ca="1" si="1"/>
        <v>99.556795631218193</v>
      </c>
      <c r="R10" s="305">
        <f t="shared" ref="R10:AG10" ca="1" si="17">SUM(R9:R9)</f>
        <v>-99.556795631218193</v>
      </c>
      <c r="S10" s="305">
        <f t="shared" ca="1" si="17"/>
        <v>0</v>
      </c>
      <c r="T10" s="305">
        <f t="shared" ca="1" si="17"/>
        <v>0</v>
      </c>
      <c r="U10" s="305">
        <f t="shared" ca="1" si="17"/>
        <v>0</v>
      </c>
      <c r="V10" s="305">
        <f t="shared" ca="1" si="17"/>
        <v>0</v>
      </c>
      <c r="W10" s="305">
        <f t="shared" ca="1" si="17"/>
        <v>0</v>
      </c>
      <c r="X10" s="305">
        <f t="shared" ca="1" si="17"/>
        <v>0</v>
      </c>
      <c r="Y10" s="305">
        <f t="shared" ca="1" si="17"/>
        <v>0</v>
      </c>
      <c r="Z10" s="305">
        <f t="shared" ca="1" si="17"/>
        <v>0</v>
      </c>
      <c r="AA10" s="305">
        <f t="shared" ca="1" si="17"/>
        <v>0</v>
      </c>
      <c r="AB10" s="305">
        <f t="shared" ca="1" si="17"/>
        <v>0</v>
      </c>
      <c r="AC10" s="305">
        <f t="shared" ca="1" si="17"/>
        <v>0</v>
      </c>
      <c r="AD10" s="305">
        <f t="shared" ca="1" si="17"/>
        <v>0</v>
      </c>
      <c r="AE10" s="305">
        <f t="shared" ca="1" si="17"/>
        <v>0</v>
      </c>
      <c r="AF10" s="305">
        <f t="shared" ca="1" si="17"/>
        <v>0</v>
      </c>
      <c r="AG10" s="305">
        <f t="shared" ca="1" si="17"/>
        <v>0</v>
      </c>
      <c r="AH10" s="305">
        <f t="shared" ca="1" si="5"/>
        <v>-99.556795631218193</v>
      </c>
      <c r="AJ10" s="313">
        <f t="shared" ref="AJ10:AX10" ca="1" si="18">SUM(AJ9:AJ9)</f>
        <v>0</v>
      </c>
      <c r="AK10" s="313">
        <f t="shared" ca="1" si="18"/>
        <v>0</v>
      </c>
      <c r="AL10" s="313">
        <f t="shared" ca="1" si="18"/>
        <v>0</v>
      </c>
      <c r="AM10" s="313">
        <f t="shared" ca="1" si="18"/>
        <v>0</v>
      </c>
      <c r="AN10" s="313">
        <f t="shared" ca="1" si="18"/>
        <v>0</v>
      </c>
      <c r="AO10" s="313">
        <f t="shared" ca="1" si="18"/>
        <v>0</v>
      </c>
      <c r="AP10" s="313">
        <f t="shared" ca="1" si="18"/>
        <v>0</v>
      </c>
      <c r="AQ10" s="313">
        <f t="shared" ca="1" si="18"/>
        <v>0</v>
      </c>
      <c r="AR10" s="313">
        <f t="shared" ca="1" si="18"/>
        <v>0</v>
      </c>
      <c r="AS10" s="313">
        <f t="shared" ca="1" si="18"/>
        <v>0</v>
      </c>
      <c r="AT10" s="313">
        <f t="shared" ca="1" si="18"/>
        <v>0</v>
      </c>
      <c r="AU10" s="313">
        <f t="shared" ca="1" si="18"/>
        <v>0</v>
      </c>
      <c r="AV10" s="313">
        <f t="shared" ca="1" si="18"/>
        <v>0</v>
      </c>
      <c r="AW10" s="313">
        <f t="shared" ca="1" si="18"/>
        <v>0</v>
      </c>
      <c r="AX10" s="313">
        <f t="shared" ca="1" si="18"/>
        <v>0</v>
      </c>
      <c r="AY10" s="266">
        <f t="shared" ca="1" si="8"/>
        <v>0</v>
      </c>
      <c r="BA10" s="309">
        <f ca="1">SUM(BA9:BA9)</f>
        <v>0</v>
      </c>
      <c r="BB10" s="309">
        <f ca="1">SUM(BB9:BB9)</f>
        <v>0</v>
      </c>
      <c r="BC10" s="309">
        <f t="shared" ca="1" si="10"/>
        <v>0</v>
      </c>
      <c r="BE10" s="135">
        <f t="shared" ca="1" si="11"/>
        <v>0</v>
      </c>
      <c r="BF10" s="135"/>
      <c r="BG10" s="1428"/>
      <c r="BH10" s="541">
        <f t="shared" ref="BH10:CU10" ca="1" si="19">SUM(BH9:BH9)</f>
        <v>0</v>
      </c>
      <c r="BI10" s="542">
        <f t="shared" ca="1" si="19"/>
        <v>0</v>
      </c>
      <c r="BJ10" s="542">
        <f t="shared" ca="1" si="19"/>
        <v>0</v>
      </c>
      <c r="BK10" s="542">
        <f t="shared" ca="1" si="19"/>
        <v>0</v>
      </c>
      <c r="BL10" s="542">
        <f t="shared" ca="1" si="19"/>
        <v>0</v>
      </c>
      <c r="BM10" s="542">
        <f t="shared" ca="1" si="19"/>
        <v>0</v>
      </c>
      <c r="BN10" s="542">
        <f t="shared" ca="1" si="19"/>
        <v>0</v>
      </c>
      <c r="BO10" s="542">
        <f t="shared" ca="1" si="19"/>
        <v>0</v>
      </c>
      <c r="BP10" s="542">
        <f t="shared" ca="1" si="19"/>
        <v>0</v>
      </c>
      <c r="BQ10" s="542">
        <f t="shared" ca="1" si="19"/>
        <v>0</v>
      </c>
      <c r="BR10" s="542">
        <f t="shared" ca="1" si="19"/>
        <v>0</v>
      </c>
      <c r="BS10" s="542">
        <f t="shared" ca="1" si="19"/>
        <v>0</v>
      </c>
      <c r="BT10" s="542">
        <f t="shared" ca="1" si="19"/>
        <v>0</v>
      </c>
      <c r="BU10" s="542">
        <f t="shared" ca="1" si="19"/>
        <v>0</v>
      </c>
      <c r="BV10" s="542">
        <f t="shared" ca="1" si="19"/>
        <v>0</v>
      </c>
      <c r="BW10" s="542">
        <f t="shared" ca="1" si="19"/>
        <v>0</v>
      </c>
      <c r="BX10" s="542">
        <f t="shared" ca="1" si="19"/>
        <v>0</v>
      </c>
      <c r="BY10" s="542">
        <f t="shared" ca="1" si="19"/>
        <v>0</v>
      </c>
      <c r="BZ10" s="542">
        <f t="shared" ca="1" si="19"/>
        <v>0</v>
      </c>
      <c r="CA10" s="542">
        <f t="shared" ca="1" si="19"/>
        <v>0</v>
      </c>
      <c r="CB10" s="542">
        <f t="shared" ca="1" si="19"/>
        <v>0</v>
      </c>
      <c r="CC10" s="542">
        <f t="shared" ca="1" si="19"/>
        <v>0</v>
      </c>
      <c r="CD10" s="542">
        <f t="shared" ca="1" si="19"/>
        <v>0</v>
      </c>
      <c r="CE10" s="542">
        <f t="shared" ca="1" si="19"/>
        <v>0</v>
      </c>
      <c r="CF10" s="542">
        <f t="shared" ca="1" si="19"/>
        <v>0</v>
      </c>
      <c r="CG10" s="542">
        <f t="shared" ca="1" si="19"/>
        <v>0</v>
      </c>
      <c r="CH10" s="542">
        <f t="shared" ca="1" si="19"/>
        <v>0</v>
      </c>
      <c r="CI10" s="542">
        <f t="shared" ca="1" si="19"/>
        <v>0</v>
      </c>
      <c r="CJ10" s="542">
        <f t="shared" ca="1" si="19"/>
        <v>0</v>
      </c>
      <c r="CK10" s="542">
        <f t="shared" ca="1" si="19"/>
        <v>0</v>
      </c>
      <c r="CL10" s="542">
        <f t="shared" ca="1" si="19"/>
        <v>0</v>
      </c>
      <c r="CM10" s="542">
        <f t="shared" ca="1" si="19"/>
        <v>0</v>
      </c>
      <c r="CN10" s="542">
        <f t="shared" ca="1" si="19"/>
        <v>0</v>
      </c>
      <c r="CO10" s="542">
        <f t="shared" ca="1" si="19"/>
        <v>0</v>
      </c>
      <c r="CP10" s="542">
        <f t="shared" ca="1" si="19"/>
        <v>0</v>
      </c>
      <c r="CQ10" s="542">
        <f t="shared" ca="1" si="19"/>
        <v>0</v>
      </c>
      <c r="CR10" s="542">
        <f t="shared" ca="1" si="19"/>
        <v>0</v>
      </c>
      <c r="CS10" s="542">
        <f t="shared" ca="1" si="19"/>
        <v>0</v>
      </c>
      <c r="CT10" s="542">
        <f t="shared" ca="1" si="19"/>
        <v>0</v>
      </c>
      <c r="CU10" s="542">
        <f t="shared" ca="1" si="19"/>
        <v>0</v>
      </c>
      <c r="CW10" s="151"/>
    </row>
    <row r="11" spans="1:101" s="84" customFormat="1" ht="10.5" customHeight="1" outlineLevel="2" x14ac:dyDescent="0.2">
      <c r="A11" s="540"/>
      <c r="B11" s="540"/>
      <c r="C11" s="86" t="s">
        <v>388</v>
      </c>
      <c r="D11" s="540" t="str">
        <f>INDEX(Modules[Module], MATCH($C11, Modules[Code], 0))</f>
        <v>Service Sector Cooling</v>
      </c>
      <c r="E11" s="291"/>
      <c r="G11" s="297">
        <f t="shared" ca="1" si="0"/>
        <v>26.086474607923098</v>
      </c>
      <c r="H11" s="297">
        <f t="shared" ca="1" si="0"/>
        <v>0</v>
      </c>
      <c r="I11" s="297">
        <f t="shared" ca="1" si="0"/>
        <v>0</v>
      </c>
      <c r="J11" s="297">
        <f t="shared" ca="1" si="0"/>
        <v>0</v>
      </c>
      <c r="K11" s="297">
        <f t="shared" ca="1" si="0"/>
        <v>0</v>
      </c>
      <c r="L11" s="297">
        <f t="shared" ca="1" si="0"/>
        <v>0</v>
      </c>
      <c r="M11" s="297">
        <f t="shared" ca="1" si="0"/>
        <v>0</v>
      </c>
      <c r="N11" s="297">
        <f t="shared" ca="1" si="0"/>
        <v>0</v>
      </c>
      <c r="O11" s="297">
        <f t="shared" ca="1" si="0"/>
        <v>0</v>
      </c>
      <c r="P11" s="297">
        <f t="shared" ca="1" si="1"/>
        <v>26.086474607923098</v>
      </c>
      <c r="R11" s="304">
        <f t="shared" ref="R11:W11" ca="1" si="20">IFERROR(INDEX(INDIRECT($C11&amp;".Outputs["&amp;this.Year&amp;"]"), MATCH(R$5, INDIRECT($C11&amp;".Outputs[Vector]"), 0)), 0)</f>
        <v>-26.086474607923098</v>
      </c>
      <c r="S11" s="304">
        <f t="shared" ca="1" si="20"/>
        <v>0</v>
      </c>
      <c r="T11" s="304">
        <f t="shared" ca="1" si="20"/>
        <v>0</v>
      </c>
      <c r="U11" s="304">
        <f t="shared" ca="1" si="20"/>
        <v>0</v>
      </c>
      <c r="V11" s="304">
        <f t="shared" ca="1" si="20"/>
        <v>0</v>
      </c>
      <c r="W11" s="304">
        <f t="shared" ca="1" si="20"/>
        <v>0</v>
      </c>
      <c r="X11" s="304">
        <f t="shared" ref="X11:Z11" ca="1" si="21">IFERROR(INDEX(INDIRECT($C11&amp;".Outputs["&amp;this.Year&amp;"]"), MATCH(X$5, INDIRECT($C11&amp;".Outputs[Vector]"), 0)), 0)</f>
        <v>0</v>
      </c>
      <c r="Y11" s="304">
        <f t="shared" ca="1" si="21"/>
        <v>0</v>
      </c>
      <c r="Z11" s="304">
        <f t="shared" ca="1" si="21"/>
        <v>0</v>
      </c>
      <c r="AA11" s="304">
        <f t="shared" ref="AA11:AG11" ca="1" si="22">IFERROR(INDEX(INDIRECT($C11&amp;".Outputs["&amp;this.Year&amp;"]"), MATCH(AA$5, INDIRECT($C11&amp;".Outputs[Vector]"), 0)), 0)</f>
        <v>0</v>
      </c>
      <c r="AB11" s="304">
        <f t="shared" ca="1" si="22"/>
        <v>0</v>
      </c>
      <c r="AC11" s="304">
        <f t="shared" ca="1" si="22"/>
        <v>0</v>
      </c>
      <c r="AD11" s="304">
        <f t="shared" ca="1" si="22"/>
        <v>0</v>
      </c>
      <c r="AE11" s="304">
        <f t="shared" ca="1" si="22"/>
        <v>0</v>
      </c>
      <c r="AF11" s="304">
        <f t="shared" ca="1" si="22"/>
        <v>0</v>
      </c>
      <c r="AG11" s="304">
        <f t="shared" ca="1" si="22"/>
        <v>0</v>
      </c>
      <c r="AH11" s="305">
        <f t="shared" ca="1" si="5"/>
        <v>-26.086474607923098</v>
      </c>
      <c r="AJ11" s="312">
        <f t="shared" ref="AJ11:AR11" ca="1" si="23">IFERROR(INDEX(INDIRECT($C11&amp;".Outputs["&amp;this.Year&amp;"]"), MATCH(AJ$5, INDIRECT($C11&amp;".Outputs[Vector]"), 0)), 0)</f>
        <v>0</v>
      </c>
      <c r="AK11" s="312">
        <f t="shared" ca="1" si="23"/>
        <v>0</v>
      </c>
      <c r="AL11" s="312">
        <f t="shared" ca="1" si="23"/>
        <v>0</v>
      </c>
      <c r="AM11" s="312">
        <f t="shared" ca="1" si="23"/>
        <v>0</v>
      </c>
      <c r="AN11" s="312">
        <f t="shared" ca="1" si="23"/>
        <v>0</v>
      </c>
      <c r="AO11" s="312">
        <f t="shared" ca="1" si="23"/>
        <v>0</v>
      </c>
      <c r="AP11" s="312">
        <f t="shared" ca="1" si="23"/>
        <v>0</v>
      </c>
      <c r="AQ11" s="312">
        <f t="shared" ca="1" si="23"/>
        <v>0</v>
      </c>
      <c r="AR11" s="312">
        <f t="shared" ca="1" si="23"/>
        <v>0</v>
      </c>
      <c r="AS11" s="312">
        <f t="shared" ref="AS11:AX11" ca="1" si="24">IFERROR(INDEX(INDIRECT($C11&amp;".Outputs["&amp;this.Year&amp;"]"), MATCH(AS$5, INDIRECT($C11&amp;".Outputs[Vector]"), 0)), 0)</f>
        <v>0</v>
      </c>
      <c r="AT11" s="312">
        <f t="shared" ca="1" si="24"/>
        <v>0</v>
      </c>
      <c r="AU11" s="312">
        <f t="shared" ca="1" si="24"/>
        <v>0</v>
      </c>
      <c r="AV11" s="312">
        <f t="shared" ca="1" si="24"/>
        <v>0</v>
      </c>
      <c r="AW11" s="312">
        <f t="shared" ca="1" si="24"/>
        <v>0</v>
      </c>
      <c r="AX11" s="312">
        <f t="shared" ca="1" si="24"/>
        <v>0</v>
      </c>
      <c r="AY11" s="264">
        <f t="shared" ca="1" si="8"/>
        <v>0</v>
      </c>
      <c r="BA11" s="308">
        <f t="shared" ca="1" si="9"/>
        <v>0</v>
      </c>
      <c r="BB11" s="308">
        <f t="shared" ca="1" si="9"/>
        <v>0</v>
      </c>
      <c r="BC11" s="309">
        <f t="shared" ca="1" si="10"/>
        <v>0</v>
      </c>
      <c r="BE11" s="64">
        <f t="shared" ca="1" si="11"/>
        <v>0</v>
      </c>
      <c r="BF11" s="64"/>
      <c r="BG11" s="1428"/>
      <c r="BH11" s="541">
        <f t="shared" ref="BH11:BQ11" ca="1" si="25">IFERROR(SUMIFS(INDIRECT($C11&amp;".Emissions["&amp;this.Year&amp;"]"), INDIRECT($C11&amp;".Emissions[GHG]"), BH$6, INDIRECT($C11&amp;".Emissions[IPCC Sector]"), BH$5),0)</f>
        <v>0</v>
      </c>
      <c r="BI11" s="542">
        <f t="shared" ca="1" si="25"/>
        <v>0</v>
      </c>
      <c r="BJ11" s="542">
        <f t="shared" ca="1" si="25"/>
        <v>0</v>
      </c>
      <c r="BK11" s="542">
        <f t="shared" ca="1" si="25"/>
        <v>0</v>
      </c>
      <c r="BL11" s="542">
        <f t="shared" ca="1" si="25"/>
        <v>0</v>
      </c>
      <c r="BM11" s="542">
        <f t="shared" ca="1" si="25"/>
        <v>0</v>
      </c>
      <c r="BN11" s="542">
        <f t="shared" ca="1" si="25"/>
        <v>0</v>
      </c>
      <c r="BO11" s="542">
        <f t="shared" ca="1" si="25"/>
        <v>0</v>
      </c>
      <c r="BP11" s="542">
        <f t="shared" ca="1" si="25"/>
        <v>0</v>
      </c>
      <c r="BQ11" s="542">
        <f t="shared" ca="1" si="25"/>
        <v>0</v>
      </c>
      <c r="BR11" s="542">
        <f t="shared" ref="BR11:CA11" ca="1" si="26">IFERROR(SUMIFS(INDIRECT($C11&amp;".Emissions["&amp;this.Year&amp;"]"), INDIRECT($C11&amp;".Emissions[GHG]"), BR$6, INDIRECT($C11&amp;".Emissions[IPCC Sector]"), BR$5),0)</f>
        <v>0</v>
      </c>
      <c r="BS11" s="542">
        <f t="shared" ca="1" si="26"/>
        <v>0</v>
      </c>
      <c r="BT11" s="542">
        <f t="shared" ca="1" si="26"/>
        <v>0</v>
      </c>
      <c r="BU11" s="542">
        <f t="shared" ca="1" si="26"/>
        <v>0</v>
      </c>
      <c r="BV11" s="542">
        <f t="shared" ca="1" si="26"/>
        <v>0</v>
      </c>
      <c r="BW11" s="542">
        <f t="shared" ca="1" si="26"/>
        <v>0</v>
      </c>
      <c r="BX11" s="542">
        <f t="shared" ca="1" si="26"/>
        <v>0</v>
      </c>
      <c r="BY11" s="542">
        <f t="shared" ca="1" si="26"/>
        <v>0</v>
      </c>
      <c r="BZ11" s="542">
        <f t="shared" ca="1" si="26"/>
        <v>0</v>
      </c>
      <c r="CA11" s="542">
        <f t="shared" ca="1" si="26"/>
        <v>0</v>
      </c>
      <c r="CB11" s="542">
        <f t="shared" ref="CB11:CK11" ca="1" si="27">IFERROR(SUMIFS(INDIRECT($C11&amp;".Emissions["&amp;this.Year&amp;"]"), INDIRECT($C11&amp;".Emissions[GHG]"), CB$6, INDIRECT($C11&amp;".Emissions[IPCC Sector]"), CB$5),0)</f>
        <v>0</v>
      </c>
      <c r="CC11" s="542">
        <f t="shared" ca="1" si="27"/>
        <v>0</v>
      </c>
      <c r="CD11" s="542">
        <f t="shared" ca="1" si="27"/>
        <v>0</v>
      </c>
      <c r="CE11" s="542">
        <f t="shared" ca="1" si="27"/>
        <v>0</v>
      </c>
      <c r="CF11" s="542">
        <f t="shared" ca="1" si="27"/>
        <v>0</v>
      </c>
      <c r="CG11" s="542">
        <f t="shared" ca="1" si="27"/>
        <v>0</v>
      </c>
      <c r="CH11" s="542">
        <f t="shared" ca="1" si="27"/>
        <v>0</v>
      </c>
      <c r="CI11" s="542">
        <f t="shared" ca="1" si="27"/>
        <v>0</v>
      </c>
      <c r="CJ11" s="542">
        <f t="shared" ca="1" si="27"/>
        <v>0</v>
      </c>
      <c r="CK11" s="542">
        <f t="shared" ca="1" si="27"/>
        <v>0</v>
      </c>
      <c r="CL11" s="542">
        <f t="shared" ref="CL11:CU11" ca="1" si="28">IFERROR(SUMIFS(INDIRECT($C11&amp;".Emissions["&amp;this.Year&amp;"]"), INDIRECT($C11&amp;".Emissions[GHG]"), CL$6, INDIRECT($C11&amp;".Emissions[IPCC Sector]"), CL$5),0)</f>
        <v>0</v>
      </c>
      <c r="CM11" s="542">
        <f t="shared" ca="1" si="28"/>
        <v>0</v>
      </c>
      <c r="CN11" s="542">
        <f t="shared" ca="1" si="28"/>
        <v>0</v>
      </c>
      <c r="CO11" s="542">
        <f t="shared" ca="1" si="28"/>
        <v>0</v>
      </c>
      <c r="CP11" s="542">
        <f t="shared" ca="1" si="28"/>
        <v>0</v>
      </c>
      <c r="CQ11" s="542">
        <f t="shared" ca="1" si="28"/>
        <v>0</v>
      </c>
      <c r="CR11" s="542">
        <f t="shared" ca="1" si="28"/>
        <v>0</v>
      </c>
      <c r="CS11" s="542">
        <f t="shared" ca="1" si="28"/>
        <v>0</v>
      </c>
      <c r="CT11" s="542">
        <f t="shared" ca="1" si="28"/>
        <v>0</v>
      </c>
      <c r="CU11" s="542">
        <f t="shared" ca="1" si="28"/>
        <v>0</v>
      </c>
      <c r="CW11" s="151"/>
    </row>
    <row r="12" spans="1:101" s="84" customFormat="1" ht="12.75" customHeight="1" outlineLevel="1" x14ac:dyDescent="0.2">
      <c r="A12" s="543"/>
      <c r="B12" s="543"/>
      <c r="C12" s="86"/>
      <c r="D12" s="292" t="s">
        <v>390</v>
      </c>
      <c r="E12" s="292"/>
      <c r="G12" s="299">
        <f t="shared" ref="G12:O12" ca="1" si="29">SUM(G11:G11)</f>
        <v>26.086474607923098</v>
      </c>
      <c r="H12" s="299">
        <f t="shared" ca="1" si="29"/>
        <v>0</v>
      </c>
      <c r="I12" s="299">
        <f t="shared" ca="1" si="29"/>
        <v>0</v>
      </c>
      <c r="J12" s="299">
        <f t="shared" ca="1" si="29"/>
        <v>0</v>
      </c>
      <c r="K12" s="299">
        <f t="shared" ca="1" si="29"/>
        <v>0</v>
      </c>
      <c r="L12" s="299">
        <f t="shared" ca="1" si="29"/>
        <v>0</v>
      </c>
      <c r="M12" s="299">
        <f t="shared" ca="1" si="29"/>
        <v>0</v>
      </c>
      <c r="N12" s="299">
        <f t="shared" ca="1" si="29"/>
        <v>0</v>
      </c>
      <c r="O12" s="299">
        <f t="shared" ca="1" si="29"/>
        <v>0</v>
      </c>
      <c r="P12" s="299">
        <f t="shared" ca="1" si="1"/>
        <v>26.086474607923098</v>
      </c>
      <c r="R12" s="306">
        <f t="shared" ref="R12:AG12" ca="1" si="30">SUM(R11:R11)</f>
        <v>-26.086474607923098</v>
      </c>
      <c r="S12" s="306">
        <f t="shared" ca="1" si="30"/>
        <v>0</v>
      </c>
      <c r="T12" s="306">
        <f t="shared" ca="1" si="30"/>
        <v>0</v>
      </c>
      <c r="U12" s="306">
        <f t="shared" ca="1" si="30"/>
        <v>0</v>
      </c>
      <c r="V12" s="306">
        <f t="shared" ca="1" si="30"/>
        <v>0</v>
      </c>
      <c r="W12" s="306">
        <f t="shared" ca="1" si="30"/>
        <v>0</v>
      </c>
      <c r="X12" s="306">
        <f t="shared" ca="1" si="30"/>
        <v>0</v>
      </c>
      <c r="Y12" s="306">
        <f t="shared" ca="1" si="30"/>
        <v>0</v>
      </c>
      <c r="Z12" s="306">
        <f t="shared" ca="1" si="30"/>
        <v>0</v>
      </c>
      <c r="AA12" s="306">
        <f t="shared" ca="1" si="30"/>
        <v>0</v>
      </c>
      <c r="AB12" s="306">
        <f t="shared" ca="1" si="30"/>
        <v>0</v>
      </c>
      <c r="AC12" s="306">
        <f t="shared" ca="1" si="30"/>
        <v>0</v>
      </c>
      <c r="AD12" s="306">
        <f t="shared" ca="1" si="30"/>
        <v>0</v>
      </c>
      <c r="AE12" s="306">
        <f t="shared" ca="1" si="30"/>
        <v>0</v>
      </c>
      <c r="AF12" s="306">
        <f t="shared" ca="1" si="30"/>
        <v>0</v>
      </c>
      <c r="AG12" s="306">
        <f t="shared" ca="1" si="30"/>
        <v>0</v>
      </c>
      <c r="AH12" s="306">
        <f t="shared" ca="1" si="5"/>
        <v>-26.086474607923098</v>
      </c>
      <c r="AJ12" s="314">
        <f t="shared" ref="AJ12:AX12" ca="1" si="31">SUM(AJ11:AJ11)</f>
        <v>0</v>
      </c>
      <c r="AK12" s="314">
        <f t="shared" ca="1" si="31"/>
        <v>0</v>
      </c>
      <c r="AL12" s="314">
        <f t="shared" ca="1" si="31"/>
        <v>0</v>
      </c>
      <c r="AM12" s="314">
        <f t="shared" ca="1" si="31"/>
        <v>0</v>
      </c>
      <c r="AN12" s="314">
        <f t="shared" ca="1" si="31"/>
        <v>0</v>
      </c>
      <c r="AO12" s="314">
        <f t="shared" ca="1" si="31"/>
        <v>0</v>
      </c>
      <c r="AP12" s="314">
        <f t="shared" ca="1" si="31"/>
        <v>0</v>
      </c>
      <c r="AQ12" s="314">
        <f t="shared" ca="1" si="31"/>
        <v>0</v>
      </c>
      <c r="AR12" s="314">
        <f t="shared" ca="1" si="31"/>
        <v>0</v>
      </c>
      <c r="AS12" s="314">
        <f t="shared" ca="1" si="31"/>
        <v>0</v>
      </c>
      <c r="AT12" s="314">
        <f t="shared" ca="1" si="31"/>
        <v>0</v>
      </c>
      <c r="AU12" s="314">
        <f t="shared" ca="1" si="31"/>
        <v>0</v>
      </c>
      <c r="AV12" s="314">
        <f t="shared" ca="1" si="31"/>
        <v>0</v>
      </c>
      <c r="AW12" s="314">
        <f t="shared" ca="1" si="31"/>
        <v>0</v>
      </c>
      <c r="AX12" s="314">
        <f t="shared" ca="1" si="31"/>
        <v>0</v>
      </c>
      <c r="AY12" s="293">
        <f t="shared" ca="1" si="8"/>
        <v>0</v>
      </c>
      <c r="BA12" s="310">
        <f ca="1">SUM(BA11:BA11)</f>
        <v>0</v>
      </c>
      <c r="BB12" s="310">
        <f ca="1">SUM(BB11:BB11)</f>
        <v>0</v>
      </c>
      <c r="BC12" s="310">
        <f t="shared" ca="1" si="10"/>
        <v>0</v>
      </c>
      <c r="BE12" s="135">
        <f t="shared" ca="1" si="11"/>
        <v>0</v>
      </c>
      <c r="BF12" s="135"/>
      <c r="BG12" s="1428"/>
      <c r="BH12" s="544">
        <f t="shared" ref="BH12:CU12" ca="1" si="32">SUM(BH11:BH11)</f>
        <v>0</v>
      </c>
      <c r="BI12" s="545">
        <f t="shared" ca="1" si="32"/>
        <v>0</v>
      </c>
      <c r="BJ12" s="545">
        <f t="shared" ca="1" si="32"/>
        <v>0</v>
      </c>
      <c r="BK12" s="545">
        <f t="shared" ca="1" si="32"/>
        <v>0</v>
      </c>
      <c r="BL12" s="545">
        <f t="shared" ca="1" si="32"/>
        <v>0</v>
      </c>
      <c r="BM12" s="545">
        <f t="shared" ca="1" si="32"/>
        <v>0</v>
      </c>
      <c r="BN12" s="545">
        <f t="shared" ca="1" si="32"/>
        <v>0</v>
      </c>
      <c r="BO12" s="545">
        <f t="shared" ca="1" si="32"/>
        <v>0</v>
      </c>
      <c r="BP12" s="545">
        <f t="shared" ca="1" si="32"/>
        <v>0</v>
      </c>
      <c r="BQ12" s="545">
        <f t="shared" ca="1" si="32"/>
        <v>0</v>
      </c>
      <c r="BR12" s="545">
        <f t="shared" ca="1" si="32"/>
        <v>0</v>
      </c>
      <c r="BS12" s="545">
        <f t="shared" ca="1" si="32"/>
        <v>0</v>
      </c>
      <c r="BT12" s="545">
        <f t="shared" ca="1" si="32"/>
        <v>0</v>
      </c>
      <c r="BU12" s="545">
        <f t="shared" ca="1" si="32"/>
        <v>0</v>
      </c>
      <c r="BV12" s="545">
        <f t="shared" ca="1" si="32"/>
        <v>0</v>
      </c>
      <c r="BW12" s="545">
        <f t="shared" ca="1" si="32"/>
        <v>0</v>
      </c>
      <c r="BX12" s="545">
        <f t="shared" ca="1" si="32"/>
        <v>0</v>
      </c>
      <c r="BY12" s="545">
        <f t="shared" ca="1" si="32"/>
        <v>0</v>
      </c>
      <c r="BZ12" s="545">
        <f t="shared" ca="1" si="32"/>
        <v>0</v>
      </c>
      <c r="CA12" s="545">
        <f t="shared" ca="1" si="32"/>
        <v>0</v>
      </c>
      <c r="CB12" s="545">
        <f t="shared" ca="1" si="32"/>
        <v>0</v>
      </c>
      <c r="CC12" s="545">
        <f t="shared" ca="1" si="32"/>
        <v>0</v>
      </c>
      <c r="CD12" s="545">
        <f t="shared" ca="1" si="32"/>
        <v>0</v>
      </c>
      <c r="CE12" s="545">
        <f t="shared" ca="1" si="32"/>
        <v>0</v>
      </c>
      <c r="CF12" s="545">
        <f t="shared" ca="1" si="32"/>
        <v>0</v>
      </c>
      <c r="CG12" s="545">
        <f t="shared" ca="1" si="32"/>
        <v>0</v>
      </c>
      <c r="CH12" s="545">
        <f t="shared" ca="1" si="32"/>
        <v>0</v>
      </c>
      <c r="CI12" s="545">
        <f t="shared" ca="1" si="32"/>
        <v>0</v>
      </c>
      <c r="CJ12" s="545">
        <f t="shared" ca="1" si="32"/>
        <v>0</v>
      </c>
      <c r="CK12" s="545">
        <f t="shared" ca="1" si="32"/>
        <v>0</v>
      </c>
      <c r="CL12" s="545">
        <f t="shared" ca="1" si="32"/>
        <v>0</v>
      </c>
      <c r="CM12" s="545">
        <f t="shared" ca="1" si="32"/>
        <v>0</v>
      </c>
      <c r="CN12" s="545">
        <f t="shared" ca="1" si="32"/>
        <v>0</v>
      </c>
      <c r="CO12" s="545">
        <f t="shared" ca="1" si="32"/>
        <v>0</v>
      </c>
      <c r="CP12" s="545">
        <f t="shared" ca="1" si="32"/>
        <v>0</v>
      </c>
      <c r="CQ12" s="545">
        <f t="shared" ca="1" si="32"/>
        <v>0</v>
      </c>
      <c r="CR12" s="545">
        <f t="shared" ca="1" si="32"/>
        <v>0</v>
      </c>
      <c r="CS12" s="545">
        <f t="shared" ca="1" si="32"/>
        <v>0</v>
      </c>
      <c r="CT12" s="545">
        <f t="shared" ca="1" si="32"/>
        <v>0</v>
      </c>
      <c r="CU12" s="545">
        <f t="shared" ca="1" si="32"/>
        <v>0</v>
      </c>
      <c r="CW12" s="151"/>
    </row>
    <row r="13" spans="1:101" s="84" customFormat="1" ht="15.75" x14ac:dyDescent="0.2">
      <c r="A13" s="18"/>
      <c r="B13" s="89"/>
      <c r="C13" s="85" t="s">
        <v>229</v>
      </c>
      <c r="D13" s="57" t="str">
        <f>INDEX(Workstreams[Workstream], MATCH($C13, Workstreams[Code], 0))</f>
        <v>Cooling</v>
      </c>
      <c r="E13" s="53"/>
      <c r="G13" s="300">
        <f t="shared" ref="G13:O13" ca="1" si="33">G12+G10</f>
        <v>125.64327023914129</v>
      </c>
      <c r="H13" s="300">
        <f t="shared" ca="1" si="33"/>
        <v>0</v>
      </c>
      <c r="I13" s="300">
        <f t="shared" ca="1" si="33"/>
        <v>0</v>
      </c>
      <c r="J13" s="300">
        <f t="shared" ca="1" si="33"/>
        <v>0</v>
      </c>
      <c r="K13" s="300">
        <f t="shared" ca="1" si="33"/>
        <v>0</v>
      </c>
      <c r="L13" s="300">
        <f t="shared" ca="1" si="33"/>
        <v>0</v>
      </c>
      <c r="M13" s="300">
        <f t="shared" ca="1" si="33"/>
        <v>0</v>
      </c>
      <c r="N13" s="300">
        <f t="shared" ca="1" si="33"/>
        <v>0</v>
      </c>
      <c r="O13" s="300">
        <f t="shared" ca="1" si="33"/>
        <v>0</v>
      </c>
      <c r="P13" s="300">
        <f t="shared" ca="1" si="1"/>
        <v>125.64327023914129</v>
      </c>
      <c r="R13" s="257">
        <f t="shared" ref="R13:AG13" ca="1" si="34">R12+R10</f>
        <v>-125.64327023914129</v>
      </c>
      <c r="S13" s="257">
        <f t="shared" ca="1" si="34"/>
        <v>0</v>
      </c>
      <c r="T13" s="257">
        <f t="shared" ca="1" si="34"/>
        <v>0</v>
      </c>
      <c r="U13" s="257">
        <f t="shared" ca="1" si="34"/>
        <v>0</v>
      </c>
      <c r="V13" s="257">
        <f t="shared" ca="1" si="34"/>
        <v>0</v>
      </c>
      <c r="W13" s="257">
        <f t="shared" ca="1" si="34"/>
        <v>0</v>
      </c>
      <c r="X13" s="257">
        <f t="shared" ca="1" si="34"/>
        <v>0</v>
      </c>
      <c r="Y13" s="257">
        <f t="shared" ca="1" si="34"/>
        <v>0</v>
      </c>
      <c r="Z13" s="257">
        <f t="shared" ca="1" si="34"/>
        <v>0</v>
      </c>
      <c r="AA13" s="257">
        <f t="shared" ca="1" si="34"/>
        <v>0</v>
      </c>
      <c r="AB13" s="257">
        <f t="shared" ca="1" si="34"/>
        <v>0</v>
      </c>
      <c r="AC13" s="257">
        <f t="shared" ca="1" si="34"/>
        <v>0</v>
      </c>
      <c r="AD13" s="257">
        <f t="shared" ca="1" si="34"/>
        <v>0</v>
      </c>
      <c r="AE13" s="257">
        <f t="shared" ca="1" si="34"/>
        <v>0</v>
      </c>
      <c r="AF13" s="257">
        <f t="shared" ca="1" si="34"/>
        <v>0</v>
      </c>
      <c r="AG13" s="257">
        <f t="shared" ca="1" si="34"/>
        <v>0</v>
      </c>
      <c r="AH13" s="257">
        <f t="shared" ca="1" si="5"/>
        <v>-125.64327023914129</v>
      </c>
      <c r="AJ13" s="263">
        <f t="shared" ref="AJ13:AX13" ca="1" si="35">AJ12+AJ10</f>
        <v>0</v>
      </c>
      <c r="AK13" s="263">
        <f t="shared" ca="1" si="35"/>
        <v>0</v>
      </c>
      <c r="AL13" s="263">
        <f t="shared" ca="1" si="35"/>
        <v>0</v>
      </c>
      <c r="AM13" s="263">
        <f t="shared" ca="1" si="35"/>
        <v>0</v>
      </c>
      <c r="AN13" s="263">
        <f t="shared" ca="1" si="35"/>
        <v>0</v>
      </c>
      <c r="AO13" s="263">
        <f t="shared" ca="1" si="35"/>
        <v>0</v>
      </c>
      <c r="AP13" s="263">
        <f t="shared" ca="1" si="35"/>
        <v>0</v>
      </c>
      <c r="AQ13" s="263">
        <f t="shared" ca="1" si="35"/>
        <v>0</v>
      </c>
      <c r="AR13" s="263">
        <f t="shared" ca="1" si="35"/>
        <v>0</v>
      </c>
      <c r="AS13" s="263">
        <f t="shared" ca="1" si="35"/>
        <v>0</v>
      </c>
      <c r="AT13" s="263">
        <f t="shared" ca="1" si="35"/>
        <v>0</v>
      </c>
      <c r="AU13" s="263">
        <f t="shared" ca="1" si="35"/>
        <v>0</v>
      </c>
      <c r="AV13" s="263">
        <f t="shared" ca="1" si="35"/>
        <v>0</v>
      </c>
      <c r="AW13" s="263">
        <f t="shared" ca="1" si="35"/>
        <v>0</v>
      </c>
      <c r="AX13" s="263">
        <f t="shared" ca="1" si="35"/>
        <v>0</v>
      </c>
      <c r="AY13" s="263">
        <f t="shared" ca="1" si="8"/>
        <v>0</v>
      </c>
      <c r="BA13" s="277">
        <f ca="1">BA12+BA10</f>
        <v>0</v>
      </c>
      <c r="BB13" s="277">
        <f ca="1">BB12+BB10</f>
        <v>0</v>
      </c>
      <c r="BC13" s="277">
        <f t="shared" ca="1" si="10"/>
        <v>0</v>
      </c>
      <c r="BE13" s="55">
        <f t="shared" ca="1" si="11"/>
        <v>0</v>
      </c>
      <c r="BF13" s="55"/>
      <c r="BG13" s="1428"/>
      <c r="BH13" s="542">
        <f t="shared" ref="BH13:CU13" ca="1" si="36">BH12+BH10</f>
        <v>0</v>
      </c>
      <c r="BI13" s="542">
        <f t="shared" ca="1" si="36"/>
        <v>0</v>
      </c>
      <c r="BJ13" s="542">
        <f t="shared" ca="1" si="36"/>
        <v>0</v>
      </c>
      <c r="BK13" s="542">
        <f t="shared" ca="1" si="36"/>
        <v>0</v>
      </c>
      <c r="BL13" s="542">
        <f t="shared" ca="1" si="36"/>
        <v>0</v>
      </c>
      <c r="BM13" s="542">
        <f t="shared" ca="1" si="36"/>
        <v>0</v>
      </c>
      <c r="BN13" s="542">
        <f t="shared" ca="1" si="36"/>
        <v>0</v>
      </c>
      <c r="BO13" s="542">
        <f t="shared" ca="1" si="36"/>
        <v>0</v>
      </c>
      <c r="BP13" s="542">
        <f t="shared" ca="1" si="36"/>
        <v>0</v>
      </c>
      <c r="BQ13" s="542">
        <f t="shared" ca="1" si="36"/>
        <v>0</v>
      </c>
      <c r="BR13" s="542">
        <f t="shared" ca="1" si="36"/>
        <v>0</v>
      </c>
      <c r="BS13" s="542">
        <f t="shared" ca="1" si="36"/>
        <v>0</v>
      </c>
      <c r="BT13" s="542">
        <f t="shared" ca="1" si="36"/>
        <v>0</v>
      </c>
      <c r="BU13" s="542">
        <f t="shared" ca="1" si="36"/>
        <v>0</v>
      </c>
      <c r="BV13" s="542">
        <f t="shared" ca="1" si="36"/>
        <v>0</v>
      </c>
      <c r="BW13" s="542">
        <f t="shared" ca="1" si="36"/>
        <v>0</v>
      </c>
      <c r="BX13" s="542">
        <f t="shared" ca="1" si="36"/>
        <v>0</v>
      </c>
      <c r="BY13" s="542">
        <f t="shared" ca="1" si="36"/>
        <v>0</v>
      </c>
      <c r="BZ13" s="542">
        <f t="shared" ca="1" si="36"/>
        <v>0</v>
      </c>
      <c r="CA13" s="542">
        <f t="shared" ca="1" si="36"/>
        <v>0</v>
      </c>
      <c r="CB13" s="542">
        <f t="shared" ca="1" si="36"/>
        <v>0</v>
      </c>
      <c r="CC13" s="542">
        <f t="shared" ca="1" si="36"/>
        <v>0</v>
      </c>
      <c r="CD13" s="542">
        <f t="shared" ca="1" si="36"/>
        <v>0</v>
      </c>
      <c r="CE13" s="542">
        <f t="shared" ca="1" si="36"/>
        <v>0</v>
      </c>
      <c r="CF13" s="542">
        <f t="shared" ca="1" si="36"/>
        <v>0</v>
      </c>
      <c r="CG13" s="542">
        <f t="shared" ca="1" si="36"/>
        <v>0</v>
      </c>
      <c r="CH13" s="542">
        <f t="shared" ca="1" si="36"/>
        <v>0</v>
      </c>
      <c r="CI13" s="542">
        <f t="shared" ca="1" si="36"/>
        <v>0</v>
      </c>
      <c r="CJ13" s="542">
        <f t="shared" ca="1" si="36"/>
        <v>0</v>
      </c>
      <c r="CK13" s="542">
        <f t="shared" ca="1" si="36"/>
        <v>0</v>
      </c>
      <c r="CL13" s="542">
        <f t="shared" ca="1" si="36"/>
        <v>0</v>
      </c>
      <c r="CM13" s="542">
        <f t="shared" ca="1" si="36"/>
        <v>0</v>
      </c>
      <c r="CN13" s="542">
        <f t="shared" ca="1" si="36"/>
        <v>0</v>
      </c>
      <c r="CO13" s="542">
        <f t="shared" ca="1" si="36"/>
        <v>0</v>
      </c>
      <c r="CP13" s="542">
        <f t="shared" ca="1" si="36"/>
        <v>0</v>
      </c>
      <c r="CQ13" s="542">
        <f t="shared" ca="1" si="36"/>
        <v>0</v>
      </c>
      <c r="CR13" s="542">
        <f t="shared" ca="1" si="36"/>
        <v>0</v>
      </c>
      <c r="CS13" s="542">
        <f t="shared" ca="1" si="36"/>
        <v>0</v>
      </c>
      <c r="CT13" s="542">
        <f t="shared" ca="1" si="36"/>
        <v>0</v>
      </c>
      <c r="CU13" s="542">
        <f t="shared" ca="1" si="36"/>
        <v>0</v>
      </c>
      <c r="CW13" s="151">
        <f t="shared" ref="CW13:CW26" ca="1" si="37">SUM(BH13:CU13)</f>
        <v>0</v>
      </c>
    </row>
    <row r="14" spans="1:101" s="84" customFormat="1" outlineLevel="1" x14ac:dyDescent="0.2">
      <c r="A14" s="543"/>
      <c r="B14" s="543"/>
      <c r="C14" s="86"/>
      <c r="D14" s="61"/>
      <c r="E14" s="61"/>
      <c r="G14" s="298"/>
      <c r="H14" s="298"/>
      <c r="I14" s="298"/>
      <c r="J14" s="298"/>
      <c r="K14" s="298"/>
      <c r="L14" s="298"/>
      <c r="M14" s="298"/>
      <c r="N14" s="298"/>
      <c r="O14" s="298"/>
      <c r="P14" s="298">
        <f t="shared" si="1"/>
        <v>0</v>
      </c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5">
        <f t="shared" si="5"/>
        <v>0</v>
      </c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266">
        <f t="shared" si="8"/>
        <v>0</v>
      </c>
      <c r="BA14" s="309"/>
      <c r="BB14" s="309"/>
      <c r="BC14" s="309">
        <f t="shared" si="10"/>
        <v>0</v>
      </c>
      <c r="BE14" s="135">
        <f t="shared" si="11"/>
        <v>0</v>
      </c>
      <c r="BF14" s="135"/>
      <c r="BG14" s="543"/>
      <c r="BH14" s="541"/>
      <c r="BI14" s="542"/>
      <c r="BJ14" s="542"/>
      <c r="BK14" s="542"/>
      <c r="BL14" s="542"/>
      <c r="BM14" s="542"/>
      <c r="BN14" s="542"/>
      <c r="BO14" s="542"/>
      <c r="BP14" s="542"/>
      <c r="BQ14" s="542"/>
      <c r="BR14" s="542"/>
      <c r="BS14" s="542"/>
      <c r="BT14" s="542"/>
      <c r="BU14" s="542"/>
      <c r="BV14" s="542"/>
      <c r="BW14" s="542"/>
      <c r="BX14" s="542"/>
      <c r="BY14" s="542"/>
      <c r="BZ14" s="542"/>
      <c r="CA14" s="542"/>
      <c r="CB14" s="542"/>
      <c r="CC14" s="542"/>
      <c r="CD14" s="542"/>
      <c r="CE14" s="542"/>
      <c r="CF14" s="542"/>
      <c r="CG14" s="542"/>
      <c r="CH14" s="542"/>
      <c r="CI14" s="542"/>
      <c r="CJ14" s="542"/>
      <c r="CK14" s="542"/>
      <c r="CL14" s="542"/>
      <c r="CM14" s="542"/>
      <c r="CN14" s="542"/>
      <c r="CO14" s="542"/>
      <c r="CP14" s="542"/>
      <c r="CQ14" s="542"/>
      <c r="CR14" s="542"/>
      <c r="CS14" s="542"/>
      <c r="CT14" s="542"/>
      <c r="CU14" s="542"/>
      <c r="CW14" s="151">
        <f t="shared" si="37"/>
        <v>0</v>
      </c>
    </row>
    <row r="15" spans="1:101" s="84" customFormat="1" ht="12.75" customHeight="1" outlineLevel="1" x14ac:dyDescent="0.2">
      <c r="A15" s="543"/>
      <c r="B15" s="543"/>
      <c r="C15" s="86" t="s">
        <v>392</v>
      </c>
      <c r="D15" s="540" t="str">
        <f>INDEX(Modules[Module], MATCH($C15, Modules[Code], 0))</f>
        <v>Residential Lighting, Appliances, and Cooking</v>
      </c>
      <c r="E15" s="291"/>
      <c r="G15" s="297">
        <f t="shared" ref="G15:O16" ca="1" si="38">IFERROR(INDEX(INDIRECT($C15&amp;".Outputs["&amp;this.Year&amp;"]"), MATCH(G$5, INDIRECT($C15&amp;".Outputs[Vector]"), 0)), 0)</f>
        <v>0</v>
      </c>
      <c r="H15" s="297">
        <f t="shared" ca="1" si="38"/>
        <v>526.61525220436965</v>
      </c>
      <c r="I15" s="297">
        <f t="shared" ca="1" si="38"/>
        <v>174.69568000708523</v>
      </c>
      <c r="J15" s="297">
        <f t="shared" ca="1" si="38"/>
        <v>0</v>
      </c>
      <c r="K15" s="297">
        <f t="shared" ca="1" si="38"/>
        <v>0</v>
      </c>
      <c r="L15" s="297">
        <f t="shared" ca="1" si="38"/>
        <v>0</v>
      </c>
      <c r="M15" s="297">
        <f t="shared" ca="1" si="38"/>
        <v>0</v>
      </c>
      <c r="N15" s="297">
        <f t="shared" ca="1" si="38"/>
        <v>0</v>
      </c>
      <c r="O15" s="297">
        <f t="shared" ca="1" si="38"/>
        <v>0</v>
      </c>
      <c r="P15" s="297">
        <f t="shared" ca="1" si="1"/>
        <v>701.31093221145488</v>
      </c>
      <c r="R15" s="304">
        <f t="shared" ref="R15:AX16" ca="1" si="39">IFERROR(INDEX(INDIRECT($C15&amp;".Outputs["&amp;this.Year&amp;"]"), MATCH(R$5, INDIRECT($C15&amp;".Outputs[Vector]"), 0)), 0)</f>
        <v>-557.84210500563609</v>
      </c>
      <c r="S15" s="304">
        <f t="shared" ca="1" si="39"/>
        <v>0</v>
      </c>
      <c r="T15" s="304">
        <f t="shared" ca="1" si="39"/>
        <v>0</v>
      </c>
      <c r="U15" s="304">
        <f t="shared" ca="1" si="39"/>
        <v>-39.306528001594195</v>
      </c>
      <c r="V15" s="304">
        <f t="shared" ca="1" si="39"/>
        <v>-62.235336002524122</v>
      </c>
      <c r="W15" s="304">
        <f t="shared" ca="1" si="39"/>
        <v>-41.926963201700474</v>
      </c>
      <c r="X15" s="304">
        <f t="shared" ref="X15:Z16" ca="1" si="40">IFERROR(INDEX(INDIRECT($C15&amp;".Outputs["&amp;this.Year&amp;"]"), MATCH(X$5, INDIRECT($C15&amp;".Outputs[Vector]"), 0)), 0)</f>
        <v>0</v>
      </c>
      <c r="Y15" s="304">
        <f t="shared" ca="1" si="40"/>
        <v>0</v>
      </c>
      <c r="Z15" s="304">
        <f t="shared" ca="1" si="40"/>
        <v>0</v>
      </c>
      <c r="AA15" s="304">
        <f t="shared" ca="1" si="39"/>
        <v>0</v>
      </c>
      <c r="AB15" s="304">
        <f t="shared" ca="1" si="39"/>
        <v>0</v>
      </c>
      <c r="AC15" s="304">
        <f t="shared" ca="1" si="39"/>
        <v>0</v>
      </c>
      <c r="AD15" s="304">
        <f t="shared" ca="1" si="39"/>
        <v>0</v>
      </c>
      <c r="AE15" s="304">
        <f t="shared" ca="1" si="39"/>
        <v>0</v>
      </c>
      <c r="AF15" s="304">
        <f t="shared" ca="1" si="39"/>
        <v>0</v>
      </c>
      <c r="AG15" s="304">
        <f t="shared" ca="1" si="39"/>
        <v>0</v>
      </c>
      <c r="AH15" s="305">
        <f t="shared" ca="1" si="5"/>
        <v>-701.31093221145488</v>
      </c>
      <c r="AJ15" s="312">
        <f t="shared" ref="AJ15:AR16" ca="1" si="41">IFERROR(INDEX(INDIRECT($C15&amp;".Outputs["&amp;this.Year&amp;"]"), MATCH(AJ$5, INDIRECT($C15&amp;".Outputs[Vector]"), 0)), 0)</f>
        <v>0</v>
      </c>
      <c r="AK15" s="312">
        <f t="shared" ca="1" si="41"/>
        <v>0</v>
      </c>
      <c r="AL15" s="312">
        <f t="shared" ca="1" si="41"/>
        <v>0</v>
      </c>
      <c r="AM15" s="312">
        <f t="shared" ca="1" si="41"/>
        <v>0</v>
      </c>
      <c r="AN15" s="312">
        <f t="shared" ca="1" si="41"/>
        <v>0</v>
      </c>
      <c r="AO15" s="312">
        <f t="shared" ca="1" si="41"/>
        <v>0</v>
      </c>
      <c r="AP15" s="312">
        <f t="shared" ca="1" si="41"/>
        <v>0</v>
      </c>
      <c r="AQ15" s="312">
        <f t="shared" ca="1" si="41"/>
        <v>0</v>
      </c>
      <c r="AR15" s="312">
        <f t="shared" ca="1" si="41"/>
        <v>0</v>
      </c>
      <c r="AS15" s="312">
        <f t="shared" ca="1" si="39"/>
        <v>0</v>
      </c>
      <c r="AT15" s="312">
        <f t="shared" ca="1" si="39"/>
        <v>0</v>
      </c>
      <c r="AU15" s="312">
        <f t="shared" ca="1" si="39"/>
        <v>0</v>
      </c>
      <c r="AV15" s="312">
        <f t="shared" ca="1" si="39"/>
        <v>0</v>
      </c>
      <c r="AW15" s="312">
        <f t="shared" ca="1" si="39"/>
        <v>0</v>
      </c>
      <c r="AX15" s="312">
        <f t="shared" ca="1" si="39"/>
        <v>0</v>
      </c>
      <c r="AY15" s="266">
        <f t="shared" ca="1" si="8"/>
        <v>0</v>
      </c>
      <c r="BA15" s="308">
        <f ca="1">IFERROR(INDEX(INDIRECT($C15&amp;".Outputs["&amp;this.Year&amp;"]"), MATCH(BA$5, INDIRECT($C15&amp;".Outputs[Vector]"), 0)), 0)</f>
        <v>0</v>
      </c>
      <c r="BB15" s="308">
        <f ca="1">IFERROR(INDEX(INDIRECT($C15&amp;".Outputs["&amp;this.Year&amp;"]"), MATCH(BB$5, INDIRECT($C15&amp;".Outputs[Vector]"), 0)), 0)</f>
        <v>0</v>
      </c>
      <c r="BC15" s="309">
        <f t="shared" ca="1" si="10"/>
        <v>0</v>
      </c>
      <c r="BE15" s="135">
        <f t="shared" ca="1" si="11"/>
        <v>0</v>
      </c>
      <c r="BF15" s="135"/>
      <c r="BG15" s="1428"/>
      <c r="BH15" s="541">
        <f t="shared" ref="BH15:BQ16" ca="1" si="42">IFERROR(SUMIFS(INDIRECT($C15&amp;".Emissions["&amp;this.Year&amp;"]"), INDIRECT($C15&amp;".Emissions[GHG]"), BH$6, INDIRECT($C15&amp;".Emissions[IPCC Sector]"), BH$5),0)</f>
        <v>21.277933824862984</v>
      </c>
      <c r="BI15" s="542">
        <f t="shared" ca="1" si="42"/>
        <v>21.277933824862984</v>
      </c>
      <c r="BJ15" s="542">
        <f t="shared" ca="1" si="42"/>
        <v>21.277933824862984</v>
      </c>
      <c r="BK15" s="542">
        <f t="shared" ca="1" si="42"/>
        <v>0</v>
      </c>
      <c r="BL15" s="542">
        <f t="shared" ca="1" si="42"/>
        <v>0</v>
      </c>
      <c r="BM15" s="542">
        <f t="shared" ca="1" si="42"/>
        <v>0</v>
      </c>
      <c r="BN15" s="542">
        <f t="shared" ca="1" si="42"/>
        <v>0</v>
      </c>
      <c r="BO15" s="542">
        <f t="shared" ca="1" si="42"/>
        <v>0</v>
      </c>
      <c r="BP15" s="542">
        <f t="shared" ca="1" si="42"/>
        <v>0</v>
      </c>
      <c r="BQ15" s="542">
        <f t="shared" ca="1" si="42"/>
        <v>0</v>
      </c>
      <c r="BR15" s="542">
        <f t="shared" ref="BR15:CA16" ca="1" si="43">IFERROR(SUMIFS(INDIRECT($C15&amp;".Emissions["&amp;this.Year&amp;"]"), INDIRECT($C15&amp;".Emissions[GHG]"), BR$6, INDIRECT($C15&amp;".Emissions[IPCC Sector]"), BR$5),0)</f>
        <v>0</v>
      </c>
      <c r="BS15" s="542">
        <f t="shared" ca="1" si="43"/>
        <v>0</v>
      </c>
      <c r="BT15" s="542">
        <f t="shared" ca="1" si="43"/>
        <v>0</v>
      </c>
      <c r="BU15" s="542">
        <f t="shared" ca="1" si="43"/>
        <v>0</v>
      </c>
      <c r="BV15" s="542">
        <f t="shared" ca="1" si="43"/>
        <v>0</v>
      </c>
      <c r="BW15" s="542">
        <f t="shared" ca="1" si="43"/>
        <v>0</v>
      </c>
      <c r="BX15" s="542">
        <f t="shared" ca="1" si="43"/>
        <v>0</v>
      </c>
      <c r="BY15" s="542">
        <f t="shared" ca="1" si="43"/>
        <v>0</v>
      </c>
      <c r="BZ15" s="542">
        <f t="shared" ca="1" si="43"/>
        <v>0</v>
      </c>
      <c r="CA15" s="542">
        <f t="shared" ca="1" si="43"/>
        <v>0</v>
      </c>
      <c r="CB15" s="542">
        <f t="shared" ref="CB15:CK16" ca="1" si="44">IFERROR(SUMIFS(INDIRECT($C15&amp;".Emissions["&amp;this.Year&amp;"]"), INDIRECT($C15&amp;".Emissions[GHG]"), CB$6, INDIRECT($C15&amp;".Emissions[IPCC Sector]"), CB$5),0)</f>
        <v>0</v>
      </c>
      <c r="CC15" s="542">
        <f t="shared" ca="1" si="44"/>
        <v>0</v>
      </c>
      <c r="CD15" s="542">
        <f t="shared" ca="1" si="44"/>
        <v>0</v>
      </c>
      <c r="CE15" s="542">
        <f t="shared" ca="1" si="44"/>
        <v>0</v>
      </c>
      <c r="CF15" s="542">
        <f t="shared" ca="1" si="44"/>
        <v>0</v>
      </c>
      <c r="CG15" s="542">
        <f t="shared" ca="1" si="44"/>
        <v>0</v>
      </c>
      <c r="CH15" s="542">
        <f t="shared" ca="1" si="44"/>
        <v>0</v>
      </c>
      <c r="CI15" s="542">
        <f t="shared" ca="1" si="44"/>
        <v>0</v>
      </c>
      <c r="CJ15" s="542">
        <f t="shared" ca="1" si="44"/>
        <v>0</v>
      </c>
      <c r="CK15" s="542">
        <f t="shared" ca="1" si="44"/>
        <v>0</v>
      </c>
      <c r="CL15" s="542">
        <f t="shared" ref="CL15:CU16" ca="1" si="45">IFERROR(SUMIFS(INDIRECT($C15&amp;".Emissions["&amp;this.Year&amp;"]"), INDIRECT($C15&amp;".Emissions[GHG]"), CL$6, INDIRECT($C15&amp;".Emissions[IPCC Sector]"), CL$5),0)</f>
        <v>0</v>
      </c>
      <c r="CM15" s="542">
        <f t="shared" ca="1" si="45"/>
        <v>0</v>
      </c>
      <c r="CN15" s="542">
        <f t="shared" ca="1" si="45"/>
        <v>0</v>
      </c>
      <c r="CO15" s="542">
        <f t="shared" ca="1" si="45"/>
        <v>0</v>
      </c>
      <c r="CP15" s="542">
        <f t="shared" ca="1" si="45"/>
        <v>0</v>
      </c>
      <c r="CQ15" s="542">
        <f t="shared" ca="1" si="45"/>
        <v>0</v>
      </c>
      <c r="CR15" s="542">
        <f t="shared" ca="1" si="45"/>
        <v>0</v>
      </c>
      <c r="CS15" s="542">
        <f t="shared" ca="1" si="45"/>
        <v>0</v>
      </c>
      <c r="CT15" s="542">
        <f t="shared" ca="1" si="45"/>
        <v>0</v>
      </c>
      <c r="CU15" s="542">
        <f t="shared" ca="1" si="45"/>
        <v>0</v>
      </c>
      <c r="CW15" s="151">
        <f t="shared" ca="1" si="37"/>
        <v>63.833801474588952</v>
      </c>
    </row>
    <row r="16" spans="1:101" s="84" customFormat="1" ht="12.75" customHeight="1" outlineLevel="1" x14ac:dyDescent="0.2">
      <c r="A16" s="543"/>
      <c r="B16" s="543"/>
      <c r="C16" s="86" t="s">
        <v>393</v>
      </c>
      <c r="D16" s="292" t="str">
        <f>INDEX(Modules[Module], MATCH($C16, Modules[Code], 0))</f>
        <v>Service Sector Lighting, Appliances, and Cooking</v>
      </c>
      <c r="E16" s="292"/>
      <c r="G16" s="301">
        <f t="shared" ca="1" si="38"/>
        <v>0</v>
      </c>
      <c r="H16" s="301">
        <f t="shared" ca="1" si="38"/>
        <v>26.348868394699995</v>
      </c>
      <c r="I16" s="301">
        <f t="shared" ca="1" si="38"/>
        <v>29.466348608976912</v>
      </c>
      <c r="J16" s="301">
        <f t="shared" ca="1" si="38"/>
        <v>0</v>
      </c>
      <c r="K16" s="301">
        <f t="shared" ca="1" si="38"/>
        <v>0</v>
      </c>
      <c r="L16" s="301">
        <f t="shared" ca="1" si="38"/>
        <v>0</v>
      </c>
      <c r="M16" s="301">
        <f t="shared" ca="1" si="38"/>
        <v>0</v>
      </c>
      <c r="N16" s="301">
        <f t="shared" ca="1" si="38"/>
        <v>0</v>
      </c>
      <c r="O16" s="301">
        <f t="shared" ca="1" si="38"/>
        <v>0</v>
      </c>
      <c r="P16" s="301">
        <f t="shared" ca="1" si="1"/>
        <v>55.815217003676906</v>
      </c>
      <c r="R16" s="307">
        <f t="shared" ca="1" si="39"/>
        <v>-31.615978208554619</v>
      </c>
      <c r="S16" s="307">
        <f t="shared" ca="1" si="39"/>
        <v>0</v>
      </c>
      <c r="T16" s="307">
        <f t="shared" ca="1" si="39"/>
        <v>0</v>
      </c>
      <c r="U16" s="307">
        <f t="shared" ca="1" si="39"/>
        <v>-6.6299284370198048</v>
      </c>
      <c r="V16" s="307">
        <f t="shared" ca="1" si="39"/>
        <v>-10.497386691948025</v>
      </c>
      <c r="W16" s="307">
        <f t="shared" ca="1" si="39"/>
        <v>-7.0719236661544587</v>
      </c>
      <c r="X16" s="307">
        <f t="shared" ca="1" si="40"/>
        <v>0</v>
      </c>
      <c r="Y16" s="307">
        <f t="shared" ca="1" si="40"/>
        <v>0</v>
      </c>
      <c r="Z16" s="307">
        <f t="shared" ca="1" si="40"/>
        <v>0</v>
      </c>
      <c r="AA16" s="307">
        <f t="shared" ca="1" si="39"/>
        <v>0</v>
      </c>
      <c r="AB16" s="307">
        <f t="shared" ca="1" si="39"/>
        <v>0</v>
      </c>
      <c r="AC16" s="307">
        <f t="shared" ca="1" si="39"/>
        <v>0</v>
      </c>
      <c r="AD16" s="307">
        <f t="shared" ca="1" si="39"/>
        <v>0</v>
      </c>
      <c r="AE16" s="307">
        <f t="shared" ca="1" si="39"/>
        <v>0</v>
      </c>
      <c r="AF16" s="307">
        <f t="shared" ca="1" si="39"/>
        <v>0</v>
      </c>
      <c r="AG16" s="307">
        <f t="shared" ca="1" si="39"/>
        <v>0</v>
      </c>
      <c r="AH16" s="306">
        <f t="shared" ca="1" si="5"/>
        <v>-55.815217003676906</v>
      </c>
      <c r="AJ16" s="315">
        <f t="shared" ca="1" si="41"/>
        <v>0</v>
      </c>
      <c r="AK16" s="315">
        <f t="shared" ca="1" si="41"/>
        <v>0</v>
      </c>
      <c r="AL16" s="315">
        <f t="shared" ca="1" si="41"/>
        <v>0</v>
      </c>
      <c r="AM16" s="315">
        <f t="shared" ca="1" si="41"/>
        <v>0</v>
      </c>
      <c r="AN16" s="315">
        <f t="shared" ca="1" si="41"/>
        <v>0</v>
      </c>
      <c r="AO16" s="315">
        <f t="shared" ca="1" si="41"/>
        <v>0</v>
      </c>
      <c r="AP16" s="315">
        <f t="shared" ca="1" si="41"/>
        <v>0</v>
      </c>
      <c r="AQ16" s="315">
        <f t="shared" ca="1" si="41"/>
        <v>0</v>
      </c>
      <c r="AR16" s="315">
        <f t="shared" ca="1" si="41"/>
        <v>0</v>
      </c>
      <c r="AS16" s="315">
        <f t="shared" ca="1" si="39"/>
        <v>0</v>
      </c>
      <c r="AT16" s="315">
        <f t="shared" ca="1" si="39"/>
        <v>0</v>
      </c>
      <c r="AU16" s="315">
        <f t="shared" ca="1" si="39"/>
        <v>0</v>
      </c>
      <c r="AV16" s="315">
        <f t="shared" ca="1" si="39"/>
        <v>0</v>
      </c>
      <c r="AW16" s="315">
        <f t="shared" ca="1" si="39"/>
        <v>0</v>
      </c>
      <c r="AX16" s="315">
        <f t="shared" ca="1" si="39"/>
        <v>0</v>
      </c>
      <c r="AY16" s="293">
        <f t="shared" ca="1" si="8"/>
        <v>0</v>
      </c>
      <c r="BA16" s="311">
        <f ca="1">IFERROR(INDEX(INDIRECT($C16&amp;".Outputs["&amp;this.Year&amp;"]"), MATCH(BA$5, INDIRECT($C16&amp;".Outputs[Vector]"), 0)), 0)</f>
        <v>0</v>
      </c>
      <c r="BB16" s="311">
        <f ca="1">IFERROR(INDEX(INDIRECT($C16&amp;".Outputs["&amp;this.Year&amp;"]"), MATCH(BB$5, INDIRECT($C16&amp;".Outputs[Vector]"), 0)), 0)</f>
        <v>0</v>
      </c>
      <c r="BC16" s="310">
        <f t="shared" ca="1" si="10"/>
        <v>0</v>
      </c>
      <c r="BE16" s="135">
        <f t="shared" ca="1" si="11"/>
        <v>0</v>
      </c>
      <c r="BF16" s="135"/>
      <c r="BG16" s="1428"/>
      <c r="BH16" s="544">
        <f t="shared" ca="1" si="42"/>
        <v>3.5890012605733874</v>
      </c>
      <c r="BI16" s="545">
        <f t="shared" ca="1" si="42"/>
        <v>5.9352612168686262E-3</v>
      </c>
      <c r="BJ16" s="545">
        <f t="shared" ca="1" si="42"/>
        <v>3.3985703780813677E-2</v>
      </c>
      <c r="BK16" s="545">
        <f t="shared" ca="1" si="42"/>
        <v>0</v>
      </c>
      <c r="BL16" s="545">
        <f t="shared" ca="1" si="42"/>
        <v>0</v>
      </c>
      <c r="BM16" s="545">
        <f t="shared" ca="1" si="42"/>
        <v>0</v>
      </c>
      <c r="BN16" s="545">
        <f t="shared" ca="1" si="42"/>
        <v>0</v>
      </c>
      <c r="BO16" s="545">
        <f t="shared" ca="1" si="42"/>
        <v>0</v>
      </c>
      <c r="BP16" s="545">
        <f t="shared" ca="1" si="42"/>
        <v>0</v>
      </c>
      <c r="BQ16" s="545">
        <f t="shared" ca="1" si="42"/>
        <v>0</v>
      </c>
      <c r="BR16" s="545">
        <f t="shared" ca="1" si="43"/>
        <v>0</v>
      </c>
      <c r="BS16" s="545">
        <f t="shared" ca="1" si="43"/>
        <v>0</v>
      </c>
      <c r="BT16" s="545">
        <f t="shared" ca="1" si="43"/>
        <v>0</v>
      </c>
      <c r="BU16" s="545">
        <f t="shared" ca="1" si="43"/>
        <v>0</v>
      </c>
      <c r="BV16" s="545">
        <f t="shared" ca="1" si="43"/>
        <v>0</v>
      </c>
      <c r="BW16" s="545">
        <f t="shared" ca="1" si="43"/>
        <v>0</v>
      </c>
      <c r="BX16" s="545">
        <f t="shared" ca="1" si="43"/>
        <v>0</v>
      </c>
      <c r="BY16" s="545">
        <f t="shared" ca="1" si="43"/>
        <v>0</v>
      </c>
      <c r="BZ16" s="545">
        <f t="shared" ca="1" si="43"/>
        <v>0</v>
      </c>
      <c r="CA16" s="545">
        <f t="shared" ca="1" si="43"/>
        <v>0</v>
      </c>
      <c r="CB16" s="545">
        <f t="shared" ca="1" si="44"/>
        <v>0</v>
      </c>
      <c r="CC16" s="545">
        <f t="shared" ca="1" si="44"/>
        <v>0</v>
      </c>
      <c r="CD16" s="545">
        <f t="shared" ca="1" si="44"/>
        <v>0</v>
      </c>
      <c r="CE16" s="545">
        <f t="shared" ca="1" si="44"/>
        <v>0</v>
      </c>
      <c r="CF16" s="545">
        <f t="shared" ca="1" si="44"/>
        <v>0</v>
      </c>
      <c r="CG16" s="545">
        <f t="shared" ca="1" si="44"/>
        <v>0</v>
      </c>
      <c r="CH16" s="545">
        <f t="shared" ca="1" si="44"/>
        <v>0</v>
      </c>
      <c r="CI16" s="545">
        <f t="shared" ca="1" si="44"/>
        <v>0</v>
      </c>
      <c r="CJ16" s="545">
        <f t="shared" ca="1" si="44"/>
        <v>0</v>
      </c>
      <c r="CK16" s="545">
        <f t="shared" ca="1" si="44"/>
        <v>0</v>
      </c>
      <c r="CL16" s="545">
        <f t="shared" ca="1" si="45"/>
        <v>0</v>
      </c>
      <c r="CM16" s="545">
        <f t="shared" ca="1" si="45"/>
        <v>0</v>
      </c>
      <c r="CN16" s="545">
        <f t="shared" ca="1" si="45"/>
        <v>0</v>
      </c>
      <c r="CO16" s="545">
        <f t="shared" ca="1" si="45"/>
        <v>0</v>
      </c>
      <c r="CP16" s="545">
        <f t="shared" ca="1" si="45"/>
        <v>0</v>
      </c>
      <c r="CQ16" s="545">
        <f t="shared" ca="1" si="45"/>
        <v>0</v>
      </c>
      <c r="CR16" s="545">
        <f t="shared" ca="1" si="45"/>
        <v>0</v>
      </c>
      <c r="CS16" s="545">
        <f t="shared" ca="1" si="45"/>
        <v>0</v>
      </c>
      <c r="CT16" s="545">
        <f t="shared" ca="1" si="45"/>
        <v>0</v>
      </c>
      <c r="CU16" s="545">
        <f t="shared" ca="1" si="45"/>
        <v>0</v>
      </c>
      <c r="CW16" s="151">
        <f t="shared" ca="1" si="37"/>
        <v>3.6289222255710696</v>
      </c>
    </row>
    <row r="17" spans="1:101" s="84" customFormat="1" ht="15.75" x14ac:dyDescent="0.2">
      <c r="A17" s="18"/>
      <c r="B17" s="89"/>
      <c r="C17" s="85" t="s">
        <v>230</v>
      </c>
      <c r="D17" s="57" t="str">
        <f>INDEX(Workstreams[Workstream], MATCH($C17, Workstreams[Code], 0))</f>
        <v>Lighting, Appliances &amp; Cooking</v>
      </c>
      <c r="E17" s="53"/>
      <c r="G17" s="300">
        <f ca="1">G15+G16</f>
        <v>0</v>
      </c>
      <c r="H17" s="300">
        <f t="shared" ref="H17:O17" ca="1" si="46">H15+H16</f>
        <v>552.9641205990697</v>
      </c>
      <c r="I17" s="300">
        <f ca="1">I15+I16</f>
        <v>204.16202861606214</v>
      </c>
      <c r="J17" s="300">
        <f t="shared" ca="1" si="46"/>
        <v>0</v>
      </c>
      <c r="K17" s="300">
        <f t="shared" ca="1" si="46"/>
        <v>0</v>
      </c>
      <c r="L17" s="300">
        <f t="shared" ca="1" si="46"/>
        <v>0</v>
      </c>
      <c r="M17" s="300">
        <f t="shared" ca="1" si="46"/>
        <v>0</v>
      </c>
      <c r="N17" s="300">
        <f t="shared" ca="1" si="46"/>
        <v>0</v>
      </c>
      <c r="O17" s="300">
        <f t="shared" ca="1" si="46"/>
        <v>0</v>
      </c>
      <c r="P17" s="300">
        <f t="shared" ca="1" si="1"/>
        <v>757.12614921513182</v>
      </c>
      <c r="R17" s="257">
        <f ca="1">R15+R16</f>
        <v>-589.45808321419065</v>
      </c>
      <c r="S17" s="257">
        <f t="shared" ref="S17:AE17" ca="1" si="47">S15+S16</f>
        <v>0</v>
      </c>
      <c r="T17" s="257">
        <f t="shared" ca="1" si="47"/>
        <v>0</v>
      </c>
      <c r="U17" s="257">
        <f t="shared" ca="1" si="47"/>
        <v>-45.936456438614002</v>
      </c>
      <c r="V17" s="257">
        <f t="shared" ca="1" si="47"/>
        <v>-72.732722694472145</v>
      </c>
      <c r="W17" s="257">
        <f ca="1">W15+W16</f>
        <v>-48.998886867854935</v>
      </c>
      <c r="X17" s="257">
        <f ca="1">X15+X16</f>
        <v>0</v>
      </c>
      <c r="Y17" s="257">
        <f ca="1">Y15+Y16</f>
        <v>0</v>
      </c>
      <c r="Z17" s="257">
        <f ca="1">Z15+Z16</f>
        <v>0</v>
      </c>
      <c r="AA17" s="257">
        <f t="shared" ca="1" si="47"/>
        <v>0</v>
      </c>
      <c r="AB17" s="257">
        <f t="shared" ca="1" si="47"/>
        <v>0</v>
      </c>
      <c r="AC17" s="257">
        <f ca="1">AC15+AC16</f>
        <v>0</v>
      </c>
      <c r="AD17" s="257">
        <f ca="1">AD15+AD16</f>
        <v>0</v>
      </c>
      <c r="AE17" s="257">
        <f t="shared" ca="1" si="47"/>
        <v>0</v>
      </c>
      <c r="AF17" s="257">
        <f ca="1">AF15+AF16</f>
        <v>0</v>
      </c>
      <c r="AG17" s="257">
        <f ca="1">AG15+AG16</f>
        <v>0</v>
      </c>
      <c r="AH17" s="257">
        <f t="shared" ca="1" si="5"/>
        <v>-757.1261492151317</v>
      </c>
      <c r="AJ17" s="263">
        <f t="shared" ref="AJ17:AX17" ca="1" si="48">AJ15+AJ16</f>
        <v>0</v>
      </c>
      <c r="AK17" s="263">
        <f t="shared" ca="1" si="48"/>
        <v>0</v>
      </c>
      <c r="AL17" s="263">
        <f t="shared" ca="1" si="48"/>
        <v>0</v>
      </c>
      <c r="AM17" s="263">
        <f t="shared" ca="1" si="48"/>
        <v>0</v>
      </c>
      <c r="AN17" s="263">
        <f t="shared" ca="1" si="48"/>
        <v>0</v>
      </c>
      <c r="AO17" s="263">
        <f t="shared" ca="1" si="48"/>
        <v>0</v>
      </c>
      <c r="AP17" s="263">
        <f t="shared" ca="1" si="48"/>
        <v>0</v>
      </c>
      <c r="AQ17" s="263">
        <f t="shared" ca="1" si="48"/>
        <v>0</v>
      </c>
      <c r="AR17" s="263">
        <f t="shared" ca="1" si="48"/>
        <v>0</v>
      </c>
      <c r="AS17" s="263">
        <f t="shared" ca="1" si="48"/>
        <v>0</v>
      </c>
      <c r="AT17" s="263">
        <f t="shared" ca="1" si="48"/>
        <v>0</v>
      </c>
      <c r="AU17" s="263">
        <f t="shared" ca="1" si="48"/>
        <v>0</v>
      </c>
      <c r="AV17" s="263">
        <f t="shared" ca="1" si="48"/>
        <v>0</v>
      </c>
      <c r="AW17" s="263">
        <f t="shared" ca="1" si="48"/>
        <v>0</v>
      </c>
      <c r="AX17" s="263">
        <f t="shared" ca="1" si="48"/>
        <v>0</v>
      </c>
      <c r="AY17" s="263">
        <f t="shared" ca="1" si="8"/>
        <v>0</v>
      </c>
      <c r="BA17" s="277">
        <f ca="1">BA15+BA16</f>
        <v>0</v>
      </c>
      <c r="BB17" s="277">
        <f ca="1">BB15+BB16</f>
        <v>0</v>
      </c>
      <c r="BC17" s="277">
        <f t="shared" ca="1" si="10"/>
        <v>0</v>
      </c>
      <c r="BE17" s="55">
        <f t="shared" ca="1" si="11"/>
        <v>1.1368683772161603E-13</v>
      </c>
      <c r="BF17" s="55"/>
      <c r="BG17" s="1428"/>
      <c r="BH17" s="542">
        <f t="shared" ref="BH17:CU17" ca="1" si="49">BH15+BH16</f>
        <v>24.866935085436371</v>
      </c>
      <c r="BI17" s="542">
        <f t="shared" ca="1" si="49"/>
        <v>21.283869086079854</v>
      </c>
      <c r="BJ17" s="542">
        <f t="shared" ca="1" si="49"/>
        <v>21.311919528643799</v>
      </c>
      <c r="BK17" s="542">
        <f t="shared" ca="1" si="49"/>
        <v>0</v>
      </c>
      <c r="BL17" s="542">
        <f t="shared" ca="1" si="49"/>
        <v>0</v>
      </c>
      <c r="BM17" s="542">
        <f t="shared" ca="1" si="49"/>
        <v>0</v>
      </c>
      <c r="BN17" s="542">
        <f t="shared" ca="1" si="49"/>
        <v>0</v>
      </c>
      <c r="BO17" s="542">
        <f t="shared" ca="1" si="49"/>
        <v>0</v>
      </c>
      <c r="BP17" s="542">
        <f t="shared" ca="1" si="49"/>
        <v>0</v>
      </c>
      <c r="BQ17" s="542">
        <f t="shared" ca="1" si="49"/>
        <v>0</v>
      </c>
      <c r="BR17" s="542">
        <f t="shared" ca="1" si="49"/>
        <v>0</v>
      </c>
      <c r="BS17" s="542">
        <f t="shared" ca="1" si="49"/>
        <v>0</v>
      </c>
      <c r="BT17" s="542">
        <f t="shared" ca="1" si="49"/>
        <v>0</v>
      </c>
      <c r="BU17" s="542">
        <f t="shared" ca="1" si="49"/>
        <v>0</v>
      </c>
      <c r="BV17" s="542">
        <f t="shared" ca="1" si="49"/>
        <v>0</v>
      </c>
      <c r="BW17" s="542">
        <f t="shared" ca="1" si="49"/>
        <v>0</v>
      </c>
      <c r="BX17" s="542">
        <f t="shared" ca="1" si="49"/>
        <v>0</v>
      </c>
      <c r="BY17" s="542">
        <f t="shared" ca="1" si="49"/>
        <v>0</v>
      </c>
      <c r="BZ17" s="542">
        <f t="shared" ca="1" si="49"/>
        <v>0</v>
      </c>
      <c r="CA17" s="542">
        <f t="shared" ca="1" si="49"/>
        <v>0</v>
      </c>
      <c r="CB17" s="542">
        <f t="shared" ca="1" si="49"/>
        <v>0</v>
      </c>
      <c r="CC17" s="542">
        <f t="shared" ca="1" si="49"/>
        <v>0</v>
      </c>
      <c r="CD17" s="542">
        <f t="shared" ca="1" si="49"/>
        <v>0</v>
      </c>
      <c r="CE17" s="542">
        <f t="shared" ca="1" si="49"/>
        <v>0</v>
      </c>
      <c r="CF17" s="542">
        <f t="shared" ca="1" si="49"/>
        <v>0</v>
      </c>
      <c r="CG17" s="542">
        <f t="shared" ca="1" si="49"/>
        <v>0</v>
      </c>
      <c r="CH17" s="542">
        <f t="shared" ca="1" si="49"/>
        <v>0</v>
      </c>
      <c r="CI17" s="542">
        <f t="shared" ca="1" si="49"/>
        <v>0</v>
      </c>
      <c r="CJ17" s="542">
        <f t="shared" ca="1" si="49"/>
        <v>0</v>
      </c>
      <c r="CK17" s="542">
        <f t="shared" ca="1" si="49"/>
        <v>0</v>
      </c>
      <c r="CL17" s="542">
        <f t="shared" ca="1" si="49"/>
        <v>0</v>
      </c>
      <c r="CM17" s="542">
        <f t="shared" ca="1" si="49"/>
        <v>0</v>
      </c>
      <c r="CN17" s="542">
        <f t="shared" ca="1" si="49"/>
        <v>0</v>
      </c>
      <c r="CO17" s="542">
        <f t="shared" ca="1" si="49"/>
        <v>0</v>
      </c>
      <c r="CP17" s="542">
        <f t="shared" ca="1" si="49"/>
        <v>0</v>
      </c>
      <c r="CQ17" s="542">
        <f t="shared" ca="1" si="49"/>
        <v>0</v>
      </c>
      <c r="CR17" s="542">
        <f t="shared" ca="1" si="49"/>
        <v>0</v>
      </c>
      <c r="CS17" s="542">
        <f t="shared" ca="1" si="49"/>
        <v>0</v>
      </c>
      <c r="CT17" s="542">
        <f t="shared" ca="1" si="49"/>
        <v>0</v>
      </c>
      <c r="CU17" s="542">
        <f t="shared" ca="1" si="49"/>
        <v>0</v>
      </c>
      <c r="CW17" s="151">
        <f t="shared" ca="1" si="37"/>
        <v>67.462723700160026</v>
      </c>
    </row>
    <row r="18" spans="1:101" s="84" customFormat="1" ht="12.75" customHeight="1" outlineLevel="1" x14ac:dyDescent="0.2">
      <c r="A18" s="543"/>
      <c r="B18" s="543"/>
      <c r="C18" s="86"/>
      <c r="D18" s="61"/>
      <c r="E18" s="61"/>
      <c r="G18" s="298"/>
      <c r="H18" s="298"/>
      <c r="I18" s="298"/>
      <c r="J18" s="298"/>
      <c r="K18" s="298"/>
      <c r="L18" s="298"/>
      <c r="M18" s="298"/>
      <c r="N18" s="298"/>
      <c r="O18" s="298"/>
      <c r="P18" s="298">
        <f t="shared" si="1"/>
        <v>0</v>
      </c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>
        <f t="shared" si="5"/>
        <v>0</v>
      </c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266">
        <f t="shared" si="8"/>
        <v>0</v>
      </c>
      <c r="BA18" s="309"/>
      <c r="BB18" s="309"/>
      <c r="BC18" s="309">
        <f t="shared" si="10"/>
        <v>0</v>
      </c>
      <c r="BE18" s="135">
        <f t="shared" si="11"/>
        <v>0</v>
      </c>
      <c r="BF18" s="135"/>
      <c r="BG18" s="543"/>
      <c r="BH18" s="541"/>
      <c r="BI18" s="542"/>
      <c r="BJ18" s="542"/>
      <c r="BK18" s="542"/>
      <c r="BL18" s="542"/>
      <c r="BM18" s="542"/>
      <c r="BN18" s="542"/>
      <c r="BO18" s="542"/>
      <c r="BP18" s="542"/>
      <c r="BQ18" s="542"/>
      <c r="BR18" s="542"/>
      <c r="BS18" s="542"/>
      <c r="BT18" s="542"/>
      <c r="BU18" s="542"/>
      <c r="BV18" s="542"/>
      <c r="BW18" s="542"/>
      <c r="BX18" s="542"/>
      <c r="BY18" s="542"/>
      <c r="BZ18" s="542"/>
      <c r="CA18" s="542"/>
      <c r="CB18" s="542"/>
      <c r="CC18" s="542"/>
      <c r="CD18" s="542"/>
      <c r="CE18" s="542"/>
      <c r="CF18" s="542"/>
      <c r="CG18" s="542"/>
      <c r="CH18" s="542"/>
      <c r="CI18" s="542"/>
      <c r="CJ18" s="542"/>
      <c r="CK18" s="542"/>
      <c r="CL18" s="542"/>
      <c r="CM18" s="542"/>
      <c r="CN18" s="542"/>
      <c r="CO18" s="542"/>
      <c r="CP18" s="542"/>
      <c r="CQ18" s="542"/>
      <c r="CR18" s="542"/>
      <c r="CS18" s="542"/>
      <c r="CT18" s="542"/>
      <c r="CU18" s="542"/>
      <c r="CW18" s="151">
        <f t="shared" si="37"/>
        <v>0</v>
      </c>
    </row>
    <row r="19" spans="1:101" s="84" customFormat="1" ht="12.75" customHeight="1" outlineLevel="1" x14ac:dyDescent="0.2">
      <c r="A19" s="543"/>
      <c r="B19" s="543"/>
      <c r="C19" s="86" t="s">
        <v>360</v>
      </c>
      <c r="D19" s="292" t="str">
        <f>INDEX(Modules[Module], MATCH($C19, Modules[Code], 0))</f>
        <v>Industrial processes</v>
      </c>
      <c r="E19" s="292"/>
      <c r="G19" s="301">
        <f t="shared" ref="G19:O19" ca="1" si="50">IFERROR(INDEX(INDIRECT($C19&amp;".Outputs["&amp;this.Year&amp;"]"), MATCH(G$5, INDIRECT($C19&amp;".Outputs[Vector]"), 0)), 0)</f>
        <v>0</v>
      </c>
      <c r="H19" s="301">
        <f t="shared" ca="1" si="50"/>
        <v>0</v>
      </c>
      <c r="I19" s="301">
        <f t="shared" ca="1" si="50"/>
        <v>0</v>
      </c>
      <c r="J19" s="301">
        <f t="shared" ca="1" si="50"/>
        <v>162.92714427345283</v>
      </c>
      <c r="K19" s="301">
        <f t="shared" ca="1" si="50"/>
        <v>0</v>
      </c>
      <c r="L19" s="301">
        <f t="shared" ca="1" si="50"/>
        <v>0</v>
      </c>
      <c r="M19" s="301">
        <f t="shared" ca="1" si="50"/>
        <v>0</v>
      </c>
      <c r="N19" s="301">
        <f t="shared" ca="1" si="50"/>
        <v>0</v>
      </c>
      <c r="O19" s="301">
        <f t="shared" ca="1" si="50"/>
        <v>0</v>
      </c>
      <c r="P19" s="301">
        <f t="shared" ca="1" si="1"/>
        <v>162.92714427345283</v>
      </c>
      <c r="R19" s="307">
        <f t="shared" ref="R19:AX19" ca="1" si="51">IFERROR(INDEX(INDIRECT($C19&amp;".Outputs["&amp;this.Year&amp;"]"), MATCH(R$5, INDIRECT($C19&amp;".Outputs[Vector]"), 0)), 0)</f>
        <v>-34.622018158108723</v>
      </c>
      <c r="S19" s="307">
        <f t="shared" ca="1" si="51"/>
        <v>0</v>
      </c>
      <c r="T19" s="307">
        <f t="shared" ca="1" si="51"/>
        <v>-4.8063507560668581</v>
      </c>
      <c r="U19" s="307">
        <f t="shared" ca="1" si="51"/>
        <v>-33.318601003921103</v>
      </c>
      <c r="V19" s="307">
        <f t="shared" ca="1" si="51"/>
        <v>-80.893327131769325</v>
      </c>
      <c r="W19" s="307">
        <f t="shared" ca="1" si="51"/>
        <v>-9.2868472235868111</v>
      </c>
      <c r="X19" s="307">
        <f ca="1">IFERROR(INDEX(INDIRECT($C19&amp;".Outputs["&amp;this.Year&amp;"]"), MATCH(X$5, INDIRECT($C19&amp;".Outputs[Vector]"), 0)), 0)</f>
        <v>0</v>
      </c>
      <c r="Y19" s="307">
        <f ca="1">IFERROR(INDEX(INDIRECT($C19&amp;".Outputs["&amp;this.Year&amp;"]"), MATCH(Y$5, INDIRECT($C19&amp;".Outputs[Vector]"), 0)), 0)</f>
        <v>0</v>
      </c>
      <c r="Z19" s="307">
        <f ca="1">IFERROR(INDEX(INDIRECT($C19&amp;".Outputs["&amp;this.Year&amp;"]"), MATCH(Z$5, INDIRECT($C19&amp;".Outputs[Vector]"), 0)), 0)</f>
        <v>0</v>
      </c>
      <c r="AA19" s="307">
        <f t="shared" ca="1" si="51"/>
        <v>0</v>
      </c>
      <c r="AB19" s="307">
        <f t="shared" ca="1" si="51"/>
        <v>0</v>
      </c>
      <c r="AC19" s="307">
        <f t="shared" ca="1" si="51"/>
        <v>0</v>
      </c>
      <c r="AD19" s="307">
        <f t="shared" ca="1" si="51"/>
        <v>0</v>
      </c>
      <c r="AE19" s="307">
        <f t="shared" ca="1" si="51"/>
        <v>0</v>
      </c>
      <c r="AF19" s="307">
        <f t="shared" ca="1" si="51"/>
        <v>0</v>
      </c>
      <c r="AG19" s="307">
        <f t="shared" ca="1" si="51"/>
        <v>0</v>
      </c>
      <c r="AH19" s="306">
        <f t="shared" ca="1" si="5"/>
        <v>-162.92714427345283</v>
      </c>
      <c r="AJ19" s="315">
        <f t="shared" ref="AJ19:AR19" ca="1" si="52">IFERROR(INDEX(INDIRECT($C19&amp;".Outputs["&amp;this.Year&amp;"]"), MATCH(AJ$5, INDIRECT($C19&amp;".Outputs[Vector]"), 0)), 0)</f>
        <v>0</v>
      </c>
      <c r="AK19" s="315">
        <f t="shared" ca="1" si="52"/>
        <v>0</v>
      </c>
      <c r="AL19" s="315">
        <f t="shared" ca="1" si="52"/>
        <v>0</v>
      </c>
      <c r="AM19" s="315">
        <f t="shared" ca="1" si="52"/>
        <v>0</v>
      </c>
      <c r="AN19" s="315">
        <f t="shared" ca="1" si="52"/>
        <v>0</v>
      </c>
      <c r="AO19" s="315">
        <f t="shared" ca="1" si="52"/>
        <v>0</v>
      </c>
      <c r="AP19" s="315">
        <f t="shared" ca="1" si="52"/>
        <v>0</v>
      </c>
      <c r="AQ19" s="315">
        <f t="shared" ca="1" si="52"/>
        <v>0</v>
      </c>
      <c r="AR19" s="315">
        <f t="shared" ca="1" si="52"/>
        <v>0</v>
      </c>
      <c r="AS19" s="315">
        <f t="shared" ca="1" si="51"/>
        <v>0</v>
      </c>
      <c r="AT19" s="315">
        <f t="shared" ca="1" si="51"/>
        <v>0</v>
      </c>
      <c r="AU19" s="315">
        <f t="shared" ca="1" si="51"/>
        <v>0</v>
      </c>
      <c r="AV19" s="315">
        <f t="shared" ca="1" si="51"/>
        <v>0</v>
      </c>
      <c r="AW19" s="315">
        <f t="shared" ca="1" si="51"/>
        <v>0</v>
      </c>
      <c r="AX19" s="315">
        <f t="shared" ca="1" si="51"/>
        <v>0</v>
      </c>
      <c r="AY19" s="293">
        <f t="shared" ca="1" si="8"/>
        <v>0</v>
      </c>
      <c r="BA19" s="311">
        <f ca="1">IFERROR(INDEX(INDIRECT($C19&amp;".Outputs["&amp;this.Year&amp;"]"), MATCH(BA$5, INDIRECT($C19&amp;".Outputs[Vector]"), 0)), 0)</f>
        <v>0</v>
      </c>
      <c r="BB19" s="311">
        <f ca="1">IFERROR(INDEX(INDIRECT($C19&amp;".Outputs["&amp;this.Year&amp;"]"), MATCH(BB$5, INDIRECT($C19&amp;".Outputs[Vector]"), 0)), 0)</f>
        <v>0</v>
      </c>
      <c r="BC19" s="310">
        <f t="shared" ca="1" si="10"/>
        <v>0</v>
      </c>
      <c r="BE19" s="135">
        <f t="shared" ca="1" si="11"/>
        <v>0</v>
      </c>
      <c r="BF19" s="135"/>
      <c r="BG19" s="1428"/>
      <c r="BH19" s="544">
        <f t="shared" ref="BH19:CU19" ca="1" si="53">IFERROR(SUMIFS(INDIRECT($C19&amp;".Emissions["&amp;this.Year&amp;"]"), INDIRECT($C19&amp;".Emissions[GHG]"), BH$6, INDIRECT($C19&amp;".Emissions[IPCC Sector]"), BH$5),0)</f>
        <v>24.694378476094421</v>
      </c>
      <c r="BI19" s="545">
        <f t="shared" ca="1" si="53"/>
        <v>4.4554644074984703E-2</v>
      </c>
      <c r="BJ19" s="545">
        <f t="shared" ca="1" si="53"/>
        <v>0.19507077297366815</v>
      </c>
      <c r="BK19" s="545">
        <f t="shared" ca="1" si="53"/>
        <v>0</v>
      </c>
      <c r="BL19" s="545">
        <f t="shared" ca="1" si="53"/>
        <v>0</v>
      </c>
      <c r="BM19" s="545">
        <f t="shared" ca="1" si="53"/>
        <v>0</v>
      </c>
      <c r="BN19" s="545">
        <f t="shared" ca="1" si="53"/>
        <v>0</v>
      </c>
      <c r="BO19" s="545">
        <f t="shared" ca="1" si="53"/>
        <v>0</v>
      </c>
      <c r="BP19" s="545">
        <f t="shared" ca="1" si="53"/>
        <v>14.56512145051156</v>
      </c>
      <c r="BQ19" s="545">
        <f t="shared" ca="1" si="53"/>
        <v>0.13724706750893978</v>
      </c>
      <c r="BR19" s="545">
        <f t="shared" ca="1" si="53"/>
        <v>3.6780489244177157</v>
      </c>
      <c r="BS19" s="545">
        <f t="shared" ca="1" si="53"/>
        <v>8.1828353065213193</v>
      </c>
      <c r="BT19" s="545">
        <f t="shared" ca="1" si="53"/>
        <v>0</v>
      </c>
      <c r="BU19" s="545">
        <f t="shared" ca="1" si="53"/>
        <v>0</v>
      </c>
      <c r="BV19" s="545">
        <f t="shared" ca="1" si="53"/>
        <v>0</v>
      </c>
      <c r="BW19" s="545">
        <f t="shared" ca="1" si="53"/>
        <v>0</v>
      </c>
      <c r="BX19" s="545">
        <f t="shared" ca="1" si="53"/>
        <v>0</v>
      </c>
      <c r="BY19" s="545">
        <f t="shared" ca="1" si="53"/>
        <v>0</v>
      </c>
      <c r="BZ19" s="545">
        <f t="shared" ca="1" si="53"/>
        <v>0</v>
      </c>
      <c r="CA19" s="545">
        <f t="shared" ca="1" si="53"/>
        <v>0</v>
      </c>
      <c r="CB19" s="545">
        <f t="shared" ca="1" si="53"/>
        <v>0</v>
      </c>
      <c r="CC19" s="545">
        <f t="shared" ca="1" si="53"/>
        <v>0</v>
      </c>
      <c r="CD19" s="545">
        <f t="shared" ca="1" si="53"/>
        <v>0</v>
      </c>
      <c r="CE19" s="545">
        <f t="shared" ca="1" si="53"/>
        <v>0</v>
      </c>
      <c r="CF19" s="545">
        <f t="shared" ca="1" si="53"/>
        <v>0</v>
      </c>
      <c r="CG19" s="545">
        <f t="shared" ca="1" si="53"/>
        <v>0</v>
      </c>
      <c r="CH19" s="545">
        <f t="shared" ca="1" si="53"/>
        <v>0</v>
      </c>
      <c r="CI19" s="545">
        <f t="shared" ca="1" si="53"/>
        <v>0</v>
      </c>
      <c r="CJ19" s="545">
        <f t="shared" ca="1" si="53"/>
        <v>0</v>
      </c>
      <c r="CK19" s="545">
        <f t="shared" ca="1" si="53"/>
        <v>0</v>
      </c>
      <c r="CL19" s="545">
        <f t="shared" ca="1" si="53"/>
        <v>0</v>
      </c>
      <c r="CM19" s="545">
        <f t="shared" ca="1" si="53"/>
        <v>0</v>
      </c>
      <c r="CN19" s="545">
        <f t="shared" ca="1" si="53"/>
        <v>0</v>
      </c>
      <c r="CO19" s="545">
        <f t="shared" ca="1" si="53"/>
        <v>0</v>
      </c>
      <c r="CP19" s="545">
        <f t="shared" ca="1" si="53"/>
        <v>0</v>
      </c>
      <c r="CQ19" s="545">
        <f t="shared" ca="1" si="53"/>
        <v>0</v>
      </c>
      <c r="CR19" s="545">
        <f t="shared" ca="1" si="53"/>
        <v>0</v>
      </c>
      <c r="CS19" s="545">
        <f t="shared" ca="1" si="53"/>
        <v>0</v>
      </c>
      <c r="CT19" s="545">
        <f t="shared" ca="1" si="53"/>
        <v>0</v>
      </c>
      <c r="CU19" s="545">
        <f t="shared" ca="1" si="53"/>
        <v>0</v>
      </c>
      <c r="CW19" s="151">
        <f t="shared" ca="1" si="37"/>
        <v>51.497256642102606</v>
      </c>
    </row>
    <row r="20" spans="1:101" s="84" customFormat="1" ht="15.75" x14ac:dyDescent="0.2">
      <c r="A20" s="18"/>
      <c r="B20" s="89"/>
      <c r="C20" s="85" t="s">
        <v>231</v>
      </c>
      <c r="D20" s="57" t="str">
        <f>INDEX(Workstreams[Workstream], MATCH($C20, Workstreams[Code], 0))</f>
        <v>Industry</v>
      </c>
      <c r="E20" s="53"/>
      <c r="G20" s="300">
        <f ca="1">G19</f>
        <v>0</v>
      </c>
      <c r="H20" s="300">
        <f t="shared" ref="H20:O20" ca="1" si="54">H19</f>
        <v>0</v>
      </c>
      <c r="I20" s="300">
        <f ca="1">I19</f>
        <v>0</v>
      </c>
      <c r="J20" s="300">
        <f t="shared" ca="1" si="54"/>
        <v>162.92714427345283</v>
      </c>
      <c r="K20" s="300">
        <f t="shared" ca="1" si="54"/>
        <v>0</v>
      </c>
      <c r="L20" s="300">
        <f t="shared" ca="1" si="54"/>
        <v>0</v>
      </c>
      <c r="M20" s="300">
        <f t="shared" ca="1" si="54"/>
        <v>0</v>
      </c>
      <c r="N20" s="300">
        <f t="shared" ca="1" si="54"/>
        <v>0</v>
      </c>
      <c r="O20" s="300">
        <f t="shared" ca="1" si="54"/>
        <v>0</v>
      </c>
      <c r="P20" s="300">
        <f t="shared" ca="1" si="1"/>
        <v>162.92714427345283</v>
      </c>
      <c r="R20" s="257">
        <f t="shared" ref="R20:AG20" ca="1" si="55">R19</f>
        <v>-34.622018158108723</v>
      </c>
      <c r="S20" s="257">
        <f t="shared" ca="1" si="55"/>
        <v>0</v>
      </c>
      <c r="T20" s="257">
        <f t="shared" ca="1" si="55"/>
        <v>-4.8063507560668581</v>
      </c>
      <c r="U20" s="257">
        <f t="shared" ca="1" si="55"/>
        <v>-33.318601003921103</v>
      </c>
      <c r="V20" s="257">
        <f t="shared" ca="1" si="55"/>
        <v>-80.893327131769325</v>
      </c>
      <c r="W20" s="257">
        <f ca="1">W19</f>
        <v>-9.2868472235868111</v>
      </c>
      <c r="X20" s="257">
        <f t="shared" ca="1" si="55"/>
        <v>0</v>
      </c>
      <c r="Y20" s="257">
        <f t="shared" ca="1" si="55"/>
        <v>0</v>
      </c>
      <c r="Z20" s="257">
        <f t="shared" ca="1" si="55"/>
        <v>0</v>
      </c>
      <c r="AA20" s="257">
        <f t="shared" ca="1" si="55"/>
        <v>0</v>
      </c>
      <c r="AB20" s="257">
        <f t="shared" ca="1" si="55"/>
        <v>0</v>
      </c>
      <c r="AC20" s="257">
        <f t="shared" ca="1" si="55"/>
        <v>0</v>
      </c>
      <c r="AD20" s="257">
        <f t="shared" ca="1" si="55"/>
        <v>0</v>
      </c>
      <c r="AE20" s="257">
        <f t="shared" ca="1" si="55"/>
        <v>0</v>
      </c>
      <c r="AF20" s="257">
        <f t="shared" ca="1" si="55"/>
        <v>0</v>
      </c>
      <c r="AG20" s="257">
        <f t="shared" ca="1" si="55"/>
        <v>0</v>
      </c>
      <c r="AH20" s="257">
        <f t="shared" ca="1" si="5"/>
        <v>-162.92714427345283</v>
      </c>
      <c r="AJ20" s="263">
        <f t="shared" ref="AJ20:AX20" ca="1" si="56">AJ19</f>
        <v>0</v>
      </c>
      <c r="AK20" s="263">
        <f t="shared" ca="1" si="56"/>
        <v>0</v>
      </c>
      <c r="AL20" s="263">
        <f t="shared" ca="1" si="56"/>
        <v>0</v>
      </c>
      <c r="AM20" s="263">
        <f t="shared" ca="1" si="56"/>
        <v>0</v>
      </c>
      <c r="AN20" s="263">
        <f t="shared" ca="1" si="56"/>
        <v>0</v>
      </c>
      <c r="AO20" s="263">
        <f t="shared" ca="1" si="56"/>
        <v>0</v>
      </c>
      <c r="AP20" s="263">
        <f t="shared" ca="1" si="56"/>
        <v>0</v>
      </c>
      <c r="AQ20" s="263">
        <f t="shared" ca="1" si="56"/>
        <v>0</v>
      </c>
      <c r="AR20" s="263">
        <f t="shared" ca="1" si="56"/>
        <v>0</v>
      </c>
      <c r="AS20" s="263">
        <f t="shared" ca="1" si="56"/>
        <v>0</v>
      </c>
      <c r="AT20" s="263">
        <f t="shared" ca="1" si="56"/>
        <v>0</v>
      </c>
      <c r="AU20" s="263">
        <f t="shared" ca="1" si="56"/>
        <v>0</v>
      </c>
      <c r="AV20" s="263">
        <f t="shared" ca="1" si="56"/>
        <v>0</v>
      </c>
      <c r="AW20" s="263">
        <f t="shared" ca="1" si="56"/>
        <v>0</v>
      </c>
      <c r="AX20" s="263">
        <f t="shared" ca="1" si="56"/>
        <v>0</v>
      </c>
      <c r="AY20" s="263">
        <f t="shared" ca="1" si="8"/>
        <v>0</v>
      </c>
      <c r="BA20" s="277">
        <f ca="1">BA19</f>
        <v>0</v>
      </c>
      <c r="BB20" s="277">
        <f ca="1">BB19</f>
        <v>0</v>
      </c>
      <c r="BC20" s="277">
        <f t="shared" ca="1" si="10"/>
        <v>0</v>
      </c>
      <c r="BE20" s="55">
        <f t="shared" ca="1" si="11"/>
        <v>0</v>
      </c>
      <c r="BF20" s="55"/>
      <c r="BG20" s="1428"/>
      <c r="BH20" s="542">
        <f t="shared" ref="BH20:CU20" ca="1" si="57">BH19</f>
        <v>24.694378476094421</v>
      </c>
      <c r="BI20" s="542">
        <f t="shared" ca="1" si="57"/>
        <v>4.4554644074984703E-2</v>
      </c>
      <c r="BJ20" s="542">
        <f t="shared" ca="1" si="57"/>
        <v>0.19507077297366815</v>
      </c>
      <c r="BK20" s="542">
        <f t="shared" ca="1" si="57"/>
        <v>0</v>
      </c>
      <c r="BL20" s="542">
        <f t="shared" ca="1" si="57"/>
        <v>0</v>
      </c>
      <c r="BM20" s="542">
        <f t="shared" ca="1" si="57"/>
        <v>0</v>
      </c>
      <c r="BN20" s="542">
        <f t="shared" ca="1" si="57"/>
        <v>0</v>
      </c>
      <c r="BO20" s="542">
        <f t="shared" ca="1" si="57"/>
        <v>0</v>
      </c>
      <c r="BP20" s="542">
        <f t="shared" ca="1" si="57"/>
        <v>14.56512145051156</v>
      </c>
      <c r="BQ20" s="542">
        <f t="shared" ca="1" si="57"/>
        <v>0.13724706750893978</v>
      </c>
      <c r="BR20" s="542">
        <f t="shared" ca="1" si="57"/>
        <v>3.6780489244177157</v>
      </c>
      <c r="BS20" s="542">
        <f t="shared" ca="1" si="57"/>
        <v>8.1828353065213193</v>
      </c>
      <c r="BT20" s="542">
        <f t="shared" ca="1" si="57"/>
        <v>0</v>
      </c>
      <c r="BU20" s="542">
        <f t="shared" ca="1" si="57"/>
        <v>0</v>
      </c>
      <c r="BV20" s="542">
        <f t="shared" ca="1" si="57"/>
        <v>0</v>
      </c>
      <c r="BW20" s="542">
        <f t="shared" ca="1" si="57"/>
        <v>0</v>
      </c>
      <c r="BX20" s="542">
        <f t="shared" ca="1" si="57"/>
        <v>0</v>
      </c>
      <c r="BY20" s="542">
        <f t="shared" ca="1" si="57"/>
        <v>0</v>
      </c>
      <c r="BZ20" s="542">
        <f t="shared" ca="1" si="57"/>
        <v>0</v>
      </c>
      <c r="CA20" s="542">
        <f t="shared" ca="1" si="57"/>
        <v>0</v>
      </c>
      <c r="CB20" s="542">
        <f t="shared" ca="1" si="57"/>
        <v>0</v>
      </c>
      <c r="CC20" s="542">
        <f t="shared" ca="1" si="57"/>
        <v>0</v>
      </c>
      <c r="CD20" s="542">
        <f t="shared" ca="1" si="57"/>
        <v>0</v>
      </c>
      <c r="CE20" s="542">
        <f t="shared" ca="1" si="57"/>
        <v>0</v>
      </c>
      <c r="CF20" s="542">
        <f t="shared" ca="1" si="57"/>
        <v>0</v>
      </c>
      <c r="CG20" s="542">
        <f t="shared" ca="1" si="57"/>
        <v>0</v>
      </c>
      <c r="CH20" s="542">
        <f t="shared" ca="1" si="57"/>
        <v>0</v>
      </c>
      <c r="CI20" s="542">
        <f t="shared" ca="1" si="57"/>
        <v>0</v>
      </c>
      <c r="CJ20" s="542">
        <f t="shared" ca="1" si="57"/>
        <v>0</v>
      </c>
      <c r="CK20" s="542">
        <f t="shared" ca="1" si="57"/>
        <v>0</v>
      </c>
      <c r="CL20" s="542">
        <f t="shared" ca="1" si="57"/>
        <v>0</v>
      </c>
      <c r="CM20" s="542">
        <f t="shared" ca="1" si="57"/>
        <v>0</v>
      </c>
      <c r="CN20" s="542">
        <f t="shared" ca="1" si="57"/>
        <v>0</v>
      </c>
      <c r="CO20" s="542">
        <f t="shared" ca="1" si="57"/>
        <v>0</v>
      </c>
      <c r="CP20" s="542">
        <f t="shared" ca="1" si="57"/>
        <v>0</v>
      </c>
      <c r="CQ20" s="542">
        <f t="shared" ca="1" si="57"/>
        <v>0</v>
      </c>
      <c r="CR20" s="542">
        <f t="shared" ca="1" si="57"/>
        <v>0</v>
      </c>
      <c r="CS20" s="542">
        <f t="shared" ca="1" si="57"/>
        <v>0</v>
      </c>
      <c r="CT20" s="542">
        <f t="shared" ca="1" si="57"/>
        <v>0</v>
      </c>
      <c r="CU20" s="542">
        <f t="shared" ca="1" si="57"/>
        <v>0</v>
      </c>
      <c r="CW20" s="151">
        <f t="shared" ca="1" si="37"/>
        <v>51.497256642102606</v>
      </c>
    </row>
    <row r="21" spans="1:101" s="84" customFormat="1" ht="12.75" customHeight="1" outlineLevel="1" x14ac:dyDescent="0.2">
      <c r="A21" s="18"/>
      <c r="B21" s="18"/>
      <c r="C21" s="87"/>
      <c r="D21" s="53"/>
      <c r="E21" s="53"/>
      <c r="G21" s="300"/>
      <c r="H21" s="300"/>
      <c r="I21" s="300"/>
      <c r="J21" s="300"/>
      <c r="K21" s="300"/>
      <c r="L21" s="300"/>
      <c r="M21" s="300"/>
      <c r="N21" s="300"/>
      <c r="O21" s="300"/>
      <c r="P21" s="300">
        <f t="shared" si="1"/>
        <v>0</v>
      </c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>
        <f t="shared" si="5"/>
        <v>0</v>
      </c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>
        <f t="shared" si="8"/>
        <v>0</v>
      </c>
      <c r="BA21" s="277"/>
      <c r="BB21" s="277"/>
      <c r="BC21" s="277">
        <f t="shared" si="10"/>
        <v>0</v>
      </c>
      <c r="BE21" s="55">
        <f t="shared" si="11"/>
        <v>0</v>
      </c>
      <c r="BF21" s="55"/>
      <c r="BG21" s="18"/>
      <c r="BH21" s="542"/>
      <c r="BI21" s="542"/>
      <c r="BJ21" s="542"/>
      <c r="BK21" s="542"/>
      <c r="BL21" s="542"/>
      <c r="BM21" s="542"/>
      <c r="BN21" s="542"/>
      <c r="BO21" s="542"/>
      <c r="BP21" s="542"/>
      <c r="BQ21" s="542"/>
      <c r="BR21" s="542"/>
      <c r="BS21" s="542"/>
      <c r="BT21" s="542"/>
      <c r="BU21" s="542"/>
      <c r="BV21" s="542"/>
      <c r="BW21" s="542"/>
      <c r="BX21" s="542"/>
      <c r="BY21" s="542"/>
      <c r="BZ21" s="542"/>
      <c r="CA21" s="542"/>
      <c r="CB21" s="542"/>
      <c r="CC21" s="542"/>
      <c r="CD21" s="542"/>
      <c r="CE21" s="542"/>
      <c r="CF21" s="542"/>
      <c r="CG21" s="542"/>
      <c r="CH21" s="542"/>
      <c r="CI21" s="542"/>
      <c r="CJ21" s="542"/>
      <c r="CK21" s="542"/>
      <c r="CL21" s="542"/>
      <c r="CM21" s="542"/>
      <c r="CN21" s="542"/>
      <c r="CO21" s="542"/>
      <c r="CP21" s="542"/>
      <c r="CQ21" s="542"/>
      <c r="CR21" s="542"/>
      <c r="CS21" s="542"/>
      <c r="CT21" s="542"/>
      <c r="CU21" s="542"/>
      <c r="CW21" s="151">
        <f t="shared" si="37"/>
        <v>0</v>
      </c>
    </row>
    <row r="22" spans="1:101" s="84" customFormat="1" ht="12.75" customHeight="1" outlineLevel="1" x14ac:dyDescent="0.2">
      <c r="A22" s="543"/>
      <c r="B22" s="543"/>
      <c r="C22" s="86" t="s">
        <v>362</v>
      </c>
      <c r="D22" s="63" t="str">
        <f>INDEX(Modules[Module], MATCH($C22, Modules[Code], 0))</f>
        <v>Domestic passenger transport</v>
      </c>
      <c r="E22" s="291"/>
      <c r="G22" s="297">
        <f t="shared" ref="G22:O23" ca="1" si="58">IFERROR(INDEX(INDIRECT($C22&amp;".Outputs["&amp;this.Year&amp;"]"), MATCH(G$5, INDIRECT($C22&amp;".Outputs[Vector]"), 0)), 0)</f>
        <v>0</v>
      </c>
      <c r="H22" s="297">
        <f t="shared" ca="1" si="58"/>
        <v>0</v>
      </c>
      <c r="I22" s="297">
        <f t="shared" ca="1" si="58"/>
        <v>0</v>
      </c>
      <c r="J22" s="297">
        <f t="shared" ca="1" si="58"/>
        <v>0</v>
      </c>
      <c r="K22" s="297">
        <f t="shared" ca="1" si="58"/>
        <v>93.300493022514914</v>
      </c>
      <c r="L22" s="297">
        <f t="shared" ca="1" si="58"/>
        <v>51.920535522808549</v>
      </c>
      <c r="M22" s="297">
        <f t="shared" ca="1" si="58"/>
        <v>0</v>
      </c>
      <c r="N22" s="297">
        <f t="shared" ca="1" si="58"/>
        <v>0</v>
      </c>
      <c r="O22" s="297">
        <f t="shared" ca="1" si="58"/>
        <v>0</v>
      </c>
      <c r="P22" s="297">
        <f t="shared" ca="1" si="1"/>
        <v>145.22102854532346</v>
      </c>
      <c r="R22" s="304">
        <f t="shared" ref="R22:AX23" ca="1" si="59">IFERROR(INDEX(INDIRECT($C22&amp;".Outputs["&amp;this.Year&amp;"]"), MATCH(R$5, INDIRECT($C22&amp;".Outputs[Vector]"), 0)), 0)</f>
        <v>-25.299725791429807</v>
      </c>
      <c r="S22" s="304">
        <f t="shared" ca="1" si="59"/>
        <v>0</v>
      </c>
      <c r="T22" s="304">
        <f t="shared" ca="1" si="59"/>
        <v>0</v>
      </c>
      <c r="U22" s="304">
        <f t="shared" ca="1" si="59"/>
        <v>-103.8121419379884</v>
      </c>
      <c r="V22" s="304">
        <f t="shared" ca="1" si="59"/>
        <v>-16.109160815905256</v>
      </c>
      <c r="W22" s="304">
        <f t="shared" ca="1" si="59"/>
        <v>0</v>
      </c>
      <c r="X22" s="304">
        <f t="shared" ref="X22:Z23" ca="1" si="60">IFERROR(INDEX(INDIRECT($C22&amp;".Outputs["&amp;this.Year&amp;"]"), MATCH(X$5, INDIRECT($C22&amp;".Outputs[Vector]"), 0)), 0)</f>
        <v>0</v>
      </c>
      <c r="Y22" s="304">
        <f t="shared" ca="1" si="60"/>
        <v>0</v>
      </c>
      <c r="Z22" s="304">
        <f t="shared" ca="1" si="60"/>
        <v>0</v>
      </c>
      <c r="AA22" s="304">
        <f t="shared" ca="1" si="59"/>
        <v>0</v>
      </c>
      <c r="AB22" s="304">
        <f t="shared" ca="1" si="59"/>
        <v>0</v>
      </c>
      <c r="AC22" s="304">
        <f t="shared" ca="1" si="59"/>
        <v>0</v>
      </c>
      <c r="AD22" s="304">
        <f t="shared" ca="1" si="59"/>
        <v>0</v>
      </c>
      <c r="AE22" s="304">
        <f t="shared" ca="1" si="59"/>
        <v>0</v>
      </c>
      <c r="AF22" s="304">
        <f t="shared" ca="1" si="59"/>
        <v>0</v>
      </c>
      <c r="AG22" s="304">
        <f t="shared" ca="1" si="59"/>
        <v>0</v>
      </c>
      <c r="AH22" s="305">
        <f t="shared" ca="1" si="5"/>
        <v>-145.22102854532346</v>
      </c>
      <c r="AJ22" s="312">
        <f t="shared" ref="AJ22:AR23" ca="1" si="61">IFERROR(INDEX(INDIRECT($C22&amp;".Outputs["&amp;this.Year&amp;"]"), MATCH(AJ$5, INDIRECT($C22&amp;".Outputs[Vector]"), 0)), 0)</f>
        <v>0</v>
      </c>
      <c r="AK22" s="312">
        <f t="shared" ca="1" si="61"/>
        <v>0</v>
      </c>
      <c r="AL22" s="312">
        <f t="shared" ca="1" si="61"/>
        <v>0</v>
      </c>
      <c r="AM22" s="312">
        <f t="shared" ca="1" si="61"/>
        <v>0</v>
      </c>
      <c r="AN22" s="312">
        <f t="shared" ca="1" si="61"/>
        <v>0</v>
      </c>
      <c r="AO22" s="312">
        <f t="shared" ca="1" si="61"/>
        <v>0</v>
      </c>
      <c r="AP22" s="312">
        <f t="shared" ca="1" si="61"/>
        <v>0</v>
      </c>
      <c r="AQ22" s="312">
        <f t="shared" ca="1" si="61"/>
        <v>0</v>
      </c>
      <c r="AR22" s="312">
        <f t="shared" ca="1" si="61"/>
        <v>0</v>
      </c>
      <c r="AS22" s="312">
        <f t="shared" ca="1" si="59"/>
        <v>0</v>
      </c>
      <c r="AT22" s="312">
        <f t="shared" ca="1" si="59"/>
        <v>0</v>
      </c>
      <c r="AU22" s="312">
        <f t="shared" ca="1" si="59"/>
        <v>0</v>
      </c>
      <c r="AV22" s="312">
        <f t="shared" ca="1" si="59"/>
        <v>0</v>
      </c>
      <c r="AW22" s="312">
        <f t="shared" ca="1" si="59"/>
        <v>0</v>
      </c>
      <c r="AX22" s="312">
        <f t="shared" ca="1" si="59"/>
        <v>0</v>
      </c>
      <c r="AY22" s="266">
        <f t="shared" ca="1" si="8"/>
        <v>0</v>
      </c>
      <c r="BA22" s="308">
        <f t="shared" ref="BA22:BB23" ca="1" si="62">IFERROR(INDEX(INDIRECT($C22&amp;".Outputs["&amp;this.Year&amp;"]"), MATCH(BA$5, INDIRECT($C22&amp;".Outputs[Vector]"), 0)), 0)</f>
        <v>0</v>
      </c>
      <c r="BB22" s="308">
        <f t="shared" ca="1" si="62"/>
        <v>0</v>
      </c>
      <c r="BC22" s="309">
        <f t="shared" ca="1" si="10"/>
        <v>0</v>
      </c>
      <c r="BE22" s="135">
        <f t="shared" ca="1" si="11"/>
        <v>0</v>
      </c>
      <c r="BF22" s="135"/>
      <c r="BG22" s="1428"/>
      <c r="BH22" s="541">
        <f t="shared" ref="BH22:BQ23" ca="1" si="63">IFERROR(SUMIFS(INDIRECT($C22&amp;".Emissions["&amp;this.Year&amp;"]"), INDIRECT($C22&amp;".Emissions[GHG]"), BH$6, INDIRECT($C22&amp;".Emissions[IPCC Sector]"), BH$5),0)</f>
        <v>25.9530354844971</v>
      </c>
      <c r="BI22" s="542">
        <f t="shared" ca="1" si="63"/>
        <v>3.2311426722072767E-2</v>
      </c>
      <c r="BJ22" s="542">
        <f t="shared" ca="1" si="63"/>
        <v>0.46694828848798753</v>
      </c>
      <c r="BK22" s="542">
        <f t="shared" ca="1" si="63"/>
        <v>0</v>
      </c>
      <c r="BL22" s="542">
        <f t="shared" ca="1" si="63"/>
        <v>0</v>
      </c>
      <c r="BM22" s="542">
        <f t="shared" ca="1" si="63"/>
        <v>0</v>
      </c>
      <c r="BN22" s="542">
        <f t="shared" ca="1" si="63"/>
        <v>0</v>
      </c>
      <c r="BO22" s="542">
        <f t="shared" ca="1" si="63"/>
        <v>0</v>
      </c>
      <c r="BP22" s="542">
        <f t="shared" ca="1" si="63"/>
        <v>0</v>
      </c>
      <c r="BQ22" s="542">
        <f t="shared" ca="1" si="63"/>
        <v>0</v>
      </c>
      <c r="BR22" s="542">
        <f t="shared" ref="BR22:CA23" ca="1" si="64">IFERROR(SUMIFS(INDIRECT($C22&amp;".Emissions["&amp;this.Year&amp;"]"), INDIRECT($C22&amp;".Emissions[GHG]"), BR$6, INDIRECT($C22&amp;".Emissions[IPCC Sector]"), BR$5),0)</f>
        <v>0</v>
      </c>
      <c r="BS22" s="542">
        <f t="shared" ca="1" si="64"/>
        <v>0</v>
      </c>
      <c r="BT22" s="542">
        <f t="shared" ca="1" si="64"/>
        <v>0</v>
      </c>
      <c r="BU22" s="542">
        <f t="shared" ca="1" si="64"/>
        <v>0</v>
      </c>
      <c r="BV22" s="542">
        <f t="shared" ca="1" si="64"/>
        <v>0</v>
      </c>
      <c r="BW22" s="542">
        <f t="shared" ca="1" si="64"/>
        <v>0</v>
      </c>
      <c r="BX22" s="542">
        <f t="shared" ca="1" si="64"/>
        <v>0</v>
      </c>
      <c r="BY22" s="542">
        <f t="shared" ca="1" si="64"/>
        <v>0</v>
      </c>
      <c r="BZ22" s="542">
        <f t="shared" ca="1" si="64"/>
        <v>0</v>
      </c>
      <c r="CA22" s="542">
        <f t="shared" ca="1" si="64"/>
        <v>0</v>
      </c>
      <c r="CB22" s="542">
        <f t="shared" ref="CB22:CK23" ca="1" si="65">IFERROR(SUMIFS(INDIRECT($C22&amp;".Emissions["&amp;this.Year&amp;"]"), INDIRECT($C22&amp;".Emissions[GHG]"), CB$6, INDIRECT($C22&amp;".Emissions[IPCC Sector]"), CB$5),0)</f>
        <v>0</v>
      </c>
      <c r="CC22" s="542">
        <f t="shared" ca="1" si="65"/>
        <v>0</v>
      </c>
      <c r="CD22" s="542">
        <f t="shared" ca="1" si="65"/>
        <v>0</v>
      </c>
      <c r="CE22" s="542">
        <f t="shared" ca="1" si="65"/>
        <v>0</v>
      </c>
      <c r="CF22" s="542">
        <f t="shared" ca="1" si="65"/>
        <v>0</v>
      </c>
      <c r="CG22" s="542">
        <f t="shared" ca="1" si="65"/>
        <v>0</v>
      </c>
      <c r="CH22" s="542">
        <f t="shared" ca="1" si="65"/>
        <v>0</v>
      </c>
      <c r="CI22" s="542">
        <f t="shared" ca="1" si="65"/>
        <v>0</v>
      </c>
      <c r="CJ22" s="542">
        <f t="shared" ca="1" si="65"/>
        <v>0</v>
      </c>
      <c r="CK22" s="542">
        <f t="shared" ca="1" si="65"/>
        <v>0</v>
      </c>
      <c r="CL22" s="542">
        <f t="shared" ref="CL22:CU23" ca="1" si="66">IFERROR(SUMIFS(INDIRECT($C22&amp;".Emissions["&amp;this.Year&amp;"]"), INDIRECT($C22&amp;".Emissions[GHG]"), CL$6, INDIRECT($C22&amp;".Emissions[IPCC Sector]"), CL$5),0)</f>
        <v>0</v>
      </c>
      <c r="CM22" s="542">
        <f t="shared" ca="1" si="66"/>
        <v>0</v>
      </c>
      <c r="CN22" s="542">
        <f t="shared" ca="1" si="66"/>
        <v>0</v>
      </c>
      <c r="CO22" s="542">
        <f t="shared" ca="1" si="66"/>
        <v>0</v>
      </c>
      <c r="CP22" s="542">
        <f t="shared" ca="1" si="66"/>
        <v>0</v>
      </c>
      <c r="CQ22" s="542">
        <f t="shared" ca="1" si="66"/>
        <v>0</v>
      </c>
      <c r="CR22" s="542">
        <f t="shared" ca="1" si="66"/>
        <v>0</v>
      </c>
      <c r="CS22" s="542">
        <f t="shared" ca="1" si="66"/>
        <v>0</v>
      </c>
      <c r="CT22" s="542">
        <f t="shared" ca="1" si="66"/>
        <v>0</v>
      </c>
      <c r="CU22" s="542">
        <f t="shared" ca="1" si="66"/>
        <v>0</v>
      </c>
      <c r="CW22" s="151">
        <f t="shared" ca="1" si="37"/>
        <v>26.452295199707162</v>
      </c>
    </row>
    <row r="23" spans="1:101" s="84" customFormat="1" ht="12.75" customHeight="1" outlineLevel="1" x14ac:dyDescent="0.2">
      <c r="A23" s="543"/>
      <c r="B23" s="543"/>
      <c r="C23" s="86" t="s">
        <v>375</v>
      </c>
      <c r="D23" s="63" t="str">
        <f>INDEX(Modules[Module], MATCH($C23, Modules[Code], 0))</f>
        <v>Domestic freight</v>
      </c>
      <c r="E23" s="291"/>
      <c r="G23" s="297">
        <f t="shared" ca="1" si="58"/>
        <v>0</v>
      </c>
      <c r="H23" s="297">
        <f t="shared" ca="1" si="58"/>
        <v>0</v>
      </c>
      <c r="I23" s="297">
        <f t="shared" ca="1" si="58"/>
        <v>0</v>
      </c>
      <c r="J23" s="297">
        <f t="shared" ca="1" si="58"/>
        <v>0</v>
      </c>
      <c r="K23" s="297">
        <f t="shared" ca="1" si="58"/>
        <v>14.14600517740328</v>
      </c>
      <c r="L23" s="297">
        <f t="shared" ca="1" si="58"/>
        <v>11.719856306352044</v>
      </c>
      <c r="M23" s="297">
        <f t="shared" ca="1" si="58"/>
        <v>0</v>
      </c>
      <c r="N23" s="297">
        <f t="shared" ca="1" si="58"/>
        <v>8.4414013608947293E-13</v>
      </c>
      <c r="O23" s="297">
        <f t="shared" ca="1" si="58"/>
        <v>9.273803547731351</v>
      </c>
      <c r="P23" s="297">
        <f t="shared" ca="1" si="1"/>
        <v>35.139665031487525</v>
      </c>
      <c r="R23" s="304">
        <f t="shared" ca="1" si="59"/>
        <v>-16.205932959902796</v>
      </c>
      <c r="S23" s="304">
        <f t="shared" ca="1" si="59"/>
        <v>0</v>
      </c>
      <c r="T23" s="304">
        <f t="shared" ca="1" si="59"/>
        <v>0</v>
      </c>
      <c r="U23" s="304">
        <f t="shared" ca="1" si="59"/>
        <v>-17.356886341357374</v>
      </c>
      <c r="V23" s="304">
        <f t="shared" ca="1" si="59"/>
        <v>-1.5768457302273506</v>
      </c>
      <c r="W23" s="304">
        <f t="shared" ca="1" si="59"/>
        <v>0</v>
      </c>
      <c r="X23" s="304">
        <f t="shared" ca="1" si="60"/>
        <v>0</v>
      </c>
      <c r="Y23" s="304">
        <f t="shared" ca="1" si="60"/>
        <v>0</v>
      </c>
      <c r="Z23" s="304">
        <f t="shared" ca="1" si="60"/>
        <v>0</v>
      </c>
      <c r="AA23" s="304">
        <f t="shared" ca="1" si="59"/>
        <v>0</v>
      </c>
      <c r="AB23" s="304">
        <f t="shared" ca="1" si="59"/>
        <v>0</v>
      </c>
      <c r="AC23" s="304">
        <f t="shared" ca="1" si="59"/>
        <v>0</v>
      </c>
      <c r="AD23" s="304">
        <f t="shared" ca="1" si="59"/>
        <v>0</v>
      </c>
      <c r="AE23" s="304">
        <f t="shared" ca="1" si="59"/>
        <v>0</v>
      </c>
      <c r="AF23" s="304">
        <f t="shared" ca="1" si="59"/>
        <v>0</v>
      </c>
      <c r="AG23" s="304">
        <f t="shared" ca="1" si="59"/>
        <v>0</v>
      </c>
      <c r="AH23" s="305">
        <f t="shared" ca="1" si="5"/>
        <v>-35.139665031487517</v>
      </c>
      <c r="AJ23" s="312">
        <f t="shared" ca="1" si="61"/>
        <v>0</v>
      </c>
      <c r="AK23" s="312">
        <f t="shared" ca="1" si="61"/>
        <v>0</v>
      </c>
      <c r="AL23" s="312">
        <f t="shared" ca="1" si="61"/>
        <v>0</v>
      </c>
      <c r="AM23" s="312">
        <f t="shared" ca="1" si="61"/>
        <v>0</v>
      </c>
      <c r="AN23" s="312">
        <f t="shared" ca="1" si="61"/>
        <v>0</v>
      </c>
      <c r="AO23" s="312">
        <f t="shared" ca="1" si="61"/>
        <v>0</v>
      </c>
      <c r="AP23" s="312">
        <f t="shared" ca="1" si="61"/>
        <v>0</v>
      </c>
      <c r="AQ23" s="312">
        <f t="shared" ca="1" si="61"/>
        <v>0</v>
      </c>
      <c r="AR23" s="312">
        <f t="shared" ca="1" si="61"/>
        <v>0</v>
      </c>
      <c r="AS23" s="312">
        <f t="shared" ca="1" si="59"/>
        <v>0</v>
      </c>
      <c r="AT23" s="312">
        <f t="shared" ca="1" si="59"/>
        <v>0</v>
      </c>
      <c r="AU23" s="312">
        <f t="shared" ca="1" si="59"/>
        <v>0</v>
      </c>
      <c r="AV23" s="312">
        <f t="shared" ca="1" si="59"/>
        <v>0</v>
      </c>
      <c r="AW23" s="312">
        <f t="shared" ca="1" si="59"/>
        <v>0</v>
      </c>
      <c r="AX23" s="312">
        <f t="shared" ca="1" si="59"/>
        <v>0</v>
      </c>
      <c r="AY23" s="266">
        <f t="shared" ca="1" si="8"/>
        <v>0</v>
      </c>
      <c r="BA23" s="308">
        <f t="shared" ca="1" si="62"/>
        <v>0</v>
      </c>
      <c r="BB23" s="308">
        <f t="shared" ca="1" si="62"/>
        <v>0</v>
      </c>
      <c r="BC23" s="309">
        <f t="shared" ca="1" si="10"/>
        <v>0</v>
      </c>
      <c r="BE23" s="135">
        <f t="shared" ca="1" si="11"/>
        <v>7.1054273576010019E-15</v>
      </c>
      <c r="BF23" s="135"/>
      <c r="BG23" s="1428"/>
      <c r="BH23" s="541">
        <f t="shared" ca="1" si="63"/>
        <v>4.7334330178961812</v>
      </c>
      <c r="BI23" s="542">
        <f t="shared" ca="1" si="63"/>
        <v>5.8931054208650252E-3</v>
      </c>
      <c r="BJ23" s="542">
        <f t="shared" ca="1" si="63"/>
        <v>8.5164159225206745E-2</v>
      </c>
      <c r="BK23" s="542">
        <f t="shared" ca="1" si="63"/>
        <v>0</v>
      </c>
      <c r="BL23" s="542">
        <f t="shared" ca="1" si="63"/>
        <v>0</v>
      </c>
      <c r="BM23" s="542">
        <f t="shared" ca="1" si="63"/>
        <v>0</v>
      </c>
      <c r="BN23" s="542">
        <f t="shared" ca="1" si="63"/>
        <v>0</v>
      </c>
      <c r="BO23" s="542">
        <f t="shared" ca="1" si="63"/>
        <v>0</v>
      </c>
      <c r="BP23" s="542">
        <f t="shared" ca="1" si="63"/>
        <v>0</v>
      </c>
      <c r="BQ23" s="542">
        <f t="shared" ca="1" si="63"/>
        <v>0</v>
      </c>
      <c r="BR23" s="542">
        <f t="shared" ca="1" si="64"/>
        <v>0</v>
      </c>
      <c r="BS23" s="542">
        <f t="shared" ca="1" si="64"/>
        <v>0</v>
      </c>
      <c r="BT23" s="542">
        <f t="shared" ca="1" si="64"/>
        <v>0</v>
      </c>
      <c r="BU23" s="542">
        <f t="shared" ca="1" si="64"/>
        <v>0</v>
      </c>
      <c r="BV23" s="542">
        <f t="shared" ca="1" si="64"/>
        <v>0</v>
      </c>
      <c r="BW23" s="542">
        <f t="shared" ca="1" si="64"/>
        <v>0</v>
      </c>
      <c r="BX23" s="542">
        <f t="shared" ca="1" si="64"/>
        <v>0</v>
      </c>
      <c r="BY23" s="542">
        <f t="shared" ca="1" si="64"/>
        <v>0</v>
      </c>
      <c r="BZ23" s="542">
        <f t="shared" ca="1" si="64"/>
        <v>0</v>
      </c>
      <c r="CA23" s="542">
        <f t="shared" ca="1" si="64"/>
        <v>0</v>
      </c>
      <c r="CB23" s="542">
        <f t="shared" ca="1" si="65"/>
        <v>0</v>
      </c>
      <c r="CC23" s="542">
        <f t="shared" ca="1" si="65"/>
        <v>0</v>
      </c>
      <c r="CD23" s="542">
        <f t="shared" ca="1" si="65"/>
        <v>0</v>
      </c>
      <c r="CE23" s="542">
        <f t="shared" ca="1" si="65"/>
        <v>0</v>
      </c>
      <c r="CF23" s="542">
        <f t="shared" ca="1" si="65"/>
        <v>0</v>
      </c>
      <c r="CG23" s="542">
        <f t="shared" ca="1" si="65"/>
        <v>0</v>
      </c>
      <c r="CH23" s="542">
        <f t="shared" ca="1" si="65"/>
        <v>0</v>
      </c>
      <c r="CI23" s="542">
        <f t="shared" ca="1" si="65"/>
        <v>0</v>
      </c>
      <c r="CJ23" s="542">
        <f t="shared" ca="1" si="65"/>
        <v>0</v>
      </c>
      <c r="CK23" s="542">
        <f t="shared" ca="1" si="65"/>
        <v>0</v>
      </c>
      <c r="CL23" s="542">
        <f t="shared" ca="1" si="66"/>
        <v>0</v>
      </c>
      <c r="CM23" s="542">
        <f t="shared" ca="1" si="66"/>
        <v>0</v>
      </c>
      <c r="CN23" s="542">
        <f t="shared" ca="1" si="66"/>
        <v>0</v>
      </c>
      <c r="CO23" s="542">
        <f t="shared" ca="1" si="66"/>
        <v>0</v>
      </c>
      <c r="CP23" s="542">
        <f t="shared" ca="1" si="66"/>
        <v>0</v>
      </c>
      <c r="CQ23" s="542">
        <f t="shared" ca="1" si="66"/>
        <v>0</v>
      </c>
      <c r="CR23" s="542">
        <f t="shared" ca="1" si="66"/>
        <v>0</v>
      </c>
      <c r="CS23" s="542">
        <f t="shared" ca="1" si="66"/>
        <v>0</v>
      </c>
      <c r="CT23" s="542">
        <f t="shared" ca="1" si="66"/>
        <v>0</v>
      </c>
      <c r="CU23" s="542">
        <f t="shared" ca="1" si="66"/>
        <v>0</v>
      </c>
      <c r="CW23" s="151">
        <f t="shared" ca="1" si="37"/>
        <v>4.8244902825422535</v>
      </c>
    </row>
    <row r="24" spans="1:101" s="84" customFormat="1" ht="15.75" x14ac:dyDescent="0.2">
      <c r="A24" s="18"/>
      <c r="B24" s="89"/>
      <c r="C24" s="85" t="s">
        <v>232</v>
      </c>
      <c r="D24" s="57" t="str">
        <f>INDEX(Workstreams[Workstream], MATCH($C24, Workstreams[Code], 0))</f>
        <v>Transport</v>
      </c>
      <c r="E24" s="53"/>
      <c r="G24" s="300">
        <f ca="1">G22+G23</f>
        <v>0</v>
      </c>
      <c r="H24" s="300">
        <f t="shared" ref="H24:AG24" ca="1" si="67">H22+H23</f>
        <v>0</v>
      </c>
      <c r="I24" s="300">
        <f t="shared" ca="1" si="67"/>
        <v>0</v>
      </c>
      <c r="J24" s="300">
        <f t="shared" ca="1" si="67"/>
        <v>0</v>
      </c>
      <c r="K24" s="300">
        <f t="shared" ca="1" si="67"/>
        <v>107.4464981999182</v>
      </c>
      <c r="L24" s="300">
        <f t="shared" ca="1" si="67"/>
        <v>63.640391829160592</v>
      </c>
      <c r="M24" s="300">
        <f t="shared" ca="1" si="67"/>
        <v>0</v>
      </c>
      <c r="N24" s="300">
        <f t="shared" ca="1" si="67"/>
        <v>8.4414013608947293E-13</v>
      </c>
      <c r="O24" s="300">
        <f t="shared" ca="1" si="67"/>
        <v>9.273803547731351</v>
      </c>
      <c r="P24" s="300">
        <f t="shared" ca="1" si="67"/>
        <v>180.360693576811</v>
      </c>
      <c r="Q24" s="300">
        <f t="shared" si="67"/>
        <v>0</v>
      </c>
      <c r="R24" s="300">
        <f t="shared" ca="1" si="67"/>
        <v>-41.505658751332604</v>
      </c>
      <c r="S24" s="300">
        <f t="shared" ca="1" si="67"/>
        <v>0</v>
      </c>
      <c r="T24" s="300">
        <f t="shared" ca="1" si="67"/>
        <v>0</v>
      </c>
      <c r="U24" s="300">
        <f t="shared" ca="1" si="67"/>
        <v>-121.16902827934578</v>
      </c>
      <c r="V24" s="300">
        <f t="shared" ca="1" si="67"/>
        <v>-17.686006546132607</v>
      </c>
      <c r="W24" s="300">
        <f t="shared" ca="1" si="67"/>
        <v>0</v>
      </c>
      <c r="X24" s="300">
        <f t="shared" ca="1" si="67"/>
        <v>0</v>
      </c>
      <c r="Y24" s="300">
        <f t="shared" ca="1" si="67"/>
        <v>0</v>
      </c>
      <c r="Z24" s="300">
        <f t="shared" ca="1" si="67"/>
        <v>0</v>
      </c>
      <c r="AA24" s="300">
        <f t="shared" ca="1" si="67"/>
        <v>0</v>
      </c>
      <c r="AB24" s="300">
        <f t="shared" ca="1" si="67"/>
        <v>0</v>
      </c>
      <c r="AC24" s="300">
        <f t="shared" ca="1" si="67"/>
        <v>0</v>
      </c>
      <c r="AD24" s="300">
        <f t="shared" ca="1" si="67"/>
        <v>0</v>
      </c>
      <c r="AE24" s="300">
        <f t="shared" ca="1" si="67"/>
        <v>0</v>
      </c>
      <c r="AF24" s="300">
        <f t="shared" ca="1" si="67"/>
        <v>0</v>
      </c>
      <c r="AG24" s="300">
        <f t="shared" ca="1" si="67"/>
        <v>0</v>
      </c>
      <c r="AH24" s="257">
        <f t="shared" ca="1" si="5"/>
        <v>-180.360693576811</v>
      </c>
      <c r="AJ24" s="263">
        <f ca="1">AJ22+AJ23</f>
        <v>0</v>
      </c>
      <c r="AK24" s="263">
        <f t="shared" ref="AK24:BB24" ca="1" si="68">AK22+AK23</f>
        <v>0</v>
      </c>
      <c r="AL24" s="263">
        <f t="shared" ca="1" si="68"/>
        <v>0</v>
      </c>
      <c r="AM24" s="263">
        <f t="shared" ca="1" si="68"/>
        <v>0</v>
      </c>
      <c r="AN24" s="263">
        <f t="shared" ca="1" si="68"/>
        <v>0</v>
      </c>
      <c r="AO24" s="263">
        <f t="shared" ca="1" si="68"/>
        <v>0</v>
      </c>
      <c r="AP24" s="263">
        <f t="shared" ca="1" si="68"/>
        <v>0</v>
      </c>
      <c r="AQ24" s="263">
        <f t="shared" ca="1" si="68"/>
        <v>0</v>
      </c>
      <c r="AR24" s="263">
        <f t="shared" ca="1" si="68"/>
        <v>0</v>
      </c>
      <c r="AS24" s="263">
        <f t="shared" ca="1" si="68"/>
        <v>0</v>
      </c>
      <c r="AT24" s="263">
        <f t="shared" ca="1" si="68"/>
        <v>0</v>
      </c>
      <c r="AU24" s="263">
        <f t="shared" ca="1" si="68"/>
        <v>0</v>
      </c>
      <c r="AV24" s="263">
        <f t="shared" ca="1" si="68"/>
        <v>0</v>
      </c>
      <c r="AW24" s="263">
        <f t="shared" ca="1" si="68"/>
        <v>0</v>
      </c>
      <c r="AX24" s="263">
        <f t="shared" ca="1" si="68"/>
        <v>0</v>
      </c>
      <c r="AY24" s="263">
        <f t="shared" ca="1" si="68"/>
        <v>0</v>
      </c>
      <c r="AZ24" s="263">
        <f t="shared" si="68"/>
        <v>0</v>
      </c>
      <c r="BA24" s="263">
        <f t="shared" ca="1" si="68"/>
        <v>0</v>
      </c>
      <c r="BB24" s="263">
        <f t="shared" ca="1" si="68"/>
        <v>0</v>
      </c>
      <c r="BC24" s="277">
        <f t="shared" ca="1" si="10"/>
        <v>0</v>
      </c>
      <c r="BE24" s="55">
        <f t="shared" ca="1" si="11"/>
        <v>0</v>
      </c>
      <c r="BF24" s="55"/>
      <c r="BG24" s="1428"/>
      <c r="BH24" s="542">
        <f ca="1">BH22+BH23</f>
        <v>30.686468502393282</v>
      </c>
      <c r="BI24" s="542">
        <f t="shared" ref="BI24:CV24" ca="1" si="69">BI22+BI23</f>
        <v>3.8204532142937793E-2</v>
      </c>
      <c r="BJ24" s="542">
        <f t="shared" ca="1" si="69"/>
        <v>0.55211244771319423</v>
      </c>
      <c r="BK24" s="542">
        <f t="shared" ca="1" si="69"/>
        <v>0</v>
      </c>
      <c r="BL24" s="542">
        <f t="shared" ca="1" si="69"/>
        <v>0</v>
      </c>
      <c r="BM24" s="542">
        <f t="shared" ca="1" si="69"/>
        <v>0</v>
      </c>
      <c r="BN24" s="542">
        <f t="shared" ca="1" si="69"/>
        <v>0</v>
      </c>
      <c r="BO24" s="542">
        <f t="shared" ca="1" si="69"/>
        <v>0</v>
      </c>
      <c r="BP24" s="542">
        <f t="shared" ca="1" si="69"/>
        <v>0</v>
      </c>
      <c r="BQ24" s="542">
        <f t="shared" ca="1" si="69"/>
        <v>0</v>
      </c>
      <c r="BR24" s="542">
        <f t="shared" ca="1" si="69"/>
        <v>0</v>
      </c>
      <c r="BS24" s="542">
        <f t="shared" ca="1" si="69"/>
        <v>0</v>
      </c>
      <c r="BT24" s="542">
        <f t="shared" ca="1" si="69"/>
        <v>0</v>
      </c>
      <c r="BU24" s="542">
        <f t="shared" ca="1" si="69"/>
        <v>0</v>
      </c>
      <c r="BV24" s="542">
        <f t="shared" ca="1" si="69"/>
        <v>0</v>
      </c>
      <c r="BW24" s="542">
        <f t="shared" ca="1" si="69"/>
        <v>0</v>
      </c>
      <c r="BX24" s="542">
        <f t="shared" ca="1" si="69"/>
        <v>0</v>
      </c>
      <c r="BY24" s="542">
        <f t="shared" ca="1" si="69"/>
        <v>0</v>
      </c>
      <c r="BZ24" s="542">
        <f t="shared" ca="1" si="69"/>
        <v>0</v>
      </c>
      <c r="CA24" s="542">
        <f t="shared" ca="1" si="69"/>
        <v>0</v>
      </c>
      <c r="CB24" s="542">
        <f t="shared" ca="1" si="69"/>
        <v>0</v>
      </c>
      <c r="CC24" s="542">
        <f t="shared" ca="1" si="69"/>
        <v>0</v>
      </c>
      <c r="CD24" s="542">
        <f t="shared" ca="1" si="69"/>
        <v>0</v>
      </c>
      <c r="CE24" s="542">
        <f t="shared" ca="1" si="69"/>
        <v>0</v>
      </c>
      <c r="CF24" s="542">
        <f t="shared" ca="1" si="69"/>
        <v>0</v>
      </c>
      <c r="CG24" s="542">
        <f t="shared" ca="1" si="69"/>
        <v>0</v>
      </c>
      <c r="CH24" s="542">
        <f t="shared" ca="1" si="69"/>
        <v>0</v>
      </c>
      <c r="CI24" s="542">
        <f t="shared" ca="1" si="69"/>
        <v>0</v>
      </c>
      <c r="CJ24" s="542">
        <f t="shared" ca="1" si="69"/>
        <v>0</v>
      </c>
      <c r="CK24" s="542">
        <f t="shared" ca="1" si="69"/>
        <v>0</v>
      </c>
      <c r="CL24" s="542">
        <f t="shared" ca="1" si="69"/>
        <v>0</v>
      </c>
      <c r="CM24" s="542">
        <f t="shared" ca="1" si="69"/>
        <v>0</v>
      </c>
      <c r="CN24" s="542">
        <f t="shared" ca="1" si="69"/>
        <v>0</v>
      </c>
      <c r="CO24" s="542">
        <f t="shared" ca="1" si="69"/>
        <v>0</v>
      </c>
      <c r="CP24" s="542">
        <f t="shared" ca="1" si="69"/>
        <v>0</v>
      </c>
      <c r="CQ24" s="542">
        <f t="shared" ca="1" si="69"/>
        <v>0</v>
      </c>
      <c r="CR24" s="542">
        <f t="shared" ca="1" si="69"/>
        <v>0</v>
      </c>
      <c r="CS24" s="542">
        <f t="shared" ca="1" si="69"/>
        <v>0</v>
      </c>
      <c r="CT24" s="542">
        <f t="shared" ca="1" si="69"/>
        <v>0</v>
      </c>
      <c r="CU24" s="542">
        <f t="shared" ca="1" si="69"/>
        <v>0</v>
      </c>
      <c r="CV24" s="542">
        <f t="shared" si="69"/>
        <v>0</v>
      </c>
      <c r="CW24" s="151">
        <f t="shared" ca="1" si="37"/>
        <v>31.276785482249416</v>
      </c>
    </row>
    <row r="25" spans="1:101" s="84" customFormat="1" ht="12.75" customHeight="1" outlineLevel="1" x14ac:dyDescent="0.2">
      <c r="A25" s="18"/>
      <c r="B25" s="18"/>
      <c r="C25" s="87"/>
      <c r="D25" s="53"/>
      <c r="E25" s="53"/>
      <c r="G25" s="300"/>
      <c r="H25" s="300"/>
      <c r="I25" s="300"/>
      <c r="J25" s="300"/>
      <c r="K25" s="300"/>
      <c r="L25" s="300"/>
      <c r="M25" s="300"/>
      <c r="N25" s="300"/>
      <c r="O25" s="300"/>
      <c r="P25" s="300">
        <f t="shared" ref="P25:P56" si="70">SUM(G25:O25)</f>
        <v>0</v>
      </c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>
        <f t="shared" si="5"/>
        <v>0</v>
      </c>
      <c r="AJ25" s="263"/>
      <c r="AK25" s="263"/>
      <c r="AL25" s="263"/>
      <c r="AM25" s="263"/>
      <c r="AN25" s="263"/>
      <c r="AO25" s="263"/>
      <c r="AP25" s="263"/>
      <c r="AQ25" s="263"/>
      <c r="AR25" s="263"/>
      <c r="AS25" s="263"/>
      <c r="AT25" s="263"/>
      <c r="AU25" s="263"/>
      <c r="AV25" s="263"/>
      <c r="AW25" s="263"/>
      <c r="AX25" s="263"/>
      <c r="AY25" s="263">
        <f>SUM(AJ25:AX25)</f>
        <v>0</v>
      </c>
      <c r="BA25" s="277"/>
      <c r="BB25" s="277"/>
      <c r="BC25" s="277">
        <f t="shared" si="10"/>
        <v>0</v>
      </c>
      <c r="BE25" s="55">
        <f t="shared" si="11"/>
        <v>0</v>
      </c>
      <c r="BF25" s="55"/>
      <c r="BG25" s="18"/>
      <c r="BH25" s="542"/>
      <c r="BI25" s="542"/>
      <c r="BJ25" s="542"/>
      <c r="BK25" s="542"/>
      <c r="BL25" s="542"/>
      <c r="BM25" s="542"/>
      <c r="BN25" s="542"/>
      <c r="BO25" s="542"/>
      <c r="BP25" s="542"/>
      <c r="BQ25" s="542"/>
      <c r="BR25" s="542"/>
      <c r="BS25" s="542"/>
      <c r="BT25" s="542"/>
      <c r="BU25" s="542"/>
      <c r="BV25" s="542"/>
      <c r="BW25" s="542"/>
      <c r="BX25" s="542"/>
      <c r="BY25" s="542"/>
      <c r="BZ25" s="542"/>
      <c r="CA25" s="542"/>
      <c r="CB25" s="542"/>
      <c r="CC25" s="542"/>
      <c r="CD25" s="542"/>
      <c r="CE25" s="542"/>
      <c r="CF25" s="542"/>
      <c r="CG25" s="542"/>
      <c r="CH25" s="542"/>
      <c r="CI25" s="542"/>
      <c r="CJ25" s="542"/>
      <c r="CK25" s="542"/>
      <c r="CL25" s="542"/>
      <c r="CM25" s="542"/>
      <c r="CN25" s="542"/>
      <c r="CO25" s="542"/>
      <c r="CP25" s="542"/>
      <c r="CQ25" s="542"/>
      <c r="CR25" s="542"/>
      <c r="CS25" s="542"/>
      <c r="CT25" s="542"/>
      <c r="CU25" s="542"/>
      <c r="CW25" s="151">
        <f t="shared" si="37"/>
        <v>0</v>
      </c>
    </row>
    <row r="26" spans="1:101" s="84" customFormat="1" ht="12.75" customHeight="1" outlineLevel="1" x14ac:dyDescent="0.2">
      <c r="A26" s="18"/>
      <c r="B26" s="18"/>
      <c r="C26" s="87"/>
      <c r="D26" s="53"/>
      <c r="E26" s="53"/>
      <c r="G26" s="300"/>
      <c r="H26" s="300"/>
      <c r="I26" s="300"/>
      <c r="J26" s="300"/>
      <c r="K26" s="300"/>
      <c r="L26" s="300"/>
      <c r="M26" s="300"/>
      <c r="N26" s="300"/>
      <c r="O26" s="300"/>
      <c r="P26" s="300">
        <f t="shared" si="70"/>
        <v>0</v>
      </c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>
        <f t="shared" si="5"/>
        <v>0</v>
      </c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3"/>
      <c r="AY26" s="263">
        <f>SUM(AJ26:AX26)</f>
        <v>0</v>
      </c>
      <c r="BA26" s="277"/>
      <c r="BB26" s="277"/>
      <c r="BC26" s="277">
        <f t="shared" si="10"/>
        <v>0</v>
      </c>
      <c r="BE26" s="55">
        <f t="shared" si="11"/>
        <v>0</v>
      </c>
      <c r="BF26" s="55"/>
      <c r="BG26" s="18"/>
      <c r="BH26" s="541"/>
      <c r="BI26" s="542"/>
      <c r="BJ26" s="542"/>
      <c r="BK26" s="542"/>
      <c r="BL26" s="542"/>
      <c r="BM26" s="542"/>
      <c r="BN26" s="542"/>
      <c r="BO26" s="542"/>
      <c r="BP26" s="542"/>
      <c r="BQ26" s="542"/>
      <c r="BR26" s="542"/>
      <c r="BS26" s="542"/>
      <c r="BT26" s="542"/>
      <c r="BU26" s="542"/>
      <c r="BV26" s="542"/>
      <c r="BW26" s="542"/>
      <c r="BX26" s="542"/>
      <c r="BY26" s="542"/>
      <c r="BZ26" s="542"/>
      <c r="CA26" s="542"/>
      <c r="CB26" s="542"/>
      <c r="CC26" s="542"/>
      <c r="CD26" s="542"/>
      <c r="CE26" s="542"/>
      <c r="CF26" s="542"/>
      <c r="CG26" s="542"/>
      <c r="CH26" s="542"/>
      <c r="CI26" s="542"/>
      <c r="CJ26" s="542"/>
      <c r="CK26" s="542"/>
      <c r="CL26" s="542"/>
      <c r="CM26" s="542"/>
      <c r="CN26" s="542"/>
      <c r="CO26" s="542"/>
      <c r="CP26" s="542"/>
      <c r="CQ26" s="542"/>
      <c r="CR26" s="542"/>
      <c r="CS26" s="542"/>
      <c r="CT26" s="542"/>
      <c r="CU26" s="542"/>
      <c r="CW26" s="151">
        <f t="shared" si="37"/>
        <v>0</v>
      </c>
    </row>
    <row r="27" spans="1:101" s="84" customFormat="1" ht="7.5" customHeight="1" x14ac:dyDescent="0.2">
      <c r="C27" s="56"/>
      <c r="D27" s="57"/>
      <c r="E27" s="51"/>
      <c r="G27" s="300"/>
      <c r="H27" s="300"/>
      <c r="I27" s="300"/>
      <c r="J27" s="300"/>
      <c r="K27" s="300"/>
      <c r="L27" s="300"/>
      <c r="M27" s="300"/>
      <c r="N27" s="300"/>
      <c r="O27" s="300"/>
      <c r="P27" s="300">
        <f t="shared" si="70"/>
        <v>0</v>
      </c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>
        <f t="shared" si="5"/>
        <v>0</v>
      </c>
      <c r="AJ27" s="263"/>
      <c r="AK27" s="263"/>
      <c r="AL27" s="263"/>
      <c r="AM27" s="263"/>
      <c r="AN27" s="263"/>
      <c r="AO27" s="263"/>
      <c r="AP27" s="263"/>
      <c r="AQ27" s="263"/>
      <c r="AR27" s="263"/>
      <c r="AS27" s="263"/>
      <c r="AT27" s="263"/>
      <c r="AU27" s="263"/>
      <c r="AV27" s="263"/>
      <c r="AW27" s="263"/>
      <c r="AX27" s="263"/>
      <c r="AY27" s="263">
        <f>SUM(AJ27:AX27)</f>
        <v>0</v>
      </c>
      <c r="BA27" s="277"/>
      <c r="BB27" s="277"/>
      <c r="BC27" s="277">
        <f t="shared" si="10"/>
        <v>0</v>
      </c>
      <c r="BE27" s="55">
        <f t="shared" si="11"/>
        <v>0</v>
      </c>
      <c r="BF27" s="55"/>
      <c r="BH27" s="542"/>
      <c r="BI27" s="542"/>
      <c r="BJ27" s="542"/>
      <c r="BK27" s="542"/>
      <c r="BL27" s="542"/>
      <c r="BM27" s="542"/>
      <c r="BN27" s="542"/>
      <c r="BO27" s="542"/>
      <c r="BP27" s="542"/>
      <c r="BQ27" s="542"/>
      <c r="BR27" s="542"/>
      <c r="BS27" s="542"/>
      <c r="BT27" s="542"/>
      <c r="BU27" s="542"/>
      <c r="BV27" s="542"/>
      <c r="BW27" s="542"/>
      <c r="BX27" s="542"/>
      <c r="BY27" s="542"/>
      <c r="BZ27" s="542"/>
      <c r="CA27" s="542"/>
      <c r="CB27" s="542"/>
      <c r="CC27" s="542"/>
      <c r="CD27" s="542"/>
      <c r="CE27" s="542"/>
      <c r="CF27" s="542"/>
      <c r="CG27" s="542"/>
      <c r="CH27" s="542"/>
      <c r="CI27" s="542"/>
      <c r="CJ27" s="542"/>
      <c r="CK27" s="542"/>
      <c r="CL27" s="542"/>
      <c r="CM27" s="542"/>
      <c r="CN27" s="542"/>
      <c r="CO27" s="542"/>
      <c r="CP27" s="542"/>
      <c r="CQ27" s="542"/>
      <c r="CR27" s="542"/>
      <c r="CS27" s="542"/>
      <c r="CT27" s="542"/>
      <c r="CU27" s="542"/>
      <c r="CW27" s="151"/>
    </row>
    <row r="28" spans="1:101" s="84" customFormat="1" ht="15.75" x14ac:dyDescent="0.2">
      <c r="B28" s="89"/>
      <c r="C28" s="923" t="s">
        <v>883</v>
      </c>
      <c r="D28" s="69" t="s">
        <v>190</v>
      </c>
      <c r="E28" s="70"/>
      <c r="G28" s="302">
        <f ca="1">G$13+G$17+G$20+G$24</f>
        <v>125.64327023914129</v>
      </c>
      <c r="H28" s="302">
        <f t="shared" ref="H28:AG28" ca="1" si="71">H$13+H$17+H$20+H$24</f>
        <v>552.9641205990697</v>
      </c>
      <c r="I28" s="302">
        <f t="shared" ca="1" si="71"/>
        <v>204.16202861606214</v>
      </c>
      <c r="J28" s="302">
        <f t="shared" ca="1" si="71"/>
        <v>162.92714427345283</v>
      </c>
      <c r="K28" s="302">
        <f t="shared" ca="1" si="71"/>
        <v>107.4464981999182</v>
      </c>
      <c r="L28" s="302">
        <f t="shared" ca="1" si="71"/>
        <v>63.640391829160592</v>
      </c>
      <c r="M28" s="302">
        <f t="shared" ca="1" si="71"/>
        <v>0</v>
      </c>
      <c r="N28" s="302">
        <f t="shared" ca="1" si="71"/>
        <v>8.4414013608947293E-13</v>
      </c>
      <c r="O28" s="302">
        <f t="shared" ca="1" si="71"/>
        <v>9.273803547731351</v>
      </c>
      <c r="P28" s="300">
        <f t="shared" ca="1" si="70"/>
        <v>1226.057257304537</v>
      </c>
      <c r="Q28" s="302">
        <f t="shared" si="71"/>
        <v>0</v>
      </c>
      <c r="R28" s="302">
        <f t="shared" ca="1" si="71"/>
        <v>-791.2290303627733</v>
      </c>
      <c r="S28" s="302">
        <f t="shared" ca="1" si="71"/>
        <v>0</v>
      </c>
      <c r="T28" s="302">
        <f t="shared" ca="1" si="71"/>
        <v>-4.8063507560668581</v>
      </c>
      <c r="U28" s="302">
        <f t="shared" ca="1" si="71"/>
        <v>-200.42408572188089</v>
      </c>
      <c r="V28" s="302">
        <f t="shared" ca="1" si="71"/>
        <v>-171.31205637237406</v>
      </c>
      <c r="W28" s="302">
        <f t="shared" ca="1" si="71"/>
        <v>-58.285734091441746</v>
      </c>
      <c r="X28" s="302">
        <f t="shared" ca="1" si="71"/>
        <v>0</v>
      </c>
      <c r="Y28" s="302">
        <f t="shared" ca="1" si="71"/>
        <v>0</v>
      </c>
      <c r="Z28" s="302">
        <f t="shared" ca="1" si="71"/>
        <v>0</v>
      </c>
      <c r="AA28" s="302">
        <f t="shared" ca="1" si="71"/>
        <v>0</v>
      </c>
      <c r="AB28" s="302">
        <f t="shared" ca="1" si="71"/>
        <v>0</v>
      </c>
      <c r="AC28" s="302">
        <f t="shared" ca="1" si="71"/>
        <v>0</v>
      </c>
      <c r="AD28" s="302">
        <f t="shared" ca="1" si="71"/>
        <v>0</v>
      </c>
      <c r="AE28" s="302">
        <f t="shared" ca="1" si="71"/>
        <v>0</v>
      </c>
      <c r="AF28" s="302">
        <f t="shared" ca="1" si="71"/>
        <v>0</v>
      </c>
      <c r="AG28" s="302">
        <f t="shared" ca="1" si="71"/>
        <v>0</v>
      </c>
      <c r="AH28" s="294">
        <f t="shared" ca="1" si="5"/>
        <v>-1226.0572573045367</v>
      </c>
      <c r="AJ28" s="295">
        <f ca="1">AJ$13+AJ$17+AJ$20+AJ$24</f>
        <v>0</v>
      </c>
      <c r="AK28" s="295">
        <f t="shared" ref="AK28:BD28" ca="1" si="72">AK$13+AK$17+AK$20+AK$24</f>
        <v>0</v>
      </c>
      <c r="AL28" s="295">
        <f t="shared" ca="1" si="72"/>
        <v>0</v>
      </c>
      <c r="AM28" s="295">
        <f t="shared" ca="1" si="72"/>
        <v>0</v>
      </c>
      <c r="AN28" s="295">
        <f t="shared" ca="1" si="72"/>
        <v>0</v>
      </c>
      <c r="AO28" s="295">
        <f t="shared" ca="1" si="72"/>
        <v>0</v>
      </c>
      <c r="AP28" s="295">
        <f t="shared" ca="1" si="72"/>
        <v>0</v>
      </c>
      <c r="AQ28" s="295">
        <f t="shared" ca="1" si="72"/>
        <v>0</v>
      </c>
      <c r="AR28" s="295">
        <f t="shared" ca="1" si="72"/>
        <v>0</v>
      </c>
      <c r="AS28" s="295">
        <f t="shared" ca="1" si="72"/>
        <v>0</v>
      </c>
      <c r="AT28" s="295">
        <f t="shared" ca="1" si="72"/>
        <v>0</v>
      </c>
      <c r="AU28" s="295">
        <f t="shared" ca="1" si="72"/>
        <v>0</v>
      </c>
      <c r="AV28" s="295">
        <f t="shared" ca="1" si="72"/>
        <v>0</v>
      </c>
      <c r="AW28" s="295">
        <f t="shared" ca="1" si="72"/>
        <v>0</v>
      </c>
      <c r="AX28" s="295">
        <f t="shared" ca="1" si="72"/>
        <v>0</v>
      </c>
      <c r="AY28" s="295">
        <f t="shared" ca="1" si="72"/>
        <v>0</v>
      </c>
      <c r="AZ28" s="295">
        <f t="shared" si="72"/>
        <v>0</v>
      </c>
      <c r="BA28" s="295">
        <f t="shared" ca="1" si="72"/>
        <v>0</v>
      </c>
      <c r="BB28" s="295">
        <f t="shared" ca="1" si="72"/>
        <v>0</v>
      </c>
      <c r="BC28" s="277">
        <f t="shared" ca="1" si="10"/>
        <v>0</v>
      </c>
      <c r="BD28" s="295">
        <f t="shared" si="72"/>
        <v>0</v>
      </c>
      <c r="BE28" s="58">
        <f t="shared" ca="1" si="11"/>
        <v>2.2737367544323206E-13</v>
      </c>
      <c r="BF28" s="58"/>
      <c r="BH28" s="546">
        <f ca="1">BH$13+BH$17+BH$20+BH$24</f>
        <v>80.247782063924078</v>
      </c>
      <c r="BI28" s="546">
        <f t="shared" ref="BI28:CU28" ca="1" si="73">BI$13+BI$17+BI$20+BI$24</f>
        <v>21.366628262297777</v>
      </c>
      <c r="BJ28" s="546">
        <f t="shared" ca="1" si="73"/>
        <v>22.059102749330663</v>
      </c>
      <c r="BK28" s="546">
        <f t="shared" ca="1" si="73"/>
        <v>0</v>
      </c>
      <c r="BL28" s="546">
        <f t="shared" ca="1" si="73"/>
        <v>0</v>
      </c>
      <c r="BM28" s="546">
        <f t="shared" ca="1" si="73"/>
        <v>0</v>
      </c>
      <c r="BN28" s="546">
        <f t="shared" ca="1" si="73"/>
        <v>0</v>
      </c>
      <c r="BO28" s="546">
        <f t="shared" ca="1" si="73"/>
        <v>0</v>
      </c>
      <c r="BP28" s="546">
        <f t="shared" ca="1" si="73"/>
        <v>14.56512145051156</v>
      </c>
      <c r="BQ28" s="546">
        <f t="shared" ca="1" si="73"/>
        <v>0.13724706750893978</v>
      </c>
      <c r="BR28" s="546">
        <f t="shared" ca="1" si="73"/>
        <v>3.6780489244177157</v>
      </c>
      <c r="BS28" s="546">
        <f t="shared" ca="1" si="73"/>
        <v>8.1828353065213193</v>
      </c>
      <c r="BT28" s="546">
        <f t="shared" ca="1" si="73"/>
        <v>0</v>
      </c>
      <c r="BU28" s="546">
        <f t="shared" ca="1" si="73"/>
        <v>0</v>
      </c>
      <c r="BV28" s="546">
        <f t="shared" ca="1" si="73"/>
        <v>0</v>
      </c>
      <c r="BW28" s="546">
        <f t="shared" ca="1" si="73"/>
        <v>0</v>
      </c>
      <c r="BX28" s="546">
        <f t="shared" ca="1" si="73"/>
        <v>0</v>
      </c>
      <c r="BY28" s="546">
        <f t="shared" ca="1" si="73"/>
        <v>0</v>
      </c>
      <c r="BZ28" s="546">
        <f t="shared" ca="1" si="73"/>
        <v>0</v>
      </c>
      <c r="CA28" s="546">
        <f t="shared" ca="1" si="73"/>
        <v>0</v>
      </c>
      <c r="CB28" s="546">
        <f t="shared" ca="1" si="73"/>
        <v>0</v>
      </c>
      <c r="CC28" s="546">
        <f t="shared" ca="1" si="73"/>
        <v>0</v>
      </c>
      <c r="CD28" s="546">
        <f t="shared" ca="1" si="73"/>
        <v>0</v>
      </c>
      <c r="CE28" s="546">
        <f t="shared" ca="1" si="73"/>
        <v>0</v>
      </c>
      <c r="CF28" s="546">
        <f t="shared" ca="1" si="73"/>
        <v>0</v>
      </c>
      <c r="CG28" s="546">
        <f t="shared" ca="1" si="73"/>
        <v>0</v>
      </c>
      <c r="CH28" s="546">
        <f t="shared" ca="1" si="73"/>
        <v>0</v>
      </c>
      <c r="CI28" s="546">
        <f t="shared" ca="1" si="73"/>
        <v>0</v>
      </c>
      <c r="CJ28" s="546">
        <f t="shared" ca="1" si="73"/>
        <v>0</v>
      </c>
      <c r="CK28" s="546">
        <f t="shared" ca="1" si="73"/>
        <v>0</v>
      </c>
      <c r="CL28" s="546">
        <f t="shared" ca="1" si="73"/>
        <v>0</v>
      </c>
      <c r="CM28" s="546">
        <f t="shared" ca="1" si="73"/>
        <v>0</v>
      </c>
      <c r="CN28" s="546">
        <f t="shared" ca="1" si="73"/>
        <v>0</v>
      </c>
      <c r="CO28" s="546">
        <f t="shared" ca="1" si="73"/>
        <v>0</v>
      </c>
      <c r="CP28" s="546">
        <f t="shared" ca="1" si="73"/>
        <v>0</v>
      </c>
      <c r="CQ28" s="546">
        <f t="shared" ca="1" si="73"/>
        <v>0</v>
      </c>
      <c r="CR28" s="546">
        <f t="shared" ca="1" si="73"/>
        <v>0</v>
      </c>
      <c r="CS28" s="546">
        <f t="shared" ca="1" si="73"/>
        <v>0</v>
      </c>
      <c r="CT28" s="546">
        <f t="shared" ca="1" si="73"/>
        <v>0</v>
      </c>
      <c r="CU28" s="546">
        <f t="shared" ca="1" si="73"/>
        <v>0</v>
      </c>
      <c r="CW28" s="148">
        <f ca="1">SUM(BH28:CU28)</f>
        <v>150.23676582451208</v>
      </c>
    </row>
    <row r="29" spans="1:101" s="84" customFormat="1" ht="6" customHeight="1" x14ac:dyDescent="0.2">
      <c r="C29" s="51"/>
      <c r="D29" s="51"/>
      <c r="E29" s="51"/>
      <c r="G29" s="245"/>
      <c r="H29" s="245"/>
      <c r="I29" s="245"/>
      <c r="J29" s="245"/>
      <c r="K29" s="245"/>
      <c r="L29" s="247"/>
      <c r="M29" s="245"/>
      <c r="N29" s="245"/>
      <c r="O29" s="245"/>
      <c r="P29" s="245">
        <f t="shared" si="70"/>
        <v>0</v>
      </c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>
        <f t="shared" si="5"/>
        <v>0</v>
      </c>
      <c r="AJ29" s="263"/>
      <c r="AK29" s="263"/>
      <c r="AL29" s="263"/>
      <c r="AM29" s="263"/>
      <c r="AN29" s="263"/>
      <c r="AO29" s="263"/>
      <c r="AP29" s="263"/>
      <c r="AQ29" s="263"/>
      <c r="AR29" s="263"/>
      <c r="AS29" s="263"/>
      <c r="AT29" s="263"/>
      <c r="AU29" s="263"/>
      <c r="AV29" s="263"/>
      <c r="AW29" s="263"/>
      <c r="AX29" s="263"/>
      <c r="AY29" s="263">
        <f t="shared" ref="AY29:AY60" si="74">SUM(AJ29:AX29)</f>
        <v>0</v>
      </c>
      <c r="BA29" s="277"/>
      <c r="BB29" s="277"/>
      <c r="BC29" s="277">
        <f t="shared" si="10"/>
        <v>0</v>
      </c>
      <c r="BE29" s="55">
        <f t="shared" si="11"/>
        <v>0</v>
      </c>
      <c r="BF29" s="55"/>
      <c r="BH29" s="542"/>
      <c r="BI29" s="542"/>
      <c r="BJ29" s="542"/>
      <c r="BK29" s="542"/>
      <c r="BL29" s="542"/>
      <c r="BM29" s="542"/>
      <c r="BN29" s="542"/>
      <c r="BO29" s="542"/>
      <c r="BP29" s="542"/>
      <c r="BQ29" s="542"/>
      <c r="BR29" s="542"/>
      <c r="BS29" s="542"/>
      <c r="BT29" s="542"/>
      <c r="BU29" s="542"/>
      <c r="BV29" s="542"/>
      <c r="BW29" s="542"/>
      <c r="BX29" s="542"/>
      <c r="BY29" s="542"/>
      <c r="BZ29" s="542"/>
      <c r="CA29" s="542"/>
      <c r="CB29" s="542"/>
      <c r="CC29" s="542"/>
      <c r="CD29" s="542"/>
      <c r="CE29" s="542"/>
      <c r="CF29" s="542"/>
      <c r="CG29" s="542"/>
      <c r="CH29" s="542"/>
      <c r="CI29" s="542"/>
      <c r="CJ29" s="542"/>
      <c r="CK29" s="542"/>
      <c r="CL29" s="542"/>
      <c r="CM29" s="542"/>
      <c r="CN29" s="542"/>
      <c r="CO29" s="542"/>
      <c r="CP29" s="542"/>
      <c r="CQ29" s="542"/>
      <c r="CR29" s="542"/>
      <c r="CS29" s="542"/>
      <c r="CT29" s="542"/>
      <c r="CU29" s="542"/>
      <c r="CW29" s="151"/>
    </row>
    <row r="30" spans="1:101" s="84" customFormat="1" ht="24" customHeight="1" x14ac:dyDescent="0.2">
      <c r="C30" s="45" t="s">
        <v>58</v>
      </c>
      <c r="D30" s="45"/>
      <c r="E30" s="68"/>
      <c r="G30" s="244"/>
      <c r="H30" s="244"/>
      <c r="I30" s="244"/>
      <c r="J30" s="244"/>
      <c r="K30" s="244"/>
      <c r="L30" s="244"/>
      <c r="M30" s="244"/>
      <c r="N30" s="244"/>
      <c r="O30" s="244"/>
      <c r="P30" s="244">
        <f t="shared" si="70"/>
        <v>0</v>
      </c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>
        <f t="shared" si="5"/>
        <v>0</v>
      </c>
      <c r="AJ30" s="262"/>
      <c r="AK30" s="262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>
        <f t="shared" si="74"/>
        <v>0</v>
      </c>
      <c r="BA30" s="276"/>
      <c r="BB30" s="276"/>
      <c r="BC30" s="276">
        <f t="shared" si="10"/>
        <v>0</v>
      </c>
      <c r="BE30" s="54">
        <f t="shared" si="11"/>
        <v>0</v>
      </c>
      <c r="BF30" s="54"/>
      <c r="BH30" s="542"/>
      <c r="BI30" s="542"/>
      <c r="BJ30" s="542"/>
      <c r="BK30" s="542"/>
      <c r="BL30" s="542"/>
      <c r="BM30" s="542"/>
      <c r="BN30" s="542"/>
      <c r="BO30" s="542"/>
      <c r="BP30" s="542"/>
      <c r="BQ30" s="542"/>
      <c r="BR30" s="542"/>
      <c r="BS30" s="542"/>
      <c r="BT30" s="542"/>
      <c r="BU30" s="542"/>
      <c r="BV30" s="542"/>
      <c r="BW30" s="542"/>
      <c r="BX30" s="542"/>
      <c r="BY30" s="542"/>
      <c r="BZ30" s="542"/>
      <c r="CA30" s="542"/>
      <c r="CB30" s="542"/>
      <c r="CC30" s="542"/>
      <c r="CD30" s="542"/>
      <c r="CE30" s="542"/>
      <c r="CF30" s="542"/>
      <c r="CG30" s="542"/>
      <c r="CH30" s="542"/>
      <c r="CI30" s="542"/>
      <c r="CJ30" s="542"/>
      <c r="CK30" s="542"/>
      <c r="CL30" s="542"/>
      <c r="CM30" s="542"/>
      <c r="CN30" s="542"/>
      <c r="CO30" s="542"/>
      <c r="CP30" s="542"/>
      <c r="CQ30" s="542"/>
      <c r="CR30" s="542"/>
      <c r="CS30" s="542"/>
      <c r="CT30" s="542"/>
      <c r="CU30" s="542"/>
      <c r="CW30" s="151"/>
    </row>
    <row r="31" spans="1:101" s="84" customFormat="1" ht="12.75" customHeight="1" outlineLevel="1" x14ac:dyDescent="0.2">
      <c r="A31" s="18"/>
      <c r="B31" s="18"/>
      <c r="C31" s="87"/>
      <c r="D31" s="53"/>
      <c r="E31" s="53"/>
      <c r="G31" s="245"/>
      <c r="H31" s="245"/>
      <c r="I31" s="245"/>
      <c r="J31" s="245"/>
      <c r="K31" s="245"/>
      <c r="L31" s="247"/>
      <c r="M31" s="245"/>
      <c r="N31" s="245"/>
      <c r="O31" s="245"/>
      <c r="P31" s="245">
        <f t="shared" si="70"/>
        <v>0</v>
      </c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>
        <f t="shared" si="5"/>
        <v>0</v>
      </c>
      <c r="AJ31" s="263"/>
      <c r="AK31" s="263"/>
      <c r="AL31" s="263"/>
      <c r="AM31" s="263"/>
      <c r="AN31" s="263"/>
      <c r="AO31" s="263"/>
      <c r="AP31" s="263"/>
      <c r="AQ31" s="263"/>
      <c r="AR31" s="263"/>
      <c r="AS31" s="263"/>
      <c r="AT31" s="263"/>
      <c r="AU31" s="263"/>
      <c r="AV31" s="263"/>
      <c r="AW31" s="263"/>
      <c r="AX31" s="263"/>
      <c r="AY31" s="263">
        <f t="shared" si="74"/>
        <v>0</v>
      </c>
      <c r="BA31" s="277"/>
      <c r="BB31" s="277"/>
      <c r="BC31" s="277">
        <f t="shared" si="10"/>
        <v>0</v>
      </c>
      <c r="BE31" s="55">
        <f t="shared" si="11"/>
        <v>0</v>
      </c>
      <c r="BF31" s="55"/>
      <c r="BG31" s="18"/>
      <c r="BH31" s="542"/>
      <c r="BI31" s="542"/>
      <c r="BJ31" s="542"/>
      <c r="BK31" s="542"/>
      <c r="BL31" s="542"/>
      <c r="BM31" s="542"/>
      <c r="BN31" s="542"/>
      <c r="BO31" s="542"/>
      <c r="BP31" s="542"/>
      <c r="BQ31" s="542"/>
      <c r="BR31" s="542"/>
      <c r="BS31" s="542"/>
      <c r="BT31" s="542"/>
      <c r="BU31" s="542"/>
      <c r="BV31" s="542"/>
      <c r="BW31" s="542"/>
      <c r="BX31" s="542"/>
      <c r="BY31" s="542"/>
      <c r="BZ31" s="542"/>
      <c r="CA31" s="542"/>
      <c r="CB31" s="542"/>
      <c r="CC31" s="542"/>
      <c r="CD31" s="542"/>
      <c r="CE31" s="542"/>
      <c r="CF31" s="542"/>
      <c r="CG31" s="542"/>
      <c r="CH31" s="542"/>
      <c r="CI31" s="542"/>
      <c r="CJ31" s="542"/>
      <c r="CK31" s="542"/>
      <c r="CL31" s="542"/>
      <c r="CM31" s="542"/>
      <c r="CN31" s="542"/>
      <c r="CO31" s="542"/>
      <c r="CP31" s="542"/>
      <c r="CQ31" s="542"/>
      <c r="CR31" s="542"/>
      <c r="CS31" s="542"/>
      <c r="CT31" s="542"/>
      <c r="CU31" s="542"/>
      <c r="CW31" s="151"/>
    </row>
    <row r="32" spans="1:101" s="550" customFormat="1" ht="12.75" customHeight="1" outlineLevel="1" x14ac:dyDescent="0.2">
      <c r="C32" s="566" t="s">
        <v>945</v>
      </c>
      <c r="D32" s="567" t="s">
        <v>946</v>
      </c>
      <c r="E32" s="567"/>
      <c r="F32" s="882"/>
      <c r="G32" s="333"/>
      <c r="H32" s="333"/>
      <c r="I32" s="333"/>
      <c r="J32" s="333"/>
      <c r="K32" s="333"/>
      <c r="L32" s="334"/>
      <c r="M32" s="333"/>
      <c r="N32" s="333"/>
      <c r="O32" s="333"/>
      <c r="P32" s="333">
        <f t="shared" si="70"/>
        <v>0</v>
      </c>
      <c r="Q32" s="882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>
        <f t="shared" si="5"/>
        <v>0</v>
      </c>
      <c r="AI32" s="882"/>
      <c r="AJ32" s="336"/>
      <c r="AK32" s="336"/>
      <c r="AL32" s="336"/>
      <c r="AM32" s="336"/>
      <c r="AN32" s="336"/>
      <c r="AO32" s="336"/>
      <c r="AP32" s="336"/>
      <c r="AQ32" s="336"/>
      <c r="AR32" s="336"/>
      <c r="AS32" s="336"/>
      <c r="AT32" s="336"/>
      <c r="AU32" s="336"/>
      <c r="AV32" s="336"/>
      <c r="AW32" s="336"/>
      <c r="AX32" s="336"/>
      <c r="AY32" s="336">
        <f t="shared" si="74"/>
        <v>0</v>
      </c>
      <c r="AZ32" s="882"/>
      <c r="BA32" s="337"/>
      <c r="BB32" s="337"/>
      <c r="BC32" s="337">
        <f t="shared" si="10"/>
        <v>0</v>
      </c>
      <c r="BD32" s="882"/>
      <c r="BE32" s="568">
        <f t="shared" si="11"/>
        <v>0</v>
      </c>
      <c r="BF32" s="568"/>
      <c r="BH32" s="888"/>
      <c r="BI32" s="888"/>
      <c r="BJ32" s="888"/>
      <c r="BK32" s="888"/>
      <c r="BL32" s="888"/>
      <c r="BM32" s="888"/>
      <c r="BN32" s="888"/>
      <c r="BO32" s="888"/>
      <c r="BP32" s="888"/>
      <c r="BQ32" s="888"/>
      <c r="BR32" s="888"/>
      <c r="BS32" s="888"/>
      <c r="BT32" s="888"/>
      <c r="BU32" s="888"/>
      <c r="BV32" s="888"/>
      <c r="BW32" s="888"/>
      <c r="BX32" s="888"/>
      <c r="BY32" s="888"/>
      <c r="BZ32" s="888"/>
      <c r="CA32" s="888"/>
      <c r="CB32" s="888"/>
      <c r="CC32" s="888"/>
      <c r="CD32" s="888"/>
      <c r="CE32" s="888"/>
      <c r="CF32" s="888"/>
      <c r="CG32" s="888"/>
      <c r="CH32" s="888"/>
      <c r="CI32" s="888"/>
      <c r="CJ32" s="888"/>
      <c r="CK32" s="888"/>
      <c r="CL32" s="888"/>
      <c r="CM32" s="888"/>
      <c r="CN32" s="888"/>
      <c r="CO32" s="888"/>
      <c r="CP32" s="888"/>
      <c r="CQ32" s="888"/>
      <c r="CR32" s="888"/>
      <c r="CS32" s="888"/>
      <c r="CT32" s="888"/>
      <c r="CU32" s="888"/>
      <c r="CW32" s="887">
        <f t="shared" ref="CW32:CW43" si="75">SUM(BH32:CU32)</f>
        <v>0</v>
      </c>
    </row>
    <row r="33" spans="1:101" s="84" customFormat="1" outlineLevel="1" x14ac:dyDescent="0.2">
      <c r="C33" s="50"/>
      <c r="D33" s="51"/>
      <c r="E33" s="51"/>
      <c r="G33" s="245"/>
      <c r="H33" s="245"/>
      <c r="I33" s="245"/>
      <c r="J33" s="245"/>
      <c r="K33" s="245"/>
      <c r="L33" s="247"/>
      <c r="M33" s="245"/>
      <c r="N33" s="245"/>
      <c r="O33" s="245"/>
      <c r="P33" s="245">
        <f t="shared" si="70"/>
        <v>0</v>
      </c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>
        <f t="shared" si="5"/>
        <v>0</v>
      </c>
      <c r="AJ33" s="263"/>
      <c r="AK33" s="263"/>
      <c r="AL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  <c r="AW33" s="263"/>
      <c r="AX33" s="263"/>
      <c r="AY33" s="263">
        <f t="shared" si="74"/>
        <v>0</v>
      </c>
      <c r="BA33" s="277"/>
      <c r="BB33" s="277"/>
      <c r="BC33" s="277">
        <f t="shared" si="10"/>
        <v>0</v>
      </c>
      <c r="BE33" s="55">
        <f t="shared" si="11"/>
        <v>0</v>
      </c>
      <c r="BF33" s="55"/>
      <c r="BH33" s="542"/>
      <c r="BI33" s="542"/>
      <c r="BJ33" s="542"/>
      <c r="BK33" s="542"/>
      <c r="BL33" s="542"/>
      <c r="BM33" s="542"/>
      <c r="BN33" s="542"/>
      <c r="BO33" s="542"/>
      <c r="BP33" s="542"/>
      <c r="BQ33" s="542"/>
      <c r="BR33" s="542"/>
      <c r="BS33" s="542"/>
      <c r="BT33" s="542"/>
      <c r="BU33" s="542"/>
      <c r="BV33" s="542"/>
      <c r="BW33" s="542"/>
      <c r="BX33" s="542"/>
      <c r="BY33" s="542"/>
      <c r="BZ33" s="542"/>
      <c r="CA33" s="542"/>
      <c r="CB33" s="542"/>
      <c r="CC33" s="542"/>
      <c r="CD33" s="542"/>
      <c r="CE33" s="542"/>
      <c r="CF33" s="542"/>
      <c r="CG33" s="542"/>
      <c r="CH33" s="542"/>
      <c r="CI33" s="542"/>
      <c r="CJ33" s="542"/>
      <c r="CK33" s="542"/>
      <c r="CL33" s="542"/>
      <c r="CM33" s="542"/>
      <c r="CN33" s="542"/>
      <c r="CO33" s="542"/>
      <c r="CP33" s="542"/>
      <c r="CQ33" s="542"/>
      <c r="CR33" s="542"/>
      <c r="CS33" s="542"/>
      <c r="CT33" s="542"/>
      <c r="CU33" s="542"/>
      <c r="CW33" s="151">
        <f t="shared" si="75"/>
        <v>0</v>
      </c>
    </row>
    <row r="34" spans="1:101" s="84" customFormat="1" outlineLevel="1" x14ac:dyDescent="0.2">
      <c r="A34" s="543"/>
      <c r="B34" s="543"/>
      <c r="C34" s="86" t="s">
        <v>402</v>
      </c>
      <c r="D34" s="61" t="str">
        <f>INDEX(Modules[Module], MATCH($C34, Modules[Code], 0))</f>
        <v>Volume of Waste &amp; Recycling</v>
      </c>
      <c r="E34" s="61"/>
      <c r="G34" s="297">
        <f t="shared" ref="G34:O34" ca="1" si="76">IFERROR(INDEX(INDIRECT($C34&amp;".Outputs["&amp;this.Year&amp;"]"), MATCH(G$5, INDIRECT($C34&amp;".Outputs[Vector]"), 0)), 0)</f>
        <v>0</v>
      </c>
      <c r="H34" s="297">
        <f t="shared" ca="1" si="76"/>
        <v>0</v>
      </c>
      <c r="I34" s="297">
        <f t="shared" ca="1" si="76"/>
        <v>0</v>
      </c>
      <c r="J34" s="297">
        <f t="shared" ca="1" si="76"/>
        <v>0</v>
      </c>
      <c r="K34" s="297">
        <f t="shared" ca="1" si="76"/>
        <v>0</v>
      </c>
      <c r="L34" s="297">
        <f t="shared" ca="1" si="76"/>
        <v>0</v>
      </c>
      <c r="M34" s="297">
        <f t="shared" ca="1" si="76"/>
        <v>0</v>
      </c>
      <c r="N34" s="297">
        <f t="shared" ca="1" si="76"/>
        <v>0</v>
      </c>
      <c r="O34" s="297">
        <f t="shared" ca="1" si="76"/>
        <v>0</v>
      </c>
      <c r="P34" s="297">
        <f t="shared" ca="1" si="70"/>
        <v>0</v>
      </c>
      <c r="R34" s="304">
        <f t="shared" ref="R34:AX34" ca="1" si="77">IFERROR(INDEX(INDIRECT($C34&amp;".Outputs["&amp;this.Year&amp;"]"), MATCH(R$5, INDIRECT($C34&amp;".Outputs[Vector]"), 0)), 0)</f>
        <v>0</v>
      </c>
      <c r="S34" s="304">
        <f t="shared" ca="1" si="77"/>
        <v>0</v>
      </c>
      <c r="T34" s="304">
        <f t="shared" ca="1" si="77"/>
        <v>0</v>
      </c>
      <c r="U34" s="304">
        <f t="shared" ca="1" si="77"/>
        <v>0</v>
      </c>
      <c r="V34" s="304">
        <f t="shared" ca="1" si="77"/>
        <v>0</v>
      </c>
      <c r="W34" s="304">
        <f t="shared" ca="1" si="77"/>
        <v>0</v>
      </c>
      <c r="X34" s="304">
        <f t="shared" ref="X34:Z35" ca="1" si="78">IFERROR(INDEX(INDIRECT($C34&amp;".Outputs["&amp;this.Year&amp;"]"), MATCH(X$5, INDIRECT($C34&amp;".Outputs[Vector]"), 0)), 0)</f>
        <v>4.4936903958333332</v>
      </c>
      <c r="Y34" s="304">
        <f t="shared" ca="1" si="78"/>
        <v>0</v>
      </c>
      <c r="Z34" s="304">
        <f t="shared" ca="1" si="78"/>
        <v>0</v>
      </c>
      <c r="AA34" s="304">
        <f t="shared" ca="1" si="77"/>
        <v>0</v>
      </c>
      <c r="AB34" s="304">
        <f t="shared" ca="1" si="77"/>
        <v>0</v>
      </c>
      <c r="AC34" s="304">
        <f t="shared" ca="1" si="77"/>
        <v>0</v>
      </c>
      <c r="AD34" s="304">
        <f t="shared" ca="1" si="77"/>
        <v>0</v>
      </c>
      <c r="AE34" s="304">
        <f t="shared" ca="1" si="77"/>
        <v>7.6185618741666659</v>
      </c>
      <c r="AF34" s="304">
        <f t="shared" ca="1" si="77"/>
        <v>8.2084328641005087</v>
      </c>
      <c r="AG34" s="304">
        <f t="shared" ca="1" si="77"/>
        <v>4.9487424290318085</v>
      </c>
      <c r="AH34" s="305">
        <f t="shared" ca="1" si="5"/>
        <v>25.269427563132318</v>
      </c>
      <c r="AJ34" s="312">
        <f t="shared" ref="AJ34:AR35" ca="1" si="79">IFERROR(INDEX(INDIRECT($C34&amp;".Outputs["&amp;this.Year&amp;"]"), MATCH(AJ$5, INDIRECT($C34&amp;".Outputs[Vector]"), 0)), 0)</f>
        <v>0</v>
      </c>
      <c r="AK34" s="312">
        <f t="shared" ca="1" si="79"/>
        <v>0</v>
      </c>
      <c r="AL34" s="312">
        <f t="shared" ca="1" si="79"/>
        <v>0</v>
      </c>
      <c r="AM34" s="312">
        <f t="shared" ca="1" si="79"/>
        <v>0</v>
      </c>
      <c r="AN34" s="312">
        <f t="shared" ca="1" si="79"/>
        <v>0</v>
      </c>
      <c r="AO34" s="312">
        <f t="shared" ca="1" si="79"/>
        <v>0</v>
      </c>
      <c r="AP34" s="312">
        <f t="shared" ca="1" si="79"/>
        <v>0</v>
      </c>
      <c r="AQ34" s="312">
        <f t="shared" ca="1" si="79"/>
        <v>0</v>
      </c>
      <c r="AR34" s="312">
        <f t="shared" ca="1" si="79"/>
        <v>0</v>
      </c>
      <c r="AS34" s="312">
        <f t="shared" ca="1" si="77"/>
        <v>0</v>
      </c>
      <c r="AT34" s="312">
        <f t="shared" ca="1" si="77"/>
        <v>0</v>
      </c>
      <c r="AU34" s="312">
        <f t="shared" ca="1" si="77"/>
        <v>0</v>
      </c>
      <c r="AV34" s="312">
        <f t="shared" ca="1" si="77"/>
        <v>0</v>
      </c>
      <c r="AW34" s="312">
        <f t="shared" ca="1" si="77"/>
        <v>0</v>
      </c>
      <c r="AX34" s="312">
        <f t="shared" ca="1" si="77"/>
        <v>-25.269427563132314</v>
      </c>
      <c r="AY34" s="266">
        <f t="shared" ca="1" si="74"/>
        <v>-25.269427563132314</v>
      </c>
      <c r="BA34" s="308">
        <f t="shared" ref="BA34:BB35" ca="1" si="80">IFERROR(INDEX(INDIRECT($C34&amp;".Outputs["&amp;this.Year&amp;"]"), MATCH(BA$5, INDIRECT($C34&amp;".Outputs[Vector]"), 0)), 0)</f>
        <v>0</v>
      </c>
      <c r="BB34" s="308">
        <f t="shared" ca="1" si="80"/>
        <v>0</v>
      </c>
      <c r="BC34" s="309">
        <f t="shared" ca="1" si="10"/>
        <v>0</v>
      </c>
      <c r="BE34" s="135"/>
      <c r="BF34" s="135"/>
      <c r="BG34" s="1428"/>
      <c r="BH34" s="541">
        <f t="shared" ref="BH34:BQ35" ca="1" si="81">IFERROR(SUMIFS(INDIRECT($C34&amp;".Emissions["&amp;this.Year&amp;"]"), INDIRECT($C34&amp;".Emissions[GHG]"), BH$6, INDIRECT($C34&amp;".Emissions[IPCC Sector]"), BH$5),0)</f>
        <v>0</v>
      </c>
      <c r="BI34" s="542">
        <f t="shared" ca="1" si="81"/>
        <v>0</v>
      </c>
      <c r="BJ34" s="542">
        <f t="shared" ca="1" si="81"/>
        <v>0</v>
      </c>
      <c r="BK34" s="542">
        <f t="shared" ca="1" si="81"/>
        <v>0</v>
      </c>
      <c r="BL34" s="542">
        <f t="shared" ca="1" si="81"/>
        <v>0</v>
      </c>
      <c r="BM34" s="542">
        <f t="shared" ca="1" si="81"/>
        <v>0</v>
      </c>
      <c r="BN34" s="542">
        <f t="shared" ca="1" si="81"/>
        <v>0</v>
      </c>
      <c r="BO34" s="542">
        <f t="shared" ca="1" si="81"/>
        <v>0</v>
      </c>
      <c r="BP34" s="542">
        <f t="shared" ca="1" si="81"/>
        <v>0</v>
      </c>
      <c r="BQ34" s="542">
        <f t="shared" ca="1" si="81"/>
        <v>0</v>
      </c>
      <c r="BR34" s="542">
        <f t="shared" ref="BR34:CA35" ca="1" si="82">IFERROR(SUMIFS(INDIRECT($C34&amp;".Emissions["&amp;this.Year&amp;"]"), INDIRECT($C34&amp;".Emissions[GHG]"), BR$6, INDIRECT($C34&amp;".Emissions[IPCC Sector]"), BR$5),0)</f>
        <v>0</v>
      </c>
      <c r="BS34" s="542">
        <f t="shared" ca="1" si="82"/>
        <v>0</v>
      </c>
      <c r="BT34" s="542">
        <f t="shared" ca="1" si="82"/>
        <v>0</v>
      </c>
      <c r="BU34" s="542">
        <f t="shared" ca="1" si="82"/>
        <v>0</v>
      </c>
      <c r="BV34" s="542">
        <f t="shared" ca="1" si="82"/>
        <v>0</v>
      </c>
      <c r="BW34" s="542">
        <f t="shared" ca="1" si="82"/>
        <v>0</v>
      </c>
      <c r="BX34" s="542">
        <f t="shared" ca="1" si="82"/>
        <v>0</v>
      </c>
      <c r="BY34" s="542">
        <f t="shared" ca="1" si="82"/>
        <v>0</v>
      </c>
      <c r="BZ34" s="542">
        <f t="shared" ca="1" si="82"/>
        <v>0</v>
      </c>
      <c r="CA34" s="542">
        <f t="shared" ca="1" si="82"/>
        <v>0</v>
      </c>
      <c r="CB34" s="542">
        <f t="shared" ref="CB34:CK35" ca="1" si="83">IFERROR(SUMIFS(INDIRECT($C34&amp;".Emissions["&amp;this.Year&amp;"]"), INDIRECT($C34&amp;".Emissions[GHG]"), CB$6, INDIRECT($C34&amp;".Emissions[IPCC Sector]"), CB$5),0)</f>
        <v>0</v>
      </c>
      <c r="CC34" s="542">
        <f t="shared" ca="1" si="83"/>
        <v>0</v>
      </c>
      <c r="CD34" s="542">
        <f t="shared" ca="1" si="83"/>
        <v>0</v>
      </c>
      <c r="CE34" s="542">
        <f t="shared" ca="1" si="83"/>
        <v>0</v>
      </c>
      <c r="CF34" s="542">
        <f t="shared" ca="1" si="83"/>
        <v>0</v>
      </c>
      <c r="CG34" s="542">
        <f t="shared" ca="1" si="83"/>
        <v>1.7952501377605785</v>
      </c>
      <c r="CH34" s="542">
        <f t="shared" ca="1" si="83"/>
        <v>0</v>
      </c>
      <c r="CI34" s="542">
        <f t="shared" ca="1" si="83"/>
        <v>0</v>
      </c>
      <c r="CJ34" s="542">
        <f t="shared" ca="1" si="83"/>
        <v>0</v>
      </c>
      <c r="CK34" s="542">
        <f t="shared" ca="1" si="83"/>
        <v>0</v>
      </c>
      <c r="CL34" s="542">
        <f t="shared" ref="CL34:CU35" ca="1" si="84">IFERROR(SUMIFS(INDIRECT($C34&amp;".Emissions["&amp;this.Year&amp;"]"), INDIRECT($C34&amp;".Emissions[GHG]"), CL$6, INDIRECT($C34&amp;".Emissions[IPCC Sector]"), CL$5),0)</f>
        <v>0</v>
      </c>
      <c r="CM34" s="542">
        <f t="shared" ca="1" si="84"/>
        <v>0</v>
      </c>
      <c r="CN34" s="542">
        <f t="shared" ca="1" si="84"/>
        <v>0</v>
      </c>
      <c r="CO34" s="542">
        <f t="shared" ca="1" si="84"/>
        <v>0</v>
      </c>
      <c r="CP34" s="542">
        <f t="shared" ca="1" si="84"/>
        <v>0</v>
      </c>
      <c r="CQ34" s="542">
        <f t="shared" ca="1" si="84"/>
        <v>0</v>
      </c>
      <c r="CR34" s="542">
        <f t="shared" ca="1" si="84"/>
        <v>0</v>
      </c>
      <c r="CS34" s="542">
        <f t="shared" ca="1" si="84"/>
        <v>0</v>
      </c>
      <c r="CT34" s="542">
        <f t="shared" ca="1" si="84"/>
        <v>0</v>
      </c>
      <c r="CU34" s="542">
        <f t="shared" ca="1" si="84"/>
        <v>0</v>
      </c>
      <c r="CW34" s="151">
        <f t="shared" ca="1" si="75"/>
        <v>1.7952501377605785</v>
      </c>
    </row>
    <row r="35" spans="1:101" s="84" customFormat="1" ht="12.75" customHeight="1" outlineLevel="1" x14ac:dyDescent="0.2">
      <c r="A35" s="543"/>
      <c r="B35" s="543"/>
      <c r="C35" s="86" t="s">
        <v>380</v>
      </c>
      <c r="D35" s="292" t="str">
        <f>INDEX(Modules[Module], MATCH($C35, Modules[Code], 0))</f>
        <v>Agriculture and land use</v>
      </c>
      <c r="E35" s="292"/>
      <c r="G35" s="301">
        <f t="shared" ref="G35:O35" ca="1" si="85">IFERROR(INDEX(INDIRECT($C35&amp;".Outputs["&amp;this.Year&amp;"]"), MATCH(G$5, INDIRECT($C35&amp;".Outputs[Vector]"), 0)), 0)</f>
        <v>0</v>
      </c>
      <c r="H35" s="301">
        <f t="shared" ca="1" si="85"/>
        <v>0</v>
      </c>
      <c r="I35" s="301">
        <f t="shared" ca="1" si="85"/>
        <v>0</v>
      </c>
      <c r="J35" s="301">
        <f t="shared" ca="1" si="85"/>
        <v>15.446808162580416</v>
      </c>
      <c r="K35" s="301">
        <f t="shared" ca="1" si="85"/>
        <v>0</v>
      </c>
      <c r="L35" s="301">
        <f t="shared" ca="1" si="85"/>
        <v>0</v>
      </c>
      <c r="M35" s="301">
        <f t="shared" ca="1" si="85"/>
        <v>0</v>
      </c>
      <c r="N35" s="301">
        <f t="shared" ca="1" si="85"/>
        <v>0</v>
      </c>
      <c r="O35" s="301">
        <f t="shared" ca="1" si="85"/>
        <v>0</v>
      </c>
      <c r="P35" s="301">
        <f t="shared" ca="1" si="70"/>
        <v>15.446808162580416</v>
      </c>
      <c r="R35" s="307">
        <f t="shared" ref="R35:AG35" ca="1" si="86">IFERROR(INDEX(INDIRECT($C35&amp;".Outputs["&amp;this.Year&amp;"]"), MATCH(R$5, INDIRECT($C35&amp;".Outputs[Vector]"), 0)), 0)</f>
        <v>-1.8381701713470693</v>
      </c>
      <c r="S35" s="307">
        <f t="shared" ca="1" si="86"/>
        <v>0</v>
      </c>
      <c r="T35" s="307">
        <f t="shared" ca="1" si="86"/>
        <v>-1.5446808162580416E-2</v>
      </c>
      <c r="U35" s="307">
        <f t="shared" ca="1" si="86"/>
        <v>-2.9348935508902789</v>
      </c>
      <c r="V35" s="307">
        <f t="shared" ca="1" si="86"/>
        <v>-1.3902127346322373</v>
      </c>
      <c r="W35" s="307">
        <f t="shared" ca="1" si="86"/>
        <v>-9.268084897548249</v>
      </c>
      <c r="X35" s="307">
        <f t="shared" ca="1" si="78"/>
        <v>0</v>
      </c>
      <c r="Y35" s="307">
        <f t="shared" ca="1" si="78"/>
        <v>0</v>
      </c>
      <c r="Z35" s="307">
        <f t="shared" ca="1" si="78"/>
        <v>0</v>
      </c>
      <c r="AA35" s="307">
        <f t="shared" ca="1" si="86"/>
        <v>0</v>
      </c>
      <c r="AB35" s="307">
        <f t="shared" ca="1" si="86"/>
        <v>0</v>
      </c>
      <c r="AC35" s="307">
        <f t="shared" ca="1" si="86"/>
        <v>2799.3665058013253</v>
      </c>
      <c r="AD35" s="307">
        <f t="shared" ca="1" si="86"/>
        <v>28.576909930226151</v>
      </c>
      <c r="AE35" s="307">
        <f t="shared" ca="1" si="86"/>
        <v>374.24394863168908</v>
      </c>
      <c r="AF35" s="307">
        <f t="shared" ca="1" si="86"/>
        <v>94.485707306740622</v>
      </c>
      <c r="AG35" s="307">
        <f t="shared" ca="1" si="86"/>
        <v>0</v>
      </c>
      <c r="AH35" s="306">
        <f t="shared" ca="1" si="5"/>
        <v>3281.2262635074003</v>
      </c>
      <c r="AJ35" s="315">
        <f t="shared" ca="1" si="79"/>
        <v>0</v>
      </c>
      <c r="AK35" s="315">
        <f t="shared" ca="1" si="79"/>
        <v>0</v>
      </c>
      <c r="AL35" s="315">
        <f t="shared" ca="1" si="79"/>
        <v>0</v>
      </c>
      <c r="AM35" s="315">
        <f t="shared" ca="1" si="79"/>
        <v>0</v>
      </c>
      <c r="AN35" s="315">
        <f t="shared" ca="1" si="79"/>
        <v>0</v>
      </c>
      <c r="AO35" s="315">
        <f t="shared" ca="1" si="79"/>
        <v>0</v>
      </c>
      <c r="AP35" s="315">
        <f t="shared" ca="1" si="79"/>
        <v>0</v>
      </c>
      <c r="AQ35" s="315">
        <f t="shared" ca="1" si="79"/>
        <v>0</v>
      </c>
      <c r="AR35" s="315">
        <f t="shared" ca="1" si="79"/>
        <v>0</v>
      </c>
      <c r="AS35" s="315">
        <f t="shared" ref="AS35:AX35" ca="1" si="87">IFERROR(INDEX(INDIRECT($C35&amp;".Outputs["&amp;this.Year&amp;"]"), MATCH(AS$5, INDIRECT($C35&amp;".Outputs[Vector]"), 0)), 0)</f>
        <v>0</v>
      </c>
      <c r="AT35" s="315">
        <f t="shared" ca="1" si="87"/>
        <v>0</v>
      </c>
      <c r="AU35" s="315">
        <f t="shared" ca="1" si="87"/>
        <v>0</v>
      </c>
      <c r="AV35" s="315">
        <f t="shared" ca="1" si="87"/>
        <v>0</v>
      </c>
      <c r="AW35" s="315">
        <f t="shared" ca="1" si="87"/>
        <v>-2827.9434157315513</v>
      </c>
      <c r="AX35" s="315">
        <f t="shared" ca="1" si="87"/>
        <v>-468.72965593842969</v>
      </c>
      <c r="AY35" s="293">
        <f t="shared" ca="1" si="74"/>
        <v>-3296.6730716699813</v>
      </c>
      <c r="BA35" s="311">
        <f t="shared" ca="1" si="80"/>
        <v>0</v>
      </c>
      <c r="BB35" s="311">
        <f t="shared" ca="1" si="80"/>
        <v>0</v>
      </c>
      <c r="BC35" s="310">
        <f t="shared" ca="1" si="10"/>
        <v>0</v>
      </c>
      <c r="BE35" s="135">
        <f ca="1">P35+AH35+AY35+BC35</f>
        <v>-4.5474735088646412E-13</v>
      </c>
      <c r="BF35" s="135"/>
      <c r="BG35" s="1428"/>
      <c r="BH35" s="544">
        <f t="shared" ca="1" si="81"/>
        <v>0.994280147808976</v>
      </c>
      <c r="BI35" s="545">
        <f t="shared" ca="1" si="81"/>
        <v>1.4402046070519921E-3</v>
      </c>
      <c r="BJ35" s="545">
        <f t="shared" ca="1" si="81"/>
        <v>1.3794815581184909E-2</v>
      </c>
      <c r="BK35" s="545">
        <f t="shared" ca="1" si="81"/>
        <v>0</v>
      </c>
      <c r="BL35" s="545">
        <f t="shared" ca="1" si="81"/>
        <v>0</v>
      </c>
      <c r="BM35" s="545">
        <f t="shared" ca="1" si="81"/>
        <v>0</v>
      </c>
      <c r="BN35" s="545">
        <f t="shared" ca="1" si="81"/>
        <v>0</v>
      </c>
      <c r="BO35" s="545">
        <f t="shared" ca="1" si="81"/>
        <v>0</v>
      </c>
      <c r="BP35" s="545">
        <f t="shared" ca="1" si="81"/>
        <v>0</v>
      </c>
      <c r="BQ35" s="545">
        <f t="shared" ca="1" si="81"/>
        <v>0</v>
      </c>
      <c r="BR35" s="545">
        <f t="shared" ca="1" si="82"/>
        <v>0</v>
      </c>
      <c r="BS35" s="545">
        <f t="shared" ca="1" si="82"/>
        <v>0</v>
      </c>
      <c r="BT35" s="545">
        <f t="shared" ca="1" si="82"/>
        <v>0</v>
      </c>
      <c r="BU35" s="545">
        <f t="shared" ca="1" si="82"/>
        <v>0</v>
      </c>
      <c r="BV35" s="545">
        <f t="shared" ca="1" si="82"/>
        <v>0</v>
      </c>
      <c r="BW35" s="545">
        <f t="shared" ca="1" si="82"/>
        <v>0</v>
      </c>
      <c r="BX35" s="545">
        <f t="shared" ca="1" si="82"/>
        <v>0</v>
      </c>
      <c r="BY35" s="545">
        <f t="shared" ca="1" si="82"/>
        <v>0</v>
      </c>
      <c r="BZ35" s="545">
        <f t="shared" ca="1" si="82"/>
        <v>21.469199663930684</v>
      </c>
      <c r="CA35" s="545">
        <f t="shared" ca="1" si="82"/>
        <v>0</v>
      </c>
      <c r="CB35" s="545">
        <f t="shared" ca="1" si="83"/>
        <v>0.62618822796669904</v>
      </c>
      <c r="CC35" s="545">
        <f t="shared" ca="1" si="83"/>
        <v>0</v>
      </c>
      <c r="CD35" s="545">
        <f t="shared" ca="1" si="83"/>
        <v>0</v>
      </c>
      <c r="CE35" s="545">
        <f t="shared" ca="1" si="83"/>
        <v>0</v>
      </c>
      <c r="CF35" s="545">
        <f t="shared" ca="1" si="83"/>
        <v>0</v>
      </c>
      <c r="CG35" s="545">
        <f t="shared" ca="1" si="83"/>
        <v>0</v>
      </c>
      <c r="CH35" s="545">
        <f t="shared" ca="1" si="83"/>
        <v>0</v>
      </c>
      <c r="CI35" s="545">
        <f t="shared" ca="1" si="83"/>
        <v>0</v>
      </c>
      <c r="CJ35" s="545">
        <f t="shared" ca="1" si="83"/>
        <v>0</v>
      </c>
      <c r="CK35" s="545">
        <f t="shared" ca="1" si="83"/>
        <v>0</v>
      </c>
      <c r="CL35" s="545">
        <f t="shared" ca="1" si="84"/>
        <v>0</v>
      </c>
      <c r="CM35" s="545">
        <f t="shared" ca="1" si="84"/>
        <v>0</v>
      </c>
      <c r="CN35" s="545">
        <f t="shared" ca="1" si="84"/>
        <v>0</v>
      </c>
      <c r="CO35" s="545">
        <f t="shared" ca="1" si="84"/>
        <v>0</v>
      </c>
      <c r="CP35" s="545">
        <f t="shared" ca="1" si="84"/>
        <v>0</v>
      </c>
      <c r="CQ35" s="545">
        <f t="shared" ca="1" si="84"/>
        <v>0</v>
      </c>
      <c r="CR35" s="545">
        <f t="shared" ca="1" si="84"/>
        <v>0</v>
      </c>
      <c r="CS35" s="545">
        <f t="shared" ca="1" si="84"/>
        <v>0</v>
      </c>
      <c r="CT35" s="545">
        <f t="shared" ca="1" si="84"/>
        <v>0</v>
      </c>
      <c r="CU35" s="545">
        <f t="shared" ca="1" si="84"/>
        <v>0</v>
      </c>
      <c r="CW35" s="151">
        <f t="shared" ca="1" si="75"/>
        <v>23.104903059894596</v>
      </c>
    </row>
    <row r="36" spans="1:101" s="84" customFormat="1" ht="15.75" x14ac:dyDescent="0.2">
      <c r="A36" s="18"/>
      <c r="B36" s="89"/>
      <c r="C36" s="85" t="s">
        <v>225</v>
      </c>
      <c r="D36" s="57" t="str">
        <f>INDEX(Workstreams[Workstream], MATCH($C36, Workstreams[Code], 0))</f>
        <v>Agriculture &amp; waste</v>
      </c>
      <c r="E36" s="53"/>
      <c r="G36" s="300">
        <f t="shared" ref="G36:O36" ca="1" si="88">SUM(G34:G35)</f>
        <v>0</v>
      </c>
      <c r="H36" s="300">
        <f t="shared" ca="1" si="88"/>
        <v>0</v>
      </c>
      <c r="I36" s="300">
        <f t="shared" ca="1" si="88"/>
        <v>0</v>
      </c>
      <c r="J36" s="300">
        <f t="shared" ca="1" si="88"/>
        <v>15.446808162580416</v>
      </c>
      <c r="K36" s="300">
        <f t="shared" ca="1" si="88"/>
        <v>0</v>
      </c>
      <c r="L36" s="300">
        <f t="shared" ca="1" si="88"/>
        <v>0</v>
      </c>
      <c r="M36" s="300">
        <f t="shared" ca="1" si="88"/>
        <v>0</v>
      </c>
      <c r="N36" s="300">
        <f t="shared" ca="1" si="88"/>
        <v>0</v>
      </c>
      <c r="O36" s="300">
        <f t="shared" ca="1" si="88"/>
        <v>0</v>
      </c>
      <c r="P36" s="300">
        <f t="shared" ca="1" si="70"/>
        <v>15.446808162580416</v>
      </c>
      <c r="R36" s="257">
        <f t="shared" ref="R36:AG36" ca="1" si="89">SUM(R34:R35)</f>
        <v>-1.8381701713470693</v>
      </c>
      <c r="S36" s="257">
        <f t="shared" ca="1" si="89"/>
        <v>0</v>
      </c>
      <c r="T36" s="257">
        <f t="shared" ca="1" si="89"/>
        <v>-1.5446808162580416E-2</v>
      </c>
      <c r="U36" s="257">
        <f t="shared" ca="1" si="89"/>
        <v>-2.9348935508902789</v>
      </c>
      <c r="V36" s="257">
        <f t="shared" ca="1" si="89"/>
        <v>-1.3902127346322373</v>
      </c>
      <c r="W36" s="257">
        <f t="shared" ca="1" si="89"/>
        <v>-9.268084897548249</v>
      </c>
      <c r="X36" s="257">
        <f t="shared" ca="1" si="89"/>
        <v>4.4936903958333332</v>
      </c>
      <c r="Y36" s="257">
        <f t="shared" ca="1" si="89"/>
        <v>0</v>
      </c>
      <c r="Z36" s="257">
        <f t="shared" ca="1" si="89"/>
        <v>0</v>
      </c>
      <c r="AA36" s="257">
        <f t="shared" ca="1" si="89"/>
        <v>0</v>
      </c>
      <c r="AB36" s="257">
        <f t="shared" ca="1" si="89"/>
        <v>0</v>
      </c>
      <c r="AC36" s="257">
        <f t="shared" ca="1" si="89"/>
        <v>2799.3665058013253</v>
      </c>
      <c r="AD36" s="257">
        <f t="shared" ca="1" si="89"/>
        <v>28.576909930226151</v>
      </c>
      <c r="AE36" s="257">
        <f t="shared" ca="1" si="89"/>
        <v>381.86251050585577</v>
      </c>
      <c r="AF36" s="257">
        <f t="shared" ca="1" si="89"/>
        <v>102.69414017084114</v>
      </c>
      <c r="AG36" s="257">
        <f t="shared" ca="1" si="89"/>
        <v>4.9487424290318085</v>
      </c>
      <c r="AH36" s="257">
        <f t="shared" ca="1" si="5"/>
        <v>3306.4956910705332</v>
      </c>
      <c r="AJ36" s="263">
        <f t="shared" ref="AJ36:AX36" ca="1" si="90">SUM(AJ34:AJ35)</f>
        <v>0</v>
      </c>
      <c r="AK36" s="263">
        <f t="shared" ca="1" si="90"/>
        <v>0</v>
      </c>
      <c r="AL36" s="263">
        <f t="shared" ca="1" si="90"/>
        <v>0</v>
      </c>
      <c r="AM36" s="263">
        <f t="shared" ca="1" si="90"/>
        <v>0</v>
      </c>
      <c r="AN36" s="263">
        <f t="shared" ca="1" si="90"/>
        <v>0</v>
      </c>
      <c r="AO36" s="263">
        <f t="shared" ca="1" si="90"/>
        <v>0</v>
      </c>
      <c r="AP36" s="263">
        <f t="shared" ca="1" si="90"/>
        <v>0</v>
      </c>
      <c r="AQ36" s="263">
        <f t="shared" ca="1" si="90"/>
        <v>0</v>
      </c>
      <c r="AR36" s="263">
        <f t="shared" ca="1" si="90"/>
        <v>0</v>
      </c>
      <c r="AS36" s="263">
        <f t="shared" ca="1" si="90"/>
        <v>0</v>
      </c>
      <c r="AT36" s="263">
        <f t="shared" ca="1" si="90"/>
        <v>0</v>
      </c>
      <c r="AU36" s="263">
        <f t="shared" ca="1" si="90"/>
        <v>0</v>
      </c>
      <c r="AV36" s="263">
        <f t="shared" ca="1" si="90"/>
        <v>0</v>
      </c>
      <c r="AW36" s="263">
        <f t="shared" ca="1" si="90"/>
        <v>-2827.9434157315513</v>
      </c>
      <c r="AX36" s="263">
        <f t="shared" ca="1" si="90"/>
        <v>-493.99908350156198</v>
      </c>
      <c r="AY36" s="263">
        <f t="shared" ca="1" si="74"/>
        <v>-3321.9424992331133</v>
      </c>
      <c r="BA36" s="277">
        <f ca="1">SUM(BA34:BA35)</f>
        <v>0</v>
      </c>
      <c r="BB36" s="277">
        <f ca="1">SUM(BB34:BB35)</f>
        <v>0</v>
      </c>
      <c r="BC36" s="277">
        <f t="shared" ca="1" si="10"/>
        <v>0</v>
      </c>
      <c r="BE36" s="55">
        <f ca="1">P36+AH36+AY36+BC36</f>
        <v>4.5474735088646412E-13</v>
      </c>
      <c r="BF36" s="55"/>
      <c r="BG36" s="1428"/>
      <c r="BH36" s="542">
        <f t="shared" ref="BH36:CU36" ca="1" si="91">SUM(BH34:BH35)</f>
        <v>0.994280147808976</v>
      </c>
      <c r="BI36" s="542">
        <f t="shared" ca="1" si="91"/>
        <v>1.4402046070519921E-3</v>
      </c>
      <c r="BJ36" s="542">
        <f t="shared" ca="1" si="91"/>
        <v>1.3794815581184909E-2</v>
      </c>
      <c r="BK36" s="542">
        <f t="shared" ca="1" si="91"/>
        <v>0</v>
      </c>
      <c r="BL36" s="542">
        <f t="shared" ca="1" si="91"/>
        <v>0</v>
      </c>
      <c r="BM36" s="542">
        <f t="shared" ca="1" si="91"/>
        <v>0</v>
      </c>
      <c r="BN36" s="542">
        <f t="shared" ca="1" si="91"/>
        <v>0</v>
      </c>
      <c r="BO36" s="542">
        <f t="shared" ca="1" si="91"/>
        <v>0</v>
      </c>
      <c r="BP36" s="542">
        <f t="shared" ca="1" si="91"/>
        <v>0</v>
      </c>
      <c r="BQ36" s="542">
        <f t="shared" ca="1" si="91"/>
        <v>0</v>
      </c>
      <c r="BR36" s="542">
        <f t="shared" ca="1" si="91"/>
        <v>0</v>
      </c>
      <c r="BS36" s="542">
        <f t="shared" ca="1" si="91"/>
        <v>0</v>
      </c>
      <c r="BT36" s="542">
        <f t="shared" ca="1" si="91"/>
        <v>0</v>
      </c>
      <c r="BU36" s="542">
        <f t="shared" ca="1" si="91"/>
        <v>0</v>
      </c>
      <c r="BV36" s="542">
        <f t="shared" ca="1" si="91"/>
        <v>0</v>
      </c>
      <c r="BW36" s="542">
        <f t="shared" ca="1" si="91"/>
        <v>0</v>
      </c>
      <c r="BX36" s="542">
        <f t="shared" ca="1" si="91"/>
        <v>0</v>
      </c>
      <c r="BY36" s="542">
        <f t="shared" ca="1" si="91"/>
        <v>0</v>
      </c>
      <c r="BZ36" s="542">
        <f t="shared" ca="1" si="91"/>
        <v>21.469199663930684</v>
      </c>
      <c r="CA36" s="542">
        <f t="shared" ca="1" si="91"/>
        <v>0</v>
      </c>
      <c r="CB36" s="542">
        <f t="shared" ca="1" si="91"/>
        <v>0.62618822796669904</v>
      </c>
      <c r="CC36" s="542">
        <f t="shared" ca="1" si="91"/>
        <v>0</v>
      </c>
      <c r="CD36" s="542">
        <f t="shared" ca="1" si="91"/>
        <v>0</v>
      </c>
      <c r="CE36" s="542">
        <f t="shared" ca="1" si="91"/>
        <v>0</v>
      </c>
      <c r="CF36" s="542">
        <f t="shared" ca="1" si="91"/>
        <v>0</v>
      </c>
      <c r="CG36" s="542">
        <f t="shared" ca="1" si="91"/>
        <v>1.7952501377605785</v>
      </c>
      <c r="CH36" s="542">
        <f t="shared" ca="1" si="91"/>
        <v>0</v>
      </c>
      <c r="CI36" s="542">
        <f t="shared" ca="1" si="91"/>
        <v>0</v>
      </c>
      <c r="CJ36" s="542">
        <f t="shared" ca="1" si="91"/>
        <v>0</v>
      </c>
      <c r="CK36" s="542">
        <f t="shared" ca="1" si="91"/>
        <v>0</v>
      </c>
      <c r="CL36" s="542">
        <f t="shared" ca="1" si="91"/>
        <v>0</v>
      </c>
      <c r="CM36" s="542">
        <f t="shared" ca="1" si="91"/>
        <v>0</v>
      </c>
      <c r="CN36" s="542">
        <f t="shared" ca="1" si="91"/>
        <v>0</v>
      </c>
      <c r="CO36" s="542">
        <f t="shared" ca="1" si="91"/>
        <v>0</v>
      </c>
      <c r="CP36" s="542">
        <f t="shared" ca="1" si="91"/>
        <v>0</v>
      </c>
      <c r="CQ36" s="542">
        <f t="shared" ca="1" si="91"/>
        <v>0</v>
      </c>
      <c r="CR36" s="542">
        <f t="shared" ca="1" si="91"/>
        <v>0</v>
      </c>
      <c r="CS36" s="542">
        <f t="shared" ca="1" si="91"/>
        <v>0</v>
      </c>
      <c r="CT36" s="542">
        <f t="shared" ca="1" si="91"/>
        <v>0</v>
      </c>
      <c r="CU36" s="542">
        <f t="shared" ca="1" si="91"/>
        <v>0</v>
      </c>
      <c r="CW36" s="151">
        <f t="shared" ca="1" si="75"/>
        <v>24.900153197655175</v>
      </c>
    </row>
    <row r="37" spans="1:101" s="84" customFormat="1" ht="12.75" customHeight="1" outlineLevel="1" x14ac:dyDescent="0.2">
      <c r="A37" s="18"/>
      <c r="B37" s="18"/>
      <c r="C37" s="87"/>
      <c r="D37" s="53"/>
      <c r="E37" s="53"/>
      <c r="G37" s="245"/>
      <c r="H37" s="245"/>
      <c r="I37" s="245"/>
      <c r="J37" s="245"/>
      <c r="K37" s="245"/>
      <c r="L37" s="247"/>
      <c r="M37" s="245"/>
      <c r="N37" s="245"/>
      <c r="O37" s="245"/>
      <c r="P37" s="245">
        <f t="shared" si="70"/>
        <v>0</v>
      </c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>
        <f t="shared" si="5"/>
        <v>0</v>
      </c>
      <c r="AJ37" s="263"/>
      <c r="AK37" s="263"/>
      <c r="AL37" s="263"/>
      <c r="AM37" s="263"/>
      <c r="AN37" s="263"/>
      <c r="AO37" s="263"/>
      <c r="AP37" s="263"/>
      <c r="AQ37" s="263"/>
      <c r="AR37" s="263"/>
      <c r="AS37" s="263"/>
      <c r="AT37" s="263"/>
      <c r="AU37" s="263"/>
      <c r="AV37" s="263"/>
      <c r="AW37" s="263"/>
      <c r="AX37" s="263"/>
      <c r="AY37" s="263">
        <f t="shared" si="74"/>
        <v>0</v>
      </c>
      <c r="BA37" s="277"/>
      <c r="BB37" s="277"/>
      <c r="BC37" s="277">
        <f t="shared" si="10"/>
        <v>0</v>
      </c>
      <c r="BE37" s="55">
        <f>P37+AH37+AY37+BC37</f>
        <v>0</v>
      </c>
      <c r="BF37" s="55"/>
      <c r="BG37" s="18"/>
      <c r="BH37" s="542"/>
      <c r="BI37" s="542"/>
      <c r="BJ37" s="542"/>
      <c r="BK37" s="542"/>
      <c r="BL37" s="542"/>
      <c r="BM37" s="542"/>
      <c r="BN37" s="542"/>
      <c r="BO37" s="542"/>
      <c r="BP37" s="542"/>
      <c r="BQ37" s="542"/>
      <c r="BR37" s="542"/>
      <c r="BS37" s="542"/>
      <c r="BT37" s="542"/>
      <c r="BU37" s="542"/>
      <c r="BV37" s="542"/>
      <c r="BW37" s="542"/>
      <c r="BX37" s="542"/>
      <c r="BY37" s="542"/>
      <c r="BZ37" s="542"/>
      <c r="CA37" s="542"/>
      <c r="CB37" s="542"/>
      <c r="CC37" s="542"/>
      <c r="CD37" s="542"/>
      <c r="CE37" s="542"/>
      <c r="CF37" s="542"/>
      <c r="CG37" s="542"/>
      <c r="CH37" s="542"/>
      <c r="CI37" s="542"/>
      <c r="CJ37" s="542"/>
      <c r="CK37" s="542"/>
      <c r="CL37" s="542"/>
      <c r="CM37" s="542"/>
      <c r="CN37" s="542"/>
      <c r="CO37" s="542"/>
      <c r="CP37" s="542"/>
      <c r="CQ37" s="542"/>
      <c r="CR37" s="542"/>
      <c r="CS37" s="542"/>
      <c r="CT37" s="542"/>
      <c r="CU37" s="542"/>
      <c r="CW37" s="151">
        <f t="shared" si="75"/>
        <v>0</v>
      </c>
    </row>
    <row r="38" spans="1:101" s="84" customFormat="1" outlineLevel="1" x14ac:dyDescent="0.2">
      <c r="A38" s="543"/>
      <c r="B38" s="543"/>
      <c r="C38" s="62" t="s">
        <v>405</v>
      </c>
      <c r="D38" s="61" t="str">
        <f>INDEX(Modules[Module], MATCH($C38, Modules[Code], 0))</f>
        <v>Petroleum refineries</v>
      </c>
      <c r="E38" s="61"/>
      <c r="G38" s="297">
        <f t="shared" ref="G38:O39" ca="1" si="92">IFERROR(INDEX(INDIRECT($C38&amp;".Outputs["&amp;this.Year&amp;"]"), MATCH(G$5, INDIRECT($C38&amp;".Outputs[Vector]"), 0)), 0)</f>
        <v>0</v>
      </c>
      <c r="H38" s="297">
        <f t="shared" ca="1" si="92"/>
        <v>0</v>
      </c>
      <c r="I38" s="297">
        <f t="shared" ca="1" si="92"/>
        <v>0</v>
      </c>
      <c r="J38" s="297">
        <f t="shared" ca="1" si="92"/>
        <v>0</v>
      </c>
      <c r="K38" s="297">
        <f t="shared" ca="1" si="92"/>
        <v>0</v>
      </c>
      <c r="L38" s="297">
        <f t="shared" ca="1" si="92"/>
        <v>0</v>
      </c>
      <c r="M38" s="297">
        <f t="shared" ca="1" si="92"/>
        <v>0</v>
      </c>
      <c r="N38" s="297">
        <f t="shared" ca="1" si="92"/>
        <v>0</v>
      </c>
      <c r="O38" s="297">
        <f t="shared" ca="1" si="92"/>
        <v>0</v>
      </c>
      <c r="P38" s="297">
        <f t="shared" ca="1" si="70"/>
        <v>0</v>
      </c>
      <c r="R38" s="304">
        <f t="shared" ref="R38:AX39" ca="1" si="93">IFERROR(INDEX(INDIRECT($C38&amp;".Outputs["&amp;this.Year&amp;"]"), MATCH(R$5, INDIRECT($C38&amp;".Outputs[Vector]"), 0)), 0)</f>
        <v>-3.0080173426650463</v>
      </c>
      <c r="S38" s="304">
        <f t="shared" ca="1" si="93"/>
        <v>0</v>
      </c>
      <c r="T38" s="304">
        <f t="shared" ca="1" si="93"/>
        <v>0</v>
      </c>
      <c r="U38" s="304">
        <f t="shared" ca="1" si="93"/>
        <v>-0.13675676233481518</v>
      </c>
      <c r="V38" s="304">
        <f t="shared" ca="1" si="93"/>
        <v>-0.27845550990315848</v>
      </c>
      <c r="W38" s="304">
        <f t="shared" ca="1" si="93"/>
        <v>0</v>
      </c>
      <c r="X38" s="304">
        <f t="shared" ref="X38:Z39" ca="1" si="94">IFERROR(INDEX(INDIRECT($C38&amp;".Outputs["&amp;this.Year&amp;"]"), MATCH(X$5, INDIRECT($C38&amp;".Outputs[Vector]"), 0)), 0)</f>
        <v>0</v>
      </c>
      <c r="Y38" s="304">
        <f t="shared" ca="1" si="94"/>
        <v>0</v>
      </c>
      <c r="Z38" s="304">
        <f t="shared" ca="1" si="94"/>
        <v>0</v>
      </c>
      <c r="AA38" s="304">
        <f t="shared" ca="1" si="93"/>
        <v>0</v>
      </c>
      <c r="AB38" s="304">
        <f t="shared" ca="1" si="93"/>
        <v>0</v>
      </c>
      <c r="AC38" s="304">
        <f t="shared" ca="1" si="93"/>
        <v>0</v>
      </c>
      <c r="AD38" s="304">
        <f t="shared" ca="1" si="93"/>
        <v>0</v>
      </c>
      <c r="AE38" s="304">
        <f t="shared" ca="1" si="93"/>
        <v>0</v>
      </c>
      <c r="AF38" s="304">
        <f t="shared" ca="1" si="93"/>
        <v>0</v>
      </c>
      <c r="AG38" s="304">
        <f t="shared" ca="1" si="93"/>
        <v>0</v>
      </c>
      <c r="AH38" s="305">
        <f t="shared" ca="1" si="5"/>
        <v>-3.4232296149030201</v>
      </c>
      <c r="AJ38" s="312">
        <f t="shared" ref="AJ38:AR39" ca="1" si="95">IFERROR(INDEX(INDIRECT($C38&amp;".Outputs["&amp;this.Year&amp;"]"), MATCH(AJ$5, INDIRECT($C38&amp;".Outputs[Vector]"), 0)), 0)</f>
        <v>0</v>
      </c>
      <c r="AK38" s="312">
        <f t="shared" ca="1" si="95"/>
        <v>0</v>
      </c>
      <c r="AL38" s="312">
        <f t="shared" ca="1" si="95"/>
        <v>0</v>
      </c>
      <c r="AM38" s="312">
        <f t="shared" ca="1" si="95"/>
        <v>0</v>
      </c>
      <c r="AN38" s="312">
        <f t="shared" ca="1" si="95"/>
        <v>0</v>
      </c>
      <c r="AO38" s="312">
        <f t="shared" ca="1" si="95"/>
        <v>0</v>
      </c>
      <c r="AP38" s="312">
        <f t="shared" ca="1" si="95"/>
        <v>0</v>
      </c>
      <c r="AQ38" s="312">
        <f t="shared" ca="1" si="95"/>
        <v>0</v>
      </c>
      <c r="AR38" s="312">
        <f t="shared" ca="1" si="95"/>
        <v>0</v>
      </c>
      <c r="AS38" s="312">
        <f t="shared" ca="1" si="93"/>
        <v>0</v>
      </c>
      <c r="AT38" s="312">
        <f t="shared" ca="1" si="93"/>
        <v>0</v>
      </c>
      <c r="AU38" s="312">
        <f t="shared" ca="1" si="93"/>
        <v>0</v>
      </c>
      <c r="AV38" s="312">
        <f t="shared" ca="1" si="93"/>
        <v>0</v>
      </c>
      <c r="AW38" s="312">
        <f t="shared" ca="1" si="93"/>
        <v>0</v>
      </c>
      <c r="AX38" s="312">
        <f t="shared" ca="1" si="93"/>
        <v>0</v>
      </c>
      <c r="AY38" s="266">
        <f t="shared" ca="1" si="74"/>
        <v>0</v>
      </c>
      <c r="BA38" s="308">
        <f ca="1">IFERROR(INDEX(INDIRECT($C38&amp;".Outputs["&amp;this.Year&amp;"]"), MATCH(BA$5, INDIRECT($C38&amp;".Outputs[Vector]"), 0)), 0)</f>
        <v>0</v>
      </c>
      <c r="BB38" s="308">
        <f ca="1">IFERROR(INDEX(INDIRECT($C38&amp;".Outputs["&amp;this.Year&amp;"]"), MATCH(BB$5, INDIRECT($C38&amp;".Outputs[Vector]"), 0)), 0)</f>
        <v>3.4232296149030201</v>
      </c>
      <c r="BC38" s="309">
        <f t="shared" ca="1" si="10"/>
        <v>3.4232296149030201</v>
      </c>
      <c r="BE38" s="135">
        <f ca="1">P38+AH38+AY38+BC38</f>
        <v>0</v>
      </c>
      <c r="BF38" s="135"/>
      <c r="BG38" s="1428"/>
      <c r="BH38" s="541">
        <f t="shared" ref="BH38:BQ39" ca="1" si="96">IFERROR(SUMIFS(INDIRECT($C38&amp;".Emissions["&amp;this.Year&amp;"]"), INDIRECT($C38&amp;".Emissions[GHG]"), BH$6, INDIRECT($C38&amp;".Emissions[IPCC Sector]"), BH$5),0)</f>
        <v>8.5425004405884949E-2</v>
      </c>
      <c r="BI38" s="542">
        <f t="shared" ca="1" si="96"/>
        <v>1.4526686386723839E-4</v>
      </c>
      <c r="BJ38" s="542">
        <f t="shared" ca="1" si="96"/>
        <v>7.2559400487094163E-4</v>
      </c>
      <c r="BK38" s="542">
        <f t="shared" ca="1" si="96"/>
        <v>0</v>
      </c>
      <c r="BL38" s="542">
        <f t="shared" ca="1" si="96"/>
        <v>0</v>
      </c>
      <c r="BM38" s="542">
        <f t="shared" ca="1" si="96"/>
        <v>0</v>
      </c>
      <c r="BN38" s="542">
        <f t="shared" ca="1" si="96"/>
        <v>0</v>
      </c>
      <c r="BO38" s="542">
        <f t="shared" ca="1" si="96"/>
        <v>0</v>
      </c>
      <c r="BP38" s="542">
        <f t="shared" ca="1" si="96"/>
        <v>0</v>
      </c>
      <c r="BQ38" s="542">
        <f t="shared" ca="1" si="96"/>
        <v>0</v>
      </c>
      <c r="BR38" s="542">
        <f t="shared" ref="BR38:CA39" ca="1" si="97">IFERROR(SUMIFS(INDIRECT($C38&amp;".Emissions["&amp;this.Year&amp;"]"), INDIRECT($C38&amp;".Emissions[GHG]"), BR$6, INDIRECT($C38&amp;".Emissions[IPCC Sector]"), BR$5),0)</f>
        <v>0</v>
      </c>
      <c r="BS38" s="542">
        <f t="shared" ca="1" si="97"/>
        <v>0</v>
      </c>
      <c r="BT38" s="542">
        <f t="shared" ca="1" si="97"/>
        <v>0</v>
      </c>
      <c r="BU38" s="542">
        <f t="shared" ca="1" si="97"/>
        <v>0</v>
      </c>
      <c r="BV38" s="542">
        <f t="shared" ca="1" si="97"/>
        <v>0</v>
      </c>
      <c r="BW38" s="542">
        <f t="shared" ca="1" si="97"/>
        <v>0</v>
      </c>
      <c r="BX38" s="542">
        <f t="shared" ca="1" si="97"/>
        <v>0</v>
      </c>
      <c r="BY38" s="542">
        <f t="shared" ca="1" si="97"/>
        <v>0</v>
      </c>
      <c r="BZ38" s="542">
        <f t="shared" ca="1" si="97"/>
        <v>0</v>
      </c>
      <c r="CA38" s="542">
        <f t="shared" ca="1" si="97"/>
        <v>0</v>
      </c>
      <c r="CB38" s="542">
        <f t="shared" ref="CB38:CK39" ca="1" si="98">IFERROR(SUMIFS(INDIRECT($C38&amp;".Emissions["&amp;this.Year&amp;"]"), INDIRECT($C38&amp;".Emissions[GHG]"), CB$6, INDIRECT($C38&amp;".Emissions[IPCC Sector]"), CB$5),0)</f>
        <v>0</v>
      </c>
      <c r="CC38" s="542">
        <f t="shared" ca="1" si="98"/>
        <v>0</v>
      </c>
      <c r="CD38" s="542">
        <f t="shared" ca="1" si="98"/>
        <v>0</v>
      </c>
      <c r="CE38" s="542">
        <f t="shared" ca="1" si="98"/>
        <v>0</v>
      </c>
      <c r="CF38" s="542">
        <f t="shared" ca="1" si="98"/>
        <v>0</v>
      </c>
      <c r="CG38" s="542">
        <f t="shared" ca="1" si="98"/>
        <v>0</v>
      </c>
      <c r="CH38" s="542">
        <f t="shared" ca="1" si="98"/>
        <v>0</v>
      </c>
      <c r="CI38" s="542">
        <f t="shared" ca="1" si="98"/>
        <v>0</v>
      </c>
      <c r="CJ38" s="542">
        <f t="shared" ca="1" si="98"/>
        <v>0</v>
      </c>
      <c r="CK38" s="542">
        <f t="shared" ca="1" si="98"/>
        <v>0</v>
      </c>
      <c r="CL38" s="542">
        <f t="shared" ref="CL38:CU39" ca="1" si="99">IFERROR(SUMIFS(INDIRECT($C38&amp;".Emissions["&amp;this.Year&amp;"]"), INDIRECT($C38&amp;".Emissions[GHG]"), CL$6, INDIRECT($C38&amp;".Emissions[IPCC Sector]"), CL$5),0)</f>
        <v>0</v>
      </c>
      <c r="CM38" s="542">
        <f t="shared" ca="1" si="99"/>
        <v>0</v>
      </c>
      <c r="CN38" s="542">
        <f t="shared" ca="1" si="99"/>
        <v>0</v>
      </c>
      <c r="CO38" s="542">
        <f t="shared" ca="1" si="99"/>
        <v>0</v>
      </c>
      <c r="CP38" s="542">
        <f t="shared" ca="1" si="99"/>
        <v>0</v>
      </c>
      <c r="CQ38" s="542">
        <f t="shared" ca="1" si="99"/>
        <v>0</v>
      </c>
      <c r="CR38" s="542">
        <f t="shared" ca="1" si="99"/>
        <v>0</v>
      </c>
      <c r="CS38" s="542">
        <f t="shared" ca="1" si="99"/>
        <v>0</v>
      </c>
      <c r="CT38" s="542">
        <f t="shared" ca="1" si="99"/>
        <v>0</v>
      </c>
      <c r="CU38" s="542">
        <f t="shared" ca="1" si="99"/>
        <v>0</v>
      </c>
      <c r="CW38" s="151">
        <f t="shared" ca="1" si="75"/>
        <v>8.6295865274623129E-2</v>
      </c>
    </row>
    <row r="39" spans="1:101" s="84" customFormat="1" outlineLevel="1" x14ac:dyDescent="0.2">
      <c r="A39" s="543"/>
      <c r="B39" s="543"/>
      <c r="C39" s="62" t="s">
        <v>415</v>
      </c>
      <c r="D39" s="292" t="str">
        <f>INDEX(Modules[Module], MATCH($C39, Modules[Code], 0))</f>
        <v>Indigenous fossil-fuel production</v>
      </c>
      <c r="E39" s="292"/>
      <c r="G39" s="301">
        <f t="shared" ca="1" si="92"/>
        <v>0</v>
      </c>
      <c r="H39" s="301">
        <f t="shared" ca="1" si="92"/>
        <v>0</v>
      </c>
      <c r="I39" s="301">
        <f t="shared" ca="1" si="92"/>
        <v>0</v>
      </c>
      <c r="J39" s="301">
        <f t="shared" ca="1" si="92"/>
        <v>105.06183082146346</v>
      </c>
      <c r="K39" s="301">
        <f t="shared" ca="1" si="92"/>
        <v>0</v>
      </c>
      <c r="L39" s="301">
        <f t="shared" ca="1" si="92"/>
        <v>0</v>
      </c>
      <c r="M39" s="301">
        <f t="shared" ca="1" si="92"/>
        <v>0</v>
      </c>
      <c r="N39" s="301">
        <f t="shared" ca="1" si="92"/>
        <v>0</v>
      </c>
      <c r="O39" s="301">
        <f t="shared" ca="1" si="92"/>
        <v>0</v>
      </c>
      <c r="P39" s="301">
        <f t="shared" ca="1" si="70"/>
        <v>105.06183082146346</v>
      </c>
      <c r="R39" s="307">
        <f t="shared" ca="1" si="93"/>
        <v>-1.4617117231981349</v>
      </c>
      <c r="S39" s="307">
        <f t="shared" ca="1" si="93"/>
        <v>0</v>
      </c>
      <c r="T39" s="307">
        <f t="shared" ca="1" si="93"/>
        <v>-2.9999601738630265E-2</v>
      </c>
      <c r="U39" s="307">
        <f t="shared" ca="1" si="93"/>
        <v>0</v>
      </c>
      <c r="V39" s="307">
        <f t="shared" ca="1" si="93"/>
        <v>-103.5701194965267</v>
      </c>
      <c r="W39" s="307">
        <f t="shared" ca="1" si="93"/>
        <v>0</v>
      </c>
      <c r="X39" s="307">
        <f t="shared" ca="1" si="94"/>
        <v>83.5</v>
      </c>
      <c r="Y39" s="307">
        <f t="shared" ca="1" si="94"/>
        <v>1396.4119554280001</v>
      </c>
      <c r="Z39" s="307">
        <f t="shared" ca="1" si="94"/>
        <v>939.27433333333329</v>
      </c>
      <c r="AA39" s="307">
        <f t="shared" ca="1" si="93"/>
        <v>0</v>
      </c>
      <c r="AB39" s="307">
        <f t="shared" ca="1" si="93"/>
        <v>0</v>
      </c>
      <c r="AC39" s="307">
        <f t="shared" ca="1" si="93"/>
        <v>0</v>
      </c>
      <c r="AD39" s="307">
        <f t="shared" ca="1" si="93"/>
        <v>0</v>
      </c>
      <c r="AE39" s="307">
        <f t="shared" ca="1" si="93"/>
        <v>0</v>
      </c>
      <c r="AF39" s="307">
        <f t="shared" ca="1" si="93"/>
        <v>0</v>
      </c>
      <c r="AG39" s="307">
        <f t="shared" ca="1" si="93"/>
        <v>0</v>
      </c>
      <c r="AH39" s="306">
        <f t="shared" ca="1" si="5"/>
        <v>2314.1244579398699</v>
      </c>
      <c r="AJ39" s="315">
        <f t="shared" ca="1" si="95"/>
        <v>-83.5</v>
      </c>
      <c r="AK39" s="315">
        <f t="shared" ca="1" si="95"/>
        <v>-1396.4119554280001</v>
      </c>
      <c r="AL39" s="315">
        <f t="shared" ca="1" si="95"/>
        <v>-939.27433333333329</v>
      </c>
      <c r="AM39" s="315">
        <f t="shared" ca="1" si="95"/>
        <v>0</v>
      </c>
      <c r="AN39" s="315">
        <f t="shared" ca="1" si="95"/>
        <v>0</v>
      </c>
      <c r="AO39" s="315">
        <f t="shared" ca="1" si="95"/>
        <v>0</v>
      </c>
      <c r="AP39" s="315">
        <f t="shared" ca="1" si="95"/>
        <v>0</v>
      </c>
      <c r="AQ39" s="315">
        <f t="shared" ca="1" si="95"/>
        <v>0</v>
      </c>
      <c r="AR39" s="315">
        <f t="shared" ca="1" si="95"/>
        <v>0</v>
      </c>
      <c r="AS39" s="315">
        <f t="shared" ca="1" si="93"/>
        <v>0</v>
      </c>
      <c r="AT39" s="315">
        <f t="shared" ca="1" si="93"/>
        <v>0</v>
      </c>
      <c r="AU39" s="315">
        <f t="shared" ca="1" si="93"/>
        <v>0</v>
      </c>
      <c r="AV39" s="315">
        <f t="shared" ca="1" si="93"/>
        <v>0</v>
      </c>
      <c r="AW39" s="315">
        <f t="shared" ca="1" si="93"/>
        <v>0</v>
      </c>
      <c r="AX39" s="315">
        <f t="shared" ca="1" si="93"/>
        <v>0</v>
      </c>
      <c r="AY39" s="293">
        <f t="shared" ca="1" si="74"/>
        <v>-2419.1862887613333</v>
      </c>
      <c r="BA39" s="311">
        <f ca="1">IFERROR(INDEX(INDIRECT($C39&amp;".Outputs["&amp;this.Year&amp;"]"), MATCH(BA$5, INDIRECT($C39&amp;".Outputs[Vector]"), 0)), 0)</f>
        <v>0</v>
      </c>
      <c r="BB39" s="311">
        <f ca="1">IFERROR(INDEX(INDIRECT($C39&amp;".Outputs["&amp;this.Year&amp;"]"), MATCH(BB$5, INDIRECT($C39&amp;".Outputs[Vector]"), 0)), 0)</f>
        <v>0</v>
      </c>
      <c r="BC39" s="310">
        <f t="shared" ca="1" si="10"/>
        <v>0</v>
      </c>
      <c r="BE39" s="135"/>
      <c r="BF39" s="135"/>
      <c r="BG39" s="1428"/>
      <c r="BH39" s="544">
        <f t="shared" ca="1" si="96"/>
        <v>19.045662660082474</v>
      </c>
      <c r="BI39" s="545">
        <f t="shared" ca="1" si="96"/>
        <v>3.817675860770757E-2</v>
      </c>
      <c r="BJ39" s="545">
        <f t="shared" ca="1" si="96"/>
        <v>4.1060959904204525E-2</v>
      </c>
      <c r="BK39" s="545">
        <f t="shared" ca="1" si="96"/>
        <v>0</v>
      </c>
      <c r="BL39" s="545">
        <f t="shared" ca="1" si="96"/>
        <v>6.3745714285714286</v>
      </c>
      <c r="BM39" s="545">
        <f t="shared" ca="1" si="96"/>
        <v>0.11363948114517233</v>
      </c>
      <c r="BN39" s="545">
        <f t="shared" ca="1" si="96"/>
        <v>0</v>
      </c>
      <c r="BO39" s="545">
        <f t="shared" ca="1" si="96"/>
        <v>0</v>
      </c>
      <c r="BP39" s="545">
        <f t="shared" ca="1" si="96"/>
        <v>0</v>
      </c>
      <c r="BQ39" s="545">
        <f t="shared" ca="1" si="96"/>
        <v>0</v>
      </c>
      <c r="BR39" s="545">
        <f t="shared" ca="1" si="97"/>
        <v>0</v>
      </c>
      <c r="BS39" s="545">
        <f t="shared" ca="1" si="97"/>
        <v>0</v>
      </c>
      <c r="BT39" s="545">
        <f t="shared" ca="1" si="97"/>
        <v>0</v>
      </c>
      <c r="BU39" s="545">
        <f t="shared" ca="1" si="97"/>
        <v>0</v>
      </c>
      <c r="BV39" s="545">
        <f t="shared" ca="1" si="97"/>
        <v>0</v>
      </c>
      <c r="BW39" s="545">
        <f t="shared" ca="1" si="97"/>
        <v>0</v>
      </c>
      <c r="BX39" s="545">
        <f t="shared" ca="1" si="97"/>
        <v>0</v>
      </c>
      <c r="BY39" s="545">
        <f t="shared" ca="1" si="97"/>
        <v>0</v>
      </c>
      <c r="BZ39" s="545">
        <f t="shared" ca="1" si="97"/>
        <v>0</v>
      </c>
      <c r="CA39" s="545">
        <f t="shared" ca="1" si="97"/>
        <v>0</v>
      </c>
      <c r="CB39" s="545">
        <f t="shared" ca="1" si="98"/>
        <v>0</v>
      </c>
      <c r="CC39" s="545">
        <f t="shared" ca="1" si="98"/>
        <v>0</v>
      </c>
      <c r="CD39" s="545">
        <f t="shared" ca="1" si="98"/>
        <v>0</v>
      </c>
      <c r="CE39" s="545">
        <f t="shared" ca="1" si="98"/>
        <v>0</v>
      </c>
      <c r="CF39" s="545">
        <f t="shared" ca="1" si="98"/>
        <v>0</v>
      </c>
      <c r="CG39" s="545">
        <f t="shared" ca="1" si="98"/>
        <v>0</v>
      </c>
      <c r="CH39" s="545">
        <f t="shared" ca="1" si="98"/>
        <v>0</v>
      </c>
      <c r="CI39" s="545">
        <f t="shared" ca="1" si="98"/>
        <v>0</v>
      </c>
      <c r="CJ39" s="545">
        <f t="shared" ca="1" si="98"/>
        <v>0</v>
      </c>
      <c r="CK39" s="545">
        <f t="shared" ca="1" si="98"/>
        <v>0</v>
      </c>
      <c r="CL39" s="545">
        <f t="shared" ca="1" si="99"/>
        <v>0</v>
      </c>
      <c r="CM39" s="545">
        <f t="shared" ca="1" si="99"/>
        <v>0</v>
      </c>
      <c r="CN39" s="545">
        <f t="shared" ca="1" si="99"/>
        <v>0</v>
      </c>
      <c r="CO39" s="545">
        <f t="shared" ca="1" si="99"/>
        <v>0</v>
      </c>
      <c r="CP39" s="545">
        <f t="shared" ca="1" si="99"/>
        <v>0</v>
      </c>
      <c r="CQ39" s="545">
        <f t="shared" ca="1" si="99"/>
        <v>0</v>
      </c>
      <c r="CR39" s="545">
        <f t="shared" ca="1" si="99"/>
        <v>0</v>
      </c>
      <c r="CS39" s="545">
        <f t="shared" ca="1" si="99"/>
        <v>0</v>
      </c>
      <c r="CT39" s="545">
        <f t="shared" ca="1" si="99"/>
        <v>0</v>
      </c>
      <c r="CU39" s="545">
        <f t="shared" ca="1" si="99"/>
        <v>0</v>
      </c>
      <c r="CW39" s="151">
        <f t="shared" ca="1" si="75"/>
        <v>25.613111288310986</v>
      </c>
    </row>
    <row r="40" spans="1:101" s="84" customFormat="1" ht="15.75" x14ac:dyDescent="0.2">
      <c r="A40" s="547"/>
      <c r="B40" s="548"/>
      <c r="C40" s="85" t="s">
        <v>403</v>
      </c>
      <c r="D40" s="57" t="str">
        <f>INDEX(Workstreams[Workstream], MATCH($C40, Workstreams[Code], 0))</f>
        <v>Fossil fuel production</v>
      </c>
      <c r="E40" s="53"/>
      <c r="G40" s="300">
        <f ca="1">SUM(G38:G39)</f>
        <v>0</v>
      </c>
      <c r="H40" s="300">
        <f t="shared" ref="H40:O40" ca="1" si="100">SUM(H38:H39)</f>
        <v>0</v>
      </c>
      <c r="I40" s="300">
        <f ca="1">SUM(I38:I39)</f>
        <v>0</v>
      </c>
      <c r="J40" s="300">
        <f t="shared" ca="1" si="100"/>
        <v>105.06183082146346</v>
      </c>
      <c r="K40" s="300">
        <f t="shared" ca="1" si="100"/>
        <v>0</v>
      </c>
      <c r="L40" s="300">
        <f t="shared" ca="1" si="100"/>
        <v>0</v>
      </c>
      <c r="M40" s="300">
        <f t="shared" ca="1" si="100"/>
        <v>0</v>
      </c>
      <c r="N40" s="300">
        <f t="shared" ca="1" si="100"/>
        <v>0</v>
      </c>
      <c r="O40" s="300">
        <f t="shared" ca="1" si="100"/>
        <v>0</v>
      </c>
      <c r="P40" s="300">
        <f t="shared" ca="1" si="70"/>
        <v>105.06183082146346</v>
      </c>
      <c r="R40" s="257">
        <f t="shared" ref="R40:AE40" ca="1" si="101">SUM(R38:R39)</f>
        <v>-4.4697290658631808</v>
      </c>
      <c r="S40" s="257">
        <f t="shared" ca="1" si="101"/>
        <v>0</v>
      </c>
      <c r="T40" s="257">
        <f t="shared" ca="1" si="101"/>
        <v>-2.9999601738630265E-2</v>
      </c>
      <c r="U40" s="257">
        <f t="shared" ca="1" si="101"/>
        <v>-0.13675676233481518</v>
      </c>
      <c r="V40" s="257">
        <f t="shared" ca="1" si="101"/>
        <v>-103.84857500642985</v>
      </c>
      <c r="W40" s="257">
        <f ca="1">SUM(W38:W39)</f>
        <v>0</v>
      </c>
      <c r="X40" s="257">
        <f ca="1">SUM(X38:X39)</f>
        <v>83.5</v>
      </c>
      <c r="Y40" s="257">
        <f ca="1">SUM(Y38:Y39)</f>
        <v>1396.4119554280001</v>
      </c>
      <c r="Z40" s="257">
        <f ca="1">SUM(Z38:Z39)</f>
        <v>939.27433333333329</v>
      </c>
      <c r="AA40" s="257">
        <f t="shared" ca="1" si="101"/>
        <v>0</v>
      </c>
      <c r="AB40" s="257">
        <f t="shared" ca="1" si="101"/>
        <v>0</v>
      </c>
      <c r="AC40" s="257">
        <f ca="1">SUM(AC38:AC39)</f>
        <v>0</v>
      </c>
      <c r="AD40" s="257">
        <f ca="1">SUM(AD38:AD39)</f>
        <v>0</v>
      </c>
      <c r="AE40" s="257">
        <f t="shared" ca="1" si="101"/>
        <v>0</v>
      </c>
      <c r="AF40" s="257">
        <f ca="1">SUM(AF38:AF39)</f>
        <v>0</v>
      </c>
      <c r="AG40" s="257">
        <f ca="1">SUM(AG38:AG39)</f>
        <v>0</v>
      </c>
      <c r="AH40" s="257">
        <f t="shared" ca="1" si="5"/>
        <v>2310.7012283249669</v>
      </c>
      <c r="AJ40" s="263">
        <f t="shared" ref="AJ40:AX40" ca="1" si="102">SUM(AJ38:AJ39)</f>
        <v>-83.5</v>
      </c>
      <c r="AK40" s="263">
        <f t="shared" ca="1" si="102"/>
        <v>-1396.4119554280001</v>
      </c>
      <c r="AL40" s="263">
        <f t="shared" ca="1" si="102"/>
        <v>-939.27433333333329</v>
      </c>
      <c r="AM40" s="263">
        <f t="shared" ca="1" si="102"/>
        <v>0</v>
      </c>
      <c r="AN40" s="263">
        <f t="shared" ca="1" si="102"/>
        <v>0</v>
      </c>
      <c r="AO40" s="263">
        <f t="shared" ca="1" si="102"/>
        <v>0</v>
      </c>
      <c r="AP40" s="263">
        <f t="shared" ca="1" si="102"/>
        <v>0</v>
      </c>
      <c r="AQ40" s="263">
        <f t="shared" ca="1" si="102"/>
        <v>0</v>
      </c>
      <c r="AR40" s="263">
        <f t="shared" ca="1" si="102"/>
        <v>0</v>
      </c>
      <c r="AS40" s="263">
        <f t="shared" ca="1" si="102"/>
        <v>0</v>
      </c>
      <c r="AT40" s="263">
        <f t="shared" ca="1" si="102"/>
        <v>0</v>
      </c>
      <c r="AU40" s="263">
        <f t="shared" ca="1" si="102"/>
        <v>0</v>
      </c>
      <c r="AV40" s="263">
        <f t="shared" ca="1" si="102"/>
        <v>0</v>
      </c>
      <c r="AW40" s="263">
        <f t="shared" ca="1" si="102"/>
        <v>0</v>
      </c>
      <c r="AX40" s="263">
        <f t="shared" ca="1" si="102"/>
        <v>0</v>
      </c>
      <c r="AY40" s="263">
        <f t="shared" ca="1" si="74"/>
        <v>-2419.1862887613333</v>
      </c>
      <c r="BA40" s="277">
        <f ca="1">SUM(BA38:BA39)</f>
        <v>0</v>
      </c>
      <c r="BB40" s="277">
        <f ca="1">SUM(BB38:BB39)</f>
        <v>3.4232296149030201</v>
      </c>
      <c r="BC40" s="277">
        <f t="shared" ca="1" si="10"/>
        <v>3.4232296149030201</v>
      </c>
      <c r="BE40" s="55">
        <f t="shared" ref="BE40:BE47" ca="1" si="103">P40+AH40+AY40+BC40</f>
        <v>2.6645352591003757E-14</v>
      </c>
      <c r="BF40" s="164"/>
      <c r="BG40" s="1428"/>
      <c r="BH40" s="541">
        <f t="shared" ref="BH40:CU40" ca="1" si="104">SUM(BH38:BH39)</f>
        <v>19.131087664488359</v>
      </c>
      <c r="BI40" s="542">
        <f t="shared" ca="1" si="104"/>
        <v>3.832202547157481E-2</v>
      </c>
      <c r="BJ40" s="542">
        <f t="shared" ca="1" si="104"/>
        <v>4.1786553909075465E-2</v>
      </c>
      <c r="BK40" s="542">
        <f t="shared" ca="1" si="104"/>
        <v>0</v>
      </c>
      <c r="BL40" s="542">
        <f t="shared" ca="1" si="104"/>
        <v>6.3745714285714286</v>
      </c>
      <c r="BM40" s="542">
        <f t="shared" ca="1" si="104"/>
        <v>0.11363948114517233</v>
      </c>
      <c r="BN40" s="542">
        <f t="shared" ca="1" si="104"/>
        <v>0</v>
      </c>
      <c r="BO40" s="542">
        <f t="shared" ca="1" si="104"/>
        <v>0</v>
      </c>
      <c r="BP40" s="542">
        <f t="shared" ca="1" si="104"/>
        <v>0</v>
      </c>
      <c r="BQ40" s="542">
        <f t="shared" ca="1" si="104"/>
        <v>0</v>
      </c>
      <c r="BR40" s="542">
        <f t="shared" ca="1" si="104"/>
        <v>0</v>
      </c>
      <c r="BS40" s="542">
        <f t="shared" ca="1" si="104"/>
        <v>0</v>
      </c>
      <c r="BT40" s="542">
        <f t="shared" ca="1" si="104"/>
        <v>0</v>
      </c>
      <c r="BU40" s="542">
        <f t="shared" ca="1" si="104"/>
        <v>0</v>
      </c>
      <c r="BV40" s="542">
        <f t="shared" ca="1" si="104"/>
        <v>0</v>
      </c>
      <c r="BW40" s="542">
        <f t="shared" ca="1" si="104"/>
        <v>0</v>
      </c>
      <c r="BX40" s="542">
        <f t="shared" ca="1" si="104"/>
        <v>0</v>
      </c>
      <c r="BY40" s="542">
        <f t="shared" ca="1" si="104"/>
        <v>0</v>
      </c>
      <c r="BZ40" s="542">
        <f t="shared" ca="1" si="104"/>
        <v>0</v>
      </c>
      <c r="CA40" s="542">
        <f t="shared" ca="1" si="104"/>
        <v>0</v>
      </c>
      <c r="CB40" s="542">
        <f t="shared" ca="1" si="104"/>
        <v>0</v>
      </c>
      <c r="CC40" s="542">
        <f t="shared" ca="1" si="104"/>
        <v>0</v>
      </c>
      <c r="CD40" s="542">
        <f t="shared" ca="1" si="104"/>
        <v>0</v>
      </c>
      <c r="CE40" s="542">
        <f t="shared" ca="1" si="104"/>
        <v>0</v>
      </c>
      <c r="CF40" s="542">
        <f t="shared" ca="1" si="104"/>
        <v>0</v>
      </c>
      <c r="CG40" s="542">
        <f t="shared" ca="1" si="104"/>
        <v>0</v>
      </c>
      <c r="CH40" s="542">
        <f t="shared" ca="1" si="104"/>
        <v>0</v>
      </c>
      <c r="CI40" s="542">
        <f t="shared" ca="1" si="104"/>
        <v>0</v>
      </c>
      <c r="CJ40" s="542">
        <f t="shared" ca="1" si="104"/>
        <v>0</v>
      </c>
      <c r="CK40" s="542">
        <f t="shared" ca="1" si="104"/>
        <v>0</v>
      </c>
      <c r="CL40" s="542">
        <f t="shared" ca="1" si="104"/>
        <v>0</v>
      </c>
      <c r="CM40" s="542">
        <f t="shared" ca="1" si="104"/>
        <v>0</v>
      </c>
      <c r="CN40" s="542">
        <f t="shared" ca="1" si="104"/>
        <v>0</v>
      </c>
      <c r="CO40" s="542">
        <f t="shared" ca="1" si="104"/>
        <v>0</v>
      </c>
      <c r="CP40" s="542">
        <f t="shared" ca="1" si="104"/>
        <v>0</v>
      </c>
      <c r="CQ40" s="542">
        <f t="shared" ca="1" si="104"/>
        <v>0</v>
      </c>
      <c r="CR40" s="542">
        <f t="shared" ca="1" si="104"/>
        <v>0</v>
      </c>
      <c r="CS40" s="542">
        <f t="shared" ca="1" si="104"/>
        <v>0</v>
      </c>
      <c r="CT40" s="542">
        <f t="shared" ca="1" si="104"/>
        <v>0</v>
      </c>
      <c r="CU40" s="542">
        <f t="shared" ca="1" si="104"/>
        <v>0</v>
      </c>
      <c r="CW40" s="151">
        <f t="shared" ca="1" si="75"/>
        <v>25.699407153585611</v>
      </c>
    </row>
    <row r="41" spans="1:101" s="84" customFormat="1" outlineLevel="1" x14ac:dyDescent="0.2">
      <c r="C41" s="60"/>
      <c r="D41" s="34"/>
      <c r="E41" s="51"/>
      <c r="G41" s="245"/>
      <c r="H41" s="245"/>
      <c r="I41" s="245"/>
      <c r="J41" s="245"/>
      <c r="K41" s="245"/>
      <c r="L41" s="247"/>
      <c r="M41" s="245"/>
      <c r="N41" s="245"/>
      <c r="O41" s="245"/>
      <c r="P41" s="245">
        <f t="shared" si="70"/>
        <v>0</v>
      </c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>
        <f t="shared" si="5"/>
        <v>0</v>
      </c>
      <c r="AJ41" s="263"/>
      <c r="AK41" s="263"/>
      <c r="AL41" s="263"/>
      <c r="AM41" s="263"/>
      <c r="AN41" s="263"/>
      <c r="AO41" s="263"/>
      <c r="AP41" s="263"/>
      <c r="AQ41" s="263"/>
      <c r="AR41" s="263"/>
      <c r="AS41" s="263"/>
      <c r="AT41" s="263"/>
      <c r="AU41" s="263"/>
      <c r="AV41" s="263"/>
      <c r="AW41" s="263"/>
      <c r="AX41" s="263"/>
      <c r="AY41" s="263">
        <f t="shared" si="74"/>
        <v>0</v>
      </c>
      <c r="BA41" s="277"/>
      <c r="BB41" s="277"/>
      <c r="BC41" s="277">
        <f t="shared" si="10"/>
        <v>0</v>
      </c>
      <c r="BE41" s="55">
        <f t="shared" si="103"/>
        <v>0</v>
      </c>
      <c r="BF41" s="55"/>
      <c r="BH41" s="542"/>
      <c r="BI41" s="542"/>
      <c r="BJ41" s="542"/>
      <c r="BK41" s="542"/>
      <c r="BL41" s="542"/>
      <c r="BM41" s="542"/>
      <c r="BN41" s="542"/>
      <c r="BO41" s="542"/>
      <c r="BP41" s="542"/>
      <c r="BQ41" s="542"/>
      <c r="BR41" s="542"/>
      <c r="BS41" s="542"/>
      <c r="BT41" s="542"/>
      <c r="BU41" s="542"/>
      <c r="BV41" s="542"/>
      <c r="BW41" s="542"/>
      <c r="BX41" s="542"/>
      <c r="BY41" s="542"/>
      <c r="BZ41" s="542"/>
      <c r="CA41" s="542"/>
      <c r="CB41" s="542"/>
      <c r="CC41" s="542"/>
      <c r="CD41" s="542"/>
      <c r="CE41" s="542"/>
      <c r="CF41" s="542"/>
      <c r="CG41" s="542"/>
      <c r="CH41" s="542"/>
      <c r="CI41" s="542"/>
      <c r="CJ41" s="542"/>
      <c r="CK41" s="542"/>
      <c r="CL41" s="542"/>
      <c r="CM41" s="542"/>
      <c r="CN41" s="542"/>
      <c r="CO41" s="542"/>
      <c r="CP41" s="542"/>
      <c r="CQ41" s="542"/>
      <c r="CR41" s="542"/>
      <c r="CS41" s="542"/>
      <c r="CT41" s="542"/>
      <c r="CU41" s="542"/>
      <c r="CW41" s="151">
        <f t="shared" si="75"/>
        <v>0</v>
      </c>
    </row>
    <row r="42" spans="1:101" s="543" customFormat="1" ht="12.75" customHeight="1" outlineLevel="1" x14ac:dyDescent="0.2">
      <c r="C42" s="86" t="s">
        <v>864</v>
      </c>
      <c r="D42" s="61" t="str">
        <f>INDEX(Modules[Module], MATCH($C42, Modules[Code], 0))</f>
        <v xml:space="preserve">Wind </v>
      </c>
      <c r="E42" s="61"/>
      <c r="F42" s="84"/>
      <c r="G42" s="297">
        <f t="shared" ref="G42:O46" ca="1" si="105">IFERROR(INDEX(INDIRECT($C42&amp;".Outputs["&amp;this.Year&amp;"]"), MATCH(G$5, INDIRECT($C42&amp;".Outputs[Vector]"), 0)), 0)</f>
        <v>0</v>
      </c>
      <c r="H42" s="297">
        <f t="shared" ca="1" si="105"/>
        <v>0</v>
      </c>
      <c r="I42" s="297">
        <f t="shared" ca="1" si="105"/>
        <v>0</v>
      </c>
      <c r="J42" s="297">
        <f t="shared" ca="1" si="105"/>
        <v>0</v>
      </c>
      <c r="K42" s="297">
        <f t="shared" ca="1" si="105"/>
        <v>0</v>
      </c>
      <c r="L42" s="297">
        <f t="shared" ca="1" si="105"/>
        <v>0</v>
      </c>
      <c r="M42" s="297">
        <f t="shared" ca="1" si="105"/>
        <v>0</v>
      </c>
      <c r="N42" s="297">
        <f t="shared" ca="1" si="105"/>
        <v>0</v>
      </c>
      <c r="O42" s="297">
        <f t="shared" ca="1" si="105"/>
        <v>0</v>
      </c>
      <c r="P42" s="297">
        <f t="shared" ca="1" si="70"/>
        <v>0</v>
      </c>
      <c r="Q42" s="84"/>
      <c r="R42" s="304">
        <f t="shared" ref="R42:AX46" ca="1" si="106">IFERROR(INDEX(INDIRECT($C42&amp;".Outputs["&amp;this.Year&amp;"]"), MATCH(R$5, INDIRECT($C42&amp;".Outputs[Vector]"), 0)), 0)</f>
        <v>0</v>
      </c>
      <c r="S42" s="304">
        <f t="shared" ca="1" si="106"/>
        <v>18.4086</v>
      </c>
      <c r="T42" s="304">
        <f t="shared" ca="1" si="106"/>
        <v>0</v>
      </c>
      <c r="U42" s="304">
        <f t="shared" ca="1" si="106"/>
        <v>0</v>
      </c>
      <c r="V42" s="304">
        <f t="shared" ca="1" si="106"/>
        <v>0</v>
      </c>
      <c r="W42" s="304">
        <f t="shared" ca="1" si="106"/>
        <v>0</v>
      </c>
      <c r="X42" s="304">
        <f t="shared" ref="X42:Z46" ca="1" si="107">IFERROR(INDEX(INDIRECT($C42&amp;".Outputs["&amp;this.Year&amp;"]"), MATCH(X$5, INDIRECT($C42&amp;".Outputs[Vector]"), 0)), 0)</f>
        <v>0</v>
      </c>
      <c r="Y42" s="304">
        <f t="shared" ca="1" si="107"/>
        <v>0</v>
      </c>
      <c r="Z42" s="304">
        <f t="shared" ca="1" si="107"/>
        <v>0</v>
      </c>
      <c r="AA42" s="304">
        <f t="shared" ca="1" si="106"/>
        <v>0</v>
      </c>
      <c r="AB42" s="304">
        <f t="shared" ca="1" si="106"/>
        <v>0</v>
      </c>
      <c r="AC42" s="304">
        <f t="shared" ca="1" si="106"/>
        <v>0</v>
      </c>
      <c r="AD42" s="304">
        <f t="shared" ca="1" si="106"/>
        <v>0</v>
      </c>
      <c r="AE42" s="304">
        <f t="shared" ca="1" si="106"/>
        <v>0</v>
      </c>
      <c r="AF42" s="304">
        <f t="shared" ca="1" si="106"/>
        <v>0</v>
      </c>
      <c r="AG42" s="304">
        <f t="shared" ca="1" si="106"/>
        <v>0</v>
      </c>
      <c r="AH42" s="305">
        <f t="shared" ca="1" si="5"/>
        <v>18.4086</v>
      </c>
      <c r="AI42" s="84"/>
      <c r="AJ42" s="312">
        <f t="shared" ref="AJ42:AR46" ca="1" si="108">IFERROR(INDEX(INDIRECT($C42&amp;".Outputs["&amp;this.Year&amp;"]"), MATCH(AJ$5, INDIRECT($C42&amp;".Outputs[Vector]"), 0)), 0)</f>
        <v>0</v>
      </c>
      <c r="AK42" s="312">
        <f t="shared" ca="1" si="108"/>
        <v>0</v>
      </c>
      <c r="AL42" s="312">
        <f t="shared" ca="1" si="108"/>
        <v>0</v>
      </c>
      <c r="AM42" s="312">
        <f t="shared" ca="1" si="108"/>
        <v>0</v>
      </c>
      <c r="AN42" s="312">
        <f t="shared" ca="1" si="108"/>
        <v>0</v>
      </c>
      <c r="AO42" s="312">
        <f t="shared" ca="1" si="108"/>
        <v>0</v>
      </c>
      <c r="AP42" s="312">
        <f t="shared" ca="1" si="108"/>
        <v>0</v>
      </c>
      <c r="AQ42" s="312">
        <f t="shared" ca="1" si="108"/>
        <v>0</v>
      </c>
      <c r="AR42" s="312">
        <f t="shared" ca="1" si="108"/>
        <v>0</v>
      </c>
      <c r="AS42" s="312">
        <f t="shared" ca="1" si="106"/>
        <v>0</v>
      </c>
      <c r="AT42" s="312">
        <f t="shared" ca="1" si="106"/>
        <v>0</v>
      </c>
      <c r="AU42" s="312">
        <f t="shared" ca="1" si="106"/>
        <v>-18.4086</v>
      </c>
      <c r="AV42" s="312">
        <f t="shared" ca="1" si="106"/>
        <v>0</v>
      </c>
      <c r="AW42" s="312">
        <f t="shared" ca="1" si="106"/>
        <v>0</v>
      </c>
      <c r="AX42" s="312">
        <f t="shared" ca="1" si="106"/>
        <v>0</v>
      </c>
      <c r="AY42" s="266">
        <f t="shared" ca="1" si="74"/>
        <v>-18.4086</v>
      </c>
      <c r="AZ42" s="84"/>
      <c r="BA42" s="308">
        <f t="shared" ref="BA42:BB46" ca="1" si="109">IFERROR(INDEX(INDIRECT($C42&amp;".Outputs["&amp;this.Year&amp;"]"), MATCH(BA$5, INDIRECT($C42&amp;".Outputs[Vector]"), 0)), 0)</f>
        <v>0</v>
      </c>
      <c r="BB42" s="308">
        <f t="shared" ca="1" si="109"/>
        <v>0</v>
      </c>
      <c r="BC42" s="309">
        <f t="shared" ca="1" si="10"/>
        <v>0</v>
      </c>
      <c r="BD42" s="84"/>
      <c r="BE42" s="135">
        <f t="shared" ca="1" si="103"/>
        <v>0</v>
      </c>
      <c r="BF42" s="135"/>
      <c r="BG42" s="1428"/>
      <c r="BH42" s="541">
        <f t="shared" ref="BH42:BQ46" ca="1" si="110">IFERROR(SUMIFS(INDIRECT($C42&amp;".Emissions["&amp;this.Year&amp;"]"), INDIRECT($C42&amp;".Emissions[GHG]"), BH$6, INDIRECT($C42&amp;".Emissions[IPCC Sector]"), BH$5),0)</f>
        <v>0</v>
      </c>
      <c r="BI42" s="542">
        <f t="shared" ca="1" si="110"/>
        <v>0</v>
      </c>
      <c r="BJ42" s="542">
        <f t="shared" ca="1" si="110"/>
        <v>0</v>
      </c>
      <c r="BK42" s="542">
        <f t="shared" ca="1" si="110"/>
        <v>0</v>
      </c>
      <c r="BL42" s="542">
        <f t="shared" ca="1" si="110"/>
        <v>0</v>
      </c>
      <c r="BM42" s="542">
        <f t="shared" ca="1" si="110"/>
        <v>0</v>
      </c>
      <c r="BN42" s="542">
        <f t="shared" ca="1" si="110"/>
        <v>0</v>
      </c>
      <c r="BO42" s="542">
        <f t="shared" ca="1" si="110"/>
        <v>0</v>
      </c>
      <c r="BP42" s="542">
        <f t="shared" ca="1" si="110"/>
        <v>0</v>
      </c>
      <c r="BQ42" s="542">
        <f t="shared" ca="1" si="110"/>
        <v>0</v>
      </c>
      <c r="BR42" s="542">
        <f t="shared" ref="BR42:CA46" ca="1" si="111">IFERROR(SUMIFS(INDIRECT($C42&amp;".Emissions["&amp;this.Year&amp;"]"), INDIRECT($C42&amp;".Emissions[GHG]"), BR$6, INDIRECT($C42&amp;".Emissions[IPCC Sector]"), BR$5),0)</f>
        <v>0</v>
      </c>
      <c r="BS42" s="542">
        <f t="shared" ca="1" si="111"/>
        <v>0</v>
      </c>
      <c r="BT42" s="542">
        <f t="shared" ca="1" si="111"/>
        <v>0</v>
      </c>
      <c r="BU42" s="542">
        <f t="shared" ca="1" si="111"/>
        <v>0</v>
      </c>
      <c r="BV42" s="542">
        <f t="shared" ca="1" si="111"/>
        <v>0</v>
      </c>
      <c r="BW42" s="542">
        <f t="shared" ca="1" si="111"/>
        <v>0</v>
      </c>
      <c r="BX42" s="542">
        <f t="shared" ca="1" si="111"/>
        <v>0</v>
      </c>
      <c r="BY42" s="542">
        <f t="shared" ca="1" si="111"/>
        <v>0</v>
      </c>
      <c r="BZ42" s="542">
        <f t="shared" ca="1" si="111"/>
        <v>0</v>
      </c>
      <c r="CA42" s="542">
        <f t="shared" ca="1" si="111"/>
        <v>0</v>
      </c>
      <c r="CB42" s="542">
        <f t="shared" ref="CB42:CK46" ca="1" si="112">IFERROR(SUMIFS(INDIRECT($C42&amp;".Emissions["&amp;this.Year&amp;"]"), INDIRECT($C42&amp;".Emissions[GHG]"), CB$6, INDIRECT($C42&amp;".Emissions[IPCC Sector]"), CB$5),0)</f>
        <v>0</v>
      </c>
      <c r="CC42" s="542">
        <f t="shared" ca="1" si="112"/>
        <v>0</v>
      </c>
      <c r="CD42" s="542">
        <f t="shared" ca="1" si="112"/>
        <v>0</v>
      </c>
      <c r="CE42" s="542">
        <f t="shared" ca="1" si="112"/>
        <v>0</v>
      </c>
      <c r="CF42" s="542">
        <f t="shared" ca="1" si="112"/>
        <v>0</v>
      </c>
      <c r="CG42" s="542">
        <f t="shared" ca="1" si="112"/>
        <v>0</v>
      </c>
      <c r="CH42" s="542">
        <f t="shared" ca="1" si="112"/>
        <v>0</v>
      </c>
      <c r="CI42" s="542">
        <f t="shared" ca="1" si="112"/>
        <v>0</v>
      </c>
      <c r="CJ42" s="542">
        <f t="shared" ca="1" si="112"/>
        <v>0</v>
      </c>
      <c r="CK42" s="542">
        <f t="shared" ca="1" si="112"/>
        <v>0</v>
      </c>
      <c r="CL42" s="542">
        <f t="shared" ref="CL42:CU46" ca="1" si="113">IFERROR(SUMIFS(INDIRECT($C42&amp;".Emissions["&amp;this.Year&amp;"]"), INDIRECT($C42&amp;".Emissions[GHG]"), CL$6, INDIRECT($C42&amp;".Emissions[IPCC Sector]"), CL$5),0)</f>
        <v>0</v>
      </c>
      <c r="CM42" s="542">
        <f t="shared" ca="1" si="113"/>
        <v>0</v>
      </c>
      <c r="CN42" s="542">
        <f t="shared" ca="1" si="113"/>
        <v>0</v>
      </c>
      <c r="CO42" s="542">
        <f t="shared" ca="1" si="113"/>
        <v>0</v>
      </c>
      <c r="CP42" s="542">
        <f t="shared" ca="1" si="113"/>
        <v>0</v>
      </c>
      <c r="CQ42" s="542">
        <f t="shared" ca="1" si="113"/>
        <v>0</v>
      </c>
      <c r="CR42" s="542">
        <f t="shared" ca="1" si="113"/>
        <v>0</v>
      </c>
      <c r="CS42" s="542">
        <f t="shared" ca="1" si="113"/>
        <v>0</v>
      </c>
      <c r="CT42" s="542">
        <f t="shared" ca="1" si="113"/>
        <v>0</v>
      </c>
      <c r="CU42" s="542">
        <f t="shared" ca="1" si="113"/>
        <v>0</v>
      </c>
      <c r="CW42" s="151">
        <f t="shared" ca="1" si="75"/>
        <v>0</v>
      </c>
    </row>
    <row r="43" spans="1:101" s="543" customFormat="1" ht="12.75" customHeight="1" outlineLevel="1" x14ac:dyDescent="0.2">
      <c r="C43" s="86" t="s">
        <v>2366</v>
      </c>
      <c r="D43" s="61" t="str">
        <f>INDEX(Modules[Module], MATCH($C43, Modules[Code], 0))</f>
        <v>Large Hydroelectric power stations</v>
      </c>
      <c r="E43" s="61"/>
      <c r="F43" s="84"/>
      <c r="G43" s="297">
        <f t="shared" ca="1" si="105"/>
        <v>0</v>
      </c>
      <c r="H43" s="297">
        <f t="shared" ca="1" si="105"/>
        <v>0</v>
      </c>
      <c r="I43" s="297">
        <f t="shared" ca="1" si="105"/>
        <v>0</v>
      </c>
      <c r="J43" s="297">
        <f t="shared" ca="1" si="105"/>
        <v>0</v>
      </c>
      <c r="K43" s="297">
        <f t="shared" ca="1" si="105"/>
        <v>0</v>
      </c>
      <c r="L43" s="297">
        <f t="shared" ca="1" si="105"/>
        <v>0</v>
      </c>
      <c r="M43" s="297">
        <f t="shared" ca="1" si="105"/>
        <v>0</v>
      </c>
      <c r="N43" s="297">
        <f t="shared" ca="1" si="105"/>
        <v>0</v>
      </c>
      <c r="O43" s="297">
        <f t="shared" ca="1" si="105"/>
        <v>0</v>
      </c>
      <c r="P43" s="297">
        <f t="shared" ca="1" si="70"/>
        <v>0</v>
      </c>
      <c r="Q43" s="84"/>
      <c r="R43" s="304">
        <f t="shared" ca="1" si="106"/>
        <v>0</v>
      </c>
      <c r="S43" s="304">
        <f t="shared" ca="1" si="106"/>
        <v>52.122636</v>
      </c>
      <c r="T43" s="304">
        <f t="shared" ca="1" si="106"/>
        <v>0</v>
      </c>
      <c r="U43" s="304">
        <f t="shared" ca="1" si="106"/>
        <v>0</v>
      </c>
      <c r="V43" s="304">
        <f t="shared" ca="1" si="106"/>
        <v>0</v>
      </c>
      <c r="W43" s="304">
        <f t="shared" ca="1" si="106"/>
        <v>0</v>
      </c>
      <c r="X43" s="304">
        <f t="shared" ca="1" si="107"/>
        <v>0</v>
      </c>
      <c r="Y43" s="304">
        <f t="shared" ca="1" si="107"/>
        <v>0</v>
      </c>
      <c r="Z43" s="304">
        <f t="shared" ca="1" si="107"/>
        <v>0</v>
      </c>
      <c r="AA43" s="304">
        <f t="shared" ca="1" si="106"/>
        <v>0</v>
      </c>
      <c r="AB43" s="304">
        <f t="shared" ca="1" si="106"/>
        <v>0</v>
      </c>
      <c r="AC43" s="304">
        <f t="shared" ca="1" si="106"/>
        <v>0</v>
      </c>
      <c r="AD43" s="304">
        <f t="shared" ca="1" si="106"/>
        <v>0</v>
      </c>
      <c r="AE43" s="304">
        <f t="shared" ca="1" si="106"/>
        <v>0</v>
      </c>
      <c r="AF43" s="304">
        <f t="shared" ca="1" si="106"/>
        <v>0</v>
      </c>
      <c r="AG43" s="304">
        <f t="shared" ca="1" si="106"/>
        <v>0</v>
      </c>
      <c r="AH43" s="305">
        <f t="shared" ca="1" si="5"/>
        <v>52.122636</v>
      </c>
      <c r="AI43" s="84"/>
      <c r="AJ43" s="312">
        <f t="shared" ca="1" si="108"/>
        <v>0</v>
      </c>
      <c r="AK43" s="312">
        <f t="shared" ca="1" si="108"/>
        <v>0</v>
      </c>
      <c r="AL43" s="312">
        <f t="shared" ca="1" si="108"/>
        <v>0</v>
      </c>
      <c r="AM43" s="312">
        <f t="shared" ca="1" si="108"/>
        <v>0</v>
      </c>
      <c r="AN43" s="312">
        <f t="shared" ca="1" si="108"/>
        <v>0</v>
      </c>
      <c r="AO43" s="312">
        <f t="shared" ca="1" si="108"/>
        <v>0</v>
      </c>
      <c r="AP43" s="312">
        <f t="shared" ca="1" si="108"/>
        <v>0</v>
      </c>
      <c r="AQ43" s="312">
        <f t="shared" ca="1" si="108"/>
        <v>0</v>
      </c>
      <c r="AR43" s="312">
        <f t="shared" ca="1" si="108"/>
        <v>0</v>
      </c>
      <c r="AS43" s="312">
        <f t="shared" ca="1" si="106"/>
        <v>0</v>
      </c>
      <c r="AT43" s="312">
        <f t="shared" ca="1" si="106"/>
        <v>0</v>
      </c>
      <c r="AU43" s="312">
        <f t="shared" ca="1" si="106"/>
        <v>0</v>
      </c>
      <c r="AV43" s="312">
        <f t="shared" ca="1" si="106"/>
        <v>-52.122636</v>
      </c>
      <c r="AW43" s="312">
        <f t="shared" ca="1" si="106"/>
        <v>0</v>
      </c>
      <c r="AX43" s="312">
        <f t="shared" ca="1" si="106"/>
        <v>0</v>
      </c>
      <c r="AY43" s="266">
        <f t="shared" ca="1" si="74"/>
        <v>-52.122636</v>
      </c>
      <c r="AZ43" s="84"/>
      <c r="BA43" s="308">
        <f t="shared" ca="1" si="109"/>
        <v>0</v>
      </c>
      <c r="BB43" s="308">
        <f t="shared" ca="1" si="109"/>
        <v>0</v>
      </c>
      <c r="BC43" s="309">
        <f t="shared" ca="1" si="10"/>
        <v>0</v>
      </c>
      <c r="BD43" s="84"/>
      <c r="BE43" s="135">
        <f t="shared" ca="1" si="103"/>
        <v>0</v>
      </c>
      <c r="BF43" s="135"/>
      <c r="BG43" s="1428"/>
      <c r="BH43" s="541">
        <f t="shared" ca="1" si="110"/>
        <v>0</v>
      </c>
      <c r="BI43" s="542">
        <f t="shared" ca="1" si="110"/>
        <v>0</v>
      </c>
      <c r="BJ43" s="542">
        <f t="shared" ca="1" si="110"/>
        <v>0</v>
      </c>
      <c r="BK43" s="542">
        <f t="shared" ca="1" si="110"/>
        <v>0</v>
      </c>
      <c r="BL43" s="542">
        <f t="shared" ca="1" si="110"/>
        <v>0</v>
      </c>
      <c r="BM43" s="542">
        <f t="shared" ca="1" si="110"/>
        <v>0</v>
      </c>
      <c r="BN43" s="542">
        <f t="shared" ca="1" si="110"/>
        <v>0</v>
      </c>
      <c r="BO43" s="542">
        <f t="shared" ca="1" si="110"/>
        <v>0</v>
      </c>
      <c r="BP43" s="542">
        <f t="shared" ca="1" si="110"/>
        <v>0</v>
      </c>
      <c r="BQ43" s="542">
        <f t="shared" ca="1" si="110"/>
        <v>0</v>
      </c>
      <c r="BR43" s="542">
        <f t="shared" ca="1" si="111"/>
        <v>0</v>
      </c>
      <c r="BS43" s="542">
        <f t="shared" ca="1" si="111"/>
        <v>0</v>
      </c>
      <c r="BT43" s="542">
        <f t="shared" ca="1" si="111"/>
        <v>0</v>
      </c>
      <c r="BU43" s="542">
        <f t="shared" ca="1" si="111"/>
        <v>0</v>
      </c>
      <c r="BV43" s="542">
        <f t="shared" ca="1" si="111"/>
        <v>0</v>
      </c>
      <c r="BW43" s="542">
        <f t="shared" ca="1" si="111"/>
        <v>0</v>
      </c>
      <c r="BX43" s="542">
        <f t="shared" ca="1" si="111"/>
        <v>0</v>
      </c>
      <c r="BY43" s="542">
        <f t="shared" ca="1" si="111"/>
        <v>0</v>
      </c>
      <c r="BZ43" s="542">
        <f t="shared" ca="1" si="111"/>
        <v>0</v>
      </c>
      <c r="CA43" s="542">
        <f t="shared" ca="1" si="111"/>
        <v>0</v>
      </c>
      <c r="CB43" s="542">
        <f t="shared" ca="1" si="112"/>
        <v>0</v>
      </c>
      <c r="CC43" s="542">
        <f t="shared" ca="1" si="112"/>
        <v>0</v>
      </c>
      <c r="CD43" s="542">
        <f t="shared" ca="1" si="112"/>
        <v>0</v>
      </c>
      <c r="CE43" s="542">
        <f t="shared" ca="1" si="112"/>
        <v>0</v>
      </c>
      <c r="CF43" s="542">
        <f t="shared" ca="1" si="112"/>
        <v>0</v>
      </c>
      <c r="CG43" s="542">
        <f t="shared" ca="1" si="112"/>
        <v>0</v>
      </c>
      <c r="CH43" s="542">
        <f t="shared" ca="1" si="112"/>
        <v>0</v>
      </c>
      <c r="CI43" s="542">
        <f t="shared" ca="1" si="112"/>
        <v>0</v>
      </c>
      <c r="CJ43" s="542">
        <f t="shared" ca="1" si="112"/>
        <v>0</v>
      </c>
      <c r="CK43" s="542">
        <f t="shared" ca="1" si="112"/>
        <v>0</v>
      </c>
      <c r="CL43" s="542">
        <f t="shared" ca="1" si="113"/>
        <v>0</v>
      </c>
      <c r="CM43" s="542">
        <f t="shared" ca="1" si="113"/>
        <v>0</v>
      </c>
      <c r="CN43" s="542">
        <f t="shared" ca="1" si="113"/>
        <v>0</v>
      </c>
      <c r="CO43" s="542">
        <f t="shared" ca="1" si="113"/>
        <v>0</v>
      </c>
      <c r="CP43" s="542">
        <f t="shared" ca="1" si="113"/>
        <v>0</v>
      </c>
      <c r="CQ43" s="542">
        <f t="shared" ca="1" si="113"/>
        <v>0</v>
      </c>
      <c r="CR43" s="542">
        <f t="shared" ca="1" si="113"/>
        <v>0</v>
      </c>
      <c r="CS43" s="542">
        <f t="shared" ca="1" si="113"/>
        <v>0</v>
      </c>
      <c r="CT43" s="542">
        <f t="shared" ca="1" si="113"/>
        <v>0</v>
      </c>
      <c r="CU43" s="542">
        <f t="shared" ca="1" si="113"/>
        <v>0</v>
      </c>
      <c r="CW43" s="151">
        <f t="shared" ca="1" si="75"/>
        <v>0</v>
      </c>
    </row>
    <row r="44" spans="1:101" s="543" customFormat="1" ht="12.75" customHeight="1" outlineLevel="1" x14ac:dyDescent="0.2">
      <c r="C44" s="86" t="s">
        <v>2365</v>
      </c>
      <c r="D44" s="61" t="str">
        <f>INDEX(Modules[Module], MATCH($C44, Modules[Code], 0))</f>
        <v>Small Hydroelectric power stations</v>
      </c>
      <c r="E44" s="61"/>
      <c r="F44" s="84"/>
      <c r="G44" s="297">
        <f t="shared" ca="1" si="105"/>
        <v>0</v>
      </c>
      <c r="H44" s="297">
        <f t="shared" ca="1" si="105"/>
        <v>0</v>
      </c>
      <c r="I44" s="297">
        <f t="shared" ca="1" si="105"/>
        <v>0</v>
      </c>
      <c r="J44" s="297">
        <f t="shared" ca="1" si="105"/>
        <v>0</v>
      </c>
      <c r="K44" s="297">
        <f t="shared" ca="1" si="105"/>
        <v>0</v>
      </c>
      <c r="L44" s="297">
        <f t="shared" ca="1" si="105"/>
        <v>0</v>
      </c>
      <c r="M44" s="297">
        <f t="shared" ca="1" si="105"/>
        <v>0</v>
      </c>
      <c r="N44" s="297">
        <f t="shared" ca="1" si="105"/>
        <v>0</v>
      </c>
      <c r="O44" s="297">
        <f t="shared" ca="1" si="105"/>
        <v>0</v>
      </c>
      <c r="P44" s="297">
        <f t="shared" ca="1" si="70"/>
        <v>0</v>
      </c>
      <c r="Q44" s="84"/>
      <c r="R44" s="304">
        <f t="shared" ca="1" si="106"/>
        <v>0</v>
      </c>
      <c r="S44" s="304">
        <f t="shared" ca="1" si="106"/>
        <v>13.189198371428578</v>
      </c>
      <c r="T44" s="304">
        <f t="shared" ca="1" si="106"/>
        <v>0</v>
      </c>
      <c r="U44" s="304">
        <f t="shared" ca="1" si="106"/>
        <v>0</v>
      </c>
      <c r="V44" s="304">
        <f t="shared" ca="1" si="106"/>
        <v>0</v>
      </c>
      <c r="W44" s="304">
        <f t="shared" ca="1" si="106"/>
        <v>0</v>
      </c>
      <c r="X44" s="304">
        <f t="shared" ca="1" si="107"/>
        <v>0</v>
      </c>
      <c r="Y44" s="304">
        <f t="shared" ca="1" si="107"/>
        <v>0</v>
      </c>
      <c r="Z44" s="304">
        <f t="shared" ca="1" si="107"/>
        <v>0</v>
      </c>
      <c r="AA44" s="304">
        <f t="shared" ca="1" si="106"/>
        <v>0</v>
      </c>
      <c r="AB44" s="304">
        <f t="shared" ca="1" si="106"/>
        <v>0</v>
      </c>
      <c r="AC44" s="304">
        <f t="shared" ca="1" si="106"/>
        <v>0</v>
      </c>
      <c r="AD44" s="304">
        <f t="shared" ca="1" si="106"/>
        <v>0</v>
      </c>
      <c r="AE44" s="304">
        <f t="shared" ca="1" si="106"/>
        <v>0</v>
      </c>
      <c r="AF44" s="304">
        <f t="shared" ca="1" si="106"/>
        <v>0</v>
      </c>
      <c r="AG44" s="304">
        <f t="shared" ca="1" si="106"/>
        <v>0</v>
      </c>
      <c r="AH44" s="305">
        <f t="shared" ca="1" si="5"/>
        <v>13.189198371428578</v>
      </c>
      <c r="AI44" s="84"/>
      <c r="AJ44" s="312">
        <f t="shared" ca="1" si="108"/>
        <v>0</v>
      </c>
      <c r="AK44" s="312">
        <f t="shared" ca="1" si="108"/>
        <v>0</v>
      </c>
      <c r="AL44" s="312">
        <f t="shared" ca="1" si="108"/>
        <v>0</v>
      </c>
      <c r="AM44" s="312">
        <f t="shared" ca="1" si="108"/>
        <v>0</v>
      </c>
      <c r="AN44" s="312">
        <f t="shared" ca="1" si="108"/>
        <v>0</v>
      </c>
      <c r="AO44" s="312">
        <f t="shared" ca="1" si="108"/>
        <v>0</v>
      </c>
      <c r="AP44" s="312">
        <f t="shared" ca="1" si="108"/>
        <v>0</v>
      </c>
      <c r="AQ44" s="312">
        <f t="shared" ca="1" si="108"/>
        <v>0</v>
      </c>
      <c r="AR44" s="312">
        <f t="shared" ca="1" si="108"/>
        <v>0</v>
      </c>
      <c r="AS44" s="312">
        <f t="shared" ca="1" si="106"/>
        <v>0</v>
      </c>
      <c r="AT44" s="312">
        <f t="shared" ca="1" si="106"/>
        <v>0</v>
      </c>
      <c r="AU44" s="312">
        <f t="shared" ca="1" si="106"/>
        <v>0</v>
      </c>
      <c r="AV44" s="312">
        <f t="shared" ca="1" si="106"/>
        <v>-13.189198371428578</v>
      </c>
      <c r="AW44" s="312">
        <f t="shared" ca="1" si="106"/>
        <v>0</v>
      </c>
      <c r="AX44" s="312">
        <f t="shared" ca="1" si="106"/>
        <v>0</v>
      </c>
      <c r="AY44" s="266">
        <f t="shared" ca="1" si="74"/>
        <v>-13.189198371428578</v>
      </c>
      <c r="AZ44" s="84"/>
      <c r="BA44" s="308">
        <f t="shared" ca="1" si="109"/>
        <v>0</v>
      </c>
      <c r="BB44" s="308">
        <f t="shared" ca="1" si="109"/>
        <v>0</v>
      </c>
      <c r="BC44" s="309">
        <f t="shared" ca="1" si="10"/>
        <v>0</v>
      </c>
      <c r="BD44" s="84"/>
      <c r="BE44" s="135">
        <f t="shared" ca="1" si="103"/>
        <v>0</v>
      </c>
      <c r="BF44" s="135"/>
      <c r="BG44" s="1428"/>
      <c r="BH44" s="541">
        <f t="shared" ca="1" si="110"/>
        <v>0</v>
      </c>
      <c r="BI44" s="542">
        <f t="shared" ca="1" si="110"/>
        <v>0</v>
      </c>
      <c r="BJ44" s="542">
        <f t="shared" ca="1" si="110"/>
        <v>0</v>
      </c>
      <c r="BK44" s="542">
        <f t="shared" ca="1" si="110"/>
        <v>0</v>
      </c>
      <c r="BL44" s="542">
        <f t="shared" ca="1" si="110"/>
        <v>0</v>
      </c>
      <c r="BM44" s="542">
        <f t="shared" ca="1" si="110"/>
        <v>0</v>
      </c>
      <c r="BN44" s="542">
        <f t="shared" ca="1" si="110"/>
        <v>0</v>
      </c>
      <c r="BO44" s="542">
        <f t="shared" ca="1" si="110"/>
        <v>0</v>
      </c>
      <c r="BP44" s="542">
        <f t="shared" ca="1" si="110"/>
        <v>0</v>
      </c>
      <c r="BQ44" s="542">
        <f t="shared" ca="1" si="110"/>
        <v>0</v>
      </c>
      <c r="BR44" s="542">
        <f t="shared" ca="1" si="111"/>
        <v>0</v>
      </c>
      <c r="BS44" s="542">
        <f t="shared" ca="1" si="111"/>
        <v>0</v>
      </c>
      <c r="BT44" s="542">
        <f t="shared" ca="1" si="111"/>
        <v>0</v>
      </c>
      <c r="BU44" s="542">
        <f t="shared" ca="1" si="111"/>
        <v>0</v>
      </c>
      <c r="BV44" s="542">
        <f t="shared" ca="1" si="111"/>
        <v>0</v>
      </c>
      <c r="BW44" s="542">
        <f t="shared" ca="1" si="111"/>
        <v>0</v>
      </c>
      <c r="BX44" s="542">
        <f t="shared" ca="1" si="111"/>
        <v>0</v>
      </c>
      <c r="BY44" s="542">
        <f t="shared" ca="1" si="111"/>
        <v>0</v>
      </c>
      <c r="BZ44" s="542">
        <f t="shared" ca="1" si="111"/>
        <v>0</v>
      </c>
      <c r="CA44" s="542">
        <f t="shared" ca="1" si="111"/>
        <v>0</v>
      </c>
      <c r="CB44" s="542">
        <f t="shared" ca="1" si="112"/>
        <v>0</v>
      </c>
      <c r="CC44" s="542">
        <f t="shared" ca="1" si="112"/>
        <v>0</v>
      </c>
      <c r="CD44" s="542">
        <f t="shared" ca="1" si="112"/>
        <v>0</v>
      </c>
      <c r="CE44" s="542">
        <f t="shared" ca="1" si="112"/>
        <v>0</v>
      </c>
      <c r="CF44" s="542">
        <f t="shared" ca="1" si="112"/>
        <v>0</v>
      </c>
      <c r="CG44" s="542">
        <f t="shared" ca="1" si="112"/>
        <v>0</v>
      </c>
      <c r="CH44" s="542">
        <f t="shared" ca="1" si="112"/>
        <v>0</v>
      </c>
      <c r="CI44" s="542">
        <f t="shared" ca="1" si="112"/>
        <v>0</v>
      </c>
      <c r="CJ44" s="542">
        <f t="shared" ca="1" si="112"/>
        <v>0</v>
      </c>
      <c r="CK44" s="542">
        <f t="shared" ca="1" si="112"/>
        <v>0</v>
      </c>
      <c r="CL44" s="542">
        <f t="shared" ca="1" si="113"/>
        <v>0</v>
      </c>
      <c r="CM44" s="542">
        <f t="shared" ca="1" si="113"/>
        <v>0</v>
      </c>
      <c r="CN44" s="542">
        <f t="shared" ca="1" si="113"/>
        <v>0</v>
      </c>
      <c r="CO44" s="542">
        <f t="shared" ca="1" si="113"/>
        <v>0</v>
      </c>
      <c r="CP44" s="542">
        <f t="shared" ca="1" si="113"/>
        <v>0</v>
      </c>
      <c r="CQ44" s="542">
        <f t="shared" ca="1" si="113"/>
        <v>0</v>
      </c>
      <c r="CR44" s="542">
        <f t="shared" ca="1" si="113"/>
        <v>0</v>
      </c>
      <c r="CS44" s="542">
        <f t="shared" ca="1" si="113"/>
        <v>0</v>
      </c>
      <c r="CT44" s="542">
        <f t="shared" ca="1" si="113"/>
        <v>0</v>
      </c>
      <c r="CU44" s="542">
        <f t="shared" ca="1" si="113"/>
        <v>0</v>
      </c>
      <c r="CW44" s="151">
        <f ca="1">SUM(BH44:CU44)</f>
        <v>0</v>
      </c>
    </row>
    <row r="45" spans="1:101" s="543" customFormat="1" ht="12.75" customHeight="1" outlineLevel="1" x14ac:dyDescent="0.2">
      <c r="C45" s="86" t="s">
        <v>2364</v>
      </c>
      <c r="D45" s="61" t="str">
        <f>INDEX(Modules[Module], MATCH($C45, Modules[Code], 0))</f>
        <v>Grid Connected Solar PV</v>
      </c>
      <c r="E45" s="61"/>
      <c r="F45" s="84"/>
      <c r="G45" s="297">
        <f t="shared" ca="1" si="105"/>
        <v>0</v>
      </c>
      <c r="H45" s="297">
        <f t="shared" ca="1" si="105"/>
        <v>0</v>
      </c>
      <c r="I45" s="297">
        <f t="shared" ca="1" si="105"/>
        <v>0</v>
      </c>
      <c r="J45" s="297">
        <f t="shared" ca="1" si="105"/>
        <v>0</v>
      </c>
      <c r="K45" s="297">
        <f t="shared" ca="1" si="105"/>
        <v>0</v>
      </c>
      <c r="L45" s="297">
        <f t="shared" ca="1" si="105"/>
        <v>0</v>
      </c>
      <c r="M45" s="297">
        <f t="shared" ca="1" si="105"/>
        <v>0</v>
      </c>
      <c r="N45" s="297">
        <f t="shared" ca="1" si="105"/>
        <v>0</v>
      </c>
      <c r="O45" s="297">
        <f t="shared" ca="1" si="105"/>
        <v>0</v>
      </c>
      <c r="P45" s="297">
        <f t="shared" ca="1" si="70"/>
        <v>0</v>
      </c>
      <c r="Q45" s="84"/>
      <c r="R45" s="304">
        <f t="shared" ca="1" si="106"/>
        <v>0</v>
      </c>
      <c r="S45" s="304">
        <f t="shared" ca="1" si="106"/>
        <v>165.94432469999998</v>
      </c>
      <c r="T45" s="304">
        <f t="shared" ca="1" si="106"/>
        <v>0</v>
      </c>
      <c r="U45" s="304">
        <f t="shared" ca="1" si="106"/>
        <v>0</v>
      </c>
      <c r="V45" s="304">
        <f t="shared" ca="1" si="106"/>
        <v>0</v>
      </c>
      <c r="W45" s="304">
        <f t="shared" ca="1" si="106"/>
        <v>0</v>
      </c>
      <c r="X45" s="304">
        <f t="shared" ca="1" si="107"/>
        <v>0</v>
      </c>
      <c r="Y45" s="304">
        <f t="shared" ca="1" si="107"/>
        <v>0</v>
      </c>
      <c r="Z45" s="304">
        <f t="shared" ca="1" si="107"/>
        <v>0</v>
      </c>
      <c r="AA45" s="304">
        <f t="shared" ca="1" si="106"/>
        <v>0</v>
      </c>
      <c r="AB45" s="304">
        <f t="shared" ca="1" si="106"/>
        <v>0</v>
      </c>
      <c r="AC45" s="304">
        <f t="shared" ca="1" si="106"/>
        <v>0</v>
      </c>
      <c r="AD45" s="304">
        <f t="shared" ca="1" si="106"/>
        <v>0</v>
      </c>
      <c r="AE45" s="304">
        <f t="shared" ca="1" si="106"/>
        <v>0</v>
      </c>
      <c r="AF45" s="304">
        <f t="shared" ca="1" si="106"/>
        <v>0</v>
      </c>
      <c r="AG45" s="304">
        <f t="shared" ca="1" si="106"/>
        <v>0</v>
      </c>
      <c r="AH45" s="305">
        <f t="shared" ca="1" si="5"/>
        <v>165.94432469999998</v>
      </c>
      <c r="AI45" s="84"/>
      <c r="AJ45" s="312">
        <f t="shared" ca="1" si="108"/>
        <v>0</v>
      </c>
      <c r="AK45" s="312">
        <f t="shared" ca="1" si="108"/>
        <v>0</v>
      </c>
      <c r="AL45" s="312">
        <f t="shared" ca="1" si="108"/>
        <v>0</v>
      </c>
      <c r="AM45" s="312">
        <f t="shared" ca="1" si="108"/>
        <v>0</v>
      </c>
      <c r="AN45" s="312">
        <f t="shared" ca="1" si="108"/>
        <v>0</v>
      </c>
      <c r="AO45" s="312">
        <f t="shared" ca="1" si="108"/>
        <v>0</v>
      </c>
      <c r="AP45" s="312">
        <f t="shared" ca="1" si="108"/>
        <v>0</v>
      </c>
      <c r="AQ45" s="312">
        <f t="shared" ca="1" si="108"/>
        <v>0</v>
      </c>
      <c r="AR45" s="312">
        <f t="shared" ca="1" si="108"/>
        <v>0</v>
      </c>
      <c r="AS45" s="312">
        <f t="shared" ca="1" si="106"/>
        <v>0</v>
      </c>
      <c r="AT45" s="312">
        <f t="shared" ca="1" si="106"/>
        <v>-165.94432469999998</v>
      </c>
      <c r="AU45" s="312">
        <f t="shared" ca="1" si="106"/>
        <v>0</v>
      </c>
      <c r="AV45" s="312">
        <f t="shared" ca="1" si="106"/>
        <v>0</v>
      </c>
      <c r="AW45" s="312">
        <f t="shared" ca="1" si="106"/>
        <v>0</v>
      </c>
      <c r="AX45" s="312">
        <f t="shared" ca="1" si="106"/>
        <v>0</v>
      </c>
      <c r="AY45" s="266">
        <f t="shared" ca="1" si="74"/>
        <v>-165.94432469999998</v>
      </c>
      <c r="AZ45" s="84"/>
      <c r="BA45" s="308">
        <f t="shared" ca="1" si="109"/>
        <v>0</v>
      </c>
      <c r="BB45" s="308">
        <f t="shared" ca="1" si="109"/>
        <v>0</v>
      </c>
      <c r="BC45" s="309">
        <f t="shared" ca="1" si="10"/>
        <v>0</v>
      </c>
      <c r="BD45" s="84"/>
      <c r="BE45" s="135">
        <f t="shared" ca="1" si="103"/>
        <v>0</v>
      </c>
      <c r="BF45" s="135"/>
      <c r="BG45" s="1428"/>
      <c r="BH45" s="541">
        <f t="shared" ca="1" si="110"/>
        <v>0</v>
      </c>
      <c r="BI45" s="542">
        <f t="shared" ca="1" si="110"/>
        <v>0</v>
      </c>
      <c r="BJ45" s="542">
        <f t="shared" ca="1" si="110"/>
        <v>0</v>
      </c>
      <c r="BK45" s="542">
        <f t="shared" ca="1" si="110"/>
        <v>0</v>
      </c>
      <c r="BL45" s="542">
        <f t="shared" ca="1" si="110"/>
        <v>0</v>
      </c>
      <c r="BM45" s="542">
        <f t="shared" ca="1" si="110"/>
        <v>0</v>
      </c>
      <c r="BN45" s="542">
        <f t="shared" ca="1" si="110"/>
        <v>0</v>
      </c>
      <c r="BO45" s="542">
        <f t="shared" ca="1" si="110"/>
        <v>0</v>
      </c>
      <c r="BP45" s="542">
        <f t="shared" ca="1" si="110"/>
        <v>0</v>
      </c>
      <c r="BQ45" s="542">
        <f t="shared" ca="1" si="110"/>
        <v>0</v>
      </c>
      <c r="BR45" s="542">
        <f t="shared" ca="1" si="111"/>
        <v>0</v>
      </c>
      <c r="BS45" s="542">
        <f t="shared" ca="1" si="111"/>
        <v>0</v>
      </c>
      <c r="BT45" s="542">
        <f t="shared" ca="1" si="111"/>
        <v>0</v>
      </c>
      <c r="BU45" s="542">
        <f t="shared" ca="1" si="111"/>
        <v>0</v>
      </c>
      <c r="BV45" s="542">
        <f t="shared" ca="1" si="111"/>
        <v>0</v>
      </c>
      <c r="BW45" s="542">
        <f t="shared" ca="1" si="111"/>
        <v>0</v>
      </c>
      <c r="BX45" s="542">
        <f t="shared" ca="1" si="111"/>
        <v>0</v>
      </c>
      <c r="BY45" s="542">
        <f t="shared" ca="1" si="111"/>
        <v>0</v>
      </c>
      <c r="BZ45" s="542">
        <f t="shared" ca="1" si="111"/>
        <v>0</v>
      </c>
      <c r="CA45" s="542">
        <f t="shared" ca="1" si="111"/>
        <v>0</v>
      </c>
      <c r="CB45" s="542">
        <f t="shared" ca="1" si="112"/>
        <v>0</v>
      </c>
      <c r="CC45" s="542">
        <f t="shared" ca="1" si="112"/>
        <v>0</v>
      </c>
      <c r="CD45" s="542">
        <f t="shared" ca="1" si="112"/>
        <v>0</v>
      </c>
      <c r="CE45" s="542">
        <f t="shared" ca="1" si="112"/>
        <v>0</v>
      </c>
      <c r="CF45" s="542">
        <f t="shared" ca="1" si="112"/>
        <v>0</v>
      </c>
      <c r="CG45" s="542">
        <f t="shared" ca="1" si="112"/>
        <v>0</v>
      </c>
      <c r="CH45" s="542">
        <f t="shared" ca="1" si="112"/>
        <v>0</v>
      </c>
      <c r="CI45" s="542">
        <f t="shared" ca="1" si="112"/>
        <v>0</v>
      </c>
      <c r="CJ45" s="542">
        <f t="shared" ca="1" si="112"/>
        <v>0</v>
      </c>
      <c r="CK45" s="542">
        <f t="shared" ca="1" si="112"/>
        <v>0</v>
      </c>
      <c r="CL45" s="542">
        <f t="shared" ca="1" si="113"/>
        <v>0</v>
      </c>
      <c r="CM45" s="542">
        <f t="shared" ca="1" si="113"/>
        <v>0</v>
      </c>
      <c r="CN45" s="542">
        <f t="shared" ca="1" si="113"/>
        <v>0</v>
      </c>
      <c r="CO45" s="542">
        <f t="shared" ca="1" si="113"/>
        <v>0</v>
      </c>
      <c r="CP45" s="542">
        <f t="shared" ca="1" si="113"/>
        <v>0</v>
      </c>
      <c r="CQ45" s="542">
        <f t="shared" ca="1" si="113"/>
        <v>0</v>
      </c>
      <c r="CR45" s="542">
        <f t="shared" ca="1" si="113"/>
        <v>0</v>
      </c>
      <c r="CS45" s="542">
        <f t="shared" ca="1" si="113"/>
        <v>0</v>
      </c>
      <c r="CT45" s="542">
        <f t="shared" ca="1" si="113"/>
        <v>0</v>
      </c>
      <c r="CU45" s="542">
        <f t="shared" ca="1" si="113"/>
        <v>0</v>
      </c>
      <c r="CW45" s="151">
        <f t="shared" ref="CW45:CW57" ca="1" si="114">SUM(BH45:CU45)</f>
        <v>0</v>
      </c>
    </row>
    <row r="46" spans="1:101" s="84" customFormat="1" ht="12.75" customHeight="1" outlineLevel="1" x14ac:dyDescent="0.2">
      <c r="A46" s="543"/>
      <c r="B46" s="543"/>
      <c r="C46" s="86" t="s">
        <v>2376</v>
      </c>
      <c r="D46" s="292" t="str">
        <f>INDEX(Modules[Module], MATCH($C46, Modules[Code], 0))</f>
        <v>Concentrated Solar Power</v>
      </c>
      <c r="E46" s="292"/>
      <c r="G46" s="301">
        <f t="shared" ca="1" si="105"/>
        <v>0</v>
      </c>
      <c r="H46" s="301">
        <f t="shared" ca="1" si="105"/>
        <v>0</v>
      </c>
      <c r="I46" s="301">
        <f t="shared" ca="1" si="105"/>
        <v>0</v>
      </c>
      <c r="J46" s="301">
        <f t="shared" ca="1" si="105"/>
        <v>0</v>
      </c>
      <c r="K46" s="301">
        <f t="shared" ca="1" si="105"/>
        <v>0</v>
      </c>
      <c r="L46" s="301">
        <f t="shared" ca="1" si="105"/>
        <v>0</v>
      </c>
      <c r="M46" s="301">
        <f t="shared" ca="1" si="105"/>
        <v>0</v>
      </c>
      <c r="N46" s="301">
        <f t="shared" ca="1" si="105"/>
        <v>0</v>
      </c>
      <c r="O46" s="301">
        <f t="shared" ca="1" si="105"/>
        <v>0</v>
      </c>
      <c r="P46" s="301">
        <f t="shared" ca="1" si="70"/>
        <v>0</v>
      </c>
      <c r="R46" s="307">
        <f t="shared" ca="1" si="106"/>
        <v>0</v>
      </c>
      <c r="S46" s="307">
        <f t="shared" ca="1" si="106"/>
        <v>105.20514899999998</v>
      </c>
      <c r="T46" s="307">
        <f t="shared" ca="1" si="106"/>
        <v>0</v>
      </c>
      <c r="U46" s="307">
        <f t="shared" ca="1" si="106"/>
        <v>0</v>
      </c>
      <c r="V46" s="307">
        <f t="shared" ca="1" si="106"/>
        <v>0</v>
      </c>
      <c r="W46" s="307">
        <f t="shared" ca="1" si="106"/>
        <v>0</v>
      </c>
      <c r="X46" s="307">
        <f t="shared" ca="1" si="107"/>
        <v>0</v>
      </c>
      <c r="Y46" s="307">
        <f t="shared" ca="1" si="107"/>
        <v>0</v>
      </c>
      <c r="Z46" s="307">
        <f t="shared" ca="1" si="107"/>
        <v>0</v>
      </c>
      <c r="AA46" s="307">
        <f t="shared" ca="1" si="106"/>
        <v>0</v>
      </c>
      <c r="AB46" s="307">
        <f t="shared" ca="1" si="106"/>
        <v>0</v>
      </c>
      <c r="AC46" s="307">
        <f t="shared" ca="1" si="106"/>
        <v>0</v>
      </c>
      <c r="AD46" s="307">
        <f t="shared" ca="1" si="106"/>
        <v>0</v>
      </c>
      <c r="AE46" s="307">
        <f t="shared" ca="1" si="106"/>
        <v>0</v>
      </c>
      <c r="AF46" s="307">
        <f t="shared" ca="1" si="106"/>
        <v>0</v>
      </c>
      <c r="AG46" s="307">
        <f t="shared" ca="1" si="106"/>
        <v>0</v>
      </c>
      <c r="AH46" s="306">
        <f t="shared" ca="1" si="5"/>
        <v>105.20514899999998</v>
      </c>
      <c r="AJ46" s="315">
        <f t="shared" ca="1" si="108"/>
        <v>0</v>
      </c>
      <c r="AK46" s="315">
        <f t="shared" ca="1" si="108"/>
        <v>0</v>
      </c>
      <c r="AL46" s="315">
        <f t="shared" ca="1" si="108"/>
        <v>0</v>
      </c>
      <c r="AM46" s="315">
        <f t="shared" ca="1" si="108"/>
        <v>0</v>
      </c>
      <c r="AN46" s="315">
        <f t="shared" ca="1" si="108"/>
        <v>0</v>
      </c>
      <c r="AO46" s="315">
        <f t="shared" ca="1" si="108"/>
        <v>0</v>
      </c>
      <c r="AP46" s="315">
        <f t="shared" ca="1" si="108"/>
        <v>0</v>
      </c>
      <c r="AQ46" s="315">
        <f t="shared" ca="1" si="108"/>
        <v>0</v>
      </c>
      <c r="AR46" s="315">
        <f t="shared" ca="1" si="108"/>
        <v>0</v>
      </c>
      <c r="AS46" s="315">
        <f t="shared" ca="1" si="106"/>
        <v>0</v>
      </c>
      <c r="AT46" s="315">
        <f t="shared" ca="1" si="106"/>
        <v>-105.20514899999998</v>
      </c>
      <c r="AU46" s="315">
        <f t="shared" ca="1" si="106"/>
        <v>0</v>
      </c>
      <c r="AV46" s="315">
        <f t="shared" ca="1" si="106"/>
        <v>0</v>
      </c>
      <c r="AW46" s="315">
        <f t="shared" ca="1" si="106"/>
        <v>0</v>
      </c>
      <c r="AX46" s="315">
        <f t="shared" ca="1" si="106"/>
        <v>0</v>
      </c>
      <c r="AY46" s="293">
        <f t="shared" ca="1" si="74"/>
        <v>-105.20514899999998</v>
      </c>
      <c r="BA46" s="311">
        <f t="shared" ca="1" si="109"/>
        <v>0</v>
      </c>
      <c r="BB46" s="311">
        <f t="shared" ca="1" si="109"/>
        <v>0</v>
      </c>
      <c r="BC46" s="310">
        <f t="shared" ca="1" si="10"/>
        <v>0</v>
      </c>
      <c r="BE46" s="135">
        <f t="shared" ca="1" si="103"/>
        <v>0</v>
      </c>
      <c r="BF46" s="135"/>
      <c r="BG46" s="1428"/>
      <c r="BH46" s="544">
        <f t="shared" ca="1" si="110"/>
        <v>0</v>
      </c>
      <c r="BI46" s="545">
        <f t="shared" ca="1" si="110"/>
        <v>0</v>
      </c>
      <c r="BJ46" s="545">
        <f t="shared" ca="1" si="110"/>
        <v>0</v>
      </c>
      <c r="BK46" s="545">
        <f t="shared" ca="1" si="110"/>
        <v>0</v>
      </c>
      <c r="BL46" s="545">
        <f t="shared" ca="1" si="110"/>
        <v>0</v>
      </c>
      <c r="BM46" s="545">
        <f t="shared" ca="1" si="110"/>
        <v>0</v>
      </c>
      <c r="BN46" s="545">
        <f t="shared" ca="1" si="110"/>
        <v>0</v>
      </c>
      <c r="BO46" s="545">
        <f t="shared" ca="1" si="110"/>
        <v>0</v>
      </c>
      <c r="BP46" s="545">
        <f t="shared" ca="1" si="110"/>
        <v>0</v>
      </c>
      <c r="BQ46" s="545">
        <f t="shared" ca="1" si="110"/>
        <v>0</v>
      </c>
      <c r="BR46" s="545">
        <f t="shared" ca="1" si="111"/>
        <v>0</v>
      </c>
      <c r="BS46" s="545">
        <f t="shared" ca="1" si="111"/>
        <v>0</v>
      </c>
      <c r="BT46" s="545">
        <f t="shared" ca="1" si="111"/>
        <v>0</v>
      </c>
      <c r="BU46" s="545">
        <f t="shared" ca="1" si="111"/>
        <v>0</v>
      </c>
      <c r="BV46" s="545">
        <f t="shared" ca="1" si="111"/>
        <v>0</v>
      </c>
      <c r="BW46" s="545">
        <f t="shared" ca="1" si="111"/>
        <v>0</v>
      </c>
      <c r="BX46" s="545">
        <f t="shared" ca="1" si="111"/>
        <v>0</v>
      </c>
      <c r="BY46" s="545">
        <f t="shared" ca="1" si="111"/>
        <v>0</v>
      </c>
      <c r="BZ46" s="545">
        <f t="shared" ca="1" si="111"/>
        <v>0</v>
      </c>
      <c r="CA46" s="545">
        <f t="shared" ca="1" si="111"/>
        <v>0</v>
      </c>
      <c r="CB46" s="545">
        <f t="shared" ca="1" si="112"/>
        <v>0</v>
      </c>
      <c r="CC46" s="545">
        <f t="shared" ca="1" si="112"/>
        <v>0</v>
      </c>
      <c r="CD46" s="545">
        <f t="shared" ca="1" si="112"/>
        <v>0</v>
      </c>
      <c r="CE46" s="545">
        <f t="shared" ca="1" si="112"/>
        <v>0</v>
      </c>
      <c r="CF46" s="545">
        <f t="shared" ca="1" si="112"/>
        <v>0</v>
      </c>
      <c r="CG46" s="545">
        <f t="shared" ca="1" si="112"/>
        <v>0</v>
      </c>
      <c r="CH46" s="545">
        <f t="shared" ca="1" si="112"/>
        <v>0</v>
      </c>
      <c r="CI46" s="545">
        <f t="shared" ca="1" si="112"/>
        <v>0</v>
      </c>
      <c r="CJ46" s="545">
        <f t="shared" ca="1" si="112"/>
        <v>0</v>
      </c>
      <c r="CK46" s="545">
        <f t="shared" ca="1" si="112"/>
        <v>0</v>
      </c>
      <c r="CL46" s="545">
        <f t="shared" ca="1" si="113"/>
        <v>0</v>
      </c>
      <c r="CM46" s="545">
        <f t="shared" ca="1" si="113"/>
        <v>0</v>
      </c>
      <c r="CN46" s="545">
        <f t="shared" ca="1" si="113"/>
        <v>0</v>
      </c>
      <c r="CO46" s="545">
        <f t="shared" ca="1" si="113"/>
        <v>0</v>
      </c>
      <c r="CP46" s="545">
        <f t="shared" ca="1" si="113"/>
        <v>0</v>
      </c>
      <c r="CQ46" s="545">
        <f t="shared" ca="1" si="113"/>
        <v>0</v>
      </c>
      <c r="CR46" s="545">
        <f t="shared" ca="1" si="113"/>
        <v>0</v>
      </c>
      <c r="CS46" s="545">
        <f t="shared" ca="1" si="113"/>
        <v>0</v>
      </c>
      <c r="CT46" s="545">
        <f t="shared" ca="1" si="113"/>
        <v>0</v>
      </c>
      <c r="CU46" s="545">
        <f t="shared" ca="1" si="113"/>
        <v>0</v>
      </c>
      <c r="CW46" s="151">
        <f t="shared" ca="1" si="114"/>
        <v>0</v>
      </c>
    </row>
    <row r="47" spans="1:101" s="84" customFormat="1" ht="15.75" x14ac:dyDescent="0.2">
      <c r="A47" s="18"/>
      <c r="B47" s="89"/>
      <c r="C47" s="85" t="s">
        <v>62</v>
      </c>
      <c r="D47" s="57" t="str">
        <f>INDEX(Workstreams[Workstream], MATCH($C47, Workstreams[Code], 0))</f>
        <v>National renewable power generation</v>
      </c>
      <c r="E47" s="53"/>
      <c r="G47" s="245">
        <f t="shared" ref="G47:O47" ca="1" si="115">SUM(G42:G46)</f>
        <v>0</v>
      </c>
      <c r="H47" s="245">
        <f t="shared" ca="1" si="115"/>
        <v>0</v>
      </c>
      <c r="I47" s="245">
        <f ca="1">SUM(I42:I46)</f>
        <v>0</v>
      </c>
      <c r="J47" s="245">
        <f t="shared" ca="1" si="115"/>
        <v>0</v>
      </c>
      <c r="K47" s="245">
        <f t="shared" ca="1" si="115"/>
        <v>0</v>
      </c>
      <c r="L47" s="245">
        <f t="shared" ca="1" si="115"/>
        <v>0</v>
      </c>
      <c r="M47" s="245">
        <f t="shared" ca="1" si="115"/>
        <v>0</v>
      </c>
      <c r="N47" s="245">
        <f t="shared" ca="1" si="115"/>
        <v>0</v>
      </c>
      <c r="O47" s="245">
        <f t="shared" ca="1" si="115"/>
        <v>0</v>
      </c>
      <c r="P47" s="245">
        <f t="shared" ca="1" si="70"/>
        <v>0</v>
      </c>
      <c r="R47" s="257">
        <f t="shared" ref="R47:AF47" ca="1" si="116">SUM(R42:R46)</f>
        <v>0</v>
      </c>
      <c r="S47" s="257">
        <f t="shared" ca="1" si="116"/>
        <v>354.86990807142854</v>
      </c>
      <c r="T47" s="257">
        <f t="shared" ca="1" si="116"/>
        <v>0</v>
      </c>
      <c r="U47" s="257">
        <f t="shared" ca="1" si="116"/>
        <v>0</v>
      </c>
      <c r="V47" s="257">
        <f t="shared" ca="1" si="116"/>
        <v>0</v>
      </c>
      <c r="W47" s="257">
        <f ca="1">SUM(W42:W46)</f>
        <v>0</v>
      </c>
      <c r="X47" s="257">
        <f t="shared" ca="1" si="116"/>
        <v>0</v>
      </c>
      <c r="Y47" s="257">
        <f t="shared" ca="1" si="116"/>
        <v>0</v>
      </c>
      <c r="Z47" s="257">
        <f t="shared" ca="1" si="116"/>
        <v>0</v>
      </c>
      <c r="AA47" s="257">
        <f t="shared" ca="1" si="116"/>
        <v>0</v>
      </c>
      <c r="AB47" s="257">
        <f t="shared" ca="1" si="116"/>
        <v>0</v>
      </c>
      <c r="AC47" s="257">
        <f t="shared" ca="1" si="116"/>
        <v>0</v>
      </c>
      <c r="AD47" s="257">
        <f ca="1">SUM(AD42:AD46)</f>
        <v>0</v>
      </c>
      <c r="AE47" s="257">
        <f t="shared" ca="1" si="116"/>
        <v>0</v>
      </c>
      <c r="AF47" s="257">
        <f t="shared" ca="1" si="116"/>
        <v>0</v>
      </c>
      <c r="AG47" s="257">
        <f ca="1">SUM(AG42:AG46)</f>
        <v>0</v>
      </c>
      <c r="AH47" s="257">
        <f t="shared" ca="1" si="5"/>
        <v>354.86990807142854</v>
      </c>
      <c r="AJ47" s="263">
        <f t="shared" ref="AJ47:AX47" ca="1" si="117">SUM(AJ42:AJ46)</f>
        <v>0</v>
      </c>
      <c r="AK47" s="263">
        <f t="shared" ca="1" si="117"/>
        <v>0</v>
      </c>
      <c r="AL47" s="263">
        <f t="shared" ca="1" si="117"/>
        <v>0</v>
      </c>
      <c r="AM47" s="263">
        <f t="shared" ca="1" si="117"/>
        <v>0</v>
      </c>
      <c r="AN47" s="263">
        <f t="shared" ca="1" si="117"/>
        <v>0</v>
      </c>
      <c r="AO47" s="263">
        <f t="shared" ca="1" si="117"/>
        <v>0</v>
      </c>
      <c r="AP47" s="263">
        <f t="shared" ca="1" si="117"/>
        <v>0</v>
      </c>
      <c r="AQ47" s="263">
        <f t="shared" ca="1" si="117"/>
        <v>0</v>
      </c>
      <c r="AR47" s="263">
        <f t="shared" ca="1" si="117"/>
        <v>0</v>
      </c>
      <c r="AS47" s="263">
        <f t="shared" ca="1" si="117"/>
        <v>0</v>
      </c>
      <c r="AT47" s="263">
        <f t="shared" ca="1" si="117"/>
        <v>-271.14947369999993</v>
      </c>
      <c r="AU47" s="263">
        <f t="shared" ca="1" si="117"/>
        <v>-18.4086</v>
      </c>
      <c r="AV47" s="263">
        <f t="shared" ca="1" si="117"/>
        <v>-65.311834371428574</v>
      </c>
      <c r="AW47" s="263">
        <f t="shared" ca="1" si="117"/>
        <v>0</v>
      </c>
      <c r="AX47" s="263">
        <f t="shared" ca="1" si="117"/>
        <v>0</v>
      </c>
      <c r="AY47" s="263">
        <f t="shared" ca="1" si="74"/>
        <v>-354.86990807142848</v>
      </c>
      <c r="BA47" s="277">
        <f ca="1">SUM(BA42:BA46)</f>
        <v>0</v>
      </c>
      <c r="BB47" s="277">
        <f ca="1">SUM(BB42:BB46)</f>
        <v>0</v>
      </c>
      <c r="BC47" s="277">
        <f t="shared" ca="1" si="10"/>
        <v>0</v>
      </c>
      <c r="BE47" s="55">
        <f t="shared" ca="1" si="103"/>
        <v>5.6843418860808015E-14</v>
      </c>
      <c r="BF47" s="55"/>
      <c r="BG47" s="1428"/>
      <c r="BH47" s="542">
        <f t="shared" ref="BH47:CU47" ca="1" si="118">SUM(BH42:BH46)</f>
        <v>0</v>
      </c>
      <c r="BI47" s="542">
        <f t="shared" ca="1" si="118"/>
        <v>0</v>
      </c>
      <c r="BJ47" s="542">
        <f t="shared" ca="1" si="118"/>
        <v>0</v>
      </c>
      <c r="BK47" s="542">
        <f t="shared" ca="1" si="118"/>
        <v>0</v>
      </c>
      <c r="BL47" s="542">
        <f t="shared" ca="1" si="118"/>
        <v>0</v>
      </c>
      <c r="BM47" s="542">
        <f t="shared" ca="1" si="118"/>
        <v>0</v>
      </c>
      <c r="BN47" s="542">
        <f t="shared" ca="1" si="118"/>
        <v>0</v>
      </c>
      <c r="BO47" s="542">
        <f t="shared" ca="1" si="118"/>
        <v>0</v>
      </c>
      <c r="BP47" s="542">
        <f t="shared" ca="1" si="118"/>
        <v>0</v>
      </c>
      <c r="BQ47" s="542">
        <f t="shared" ca="1" si="118"/>
        <v>0</v>
      </c>
      <c r="BR47" s="542">
        <f t="shared" ca="1" si="118"/>
        <v>0</v>
      </c>
      <c r="BS47" s="542">
        <f t="shared" ca="1" si="118"/>
        <v>0</v>
      </c>
      <c r="BT47" s="542">
        <f t="shared" ca="1" si="118"/>
        <v>0</v>
      </c>
      <c r="BU47" s="542">
        <f t="shared" ca="1" si="118"/>
        <v>0</v>
      </c>
      <c r="BV47" s="542">
        <f t="shared" ca="1" si="118"/>
        <v>0</v>
      </c>
      <c r="BW47" s="542">
        <f t="shared" ca="1" si="118"/>
        <v>0</v>
      </c>
      <c r="BX47" s="542">
        <f t="shared" ca="1" si="118"/>
        <v>0</v>
      </c>
      <c r="BY47" s="542">
        <f t="shared" ca="1" si="118"/>
        <v>0</v>
      </c>
      <c r="BZ47" s="542">
        <f t="shared" ca="1" si="118"/>
        <v>0</v>
      </c>
      <c r="CA47" s="542">
        <f t="shared" ca="1" si="118"/>
        <v>0</v>
      </c>
      <c r="CB47" s="542">
        <f t="shared" ca="1" si="118"/>
        <v>0</v>
      </c>
      <c r="CC47" s="542">
        <f t="shared" ca="1" si="118"/>
        <v>0</v>
      </c>
      <c r="CD47" s="542">
        <f t="shared" ca="1" si="118"/>
        <v>0</v>
      </c>
      <c r="CE47" s="542">
        <f t="shared" ca="1" si="118"/>
        <v>0</v>
      </c>
      <c r="CF47" s="542">
        <f t="shared" ca="1" si="118"/>
        <v>0</v>
      </c>
      <c r="CG47" s="542">
        <f t="shared" ca="1" si="118"/>
        <v>0</v>
      </c>
      <c r="CH47" s="542">
        <f t="shared" ca="1" si="118"/>
        <v>0</v>
      </c>
      <c r="CI47" s="542">
        <f t="shared" ca="1" si="118"/>
        <v>0</v>
      </c>
      <c r="CJ47" s="542">
        <f t="shared" ca="1" si="118"/>
        <v>0</v>
      </c>
      <c r="CK47" s="542">
        <f t="shared" ca="1" si="118"/>
        <v>0</v>
      </c>
      <c r="CL47" s="542">
        <f t="shared" ca="1" si="118"/>
        <v>0</v>
      </c>
      <c r="CM47" s="542">
        <f t="shared" ca="1" si="118"/>
        <v>0</v>
      </c>
      <c r="CN47" s="542">
        <f t="shared" ca="1" si="118"/>
        <v>0</v>
      </c>
      <c r="CO47" s="542">
        <f t="shared" ca="1" si="118"/>
        <v>0</v>
      </c>
      <c r="CP47" s="542">
        <f t="shared" ca="1" si="118"/>
        <v>0</v>
      </c>
      <c r="CQ47" s="542">
        <f t="shared" ca="1" si="118"/>
        <v>0</v>
      </c>
      <c r="CR47" s="542">
        <f t="shared" ca="1" si="118"/>
        <v>0</v>
      </c>
      <c r="CS47" s="542">
        <f t="shared" ca="1" si="118"/>
        <v>0</v>
      </c>
      <c r="CT47" s="542">
        <f t="shared" ca="1" si="118"/>
        <v>0</v>
      </c>
      <c r="CU47" s="542">
        <f t="shared" ca="1" si="118"/>
        <v>0</v>
      </c>
      <c r="CW47" s="151">
        <f t="shared" ca="1" si="114"/>
        <v>0</v>
      </c>
    </row>
    <row r="48" spans="1:101" s="84" customFormat="1" ht="12.75" customHeight="1" outlineLevel="1" x14ac:dyDescent="0.2">
      <c r="A48" s="18"/>
      <c r="B48" s="18"/>
      <c r="C48" s="87"/>
      <c r="D48" s="53"/>
      <c r="E48" s="53"/>
      <c r="G48" s="245"/>
      <c r="H48" s="245"/>
      <c r="I48" s="245"/>
      <c r="J48" s="245"/>
      <c r="K48" s="245"/>
      <c r="L48" s="247"/>
      <c r="M48" s="245"/>
      <c r="N48" s="245"/>
      <c r="O48" s="245"/>
      <c r="P48" s="245">
        <f t="shared" si="70"/>
        <v>0</v>
      </c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>
        <f t="shared" si="5"/>
        <v>0</v>
      </c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>
        <f t="shared" si="74"/>
        <v>0</v>
      </c>
      <c r="BA48" s="277"/>
      <c r="BB48" s="277"/>
      <c r="BC48" s="277">
        <f t="shared" si="10"/>
        <v>0</v>
      </c>
      <c r="BE48" s="55"/>
      <c r="BF48" s="55"/>
      <c r="BG48" s="18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W48" s="151">
        <f t="shared" si="114"/>
        <v>0</v>
      </c>
    </row>
    <row r="49" spans="1:101" s="543" customFormat="1" ht="12.75" customHeight="1" outlineLevel="1" x14ac:dyDescent="0.2">
      <c r="C49" s="86" t="s">
        <v>409</v>
      </c>
      <c r="D49" s="61" t="str">
        <f>INDEX(Modules[Module], MATCH($C49, Modules[Code], 0))</f>
        <v>Stand-Alone Solar PV</v>
      </c>
      <c r="E49" s="61"/>
      <c r="G49" s="595">
        <f t="shared" ref="G49:O49" ca="1" si="119">IFERROR(INDEX(INDIRECT($C49&amp;".Outputs["&amp;this.Year&amp;"]"), MATCH(G$5, INDIRECT($C49&amp;".Outputs[Vector]"), 0)), 0)</f>
        <v>0</v>
      </c>
      <c r="H49" s="595">
        <f t="shared" ca="1" si="119"/>
        <v>0</v>
      </c>
      <c r="I49" s="595">
        <f t="shared" ca="1" si="119"/>
        <v>0</v>
      </c>
      <c r="J49" s="595">
        <f t="shared" ca="1" si="119"/>
        <v>0</v>
      </c>
      <c r="K49" s="595">
        <f t="shared" ca="1" si="119"/>
        <v>0</v>
      </c>
      <c r="L49" s="596">
        <f t="shared" ca="1" si="119"/>
        <v>0</v>
      </c>
      <c r="M49" s="595">
        <f t="shared" ca="1" si="119"/>
        <v>0</v>
      </c>
      <c r="N49" s="595">
        <f t="shared" ca="1" si="119"/>
        <v>0</v>
      </c>
      <c r="O49" s="595">
        <f t="shared" ca="1" si="119"/>
        <v>0</v>
      </c>
      <c r="P49" s="595">
        <f t="shared" ca="1" si="70"/>
        <v>0</v>
      </c>
      <c r="R49" s="597">
        <f t="shared" ref="R49:AX49" ca="1" si="120">IFERROR(INDEX(INDIRECT($C49&amp;".Outputs["&amp;this.Year&amp;"]"), MATCH(R$5, INDIRECT($C49&amp;".Outputs[Vector]"), 0)), 0)</f>
        <v>0</v>
      </c>
      <c r="S49" s="597">
        <f t="shared" ca="1" si="120"/>
        <v>83.105624700000007</v>
      </c>
      <c r="T49" s="597">
        <f t="shared" ca="1" si="120"/>
        <v>0</v>
      </c>
      <c r="U49" s="597">
        <f t="shared" ca="1" si="120"/>
        <v>0</v>
      </c>
      <c r="V49" s="597">
        <f t="shared" ca="1" si="120"/>
        <v>0</v>
      </c>
      <c r="W49" s="597">
        <f t="shared" ca="1" si="120"/>
        <v>0</v>
      </c>
      <c r="X49" s="597">
        <f ca="1">IFERROR(INDEX(INDIRECT($C49&amp;".Outputs["&amp;this.Year&amp;"]"), MATCH(X$5, INDIRECT($C49&amp;".Outputs[Vector]"), 0)), 0)</f>
        <v>0</v>
      </c>
      <c r="Y49" s="597">
        <f ca="1">IFERROR(INDEX(INDIRECT($C49&amp;".Outputs["&amp;this.Year&amp;"]"), MATCH(Y$5, INDIRECT($C49&amp;".Outputs[Vector]"), 0)), 0)</f>
        <v>0</v>
      </c>
      <c r="Z49" s="597">
        <f ca="1">IFERROR(INDEX(INDIRECT($C49&amp;".Outputs["&amp;this.Year&amp;"]"), MATCH(Z$5, INDIRECT($C49&amp;".Outputs[Vector]"), 0)), 0)</f>
        <v>0</v>
      </c>
      <c r="AA49" s="597">
        <f t="shared" ca="1" si="120"/>
        <v>0</v>
      </c>
      <c r="AB49" s="597">
        <f t="shared" ca="1" si="120"/>
        <v>0</v>
      </c>
      <c r="AC49" s="597">
        <f t="shared" ca="1" si="120"/>
        <v>0</v>
      </c>
      <c r="AD49" s="597">
        <f t="shared" ca="1" si="120"/>
        <v>0</v>
      </c>
      <c r="AE49" s="597">
        <f t="shared" ca="1" si="120"/>
        <v>0</v>
      </c>
      <c r="AF49" s="597">
        <f t="shared" ca="1" si="120"/>
        <v>0</v>
      </c>
      <c r="AG49" s="597">
        <f t="shared" ca="1" si="120"/>
        <v>0</v>
      </c>
      <c r="AH49" s="259">
        <f t="shared" ca="1" si="5"/>
        <v>83.105624700000007</v>
      </c>
      <c r="AJ49" s="598">
        <f t="shared" ref="AJ49:AR49" ca="1" si="121">IFERROR(INDEX(INDIRECT($C49&amp;".Outputs["&amp;this.Year&amp;"]"), MATCH(AJ$5, INDIRECT($C49&amp;".Outputs[Vector]"), 0)), 0)</f>
        <v>0</v>
      </c>
      <c r="AK49" s="598">
        <f t="shared" ca="1" si="121"/>
        <v>0</v>
      </c>
      <c r="AL49" s="598">
        <f t="shared" ca="1" si="121"/>
        <v>0</v>
      </c>
      <c r="AM49" s="598">
        <f t="shared" ca="1" si="121"/>
        <v>0</v>
      </c>
      <c r="AN49" s="598">
        <f t="shared" ca="1" si="121"/>
        <v>0</v>
      </c>
      <c r="AO49" s="598">
        <f t="shared" ca="1" si="121"/>
        <v>0</v>
      </c>
      <c r="AP49" s="598">
        <f t="shared" ca="1" si="121"/>
        <v>0</v>
      </c>
      <c r="AQ49" s="598">
        <f t="shared" ca="1" si="121"/>
        <v>0</v>
      </c>
      <c r="AR49" s="598">
        <f t="shared" ca="1" si="121"/>
        <v>0</v>
      </c>
      <c r="AS49" s="598">
        <f t="shared" ca="1" si="120"/>
        <v>0</v>
      </c>
      <c r="AT49" s="598">
        <f t="shared" ca="1" si="120"/>
        <v>-83.105624700000007</v>
      </c>
      <c r="AU49" s="598">
        <f t="shared" ca="1" si="120"/>
        <v>0</v>
      </c>
      <c r="AV49" s="598">
        <f t="shared" ca="1" si="120"/>
        <v>0</v>
      </c>
      <c r="AW49" s="598">
        <f t="shared" ca="1" si="120"/>
        <v>0</v>
      </c>
      <c r="AX49" s="598">
        <f t="shared" ca="1" si="120"/>
        <v>0</v>
      </c>
      <c r="AY49" s="266">
        <f t="shared" ca="1" si="74"/>
        <v>-83.105624700000007</v>
      </c>
      <c r="BA49" s="599">
        <f ca="1">IFERROR(INDEX(INDIRECT($C49&amp;".Outputs["&amp;this.Year&amp;"]"), MATCH(BA$5, INDIRECT($C49&amp;".Outputs[Vector]"), 0)), 0)</f>
        <v>0</v>
      </c>
      <c r="BB49" s="599">
        <f ca="1">IFERROR(INDEX(INDIRECT($C49&amp;".Outputs["&amp;this.Year&amp;"]"), MATCH(BB$5, INDIRECT($C49&amp;".Outputs[Vector]"), 0)), 0)</f>
        <v>0</v>
      </c>
      <c r="BC49" s="279">
        <f t="shared" ca="1" si="10"/>
        <v>0</v>
      </c>
      <c r="BE49" s="135">
        <f ca="1">P49+AH49+AY49+BC49</f>
        <v>0</v>
      </c>
      <c r="BF49" s="135"/>
      <c r="BH49" s="593">
        <f t="shared" ref="BH49:CU49" ca="1" si="122">IFERROR(SUMIFS(INDIRECT($C49&amp;".Emissions["&amp;this.Year&amp;"]"), INDIRECT($C49&amp;".Emissions[GHG]"), BH$6, INDIRECT($C49&amp;".Emissions[IPCC Sector]"), BH$5),0)</f>
        <v>0</v>
      </c>
      <c r="BI49" s="593">
        <f t="shared" ca="1" si="122"/>
        <v>0</v>
      </c>
      <c r="BJ49" s="593">
        <f t="shared" ca="1" si="122"/>
        <v>0</v>
      </c>
      <c r="BK49" s="593">
        <f t="shared" ca="1" si="122"/>
        <v>0</v>
      </c>
      <c r="BL49" s="593">
        <f t="shared" ca="1" si="122"/>
        <v>0</v>
      </c>
      <c r="BM49" s="593">
        <f t="shared" ca="1" si="122"/>
        <v>0</v>
      </c>
      <c r="BN49" s="593">
        <f t="shared" ca="1" si="122"/>
        <v>0</v>
      </c>
      <c r="BO49" s="593">
        <f t="shared" ca="1" si="122"/>
        <v>0</v>
      </c>
      <c r="BP49" s="593">
        <f t="shared" ca="1" si="122"/>
        <v>0</v>
      </c>
      <c r="BQ49" s="593">
        <f t="shared" ca="1" si="122"/>
        <v>0</v>
      </c>
      <c r="BR49" s="593">
        <f t="shared" ca="1" si="122"/>
        <v>0</v>
      </c>
      <c r="BS49" s="593">
        <f t="shared" ca="1" si="122"/>
        <v>0</v>
      </c>
      <c r="BT49" s="593">
        <f t="shared" ca="1" si="122"/>
        <v>0</v>
      </c>
      <c r="BU49" s="593">
        <f t="shared" ca="1" si="122"/>
        <v>0</v>
      </c>
      <c r="BV49" s="593">
        <f t="shared" ca="1" si="122"/>
        <v>0</v>
      </c>
      <c r="BW49" s="593">
        <f t="shared" ca="1" si="122"/>
        <v>0</v>
      </c>
      <c r="BX49" s="593">
        <f t="shared" ca="1" si="122"/>
        <v>0</v>
      </c>
      <c r="BY49" s="593">
        <f t="shared" ca="1" si="122"/>
        <v>0</v>
      </c>
      <c r="BZ49" s="593">
        <f t="shared" ca="1" si="122"/>
        <v>0</v>
      </c>
      <c r="CA49" s="593">
        <f t="shared" ca="1" si="122"/>
        <v>0</v>
      </c>
      <c r="CB49" s="593">
        <f t="shared" ca="1" si="122"/>
        <v>0</v>
      </c>
      <c r="CC49" s="593">
        <f t="shared" ca="1" si="122"/>
        <v>0</v>
      </c>
      <c r="CD49" s="593">
        <f t="shared" ca="1" si="122"/>
        <v>0</v>
      </c>
      <c r="CE49" s="593">
        <f t="shared" ca="1" si="122"/>
        <v>0</v>
      </c>
      <c r="CF49" s="593">
        <f t="shared" ca="1" si="122"/>
        <v>0</v>
      </c>
      <c r="CG49" s="593">
        <f t="shared" ca="1" si="122"/>
        <v>0</v>
      </c>
      <c r="CH49" s="593">
        <f t="shared" ca="1" si="122"/>
        <v>0</v>
      </c>
      <c r="CI49" s="593">
        <f t="shared" ca="1" si="122"/>
        <v>0</v>
      </c>
      <c r="CJ49" s="593">
        <f t="shared" ca="1" si="122"/>
        <v>0</v>
      </c>
      <c r="CK49" s="593">
        <f t="shared" ca="1" si="122"/>
        <v>0</v>
      </c>
      <c r="CL49" s="593">
        <f t="shared" ca="1" si="122"/>
        <v>0</v>
      </c>
      <c r="CM49" s="593">
        <f t="shared" ca="1" si="122"/>
        <v>0</v>
      </c>
      <c r="CN49" s="593">
        <f t="shared" ca="1" si="122"/>
        <v>0</v>
      </c>
      <c r="CO49" s="593">
        <f t="shared" ca="1" si="122"/>
        <v>0</v>
      </c>
      <c r="CP49" s="593">
        <f t="shared" ca="1" si="122"/>
        <v>0</v>
      </c>
      <c r="CQ49" s="593">
        <f t="shared" ca="1" si="122"/>
        <v>0</v>
      </c>
      <c r="CR49" s="593">
        <f t="shared" ca="1" si="122"/>
        <v>0</v>
      </c>
      <c r="CS49" s="593">
        <f t="shared" ca="1" si="122"/>
        <v>0</v>
      </c>
      <c r="CT49" s="593">
        <f t="shared" ca="1" si="122"/>
        <v>0</v>
      </c>
      <c r="CU49" s="593">
        <f t="shared" ca="1" si="122"/>
        <v>0</v>
      </c>
      <c r="CW49" s="594">
        <f t="shared" ca="1" si="114"/>
        <v>0</v>
      </c>
    </row>
    <row r="50" spans="1:101" s="84" customFormat="1" ht="15.75" x14ac:dyDescent="0.2">
      <c r="A50" s="18"/>
      <c r="B50" s="89"/>
      <c r="C50" s="85" t="s">
        <v>63</v>
      </c>
      <c r="D50" s="57" t="str">
        <f>INDEX(Workstreams[Workstream], MATCH($C50, Workstreams[Code], 0))</f>
        <v>Distributed renewable power generation</v>
      </c>
      <c r="E50" s="53"/>
      <c r="G50" s="300">
        <f t="shared" ref="G50:O50" ca="1" si="123">SUM(G49:G49)</f>
        <v>0</v>
      </c>
      <c r="H50" s="300">
        <f t="shared" ca="1" si="123"/>
        <v>0</v>
      </c>
      <c r="I50" s="300">
        <f t="shared" ca="1" si="123"/>
        <v>0</v>
      </c>
      <c r="J50" s="300">
        <f t="shared" ca="1" si="123"/>
        <v>0</v>
      </c>
      <c r="K50" s="300">
        <f t="shared" ca="1" si="123"/>
        <v>0</v>
      </c>
      <c r="L50" s="300">
        <f t="shared" ca="1" si="123"/>
        <v>0</v>
      </c>
      <c r="M50" s="300">
        <f t="shared" ca="1" si="123"/>
        <v>0</v>
      </c>
      <c r="N50" s="300">
        <f t="shared" ca="1" si="123"/>
        <v>0</v>
      </c>
      <c r="O50" s="300">
        <f t="shared" ca="1" si="123"/>
        <v>0</v>
      </c>
      <c r="P50" s="300">
        <f t="shared" ca="1" si="70"/>
        <v>0</v>
      </c>
      <c r="R50" s="257">
        <f t="shared" ref="R50:AG50" ca="1" si="124">SUM(R49:R49)</f>
        <v>0</v>
      </c>
      <c r="S50" s="257">
        <f t="shared" ca="1" si="124"/>
        <v>83.105624700000007</v>
      </c>
      <c r="T50" s="257">
        <f t="shared" ca="1" si="124"/>
        <v>0</v>
      </c>
      <c r="U50" s="257">
        <f t="shared" ca="1" si="124"/>
        <v>0</v>
      </c>
      <c r="V50" s="257">
        <f t="shared" ca="1" si="124"/>
        <v>0</v>
      </c>
      <c r="W50" s="257">
        <f t="shared" ca="1" si="124"/>
        <v>0</v>
      </c>
      <c r="X50" s="257">
        <f t="shared" ca="1" si="124"/>
        <v>0</v>
      </c>
      <c r="Y50" s="257">
        <f t="shared" ca="1" si="124"/>
        <v>0</v>
      </c>
      <c r="Z50" s="257">
        <f t="shared" ca="1" si="124"/>
        <v>0</v>
      </c>
      <c r="AA50" s="257">
        <f t="shared" ca="1" si="124"/>
        <v>0</v>
      </c>
      <c r="AB50" s="257">
        <f t="shared" ca="1" si="124"/>
        <v>0</v>
      </c>
      <c r="AC50" s="257">
        <f t="shared" ca="1" si="124"/>
        <v>0</v>
      </c>
      <c r="AD50" s="257">
        <f t="shared" ca="1" si="124"/>
        <v>0</v>
      </c>
      <c r="AE50" s="257">
        <f t="shared" ca="1" si="124"/>
        <v>0</v>
      </c>
      <c r="AF50" s="257">
        <f t="shared" ca="1" si="124"/>
        <v>0</v>
      </c>
      <c r="AG50" s="257">
        <f t="shared" ca="1" si="124"/>
        <v>0</v>
      </c>
      <c r="AH50" s="257">
        <f t="shared" ca="1" si="5"/>
        <v>83.105624700000007</v>
      </c>
      <c r="AJ50" s="263">
        <f t="shared" ref="AJ50:AX50" ca="1" si="125">SUM(AJ49:AJ49)</f>
        <v>0</v>
      </c>
      <c r="AK50" s="263">
        <f t="shared" ca="1" si="125"/>
        <v>0</v>
      </c>
      <c r="AL50" s="263">
        <f t="shared" ca="1" si="125"/>
        <v>0</v>
      </c>
      <c r="AM50" s="263">
        <f t="shared" ca="1" si="125"/>
        <v>0</v>
      </c>
      <c r="AN50" s="263">
        <f t="shared" ca="1" si="125"/>
        <v>0</v>
      </c>
      <c r="AO50" s="263">
        <f t="shared" ca="1" si="125"/>
        <v>0</v>
      </c>
      <c r="AP50" s="263">
        <f t="shared" ca="1" si="125"/>
        <v>0</v>
      </c>
      <c r="AQ50" s="263">
        <f t="shared" ca="1" si="125"/>
        <v>0</v>
      </c>
      <c r="AR50" s="263">
        <f t="shared" ca="1" si="125"/>
        <v>0</v>
      </c>
      <c r="AS50" s="263">
        <f t="shared" ca="1" si="125"/>
        <v>0</v>
      </c>
      <c r="AT50" s="263">
        <f t="shared" ca="1" si="125"/>
        <v>-83.105624700000007</v>
      </c>
      <c r="AU50" s="263">
        <f t="shared" ca="1" si="125"/>
        <v>0</v>
      </c>
      <c r="AV50" s="263">
        <f t="shared" ca="1" si="125"/>
        <v>0</v>
      </c>
      <c r="AW50" s="263">
        <f t="shared" ca="1" si="125"/>
        <v>0</v>
      </c>
      <c r="AX50" s="263">
        <f t="shared" ca="1" si="125"/>
        <v>0</v>
      </c>
      <c r="AY50" s="263">
        <f t="shared" ca="1" si="74"/>
        <v>-83.105624700000007</v>
      </c>
      <c r="BA50" s="277">
        <f ca="1">SUM(BA49:BA49)</f>
        <v>0</v>
      </c>
      <c r="BB50" s="277">
        <f ca="1">SUM(BB49:BB49)</f>
        <v>0</v>
      </c>
      <c r="BC50" s="277">
        <f t="shared" ca="1" si="10"/>
        <v>0</v>
      </c>
      <c r="BE50" s="55">
        <f ca="1">P50+AH50+AY50+BC50</f>
        <v>0</v>
      </c>
      <c r="BF50" s="55"/>
      <c r="BG50" s="1428"/>
      <c r="BH50" s="542">
        <f t="shared" ref="BH50:CU50" ca="1" si="126">SUM(BH49:BH49)</f>
        <v>0</v>
      </c>
      <c r="BI50" s="542">
        <f t="shared" ca="1" si="126"/>
        <v>0</v>
      </c>
      <c r="BJ50" s="542">
        <f t="shared" ca="1" si="126"/>
        <v>0</v>
      </c>
      <c r="BK50" s="542">
        <f t="shared" ca="1" si="126"/>
        <v>0</v>
      </c>
      <c r="BL50" s="542">
        <f t="shared" ca="1" si="126"/>
        <v>0</v>
      </c>
      <c r="BM50" s="542">
        <f t="shared" ca="1" si="126"/>
        <v>0</v>
      </c>
      <c r="BN50" s="542">
        <f t="shared" ca="1" si="126"/>
        <v>0</v>
      </c>
      <c r="BO50" s="542">
        <f t="shared" ca="1" si="126"/>
        <v>0</v>
      </c>
      <c r="BP50" s="542">
        <f t="shared" ca="1" si="126"/>
        <v>0</v>
      </c>
      <c r="BQ50" s="542">
        <f t="shared" ca="1" si="126"/>
        <v>0</v>
      </c>
      <c r="BR50" s="542">
        <f t="shared" ca="1" si="126"/>
        <v>0</v>
      </c>
      <c r="BS50" s="542">
        <f t="shared" ca="1" si="126"/>
        <v>0</v>
      </c>
      <c r="BT50" s="542">
        <f t="shared" ca="1" si="126"/>
        <v>0</v>
      </c>
      <c r="BU50" s="542">
        <f t="shared" ca="1" si="126"/>
        <v>0</v>
      </c>
      <c r="BV50" s="542">
        <f t="shared" ca="1" si="126"/>
        <v>0</v>
      </c>
      <c r="BW50" s="542">
        <f t="shared" ca="1" si="126"/>
        <v>0</v>
      </c>
      <c r="BX50" s="542">
        <f t="shared" ca="1" si="126"/>
        <v>0</v>
      </c>
      <c r="BY50" s="542">
        <f t="shared" ca="1" si="126"/>
        <v>0</v>
      </c>
      <c r="BZ50" s="542">
        <f t="shared" ca="1" si="126"/>
        <v>0</v>
      </c>
      <c r="CA50" s="542">
        <f t="shared" ca="1" si="126"/>
        <v>0</v>
      </c>
      <c r="CB50" s="542">
        <f t="shared" ca="1" si="126"/>
        <v>0</v>
      </c>
      <c r="CC50" s="542">
        <f t="shared" ca="1" si="126"/>
        <v>0</v>
      </c>
      <c r="CD50" s="542">
        <f t="shared" ca="1" si="126"/>
        <v>0</v>
      </c>
      <c r="CE50" s="542">
        <f t="shared" ca="1" si="126"/>
        <v>0</v>
      </c>
      <c r="CF50" s="542">
        <f t="shared" ca="1" si="126"/>
        <v>0</v>
      </c>
      <c r="CG50" s="542">
        <f t="shared" ca="1" si="126"/>
        <v>0</v>
      </c>
      <c r="CH50" s="542">
        <f t="shared" ca="1" si="126"/>
        <v>0</v>
      </c>
      <c r="CI50" s="542">
        <f t="shared" ca="1" si="126"/>
        <v>0</v>
      </c>
      <c r="CJ50" s="542">
        <f t="shared" ca="1" si="126"/>
        <v>0</v>
      </c>
      <c r="CK50" s="542">
        <f t="shared" ca="1" si="126"/>
        <v>0</v>
      </c>
      <c r="CL50" s="542">
        <f t="shared" ca="1" si="126"/>
        <v>0</v>
      </c>
      <c r="CM50" s="542">
        <f t="shared" ca="1" si="126"/>
        <v>0</v>
      </c>
      <c r="CN50" s="542">
        <f t="shared" ca="1" si="126"/>
        <v>0</v>
      </c>
      <c r="CO50" s="542">
        <f t="shared" ca="1" si="126"/>
        <v>0</v>
      </c>
      <c r="CP50" s="542">
        <f t="shared" ca="1" si="126"/>
        <v>0</v>
      </c>
      <c r="CQ50" s="542">
        <f t="shared" ca="1" si="126"/>
        <v>0</v>
      </c>
      <c r="CR50" s="542">
        <f t="shared" ca="1" si="126"/>
        <v>0</v>
      </c>
      <c r="CS50" s="542">
        <f t="shared" ca="1" si="126"/>
        <v>0</v>
      </c>
      <c r="CT50" s="542">
        <f t="shared" ca="1" si="126"/>
        <v>0</v>
      </c>
      <c r="CU50" s="542">
        <f t="shared" ca="1" si="126"/>
        <v>0</v>
      </c>
      <c r="CW50" s="151">
        <f t="shared" ca="1" si="114"/>
        <v>0</v>
      </c>
    </row>
    <row r="51" spans="1:101" s="84" customFormat="1" ht="12.75" customHeight="1" outlineLevel="1" x14ac:dyDescent="0.2">
      <c r="A51" s="18"/>
      <c r="B51" s="18"/>
      <c r="C51" s="87"/>
      <c r="D51" s="53"/>
      <c r="E51" s="53"/>
      <c r="G51" s="245"/>
      <c r="H51" s="245"/>
      <c r="I51" s="245"/>
      <c r="J51" s="245"/>
      <c r="K51" s="245"/>
      <c r="L51" s="247"/>
      <c r="M51" s="245"/>
      <c r="N51" s="245"/>
      <c r="O51" s="245"/>
      <c r="P51" s="245">
        <f t="shared" si="70"/>
        <v>0</v>
      </c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>
        <f t="shared" si="5"/>
        <v>0</v>
      </c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>
        <f t="shared" si="74"/>
        <v>0</v>
      </c>
      <c r="BA51" s="277"/>
      <c r="BB51" s="277"/>
      <c r="BC51" s="277">
        <f t="shared" si="10"/>
        <v>0</v>
      </c>
      <c r="BE51" s="55"/>
      <c r="BF51" s="55"/>
      <c r="BG51" s="18"/>
      <c r="BH51" s="542"/>
      <c r="BI51" s="542"/>
      <c r="BJ51" s="542"/>
      <c r="BK51" s="542"/>
      <c r="BL51" s="542"/>
      <c r="BM51" s="542"/>
      <c r="BN51" s="542"/>
      <c r="BO51" s="542"/>
      <c r="BP51" s="542"/>
      <c r="BQ51" s="542"/>
      <c r="BR51" s="542"/>
      <c r="BS51" s="542"/>
      <c r="BT51" s="542"/>
      <c r="BU51" s="542"/>
      <c r="BV51" s="542"/>
      <c r="BW51" s="542"/>
      <c r="BX51" s="542"/>
      <c r="BY51" s="542"/>
      <c r="BZ51" s="542"/>
      <c r="CA51" s="542"/>
      <c r="CB51" s="542"/>
      <c r="CC51" s="542"/>
      <c r="CD51" s="542"/>
      <c r="CE51" s="542"/>
      <c r="CF51" s="542"/>
      <c r="CG51" s="542"/>
      <c r="CH51" s="542"/>
      <c r="CI51" s="542"/>
      <c r="CJ51" s="542"/>
      <c r="CK51" s="542"/>
      <c r="CL51" s="542"/>
      <c r="CM51" s="542"/>
      <c r="CN51" s="542"/>
      <c r="CO51" s="542"/>
      <c r="CP51" s="542"/>
      <c r="CQ51" s="542"/>
      <c r="CR51" s="542"/>
      <c r="CS51" s="542"/>
      <c r="CT51" s="542"/>
      <c r="CU51" s="542"/>
      <c r="CW51" s="151">
        <f t="shared" si="114"/>
        <v>0</v>
      </c>
    </row>
    <row r="52" spans="1:101" s="547" customFormat="1" ht="12.75" customHeight="1" outlineLevel="1" x14ac:dyDescent="0.2">
      <c r="C52" s="319" t="s">
        <v>855</v>
      </c>
      <c r="D52" s="320" t="s">
        <v>587</v>
      </c>
      <c r="E52" s="320"/>
      <c r="F52" s="84"/>
      <c r="G52" s="321"/>
      <c r="H52" s="321"/>
      <c r="I52" s="321"/>
      <c r="J52" s="321"/>
      <c r="K52" s="321"/>
      <c r="L52" s="322"/>
      <c r="M52" s="321"/>
      <c r="N52" s="321"/>
      <c r="O52" s="321"/>
      <c r="P52" s="321">
        <f t="shared" si="70"/>
        <v>0</v>
      </c>
      <c r="Q52" s="84"/>
      <c r="R52" s="323">
        <f ca="1">R$28+R$36+R$80+R$40+R$74+R$47+R$50</f>
        <v>-797.53692959998352</v>
      </c>
      <c r="S52" s="323">
        <f ca="1">S$28+S$36+S$80+S$40+S$74+S$47+S$50</f>
        <v>399.29291837143035</v>
      </c>
      <c r="T52" s="323"/>
      <c r="U52" s="323"/>
      <c r="V52" s="323"/>
      <c r="W52" s="323"/>
      <c r="X52" s="323"/>
      <c r="Y52" s="323"/>
      <c r="Z52" s="323"/>
      <c r="AA52" s="323"/>
      <c r="AB52" s="323"/>
      <c r="AC52" s="323"/>
      <c r="AD52" s="323"/>
      <c r="AE52" s="323"/>
      <c r="AF52" s="323"/>
      <c r="AG52" s="323"/>
      <c r="AH52" s="323">
        <f t="shared" ca="1" si="5"/>
        <v>-398.24401122855318</v>
      </c>
      <c r="AI52" s="84"/>
      <c r="AJ52" s="324"/>
      <c r="AK52" s="324"/>
      <c r="AL52" s="324"/>
      <c r="AM52" s="324"/>
      <c r="AN52" s="324"/>
      <c r="AO52" s="324"/>
      <c r="AP52" s="324"/>
      <c r="AQ52" s="324"/>
      <c r="AR52" s="324"/>
      <c r="AS52" s="324"/>
      <c r="AT52" s="324"/>
      <c r="AU52" s="324"/>
      <c r="AV52" s="324"/>
      <c r="AW52" s="324"/>
      <c r="AX52" s="324"/>
      <c r="AY52" s="324">
        <f t="shared" si="74"/>
        <v>0</v>
      </c>
      <c r="AZ52" s="84"/>
      <c r="BA52" s="325"/>
      <c r="BB52" s="325"/>
      <c r="BC52" s="325">
        <f t="shared" si="10"/>
        <v>0</v>
      </c>
      <c r="BD52" s="84"/>
      <c r="BE52" s="164"/>
      <c r="BF52" s="164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  <c r="CG52" s="549"/>
      <c r="CH52" s="549"/>
      <c r="CI52" s="549"/>
      <c r="CJ52" s="549"/>
      <c r="CK52" s="549"/>
      <c r="CL52" s="549"/>
      <c r="CM52" s="549"/>
      <c r="CN52" s="549"/>
      <c r="CO52" s="549"/>
      <c r="CP52" s="549"/>
      <c r="CQ52" s="549"/>
      <c r="CR52" s="549"/>
      <c r="CS52" s="549"/>
      <c r="CT52" s="549"/>
      <c r="CU52" s="549"/>
      <c r="CW52" s="151">
        <f t="shared" si="114"/>
        <v>0</v>
      </c>
    </row>
    <row r="53" spans="1:101" s="543" customFormat="1" ht="12.75" customHeight="1" outlineLevel="1" x14ac:dyDescent="0.2">
      <c r="C53" s="86" t="s">
        <v>297</v>
      </c>
      <c r="D53" s="292" t="str">
        <f>INDEX(Modules[Module], MATCH($C53, Modules[Code], 0))</f>
        <v>Nuclear power</v>
      </c>
      <c r="E53" s="292"/>
      <c r="F53" s="84"/>
      <c r="G53" s="301">
        <f t="shared" ref="G53:O53" ca="1" si="127">IFERROR(INDEX(INDIRECT($C53&amp;".Outputs["&amp;this.Year&amp;"]"), MATCH(G$5, INDIRECT($C53&amp;".Outputs[Vector]"), 0)), 0)</f>
        <v>0</v>
      </c>
      <c r="H53" s="301">
        <f t="shared" ca="1" si="127"/>
        <v>0</v>
      </c>
      <c r="I53" s="301">
        <f t="shared" ca="1" si="127"/>
        <v>0</v>
      </c>
      <c r="J53" s="301">
        <f t="shared" ca="1" si="127"/>
        <v>0</v>
      </c>
      <c r="K53" s="301">
        <f t="shared" ca="1" si="127"/>
        <v>0</v>
      </c>
      <c r="L53" s="301">
        <f t="shared" ca="1" si="127"/>
        <v>0</v>
      </c>
      <c r="M53" s="301">
        <f t="shared" ca="1" si="127"/>
        <v>0</v>
      </c>
      <c r="N53" s="301">
        <f t="shared" ca="1" si="127"/>
        <v>0</v>
      </c>
      <c r="O53" s="301">
        <f t="shared" ca="1" si="127"/>
        <v>0</v>
      </c>
      <c r="P53" s="301">
        <f t="shared" ca="1" si="70"/>
        <v>0</v>
      </c>
      <c r="Q53" s="84"/>
      <c r="R53" s="307">
        <f t="shared" ref="R53:AX53" ca="1" si="128">IFERROR(INDEX(INDIRECT($C53&amp;".Outputs["&amp;this.Year&amp;"]"), MATCH(R$5, INDIRECT($C53&amp;".Outputs[Vector]"), 0)), 0)</f>
        <v>0</v>
      </c>
      <c r="S53" s="307">
        <f t="shared" ca="1" si="128"/>
        <v>96.075360000000018</v>
      </c>
      <c r="T53" s="307">
        <f t="shared" ca="1" si="128"/>
        <v>0</v>
      </c>
      <c r="U53" s="307">
        <f t="shared" ca="1" si="128"/>
        <v>0</v>
      </c>
      <c r="V53" s="307">
        <f t="shared" ca="1" si="128"/>
        <v>0</v>
      </c>
      <c r="W53" s="307">
        <f t="shared" ca="1" si="128"/>
        <v>0</v>
      </c>
      <c r="X53" s="307">
        <f ca="1">IFERROR(INDEX(INDIRECT($C53&amp;".Outputs["&amp;this.Year&amp;"]"), MATCH(X$5, INDIRECT($C53&amp;".Outputs[Vector]"), 0)), 0)</f>
        <v>0</v>
      </c>
      <c r="Y53" s="307">
        <f ca="1">IFERROR(INDEX(INDIRECT($C53&amp;".Outputs["&amp;this.Year&amp;"]"), MATCH(Y$5, INDIRECT($C53&amp;".Outputs[Vector]"), 0)), 0)</f>
        <v>0</v>
      </c>
      <c r="Z53" s="307">
        <f ca="1">IFERROR(INDEX(INDIRECT($C53&amp;".Outputs["&amp;this.Year&amp;"]"), MATCH(Z$5, INDIRECT($C53&amp;".Outputs[Vector]"), 0)), 0)</f>
        <v>0</v>
      </c>
      <c r="AA53" s="307">
        <f t="shared" ca="1" si="128"/>
        <v>0</v>
      </c>
      <c r="AB53" s="307">
        <f t="shared" ca="1" si="128"/>
        <v>0</v>
      </c>
      <c r="AC53" s="307">
        <f t="shared" ca="1" si="128"/>
        <v>0</v>
      </c>
      <c r="AD53" s="307">
        <f t="shared" ca="1" si="128"/>
        <v>0</v>
      </c>
      <c r="AE53" s="307">
        <f t="shared" ca="1" si="128"/>
        <v>0</v>
      </c>
      <c r="AF53" s="307">
        <f t="shared" ca="1" si="128"/>
        <v>0</v>
      </c>
      <c r="AG53" s="307">
        <f t="shared" ca="1" si="128"/>
        <v>0</v>
      </c>
      <c r="AH53" s="306">
        <f t="shared" ca="1" si="5"/>
        <v>96.075360000000018</v>
      </c>
      <c r="AI53" s="84"/>
      <c r="AJ53" s="315">
        <f t="shared" ref="AJ53:AR53" ca="1" si="129">IFERROR(INDEX(INDIRECT($C53&amp;".Outputs["&amp;this.Year&amp;"]"), MATCH(AJ$5, INDIRECT($C53&amp;".Outputs[Vector]"), 0)), 0)</f>
        <v>0</v>
      </c>
      <c r="AK53" s="315">
        <f t="shared" ca="1" si="129"/>
        <v>0</v>
      </c>
      <c r="AL53" s="315">
        <f t="shared" ca="1" si="129"/>
        <v>0</v>
      </c>
      <c r="AM53" s="315">
        <f t="shared" ca="1" si="129"/>
        <v>0</v>
      </c>
      <c r="AN53" s="315">
        <f t="shared" ca="1" si="129"/>
        <v>0</v>
      </c>
      <c r="AO53" s="315">
        <f t="shared" ca="1" si="129"/>
        <v>0</v>
      </c>
      <c r="AP53" s="315">
        <f t="shared" ca="1" si="129"/>
        <v>0</v>
      </c>
      <c r="AQ53" s="315">
        <f t="shared" ca="1" si="129"/>
        <v>0</v>
      </c>
      <c r="AR53" s="315">
        <f t="shared" ca="1" si="129"/>
        <v>0</v>
      </c>
      <c r="AS53" s="315">
        <f t="shared" ca="1" si="128"/>
        <v>-293.56360000000006</v>
      </c>
      <c r="AT53" s="315">
        <f t="shared" ca="1" si="128"/>
        <v>0</v>
      </c>
      <c r="AU53" s="315">
        <f t="shared" ca="1" si="128"/>
        <v>0</v>
      </c>
      <c r="AV53" s="315">
        <f t="shared" ca="1" si="128"/>
        <v>0</v>
      </c>
      <c r="AW53" s="315">
        <f t="shared" ca="1" si="128"/>
        <v>0</v>
      </c>
      <c r="AX53" s="315">
        <f t="shared" ca="1" si="128"/>
        <v>0</v>
      </c>
      <c r="AY53" s="293">
        <f t="shared" ca="1" si="74"/>
        <v>-293.56360000000006</v>
      </c>
      <c r="AZ53" s="84"/>
      <c r="BA53" s="311">
        <f ca="1">IFERROR(INDEX(INDIRECT($C53&amp;".Outputs["&amp;this.Year&amp;"]"), MATCH(BA$5, INDIRECT($C53&amp;".Outputs[Vector]"), 0)), 0)</f>
        <v>187.88070400000004</v>
      </c>
      <c r="BB53" s="311">
        <f ca="1">IFERROR(INDEX(INDIRECT($C53&amp;".Outputs["&amp;this.Year&amp;"]"), MATCH(BB$5, INDIRECT($C53&amp;".Outputs[Vector]"), 0)), 0)</f>
        <v>9.6075360000000032</v>
      </c>
      <c r="BC53" s="310">
        <f t="shared" ca="1" si="10"/>
        <v>197.48824000000005</v>
      </c>
      <c r="BD53" s="84"/>
      <c r="BE53" s="135">
        <f ca="1">P53+AH53+AY53+BC53</f>
        <v>0</v>
      </c>
      <c r="BF53" s="135"/>
      <c r="BG53" s="1428"/>
      <c r="BH53" s="544">
        <f t="shared" ref="BH53:CU53" ca="1" si="130">IFERROR(SUMIFS(INDIRECT($C53&amp;".Emissions["&amp;this.Year&amp;"]"), INDIRECT($C53&amp;".Emissions[GHG]"), BH$6, INDIRECT($C53&amp;".Emissions[IPCC Sector]"), BH$5),0)</f>
        <v>0</v>
      </c>
      <c r="BI53" s="545">
        <f t="shared" ca="1" si="130"/>
        <v>0</v>
      </c>
      <c r="BJ53" s="545">
        <f t="shared" ca="1" si="130"/>
        <v>0</v>
      </c>
      <c r="BK53" s="545">
        <f t="shared" ca="1" si="130"/>
        <v>0</v>
      </c>
      <c r="BL53" s="545">
        <f t="shared" ca="1" si="130"/>
        <v>0</v>
      </c>
      <c r="BM53" s="545">
        <f t="shared" ca="1" si="130"/>
        <v>0</v>
      </c>
      <c r="BN53" s="545">
        <f t="shared" ca="1" si="130"/>
        <v>0</v>
      </c>
      <c r="BO53" s="545">
        <f t="shared" ca="1" si="130"/>
        <v>0</v>
      </c>
      <c r="BP53" s="545">
        <f t="shared" ca="1" si="130"/>
        <v>0</v>
      </c>
      <c r="BQ53" s="545">
        <f t="shared" ca="1" si="130"/>
        <v>0</v>
      </c>
      <c r="BR53" s="545">
        <f t="shared" ca="1" si="130"/>
        <v>0</v>
      </c>
      <c r="BS53" s="545">
        <f t="shared" ca="1" si="130"/>
        <v>0</v>
      </c>
      <c r="BT53" s="545">
        <f t="shared" ca="1" si="130"/>
        <v>0</v>
      </c>
      <c r="BU53" s="545">
        <f t="shared" ca="1" si="130"/>
        <v>0</v>
      </c>
      <c r="BV53" s="545">
        <f t="shared" ca="1" si="130"/>
        <v>0</v>
      </c>
      <c r="BW53" s="545">
        <f t="shared" ca="1" si="130"/>
        <v>0</v>
      </c>
      <c r="BX53" s="545">
        <f t="shared" ca="1" si="130"/>
        <v>0</v>
      </c>
      <c r="BY53" s="545">
        <f t="shared" ca="1" si="130"/>
        <v>0</v>
      </c>
      <c r="BZ53" s="545">
        <f t="shared" ca="1" si="130"/>
        <v>0</v>
      </c>
      <c r="CA53" s="545">
        <f t="shared" ca="1" si="130"/>
        <v>0</v>
      </c>
      <c r="CB53" s="545">
        <f t="shared" ca="1" si="130"/>
        <v>0</v>
      </c>
      <c r="CC53" s="545">
        <f t="shared" ca="1" si="130"/>
        <v>0</v>
      </c>
      <c r="CD53" s="545">
        <f t="shared" ca="1" si="130"/>
        <v>0</v>
      </c>
      <c r="CE53" s="545">
        <f t="shared" ca="1" si="130"/>
        <v>0</v>
      </c>
      <c r="CF53" s="545">
        <f t="shared" ca="1" si="130"/>
        <v>0</v>
      </c>
      <c r="CG53" s="545">
        <f t="shared" ca="1" si="130"/>
        <v>0</v>
      </c>
      <c r="CH53" s="545">
        <f t="shared" ca="1" si="130"/>
        <v>0</v>
      </c>
      <c r="CI53" s="545">
        <f t="shared" ca="1" si="130"/>
        <v>0</v>
      </c>
      <c r="CJ53" s="545">
        <f t="shared" ca="1" si="130"/>
        <v>0</v>
      </c>
      <c r="CK53" s="545">
        <f t="shared" ca="1" si="130"/>
        <v>0</v>
      </c>
      <c r="CL53" s="545">
        <f t="shared" ca="1" si="130"/>
        <v>0</v>
      </c>
      <c r="CM53" s="545">
        <f t="shared" ca="1" si="130"/>
        <v>0</v>
      </c>
      <c r="CN53" s="545">
        <f t="shared" ca="1" si="130"/>
        <v>0</v>
      </c>
      <c r="CO53" s="545">
        <f t="shared" ca="1" si="130"/>
        <v>0</v>
      </c>
      <c r="CP53" s="545">
        <f t="shared" ca="1" si="130"/>
        <v>0</v>
      </c>
      <c r="CQ53" s="545">
        <f t="shared" ca="1" si="130"/>
        <v>0</v>
      </c>
      <c r="CR53" s="545">
        <f t="shared" ca="1" si="130"/>
        <v>0</v>
      </c>
      <c r="CS53" s="545">
        <f t="shared" ca="1" si="130"/>
        <v>0</v>
      </c>
      <c r="CT53" s="545">
        <f t="shared" ca="1" si="130"/>
        <v>0</v>
      </c>
      <c r="CU53" s="545">
        <f t="shared" ca="1" si="130"/>
        <v>0</v>
      </c>
      <c r="CW53" s="151">
        <f t="shared" ca="1" si="114"/>
        <v>0</v>
      </c>
    </row>
    <row r="54" spans="1:101" s="84" customFormat="1" ht="15.75" x14ac:dyDescent="0.2">
      <c r="A54" s="18"/>
      <c r="B54" s="89"/>
      <c r="C54" s="85" t="s">
        <v>61</v>
      </c>
      <c r="D54" s="57" t="str">
        <f>INDEX(Workstreams[Workstream], MATCH($C54, Workstreams[Code], 0))</f>
        <v>Nuclear power generation</v>
      </c>
      <c r="E54" s="53"/>
      <c r="G54" s="300">
        <f ca="1">G53</f>
        <v>0</v>
      </c>
      <c r="H54" s="300">
        <f t="shared" ref="H54:O54" ca="1" si="131">H53</f>
        <v>0</v>
      </c>
      <c r="I54" s="300">
        <f ca="1">I53</f>
        <v>0</v>
      </c>
      <c r="J54" s="300">
        <f t="shared" ca="1" si="131"/>
        <v>0</v>
      </c>
      <c r="K54" s="300">
        <f t="shared" ca="1" si="131"/>
        <v>0</v>
      </c>
      <c r="L54" s="300">
        <f t="shared" ca="1" si="131"/>
        <v>0</v>
      </c>
      <c r="M54" s="300">
        <f t="shared" ca="1" si="131"/>
        <v>0</v>
      </c>
      <c r="N54" s="300">
        <f t="shared" ca="1" si="131"/>
        <v>0</v>
      </c>
      <c r="O54" s="300">
        <f t="shared" ca="1" si="131"/>
        <v>0</v>
      </c>
      <c r="P54" s="300">
        <f t="shared" ca="1" si="70"/>
        <v>0</v>
      </c>
      <c r="R54" s="257">
        <f t="shared" ref="R54:AE54" ca="1" si="132">R53</f>
        <v>0</v>
      </c>
      <c r="S54" s="257">
        <f t="shared" ca="1" si="132"/>
        <v>96.075360000000018</v>
      </c>
      <c r="T54" s="257">
        <f t="shared" ca="1" si="132"/>
        <v>0</v>
      </c>
      <c r="U54" s="257">
        <f t="shared" ca="1" si="132"/>
        <v>0</v>
      </c>
      <c r="V54" s="257">
        <f t="shared" ca="1" si="132"/>
        <v>0</v>
      </c>
      <c r="W54" s="257">
        <f ca="1">W53</f>
        <v>0</v>
      </c>
      <c r="X54" s="257">
        <f t="shared" ca="1" si="132"/>
        <v>0</v>
      </c>
      <c r="Y54" s="257">
        <f t="shared" ca="1" si="132"/>
        <v>0</v>
      </c>
      <c r="Z54" s="257">
        <f t="shared" ca="1" si="132"/>
        <v>0</v>
      </c>
      <c r="AA54" s="257">
        <f t="shared" ca="1" si="132"/>
        <v>0</v>
      </c>
      <c r="AB54" s="257">
        <f t="shared" ca="1" si="132"/>
        <v>0</v>
      </c>
      <c r="AC54" s="257">
        <f ca="1">AC53</f>
        <v>0</v>
      </c>
      <c r="AD54" s="257">
        <f ca="1">AD53</f>
        <v>0</v>
      </c>
      <c r="AE54" s="257">
        <f t="shared" ca="1" si="132"/>
        <v>0</v>
      </c>
      <c r="AF54" s="257">
        <f ca="1">AF53</f>
        <v>0</v>
      </c>
      <c r="AG54" s="257">
        <f ca="1">AG53</f>
        <v>0</v>
      </c>
      <c r="AH54" s="257">
        <f t="shared" ca="1" si="5"/>
        <v>96.075360000000018</v>
      </c>
      <c r="AJ54" s="263">
        <f ca="1">AJ53</f>
        <v>0</v>
      </c>
      <c r="AK54" s="263">
        <f t="shared" ref="AK54:AX54" ca="1" si="133">AK53</f>
        <v>0</v>
      </c>
      <c r="AL54" s="263">
        <f t="shared" ca="1" si="133"/>
        <v>0</v>
      </c>
      <c r="AM54" s="263">
        <f t="shared" ca="1" si="133"/>
        <v>0</v>
      </c>
      <c r="AN54" s="263">
        <f t="shared" ca="1" si="133"/>
        <v>0</v>
      </c>
      <c r="AO54" s="263">
        <f t="shared" ca="1" si="133"/>
        <v>0</v>
      </c>
      <c r="AP54" s="263">
        <f t="shared" ca="1" si="133"/>
        <v>0</v>
      </c>
      <c r="AQ54" s="263">
        <f t="shared" ca="1" si="133"/>
        <v>0</v>
      </c>
      <c r="AR54" s="263">
        <f t="shared" ca="1" si="133"/>
        <v>0</v>
      </c>
      <c r="AS54" s="263">
        <f t="shared" ca="1" si="133"/>
        <v>-293.56360000000006</v>
      </c>
      <c r="AT54" s="263">
        <f t="shared" ca="1" si="133"/>
        <v>0</v>
      </c>
      <c r="AU54" s="263">
        <f t="shared" ca="1" si="133"/>
        <v>0</v>
      </c>
      <c r="AV54" s="263">
        <f t="shared" ca="1" si="133"/>
        <v>0</v>
      </c>
      <c r="AW54" s="263">
        <f t="shared" ca="1" si="133"/>
        <v>0</v>
      </c>
      <c r="AX54" s="263">
        <f t="shared" ca="1" si="133"/>
        <v>0</v>
      </c>
      <c r="AY54" s="263">
        <f t="shared" ca="1" si="74"/>
        <v>-293.56360000000006</v>
      </c>
      <c r="BA54" s="277">
        <f ca="1">BA53</f>
        <v>187.88070400000004</v>
      </c>
      <c r="BB54" s="277">
        <f ca="1">BB53</f>
        <v>9.6075360000000032</v>
      </c>
      <c r="BC54" s="277">
        <f t="shared" ca="1" si="10"/>
        <v>197.48824000000005</v>
      </c>
      <c r="BE54" s="55">
        <f ca="1">P54+AH54+AY54+BC54</f>
        <v>0</v>
      </c>
      <c r="BF54" s="55"/>
      <c r="BG54" s="1428"/>
      <c r="BH54" s="542">
        <f t="shared" ref="BH54:CU54" ca="1" si="134">BH53</f>
        <v>0</v>
      </c>
      <c r="BI54" s="542">
        <f t="shared" ca="1" si="134"/>
        <v>0</v>
      </c>
      <c r="BJ54" s="542">
        <f t="shared" ca="1" si="134"/>
        <v>0</v>
      </c>
      <c r="BK54" s="542">
        <f t="shared" ca="1" si="134"/>
        <v>0</v>
      </c>
      <c r="BL54" s="542">
        <f t="shared" ca="1" si="134"/>
        <v>0</v>
      </c>
      <c r="BM54" s="542">
        <f t="shared" ca="1" si="134"/>
        <v>0</v>
      </c>
      <c r="BN54" s="542">
        <f t="shared" ca="1" si="134"/>
        <v>0</v>
      </c>
      <c r="BO54" s="542">
        <f t="shared" ca="1" si="134"/>
        <v>0</v>
      </c>
      <c r="BP54" s="542">
        <f t="shared" ca="1" si="134"/>
        <v>0</v>
      </c>
      <c r="BQ54" s="542">
        <f t="shared" ca="1" si="134"/>
        <v>0</v>
      </c>
      <c r="BR54" s="542">
        <f t="shared" ca="1" si="134"/>
        <v>0</v>
      </c>
      <c r="BS54" s="542">
        <f t="shared" ca="1" si="134"/>
        <v>0</v>
      </c>
      <c r="BT54" s="542">
        <f t="shared" ca="1" si="134"/>
        <v>0</v>
      </c>
      <c r="BU54" s="542">
        <f t="shared" ca="1" si="134"/>
        <v>0</v>
      </c>
      <c r="BV54" s="542">
        <f t="shared" ca="1" si="134"/>
        <v>0</v>
      </c>
      <c r="BW54" s="542">
        <f t="shared" ca="1" si="134"/>
        <v>0</v>
      </c>
      <c r="BX54" s="542">
        <f t="shared" ca="1" si="134"/>
        <v>0</v>
      </c>
      <c r="BY54" s="542">
        <f t="shared" ca="1" si="134"/>
        <v>0</v>
      </c>
      <c r="BZ54" s="542">
        <f t="shared" ca="1" si="134"/>
        <v>0</v>
      </c>
      <c r="CA54" s="542">
        <f t="shared" ca="1" si="134"/>
        <v>0</v>
      </c>
      <c r="CB54" s="542">
        <f t="shared" ca="1" si="134"/>
        <v>0</v>
      </c>
      <c r="CC54" s="542">
        <f t="shared" ca="1" si="134"/>
        <v>0</v>
      </c>
      <c r="CD54" s="542">
        <f t="shared" ca="1" si="134"/>
        <v>0</v>
      </c>
      <c r="CE54" s="542">
        <f t="shared" ca="1" si="134"/>
        <v>0</v>
      </c>
      <c r="CF54" s="542">
        <f t="shared" ca="1" si="134"/>
        <v>0</v>
      </c>
      <c r="CG54" s="542">
        <f t="shared" ca="1" si="134"/>
        <v>0</v>
      </c>
      <c r="CH54" s="542">
        <f t="shared" ca="1" si="134"/>
        <v>0</v>
      </c>
      <c r="CI54" s="542">
        <f t="shared" ca="1" si="134"/>
        <v>0</v>
      </c>
      <c r="CJ54" s="542">
        <f t="shared" ca="1" si="134"/>
        <v>0</v>
      </c>
      <c r="CK54" s="542">
        <f t="shared" ca="1" si="134"/>
        <v>0</v>
      </c>
      <c r="CL54" s="542">
        <f t="shared" ca="1" si="134"/>
        <v>0</v>
      </c>
      <c r="CM54" s="542">
        <f t="shared" ca="1" si="134"/>
        <v>0</v>
      </c>
      <c r="CN54" s="542">
        <f t="shared" ca="1" si="134"/>
        <v>0</v>
      </c>
      <c r="CO54" s="542">
        <f t="shared" ca="1" si="134"/>
        <v>0</v>
      </c>
      <c r="CP54" s="542">
        <f t="shared" ca="1" si="134"/>
        <v>0</v>
      </c>
      <c r="CQ54" s="542">
        <f t="shared" ca="1" si="134"/>
        <v>0</v>
      </c>
      <c r="CR54" s="542">
        <f t="shared" ca="1" si="134"/>
        <v>0</v>
      </c>
      <c r="CS54" s="542">
        <f t="shared" ca="1" si="134"/>
        <v>0</v>
      </c>
      <c r="CT54" s="542">
        <f t="shared" ca="1" si="134"/>
        <v>0</v>
      </c>
      <c r="CU54" s="542">
        <f t="shared" ca="1" si="134"/>
        <v>0</v>
      </c>
      <c r="CW54" s="151">
        <f t="shared" ca="1" si="114"/>
        <v>0</v>
      </c>
    </row>
    <row r="55" spans="1:101" s="84" customFormat="1" ht="12.75" customHeight="1" outlineLevel="1" x14ac:dyDescent="0.2">
      <c r="A55" s="18"/>
      <c r="B55" s="18"/>
      <c r="C55" s="87"/>
      <c r="D55" s="53"/>
      <c r="E55" s="53"/>
      <c r="G55" s="245"/>
      <c r="H55" s="245"/>
      <c r="I55" s="245"/>
      <c r="J55" s="245"/>
      <c r="K55" s="245"/>
      <c r="L55" s="247"/>
      <c r="M55" s="245"/>
      <c r="N55" s="245"/>
      <c r="O55" s="245"/>
      <c r="P55" s="245">
        <f t="shared" si="70"/>
        <v>0</v>
      </c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>
        <f t="shared" si="5"/>
        <v>0</v>
      </c>
      <c r="AJ55" s="263"/>
      <c r="AK55" s="263"/>
      <c r="AL55" s="263"/>
      <c r="AM55" s="263"/>
      <c r="AN55" s="263"/>
      <c r="AO55" s="263"/>
      <c r="AP55" s="263"/>
      <c r="AQ55" s="263"/>
      <c r="AR55" s="263"/>
      <c r="AS55" s="263"/>
      <c r="AT55" s="263"/>
      <c r="AU55" s="263"/>
      <c r="AV55" s="263"/>
      <c r="AW55" s="263"/>
      <c r="AX55" s="263"/>
      <c r="AY55" s="263">
        <f t="shared" si="74"/>
        <v>0</v>
      </c>
      <c r="BA55" s="277"/>
      <c r="BB55" s="277"/>
      <c r="BC55" s="277">
        <f t="shared" si="10"/>
        <v>0</v>
      </c>
      <c r="BE55" s="55">
        <f>P55+AH55+AY55+BC55</f>
        <v>0</v>
      </c>
      <c r="BF55" s="55"/>
      <c r="BG55" s="18"/>
      <c r="BH55" s="542"/>
      <c r="BI55" s="542"/>
      <c r="BJ55" s="542"/>
      <c r="BK55" s="542"/>
      <c r="BL55" s="542"/>
      <c r="BM55" s="542"/>
      <c r="BN55" s="542"/>
      <c r="BO55" s="542"/>
      <c r="BP55" s="542"/>
      <c r="BQ55" s="542"/>
      <c r="BR55" s="542"/>
      <c r="BS55" s="542"/>
      <c r="BT55" s="542"/>
      <c r="BU55" s="542"/>
      <c r="BV55" s="542"/>
      <c r="BW55" s="542"/>
      <c r="BX55" s="542"/>
      <c r="BY55" s="542"/>
      <c r="BZ55" s="542"/>
      <c r="CA55" s="542"/>
      <c r="CB55" s="542"/>
      <c r="CC55" s="542"/>
      <c r="CD55" s="542"/>
      <c r="CE55" s="542"/>
      <c r="CF55" s="542"/>
      <c r="CG55" s="542"/>
      <c r="CH55" s="542"/>
      <c r="CI55" s="542"/>
      <c r="CJ55" s="542"/>
      <c r="CK55" s="542"/>
      <c r="CL55" s="542"/>
      <c r="CM55" s="542"/>
      <c r="CN55" s="542"/>
      <c r="CO55" s="542"/>
      <c r="CP55" s="542"/>
      <c r="CQ55" s="542"/>
      <c r="CR55" s="542"/>
      <c r="CS55" s="542"/>
      <c r="CT55" s="542"/>
      <c r="CU55" s="542"/>
      <c r="CW55" s="151">
        <f t="shared" si="114"/>
        <v>0</v>
      </c>
    </row>
    <row r="56" spans="1:101" s="547" customFormat="1" ht="12.75" customHeight="1" outlineLevel="1" x14ac:dyDescent="0.2">
      <c r="C56" s="319" t="s">
        <v>856</v>
      </c>
      <c r="D56" s="320" t="s">
        <v>587</v>
      </c>
      <c r="E56" s="320"/>
      <c r="F56" s="84"/>
      <c r="G56" s="321"/>
      <c r="H56" s="321"/>
      <c r="I56" s="321"/>
      <c r="J56" s="321"/>
      <c r="K56" s="321"/>
      <c r="L56" s="322"/>
      <c r="M56" s="321"/>
      <c r="N56" s="321"/>
      <c r="O56" s="321"/>
      <c r="P56" s="321">
        <f t="shared" si="70"/>
        <v>0</v>
      </c>
      <c r="Q56" s="84"/>
      <c r="R56" s="323">
        <f ca="1">R$52+R$54</f>
        <v>-797.53692959998352</v>
      </c>
      <c r="S56" s="323">
        <f ca="1">S$52+S$54</f>
        <v>495.36827837143039</v>
      </c>
      <c r="T56" s="323"/>
      <c r="U56" s="323"/>
      <c r="V56" s="323"/>
      <c r="W56" s="323"/>
      <c r="X56" s="323"/>
      <c r="Y56" s="323"/>
      <c r="Z56" s="323"/>
      <c r="AA56" s="323"/>
      <c r="AB56" s="323"/>
      <c r="AC56" s="323"/>
      <c r="AD56" s="323"/>
      <c r="AE56" s="323"/>
      <c r="AF56" s="323"/>
      <c r="AG56" s="323"/>
      <c r="AH56" s="323">
        <f t="shared" ca="1" si="5"/>
        <v>-302.16865122855313</v>
      </c>
      <c r="AI56" s="84"/>
      <c r="AJ56" s="324"/>
      <c r="AK56" s="324"/>
      <c r="AL56" s="324"/>
      <c r="AM56" s="324"/>
      <c r="AN56" s="324"/>
      <c r="AO56" s="324"/>
      <c r="AP56" s="324"/>
      <c r="AQ56" s="324"/>
      <c r="AR56" s="324"/>
      <c r="AS56" s="324"/>
      <c r="AT56" s="324"/>
      <c r="AU56" s="324"/>
      <c r="AV56" s="324"/>
      <c r="AW56" s="324"/>
      <c r="AX56" s="324"/>
      <c r="AY56" s="324">
        <f t="shared" si="74"/>
        <v>0</v>
      </c>
      <c r="AZ56" s="84"/>
      <c r="BA56" s="325"/>
      <c r="BB56" s="325"/>
      <c r="BC56" s="325">
        <f t="shared" si="10"/>
        <v>0</v>
      </c>
      <c r="BD56" s="84"/>
      <c r="BE56" s="164"/>
      <c r="BF56" s="164"/>
      <c r="BH56" s="549"/>
      <c r="BI56" s="549"/>
      <c r="BJ56" s="549"/>
      <c r="BK56" s="549"/>
      <c r="BL56" s="549"/>
      <c r="BM56" s="549"/>
      <c r="BN56" s="549"/>
      <c r="BO56" s="549"/>
      <c r="BP56" s="549"/>
      <c r="BQ56" s="549"/>
      <c r="BR56" s="549"/>
      <c r="BS56" s="549"/>
      <c r="BT56" s="549"/>
      <c r="BU56" s="549"/>
      <c r="BV56" s="549"/>
      <c r="BW56" s="549"/>
      <c r="BX56" s="549"/>
      <c r="BY56" s="549"/>
      <c r="BZ56" s="549"/>
      <c r="CA56" s="549"/>
      <c r="CB56" s="549"/>
      <c r="CC56" s="549"/>
      <c r="CD56" s="549"/>
      <c r="CE56" s="549"/>
      <c r="CF56" s="549"/>
      <c r="CG56" s="549"/>
      <c r="CH56" s="549"/>
      <c r="CI56" s="549"/>
      <c r="CJ56" s="549"/>
      <c r="CK56" s="549"/>
      <c r="CL56" s="549"/>
      <c r="CM56" s="549"/>
      <c r="CN56" s="549"/>
      <c r="CO56" s="549"/>
      <c r="CP56" s="549"/>
      <c r="CQ56" s="549"/>
      <c r="CR56" s="549"/>
      <c r="CS56" s="549"/>
      <c r="CT56" s="549"/>
      <c r="CU56" s="549"/>
      <c r="CW56" s="151">
        <f t="shared" si="114"/>
        <v>0</v>
      </c>
    </row>
    <row r="57" spans="1:101" s="543" customFormat="1" ht="12.75" customHeight="1" outlineLevel="1" x14ac:dyDescent="0.2">
      <c r="C57" s="86" t="s">
        <v>352</v>
      </c>
      <c r="D57" s="61" t="str">
        <f>INDEX(Modules[Module], MATCH($C57, Modules[Code], 0))</f>
        <v>Biomass power station</v>
      </c>
      <c r="E57" s="61"/>
      <c r="F57" s="84"/>
      <c r="G57" s="892">
        <f t="shared" ref="G57:O59" ca="1" si="135">IFERROR(INDEX(INDIRECT($C57&amp;".Outputs["&amp;this.Year&amp;"]"), MATCH(G$5, INDIRECT($C57&amp;".Outputs[Vector]"), 0)), 0)</f>
        <v>0</v>
      </c>
      <c r="H57" s="892">
        <f t="shared" ca="1" si="135"/>
        <v>0</v>
      </c>
      <c r="I57" s="892">
        <f t="shared" ca="1" si="135"/>
        <v>0</v>
      </c>
      <c r="J57" s="892">
        <f t="shared" ca="1" si="135"/>
        <v>0</v>
      </c>
      <c r="K57" s="892">
        <f t="shared" ca="1" si="135"/>
        <v>0</v>
      </c>
      <c r="L57" s="892">
        <f t="shared" ca="1" si="135"/>
        <v>0</v>
      </c>
      <c r="M57" s="892">
        <f t="shared" ca="1" si="135"/>
        <v>0</v>
      </c>
      <c r="N57" s="892">
        <f t="shared" ca="1" si="135"/>
        <v>0</v>
      </c>
      <c r="O57" s="892">
        <f t="shared" ca="1" si="135"/>
        <v>0</v>
      </c>
      <c r="P57" s="892">
        <f t="shared" ref="P57:P89" ca="1" si="136">SUM(G57:O57)</f>
        <v>0</v>
      </c>
      <c r="Q57" s="84"/>
      <c r="R57" s="893">
        <f t="shared" ref="R57:AG57" ca="1" si="137">IFERROR(INDEX(INDIRECT($C57&amp;".Outputs["&amp;this.Year&amp;"]"), MATCH(R$5, INDIRECT($C57&amp;".Outputs[Vector]"), 0)), 0)</f>
        <v>0</v>
      </c>
      <c r="S57" s="893">
        <f t="shared" ca="1" si="137"/>
        <v>63.115200000000002</v>
      </c>
      <c r="T57" s="893">
        <f t="shared" ca="1" si="137"/>
        <v>-189.34560000000002</v>
      </c>
      <c r="U57" s="893">
        <f t="shared" ca="1" si="137"/>
        <v>0</v>
      </c>
      <c r="V57" s="893">
        <f t="shared" ca="1" si="137"/>
        <v>0</v>
      </c>
      <c r="W57" s="893">
        <f t="shared" ca="1" si="137"/>
        <v>0</v>
      </c>
      <c r="X57" s="893">
        <f t="shared" ca="1" si="137"/>
        <v>0</v>
      </c>
      <c r="Y57" s="893">
        <f t="shared" ca="1" si="137"/>
        <v>0</v>
      </c>
      <c r="Z57" s="893">
        <f t="shared" ca="1" si="137"/>
        <v>0</v>
      </c>
      <c r="AA57" s="893">
        <f t="shared" ca="1" si="137"/>
        <v>0</v>
      </c>
      <c r="AB57" s="893">
        <f t="shared" ca="1" si="137"/>
        <v>0</v>
      </c>
      <c r="AC57" s="893">
        <f t="shared" ca="1" si="137"/>
        <v>0</v>
      </c>
      <c r="AD57" s="893">
        <f t="shared" ca="1" si="137"/>
        <v>0</v>
      </c>
      <c r="AE57" s="893">
        <f t="shared" ca="1" si="137"/>
        <v>0</v>
      </c>
      <c r="AF57" s="893">
        <f t="shared" ca="1" si="137"/>
        <v>0</v>
      </c>
      <c r="AG57" s="893">
        <f t="shared" ca="1" si="137"/>
        <v>0</v>
      </c>
      <c r="AH57" s="894">
        <f t="shared" ca="1" si="5"/>
        <v>-126.23040000000002</v>
      </c>
      <c r="AI57" s="84"/>
      <c r="AJ57" s="895">
        <f t="shared" ref="AJ57:AR59" ca="1" si="138">IFERROR(INDEX(INDIRECT($C57&amp;".Outputs["&amp;this.Year&amp;"]"), MATCH(AJ$5, INDIRECT($C57&amp;".Outputs[Vector]"), 0)), 0)</f>
        <v>0</v>
      </c>
      <c r="AK57" s="895">
        <f t="shared" ca="1" si="138"/>
        <v>0</v>
      </c>
      <c r="AL57" s="895">
        <f t="shared" ca="1" si="138"/>
        <v>0</v>
      </c>
      <c r="AM57" s="895">
        <f t="shared" ca="1" si="138"/>
        <v>0</v>
      </c>
      <c r="AN57" s="895">
        <f t="shared" ca="1" si="138"/>
        <v>0</v>
      </c>
      <c r="AO57" s="895">
        <f t="shared" ca="1" si="138"/>
        <v>0</v>
      </c>
      <c r="AP57" s="895">
        <f t="shared" ca="1" si="138"/>
        <v>0</v>
      </c>
      <c r="AQ57" s="895">
        <f t="shared" ca="1" si="138"/>
        <v>0</v>
      </c>
      <c r="AR57" s="895">
        <f t="shared" ca="1" si="138"/>
        <v>0</v>
      </c>
      <c r="AS57" s="895">
        <f t="shared" ref="AS57:AX57" ca="1" si="139">IFERROR(INDEX(INDIRECT($C57&amp;".Outputs["&amp;this.Year&amp;"]"), MATCH(AS$5, INDIRECT($C57&amp;".Outputs[Vector]"), 0)), 0)</f>
        <v>0</v>
      </c>
      <c r="AT57" s="895">
        <f t="shared" ca="1" si="139"/>
        <v>0</v>
      </c>
      <c r="AU57" s="895">
        <f t="shared" ca="1" si="139"/>
        <v>0</v>
      </c>
      <c r="AV57" s="895">
        <f t="shared" ca="1" si="139"/>
        <v>0</v>
      </c>
      <c r="AW57" s="895">
        <f t="shared" ca="1" si="139"/>
        <v>0</v>
      </c>
      <c r="AX57" s="895">
        <f t="shared" ca="1" si="139"/>
        <v>0</v>
      </c>
      <c r="AY57" s="896">
        <f t="shared" ca="1" si="74"/>
        <v>0</v>
      </c>
      <c r="AZ57" s="84"/>
      <c r="BA57" s="897">
        <f ca="1">IFERROR(INDEX(INDIRECT($C57&amp;".Outputs["&amp;this.Year&amp;"]"), MATCH(BA$5, INDIRECT($C57&amp;".Outputs[Vector]"), 0)), 0)</f>
        <v>123.07464000000002</v>
      </c>
      <c r="BB57" s="897">
        <f ca="1">IFERROR(INDEX(INDIRECT($C57&amp;".Outputs["&amp;this.Year&amp;"]"), MATCH(BB$5, INDIRECT($C57&amp;".Outputs[Vector]"), 0)), 0)</f>
        <v>3.1557600000000003</v>
      </c>
      <c r="BC57" s="898">
        <f t="shared" ca="1" si="10"/>
        <v>126.23040000000002</v>
      </c>
      <c r="BD57" s="84"/>
      <c r="BE57" s="135">
        <f ca="1">P57+AH57+AY57+BC57</f>
        <v>0</v>
      </c>
      <c r="BF57" s="135"/>
      <c r="BG57" s="1428"/>
      <c r="BH57" s="541">
        <f t="shared" ref="BH57:CU59" ca="1" si="140">IFERROR(SUMIFS(INDIRECT($C57&amp;".Emissions["&amp;this.Year&amp;"]"), INDIRECT($C57&amp;".Emissions[GHG]"), BH$6, INDIRECT($C57&amp;".Emissions[IPCC Sector]"), BH$5),0)</f>
        <v>58.318444799999995</v>
      </c>
      <c r="BI57" s="542">
        <f t="shared" ca="1" si="140"/>
        <v>0.17131851592559963</v>
      </c>
      <c r="BJ57" s="542">
        <f t="shared" ca="1" si="140"/>
        <v>0.51661472687636034</v>
      </c>
      <c r="BK57" s="542">
        <f t="shared" ca="1" si="140"/>
        <v>0</v>
      </c>
      <c r="BL57" s="542">
        <f t="shared" ca="1" si="140"/>
        <v>0</v>
      </c>
      <c r="BM57" s="542">
        <f t="shared" ca="1" si="140"/>
        <v>0</v>
      </c>
      <c r="BN57" s="542">
        <f t="shared" ca="1" si="140"/>
        <v>0</v>
      </c>
      <c r="BO57" s="542">
        <f t="shared" ca="1" si="140"/>
        <v>0</v>
      </c>
      <c r="BP57" s="542">
        <f t="shared" ca="1" si="140"/>
        <v>0</v>
      </c>
      <c r="BQ57" s="542">
        <f t="shared" ca="1" si="140"/>
        <v>0</v>
      </c>
      <c r="BR57" s="542">
        <f t="shared" ca="1" si="140"/>
        <v>0</v>
      </c>
      <c r="BS57" s="542">
        <f t="shared" ca="1" si="140"/>
        <v>0</v>
      </c>
      <c r="BT57" s="542">
        <f t="shared" ca="1" si="140"/>
        <v>0</v>
      </c>
      <c r="BU57" s="542">
        <f t="shared" ca="1" si="140"/>
        <v>0</v>
      </c>
      <c r="BV57" s="542">
        <f t="shared" ca="1" si="140"/>
        <v>0</v>
      </c>
      <c r="BW57" s="542">
        <f t="shared" ca="1" si="140"/>
        <v>0</v>
      </c>
      <c r="BX57" s="542">
        <f t="shared" ca="1" si="140"/>
        <v>0</v>
      </c>
      <c r="BY57" s="542">
        <f t="shared" ca="1" si="140"/>
        <v>0</v>
      </c>
      <c r="BZ57" s="542">
        <f t="shared" ca="1" si="140"/>
        <v>0</v>
      </c>
      <c r="CA57" s="542">
        <f t="shared" ca="1" si="140"/>
        <v>0</v>
      </c>
      <c r="CB57" s="542">
        <f t="shared" ca="1" si="140"/>
        <v>0</v>
      </c>
      <c r="CC57" s="542">
        <f t="shared" ca="1" si="140"/>
        <v>0</v>
      </c>
      <c r="CD57" s="542">
        <f t="shared" ca="1" si="140"/>
        <v>0</v>
      </c>
      <c r="CE57" s="542">
        <f t="shared" ca="1" si="140"/>
        <v>0</v>
      </c>
      <c r="CF57" s="542">
        <f t="shared" ca="1" si="140"/>
        <v>0</v>
      </c>
      <c r="CG57" s="542">
        <f t="shared" ca="1" si="140"/>
        <v>0</v>
      </c>
      <c r="CH57" s="542">
        <f t="shared" ca="1" si="140"/>
        <v>0</v>
      </c>
      <c r="CI57" s="542">
        <f t="shared" ca="1" si="140"/>
        <v>0</v>
      </c>
      <c r="CJ57" s="542">
        <f t="shared" ca="1" si="140"/>
        <v>0</v>
      </c>
      <c r="CK57" s="542">
        <f t="shared" ca="1" si="140"/>
        <v>0</v>
      </c>
      <c r="CL57" s="542">
        <f t="shared" ca="1" si="140"/>
        <v>0</v>
      </c>
      <c r="CM57" s="542">
        <f t="shared" ca="1" si="140"/>
        <v>0</v>
      </c>
      <c r="CN57" s="542">
        <f t="shared" ca="1" si="140"/>
        <v>0</v>
      </c>
      <c r="CO57" s="542">
        <f t="shared" ca="1" si="140"/>
        <v>0</v>
      </c>
      <c r="CP57" s="542">
        <f t="shared" ca="1" si="140"/>
        <v>0</v>
      </c>
      <c r="CQ57" s="542">
        <f t="shared" ca="1" si="140"/>
        <v>0</v>
      </c>
      <c r="CR57" s="542">
        <f t="shared" ca="1" si="140"/>
        <v>0</v>
      </c>
      <c r="CS57" s="542">
        <f t="shared" ca="1" si="140"/>
        <v>0</v>
      </c>
      <c r="CT57" s="542">
        <f t="shared" ca="1" si="140"/>
        <v>0</v>
      </c>
      <c r="CU57" s="542">
        <f t="shared" ca="1" si="140"/>
        <v>0</v>
      </c>
      <c r="CW57" s="151">
        <f t="shared" ca="1" si="114"/>
        <v>59.006378042801956</v>
      </c>
    </row>
    <row r="58" spans="1:101" s="543" customFormat="1" ht="12.75" customHeight="1" outlineLevel="1" x14ac:dyDescent="0.2">
      <c r="C58" s="319" t="s">
        <v>2381</v>
      </c>
      <c r="D58" s="320" t="s">
        <v>587</v>
      </c>
      <c r="E58" s="61"/>
      <c r="F58" s="84"/>
      <c r="G58" s="892"/>
      <c r="H58" s="892"/>
      <c r="I58" s="892"/>
      <c r="J58" s="892"/>
      <c r="K58" s="892"/>
      <c r="L58" s="892"/>
      <c r="M58" s="892"/>
      <c r="N58" s="892"/>
      <c r="O58" s="892"/>
      <c r="P58" s="892">
        <f t="shared" si="136"/>
        <v>0</v>
      </c>
      <c r="Q58" s="84"/>
      <c r="R58" s="893">
        <f ca="1">R56+R57</f>
        <v>-797.53692959998352</v>
      </c>
      <c r="S58" s="893">
        <f ca="1">S56+S57</f>
        <v>558.48347837143035</v>
      </c>
      <c r="T58" s="893"/>
      <c r="U58" s="893"/>
      <c r="V58" s="893"/>
      <c r="W58" s="893"/>
      <c r="X58" s="893"/>
      <c r="Y58" s="893"/>
      <c r="Z58" s="893"/>
      <c r="AA58" s="893"/>
      <c r="AB58" s="893"/>
      <c r="AC58" s="893"/>
      <c r="AD58" s="893"/>
      <c r="AE58" s="893"/>
      <c r="AF58" s="893"/>
      <c r="AG58" s="893"/>
      <c r="AH58" s="894">
        <f t="shared" ca="1" si="5"/>
        <v>-239.05345122855317</v>
      </c>
      <c r="AI58" s="84"/>
      <c r="AJ58" s="895"/>
      <c r="AK58" s="895"/>
      <c r="AL58" s="895"/>
      <c r="AM58" s="895"/>
      <c r="AN58" s="895"/>
      <c r="AO58" s="895"/>
      <c r="AP58" s="895"/>
      <c r="AQ58" s="895"/>
      <c r="AR58" s="895"/>
      <c r="AS58" s="895"/>
      <c r="AT58" s="895"/>
      <c r="AU58" s="895"/>
      <c r="AV58" s="895"/>
      <c r="AW58" s="895"/>
      <c r="AX58" s="895"/>
      <c r="AY58" s="896">
        <f t="shared" si="74"/>
        <v>0</v>
      </c>
      <c r="AZ58" s="84"/>
      <c r="BA58" s="897"/>
      <c r="BB58" s="897"/>
      <c r="BC58" s="898">
        <f t="shared" si="10"/>
        <v>0</v>
      </c>
      <c r="BD58" s="84"/>
      <c r="BE58" s="135"/>
      <c r="BF58" s="135"/>
      <c r="BG58" s="1428"/>
      <c r="BH58" s="541"/>
      <c r="BI58" s="542"/>
      <c r="BJ58" s="542"/>
      <c r="BK58" s="542"/>
      <c r="BL58" s="542"/>
      <c r="BM58" s="542"/>
      <c r="BN58" s="542"/>
      <c r="BO58" s="542"/>
      <c r="BP58" s="542"/>
      <c r="BQ58" s="542"/>
      <c r="BR58" s="542"/>
      <c r="BS58" s="542"/>
      <c r="BT58" s="542"/>
      <c r="BU58" s="542"/>
      <c r="BV58" s="542"/>
      <c r="BW58" s="542"/>
      <c r="BX58" s="542"/>
      <c r="BY58" s="542"/>
      <c r="BZ58" s="542"/>
      <c r="CA58" s="542"/>
      <c r="CB58" s="542"/>
      <c r="CC58" s="542"/>
      <c r="CD58" s="542"/>
      <c r="CE58" s="542"/>
      <c r="CF58" s="542"/>
      <c r="CG58" s="542"/>
      <c r="CH58" s="542"/>
      <c r="CI58" s="542"/>
      <c r="CJ58" s="542"/>
      <c r="CK58" s="542"/>
      <c r="CL58" s="542"/>
      <c r="CM58" s="542"/>
      <c r="CN58" s="542"/>
      <c r="CO58" s="542"/>
      <c r="CP58" s="542"/>
      <c r="CQ58" s="542"/>
      <c r="CR58" s="542"/>
      <c r="CS58" s="542"/>
      <c r="CT58" s="542"/>
      <c r="CU58" s="542"/>
      <c r="CW58" s="151"/>
    </row>
    <row r="59" spans="1:101" s="543" customFormat="1" ht="12.75" customHeight="1" outlineLevel="1" x14ac:dyDescent="0.2">
      <c r="C59" s="86" t="s">
        <v>2146</v>
      </c>
      <c r="D59" s="61" t="str">
        <f>INDEX(Modules[Module], MATCH($C59, Modules[Code], 0))</f>
        <v>Coal power stations</v>
      </c>
      <c r="E59" s="61"/>
      <c r="F59" s="84"/>
      <c r="G59" s="892">
        <f t="shared" ca="1" si="135"/>
        <v>0</v>
      </c>
      <c r="H59" s="892">
        <f t="shared" ca="1" si="135"/>
        <v>0</v>
      </c>
      <c r="I59" s="892">
        <f t="shared" ca="1" si="135"/>
        <v>0</v>
      </c>
      <c r="J59" s="892">
        <f t="shared" ca="1" si="135"/>
        <v>0</v>
      </c>
      <c r="K59" s="892">
        <f t="shared" ca="1" si="135"/>
        <v>0</v>
      </c>
      <c r="L59" s="892">
        <f t="shared" ca="1" si="135"/>
        <v>0</v>
      </c>
      <c r="M59" s="892">
        <f t="shared" ca="1" si="135"/>
        <v>0</v>
      </c>
      <c r="N59" s="892">
        <f t="shared" ca="1" si="135"/>
        <v>0</v>
      </c>
      <c r="O59" s="892">
        <f t="shared" ca="1" si="135"/>
        <v>0</v>
      </c>
      <c r="P59" s="892">
        <f t="shared" ca="1" si="136"/>
        <v>0</v>
      </c>
      <c r="Q59" s="84"/>
      <c r="R59" s="893">
        <f t="shared" ref="R59:AG59" ca="1" si="141">IFERROR(INDEX(INDIRECT($C59&amp;".Outputs["&amp;this.Year&amp;"]"), MATCH(R$5, INDIRECT($C59&amp;".Outputs[Vector]"), 0)), 0)</f>
        <v>0</v>
      </c>
      <c r="S59" s="893">
        <f t="shared" ca="1" si="141"/>
        <v>291.25034999999991</v>
      </c>
      <c r="T59" s="893">
        <f t="shared" ca="1" si="141"/>
        <v>-804.77070394736825</v>
      </c>
      <c r="U59" s="893">
        <f t="shared" ca="1" si="141"/>
        <v>0</v>
      </c>
      <c r="V59" s="893">
        <f t="shared" ca="1" si="141"/>
        <v>0</v>
      </c>
      <c r="W59" s="893">
        <f t="shared" ca="1" si="141"/>
        <v>0</v>
      </c>
      <c r="X59" s="893">
        <f t="shared" ca="1" si="141"/>
        <v>0</v>
      </c>
      <c r="Y59" s="893">
        <f t="shared" ca="1" si="141"/>
        <v>0</v>
      </c>
      <c r="Z59" s="893">
        <f t="shared" ca="1" si="141"/>
        <v>0</v>
      </c>
      <c r="AA59" s="893">
        <f t="shared" ca="1" si="141"/>
        <v>0</v>
      </c>
      <c r="AB59" s="893">
        <f t="shared" ca="1" si="141"/>
        <v>0</v>
      </c>
      <c r="AC59" s="893">
        <f t="shared" ca="1" si="141"/>
        <v>0</v>
      </c>
      <c r="AD59" s="893">
        <f t="shared" ca="1" si="141"/>
        <v>0</v>
      </c>
      <c r="AE59" s="893">
        <f t="shared" ca="1" si="141"/>
        <v>0</v>
      </c>
      <c r="AF59" s="893">
        <f t="shared" ca="1" si="141"/>
        <v>0</v>
      </c>
      <c r="AG59" s="893">
        <f t="shared" ca="1" si="141"/>
        <v>0</v>
      </c>
      <c r="AH59" s="894">
        <f t="shared" ca="1" si="5"/>
        <v>-513.52035394736833</v>
      </c>
      <c r="AI59" s="84"/>
      <c r="AJ59" s="895">
        <f t="shared" ca="1" si="138"/>
        <v>0</v>
      </c>
      <c r="AK59" s="895">
        <f t="shared" ca="1" si="138"/>
        <v>0</v>
      </c>
      <c r="AL59" s="895">
        <f t="shared" ca="1" si="138"/>
        <v>0</v>
      </c>
      <c r="AM59" s="895">
        <f t="shared" ca="1" si="138"/>
        <v>0</v>
      </c>
      <c r="AN59" s="895">
        <f t="shared" ca="1" si="138"/>
        <v>0</v>
      </c>
      <c r="AO59" s="895">
        <f t="shared" ca="1" si="138"/>
        <v>0</v>
      </c>
      <c r="AP59" s="895">
        <f t="shared" ca="1" si="138"/>
        <v>0</v>
      </c>
      <c r="AQ59" s="895">
        <f t="shared" ca="1" si="138"/>
        <v>0</v>
      </c>
      <c r="AR59" s="895">
        <f t="shared" ca="1" si="138"/>
        <v>0</v>
      </c>
      <c r="AS59" s="895">
        <f t="shared" ref="AS59:AX59" ca="1" si="142">IFERROR(INDEX(INDIRECT($C59&amp;".Outputs["&amp;this.Year&amp;"]"), MATCH(AS$5, INDIRECT($C59&amp;".Outputs[Vector]"), 0)), 0)</f>
        <v>0</v>
      </c>
      <c r="AT59" s="895">
        <f t="shared" ca="1" si="142"/>
        <v>0</v>
      </c>
      <c r="AU59" s="895">
        <f t="shared" ca="1" si="142"/>
        <v>0</v>
      </c>
      <c r="AV59" s="895">
        <f t="shared" ca="1" si="142"/>
        <v>0</v>
      </c>
      <c r="AW59" s="895">
        <f t="shared" ca="1" si="142"/>
        <v>0</v>
      </c>
      <c r="AX59" s="895">
        <f t="shared" ca="1" si="142"/>
        <v>0</v>
      </c>
      <c r="AY59" s="896">
        <f t="shared" ca="1" si="74"/>
        <v>0</v>
      </c>
      <c r="AZ59" s="84"/>
      <c r="BA59" s="897">
        <f ca="1">IFERROR(INDEX(INDIRECT($C59&amp;".Outputs["&amp;this.Year&amp;"]"), MATCH(BA$5, INDIRECT($C59&amp;".Outputs[Vector]"), 0)), 0)</f>
        <v>498.95783644736832</v>
      </c>
      <c r="BB59" s="897">
        <f ca="1">IFERROR(INDEX(INDIRECT($C59&amp;".Outputs["&amp;this.Year&amp;"]"), MATCH(BB$5, INDIRECT($C59&amp;".Outputs[Vector]"), 0)), 0)</f>
        <v>14.562517499999997</v>
      </c>
      <c r="BC59" s="898">
        <f t="shared" ca="1" si="10"/>
        <v>513.52035394736833</v>
      </c>
      <c r="BD59" s="84"/>
      <c r="BE59" s="135">
        <f ca="1">P59+AH59+AY59+BC59</f>
        <v>0</v>
      </c>
      <c r="BF59" s="135"/>
      <c r="BG59" s="1428"/>
      <c r="BH59" s="541">
        <f t="shared" ca="1" si="140"/>
        <v>247.86937681578937</v>
      </c>
      <c r="BI59" s="542">
        <f t="shared" ca="1" si="140"/>
        <v>0.72815065499627785</v>
      </c>
      <c r="BJ59" s="542">
        <f t="shared" ca="1" si="140"/>
        <v>2.1957542051036087</v>
      </c>
      <c r="BK59" s="542">
        <f t="shared" ca="1" si="140"/>
        <v>0</v>
      </c>
      <c r="BL59" s="542">
        <f t="shared" ca="1" si="140"/>
        <v>0</v>
      </c>
      <c r="BM59" s="542">
        <f t="shared" ca="1" si="140"/>
        <v>0</v>
      </c>
      <c r="BN59" s="542">
        <f t="shared" ca="1" si="140"/>
        <v>0</v>
      </c>
      <c r="BO59" s="542">
        <f t="shared" ca="1" si="140"/>
        <v>0</v>
      </c>
      <c r="BP59" s="542">
        <f t="shared" ca="1" si="140"/>
        <v>0</v>
      </c>
      <c r="BQ59" s="542">
        <f t="shared" ca="1" si="140"/>
        <v>0</v>
      </c>
      <c r="BR59" s="542">
        <f t="shared" ca="1" si="140"/>
        <v>0</v>
      </c>
      <c r="BS59" s="542">
        <f t="shared" ca="1" si="140"/>
        <v>0</v>
      </c>
      <c r="BT59" s="542">
        <f t="shared" ca="1" si="140"/>
        <v>0</v>
      </c>
      <c r="BU59" s="542">
        <f t="shared" ca="1" si="140"/>
        <v>0</v>
      </c>
      <c r="BV59" s="542">
        <f t="shared" ca="1" si="140"/>
        <v>0</v>
      </c>
      <c r="BW59" s="542">
        <f t="shared" ca="1" si="140"/>
        <v>0</v>
      </c>
      <c r="BX59" s="542">
        <f t="shared" ca="1" si="140"/>
        <v>0</v>
      </c>
      <c r="BY59" s="542">
        <f t="shared" ca="1" si="140"/>
        <v>0</v>
      </c>
      <c r="BZ59" s="542">
        <f t="shared" ca="1" si="140"/>
        <v>0</v>
      </c>
      <c r="CA59" s="542">
        <f t="shared" ca="1" si="140"/>
        <v>0</v>
      </c>
      <c r="CB59" s="542">
        <f t="shared" ca="1" si="140"/>
        <v>0</v>
      </c>
      <c r="CC59" s="542">
        <f t="shared" ca="1" si="140"/>
        <v>0</v>
      </c>
      <c r="CD59" s="542">
        <f t="shared" ca="1" si="140"/>
        <v>0</v>
      </c>
      <c r="CE59" s="542">
        <f t="shared" ca="1" si="140"/>
        <v>0</v>
      </c>
      <c r="CF59" s="542">
        <f t="shared" ca="1" si="140"/>
        <v>0</v>
      </c>
      <c r="CG59" s="542">
        <f t="shared" ca="1" si="140"/>
        <v>0</v>
      </c>
      <c r="CH59" s="542">
        <f t="shared" ca="1" si="140"/>
        <v>0</v>
      </c>
      <c r="CI59" s="542">
        <f t="shared" ca="1" si="140"/>
        <v>0</v>
      </c>
      <c r="CJ59" s="542">
        <f t="shared" ca="1" si="140"/>
        <v>0</v>
      </c>
      <c r="CK59" s="542">
        <f t="shared" ca="1" si="140"/>
        <v>0</v>
      </c>
      <c r="CL59" s="542">
        <f t="shared" ca="1" si="140"/>
        <v>0</v>
      </c>
      <c r="CM59" s="542">
        <f t="shared" ca="1" si="140"/>
        <v>0</v>
      </c>
      <c r="CN59" s="542">
        <f t="shared" ca="1" si="140"/>
        <v>0</v>
      </c>
      <c r="CO59" s="542">
        <f t="shared" ca="1" si="140"/>
        <v>0</v>
      </c>
      <c r="CP59" s="542">
        <f t="shared" ca="1" si="140"/>
        <v>0</v>
      </c>
      <c r="CQ59" s="542">
        <f t="shared" ca="1" si="140"/>
        <v>0</v>
      </c>
      <c r="CR59" s="542">
        <f t="shared" ca="1" si="140"/>
        <v>0</v>
      </c>
      <c r="CS59" s="542">
        <f t="shared" ca="1" si="140"/>
        <v>0</v>
      </c>
      <c r="CT59" s="542">
        <f t="shared" ca="1" si="140"/>
        <v>0</v>
      </c>
      <c r="CU59" s="542">
        <f t="shared" ca="1" si="140"/>
        <v>0</v>
      </c>
      <c r="CW59" s="151">
        <f t="shared" ref="CW59:CW64" ca="1" si="143">SUM(BH59:CU59)</f>
        <v>250.79328167588926</v>
      </c>
    </row>
    <row r="60" spans="1:101" s="550" customFormat="1" ht="12.75" customHeight="1" outlineLevel="1" x14ac:dyDescent="0.2">
      <c r="C60" s="566" t="s">
        <v>857</v>
      </c>
      <c r="D60" s="320" t="s">
        <v>587</v>
      </c>
      <c r="E60" s="567"/>
      <c r="F60" s="882"/>
      <c r="G60" s="333"/>
      <c r="H60" s="333"/>
      <c r="I60" s="333"/>
      <c r="J60" s="333"/>
      <c r="K60" s="333"/>
      <c r="L60" s="334"/>
      <c r="M60" s="333"/>
      <c r="N60" s="333"/>
      <c r="O60" s="333"/>
      <c r="P60" s="333">
        <f t="shared" si="136"/>
        <v>0</v>
      </c>
      <c r="Q60" s="882"/>
      <c r="R60" s="335">
        <f ca="1">R58+R59</f>
        <v>-797.53692959998352</v>
      </c>
      <c r="S60" s="335">
        <f ca="1">S58+S59</f>
        <v>849.73382837143026</v>
      </c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>
        <f t="shared" ca="1" si="5"/>
        <v>52.19689877144674</v>
      </c>
      <c r="AI60" s="882"/>
      <c r="AJ60" s="336"/>
      <c r="AK60" s="336"/>
      <c r="AL60" s="336"/>
      <c r="AM60" s="336"/>
      <c r="AN60" s="336"/>
      <c r="AO60" s="336"/>
      <c r="AP60" s="336"/>
      <c r="AQ60" s="336"/>
      <c r="AR60" s="336"/>
      <c r="AS60" s="336"/>
      <c r="AT60" s="336"/>
      <c r="AU60" s="336"/>
      <c r="AV60" s="336"/>
      <c r="AW60" s="336"/>
      <c r="AX60" s="336"/>
      <c r="AY60" s="336">
        <f t="shared" si="74"/>
        <v>0</v>
      </c>
      <c r="AZ60" s="882"/>
      <c r="BA60" s="337"/>
      <c r="BB60" s="337"/>
      <c r="BC60" s="337">
        <f t="shared" si="10"/>
        <v>0</v>
      </c>
      <c r="BD60" s="882"/>
      <c r="BE60" s="568"/>
      <c r="BF60" s="568"/>
      <c r="BH60" s="888"/>
      <c r="BI60" s="888"/>
      <c r="BJ60" s="888"/>
      <c r="BK60" s="888"/>
      <c r="BL60" s="888"/>
      <c r="BM60" s="888"/>
      <c r="BN60" s="888"/>
      <c r="BO60" s="888"/>
      <c r="BP60" s="888"/>
      <c r="BQ60" s="888"/>
      <c r="BR60" s="888"/>
      <c r="BS60" s="888"/>
      <c r="BT60" s="888"/>
      <c r="BU60" s="888"/>
      <c r="BV60" s="888"/>
      <c r="BW60" s="888"/>
      <c r="BX60" s="888"/>
      <c r="BY60" s="888"/>
      <c r="BZ60" s="888"/>
      <c r="CA60" s="888"/>
      <c r="CB60" s="888"/>
      <c r="CC60" s="888"/>
      <c r="CD60" s="888"/>
      <c r="CE60" s="888"/>
      <c r="CF60" s="888"/>
      <c r="CG60" s="888"/>
      <c r="CH60" s="888"/>
      <c r="CI60" s="888"/>
      <c r="CJ60" s="888"/>
      <c r="CK60" s="888"/>
      <c r="CL60" s="888"/>
      <c r="CM60" s="888"/>
      <c r="CN60" s="888"/>
      <c r="CO60" s="888"/>
      <c r="CP60" s="888"/>
      <c r="CQ60" s="888"/>
      <c r="CR60" s="888"/>
      <c r="CS60" s="888"/>
      <c r="CT60" s="888"/>
      <c r="CU60" s="888"/>
      <c r="CW60" s="887">
        <f t="shared" si="143"/>
        <v>0</v>
      </c>
    </row>
    <row r="61" spans="1:101" s="543" customFormat="1" ht="12.75" customHeight="1" outlineLevel="1" x14ac:dyDescent="0.2">
      <c r="C61" s="86" t="s">
        <v>288</v>
      </c>
      <c r="D61" s="61" t="str">
        <f>INDEX(Modules[Module], MATCH($C61, Modules[Code], 0))</f>
        <v>Natural gas power stations</v>
      </c>
      <c r="E61" s="61"/>
      <c r="F61" s="84"/>
      <c r="G61" s="301">
        <f t="shared" ref="G61:O61" ca="1" si="144">IFERROR(INDEX(INDIRECT($C61&amp;".Outputs["&amp;this.Year&amp;"]"), MATCH(G$5, INDIRECT($C61&amp;".Outputs[Vector]"), 0)), 0)</f>
        <v>0</v>
      </c>
      <c r="H61" s="301">
        <f t="shared" ca="1" si="144"/>
        <v>0</v>
      </c>
      <c r="I61" s="301">
        <f t="shared" ca="1" si="144"/>
        <v>0</v>
      </c>
      <c r="J61" s="301">
        <f t="shared" ca="1" si="144"/>
        <v>0</v>
      </c>
      <c r="K61" s="301">
        <f t="shared" ca="1" si="144"/>
        <v>0</v>
      </c>
      <c r="L61" s="301">
        <f t="shared" ca="1" si="144"/>
        <v>0</v>
      </c>
      <c r="M61" s="301">
        <f t="shared" ca="1" si="144"/>
        <v>0</v>
      </c>
      <c r="N61" s="301">
        <f t="shared" ca="1" si="144"/>
        <v>0</v>
      </c>
      <c r="O61" s="301">
        <f t="shared" ca="1" si="144"/>
        <v>0</v>
      </c>
      <c r="P61" s="301">
        <f t="shared" ca="1" si="136"/>
        <v>0</v>
      </c>
      <c r="Q61" s="84"/>
      <c r="R61" s="307">
        <f t="shared" ref="R61:AX61" ca="1" si="145">IFERROR(INDEX(INDIRECT($C61&amp;".Outputs["&amp;this.Year&amp;"]"), MATCH(R$5, INDIRECT($C61&amp;".Outputs[Vector]"), 0)), 0)</f>
        <v>0</v>
      </c>
      <c r="S61" s="307">
        <f t="shared" ca="1" si="145"/>
        <v>423.52052399999991</v>
      </c>
      <c r="T61" s="307">
        <f t="shared" ca="1" si="145"/>
        <v>0</v>
      </c>
      <c r="U61" s="307">
        <f t="shared" ca="1" si="145"/>
        <v>0</v>
      </c>
      <c r="V61" s="307">
        <f t="shared" ca="1" si="145"/>
        <v>-889.39310039999987</v>
      </c>
      <c r="W61" s="307">
        <f t="shared" ca="1" si="145"/>
        <v>0</v>
      </c>
      <c r="X61" s="307">
        <f ca="1">IFERROR(INDEX(INDIRECT($C61&amp;".Outputs["&amp;this.Year&amp;"]"), MATCH(X$5, INDIRECT($C61&amp;".Outputs[Vector]"), 0)), 0)</f>
        <v>0</v>
      </c>
      <c r="Y61" s="307">
        <f ca="1">IFERROR(INDEX(INDIRECT($C61&amp;".Outputs["&amp;this.Year&amp;"]"), MATCH(Y$5, INDIRECT($C61&amp;".Outputs[Vector]"), 0)), 0)</f>
        <v>0</v>
      </c>
      <c r="Z61" s="307">
        <f ca="1">IFERROR(INDEX(INDIRECT($C61&amp;".Outputs["&amp;this.Year&amp;"]"), MATCH(Z$5, INDIRECT($C61&amp;".Outputs[Vector]"), 0)), 0)</f>
        <v>0</v>
      </c>
      <c r="AA61" s="307">
        <f t="shared" ca="1" si="145"/>
        <v>0</v>
      </c>
      <c r="AB61" s="307">
        <f t="shared" ca="1" si="145"/>
        <v>0</v>
      </c>
      <c r="AC61" s="307">
        <f t="shared" ca="1" si="145"/>
        <v>0</v>
      </c>
      <c r="AD61" s="307">
        <f t="shared" ca="1" si="145"/>
        <v>0</v>
      </c>
      <c r="AE61" s="307">
        <f t="shared" ca="1" si="145"/>
        <v>0</v>
      </c>
      <c r="AF61" s="307">
        <f t="shared" ca="1" si="145"/>
        <v>0</v>
      </c>
      <c r="AG61" s="307">
        <f t="shared" ca="1" si="145"/>
        <v>0</v>
      </c>
      <c r="AH61" s="306">
        <f t="shared" ca="1" si="5"/>
        <v>-465.87257639999996</v>
      </c>
      <c r="AI61" s="84"/>
      <c r="AJ61" s="315">
        <f t="shared" ref="AJ61:AR61" ca="1" si="146">IFERROR(INDEX(INDIRECT($C61&amp;".Outputs["&amp;this.Year&amp;"]"), MATCH(AJ$5, INDIRECT($C61&amp;".Outputs[Vector]"), 0)), 0)</f>
        <v>0</v>
      </c>
      <c r="AK61" s="315">
        <f t="shared" ca="1" si="146"/>
        <v>0</v>
      </c>
      <c r="AL61" s="315">
        <f t="shared" ca="1" si="146"/>
        <v>0</v>
      </c>
      <c r="AM61" s="315">
        <f t="shared" ca="1" si="146"/>
        <v>0</v>
      </c>
      <c r="AN61" s="315">
        <f t="shared" ca="1" si="146"/>
        <v>0</v>
      </c>
      <c r="AO61" s="315">
        <f t="shared" ca="1" si="146"/>
        <v>0</v>
      </c>
      <c r="AP61" s="315">
        <f t="shared" ca="1" si="146"/>
        <v>0</v>
      </c>
      <c r="AQ61" s="315">
        <f t="shared" ca="1" si="146"/>
        <v>0</v>
      </c>
      <c r="AR61" s="315">
        <f t="shared" ca="1" si="146"/>
        <v>0</v>
      </c>
      <c r="AS61" s="315">
        <f t="shared" ca="1" si="145"/>
        <v>0</v>
      </c>
      <c r="AT61" s="315">
        <f t="shared" ca="1" si="145"/>
        <v>0</v>
      </c>
      <c r="AU61" s="315">
        <f t="shared" ca="1" si="145"/>
        <v>0</v>
      </c>
      <c r="AV61" s="315">
        <f t="shared" ca="1" si="145"/>
        <v>0</v>
      </c>
      <c r="AW61" s="315">
        <f t="shared" ca="1" si="145"/>
        <v>0</v>
      </c>
      <c r="AX61" s="315">
        <f t="shared" ca="1" si="145"/>
        <v>0</v>
      </c>
      <c r="AY61" s="293">
        <f t="shared" ref="AY61:AY90" ca="1" si="147">SUM(AJ61:AX61)</f>
        <v>0</v>
      </c>
      <c r="AZ61" s="84"/>
      <c r="BA61" s="311">
        <f ca="1">IFERROR(INDEX(INDIRECT($C61&amp;".Outputs["&amp;this.Year&amp;"]"), MATCH(BA$5, INDIRECT($C61&amp;".Outputs[Vector]"), 0)), 0)</f>
        <v>444.69655019999993</v>
      </c>
      <c r="BB61" s="311">
        <f ca="1">IFERROR(INDEX(INDIRECT($C61&amp;".Outputs["&amp;this.Year&amp;"]"), MATCH(BB$5, INDIRECT($C61&amp;".Outputs[Vector]"), 0)), 0)</f>
        <v>21.176026199999995</v>
      </c>
      <c r="BC61" s="310">
        <f t="shared" ca="1" si="10"/>
        <v>465.87257639999996</v>
      </c>
      <c r="BD61" s="84"/>
      <c r="BE61" s="135">
        <f ca="1">P61+AH61+AY61+BC61</f>
        <v>0</v>
      </c>
      <c r="BF61" s="135"/>
      <c r="BG61" s="1428"/>
      <c r="BH61" s="544">
        <f t="shared" ref="BH61:CU61" ca="1" si="148">IFERROR(SUMIFS(INDIRECT($C61&amp;".Emissions["&amp;this.Year&amp;"]"), INDIRECT($C61&amp;".Emissions[GHG]"), BH$6, INDIRECT($C61&amp;".Emissions[IPCC Sector]"), BH$5),0)</f>
        <v>163.64833047359994</v>
      </c>
      <c r="BI61" s="545">
        <f t="shared" ca="1" si="148"/>
        <v>0.32803073962551882</v>
      </c>
      <c r="BJ61" s="545">
        <f t="shared" ca="1" si="148"/>
        <v>0.35281300818426869</v>
      </c>
      <c r="BK61" s="545">
        <f t="shared" ca="1" si="148"/>
        <v>0</v>
      </c>
      <c r="BL61" s="545">
        <f t="shared" ca="1" si="148"/>
        <v>0</v>
      </c>
      <c r="BM61" s="545">
        <f t="shared" ca="1" si="148"/>
        <v>0</v>
      </c>
      <c r="BN61" s="545">
        <f t="shared" ca="1" si="148"/>
        <v>0</v>
      </c>
      <c r="BO61" s="545">
        <f t="shared" ca="1" si="148"/>
        <v>0</v>
      </c>
      <c r="BP61" s="545">
        <f t="shared" ca="1" si="148"/>
        <v>0</v>
      </c>
      <c r="BQ61" s="545">
        <f t="shared" ca="1" si="148"/>
        <v>0</v>
      </c>
      <c r="BR61" s="545">
        <f t="shared" ca="1" si="148"/>
        <v>0</v>
      </c>
      <c r="BS61" s="545">
        <f t="shared" ca="1" si="148"/>
        <v>0</v>
      </c>
      <c r="BT61" s="545">
        <f t="shared" ca="1" si="148"/>
        <v>0</v>
      </c>
      <c r="BU61" s="545">
        <f t="shared" ca="1" si="148"/>
        <v>0</v>
      </c>
      <c r="BV61" s="545">
        <f t="shared" ca="1" si="148"/>
        <v>0</v>
      </c>
      <c r="BW61" s="545">
        <f t="shared" ca="1" si="148"/>
        <v>0</v>
      </c>
      <c r="BX61" s="545">
        <f t="shared" ca="1" si="148"/>
        <v>0</v>
      </c>
      <c r="BY61" s="545">
        <f t="shared" ca="1" si="148"/>
        <v>0</v>
      </c>
      <c r="BZ61" s="545">
        <f t="shared" ca="1" si="148"/>
        <v>0</v>
      </c>
      <c r="CA61" s="545">
        <f t="shared" ca="1" si="148"/>
        <v>0</v>
      </c>
      <c r="CB61" s="545">
        <f t="shared" ca="1" si="148"/>
        <v>0</v>
      </c>
      <c r="CC61" s="545">
        <f t="shared" ca="1" si="148"/>
        <v>0</v>
      </c>
      <c r="CD61" s="545">
        <f t="shared" ca="1" si="148"/>
        <v>0</v>
      </c>
      <c r="CE61" s="545">
        <f t="shared" ca="1" si="148"/>
        <v>0</v>
      </c>
      <c r="CF61" s="545">
        <f t="shared" ca="1" si="148"/>
        <v>0</v>
      </c>
      <c r="CG61" s="545">
        <f t="shared" ca="1" si="148"/>
        <v>0</v>
      </c>
      <c r="CH61" s="545">
        <f t="shared" ca="1" si="148"/>
        <v>0</v>
      </c>
      <c r="CI61" s="545">
        <f t="shared" ca="1" si="148"/>
        <v>0</v>
      </c>
      <c r="CJ61" s="545">
        <f t="shared" ca="1" si="148"/>
        <v>0</v>
      </c>
      <c r="CK61" s="545">
        <f t="shared" ca="1" si="148"/>
        <v>0</v>
      </c>
      <c r="CL61" s="545">
        <f t="shared" ca="1" si="148"/>
        <v>0</v>
      </c>
      <c r="CM61" s="545">
        <f t="shared" ca="1" si="148"/>
        <v>0</v>
      </c>
      <c r="CN61" s="545">
        <f t="shared" ca="1" si="148"/>
        <v>0</v>
      </c>
      <c r="CO61" s="545">
        <f t="shared" ca="1" si="148"/>
        <v>0</v>
      </c>
      <c r="CP61" s="545">
        <f t="shared" ca="1" si="148"/>
        <v>0</v>
      </c>
      <c r="CQ61" s="545">
        <f t="shared" ca="1" si="148"/>
        <v>0</v>
      </c>
      <c r="CR61" s="545">
        <f t="shared" ca="1" si="148"/>
        <v>0</v>
      </c>
      <c r="CS61" s="545">
        <f t="shared" ca="1" si="148"/>
        <v>0</v>
      </c>
      <c r="CT61" s="545">
        <f t="shared" ca="1" si="148"/>
        <v>0</v>
      </c>
      <c r="CU61" s="545">
        <f t="shared" ca="1" si="148"/>
        <v>0</v>
      </c>
      <c r="CW61" s="151">
        <f t="shared" ca="1" si="143"/>
        <v>164.32917422140972</v>
      </c>
    </row>
    <row r="62" spans="1:101" s="543" customFormat="1" ht="12.75" customHeight="1" outlineLevel="1" x14ac:dyDescent="0.2">
      <c r="C62" s="319" t="s">
        <v>2402</v>
      </c>
      <c r="D62" s="320" t="s">
        <v>587</v>
      </c>
      <c r="E62" s="61"/>
      <c r="F62" s="84"/>
      <c r="G62" s="333"/>
      <c r="H62" s="333"/>
      <c r="I62" s="333"/>
      <c r="J62" s="333"/>
      <c r="K62" s="333"/>
      <c r="L62" s="334"/>
      <c r="M62" s="333"/>
      <c r="N62" s="333"/>
      <c r="O62" s="333"/>
      <c r="P62" s="333">
        <f t="shared" si="136"/>
        <v>0</v>
      </c>
      <c r="Q62" s="882"/>
      <c r="R62" s="335">
        <f ca="1">R60+R61</f>
        <v>-797.53692959998352</v>
      </c>
      <c r="S62" s="335">
        <f ca="1">S60+S61</f>
        <v>1273.2543523714303</v>
      </c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>
        <f t="shared" ca="1" si="5"/>
        <v>475.71742277144676</v>
      </c>
      <c r="AI62" s="882"/>
      <c r="AJ62" s="336"/>
      <c r="AK62" s="336"/>
      <c r="AL62" s="336"/>
      <c r="AM62" s="336"/>
      <c r="AN62" s="336"/>
      <c r="AO62" s="336"/>
      <c r="AP62" s="336"/>
      <c r="AQ62" s="336"/>
      <c r="AR62" s="336"/>
      <c r="AS62" s="336"/>
      <c r="AT62" s="336"/>
      <c r="AU62" s="336"/>
      <c r="AV62" s="336"/>
      <c r="AW62" s="336"/>
      <c r="AX62" s="336"/>
      <c r="AY62" s="336">
        <f t="shared" si="147"/>
        <v>0</v>
      </c>
      <c r="AZ62" s="882"/>
      <c r="BA62" s="337"/>
      <c r="BB62" s="337"/>
      <c r="BC62" s="337">
        <f t="shared" si="10"/>
        <v>0</v>
      </c>
      <c r="BD62" s="882"/>
      <c r="BE62" s="568"/>
      <c r="BF62" s="568"/>
      <c r="BG62" s="550"/>
      <c r="BH62" s="888"/>
      <c r="BI62" s="888"/>
      <c r="BJ62" s="888"/>
      <c r="BK62" s="888"/>
      <c r="BL62" s="888"/>
      <c r="BM62" s="888"/>
      <c r="BN62" s="888"/>
      <c r="BO62" s="888"/>
      <c r="BP62" s="888"/>
      <c r="BQ62" s="888"/>
      <c r="BR62" s="888"/>
      <c r="BS62" s="888"/>
      <c r="BT62" s="888"/>
      <c r="BU62" s="888"/>
      <c r="BV62" s="888"/>
      <c r="BW62" s="888"/>
      <c r="BX62" s="888"/>
      <c r="BY62" s="888"/>
      <c r="BZ62" s="888"/>
      <c r="CA62" s="888"/>
      <c r="CB62" s="888"/>
      <c r="CC62" s="888"/>
      <c r="CD62" s="888"/>
      <c r="CE62" s="888"/>
      <c r="CF62" s="888"/>
      <c r="CG62" s="888"/>
      <c r="CH62" s="888"/>
      <c r="CI62" s="888"/>
      <c r="CJ62" s="888"/>
      <c r="CK62" s="888"/>
      <c r="CL62" s="888"/>
      <c r="CM62" s="888"/>
      <c r="CN62" s="888"/>
      <c r="CO62" s="888"/>
      <c r="CP62" s="888"/>
      <c r="CQ62" s="888"/>
      <c r="CR62" s="888"/>
      <c r="CS62" s="888"/>
      <c r="CT62" s="888"/>
      <c r="CU62" s="888"/>
      <c r="CV62" s="550"/>
      <c r="CW62" s="887">
        <f t="shared" si="143"/>
        <v>0</v>
      </c>
    </row>
    <row r="63" spans="1:101" s="543" customFormat="1" ht="12.75" customHeight="1" outlineLevel="1" x14ac:dyDescent="0.2">
      <c r="C63" s="86" t="s">
        <v>2382</v>
      </c>
      <c r="D63" s="61" t="str">
        <f>INDEX(Modules[Module], MATCH($C63, Modules[Code], 0))</f>
        <v xml:space="preserve">Self Generation </v>
      </c>
      <c r="E63" s="61"/>
      <c r="F63" s="84"/>
      <c r="G63" s="892">
        <f t="shared" ref="G63:O63" ca="1" si="149">IFERROR(INDEX(INDIRECT($C63&amp;".Outputs["&amp;this.Year&amp;"]"), MATCH(G$5, INDIRECT($C63&amp;".Outputs[Vector]"), 0)), 0)</f>
        <v>0</v>
      </c>
      <c r="H63" s="892">
        <f t="shared" ca="1" si="149"/>
        <v>0</v>
      </c>
      <c r="I63" s="892">
        <f t="shared" ca="1" si="149"/>
        <v>0</v>
      </c>
      <c r="J63" s="892">
        <f t="shared" ca="1" si="149"/>
        <v>0</v>
      </c>
      <c r="K63" s="892">
        <f t="shared" ca="1" si="149"/>
        <v>0</v>
      </c>
      <c r="L63" s="892">
        <f t="shared" ca="1" si="149"/>
        <v>0</v>
      </c>
      <c r="M63" s="892">
        <f t="shared" ca="1" si="149"/>
        <v>0</v>
      </c>
      <c r="N63" s="892">
        <f t="shared" ca="1" si="149"/>
        <v>0</v>
      </c>
      <c r="O63" s="892">
        <f t="shared" ca="1" si="149"/>
        <v>0</v>
      </c>
      <c r="P63" s="892">
        <f t="shared" ca="1" si="136"/>
        <v>0</v>
      </c>
      <c r="Q63" s="84"/>
      <c r="R63" s="893">
        <f t="shared" ref="R63:AX63" ca="1" si="150">IFERROR(INDEX(INDIRECT($C63&amp;".Outputs["&amp;this.Year&amp;"]"), MATCH(R$5, INDIRECT($C63&amp;".Outputs[Vector]"), 0)), 0)</f>
        <v>0</v>
      </c>
      <c r="S63" s="893">
        <f t="shared" ca="1" si="150"/>
        <v>0</v>
      </c>
      <c r="T63" s="893">
        <f t="shared" ca="1" si="150"/>
        <v>0</v>
      </c>
      <c r="U63" s="893">
        <f t="shared" ca="1" si="150"/>
        <v>0</v>
      </c>
      <c r="V63" s="893">
        <f t="shared" ca="1" si="150"/>
        <v>0</v>
      </c>
      <c r="W63" s="893">
        <f t="shared" ca="1" si="150"/>
        <v>0</v>
      </c>
      <c r="X63" s="893">
        <f ca="1">IFERROR(INDEX(INDIRECT($C63&amp;".Outputs["&amp;this.Year&amp;"]"), MATCH(X$5, INDIRECT($C63&amp;".Outputs[Vector]"), 0)), 0)</f>
        <v>0</v>
      </c>
      <c r="Y63" s="893">
        <f ca="1">IFERROR(INDEX(INDIRECT($C63&amp;".Outputs["&amp;this.Year&amp;"]"), MATCH(Y$5, INDIRECT($C63&amp;".Outputs[Vector]"), 0)), 0)</f>
        <v>0</v>
      </c>
      <c r="Z63" s="893">
        <f ca="1">IFERROR(INDEX(INDIRECT($C63&amp;".Outputs["&amp;this.Year&amp;"]"), MATCH(Z$5, INDIRECT($C63&amp;".Outputs[Vector]"), 0)), 0)</f>
        <v>0</v>
      </c>
      <c r="AA63" s="893">
        <f t="shared" ca="1" si="150"/>
        <v>0</v>
      </c>
      <c r="AB63" s="893">
        <f t="shared" ca="1" si="150"/>
        <v>0</v>
      </c>
      <c r="AC63" s="893">
        <f t="shared" ca="1" si="150"/>
        <v>0</v>
      </c>
      <c r="AD63" s="893">
        <f t="shared" ca="1" si="150"/>
        <v>0</v>
      </c>
      <c r="AE63" s="893">
        <f t="shared" ca="1" si="150"/>
        <v>0</v>
      </c>
      <c r="AF63" s="893">
        <f t="shared" ca="1" si="150"/>
        <v>0</v>
      </c>
      <c r="AG63" s="893">
        <f t="shared" ca="1" si="150"/>
        <v>0</v>
      </c>
      <c r="AH63" s="894">
        <f t="shared" ca="1" si="5"/>
        <v>0</v>
      </c>
      <c r="AI63" s="84"/>
      <c r="AJ63" s="895">
        <f t="shared" ref="AJ63:AR63" ca="1" si="151">IFERROR(INDEX(INDIRECT($C63&amp;".Outputs["&amp;this.Year&amp;"]"), MATCH(AJ$5, INDIRECT($C63&amp;".Outputs[Vector]"), 0)), 0)</f>
        <v>0</v>
      </c>
      <c r="AK63" s="895">
        <f t="shared" ca="1" si="151"/>
        <v>0</v>
      </c>
      <c r="AL63" s="895">
        <f t="shared" ca="1" si="151"/>
        <v>0</v>
      </c>
      <c r="AM63" s="895">
        <f t="shared" ca="1" si="151"/>
        <v>0</v>
      </c>
      <c r="AN63" s="895">
        <f t="shared" ca="1" si="151"/>
        <v>0</v>
      </c>
      <c r="AO63" s="895">
        <f t="shared" ca="1" si="151"/>
        <v>0</v>
      </c>
      <c r="AP63" s="895">
        <f t="shared" ca="1" si="151"/>
        <v>0</v>
      </c>
      <c r="AQ63" s="895">
        <f t="shared" ca="1" si="151"/>
        <v>0</v>
      </c>
      <c r="AR63" s="895">
        <f t="shared" ca="1" si="151"/>
        <v>0</v>
      </c>
      <c r="AS63" s="895">
        <f t="shared" ca="1" si="150"/>
        <v>0</v>
      </c>
      <c r="AT63" s="895">
        <f t="shared" ca="1" si="150"/>
        <v>0</v>
      </c>
      <c r="AU63" s="895">
        <f t="shared" ca="1" si="150"/>
        <v>0</v>
      </c>
      <c r="AV63" s="895">
        <f t="shared" ca="1" si="150"/>
        <v>0</v>
      </c>
      <c r="AW63" s="895">
        <f t="shared" ca="1" si="150"/>
        <v>0</v>
      </c>
      <c r="AX63" s="895">
        <f t="shared" ca="1" si="150"/>
        <v>0</v>
      </c>
      <c r="AY63" s="896">
        <f t="shared" ca="1" si="147"/>
        <v>0</v>
      </c>
      <c r="AZ63" s="84"/>
      <c r="BA63" s="897">
        <f ca="1">IFERROR(INDEX(INDIRECT($C63&amp;".Outputs["&amp;this.Year&amp;"]"), MATCH(BA$5, INDIRECT($C63&amp;".Outputs[Vector]"), 0)), 0)</f>
        <v>0</v>
      </c>
      <c r="BB63" s="897">
        <f ca="1">IFERROR(INDEX(INDIRECT($C63&amp;".Outputs["&amp;this.Year&amp;"]"), MATCH(BB$5, INDIRECT($C63&amp;".Outputs[Vector]"), 0)), 0)</f>
        <v>0</v>
      </c>
      <c r="BC63" s="898">
        <f t="shared" ca="1" si="10"/>
        <v>0</v>
      </c>
      <c r="BD63" s="84"/>
      <c r="BE63" s="135">
        <f ca="1">P63+AH63+AY63+BC63</f>
        <v>0</v>
      </c>
      <c r="BF63" s="135"/>
      <c r="BG63" s="1428"/>
      <c r="BH63" s="541">
        <f t="shared" ref="BH63:CU63" ca="1" si="152">IFERROR(SUMIFS(INDIRECT($C63&amp;".Emissions["&amp;this.Year&amp;"]"), INDIRECT($C63&amp;".Emissions[GHG]"), BH$6, INDIRECT($C63&amp;".Emissions[IPCC Sector]"), BH$5),0)</f>
        <v>0</v>
      </c>
      <c r="BI63" s="542">
        <f t="shared" ca="1" si="152"/>
        <v>0</v>
      </c>
      <c r="BJ63" s="542">
        <f t="shared" ca="1" si="152"/>
        <v>0</v>
      </c>
      <c r="BK63" s="542">
        <f t="shared" ca="1" si="152"/>
        <v>0</v>
      </c>
      <c r="BL63" s="542">
        <f t="shared" ca="1" si="152"/>
        <v>0</v>
      </c>
      <c r="BM63" s="542">
        <f t="shared" ca="1" si="152"/>
        <v>0</v>
      </c>
      <c r="BN63" s="542">
        <f t="shared" ca="1" si="152"/>
        <v>0</v>
      </c>
      <c r="BO63" s="542">
        <f t="shared" ca="1" si="152"/>
        <v>0</v>
      </c>
      <c r="BP63" s="542">
        <f t="shared" ca="1" si="152"/>
        <v>0</v>
      </c>
      <c r="BQ63" s="542">
        <f t="shared" ca="1" si="152"/>
        <v>0</v>
      </c>
      <c r="BR63" s="542">
        <f t="shared" ca="1" si="152"/>
        <v>0</v>
      </c>
      <c r="BS63" s="542">
        <f t="shared" ca="1" si="152"/>
        <v>0</v>
      </c>
      <c r="BT63" s="542">
        <f t="shared" ca="1" si="152"/>
        <v>0</v>
      </c>
      <c r="BU63" s="542">
        <f t="shared" ca="1" si="152"/>
        <v>0</v>
      </c>
      <c r="BV63" s="542">
        <f t="shared" ca="1" si="152"/>
        <v>0</v>
      </c>
      <c r="BW63" s="542">
        <f t="shared" ca="1" si="152"/>
        <v>0</v>
      </c>
      <c r="BX63" s="542">
        <f t="shared" ca="1" si="152"/>
        <v>0</v>
      </c>
      <c r="BY63" s="542">
        <f t="shared" ca="1" si="152"/>
        <v>0</v>
      </c>
      <c r="BZ63" s="542">
        <f t="shared" ca="1" si="152"/>
        <v>0</v>
      </c>
      <c r="CA63" s="542">
        <f t="shared" ca="1" si="152"/>
        <v>0</v>
      </c>
      <c r="CB63" s="542">
        <f t="shared" ca="1" si="152"/>
        <v>0</v>
      </c>
      <c r="CC63" s="542">
        <f t="shared" ca="1" si="152"/>
        <v>0</v>
      </c>
      <c r="CD63" s="542">
        <f t="shared" ca="1" si="152"/>
        <v>0</v>
      </c>
      <c r="CE63" s="542">
        <f t="shared" ca="1" si="152"/>
        <v>0</v>
      </c>
      <c r="CF63" s="542">
        <f t="shared" ca="1" si="152"/>
        <v>0</v>
      </c>
      <c r="CG63" s="542">
        <f t="shared" ca="1" si="152"/>
        <v>0</v>
      </c>
      <c r="CH63" s="542">
        <f t="shared" ca="1" si="152"/>
        <v>0</v>
      </c>
      <c r="CI63" s="542">
        <f t="shared" ca="1" si="152"/>
        <v>0</v>
      </c>
      <c r="CJ63" s="542">
        <f t="shared" ca="1" si="152"/>
        <v>0</v>
      </c>
      <c r="CK63" s="542">
        <f t="shared" ca="1" si="152"/>
        <v>0</v>
      </c>
      <c r="CL63" s="542">
        <f t="shared" ca="1" si="152"/>
        <v>0</v>
      </c>
      <c r="CM63" s="542">
        <f t="shared" ca="1" si="152"/>
        <v>0</v>
      </c>
      <c r="CN63" s="542">
        <f t="shared" ca="1" si="152"/>
        <v>0</v>
      </c>
      <c r="CO63" s="542">
        <f t="shared" ca="1" si="152"/>
        <v>0</v>
      </c>
      <c r="CP63" s="542">
        <f t="shared" ca="1" si="152"/>
        <v>0</v>
      </c>
      <c r="CQ63" s="542">
        <f t="shared" ca="1" si="152"/>
        <v>0</v>
      </c>
      <c r="CR63" s="542">
        <f t="shared" ca="1" si="152"/>
        <v>0</v>
      </c>
      <c r="CS63" s="542">
        <f t="shared" ca="1" si="152"/>
        <v>0</v>
      </c>
      <c r="CT63" s="542">
        <f t="shared" ca="1" si="152"/>
        <v>0</v>
      </c>
      <c r="CU63" s="542">
        <f t="shared" ca="1" si="152"/>
        <v>0</v>
      </c>
      <c r="CW63" s="151">
        <f t="shared" ca="1" si="143"/>
        <v>0</v>
      </c>
    </row>
    <row r="64" spans="1:101" s="84" customFormat="1" ht="15.75" x14ac:dyDescent="0.2">
      <c r="A64" s="18"/>
      <c r="B64" s="89"/>
      <c r="C64" s="85" t="s">
        <v>60</v>
      </c>
      <c r="D64" s="57" t="str">
        <f>INDEX(Workstreams[Workstream], MATCH($C64, Workstreams[Code], 0))</f>
        <v>Hydrocarbon fuel power generation</v>
      </c>
      <c r="E64" s="53"/>
      <c r="G64" s="300">
        <f ca="1">G57+G61+G63+G59</f>
        <v>0</v>
      </c>
      <c r="H64" s="300">
        <f t="shared" ref="H64:BS64" ca="1" si="153">H57+H61+H63+H59</f>
        <v>0</v>
      </c>
      <c r="I64" s="300">
        <f t="shared" ca="1" si="153"/>
        <v>0</v>
      </c>
      <c r="J64" s="300">
        <f t="shared" ca="1" si="153"/>
        <v>0</v>
      </c>
      <c r="K64" s="300">
        <f t="shared" ca="1" si="153"/>
        <v>0</v>
      </c>
      <c r="L64" s="300">
        <f t="shared" ca="1" si="153"/>
        <v>0</v>
      </c>
      <c r="M64" s="300">
        <f t="shared" ca="1" si="153"/>
        <v>0</v>
      </c>
      <c r="N64" s="300">
        <f t="shared" ca="1" si="153"/>
        <v>0</v>
      </c>
      <c r="O64" s="300">
        <f t="shared" ca="1" si="153"/>
        <v>0</v>
      </c>
      <c r="P64" s="300">
        <f t="shared" ca="1" si="136"/>
        <v>0</v>
      </c>
      <c r="Q64" s="300">
        <f t="shared" si="153"/>
        <v>0</v>
      </c>
      <c r="R64" s="300">
        <f t="shared" ca="1" si="153"/>
        <v>0</v>
      </c>
      <c r="S64" s="300">
        <f t="shared" ca="1" si="153"/>
        <v>777.88607399999978</v>
      </c>
      <c r="T64" s="300">
        <f t="shared" ca="1" si="153"/>
        <v>-994.11630394736824</v>
      </c>
      <c r="U64" s="300">
        <f t="shared" ca="1" si="153"/>
        <v>0</v>
      </c>
      <c r="V64" s="300">
        <f t="shared" ca="1" si="153"/>
        <v>-889.39310039999987</v>
      </c>
      <c r="W64" s="300">
        <f t="shared" ca="1" si="153"/>
        <v>0</v>
      </c>
      <c r="X64" s="300">
        <f t="shared" ca="1" si="153"/>
        <v>0</v>
      </c>
      <c r="Y64" s="300">
        <f t="shared" ca="1" si="153"/>
        <v>0</v>
      </c>
      <c r="Z64" s="300">
        <f t="shared" ca="1" si="153"/>
        <v>0</v>
      </c>
      <c r="AA64" s="300">
        <f t="shared" ca="1" si="153"/>
        <v>0</v>
      </c>
      <c r="AB64" s="300">
        <f t="shared" ca="1" si="153"/>
        <v>0</v>
      </c>
      <c r="AC64" s="300">
        <f t="shared" ca="1" si="153"/>
        <v>0</v>
      </c>
      <c r="AD64" s="300">
        <f t="shared" ca="1" si="153"/>
        <v>0</v>
      </c>
      <c r="AE64" s="300">
        <f t="shared" ca="1" si="153"/>
        <v>0</v>
      </c>
      <c r="AF64" s="300">
        <f t="shared" ca="1" si="153"/>
        <v>0</v>
      </c>
      <c r="AG64" s="300">
        <f t="shared" ca="1" si="153"/>
        <v>0</v>
      </c>
      <c r="AH64" s="300">
        <f t="shared" ca="1" si="5"/>
        <v>-1105.6233303473682</v>
      </c>
      <c r="AI64" s="300">
        <f t="shared" si="153"/>
        <v>0</v>
      </c>
      <c r="AJ64" s="300">
        <f t="shared" ca="1" si="153"/>
        <v>0</v>
      </c>
      <c r="AK64" s="300">
        <f t="shared" ca="1" si="153"/>
        <v>0</v>
      </c>
      <c r="AL64" s="300">
        <f t="shared" ca="1" si="153"/>
        <v>0</v>
      </c>
      <c r="AM64" s="300">
        <f t="shared" ca="1" si="153"/>
        <v>0</v>
      </c>
      <c r="AN64" s="300">
        <f t="shared" ca="1" si="153"/>
        <v>0</v>
      </c>
      <c r="AO64" s="300">
        <f t="shared" ca="1" si="153"/>
        <v>0</v>
      </c>
      <c r="AP64" s="300">
        <f t="shared" ca="1" si="153"/>
        <v>0</v>
      </c>
      <c r="AQ64" s="300">
        <f t="shared" ca="1" si="153"/>
        <v>0</v>
      </c>
      <c r="AR64" s="300">
        <f t="shared" ca="1" si="153"/>
        <v>0</v>
      </c>
      <c r="AS64" s="300">
        <f t="shared" ca="1" si="153"/>
        <v>0</v>
      </c>
      <c r="AT64" s="300">
        <f t="shared" ca="1" si="153"/>
        <v>0</v>
      </c>
      <c r="AU64" s="300">
        <f t="shared" ca="1" si="153"/>
        <v>0</v>
      </c>
      <c r="AV64" s="300">
        <f t="shared" ca="1" si="153"/>
        <v>0</v>
      </c>
      <c r="AW64" s="300">
        <f t="shared" ca="1" si="153"/>
        <v>0</v>
      </c>
      <c r="AX64" s="300">
        <f t="shared" ca="1" si="153"/>
        <v>0</v>
      </c>
      <c r="AY64" s="300">
        <f t="shared" ca="1" si="147"/>
        <v>0</v>
      </c>
      <c r="AZ64" s="300">
        <f t="shared" si="153"/>
        <v>0</v>
      </c>
      <c r="BA64" s="300">
        <f t="shared" ca="1" si="153"/>
        <v>1066.7290266473683</v>
      </c>
      <c r="BB64" s="300">
        <f t="shared" ca="1" si="153"/>
        <v>38.894303699999995</v>
      </c>
      <c r="BC64" s="300">
        <f t="shared" ca="1" si="10"/>
        <v>1105.6233303473682</v>
      </c>
      <c r="BD64" s="300">
        <f t="shared" si="153"/>
        <v>0</v>
      </c>
      <c r="BE64" s="300">
        <f t="shared" ca="1" si="153"/>
        <v>0</v>
      </c>
      <c r="BF64" s="300">
        <f t="shared" si="153"/>
        <v>0</v>
      </c>
      <c r="BG64" s="300">
        <f t="shared" si="153"/>
        <v>0</v>
      </c>
      <c r="BH64" s="300">
        <f t="shared" ca="1" si="153"/>
        <v>469.83615208938932</v>
      </c>
      <c r="BI64" s="300">
        <f t="shared" ca="1" si="153"/>
        <v>1.2274999105473963</v>
      </c>
      <c r="BJ64" s="300">
        <f t="shared" ca="1" si="153"/>
        <v>3.065181940164238</v>
      </c>
      <c r="BK64" s="300">
        <f t="shared" ca="1" si="153"/>
        <v>0</v>
      </c>
      <c r="BL64" s="300">
        <f t="shared" ca="1" si="153"/>
        <v>0</v>
      </c>
      <c r="BM64" s="300">
        <f t="shared" ca="1" si="153"/>
        <v>0</v>
      </c>
      <c r="BN64" s="300">
        <f t="shared" ca="1" si="153"/>
        <v>0</v>
      </c>
      <c r="BO64" s="300">
        <f t="shared" ca="1" si="153"/>
        <v>0</v>
      </c>
      <c r="BP64" s="300">
        <f t="shared" ca="1" si="153"/>
        <v>0</v>
      </c>
      <c r="BQ64" s="300">
        <f t="shared" ca="1" si="153"/>
        <v>0</v>
      </c>
      <c r="BR64" s="300">
        <f t="shared" ca="1" si="153"/>
        <v>0</v>
      </c>
      <c r="BS64" s="300">
        <f t="shared" ca="1" si="153"/>
        <v>0</v>
      </c>
      <c r="BT64" s="300">
        <f t="shared" ref="BT64:CU64" ca="1" si="154">BT57+BT61+BT63+BT59</f>
        <v>0</v>
      </c>
      <c r="BU64" s="300">
        <f t="shared" ca="1" si="154"/>
        <v>0</v>
      </c>
      <c r="BV64" s="300">
        <f t="shared" ca="1" si="154"/>
        <v>0</v>
      </c>
      <c r="BW64" s="300">
        <f t="shared" ca="1" si="154"/>
        <v>0</v>
      </c>
      <c r="BX64" s="300">
        <f t="shared" ca="1" si="154"/>
        <v>0</v>
      </c>
      <c r="BY64" s="300">
        <f t="shared" ca="1" si="154"/>
        <v>0</v>
      </c>
      <c r="BZ64" s="300">
        <f t="shared" ca="1" si="154"/>
        <v>0</v>
      </c>
      <c r="CA64" s="300">
        <f t="shared" ca="1" si="154"/>
        <v>0</v>
      </c>
      <c r="CB64" s="300">
        <f t="shared" ca="1" si="154"/>
        <v>0</v>
      </c>
      <c r="CC64" s="300">
        <f t="shared" ca="1" si="154"/>
        <v>0</v>
      </c>
      <c r="CD64" s="300">
        <f t="shared" ca="1" si="154"/>
        <v>0</v>
      </c>
      <c r="CE64" s="300">
        <f t="shared" ca="1" si="154"/>
        <v>0</v>
      </c>
      <c r="CF64" s="300">
        <f t="shared" ca="1" si="154"/>
        <v>0</v>
      </c>
      <c r="CG64" s="300">
        <f t="shared" ca="1" si="154"/>
        <v>0</v>
      </c>
      <c r="CH64" s="300">
        <f t="shared" ca="1" si="154"/>
        <v>0</v>
      </c>
      <c r="CI64" s="300">
        <f t="shared" ca="1" si="154"/>
        <v>0</v>
      </c>
      <c r="CJ64" s="300">
        <f t="shared" ca="1" si="154"/>
        <v>0</v>
      </c>
      <c r="CK64" s="300">
        <f t="shared" ca="1" si="154"/>
        <v>0</v>
      </c>
      <c r="CL64" s="300">
        <f t="shared" ca="1" si="154"/>
        <v>0</v>
      </c>
      <c r="CM64" s="300">
        <f t="shared" ca="1" si="154"/>
        <v>0</v>
      </c>
      <c r="CN64" s="300">
        <f t="shared" ca="1" si="154"/>
        <v>0</v>
      </c>
      <c r="CO64" s="300">
        <f t="shared" ca="1" si="154"/>
        <v>0</v>
      </c>
      <c r="CP64" s="300">
        <f t="shared" ca="1" si="154"/>
        <v>0</v>
      </c>
      <c r="CQ64" s="300">
        <f t="shared" ca="1" si="154"/>
        <v>0</v>
      </c>
      <c r="CR64" s="300">
        <f t="shared" ca="1" si="154"/>
        <v>0</v>
      </c>
      <c r="CS64" s="300">
        <f t="shared" ca="1" si="154"/>
        <v>0</v>
      </c>
      <c r="CT64" s="300">
        <f t="shared" ca="1" si="154"/>
        <v>0</v>
      </c>
      <c r="CU64" s="300">
        <f t="shared" ca="1" si="154"/>
        <v>0</v>
      </c>
      <c r="CW64" s="151">
        <f t="shared" ca="1" si="143"/>
        <v>474.12883394010095</v>
      </c>
    </row>
    <row r="65" spans="1:101" s="84" customFormat="1" ht="6" customHeight="1" x14ac:dyDescent="0.2">
      <c r="C65" s="56"/>
      <c r="D65" s="57"/>
      <c r="E65" s="51"/>
      <c r="G65" s="245"/>
      <c r="H65" s="245"/>
      <c r="I65" s="245"/>
      <c r="J65" s="245"/>
      <c r="K65" s="245"/>
      <c r="L65" s="247"/>
      <c r="M65" s="245"/>
      <c r="N65" s="245"/>
      <c r="O65" s="245"/>
      <c r="P65" s="245">
        <f t="shared" si="136"/>
        <v>0</v>
      </c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>
        <f t="shared" si="5"/>
        <v>0</v>
      </c>
      <c r="AJ65" s="263"/>
      <c r="AK65" s="263"/>
      <c r="AL65" s="263"/>
      <c r="AM65" s="263"/>
      <c r="AN65" s="263"/>
      <c r="AO65" s="263"/>
      <c r="AP65" s="263"/>
      <c r="AQ65" s="263"/>
      <c r="AR65" s="263"/>
      <c r="AS65" s="263"/>
      <c r="AT65" s="263"/>
      <c r="AU65" s="263"/>
      <c r="AV65" s="263"/>
      <c r="AW65" s="263"/>
      <c r="AX65" s="263"/>
      <c r="AY65" s="263">
        <f t="shared" si="147"/>
        <v>0</v>
      </c>
      <c r="BA65" s="277"/>
      <c r="BB65" s="277"/>
      <c r="BC65" s="277">
        <f t="shared" si="10"/>
        <v>0</v>
      </c>
      <c r="BE65" s="55">
        <f>P65+AH65+AY65+BC65</f>
        <v>0</v>
      </c>
      <c r="BF65" s="55"/>
      <c r="BH65" s="542"/>
      <c r="BI65" s="542"/>
      <c r="BJ65" s="542"/>
      <c r="BK65" s="542"/>
      <c r="BL65" s="542"/>
      <c r="BM65" s="542"/>
      <c r="BN65" s="542"/>
      <c r="BO65" s="542"/>
      <c r="BP65" s="542"/>
      <c r="BQ65" s="542"/>
      <c r="BR65" s="542"/>
      <c r="BS65" s="542"/>
      <c r="BT65" s="542"/>
      <c r="BU65" s="542"/>
      <c r="BV65" s="542"/>
      <c r="BW65" s="542"/>
      <c r="BX65" s="542"/>
      <c r="BY65" s="542"/>
      <c r="BZ65" s="542"/>
      <c r="CA65" s="542"/>
      <c r="CB65" s="542"/>
      <c r="CC65" s="542"/>
      <c r="CD65" s="542"/>
      <c r="CE65" s="542"/>
      <c r="CF65" s="542"/>
      <c r="CG65" s="542"/>
      <c r="CH65" s="542"/>
      <c r="CI65" s="542"/>
      <c r="CJ65" s="542"/>
      <c r="CK65" s="542"/>
      <c r="CL65" s="542"/>
      <c r="CM65" s="542"/>
      <c r="CN65" s="542"/>
      <c r="CO65" s="542"/>
      <c r="CP65" s="542"/>
      <c r="CQ65" s="542"/>
      <c r="CR65" s="542"/>
      <c r="CS65" s="542"/>
      <c r="CT65" s="542"/>
      <c r="CU65" s="542"/>
      <c r="CW65" s="151"/>
    </row>
    <row r="66" spans="1:101" s="84" customFormat="1" ht="15.75" x14ac:dyDescent="0.2">
      <c r="B66" s="89"/>
      <c r="C66" s="923" t="s">
        <v>884</v>
      </c>
      <c r="D66" s="69" t="s">
        <v>124</v>
      </c>
      <c r="E66" s="70"/>
      <c r="G66" s="338">
        <f t="shared" ref="G66:O66" ca="1" si="155">G$36+G$40+G$47+G$50+G$54+G$64</f>
        <v>0</v>
      </c>
      <c r="H66" s="338">
        <f t="shared" ca="1" si="155"/>
        <v>0</v>
      </c>
      <c r="I66" s="338">
        <f t="shared" ca="1" si="155"/>
        <v>0</v>
      </c>
      <c r="J66" s="338">
        <f t="shared" ca="1" si="155"/>
        <v>120.50863898404387</v>
      </c>
      <c r="K66" s="338">
        <f t="shared" ca="1" si="155"/>
        <v>0</v>
      </c>
      <c r="L66" s="338">
        <f t="shared" ca="1" si="155"/>
        <v>0</v>
      </c>
      <c r="M66" s="338">
        <f t="shared" ca="1" si="155"/>
        <v>0</v>
      </c>
      <c r="N66" s="338">
        <f t="shared" ca="1" si="155"/>
        <v>0</v>
      </c>
      <c r="O66" s="338">
        <f t="shared" ca="1" si="155"/>
        <v>0</v>
      </c>
      <c r="P66" s="338">
        <f t="shared" ca="1" si="136"/>
        <v>120.50863898404387</v>
      </c>
      <c r="R66" s="294">
        <f t="shared" ref="R66:AG66" ca="1" si="156">R$36+R$40+R$47+R$50+R$54+R$64</f>
        <v>-6.3078992372102505</v>
      </c>
      <c r="S66" s="294">
        <f ca="1">S$36+S$40+S$47+S$50+S$54+S$64</f>
        <v>1311.9369667714284</v>
      </c>
      <c r="T66" s="294">
        <f t="shared" ca="1" si="156"/>
        <v>-994.1617503572694</v>
      </c>
      <c r="U66" s="294">
        <f t="shared" ca="1" si="156"/>
        <v>-3.0716503132250943</v>
      </c>
      <c r="V66" s="294">
        <f t="shared" ca="1" si="156"/>
        <v>-994.63188814106195</v>
      </c>
      <c r="W66" s="294">
        <f t="shared" ca="1" si="156"/>
        <v>-9.268084897548249</v>
      </c>
      <c r="X66" s="294">
        <f t="shared" ca="1" si="156"/>
        <v>87.99369039583334</v>
      </c>
      <c r="Y66" s="294">
        <f t="shared" ca="1" si="156"/>
        <v>1396.4119554280001</v>
      </c>
      <c r="Z66" s="294">
        <f t="shared" ca="1" si="156"/>
        <v>939.27433333333329</v>
      </c>
      <c r="AA66" s="294">
        <f t="shared" ca="1" si="156"/>
        <v>0</v>
      </c>
      <c r="AB66" s="294">
        <f t="shared" ca="1" si="156"/>
        <v>0</v>
      </c>
      <c r="AC66" s="294">
        <f t="shared" ca="1" si="156"/>
        <v>2799.3665058013253</v>
      </c>
      <c r="AD66" s="294">
        <f t="shared" ca="1" si="156"/>
        <v>28.576909930226151</v>
      </c>
      <c r="AE66" s="294">
        <f t="shared" ca="1" si="156"/>
        <v>381.86251050585577</v>
      </c>
      <c r="AF66" s="294">
        <f t="shared" ca="1" si="156"/>
        <v>102.69414017084114</v>
      </c>
      <c r="AG66" s="294">
        <f t="shared" ca="1" si="156"/>
        <v>4.9487424290318085</v>
      </c>
      <c r="AH66" s="294">
        <f t="shared" ca="1" si="5"/>
        <v>5045.6244818195601</v>
      </c>
      <c r="AJ66" s="295">
        <f t="shared" ref="AJ66:AX66" ca="1" si="157">AJ$36+AJ$40+AJ$47+AJ$50+AJ$54+AJ$64</f>
        <v>-83.5</v>
      </c>
      <c r="AK66" s="295">
        <f t="shared" ca="1" si="157"/>
        <v>-1396.4119554280001</v>
      </c>
      <c r="AL66" s="295">
        <f t="shared" ca="1" si="157"/>
        <v>-939.27433333333329</v>
      </c>
      <c r="AM66" s="295">
        <f t="shared" ca="1" si="157"/>
        <v>0</v>
      </c>
      <c r="AN66" s="295">
        <f t="shared" ca="1" si="157"/>
        <v>0</v>
      </c>
      <c r="AO66" s="295">
        <f t="shared" ca="1" si="157"/>
        <v>0</v>
      </c>
      <c r="AP66" s="295">
        <f t="shared" ca="1" si="157"/>
        <v>0</v>
      </c>
      <c r="AQ66" s="295">
        <f t="shared" ca="1" si="157"/>
        <v>0</v>
      </c>
      <c r="AR66" s="295">
        <f t="shared" ca="1" si="157"/>
        <v>0</v>
      </c>
      <c r="AS66" s="295">
        <f t="shared" ca="1" si="157"/>
        <v>-293.56360000000006</v>
      </c>
      <c r="AT66" s="295">
        <f t="shared" ca="1" si="157"/>
        <v>-354.25509839999995</v>
      </c>
      <c r="AU66" s="295">
        <f t="shared" ca="1" si="157"/>
        <v>-18.4086</v>
      </c>
      <c r="AV66" s="295">
        <f t="shared" ca="1" si="157"/>
        <v>-65.311834371428574</v>
      </c>
      <c r="AW66" s="295">
        <f t="shared" ca="1" si="157"/>
        <v>-2827.9434157315513</v>
      </c>
      <c r="AX66" s="295">
        <f t="shared" ca="1" si="157"/>
        <v>-493.99908350156198</v>
      </c>
      <c r="AY66" s="295">
        <f t="shared" ca="1" si="147"/>
        <v>-6472.6679207658754</v>
      </c>
      <c r="BA66" s="296">
        <f ca="1">BA$36+BA$40+BA$47+BA$50+BA$54+BA$64</f>
        <v>1254.6097306473685</v>
      </c>
      <c r="BB66" s="296">
        <f ca="1">BB$36+BB$40+BB$47+BB$50+BB$54+BB$64</f>
        <v>51.92506931490302</v>
      </c>
      <c r="BC66" s="296">
        <f t="shared" ca="1" si="10"/>
        <v>1306.5347999622716</v>
      </c>
      <c r="BE66" s="58">
        <f ca="1">P66+AH66+AY66+BC66</f>
        <v>0</v>
      </c>
      <c r="BF66" s="58"/>
      <c r="BH66" s="546">
        <f t="shared" ref="BH66:CU66" ca="1" si="158">BH$36+BH$40+BH$47+BH$50+BH$54+BH$64</f>
        <v>489.96151990168664</v>
      </c>
      <c r="BI66" s="546">
        <f t="shared" ca="1" si="158"/>
        <v>1.2672621406260232</v>
      </c>
      <c r="BJ66" s="546">
        <f t="shared" ca="1" si="158"/>
        <v>3.1207633096544982</v>
      </c>
      <c r="BK66" s="546">
        <f t="shared" ca="1" si="158"/>
        <v>0</v>
      </c>
      <c r="BL66" s="546">
        <f t="shared" ca="1" si="158"/>
        <v>6.3745714285714286</v>
      </c>
      <c r="BM66" s="546">
        <f t="shared" ca="1" si="158"/>
        <v>0.11363948114517233</v>
      </c>
      <c r="BN66" s="546">
        <f t="shared" ca="1" si="158"/>
        <v>0</v>
      </c>
      <c r="BO66" s="546">
        <f t="shared" ca="1" si="158"/>
        <v>0</v>
      </c>
      <c r="BP66" s="546">
        <f t="shared" ca="1" si="158"/>
        <v>0</v>
      </c>
      <c r="BQ66" s="546">
        <f t="shared" ca="1" si="158"/>
        <v>0</v>
      </c>
      <c r="BR66" s="546">
        <f t="shared" ca="1" si="158"/>
        <v>0</v>
      </c>
      <c r="BS66" s="546">
        <f t="shared" ca="1" si="158"/>
        <v>0</v>
      </c>
      <c r="BT66" s="546">
        <f t="shared" ca="1" si="158"/>
        <v>0</v>
      </c>
      <c r="BU66" s="546">
        <f t="shared" ca="1" si="158"/>
        <v>0</v>
      </c>
      <c r="BV66" s="546">
        <f t="shared" ca="1" si="158"/>
        <v>0</v>
      </c>
      <c r="BW66" s="546">
        <f t="shared" ca="1" si="158"/>
        <v>0</v>
      </c>
      <c r="BX66" s="546">
        <f t="shared" ca="1" si="158"/>
        <v>0</v>
      </c>
      <c r="BY66" s="546">
        <f t="shared" ca="1" si="158"/>
        <v>0</v>
      </c>
      <c r="BZ66" s="546">
        <f t="shared" ca="1" si="158"/>
        <v>21.469199663930684</v>
      </c>
      <c r="CA66" s="546">
        <f t="shared" ca="1" si="158"/>
        <v>0</v>
      </c>
      <c r="CB66" s="546">
        <f t="shared" ca="1" si="158"/>
        <v>0.62618822796669904</v>
      </c>
      <c r="CC66" s="546">
        <f t="shared" ca="1" si="158"/>
        <v>0</v>
      </c>
      <c r="CD66" s="546">
        <f t="shared" ca="1" si="158"/>
        <v>0</v>
      </c>
      <c r="CE66" s="546">
        <f t="shared" ca="1" si="158"/>
        <v>0</v>
      </c>
      <c r="CF66" s="546">
        <f t="shared" ca="1" si="158"/>
        <v>0</v>
      </c>
      <c r="CG66" s="546">
        <f t="shared" ca="1" si="158"/>
        <v>1.7952501377605785</v>
      </c>
      <c r="CH66" s="546">
        <f t="shared" ca="1" si="158"/>
        <v>0</v>
      </c>
      <c r="CI66" s="546">
        <f t="shared" ca="1" si="158"/>
        <v>0</v>
      </c>
      <c r="CJ66" s="546">
        <f t="shared" ca="1" si="158"/>
        <v>0</v>
      </c>
      <c r="CK66" s="546">
        <f t="shared" ca="1" si="158"/>
        <v>0</v>
      </c>
      <c r="CL66" s="546">
        <f t="shared" ca="1" si="158"/>
        <v>0</v>
      </c>
      <c r="CM66" s="546">
        <f t="shared" ca="1" si="158"/>
        <v>0</v>
      </c>
      <c r="CN66" s="546">
        <f t="shared" ca="1" si="158"/>
        <v>0</v>
      </c>
      <c r="CO66" s="546">
        <f t="shared" ca="1" si="158"/>
        <v>0</v>
      </c>
      <c r="CP66" s="546">
        <f t="shared" ca="1" si="158"/>
        <v>0</v>
      </c>
      <c r="CQ66" s="546">
        <f t="shared" ca="1" si="158"/>
        <v>0</v>
      </c>
      <c r="CR66" s="546">
        <f t="shared" ca="1" si="158"/>
        <v>0</v>
      </c>
      <c r="CS66" s="546">
        <f t="shared" ca="1" si="158"/>
        <v>0</v>
      </c>
      <c r="CT66" s="546">
        <f t="shared" ca="1" si="158"/>
        <v>0</v>
      </c>
      <c r="CU66" s="546">
        <f t="shared" ca="1" si="158"/>
        <v>0</v>
      </c>
      <c r="CW66" s="148">
        <f ca="1">SUM(BH66:CU66)</f>
        <v>524.72839429134183</v>
      </c>
    </row>
    <row r="67" spans="1:101" s="84" customFormat="1" ht="6" customHeight="1" x14ac:dyDescent="0.2">
      <c r="C67" s="56"/>
      <c r="D67" s="57"/>
      <c r="E67" s="51"/>
      <c r="G67" s="245"/>
      <c r="H67" s="245"/>
      <c r="I67" s="245"/>
      <c r="J67" s="245"/>
      <c r="K67" s="245"/>
      <c r="L67" s="247"/>
      <c r="M67" s="245"/>
      <c r="N67" s="245"/>
      <c r="O67" s="245"/>
      <c r="P67" s="245">
        <f t="shared" si="136"/>
        <v>0</v>
      </c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>
        <f t="shared" ref="AH67:AH90" si="159">SUM(R67:AG67)</f>
        <v>0</v>
      </c>
      <c r="AJ67" s="263"/>
      <c r="AK67" s="263"/>
      <c r="AL67" s="263"/>
      <c r="AM67" s="263"/>
      <c r="AN67" s="263"/>
      <c r="AO67" s="263"/>
      <c r="AP67" s="263"/>
      <c r="AQ67" s="263"/>
      <c r="AR67" s="263"/>
      <c r="AS67" s="263"/>
      <c r="AT67" s="263"/>
      <c r="AU67" s="263"/>
      <c r="AV67" s="263"/>
      <c r="AW67" s="263"/>
      <c r="AX67" s="263"/>
      <c r="AY67" s="263">
        <f t="shared" si="147"/>
        <v>0</v>
      </c>
      <c r="BA67" s="277"/>
      <c r="BB67" s="277"/>
      <c r="BC67" s="277">
        <f t="shared" ref="BC67:BC90" si="160">SUM(BA67:BB67)</f>
        <v>0</v>
      </c>
      <c r="BE67" s="55">
        <f>P67+AH67+AY67+BC67</f>
        <v>0</v>
      </c>
      <c r="BF67" s="55"/>
      <c r="BH67" s="542"/>
      <c r="BI67" s="542"/>
      <c r="BJ67" s="542"/>
      <c r="BK67" s="542"/>
      <c r="BL67" s="542"/>
      <c r="BM67" s="542"/>
      <c r="BN67" s="542"/>
      <c r="BO67" s="542"/>
      <c r="BP67" s="542"/>
      <c r="BQ67" s="542"/>
      <c r="BR67" s="542"/>
      <c r="BS67" s="542"/>
      <c r="BT67" s="542"/>
      <c r="BU67" s="542"/>
      <c r="BV67" s="542"/>
      <c r="BW67" s="542"/>
      <c r="BX67" s="542"/>
      <c r="BY67" s="542"/>
      <c r="BZ67" s="542"/>
      <c r="CA67" s="542"/>
      <c r="CB67" s="542"/>
      <c r="CC67" s="542"/>
      <c r="CD67" s="542"/>
      <c r="CE67" s="542"/>
      <c r="CF67" s="542"/>
      <c r="CG67" s="542"/>
      <c r="CH67" s="542"/>
      <c r="CI67" s="542"/>
      <c r="CJ67" s="542"/>
      <c r="CK67" s="542"/>
      <c r="CL67" s="542"/>
      <c r="CM67" s="542"/>
      <c r="CN67" s="542"/>
      <c r="CO67" s="542"/>
      <c r="CP67" s="542"/>
      <c r="CQ67" s="542"/>
      <c r="CR67" s="542"/>
      <c r="CS67" s="542"/>
      <c r="CT67" s="542"/>
      <c r="CU67" s="542"/>
      <c r="CW67" s="151"/>
    </row>
    <row r="68" spans="1:101" s="84" customFormat="1" ht="24" customHeight="1" x14ac:dyDescent="0.2">
      <c r="C68" s="45" t="s">
        <v>414</v>
      </c>
      <c r="D68" s="45"/>
      <c r="E68" s="68"/>
      <c r="G68" s="244"/>
      <c r="H68" s="244"/>
      <c r="I68" s="244"/>
      <c r="J68" s="244"/>
      <c r="K68" s="244"/>
      <c r="L68" s="244"/>
      <c r="M68" s="244"/>
      <c r="N68" s="244"/>
      <c r="O68" s="244"/>
      <c r="P68" s="244">
        <f t="shared" si="136"/>
        <v>0</v>
      </c>
      <c r="R68" s="260"/>
      <c r="S68" s="260"/>
      <c r="T68" s="260"/>
      <c r="U68" s="260"/>
      <c r="V68" s="260"/>
      <c r="W68" s="260"/>
      <c r="X68" s="256"/>
      <c r="Y68" s="256"/>
      <c r="Z68" s="256"/>
      <c r="AA68" s="260"/>
      <c r="AB68" s="260"/>
      <c r="AC68" s="260"/>
      <c r="AD68" s="260"/>
      <c r="AE68" s="260"/>
      <c r="AF68" s="260"/>
      <c r="AG68" s="260"/>
      <c r="AH68" s="260">
        <f t="shared" si="159"/>
        <v>0</v>
      </c>
      <c r="AJ68" s="267"/>
      <c r="AK68" s="267"/>
      <c r="AL68" s="267"/>
      <c r="AM68" s="267"/>
      <c r="AN68" s="267"/>
      <c r="AO68" s="267"/>
      <c r="AP68" s="267"/>
      <c r="AQ68" s="267"/>
      <c r="AR68" s="267"/>
      <c r="AS68" s="267"/>
      <c r="AT68" s="262"/>
      <c r="AU68" s="262"/>
      <c r="AV68" s="262"/>
      <c r="AW68" s="262"/>
      <c r="AX68" s="262"/>
      <c r="AY68" s="267">
        <f t="shared" si="147"/>
        <v>0</v>
      </c>
      <c r="BA68" s="280"/>
      <c r="BB68" s="280"/>
      <c r="BC68" s="280">
        <f t="shared" si="160"/>
        <v>0</v>
      </c>
      <c r="BE68" s="54">
        <f>P68+AH68+AY68+BC68</f>
        <v>0</v>
      </c>
      <c r="BF68" s="54"/>
      <c r="BH68" s="542"/>
      <c r="BI68" s="542"/>
      <c r="BJ68" s="542"/>
      <c r="BK68" s="542"/>
      <c r="BL68" s="542"/>
      <c r="BM68" s="542"/>
      <c r="BN68" s="542"/>
      <c r="BO68" s="542"/>
      <c r="BP68" s="542"/>
      <c r="BQ68" s="542"/>
      <c r="BR68" s="542"/>
      <c r="BS68" s="542"/>
      <c r="BT68" s="542"/>
      <c r="BU68" s="542"/>
      <c r="BV68" s="542"/>
      <c r="BW68" s="542"/>
      <c r="BX68" s="542"/>
      <c r="BY68" s="542"/>
      <c r="BZ68" s="542"/>
      <c r="CA68" s="542"/>
      <c r="CB68" s="542"/>
      <c r="CC68" s="542"/>
      <c r="CD68" s="542"/>
      <c r="CE68" s="542"/>
      <c r="CF68" s="542"/>
      <c r="CG68" s="542"/>
      <c r="CH68" s="542"/>
      <c r="CI68" s="542"/>
      <c r="CJ68" s="542"/>
      <c r="CK68" s="542"/>
      <c r="CL68" s="542"/>
      <c r="CM68" s="542"/>
      <c r="CN68" s="542"/>
      <c r="CO68" s="542"/>
      <c r="CP68" s="542"/>
      <c r="CQ68" s="542"/>
      <c r="CR68" s="542"/>
      <c r="CS68" s="542"/>
      <c r="CT68" s="542"/>
      <c r="CU68" s="542"/>
      <c r="CW68" s="151"/>
    </row>
    <row r="69" spans="1:101" s="84" customFormat="1" ht="6" customHeight="1" x14ac:dyDescent="0.2">
      <c r="C69" s="60"/>
      <c r="D69" s="34"/>
      <c r="E69" s="51"/>
      <c r="G69" s="245"/>
      <c r="H69" s="245"/>
      <c r="I69" s="245"/>
      <c r="J69" s="245"/>
      <c r="K69" s="245"/>
      <c r="L69" s="247"/>
      <c r="M69" s="245"/>
      <c r="N69" s="245"/>
      <c r="O69" s="245"/>
      <c r="P69" s="245">
        <f t="shared" si="136"/>
        <v>0</v>
      </c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>
        <f t="shared" si="159"/>
        <v>0</v>
      </c>
      <c r="AJ69" s="263"/>
      <c r="AK69" s="263"/>
      <c r="AL69" s="263"/>
      <c r="AM69" s="263"/>
      <c r="AN69" s="263"/>
      <c r="AO69" s="263"/>
      <c r="AP69" s="263"/>
      <c r="AQ69" s="263"/>
      <c r="AR69" s="263"/>
      <c r="AS69" s="263"/>
      <c r="AT69" s="263"/>
      <c r="AU69" s="263"/>
      <c r="AV69" s="263"/>
      <c r="AW69" s="263"/>
      <c r="AX69" s="263"/>
      <c r="AY69" s="263">
        <f t="shared" si="147"/>
        <v>0</v>
      </c>
      <c r="BA69" s="277"/>
      <c r="BB69" s="277"/>
      <c r="BC69" s="277">
        <f t="shared" si="160"/>
        <v>0</v>
      </c>
      <c r="BE69" s="55">
        <f>P69+AH69+AY69+BC69</f>
        <v>0</v>
      </c>
      <c r="BF69" s="55"/>
      <c r="BH69" s="542"/>
      <c r="BI69" s="542"/>
      <c r="BJ69" s="542"/>
      <c r="BK69" s="542"/>
      <c r="BL69" s="542"/>
      <c r="BM69" s="542"/>
      <c r="BN69" s="542"/>
      <c r="BO69" s="542"/>
      <c r="BP69" s="542"/>
      <c r="BQ69" s="542"/>
      <c r="BR69" s="542"/>
      <c r="BS69" s="542"/>
      <c r="BT69" s="542"/>
      <c r="BU69" s="542"/>
      <c r="BV69" s="542"/>
      <c r="BW69" s="542"/>
      <c r="BX69" s="542"/>
      <c r="BY69" s="542"/>
      <c r="BZ69" s="542"/>
      <c r="CA69" s="542"/>
      <c r="CB69" s="542"/>
      <c r="CC69" s="542"/>
      <c r="CD69" s="542"/>
      <c r="CE69" s="542"/>
      <c r="CF69" s="542"/>
      <c r="CG69" s="542"/>
      <c r="CH69" s="542"/>
      <c r="CI69" s="542"/>
      <c r="CJ69" s="542"/>
      <c r="CK69" s="542"/>
      <c r="CL69" s="542"/>
      <c r="CM69" s="542"/>
      <c r="CN69" s="542"/>
      <c r="CO69" s="542"/>
      <c r="CP69" s="542"/>
      <c r="CQ69" s="542"/>
      <c r="CR69" s="542"/>
      <c r="CS69" s="542"/>
      <c r="CT69" s="542"/>
      <c r="CU69" s="542"/>
      <c r="CW69" s="151"/>
    </row>
    <row r="70" spans="1:101" s="84" customFormat="1" outlineLevel="1" x14ac:dyDescent="0.2">
      <c r="A70" s="547"/>
      <c r="B70" s="547"/>
      <c r="C70" s="162"/>
      <c r="D70" s="163"/>
      <c r="E70" s="163"/>
      <c r="G70" s="248"/>
      <c r="H70" s="248"/>
      <c r="I70" s="248"/>
      <c r="J70" s="248"/>
      <c r="K70" s="248"/>
      <c r="L70" s="249"/>
      <c r="M70" s="248"/>
      <c r="N70" s="248"/>
      <c r="O70" s="248"/>
      <c r="P70" s="248">
        <f t="shared" si="136"/>
        <v>0</v>
      </c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>
        <f t="shared" si="159"/>
        <v>0</v>
      </c>
      <c r="AJ70" s="265"/>
      <c r="AK70" s="265"/>
      <c r="AL70" s="265"/>
      <c r="AM70" s="265"/>
      <c r="AN70" s="265"/>
      <c r="AO70" s="265"/>
      <c r="AP70" s="265"/>
      <c r="AQ70" s="265"/>
      <c r="AR70" s="265"/>
      <c r="AS70" s="265"/>
      <c r="AT70" s="265"/>
      <c r="AU70" s="265"/>
      <c r="AV70" s="265"/>
      <c r="AW70" s="265"/>
      <c r="AX70" s="265"/>
      <c r="AY70" s="265">
        <f t="shared" si="147"/>
        <v>0</v>
      </c>
      <c r="BA70" s="278"/>
      <c r="BB70" s="278"/>
      <c r="BC70" s="278">
        <f t="shared" si="160"/>
        <v>0</v>
      </c>
      <c r="BE70" s="164"/>
      <c r="BF70" s="164"/>
      <c r="BG70" s="547"/>
      <c r="BH70" s="549"/>
      <c r="BI70" s="542"/>
      <c r="BJ70" s="542"/>
      <c r="BK70" s="542"/>
      <c r="BL70" s="542"/>
      <c r="BM70" s="542"/>
      <c r="BN70" s="542"/>
      <c r="BO70" s="542"/>
      <c r="BP70" s="542"/>
      <c r="BQ70" s="542"/>
      <c r="BR70" s="542"/>
      <c r="BS70" s="542"/>
      <c r="BT70" s="542"/>
      <c r="BU70" s="542"/>
      <c r="BV70" s="542"/>
      <c r="BW70" s="542"/>
      <c r="BX70" s="542"/>
      <c r="BY70" s="542"/>
      <c r="BZ70" s="542"/>
      <c r="CA70" s="542"/>
      <c r="CB70" s="542"/>
      <c r="CC70" s="542"/>
      <c r="CD70" s="542"/>
      <c r="CE70" s="542"/>
      <c r="CF70" s="542"/>
      <c r="CG70" s="542"/>
      <c r="CH70" s="542"/>
      <c r="CI70" s="542"/>
      <c r="CJ70" s="542"/>
      <c r="CK70" s="542"/>
      <c r="CL70" s="542"/>
      <c r="CM70" s="542"/>
      <c r="CN70" s="542"/>
      <c r="CO70" s="542"/>
      <c r="CP70" s="542"/>
      <c r="CQ70" s="542"/>
      <c r="CR70" s="542"/>
      <c r="CS70" s="542"/>
      <c r="CT70" s="542"/>
      <c r="CU70" s="542"/>
      <c r="CW70" s="151"/>
    </row>
    <row r="71" spans="1:101" s="543" customFormat="1" outlineLevel="1" x14ac:dyDescent="0.2">
      <c r="C71" s="62" t="s">
        <v>305</v>
      </c>
      <c r="D71" s="61" t="str">
        <f>INDEX(Modules[Module], MATCH($C71, Modules[Code], 0))</f>
        <v>Electricity imports</v>
      </c>
      <c r="E71" s="61"/>
      <c r="F71" s="84"/>
      <c r="G71" s="297">
        <f t="shared" ref="G71:O71" ca="1" si="161">IFERROR(INDEX(INDIRECT($C71&amp;".Outputs["&amp;this.Year&amp;"]"), MATCH(G$5, INDIRECT($C71&amp;".Outputs[Vector]"), 0)), 0)</f>
        <v>0</v>
      </c>
      <c r="H71" s="297">
        <f t="shared" ca="1" si="161"/>
        <v>0</v>
      </c>
      <c r="I71" s="297">
        <f t="shared" ca="1" si="161"/>
        <v>0</v>
      </c>
      <c r="J71" s="297">
        <f t="shared" ca="1" si="161"/>
        <v>0</v>
      </c>
      <c r="K71" s="297">
        <f t="shared" ca="1" si="161"/>
        <v>0</v>
      </c>
      <c r="L71" s="297">
        <f t="shared" ca="1" si="161"/>
        <v>0</v>
      </c>
      <c r="M71" s="297">
        <f t="shared" ca="1" si="161"/>
        <v>0</v>
      </c>
      <c r="N71" s="297">
        <f t="shared" ca="1" si="161"/>
        <v>0</v>
      </c>
      <c r="O71" s="297">
        <f t="shared" ca="1" si="161"/>
        <v>0</v>
      </c>
      <c r="P71" s="297">
        <f t="shared" ca="1" si="136"/>
        <v>0</v>
      </c>
      <c r="Q71" s="84"/>
      <c r="R71" s="304">
        <f t="shared" ref="R71:AG71" ca="1" si="162">IFERROR(INDEX(INDIRECT($C71&amp;".Outputs["&amp;this.Year&amp;"]"), MATCH(R$5, INDIRECT($C71&amp;".Outputs[Vector]"), 0)), 0)</f>
        <v>0</v>
      </c>
      <c r="S71" s="304">
        <f t="shared" ca="1" si="162"/>
        <v>49.932600000000001</v>
      </c>
      <c r="T71" s="304">
        <f t="shared" ca="1" si="162"/>
        <v>0</v>
      </c>
      <c r="U71" s="304">
        <f t="shared" ca="1" si="162"/>
        <v>0</v>
      </c>
      <c r="V71" s="304">
        <f t="shared" ca="1" si="162"/>
        <v>0</v>
      </c>
      <c r="W71" s="304">
        <f t="shared" ca="1" si="162"/>
        <v>0</v>
      </c>
      <c r="X71" s="304">
        <f ca="1">IFERROR(INDEX(INDIRECT($C71&amp;".Outputs["&amp;this.Year&amp;"]"), MATCH(X$5, INDIRECT($C71&amp;".Outputs[Vector]"), 0)), 0)</f>
        <v>0</v>
      </c>
      <c r="Y71" s="304">
        <f ca="1">IFERROR(INDEX(INDIRECT($C71&amp;".Outputs["&amp;this.Year&amp;"]"), MATCH(Y$5, INDIRECT($C71&amp;".Outputs[Vector]"), 0)), 0)</f>
        <v>0</v>
      </c>
      <c r="Z71" s="304">
        <f ca="1">IFERROR(INDEX(INDIRECT($C71&amp;".Outputs["&amp;this.Year&amp;"]"), MATCH(Z$5, INDIRECT($C71&amp;".Outputs[Vector]"), 0)), 0)</f>
        <v>0</v>
      </c>
      <c r="AA71" s="304">
        <f t="shared" ca="1" si="162"/>
        <v>0</v>
      </c>
      <c r="AB71" s="304">
        <f t="shared" ca="1" si="162"/>
        <v>0</v>
      </c>
      <c r="AC71" s="304">
        <f t="shared" ca="1" si="162"/>
        <v>0</v>
      </c>
      <c r="AD71" s="304">
        <f t="shared" ca="1" si="162"/>
        <v>0</v>
      </c>
      <c r="AE71" s="304">
        <f t="shared" ca="1" si="162"/>
        <v>0</v>
      </c>
      <c r="AF71" s="304">
        <f t="shared" ca="1" si="162"/>
        <v>0</v>
      </c>
      <c r="AG71" s="304">
        <f t="shared" ca="1" si="162"/>
        <v>0</v>
      </c>
      <c r="AH71" s="305">
        <f t="shared" ca="1" si="159"/>
        <v>49.932600000000001</v>
      </c>
      <c r="AI71" s="84"/>
      <c r="AJ71" s="312">
        <f t="shared" ref="AJ71:AR71" ca="1" si="163">IFERROR(INDEX(INDIRECT($C71&amp;".Outputs["&amp;this.Year&amp;"]"), MATCH(AJ$5, INDIRECT($C71&amp;".Outputs[Vector]"), 0)), 0)</f>
        <v>0</v>
      </c>
      <c r="AK71" s="312">
        <f t="shared" ca="1" si="163"/>
        <v>0</v>
      </c>
      <c r="AL71" s="312">
        <f t="shared" ca="1" si="163"/>
        <v>0</v>
      </c>
      <c r="AM71" s="312">
        <f t="shared" ca="1" si="163"/>
        <v>0</v>
      </c>
      <c r="AN71" s="312">
        <f t="shared" ca="1" si="163"/>
        <v>-49.932600000000001</v>
      </c>
      <c r="AO71" s="312">
        <f t="shared" ca="1" si="163"/>
        <v>0</v>
      </c>
      <c r="AP71" s="312">
        <f t="shared" ca="1" si="163"/>
        <v>0</v>
      </c>
      <c r="AQ71" s="312">
        <f t="shared" ca="1" si="163"/>
        <v>0</v>
      </c>
      <c r="AR71" s="312">
        <f t="shared" ca="1" si="163"/>
        <v>0</v>
      </c>
      <c r="AS71" s="312">
        <f t="shared" ref="AS71:AX71" ca="1" si="164">IFERROR(INDEX(INDIRECT($C71&amp;".Outputs["&amp;this.Year&amp;"]"), MATCH(AS$5, INDIRECT($C71&amp;".Outputs[Vector]"), 0)), 0)</f>
        <v>0</v>
      </c>
      <c r="AT71" s="312">
        <f t="shared" ca="1" si="164"/>
        <v>0</v>
      </c>
      <c r="AU71" s="312">
        <f t="shared" ca="1" si="164"/>
        <v>0</v>
      </c>
      <c r="AV71" s="312">
        <f t="shared" ca="1" si="164"/>
        <v>0</v>
      </c>
      <c r="AW71" s="312">
        <f t="shared" ca="1" si="164"/>
        <v>0</v>
      </c>
      <c r="AX71" s="312">
        <f t="shared" ca="1" si="164"/>
        <v>0</v>
      </c>
      <c r="AY71" s="266">
        <f t="shared" ca="1" si="147"/>
        <v>-49.932600000000001</v>
      </c>
      <c r="AZ71" s="84"/>
      <c r="BA71" s="308">
        <f ca="1">IFERROR(INDEX(INDIRECT($C71&amp;".Outputs["&amp;this.Year&amp;"]"), MATCH(BA$5, INDIRECT($C71&amp;".Outputs[Vector]"), 0)), 0)</f>
        <v>0</v>
      </c>
      <c r="BB71" s="308">
        <f ca="1">IFERROR(INDEX(INDIRECT($C71&amp;".Outputs["&amp;this.Year&amp;"]"), MATCH(BB$5, INDIRECT($C71&amp;".Outputs[Vector]"), 0)), 0)</f>
        <v>0</v>
      </c>
      <c r="BC71" s="309">
        <f t="shared" ca="1" si="160"/>
        <v>0</v>
      </c>
      <c r="BD71" s="84"/>
      <c r="BE71" s="135">
        <f ca="1">P71+AH71+AY71+BC71</f>
        <v>0</v>
      </c>
      <c r="BF71" s="135"/>
      <c r="BH71" s="541">
        <f t="shared" ref="BH71:CU71" ca="1" si="165">IFERROR(SUMIFS(INDIRECT($C71&amp;".Emissions["&amp;this.Year&amp;"]"), INDIRECT($C71&amp;".Emissions[GHG]"), BH$6, INDIRECT($C71&amp;".Emissions[IPCC Sector]"), BH$5),0)</f>
        <v>0</v>
      </c>
      <c r="BI71" s="542">
        <f t="shared" ca="1" si="165"/>
        <v>0</v>
      </c>
      <c r="BJ71" s="542">
        <f t="shared" ca="1" si="165"/>
        <v>0</v>
      </c>
      <c r="BK71" s="542">
        <f t="shared" ca="1" si="165"/>
        <v>0</v>
      </c>
      <c r="BL71" s="542">
        <f t="shared" ca="1" si="165"/>
        <v>0</v>
      </c>
      <c r="BM71" s="542">
        <f t="shared" ca="1" si="165"/>
        <v>0</v>
      </c>
      <c r="BN71" s="542">
        <f t="shared" ca="1" si="165"/>
        <v>0</v>
      </c>
      <c r="BO71" s="542">
        <f t="shared" ca="1" si="165"/>
        <v>0</v>
      </c>
      <c r="BP71" s="542">
        <f t="shared" ca="1" si="165"/>
        <v>0</v>
      </c>
      <c r="BQ71" s="542">
        <f t="shared" ca="1" si="165"/>
        <v>0</v>
      </c>
      <c r="BR71" s="542">
        <f t="shared" ca="1" si="165"/>
        <v>0</v>
      </c>
      <c r="BS71" s="542">
        <f t="shared" ca="1" si="165"/>
        <v>0</v>
      </c>
      <c r="BT71" s="542">
        <f t="shared" ca="1" si="165"/>
        <v>0</v>
      </c>
      <c r="BU71" s="542">
        <f t="shared" ca="1" si="165"/>
        <v>0</v>
      </c>
      <c r="BV71" s="542">
        <f t="shared" ca="1" si="165"/>
        <v>0</v>
      </c>
      <c r="BW71" s="542">
        <f t="shared" ca="1" si="165"/>
        <v>0</v>
      </c>
      <c r="BX71" s="542">
        <f t="shared" ca="1" si="165"/>
        <v>0</v>
      </c>
      <c r="BY71" s="542">
        <f t="shared" ca="1" si="165"/>
        <v>0</v>
      </c>
      <c r="BZ71" s="542">
        <f t="shared" ca="1" si="165"/>
        <v>0</v>
      </c>
      <c r="CA71" s="542">
        <f t="shared" ca="1" si="165"/>
        <v>0</v>
      </c>
      <c r="CB71" s="542">
        <f t="shared" ca="1" si="165"/>
        <v>0</v>
      </c>
      <c r="CC71" s="542">
        <f t="shared" ca="1" si="165"/>
        <v>0</v>
      </c>
      <c r="CD71" s="542">
        <f t="shared" ca="1" si="165"/>
        <v>0</v>
      </c>
      <c r="CE71" s="542">
        <f t="shared" ca="1" si="165"/>
        <v>0</v>
      </c>
      <c r="CF71" s="542">
        <f t="shared" ca="1" si="165"/>
        <v>0</v>
      </c>
      <c r="CG71" s="542">
        <f t="shared" ca="1" si="165"/>
        <v>0</v>
      </c>
      <c r="CH71" s="542">
        <f t="shared" ca="1" si="165"/>
        <v>0</v>
      </c>
      <c r="CI71" s="542">
        <f t="shared" ca="1" si="165"/>
        <v>0</v>
      </c>
      <c r="CJ71" s="542">
        <f t="shared" ca="1" si="165"/>
        <v>0</v>
      </c>
      <c r="CK71" s="542">
        <f t="shared" ca="1" si="165"/>
        <v>0</v>
      </c>
      <c r="CL71" s="542">
        <f t="shared" ca="1" si="165"/>
        <v>0</v>
      </c>
      <c r="CM71" s="542">
        <f t="shared" ca="1" si="165"/>
        <v>0</v>
      </c>
      <c r="CN71" s="542">
        <f t="shared" ca="1" si="165"/>
        <v>0</v>
      </c>
      <c r="CO71" s="542">
        <f t="shared" ca="1" si="165"/>
        <v>0</v>
      </c>
      <c r="CP71" s="542">
        <f t="shared" ca="1" si="165"/>
        <v>0</v>
      </c>
      <c r="CQ71" s="542">
        <f t="shared" ca="1" si="165"/>
        <v>0</v>
      </c>
      <c r="CR71" s="542">
        <f t="shared" ca="1" si="165"/>
        <v>0</v>
      </c>
      <c r="CS71" s="542">
        <f t="shared" ca="1" si="165"/>
        <v>0</v>
      </c>
      <c r="CT71" s="542">
        <f t="shared" ca="1" si="165"/>
        <v>0</v>
      </c>
      <c r="CU71" s="542">
        <f t="shared" ca="1" si="165"/>
        <v>0</v>
      </c>
      <c r="CW71" s="151"/>
    </row>
    <row r="72" spans="1:101" s="547" customFormat="1" ht="12.75" customHeight="1" outlineLevel="1" x14ac:dyDescent="0.2">
      <c r="C72" s="319" t="s">
        <v>858</v>
      </c>
      <c r="D72" s="320" t="s">
        <v>588</v>
      </c>
      <c r="E72" s="320"/>
      <c r="F72" s="84"/>
      <c r="G72" s="333"/>
      <c r="H72" s="333"/>
      <c r="I72" s="333"/>
      <c r="J72" s="333"/>
      <c r="K72" s="333"/>
      <c r="L72" s="334"/>
      <c r="M72" s="333"/>
      <c r="N72" s="333"/>
      <c r="O72" s="333"/>
      <c r="P72" s="333">
        <f t="shared" si="136"/>
        <v>0</v>
      </c>
      <c r="Q72" s="84"/>
      <c r="R72" s="335">
        <f ca="1">R$28+R$36+R$80+R$40+R$71</f>
        <v>-797.53692959998352</v>
      </c>
      <c r="S72" s="335">
        <f ca="1">S$28+S$36+S$80+S$40+S$71</f>
        <v>49.932600000000001</v>
      </c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>
        <f t="shared" ca="1" si="159"/>
        <v>-747.60432959998354</v>
      </c>
      <c r="AI72" s="84"/>
      <c r="AJ72" s="336"/>
      <c r="AK72" s="336"/>
      <c r="AL72" s="336"/>
      <c r="AM72" s="336"/>
      <c r="AN72" s="336"/>
      <c r="AO72" s="336"/>
      <c r="AP72" s="336"/>
      <c r="AQ72" s="336"/>
      <c r="AR72" s="336"/>
      <c r="AS72" s="336"/>
      <c r="AT72" s="336"/>
      <c r="AU72" s="336"/>
      <c r="AV72" s="336"/>
      <c r="AW72" s="336"/>
      <c r="AX72" s="336"/>
      <c r="AY72" s="336">
        <f t="shared" si="147"/>
        <v>0</v>
      </c>
      <c r="AZ72" s="84"/>
      <c r="BA72" s="337"/>
      <c r="BB72" s="337"/>
      <c r="BC72" s="337">
        <f t="shared" si="160"/>
        <v>0</v>
      </c>
      <c r="BD72" s="84"/>
      <c r="BE72" s="164"/>
      <c r="BF72" s="164"/>
      <c r="BH72" s="549"/>
      <c r="BI72" s="549"/>
      <c r="BJ72" s="549"/>
      <c r="BK72" s="549"/>
      <c r="BL72" s="549"/>
      <c r="BM72" s="549"/>
      <c r="BN72" s="549"/>
      <c r="BO72" s="549"/>
      <c r="BP72" s="549"/>
      <c r="BQ72" s="549"/>
      <c r="BR72" s="549"/>
      <c r="BS72" s="549"/>
      <c r="BT72" s="549"/>
      <c r="BU72" s="549"/>
      <c r="BV72" s="549"/>
      <c r="BW72" s="549"/>
      <c r="BX72" s="549"/>
      <c r="BY72" s="549"/>
      <c r="BZ72" s="549"/>
      <c r="CA72" s="549"/>
      <c r="CB72" s="549"/>
      <c r="CC72" s="549"/>
      <c r="CD72" s="549"/>
      <c r="CE72" s="549"/>
      <c r="CF72" s="549"/>
      <c r="CG72" s="549"/>
      <c r="CH72" s="549"/>
      <c r="CI72" s="549"/>
      <c r="CJ72" s="549"/>
      <c r="CK72" s="549"/>
      <c r="CL72" s="549"/>
      <c r="CM72" s="549"/>
      <c r="CN72" s="549"/>
      <c r="CO72" s="549"/>
      <c r="CP72" s="549"/>
      <c r="CQ72" s="549"/>
      <c r="CR72" s="549"/>
      <c r="CS72" s="549"/>
      <c r="CT72" s="549"/>
      <c r="CU72" s="549"/>
      <c r="CW72" s="151"/>
    </row>
    <row r="73" spans="1:101" s="543" customFormat="1" outlineLevel="1" x14ac:dyDescent="0.2">
      <c r="C73" s="62" t="s">
        <v>313</v>
      </c>
      <c r="D73" s="61" t="str">
        <f>INDEX(Modules[Module], MATCH($C73, Modules[Code], 0))</f>
        <v>Electricity grid distribution</v>
      </c>
      <c r="E73" s="61"/>
      <c r="F73" s="84"/>
      <c r="G73" s="297">
        <f t="shared" ref="G73:O73" ca="1" si="166">IFERROR(INDEX(INDIRECT($C73&amp;".Outputs["&amp;this.Year&amp;"]"), MATCH(G$5, INDIRECT($C73&amp;".Outputs[Vector]"), 0)), 0)</f>
        <v>0</v>
      </c>
      <c r="H73" s="297">
        <f t="shared" ca="1" si="166"/>
        <v>0</v>
      </c>
      <c r="I73" s="297">
        <f t="shared" ca="1" si="166"/>
        <v>0</v>
      </c>
      <c r="J73" s="297">
        <f t="shared" ca="1" si="166"/>
        <v>0</v>
      </c>
      <c r="K73" s="297">
        <f t="shared" ca="1" si="166"/>
        <v>0</v>
      </c>
      <c r="L73" s="297">
        <f t="shared" ca="1" si="166"/>
        <v>0</v>
      </c>
      <c r="M73" s="297">
        <f t="shared" ca="1" si="166"/>
        <v>0</v>
      </c>
      <c r="N73" s="297">
        <f t="shared" ca="1" si="166"/>
        <v>0</v>
      </c>
      <c r="O73" s="297">
        <f t="shared" ca="1" si="166"/>
        <v>0</v>
      </c>
      <c r="P73" s="297">
        <f t="shared" ca="1" si="136"/>
        <v>0</v>
      </c>
      <c r="Q73" s="84"/>
      <c r="R73" s="304">
        <f t="shared" ref="R73:AG73" ca="1" si="167">IFERROR(INDEX(INDIRECT($C73&amp;".Outputs["&amp;this.Year&amp;"]"), MATCH(R$5, INDIRECT($C73&amp;".Outputs[Vector]"), 0)), 0)</f>
        <v>0</v>
      </c>
      <c r="S73" s="304">
        <f t="shared" ca="1" si="167"/>
        <v>-88.615214399998194</v>
      </c>
      <c r="T73" s="304">
        <f t="shared" ca="1" si="167"/>
        <v>0</v>
      </c>
      <c r="U73" s="304">
        <f t="shared" ca="1" si="167"/>
        <v>0</v>
      </c>
      <c r="V73" s="304">
        <f t="shared" ca="1" si="167"/>
        <v>0</v>
      </c>
      <c r="W73" s="304">
        <f t="shared" ca="1" si="167"/>
        <v>0</v>
      </c>
      <c r="X73" s="304">
        <f t="shared" ref="X73:Z73" ca="1" si="168">IFERROR(INDEX(INDIRECT($C73&amp;".Outputs["&amp;this.Year&amp;"]"), MATCH(X$5, INDIRECT($C73&amp;".Outputs[Vector]"), 0)), 0)</f>
        <v>0</v>
      </c>
      <c r="Y73" s="304">
        <f t="shared" ca="1" si="168"/>
        <v>0</v>
      </c>
      <c r="Z73" s="304">
        <f t="shared" ca="1" si="168"/>
        <v>0</v>
      </c>
      <c r="AA73" s="304">
        <f t="shared" ca="1" si="167"/>
        <v>0</v>
      </c>
      <c r="AB73" s="304">
        <f t="shared" ca="1" si="167"/>
        <v>0</v>
      </c>
      <c r="AC73" s="304">
        <f t="shared" ca="1" si="167"/>
        <v>0</v>
      </c>
      <c r="AD73" s="304">
        <f t="shared" ca="1" si="167"/>
        <v>0</v>
      </c>
      <c r="AE73" s="304">
        <f t="shared" ca="1" si="167"/>
        <v>0</v>
      </c>
      <c r="AF73" s="304">
        <f t="shared" ca="1" si="167"/>
        <v>0</v>
      </c>
      <c r="AG73" s="304">
        <f t="shared" ca="1" si="167"/>
        <v>0</v>
      </c>
      <c r="AH73" s="305">
        <f t="shared" ca="1" si="159"/>
        <v>-88.615214399998194</v>
      </c>
      <c r="AI73" s="84"/>
      <c r="AJ73" s="312">
        <f t="shared" ref="AJ73:AR73" ca="1" si="169">IFERROR(INDEX(INDIRECT($C73&amp;".Outputs["&amp;this.Year&amp;"]"), MATCH(AJ$5, INDIRECT($C73&amp;".Outputs[Vector]"), 0)), 0)</f>
        <v>0</v>
      </c>
      <c r="AK73" s="312">
        <f t="shared" ca="1" si="169"/>
        <v>0</v>
      </c>
      <c r="AL73" s="312">
        <f t="shared" ca="1" si="169"/>
        <v>0</v>
      </c>
      <c r="AM73" s="312">
        <f t="shared" ca="1" si="169"/>
        <v>0</v>
      </c>
      <c r="AN73" s="312">
        <f t="shared" ca="1" si="169"/>
        <v>0</v>
      </c>
      <c r="AO73" s="312">
        <f t="shared" ca="1" si="169"/>
        <v>0</v>
      </c>
      <c r="AP73" s="312">
        <f t="shared" ca="1" si="169"/>
        <v>0</v>
      </c>
      <c r="AQ73" s="312">
        <f t="shared" ca="1" si="169"/>
        <v>0</v>
      </c>
      <c r="AR73" s="312">
        <f t="shared" ca="1" si="169"/>
        <v>0</v>
      </c>
      <c r="AS73" s="312">
        <f t="shared" ref="AS73:AX73" ca="1" si="170">IFERROR(INDEX(INDIRECT($C73&amp;".Outputs["&amp;this.Year&amp;"]"), MATCH(AS$5, INDIRECT($C73&amp;".Outputs[Vector]"), 0)), 0)</f>
        <v>0</v>
      </c>
      <c r="AT73" s="312">
        <f t="shared" ca="1" si="170"/>
        <v>0</v>
      </c>
      <c r="AU73" s="312">
        <f t="shared" ca="1" si="170"/>
        <v>0</v>
      </c>
      <c r="AV73" s="312">
        <f t="shared" ca="1" si="170"/>
        <v>0</v>
      </c>
      <c r="AW73" s="312">
        <f t="shared" ca="1" si="170"/>
        <v>0</v>
      </c>
      <c r="AX73" s="312">
        <f t="shared" ca="1" si="170"/>
        <v>0</v>
      </c>
      <c r="AY73" s="266">
        <f t="shared" ca="1" si="147"/>
        <v>0</v>
      </c>
      <c r="AZ73" s="84"/>
      <c r="BA73" s="308">
        <f ca="1">IFERROR(INDEX(INDIRECT($C73&amp;".Outputs["&amp;this.Year&amp;"]"), MATCH(BA$5, INDIRECT($C73&amp;".Outputs[Vector]"), 0)), 0)</f>
        <v>0</v>
      </c>
      <c r="BB73" s="308">
        <f ca="1">IFERROR(INDEX(INDIRECT($C73&amp;".Outputs["&amp;this.Year&amp;"]"), MATCH(BB$5, INDIRECT($C73&amp;".Outputs[Vector]"), 0)), 0)</f>
        <v>88.61521439999818</v>
      </c>
      <c r="BC73" s="309">
        <f t="shared" ca="1" si="160"/>
        <v>88.61521439999818</v>
      </c>
      <c r="BD73" s="84"/>
      <c r="BE73" s="164">
        <f ca="1">P73+AH73+AY73+BC73</f>
        <v>0</v>
      </c>
      <c r="BF73" s="135"/>
      <c r="BH73" s="541">
        <f t="shared" ref="BH73:BQ73" ca="1" si="171">IFERROR(SUMIFS(INDIRECT($C73&amp;".Emissions["&amp;this.Year&amp;"]"), INDIRECT($C73&amp;".Emissions[GHG]"), BH$6, INDIRECT($C73&amp;".Emissions[IPCC Sector]"), BH$5),0)</f>
        <v>0</v>
      </c>
      <c r="BI73" s="542">
        <f t="shared" ca="1" si="171"/>
        <v>0</v>
      </c>
      <c r="BJ73" s="542">
        <f t="shared" ca="1" si="171"/>
        <v>0</v>
      </c>
      <c r="BK73" s="542">
        <f t="shared" ca="1" si="171"/>
        <v>0</v>
      </c>
      <c r="BL73" s="542">
        <f t="shared" ca="1" si="171"/>
        <v>0</v>
      </c>
      <c r="BM73" s="542">
        <f t="shared" ca="1" si="171"/>
        <v>0</v>
      </c>
      <c r="BN73" s="542">
        <f t="shared" ca="1" si="171"/>
        <v>0</v>
      </c>
      <c r="BO73" s="542">
        <f t="shared" ca="1" si="171"/>
        <v>0</v>
      </c>
      <c r="BP73" s="542">
        <f t="shared" ca="1" si="171"/>
        <v>0</v>
      </c>
      <c r="BQ73" s="542">
        <f t="shared" ca="1" si="171"/>
        <v>0</v>
      </c>
      <c r="BR73" s="542">
        <f t="shared" ref="BR73:CA73" ca="1" si="172">IFERROR(SUMIFS(INDIRECT($C73&amp;".Emissions["&amp;this.Year&amp;"]"), INDIRECT($C73&amp;".Emissions[GHG]"), BR$6, INDIRECT($C73&amp;".Emissions[IPCC Sector]"), BR$5),0)</f>
        <v>0</v>
      </c>
      <c r="BS73" s="542">
        <f t="shared" ca="1" si="172"/>
        <v>0</v>
      </c>
      <c r="BT73" s="542">
        <f t="shared" ca="1" si="172"/>
        <v>0</v>
      </c>
      <c r="BU73" s="542">
        <f t="shared" ca="1" si="172"/>
        <v>0</v>
      </c>
      <c r="BV73" s="542">
        <f t="shared" ca="1" si="172"/>
        <v>0</v>
      </c>
      <c r="BW73" s="542">
        <f t="shared" ca="1" si="172"/>
        <v>0</v>
      </c>
      <c r="BX73" s="542">
        <f t="shared" ca="1" si="172"/>
        <v>0</v>
      </c>
      <c r="BY73" s="542">
        <f t="shared" ca="1" si="172"/>
        <v>0</v>
      </c>
      <c r="BZ73" s="542">
        <f t="shared" ca="1" si="172"/>
        <v>0</v>
      </c>
      <c r="CA73" s="542">
        <f t="shared" ca="1" si="172"/>
        <v>0</v>
      </c>
      <c r="CB73" s="542">
        <f t="shared" ref="CB73:CK73" ca="1" si="173">IFERROR(SUMIFS(INDIRECT($C73&amp;".Emissions["&amp;this.Year&amp;"]"), INDIRECT($C73&amp;".Emissions[GHG]"), CB$6, INDIRECT($C73&amp;".Emissions[IPCC Sector]"), CB$5),0)</f>
        <v>0</v>
      </c>
      <c r="CC73" s="542">
        <f t="shared" ca="1" si="173"/>
        <v>0</v>
      </c>
      <c r="CD73" s="542">
        <f t="shared" ca="1" si="173"/>
        <v>0</v>
      </c>
      <c r="CE73" s="542">
        <f t="shared" ca="1" si="173"/>
        <v>0</v>
      </c>
      <c r="CF73" s="542">
        <f t="shared" ca="1" si="173"/>
        <v>0</v>
      </c>
      <c r="CG73" s="542">
        <f t="shared" ca="1" si="173"/>
        <v>0</v>
      </c>
      <c r="CH73" s="542">
        <f t="shared" ca="1" si="173"/>
        <v>0</v>
      </c>
      <c r="CI73" s="542">
        <f t="shared" ca="1" si="173"/>
        <v>0</v>
      </c>
      <c r="CJ73" s="542">
        <f t="shared" ca="1" si="173"/>
        <v>0</v>
      </c>
      <c r="CK73" s="542">
        <f t="shared" ca="1" si="173"/>
        <v>0</v>
      </c>
      <c r="CL73" s="542">
        <f t="shared" ref="CL73:CU73" ca="1" si="174">IFERROR(SUMIFS(INDIRECT($C73&amp;".Emissions["&amp;this.Year&amp;"]"), INDIRECT($C73&amp;".Emissions[GHG]"), CL$6, INDIRECT($C73&amp;".Emissions[IPCC Sector]"), CL$5),0)</f>
        <v>0</v>
      </c>
      <c r="CM73" s="542">
        <f t="shared" ca="1" si="174"/>
        <v>0</v>
      </c>
      <c r="CN73" s="542">
        <f t="shared" ca="1" si="174"/>
        <v>0</v>
      </c>
      <c r="CO73" s="542">
        <f t="shared" ca="1" si="174"/>
        <v>0</v>
      </c>
      <c r="CP73" s="542">
        <f t="shared" ca="1" si="174"/>
        <v>0</v>
      </c>
      <c r="CQ73" s="542">
        <f t="shared" ca="1" si="174"/>
        <v>0</v>
      </c>
      <c r="CR73" s="542">
        <f t="shared" ca="1" si="174"/>
        <v>0</v>
      </c>
      <c r="CS73" s="542">
        <f t="shared" ca="1" si="174"/>
        <v>0</v>
      </c>
      <c r="CT73" s="542">
        <f t="shared" ca="1" si="174"/>
        <v>0</v>
      </c>
      <c r="CU73" s="542">
        <f t="shared" ca="1" si="174"/>
        <v>0</v>
      </c>
      <c r="CW73" s="151"/>
    </row>
    <row r="74" spans="1:101" s="18" customFormat="1" ht="12.75" customHeight="1" x14ac:dyDescent="0.2">
      <c r="B74" s="89"/>
      <c r="C74" s="85" t="s">
        <v>226</v>
      </c>
      <c r="D74" s="57" t="str">
        <f>INDEX(Workstreams[Workstream], MATCH($C74, Workstreams[Code], 0))</f>
        <v>Electricity distribution, storage &amp; balancing</v>
      </c>
      <c r="E74" s="53"/>
      <c r="F74" s="84"/>
      <c r="G74" s="245">
        <f ca="1">G$71+G$73</f>
        <v>0</v>
      </c>
      <c r="H74" s="245">
        <f t="shared" ref="H74:BS74" ca="1" si="175">H$71+H$73</f>
        <v>0</v>
      </c>
      <c r="I74" s="245">
        <f t="shared" ca="1" si="175"/>
        <v>0</v>
      </c>
      <c r="J74" s="245">
        <f t="shared" ca="1" si="175"/>
        <v>0</v>
      </c>
      <c r="K74" s="245">
        <f t="shared" ca="1" si="175"/>
        <v>0</v>
      </c>
      <c r="L74" s="245">
        <f t="shared" ca="1" si="175"/>
        <v>0</v>
      </c>
      <c r="M74" s="245">
        <f t="shared" ca="1" si="175"/>
        <v>0</v>
      </c>
      <c r="N74" s="245">
        <f t="shared" ca="1" si="175"/>
        <v>0</v>
      </c>
      <c r="O74" s="245">
        <f t="shared" ca="1" si="175"/>
        <v>0</v>
      </c>
      <c r="P74" s="245">
        <f t="shared" ca="1" si="136"/>
        <v>0</v>
      </c>
      <c r="Q74" s="245">
        <f t="shared" si="175"/>
        <v>0</v>
      </c>
      <c r="R74" s="245">
        <f t="shared" ca="1" si="175"/>
        <v>0</v>
      </c>
      <c r="S74" s="245">
        <f t="shared" ca="1" si="175"/>
        <v>-38.682614399998194</v>
      </c>
      <c r="T74" s="245">
        <f t="shared" ca="1" si="175"/>
        <v>0</v>
      </c>
      <c r="U74" s="245">
        <f t="shared" ca="1" si="175"/>
        <v>0</v>
      </c>
      <c r="V74" s="245">
        <f t="shared" ca="1" si="175"/>
        <v>0</v>
      </c>
      <c r="W74" s="245">
        <f t="shared" ca="1" si="175"/>
        <v>0</v>
      </c>
      <c r="X74" s="245">
        <f t="shared" ca="1" si="175"/>
        <v>0</v>
      </c>
      <c r="Y74" s="245">
        <f t="shared" ca="1" si="175"/>
        <v>0</v>
      </c>
      <c r="Z74" s="245">
        <f t="shared" ca="1" si="175"/>
        <v>0</v>
      </c>
      <c r="AA74" s="245">
        <f t="shared" ca="1" si="175"/>
        <v>0</v>
      </c>
      <c r="AB74" s="245">
        <f t="shared" ca="1" si="175"/>
        <v>0</v>
      </c>
      <c r="AC74" s="245">
        <f t="shared" ca="1" si="175"/>
        <v>0</v>
      </c>
      <c r="AD74" s="245">
        <f t="shared" ca="1" si="175"/>
        <v>0</v>
      </c>
      <c r="AE74" s="245">
        <f t="shared" ca="1" si="175"/>
        <v>0</v>
      </c>
      <c r="AF74" s="245">
        <f t="shared" ca="1" si="175"/>
        <v>0</v>
      </c>
      <c r="AG74" s="245">
        <f t="shared" ca="1" si="175"/>
        <v>0</v>
      </c>
      <c r="AH74" s="245">
        <f t="shared" ca="1" si="159"/>
        <v>-38.682614399998194</v>
      </c>
      <c r="AI74" s="245">
        <f t="shared" si="175"/>
        <v>0</v>
      </c>
      <c r="AJ74" s="245">
        <f t="shared" ca="1" si="175"/>
        <v>0</v>
      </c>
      <c r="AK74" s="245">
        <f t="shared" ca="1" si="175"/>
        <v>0</v>
      </c>
      <c r="AL74" s="245">
        <f t="shared" ca="1" si="175"/>
        <v>0</v>
      </c>
      <c r="AM74" s="245">
        <f t="shared" ca="1" si="175"/>
        <v>0</v>
      </c>
      <c r="AN74" s="245">
        <f t="shared" ca="1" si="175"/>
        <v>-49.932600000000001</v>
      </c>
      <c r="AO74" s="245">
        <f t="shared" ca="1" si="175"/>
        <v>0</v>
      </c>
      <c r="AP74" s="245">
        <f t="shared" ca="1" si="175"/>
        <v>0</v>
      </c>
      <c r="AQ74" s="245">
        <f t="shared" ca="1" si="175"/>
        <v>0</v>
      </c>
      <c r="AR74" s="245">
        <f t="shared" ca="1" si="175"/>
        <v>0</v>
      </c>
      <c r="AS74" s="245">
        <f t="shared" ca="1" si="175"/>
        <v>0</v>
      </c>
      <c r="AT74" s="245">
        <f t="shared" ca="1" si="175"/>
        <v>0</v>
      </c>
      <c r="AU74" s="245">
        <f t="shared" ca="1" si="175"/>
        <v>0</v>
      </c>
      <c r="AV74" s="245">
        <f t="shared" ca="1" si="175"/>
        <v>0</v>
      </c>
      <c r="AW74" s="245">
        <f t="shared" ca="1" si="175"/>
        <v>0</v>
      </c>
      <c r="AX74" s="245">
        <f t="shared" ca="1" si="175"/>
        <v>0</v>
      </c>
      <c r="AY74" s="245">
        <f t="shared" ca="1" si="147"/>
        <v>-49.932600000000001</v>
      </c>
      <c r="AZ74" s="245">
        <f t="shared" si="175"/>
        <v>0</v>
      </c>
      <c r="BA74" s="245">
        <f t="shared" ca="1" si="175"/>
        <v>0</v>
      </c>
      <c r="BB74" s="245">
        <f t="shared" ca="1" si="175"/>
        <v>88.61521439999818</v>
      </c>
      <c r="BC74" s="245">
        <f t="shared" ca="1" si="160"/>
        <v>88.61521439999818</v>
      </c>
      <c r="BD74" s="245">
        <f t="shared" si="175"/>
        <v>0</v>
      </c>
      <c r="BE74" s="245">
        <f t="shared" ca="1" si="175"/>
        <v>0</v>
      </c>
      <c r="BF74" s="245">
        <f t="shared" si="175"/>
        <v>0</v>
      </c>
      <c r="BG74" s="245">
        <f t="shared" si="175"/>
        <v>0</v>
      </c>
      <c r="BH74" s="245">
        <f t="shared" ca="1" si="175"/>
        <v>0</v>
      </c>
      <c r="BI74" s="245">
        <f t="shared" ca="1" si="175"/>
        <v>0</v>
      </c>
      <c r="BJ74" s="245">
        <f t="shared" ca="1" si="175"/>
        <v>0</v>
      </c>
      <c r="BK74" s="245">
        <f t="shared" ca="1" si="175"/>
        <v>0</v>
      </c>
      <c r="BL74" s="245">
        <f t="shared" ca="1" si="175"/>
        <v>0</v>
      </c>
      <c r="BM74" s="245">
        <f t="shared" ca="1" si="175"/>
        <v>0</v>
      </c>
      <c r="BN74" s="245">
        <f t="shared" ca="1" si="175"/>
        <v>0</v>
      </c>
      <c r="BO74" s="245">
        <f t="shared" ca="1" si="175"/>
        <v>0</v>
      </c>
      <c r="BP74" s="245">
        <f t="shared" ca="1" si="175"/>
        <v>0</v>
      </c>
      <c r="BQ74" s="245">
        <f t="shared" ca="1" si="175"/>
        <v>0</v>
      </c>
      <c r="BR74" s="245">
        <f t="shared" ca="1" si="175"/>
        <v>0</v>
      </c>
      <c r="BS74" s="245">
        <f t="shared" ca="1" si="175"/>
        <v>0</v>
      </c>
      <c r="BT74" s="245">
        <f t="shared" ref="BT74:CW74" ca="1" si="176">BT$71+BT$73</f>
        <v>0</v>
      </c>
      <c r="BU74" s="245">
        <f t="shared" ca="1" si="176"/>
        <v>0</v>
      </c>
      <c r="BV74" s="245">
        <f t="shared" ca="1" si="176"/>
        <v>0</v>
      </c>
      <c r="BW74" s="245">
        <f t="shared" ca="1" si="176"/>
        <v>0</v>
      </c>
      <c r="BX74" s="245">
        <f t="shared" ca="1" si="176"/>
        <v>0</v>
      </c>
      <c r="BY74" s="245">
        <f t="shared" ca="1" si="176"/>
        <v>0</v>
      </c>
      <c r="BZ74" s="245">
        <f t="shared" ca="1" si="176"/>
        <v>0</v>
      </c>
      <c r="CA74" s="245">
        <f t="shared" ca="1" si="176"/>
        <v>0</v>
      </c>
      <c r="CB74" s="245">
        <f t="shared" ca="1" si="176"/>
        <v>0</v>
      </c>
      <c r="CC74" s="245">
        <f t="shared" ca="1" si="176"/>
        <v>0</v>
      </c>
      <c r="CD74" s="245">
        <f t="shared" ca="1" si="176"/>
        <v>0</v>
      </c>
      <c r="CE74" s="245">
        <f t="shared" ca="1" si="176"/>
        <v>0</v>
      </c>
      <c r="CF74" s="245">
        <f t="shared" ca="1" si="176"/>
        <v>0</v>
      </c>
      <c r="CG74" s="245">
        <f t="shared" ca="1" si="176"/>
        <v>0</v>
      </c>
      <c r="CH74" s="245">
        <f t="shared" ca="1" si="176"/>
        <v>0</v>
      </c>
      <c r="CI74" s="245">
        <f t="shared" ca="1" si="176"/>
        <v>0</v>
      </c>
      <c r="CJ74" s="245">
        <f t="shared" ca="1" si="176"/>
        <v>0</v>
      </c>
      <c r="CK74" s="245">
        <f t="shared" ca="1" si="176"/>
        <v>0</v>
      </c>
      <c r="CL74" s="245">
        <f t="shared" ca="1" si="176"/>
        <v>0</v>
      </c>
      <c r="CM74" s="245">
        <f t="shared" ca="1" si="176"/>
        <v>0</v>
      </c>
      <c r="CN74" s="245">
        <f t="shared" ca="1" si="176"/>
        <v>0</v>
      </c>
      <c r="CO74" s="245">
        <f t="shared" ca="1" si="176"/>
        <v>0</v>
      </c>
      <c r="CP74" s="245">
        <f t="shared" ca="1" si="176"/>
        <v>0</v>
      </c>
      <c r="CQ74" s="245">
        <f t="shared" ca="1" si="176"/>
        <v>0</v>
      </c>
      <c r="CR74" s="245">
        <f t="shared" ca="1" si="176"/>
        <v>0</v>
      </c>
      <c r="CS74" s="245">
        <f t="shared" ca="1" si="176"/>
        <v>0</v>
      </c>
      <c r="CT74" s="245">
        <f t="shared" ca="1" si="176"/>
        <v>0</v>
      </c>
      <c r="CU74" s="245">
        <f t="shared" ca="1" si="176"/>
        <v>0</v>
      </c>
      <c r="CV74" s="245">
        <f t="shared" si="176"/>
        <v>0</v>
      </c>
      <c r="CW74" s="245">
        <f t="shared" si="176"/>
        <v>0</v>
      </c>
    </row>
    <row r="75" spans="1:101" s="84" customFormat="1" ht="12.75" customHeight="1" outlineLevel="1" x14ac:dyDescent="0.2">
      <c r="A75" s="18"/>
      <c r="B75" s="18"/>
      <c r="C75" s="87"/>
      <c r="D75" s="53"/>
      <c r="E75" s="53"/>
      <c r="G75" s="245"/>
      <c r="H75" s="245"/>
      <c r="I75" s="245"/>
      <c r="J75" s="245"/>
      <c r="K75" s="245"/>
      <c r="L75" s="247"/>
      <c r="M75" s="245"/>
      <c r="N75" s="245"/>
      <c r="O75" s="245"/>
      <c r="P75" s="245">
        <f t="shared" si="136"/>
        <v>0</v>
      </c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>
        <f t="shared" si="159"/>
        <v>0</v>
      </c>
      <c r="AJ75" s="263"/>
      <c r="AK75" s="263"/>
      <c r="AL75" s="263"/>
      <c r="AM75" s="263"/>
      <c r="AN75" s="263"/>
      <c r="AO75" s="263"/>
      <c r="AP75" s="263"/>
      <c r="AQ75" s="263"/>
      <c r="AR75" s="263"/>
      <c r="AS75" s="263"/>
      <c r="AT75" s="263"/>
      <c r="AU75" s="263"/>
      <c r="AV75" s="263"/>
      <c r="AW75" s="263"/>
      <c r="AX75" s="263"/>
      <c r="AY75" s="263">
        <f t="shared" si="147"/>
        <v>0</v>
      </c>
      <c r="BA75" s="277"/>
      <c r="BB75" s="277"/>
      <c r="BC75" s="277">
        <f t="shared" si="160"/>
        <v>0</v>
      </c>
      <c r="BE75" s="55">
        <f>P75+AH75+AY75+BC75</f>
        <v>0</v>
      </c>
      <c r="BF75" s="55"/>
      <c r="BG75" s="1428"/>
      <c r="BH75" s="542"/>
      <c r="BI75" s="542"/>
      <c r="BJ75" s="542"/>
      <c r="BK75" s="542"/>
      <c r="BL75" s="542"/>
      <c r="BM75" s="542"/>
      <c r="BN75" s="542"/>
      <c r="BO75" s="542"/>
      <c r="BP75" s="542"/>
      <c r="BQ75" s="542"/>
      <c r="BR75" s="542"/>
      <c r="BS75" s="542"/>
      <c r="BT75" s="542"/>
      <c r="BU75" s="542"/>
      <c r="BV75" s="542"/>
      <c r="BW75" s="542"/>
      <c r="BX75" s="542"/>
      <c r="BY75" s="542"/>
      <c r="BZ75" s="542"/>
      <c r="CA75" s="542"/>
      <c r="CB75" s="542"/>
      <c r="CC75" s="542"/>
      <c r="CD75" s="542"/>
      <c r="CE75" s="542"/>
      <c r="CF75" s="542"/>
      <c r="CG75" s="542"/>
      <c r="CH75" s="542"/>
      <c r="CI75" s="542"/>
      <c r="CJ75" s="542"/>
      <c r="CK75" s="542"/>
      <c r="CL75" s="542"/>
      <c r="CM75" s="542"/>
      <c r="CN75" s="542"/>
      <c r="CO75" s="542"/>
      <c r="CP75" s="542"/>
      <c r="CQ75" s="542"/>
      <c r="CR75" s="542"/>
      <c r="CS75" s="542"/>
      <c r="CT75" s="542"/>
      <c r="CU75" s="542"/>
      <c r="CW75" s="151">
        <f t="shared" ref="CW75:CW85" si="177">SUM(BH75:CU75)</f>
        <v>0</v>
      </c>
    </row>
    <row r="76" spans="1:101" s="550" customFormat="1" ht="12.75" customHeight="1" outlineLevel="1" x14ac:dyDescent="0.2">
      <c r="C76" s="566" t="s">
        <v>859</v>
      </c>
      <c r="D76" s="567" t="s">
        <v>817</v>
      </c>
      <c r="E76" s="567"/>
      <c r="G76" s="333"/>
      <c r="H76" s="333"/>
      <c r="I76" s="333"/>
      <c r="J76" s="333"/>
      <c r="K76" s="333"/>
      <c r="L76" s="334"/>
      <c r="M76" s="333"/>
      <c r="N76" s="333"/>
      <c r="O76" s="333"/>
      <c r="P76" s="333">
        <f t="shared" si="136"/>
        <v>0</v>
      </c>
      <c r="R76" s="335"/>
      <c r="S76" s="335"/>
      <c r="T76" s="335">
        <f ca="1">(T$28+T$66+T$74)</f>
        <v>-998.96810111333627</v>
      </c>
      <c r="U76" s="335">
        <f ca="1">(U$28+U$66+U$74)</f>
        <v>-203.49573603510598</v>
      </c>
      <c r="V76" s="335">
        <f ca="1">(V$28+V$66+V$74)</f>
        <v>-1165.943944513436</v>
      </c>
      <c r="W76" s="335">
        <f ca="1">(W$28+W$66+W$74)</f>
        <v>-67.553818988990002</v>
      </c>
      <c r="X76" s="335"/>
      <c r="Y76" s="335"/>
      <c r="Z76" s="335"/>
      <c r="AA76" s="335"/>
      <c r="AB76" s="335">
        <f t="shared" ref="AB76:AG76" ca="1" si="178">(AB$28+AB$66+AB$74)</f>
        <v>0</v>
      </c>
      <c r="AC76" s="335">
        <f t="shared" ca="1" si="178"/>
        <v>2799.3665058013253</v>
      </c>
      <c r="AD76" s="335">
        <f t="shared" ca="1" si="178"/>
        <v>28.576909930226151</v>
      </c>
      <c r="AE76" s="335">
        <f t="shared" ca="1" si="178"/>
        <v>381.86251050585577</v>
      </c>
      <c r="AF76" s="335">
        <f t="shared" ca="1" si="178"/>
        <v>102.69414017084114</v>
      </c>
      <c r="AG76" s="335">
        <f t="shared" ca="1" si="178"/>
        <v>4.9487424290318085</v>
      </c>
      <c r="AH76" s="335">
        <f t="shared" ca="1" si="159"/>
        <v>881.48720818641198</v>
      </c>
      <c r="AJ76" s="336"/>
      <c r="AK76" s="336"/>
      <c r="AL76" s="336"/>
      <c r="AM76" s="336"/>
      <c r="AN76" s="336"/>
      <c r="AO76" s="336"/>
      <c r="AP76" s="336"/>
      <c r="AQ76" s="336"/>
      <c r="AR76" s="336"/>
      <c r="AS76" s="336"/>
      <c r="AT76" s="336"/>
      <c r="AU76" s="336"/>
      <c r="AV76" s="336"/>
      <c r="AW76" s="336"/>
      <c r="AX76" s="336">
        <f ca="1">AX28+AX36</f>
        <v>-493.99908350156198</v>
      </c>
      <c r="AY76" s="336">
        <f t="shared" ca="1" si="147"/>
        <v>-493.99908350156198</v>
      </c>
      <c r="BA76" s="337"/>
      <c r="BB76" s="337"/>
      <c r="BC76" s="337">
        <f t="shared" si="160"/>
        <v>0</v>
      </c>
      <c r="BE76" s="568"/>
      <c r="BF76" s="568"/>
      <c r="BG76" s="569"/>
      <c r="BH76" s="570"/>
      <c r="BI76" s="570"/>
      <c r="BJ76" s="570"/>
      <c r="BK76" s="570"/>
      <c r="BL76" s="570"/>
      <c r="BM76" s="570"/>
      <c r="BN76" s="570"/>
      <c r="BO76" s="570"/>
      <c r="BP76" s="570"/>
      <c r="BQ76" s="570"/>
      <c r="BR76" s="570"/>
      <c r="BS76" s="570"/>
      <c r="BT76" s="570"/>
      <c r="BU76" s="570"/>
      <c r="BV76" s="570"/>
      <c r="BW76" s="570"/>
      <c r="BX76" s="570"/>
      <c r="BY76" s="570"/>
      <c r="BZ76" s="570"/>
      <c r="CA76" s="570"/>
      <c r="CB76" s="570"/>
      <c r="CC76" s="570"/>
      <c r="CD76" s="570"/>
      <c r="CE76" s="570"/>
      <c r="CF76" s="570"/>
      <c r="CG76" s="570"/>
      <c r="CH76" s="570"/>
      <c r="CI76" s="570"/>
      <c r="CJ76" s="570"/>
      <c r="CK76" s="570"/>
      <c r="CL76" s="570"/>
      <c r="CM76" s="570"/>
      <c r="CN76" s="570"/>
      <c r="CO76" s="570"/>
      <c r="CP76" s="570"/>
      <c r="CQ76" s="570"/>
      <c r="CR76" s="570"/>
      <c r="CS76" s="570"/>
      <c r="CT76" s="570"/>
      <c r="CU76" s="570"/>
      <c r="CW76" s="569">
        <f t="shared" si="177"/>
        <v>0</v>
      </c>
    </row>
    <row r="77" spans="1:101" s="882" customFormat="1" ht="12.75" customHeight="1" outlineLevel="1" x14ac:dyDescent="0.2">
      <c r="A77" s="879"/>
      <c r="B77" s="879"/>
      <c r="C77" s="880" t="s">
        <v>400</v>
      </c>
      <c r="D77" s="881" t="str">
        <f>INDEX(Modules[Module], MATCH($C77, Modules[Code], 0))</f>
        <v>Types of fuel from Biomass</v>
      </c>
      <c r="E77" s="881"/>
      <c r="G77" s="326">
        <f t="shared" ref="G77:O79" ca="1" si="179">IFERROR(INDEX(INDIRECT($C77&amp;".Outputs["&amp;this.Year&amp;"]"), MATCH(G$5, INDIRECT($C77&amp;".Outputs[Vector]"), 0)), 0)</f>
        <v>0</v>
      </c>
      <c r="H77" s="326">
        <f t="shared" ca="1" si="179"/>
        <v>0</v>
      </c>
      <c r="I77" s="326">
        <f t="shared" ca="1" si="179"/>
        <v>0</v>
      </c>
      <c r="J77" s="326">
        <f t="shared" ca="1" si="179"/>
        <v>0</v>
      </c>
      <c r="K77" s="326">
        <f t="shared" ca="1" si="179"/>
        <v>0</v>
      </c>
      <c r="L77" s="326">
        <f t="shared" ca="1" si="179"/>
        <v>0</v>
      </c>
      <c r="M77" s="326">
        <f t="shared" ca="1" si="179"/>
        <v>0</v>
      </c>
      <c r="N77" s="326">
        <f t="shared" ca="1" si="179"/>
        <v>0</v>
      </c>
      <c r="O77" s="326">
        <f t="shared" ca="1" si="179"/>
        <v>0</v>
      </c>
      <c r="P77" s="326">
        <f t="shared" ca="1" si="136"/>
        <v>0</v>
      </c>
      <c r="R77" s="327">
        <f t="shared" ref="R77:AG79" ca="1" si="180">IFERROR(INDEX(INDIRECT($C77&amp;".Outputs["&amp;this.Year&amp;"]"), MATCH(R$5, INDIRECT($C77&amp;".Outputs[Vector]"), 0)), 0)</f>
        <v>0</v>
      </c>
      <c r="S77" s="327">
        <f t="shared" ca="1" si="180"/>
        <v>0</v>
      </c>
      <c r="T77" s="327">
        <f t="shared" ca="1" si="180"/>
        <v>0</v>
      </c>
      <c r="U77" s="327">
        <f t="shared" ca="1" si="180"/>
        <v>7.2242428303611712</v>
      </c>
      <c r="V77" s="327">
        <f t="shared" ca="1" si="180"/>
        <v>860.50098001876916</v>
      </c>
      <c r="W77" s="327">
        <f t="shared" ca="1" si="180"/>
        <v>2020.7120700163616</v>
      </c>
      <c r="X77" s="327">
        <f t="shared" ca="1" si="180"/>
        <v>0</v>
      </c>
      <c r="Y77" s="327">
        <f t="shared" ca="1" si="180"/>
        <v>0</v>
      </c>
      <c r="Z77" s="327">
        <f t="shared" ca="1" si="180"/>
        <v>0</v>
      </c>
      <c r="AA77" s="327">
        <f t="shared" ca="1" si="180"/>
        <v>0</v>
      </c>
      <c r="AB77" s="327">
        <f t="shared" ca="1" si="180"/>
        <v>0</v>
      </c>
      <c r="AC77" s="327">
        <f t="shared" ca="1" si="180"/>
        <v>-2799.3665058013253</v>
      </c>
      <c r="AD77" s="327">
        <f t="shared" ca="1" si="180"/>
        <v>-28.576909930226151</v>
      </c>
      <c r="AE77" s="327">
        <f t="shared" ca="1" si="180"/>
        <v>-381.86251050585577</v>
      </c>
      <c r="AF77" s="327">
        <f t="shared" ca="1" si="180"/>
        <v>-102.69414017084114</v>
      </c>
      <c r="AG77" s="327">
        <f t="shared" ca="1" si="180"/>
        <v>-4.9487424290318085</v>
      </c>
      <c r="AH77" s="328">
        <f t="shared" ca="1" si="159"/>
        <v>-429.01151597178813</v>
      </c>
      <c r="AJ77" s="329">
        <f t="shared" ref="AJ77:AX79" ca="1" si="181">IFERROR(INDEX(INDIRECT($C77&amp;".Outputs["&amp;this.Year&amp;"]"), MATCH(AJ$5, INDIRECT($C77&amp;".Outputs[Vector]"), 0)), 0)</f>
        <v>0</v>
      </c>
      <c r="AK77" s="329">
        <f t="shared" ca="1" si="181"/>
        <v>0</v>
      </c>
      <c r="AL77" s="329">
        <f t="shared" ca="1" si="181"/>
        <v>0</v>
      </c>
      <c r="AM77" s="329">
        <f t="shared" ca="1" si="181"/>
        <v>0</v>
      </c>
      <c r="AN77" s="329">
        <f t="shared" ca="1" si="181"/>
        <v>0</v>
      </c>
      <c r="AO77" s="329">
        <f t="shared" ca="1" si="181"/>
        <v>0</v>
      </c>
      <c r="AP77" s="329">
        <f t="shared" ca="1" si="181"/>
        <v>0</v>
      </c>
      <c r="AQ77" s="329">
        <f t="shared" ca="1" si="181"/>
        <v>0</v>
      </c>
      <c r="AR77" s="329">
        <f t="shared" ca="1" si="181"/>
        <v>0</v>
      </c>
      <c r="AS77" s="329">
        <f t="shared" ca="1" si="181"/>
        <v>0</v>
      </c>
      <c r="AT77" s="329">
        <f t="shared" ca="1" si="181"/>
        <v>0</v>
      </c>
      <c r="AU77" s="329">
        <f t="shared" ca="1" si="181"/>
        <v>0</v>
      </c>
      <c r="AV77" s="329">
        <f t="shared" ca="1" si="181"/>
        <v>0</v>
      </c>
      <c r="AW77" s="329">
        <f t="shared" ca="1" si="181"/>
        <v>0</v>
      </c>
      <c r="AX77" s="329">
        <f t="shared" ca="1" si="181"/>
        <v>0</v>
      </c>
      <c r="AY77" s="330">
        <f t="shared" ca="1" si="147"/>
        <v>0</v>
      </c>
      <c r="BA77" s="331">
        <f ca="1">IFERROR(INDEX(INDIRECT($C77&amp;".Outputs["&amp;this.Year&amp;"]"), MATCH(BA$5, INDIRECT($C77&amp;".Outputs[Vector]"), 0)), 0)</f>
        <v>429.01151597178796</v>
      </c>
      <c r="BB77" s="331">
        <f ca="1">IFERROR(INDEX(INDIRECT($C77&amp;".Outputs["&amp;this.Year&amp;"]"), MATCH(BB$5, INDIRECT($C77&amp;".Outputs[Vector]"), 0)), 0)</f>
        <v>0</v>
      </c>
      <c r="BC77" s="332">
        <f t="shared" ca="1" si="160"/>
        <v>429.01151597178796</v>
      </c>
      <c r="BE77" s="883">
        <f ca="1">P77+AH77+AY77+BC77</f>
        <v>0</v>
      </c>
      <c r="BF77" s="883"/>
      <c r="BG77" s="884"/>
      <c r="BH77" s="885">
        <f t="shared" ref="BH77:CU79" ca="1" si="182">IFERROR(SUMIFS(INDIRECT($C77&amp;".Emissions["&amp;this.Year&amp;"]"), INDIRECT($C77&amp;".Emissions[GHG]"), BH$6, INDIRECT($C77&amp;".Emissions[IPCC Sector]"), BH$5),0)</f>
        <v>0</v>
      </c>
      <c r="BI77" s="886">
        <f t="shared" ca="1" si="182"/>
        <v>0</v>
      </c>
      <c r="BJ77" s="886">
        <f t="shared" ca="1" si="182"/>
        <v>0</v>
      </c>
      <c r="BK77" s="886">
        <f t="shared" ca="1" si="182"/>
        <v>0</v>
      </c>
      <c r="BL77" s="886">
        <f t="shared" ca="1" si="182"/>
        <v>0</v>
      </c>
      <c r="BM77" s="886">
        <f t="shared" ca="1" si="182"/>
        <v>0</v>
      </c>
      <c r="BN77" s="886">
        <f t="shared" ca="1" si="182"/>
        <v>0</v>
      </c>
      <c r="BO77" s="886">
        <f t="shared" ca="1" si="182"/>
        <v>0</v>
      </c>
      <c r="BP77" s="886">
        <f t="shared" ca="1" si="182"/>
        <v>0</v>
      </c>
      <c r="BQ77" s="886">
        <f t="shared" ca="1" si="182"/>
        <v>0</v>
      </c>
      <c r="BR77" s="886">
        <f t="shared" ca="1" si="182"/>
        <v>0</v>
      </c>
      <c r="BS77" s="886">
        <f t="shared" ca="1" si="182"/>
        <v>0</v>
      </c>
      <c r="BT77" s="886">
        <f t="shared" ca="1" si="182"/>
        <v>0</v>
      </c>
      <c r="BU77" s="886">
        <f t="shared" ca="1" si="182"/>
        <v>0</v>
      </c>
      <c r="BV77" s="886">
        <f t="shared" ca="1" si="182"/>
        <v>0</v>
      </c>
      <c r="BW77" s="886">
        <f t="shared" ca="1" si="182"/>
        <v>0</v>
      </c>
      <c r="BX77" s="886">
        <f t="shared" ca="1" si="182"/>
        <v>0</v>
      </c>
      <c r="BY77" s="886">
        <f t="shared" ca="1" si="182"/>
        <v>0</v>
      </c>
      <c r="BZ77" s="886">
        <f t="shared" ca="1" si="182"/>
        <v>0</v>
      </c>
      <c r="CA77" s="886">
        <f t="shared" ca="1" si="182"/>
        <v>0</v>
      </c>
      <c r="CB77" s="886">
        <f t="shared" ca="1" si="182"/>
        <v>0</v>
      </c>
      <c r="CC77" s="886">
        <f t="shared" ca="1" si="182"/>
        <v>0</v>
      </c>
      <c r="CD77" s="886">
        <f t="shared" ca="1" si="182"/>
        <v>0</v>
      </c>
      <c r="CE77" s="886">
        <f t="shared" ca="1" si="182"/>
        <v>0</v>
      </c>
      <c r="CF77" s="886">
        <f t="shared" ca="1" si="182"/>
        <v>0</v>
      </c>
      <c r="CG77" s="886">
        <f t="shared" ca="1" si="182"/>
        <v>0</v>
      </c>
      <c r="CH77" s="886">
        <f t="shared" ca="1" si="182"/>
        <v>0</v>
      </c>
      <c r="CI77" s="886">
        <f t="shared" ca="1" si="182"/>
        <v>0</v>
      </c>
      <c r="CJ77" s="886">
        <f t="shared" ca="1" si="182"/>
        <v>0</v>
      </c>
      <c r="CK77" s="886">
        <f t="shared" ca="1" si="182"/>
        <v>0</v>
      </c>
      <c r="CL77" s="886">
        <f t="shared" ca="1" si="182"/>
        <v>0</v>
      </c>
      <c r="CM77" s="886">
        <f t="shared" ca="1" si="182"/>
        <v>0</v>
      </c>
      <c r="CN77" s="886">
        <f t="shared" ca="1" si="182"/>
        <v>-160.13824103104378</v>
      </c>
      <c r="CO77" s="886">
        <f t="shared" ca="1" si="182"/>
        <v>0</v>
      </c>
      <c r="CP77" s="886">
        <f t="shared" ca="1" si="182"/>
        <v>0</v>
      </c>
      <c r="CQ77" s="886">
        <f t="shared" ca="1" si="182"/>
        <v>0</v>
      </c>
      <c r="CR77" s="886">
        <f t="shared" ca="1" si="182"/>
        <v>0</v>
      </c>
      <c r="CS77" s="886">
        <f t="shared" ca="1" si="182"/>
        <v>0</v>
      </c>
      <c r="CT77" s="886">
        <f t="shared" ca="1" si="182"/>
        <v>0</v>
      </c>
      <c r="CU77" s="886">
        <f t="shared" ca="1" si="182"/>
        <v>0</v>
      </c>
      <c r="CW77" s="887">
        <f t="shared" ca="1" si="177"/>
        <v>-160.13824103104378</v>
      </c>
    </row>
    <row r="78" spans="1:101" s="550" customFormat="1" ht="12.75" customHeight="1" outlineLevel="1" x14ac:dyDescent="0.2">
      <c r="C78" s="566" t="s">
        <v>860</v>
      </c>
      <c r="D78" s="567" t="s">
        <v>817</v>
      </c>
      <c r="E78" s="567"/>
      <c r="G78" s="333"/>
      <c r="H78" s="333"/>
      <c r="I78" s="333"/>
      <c r="J78" s="333"/>
      <c r="K78" s="333"/>
      <c r="L78" s="334"/>
      <c r="M78" s="333"/>
      <c r="N78" s="333"/>
      <c r="O78" s="333"/>
      <c r="P78" s="333">
        <f t="shared" si="136"/>
        <v>0</v>
      </c>
      <c r="R78" s="335"/>
      <c r="S78" s="335"/>
      <c r="T78" s="335">
        <f ca="1">T$76+T$77</f>
        <v>-998.96810111333627</v>
      </c>
      <c r="U78" s="335">
        <f ca="1">U$76+U$77</f>
        <v>-196.27149320474481</v>
      </c>
      <c r="V78" s="335">
        <f ca="1">V$76+V$77</f>
        <v>-305.44296449466685</v>
      </c>
      <c r="W78" s="335">
        <f ca="1">W$76+W$77</f>
        <v>1953.1582510273715</v>
      </c>
      <c r="X78" s="335"/>
      <c r="Y78" s="335"/>
      <c r="Z78" s="335"/>
      <c r="AA78" s="335"/>
      <c r="AB78" s="335">
        <f t="shared" ref="AB78:AG78" ca="1" si="183">AB$76+AB$77</f>
        <v>0</v>
      </c>
      <c r="AC78" s="335">
        <f t="shared" ca="1" si="183"/>
        <v>0</v>
      </c>
      <c r="AD78" s="335">
        <f t="shared" ca="1" si="183"/>
        <v>0</v>
      </c>
      <c r="AE78" s="335">
        <f t="shared" ca="1" si="183"/>
        <v>0</v>
      </c>
      <c r="AF78" s="335">
        <f t="shared" ca="1" si="183"/>
        <v>0</v>
      </c>
      <c r="AG78" s="335">
        <f t="shared" ca="1" si="183"/>
        <v>0</v>
      </c>
      <c r="AH78" s="335">
        <f t="shared" ca="1" si="159"/>
        <v>452.47569221462345</v>
      </c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  <c r="AT78" s="336"/>
      <c r="AU78" s="336"/>
      <c r="AV78" s="336"/>
      <c r="AW78" s="336"/>
      <c r="AX78" s="336">
        <f ca="1">AX30+AX34+AX38</f>
        <v>-25.269427563132314</v>
      </c>
      <c r="AY78" s="336">
        <f t="shared" ca="1" si="147"/>
        <v>-25.269427563132314</v>
      </c>
      <c r="BA78" s="337"/>
      <c r="BB78" s="337"/>
      <c r="BC78" s="337">
        <f t="shared" si="160"/>
        <v>0</v>
      </c>
      <c r="BE78" s="568"/>
      <c r="BF78" s="568"/>
      <c r="BG78" s="569"/>
      <c r="BH78" s="570"/>
      <c r="BI78" s="570"/>
      <c r="BJ78" s="570"/>
      <c r="BK78" s="570"/>
      <c r="BL78" s="570"/>
      <c r="BM78" s="570"/>
      <c r="BN78" s="570"/>
      <c r="BO78" s="570"/>
      <c r="BP78" s="570"/>
      <c r="BQ78" s="570"/>
      <c r="BR78" s="570"/>
      <c r="BS78" s="570"/>
      <c r="BT78" s="570"/>
      <c r="BU78" s="570"/>
      <c r="BV78" s="570"/>
      <c r="BW78" s="570"/>
      <c r="BX78" s="570"/>
      <c r="BY78" s="570"/>
      <c r="BZ78" s="570"/>
      <c r="CA78" s="570"/>
      <c r="CB78" s="570"/>
      <c r="CC78" s="570"/>
      <c r="CD78" s="570"/>
      <c r="CE78" s="570"/>
      <c r="CF78" s="570"/>
      <c r="CG78" s="570"/>
      <c r="CH78" s="570"/>
      <c r="CI78" s="570"/>
      <c r="CJ78" s="570"/>
      <c r="CK78" s="570"/>
      <c r="CL78" s="570"/>
      <c r="CM78" s="570"/>
      <c r="CN78" s="570"/>
      <c r="CO78" s="570"/>
      <c r="CP78" s="570"/>
      <c r="CQ78" s="570"/>
      <c r="CR78" s="570"/>
      <c r="CS78" s="570"/>
      <c r="CT78" s="570"/>
      <c r="CU78" s="570"/>
      <c r="CW78" s="569">
        <f>SUM(BH78:CU78)</f>
        <v>0</v>
      </c>
    </row>
    <row r="79" spans="1:101" s="2685" customFormat="1" ht="12.75" customHeight="1" outlineLevel="1" x14ac:dyDescent="0.2">
      <c r="C79" s="319" t="s">
        <v>838</v>
      </c>
      <c r="D79" s="881" t="str">
        <f>INDEX(Modules[Module], MATCH($C79, Modules[Code], 0))</f>
        <v>Bioenergy imports</v>
      </c>
      <c r="E79" s="163"/>
      <c r="G79" s="326">
        <f t="shared" ca="1" si="179"/>
        <v>0</v>
      </c>
      <c r="H79" s="326">
        <f t="shared" ca="1" si="179"/>
        <v>0</v>
      </c>
      <c r="I79" s="326">
        <f t="shared" ca="1" si="179"/>
        <v>0</v>
      </c>
      <c r="J79" s="326">
        <f t="shared" ca="1" si="179"/>
        <v>0</v>
      </c>
      <c r="K79" s="326">
        <f t="shared" ca="1" si="179"/>
        <v>0</v>
      </c>
      <c r="L79" s="326">
        <f t="shared" ca="1" si="179"/>
        <v>0</v>
      </c>
      <c r="M79" s="326">
        <f t="shared" ca="1" si="179"/>
        <v>0</v>
      </c>
      <c r="N79" s="326">
        <f t="shared" ca="1" si="179"/>
        <v>0</v>
      </c>
      <c r="O79" s="326">
        <f t="shared" ca="1" si="179"/>
        <v>0</v>
      </c>
      <c r="P79" s="326">
        <f t="shared" ref="P79" ca="1" si="184">SUM(G79:O79)</f>
        <v>0</v>
      </c>
      <c r="Q79" s="882"/>
      <c r="R79" s="327">
        <f t="shared" ca="1" si="180"/>
        <v>0</v>
      </c>
      <c r="S79" s="327">
        <f t="shared" ca="1" si="180"/>
        <v>0</v>
      </c>
      <c r="T79" s="327">
        <f t="shared" ca="1" si="180"/>
        <v>0</v>
      </c>
      <c r="U79" s="327">
        <f t="shared" ca="1" si="180"/>
        <v>0</v>
      </c>
      <c r="V79" s="327">
        <f t="shared" ca="1" si="180"/>
        <v>0</v>
      </c>
      <c r="W79" s="327">
        <f t="shared" ca="1" si="180"/>
        <v>-1953.1582510273715</v>
      </c>
      <c r="X79" s="327">
        <f t="shared" ca="1" si="180"/>
        <v>0</v>
      </c>
      <c r="Y79" s="327">
        <f t="shared" ca="1" si="180"/>
        <v>0</v>
      </c>
      <c r="Z79" s="327">
        <f t="shared" ca="1" si="180"/>
        <v>0</v>
      </c>
      <c r="AA79" s="327">
        <f t="shared" ca="1" si="180"/>
        <v>0</v>
      </c>
      <c r="AB79" s="327">
        <f t="shared" ca="1" si="180"/>
        <v>0</v>
      </c>
      <c r="AC79" s="327">
        <f t="shared" ca="1" si="180"/>
        <v>0</v>
      </c>
      <c r="AD79" s="327">
        <f t="shared" ca="1" si="180"/>
        <v>0</v>
      </c>
      <c r="AE79" s="327">
        <f t="shared" ca="1" si="180"/>
        <v>0</v>
      </c>
      <c r="AF79" s="327">
        <f t="shared" ca="1" si="180"/>
        <v>0</v>
      </c>
      <c r="AG79" s="327">
        <f t="shared" ca="1" si="180"/>
        <v>0</v>
      </c>
      <c r="AH79" s="328">
        <f t="shared" ca="1" si="159"/>
        <v>-1953.1582510273715</v>
      </c>
      <c r="AI79" s="882"/>
      <c r="AJ79" s="329">
        <f t="shared" ca="1" si="181"/>
        <v>0</v>
      </c>
      <c r="AK79" s="329">
        <f t="shared" ca="1" si="181"/>
        <v>0</v>
      </c>
      <c r="AL79" s="329">
        <f t="shared" ca="1" si="181"/>
        <v>0</v>
      </c>
      <c r="AM79" s="329">
        <f t="shared" ca="1" si="181"/>
        <v>1953.1582510273715</v>
      </c>
      <c r="AN79" s="329">
        <f t="shared" ca="1" si="181"/>
        <v>0</v>
      </c>
      <c r="AO79" s="329">
        <f t="shared" ca="1" si="181"/>
        <v>0</v>
      </c>
      <c r="AP79" s="329">
        <f t="shared" ca="1" si="181"/>
        <v>0</v>
      </c>
      <c r="AQ79" s="329">
        <f t="shared" ca="1" si="181"/>
        <v>0</v>
      </c>
      <c r="AR79" s="329">
        <f t="shared" ca="1" si="181"/>
        <v>0</v>
      </c>
      <c r="AS79" s="329">
        <f t="shared" ca="1" si="181"/>
        <v>0</v>
      </c>
      <c r="AT79" s="329">
        <f t="shared" ca="1" si="181"/>
        <v>0</v>
      </c>
      <c r="AU79" s="329">
        <f t="shared" ca="1" si="181"/>
        <v>0</v>
      </c>
      <c r="AV79" s="329">
        <f t="shared" ca="1" si="181"/>
        <v>0</v>
      </c>
      <c r="AW79" s="329">
        <f t="shared" ca="1" si="181"/>
        <v>0</v>
      </c>
      <c r="AX79" s="329">
        <f t="shared" ca="1" si="181"/>
        <v>0</v>
      </c>
      <c r="AY79" s="330">
        <f t="shared" ref="AY79" ca="1" si="185">SUM(AJ79:AX79)</f>
        <v>1953.1582510273715</v>
      </c>
      <c r="AZ79" s="882"/>
      <c r="BA79" s="331">
        <f ca="1">IFERROR(INDEX(INDIRECT($C79&amp;".Outputs["&amp;this.Year&amp;"]"), MATCH(BA$5, INDIRECT($C79&amp;".Outputs[Vector]"), 0)), 0)</f>
        <v>0</v>
      </c>
      <c r="BB79" s="331">
        <f ca="1">IFERROR(INDEX(INDIRECT($C79&amp;".Outputs["&amp;this.Year&amp;"]"), MATCH(BB$5, INDIRECT($C79&amp;".Outputs[Vector]"), 0)), 0)</f>
        <v>0</v>
      </c>
      <c r="BC79" s="332">
        <f t="shared" ref="BC79" ca="1" si="186">SUM(BA79:BB79)</f>
        <v>0</v>
      </c>
      <c r="BD79" s="882"/>
      <c r="BE79" s="883">
        <f ca="1">P79+AH79+AY79+BC79</f>
        <v>0</v>
      </c>
      <c r="BF79" s="883"/>
      <c r="BG79" s="884"/>
      <c r="BH79" s="885">
        <f t="shared" ca="1" si="182"/>
        <v>0</v>
      </c>
      <c r="BI79" s="886">
        <f t="shared" ca="1" si="182"/>
        <v>0</v>
      </c>
      <c r="BJ79" s="886">
        <f t="shared" ca="1" si="182"/>
        <v>0</v>
      </c>
      <c r="BK79" s="886">
        <f t="shared" ca="1" si="182"/>
        <v>0</v>
      </c>
      <c r="BL79" s="886">
        <f t="shared" ca="1" si="182"/>
        <v>0</v>
      </c>
      <c r="BM79" s="886">
        <f t="shared" ca="1" si="182"/>
        <v>0</v>
      </c>
      <c r="BN79" s="886">
        <f t="shared" ca="1" si="182"/>
        <v>0</v>
      </c>
      <c r="BO79" s="886">
        <f t="shared" ca="1" si="182"/>
        <v>0</v>
      </c>
      <c r="BP79" s="886">
        <f t="shared" ca="1" si="182"/>
        <v>0</v>
      </c>
      <c r="BQ79" s="886">
        <f t="shared" ca="1" si="182"/>
        <v>0</v>
      </c>
      <c r="BR79" s="886">
        <f t="shared" ca="1" si="182"/>
        <v>0</v>
      </c>
      <c r="BS79" s="886">
        <f t="shared" ca="1" si="182"/>
        <v>0</v>
      </c>
      <c r="BT79" s="886">
        <f t="shared" ca="1" si="182"/>
        <v>0</v>
      </c>
      <c r="BU79" s="886">
        <f t="shared" ca="1" si="182"/>
        <v>0</v>
      </c>
      <c r="BV79" s="886">
        <f t="shared" ca="1" si="182"/>
        <v>0</v>
      </c>
      <c r="BW79" s="886">
        <f t="shared" ca="1" si="182"/>
        <v>0</v>
      </c>
      <c r="BX79" s="886">
        <f t="shared" ca="1" si="182"/>
        <v>0</v>
      </c>
      <c r="BY79" s="886">
        <f t="shared" ca="1" si="182"/>
        <v>0</v>
      </c>
      <c r="BZ79" s="886">
        <f t="shared" ca="1" si="182"/>
        <v>0</v>
      </c>
      <c r="CA79" s="886">
        <f t="shared" ca="1" si="182"/>
        <v>0</v>
      </c>
      <c r="CB79" s="886">
        <f t="shared" ca="1" si="182"/>
        <v>0</v>
      </c>
      <c r="CC79" s="886">
        <f t="shared" ca="1" si="182"/>
        <v>0</v>
      </c>
      <c r="CD79" s="886">
        <f t="shared" ca="1" si="182"/>
        <v>0</v>
      </c>
      <c r="CE79" s="886">
        <f t="shared" ca="1" si="182"/>
        <v>0</v>
      </c>
      <c r="CF79" s="886">
        <f t="shared" ca="1" si="182"/>
        <v>0</v>
      </c>
      <c r="CG79" s="886">
        <f t="shared" ca="1" si="182"/>
        <v>0</v>
      </c>
      <c r="CH79" s="886">
        <f t="shared" ca="1" si="182"/>
        <v>0</v>
      </c>
      <c r="CI79" s="886">
        <f t="shared" ca="1" si="182"/>
        <v>0</v>
      </c>
      <c r="CJ79" s="886">
        <f t="shared" ca="1" si="182"/>
        <v>0</v>
      </c>
      <c r="CK79" s="886">
        <f t="shared" ca="1" si="182"/>
        <v>0</v>
      </c>
      <c r="CL79" s="886">
        <f t="shared" ca="1" si="182"/>
        <v>0</v>
      </c>
      <c r="CM79" s="886">
        <f t="shared" ca="1" si="182"/>
        <v>0</v>
      </c>
      <c r="CN79" s="886">
        <f t="shared" ca="1" si="182"/>
        <v>0</v>
      </c>
      <c r="CO79" s="886">
        <f t="shared" ca="1" si="182"/>
        <v>0</v>
      </c>
      <c r="CP79" s="886">
        <f t="shared" ca="1" si="182"/>
        <v>0</v>
      </c>
      <c r="CQ79" s="886">
        <f t="shared" ca="1" si="182"/>
        <v>0</v>
      </c>
      <c r="CR79" s="886">
        <f t="shared" ca="1" si="182"/>
        <v>0</v>
      </c>
      <c r="CS79" s="886">
        <f t="shared" ca="1" si="182"/>
        <v>0</v>
      </c>
      <c r="CT79" s="886">
        <f t="shared" ca="1" si="182"/>
        <v>0</v>
      </c>
      <c r="CU79" s="886">
        <f t="shared" ca="1" si="182"/>
        <v>0</v>
      </c>
      <c r="CV79" s="882"/>
      <c r="CW79" s="887">
        <f t="shared" ref="CW79" ca="1" si="187">SUM(BH79:CU79)</f>
        <v>0</v>
      </c>
    </row>
    <row r="80" spans="1:101" s="84" customFormat="1" ht="15.75" x14ac:dyDescent="0.2">
      <c r="A80" s="18"/>
      <c r="B80" s="89"/>
      <c r="C80" s="85" t="s">
        <v>224</v>
      </c>
      <c r="D80" s="57" t="str">
        <f>INDEX(Workstreams[Workstream], MATCH($C80, Workstreams[Code], 0))</f>
        <v>Bioenergy</v>
      </c>
      <c r="E80" s="53"/>
      <c r="G80" s="300">
        <f ca="1">G$77+G79</f>
        <v>0</v>
      </c>
      <c r="H80" s="300">
        <f t="shared" ref="H80:O80" ca="1" si="188">H$77+H79</f>
        <v>0</v>
      </c>
      <c r="I80" s="300">
        <f t="shared" ca="1" si="188"/>
        <v>0</v>
      </c>
      <c r="J80" s="300">
        <f t="shared" ca="1" si="188"/>
        <v>0</v>
      </c>
      <c r="K80" s="300">
        <f t="shared" ca="1" si="188"/>
        <v>0</v>
      </c>
      <c r="L80" s="300">
        <f t="shared" ca="1" si="188"/>
        <v>0</v>
      </c>
      <c r="M80" s="300">
        <f t="shared" ca="1" si="188"/>
        <v>0</v>
      </c>
      <c r="N80" s="300">
        <f t="shared" ca="1" si="188"/>
        <v>0</v>
      </c>
      <c r="O80" s="300">
        <f t="shared" ca="1" si="188"/>
        <v>0</v>
      </c>
      <c r="P80" s="300">
        <f t="shared" ca="1" si="136"/>
        <v>0</v>
      </c>
      <c r="R80" s="257">
        <f ca="1">R$77+R79</f>
        <v>0</v>
      </c>
      <c r="S80" s="257">
        <f t="shared" ref="S80:AG80" ca="1" si="189">S$77+S79</f>
        <v>0</v>
      </c>
      <c r="T80" s="257">
        <f t="shared" ca="1" si="189"/>
        <v>0</v>
      </c>
      <c r="U80" s="257">
        <f t="shared" ca="1" si="189"/>
        <v>7.2242428303611712</v>
      </c>
      <c r="V80" s="257">
        <f t="shared" ca="1" si="189"/>
        <v>860.50098001876916</v>
      </c>
      <c r="W80" s="257">
        <f t="shared" ca="1" si="189"/>
        <v>67.553818988990088</v>
      </c>
      <c r="X80" s="257">
        <f t="shared" ca="1" si="189"/>
        <v>0</v>
      </c>
      <c r="Y80" s="257">
        <f t="shared" ca="1" si="189"/>
        <v>0</v>
      </c>
      <c r="Z80" s="257">
        <f t="shared" ca="1" si="189"/>
        <v>0</v>
      </c>
      <c r="AA80" s="257">
        <f t="shared" ca="1" si="189"/>
        <v>0</v>
      </c>
      <c r="AB80" s="257">
        <f t="shared" ca="1" si="189"/>
        <v>0</v>
      </c>
      <c r="AC80" s="257">
        <f t="shared" ca="1" si="189"/>
        <v>-2799.3665058013253</v>
      </c>
      <c r="AD80" s="257">
        <f t="shared" ca="1" si="189"/>
        <v>-28.576909930226151</v>
      </c>
      <c r="AE80" s="257">
        <f t="shared" ca="1" si="189"/>
        <v>-381.86251050585577</v>
      </c>
      <c r="AF80" s="257">
        <f t="shared" ca="1" si="189"/>
        <v>-102.69414017084114</v>
      </c>
      <c r="AG80" s="257">
        <f t="shared" ca="1" si="189"/>
        <v>-4.9487424290318085</v>
      </c>
      <c r="AH80" s="257">
        <f t="shared" ca="1" si="159"/>
        <v>-2382.1697669991599</v>
      </c>
      <c r="AJ80" s="263">
        <f ca="1">AJ$77+AJ79</f>
        <v>0</v>
      </c>
      <c r="AK80" s="263">
        <f t="shared" ref="AK80:AX80" ca="1" si="190">AK$77+AK79</f>
        <v>0</v>
      </c>
      <c r="AL80" s="263">
        <f t="shared" ca="1" si="190"/>
        <v>0</v>
      </c>
      <c r="AM80" s="263">
        <f t="shared" ca="1" si="190"/>
        <v>1953.1582510273715</v>
      </c>
      <c r="AN80" s="263">
        <f t="shared" ca="1" si="190"/>
        <v>0</v>
      </c>
      <c r="AO80" s="263">
        <f t="shared" ca="1" si="190"/>
        <v>0</v>
      </c>
      <c r="AP80" s="263">
        <f t="shared" ca="1" si="190"/>
        <v>0</v>
      </c>
      <c r="AQ80" s="263">
        <f t="shared" ca="1" si="190"/>
        <v>0</v>
      </c>
      <c r="AR80" s="263">
        <f t="shared" ca="1" si="190"/>
        <v>0</v>
      </c>
      <c r="AS80" s="263">
        <f t="shared" ca="1" si="190"/>
        <v>0</v>
      </c>
      <c r="AT80" s="263">
        <f t="shared" ca="1" si="190"/>
        <v>0</v>
      </c>
      <c r="AU80" s="263">
        <f t="shared" ca="1" si="190"/>
        <v>0</v>
      </c>
      <c r="AV80" s="263">
        <f t="shared" ca="1" si="190"/>
        <v>0</v>
      </c>
      <c r="AW80" s="263">
        <f t="shared" ca="1" si="190"/>
        <v>0</v>
      </c>
      <c r="AX80" s="263">
        <f t="shared" ca="1" si="190"/>
        <v>0</v>
      </c>
      <c r="AY80" s="263">
        <f t="shared" ca="1" si="147"/>
        <v>1953.1582510273715</v>
      </c>
      <c r="BA80" s="277">
        <f ca="1">BA$77+BA79</f>
        <v>429.01151597178796</v>
      </c>
      <c r="BB80" s="277">
        <f ca="1">BB$77+BB79</f>
        <v>0</v>
      </c>
      <c r="BC80" s="277">
        <f t="shared" ca="1" si="160"/>
        <v>429.01151597178796</v>
      </c>
      <c r="BE80" s="55">
        <f ca="1">P80+AH80+AY80+BC80</f>
        <v>-4.5474735088646412E-13</v>
      </c>
      <c r="BF80" s="55"/>
      <c r="BG80" s="1428"/>
      <c r="BH80" s="542">
        <f ca="1">BH$77+BH79</f>
        <v>0</v>
      </c>
      <c r="BI80" s="542">
        <f t="shared" ref="BI80:CU80" ca="1" si="191">BI$77+BI79</f>
        <v>0</v>
      </c>
      <c r="BJ80" s="542">
        <f t="shared" ca="1" si="191"/>
        <v>0</v>
      </c>
      <c r="BK80" s="542">
        <f t="shared" ca="1" si="191"/>
        <v>0</v>
      </c>
      <c r="BL80" s="542">
        <f t="shared" ca="1" si="191"/>
        <v>0</v>
      </c>
      <c r="BM80" s="542">
        <f t="shared" ca="1" si="191"/>
        <v>0</v>
      </c>
      <c r="BN80" s="542">
        <f t="shared" ca="1" si="191"/>
        <v>0</v>
      </c>
      <c r="BO80" s="542">
        <f t="shared" ca="1" si="191"/>
        <v>0</v>
      </c>
      <c r="BP80" s="542">
        <f t="shared" ca="1" si="191"/>
        <v>0</v>
      </c>
      <c r="BQ80" s="542">
        <f t="shared" ca="1" si="191"/>
        <v>0</v>
      </c>
      <c r="BR80" s="542">
        <f t="shared" ca="1" si="191"/>
        <v>0</v>
      </c>
      <c r="BS80" s="542">
        <f t="shared" ca="1" si="191"/>
        <v>0</v>
      </c>
      <c r="BT80" s="542">
        <f t="shared" ca="1" si="191"/>
        <v>0</v>
      </c>
      <c r="BU80" s="542">
        <f t="shared" ca="1" si="191"/>
        <v>0</v>
      </c>
      <c r="BV80" s="542">
        <f t="shared" ca="1" si="191"/>
        <v>0</v>
      </c>
      <c r="BW80" s="542">
        <f t="shared" ca="1" si="191"/>
        <v>0</v>
      </c>
      <c r="BX80" s="542">
        <f t="shared" ca="1" si="191"/>
        <v>0</v>
      </c>
      <c r="BY80" s="542">
        <f t="shared" ca="1" si="191"/>
        <v>0</v>
      </c>
      <c r="BZ80" s="542">
        <f t="shared" ca="1" si="191"/>
        <v>0</v>
      </c>
      <c r="CA80" s="542">
        <f t="shared" ca="1" si="191"/>
        <v>0</v>
      </c>
      <c r="CB80" s="542">
        <f t="shared" ca="1" si="191"/>
        <v>0</v>
      </c>
      <c r="CC80" s="542">
        <f t="shared" ca="1" si="191"/>
        <v>0</v>
      </c>
      <c r="CD80" s="542">
        <f t="shared" ca="1" si="191"/>
        <v>0</v>
      </c>
      <c r="CE80" s="542">
        <f t="shared" ca="1" si="191"/>
        <v>0</v>
      </c>
      <c r="CF80" s="542">
        <f t="shared" ca="1" si="191"/>
        <v>0</v>
      </c>
      <c r="CG80" s="542">
        <f t="shared" ca="1" si="191"/>
        <v>0</v>
      </c>
      <c r="CH80" s="542">
        <f t="shared" ca="1" si="191"/>
        <v>0</v>
      </c>
      <c r="CI80" s="542">
        <f t="shared" ca="1" si="191"/>
        <v>0</v>
      </c>
      <c r="CJ80" s="542">
        <f t="shared" ca="1" si="191"/>
        <v>0</v>
      </c>
      <c r="CK80" s="542">
        <f t="shared" ca="1" si="191"/>
        <v>0</v>
      </c>
      <c r="CL80" s="542">
        <f t="shared" ca="1" si="191"/>
        <v>0</v>
      </c>
      <c r="CM80" s="542">
        <f t="shared" ca="1" si="191"/>
        <v>0</v>
      </c>
      <c r="CN80" s="542">
        <f t="shared" ca="1" si="191"/>
        <v>-160.13824103104378</v>
      </c>
      <c r="CO80" s="542">
        <f t="shared" ca="1" si="191"/>
        <v>0</v>
      </c>
      <c r="CP80" s="542">
        <f t="shared" ca="1" si="191"/>
        <v>0</v>
      </c>
      <c r="CQ80" s="542">
        <f t="shared" ca="1" si="191"/>
        <v>0</v>
      </c>
      <c r="CR80" s="542">
        <f t="shared" ca="1" si="191"/>
        <v>0</v>
      </c>
      <c r="CS80" s="542">
        <f t="shared" ca="1" si="191"/>
        <v>0</v>
      </c>
      <c r="CT80" s="542">
        <f t="shared" ca="1" si="191"/>
        <v>0</v>
      </c>
      <c r="CU80" s="542">
        <f t="shared" ca="1" si="191"/>
        <v>0</v>
      </c>
      <c r="CW80" s="151">
        <f t="shared" ca="1" si="177"/>
        <v>-160.13824103104378</v>
      </c>
    </row>
    <row r="81" spans="2:101" s="18" customFormat="1" ht="12.75" customHeight="1" outlineLevel="1" x14ac:dyDescent="0.2">
      <c r="B81" s="89"/>
      <c r="C81" s="85"/>
      <c r="D81" s="57"/>
      <c r="E81" s="53"/>
      <c r="F81" s="84"/>
      <c r="G81" s="245"/>
      <c r="H81" s="245"/>
      <c r="I81" s="245"/>
      <c r="J81" s="245"/>
      <c r="K81" s="245"/>
      <c r="L81" s="247"/>
      <c r="M81" s="245"/>
      <c r="N81" s="245"/>
      <c r="O81" s="245"/>
      <c r="P81" s="245">
        <f t="shared" si="136"/>
        <v>0</v>
      </c>
      <c r="Q81" s="84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>
        <f t="shared" si="159"/>
        <v>0</v>
      </c>
      <c r="AI81" s="84"/>
      <c r="AJ81" s="263"/>
      <c r="AK81" s="263"/>
      <c r="AL81" s="263"/>
      <c r="AM81" s="263"/>
      <c r="AN81" s="263"/>
      <c r="AO81" s="263"/>
      <c r="AP81" s="263"/>
      <c r="AQ81" s="263"/>
      <c r="AR81" s="263"/>
      <c r="AS81" s="263"/>
      <c r="AT81" s="263"/>
      <c r="AU81" s="263"/>
      <c r="AV81" s="263"/>
      <c r="AW81" s="263"/>
      <c r="AX81" s="263"/>
      <c r="AY81" s="263">
        <f t="shared" si="147"/>
        <v>0</v>
      </c>
      <c r="AZ81" s="84"/>
      <c r="BA81" s="277"/>
      <c r="BB81" s="277"/>
      <c r="BC81" s="277">
        <f t="shared" si="160"/>
        <v>0</v>
      </c>
      <c r="BD81" s="84"/>
      <c r="BE81" s="55"/>
      <c r="BF81" s="55"/>
      <c r="BH81" s="542"/>
      <c r="BI81" s="542"/>
      <c r="BJ81" s="542"/>
      <c r="BK81" s="542"/>
      <c r="BL81" s="542"/>
      <c r="BM81" s="542"/>
      <c r="BN81" s="542"/>
      <c r="BO81" s="542"/>
      <c r="BP81" s="542"/>
      <c r="BQ81" s="542"/>
      <c r="BR81" s="542"/>
      <c r="BS81" s="542"/>
      <c r="BT81" s="542"/>
      <c r="BU81" s="542"/>
      <c r="BV81" s="542"/>
      <c r="BW81" s="542"/>
      <c r="BX81" s="542"/>
      <c r="BY81" s="542"/>
      <c r="BZ81" s="542"/>
      <c r="CA81" s="542"/>
      <c r="CB81" s="542"/>
      <c r="CC81" s="542"/>
      <c r="CD81" s="542"/>
      <c r="CE81" s="542"/>
      <c r="CF81" s="542"/>
      <c r="CG81" s="542"/>
      <c r="CH81" s="542"/>
      <c r="CI81" s="542"/>
      <c r="CJ81" s="542"/>
      <c r="CK81" s="542"/>
      <c r="CL81" s="542"/>
      <c r="CM81" s="542"/>
      <c r="CN81" s="542"/>
      <c r="CO81" s="542"/>
      <c r="CP81" s="542"/>
      <c r="CQ81" s="542"/>
      <c r="CR81" s="542"/>
      <c r="CS81" s="542"/>
      <c r="CT81" s="542"/>
      <c r="CU81" s="542"/>
      <c r="CW81" s="151">
        <f t="shared" si="177"/>
        <v>0</v>
      </c>
    </row>
    <row r="82" spans="2:101" s="547" customFormat="1" ht="12.75" customHeight="1" outlineLevel="1" x14ac:dyDescent="0.2">
      <c r="C82" s="319" t="s">
        <v>861</v>
      </c>
      <c r="D82" s="163" t="s">
        <v>817</v>
      </c>
      <c r="E82" s="163"/>
      <c r="G82" s="333"/>
      <c r="H82" s="333"/>
      <c r="I82" s="333"/>
      <c r="J82" s="333"/>
      <c r="K82" s="333"/>
      <c r="L82" s="334"/>
      <c r="M82" s="333"/>
      <c r="N82" s="333"/>
      <c r="O82" s="333"/>
      <c r="P82" s="333">
        <f t="shared" si="136"/>
        <v>0</v>
      </c>
      <c r="Q82" s="550"/>
      <c r="R82" s="335">
        <f t="shared" ref="R82:W82" ca="1" si="192">(R$28+R$66+R$74+R$80)</f>
        <v>-797.53692959998352</v>
      </c>
      <c r="S82" s="335">
        <f t="shared" ca="1" si="192"/>
        <v>1273.2543523714303</v>
      </c>
      <c r="T82" s="335">
        <f t="shared" ca="1" si="192"/>
        <v>-998.96810111333627</v>
      </c>
      <c r="U82" s="335">
        <f t="shared" ca="1" si="192"/>
        <v>-196.27149320474481</v>
      </c>
      <c r="V82" s="335">
        <f t="shared" ca="1" si="192"/>
        <v>-305.44296449466685</v>
      </c>
      <c r="W82" s="335">
        <f t="shared" ca="1" si="192"/>
        <v>8.5265128291212022E-14</v>
      </c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>
        <f t="shared" ca="1" si="159"/>
        <v>-1024.9651360413013</v>
      </c>
      <c r="AI82" s="550"/>
      <c r="AJ82" s="336"/>
      <c r="AK82" s="336"/>
      <c r="AL82" s="336"/>
      <c r="AM82" s="336"/>
      <c r="AN82" s="336"/>
      <c r="AO82" s="336"/>
      <c r="AP82" s="336"/>
      <c r="AQ82" s="336"/>
      <c r="AR82" s="336"/>
      <c r="AS82" s="336"/>
      <c r="AT82" s="336"/>
      <c r="AU82" s="336"/>
      <c r="AV82" s="336"/>
      <c r="AW82" s="336"/>
      <c r="AX82" s="336"/>
      <c r="AY82" s="336">
        <f t="shared" si="147"/>
        <v>0</v>
      </c>
      <c r="AZ82" s="550"/>
      <c r="BA82" s="337"/>
      <c r="BB82" s="337"/>
      <c r="BC82" s="337">
        <f t="shared" si="160"/>
        <v>0</v>
      </c>
      <c r="BE82" s="164"/>
      <c r="BF82" s="164"/>
      <c r="BH82" s="549"/>
      <c r="BI82" s="549"/>
      <c r="BJ82" s="549"/>
      <c r="BK82" s="549"/>
      <c r="BL82" s="549"/>
      <c r="BM82" s="549"/>
      <c r="BN82" s="549"/>
      <c r="BO82" s="549"/>
      <c r="BP82" s="549"/>
      <c r="BQ82" s="549"/>
      <c r="BR82" s="549"/>
      <c r="BS82" s="549"/>
      <c r="BT82" s="549"/>
      <c r="BU82" s="549"/>
      <c r="BV82" s="549"/>
      <c r="BW82" s="549"/>
      <c r="BX82" s="549"/>
      <c r="BY82" s="549"/>
      <c r="BZ82" s="549"/>
      <c r="CA82" s="549"/>
      <c r="CB82" s="549"/>
      <c r="CC82" s="549"/>
      <c r="CD82" s="549"/>
      <c r="CE82" s="549"/>
      <c r="CF82" s="549"/>
      <c r="CG82" s="549"/>
      <c r="CH82" s="549"/>
      <c r="CI82" s="549"/>
      <c r="CJ82" s="549"/>
      <c r="CK82" s="549"/>
      <c r="CL82" s="549"/>
      <c r="CM82" s="549"/>
      <c r="CN82" s="549"/>
      <c r="CO82" s="549"/>
      <c r="CP82" s="549"/>
      <c r="CQ82" s="549"/>
      <c r="CR82" s="549"/>
      <c r="CS82" s="549"/>
      <c r="CT82" s="549"/>
      <c r="CU82" s="549"/>
      <c r="CW82" s="151">
        <f t="shared" si="177"/>
        <v>0</v>
      </c>
    </row>
    <row r="83" spans="2:101" s="543" customFormat="1" ht="12.75" customHeight="1" outlineLevel="1" x14ac:dyDescent="0.2">
      <c r="B83" s="551"/>
      <c r="C83" s="62" t="s">
        <v>439</v>
      </c>
      <c r="D83" s="61" t="str">
        <f>INDEX(Modules[Module], MATCH($C83, Modules[Code], 0))</f>
        <v>Fossil fuel transfers</v>
      </c>
      <c r="E83" s="61"/>
      <c r="F83" s="84"/>
      <c r="G83" s="250">
        <f t="shared" ref="G83:O83" ca="1" si="193">IFERROR(INDEX(INDIRECT($C83&amp;".Outputs["&amp;this.Year&amp;"]"), MATCH(G$5, INDIRECT($C83&amp;".Outputs[Vector]"), 0)), 0)</f>
        <v>0</v>
      </c>
      <c r="H83" s="250">
        <f t="shared" ca="1" si="193"/>
        <v>0</v>
      </c>
      <c r="I83" s="250">
        <f t="shared" ca="1" si="193"/>
        <v>0</v>
      </c>
      <c r="J83" s="250">
        <f t="shared" ca="1" si="193"/>
        <v>0</v>
      </c>
      <c r="K83" s="250">
        <f t="shared" ca="1" si="193"/>
        <v>0</v>
      </c>
      <c r="L83" s="251">
        <f t="shared" ca="1" si="193"/>
        <v>0</v>
      </c>
      <c r="M83" s="250">
        <f t="shared" ca="1" si="193"/>
        <v>0</v>
      </c>
      <c r="N83" s="250">
        <f t="shared" ca="1" si="193"/>
        <v>0</v>
      </c>
      <c r="O83" s="250">
        <f t="shared" ca="1" si="193"/>
        <v>0</v>
      </c>
      <c r="P83" s="250">
        <f t="shared" ca="1" si="136"/>
        <v>0</v>
      </c>
      <c r="Q83" s="84"/>
      <c r="R83" s="259">
        <f t="shared" ref="R83:AG83" ca="1" si="194">IFERROR(INDEX(INDIRECT($C83&amp;".Outputs["&amp;this.Year&amp;"]"), MATCH(R$5, INDIRECT($C83&amp;".Outputs[Vector]"), 0)), 0)</f>
        <v>0</v>
      </c>
      <c r="S83" s="259">
        <f t="shared" ca="1" si="194"/>
        <v>0</v>
      </c>
      <c r="T83" s="259">
        <f t="shared" ca="1" si="194"/>
        <v>998.96810111333627</v>
      </c>
      <c r="U83" s="259">
        <f t="shared" ca="1" si="194"/>
        <v>196.27149320474481</v>
      </c>
      <c r="V83" s="259">
        <f t="shared" ca="1" si="194"/>
        <v>305.44296449466685</v>
      </c>
      <c r="W83" s="259">
        <f t="shared" ca="1" si="194"/>
        <v>-8.5265128291212022E-14</v>
      </c>
      <c r="X83" s="259">
        <f t="shared" ca="1" si="194"/>
        <v>-998.96810111333627</v>
      </c>
      <c r="Y83" s="259">
        <f t="shared" ca="1" si="194"/>
        <v>-196.27149320474481</v>
      </c>
      <c r="Z83" s="259">
        <f t="shared" ca="1" si="194"/>
        <v>-309.10828006860288</v>
      </c>
      <c r="AA83" s="259">
        <f t="shared" ca="1" si="194"/>
        <v>0</v>
      </c>
      <c r="AB83" s="259">
        <f t="shared" ca="1" si="194"/>
        <v>0</v>
      </c>
      <c r="AC83" s="259">
        <f t="shared" ca="1" si="194"/>
        <v>0</v>
      </c>
      <c r="AD83" s="259">
        <f t="shared" ca="1" si="194"/>
        <v>0</v>
      </c>
      <c r="AE83" s="259">
        <f t="shared" ca="1" si="194"/>
        <v>0</v>
      </c>
      <c r="AF83" s="259">
        <f t="shared" ca="1" si="194"/>
        <v>0</v>
      </c>
      <c r="AG83" s="259">
        <f t="shared" ca="1" si="194"/>
        <v>0</v>
      </c>
      <c r="AH83" s="259">
        <f t="shared" ca="1" si="159"/>
        <v>-3.6653155739359136</v>
      </c>
      <c r="AI83" s="84"/>
      <c r="AJ83" s="266">
        <f t="shared" ref="AJ83:AX83" ca="1" si="195">IFERROR(INDEX(INDIRECT($C83&amp;".Outputs["&amp;this.Year&amp;"]"), MATCH(AJ$5, INDIRECT($C83&amp;".Outputs[Vector]"), 0)), 0)</f>
        <v>0</v>
      </c>
      <c r="AK83" s="266">
        <f t="shared" ca="1" si="195"/>
        <v>0</v>
      </c>
      <c r="AL83" s="266">
        <f t="shared" ca="1" si="195"/>
        <v>0</v>
      </c>
      <c r="AM83" s="266">
        <f t="shared" ca="1" si="195"/>
        <v>0</v>
      </c>
      <c r="AN83" s="266">
        <f t="shared" ca="1" si="195"/>
        <v>0</v>
      </c>
      <c r="AO83" s="266">
        <f t="shared" ca="1" si="195"/>
        <v>0</v>
      </c>
      <c r="AP83" s="266">
        <f t="shared" ca="1" si="195"/>
        <v>0</v>
      </c>
      <c r="AQ83" s="266">
        <f t="shared" ca="1" si="195"/>
        <v>0</v>
      </c>
      <c r="AR83" s="266">
        <f t="shared" ca="1" si="195"/>
        <v>0</v>
      </c>
      <c r="AS83" s="266">
        <f t="shared" ca="1" si="195"/>
        <v>0</v>
      </c>
      <c r="AT83" s="266">
        <f t="shared" ca="1" si="195"/>
        <v>0</v>
      </c>
      <c r="AU83" s="266">
        <f t="shared" ca="1" si="195"/>
        <v>0</v>
      </c>
      <c r="AV83" s="266">
        <f t="shared" ca="1" si="195"/>
        <v>0</v>
      </c>
      <c r="AW83" s="266">
        <f t="shared" ca="1" si="195"/>
        <v>0</v>
      </c>
      <c r="AX83" s="266">
        <f t="shared" ca="1" si="195"/>
        <v>0</v>
      </c>
      <c r="AY83" s="266">
        <f t="shared" ca="1" si="147"/>
        <v>0</v>
      </c>
      <c r="AZ83" s="84"/>
      <c r="BA83" s="279">
        <f ca="1">IFERROR(INDEX(INDIRECT($C83&amp;".Outputs["&amp;this.Year&amp;"]"), MATCH(BA$5, INDIRECT($C83&amp;".Outputs[Vector]"), 0)), 0)</f>
        <v>0</v>
      </c>
      <c r="BB83" s="279">
        <f ca="1">IFERROR(INDEX(INDIRECT($C83&amp;".Outputs["&amp;this.Year&amp;"]"), MATCH(BB$5, INDIRECT($C83&amp;".Outputs[Vector]"), 0)), 0)</f>
        <v>3.6653155739360024</v>
      </c>
      <c r="BC83" s="279">
        <f t="shared" ca="1" si="160"/>
        <v>3.6653155739360024</v>
      </c>
      <c r="BD83" s="84"/>
      <c r="BE83" s="55">
        <f t="shared" ref="BE83:BE90" ca="1" si="196">P83+AH83+AY83+BC83</f>
        <v>8.8817841970012523E-14</v>
      </c>
      <c r="BF83" s="135"/>
      <c r="BH83" s="541">
        <f t="shared" ref="BH83:BQ84" ca="1" si="197">IFERROR(SUMIFS(INDIRECT($C83&amp;".Emissions["&amp;this.Year&amp;"]"), INDIRECT($C83&amp;".Emissions[GHG]"), BH$6, INDIRECT($C83&amp;".Emissions[IPCC Sector]"), BH$5),0)</f>
        <v>0</v>
      </c>
      <c r="BI83" s="542">
        <f t="shared" ca="1" si="197"/>
        <v>0</v>
      </c>
      <c r="BJ83" s="542">
        <f t="shared" ca="1" si="197"/>
        <v>0</v>
      </c>
      <c r="BK83" s="542">
        <f t="shared" ca="1" si="197"/>
        <v>0</v>
      </c>
      <c r="BL83" s="542">
        <f t="shared" ca="1" si="197"/>
        <v>0</v>
      </c>
      <c r="BM83" s="542">
        <f t="shared" ca="1" si="197"/>
        <v>26.971915523217813</v>
      </c>
      <c r="BN83" s="542">
        <f t="shared" ca="1" si="197"/>
        <v>0</v>
      </c>
      <c r="BO83" s="542">
        <f t="shared" ca="1" si="197"/>
        <v>0</v>
      </c>
      <c r="BP83" s="542">
        <f t="shared" ca="1" si="197"/>
        <v>0</v>
      </c>
      <c r="BQ83" s="542">
        <f t="shared" ca="1" si="197"/>
        <v>0</v>
      </c>
      <c r="BR83" s="542">
        <f t="shared" ref="BR83:CA84" ca="1" si="198">IFERROR(SUMIFS(INDIRECT($C83&amp;".Emissions["&amp;this.Year&amp;"]"), INDIRECT($C83&amp;".Emissions[GHG]"), BR$6, INDIRECT($C83&amp;".Emissions[IPCC Sector]"), BR$5),0)</f>
        <v>0</v>
      </c>
      <c r="BS83" s="542">
        <f t="shared" ca="1" si="198"/>
        <v>0</v>
      </c>
      <c r="BT83" s="542">
        <f t="shared" ca="1" si="198"/>
        <v>0</v>
      </c>
      <c r="BU83" s="542">
        <f t="shared" ca="1" si="198"/>
        <v>0</v>
      </c>
      <c r="BV83" s="542">
        <f t="shared" ca="1" si="198"/>
        <v>0</v>
      </c>
      <c r="BW83" s="542">
        <f t="shared" ca="1" si="198"/>
        <v>0</v>
      </c>
      <c r="BX83" s="542">
        <f t="shared" ca="1" si="198"/>
        <v>0</v>
      </c>
      <c r="BY83" s="542">
        <f t="shared" ca="1" si="198"/>
        <v>0</v>
      </c>
      <c r="BZ83" s="542">
        <f t="shared" ca="1" si="198"/>
        <v>0</v>
      </c>
      <c r="CA83" s="542">
        <f t="shared" ca="1" si="198"/>
        <v>0</v>
      </c>
      <c r="CB83" s="542">
        <f t="shared" ref="CB83:CK84" ca="1" si="199">IFERROR(SUMIFS(INDIRECT($C83&amp;".Emissions["&amp;this.Year&amp;"]"), INDIRECT($C83&amp;".Emissions[GHG]"), CB$6, INDIRECT($C83&amp;".Emissions[IPCC Sector]"), CB$5),0)</f>
        <v>0</v>
      </c>
      <c r="CC83" s="542">
        <f t="shared" ca="1" si="199"/>
        <v>0</v>
      </c>
      <c r="CD83" s="542">
        <f t="shared" ca="1" si="199"/>
        <v>0</v>
      </c>
      <c r="CE83" s="542">
        <f t="shared" ca="1" si="199"/>
        <v>0</v>
      </c>
      <c r="CF83" s="542">
        <f t="shared" ca="1" si="199"/>
        <v>0</v>
      </c>
      <c r="CG83" s="542">
        <f t="shared" ca="1" si="199"/>
        <v>0</v>
      </c>
      <c r="CH83" s="542">
        <f t="shared" ca="1" si="199"/>
        <v>0</v>
      </c>
      <c r="CI83" s="542">
        <f t="shared" ca="1" si="199"/>
        <v>0</v>
      </c>
      <c r="CJ83" s="542">
        <f t="shared" ca="1" si="199"/>
        <v>0</v>
      </c>
      <c r="CK83" s="542">
        <f t="shared" ca="1" si="199"/>
        <v>0</v>
      </c>
      <c r="CL83" s="542">
        <f t="shared" ref="CL83:CU84" ca="1" si="200">IFERROR(SUMIFS(INDIRECT($C83&amp;".Emissions["&amp;this.Year&amp;"]"), INDIRECT($C83&amp;".Emissions[GHG]"), CL$6, INDIRECT($C83&amp;".Emissions[IPCC Sector]"), CL$5),0)</f>
        <v>0</v>
      </c>
      <c r="CM83" s="542">
        <f t="shared" ca="1" si="200"/>
        <v>0</v>
      </c>
      <c r="CN83" s="542">
        <f t="shared" ca="1" si="200"/>
        <v>0</v>
      </c>
      <c r="CO83" s="542">
        <f t="shared" ca="1" si="200"/>
        <v>0</v>
      </c>
      <c r="CP83" s="542">
        <f t="shared" ca="1" si="200"/>
        <v>0</v>
      </c>
      <c r="CQ83" s="542">
        <f t="shared" ca="1" si="200"/>
        <v>0</v>
      </c>
      <c r="CR83" s="542">
        <f t="shared" ca="1" si="200"/>
        <v>0</v>
      </c>
      <c r="CS83" s="542">
        <f t="shared" ca="1" si="200"/>
        <v>0</v>
      </c>
      <c r="CT83" s="542">
        <f t="shared" ca="1" si="200"/>
        <v>0</v>
      </c>
      <c r="CU83" s="542">
        <f t="shared" ca="1" si="200"/>
        <v>0</v>
      </c>
      <c r="CW83" s="151">
        <f t="shared" ca="1" si="177"/>
        <v>26.971915523217813</v>
      </c>
    </row>
    <row r="84" spans="2:101" s="543" customFormat="1" ht="12.75" customHeight="1" outlineLevel="1" x14ac:dyDescent="0.2">
      <c r="B84" s="551" t="s">
        <v>322</v>
      </c>
      <c r="C84" s="62" t="s">
        <v>440</v>
      </c>
      <c r="D84" s="292" t="str">
        <f>INDEX(Modules[Module], MATCH($C84, Modules[Code], 0))</f>
        <v>Balancing imports</v>
      </c>
      <c r="E84" s="292"/>
      <c r="F84" s="84"/>
      <c r="G84" s="361"/>
      <c r="H84" s="361"/>
      <c r="I84" s="361"/>
      <c r="J84" s="361"/>
      <c r="K84" s="361"/>
      <c r="L84" s="362"/>
      <c r="M84" s="361"/>
      <c r="N84" s="361"/>
      <c r="O84" s="361"/>
      <c r="P84" s="361">
        <f t="shared" si="136"/>
        <v>0</v>
      </c>
      <c r="Q84" s="84"/>
      <c r="R84" s="363"/>
      <c r="S84" s="363">
        <f ca="1">-(S$82+R$82)</f>
        <v>-475.71742277144676</v>
      </c>
      <c r="T84" s="363"/>
      <c r="U84" s="363"/>
      <c r="V84" s="363"/>
      <c r="W84" s="363"/>
      <c r="X84" s="363">
        <f ca="1">-(X$28+X$66+X$74+X$80+X$83)</f>
        <v>910.97441071750291</v>
      </c>
      <c r="Y84" s="363">
        <f ca="1">-(Y$28+Y$66+Y$74+Y$80+Y$83)</f>
        <v>-1200.1404622232553</v>
      </c>
      <c r="Z84" s="363">
        <f ca="1">-(Z$28+Z$66+Z$74+Z$80+Z$83)</f>
        <v>-630.16605326473041</v>
      </c>
      <c r="AA84" s="363"/>
      <c r="AB84" s="363"/>
      <c r="AC84" s="363"/>
      <c r="AD84" s="363"/>
      <c r="AE84" s="363"/>
      <c r="AF84" s="363"/>
      <c r="AG84" s="363"/>
      <c r="AH84" s="363">
        <f t="shared" ca="1" si="159"/>
        <v>-1395.0495275419296</v>
      </c>
      <c r="AI84" s="84"/>
      <c r="AJ84" s="293"/>
      <c r="AK84" s="293"/>
      <c r="AL84" s="293"/>
      <c r="AM84" s="293"/>
      <c r="AN84" s="293">
        <f ca="1">-S84</f>
        <v>475.71742277144676</v>
      </c>
      <c r="AO84" s="293">
        <f>-U84</f>
        <v>0</v>
      </c>
      <c r="AP84" s="293">
        <f ca="1">-X84</f>
        <v>-910.97441071750291</v>
      </c>
      <c r="AQ84" s="293">
        <f ca="1">-Y84</f>
        <v>1200.1404622232553</v>
      </c>
      <c r="AR84" s="293">
        <f ca="1">-Z84</f>
        <v>630.16605326473041</v>
      </c>
      <c r="AS84" s="293"/>
      <c r="AT84" s="293"/>
      <c r="AU84" s="293"/>
      <c r="AV84" s="293"/>
      <c r="AW84" s="293"/>
      <c r="AX84" s="293"/>
      <c r="AY84" s="293">
        <f t="shared" ca="1" si="147"/>
        <v>1395.0495275419296</v>
      </c>
      <c r="AZ84" s="84"/>
      <c r="BA84" s="364"/>
      <c r="BB84" s="364"/>
      <c r="BC84" s="364">
        <f t="shared" si="160"/>
        <v>0</v>
      </c>
      <c r="BD84" s="84"/>
      <c r="BE84" s="55">
        <f t="shared" ca="1" si="196"/>
        <v>0</v>
      </c>
      <c r="BF84" s="135"/>
      <c r="BH84" s="544">
        <f t="shared" ca="1" si="197"/>
        <v>0</v>
      </c>
      <c r="BI84" s="545">
        <f t="shared" ca="1" si="197"/>
        <v>0</v>
      </c>
      <c r="BJ84" s="545">
        <f t="shared" ca="1" si="197"/>
        <v>0</v>
      </c>
      <c r="BK84" s="545">
        <f t="shared" ca="1" si="197"/>
        <v>0</v>
      </c>
      <c r="BL84" s="545">
        <f t="shared" ca="1" si="197"/>
        <v>0</v>
      </c>
      <c r="BM84" s="545">
        <f t="shared" ca="1" si="197"/>
        <v>0</v>
      </c>
      <c r="BN84" s="545">
        <f t="shared" ca="1" si="197"/>
        <v>0</v>
      </c>
      <c r="BO84" s="545">
        <f t="shared" ca="1" si="197"/>
        <v>0</v>
      </c>
      <c r="BP84" s="545">
        <f t="shared" ca="1" si="197"/>
        <v>0</v>
      </c>
      <c r="BQ84" s="545">
        <f t="shared" ca="1" si="197"/>
        <v>0</v>
      </c>
      <c r="BR84" s="545">
        <f t="shared" ca="1" si="198"/>
        <v>0</v>
      </c>
      <c r="BS84" s="545">
        <f t="shared" ca="1" si="198"/>
        <v>0</v>
      </c>
      <c r="BT84" s="545">
        <f t="shared" ca="1" si="198"/>
        <v>0</v>
      </c>
      <c r="BU84" s="545">
        <f t="shared" ca="1" si="198"/>
        <v>0</v>
      </c>
      <c r="BV84" s="545">
        <f t="shared" ca="1" si="198"/>
        <v>0</v>
      </c>
      <c r="BW84" s="545">
        <f t="shared" ca="1" si="198"/>
        <v>0</v>
      </c>
      <c r="BX84" s="545">
        <f t="shared" ca="1" si="198"/>
        <v>0</v>
      </c>
      <c r="BY84" s="545">
        <f t="shared" ca="1" si="198"/>
        <v>0</v>
      </c>
      <c r="BZ84" s="545">
        <f t="shared" ca="1" si="198"/>
        <v>0</v>
      </c>
      <c r="CA84" s="545">
        <f t="shared" ca="1" si="198"/>
        <v>0</v>
      </c>
      <c r="CB84" s="545">
        <f t="shared" ca="1" si="199"/>
        <v>0</v>
      </c>
      <c r="CC84" s="545">
        <f t="shared" ca="1" si="199"/>
        <v>0</v>
      </c>
      <c r="CD84" s="545">
        <f t="shared" ca="1" si="199"/>
        <v>0</v>
      </c>
      <c r="CE84" s="545">
        <f t="shared" ca="1" si="199"/>
        <v>0</v>
      </c>
      <c r="CF84" s="545">
        <f t="shared" ca="1" si="199"/>
        <v>0</v>
      </c>
      <c r="CG84" s="545">
        <f t="shared" ca="1" si="199"/>
        <v>0</v>
      </c>
      <c r="CH84" s="545">
        <f t="shared" ca="1" si="199"/>
        <v>0</v>
      </c>
      <c r="CI84" s="545">
        <f t="shared" ca="1" si="199"/>
        <v>0</v>
      </c>
      <c r="CJ84" s="545">
        <f t="shared" ca="1" si="199"/>
        <v>0</v>
      </c>
      <c r="CK84" s="545">
        <f t="shared" ca="1" si="199"/>
        <v>0</v>
      </c>
      <c r="CL84" s="545">
        <f t="shared" ca="1" si="200"/>
        <v>0</v>
      </c>
      <c r="CM84" s="545">
        <f t="shared" ca="1" si="200"/>
        <v>0</v>
      </c>
      <c r="CN84" s="545">
        <f t="shared" ca="1" si="200"/>
        <v>0</v>
      </c>
      <c r="CO84" s="545">
        <f t="shared" ca="1" si="200"/>
        <v>0</v>
      </c>
      <c r="CP84" s="545">
        <f t="shared" ca="1" si="200"/>
        <v>0</v>
      </c>
      <c r="CQ84" s="545">
        <f t="shared" ca="1" si="200"/>
        <v>0</v>
      </c>
      <c r="CR84" s="545">
        <f t="shared" ca="1" si="200"/>
        <v>0</v>
      </c>
      <c r="CS84" s="545">
        <f t="shared" ca="1" si="200"/>
        <v>0</v>
      </c>
      <c r="CT84" s="545">
        <f t="shared" ca="1" si="200"/>
        <v>0</v>
      </c>
      <c r="CU84" s="545">
        <f t="shared" ca="1" si="200"/>
        <v>0</v>
      </c>
      <c r="CW84" s="151">
        <f t="shared" ca="1" si="177"/>
        <v>0</v>
      </c>
    </row>
    <row r="85" spans="2:101" s="84" customFormat="1" ht="15.75" x14ac:dyDescent="0.2">
      <c r="B85" s="89" t="s">
        <v>322</v>
      </c>
      <c r="C85" s="56" t="s">
        <v>438</v>
      </c>
      <c r="D85" s="57" t="str">
        <f>INDEX(Workstreams[Workstream], MATCH($C85, Workstreams[Code], 0))</f>
        <v>Transfers</v>
      </c>
      <c r="E85" s="51"/>
      <c r="G85" s="300">
        <f ca="1">SUM(G83:G84)</f>
        <v>0</v>
      </c>
      <c r="H85" s="300">
        <f t="shared" ref="H85:O85" ca="1" si="201">SUM(H83:H84)</f>
        <v>0</v>
      </c>
      <c r="I85" s="300">
        <f t="shared" ca="1" si="201"/>
        <v>0</v>
      </c>
      <c r="J85" s="300">
        <f t="shared" ca="1" si="201"/>
        <v>0</v>
      </c>
      <c r="K85" s="300">
        <f t="shared" ca="1" si="201"/>
        <v>0</v>
      </c>
      <c r="L85" s="300">
        <f t="shared" ca="1" si="201"/>
        <v>0</v>
      </c>
      <c r="M85" s="300">
        <f t="shared" ca="1" si="201"/>
        <v>0</v>
      </c>
      <c r="N85" s="300">
        <f t="shared" ca="1" si="201"/>
        <v>0</v>
      </c>
      <c r="O85" s="300">
        <f t="shared" ca="1" si="201"/>
        <v>0</v>
      </c>
      <c r="P85" s="300">
        <f t="shared" ca="1" si="136"/>
        <v>0</v>
      </c>
      <c r="R85" s="257">
        <f t="shared" ref="R85:AE85" ca="1" si="202">SUM(R83:R84)</f>
        <v>0</v>
      </c>
      <c r="S85" s="257">
        <f t="shared" ca="1" si="202"/>
        <v>-475.71742277144676</v>
      </c>
      <c r="T85" s="257">
        <f t="shared" ca="1" si="202"/>
        <v>998.96810111333627</v>
      </c>
      <c r="U85" s="257">
        <f t="shared" ca="1" si="202"/>
        <v>196.27149320474481</v>
      </c>
      <c r="V85" s="257">
        <f t="shared" ca="1" si="202"/>
        <v>305.44296449466685</v>
      </c>
      <c r="W85" s="257">
        <f ca="1">SUM(W83:W84)</f>
        <v>-8.5265128291212022E-14</v>
      </c>
      <c r="X85" s="257">
        <f t="shared" ca="1" si="202"/>
        <v>-87.993690395833369</v>
      </c>
      <c r="Y85" s="257">
        <f t="shared" ca="1" si="202"/>
        <v>-1396.4119554280001</v>
      </c>
      <c r="Z85" s="257">
        <f t="shared" ca="1" si="202"/>
        <v>-939.27433333333329</v>
      </c>
      <c r="AA85" s="257">
        <f t="shared" ca="1" si="202"/>
        <v>0</v>
      </c>
      <c r="AB85" s="257">
        <f t="shared" ca="1" si="202"/>
        <v>0</v>
      </c>
      <c r="AC85" s="257">
        <f ca="1">SUM(AC83:AC84)</f>
        <v>0</v>
      </c>
      <c r="AD85" s="257">
        <f ca="1">SUM(AD83:AD84)</f>
        <v>0</v>
      </c>
      <c r="AE85" s="257">
        <f t="shared" ca="1" si="202"/>
        <v>0</v>
      </c>
      <c r="AF85" s="257">
        <f ca="1">SUM(AF83:AF84)</f>
        <v>0</v>
      </c>
      <c r="AG85" s="257">
        <f ca="1">SUM(AG83:AG84)</f>
        <v>0</v>
      </c>
      <c r="AH85" s="257">
        <f t="shared" ca="1" si="159"/>
        <v>-1398.7148431158653</v>
      </c>
      <c r="AJ85" s="263">
        <f t="shared" ref="AJ85:AX85" ca="1" si="203">SUM(AJ83:AJ84)</f>
        <v>0</v>
      </c>
      <c r="AK85" s="263">
        <f t="shared" ca="1" si="203"/>
        <v>0</v>
      </c>
      <c r="AL85" s="263">
        <f t="shared" ca="1" si="203"/>
        <v>0</v>
      </c>
      <c r="AM85" s="263">
        <f t="shared" ca="1" si="203"/>
        <v>0</v>
      </c>
      <c r="AN85" s="263">
        <f t="shared" ca="1" si="203"/>
        <v>475.71742277144676</v>
      </c>
      <c r="AO85" s="263">
        <f t="shared" ca="1" si="203"/>
        <v>0</v>
      </c>
      <c r="AP85" s="263">
        <f t="shared" ca="1" si="203"/>
        <v>-910.97441071750291</v>
      </c>
      <c r="AQ85" s="263">
        <f t="shared" ca="1" si="203"/>
        <v>1200.1404622232553</v>
      </c>
      <c r="AR85" s="263">
        <f t="shared" ca="1" si="203"/>
        <v>630.16605326473041</v>
      </c>
      <c r="AS85" s="263">
        <f t="shared" ca="1" si="203"/>
        <v>0</v>
      </c>
      <c r="AT85" s="263">
        <f t="shared" ca="1" si="203"/>
        <v>0</v>
      </c>
      <c r="AU85" s="263">
        <f t="shared" ca="1" si="203"/>
        <v>0</v>
      </c>
      <c r="AV85" s="263">
        <f t="shared" ca="1" si="203"/>
        <v>0</v>
      </c>
      <c r="AW85" s="263">
        <f t="shared" ca="1" si="203"/>
        <v>0</v>
      </c>
      <c r="AX85" s="263">
        <f t="shared" ca="1" si="203"/>
        <v>0</v>
      </c>
      <c r="AY85" s="263">
        <f t="shared" ca="1" si="147"/>
        <v>1395.0495275419296</v>
      </c>
      <c r="BA85" s="277">
        <f ca="1">SUM(BA83:BA84)</f>
        <v>0</v>
      </c>
      <c r="BB85" s="277">
        <f ca="1">SUM(BB83:BB84)</f>
        <v>3.6653155739360024</v>
      </c>
      <c r="BC85" s="277">
        <f t="shared" ca="1" si="160"/>
        <v>3.6653155739360024</v>
      </c>
      <c r="BE85" s="55">
        <f t="shared" ca="1" si="196"/>
        <v>3.1619151741324458E-13</v>
      </c>
      <c r="BF85" s="55"/>
      <c r="BG85" s="1428"/>
      <c r="BH85" s="542">
        <f t="shared" ref="BH85:CU85" ca="1" si="204">SUM(BH83:BH84)</f>
        <v>0</v>
      </c>
      <c r="BI85" s="542">
        <f t="shared" ca="1" si="204"/>
        <v>0</v>
      </c>
      <c r="BJ85" s="542">
        <f t="shared" ca="1" si="204"/>
        <v>0</v>
      </c>
      <c r="BK85" s="542">
        <f t="shared" ca="1" si="204"/>
        <v>0</v>
      </c>
      <c r="BL85" s="542">
        <f t="shared" ca="1" si="204"/>
        <v>0</v>
      </c>
      <c r="BM85" s="542">
        <f t="shared" ca="1" si="204"/>
        <v>26.971915523217813</v>
      </c>
      <c r="BN85" s="542">
        <f t="shared" ca="1" si="204"/>
        <v>0</v>
      </c>
      <c r="BO85" s="542">
        <f t="shared" ca="1" si="204"/>
        <v>0</v>
      </c>
      <c r="BP85" s="542">
        <f t="shared" ca="1" si="204"/>
        <v>0</v>
      </c>
      <c r="BQ85" s="542">
        <f t="shared" ca="1" si="204"/>
        <v>0</v>
      </c>
      <c r="BR85" s="542">
        <f t="shared" ca="1" si="204"/>
        <v>0</v>
      </c>
      <c r="BS85" s="542">
        <f t="shared" ca="1" si="204"/>
        <v>0</v>
      </c>
      <c r="BT85" s="542">
        <f t="shared" ca="1" si="204"/>
        <v>0</v>
      </c>
      <c r="BU85" s="542">
        <f t="shared" ca="1" si="204"/>
        <v>0</v>
      </c>
      <c r="BV85" s="542">
        <f t="shared" ca="1" si="204"/>
        <v>0</v>
      </c>
      <c r="BW85" s="542">
        <f t="shared" ca="1" si="204"/>
        <v>0</v>
      </c>
      <c r="BX85" s="542">
        <f t="shared" ca="1" si="204"/>
        <v>0</v>
      </c>
      <c r="BY85" s="542">
        <f t="shared" ca="1" si="204"/>
        <v>0</v>
      </c>
      <c r="BZ85" s="542">
        <f t="shared" ca="1" si="204"/>
        <v>0</v>
      </c>
      <c r="CA85" s="542">
        <f t="shared" ca="1" si="204"/>
        <v>0</v>
      </c>
      <c r="CB85" s="542">
        <f t="shared" ca="1" si="204"/>
        <v>0</v>
      </c>
      <c r="CC85" s="542">
        <f t="shared" ca="1" si="204"/>
        <v>0</v>
      </c>
      <c r="CD85" s="542">
        <f t="shared" ca="1" si="204"/>
        <v>0</v>
      </c>
      <c r="CE85" s="542">
        <f t="shared" ca="1" si="204"/>
        <v>0</v>
      </c>
      <c r="CF85" s="542">
        <f t="shared" ca="1" si="204"/>
        <v>0</v>
      </c>
      <c r="CG85" s="542">
        <f t="shared" ca="1" si="204"/>
        <v>0</v>
      </c>
      <c r="CH85" s="542">
        <f t="shared" ca="1" si="204"/>
        <v>0</v>
      </c>
      <c r="CI85" s="542">
        <f t="shared" ca="1" si="204"/>
        <v>0</v>
      </c>
      <c r="CJ85" s="542">
        <f t="shared" ca="1" si="204"/>
        <v>0</v>
      </c>
      <c r="CK85" s="542">
        <f t="shared" ca="1" si="204"/>
        <v>0</v>
      </c>
      <c r="CL85" s="542">
        <f t="shared" ca="1" si="204"/>
        <v>0</v>
      </c>
      <c r="CM85" s="542">
        <f t="shared" ca="1" si="204"/>
        <v>0</v>
      </c>
      <c r="CN85" s="542">
        <f t="shared" ca="1" si="204"/>
        <v>0</v>
      </c>
      <c r="CO85" s="542">
        <f t="shared" ca="1" si="204"/>
        <v>0</v>
      </c>
      <c r="CP85" s="542">
        <f t="shared" ca="1" si="204"/>
        <v>0</v>
      </c>
      <c r="CQ85" s="542">
        <f t="shared" ca="1" si="204"/>
        <v>0</v>
      </c>
      <c r="CR85" s="542">
        <f t="shared" ca="1" si="204"/>
        <v>0</v>
      </c>
      <c r="CS85" s="542">
        <f t="shared" ca="1" si="204"/>
        <v>0</v>
      </c>
      <c r="CT85" s="542">
        <f t="shared" ca="1" si="204"/>
        <v>0</v>
      </c>
      <c r="CU85" s="542">
        <f t="shared" ca="1" si="204"/>
        <v>0</v>
      </c>
      <c r="CW85" s="151">
        <f t="shared" ca="1" si="177"/>
        <v>26.971915523217813</v>
      </c>
    </row>
    <row r="86" spans="2:101" s="84" customFormat="1" ht="6" customHeight="1" x14ac:dyDescent="0.2">
      <c r="C86" s="50"/>
      <c r="D86" s="51"/>
      <c r="E86" s="51"/>
      <c r="G86" s="245"/>
      <c r="H86" s="245"/>
      <c r="I86" s="245"/>
      <c r="J86" s="245"/>
      <c r="K86" s="245"/>
      <c r="L86" s="247"/>
      <c r="M86" s="245"/>
      <c r="N86" s="245"/>
      <c r="O86" s="245"/>
      <c r="P86" s="245">
        <f t="shared" si="136"/>
        <v>0</v>
      </c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>
        <f t="shared" si="159"/>
        <v>0</v>
      </c>
      <c r="AJ86" s="263"/>
      <c r="AK86" s="263"/>
      <c r="AL86" s="263"/>
      <c r="AM86" s="263"/>
      <c r="AN86" s="263"/>
      <c r="AO86" s="263"/>
      <c r="AP86" s="263"/>
      <c r="AQ86" s="263"/>
      <c r="AR86" s="263"/>
      <c r="AS86" s="263"/>
      <c r="AT86" s="263"/>
      <c r="AU86" s="263"/>
      <c r="AV86" s="263"/>
      <c r="AW86" s="263"/>
      <c r="AX86" s="263"/>
      <c r="AY86" s="263">
        <f t="shared" si="147"/>
        <v>0</v>
      </c>
      <c r="BA86" s="277"/>
      <c r="BB86" s="277"/>
      <c r="BC86" s="277">
        <f t="shared" si="160"/>
        <v>0</v>
      </c>
      <c r="BE86" s="55">
        <f t="shared" si="196"/>
        <v>0</v>
      </c>
      <c r="BF86" s="55"/>
      <c r="BH86" s="542"/>
      <c r="BI86" s="542"/>
      <c r="BJ86" s="542"/>
      <c r="BK86" s="542"/>
      <c r="BL86" s="542"/>
      <c r="BM86" s="542"/>
      <c r="BN86" s="542"/>
      <c r="BO86" s="542"/>
      <c r="BP86" s="542"/>
      <c r="BQ86" s="542"/>
      <c r="BR86" s="542"/>
      <c r="BS86" s="542"/>
      <c r="BT86" s="542"/>
      <c r="BU86" s="542"/>
      <c r="BV86" s="542"/>
      <c r="BW86" s="542"/>
      <c r="BX86" s="542"/>
      <c r="BY86" s="542"/>
      <c r="BZ86" s="542"/>
      <c r="CA86" s="542"/>
      <c r="CB86" s="542"/>
      <c r="CC86" s="542"/>
      <c r="CD86" s="542"/>
      <c r="CE86" s="542"/>
      <c r="CF86" s="542"/>
      <c r="CG86" s="542"/>
      <c r="CH86" s="542"/>
      <c r="CI86" s="542"/>
      <c r="CJ86" s="542"/>
      <c r="CK86" s="542"/>
      <c r="CL86" s="542"/>
      <c r="CM86" s="542"/>
      <c r="CN86" s="542"/>
      <c r="CO86" s="542"/>
      <c r="CP86" s="542"/>
      <c r="CQ86" s="542"/>
      <c r="CR86" s="542"/>
      <c r="CS86" s="542"/>
      <c r="CT86" s="542"/>
      <c r="CU86" s="542"/>
      <c r="CW86" s="151"/>
    </row>
    <row r="87" spans="2:101" s="84" customFormat="1" ht="15.75" x14ac:dyDescent="0.2">
      <c r="B87" s="89"/>
      <c r="C87" s="923" t="s">
        <v>885</v>
      </c>
      <c r="D87" s="69" t="s">
        <v>442</v>
      </c>
      <c r="E87" s="70"/>
      <c r="G87" s="338">
        <f ca="1">G$74+G$80+G$85</f>
        <v>0</v>
      </c>
      <c r="H87" s="338">
        <f ca="1">H$74+H$80+H$85</f>
        <v>0</v>
      </c>
      <c r="I87" s="338">
        <f ca="1">I$74+I$80+I$85</f>
        <v>0</v>
      </c>
      <c r="J87" s="338">
        <f t="shared" ref="J87:O87" ca="1" si="205">J$74+J$80+J$85</f>
        <v>0</v>
      </c>
      <c r="K87" s="338">
        <f t="shared" ca="1" si="205"/>
        <v>0</v>
      </c>
      <c r="L87" s="339">
        <f t="shared" ca="1" si="205"/>
        <v>0</v>
      </c>
      <c r="M87" s="338">
        <f t="shared" ca="1" si="205"/>
        <v>0</v>
      </c>
      <c r="N87" s="338">
        <f t="shared" ca="1" si="205"/>
        <v>0</v>
      </c>
      <c r="O87" s="338">
        <f t="shared" ca="1" si="205"/>
        <v>0</v>
      </c>
      <c r="P87" s="338">
        <f t="shared" ca="1" si="136"/>
        <v>0</v>
      </c>
      <c r="R87" s="294">
        <f t="shared" ref="R87:AG87" ca="1" si="206">R$74+R$80+R$85</f>
        <v>0</v>
      </c>
      <c r="S87" s="294">
        <f t="shared" ca="1" si="206"/>
        <v>-514.40003717144498</v>
      </c>
      <c r="T87" s="294">
        <f t="shared" ca="1" si="206"/>
        <v>998.96810111333627</v>
      </c>
      <c r="U87" s="294">
        <f t="shared" ca="1" si="206"/>
        <v>203.49573603510598</v>
      </c>
      <c r="V87" s="294">
        <f t="shared" ca="1" si="206"/>
        <v>1165.943944513436</v>
      </c>
      <c r="W87" s="294">
        <f t="shared" ca="1" si="206"/>
        <v>67.553818988990002</v>
      </c>
      <c r="X87" s="294">
        <f t="shared" ca="1" si="206"/>
        <v>-87.993690395833369</v>
      </c>
      <c r="Y87" s="294">
        <f t="shared" ca="1" si="206"/>
        <v>-1396.4119554280001</v>
      </c>
      <c r="Z87" s="294">
        <f t="shared" ca="1" si="206"/>
        <v>-939.27433333333329</v>
      </c>
      <c r="AA87" s="294">
        <f t="shared" ca="1" si="206"/>
        <v>0</v>
      </c>
      <c r="AB87" s="294">
        <f t="shared" ca="1" si="206"/>
        <v>0</v>
      </c>
      <c r="AC87" s="294">
        <f t="shared" ca="1" si="206"/>
        <v>-2799.3665058013253</v>
      </c>
      <c r="AD87" s="294">
        <f t="shared" ca="1" si="206"/>
        <v>-28.576909930226151</v>
      </c>
      <c r="AE87" s="294">
        <f t="shared" ca="1" si="206"/>
        <v>-381.86251050585577</v>
      </c>
      <c r="AF87" s="294">
        <f t="shared" ca="1" si="206"/>
        <v>-102.69414017084114</v>
      </c>
      <c r="AG87" s="294">
        <f t="shared" ca="1" si="206"/>
        <v>-4.9487424290318085</v>
      </c>
      <c r="AH87" s="294">
        <f t="shared" ca="1" si="159"/>
        <v>-3819.5672245150236</v>
      </c>
      <c r="AJ87" s="295">
        <f t="shared" ref="AJ87:AX87" ca="1" si="207">AJ$74+AJ$80+AJ$85</f>
        <v>0</v>
      </c>
      <c r="AK87" s="295">
        <f t="shared" ca="1" si="207"/>
        <v>0</v>
      </c>
      <c r="AL87" s="295">
        <f t="shared" ca="1" si="207"/>
        <v>0</v>
      </c>
      <c r="AM87" s="295">
        <f t="shared" ca="1" si="207"/>
        <v>1953.1582510273715</v>
      </c>
      <c r="AN87" s="295">
        <f t="shared" ca="1" si="207"/>
        <v>425.78482277144678</v>
      </c>
      <c r="AO87" s="295">
        <f t="shared" ca="1" si="207"/>
        <v>0</v>
      </c>
      <c r="AP87" s="295">
        <f t="shared" ca="1" si="207"/>
        <v>-910.97441071750291</v>
      </c>
      <c r="AQ87" s="295">
        <f t="shared" ca="1" si="207"/>
        <v>1200.1404622232553</v>
      </c>
      <c r="AR87" s="295">
        <f t="shared" ca="1" si="207"/>
        <v>630.16605326473041</v>
      </c>
      <c r="AS87" s="295">
        <f t="shared" ca="1" si="207"/>
        <v>0</v>
      </c>
      <c r="AT87" s="295">
        <f t="shared" ca="1" si="207"/>
        <v>0</v>
      </c>
      <c r="AU87" s="295">
        <f t="shared" ca="1" si="207"/>
        <v>0</v>
      </c>
      <c r="AV87" s="295">
        <f t="shared" ca="1" si="207"/>
        <v>0</v>
      </c>
      <c r="AW87" s="295">
        <f t="shared" ca="1" si="207"/>
        <v>0</v>
      </c>
      <c r="AX87" s="295">
        <f t="shared" ca="1" si="207"/>
        <v>0</v>
      </c>
      <c r="AY87" s="295">
        <f t="shared" ca="1" si="147"/>
        <v>3298.2751785693008</v>
      </c>
      <c r="BA87" s="296">
        <f ca="1">BA$74+BA$80+BA$85</f>
        <v>429.01151597178796</v>
      </c>
      <c r="BB87" s="296">
        <f ca="1">BB$74+BB$80+BB$85</f>
        <v>92.280529973934179</v>
      </c>
      <c r="BC87" s="296">
        <f t="shared" ca="1" si="160"/>
        <v>521.29204594572218</v>
      </c>
      <c r="BE87" s="58">
        <f t="shared" ca="1" si="196"/>
        <v>0</v>
      </c>
      <c r="BF87" s="58"/>
      <c r="BH87" s="546">
        <f t="shared" ref="BH87:CT87" ca="1" si="208">BH$74+BH$80+BH$85</f>
        <v>0</v>
      </c>
      <c r="BI87" s="546">
        <f t="shared" ca="1" si="208"/>
        <v>0</v>
      </c>
      <c r="BJ87" s="546">
        <f t="shared" ca="1" si="208"/>
        <v>0</v>
      </c>
      <c r="BK87" s="546">
        <f t="shared" ca="1" si="208"/>
        <v>0</v>
      </c>
      <c r="BL87" s="546">
        <f t="shared" ca="1" si="208"/>
        <v>0</v>
      </c>
      <c r="BM87" s="546">
        <f t="shared" ca="1" si="208"/>
        <v>26.971915523217813</v>
      </c>
      <c r="BN87" s="546">
        <f t="shared" ca="1" si="208"/>
        <v>0</v>
      </c>
      <c r="BO87" s="546">
        <f t="shared" ca="1" si="208"/>
        <v>0</v>
      </c>
      <c r="BP87" s="546">
        <f t="shared" ca="1" si="208"/>
        <v>0</v>
      </c>
      <c r="BQ87" s="546">
        <f t="shared" ca="1" si="208"/>
        <v>0</v>
      </c>
      <c r="BR87" s="546">
        <f t="shared" ca="1" si="208"/>
        <v>0</v>
      </c>
      <c r="BS87" s="546">
        <f t="shared" ca="1" si="208"/>
        <v>0</v>
      </c>
      <c r="BT87" s="546">
        <f t="shared" ca="1" si="208"/>
        <v>0</v>
      </c>
      <c r="BU87" s="546">
        <f t="shared" ca="1" si="208"/>
        <v>0</v>
      </c>
      <c r="BV87" s="546">
        <f t="shared" ca="1" si="208"/>
        <v>0</v>
      </c>
      <c r="BW87" s="546">
        <f t="shared" ca="1" si="208"/>
        <v>0</v>
      </c>
      <c r="BX87" s="546">
        <f t="shared" ca="1" si="208"/>
        <v>0</v>
      </c>
      <c r="BY87" s="546">
        <f t="shared" ca="1" si="208"/>
        <v>0</v>
      </c>
      <c r="BZ87" s="546">
        <f t="shared" ca="1" si="208"/>
        <v>0</v>
      </c>
      <c r="CA87" s="546">
        <f t="shared" ca="1" si="208"/>
        <v>0</v>
      </c>
      <c r="CB87" s="546">
        <f t="shared" ca="1" si="208"/>
        <v>0</v>
      </c>
      <c r="CC87" s="546">
        <f t="shared" ca="1" si="208"/>
        <v>0</v>
      </c>
      <c r="CD87" s="546">
        <f t="shared" ca="1" si="208"/>
        <v>0</v>
      </c>
      <c r="CE87" s="546">
        <f t="shared" ca="1" si="208"/>
        <v>0</v>
      </c>
      <c r="CF87" s="546">
        <f t="shared" ca="1" si="208"/>
        <v>0</v>
      </c>
      <c r="CG87" s="546">
        <f t="shared" ca="1" si="208"/>
        <v>0</v>
      </c>
      <c r="CH87" s="546">
        <f t="shared" ca="1" si="208"/>
        <v>0</v>
      </c>
      <c r="CI87" s="546">
        <f t="shared" ca="1" si="208"/>
        <v>0</v>
      </c>
      <c r="CJ87" s="546">
        <f t="shared" ca="1" si="208"/>
        <v>0</v>
      </c>
      <c r="CK87" s="546">
        <f t="shared" ca="1" si="208"/>
        <v>0</v>
      </c>
      <c r="CL87" s="546">
        <f t="shared" ca="1" si="208"/>
        <v>0</v>
      </c>
      <c r="CM87" s="546">
        <f t="shared" ca="1" si="208"/>
        <v>0</v>
      </c>
      <c r="CN87" s="546">
        <f t="shared" ca="1" si="208"/>
        <v>-160.13824103104378</v>
      </c>
      <c r="CO87" s="546">
        <f t="shared" ca="1" si="208"/>
        <v>0</v>
      </c>
      <c r="CP87" s="546">
        <f t="shared" ca="1" si="208"/>
        <v>0</v>
      </c>
      <c r="CQ87" s="546">
        <f t="shared" ca="1" si="208"/>
        <v>0</v>
      </c>
      <c r="CR87" s="546">
        <f t="shared" ca="1" si="208"/>
        <v>0</v>
      </c>
      <c r="CS87" s="546">
        <f t="shared" ca="1" si="208"/>
        <v>0</v>
      </c>
      <c r="CT87" s="546">
        <f t="shared" ca="1" si="208"/>
        <v>0</v>
      </c>
      <c r="CU87" s="546">
        <f ca="1">CU$74+CU$85</f>
        <v>0</v>
      </c>
      <c r="CW87" s="148">
        <f ca="1">SUM(BH87:CU87)</f>
        <v>-133.16632550782597</v>
      </c>
    </row>
    <row r="88" spans="2:101" s="84" customFormat="1" x14ac:dyDescent="0.2">
      <c r="C88" s="50"/>
      <c r="D88" s="51"/>
      <c r="E88" s="51"/>
      <c r="G88" s="245"/>
      <c r="H88" s="245"/>
      <c r="I88" s="245"/>
      <c r="J88" s="245"/>
      <c r="K88" s="245"/>
      <c r="L88" s="247"/>
      <c r="M88" s="245"/>
      <c r="N88" s="245"/>
      <c r="O88" s="245"/>
      <c r="P88" s="245">
        <f t="shared" si="136"/>
        <v>0</v>
      </c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>
        <f t="shared" si="159"/>
        <v>0</v>
      </c>
      <c r="AJ88" s="263"/>
      <c r="AK88" s="263"/>
      <c r="AL88" s="263"/>
      <c r="AM88" s="263"/>
      <c r="AN88" s="263"/>
      <c r="AO88" s="263"/>
      <c r="AP88" s="263"/>
      <c r="AQ88" s="263"/>
      <c r="AR88" s="263"/>
      <c r="AS88" s="263"/>
      <c r="AT88" s="263"/>
      <c r="AU88" s="263"/>
      <c r="AV88" s="263"/>
      <c r="AW88" s="263"/>
      <c r="AX88" s="263"/>
      <c r="AY88" s="263">
        <f t="shared" si="147"/>
        <v>0</v>
      </c>
      <c r="BA88" s="277"/>
      <c r="BB88" s="277"/>
      <c r="BC88" s="277">
        <f t="shared" si="160"/>
        <v>0</v>
      </c>
      <c r="BE88" s="55">
        <f t="shared" si="196"/>
        <v>0</v>
      </c>
      <c r="BF88" s="55"/>
      <c r="BH88" s="542"/>
      <c r="BI88" s="542"/>
      <c r="BJ88" s="542"/>
      <c r="BK88" s="542"/>
      <c r="BL88" s="542"/>
      <c r="BM88" s="542"/>
      <c r="BN88" s="542"/>
      <c r="BO88" s="542"/>
      <c r="BP88" s="542"/>
      <c r="BQ88" s="542"/>
      <c r="BR88" s="542"/>
      <c r="BS88" s="542"/>
      <c r="BT88" s="542"/>
      <c r="BU88" s="542"/>
      <c r="BV88" s="542"/>
      <c r="BW88" s="542"/>
      <c r="BX88" s="542"/>
      <c r="BY88" s="542"/>
      <c r="BZ88" s="542"/>
      <c r="CA88" s="542"/>
      <c r="CB88" s="542"/>
      <c r="CC88" s="542"/>
      <c r="CD88" s="542"/>
      <c r="CE88" s="542"/>
      <c r="CF88" s="542"/>
      <c r="CG88" s="542"/>
      <c r="CH88" s="542"/>
      <c r="CI88" s="542"/>
      <c r="CJ88" s="542"/>
      <c r="CK88" s="542"/>
      <c r="CL88" s="542"/>
      <c r="CM88" s="542"/>
      <c r="CN88" s="542"/>
      <c r="CO88" s="542"/>
      <c r="CP88" s="542"/>
      <c r="CQ88" s="542"/>
      <c r="CR88" s="542"/>
      <c r="CS88" s="542"/>
      <c r="CT88" s="542"/>
      <c r="CU88" s="542"/>
      <c r="CW88" s="151"/>
    </row>
    <row r="89" spans="2:101" s="84" customFormat="1" ht="13.5" thickBot="1" x14ac:dyDescent="0.25">
      <c r="C89" s="50"/>
      <c r="D89" s="51"/>
      <c r="E89" s="51"/>
      <c r="G89" s="245"/>
      <c r="H89" s="245"/>
      <c r="I89" s="245"/>
      <c r="J89" s="245"/>
      <c r="K89" s="245"/>
      <c r="L89" s="247"/>
      <c r="M89" s="245"/>
      <c r="N89" s="245"/>
      <c r="O89" s="245"/>
      <c r="P89" s="245">
        <f t="shared" si="136"/>
        <v>0</v>
      </c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>
        <f t="shared" si="159"/>
        <v>0</v>
      </c>
      <c r="AJ89" s="263"/>
      <c r="AK89" s="263"/>
      <c r="AL89" s="263"/>
      <c r="AM89" s="263"/>
      <c r="AN89" s="263"/>
      <c r="AO89" s="263"/>
      <c r="AP89" s="263"/>
      <c r="AQ89" s="263"/>
      <c r="AR89" s="263"/>
      <c r="AS89" s="263"/>
      <c r="AT89" s="263"/>
      <c r="AU89" s="263"/>
      <c r="AV89" s="263"/>
      <c r="AW89" s="263"/>
      <c r="AX89" s="263"/>
      <c r="AY89" s="263">
        <f t="shared" si="147"/>
        <v>0</v>
      </c>
      <c r="BA89" s="277"/>
      <c r="BB89" s="277"/>
      <c r="BC89" s="277">
        <f t="shared" si="160"/>
        <v>0</v>
      </c>
      <c r="BE89" s="55">
        <f t="shared" si="196"/>
        <v>0</v>
      </c>
      <c r="BF89" s="55"/>
      <c r="BH89" s="542"/>
      <c r="BI89" s="542"/>
      <c r="BJ89" s="542"/>
      <c r="BK89" s="542"/>
      <c r="BL89" s="542"/>
      <c r="BM89" s="542"/>
      <c r="BN89" s="542"/>
      <c r="BO89" s="542"/>
      <c r="BP89" s="542"/>
      <c r="BQ89" s="542"/>
      <c r="BR89" s="542"/>
      <c r="BS89" s="542"/>
      <c r="BT89" s="542"/>
      <c r="BU89" s="542"/>
      <c r="BV89" s="542"/>
      <c r="BW89" s="542"/>
      <c r="BX89" s="542"/>
      <c r="BY89" s="542"/>
      <c r="BZ89" s="542"/>
      <c r="CA89" s="542"/>
      <c r="CB89" s="542"/>
      <c r="CC89" s="542"/>
      <c r="CD89" s="542"/>
      <c r="CE89" s="542"/>
      <c r="CF89" s="542"/>
      <c r="CG89" s="542"/>
      <c r="CH89" s="542"/>
      <c r="CI89" s="542"/>
      <c r="CJ89" s="542"/>
      <c r="CK89" s="542"/>
      <c r="CL89" s="542"/>
      <c r="CM89" s="542"/>
      <c r="CN89" s="542"/>
      <c r="CO89" s="542"/>
      <c r="CP89" s="542"/>
      <c r="CQ89" s="542"/>
      <c r="CR89" s="542"/>
      <c r="CS89" s="542"/>
      <c r="CT89" s="542"/>
      <c r="CU89" s="542"/>
      <c r="CW89" s="151"/>
    </row>
    <row r="90" spans="2:101" s="84" customFormat="1" ht="24" customHeight="1" thickBot="1" x14ac:dyDescent="0.25">
      <c r="C90" s="67" t="s">
        <v>189</v>
      </c>
      <c r="D90" s="67"/>
      <c r="E90" s="67"/>
      <c r="G90" s="357">
        <f ca="1">G$28+G$66+G$87</f>
        <v>125.64327023914129</v>
      </c>
      <c r="H90" s="357">
        <f ca="1">H$28+H$66+H$87</f>
        <v>552.9641205990697</v>
      </c>
      <c r="I90" s="357">
        <f ca="1">I$28+I$66+I$87</f>
        <v>204.16202861606214</v>
      </c>
      <c r="J90" s="357">
        <f t="shared" ref="J90:O90" ca="1" si="209">J$28+J$66+J$87</f>
        <v>283.43578325749672</v>
      </c>
      <c r="K90" s="357">
        <f t="shared" ca="1" si="209"/>
        <v>107.4464981999182</v>
      </c>
      <c r="L90" s="357">
        <f t="shared" ca="1" si="209"/>
        <v>63.640391829160592</v>
      </c>
      <c r="M90" s="357">
        <f t="shared" ca="1" si="209"/>
        <v>0</v>
      </c>
      <c r="N90" s="357">
        <f t="shared" ca="1" si="209"/>
        <v>8.4414013608947293E-13</v>
      </c>
      <c r="O90" s="357">
        <f t="shared" ca="1" si="209"/>
        <v>9.273803547731351</v>
      </c>
      <c r="P90" s="357">
        <f t="shared" ref="P90" ca="1" si="210">SUM(G90:O90)</f>
        <v>1346.5658962885807</v>
      </c>
      <c r="R90" s="358">
        <f t="shared" ref="R90:AG90" ca="1" si="211">R$28+R$66+R$87</f>
        <v>-797.53692959998352</v>
      </c>
      <c r="S90" s="358">
        <f t="shared" ca="1" si="211"/>
        <v>797.53692959998341</v>
      </c>
      <c r="T90" s="358">
        <f t="shared" ca="1" si="211"/>
        <v>0</v>
      </c>
      <c r="U90" s="358">
        <f t="shared" ca="1" si="211"/>
        <v>0</v>
      </c>
      <c r="V90" s="358">
        <f t="shared" ca="1" si="211"/>
        <v>0</v>
      </c>
      <c r="W90" s="358">
        <f t="shared" ca="1" si="211"/>
        <v>0</v>
      </c>
      <c r="X90" s="358">
        <f t="shared" ca="1" si="211"/>
        <v>0</v>
      </c>
      <c r="Y90" s="358">
        <f t="shared" ca="1" si="211"/>
        <v>0</v>
      </c>
      <c r="Z90" s="358">
        <f t="shared" ca="1" si="211"/>
        <v>0</v>
      </c>
      <c r="AA90" s="358">
        <f t="shared" ca="1" si="211"/>
        <v>0</v>
      </c>
      <c r="AB90" s="358">
        <f t="shared" ca="1" si="211"/>
        <v>0</v>
      </c>
      <c r="AC90" s="358">
        <f t="shared" ca="1" si="211"/>
        <v>0</v>
      </c>
      <c r="AD90" s="358">
        <f t="shared" ca="1" si="211"/>
        <v>0</v>
      </c>
      <c r="AE90" s="358">
        <f t="shared" ca="1" si="211"/>
        <v>0</v>
      </c>
      <c r="AF90" s="358">
        <f t="shared" ca="1" si="211"/>
        <v>0</v>
      </c>
      <c r="AG90" s="358">
        <f t="shared" ca="1" si="211"/>
        <v>0</v>
      </c>
      <c r="AH90" s="358">
        <f t="shared" ca="1" si="159"/>
        <v>-1.1368683772161603E-13</v>
      </c>
      <c r="AJ90" s="359">
        <f t="shared" ref="AJ90:AX90" ca="1" si="212">AJ$28+AJ$66+AJ$87</f>
        <v>-83.5</v>
      </c>
      <c r="AK90" s="359">
        <f t="shared" ca="1" si="212"/>
        <v>-1396.4119554280001</v>
      </c>
      <c r="AL90" s="359">
        <f t="shared" ca="1" si="212"/>
        <v>-939.27433333333329</v>
      </c>
      <c r="AM90" s="359">
        <f t="shared" ca="1" si="212"/>
        <v>1953.1582510273715</v>
      </c>
      <c r="AN90" s="359">
        <f t="shared" ca="1" si="212"/>
        <v>425.78482277144678</v>
      </c>
      <c r="AO90" s="359">
        <f t="shared" ca="1" si="212"/>
        <v>0</v>
      </c>
      <c r="AP90" s="359">
        <f t="shared" ca="1" si="212"/>
        <v>-910.97441071750291</v>
      </c>
      <c r="AQ90" s="359">
        <f t="shared" ca="1" si="212"/>
        <v>1200.1404622232553</v>
      </c>
      <c r="AR90" s="359">
        <f t="shared" ca="1" si="212"/>
        <v>630.16605326473041</v>
      </c>
      <c r="AS90" s="359">
        <f t="shared" ca="1" si="212"/>
        <v>-293.56360000000006</v>
      </c>
      <c r="AT90" s="359">
        <f t="shared" ca="1" si="212"/>
        <v>-354.25509839999995</v>
      </c>
      <c r="AU90" s="359">
        <f t="shared" ca="1" si="212"/>
        <v>-18.4086</v>
      </c>
      <c r="AV90" s="359">
        <f t="shared" ca="1" si="212"/>
        <v>-65.311834371428574</v>
      </c>
      <c r="AW90" s="359">
        <f t="shared" ca="1" si="212"/>
        <v>-2827.9434157315513</v>
      </c>
      <c r="AX90" s="359">
        <f t="shared" ca="1" si="212"/>
        <v>-493.99908350156198</v>
      </c>
      <c r="AY90" s="359">
        <f t="shared" ca="1" si="147"/>
        <v>-3174.3927421965741</v>
      </c>
      <c r="BA90" s="360">
        <f ca="1">BA$28+BA$66+BA$87</f>
        <v>1683.6212466191564</v>
      </c>
      <c r="BB90" s="360">
        <f ca="1">BB$28+BB$66+BB$87</f>
        <v>144.20559928883719</v>
      </c>
      <c r="BC90" s="360">
        <f t="shared" ca="1" si="160"/>
        <v>1827.8268459079936</v>
      </c>
      <c r="BE90" s="54">
        <f t="shared" ca="1" si="196"/>
        <v>0</v>
      </c>
      <c r="BF90" s="54"/>
      <c r="BH90" s="552">
        <f t="shared" ref="BH90:CU90" ca="1" si="213">BH$28+BH$66+BH$87</f>
        <v>570.20930196561073</v>
      </c>
      <c r="BI90" s="552">
        <f ca="1">BI$28+BI$66+BI$87</f>
        <v>22.6338904029238</v>
      </c>
      <c r="BJ90" s="552">
        <f t="shared" ca="1" si="213"/>
        <v>25.179866058985162</v>
      </c>
      <c r="BK90" s="552">
        <f t="shared" ca="1" si="213"/>
        <v>0</v>
      </c>
      <c r="BL90" s="552">
        <f t="shared" ca="1" si="213"/>
        <v>6.3745714285714286</v>
      </c>
      <c r="BM90" s="552">
        <f t="shared" ca="1" si="213"/>
        <v>27.085555004362984</v>
      </c>
      <c r="BN90" s="552">
        <f t="shared" ca="1" si="213"/>
        <v>0</v>
      </c>
      <c r="BO90" s="552">
        <f t="shared" ca="1" si="213"/>
        <v>0</v>
      </c>
      <c r="BP90" s="552">
        <f t="shared" ca="1" si="213"/>
        <v>14.56512145051156</v>
      </c>
      <c r="BQ90" s="552">
        <f t="shared" ca="1" si="213"/>
        <v>0.13724706750893978</v>
      </c>
      <c r="BR90" s="552">
        <f t="shared" ca="1" si="213"/>
        <v>3.6780489244177157</v>
      </c>
      <c r="BS90" s="552">
        <f t="shared" ca="1" si="213"/>
        <v>8.1828353065213193</v>
      </c>
      <c r="BT90" s="552">
        <f t="shared" ca="1" si="213"/>
        <v>0</v>
      </c>
      <c r="BU90" s="552">
        <f t="shared" ca="1" si="213"/>
        <v>0</v>
      </c>
      <c r="BV90" s="552">
        <f t="shared" ca="1" si="213"/>
        <v>0</v>
      </c>
      <c r="BW90" s="552">
        <f t="shared" ca="1" si="213"/>
        <v>0</v>
      </c>
      <c r="BX90" s="552">
        <f t="shared" ca="1" si="213"/>
        <v>0</v>
      </c>
      <c r="BY90" s="552">
        <f t="shared" ca="1" si="213"/>
        <v>0</v>
      </c>
      <c r="BZ90" s="552">
        <f t="shared" ca="1" si="213"/>
        <v>21.469199663930684</v>
      </c>
      <c r="CA90" s="552">
        <f t="shared" ca="1" si="213"/>
        <v>0</v>
      </c>
      <c r="CB90" s="552">
        <f t="shared" ca="1" si="213"/>
        <v>0.62618822796669904</v>
      </c>
      <c r="CC90" s="552">
        <f t="shared" ca="1" si="213"/>
        <v>0</v>
      </c>
      <c r="CD90" s="552">
        <f t="shared" ca="1" si="213"/>
        <v>0</v>
      </c>
      <c r="CE90" s="552">
        <f t="shared" ca="1" si="213"/>
        <v>0</v>
      </c>
      <c r="CF90" s="552">
        <f t="shared" ca="1" si="213"/>
        <v>0</v>
      </c>
      <c r="CG90" s="552">
        <f t="shared" ca="1" si="213"/>
        <v>1.7952501377605785</v>
      </c>
      <c r="CH90" s="552">
        <f t="shared" ca="1" si="213"/>
        <v>0</v>
      </c>
      <c r="CI90" s="552">
        <f t="shared" ca="1" si="213"/>
        <v>0</v>
      </c>
      <c r="CJ90" s="552">
        <f t="shared" ca="1" si="213"/>
        <v>0</v>
      </c>
      <c r="CK90" s="552">
        <f t="shared" ca="1" si="213"/>
        <v>0</v>
      </c>
      <c r="CL90" s="552">
        <f t="shared" ca="1" si="213"/>
        <v>0</v>
      </c>
      <c r="CM90" s="552">
        <f t="shared" ca="1" si="213"/>
        <v>0</v>
      </c>
      <c r="CN90" s="552">
        <f t="shared" ca="1" si="213"/>
        <v>-160.13824103104378</v>
      </c>
      <c r="CO90" s="552">
        <f t="shared" ca="1" si="213"/>
        <v>0</v>
      </c>
      <c r="CP90" s="552">
        <f t="shared" ca="1" si="213"/>
        <v>0</v>
      </c>
      <c r="CQ90" s="552">
        <f t="shared" ca="1" si="213"/>
        <v>0</v>
      </c>
      <c r="CR90" s="552">
        <f t="shared" ca="1" si="213"/>
        <v>0</v>
      </c>
      <c r="CS90" s="552">
        <f t="shared" ca="1" si="213"/>
        <v>0</v>
      </c>
      <c r="CT90" s="552">
        <f t="shared" ca="1" si="213"/>
        <v>0</v>
      </c>
      <c r="CU90" s="552">
        <f t="shared" ca="1" si="213"/>
        <v>0</v>
      </c>
      <c r="CW90" s="148">
        <f ca="1">SUM(BH90:CU90)</f>
        <v>541.79883460802785</v>
      </c>
    </row>
    <row r="91" spans="2:101" s="84" customFormat="1" x14ac:dyDescent="0.2">
      <c r="C91" s="50"/>
      <c r="D91" s="51"/>
      <c r="E91" s="51"/>
      <c r="G91" s="282"/>
      <c r="H91" s="282"/>
      <c r="I91" s="282"/>
      <c r="J91" s="282"/>
      <c r="K91" s="282"/>
      <c r="L91" s="283"/>
      <c r="M91" s="282"/>
      <c r="N91" s="282"/>
      <c r="O91" s="282"/>
      <c r="P91" s="282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BA91" s="289"/>
      <c r="BB91" s="289"/>
      <c r="BC91" s="289"/>
      <c r="BE91" s="55"/>
      <c r="BF91" s="55"/>
      <c r="BH91" s="553"/>
      <c r="BI91" s="553"/>
      <c r="BJ91" s="553"/>
      <c r="BK91" s="553"/>
      <c r="BL91" s="553"/>
      <c r="BM91" s="553"/>
      <c r="BN91" s="553"/>
      <c r="BO91" s="553"/>
      <c r="BP91" s="553"/>
      <c r="BQ91" s="553"/>
      <c r="BR91" s="553"/>
      <c r="BS91" s="553"/>
      <c r="BT91" s="553"/>
      <c r="BU91" s="553"/>
      <c r="BV91" s="553"/>
      <c r="BW91" s="553"/>
      <c r="BX91" s="553"/>
      <c r="BY91" s="553"/>
      <c r="BZ91" s="553"/>
      <c r="CA91" s="553"/>
      <c r="CB91" s="553"/>
      <c r="CC91" s="553"/>
      <c r="CD91" s="553"/>
      <c r="CE91" s="553"/>
      <c r="CF91" s="553"/>
      <c r="CG91" s="553"/>
      <c r="CH91" s="553"/>
      <c r="CI91" s="553"/>
      <c r="CJ91" s="553"/>
      <c r="CK91" s="553"/>
      <c r="CL91" s="553"/>
      <c r="CM91" s="553"/>
      <c r="CN91" s="553"/>
      <c r="CO91" s="553"/>
      <c r="CP91" s="553"/>
      <c r="CQ91" s="553"/>
      <c r="CR91" s="553"/>
      <c r="CS91" s="553"/>
      <c r="CT91" s="553"/>
      <c r="CU91" s="553"/>
    </row>
    <row r="92" spans="2:101" x14ac:dyDescent="0.2">
      <c r="G92" s="55"/>
      <c r="H92" s="55"/>
      <c r="I92" s="55"/>
      <c r="J92" s="55"/>
      <c r="K92" s="55"/>
      <c r="L92" s="59"/>
      <c r="M92" s="55"/>
      <c r="N92" s="55"/>
      <c r="O92" s="55"/>
      <c r="P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BA92" s="55"/>
      <c r="BB92" s="55"/>
      <c r="BC92" s="55"/>
      <c r="BE92" s="55"/>
      <c r="BF92" s="55"/>
    </row>
    <row r="93" spans="2:101" x14ac:dyDescent="0.2">
      <c r="G93" s="55"/>
      <c r="H93" s="55"/>
      <c r="I93" s="55"/>
      <c r="J93" s="55"/>
      <c r="K93" s="55"/>
      <c r="L93" s="59"/>
      <c r="M93" s="55"/>
      <c r="N93" s="55"/>
      <c r="O93" s="55"/>
      <c r="P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BA93" s="55"/>
      <c r="BB93" s="55"/>
      <c r="BC93" s="55"/>
      <c r="BE93" s="55"/>
      <c r="BF93" s="55"/>
      <c r="CU93" s="1426" t="s">
        <v>1183</v>
      </c>
      <c r="CW93" s="2480">
        <f ca="1">SUM(CW47,CW50,CW54,CW64)</f>
        <v>474.12883394010095</v>
      </c>
    </row>
    <row r="94" spans="2:101" x14ac:dyDescent="0.2">
      <c r="B94" s="2479" t="s">
        <v>322</v>
      </c>
      <c r="C94" s="355" t="s">
        <v>443</v>
      </c>
      <c r="G94" s="55"/>
      <c r="H94" s="55"/>
      <c r="I94" s="55"/>
      <c r="J94" s="55"/>
      <c r="K94" s="55"/>
      <c r="L94" s="59"/>
      <c r="M94" s="55"/>
      <c r="N94" s="55"/>
      <c r="O94" s="55"/>
      <c r="P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BA94" s="55"/>
      <c r="BB94" s="55"/>
      <c r="BC94" s="55"/>
      <c r="BE94" s="55"/>
      <c r="BF94" s="55"/>
      <c r="CU94" s="1426" t="s">
        <v>1184</v>
      </c>
      <c r="CW94" s="2480">
        <f ca="1">S90-MIN(S84,0)</f>
        <v>1273.2543523714303</v>
      </c>
    </row>
    <row r="95" spans="2:101" ht="15.75" x14ac:dyDescent="0.25">
      <c r="B95" s="3"/>
      <c r="G95" s="55"/>
      <c r="H95" s="55"/>
      <c r="I95" s="55"/>
      <c r="J95" s="55"/>
      <c r="K95" s="55"/>
      <c r="L95" s="59"/>
      <c r="M95" s="55"/>
      <c r="N95" s="55"/>
      <c r="O95" s="55"/>
      <c r="P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BA95" s="55"/>
      <c r="BB95" s="55"/>
      <c r="BC95" s="55"/>
      <c r="BE95" s="55"/>
      <c r="BF95" s="55"/>
      <c r="CU95" s="1426" t="s">
        <v>1185</v>
      </c>
      <c r="CW95" s="2479">
        <f ca="1">CW93/CW94</f>
        <v>0.37237558470311782</v>
      </c>
    </row>
    <row r="96" spans="2:101" x14ac:dyDescent="0.2">
      <c r="G96" s="55"/>
      <c r="H96" s="55"/>
      <c r="I96" s="55"/>
      <c r="J96" s="55"/>
      <c r="K96" s="55"/>
      <c r="L96" s="59"/>
      <c r="M96" s="55"/>
      <c r="N96" s="55"/>
      <c r="O96" s="55"/>
      <c r="P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BA96" s="55"/>
      <c r="BB96" s="55"/>
      <c r="BC96" s="55"/>
      <c r="BE96" s="55"/>
      <c r="BF96" s="55"/>
    </row>
    <row r="97" spans="2:58" ht="15.75" x14ac:dyDescent="0.25">
      <c r="B97" s="3"/>
      <c r="G97" s="55"/>
      <c r="H97" s="55"/>
      <c r="I97" s="55"/>
      <c r="J97" s="55"/>
      <c r="K97" s="55"/>
      <c r="L97" s="59"/>
      <c r="M97" s="55"/>
      <c r="N97" s="55"/>
      <c r="O97" s="55"/>
      <c r="P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BA97" s="55"/>
      <c r="BB97" s="55"/>
      <c r="BC97" s="55"/>
      <c r="BE97" s="55"/>
      <c r="BF97" s="55"/>
    </row>
    <row r="98" spans="2:58" ht="15.75" x14ac:dyDescent="0.25">
      <c r="B98" s="3"/>
      <c r="G98" s="55"/>
      <c r="H98" s="55"/>
      <c r="I98" s="55"/>
      <c r="J98" s="55"/>
      <c r="K98" s="55"/>
      <c r="L98" s="59"/>
      <c r="M98" s="55"/>
      <c r="N98" s="55"/>
      <c r="O98" s="55"/>
      <c r="P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BA98" s="55"/>
      <c r="BB98" s="55"/>
      <c r="BC98" s="55"/>
      <c r="BE98" s="55"/>
      <c r="BF98" s="55"/>
    </row>
    <row r="99" spans="2:58" ht="15.75" x14ac:dyDescent="0.25">
      <c r="B99" s="3"/>
      <c r="G99" s="55"/>
      <c r="H99" s="55"/>
      <c r="I99" s="55"/>
      <c r="J99" s="55"/>
      <c r="K99" s="55"/>
      <c r="L99" s="59"/>
      <c r="M99" s="55"/>
      <c r="N99" s="55"/>
      <c r="O99" s="55"/>
      <c r="P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BA99" s="55"/>
      <c r="BB99" s="55"/>
      <c r="BC99" s="55"/>
      <c r="BE99" s="55"/>
      <c r="BF99" s="55"/>
    </row>
    <row r="100" spans="2:58" ht="15.75" x14ac:dyDescent="0.25">
      <c r="B100" s="3"/>
      <c r="G100" s="55"/>
      <c r="H100" s="55"/>
      <c r="I100" s="55"/>
      <c r="J100" s="55"/>
      <c r="K100" s="55"/>
      <c r="L100" s="59"/>
      <c r="M100" s="55"/>
      <c r="N100" s="55"/>
      <c r="O100" s="55"/>
      <c r="P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BA100" s="55"/>
      <c r="BB100" s="55"/>
      <c r="BC100" s="55"/>
      <c r="BE100" s="55"/>
      <c r="BF100" s="55"/>
    </row>
    <row r="101" spans="2:58" ht="15.75" x14ac:dyDescent="0.25">
      <c r="B101" s="3"/>
      <c r="G101" s="55"/>
      <c r="H101" s="55"/>
      <c r="I101" s="55"/>
      <c r="J101" s="55"/>
      <c r="K101" s="55"/>
      <c r="L101" s="59"/>
      <c r="M101" s="55"/>
      <c r="N101" s="55"/>
      <c r="O101" s="55"/>
      <c r="P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BA101" s="55"/>
      <c r="BB101" s="55"/>
      <c r="BC101" s="55"/>
      <c r="BE101" s="55"/>
      <c r="BF101" s="55"/>
    </row>
    <row r="102" spans="2:58" ht="15.75" x14ac:dyDescent="0.25">
      <c r="B102" s="3"/>
      <c r="G102" s="55"/>
      <c r="H102" s="55"/>
      <c r="I102" s="55"/>
      <c r="J102" s="55"/>
      <c r="K102" s="55"/>
      <c r="L102" s="59"/>
      <c r="M102" s="55"/>
      <c r="N102" s="55"/>
      <c r="O102" s="55"/>
      <c r="P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BA102" s="55"/>
      <c r="BB102" s="55"/>
      <c r="BC102" s="55"/>
      <c r="BE102" s="55"/>
      <c r="BF102" s="55"/>
    </row>
    <row r="103" spans="2:58" ht="24" customHeight="1" x14ac:dyDescent="0.2">
      <c r="G103" s="55"/>
      <c r="H103" s="55"/>
      <c r="I103" s="55"/>
      <c r="J103" s="55"/>
      <c r="K103" s="55"/>
      <c r="L103" s="59"/>
      <c r="M103" s="55"/>
      <c r="N103" s="55"/>
      <c r="O103" s="55"/>
      <c r="P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BA103" s="55"/>
      <c r="BB103" s="55"/>
      <c r="BC103" s="55"/>
      <c r="BE103" s="55"/>
      <c r="BF103" s="55"/>
    </row>
    <row r="104" spans="2:58" x14ac:dyDescent="0.2">
      <c r="G104" s="55"/>
      <c r="H104" s="55"/>
      <c r="I104" s="55"/>
      <c r="J104" s="55"/>
      <c r="K104" s="55"/>
      <c r="L104" s="59"/>
      <c r="M104" s="55"/>
      <c r="N104" s="55"/>
      <c r="O104" s="55"/>
      <c r="P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BA104" s="55"/>
      <c r="BB104" s="55"/>
      <c r="BC104" s="55"/>
      <c r="BE104" s="55"/>
      <c r="BF104" s="55"/>
    </row>
    <row r="105" spans="2:58" x14ac:dyDescent="0.2">
      <c r="G105" s="55"/>
      <c r="H105" s="55"/>
      <c r="I105" s="55"/>
      <c r="J105" s="55"/>
      <c r="K105" s="55"/>
      <c r="L105" s="59"/>
      <c r="M105" s="55"/>
      <c r="N105" s="55"/>
      <c r="O105" s="55"/>
      <c r="P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BA105" s="55"/>
      <c r="BB105" s="55"/>
      <c r="BC105" s="55"/>
      <c r="BE105" s="55"/>
      <c r="BF105" s="55"/>
    </row>
    <row r="106" spans="2:58" x14ac:dyDescent="0.2">
      <c r="C106" s="60"/>
      <c r="D106" s="34"/>
      <c r="G106" s="55"/>
      <c r="H106" s="55"/>
      <c r="I106" s="55"/>
      <c r="J106" s="55"/>
      <c r="K106" s="55"/>
      <c r="L106" s="59"/>
      <c r="M106" s="55"/>
      <c r="N106" s="55"/>
      <c r="O106" s="55"/>
      <c r="P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BA106" s="55"/>
      <c r="BB106" s="55"/>
      <c r="BC106" s="55"/>
      <c r="BE106" s="55"/>
      <c r="BF106" s="55"/>
    </row>
    <row r="107" spans="2:58" x14ac:dyDescent="0.2">
      <c r="G107" s="55"/>
      <c r="H107" s="55"/>
      <c r="I107" s="55"/>
      <c r="J107" s="55"/>
      <c r="K107" s="55"/>
      <c r="L107" s="59"/>
      <c r="M107" s="55"/>
      <c r="N107" s="55"/>
      <c r="O107" s="55"/>
      <c r="P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BA107" s="55"/>
      <c r="BB107" s="55"/>
      <c r="BC107" s="55"/>
      <c r="BE107" s="55"/>
      <c r="BF107" s="55"/>
    </row>
    <row r="108" spans="2:58" x14ac:dyDescent="0.2">
      <c r="G108" s="55"/>
      <c r="H108" s="55"/>
      <c r="I108" s="55"/>
      <c r="J108" s="55"/>
      <c r="K108" s="55"/>
      <c r="L108" s="59"/>
      <c r="M108" s="55"/>
      <c r="N108" s="55"/>
      <c r="O108" s="55"/>
      <c r="P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BA108" s="55"/>
      <c r="BB108" s="55"/>
      <c r="BC108" s="55"/>
      <c r="BE108" s="55"/>
      <c r="BF108" s="55"/>
    </row>
    <row r="109" spans="2:58" x14ac:dyDescent="0.2">
      <c r="G109" s="55"/>
      <c r="H109" s="55"/>
      <c r="I109" s="55"/>
      <c r="J109" s="55"/>
      <c r="K109" s="55"/>
      <c r="L109" s="59"/>
      <c r="M109" s="55"/>
      <c r="N109" s="55"/>
      <c r="O109" s="55"/>
      <c r="P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BA109" s="55"/>
      <c r="BB109" s="55"/>
      <c r="BC109" s="55"/>
      <c r="BE109" s="55"/>
      <c r="BF109" s="55"/>
    </row>
    <row r="110" spans="2:58" x14ac:dyDescent="0.2">
      <c r="G110" s="55"/>
      <c r="H110" s="55"/>
      <c r="I110" s="55"/>
      <c r="J110" s="55"/>
      <c r="K110" s="55"/>
      <c r="L110" s="59"/>
      <c r="M110" s="55"/>
      <c r="N110" s="55"/>
      <c r="O110" s="55"/>
      <c r="P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BA110" s="55"/>
      <c r="BB110" s="55"/>
      <c r="BC110" s="55"/>
      <c r="BE110" s="55"/>
      <c r="BF110" s="55"/>
    </row>
    <row r="111" spans="2:58" x14ac:dyDescent="0.2">
      <c r="G111" s="55"/>
      <c r="H111" s="55"/>
      <c r="I111" s="55"/>
      <c r="J111" s="55"/>
      <c r="K111" s="55"/>
      <c r="L111" s="59"/>
      <c r="M111" s="55"/>
      <c r="N111" s="55"/>
      <c r="O111" s="55"/>
      <c r="P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BA111" s="55"/>
      <c r="BB111" s="55"/>
      <c r="BC111" s="55"/>
      <c r="BE111" s="55"/>
      <c r="BF111" s="55"/>
    </row>
    <row r="112" spans="2:58" x14ac:dyDescent="0.2">
      <c r="G112" s="55"/>
      <c r="H112" s="55"/>
      <c r="I112" s="55"/>
      <c r="J112" s="55"/>
      <c r="K112" s="55"/>
      <c r="L112" s="59"/>
      <c r="M112" s="55"/>
      <c r="N112" s="55"/>
      <c r="O112" s="55"/>
      <c r="P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BA112" s="55"/>
      <c r="BB112" s="55"/>
      <c r="BC112" s="55"/>
      <c r="BE112" s="55"/>
      <c r="BF112" s="55"/>
    </row>
    <row r="113" spans="7:58" s="2479" customFormat="1" x14ac:dyDescent="0.2">
      <c r="G113" s="55"/>
      <c r="H113" s="55"/>
      <c r="I113" s="55"/>
      <c r="J113" s="55"/>
      <c r="K113" s="55"/>
      <c r="L113" s="59"/>
      <c r="M113" s="55"/>
      <c r="N113" s="55"/>
      <c r="O113" s="55"/>
      <c r="P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BA113" s="55"/>
      <c r="BB113" s="55"/>
      <c r="BC113" s="55"/>
      <c r="BE113" s="55"/>
      <c r="BF113" s="55"/>
    </row>
    <row r="114" spans="7:58" s="2479" customFormat="1" x14ac:dyDescent="0.2">
      <c r="G114" s="55"/>
      <c r="H114" s="55"/>
      <c r="I114" s="55"/>
      <c r="J114" s="55"/>
      <c r="K114" s="55"/>
      <c r="L114" s="59"/>
      <c r="M114" s="55"/>
      <c r="N114" s="55"/>
      <c r="O114" s="55"/>
      <c r="P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BA114" s="55"/>
      <c r="BB114" s="55"/>
      <c r="BC114" s="55"/>
      <c r="BE114" s="55"/>
      <c r="BF114" s="55"/>
    </row>
    <row r="115" spans="7:58" s="2479" customFormat="1" x14ac:dyDescent="0.2">
      <c r="G115" s="55"/>
      <c r="H115" s="55"/>
      <c r="I115" s="55"/>
      <c r="J115" s="55"/>
      <c r="K115" s="55"/>
      <c r="L115" s="59"/>
      <c r="M115" s="55"/>
      <c r="N115" s="55"/>
      <c r="O115" s="55"/>
      <c r="P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BA115" s="55"/>
      <c r="BB115" s="55"/>
      <c r="BC115" s="55"/>
      <c r="BE115" s="55"/>
      <c r="BF115" s="55"/>
    </row>
    <row r="116" spans="7:58" s="2479" customFormat="1" x14ac:dyDescent="0.2">
      <c r="G116" s="55"/>
      <c r="H116" s="55"/>
      <c r="I116" s="55"/>
      <c r="J116" s="55"/>
      <c r="K116" s="55"/>
      <c r="L116" s="59"/>
      <c r="M116" s="55"/>
      <c r="N116" s="55"/>
      <c r="O116" s="55"/>
      <c r="P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BA116" s="55"/>
      <c r="BB116" s="55"/>
      <c r="BC116" s="55"/>
      <c r="BE116" s="55"/>
      <c r="BF116" s="55"/>
    </row>
    <row r="117" spans="7:58" s="2479" customFormat="1" x14ac:dyDescent="0.2">
      <c r="G117" s="55"/>
      <c r="H117" s="55"/>
      <c r="I117" s="55"/>
      <c r="J117" s="55"/>
      <c r="K117" s="55"/>
      <c r="L117" s="59"/>
      <c r="M117" s="55"/>
      <c r="N117" s="55"/>
      <c r="O117" s="55"/>
      <c r="P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BA117" s="55"/>
      <c r="BB117" s="55"/>
      <c r="BC117" s="55"/>
      <c r="BE117" s="55"/>
      <c r="BF117" s="55"/>
    </row>
    <row r="118" spans="7:58" s="2479" customFormat="1" x14ac:dyDescent="0.2">
      <c r="G118" s="55"/>
      <c r="H118" s="55"/>
      <c r="I118" s="55"/>
      <c r="J118" s="55"/>
      <c r="K118" s="55"/>
      <c r="L118" s="59"/>
      <c r="M118" s="55"/>
      <c r="N118" s="55"/>
      <c r="O118" s="55"/>
      <c r="P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BA118" s="55"/>
      <c r="BB118" s="55"/>
      <c r="BC118" s="55"/>
      <c r="BE118" s="55"/>
      <c r="BF118" s="55"/>
    </row>
    <row r="119" spans="7:58" s="2479" customFormat="1" x14ac:dyDescent="0.2">
      <c r="G119" s="55"/>
      <c r="H119" s="55"/>
      <c r="I119" s="55"/>
      <c r="J119" s="55"/>
      <c r="K119" s="55"/>
      <c r="L119" s="59"/>
      <c r="M119" s="55"/>
      <c r="N119" s="55"/>
      <c r="O119" s="55"/>
      <c r="P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BA119" s="55"/>
      <c r="BB119" s="55"/>
      <c r="BC119" s="55"/>
      <c r="BE119" s="55"/>
      <c r="BF119" s="55"/>
    </row>
    <row r="120" spans="7:58" s="2479" customFormat="1" x14ac:dyDescent="0.2">
      <c r="G120" s="55"/>
      <c r="H120" s="55"/>
      <c r="I120" s="55"/>
      <c r="J120" s="55"/>
      <c r="K120" s="55"/>
      <c r="L120" s="59"/>
      <c r="M120" s="55"/>
      <c r="N120" s="55"/>
      <c r="O120" s="55"/>
      <c r="P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BA120" s="55"/>
      <c r="BB120" s="55"/>
      <c r="BC120" s="55"/>
      <c r="BE120" s="55"/>
      <c r="BF120" s="55"/>
    </row>
    <row r="121" spans="7:58" s="2479" customFormat="1" x14ac:dyDescent="0.2">
      <c r="G121" s="55"/>
      <c r="H121" s="55"/>
      <c r="I121" s="55"/>
      <c r="J121" s="55"/>
      <c r="K121" s="55"/>
      <c r="L121" s="59"/>
      <c r="M121" s="55"/>
      <c r="N121" s="55"/>
      <c r="O121" s="55"/>
      <c r="P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BA121" s="55"/>
      <c r="BB121" s="55"/>
      <c r="BC121" s="55"/>
      <c r="BE121" s="55"/>
      <c r="BF121" s="55"/>
    </row>
    <row r="122" spans="7:58" s="2479" customFormat="1" x14ac:dyDescent="0.2">
      <c r="G122" s="55"/>
      <c r="H122" s="55"/>
      <c r="I122" s="55"/>
      <c r="J122" s="55"/>
      <c r="K122" s="55"/>
      <c r="L122" s="59"/>
      <c r="M122" s="55"/>
      <c r="N122" s="55"/>
      <c r="O122" s="55"/>
      <c r="P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BA122" s="55"/>
      <c r="BB122" s="55"/>
      <c r="BC122" s="55"/>
      <c r="BE122" s="55"/>
      <c r="BF122" s="55"/>
    </row>
    <row r="123" spans="7:58" s="2479" customFormat="1" x14ac:dyDescent="0.2">
      <c r="G123" s="55"/>
      <c r="H123" s="55"/>
      <c r="I123" s="55"/>
      <c r="J123" s="55"/>
      <c r="K123" s="55"/>
      <c r="L123" s="59"/>
      <c r="M123" s="55"/>
      <c r="N123" s="55"/>
      <c r="O123" s="55"/>
      <c r="P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BA123" s="55"/>
      <c r="BB123" s="55"/>
      <c r="BC123" s="55"/>
      <c r="BE123" s="55"/>
      <c r="BF123" s="55"/>
    </row>
    <row r="124" spans="7:58" s="2479" customFormat="1" x14ac:dyDescent="0.2">
      <c r="G124" s="55"/>
      <c r="H124" s="55"/>
      <c r="I124" s="55"/>
      <c r="J124" s="55"/>
      <c r="K124" s="55"/>
      <c r="L124" s="59"/>
      <c r="M124" s="55"/>
      <c r="N124" s="55"/>
      <c r="O124" s="55"/>
      <c r="P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BA124" s="55"/>
      <c r="BB124" s="55"/>
      <c r="BC124" s="55"/>
      <c r="BE124" s="55"/>
      <c r="BF124" s="55"/>
    </row>
    <row r="125" spans="7:58" s="2479" customFormat="1" x14ac:dyDescent="0.2">
      <c r="G125" s="55"/>
      <c r="H125" s="55"/>
      <c r="I125" s="55"/>
      <c r="J125" s="55"/>
      <c r="K125" s="55"/>
      <c r="L125" s="59"/>
      <c r="M125" s="55"/>
      <c r="N125" s="55"/>
      <c r="O125" s="55"/>
      <c r="P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BA125" s="55"/>
      <c r="BB125" s="55"/>
      <c r="BC125" s="55"/>
      <c r="BE125" s="55"/>
      <c r="BF125" s="55"/>
    </row>
    <row r="126" spans="7:58" s="2479" customFormat="1" x14ac:dyDescent="0.2">
      <c r="G126" s="55"/>
      <c r="H126" s="55"/>
      <c r="I126" s="55"/>
      <c r="J126" s="55"/>
      <c r="K126" s="55"/>
      <c r="L126" s="59"/>
      <c r="M126" s="55"/>
      <c r="N126" s="55"/>
      <c r="O126" s="55"/>
      <c r="P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BA126" s="55"/>
      <c r="BB126" s="55"/>
      <c r="BC126" s="55"/>
      <c r="BE126" s="55"/>
      <c r="BF126" s="55"/>
    </row>
    <row r="127" spans="7:58" s="2479" customFormat="1" x14ac:dyDescent="0.2">
      <c r="G127" s="55"/>
      <c r="H127" s="55"/>
      <c r="I127" s="55"/>
      <c r="J127" s="55"/>
      <c r="K127" s="55"/>
      <c r="L127" s="59"/>
      <c r="M127" s="55"/>
      <c r="N127" s="55"/>
      <c r="O127" s="55"/>
      <c r="P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BA127" s="55"/>
      <c r="BB127" s="55"/>
      <c r="BC127" s="55"/>
      <c r="BE127" s="55"/>
      <c r="BF127" s="55"/>
    </row>
    <row r="128" spans="7:58" s="2479" customFormat="1" x14ac:dyDescent="0.2">
      <c r="G128" s="55"/>
      <c r="H128" s="55"/>
      <c r="I128" s="55"/>
      <c r="J128" s="55"/>
      <c r="K128" s="55"/>
      <c r="L128" s="59"/>
      <c r="M128" s="55"/>
      <c r="N128" s="55"/>
      <c r="O128" s="55"/>
      <c r="P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BA128" s="55"/>
      <c r="BB128" s="55"/>
      <c r="BC128" s="55"/>
      <c r="BE128" s="55"/>
      <c r="BF128" s="55"/>
    </row>
    <row r="129" spans="7:58" s="2479" customFormat="1" x14ac:dyDescent="0.2">
      <c r="G129" s="55"/>
      <c r="H129" s="55"/>
      <c r="I129" s="55"/>
      <c r="J129" s="55"/>
      <c r="K129" s="55"/>
      <c r="L129" s="59"/>
      <c r="M129" s="55"/>
      <c r="N129" s="55"/>
      <c r="O129" s="55"/>
      <c r="P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BA129" s="55"/>
      <c r="BB129" s="55"/>
      <c r="BC129" s="55"/>
      <c r="BE129" s="55"/>
      <c r="BF129" s="55"/>
    </row>
  </sheetData>
  <pageMargins left="0.25" right="0.25" top="0.75" bottom="0.75" header="0.3" footer="0.3"/>
  <pageSetup orientation="portrait" horizontalDpi="1200" verticalDpi="1200" r:id="rId1"/>
  <headerFooter>
    <oddFooter>&amp;L&amp;"+,Regular"Pathways to 2050 -- Energy Flow Model&amp;R&amp;"+,Regular"&amp;F  |  This version printed &amp;D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autoPageBreaks="0"/>
  </sheetPr>
  <dimension ref="A1:CW129"/>
  <sheetViews>
    <sheetView windowProtection="1" zoomScale="106" zoomScaleNormal="106" workbookViewId="0"/>
  </sheetViews>
  <sheetFormatPr defaultColWidth="8.7109375" defaultRowHeight="12.75" outlineLevelRow="2" outlineLevelCol="2" x14ac:dyDescent="0.2"/>
  <cols>
    <col min="1" max="1" width="1.7109375" style="2479" customWidth="1"/>
    <col min="2" max="2" width="1.42578125" style="2479" customWidth="1"/>
    <col min="3" max="3" width="4.42578125" style="50" customWidth="1"/>
    <col min="4" max="4" width="6.7109375" style="51" customWidth="1"/>
    <col min="5" max="5" width="41.7109375" style="51" customWidth="1"/>
    <col min="6" max="6" width="1.140625" style="2479" customWidth="1" outlineLevel="1"/>
    <col min="7" max="11" width="10" style="51" customWidth="1" outlineLevel="2"/>
    <col min="12" max="12" width="10" style="65" customWidth="1" outlineLevel="2"/>
    <col min="13" max="15" width="10" style="51" customWidth="1" outlineLevel="2"/>
    <col min="16" max="16" width="10" style="51" customWidth="1" outlineLevel="1"/>
    <col min="17" max="17" width="1.140625" style="2479" customWidth="1" outlineLevel="1"/>
    <col min="18" max="33" width="10" style="51" customWidth="1" outlineLevel="2"/>
    <col min="34" max="34" width="10" style="51" customWidth="1" outlineLevel="1"/>
    <col min="35" max="35" width="1.140625" style="2479" customWidth="1" outlineLevel="1"/>
    <col min="36" max="50" width="10" style="51" customWidth="1" outlineLevel="2"/>
    <col min="51" max="51" width="10" style="51" customWidth="1" outlineLevel="1"/>
    <col min="52" max="52" width="1.140625" style="2479" customWidth="1" outlineLevel="1"/>
    <col min="53" max="54" width="10" style="51" customWidth="1" outlineLevel="2"/>
    <col min="55" max="55" width="10" style="51" customWidth="1" outlineLevel="1"/>
    <col min="56" max="56" width="1.140625" style="2479" customWidth="1" outlineLevel="1"/>
    <col min="57" max="57" width="11" style="51" customWidth="1" outlineLevel="1"/>
    <col min="58" max="58" width="5.28515625" style="51" customWidth="1"/>
    <col min="59" max="59" width="8.7109375" style="2479"/>
    <col min="60" max="99" width="7.42578125" style="2479" customWidth="1"/>
    <col min="100" max="100" width="2.42578125" style="2479" customWidth="1"/>
    <col min="101" max="16384" width="8.7109375" style="2479"/>
  </cols>
  <sheetData>
    <row r="1" spans="1:101" ht="6" customHeight="1" x14ac:dyDescent="0.2"/>
    <row r="2" spans="1:101" ht="21" customHeight="1" x14ac:dyDescent="0.2">
      <c r="D2" s="43"/>
      <c r="E2" s="252">
        <v>2050</v>
      </c>
      <c r="G2" s="2479"/>
      <c r="H2" s="2479"/>
      <c r="I2" s="2479"/>
      <c r="J2" s="2479"/>
      <c r="K2" s="2479"/>
      <c r="L2" s="2479"/>
      <c r="M2" s="2479"/>
      <c r="N2" s="2479"/>
      <c r="O2" s="2479"/>
      <c r="P2" s="2479"/>
      <c r="R2" s="2479"/>
      <c r="S2" s="2479"/>
      <c r="T2" s="2479"/>
      <c r="U2" s="2479"/>
      <c r="V2" s="2479"/>
      <c r="W2" s="2479"/>
      <c r="X2" s="2479"/>
      <c r="Y2" s="2479"/>
      <c r="Z2" s="2479"/>
      <c r="AA2" s="2479"/>
      <c r="AB2" s="2479"/>
      <c r="AC2" s="2479"/>
      <c r="AD2" s="2479"/>
      <c r="AE2" s="2479"/>
      <c r="AF2" s="2479"/>
      <c r="AG2" s="2479"/>
      <c r="AH2" s="2479"/>
      <c r="AJ2" s="2479"/>
      <c r="AK2" s="2479"/>
      <c r="AL2" s="2479"/>
      <c r="AM2" s="2479"/>
      <c r="AN2" s="2479"/>
      <c r="AO2" s="2479"/>
      <c r="AP2" s="2479"/>
      <c r="AQ2" s="2479"/>
      <c r="AR2" s="2479"/>
      <c r="AS2" s="2479"/>
      <c r="AT2" s="2479"/>
      <c r="AU2" s="2479"/>
      <c r="AV2" s="2479"/>
      <c r="AW2" s="2479"/>
      <c r="AX2" s="2479"/>
      <c r="AY2" s="2479"/>
      <c r="BA2" s="2479"/>
      <c r="BB2" s="2479"/>
      <c r="BC2" s="2479"/>
      <c r="BE2" s="2479"/>
      <c r="BF2" s="72"/>
    </row>
    <row r="3" spans="1:101" ht="39" customHeight="1" x14ac:dyDescent="0.2">
      <c r="A3" s="90"/>
      <c r="B3" s="90"/>
      <c r="C3" s="90"/>
      <c r="D3" s="44"/>
      <c r="E3" s="133" t="str">
        <f>Preferences.EnergyUnits</f>
        <v>TWh</v>
      </c>
      <c r="G3" s="281" t="s">
        <v>293</v>
      </c>
      <c r="H3" s="281"/>
      <c r="I3" s="281"/>
      <c r="J3" s="281"/>
      <c r="K3" s="281"/>
      <c r="L3" s="281"/>
      <c r="M3" s="281"/>
      <c r="N3" s="281"/>
      <c r="O3" s="281"/>
      <c r="P3" s="281"/>
      <c r="R3" s="375" t="s">
        <v>239</v>
      </c>
      <c r="S3" s="376"/>
      <c r="T3" s="376"/>
      <c r="U3" s="376"/>
      <c r="V3" s="376"/>
      <c r="W3" s="376"/>
      <c r="X3" s="380"/>
      <c r="Y3" s="376"/>
      <c r="Z3" s="376"/>
      <c r="AA3" s="376"/>
      <c r="AB3" s="376"/>
      <c r="AC3" s="376"/>
      <c r="AD3" s="376"/>
      <c r="AE3" s="376"/>
      <c r="AF3" s="376"/>
      <c r="AG3" s="376"/>
      <c r="AH3" s="379"/>
      <c r="AJ3" s="377" t="s">
        <v>481</v>
      </c>
      <c r="AK3" s="378"/>
      <c r="AL3" s="378"/>
      <c r="AM3" s="381"/>
      <c r="AN3" s="378"/>
      <c r="AO3" s="378"/>
      <c r="AP3" s="378"/>
      <c r="AQ3" s="378"/>
      <c r="AR3" s="378"/>
      <c r="AS3" s="378"/>
      <c r="AT3" s="378"/>
      <c r="AU3" s="378"/>
      <c r="AV3" s="378"/>
      <c r="AW3" s="378"/>
      <c r="AX3" s="378"/>
      <c r="AY3" s="382"/>
      <c r="BA3" s="303" t="s">
        <v>387</v>
      </c>
      <c r="BB3" s="290"/>
      <c r="BC3" s="290"/>
      <c r="BE3" s="47"/>
      <c r="BF3" s="47"/>
      <c r="BG3" s="90"/>
      <c r="BH3" s="384" t="s">
        <v>485</v>
      </c>
      <c r="BI3" s="385"/>
      <c r="BJ3" s="385"/>
      <c r="BK3" s="385"/>
      <c r="BL3" s="385"/>
      <c r="BM3" s="385"/>
      <c r="BN3" s="385"/>
      <c r="BO3" s="385"/>
      <c r="BP3" s="385"/>
      <c r="BQ3" s="385"/>
      <c r="BR3" s="385"/>
      <c r="BS3" s="385"/>
      <c r="BT3" s="385"/>
      <c r="BU3" s="385"/>
      <c r="BV3" s="385"/>
      <c r="BW3" s="385"/>
      <c r="BX3" s="385"/>
      <c r="BY3" s="385"/>
      <c r="BZ3" s="385"/>
      <c r="CA3" s="385"/>
      <c r="CB3" s="385"/>
      <c r="CC3" s="385"/>
      <c r="CD3" s="385"/>
      <c r="CE3" s="385"/>
      <c r="CF3" s="385"/>
      <c r="CG3" s="385"/>
      <c r="CH3" s="385"/>
      <c r="CI3" s="385"/>
      <c r="CJ3" s="385"/>
      <c r="CK3" s="385"/>
      <c r="CL3" s="385"/>
      <c r="CM3" s="385"/>
      <c r="CN3" s="385"/>
      <c r="CO3" s="385"/>
      <c r="CP3" s="385"/>
      <c r="CQ3" s="385"/>
      <c r="CR3" s="514"/>
      <c r="CS3" s="514"/>
      <c r="CT3" s="514"/>
      <c r="CU3" s="514"/>
    </row>
    <row r="4" spans="1:101" ht="36.75" customHeight="1" x14ac:dyDescent="0.2">
      <c r="C4" s="48"/>
      <c r="D4" s="48"/>
      <c r="G4" s="253" t="str">
        <f>INDEX(Vectors[Description], MATCH(G$5,Vectors[Code],FALSE))</f>
        <v>Cooling</v>
      </c>
      <c r="H4" s="253" t="str">
        <f>INDEX(Vectors[Description], MATCH(H$5,Vectors[Code],FALSE))</f>
        <v>Lighting &amp; appliances</v>
      </c>
      <c r="I4" s="253" t="str">
        <f>INDEX(Vectors[Description], MATCH(I$5,Vectors[Code],FALSE))</f>
        <v>Cooking</v>
      </c>
      <c r="J4" s="253" t="str">
        <f>INDEX(Vectors[Description], MATCH(J$5,Vectors[Code],FALSE))</f>
        <v>Industry</v>
      </c>
      <c r="K4" s="253" t="str">
        <f>INDEX(Vectors[Description], MATCH(K$5,Vectors[Code],FALSE))</f>
        <v>Road transport</v>
      </c>
      <c r="L4" s="253" t="str">
        <f>INDEX(Vectors[Description], MATCH(L$5,Vectors[Code],FALSE))</f>
        <v>Rail transport</v>
      </c>
      <c r="M4" s="253" t="str">
        <f>INDEX(Vectors[Description], MATCH(M$5,Vectors[Code],FALSE))</f>
        <v>Domestic aviation</v>
      </c>
      <c r="N4" s="253" t="str">
        <f>INDEX(Vectors[Description], MATCH(N$5,Vectors[Code],FALSE))</f>
        <v>Berge</v>
      </c>
      <c r="O4" s="253" t="str">
        <f>INDEX(Vectors[Description], MATCH(O$5,Vectors[Code],FALSE))</f>
        <v>Pipeline</v>
      </c>
      <c r="P4" s="270" t="s">
        <v>391</v>
      </c>
      <c r="R4" s="254" t="str">
        <f>INDEX(Vectors[Description], MATCH(R$5,Vectors[Code],FALSE))</f>
        <v>Electricity (delivered to end user)</v>
      </c>
      <c r="S4" s="254" t="str">
        <f>INDEX(Vectors[Description], MATCH(S$5,Vectors[Code],FALSE))</f>
        <v>Electricity (supplied to grid)</v>
      </c>
      <c r="T4" s="254" t="str">
        <f>INDEX(Vectors[Description], MATCH(T$5,Vectors[Code],FALSE))</f>
        <v>Solid hydrocarbons</v>
      </c>
      <c r="U4" s="254" t="str">
        <f>INDEX(Vectors[Description], MATCH(U$5,Vectors[Code],FALSE))</f>
        <v>Liquid hydrocarbons</v>
      </c>
      <c r="V4" s="254" t="str">
        <f>INDEX(Vectors[Description], MATCH(V$5,Vectors[Code],FALSE))</f>
        <v>Gaseous hydrocarbons</v>
      </c>
      <c r="W4" s="254" t="str">
        <f>INDEX(Vectors[Description], MATCH(W$5,Vectors[Code],FALSE))</f>
        <v>Traditional Fuel</v>
      </c>
      <c r="X4" s="254" t="str">
        <f>INDEX(Vectors[Description], MATCH(X$5,Vectors[Code],FALSE))</f>
        <v>Coal and fossil waste</v>
      </c>
      <c r="Y4" s="254" t="str">
        <f>INDEX(Vectors[Description], MATCH(Y$5,Vectors[Code],FALSE))</f>
        <v>Oil and petroleum products</v>
      </c>
      <c r="Z4" s="254" t="str">
        <f>INDEX(Vectors[Description], MATCH(Z$5,Vectors[Code],FALSE))</f>
        <v>Natural gas</v>
      </c>
      <c r="AA4" s="254" t="str">
        <f>INDEX(Vectors[Description], MATCH(AA$5,Vectors[Code],FALSE))</f>
        <v>Blast furnace gas</v>
      </c>
      <c r="AB4" s="254" t="str">
        <f>INDEX(Vectors[Description], MATCH(AB$5,Vectors[Code],FALSE))</f>
        <v>Edible biomass</v>
      </c>
      <c r="AC4" s="254" t="str">
        <f>INDEX(Vectors[Description], MATCH(AC$5,Vectors[Code],FALSE))</f>
        <v>Energy crops (second generation)</v>
      </c>
      <c r="AD4" s="254" t="str">
        <f>INDEX(Vectors[Description], MATCH(AD$5,Vectors[Code],FALSE))</f>
        <v>Energy crops (first generation)</v>
      </c>
      <c r="AE4" s="254" t="str">
        <f>INDEX(Vectors[Description], MATCH(AE$5,Vectors[Code],FALSE))</f>
        <v>Dry biomass and waste</v>
      </c>
      <c r="AF4" s="254" t="str">
        <f>INDEX(Vectors[Description], MATCH(AF$5,Vectors[Code],FALSE))</f>
        <v>Wet biomass and waste</v>
      </c>
      <c r="AG4" s="254" t="str">
        <f>INDEX(Vectors[Description], MATCH(AG$5,Vectors[Code],FALSE))</f>
        <v>Gaseous waste</v>
      </c>
      <c r="AH4" s="284" t="s">
        <v>237</v>
      </c>
      <c r="AJ4" s="268" t="str">
        <f>INDEX(Vectors[Description], MATCH(AJ$5,Vectors[Code],FALSE))</f>
        <v>Coal reserves</v>
      </c>
      <c r="AK4" s="268" t="str">
        <f>INDEX(Vectors[Description], MATCH(AK$5,Vectors[Code],FALSE))</f>
        <v>Oil reserves</v>
      </c>
      <c r="AL4" s="268" t="str">
        <f>INDEX(Vectors[Description], MATCH(AL$5,Vectors[Code],FALSE))</f>
        <v>Gas reserves</v>
      </c>
      <c r="AM4" s="268" t="str">
        <f>INDEX(Vectors[Description], MATCH(AM$5,Vectors[Code],FALSE))</f>
        <v>Biomass oversupply (imports)</v>
      </c>
      <c r="AN4" s="268" t="str">
        <f>INDEX(Vectors[Description], MATCH(AN$5,Vectors[Code],FALSE))</f>
        <v>Electricity oversupply (imports)</v>
      </c>
      <c r="AO4" s="268" t="str">
        <f>INDEX(Vectors[Description], MATCH(AO$5,Vectors[Code],FALSE))</f>
        <v>Petroleum products oversupply</v>
      </c>
      <c r="AP4" s="268" t="str">
        <f>INDEX(Vectors[Description], MATCH(AP$5,Vectors[Code],FALSE))</f>
        <v>Coal oversupply (imports)</v>
      </c>
      <c r="AQ4" s="268" t="str">
        <f>INDEX(Vectors[Description], MATCH(AQ$5,Vectors[Code],FALSE))</f>
        <v>Oil and petroleum products oversupply (imports)</v>
      </c>
      <c r="AR4" s="268" t="str">
        <f>INDEX(Vectors[Description], MATCH(AR$5,Vectors[Code],FALSE))</f>
        <v>Gas oversupply (imports)</v>
      </c>
      <c r="AS4" s="268" t="str">
        <f>INDEX(Vectors[Description], MATCH(AS$5,Vectors[Code],FALSE))</f>
        <v>Nuclear fission</v>
      </c>
      <c r="AT4" s="268" t="str">
        <f>INDEX(Vectors[Description], MATCH(AT$5,Vectors[Code],FALSE))</f>
        <v>Solar</v>
      </c>
      <c r="AU4" s="268" t="str">
        <f>INDEX(Vectors[Description], MATCH(AU$5,Vectors[Code],FALSE))</f>
        <v>Wind</v>
      </c>
      <c r="AV4" s="268" t="str">
        <f>INDEX(Vectors[Description], MATCH(AV$5,Vectors[Code],FALSE))</f>
        <v>Hydro</v>
      </c>
      <c r="AW4" s="268" t="str">
        <f>INDEX(Vectors[Description], MATCH(AW$5,Vectors[Code],FALSE))</f>
        <v>Agriculture</v>
      </c>
      <c r="AX4" s="268" t="str">
        <f>INDEX(Vectors[Description], MATCH(AX$5,Vectors[Code],FALSE))</f>
        <v>Waste</v>
      </c>
      <c r="AY4" s="286" t="s">
        <v>238</v>
      </c>
      <c r="BA4" s="273" t="str">
        <f>INDEX(Vectors[Description], MATCH(BA$5,Vectors[Code],FALSE))</f>
        <v>Conversion losses</v>
      </c>
      <c r="BB4" s="273" t="str">
        <f>INDEX(Vectors[Description], MATCH(BB$5,Vectors[Code],FALSE))</f>
        <v>Distribution losses and own use</v>
      </c>
      <c r="BC4" s="288" t="s">
        <v>386</v>
      </c>
      <c r="BE4" s="49" t="str">
        <f>INDEX(Vectors[Description], MATCH(BE$5,Vectors[Code],FALSE))</f>
        <v>Unallocated</v>
      </c>
      <c r="BF4" s="49"/>
      <c r="BH4" s="389" t="str">
        <f>INDEX(IPCC[Sector_description], MATCH(BH$5, IPCC[Sector_code], 0))</f>
        <v>Fuel Combustion</v>
      </c>
      <c r="BI4" s="390"/>
      <c r="BJ4" s="390"/>
      <c r="BK4" s="391"/>
      <c r="BL4" s="389" t="str">
        <f>INDEX(IPCC[Sector_description], MATCH(BL$5, IPCC[Sector_code], 0))</f>
        <v>Fugitive Emissions from Fuels</v>
      </c>
      <c r="BM4" s="390"/>
      <c r="BN4" s="390"/>
      <c r="BO4" s="391"/>
      <c r="BP4" s="389" t="str">
        <f>INDEX(IPCC[Sector_description], MATCH(BP$5, IPCC[Sector_code], 0))</f>
        <v>Industrial Processes</v>
      </c>
      <c r="BQ4" s="390"/>
      <c r="BR4" s="390"/>
      <c r="BS4" s="391"/>
      <c r="BT4" s="389" t="str">
        <f>INDEX(IPCC[Sector_description], MATCH(BT$5, IPCC[Sector_code], 0))</f>
        <v>Solvent and Other Product Use</v>
      </c>
      <c r="BU4" s="390"/>
      <c r="BV4" s="390"/>
      <c r="BW4" s="391"/>
      <c r="BX4" s="389" t="str">
        <f>INDEX(IPCC[Sector_description], MATCH(BX$5, IPCC[Sector_code], 0))</f>
        <v>Agriculture</v>
      </c>
      <c r="BY4" s="390"/>
      <c r="BZ4" s="390"/>
      <c r="CA4" s="391"/>
      <c r="CB4" s="389" t="str">
        <f>INDEX(IPCC[Sector_description], MATCH(CB$5, IPCC[Sector_code], 0))</f>
        <v>LULUCF</v>
      </c>
      <c r="CC4" s="390"/>
      <c r="CD4" s="390"/>
      <c r="CE4" s="391"/>
      <c r="CF4" s="389" t="str">
        <f>INDEX(IPCC[Sector_description], MATCH(CF$5, IPCC[Sector_code], 0))</f>
        <v>Waste</v>
      </c>
      <c r="CG4" s="390"/>
      <c r="CH4" s="390"/>
      <c r="CI4" s="391"/>
      <c r="CJ4" s="389" t="str">
        <f>INDEX(IPCC[Sector_description], MATCH(CJ$5, IPCC[Sector_code], 0))</f>
        <v>Other</v>
      </c>
      <c r="CK4" s="390"/>
      <c r="CL4" s="390"/>
      <c r="CM4" s="391"/>
      <c r="CN4" s="389" t="str">
        <f>INDEX(IPCC[Sector_description], MATCH(CN$5, IPCC[Sector_code], 0))</f>
        <v>Bioenergy credit</v>
      </c>
      <c r="CO4" s="390"/>
      <c r="CP4" s="390"/>
      <c r="CQ4" s="391"/>
      <c r="CR4" s="389" t="str">
        <f>INDEX(IPCC[Sector_description], MATCH(CR$5, IPCC[Sector_code], 0))</f>
        <v>Carbon capture</v>
      </c>
      <c r="CS4" s="390"/>
      <c r="CT4" s="390"/>
      <c r="CU4" s="391"/>
      <c r="CW4" s="539" t="s">
        <v>105</v>
      </c>
    </row>
    <row r="5" spans="1:101" x14ac:dyDescent="0.2">
      <c r="D5" s="239" t="s">
        <v>117</v>
      </c>
      <c r="G5" s="271" t="s">
        <v>5</v>
      </c>
      <c r="H5" s="271" t="s">
        <v>44</v>
      </c>
      <c r="I5" s="271" t="s">
        <v>2205</v>
      </c>
      <c r="J5" s="271" t="s">
        <v>9</v>
      </c>
      <c r="K5" s="271" t="s">
        <v>28</v>
      </c>
      <c r="L5" s="271" t="s">
        <v>29</v>
      </c>
      <c r="M5" s="271" t="s">
        <v>30</v>
      </c>
      <c r="N5" s="271" t="s">
        <v>31</v>
      </c>
      <c r="O5" s="271" t="s">
        <v>2336</v>
      </c>
      <c r="P5" s="271"/>
      <c r="R5" s="272" t="s">
        <v>34</v>
      </c>
      <c r="S5" s="272" t="s">
        <v>35</v>
      </c>
      <c r="T5" s="272" t="s">
        <v>36</v>
      </c>
      <c r="U5" s="272" t="s">
        <v>38</v>
      </c>
      <c r="V5" s="272" t="s">
        <v>39</v>
      </c>
      <c r="W5" s="272" t="s">
        <v>2184</v>
      </c>
      <c r="X5" s="272" t="s">
        <v>51</v>
      </c>
      <c r="Y5" s="272" t="s">
        <v>52</v>
      </c>
      <c r="Z5" s="272" t="s">
        <v>53</v>
      </c>
      <c r="AA5" s="272" t="s">
        <v>92</v>
      </c>
      <c r="AB5" s="272" t="s">
        <v>295</v>
      </c>
      <c r="AC5" s="272" t="s">
        <v>871</v>
      </c>
      <c r="AD5" s="272" t="s">
        <v>1161</v>
      </c>
      <c r="AE5" s="272" t="s">
        <v>296</v>
      </c>
      <c r="AF5" s="272" t="s">
        <v>383</v>
      </c>
      <c r="AG5" s="272" t="s">
        <v>1164</v>
      </c>
      <c r="AH5" s="272"/>
      <c r="AJ5" s="269" t="s">
        <v>425</v>
      </c>
      <c r="AK5" s="269" t="s">
        <v>426</v>
      </c>
      <c r="AL5" s="269" t="s">
        <v>427</v>
      </c>
      <c r="AM5" s="269" t="s">
        <v>46</v>
      </c>
      <c r="AN5" s="269" t="s">
        <v>47</v>
      </c>
      <c r="AO5" s="269" t="s">
        <v>323</v>
      </c>
      <c r="AP5" s="269" t="s">
        <v>417</v>
      </c>
      <c r="AQ5" s="269" t="s">
        <v>418</v>
      </c>
      <c r="AR5" s="269" t="s">
        <v>419</v>
      </c>
      <c r="AS5" s="269" t="s">
        <v>6</v>
      </c>
      <c r="AT5" s="269" t="s">
        <v>25</v>
      </c>
      <c r="AU5" s="269" t="s">
        <v>7</v>
      </c>
      <c r="AV5" s="269" t="s">
        <v>8</v>
      </c>
      <c r="AW5" s="269" t="s">
        <v>451</v>
      </c>
      <c r="AX5" s="269" t="s">
        <v>42</v>
      </c>
      <c r="AY5" s="269"/>
      <c r="BA5" s="274" t="s">
        <v>26</v>
      </c>
      <c r="BB5" s="274" t="s">
        <v>27</v>
      </c>
      <c r="BC5" s="274"/>
      <c r="BE5" s="46" t="s">
        <v>48</v>
      </c>
      <c r="BF5" s="46"/>
      <c r="BH5" s="392" t="s">
        <v>483</v>
      </c>
      <c r="BI5" s="393" t="s">
        <v>483</v>
      </c>
      <c r="BJ5" s="393" t="s">
        <v>483</v>
      </c>
      <c r="BK5" s="394" t="s">
        <v>483</v>
      </c>
      <c r="BL5" s="392" t="s">
        <v>482</v>
      </c>
      <c r="BM5" s="393" t="s">
        <v>482</v>
      </c>
      <c r="BN5" s="393" t="s">
        <v>482</v>
      </c>
      <c r="BO5" s="394" t="s">
        <v>482</v>
      </c>
      <c r="BP5" s="392">
        <v>2</v>
      </c>
      <c r="BQ5" s="393">
        <v>2</v>
      </c>
      <c r="BR5" s="393">
        <v>2</v>
      </c>
      <c r="BS5" s="394">
        <v>2</v>
      </c>
      <c r="BT5" s="392">
        <v>3</v>
      </c>
      <c r="BU5" s="393">
        <v>3</v>
      </c>
      <c r="BV5" s="393">
        <v>3</v>
      </c>
      <c r="BW5" s="394">
        <v>3</v>
      </c>
      <c r="BX5" s="392">
        <v>4</v>
      </c>
      <c r="BY5" s="393">
        <v>4</v>
      </c>
      <c r="BZ5" s="393">
        <v>4</v>
      </c>
      <c r="CA5" s="394">
        <v>4</v>
      </c>
      <c r="CB5" s="392">
        <v>5</v>
      </c>
      <c r="CC5" s="393">
        <v>5</v>
      </c>
      <c r="CD5" s="393">
        <v>5</v>
      </c>
      <c r="CE5" s="394">
        <v>5</v>
      </c>
      <c r="CF5" s="392">
        <v>6</v>
      </c>
      <c r="CG5" s="393">
        <v>6</v>
      </c>
      <c r="CH5" s="393">
        <v>6</v>
      </c>
      <c r="CI5" s="394">
        <v>6</v>
      </c>
      <c r="CJ5" s="392">
        <v>7</v>
      </c>
      <c r="CK5" s="393">
        <v>7</v>
      </c>
      <c r="CL5" s="393">
        <v>7</v>
      </c>
      <c r="CM5" s="394">
        <v>7</v>
      </c>
      <c r="CN5" s="392" t="s">
        <v>469</v>
      </c>
      <c r="CO5" s="393" t="s">
        <v>469</v>
      </c>
      <c r="CP5" s="393" t="s">
        <v>469</v>
      </c>
      <c r="CQ5" s="394" t="s">
        <v>469</v>
      </c>
      <c r="CR5" s="392" t="s">
        <v>495</v>
      </c>
      <c r="CS5" s="393" t="s">
        <v>495</v>
      </c>
      <c r="CT5" s="393" t="s">
        <v>495</v>
      </c>
      <c r="CU5" s="394" t="s">
        <v>495</v>
      </c>
    </row>
    <row r="6" spans="1:101" ht="15.75" customHeight="1" x14ac:dyDescent="0.2">
      <c r="G6" s="242"/>
      <c r="H6" s="242"/>
      <c r="I6" s="242"/>
      <c r="J6" s="242"/>
      <c r="K6" s="242"/>
      <c r="L6" s="243"/>
      <c r="M6" s="242"/>
      <c r="N6" s="242"/>
      <c r="O6" s="242"/>
      <c r="P6" s="242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261"/>
      <c r="AV6" s="261"/>
      <c r="AW6" s="261"/>
      <c r="AX6" s="261"/>
      <c r="AY6" s="261"/>
      <c r="BA6" s="275"/>
      <c r="BB6" s="275"/>
      <c r="BC6" s="275"/>
      <c r="BE6" s="52"/>
      <c r="BF6" s="52"/>
      <c r="BH6" s="386" t="s">
        <v>473</v>
      </c>
      <c r="BI6" s="386" t="s">
        <v>474</v>
      </c>
      <c r="BJ6" s="386" t="s">
        <v>475</v>
      </c>
      <c r="BK6" s="386" t="s">
        <v>476</v>
      </c>
      <c r="BL6" s="386" t="s">
        <v>473</v>
      </c>
      <c r="BM6" s="386" t="s">
        <v>474</v>
      </c>
      <c r="BN6" s="386" t="s">
        <v>475</v>
      </c>
      <c r="BO6" s="386" t="s">
        <v>476</v>
      </c>
      <c r="BP6" s="386" t="s">
        <v>473</v>
      </c>
      <c r="BQ6" s="386" t="s">
        <v>474</v>
      </c>
      <c r="BR6" s="386" t="s">
        <v>475</v>
      </c>
      <c r="BS6" s="386" t="s">
        <v>476</v>
      </c>
      <c r="BT6" s="386" t="s">
        <v>473</v>
      </c>
      <c r="BU6" s="386" t="s">
        <v>474</v>
      </c>
      <c r="BV6" s="386" t="s">
        <v>475</v>
      </c>
      <c r="BW6" s="386" t="s">
        <v>476</v>
      </c>
      <c r="BX6" s="386" t="s">
        <v>473</v>
      </c>
      <c r="BY6" s="386" t="s">
        <v>474</v>
      </c>
      <c r="BZ6" s="386" t="s">
        <v>475</v>
      </c>
      <c r="CA6" s="386" t="s">
        <v>476</v>
      </c>
      <c r="CB6" s="386" t="s">
        <v>473</v>
      </c>
      <c r="CC6" s="386" t="s">
        <v>474</v>
      </c>
      <c r="CD6" s="386" t="s">
        <v>475</v>
      </c>
      <c r="CE6" s="386" t="s">
        <v>476</v>
      </c>
      <c r="CF6" s="386" t="s">
        <v>473</v>
      </c>
      <c r="CG6" s="386" t="s">
        <v>474</v>
      </c>
      <c r="CH6" s="386" t="s">
        <v>475</v>
      </c>
      <c r="CI6" s="386" t="s">
        <v>476</v>
      </c>
      <c r="CJ6" s="386" t="s">
        <v>473</v>
      </c>
      <c r="CK6" s="386" t="s">
        <v>474</v>
      </c>
      <c r="CL6" s="386" t="s">
        <v>475</v>
      </c>
      <c r="CM6" s="386" t="s">
        <v>476</v>
      </c>
      <c r="CN6" s="386" t="s">
        <v>473</v>
      </c>
      <c r="CO6" s="386" t="s">
        <v>474</v>
      </c>
      <c r="CP6" s="386" t="s">
        <v>475</v>
      </c>
      <c r="CQ6" s="386" t="s">
        <v>476</v>
      </c>
      <c r="CR6" s="386" t="s">
        <v>473</v>
      </c>
      <c r="CS6" s="386" t="s">
        <v>474</v>
      </c>
      <c r="CT6" s="386" t="s">
        <v>475</v>
      </c>
      <c r="CU6" s="386" t="s">
        <v>476</v>
      </c>
    </row>
    <row r="7" spans="1:101" ht="18" customHeight="1" x14ac:dyDescent="0.2">
      <c r="C7" s="45" t="s">
        <v>188</v>
      </c>
      <c r="D7" s="45"/>
      <c r="E7" s="68"/>
      <c r="G7" s="244"/>
      <c r="H7" s="244"/>
      <c r="I7" s="244"/>
      <c r="J7" s="244"/>
      <c r="K7" s="244"/>
      <c r="L7" s="244"/>
      <c r="M7" s="244"/>
      <c r="N7" s="244"/>
      <c r="O7" s="244"/>
      <c r="P7" s="244"/>
      <c r="R7" s="256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56"/>
      <c r="AE7" s="256"/>
      <c r="AF7" s="256"/>
      <c r="AG7" s="256"/>
      <c r="AH7" s="256"/>
      <c r="AJ7" s="262"/>
      <c r="AK7" s="262"/>
      <c r="AL7" s="262"/>
      <c r="AM7" s="262"/>
      <c r="AN7" s="262"/>
      <c r="AO7" s="262"/>
      <c r="AP7" s="262"/>
      <c r="AQ7" s="262"/>
      <c r="AR7" s="262"/>
      <c r="AS7" s="262"/>
      <c r="AT7" s="262"/>
      <c r="AU7" s="262"/>
      <c r="AV7" s="262"/>
      <c r="AW7" s="262"/>
      <c r="AX7" s="262"/>
      <c r="AY7" s="262"/>
      <c r="BA7" s="276"/>
      <c r="BB7" s="276"/>
      <c r="BC7" s="276"/>
      <c r="BE7" s="54"/>
      <c r="BF7" s="54"/>
      <c r="BH7" s="387"/>
      <c r="BI7" s="387"/>
      <c r="BJ7" s="387"/>
      <c r="BK7" s="387"/>
      <c r="BL7" s="387"/>
      <c r="BM7" s="387"/>
      <c r="BN7" s="387"/>
      <c r="BO7" s="387"/>
      <c r="BP7" s="387"/>
      <c r="BQ7" s="387"/>
      <c r="BR7" s="387"/>
      <c r="BS7" s="387"/>
      <c r="BT7" s="387"/>
      <c r="BU7" s="387"/>
      <c r="BV7" s="387"/>
      <c r="BW7" s="387"/>
      <c r="BX7" s="387"/>
      <c r="BY7" s="387"/>
      <c r="BZ7" s="387"/>
      <c r="CA7" s="387"/>
      <c r="CB7" s="387"/>
      <c r="CC7" s="387"/>
      <c r="CD7" s="387"/>
      <c r="CE7" s="387"/>
      <c r="CF7" s="387"/>
      <c r="CG7" s="387"/>
      <c r="CH7" s="387"/>
      <c r="CI7" s="387"/>
      <c r="CJ7" s="387"/>
      <c r="CK7" s="387"/>
      <c r="CL7" s="387"/>
      <c r="CM7" s="387"/>
      <c r="CN7" s="387"/>
      <c r="CO7" s="387"/>
      <c r="CP7" s="387"/>
      <c r="CQ7" s="387"/>
      <c r="CR7" s="387"/>
      <c r="CS7" s="387"/>
      <c r="CT7" s="387"/>
      <c r="CU7" s="387"/>
    </row>
    <row r="8" spans="1:101" outlineLevel="1" x14ac:dyDescent="0.2">
      <c r="G8" s="245"/>
      <c r="H8" s="245"/>
      <c r="I8" s="245"/>
      <c r="J8" s="245"/>
      <c r="K8" s="245"/>
      <c r="L8" s="246"/>
      <c r="M8" s="245"/>
      <c r="N8" s="245"/>
      <c r="O8" s="245"/>
      <c r="P8" s="245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J8" s="263"/>
      <c r="AK8" s="263"/>
      <c r="AL8" s="263"/>
      <c r="AM8" s="263"/>
      <c r="AN8" s="263"/>
      <c r="AO8" s="263"/>
      <c r="AP8" s="263"/>
      <c r="AQ8" s="263"/>
      <c r="AR8" s="263"/>
      <c r="AS8" s="263"/>
      <c r="AT8" s="263"/>
      <c r="AU8" s="263"/>
      <c r="AV8" s="263"/>
      <c r="AW8" s="263"/>
      <c r="AX8" s="263"/>
      <c r="AY8" s="263"/>
      <c r="BA8" s="277"/>
      <c r="BB8" s="277"/>
      <c r="BC8" s="277"/>
      <c r="BE8" s="55"/>
      <c r="BF8" s="55"/>
      <c r="BH8" s="388"/>
      <c r="BI8" s="388"/>
      <c r="BJ8" s="388"/>
      <c r="BK8" s="388"/>
      <c r="BL8" s="388"/>
      <c r="BM8" s="388"/>
      <c r="BN8" s="388"/>
      <c r="BO8" s="388"/>
      <c r="BP8" s="388"/>
      <c r="BQ8" s="388"/>
      <c r="BR8" s="388"/>
      <c r="BS8" s="388"/>
      <c r="BT8" s="388"/>
      <c r="BU8" s="388"/>
      <c r="BV8" s="388"/>
      <c r="BW8" s="388"/>
      <c r="BX8" s="388"/>
      <c r="BY8" s="388"/>
      <c r="BZ8" s="388"/>
      <c r="CA8" s="388"/>
      <c r="CB8" s="388"/>
      <c r="CC8" s="388"/>
      <c r="CD8" s="388"/>
      <c r="CE8" s="388"/>
      <c r="CF8" s="388"/>
      <c r="CG8" s="388"/>
      <c r="CH8" s="388"/>
      <c r="CI8" s="388"/>
      <c r="CJ8" s="388"/>
      <c r="CK8" s="388"/>
      <c r="CL8" s="388"/>
      <c r="CM8" s="388"/>
      <c r="CN8" s="388"/>
      <c r="CO8" s="388"/>
      <c r="CP8" s="388"/>
      <c r="CQ8" s="388"/>
      <c r="CR8" s="388"/>
      <c r="CS8" s="388"/>
      <c r="CT8" s="388"/>
      <c r="CU8" s="388"/>
    </row>
    <row r="9" spans="1:101" s="84" customFormat="1" ht="10.5" customHeight="1" outlineLevel="2" x14ac:dyDescent="0.2">
      <c r="A9" s="540"/>
      <c r="B9" s="540"/>
      <c r="C9" s="86" t="s">
        <v>341</v>
      </c>
      <c r="D9" s="540" t="str">
        <f>INDEX(Modules[Module], MATCH($C9, Modules[Code], 0))</f>
        <v>Residential Cooling</v>
      </c>
      <c r="E9" s="61"/>
      <c r="G9" s="297">
        <f ca="1">IFERROR(INDEX(INDIRECT($C9&amp;".Outputs["&amp;this.Year&amp;"]"), MATCH(G$5, INDIRECT($C9&amp;".Outputs[Vector]"), 0)), 0)</f>
        <v>109.03701827242892</v>
      </c>
      <c r="H9" s="297">
        <f t="shared" ref="G9:O11" ca="1" si="0">IFERROR(INDEX(INDIRECT($C9&amp;".Outputs["&amp;this.Year&amp;"]"), MATCH(H$5, INDIRECT($C9&amp;".Outputs[Vector]"), 0)), 0)</f>
        <v>0</v>
      </c>
      <c r="I9" s="297">
        <f t="shared" ca="1" si="0"/>
        <v>0</v>
      </c>
      <c r="J9" s="297">
        <f t="shared" ca="1" si="0"/>
        <v>0</v>
      </c>
      <c r="K9" s="297">
        <f t="shared" ca="1" si="0"/>
        <v>0</v>
      </c>
      <c r="L9" s="297">
        <f t="shared" ca="1" si="0"/>
        <v>0</v>
      </c>
      <c r="M9" s="297">
        <f t="shared" ca="1" si="0"/>
        <v>0</v>
      </c>
      <c r="N9" s="297">
        <f t="shared" ca="1" si="0"/>
        <v>0</v>
      </c>
      <c r="O9" s="297">
        <f t="shared" ca="1" si="0"/>
        <v>0</v>
      </c>
      <c r="P9" s="297">
        <f t="shared" ref="P9:P23" ca="1" si="1">SUM(G9:O9)</f>
        <v>109.03701827242892</v>
      </c>
      <c r="R9" s="304">
        <f t="shared" ref="R9:W9" ca="1" si="2">IFERROR(INDEX(INDIRECT($C9&amp;".Outputs["&amp;this.Year&amp;"]"), MATCH(R$5, INDIRECT($C9&amp;".Outputs[Vector]"), 0)), 0)</f>
        <v>-109.03701827242892</v>
      </c>
      <c r="S9" s="304">
        <f t="shared" ca="1" si="2"/>
        <v>0</v>
      </c>
      <c r="T9" s="304">
        <f t="shared" ca="1" si="2"/>
        <v>0</v>
      </c>
      <c r="U9" s="304">
        <f t="shared" ca="1" si="2"/>
        <v>0</v>
      </c>
      <c r="V9" s="304">
        <f t="shared" ca="1" si="2"/>
        <v>0</v>
      </c>
      <c r="W9" s="304">
        <f t="shared" ca="1" si="2"/>
        <v>0</v>
      </c>
      <c r="X9" s="304">
        <f t="shared" ref="X9:Z9" ca="1" si="3">IFERROR(INDEX(INDIRECT($C9&amp;".Outputs["&amp;this.Year&amp;"]"), MATCH(X$5, INDIRECT($C9&amp;".Outputs[Vector]"), 0)), 0)</f>
        <v>0</v>
      </c>
      <c r="Y9" s="304">
        <f t="shared" ca="1" si="3"/>
        <v>0</v>
      </c>
      <c r="Z9" s="304">
        <f t="shared" ca="1" si="3"/>
        <v>0</v>
      </c>
      <c r="AA9" s="304">
        <f t="shared" ref="AA9:AG9" ca="1" si="4">IFERROR(INDEX(INDIRECT($C9&amp;".Outputs["&amp;this.Year&amp;"]"), MATCH(AA$5, INDIRECT($C9&amp;".Outputs[Vector]"), 0)), 0)</f>
        <v>0</v>
      </c>
      <c r="AB9" s="304">
        <f t="shared" ca="1" si="4"/>
        <v>0</v>
      </c>
      <c r="AC9" s="304">
        <f t="shared" ca="1" si="4"/>
        <v>0</v>
      </c>
      <c r="AD9" s="304">
        <f t="shared" ca="1" si="4"/>
        <v>0</v>
      </c>
      <c r="AE9" s="304">
        <f t="shared" ca="1" si="4"/>
        <v>0</v>
      </c>
      <c r="AF9" s="304">
        <f t="shared" ca="1" si="4"/>
        <v>0</v>
      </c>
      <c r="AG9" s="304">
        <f t="shared" ca="1" si="4"/>
        <v>0</v>
      </c>
      <c r="AH9" s="305">
        <f t="shared" ref="AH9:AH66" ca="1" si="5">SUM(R9:AG9)</f>
        <v>-109.03701827242892</v>
      </c>
      <c r="AJ9" s="312">
        <f t="shared" ref="AJ9:AR9" ca="1" si="6">IFERROR(INDEX(INDIRECT($C9&amp;".Outputs["&amp;this.Year&amp;"]"), MATCH(AJ$5, INDIRECT($C9&amp;".Outputs[Vector]"), 0)), 0)</f>
        <v>0</v>
      </c>
      <c r="AK9" s="312">
        <f t="shared" ca="1" si="6"/>
        <v>0</v>
      </c>
      <c r="AL9" s="312">
        <f t="shared" ca="1" si="6"/>
        <v>0</v>
      </c>
      <c r="AM9" s="312">
        <f t="shared" ca="1" si="6"/>
        <v>0</v>
      </c>
      <c r="AN9" s="312">
        <f t="shared" ca="1" si="6"/>
        <v>0</v>
      </c>
      <c r="AO9" s="312">
        <f t="shared" ca="1" si="6"/>
        <v>0</v>
      </c>
      <c r="AP9" s="312">
        <f t="shared" ca="1" si="6"/>
        <v>0</v>
      </c>
      <c r="AQ9" s="312">
        <f t="shared" ca="1" si="6"/>
        <v>0</v>
      </c>
      <c r="AR9" s="312">
        <f t="shared" ca="1" si="6"/>
        <v>0</v>
      </c>
      <c r="AS9" s="312">
        <f t="shared" ref="AS9:AX9" ca="1" si="7">IFERROR(INDEX(INDIRECT($C9&amp;".Outputs["&amp;this.Year&amp;"]"), MATCH(AS$5, INDIRECT($C9&amp;".Outputs[Vector]"), 0)), 0)</f>
        <v>0</v>
      </c>
      <c r="AT9" s="312">
        <f t="shared" ca="1" si="7"/>
        <v>0</v>
      </c>
      <c r="AU9" s="312">
        <f t="shared" ca="1" si="7"/>
        <v>0</v>
      </c>
      <c r="AV9" s="312">
        <f t="shared" ca="1" si="7"/>
        <v>0</v>
      </c>
      <c r="AW9" s="312">
        <f t="shared" ca="1" si="7"/>
        <v>0</v>
      </c>
      <c r="AX9" s="312">
        <f t="shared" ca="1" si="7"/>
        <v>0</v>
      </c>
      <c r="AY9" s="264">
        <f t="shared" ref="AY9:AY23" ca="1" si="8">SUM(AJ9:AX9)</f>
        <v>0</v>
      </c>
      <c r="BA9" s="308">
        <f t="shared" ref="BA9:BB11" ca="1" si="9">IFERROR(INDEX(INDIRECT($C9&amp;".Outputs["&amp;this.Year&amp;"]"), MATCH(BA$5, INDIRECT($C9&amp;".Outputs[Vector]"), 0)), 0)</f>
        <v>0</v>
      </c>
      <c r="BB9" s="308">
        <f t="shared" ca="1" si="9"/>
        <v>0</v>
      </c>
      <c r="BC9" s="309">
        <f t="shared" ref="BC9:BC66" ca="1" si="10">SUM(BA9:BB9)</f>
        <v>0</v>
      </c>
      <c r="BE9" s="64">
        <f t="shared" ref="BE9:BE33" ca="1" si="11">P9+AH9+AY9+BC9</f>
        <v>0</v>
      </c>
      <c r="BF9" s="64"/>
      <c r="BG9" s="1428"/>
      <c r="BH9" s="541">
        <f t="shared" ref="BH9:BQ9" ca="1" si="12">IFERROR(SUMIFS(INDIRECT($C9&amp;".Emissions["&amp;this.Year&amp;"]"), INDIRECT($C9&amp;".Emissions[GHG]"), BH$6, INDIRECT($C9&amp;".Emissions[IPCC Sector]"), BH$5),0)</f>
        <v>0</v>
      </c>
      <c r="BI9" s="542">
        <f t="shared" ca="1" si="12"/>
        <v>0</v>
      </c>
      <c r="BJ9" s="542">
        <f t="shared" ca="1" si="12"/>
        <v>0</v>
      </c>
      <c r="BK9" s="542">
        <f t="shared" ca="1" si="12"/>
        <v>0</v>
      </c>
      <c r="BL9" s="542">
        <f t="shared" ca="1" si="12"/>
        <v>0</v>
      </c>
      <c r="BM9" s="542">
        <f t="shared" ca="1" si="12"/>
        <v>0</v>
      </c>
      <c r="BN9" s="542">
        <f t="shared" ca="1" si="12"/>
        <v>0</v>
      </c>
      <c r="BO9" s="542">
        <f t="shared" ca="1" si="12"/>
        <v>0</v>
      </c>
      <c r="BP9" s="542">
        <f t="shared" ca="1" si="12"/>
        <v>0</v>
      </c>
      <c r="BQ9" s="542">
        <f t="shared" ca="1" si="12"/>
        <v>0</v>
      </c>
      <c r="BR9" s="542">
        <f t="shared" ref="BR9:CA9" ca="1" si="13">IFERROR(SUMIFS(INDIRECT($C9&amp;".Emissions["&amp;this.Year&amp;"]"), INDIRECT($C9&amp;".Emissions[GHG]"), BR$6, INDIRECT($C9&amp;".Emissions[IPCC Sector]"), BR$5),0)</f>
        <v>0</v>
      </c>
      <c r="BS9" s="542">
        <f t="shared" ca="1" si="13"/>
        <v>0</v>
      </c>
      <c r="BT9" s="542">
        <f t="shared" ca="1" si="13"/>
        <v>0</v>
      </c>
      <c r="BU9" s="542">
        <f t="shared" ca="1" si="13"/>
        <v>0</v>
      </c>
      <c r="BV9" s="542">
        <f t="shared" ca="1" si="13"/>
        <v>0</v>
      </c>
      <c r="BW9" s="542">
        <f t="shared" ca="1" si="13"/>
        <v>0</v>
      </c>
      <c r="BX9" s="542">
        <f t="shared" ca="1" si="13"/>
        <v>0</v>
      </c>
      <c r="BY9" s="542">
        <f t="shared" ca="1" si="13"/>
        <v>0</v>
      </c>
      <c r="BZ9" s="542">
        <f t="shared" ca="1" si="13"/>
        <v>0</v>
      </c>
      <c r="CA9" s="542">
        <f t="shared" ca="1" si="13"/>
        <v>0</v>
      </c>
      <c r="CB9" s="542">
        <f t="shared" ref="CB9:CK9" ca="1" si="14">IFERROR(SUMIFS(INDIRECT($C9&amp;".Emissions["&amp;this.Year&amp;"]"), INDIRECT($C9&amp;".Emissions[GHG]"), CB$6, INDIRECT($C9&amp;".Emissions[IPCC Sector]"), CB$5),0)</f>
        <v>0</v>
      </c>
      <c r="CC9" s="542">
        <f t="shared" ca="1" si="14"/>
        <v>0</v>
      </c>
      <c r="CD9" s="542">
        <f t="shared" ca="1" si="14"/>
        <v>0</v>
      </c>
      <c r="CE9" s="542">
        <f t="shared" ca="1" si="14"/>
        <v>0</v>
      </c>
      <c r="CF9" s="542">
        <f t="shared" ca="1" si="14"/>
        <v>0</v>
      </c>
      <c r="CG9" s="542">
        <f t="shared" ca="1" si="14"/>
        <v>0</v>
      </c>
      <c r="CH9" s="542">
        <f t="shared" ca="1" si="14"/>
        <v>0</v>
      </c>
      <c r="CI9" s="542">
        <f t="shared" ca="1" si="14"/>
        <v>0</v>
      </c>
      <c r="CJ9" s="542">
        <f t="shared" ca="1" si="14"/>
        <v>0</v>
      </c>
      <c r="CK9" s="542">
        <f t="shared" ca="1" si="14"/>
        <v>0</v>
      </c>
      <c r="CL9" s="542">
        <f t="shared" ref="CL9:CU9" ca="1" si="15">IFERROR(SUMIFS(INDIRECT($C9&amp;".Emissions["&amp;this.Year&amp;"]"), INDIRECT($C9&amp;".Emissions[GHG]"), CL$6, INDIRECT($C9&amp;".Emissions[IPCC Sector]"), CL$5),0)</f>
        <v>0</v>
      </c>
      <c r="CM9" s="542">
        <f t="shared" ca="1" si="15"/>
        <v>0</v>
      </c>
      <c r="CN9" s="542">
        <f t="shared" ca="1" si="15"/>
        <v>0</v>
      </c>
      <c r="CO9" s="542">
        <f t="shared" ca="1" si="15"/>
        <v>0</v>
      </c>
      <c r="CP9" s="542">
        <f t="shared" ca="1" si="15"/>
        <v>0</v>
      </c>
      <c r="CQ9" s="542">
        <f t="shared" ca="1" si="15"/>
        <v>0</v>
      </c>
      <c r="CR9" s="542">
        <f t="shared" ca="1" si="15"/>
        <v>0</v>
      </c>
      <c r="CS9" s="542">
        <f t="shared" ca="1" si="15"/>
        <v>0</v>
      </c>
      <c r="CT9" s="542">
        <f t="shared" ca="1" si="15"/>
        <v>0</v>
      </c>
      <c r="CU9" s="542">
        <f t="shared" ca="1" si="15"/>
        <v>0</v>
      </c>
      <c r="CW9" s="151"/>
    </row>
    <row r="10" spans="1:101" s="84" customFormat="1" ht="12.75" customHeight="1" outlineLevel="1" x14ac:dyDescent="0.2">
      <c r="A10" s="543"/>
      <c r="B10" s="543"/>
      <c r="C10" s="86"/>
      <c r="D10" s="543" t="s">
        <v>389</v>
      </c>
      <c r="E10" s="61"/>
      <c r="G10" s="298">
        <f t="shared" ref="G10:O10" ca="1" si="16">SUM(G9:G9)</f>
        <v>109.03701827242892</v>
      </c>
      <c r="H10" s="298">
        <f t="shared" ca="1" si="16"/>
        <v>0</v>
      </c>
      <c r="I10" s="298">
        <f t="shared" ca="1" si="16"/>
        <v>0</v>
      </c>
      <c r="J10" s="298">
        <f t="shared" ca="1" si="16"/>
        <v>0</v>
      </c>
      <c r="K10" s="298">
        <f t="shared" ca="1" si="16"/>
        <v>0</v>
      </c>
      <c r="L10" s="298">
        <f t="shared" ca="1" si="16"/>
        <v>0</v>
      </c>
      <c r="M10" s="298">
        <f t="shared" ca="1" si="16"/>
        <v>0</v>
      </c>
      <c r="N10" s="298">
        <f t="shared" ca="1" si="16"/>
        <v>0</v>
      </c>
      <c r="O10" s="298">
        <f t="shared" ca="1" si="16"/>
        <v>0</v>
      </c>
      <c r="P10" s="298">
        <f t="shared" ca="1" si="1"/>
        <v>109.03701827242892</v>
      </c>
      <c r="R10" s="305">
        <f t="shared" ref="R10:AG10" ca="1" si="17">SUM(R9:R9)</f>
        <v>-109.03701827242892</v>
      </c>
      <c r="S10" s="305">
        <f t="shared" ca="1" si="17"/>
        <v>0</v>
      </c>
      <c r="T10" s="305">
        <f t="shared" ca="1" si="17"/>
        <v>0</v>
      </c>
      <c r="U10" s="305">
        <f t="shared" ca="1" si="17"/>
        <v>0</v>
      </c>
      <c r="V10" s="305">
        <f t="shared" ca="1" si="17"/>
        <v>0</v>
      </c>
      <c r="W10" s="305">
        <f t="shared" ca="1" si="17"/>
        <v>0</v>
      </c>
      <c r="X10" s="305">
        <f t="shared" ca="1" si="17"/>
        <v>0</v>
      </c>
      <c r="Y10" s="305">
        <f t="shared" ca="1" si="17"/>
        <v>0</v>
      </c>
      <c r="Z10" s="305">
        <f t="shared" ca="1" si="17"/>
        <v>0</v>
      </c>
      <c r="AA10" s="305">
        <f t="shared" ca="1" si="17"/>
        <v>0</v>
      </c>
      <c r="AB10" s="305">
        <f t="shared" ca="1" si="17"/>
        <v>0</v>
      </c>
      <c r="AC10" s="305">
        <f t="shared" ca="1" si="17"/>
        <v>0</v>
      </c>
      <c r="AD10" s="305">
        <f t="shared" ca="1" si="17"/>
        <v>0</v>
      </c>
      <c r="AE10" s="305">
        <f t="shared" ca="1" si="17"/>
        <v>0</v>
      </c>
      <c r="AF10" s="305">
        <f t="shared" ca="1" si="17"/>
        <v>0</v>
      </c>
      <c r="AG10" s="305">
        <f t="shared" ca="1" si="17"/>
        <v>0</v>
      </c>
      <c r="AH10" s="305">
        <f t="shared" ca="1" si="5"/>
        <v>-109.03701827242892</v>
      </c>
      <c r="AJ10" s="313">
        <f t="shared" ref="AJ10:AX10" ca="1" si="18">SUM(AJ9:AJ9)</f>
        <v>0</v>
      </c>
      <c r="AK10" s="313">
        <f t="shared" ca="1" si="18"/>
        <v>0</v>
      </c>
      <c r="AL10" s="313">
        <f t="shared" ca="1" si="18"/>
        <v>0</v>
      </c>
      <c r="AM10" s="313">
        <f t="shared" ca="1" si="18"/>
        <v>0</v>
      </c>
      <c r="AN10" s="313">
        <f t="shared" ca="1" si="18"/>
        <v>0</v>
      </c>
      <c r="AO10" s="313">
        <f t="shared" ca="1" si="18"/>
        <v>0</v>
      </c>
      <c r="AP10" s="313">
        <f t="shared" ca="1" si="18"/>
        <v>0</v>
      </c>
      <c r="AQ10" s="313">
        <f t="shared" ca="1" si="18"/>
        <v>0</v>
      </c>
      <c r="AR10" s="313">
        <f t="shared" ca="1" si="18"/>
        <v>0</v>
      </c>
      <c r="AS10" s="313">
        <f t="shared" ca="1" si="18"/>
        <v>0</v>
      </c>
      <c r="AT10" s="313">
        <f t="shared" ca="1" si="18"/>
        <v>0</v>
      </c>
      <c r="AU10" s="313">
        <f t="shared" ca="1" si="18"/>
        <v>0</v>
      </c>
      <c r="AV10" s="313">
        <f t="shared" ca="1" si="18"/>
        <v>0</v>
      </c>
      <c r="AW10" s="313">
        <f t="shared" ca="1" si="18"/>
        <v>0</v>
      </c>
      <c r="AX10" s="313">
        <f t="shared" ca="1" si="18"/>
        <v>0</v>
      </c>
      <c r="AY10" s="266">
        <f t="shared" ca="1" si="8"/>
        <v>0</v>
      </c>
      <c r="BA10" s="309">
        <f ca="1">SUM(BA9:BA9)</f>
        <v>0</v>
      </c>
      <c r="BB10" s="309">
        <f ca="1">SUM(BB9:BB9)</f>
        <v>0</v>
      </c>
      <c r="BC10" s="309">
        <f t="shared" ca="1" si="10"/>
        <v>0</v>
      </c>
      <c r="BE10" s="135">
        <f t="shared" ca="1" si="11"/>
        <v>0</v>
      </c>
      <c r="BF10" s="135"/>
      <c r="BG10" s="1428"/>
      <c r="BH10" s="541">
        <f t="shared" ref="BH10:CU10" ca="1" si="19">SUM(BH9:BH9)</f>
        <v>0</v>
      </c>
      <c r="BI10" s="542">
        <f t="shared" ca="1" si="19"/>
        <v>0</v>
      </c>
      <c r="BJ10" s="542">
        <f t="shared" ca="1" si="19"/>
        <v>0</v>
      </c>
      <c r="BK10" s="542">
        <f t="shared" ca="1" si="19"/>
        <v>0</v>
      </c>
      <c r="BL10" s="542">
        <f t="shared" ca="1" si="19"/>
        <v>0</v>
      </c>
      <c r="BM10" s="542">
        <f t="shared" ca="1" si="19"/>
        <v>0</v>
      </c>
      <c r="BN10" s="542">
        <f t="shared" ca="1" si="19"/>
        <v>0</v>
      </c>
      <c r="BO10" s="542">
        <f t="shared" ca="1" si="19"/>
        <v>0</v>
      </c>
      <c r="BP10" s="542">
        <f t="shared" ca="1" si="19"/>
        <v>0</v>
      </c>
      <c r="BQ10" s="542">
        <f t="shared" ca="1" si="19"/>
        <v>0</v>
      </c>
      <c r="BR10" s="542">
        <f t="shared" ca="1" si="19"/>
        <v>0</v>
      </c>
      <c r="BS10" s="542">
        <f t="shared" ca="1" si="19"/>
        <v>0</v>
      </c>
      <c r="BT10" s="542">
        <f t="shared" ca="1" si="19"/>
        <v>0</v>
      </c>
      <c r="BU10" s="542">
        <f t="shared" ca="1" si="19"/>
        <v>0</v>
      </c>
      <c r="BV10" s="542">
        <f t="shared" ca="1" si="19"/>
        <v>0</v>
      </c>
      <c r="BW10" s="542">
        <f t="shared" ca="1" si="19"/>
        <v>0</v>
      </c>
      <c r="BX10" s="542">
        <f t="shared" ca="1" si="19"/>
        <v>0</v>
      </c>
      <c r="BY10" s="542">
        <f t="shared" ca="1" si="19"/>
        <v>0</v>
      </c>
      <c r="BZ10" s="542">
        <f t="shared" ca="1" si="19"/>
        <v>0</v>
      </c>
      <c r="CA10" s="542">
        <f t="shared" ca="1" si="19"/>
        <v>0</v>
      </c>
      <c r="CB10" s="542">
        <f t="shared" ca="1" si="19"/>
        <v>0</v>
      </c>
      <c r="CC10" s="542">
        <f t="shared" ca="1" si="19"/>
        <v>0</v>
      </c>
      <c r="CD10" s="542">
        <f t="shared" ca="1" si="19"/>
        <v>0</v>
      </c>
      <c r="CE10" s="542">
        <f t="shared" ca="1" si="19"/>
        <v>0</v>
      </c>
      <c r="CF10" s="542">
        <f t="shared" ca="1" si="19"/>
        <v>0</v>
      </c>
      <c r="CG10" s="542">
        <f t="shared" ca="1" si="19"/>
        <v>0</v>
      </c>
      <c r="CH10" s="542">
        <f t="shared" ca="1" si="19"/>
        <v>0</v>
      </c>
      <c r="CI10" s="542">
        <f t="shared" ca="1" si="19"/>
        <v>0</v>
      </c>
      <c r="CJ10" s="542">
        <f t="shared" ca="1" si="19"/>
        <v>0</v>
      </c>
      <c r="CK10" s="542">
        <f t="shared" ca="1" si="19"/>
        <v>0</v>
      </c>
      <c r="CL10" s="542">
        <f t="shared" ca="1" si="19"/>
        <v>0</v>
      </c>
      <c r="CM10" s="542">
        <f t="shared" ca="1" si="19"/>
        <v>0</v>
      </c>
      <c r="CN10" s="542">
        <f t="shared" ca="1" si="19"/>
        <v>0</v>
      </c>
      <c r="CO10" s="542">
        <f t="shared" ca="1" si="19"/>
        <v>0</v>
      </c>
      <c r="CP10" s="542">
        <f t="shared" ca="1" si="19"/>
        <v>0</v>
      </c>
      <c r="CQ10" s="542">
        <f t="shared" ca="1" si="19"/>
        <v>0</v>
      </c>
      <c r="CR10" s="542">
        <f t="shared" ca="1" si="19"/>
        <v>0</v>
      </c>
      <c r="CS10" s="542">
        <f t="shared" ca="1" si="19"/>
        <v>0</v>
      </c>
      <c r="CT10" s="542">
        <f t="shared" ca="1" si="19"/>
        <v>0</v>
      </c>
      <c r="CU10" s="542">
        <f t="shared" ca="1" si="19"/>
        <v>0</v>
      </c>
      <c r="CW10" s="151"/>
    </row>
    <row r="11" spans="1:101" s="84" customFormat="1" ht="10.5" customHeight="1" outlineLevel="2" x14ac:dyDescent="0.2">
      <c r="A11" s="540"/>
      <c r="B11" s="540"/>
      <c r="C11" s="86" t="s">
        <v>388</v>
      </c>
      <c r="D11" s="540" t="str">
        <f>INDEX(Modules[Module], MATCH($C11, Modules[Code], 0))</f>
        <v>Service Sector Cooling</v>
      </c>
      <c r="E11" s="291"/>
      <c r="G11" s="297">
        <f t="shared" ca="1" si="0"/>
        <v>27.533426212510538</v>
      </c>
      <c r="H11" s="297">
        <f t="shared" ca="1" si="0"/>
        <v>0</v>
      </c>
      <c r="I11" s="297">
        <f t="shared" ca="1" si="0"/>
        <v>0</v>
      </c>
      <c r="J11" s="297">
        <f t="shared" ca="1" si="0"/>
        <v>0</v>
      </c>
      <c r="K11" s="297">
        <f t="shared" ca="1" si="0"/>
        <v>0</v>
      </c>
      <c r="L11" s="297">
        <f t="shared" ca="1" si="0"/>
        <v>0</v>
      </c>
      <c r="M11" s="297">
        <f t="shared" ca="1" si="0"/>
        <v>0</v>
      </c>
      <c r="N11" s="297">
        <f t="shared" ca="1" si="0"/>
        <v>0</v>
      </c>
      <c r="O11" s="297">
        <f t="shared" ca="1" si="0"/>
        <v>0</v>
      </c>
      <c r="P11" s="297">
        <f t="shared" ca="1" si="1"/>
        <v>27.533426212510538</v>
      </c>
      <c r="R11" s="304">
        <f t="shared" ref="R11:W11" ca="1" si="20">IFERROR(INDEX(INDIRECT($C11&amp;".Outputs["&amp;this.Year&amp;"]"), MATCH(R$5, INDIRECT($C11&amp;".Outputs[Vector]"), 0)), 0)</f>
        <v>-27.533426212510538</v>
      </c>
      <c r="S11" s="304">
        <f t="shared" ca="1" si="20"/>
        <v>0</v>
      </c>
      <c r="T11" s="304">
        <f t="shared" ca="1" si="20"/>
        <v>0</v>
      </c>
      <c r="U11" s="304">
        <f t="shared" ca="1" si="20"/>
        <v>0</v>
      </c>
      <c r="V11" s="304">
        <f t="shared" ca="1" si="20"/>
        <v>0</v>
      </c>
      <c r="W11" s="304">
        <f t="shared" ca="1" si="20"/>
        <v>0</v>
      </c>
      <c r="X11" s="304">
        <f t="shared" ref="X11:Z11" ca="1" si="21">IFERROR(INDEX(INDIRECT($C11&amp;".Outputs["&amp;this.Year&amp;"]"), MATCH(X$5, INDIRECT($C11&amp;".Outputs[Vector]"), 0)), 0)</f>
        <v>0</v>
      </c>
      <c r="Y11" s="304">
        <f t="shared" ca="1" si="21"/>
        <v>0</v>
      </c>
      <c r="Z11" s="304">
        <f t="shared" ca="1" si="21"/>
        <v>0</v>
      </c>
      <c r="AA11" s="304">
        <f t="shared" ref="AA11:AG11" ca="1" si="22">IFERROR(INDEX(INDIRECT($C11&amp;".Outputs["&amp;this.Year&amp;"]"), MATCH(AA$5, INDIRECT($C11&amp;".Outputs[Vector]"), 0)), 0)</f>
        <v>0</v>
      </c>
      <c r="AB11" s="304">
        <f t="shared" ca="1" si="22"/>
        <v>0</v>
      </c>
      <c r="AC11" s="304">
        <f t="shared" ca="1" si="22"/>
        <v>0</v>
      </c>
      <c r="AD11" s="304">
        <f t="shared" ca="1" si="22"/>
        <v>0</v>
      </c>
      <c r="AE11" s="304">
        <f t="shared" ca="1" si="22"/>
        <v>0</v>
      </c>
      <c r="AF11" s="304">
        <f t="shared" ca="1" si="22"/>
        <v>0</v>
      </c>
      <c r="AG11" s="304">
        <f t="shared" ca="1" si="22"/>
        <v>0</v>
      </c>
      <c r="AH11" s="305">
        <f t="shared" ca="1" si="5"/>
        <v>-27.533426212510538</v>
      </c>
      <c r="AJ11" s="312">
        <f t="shared" ref="AJ11:AR11" ca="1" si="23">IFERROR(INDEX(INDIRECT($C11&amp;".Outputs["&amp;this.Year&amp;"]"), MATCH(AJ$5, INDIRECT($C11&amp;".Outputs[Vector]"), 0)), 0)</f>
        <v>0</v>
      </c>
      <c r="AK11" s="312">
        <f t="shared" ca="1" si="23"/>
        <v>0</v>
      </c>
      <c r="AL11" s="312">
        <f t="shared" ca="1" si="23"/>
        <v>0</v>
      </c>
      <c r="AM11" s="312">
        <f t="shared" ca="1" si="23"/>
        <v>0</v>
      </c>
      <c r="AN11" s="312">
        <f t="shared" ca="1" si="23"/>
        <v>0</v>
      </c>
      <c r="AO11" s="312">
        <f t="shared" ca="1" si="23"/>
        <v>0</v>
      </c>
      <c r="AP11" s="312">
        <f t="shared" ca="1" si="23"/>
        <v>0</v>
      </c>
      <c r="AQ11" s="312">
        <f t="shared" ca="1" si="23"/>
        <v>0</v>
      </c>
      <c r="AR11" s="312">
        <f t="shared" ca="1" si="23"/>
        <v>0</v>
      </c>
      <c r="AS11" s="312">
        <f t="shared" ref="AS11:AX11" ca="1" si="24">IFERROR(INDEX(INDIRECT($C11&amp;".Outputs["&amp;this.Year&amp;"]"), MATCH(AS$5, INDIRECT($C11&amp;".Outputs[Vector]"), 0)), 0)</f>
        <v>0</v>
      </c>
      <c r="AT11" s="312">
        <f t="shared" ca="1" si="24"/>
        <v>0</v>
      </c>
      <c r="AU11" s="312">
        <f t="shared" ca="1" si="24"/>
        <v>0</v>
      </c>
      <c r="AV11" s="312">
        <f t="shared" ca="1" si="24"/>
        <v>0</v>
      </c>
      <c r="AW11" s="312">
        <f t="shared" ca="1" si="24"/>
        <v>0</v>
      </c>
      <c r="AX11" s="312">
        <f t="shared" ca="1" si="24"/>
        <v>0</v>
      </c>
      <c r="AY11" s="264">
        <f t="shared" ca="1" si="8"/>
        <v>0</v>
      </c>
      <c r="BA11" s="308">
        <f t="shared" ca="1" si="9"/>
        <v>0</v>
      </c>
      <c r="BB11" s="308">
        <f t="shared" ca="1" si="9"/>
        <v>0</v>
      </c>
      <c r="BC11" s="309">
        <f t="shared" ca="1" si="10"/>
        <v>0</v>
      </c>
      <c r="BE11" s="64">
        <f t="shared" ca="1" si="11"/>
        <v>0</v>
      </c>
      <c r="BF11" s="64"/>
      <c r="BG11" s="1428"/>
      <c r="BH11" s="541">
        <f t="shared" ref="BH11:BQ11" ca="1" si="25">IFERROR(SUMIFS(INDIRECT($C11&amp;".Emissions["&amp;this.Year&amp;"]"), INDIRECT($C11&amp;".Emissions[GHG]"), BH$6, INDIRECT($C11&amp;".Emissions[IPCC Sector]"), BH$5),0)</f>
        <v>0</v>
      </c>
      <c r="BI11" s="542">
        <f t="shared" ca="1" si="25"/>
        <v>0</v>
      </c>
      <c r="BJ11" s="542">
        <f t="shared" ca="1" si="25"/>
        <v>0</v>
      </c>
      <c r="BK11" s="542">
        <f t="shared" ca="1" si="25"/>
        <v>0</v>
      </c>
      <c r="BL11" s="542">
        <f t="shared" ca="1" si="25"/>
        <v>0</v>
      </c>
      <c r="BM11" s="542">
        <f t="shared" ca="1" si="25"/>
        <v>0</v>
      </c>
      <c r="BN11" s="542">
        <f t="shared" ca="1" si="25"/>
        <v>0</v>
      </c>
      <c r="BO11" s="542">
        <f t="shared" ca="1" si="25"/>
        <v>0</v>
      </c>
      <c r="BP11" s="542">
        <f t="shared" ca="1" si="25"/>
        <v>0</v>
      </c>
      <c r="BQ11" s="542">
        <f t="shared" ca="1" si="25"/>
        <v>0</v>
      </c>
      <c r="BR11" s="542">
        <f t="shared" ref="BR11:CA11" ca="1" si="26">IFERROR(SUMIFS(INDIRECT($C11&amp;".Emissions["&amp;this.Year&amp;"]"), INDIRECT($C11&amp;".Emissions[GHG]"), BR$6, INDIRECT($C11&amp;".Emissions[IPCC Sector]"), BR$5),0)</f>
        <v>0</v>
      </c>
      <c r="BS11" s="542">
        <f t="shared" ca="1" si="26"/>
        <v>0</v>
      </c>
      <c r="BT11" s="542">
        <f t="shared" ca="1" si="26"/>
        <v>0</v>
      </c>
      <c r="BU11" s="542">
        <f t="shared" ca="1" si="26"/>
        <v>0</v>
      </c>
      <c r="BV11" s="542">
        <f t="shared" ca="1" si="26"/>
        <v>0</v>
      </c>
      <c r="BW11" s="542">
        <f t="shared" ca="1" si="26"/>
        <v>0</v>
      </c>
      <c r="BX11" s="542">
        <f t="shared" ca="1" si="26"/>
        <v>0</v>
      </c>
      <c r="BY11" s="542">
        <f t="shared" ca="1" si="26"/>
        <v>0</v>
      </c>
      <c r="BZ11" s="542">
        <f t="shared" ca="1" si="26"/>
        <v>0</v>
      </c>
      <c r="CA11" s="542">
        <f t="shared" ca="1" si="26"/>
        <v>0</v>
      </c>
      <c r="CB11" s="542">
        <f t="shared" ref="CB11:CK11" ca="1" si="27">IFERROR(SUMIFS(INDIRECT($C11&amp;".Emissions["&amp;this.Year&amp;"]"), INDIRECT($C11&amp;".Emissions[GHG]"), CB$6, INDIRECT($C11&amp;".Emissions[IPCC Sector]"), CB$5),0)</f>
        <v>0</v>
      </c>
      <c r="CC11" s="542">
        <f t="shared" ca="1" si="27"/>
        <v>0</v>
      </c>
      <c r="CD11" s="542">
        <f t="shared" ca="1" si="27"/>
        <v>0</v>
      </c>
      <c r="CE11" s="542">
        <f t="shared" ca="1" si="27"/>
        <v>0</v>
      </c>
      <c r="CF11" s="542">
        <f t="shared" ca="1" si="27"/>
        <v>0</v>
      </c>
      <c r="CG11" s="542">
        <f t="shared" ca="1" si="27"/>
        <v>0</v>
      </c>
      <c r="CH11" s="542">
        <f t="shared" ca="1" si="27"/>
        <v>0</v>
      </c>
      <c r="CI11" s="542">
        <f t="shared" ca="1" si="27"/>
        <v>0</v>
      </c>
      <c r="CJ11" s="542">
        <f t="shared" ca="1" si="27"/>
        <v>0</v>
      </c>
      <c r="CK11" s="542">
        <f t="shared" ca="1" si="27"/>
        <v>0</v>
      </c>
      <c r="CL11" s="542">
        <f t="shared" ref="CL11:CU11" ca="1" si="28">IFERROR(SUMIFS(INDIRECT($C11&amp;".Emissions["&amp;this.Year&amp;"]"), INDIRECT($C11&amp;".Emissions[GHG]"), CL$6, INDIRECT($C11&amp;".Emissions[IPCC Sector]"), CL$5),0)</f>
        <v>0</v>
      </c>
      <c r="CM11" s="542">
        <f t="shared" ca="1" si="28"/>
        <v>0</v>
      </c>
      <c r="CN11" s="542">
        <f t="shared" ca="1" si="28"/>
        <v>0</v>
      </c>
      <c r="CO11" s="542">
        <f t="shared" ca="1" si="28"/>
        <v>0</v>
      </c>
      <c r="CP11" s="542">
        <f t="shared" ca="1" si="28"/>
        <v>0</v>
      </c>
      <c r="CQ11" s="542">
        <f t="shared" ca="1" si="28"/>
        <v>0</v>
      </c>
      <c r="CR11" s="542">
        <f t="shared" ca="1" si="28"/>
        <v>0</v>
      </c>
      <c r="CS11" s="542">
        <f t="shared" ca="1" si="28"/>
        <v>0</v>
      </c>
      <c r="CT11" s="542">
        <f t="shared" ca="1" si="28"/>
        <v>0</v>
      </c>
      <c r="CU11" s="542">
        <f t="shared" ca="1" si="28"/>
        <v>0</v>
      </c>
      <c r="CW11" s="151"/>
    </row>
    <row r="12" spans="1:101" s="84" customFormat="1" ht="12.75" customHeight="1" outlineLevel="1" x14ac:dyDescent="0.2">
      <c r="A12" s="543"/>
      <c r="B12" s="543"/>
      <c r="C12" s="86"/>
      <c r="D12" s="292" t="s">
        <v>390</v>
      </c>
      <c r="E12" s="292"/>
      <c r="G12" s="299">
        <f t="shared" ref="G12:O12" ca="1" si="29">SUM(G11:G11)</f>
        <v>27.533426212510538</v>
      </c>
      <c r="H12" s="299">
        <f t="shared" ca="1" si="29"/>
        <v>0</v>
      </c>
      <c r="I12" s="299">
        <f t="shared" ca="1" si="29"/>
        <v>0</v>
      </c>
      <c r="J12" s="299">
        <f t="shared" ca="1" si="29"/>
        <v>0</v>
      </c>
      <c r="K12" s="299">
        <f t="shared" ca="1" si="29"/>
        <v>0</v>
      </c>
      <c r="L12" s="299">
        <f t="shared" ca="1" si="29"/>
        <v>0</v>
      </c>
      <c r="M12" s="299">
        <f t="shared" ca="1" si="29"/>
        <v>0</v>
      </c>
      <c r="N12" s="299">
        <f t="shared" ca="1" si="29"/>
        <v>0</v>
      </c>
      <c r="O12" s="299">
        <f t="shared" ca="1" si="29"/>
        <v>0</v>
      </c>
      <c r="P12" s="299">
        <f t="shared" ca="1" si="1"/>
        <v>27.533426212510538</v>
      </c>
      <c r="R12" s="306">
        <f t="shared" ref="R12:AG12" ca="1" si="30">SUM(R11:R11)</f>
        <v>-27.533426212510538</v>
      </c>
      <c r="S12" s="306">
        <f t="shared" ca="1" si="30"/>
        <v>0</v>
      </c>
      <c r="T12" s="306">
        <f t="shared" ca="1" si="30"/>
        <v>0</v>
      </c>
      <c r="U12" s="306">
        <f t="shared" ca="1" si="30"/>
        <v>0</v>
      </c>
      <c r="V12" s="306">
        <f t="shared" ca="1" si="30"/>
        <v>0</v>
      </c>
      <c r="W12" s="306">
        <f t="shared" ca="1" si="30"/>
        <v>0</v>
      </c>
      <c r="X12" s="306">
        <f t="shared" ca="1" si="30"/>
        <v>0</v>
      </c>
      <c r="Y12" s="306">
        <f t="shared" ca="1" si="30"/>
        <v>0</v>
      </c>
      <c r="Z12" s="306">
        <f t="shared" ca="1" si="30"/>
        <v>0</v>
      </c>
      <c r="AA12" s="306">
        <f t="shared" ca="1" si="30"/>
        <v>0</v>
      </c>
      <c r="AB12" s="306">
        <f t="shared" ca="1" si="30"/>
        <v>0</v>
      </c>
      <c r="AC12" s="306">
        <f t="shared" ca="1" si="30"/>
        <v>0</v>
      </c>
      <c r="AD12" s="306">
        <f t="shared" ca="1" si="30"/>
        <v>0</v>
      </c>
      <c r="AE12" s="306">
        <f t="shared" ca="1" si="30"/>
        <v>0</v>
      </c>
      <c r="AF12" s="306">
        <f t="shared" ca="1" si="30"/>
        <v>0</v>
      </c>
      <c r="AG12" s="306">
        <f t="shared" ca="1" si="30"/>
        <v>0</v>
      </c>
      <c r="AH12" s="306">
        <f t="shared" ca="1" si="5"/>
        <v>-27.533426212510538</v>
      </c>
      <c r="AJ12" s="314">
        <f t="shared" ref="AJ12:AX12" ca="1" si="31">SUM(AJ11:AJ11)</f>
        <v>0</v>
      </c>
      <c r="AK12" s="314">
        <f t="shared" ca="1" si="31"/>
        <v>0</v>
      </c>
      <c r="AL12" s="314">
        <f t="shared" ca="1" si="31"/>
        <v>0</v>
      </c>
      <c r="AM12" s="314">
        <f t="shared" ca="1" si="31"/>
        <v>0</v>
      </c>
      <c r="AN12" s="314">
        <f t="shared" ca="1" si="31"/>
        <v>0</v>
      </c>
      <c r="AO12" s="314">
        <f t="shared" ca="1" si="31"/>
        <v>0</v>
      </c>
      <c r="AP12" s="314">
        <f t="shared" ca="1" si="31"/>
        <v>0</v>
      </c>
      <c r="AQ12" s="314">
        <f t="shared" ca="1" si="31"/>
        <v>0</v>
      </c>
      <c r="AR12" s="314">
        <f t="shared" ca="1" si="31"/>
        <v>0</v>
      </c>
      <c r="AS12" s="314">
        <f t="shared" ca="1" si="31"/>
        <v>0</v>
      </c>
      <c r="AT12" s="314">
        <f t="shared" ca="1" si="31"/>
        <v>0</v>
      </c>
      <c r="AU12" s="314">
        <f t="shared" ca="1" si="31"/>
        <v>0</v>
      </c>
      <c r="AV12" s="314">
        <f t="shared" ca="1" si="31"/>
        <v>0</v>
      </c>
      <c r="AW12" s="314">
        <f t="shared" ca="1" si="31"/>
        <v>0</v>
      </c>
      <c r="AX12" s="314">
        <f t="shared" ca="1" si="31"/>
        <v>0</v>
      </c>
      <c r="AY12" s="293">
        <f t="shared" ca="1" si="8"/>
        <v>0</v>
      </c>
      <c r="BA12" s="310">
        <f ca="1">SUM(BA11:BA11)</f>
        <v>0</v>
      </c>
      <c r="BB12" s="310">
        <f ca="1">SUM(BB11:BB11)</f>
        <v>0</v>
      </c>
      <c r="BC12" s="310">
        <f t="shared" ca="1" si="10"/>
        <v>0</v>
      </c>
      <c r="BE12" s="135">
        <f t="shared" ca="1" si="11"/>
        <v>0</v>
      </c>
      <c r="BF12" s="135"/>
      <c r="BG12" s="1428"/>
      <c r="BH12" s="544">
        <f t="shared" ref="BH12:CU12" ca="1" si="32">SUM(BH11:BH11)</f>
        <v>0</v>
      </c>
      <c r="BI12" s="545">
        <f t="shared" ca="1" si="32"/>
        <v>0</v>
      </c>
      <c r="BJ12" s="545">
        <f t="shared" ca="1" si="32"/>
        <v>0</v>
      </c>
      <c r="BK12" s="545">
        <f t="shared" ca="1" si="32"/>
        <v>0</v>
      </c>
      <c r="BL12" s="545">
        <f t="shared" ca="1" si="32"/>
        <v>0</v>
      </c>
      <c r="BM12" s="545">
        <f t="shared" ca="1" si="32"/>
        <v>0</v>
      </c>
      <c r="BN12" s="545">
        <f t="shared" ca="1" si="32"/>
        <v>0</v>
      </c>
      <c r="BO12" s="545">
        <f t="shared" ca="1" si="32"/>
        <v>0</v>
      </c>
      <c r="BP12" s="545">
        <f t="shared" ca="1" si="32"/>
        <v>0</v>
      </c>
      <c r="BQ12" s="545">
        <f t="shared" ca="1" si="32"/>
        <v>0</v>
      </c>
      <c r="BR12" s="545">
        <f t="shared" ca="1" si="32"/>
        <v>0</v>
      </c>
      <c r="BS12" s="545">
        <f t="shared" ca="1" si="32"/>
        <v>0</v>
      </c>
      <c r="BT12" s="545">
        <f t="shared" ca="1" si="32"/>
        <v>0</v>
      </c>
      <c r="BU12" s="545">
        <f t="shared" ca="1" si="32"/>
        <v>0</v>
      </c>
      <c r="BV12" s="545">
        <f t="shared" ca="1" si="32"/>
        <v>0</v>
      </c>
      <c r="BW12" s="545">
        <f t="shared" ca="1" si="32"/>
        <v>0</v>
      </c>
      <c r="BX12" s="545">
        <f t="shared" ca="1" si="32"/>
        <v>0</v>
      </c>
      <c r="BY12" s="545">
        <f t="shared" ca="1" si="32"/>
        <v>0</v>
      </c>
      <c r="BZ12" s="545">
        <f t="shared" ca="1" si="32"/>
        <v>0</v>
      </c>
      <c r="CA12" s="545">
        <f t="shared" ca="1" si="32"/>
        <v>0</v>
      </c>
      <c r="CB12" s="545">
        <f t="shared" ca="1" si="32"/>
        <v>0</v>
      </c>
      <c r="CC12" s="545">
        <f t="shared" ca="1" si="32"/>
        <v>0</v>
      </c>
      <c r="CD12" s="545">
        <f t="shared" ca="1" si="32"/>
        <v>0</v>
      </c>
      <c r="CE12" s="545">
        <f t="shared" ca="1" si="32"/>
        <v>0</v>
      </c>
      <c r="CF12" s="545">
        <f t="shared" ca="1" si="32"/>
        <v>0</v>
      </c>
      <c r="CG12" s="545">
        <f t="shared" ca="1" si="32"/>
        <v>0</v>
      </c>
      <c r="CH12" s="545">
        <f t="shared" ca="1" si="32"/>
        <v>0</v>
      </c>
      <c r="CI12" s="545">
        <f t="shared" ca="1" si="32"/>
        <v>0</v>
      </c>
      <c r="CJ12" s="545">
        <f t="shared" ca="1" si="32"/>
        <v>0</v>
      </c>
      <c r="CK12" s="545">
        <f t="shared" ca="1" si="32"/>
        <v>0</v>
      </c>
      <c r="CL12" s="545">
        <f t="shared" ca="1" si="32"/>
        <v>0</v>
      </c>
      <c r="CM12" s="545">
        <f t="shared" ca="1" si="32"/>
        <v>0</v>
      </c>
      <c r="CN12" s="545">
        <f t="shared" ca="1" si="32"/>
        <v>0</v>
      </c>
      <c r="CO12" s="545">
        <f t="shared" ca="1" si="32"/>
        <v>0</v>
      </c>
      <c r="CP12" s="545">
        <f t="shared" ca="1" si="32"/>
        <v>0</v>
      </c>
      <c r="CQ12" s="545">
        <f t="shared" ca="1" si="32"/>
        <v>0</v>
      </c>
      <c r="CR12" s="545">
        <f t="shared" ca="1" si="32"/>
        <v>0</v>
      </c>
      <c r="CS12" s="545">
        <f t="shared" ca="1" si="32"/>
        <v>0</v>
      </c>
      <c r="CT12" s="545">
        <f t="shared" ca="1" si="32"/>
        <v>0</v>
      </c>
      <c r="CU12" s="545">
        <f t="shared" ca="1" si="32"/>
        <v>0</v>
      </c>
      <c r="CW12" s="151"/>
    </row>
    <row r="13" spans="1:101" s="84" customFormat="1" ht="15.75" x14ac:dyDescent="0.2">
      <c r="A13" s="18"/>
      <c r="B13" s="89"/>
      <c r="C13" s="85" t="s">
        <v>229</v>
      </c>
      <c r="D13" s="57" t="str">
        <f>INDEX(Workstreams[Workstream], MATCH($C13, Workstreams[Code], 0))</f>
        <v>Cooling</v>
      </c>
      <c r="E13" s="53"/>
      <c r="G13" s="300">
        <f t="shared" ref="G13:O13" ca="1" si="33">G12+G10</f>
        <v>136.57044448493946</v>
      </c>
      <c r="H13" s="300">
        <f t="shared" ca="1" si="33"/>
        <v>0</v>
      </c>
      <c r="I13" s="300">
        <f t="shared" ca="1" si="33"/>
        <v>0</v>
      </c>
      <c r="J13" s="300">
        <f t="shared" ca="1" si="33"/>
        <v>0</v>
      </c>
      <c r="K13" s="300">
        <f t="shared" ca="1" si="33"/>
        <v>0</v>
      </c>
      <c r="L13" s="300">
        <f t="shared" ca="1" si="33"/>
        <v>0</v>
      </c>
      <c r="M13" s="300">
        <f t="shared" ca="1" si="33"/>
        <v>0</v>
      </c>
      <c r="N13" s="300">
        <f t="shared" ca="1" si="33"/>
        <v>0</v>
      </c>
      <c r="O13" s="300">
        <f t="shared" ca="1" si="33"/>
        <v>0</v>
      </c>
      <c r="P13" s="300">
        <f t="shared" ca="1" si="1"/>
        <v>136.57044448493946</v>
      </c>
      <c r="R13" s="257">
        <f t="shared" ref="R13:AG13" ca="1" si="34">R12+R10</f>
        <v>-136.57044448493946</v>
      </c>
      <c r="S13" s="257">
        <f t="shared" ca="1" si="34"/>
        <v>0</v>
      </c>
      <c r="T13" s="257">
        <f t="shared" ca="1" si="34"/>
        <v>0</v>
      </c>
      <c r="U13" s="257">
        <f t="shared" ca="1" si="34"/>
        <v>0</v>
      </c>
      <c r="V13" s="257">
        <f t="shared" ca="1" si="34"/>
        <v>0</v>
      </c>
      <c r="W13" s="257">
        <f t="shared" ca="1" si="34"/>
        <v>0</v>
      </c>
      <c r="X13" s="257">
        <f t="shared" ca="1" si="34"/>
        <v>0</v>
      </c>
      <c r="Y13" s="257">
        <f t="shared" ca="1" si="34"/>
        <v>0</v>
      </c>
      <c r="Z13" s="257">
        <f t="shared" ca="1" si="34"/>
        <v>0</v>
      </c>
      <c r="AA13" s="257">
        <f t="shared" ca="1" si="34"/>
        <v>0</v>
      </c>
      <c r="AB13" s="257">
        <f t="shared" ca="1" si="34"/>
        <v>0</v>
      </c>
      <c r="AC13" s="257">
        <f t="shared" ca="1" si="34"/>
        <v>0</v>
      </c>
      <c r="AD13" s="257">
        <f t="shared" ca="1" si="34"/>
        <v>0</v>
      </c>
      <c r="AE13" s="257">
        <f t="shared" ca="1" si="34"/>
        <v>0</v>
      </c>
      <c r="AF13" s="257">
        <f t="shared" ca="1" si="34"/>
        <v>0</v>
      </c>
      <c r="AG13" s="257">
        <f t="shared" ca="1" si="34"/>
        <v>0</v>
      </c>
      <c r="AH13" s="257">
        <f t="shared" ca="1" si="5"/>
        <v>-136.57044448493946</v>
      </c>
      <c r="AJ13" s="263">
        <f t="shared" ref="AJ13:AX13" ca="1" si="35">AJ12+AJ10</f>
        <v>0</v>
      </c>
      <c r="AK13" s="263">
        <f t="shared" ca="1" si="35"/>
        <v>0</v>
      </c>
      <c r="AL13" s="263">
        <f t="shared" ca="1" si="35"/>
        <v>0</v>
      </c>
      <c r="AM13" s="263">
        <f t="shared" ca="1" si="35"/>
        <v>0</v>
      </c>
      <c r="AN13" s="263">
        <f t="shared" ca="1" si="35"/>
        <v>0</v>
      </c>
      <c r="AO13" s="263">
        <f t="shared" ca="1" si="35"/>
        <v>0</v>
      </c>
      <c r="AP13" s="263">
        <f t="shared" ca="1" si="35"/>
        <v>0</v>
      </c>
      <c r="AQ13" s="263">
        <f t="shared" ca="1" si="35"/>
        <v>0</v>
      </c>
      <c r="AR13" s="263">
        <f t="shared" ca="1" si="35"/>
        <v>0</v>
      </c>
      <c r="AS13" s="263">
        <f t="shared" ca="1" si="35"/>
        <v>0</v>
      </c>
      <c r="AT13" s="263">
        <f t="shared" ca="1" si="35"/>
        <v>0</v>
      </c>
      <c r="AU13" s="263">
        <f t="shared" ca="1" si="35"/>
        <v>0</v>
      </c>
      <c r="AV13" s="263">
        <f t="shared" ca="1" si="35"/>
        <v>0</v>
      </c>
      <c r="AW13" s="263">
        <f t="shared" ca="1" si="35"/>
        <v>0</v>
      </c>
      <c r="AX13" s="263">
        <f t="shared" ca="1" si="35"/>
        <v>0</v>
      </c>
      <c r="AY13" s="263">
        <f t="shared" ca="1" si="8"/>
        <v>0</v>
      </c>
      <c r="BA13" s="277">
        <f ca="1">BA12+BA10</f>
        <v>0</v>
      </c>
      <c r="BB13" s="277">
        <f ca="1">BB12+BB10</f>
        <v>0</v>
      </c>
      <c r="BC13" s="277">
        <f t="shared" ca="1" si="10"/>
        <v>0</v>
      </c>
      <c r="BE13" s="55">
        <f t="shared" ca="1" si="11"/>
        <v>0</v>
      </c>
      <c r="BF13" s="55"/>
      <c r="BG13" s="1428"/>
      <c r="BH13" s="542">
        <f t="shared" ref="BH13:CU13" ca="1" si="36">BH12+BH10</f>
        <v>0</v>
      </c>
      <c r="BI13" s="542">
        <f t="shared" ca="1" si="36"/>
        <v>0</v>
      </c>
      <c r="BJ13" s="542">
        <f t="shared" ca="1" si="36"/>
        <v>0</v>
      </c>
      <c r="BK13" s="542">
        <f t="shared" ca="1" si="36"/>
        <v>0</v>
      </c>
      <c r="BL13" s="542">
        <f t="shared" ca="1" si="36"/>
        <v>0</v>
      </c>
      <c r="BM13" s="542">
        <f t="shared" ca="1" si="36"/>
        <v>0</v>
      </c>
      <c r="BN13" s="542">
        <f t="shared" ca="1" si="36"/>
        <v>0</v>
      </c>
      <c r="BO13" s="542">
        <f t="shared" ca="1" si="36"/>
        <v>0</v>
      </c>
      <c r="BP13" s="542">
        <f t="shared" ca="1" si="36"/>
        <v>0</v>
      </c>
      <c r="BQ13" s="542">
        <f t="shared" ca="1" si="36"/>
        <v>0</v>
      </c>
      <c r="BR13" s="542">
        <f t="shared" ca="1" si="36"/>
        <v>0</v>
      </c>
      <c r="BS13" s="542">
        <f t="shared" ca="1" si="36"/>
        <v>0</v>
      </c>
      <c r="BT13" s="542">
        <f t="shared" ca="1" si="36"/>
        <v>0</v>
      </c>
      <c r="BU13" s="542">
        <f t="shared" ca="1" si="36"/>
        <v>0</v>
      </c>
      <c r="BV13" s="542">
        <f t="shared" ca="1" si="36"/>
        <v>0</v>
      </c>
      <c r="BW13" s="542">
        <f t="shared" ca="1" si="36"/>
        <v>0</v>
      </c>
      <c r="BX13" s="542">
        <f t="shared" ca="1" si="36"/>
        <v>0</v>
      </c>
      <c r="BY13" s="542">
        <f t="shared" ca="1" si="36"/>
        <v>0</v>
      </c>
      <c r="BZ13" s="542">
        <f t="shared" ca="1" si="36"/>
        <v>0</v>
      </c>
      <c r="CA13" s="542">
        <f t="shared" ca="1" si="36"/>
        <v>0</v>
      </c>
      <c r="CB13" s="542">
        <f t="shared" ca="1" si="36"/>
        <v>0</v>
      </c>
      <c r="CC13" s="542">
        <f t="shared" ca="1" si="36"/>
        <v>0</v>
      </c>
      <c r="CD13" s="542">
        <f t="shared" ca="1" si="36"/>
        <v>0</v>
      </c>
      <c r="CE13" s="542">
        <f t="shared" ca="1" si="36"/>
        <v>0</v>
      </c>
      <c r="CF13" s="542">
        <f t="shared" ca="1" si="36"/>
        <v>0</v>
      </c>
      <c r="CG13" s="542">
        <f t="shared" ca="1" si="36"/>
        <v>0</v>
      </c>
      <c r="CH13" s="542">
        <f t="shared" ca="1" si="36"/>
        <v>0</v>
      </c>
      <c r="CI13" s="542">
        <f t="shared" ca="1" si="36"/>
        <v>0</v>
      </c>
      <c r="CJ13" s="542">
        <f t="shared" ca="1" si="36"/>
        <v>0</v>
      </c>
      <c r="CK13" s="542">
        <f t="shared" ca="1" si="36"/>
        <v>0</v>
      </c>
      <c r="CL13" s="542">
        <f t="shared" ca="1" si="36"/>
        <v>0</v>
      </c>
      <c r="CM13" s="542">
        <f t="shared" ca="1" si="36"/>
        <v>0</v>
      </c>
      <c r="CN13" s="542">
        <f t="shared" ca="1" si="36"/>
        <v>0</v>
      </c>
      <c r="CO13" s="542">
        <f t="shared" ca="1" si="36"/>
        <v>0</v>
      </c>
      <c r="CP13" s="542">
        <f t="shared" ca="1" si="36"/>
        <v>0</v>
      </c>
      <c r="CQ13" s="542">
        <f t="shared" ca="1" si="36"/>
        <v>0</v>
      </c>
      <c r="CR13" s="542">
        <f t="shared" ca="1" si="36"/>
        <v>0</v>
      </c>
      <c r="CS13" s="542">
        <f t="shared" ca="1" si="36"/>
        <v>0</v>
      </c>
      <c r="CT13" s="542">
        <f t="shared" ca="1" si="36"/>
        <v>0</v>
      </c>
      <c r="CU13" s="542">
        <f t="shared" ca="1" si="36"/>
        <v>0</v>
      </c>
      <c r="CW13" s="151">
        <f t="shared" ref="CW13:CW26" ca="1" si="37">SUM(BH13:CU13)</f>
        <v>0</v>
      </c>
    </row>
    <row r="14" spans="1:101" s="84" customFormat="1" outlineLevel="1" x14ac:dyDescent="0.2">
      <c r="A14" s="543"/>
      <c r="B14" s="543"/>
      <c r="C14" s="86"/>
      <c r="D14" s="61"/>
      <c r="E14" s="61"/>
      <c r="G14" s="298"/>
      <c r="H14" s="298"/>
      <c r="I14" s="298"/>
      <c r="J14" s="298"/>
      <c r="K14" s="298"/>
      <c r="L14" s="298"/>
      <c r="M14" s="298"/>
      <c r="N14" s="298"/>
      <c r="O14" s="298"/>
      <c r="P14" s="298">
        <f t="shared" si="1"/>
        <v>0</v>
      </c>
      <c r="R14" s="305"/>
      <c r="S14" s="305"/>
      <c r="T14" s="305"/>
      <c r="U14" s="305"/>
      <c r="V14" s="305"/>
      <c r="W14" s="305"/>
      <c r="X14" s="305"/>
      <c r="Y14" s="305"/>
      <c r="Z14" s="305"/>
      <c r="AA14" s="305"/>
      <c r="AB14" s="305"/>
      <c r="AC14" s="305"/>
      <c r="AD14" s="305"/>
      <c r="AE14" s="305"/>
      <c r="AF14" s="305"/>
      <c r="AG14" s="305"/>
      <c r="AH14" s="305">
        <f t="shared" si="5"/>
        <v>0</v>
      </c>
      <c r="AJ14" s="313"/>
      <c r="AK14" s="313"/>
      <c r="AL14" s="313"/>
      <c r="AM14" s="313"/>
      <c r="AN14" s="313"/>
      <c r="AO14" s="313"/>
      <c r="AP14" s="313"/>
      <c r="AQ14" s="313"/>
      <c r="AR14" s="313"/>
      <c r="AS14" s="313"/>
      <c r="AT14" s="313"/>
      <c r="AU14" s="313"/>
      <c r="AV14" s="313"/>
      <c r="AW14" s="313"/>
      <c r="AX14" s="313"/>
      <c r="AY14" s="266">
        <f t="shared" si="8"/>
        <v>0</v>
      </c>
      <c r="BA14" s="309"/>
      <c r="BB14" s="309"/>
      <c r="BC14" s="309">
        <f t="shared" si="10"/>
        <v>0</v>
      </c>
      <c r="BE14" s="135">
        <f t="shared" si="11"/>
        <v>0</v>
      </c>
      <c r="BF14" s="135"/>
      <c r="BG14" s="543"/>
      <c r="BH14" s="541"/>
      <c r="BI14" s="542"/>
      <c r="BJ14" s="542"/>
      <c r="BK14" s="542"/>
      <c r="BL14" s="542"/>
      <c r="BM14" s="542"/>
      <c r="BN14" s="542"/>
      <c r="BO14" s="542"/>
      <c r="BP14" s="542"/>
      <c r="BQ14" s="542"/>
      <c r="BR14" s="542"/>
      <c r="BS14" s="542"/>
      <c r="BT14" s="542"/>
      <c r="BU14" s="542"/>
      <c r="BV14" s="542"/>
      <c r="BW14" s="542"/>
      <c r="BX14" s="542"/>
      <c r="BY14" s="542"/>
      <c r="BZ14" s="542"/>
      <c r="CA14" s="542"/>
      <c r="CB14" s="542"/>
      <c r="CC14" s="542"/>
      <c r="CD14" s="542"/>
      <c r="CE14" s="542"/>
      <c r="CF14" s="542"/>
      <c r="CG14" s="542"/>
      <c r="CH14" s="542"/>
      <c r="CI14" s="542"/>
      <c r="CJ14" s="542"/>
      <c r="CK14" s="542"/>
      <c r="CL14" s="542"/>
      <c r="CM14" s="542"/>
      <c r="CN14" s="542"/>
      <c r="CO14" s="542"/>
      <c r="CP14" s="542"/>
      <c r="CQ14" s="542"/>
      <c r="CR14" s="542"/>
      <c r="CS14" s="542"/>
      <c r="CT14" s="542"/>
      <c r="CU14" s="542"/>
      <c r="CW14" s="151">
        <f t="shared" si="37"/>
        <v>0</v>
      </c>
    </row>
    <row r="15" spans="1:101" s="84" customFormat="1" ht="12.75" customHeight="1" outlineLevel="1" x14ac:dyDescent="0.2">
      <c r="A15" s="543"/>
      <c r="B15" s="543"/>
      <c r="C15" s="86" t="s">
        <v>392</v>
      </c>
      <c r="D15" s="540" t="str">
        <f>INDEX(Modules[Module], MATCH($C15, Modules[Code], 0))</f>
        <v>Residential Lighting, Appliances, and Cooking</v>
      </c>
      <c r="E15" s="291"/>
      <c r="G15" s="297">
        <f t="shared" ref="G15:O16" ca="1" si="38">IFERROR(INDEX(INDIRECT($C15&amp;".Outputs["&amp;this.Year&amp;"]"), MATCH(G$5, INDIRECT($C15&amp;".Outputs[Vector]"), 0)), 0)</f>
        <v>0</v>
      </c>
      <c r="H15" s="297">
        <f t="shared" ca="1" si="38"/>
        <v>649.0204493638696</v>
      </c>
      <c r="I15" s="297">
        <f t="shared" ca="1" si="38"/>
        <v>135.6426836869735</v>
      </c>
      <c r="J15" s="297">
        <f t="shared" ca="1" si="38"/>
        <v>0</v>
      </c>
      <c r="K15" s="297">
        <f t="shared" ca="1" si="38"/>
        <v>0</v>
      </c>
      <c r="L15" s="297">
        <f t="shared" ca="1" si="38"/>
        <v>0</v>
      </c>
      <c r="M15" s="297">
        <f t="shared" ca="1" si="38"/>
        <v>0</v>
      </c>
      <c r="N15" s="297">
        <f t="shared" ca="1" si="38"/>
        <v>0</v>
      </c>
      <c r="O15" s="297">
        <f t="shared" ca="1" si="38"/>
        <v>0</v>
      </c>
      <c r="P15" s="297">
        <f t="shared" ca="1" si="1"/>
        <v>784.66313305084304</v>
      </c>
      <c r="R15" s="304">
        <f t="shared" ref="R15:AX16" ca="1" si="39">IFERROR(INDEX(INDIRECT($C15&amp;".Outputs["&amp;this.Year&amp;"]"), MATCH(R$5, INDIRECT($C15&amp;".Outputs[Vector]"), 0)), 0)</f>
        <v>-676.14898610126431</v>
      </c>
      <c r="S15" s="304">
        <f t="shared" ca="1" si="39"/>
        <v>0</v>
      </c>
      <c r="T15" s="304">
        <f t="shared" ca="1" si="39"/>
        <v>0</v>
      </c>
      <c r="U15" s="304">
        <f t="shared" ca="1" si="39"/>
        <v>-32.554244084873638</v>
      </c>
      <c r="V15" s="304">
        <f t="shared" ca="1" si="39"/>
        <v>-54.257073474789401</v>
      </c>
      <c r="W15" s="304">
        <f t="shared" ca="1" si="39"/>
        <v>-21.702829389915763</v>
      </c>
      <c r="X15" s="304">
        <f t="shared" ref="X15:Z16" ca="1" si="40">IFERROR(INDEX(INDIRECT($C15&amp;".Outputs["&amp;this.Year&amp;"]"), MATCH(X$5, INDIRECT($C15&amp;".Outputs[Vector]"), 0)), 0)</f>
        <v>0</v>
      </c>
      <c r="Y15" s="304">
        <f t="shared" ca="1" si="40"/>
        <v>0</v>
      </c>
      <c r="Z15" s="304">
        <f t="shared" ca="1" si="40"/>
        <v>0</v>
      </c>
      <c r="AA15" s="304">
        <f t="shared" ca="1" si="39"/>
        <v>0</v>
      </c>
      <c r="AB15" s="304">
        <f t="shared" ca="1" si="39"/>
        <v>0</v>
      </c>
      <c r="AC15" s="304">
        <f t="shared" ca="1" si="39"/>
        <v>0</v>
      </c>
      <c r="AD15" s="304">
        <f t="shared" ca="1" si="39"/>
        <v>0</v>
      </c>
      <c r="AE15" s="304">
        <f t="shared" ca="1" si="39"/>
        <v>0</v>
      </c>
      <c r="AF15" s="304">
        <f t="shared" ca="1" si="39"/>
        <v>0</v>
      </c>
      <c r="AG15" s="304">
        <f t="shared" ca="1" si="39"/>
        <v>0</v>
      </c>
      <c r="AH15" s="305">
        <f t="shared" ca="1" si="5"/>
        <v>-784.66313305084316</v>
      </c>
      <c r="AJ15" s="312">
        <f t="shared" ref="AJ15:AR16" ca="1" si="41">IFERROR(INDEX(INDIRECT($C15&amp;".Outputs["&amp;this.Year&amp;"]"), MATCH(AJ$5, INDIRECT($C15&amp;".Outputs[Vector]"), 0)), 0)</f>
        <v>0</v>
      </c>
      <c r="AK15" s="312">
        <f t="shared" ca="1" si="41"/>
        <v>0</v>
      </c>
      <c r="AL15" s="312">
        <f t="shared" ca="1" si="41"/>
        <v>0</v>
      </c>
      <c r="AM15" s="312">
        <f t="shared" ca="1" si="41"/>
        <v>0</v>
      </c>
      <c r="AN15" s="312">
        <f t="shared" ca="1" si="41"/>
        <v>0</v>
      </c>
      <c r="AO15" s="312">
        <f t="shared" ca="1" si="41"/>
        <v>0</v>
      </c>
      <c r="AP15" s="312">
        <f t="shared" ca="1" si="41"/>
        <v>0</v>
      </c>
      <c r="AQ15" s="312">
        <f t="shared" ca="1" si="41"/>
        <v>0</v>
      </c>
      <c r="AR15" s="312">
        <f t="shared" ca="1" si="41"/>
        <v>0</v>
      </c>
      <c r="AS15" s="312">
        <f t="shared" ca="1" si="39"/>
        <v>0</v>
      </c>
      <c r="AT15" s="312">
        <f t="shared" ca="1" si="39"/>
        <v>0</v>
      </c>
      <c r="AU15" s="312">
        <f t="shared" ca="1" si="39"/>
        <v>0</v>
      </c>
      <c r="AV15" s="312">
        <f t="shared" ca="1" si="39"/>
        <v>0</v>
      </c>
      <c r="AW15" s="312">
        <f t="shared" ca="1" si="39"/>
        <v>0</v>
      </c>
      <c r="AX15" s="312">
        <f t="shared" ca="1" si="39"/>
        <v>0</v>
      </c>
      <c r="AY15" s="266">
        <f t="shared" ca="1" si="8"/>
        <v>0</v>
      </c>
      <c r="BA15" s="308">
        <f ca="1">IFERROR(INDEX(INDIRECT($C15&amp;".Outputs["&amp;this.Year&amp;"]"), MATCH(BA$5, INDIRECT($C15&amp;".Outputs[Vector]"), 0)), 0)</f>
        <v>0</v>
      </c>
      <c r="BB15" s="308">
        <f ca="1">IFERROR(INDEX(INDIRECT($C15&amp;".Outputs["&amp;this.Year&amp;"]"), MATCH(BB$5, INDIRECT($C15&amp;".Outputs[Vector]"), 0)), 0)</f>
        <v>0</v>
      </c>
      <c r="BC15" s="309">
        <f t="shared" ca="1" si="10"/>
        <v>0</v>
      </c>
      <c r="BE15" s="135">
        <f t="shared" ca="1" si="11"/>
        <v>-1.1368683772161603E-13</v>
      </c>
      <c r="BF15" s="135"/>
      <c r="BG15" s="1428"/>
      <c r="BH15" s="541">
        <f t="shared" ref="BH15:BQ16" ca="1" si="42">IFERROR(SUMIFS(INDIRECT($C15&amp;".Emissions["&amp;this.Year&amp;"]"), INDIRECT($C15&amp;".Emissions[GHG]"), BH$6, INDIRECT($C15&amp;".Emissions[IPCC Sector]"), BH$5),0)</f>
        <v>18.121862540579656</v>
      </c>
      <c r="BI15" s="542">
        <f t="shared" ca="1" si="42"/>
        <v>18.121862540579656</v>
      </c>
      <c r="BJ15" s="542">
        <f t="shared" ca="1" si="42"/>
        <v>18.121862540579656</v>
      </c>
      <c r="BK15" s="542">
        <f t="shared" ca="1" si="42"/>
        <v>0</v>
      </c>
      <c r="BL15" s="542">
        <f t="shared" ca="1" si="42"/>
        <v>0</v>
      </c>
      <c r="BM15" s="542">
        <f t="shared" ca="1" si="42"/>
        <v>0</v>
      </c>
      <c r="BN15" s="542">
        <f t="shared" ca="1" si="42"/>
        <v>0</v>
      </c>
      <c r="BO15" s="542">
        <f t="shared" ca="1" si="42"/>
        <v>0</v>
      </c>
      <c r="BP15" s="542">
        <f t="shared" ca="1" si="42"/>
        <v>0</v>
      </c>
      <c r="BQ15" s="542">
        <f t="shared" ca="1" si="42"/>
        <v>0</v>
      </c>
      <c r="BR15" s="542">
        <f t="shared" ref="BR15:CA16" ca="1" si="43">IFERROR(SUMIFS(INDIRECT($C15&amp;".Emissions["&amp;this.Year&amp;"]"), INDIRECT($C15&amp;".Emissions[GHG]"), BR$6, INDIRECT($C15&amp;".Emissions[IPCC Sector]"), BR$5),0)</f>
        <v>0</v>
      </c>
      <c r="BS15" s="542">
        <f t="shared" ca="1" si="43"/>
        <v>0</v>
      </c>
      <c r="BT15" s="542">
        <f t="shared" ca="1" si="43"/>
        <v>0</v>
      </c>
      <c r="BU15" s="542">
        <f t="shared" ca="1" si="43"/>
        <v>0</v>
      </c>
      <c r="BV15" s="542">
        <f t="shared" ca="1" si="43"/>
        <v>0</v>
      </c>
      <c r="BW15" s="542">
        <f t="shared" ca="1" si="43"/>
        <v>0</v>
      </c>
      <c r="BX15" s="542">
        <f t="shared" ca="1" si="43"/>
        <v>0</v>
      </c>
      <c r="BY15" s="542">
        <f t="shared" ca="1" si="43"/>
        <v>0</v>
      </c>
      <c r="BZ15" s="542">
        <f t="shared" ca="1" si="43"/>
        <v>0</v>
      </c>
      <c r="CA15" s="542">
        <f t="shared" ca="1" si="43"/>
        <v>0</v>
      </c>
      <c r="CB15" s="542">
        <f t="shared" ref="CB15:CK16" ca="1" si="44">IFERROR(SUMIFS(INDIRECT($C15&amp;".Emissions["&amp;this.Year&amp;"]"), INDIRECT($C15&amp;".Emissions[GHG]"), CB$6, INDIRECT($C15&amp;".Emissions[IPCC Sector]"), CB$5),0)</f>
        <v>0</v>
      </c>
      <c r="CC15" s="542">
        <f t="shared" ca="1" si="44"/>
        <v>0</v>
      </c>
      <c r="CD15" s="542">
        <f t="shared" ca="1" si="44"/>
        <v>0</v>
      </c>
      <c r="CE15" s="542">
        <f t="shared" ca="1" si="44"/>
        <v>0</v>
      </c>
      <c r="CF15" s="542">
        <f t="shared" ca="1" si="44"/>
        <v>0</v>
      </c>
      <c r="CG15" s="542">
        <f t="shared" ca="1" si="44"/>
        <v>0</v>
      </c>
      <c r="CH15" s="542">
        <f t="shared" ca="1" si="44"/>
        <v>0</v>
      </c>
      <c r="CI15" s="542">
        <f t="shared" ca="1" si="44"/>
        <v>0</v>
      </c>
      <c r="CJ15" s="542">
        <f t="shared" ca="1" si="44"/>
        <v>0</v>
      </c>
      <c r="CK15" s="542">
        <f t="shared" ca="1" si="44"/>
        <v>0</v>
      </c>
      <c r="CL15" s="542">
        <f t="shared" ref="CL15:CU16" ca="1" si="45">IFERROR(SUMIFS(INDIRECT($C15&amp;".Emissions["&amp;this.Year&amp;"]"), INDIRECT($C15&amp;".Emissions[GHG]"), CL$6, INDIRECT($C15&amp;".Emissions[IPCC Sector]"), CL$5),0)</f>
        <v>0</v>
      </c>
      <c r="CM15" s="542">
        <f t="shared" ca="1" si="45"/>
        <v>0</v>
      </c>
      <c r="CN15" s="542">
        <f t="shared" ca="1" si="45"/>
        <v>0</v>
      </c>
      <c r="CO15" s="542">
        <f t="shared" ca="1" si="45"/>
        <v>0</v>
      </c>
      <c r="CP15" s="542">
        <f t="shared" ca="1" si="45"/>
        <v>0</v>
      </c>
      <c r="CQ15" s="542">
        <f t="shared" ca="1" si="45"/>
        <v>0</v>
      </c>
      <c r="CR15" s="542">
        <f t="shared" ca="1" si="45"/>
        <v>0</v>
      </c>
      <c r="CS15" s="542">
        <f t="shared" ca="1" si="45"/>
        <v>0</v>
      </c>
      <c r="CT15" s="542">
        <f t="shared" ca="1" si="45"/>
        <v>0</v>
      </c>
      <c r="CU15" s="542">
        <f t="shared" ca="1" si="45"/>
        <v>0</v>
      </c>
      <c r="CW15" s="151">
        <f t="shared" ca="1" si="37"/>
        <v>54.365587621738968</v>
      </c>
    </row>
    <row r="16" spans="1:101" s="84" customFormat="1" ht="12.75" customHeight="1" outlineLevel="1" x14ac:dyDescent="0.2">
      <c r="A16" s="543"/>
      <c r="B16" s="543"/>
      <c r="C16" s="86" t="s">
        <v>393</v>
      </c>
      <c r="D16" s="292" t="str">
        <f>INDEX(Modules[Module], MATCH($C16, Modules[Code], 0))</f>
        <v>Service Sector Lighting, Appliances, and Cooking</v>
      </c>
      <c r="E16" s="292"/>
      <c r="G16" s="301">
        <f t="shared" ca="1" si="38"/>
        <v>0</v>
      </c>
      <c r="H16" s="301">
        <f t="shared" ca="1" si="38"/>
        <v>29.69572152487137</v>
      </c>
      <c r="I16" s="301">
        <f t="shared" ca="1" si="38"/>
        <v>31.622422897438657</v>
      </c>
      <c r="J16" s="301">
        <f t="shared" ca="1" si="38"/>
        <v>0</v>
      </c>
      <c r="K16" s="301">
        <f t="shared" ca="1" si="38"/>
        <v>0</v>
      </c>
      <c r="L16" s="301">
        <f t="shared" ca="1" si="38"/>
        <v>0</v>
      </c>
      <c r="M16" s="301">
        <f t="shared" ca="1" si="38"/>
        <v>0</v>
      </c>
      <c r="N16" s="301">
        <f t="shared" ca="1" si="38"/>
        <v>0</v>
      </c>
      <c r="O16" s="301">
        <f t="shared" ca="1" si="38"/>
        <v>0</v>
      </c>
      <c r="P16" s="301">
        <f t="shared" ca="1" si="1"/>
        <v>61.318144422310027</v>
      </c>
      <c r="R16" s="307">
        <f t="shared" ca="1" si="39"/>
        <v>-36.020206104359104</v>
      </c>
      <c r="S16" s="307">
        <f t="shared" ca="1" si="39"/>
        <v>0</v>
      </c>
      <c r="T16" s="307">
        <f t="shared" ca="1" si="39"/>
        <v>0</v>
      </c>
      <c r="U16" s="307">
        <f t="shared" ca="1" si="39"/>
        <v>-7.5893814953852772</v>
      </c>
      <c r="V16" s="307">
        <f t="shared" ca="1" si="39"/>
        <v>-12.648969158975463</v>
      </c>
      <c r="W16" s="307">
        <f t="shared" ca="1" si="39"/>
        <v>-5.059587663590186</v>
      </c>
      <c r="X16" s="307">
        <f t="shared" ca="1" si="40"/>
        <v>0</v>
      </c>
      <c r="Y16" s="307">
        <f t="shared" ca="1" si="40"/>
        <v>0</v>
      </c>
      <c r="Z16" s="307">
        <f t="shared" ca="1" si="40"/>
        <v>0</v>
      </c>
      <c r="AA16" s="307">
        <f t="shared" ca="1" si="39"/>
        <v>0</v>
      </c>
      <c r="AB16" s="307">
        <f t="shared" ca="1" si="39"/>
        <v>0</v>
      </c>
      <c r="AC16" s="307">
        <f t="shared" ca="1" si="39"/>
        <v>0</v>
      </c>
      <c r="AD16" s="307">
        <f t="shared" ca="1" si="39"/>
        <v>0</v>
      </c>
      <c r="AE16" s="307">
        <f t="shared" ca="1" si="39"/>
        <v>0</v>
      </c>
      <c r="AF16" s="307">
        <f t="shared" ca="1" si="39"/>
        <v>0</v>
      </c>
      <c r="AG16" s="307">
        <f t="shared" ca="1" si="39"/>
        <v>0</v>
      </c>
      <c r="AH16" s="306">
        <f t="shared" ca="1" si="5"/>
        <v>-61.318144422310027</v>
      </c>
      <c r="AJ16" s="315">
        <f t="shared" ca="1" si="41"/>
        <v>0</v>
      </c>
      <c r="AK16" s="315">
        <f t="shared" ca="1" si="41"/>
        <v>0</v>
      </c>
      <c r="AL16" s="315">
        <f t="shared" ca="1" si="41"/>
        <v>0</v>
      </c>
      <c r="AM16" s="315">
        <f t="shared" ca="1" si="41"/>
        <v>0</v>
      </c>
      <c r="AN16" s="315">
        <f t="shared" ca="1" si="41"/>
        <v>0</v>
      </c>
      <c r="AO16" s="315">
        <f t="shared" ca="1" si="41"/>
        <v>0</v>
      </c>
      <c r="AP16" s="315">
        <f t="shared" ca="1" si="41"/>
        <v>0</v>
      </c>
      <c r="AQ16" s="315">
        <f t="shared" ca="1" si="41"/>
        <v>0</v>
      </c>
      <c r="AR16" s="315">
        <f t="shared" ca="1" si="41"/>
        <v>0</v>
      </c>
      <c r="AS16" s="315">
        <f t="shared" ca="1" si="39"/>
        <v>0</v>
      </c>
      <c r="AT16" s="315">
        <f t="shared" ca="1" si="39"/>
        <v>0</v>
      </c>
      <c r="AU16" s="315">
        <f t="shared" ca="1" si="39"/>
        <v>0</v>
      </c>
      <c r="AV16" s="315">
        <f t="shared" ca="1" si="39"/>
        <v>0</v>
      </c>
      <c r="AW16" s="315">
        <f t="shared" ca="1" si="39"/>
        <v>0</v>
      </c>
      <c r="AX16" s="315">
        <f t="shared" ca="1" si="39"/>
        <v>0</v>
      </c>
      <c r="AY16" s="293">
        <f t="shared" ca="1" si="8"/>
        <v>0</v>
      </c>
      <c r="BA16" s="311">
        <f ca="1">IFERROR(INDEX(INDIRECT($C16&amp;".Outputs["&amp;this.Year&amp;"]"), MATCH(BA$5, INDIRECT($C16&amp;".Outputs[Vector]"), 0)), 0)</f>
        <v>0</v>
      </c>
      <c r="BB16" s="311">
        <f ca="1">IFERROR(INDEX(INDIRECT($C16&amp;".Outputs["&amp;this.Year&amp;"]"), MATCH(BB$5, INDIRECT($C16&amp;".Outputs[Vector]"), 0)), 0)</f>
        <v>0</v>
      </c>
      <c r="BC16" s="310">
        <f t="shared" ca="1" si="10"/>
        <v>0</v>
      </c>
      <c r="BE16" s="135">
        <f t="shared" ca="1" si="11"/>
        <v>0</v>
      </c>
      <c r="BF16" s="135"/>
      <c r="BG16" s="1428"/>
      <c r="BH16" s="544">
        <f t="shared" ca="1" si="42"/>
        <v>4.2247556990978037</v>
      </c>
      <c r="BI16" s="545">
        <f t="shared" ca="1" si="42"/>
        <v>7.0274482345650579E-3</v>
      </c>
      <c r="BJ16" s="545">
        <f t="shared" ca="1" si="42"/>
        <v>3.9154845836744452E-2</v>
      </c>
      <c r="BK16" s="545">
        <f t="shared" ca="1" si="42"/>
        <v>0</v>
      </c>
      <c r="BL16" s="545">
        <f t="shared" ca="1" si="42"/>
        <v>0</v>
      </c>
      <c r="BM16" s="545">
        <f t="shared" ca="1" si="42"/>
        <v>0</v>
      </c>
      <c r="BN16" s="545">
        <f t="shared" ca="1" si="42"/>
        <v>0</v>
      </c>
      <c r="BO16" s="545">
        <f t="shared" ca="1" si="42"/>
        <v>0</v>
      </c>
      <c r="BP16" s="545">
        <f t="shared" ca="1" si="42"/>
        <v>0</v>
      </c>
      <c r="BQ16" s="545">
        <f t="shared" ca="1" si="42"/>
        <v>0</v>
      </c>
      <c r="BR16" s="545">
        <f t="shared" ca="1" si="43"/>
        <v>0</v>
      </c>
      <c r="BS16" s="545">
        <f t="shared" ca="1" si="43"/>
        <v>0</v>
      </c>
      <c r="BT16" s="545">
        <f t="shared" ca="1" si="43"/>
        <v>0</v>
      </c>
      <c r="BU16" s="545">
        <f t="shared" ca="1" si="43"/>
        <v>0</v>
      </c>
      <c r="BV16" s="545">
        <f t="shared" ca="1" si="43"/>
        <v>0</v>
      </c>
      <c r="BW16" s="545">
        <f t="shared" ca="1" si="43"/>
        <v>0</v>
      </c>
      <c r="BX16" s="545">
        <f t="shared" ca="1" si="43"/>
        <v>0</v>
      </c>
      <c r="BY16" s="545">
        <f t="shared" ca="1" si="43"/>
        <v>0</v>
      </c>
      <c r="BZ16" s="545">
        <f t="shared" ca="1" si="43"/>
        <v>0</v>
      </c>
      <c r="CA16" s="545">
        <f t="shared" ca="1" si="43"/>
        <v>0</v>
      </c>
      <c r="CB16" s="545">
        <f t="shared" ca="1" si="44"/>
        <v>0</v>
      </c>
      <c r="CC16" s="545">
        <f t="shared" ca="1" si="44"/>
        <v>0</v>
      </c>
      <c r="CD16" s="545">
        <f t="shared" ca="1" si="44"/>
        <v>0</v>
      </c>
      <c r="CE16" s="545">
        <f t="shared" ca="1" si="44"/>
        <v>0</v>
      </c>
      <c r="CF16" s="545">
        <f t="shared" ca="1" si="44"/>
        <v>0</v>
      </c>
      <c r="CG16" s="545">
        <f t="shared" ca="1" si="44"/>
        <v>0</v>
      </c>
      <c r="CH16" s="545">
        <f t="shared" ca="1" si="44"/>
        <v>0</v>
      </c>
      <c r="CI16" s="545">
        <f t="shared" ca="1" si="44"/>
        <v>0</v>
      </c>
      <c r="CJ16" s="545">
        <f t="shared" ca="1" si="44"/>
        <v>0</v>
      </c>
      <c r="CK16" s="545">
        <f t="shared" ca="1" si="44"/>
        <v>0</v>
      </c>
      <c r="CL16" s="545">
        <f t="shared" ca="1" si="45"/>
        <v>0</v>
      </c>
      <c r="CM16" s="545">
        <f t="shared" ca="1" si="45"/>
        <v>0</v>
      </c>
      <c r="CN16" s="545">
        <f t="shared" ca="1" si="45"/>
        <v>0</v>
      </c>
      <c r="CO16" s="545">
        <f t="shared" ca="1" si="45"/>
        <v>0</v>
      </c>
      <c r="CP16" s="545">
        <f t="shared" ca="1" si="45"/>
        <v>0</v>
      </c>
      <c r="CQ16" s="545">
        <f t="shared" ca="1" si="45"/>
        <v>0</v>
      </c>
      <c r="CR16" s="545">
        <f t="shared" ca="1" si="45"/>
        <v>0</v>
      </c>
      <c r="CS16" s="545">
        <f t="shared" ca="1" si="45"/>
        <v>0</v>
      </c>
      <c r="CT16" s="545">
        <f t="shared" ca="1" si="45"/>
        <v>0</v>
      </c>
      <c r="CU16" s="545">
        <f t="shared" ca="1" si="45"/>
        <v>0</v>
      </c>
      <c r="CW16" s="151">
        <f t="shared" ca="1" si="37"/>
        <v>4.2709379931691132</v>
      </c>
    </row>
    <row r="17" spans="1:101" s="84" customFormat="1" ht="15.75" x14ac:dyDescent="0.2">
      <c r="A17" s="18"/>
      <c r="B17" s="89"/>
      <c r="C17" s="85" t="s">
        <v>230</v>
      </c>
      <c r="D17" s="57" t="str">
        <f>INDEX(Workstreams[Workstream], MATCH($C17, Workstreams[Code], 0))</f>
        <v>Lighting, Appliances &amp; Cooking</v>
      </c>
      <c r="E17" s="53"/>
      <c r="G17" s="300">
        <f ca="1">G15+G16</f>
        <v>0</v>
      </c>
      <c r="H17" s="300">
        <f t="shared" ref="H17:O17" ca="1" si="46">H15+H16</f>
        <v>678.71617088874098</v>
      </c>
      <c r="I17" s="300">
        <f ca="1">I15+I16</f>
        <v>167.26510658441217</v>
      </c>
      <c r="J17" s="300">
        <f t="shared" ca="1" si="46"/>
        <v>0</v>
      </c>
      <c r="K17" s="300">
        <f t="shared" ca="1" si="46"/>
        <v>0</v>
      </c>
      <c r="L17" s="300">
        <f t="shared" ca="1" si="46"/>
        <v>0</v>
      </c>
      <c r="M17" s="300">
        <f t="shared" ca="1" si="46"/>
        <v>0</v>
      </c>
      <c r="N17" s="300">
        <f t="shared" ca="1" si="46"/>
        <v>0</v>
      </c>
      <c r="O17" s="300">
        <f t="shared" ca="1" si="46"/>
        <v>0</v>
      </c>
      <c r="P17" s="300">
        <f t="shared" ca="1" si="1"/>
        <v>845.98127747315311</v>
      </c>
      <c r="R17" s="257">
        <f ca="1">R15+R16</f>
        <v>-712.1691922056234</v>
      </c>
      <c r="S17" s="257">
        <f t="shared" ref="S17:AE17" ca="1" si="47">S15+S16</f>
        <v>0</v>
      </c>
      <c r="T17" s="257">
        <f t="shared" ca="1" si="47"/>
        <v>0</v>
      </c>
      <c r="U17" s="257">
        <f t="shared" ca="1" si="47"/>
        <v>-40.143625580258913</v>
      </c>
      <c r="V17" s="257">
        <f t="shared" ca="1" si="47"/>
        <v>-66.906042633764869</v>
      </c>
      <c r="W17" s="257">
        <f ca="1">W15+W16</f>
        <v>-26.762417053505949</v>
      </c>
      <c r="X17" s="257">
        <f ca="1">X15+X16</f>
        <v>0</v>
      </c>
      <c r="Y17" s="257">
        <f ca="1">Y15+Y16</f>
        <v>0</v>
      </c>
      <c r="Z17" s="257">
        <f ca="1">Z15+Z16</f>
        <v>0</v>
      </c>
      <c r="AA17" s="257">
        <f t="shared" ca="1" si="47"/>
        <v>0</v>
      </c>
      <c r="AB17" s="257">
        <f t="shared" ca="1" si="47"/>
        <v>0</v>
      </c>
      <c r="AC17" s="257">
        <f ca="1">AC15+AC16</f>
        <v>0</v>
      </c>
      <c r="AD17" s="257">
        <f ca="1">AD15+AD16</f>
        <v>0</v>
      </c>
      <c r="AE17" s="257">
        <f t="shared" ca="1" si="47"/>
        <v>0</v>
      </c>
      <c r="AF17" s="257">
        <f ca="1">AF15+AF16</f>
        <v>0</v>
      </c>
      <c r="AG17" s="257">
        <f ca="1">AG15+AG16</f>
        <v>0</v>
      </c>
      <c r="AH17" s="257">
        <f t="shared" ca="1" si="5"/>
        <v>-845.98127747315311</v>
      </c>
      <c r="AJ17" s="263">
        <f t="shared" ref="AJ17:AX17" ca="1" si="48">AJ15+AJ16</f>
        <v>0</v>
      </c>
      <c r="AK17" s="263">
        <f t="shared" ca="1" si="48"/>
        <v>0</v>
      </c>
      <c r="AL17" s="263">
        <f t="shared" ca="1" si="48"/>
        <v>0</v>
      </c>
      <c r="AM17" s="263">
        <f t="shared" ca="1" si="48"/>
        <v>0</v>
      </c>
      <c r="AN17" s="263">
        <f t="shared" ca="1" si="48"/>
        <v>0</v>
      </c>
      <c r="AO17" s="263">
        <f t="shared" ca="1" si="48"/>
        <v>0</v>
      </c>
      <c r="AP17" s="263">
        <f t="shared" ca="1" si="48"/>
        <v>0</v>
      </c>
      <c r="AQ17" s="263">
        <f t="shared" ca="1" si="48"/>
        <v>0</v>
      </c>
      <c r="AR17" s="263">
        <f t="shared" ca="1" si="48"/>
        <v>0</v>
      </c>
      <c r="AS17" s="263">
        <f t="shared" ca="1" si="48"/>
        <v>0</v>
      </c>
      <c r="AT17" s="263">
        <f t="shared" ca="1" si="48"/>
        <v>0</v>
      </c>
      <c r="AU17" s="263">
        <f t="shared" ca="1" si="48"/>
        <v>0</v>
      </c>
      <c r="AV17" s="263">
        <f t="shared" ca="1" si="48"/>
        <v>0</v>
      </c>
      <c r="AW17" s="263">
        <f t="shared" ca="1" si="48"/>
        <v>0</v>
      </c>
      <c r="AX17" s="263">
        <f t="shared" ca="1" si="48"/>
        <v>0</v>
      </c>
      <c r="AY17" s="263">
        <f t="shared" ca="1" si="8"/>
        <v>0</v>
      </c>
      <c r="BA17" s="277">
        <f ca="1">BA15+BA16</f>
        <v>0</v>
      </c>
      <c r="BB17" s="277">
        <f ca="1">BB15+BB16</f>
        <v>0</v>
      </c>
      <c r="BC17" s="277">
        <f t="shared" ca="1" si="10"/>
        <v>0</v>
      </c>
      <c r="BE17" s="55">
        <f t="shared" ca="1" si="11"/>
        <v>0</v>
      </c>
      <c r="BF17" s="55"/>
      <c r="BG17" s="1428"/>
      <c r="BH17" s="542">
        <f t="shared" ref="BH17:CU17" ca="1" si="49">BH15+BH16</f>
        <v>22.346618239677461</v>
      </c>
      <c r="BI17" s="542">
        <f t="shared" ca="1" si="49"/>
        <v>18.128889988814223</v>
      </c>
      <c r="BJ17" s="542">
        <f t="shared" ca="1" si="49"/>
        <v>18.1610173864164</v>
      </c>
      <c r="BK17" s="542">
        <f t="shared" ca="1" si="49"/>
        <v>0</v>
      </c>
      <c r="BL17" s="542">
        <f t="shared" ca="1" si="49"/>
        <v>0</v>
      </c>
      <c r="BM17" s="542">
        <f t="shared" ca="1" si="49"/>
        <v>0</v>
      </c>
      <c r="BN17" s="542">
        <f t="shared" ca="1" si="49"/>
        <v>0</v>
      </c>
      <c r="BO17" s="542">
        <f t="shared" ca="1" si="49"/>
        <v>0</v>
      </c>
      <c r="BP17" s="542">
        <f t="shared" ca="1" si="49"/>
        <v>0</v>
      </c>
      <c r="BQ17" s="542">
        <f t="shared" ca="1" si="49"/>
        <v>0</v>
      </c>
      <c r="BR17" s="542">
        <f t="shared" ca="1" si="49"/>
        <v>0</v>
      </c>
      <c r="BS17" s="542">
        <f t="shared" ca="1" si="49"/>
        <v>0</v>
      </c>
      <c r="BT17" s="542">
        <f t="shared" ca="1" si="49"/>
        <v>0</v>
      </c>
      <c r="BU17" s="542">
        <f t="shared" ca="1" si="49"/>
        <v>0</v>
      </c>
      <c r="BV17" s="542">
        <f t="shared" ca="1" si="49"/>
        <v>0</v>
      </c>
      <c r="BW17" s="542">
        <f t="shared" ca="1" si="49"/>
        <v>0</v>
      </c>
      <c r="BX17" s="542">
        <f t="shared" ca="1" si="49"/>
        <v>0</v>
      </c>
      <c r="BY17" s="542">
        <f t="shared" ca="1" si="49"/>
        <v>0</v>
      </c>
      <c r="BZ17" s="542">
        <f t="shared" ca="1" si="49"/>
        <v>0</v>
      </c>
      <c r="CA17" s="542">
        <f t="shared" ca="1" si="49"/>
        <v>0</v>
      </c>
      <c r="CB17" s="542">
        <f t="shared" ca="1" si="49"/>
        <v>0</v>
      </c>
      <c r="CC17" s="542">
        <f t="shared" ca="1" si="49"/>
        <v>0</v>
      </c>
      <c r="CD17" s="542">
        <f t="shared" ca="1" si="49"/>
        <v>0</v>
      </c>
      <c r="CE17" s="542">
        <f t="shared" ca="1" si="49"/>
        <v>0</v>
      </c>
      <c r="CF17" s="542">
        <f t="shared" ca="1" si="49"/>
        <v>0</v>
      </c>
      <c r="CG17" s="542">
        <f t="shared" ca="1" si="49"/>
        <v>0</v>
      </c>
      <c r="CH17" s="542">
        <f t="shared" ca="1" si="49"/>
        <v>0</v>
      </c>
      <c r="CI17" s="542">
        <f t="shared" ca="1" si="49"/>
        <v>0</v>
      </c>
      <c r="CJ17" s="542">
        <f t="shared" ca="1" si="49"/>
        <v>0</v>
      </c>
      <c r="CK17" s="542">
        <f t="shared" ca="1" si="49"/>
        <v>0</v>
      </c>
      <c r="CL17" s="542">
        <f t="shared" ca="1" si="49"/>
        <v>0</v>
      </c>
      <c r="CM17" s="542">
        <f t="shared" ca="1" si="49"/>
        <v>0</v>
      </c>
      <c r="CN17" s="542">
        <f t="shared" ca="1" si="49"/>
        <v>0</v>
      </c>
      <c r="CO17" s="542">
        <f t="shared" ca="1" si="49"/>
        <v>0</v>
      </c>
      <c r="CP17" s="542">
        <f t="shared" ca="1" si="49"/>
        <v>0</v>
      </c>
      <c r="CQ17" s="542">
        <f t="shared" ca="1" si="49"/>
        <v>0</v>
      </c>
      <c r="CR17" s="542">
        <f t="shared" ca="1" si="49"/>
        <v>0</v>
      </c>
      <c r="CS17" s="542">
        <f t="shared" ca="1" si="49"/>
        <v>0</v>
      </c>
      <c r="CT17" s="542">
        <f t="shared" ca="1" si="49"/>
        <v>0</v>
      </c>
      <c r="CU17" s="542">
        <f t="shared" ca="1" si="49"/>
        <v>0</v>
      </c>
      <c r="CW17" s="151">
        <f t="shared" ca="1" si="37"/>
        <v>58.636525614908081</v>
      </c>
    </row>
    <row r="18" spans="1:101" s="84" customFormat="1" ht="12.75" customHeight="1" outlineLevel="1" x14ac:dyDescent="0.2">
      <c r="A18" s="543"/>
      <c r="B18" s="543"/>
      <c r="C18" s="86"/>
      <c r="D18" s="61"/>
      <c r="E18" s="61"/>
      <c r="G18" s="298"/>
      <c r="H18" s="298"/>
      <c r="I18" s="298"/>
      <c r="J18" s="298"/>
      <c r="K18" s="298"/>
      <c r="L18" s="298"/>
      <c r="M18" s="298"/>
      <c r="N18" s="298"/>
      <c r="O18" s="298"/>
      <c r="P18" s="298">
        <f t="shared" si="1"/>
        <v>0</v>
      </c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>
        <f t="shared" si="5"/>
        <v>0</v>
      </c>
      <c r="AJ18" s="313"/>
      <c r="AK18" s="313"/>
      <c r="AL18" s="313"/>
      <c r="AM18" s="313"/>
      <c r="AN18" s="313"/>
      <c r="AO18" s="313"/>
      <c r="AP18" s="313"/>
      <c r="AQ18" s="313"/>
      <c r="AR18" s="313"/>
      <c r="AS18" s="313"/>
      <c r="AT18" s="313"/>
      <c r="AU18" s="313"/>
      <c r="AV18" s="313"/>
      <c r="AW18" s="313"/>
      <c r="AX18" s="313"/>
      <c r="AY18" s="266">
        <f t="shared" si="8"/>
        <v>0</v>
      </c>
      <c r="BA18" s="309"/>
      <c r="BB18" s="309"/>
      <c r="BC18" s="309">
        <f t="shared" si="10"/>
        <v>0</v>
      </c>
      <c r="BE18" s="135">
        <f t="shared" si="11"/>
        <v>0</v>
      </c>
      <c r="BF18" s="135"/>
      <c r="BG18" s="543"/>
      <c r="BH18" s="541"/>
      <c r="BI18" s="542"/>
      <c r="BJ18" s="542"/>
      <c r="BK18" s="542"/>
      <c r="BL18" s="542"/>
      <c r="BM18" s="542"/>
      <c r="BN18" s="542"/>
      <c r="BO18" s="542"/>
      <c r="BP18" s="542"/>
      <c r="BQ18" s="542"/>
      <c r="BR18" s="542"/>
      <c r="BS18" s="542"/>
      <c r="BT18" s="542"/>
      <c r="BU18" s="542"/>
      <c r="BV18" s="542"/>
      <c r="BW18" s="542"/>
      <c r="BX18" s="542"/>
      <c r="BY18" s="542"/>
      <c r="BZ18" s="542"/>
      <c r="CA18" s="542"/>
      <c r="CB18" s="542"/>
      <c r="CC18" s="542"/>
      <c r="CD18" s="542"/>
      <c r="CE18" s="542"/>
      <c r="CF18" s="542"/>
      <c r="CG18" s="542"/>
      <c r="CH18" s="542"/>
      <c r="CI18" s="542"/>
      <c r="CJ18" s="542"/>
      <c r="CK18" s="542"/>
      <c r="CL18" s="542"/>
      <c r="CM18" s="542"/>
      <c r="CN18" s="542"/>
      <c r="CO18" s="542"/>
      <c r="CP18" s="542"/>
      <c r="CQ18" s="542"/>
      <c r="CR18" s="542"/>
      <c r="CS18" s="542"/>
      <c r="CT18" s="542"/>
      <c r="CU18" s="542"/>
      <c r="CW18" s="151">
        <f t="shared" si="37"/>
        <v>0</v>
      </c>
    </row>
    <row r="19" spans="1:101" s="84" customFormat="1" ht="12.75" customHeight="1" outlineLevel="1" x14ac:dyDescent="0.2">
      <c r="A19" s="543"/>
      <c r="B19" s="543"/>
      <c r="C19" s="86" t="s">
        <v>360</v>
      </c>
      <c r="D19" s="292" t="str">
        <f>INDEX(Modules[Module], MATCH($C19, Modules[Code], 0))</f>
        <v>Industrial processes</v>
      </c>
      <c r="E19" s="292"/>
      <c r="G19" s="301">
        <f t="shared" ref="G19:O19" ca="1" si="50">IFERROR(INDEX(INDIRECT($C19&amp;".Outputs["&amp;this.Year&amp;"]"), MATCH(G$5, INDIRECT($C19&amp;".Outputs[Vector]"), 0)), 0)</f>
        <v>0</v>
      </c>
      <c r="H19" s="301">
        <f t="shared" ca="1" si="50"/>
        <v>0</v>
      </c>
      <c r="I19" s="301">
        <f t="shared" ca="1" si="50"/>
        <v>0</v>
      </c>
      <c r="J19" s="301">
        <f t="shared" ca="1" si="50"/>
        <v>188.61389831339488</v>
      </c>
      <c r="K19" s="301">
        <f t="shared" ca="1" si="50"/>
        <v>0</v>
      </c>
      <c r="L19" s="301">
        <f t="shared" ca="1" si="50"/>
        <v>0</v>
      </c>
      <c r="M19" s="301">
        <f t="shared" ca="1" si="50"/>
        <v>0</v>
      </c>
      <c r="N19" s="301">
        <f t="shared" ca="1" si="50"/>
        <v>0</v>
      </c>
      <c r="O19" s="301">
        <f t="shared" ca="1" si="50"/>
        <v>0</v>
      </c>
      <c r="P19" s="301">
        <f t="shared" ca="1" si="1"/>
        <v>188.61389831339488</v>
      </c>
      <c r="R19" s="307">
        <f t="shared" ref="R19:AX19" ca="1" si="51">IFERROR(INDEX(INDIRECT($C19&amp;".Outputs["&amp;this.Year&amp;"]"), MATCH(R$5, INDIRECT($C19&amp;".Outputs[Vector]"), 0)), 0)</f>
        <v>-40.740602035693293</v>
      </c>
      <c r="S19" s="307">
        <f t="shared" ca="1" si="51"/>
        <v>0</v>
      </c>
      <c r="T19" s="307">
        <f t="shared" ca="1" si="51"/>
        <v>-5.6584169494018459</v>
      </c>
      <c r="U19" s="307">
        <f t="shared" ca="1" si="51"/>
        <v>-39.043076950872738</v>
      </c>
      <c r="V19" s="307">
        <f t="shared" ca="1" si="51"/>
        <v>-94.684176953324226</v>
      </c>
      <c r="W19" s="307">
        <f t="shared" ca="1" si="51"/>
        <v>-8.4876254241027702</v>
      </c>
      <c r="X19" s="307">
        <f ca="1">IFERROR(INDEX(INDIRECT($C19&amp;".Outputs["&amp;this.Year&amp;"]"), MATCH(X$5, INDIRECT($C19&amp;".Outputs[Vector]"), 0)), 0)</f>
        <v>0</v>
      </c>
      <c r="Y19" s="307">
        <f ca="1">IFERROR(INDEX(INDIRECT($C19&amp;".Outputs["&amp;this.Year&amp;"]"), MATCH(Y$5, INDIRECT($C19&amp;".Outputs[Vector]"), 0)), 0)</f>
        <v>0</v>
      </c>
      <c r="Z19" s="307">
        <f ca="1">IFERROR(INDEX(INDIRECT($C19&amp;".Outputs["&amp;this.Year&amp;"]"), MATCH(Z$5, INDIRECT($C19&amp;".Outputs[Vector]"), 0)), 0)</f>
        <v>0</v>
      </c>
      <c r="AA19" s="307">
        <f t="shared" ca="1" si="51"/>
        <v>0</v>
      </c>
      <c r="AB19" s="307">
        <f t="shared" ca="1" si="51"/>
        <v>0</v>
      </c>
      <c r="AC19" s="307">
        <f t="shared" ca="1" si="51"/>
        <v>0</v>
      </c>
      <c r="AD19" s="307">
        <f t="shared" ca="1" si="51"/>
        <v>0</v>
      </c>
      <c r="AE19" s="307">
        <f t="shared" ca="1" si="51"/>
        <v>0</v>
      </c>
      <c r="AF19" s="307">
        <f t="shared" ca="1" si="51"/>
        <v>0</v>
      </c>
      <c r="AG19" s="307">
        <f t="shared" ca="1" si="51"/>
        <v>0</v>
      </c>
      <c r="AH19" s="306">
        <f t="shared" ca="1" si="5"/>
        <v>-188.61389831339486</v>
      </c>
      <c r="AJ19" s="315">
        <f t="shared" ref="AJ19:AR19" ca="1" si="52">IFERROR(INDEX(INDIRECT($C19&amp;".Outputs["&amp;this.Year&amp;"]"), MATCH(AJ$5, INDIRECT($C19&amp;".Outputs[Vector]"), 0)), 0)</f>
        <v>0</v>
      </c>
      <c r="AK19" s="315">
        <f t="shared" ca="1" si="52"/>
        <v>0</v>
      </c>
      <c r="AL19" s="315">
        <f t="shared" ca="1" si="52"/>
        <v>0</v>
      </c>
      <c r="AM19" s="315">
        <f t="shared" ca="1" si="52"/>
        <v>0</v>
      </c>
      <c r="AN19" s="315">
        <f t="shared" ca="1" si="52"/>
        <v>0</v>
      </c>
      <c r="AO19" s="315">
        <f t="shared" ca="1" si="52"/>
        <v>0</v>
      </c>
      <c r="AP19" s="315">
        <f t="shared" ca="1" si="52"/>
        <v>0</v>
      </c>
      <c r="AQ19" s="315">
        <f t="shared" ca="1" si="52"/>
        <v>0</v>
      </c>
      <c r="AR19" s="315">
        <f t="shared" ca="1" si="52"/>
        <v>0</v>
      </c>
      <c r="AS19" s="315">
        <f t="shared" ca="1" si="51"/>
        <v>0</v>
      </c>
      <c r="AT19" s="315">
        <f t="shared" ca="1" si="51"/>
        <v>0</v>
      </c>
      <c r="AU19" s="315">
        <f t="shared" ca="1" si="51"/>
        <v>0</v>
      </c>
      <c r="AV19" s="315">
        <f t="shared" ca="1" si="51"/>
        <v>0</v>
      </c>
      <c r="AW19" s="315">
        <f t="shared" ca="1" si="51"/>
        <v>0</v>
      </c>
      <c r="AX19" s="315">
        <f t="shared" ca="1" si="51"/>
        <v>0</v>
      </c>
      <c r="AY19" s="293">
        <f t="shared" ca="1" si="8"/>
        <v>0</v>
      </c>
      <c r="BA19" s="311">
        <f ca="1">IFERROR(INDEX(INDIRECT($C19&amp;".Outputs["&amp;this.Year&amp;"]"), MATCH(BA$5, INDIRECT($C19&amp;".Outputs[Vector]"), 0)), 0)</f>
        <v>0</v>
      </c>
      <c r="BB19" s="311">
        <f ca="1">IFERROR(INDEX(INDIRECT($C19&amp;".Outputs["&amp;this.Year&amp;"]"), MATCH(BB$5, INDIRECT($C19&amp;".Outputs[Vector]"), 0)), 0)</f>
        <v>0</v>
      </c>
      <c r="BC19" s="310">
        <f t="shared" ca="1" si="10"/>
        <v>0</v>
      </c>
      <c r="BE19" s="135">
        <f t="shared" ca="1" si="11"/>
        <v>2.8421709430404007E-14</v>
      </c>
      <c r="BF19" s="135"/>
      <c r="BG19" s="1428"/>
      <c r="BH19" s="544">
        <f t="shared" ref="BH19:CU19" ca="1" si="53">IFERROR(SUMIFS(INDIRECT($C19&amp;".Emissions["&amp;this.Year&amp;"]"), INDIRECT($C19&amp;".Emissions[GHG]"), BH$6, INDIRECT($C19&amp;".Emissions[IPCC Sector]"), BH$5),0)</f>
        <v>28.92545021754561</v>
      </c>
      <c r="BI19" s="545">
        <f t="shared" ca="1" si="53"/>
        <v>5.2193740124750462E-2</v>
      </c>
      <c r="BJ19" s="545">
        <f t="shared" ca="1" si="53"/>
        <v>0.22861501923408484</v>
      </c>
      <c r="BK19" s="545">
        <f t="shared" ca="1" si="53"/>
        <v>0</v>
      </c>
      <c r="BL19" s="545">
        <f t="shared" ca="1" si="53"/>
        <v>0</v>
      </c>
      <c r="BM19" s="545">
        <f t="shared" ca="1" si="53"/>
        <v>0</v>
      </c>
      <c r="BN19" s="545">
        <f t="shared" ca="1" si="53"/>
        <v>0</v>
      </c>
      <c r="BO19" s="545">
        <f t="shared" ca="1" si="53"/>
        <v>0</v>
      </c>
      <c r="BP19" s="545">
        <f t="shared" ca="1" si="53"/>
        <v>14.39565925511863</v>
      </c>
      <c r="BQ19" s="545">
        <f t="shared" ca="1" si="53"/>
        <v>0.11288744235152412</v>
      </c>
      <c r="BR19" s="545">
        <f t="shared" ca="1" si="53"/>
        <v>2.7624692105907238</v>
      </c>
      <c r="BS19" s="545">
        <f t="shared" ca="1" si="53"/>
        <v>10.620296151887526</v>
      </c>
      <c r="BT19" s="545">
        <f t="shared" ca="1" si="53"/>
        <v>0</v>
      </c>
      <c r="BU19" s="545">
        <f t="shared" ca="1" si="53"/>
        <v>0</v>
      </c>
      <c r="BV19" s="545">
        <f t="shared" ca="1" si="53"/>
        <v>0</v>
      </c>
      <c r="BW19" s="545">
        <f t="shared" ca="1" si="53"/>
        <v>0</v>
      </c>
      <c r="BX19" s="545">
        <f t="shared" ca="1" si="53"/>
        <v>0</v>
      </c>
      <c r="BY19" s="545">
        <f t="shared" ca="1" si="53"/>
        <v>0</v>
      </c>
      <c r="BZ19" s="545">
        <f t="shared" ca="1" si="53"/>
        <v>0</v>
      </c>
      <c r="CA19" s="545">
        <f t="shared" ca="1" si="53"/>
        <v>0</v>
      </c>
      <c r="CB19" s="545">
        <f t="shared" ca="1" si="53"/>
        <v>0</v>
      </c>
      <c r="CC19" s="545">
        <f t="shared" ca="1" si="53"/>
        <v>0</v>
      </c>
      <c r="CD19" s="545">
        <f t="shared" ca="1" si="53"/>
        <v>0</v>
      </c>
      <c r="CE19" s="545">
        <f t="shared" ca="1" si="53"/>
        <v>0</v>
      </c>
      <c r="CF19" s="545">
        <f t="shared" ca="1" si="53"/>
        <v>0</v>
      </c>
      <c r="CG19" s="545">
        <f t="shared" ca="1" si="53"/>
        <v>0</v>
      </c>
      <c r="CH19" s="545">
        <f t="shared" ca="1" si="53"/>
        <v>0</v>
      </c>
      <c r="CI19" s="545">
        <f t="shared" ca="1" si="53"/>
        <v>0</v>
      </c>
      <c r="CJ19" s="545">
        <f t="shared" ca="1" si="53"/>
        <v>0</v>
      </c>
      <c r="CK19" s="545">
        <f t="shared" ca="1" si="53"/>
        <v>0</v>
      </c>
      <c r="CL19" s="545">
        <f t="shared" ca="1" si="53"/>
        <v>0</v>
      </c>
      <c r="CM19" s="545">
        <f t="shared" ca="1" si="53"/>
        <v>0</v>
      </c>
      <c r="CN19" s="545">
        <f t="shared" ca="1" si="53"/>
        <v>0</v>
      </c>
      <c r="CO19" s="545">
        <f t="shared" ca="1" si="53"/>
        <v>0</v>
      </c>
      <c r="CP19" s="545">
        <f t="shared" ca="1" si="53"/>
        <v>0</v>
      </c>
      <c r="CQ19" s="545">
        <f t="shared" ca="1" si="53"/>
        <v>0</v>
      </c>
      <c r="CR19" s="545">
        <f t="shared" ca="1" si="53"/>
        <v>0</v>
      </c>
      <c r="CS19" s="545">
        <f t="shared" ca="1" si="53"/>
        <v>0</v>
      </c>
      <c r="CT19" s="545">
        <f t="shared" ca="1" si="53"/>
        <v>0</v>
      </c>
      <c r="CU19" s="545">
        <f t="shared" ca="1" si="53"/>
        <v>0</v>
      </c>
      <c r="CW19" s="151">
        <f t="shared" ca="1" si="37"/>
        <v>57.097571036852841</v>
      </c>
    </row>
    <row r="20" spans="1:101" s="84" customFormat="1" ht="15.75" x14ac:dyDescent="0.2">
      <c r="A20" s="18"/>
      <c r="B20" s="89"/>
      <c r="C20" s="85" t="s">
        <v>231</v>
      </c>
      <c r="D20" s="57" t="str">
        <f>INDEX(Workstreams[Workstream], MATCH($C20, Workstreams[Code], 0))</f>
        <v>Industry</v>
      </c>
      <c r="E20" s="53"/>
      <c r="G20" s="300">
        <f ca="1">G19</f>
        <v>0</v>
      </c>
      <c r="H20" s="300">
        <f t="shared" ref="H20:O20" ca="1" si="54">H19</f>
        <v>0</v>
      </c>
      <c r="I20" s="300">
        <f ca="1">I19</f>
        <v>0</v>
      </c>
      <c r="J20" s="300">
        <f t="shared" ca="1" si="54"/>
        <v>188.61389831339488</v>
      </c>
      <c r="K20" s="300">
        <f t="shared" ca="1" si="54"/>
        <v>0</v>
      </c>
      <c r="L20" s="300">
        <f t="shared" ca="1" si="54"/>
        <v>0</v>
      </c>
      <c r="M20" s="300">
        <f t="shared" ca="1" si="54"/>
        <v>0</v>
      </c>
      <c r="N20" s="300">
        <f t="shared" ca="1" si="54"/>
        <v>0</v>
      </c>
      <c r="O20" s="300">
        <f t="shared" ca="1" si="54"/>
        <v>0</v>
      </c>
      <c r="P20" s="300">
        <f t="shared" ca="1" si="1"/>
        <v>188.61389831339488</v>
      </c>
      <c r="R20" s="257">
        <f t="shared" ref="R20:AG20" ca="1" si="55">R19</f>
        <v>-40.740602035693293</v>
      </c>
      <c r="S20" s="257">
        <f t="shared" ca="1" si="55"/>
        <v>0</v>
      </c>
      <c r="T20" s="257">
        <f t="shared" ca="1" si="55"/>
        <v>-5.6584169494018459</v>
      </c>
      <c r="U20" s="257">
        <f t="shared" ca="1" si="55"/>
        <v>-39.043076950872738</v>
      </c>
      <c r="V20" s="257">
        <f t="shared" ca="1" si="55"/>
        <v>-94.684176953324226</v>
      </c>
      <c r="W20" s="257">
        <f ca="1">W19</f>
        <v>-8.4876254241027702</v>
      </c>
      <c r="X20" s="257">
        <f t="shared" ca="1" si="55"/>
        <v>0</v>
      </c>
      <c r="Y20" s="257">
        <f t="shared" ca="1" si="55"/>
        <v>0</v>
      </c>
      <c r="Z20" s="257">
        <f t="shared" ca="1" si="55"/>
        <v>0</v>
      </c>
      <c r="AA20" s="257">
        <f t="shared" ca="1" si="55"/>
        <v>0</v>
      </c>
      <c r="AB20" s="257">
        <f t="shared" ca="1" si="55"/>
        <v>0</v>
      </c>
      <c r="AC20" s="257">
        <f t="shared" ca="1" si="55"/>
        <v>0</v>
      </c>
      <c r="AD20" s="257">
        <f t="shared" ca="1" si="55"/>
        <v>0</v>
      </c>
      <c r="AE20" s="257">
        <f t="shared" ca="1" si="55"/>
        <v>0</v>
      </c>
      <c r="AF20" s="257">
        <f t="shared" ca="1" si="55"/>
        <v>0</v>
      </c>
      <c r="AG20" s="257">
        <f t="shared" ca="1" si="55"/>
        <v>0</v>
      </c>
      <c r="AH20" s="257">
        <f t="shared" ca="1" si="5"/>
        <v>-188.61389831339486</v>
      </c>
      <c r="AJ20" s="263">
        <f t="shared" ref="AJ20:AX20" ca="1" si="56">AJ19</f>
        <v>0</v>
      </c>
      <c r="AK20" s="263">
        <f t="shared" ca="1" si="56"/>
        <v>0</v>
      </c>
      <c r="AL20" s="263">
        <f t="shared" ca="1" si="56"/>
        <v>0</v>
      </c>
      <c r="AM20" s="263">
        <f t="shared" ca="1" si="56"/>
        <v>0</v>
      </c>
      <c r="AN20" s="263">
        <f t="shared" ca="1" si="56"/>
        <v>0</v>
      </c>
      <c r="AO20" s="263">
        <f t="shared" ca="1" si="56"/>
        <v>0</v>
      </c>
      <c r="AP20" s="263">
        <f t="shared" ca="1" si="56"/>
        <v>0</v>
      </c>
      <c r="AQ20" s="263">
        <f t="shared" ca="1" si="56"/>
        <v>0</v>
      </c>
      <c r="AR20" s="263">
        <f t="shared" ca="1" si="56"/>
        <v>0</v>
      </c>
      <c r="AS20" s="263">
        <f t="shared" ca="1" si="56"/>
        <v>0</v>
      </c>
      <c r="AT20" s="263">
        <f t="shared" ca="1" si="56"/>
        <v>0</v>
      </c>
      <c r="AU20" s="263">
        <f t="shared" ca="1" si="56"/>
        <v>0</v>
      </c>
      <c r="AV20" s="263">
        <f t="shared" ca="1" si="56"/>
        <v>0</v>
      </c>
      <c r="AW20" s="263">
        <f t="shared" ca="1" si="56"/>
        <v>0</v>
      </c>
      <c r="AX20" s="263">
        <f t="shared" ca="1" si="56"/>
        <v>0</v>
      </c>
      <c r="AY20" s="263">
        <f t="shared" ca="1" si="8"/>
        <v>0</v>
      </c>
      <c r="BA20" s="277">
        <f ca="1">BA19</f>
        <v>0</v>
      </c>
      <c r="BB20" s="277">
        <f ca="1">BB19</f>
        <v>0</v>
      </c>
      <c r="BC20" s="277">
        <f t="shared" ca="1" si="10"/>
        <v>0</v>
      </c>
      <c r="BE20" s="55">
        <f t="shared" ca="1" si="11"/>
        <v>2.8421709430404007E-14</v>
      </c>
      <c r="BF20" s="55"/>
      <c r="BG20" s="1428"/>
      <c r="BH20" s="542">
        <f t="shared" ref="BH20:CU20" ca="1" si="57">BH19</f>
        <v>28.92545021754561</v>
      </c>
      <c r="BI20" s="542">
        <f t="shared" ca="1" si="57"/>
        <v>5.2193740124750462E-2</v>
      </c>
      <c r="BJ20" s="542">
        <f t="shared" ca="1" si="57"/>
        <v>0.22861501923408484</v>
      </c>
      <c r="BK20" s="542">
        <f t="shared" ca="1" si="57"/>
        <v>0</v>
      </c>
      <c r="BL20" s="542">
        <f t="shared" ca="1" si="57"/>
        <v>0</v>
      </c>
      <c r="BM20" s="542">
        <f t="shared" ca="1" si="57"/>
        <v>0</v>
      </c>
      <c r="BN20" s="542">
        <f t="shared" ca="1" si="57"/>
        <v>0</v>
      </c>
      <c r="BO20" s="542">
        <f t="shared" ca="1" si="57"/>
        <v>0</v>
      </c>
      <c r="BP20" s="542">
        <f t="shared" ca="1" si="57"/>
        <v>14.39565925511863</v>
      </c>
      <c r="BQ20" s="542">
        <f t="shared" ca="1" si="57"/>
        <v>0.11288744235152412</v>
      </c>
      <c r="BR20" s="542">
        <f t="shared" ca="1" si="57"/>
        <v>2.7624692105907238</v>
      </c>
      <c r="BS20" s="542">
        <f t="shared" ca="1" si="57"/>
        <v>10.620296151887526</v>
      </c>
      <c r="BT20" s="542">
        <f t="shared" ca="1" si="57"/>
        <v>0</v>
      </c>
      <c r="BU20" s="542">
        <f t="shared" ca="1" si="57"/>
        <v>0</v>
      </c>
      <c r="BV20" s="542">
        <f t="shared" ca="1" si="57"/>
        <v>0</v>
      </c>
      <c r="BW20" s="542">
        <f t="shared" ca="1" si="57"/>
        <v>0</v>
      </c>
      <c r="BX20" s="542">
        <f t="shared" ca="1" si="57"/>
        <v>0</v>
      </c>
      <c r="BY20" s="542">
        <f t="shared" ca="1" si="57"/>
        <v>0</v>
      </c>
      <c r="BZ20" s="542">
        <f t="shared" ca="1" si="57"/>
        <v>0</v>
      </c>
      <c r="CA20" s="542">
        <f t="shared" ca="1" si="57"/>
        <v>0</v>
      </c>
      <c r="CB20" s="542">
        <f t="shared" ca="1" si="57"/>
        <v>0</v>
      </c>
      <c r="CC20" s="542">
        <f t="shared" ca="1" si="57"/>
        <v>0</v>
      </c>
      <c r="CD20" s="542">
        <f t="shared" ca="1" si="57"/>
        <v>0</v>
      </c>
      <c r="CE20" s="542">
        <f t="shared" ca="1" si="57"/>
        <v>0</v>
      </c>
      <c r="CF20" s="542">
        <f t="shared" ca="1" si="57"/>
        <v>0</v>
      </c>
      <c r="CG20" s="542">
        <f t="shared" ca="1" si="57"/>
        <v>0</v>
      </c>
      <c r="CH20" s="542">
        <f t="shared" ca="1" si="57"/>
        <v>0</v>
      </c>
      <c r="CI20" s="542">
        <f t="shared" ca="1" si="57"/>
        <v>0</v>
      </c>
      <c r="CJ20" s="542">
        <f t="shared" ca="1" si="57"/>
        <v>0</v>
      </c>
      <c r="CK20" s="542">
        <f t="shared" ca="1" si="57"/>
        <v>0</v>
      </c>
      <c r="CL20" s="542">
        <f t="shared" ca="1" si="57"/>
        <v>0</v>
      </c>
      <c r="CM20" s="542">
        <f t="shared" ca="1" si="57"/>
        <v>0</v>
      </c>
      <c r="CN20" s="542">
        <f t="shared" ca="1" si="57"/>
        <v>0</v>
      </c>
      <c r="CO20" s="542">
        <f t="shared" ca="1" si="57"/>
        <v>0</v>
      </c>
      <c r="CP20" s="542">
        <f t="shared" ca="1" si="57"/>
        <v>0</v>
      </c>
      <c r="CQ20" s="542">
        <f t="shared" ca="1" si="57"/>
        <v>0</v>
      </c>
      <c r="CR20" s="542">
        <f t="shared" ca="1" si="57"/>
        <v>0</v>
      </c>
      <c r="CS20" s="542">
        <f t="shared" ca="1" si="57"/>
        <v>0</v>
      </c>
      <c r="CT20" s="542">
        <f t="shared" ca="1" si="57"/>
        <v>0</v>
      </c>
      <c r="CU20" s="542">
        <f t="shared" ca="1" si="57"/>
        <v>0</v>
      </c>
      <c r="CW20" s="151">
        <f t="shared" ca="1" si="37"/>
        <v>57.097571036852841</v>
      </c>
    </row>
    <row r="21" spans="1:101" s="84" customFormat="1" ht="12.75" customHeight="1" outlineLevel="1" x14ac:dyDescent="0.2">
      <c r="A21" s="18"/>
      <c r="B21" s="18"/>
      <c r="C21" s="87"/>
      <c r="D21" s="53"/>
      <c r="E21" s="53"/>
      <c r="G21" s="300"/>
      <c r="H21" s="300"/>
      <c r="I21" s="300"/>
      <c r="J21" s="300"/>
      <c r="K21" s="300"/>
      <c r="L21" s="300"/>
      <c r="M21" s="300"/>
      <c r="N21" s="300"/>
      <c r="O21" s="300"/>
      <c r="P21" s="300">
        <f t="shared" si="1"/>
        <v>0</v>
      </c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>
        <f t="shared" si="5"/>
        <v>0</v>
      </c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>
        <f t="shared" si="8"/>
        <v>0</v>
      </c>
      <c r="BA21" s="277"/>
      <c r="BB21" s="277"/>
      <c r="BC21" s="277">
        <f t="shared" si="10"/>
        <v>0</v>
      </c>
      <c r="BE21" s="55">
        <f t="shared" si="11"/>
        <v>0</v>
      </c>
      <c r="BF21" s="55"/>
      <c r="BG21" s="18"/>
      <c r="BH21" s="542"/>
      <c r="BI21" s="542"/>
      <c r="BJ21" s="542"/>
      <c r="BK21" s="542"/>
      <c r="BL21" s="542"/>
      <c r="BM21" s="542"/>
      <c r="BN21" s="542"/>
      <c r="BO21" s="542"/>
      <c r="BP21" s="542"/>
      <c r="BQ21" s="542"/>
      <c r="BR21" s="542"/>
      <c r="BS21" s="542"/>
      <c r="BT21" s="542"/>
      <c r="BU21" s="542"/>
      <c r="BV21" s="542"/>
      <c r="BW21" s="542"/>
      <c r="BX21" s="542"/>
      <c r="BY21" s="542"/>
      <c r="BZ21" s="542"/>
      <c r="CA21" s="542"/>
      <c r="CB21" s="542"/>
      <c r="CC21" s="542"/>
      <c r="CD21" s="542"/>
      <c r="CE21" s="542"/>
      <c r="CF21" s="542"/>
      <c r="CG21" s="542"/>
      <c r="CH21" s="542"/>
      <c r="CI21" s="542"/>
      <c r="CJ21" s="542"/>
      <c r="CK21" s="542"/>
      <c r="CL21" s="542"/>
      <c r="CM21" s="542"/>
      <c r="CN21" s="542"/>
      <c r="CO21" s="542"/>
      <c r="CP21" s="542"/>
      <c r="CQ21" s="542"/>
      <c r="CR21" s="542"/>
      <c r="CS21" s="542"/>
      <c r="CT21" s="542"/>
      <c r="CU21" s="542"/>
      <c r="CW21" s="151">
        <f t="shared" si="37"/>
        <v>0</v>
      </c>
    </row>
    <row r="22" spans="1:101" s="84" customFormat="1" ht="12.75" customHeight="1" outlineLevel="1" x14ac:dyDescent="0.2">
      <c r="A22" s="543"/>
      <c r="B22" s="543"/>
      <c r="C22" s="86" t="s">
        <v>362</v>
      </c>
      <c r="D22" s="63" t="str">
        <f>INDEX(Modules[Module], MATCH($C22, Modules[Code], 0))</f>
        <v>Domestic passenger transport</v>
      </c>
      <c r="E22" s="291"/>
      <c r="G22" s="297">
        <f t="shared" ref="G22:O23" ca="1" si="58">IFERROR(INDEX(INDIRECT($C22&amp;".Outputs["&amp;this.Year&amp;"]"), MATCH(G$5, INDIRECT($C22&amp;".Outputs[Vector]"), 0)), 0)</f>
        <v>0</v>
      </c>
      <c r="H22" s="297">
        <f t="shared" ca="1" si="58"/>
        <v>0</v>
      </c>
      <c r="I22" s="297">
        <f t="shared" ca="1" si="58"/>
        <v>0</v>
      </c>
      <c r="J22" s="297">
        <f t="shared" ca="1" si="58"/>
        <v>0</v>
      </c>
      <c r="K22" s="297">
        <f t="shared" ca="1" si="58"/>
        <v>101.27644733735872</v>
      </c>
      <c r="L22" s="297">
        <f t="shared" ca="1" si="58"/>
        <v>49.80341082087979</v>
      </c>
      <c r="M22" s="297">
        <f t="shared" ca="1" si="58"/>
        <v>0</v>
      </c>
      <c r="N22" s="297">
        <f t="shared" ca="1" si="58"/>
        <v>0</v>
      </c>
      <c r="O22" s="297">
        <f t="shared" ca="1" si="58"/>
        <v>0</v>
      </c>
      <c r="P22" s="297">
        <f t="shared" ca="1" si="1"/>
        <v>151.07985815823849</v>
      </c>
      <c r="R22" s="304">
        <f t="shared" ref="R22:AX23" ca="1" si="59">IFERROR(INDEX(INDIRECT($C22&amp;".Outputs["&amp;this.Year&amp;"]"), MATCH(R$5, INDIRECT($C22&amp;".Outputs[Vector]"), 0)), 0)</f>
        <v>-31.999689089751769</v>
      </c>
      <c r="S22" s="304">
        <f t="shared" ca="1" si="59"/>
        <v>0</v>
      </c>
      <c r="T22" s="304">
        <f t="shared" ca="1" si="59"/>
        <v>0</v>
      </c>
      <c r="U22" s="304">
        <f t="shared" ca="1" si="59"/>
        <v>-99.455455361336249</v>
      </c>
      <c r="V22" s="304">
        <f t="shared" ca="1" si="59"/>
        <v>-19.624713707150494</v>
      </c>
      <c r="W22" s="304">
        <f t="shared" ca="1" si="59"/>
        <v>0</v>
      </c>
      <c r="X22" s="304">
        <f t="shared" ref="X22:Z23" ca="1" si="60">IFERROR(INDEX(INDIRECT($C22&amp;".Outputs["&amp;this.Year&amp;"]"), MATCH(X$5, INDIRECT($C22&amp;".Outputs[Vector]"), 0)), 0)</f>
        <v>0</v>
      </c>
      <c r="Y22" s="304">
        <f t="shared" ca="1" si="60"/>
        <v>0</v>
      </c>
      <c r="Z22" s="304">
        <f t="shared" ca="1" si="60"/>
        <v>0</v>
      </c>
      <c r="AA22" s="304">
        <f t="shared" ca="1" si="59"/>
        <v>0</v>
      </c>
      <c r="AB22" s="304">
        <f t="shared" ca="1" si="59"/>
        <v>0</v>
      </c>
      <c r="AC22" s="304">
        <f t="shared" ca="1" si="59"/>
        <v>0</v>
      </c>
      <c r="AD22" s="304">
        <f t="shared" ca="1" si="59"/>
        <v>0</v>
      </c>
      <c r="AE22" s="304">
        <f t="shared" ca="1" si="59"/>
        <v>0</v>
      </c>
      <c r="AF22" s="304">
        <f t="shared" ca="1" si="59"/>
        <v>0</v>
      </c>
      <c r="AG22" s="304">
        <f t="shared" ca="1" si="59"/>
        <v>0</v>
      </c>
      <c r="AH22" s="305">
        <f t="shared" ca="1" si="5"/>
        <v>-151.07985815823852</v>
      </c>
      <c r="AJ22" s="312">
        <f t="shared" ref="AJ22:AR23" ca="1" si="61">IFERROR(INDEX(INDIRECT($C22&amp;".Outputs["&amp;this.Year&amp;"]"), MATCH(AJ$5, INDIRECT($C22&amp;".Outputs[Vector]"), 0)), 0)</f>
        <v>0</v>
      </c>
      <c r="AK22" s="312">
        <f t="shared" ca="1" si="61"/>
        <v>0</v>
      </c>
      <c r="AL22" s="312">
        <f t="shared" ca="1" si="61"/>
        <v>0</v>
      </c>
      <c r="AM22" s="312">
        <f t="shared" ca="1" si="61"/>
        <v>0</v>
      </c>
      <c r="AN22" s="312">
        <f t="shared" ca="1" si="61"/>
        <v>0</v>
      </c>
      <c r="AO22" s="312">
        <f t="shared" ca="1" si="61"/>
        <v>0</v>
      </c>
      <c r="AP22" s="312">
        <f t="shared" ca="1" si="61"/>
        <v>0</v>
      </c>
      <c r="AQ22" s="312">
        <f t="shared" ca="1" si="61"/>
        <v>0</v>
      </c>
      <c r="AR22" s="312">
        <f t="shared" ca="1" si="61"/>
        <v>0</v>
      </c>
      <c r="AS22" s="312">
        <f t="shared" ca="1" si="59"/>
        <v>0</v>
      </c>
      <c r="AT22" s="312">
        <f t="shared" ca="1" si="59"/>
        <v>0</v>
      </c>
      <c r="AU22" s="312">
        <f t="shared" ca="1" si="59"/>
        <v>0</v>
      </c>
      <c r="AV22" s="312">
        <f t="shared" ca="1" si="59"/>
        <v>0</v>
      </c>
      <c r="AW22" s="312">
        <f t="shared" ca="1" si="59"/>
        <v>0</v>
      </c>
      <c r="AX22" s="312">
        <f t="shared" ca="1" si="59"/>
        <v>0</v>
      </c>
      <c r="AY22" s="266">
        <f t="shared" ca="1" si="8"/>
        <v>0</v>
      </c>
      <c r="BA22" s="308">
        <f t="shared" ref="BA22:BB23" ca="1" si="62">IFERROR(INDEX(INDIRECT($C22&amp;".Outputs["&amp;this.Year&amp;"]"), MATCH(BA$5, INDIRECT($C22&amp;".Outputs[Vector]"), 0)), 0)</f>
        <v>0</v>
      </c>
      <c r="BB22" s="308">
        <f t="shared" ca="1" si="62"/>
        <v>0</v>
      </c>
      <c r="BC22" s="309">
        <f t="shared" ca="1" si="10"/>
        <v>0</v>
      </c>
      <c r="BE22" s="135">
        <f t="shared" ca="1" si="11"/>
        <v>-2.8421709430404007E-14</v>
      </c>
      <c r="BF22" s="135"/>
      <c r="BG22" s="1428"/>
      <c r="BH22" s="541">
        <f t="shared" ref="BH22:BQ23" ca="1" si="63">IFERROR(SUMIFS(INDIRECT($C22&amp;".Emissions["&amp;this.Year&amp;"]"), INDIRECT($C22&amp;".Emissions[GHG]"), BH$6, INDIRECT($C22&amp;".Emissions[IPCC Sector]"), BH$5),0)</f>
        <v>24.863863840334062</v>
      </c>
      <c r="BI22" s="542">
        <f t="shared" ca="1" si="63"/>
        <v>3.0955412324868415E-2</v>
      </c>
      <c r="BJ22" s="542">
        <f t="shared" ca="1" si="63"/>
        <v>0.44735185879808176</v>
      </c>
      <c r="BK22" s="542">
        <f t="shared" ca="1" si="63"/>
        <v>0</v>
      </c>
      <c r="BL22" s="542">
        <f t="shared" ca="1" si="63"/>
        <v>0</v>
      </c>
      <c r="BM22" s="542">
        <f t="shared" ca="1" si="63"/>
        <v>0</v>
      </c>
      <c r="BN22" s="542">
        <f t="shared" ca="1" si="63"/>
        <v>0</v>
      </c>
      <c r="BO22" s="542">
        <f t="shared" ca="1" si="63"/>
        <v>0</v>
      </c>
      <c r="BP22" s="542">
        <f t="shared" ca="1" si="63"/>
        <v>0</v>
      </c>
      <c r="BQ22" s="542">
        <f t="shared" ca="1" si="63"/>
        <v>0</v>
      </c>
      <c r="BR22" s="542">
        <f t="shared" ref="BR22:CA23" ca="1" si="64">IFERROR(SUMIFS(INDIRECT($C22&amp;".Emissions["&amp;this.Year&amp;"]"), INDIRECT($C22&amp;".Emissions[GHG]"), BR$6, INDIRECT($C22&amp;".Emissions[IPCC Sector]"), BR$5),0)</f>
        <v>0</v>
      </c>
      <c r="BS22" s="542">
        <f t="shared" ca="1" si="64"/>
        <v>0</v>
      </c>
      <c r="BT22" s="542">
        <f t="shared" ca="1" si="64"/>
        <v>0</v>
      </c>
      <c r="BU22" s="542">
        <f t="shared" ca="1" si="64"/>
        <v>0</v>
      </c>
      <c r="BV22" s="542">
        <f t="shared" ca="1" si="64"/>
        <v>0</v>
      </c>
      <c r="BW22" s="542">
        <f t="shared" ca="1" si="64"/>
        <v>0</v>
      </c>
      <c r="BX22" s="542">
        <f t="shared" ca="1" si="64"/>
        <v>0</v>
      </c>
      <c r="BY22" s="542">
        <f t="shared" ca="1" si="64"/>
        <v>0</v>
      </c>
      <c r="BZ22" s="542">
        <f t="shared" ca="1" si="64"/>
        <v>0</v>
      </c>
      <c r="CA22" s="542">
        <f t="shared" ca="1" si="64"/>
        <v>0</v>
      </c>
      <c r="CB22" s="542">
        <f t="shared" ref="CB22:CK23" ca="1" si="65">IFERROR(SUMIFS(INDIRECT($C22&amp;".Emissions["&amp;this.Year&amp;"]"), INDIRECT($C22&amp;".Emissions[GHG]"), CB$6, INDIRECT($C22&amp;".Emissions[IPCC Sector]"), CB$5),0)</f>
        <v>0</v>
      </c>
      <c r="CC22" s="542">
        <f t="shared" ca="1" si="65"/>
        <v>0</v>
      </c>
      <c r="CD22" s="542">
        <f t="shared" ca="1" si="65"/>
        <v>0</v>
      </c>
      <c r="CE22" s="542">
        <f t="shared" ca="1" si="65"/>
        <v>0</v>
      </c>
      <c r="CF22" s="542">
        <f t="shared" ca="1" si="65"/>
        <v>0</v>
      </c>
      <c r="CG22" s="542">
        <f t="shared" ca="1" si="65"/>
        <v>0</v>
      </c>
      <c r="CH22" s="542">
        <f t="shared" ca="1" si="65"/>
        <v>0</v>
      </c>
      <c r="CI22" s="542">
        <f t="shared" ca="1" si="65"/>
        <v>0</v>
      </c>
      <c r="CJ22" s="542">
        <f t="shared" ca="1" si="65"/>
        <v>0</v>
      </c>
      <c r="CK22" s="542">
        <f t="shared" ca="1" si="65"/>
        <v>0</v>
      </c>
      <c r="CL22" s="542">
        <f t="shared" ref="CL22:CU23" ca="1" si="66">IFERROR(SUMIFS(INDIRECT($C22&amp;".Emissions["&amp;this.Year&amp;"]"), INDIRECT($C22&amp;".Emissions[GHG]"), CL$6, INDIRECT($C22&amp;".Emissions[IPCC Sector]"), CL$5),0)</f>
        <v>0</v>
      </c>
      <c r="CM22" s="542">
        <f t="shared" ca="1" si="66"/>
        <v>0</v>
      </c>
      <c r="CN22" s="542">
        <f t="shared" ca="1" si="66"/>
        <v>0</v>
      </c>
      <c r="CO22" s="542">
        <f t="shared" ca="1" si="66"/>
        <v>0</v>
      </c>
      <c r="CP22" s="542">
        <f t="shared" ca="1" si="66"/>
        <v>0</v>
      </c>
      <c r="CQ22" s="542">
        <f t="shared" ca="1" si="66"/>
        <v>0</v>
      </c>
      <c r="CR22" s="542">
        <f t="shared" ca="1" si="66"/>
        <v>0</v>
      </c>
      <c r="CS22" s="542">
        <f t="shared" ca="1" si="66"/>
        <v>0</v>
      </c>
      <c r="CT22" s="542">
        <f t="shared" ca="1" si="66"/>
        <v>0</v>
      </c>
      <c r="CU22" s="542">
        <f t="shared" ca="1" si="66"/>
        <v>0</v>
      </c>
      <c r="CW22" s="151">
        <f t="shared" ca="1" si="37"/>
        <v>25.342171111457013</v>
      </c>
    </row>
    <row r="23" spans="1:101" s="84" customFormat="1" ht="12.75" customHeight="1" outlineLevel="1" x14ac:dyDescent="0.2">
      <c r="A23" s="543"/>
      <c r="B23" s="543"/>
      <c r="C23" s="86" t="s">
        <v>375</v>
      </c>
      <c r="D23" s="63" t="str">
        <f>INDEX(Modules[Module], MATCH($C23, Modules[Code], 0))</f>
        <v>Domestic freight</v>
      </c>
      <c r="E23" s="291"/>
      <c r="G23" s="297">
        <f t="shared" ca="1" si="58"/>
        <v>0</v>
      </c>
      <c r="H23" s="297">
        <f t="shared" ca="1" si="58"/>
        <v>0</v>
      </c>
      <c r="I23" s="297">
        <f t="shared" ca="1" si="58"/>
        <v>0</v>
      </c>
      <c r="J23" s="297">
        <f t="shared" ca="1" si="58"/>
        <v>0</v>
      </c>
      <c r="K23" s="297">
        <f t="shared" ca="1" si="58"/>
        <v>14.431833907370114</v>
      </c>
      <c r="L23" s="297">
        <f t="shared" ca="1" si="58"/>
        <v>13.354709404956854</v>
      </c>
      <c r="M23" s="297">
        <f t="shared" ca="1" si="58"/>
        <v>0</v>
      </c>
      <c r="N23" s="297">
        <f t="shared" ca="1" si="58"/>
        <v>9.6473158410225464E-13</v>
      </c>
      <c r="O23" s="297">
        <f t="shared" ca="1" si="58"/>
        <v>10.449356110119831</v>
      </c>
      <c r="P23" s="297">
        <f t="shared" ca="1" si="1"/>
        <v>38.235899422447766</v>
      </c>
      <c r="R23" s="304">
        <f t="shared" ca="1" si="59"/>
        <v>-18.371789724030052</v>
      </c>
      <c r="S23" s="304">
        <f t="shared" ca="1" si="59"/>
        <v>0</v>
      </c>
      <c r="T23" s="304">
        <f t="shared" ca="1" si="59"/>
        <v>0</v>
      </c>
      <c r="U23" s="304">
        <f t="shared" ca="1" si="59"/>
        <v>-18.13145059503006</v>
      </c>
      <c r="V23" s="304">
        <f t="shared" ca="1" si="59"/>
        <v>-1.7326591033876526</v>
      </c>
      <c r="W23" s="304">
        <f t="shared" ca="1" si="59"/>
        <v>0</v>
      </c>
      <c r="X23" s="304">
        <f t="shared" ca="1" si="60"/>
        <v>0</v>
      </c>
      <c r="Y23" s="304">
        <f t="shared" ca="1" si="60"/>
        <v>0</v>
      </c>
      <c r="Z23" s="304">
        <f t="shared" ca="1" si="60"/>
        <v>0</v>
      </c>
      <c r="AA23" s="304">
        <f t="shared" ca="1" si="59"/>
        <v>0</v>
      </c>
      <c r="AB23" s="304">
        <f t="shared" ca="1" si="59"/>
        <v>0</v>
      </c>
      <c r="AC23" s="304">
        <f t="shared" ca="1" si="59"/>
        <v>0</v>
      </c>
      <c r="AD23" s="304">
        <f t="shared" ca="1" si="59"/>
        <v>0</v>
      </c>
      <c r="AE23" s="304">
        <f t="shared" ca="1" si="59"/>
        <v>0</v>
      </c>
      <c r="AF23" s="304">
        <f t="shared" ca="1" si="59"/>
        <v>0</v>
      </c>
      <c r="AG23" s="304">
        <f t="shared" ca="1" si="59"/>
        <v>0</v>
      </c>
      <c r="AH23" s="305">
        <f t="shared" ca="1" si="5"/>
        <v>-38.235899422447766</v>
      </c>
      <c r="AJ23" s="312">
        <f t="shared" ca="1" si="61"/>
        <v>0</v>
      </c>
      <c r="AK23" s="312">
        <f t="shared" ca="1" si="61"/>
        <v>0</v>
      </c>
      <c r="AL23" s="312">
        <f t="shared" ca="1" si="61"/>
        <v>0</v>
      </c>
      <c r="AM23" s="312">
        <f t="shared" ca="1" si="61"/>
        <v>0</v>
      </c>
      <c r="AN23" s="312">
        <f t="shared" ca="1" si="61"/>
        <v>0</v>
      </c>
      <c r="AO23" s="312">
        <f t="shared" ca="1" si="61"/>
        <v>0</v>
      </c>
      <c r="AP23" s="312">
        <f t="shared" ca="1" si="61"/>
        <v>0</v>
      </c>
      <c r="AQ23" s="312">
        <f t="shared" ca="1" si="61"/>
        <v>0</v>
      </c>
      <c r="AR23" s="312">
        <f t="shared" ca="1" si="61"/>
        <v>0</v>
      </c>
      <c r="AS23" s="312">
        <f t="shared" ca="1" si="59"/>
        <v>0</v>
      </c>
      <c r="AT23" s="312">
        <f t="shared" ca="1" si="59"/>
        <v>0</v>
      </c>
      <c r="AU23" s="312">
        <f t="shared" ca="1" si="59"/>
        <v>0</v>
      </c>
      <c r="AV23" s="312">
        <f t="shared" ca="1" si="59"/>
        <v>0</v>
      </c>
      <c r="AW23" s="312">
        <f t="shared" ca="1" si="59"/>
        <v>0</v>
      </c>
      <c r="AX23" s="312">
        <f t="shared" ca="1" si="59"/>
        <v>0</v>
      </c>
      <c r="AY23" s="266">
        <f t="shared" ca="1" si="8"/>
        <v>0</v>
      </c>
      <c r="BA23" s="308">
        <f t="shared" ca="1" si="62"/>
        <v>0</v>
      </c>
      <c r="BB23" s="308">
        <f t="shared" ca="1" si="62"/>
        <v>0</v>
      </c>
      <c r="BC23" s="309">
        <f t="shared" ca="1" si="10"/>
        <v>0</v>
      </c>
      <c r="BE23" s="135">
        <f t="shared" ca="1" si="11"/>
        <v>0</v>
      </c>
      <c r="BF23" s="135"/>
      <c r="BG23" s="1428"/>
      <c r="BH23" s="541">
        <f t="shared" ca="1" si="63"/>
        <v>4.9660274246044285</v>
      </c>
      <c r="BI23" s="542">
        <f t="shared" ca="1" si="63"/>
        <v>6.1826845389919526E-3</v>
      </c>
      <c r="BJ23" s="542">
        <f t="shared" ca="1" si="63"/>
        <v>8.9349009208907967E-2</v>
      </c>
      <c r="BK23" s="542">
        <f t="shared" ca="1" si="63"/>
        <v>0</v>
      </c>
      <c r="BL23" s="542">
        <f t="shared" ca="1" si="63"/>
        <v>0</v>
      </c>
      <c r="BM23" s="542">
        <f t="shared" ca="1" si="63"/>
        <v>0</v>
      </c>
      <c r="BN23" s="542">
        <f t="shared" ca="1" si="63"/>
        <v>0</v>
      </c>
      <c r="BO23" s="542">
        <f t="shared" ca="1" si="63"/>
        <v>0</v>
      </c>
      <c r="BP23" s="542">
        <f t="shared" ca="1" si="63"/>
        <v>0</v>
      </c>
      <c r="BQ23" s="542">
        <f t="shared" ca="1" si="63"/>
        <v>0</v>
      </c>
      <c r="BR23" s="542">
        <f t="shared" ca="1" si="64"/>
        <v>0</v>
      </c>
      <c r="BS23" s="542">
        <f t="shared" ca="1" si="64"/>
        <v>0</v>
      </c>
      <c r="BT23" s="542">
        <f t="shared" ca="1" si="64"/>
        <v>0</v>
      </c>
      <c r="BU23" s="542">
        <f t="shared" ca="1" si="64"/>
        <v>0</v>
      </c>
      <c r="BV23" s="542">
        <f t="shared" ca="1" si="64"/>
        <v>0</v>
      </c>
      <c r="BW23" s="542">
        <f t="shared" ca="1" si="64"/>
        <v>0</v>
      </c>
      <c r="BX23" s="542">
        <f t="shared" ca="1" si="64"/>
        <v>0</v>
      </c>
      <c r="BY23" s="542">
        <f t="shared" ca="1" si="64"/>
        <v>0</v>
      </c>
      <c r="BZ23" s="542">
        <f t="shared" ca="1" si="64"/>
        <v>0</v>
      </c>
      <c r="CA23" s="542">
        <f t="shared" ca="1" si="64"/>
        <v>0</v>
      </c>
      <c r="CB23" s="542">
        <f t="shared" ca="1" si="65"/>
        <v>0</v>
      </c>
      <c r="CC23" s="542">
        <f t="shared" ca="1" si="65"/>
        <v>0</v>
      </c>
      <c r="CD23" s="542">
        <f t="shared" ca="1" si="65"/>
        <v>0</v>
      </c>
      <c r="CE23" s="542">
        <f t="shared" ca="1" si="65"/>
        <v>0</v>
      </c>
      <c r="CF23" s="542">
        <f t="shared" ca="1" si="65"/>
        <v>0</v>
      </c>
      <c r="CG23" s="542">
        <f t="shared" ca="1" si="65"/>
        <v>0</v>
      </c>
      <c r="CH23" s="542">
        <f t="shared" ca="1" si="65"/>
        <v>0</v>
      </c>
      <c r="CI23" s="542">
        <f t="shared" ca="1" si="65"/>
        <v>0</v>
      </c>
      <c r="CJ23" s="542">
        <f t="shared" ca="1" si="65"/>
        <v>0</v>
      </c>
      <c r="CK23" s="542">
        <f t="shared" ca="1" si="65"/>
        <v>0</v>
      </c>
      <c r="CL23" s="542">
        <f t="shared" ca="1" si="66"/>
        <v>0</v>
      </c>
      <c r="CM23" s="542">
        <f t="shared" ca="1" si="66"/>
        <v>0</v>
      </c>
      <c r="CN23" s="542">
        <f t="shared" ca="1" si="66"/>
        <v>0</v>
      </c>
      <c r="CO23" s="542">
        <f t="shared" ca="1" si="66"/>
        <v>0</v>
      </c>
      <c r="CP23" s="542">
        <f t="shared" ca="1" si="66"/>
        <v>0</v>
      </c>
      <c r="CQ23" s="542">
        <f t="shared" ca="1" si="66"/>
        <v>0</v>
      </c>
      <c r="CR23" s="542">
        <f t="shared" ca="1" si="66"/>
        <v>0</v>
      </c>
      <c r="CS23" s="542">
        <f t="shared" ca="1" si="66"/>
        <v>0</v>
      </c>
      <c r="CT23" s="542">
        <f t="shared" ca="1" si="66"/>
        <v>0</v>
      </c>
      <c r="CU23" s="542">
        <f t="shared" ca="1" si="66"/>
        <v>0</v>
      </c>
      <c r="CW23" s="151">
        <f t="shared" ca="1" si="37"/>
        <v>5.0615591183523279</v>
      </c>
    </row>
    <row r="24" spans="1:101" s="84" customFormat="1" ht="15.75" x14ac:dyDescent="0.2">
      <c r="A24" s="18"/>
      <c r="B24" s="89"/>
      <c r="C24" s="85" t="s">
        <v>232</v>
      </c>
      <c r="D24" s="57" t="str">
        <f>INDEX(Workstreams[Workstream], MATCH($C24, Workstreams[Code], 0))</f>
        <v>Transport</v>
      </c>
      <c r="E24" s="53"/>
      <c r="G24" s="300">
        <f ca="1">G22+G23</f>
        <v>0</v>
      </c>
      <c r="H24" s="300">
        <f t="shared" ref="H24:AG24" ca="1" si="67">H22+H23</f>
        <v>0</v>
      </c>
      <c r="I24" s="300">
        <f t="shared" ca="1" si="67"/>
        <v>0</v>
      </c>
      <c r="J24" s="300">
        <f t="shared" ca="1" si="67"/>
        <v>0</v>
      </c>
      <c r="K24" s="300">
        <f t="shared" ca="1" si="67"/>
        <v>115.70828124472884</v>
      </c>
      <c r="L24" s="300">
        <f t="shared" ca="1" si="67"/>
        <v>63.15812022583664</v>
      </c>
      <c r="M24" s="300">
        <f t="shared" ca="1" si="67"/>
        <v>0</v>
      </c>
      <c r="N24" s="300">
        <f t="shared" ca="1" si="67"/>
        <v>9.6473158410225464E-13</v>
      </c>
      <c r="O24" s="300">
        <f t="shared" ca="1" si="67"/>
        <v>10.449356110119831</v>
      </c>
      <c r="P24" s="300">
        <f t="shared" ca="1" si="67"/>
        <v>189.31575758068627</v>
      </c>
      <c r="Q24" s="300">
        <f t="shared" si="67"/>
        <v>0</v>
      </c>
      <c r="R24" s="300">
        <f t="shared" ca="1" si="67"/>
        <v>-50.37147881378182</v>
      </c>
      <c r="S24" s="300">
        <f t="shared" ca="1" si="67"/>
        <v>0</v>
      </c>
      <c r="T24" s="300">
        <f t="shared" ca="1" si="67"/>
        <v>0</v>
      </c>
      <c r="U24" s="300">
        <f t="shared" ca="1" si="67"/>
        <v>-117.58690595636631</v>
      </c>
      <c r="V24" s="300">
        <f t="shared" ca="1" si="67"/>
        <v>-21.357372810538148</v>
      </c>
      <c r="W24" s="300">
        <f t="shared" ca="1" si="67"/>
        <v>0</v>
      </c>
      <c r="X24" s="300">
        <f t="shared" ca="1" si="67"/>
        <v>0</v>
      </c>
      <c r="Y24" s="300">
        <f t="shared" ca="1" si="67"/>
        <v>0</v>
      </c>
      <c r="Z24" s="300">
        <f t="shared" ca="1" si="67"/>
        <v>0</v>
      </c>
      <c r="AA24" s="300">
        <f t="shared" ca="1" si="67"/>
        <v>0</v>
      </c>
      <c r="AB24" s="300">
        <f t="shared" ca="1" si="67"/>
        <v>0</v>
      </c>
      <c r="AC24" s="300">
        <f t="shared" ca="1" si="67"/>
        <v>0</v>
      </c>
      <c r="AD24" s="300">
        <f t="shared" ca="1" si="67"/>
        <v>0</v>
      </c>
      <c r="AE24" s="300">
        <f t="shared" ca="1" si="67"/>
        <v>0</v>
      </c>
      <c r="AF24" s="300">
        <f t="shared" ca="1" si="67"/>
        <v>0</v>
      </c>
      <c r="AG24" s="300">
        <f t="shared" ca="1" si="67"/>
        <v>0</v>
      </c>
      <c r="AH24" s="257">
        <f t="shared" ca="1" si="5"/>
        <v>-189.3157575806863</v>
      </c>
      <c r="AJ24" s="263">
        <f ca="1">AJ22+AJ23</f>
        <v>0</v>
      </c>
      <c r="AK24" s="263">
        <f t="shared" ref="AK24:BB24" ca="1" si="68">AK22+AK23</f>
        <v>0</v>
      </c>
      <c r="AL24" s="263">
        <f t="shared" ca="1" si="68"/>
        <v>0</v>
      </c>
      <c r="AM24" s="263">
        <f t="shared" ca="1" si="68"/>
        <v>0</v>
      </c>
      <c r="AN24" s="263">
        <f t="shared" ca="1" si="68"/>
        <v>0</v>
      </c>
      <c r="AO24" s="263">
        <f t="shared" ca="1" si="68"/>
        <v>0</v>
      </c>
      <c r="AP24" s="263">
        <f t="shared" ca="1" si="68"/>
        <v>0</v>
      </c>
      <c r="AQ24" s="263">
        <f t="shared" ca="1" si="68"/>
        <v>0</v>
      </c>
      <c r="AR24" s="263">
        <f t="shared" ca="1" si="68"/>
        <v>0</v>
      </c>
      <c r="AS24" s="263">
        <f t="shared" ca="1" si="68"/>
        <v>0</v>
      </c>
      <c r="AT24" s="263">
        <f t="shared" ca="1" si="68"/>
        <v>0</v>
      </c>
      <c r="AU24" s="263">
        <f t="shared" ca="1" si="68"/>
        <v>0</v>
      </c>
      <c r="AV24" s="263">
        <f t="shared" ca="1" si="68"/>
        <v>0</v>
      </c>
      <c r="AW24" s="263">
        <f t="shared" ca="1" si="68"/>
        <v>0</v>
      </c>
      <c r="AX24" s="263">
        <f t="shared" ca="1" si="68"/>
        <v>0</v>
      </c>
      <c r="AY24" s="263">
        <f t="shared" ca="1" si="68"/>
        <v>0</v>
      </c>
      <c r="AZ24" s="263">
        <f t="shared" si="68"/>
        <v>0</v>
      </c>
      <c r="BA24" s="263">
        <f t="shared" ca="1" si="68"/>
        <v>0</v>
      </c>
      <c r="BB24" s="263">
        <f t="shared" ca="1" si="68"/>
        <v>0</v>
      </c>
      <c r="BC24" s="277">
        <f t="shared" ca="1" si="10"/>
        <v>0</v>
      </c>
      <c r="BE24" s="55">
        <f t="shared" ca="1" si="11"/>
        <v>-2.8421709430404007E-14</v>
      </c>
      <c r="BF24" s="55"/>
      <c r="BG24" s="1428"/>
      <c r="BH24" s="542">
        <f ca="1">BH22+BH23</f>
        <v>29.829891264938489</v>
      </c>
      <c r="BI24" s="542">
        <f t="shared" ref="BI24:CV24" ca="1" si="69">BI22+BI23</f>
        <v>3.7138096863860368E-2</v>
      </c>
      <c r="BJ24" s="542">
        <f t="shared" ca="1" si="69"/>
        <v>0.53670086800698968</v>
      </c>
      <c r="BK24" s="542">
        <f t="shared" ca="1" si="69"/>
        <v>0</v>
      </c>
      <c r="BL24" s="542">
        <f t="shared" ca="1" si="69"/>
        <v>0</v>
      </c>
      <c r="BM24" s="542">
        <f t="shared" ca="1" si="69"/>
        <v>0</v>
      </c>
      <c r="BN24" s="542">
        <f t="shared" ca="1" si="69"/>
        <v>0</v>
      </c>
      <c r="BO24" s="542">
        <f t="shared" ca="1" si="69"/>
        <v>0</v>
      </c>
      <c r="BP24" s="542">
        <f t="shared" ca="1" si="69"/>
        <v>0</v>
      </c>
      <c r="BQ24" s="542">
        <f t="shared" ca="1" si="69"/>
        <v>0</v>
      </c>
      <c r="BR24" s="542">
        <f t="shared" ca="1" si="69"/>
        <v>0</v>
      </c>
      <c r="BS24" s="542">
        <f t="shared" ca="1" si="69"/>
        <v>0</v>
      </c>
      <c r="BT24" s="542">
        <f t="shared" ca="1" si="69"/>
        <v>0</v>
      </c>
      <c r="BU24" s="542">
        <f t="shared" ca="1" si="69"/>
        <v>0</v>
      </c>
      <c r="BV24" s="542">
        <f t="shared" ca="1" si="69"/>
        <v>0</v>
      </c>
      <c r="BW24" s="542">
        <f t="shared" ca="1" si="69"/>
        <v>0</v>
      </c>
      <c r="BX24" s="542">
        <f t="shared" ca="1" si="69"/>
        <v>0</v>
      </c>
      <c r="BY24" s="542">
        <f t="shared" ca="1" si="69"/>
        <v>0</v>
      </c>
      <c r="BZ24" s="542">
        <f t="shared" ca="1" si="69"/>
        <v>0</v>
      </c>
      <c r="CA24" s="542">
        <f t="shared" ca="1" si="69"/>
        <v>0</v>
      </c>
      <c r="CB24" s="542">
        <f t="shared" ca="1" si="69"/>
        <v>0</v>
      </c>
      <c r="CC24" s="542">
        <f t="shared" ca="1" si="69"/>
        <v>0</v>
      </c>
      <c r="CD24" s="542">
        <f t="shared" ca="1" si="69"/>
        <v>0</v>
      </c>
      <c r="CE24" s="542">
        <f t="shared" ca="1" si="69"/>
        <v>0</v>
      </c>
      <c r="CF24" s="542">
        <f t="shared" ca="1" si="69"/>
        <v>0</v>
      </c>
      <c r="CG24" s="542">
        <f t="shared" ca="1" si="69"/>
        <v>0</v>
      </c>
      <c r="CH24" s="542">
        <f t="shared" ca="1" si="69"/>
        <v>0</v>
      </c>
      <c r="CI24" s="542">
        <f t="shared" ca="1" si="69"/>
        <v>0</v>
      </c>
      <c r="CJ24" s="542">
        <f t="shared" ca="1" si="69"/>
        <v>0</v>
      </c>
      <c r="CK24" s="542">
        <f t="shared" ca="1" si="69"/>
        <v>0</v>
      </c>
      <c r="CL24" s="542">
        <f t="shared" ca="1" si="69"/>
        <v>0</v>
      </c>
      <c r="CM24" s="542">
        <f t="shared" ca="1" si="69"/>
        <v>0</v>
      </c>
      <c r="CN24" s="542">
        <f t="shared" ca="1" si="69"/>
        <v>0</v>
      </c>
      <c r="CO24" s="542">
        <f t="shared" ca="1" si="69"/>
        <v>0</v>
      </c>
      <c r="CP24" s="542">
        <f t="shared" ca="1" si="69"/>
        <v>0</v>
      </c>
      <c r="CQ24" s="542">
        <f t="shared" ca="1" si="69"/>
        <v>0</v>
      </c>
      <c r="CR24" s="542">
        <f t="shared" ca="1" si="69"/>
        <v>0</v>
      </c>
      <c r="CS24" s="542">
        <f t="shared" ca="1" si="69"/>
        <v>0</v>
      </c>
      <c r="CT24" s="542">
        <f t="shared" ca="1" si="69"/>
        <v>0</v>
      </c>
      <c r="CU24" s="542">
        <f t="shared" ca="1" si="69"/>
        <v>0</v>
      </c>
      <c r="CV24" s="542">
        <f t="shared" si="69"/>
        <v>0</v>
      </c>
      <c r="CW24" s="151">
        <f t="shared" ca="1" si="37"/>
        <v>30.403730229809337</v>
      </c>
    </row>
    <row r="25" spans="1:101" s="84" customFormat="1" ht="12.75" customHeight="1" outlineLevel="1" x14ac:dyDescent="0.2">
      <c r="A25" s="18"/>
      <c r="B25" s="18"/>
      <c r="C25" s="87"/>
      <c r="D25" s="53"/>
      <c r="E25" s="53"/>
      <c r="G25" s="300"/>
      <c r="H25" s="300"/>
      <c r="I25" s="300"/>
      <c r="J25" s="300"/>
      <c r="K25" s="300"/>
      <c r="L25" s="300"/>
      <c r="M25" s="300"/>
      <c r="N25" s="300"/>
      <c r="O25" s="300"/>
      <c r="P25" s="300">
        <f t="shared" ref="P25:P56" si="70">SUM(G25:O25)</f>
        <v>0</v>
      </c>
      <c r="R25" s="257"/>
      <c r="S25" s="257"/>
      <c r="T25" s="257"/>
      <c r="U25" s="257"/>
      <c r="V25" s="257"/>
      <c r="W25" s="257"/>
      <c r="X25" s="257"/>
      <c r="Y25" s="257"/>
      <c r="Z25" s="257"/>
      <c r="AA25" s="257"/>
      <c r="AB25" s="257"/>
      <c r="AC25" s="257"/>
      <c r="AD25" s="257"/>
      <c r="AE25" s="257"/>
      <c r="AF25" s="257"/>
      <c r="AG25" s="257"/>
      <c r="AH25" s="257">
        <f t="shared" si="5"/>
        <v>0</v>
      </c>
      <c r="AJ25" s="263"/>
      <c r="AK25" s="263"/>
      <c r="AL25" s="263"/>
      <c r="AM25" s="263"/>
      <c r="AN25" s="263"/>
      <c r="AO25" s="263"/>
      <c r="AP25" s="263"/>
      <c r="AQ25" s="263"/>
      <c r="AR25" s="263"/>
      <c r="AS25" s="263"/>
      <c r="AT25" s="263"/>
      <c r="AU25" s="263"/>
      <c r="AV25" s="263"/>
      <c r="AW25" s="263"/>
      <c r="AX25" s="263"/>
      <c r="AY25" s="263">
        <f>SUM(AJ25:AX25)</f>
        <v>0</v>
      </c>
      <c r="BA25" s="277"/>
      <c r="BB25" s="277"/>
      <c r="BC25" s="277">
        <f t="shared" si="10"/>
        <v>0</v>
      </c>
      <c r="BE25" s="55">
        <f t="shared" si="11"/>
        <v>0</v>
      </c>
      <c r="BF25" s="55"/>
      <c r="BG25" s="18"/>
      <c r="BH25" s="542"/>
      <c r="BI25" s="542"/>
      <c r="BJ25" s="542"/>
      <c r="BK25" s="542"/>
      <c r="BL25" s="542"/>
      <c r="BM25" s="542"/>
      <c r="BN25" s="542"/>
      <c r="BO25" s="542"/>
      <c r="BP25" s="542"/>
      <c r="BQ25" s="542"/>
      <c r="BR25" s="542"/>
      <c r="BS25" s="542"/>
      <c r="BT25" s="542"/>
      <c r="BU25" s="542"/>
      <c r="BV25" s="542"/>
      <c r="BW25" s="542"/>
      <c r="BX25" s="542"/>
      <c r="BY25" s="542"/>
      <c r="BZ25" s="542"/>
      <c r="CA25" s="542"/>
      <c r="CB25" s="542"/>
      <c r="CC25" s="542"/>
      <c r="CD25" s="542"/>
      <c r="CE25" s="542"/>
      <c r="CF25" s="542"/>
      <c r="CG25" s="542"/>
      <c r="CH25" s="542"/>
      <c r="CI25" s="542"/>
      <c r="CJ25" s="542"/>
      <c r="CK25" s="542"/>
      <c r="CL25" s="542"/>
      <c r="CM25" s="542"/>
      <c r="CN25" s="542"/>
      <c r="CO25" s="542"/>
      <c r="CP25" s="542"/>
      <c r="CQ25" s="542"/>
      <c r="CR25" s="542"/>
      <c r="CS25" s="542"/>
      <c r="CT25" s="542"/>
      <c r="CU25" s="542"/>
      <c r="CW25" s="151">
        <f t="shared" si="37"/>
        <v>0</v>
      </c>
    </row>
    <row r="26" spans="1:101" s="84" customFormat="1" ht="12.75" customHeight="1" outlineLevel="1" x14ac:dyDescent="0.2">
      <c r="A26" s="18"/>
      <c r="B26" s="18"/>
      <c r="C26" s="87"/>
      <c r="D26" s="53"/>
      <c r="E26" s="53"/>
      <c r="G26" s="300"/>
      <c r="H26" s="300"/>
      <c r="I26" s="300"/>
      <c r="J26" s="300"/>
      <c r="K26" s="300"/>
      <c r="L26" s="300"/>
      <c r="M26" s="300"/>
      <c r="N26" s="300"/>
      <c r="O26" s="300"/>
      <c r="P26" s="300">
        <f t="shared" si="70"/>
        <v>0</v>
      </c>
      <c r="R26" s="257"/>
      <c r="S26" s="257"/>
      <c r="T26" s="257"/>
      <c r="U26" s="257"/>
      <c r="V26" s="257"/>
      <c r="W26" s="257"/>
      <c r="X26" s="257"/>
      <c r="Y26" s="257"/>
      <c r="Z26" s="257"/>
      <c r="AA26" s="257"/>
      <c r="AB26" s="257"/>
      <c r="AC26" s="257"/>
      <c r="AD26" s="257"/>
      <c r="AE26" s="257"/>
      <c r="AF26" s="257"/>
      <c r="AG26" s="257"/>
      <c r="AH26" s="257">
        <f t="shared" si="5"/>
        <v>0</v>
      </c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3"/>
      <c r="AY26" s="263">
        <f>SUM(AJ26:AX26)</f>
        <v>0</v>
      </c>
      <c r="BA26" s="277"/>
      <c r="BB26" s="277"/>
      <c r="BC26" s="277">
        <f t="shared" si="10"/>
        <v>0</v>
      </c>
      <c r="BE26" s="55">
        <f t="shared" si="11"/>
        <v>0</v>
      </c>
      <c r="BF26" s="55"/>
      <c r="BG26" s="18"/>
      <c r="BH26" s="541"/>
      <c r="BI26" s="542"/>
      <c r="BJ26" s="542"/>
      <c r="BK26" s="542"/>
      <c r="BL26" s="542"/>
      <c r="BM26" s="542"/>
      <c r="BN26" s="542"/>
      <c r="BO26" s="542"/>
      <c r="BP26" s="542"/>
      <c r="BQ26" s="542"/>
      <c r="BR26" s="542"/>
      <c r="BS26" s="542"/>
      <c r="BT26" s="542"/>
      <c r="BU26" s="542"/>
      <c r="BV26" s="542"/>
      <c r="BW26" s="542"/>
      <c r="BX26" s="542"/>
      <c r="BY26" s="542"/>
      <c r="BZ26" s="542"/>
      <c r="CA26" s="542"/>
      <c r="CB26" s="542"/>
      <c r="CC26" s="542"/>
      <c r="CD26" s="542"/>
      <c r="CE26" s="542"/>
      <c r="CF26" s="542"/>
      <c r="CG26" s="542"/>
      <c r="CH26" s="542"/>
      <c r="CI26" s="542"/>
      <c r="CJ26" s="542"/>
      <c r="CK26" s="542"/>
      <c r="CL26" s="542"/>
      <c r="CM26" s="542"/>
      <c r="CN26" s="542"/>
      <c r="CO26" s="542"/>
      <c r="CP26" s="542"/>
      <c r="CQ26" s="542"/>
      <c r="CR26" s="542"/>
      <c r="CS26" s="542"/>
      <c r="CT26" s="542"/>
      <c r="CU26" s="542"/>
      <c r="CW26" s="151">
        <f t="shared" si="37"/>
        <v>0</v>
      </c>
    </row>
    <row r="27" spans="1:101" s="84" customFormat="1" ht="7.5" customHeight="1" x14ac:dyDescent="0.2">
      <c r="C27" s="56"/>
      <c r="D27" s="57"/>
      <c r="E27" s="51"/>
      <c r="G27" s="300"/>
      <c r="H27" s="300"/>
      <c r="I27" s="300"/>
      <c r="J27" s="300"/>
      <c r="K27" s="300"/>
      <c r="L27" s="300"/>
      <c r="M27" s="300"/>
      <c r="N27" s="300"/>
      <c r="O27" s="300"/>
      <c r="P27" s="300">
        <f t="shared" si="70"/>
        <v>0</v>
      </c>
      <c r="R27" s="257"/>
      <c r="S27" s="257"/>
      <c r="T27" s="257"/>
      <c r="U27" s="257"/>
      <c r="V27" s="257"/>
      <c r="W27" s="257"/>
      <c r="X27" s="257"/>
      <c r="Y27" s="257"/>
      <c r="Z27" s="257"/>
      <c r="AA27" s="257"/>
      <c r="AB27" s="257"/>
      <c r="AC27" s="257"/>
      <c r="AD27" s="257"/>
      <c r="AE27" s="257"/>
      <c r="AF27" s="257"/>
      <c r="AG27" s="257"/>
      <c r="AH27" s="257">
        <f t="shared" si="5"/>
        <v>0</v>
      </c>
      <c r="AJ27" s="263"/>
      <c r="AK27" s="263"/>
      <c r="AL27" s="263"/>
      <c r="AM27" s="263"/>
      <c r="AN27" s="263"/>
      <c r="AO27" s="263"/>
      <c r="AP27" s="263"/>
      <c r="AQ27" s="263"/>
      <c r="AR27" s="263"/>
      <c r="AS27" s="263"/>
      <c r="AT27" s="263"/>
      <c r="AU27" s="263"/>
      <c r="AV27" s="263"/>
      <c r="AW27" s="263"/>
      <c r="AX27" s="263"/>
      <c r="AY27" s="263">
        <f>SUM(AJ27:AX27)</f>
        <v>0</v>
      </c>
      <c r="BA27" s="277"/>
      <c r="BB27" s="277"/>
      <c r="BC27" s="277">
        <f t="shared" si="10"/>
        <v>0</v>
      </c>
      <c r="BE27" s="55">
        <f t="shared" si="11"/>
        <v>0</v>
      </c>
      <c r="BF27" s="55"/>
      <c r="BH27" s="542"/>
      <c r="BI27" s="542"/>
      <c r="BJ27" s="542"/>
      <c r="BK27" s="542"/>
      <c r="BL27" s="542"/>
      <c r="BM27" s="542"/>
      <c r="BN27" s="542"/>
      <c r="BO27" s="542"/>
      <c r="BP27" s="542"/>
      <c r="BQ27" s="542"/>
      <c r="BR27" s="542"/>
      <c r="BS27" s="542"/>
      <c r="BT27" s="542"/>
      <c r="BU27" s="542"/>
      <c r="BV27" s="542"/>
      <c r="BW27" s="542"/>
      <c r="BX27" s="542"/>
      <c r="BY27" s="542"/>
      <c r="BZ27" s="542"/>
      <c r="CA27" s="542"/>
      <c r="CB27" s="542"/>
      <c r="CC27" s="542"/>
      <c r="CD27" s="542"/>
      <c r="CE27" s="542"/>
      <c r="CF27" s="542"/>
      <c r="CG27" s="542"/>
      <c r="CH27" s="542"/>
      <c r="CI27" s="542"/>
      <c r="CJ27" s="542"/>
      <c r="CK27" s="542"/>
      <c r="CL27" s="542"/>
      <c r="CM27" s="542"/>
      <c r="CN27" s="542"/>
      <c r="CO27" s="542"/>
      <c r="CP27" s="542"/>
      <c r="CQ27" s="542"/>
      <c r="CR27" s="542"/>
      <c r="CS27" s="542"/>
      <c r="CT27" s="542"/>
      <c r="CU27" s="542"/>
      <c r="CW27" s="151"/>
    </row>
    <row r="28" spans="1:101" s="84" customFormat="1" ht="15.75" x14ac:dyDescent="0.2">
      <c r="B28" s="89"/>
      <c r="C28" s="923" t="s">
        <v>883</v>
      </c>
      <c r="D28" s="69" t="s">
        <v>190</v>
      </c>
      <c r="E28" s="70"/>
      <c r="G28" s="302">
        <f ca="1">G$13+G$17+G$20+G$24</f>
        <v>136.57044448493946</v>
      </c>
      <c r="H28" s="302">
        <f t="shared" ref="H28:AG28" ca="1" si="71">H$13+H$17+H$20+H$24</f>
        <v>678.71617088874098</v>
      </c>
      <c r="I28" s="302">
        <f t="shared" ca="1" si="71"/>
        <v>167.26510658441217</v>
      </c>
      <c r="J28" s="302">
        <f t="shared" ca="1" si="71"/>
        <v>188.61389831339488</v>
      </c>
      <c r="K28" s="302">
        <f t="shared" ca="1" si="71"/>
        <v>115.70828124472884</v>
      </c>
      <c r="L28" s="302">
        <f t="shared" ca="1" si="71"/>
        <v>63.15812022583664</v>
      </c>
      <c r="M28" s="302">
        <f t="shared" ca="1" si="71"/>
        <v>0</v>
      </c>
      <c r="N28" s="302">
        <f t="shared" ca="1" si="71"/>
        <v>9.6473158410225464E-13</v>
      </c>
      <c r="O28" s="302">
        <f t="shared" ca="1" si="71"/>
        <v>10.449356110119831</v>
      </c>
      <c r="P28" s="300">
        <f t="shared" ca="1" si="70"/>
        <v>1360.4813778521739</v>
      </c>
      <c r="Q28" s="302">
        <f t="shared" si="71"/>
        <v>0</v>
      </c>
      <c r="R28" s="302">
        <f t="shared" ca="1" si="71"/>
        <v>-939.85171754003795</v>
      </c>
      <c r="S28" s="302">
        <f t="shared" ca="1" si="71"/>
        <v>0</v>
      </c>
      <c r="T28" s="302">
        <f t="shared" ca="1" si="71"/>
        <v>-5.6584169494018459</v>
      </c>
      <c r="U28" s="302">
        <f t="shared" ca="1" si="71"/>
        <v>-196.77360848749797</v>
      </c>
      <c r="V28" s="302">
        <f t="shared" ca="1" si="71"/>
        <v>-182.94759239762726</v>
      </c>
      <c r="W28" s="302">
        <f t="shared" ca="1" si="71"/>
        <v>-35.250042477608716</v>
      </c>
      <c r="X28" s="302">
        <f t="shared" ca="1" si="71"/>
        <v>0</v>
      </c>
      <c r="Y28" s="302">
        <f t="shared" ca="1" si="71"/>
        <v>0</v>
      </c>
      <c r="Z28" s="302">
        <f t="shared" ca="1" si="71"/>
        <v>0</v>
      </c>
      <c r="AA28" s="302">
        <f t="shared" ca="1" si="71"/>
        <v>0</v>
      </c>
      <c r="AB28" s="302">
        <f t="shared" ca="1" si="71"/>
        <v>0</v>
      </c>
      <c r="AC28" s="302">
        <f t="shared" ca="1" si="71"/>
        <v>0</v>
      </c>
      <c r="AD28" s="302">
        <f t="shared" ca="1" si="71"/>
        <v>0</v>
      </c>
      <c r="AE28" s="302">
        <f t="shared" ca="1" si="71"/>
        <v>0</v>
      </c>
      <c r="AF28" s="302">
        <f t="shared" ca="1" si="71"/>
        <v>0</v>
      </c>
      <c r="AG28" s="302">
        <f t="shared" ca="1" si="71"/>
        <v>0</v>
      </c>
      <c r="AH28" s="294">
        <f t="shared" ca="1" si="5"/>
        <v>-1360.4813778521736</v>
      </c>
      <c r="AJ28" s="295">
        <f ca="1">AJ$13+AJ$17+AJ$20+AJ$24</f>
        <v>0</v>
      </c>
      <c r="AK28" s="295">
        <f t="shared" ref="AK28:BD28" ca="1" si="72">AK$13+AK$17+AK$20+AK$24</f>
        <v>0</v>
      </c>
      <c r="AL28" s="295">
        <f t="shared" ca="1" si="72"/>
        <v>0</v>
      </c>
      <c r="AM28" s="295">
        <f t="shared" ca="1" si="72"/>
        <v>0</v>
      </c>
      <c r="AN28" s="295">
        <f t="shared" ca="1" si="72"/>
        <v>0</v>
      </c>
      <c r="AO28" s="295">
        <f t="shared" ca="1" si="72"/>
        <v>0</v>
      </c>
      <c r="AP28" s="295">
        <f t="shared" ca="1" si="72"/>
        <v>0</v>
      </c>
      <c r="AQ28" s="295">
        <f t="shared" ca="1" si="72"/>
        <v>0</v>
      </c>
      <c r="AR28" s="295">
        <f t="shared" ca="1" si="72"/>
        <v>0</v>
      </c>
      <c r="AS28" s="295">
        <f t="shared" ca="1" si="72"/>
        <v>0</v>
      </c>
      <c r="AT28" s="295">
        <f t="shared" ca="1" si="72"/>
        <v>0</v>
      </c>
      <c r="AU28" s="295">
        <f t="shared" ca="1" si="72"/>
        <v>0</v>
      </c>
      <c r="AV28" s="295">
        <f t="shared" ca="1" si="72"/>
        <v>0</v>
      </c>
      <c r="AW28" s="295">
        <f t="shared" ca="1" si="72"/>
        <v>0</v>
      </c>
      <c r="AX28" s="295">
        <f t="shared" ca="1" si="72"/>
        <v>0</v>
      </c>
      <c r="AY28" s="295">
        <f t="shared" ca="1" si="72"/>
        <v>0</v>
      </c>
      <c r="AZ28" s="295">
        <f t="shared" si="72"/>
        <v>0</v>
      </c>
      <c r="BA28" s="295">
        <f t="shared" ca="1" si="72"/>
        <v>0</v>
      </c>
      <c r="BB28" s="295">
        <f t="shared" ca="1" si="72"/>
        <v>0</v>
      </c>
      <c r="BC28" s="277">
        <f t="shared" ca="1" si="10"/>
        <v>0</v>
      </c>
      <c r="BD28" s="295">
        <f t="shared" si="72"/>
        <v>0</v>
      </c>
      <c r="BE28" s="58">
        <f t="shared" ca="1" si="11"/>
        <v>2.2737367544323206E-13</v>
      </c>
      <c r="BF28" s="58"/>
      <c r="BH28" s="546">
        <f ca="1">BH$13+BH$17+BH$20+BH$24</f>
        <v>81.101959722161553</v>
      </c>
      <c r="BI28" s="546">
        <f t="shared" ref="BI28:CU28" ca="1" si="73">BI$13+BI$17+BI$20+BI$24</f>
        <v>18.218221825802832</v>
      </c>
      <c r="BJ28" s="546">
        <f t="shared" ca="1" si="73"/>
        <v>18.926333273657473</v>
      </c>
      <c r="BK28" s="546">
        <f t="shared" ca="1" si="73"/>
        <v>0</v>
      </c>
      <c r="BL28" s="546">
        <f t="shared" ca="1" si="73"/>
        <v>0</v>
      </c>
      <c r="BM28" s="546">
        <f t="shared" ca="1" si="73"/>
        <v>0</v>
      </c>
      <c r="BN28" s="546">
        <f t="shared" ca="1" si="73"/>
        <v>0</v>
      </c>
      <c r="BO28" s="546">
        <f t="shared" ca="1" si="73"/>
        <v>0</v>
      </c>
      <c r="BP28" s="546">
        <f t="shared" ca="1" si="73"/>
        <v>14.39565925511863</v>
      </c>
      <c r="BQ28" s="546">
        <f t="shared" ca="1" si="73"/>
        <v>0.11288744235152412</v>
      </c>
      <c r="BR28" s="546">
        <f t="shared" ca="1" si="73"/>
        <v>2.7624692105907238</v>
      </c>
      <c r="BS28" s="546">
        <f t="shared" ca="1" si="73"/>
        <v>10.620296151887526</v>
      </c>
      <c r="BT28" s="546">
        <f t="shared" ca="1" si="73"/>
        <v>0</v>
      </c>
      <c r="BU28" s="546">
        <f t="shared" ca="1" si="73"/>
        <v>0</v>
      </c>
      <c r="BV28" s="546">
        <f t="shared" ca="1" si="73"/>
        <v>0</v>
      </c>
      <c r="BW28" s="546">
        <f t="shared" ca="1" si="73"/>
        <v>0</v>
      </c>
      <c r="BX28" s="546">
        <f t="shared" ca="1" si="73"/>
        <v>0</v>
      </c>
      <c r="BY28" s="546">
        <f t="shared" ca="1" si="73"/>
        <v>0</v>
      </c>
      <c r="BZ28" s="546">
        <f t="shared" ca="1" si="73"/>
        <v>0</v>
      </c>
      <c r="CA28" s="546">
        <f t="shared" ca="1" si="73"/>
        <v>0</v>
      </c>
      <c r="CB28" s="546">
        <f t="shared" ca="1" si="73"/>
        <v>0</v>
      </c>
      <c r="CC28" s="546">
        <f t="shared" ca="1" si="73"/>
        <v>0</v>
      </c>
      <c r="CD28" s="546">
        <f t="shared" ca="1" si="73"/>
        <v>0</v>
      </c>
      <c r="CE28" s="546">
        <f t="shared" ca="1" si="73"/>
        <v>0</v>
      </c>
      <c r="CF28" s="546">
        <f t="shared" ca="1" si="73"/>
        <v>0</v>
      </c>
      <c r="CG28" s="546">
        <f t="shared" ca="1" si="73"/>
        <v>0</v>
      </c>
      <c r="CH28" s="546">
        <f t="shared" ca="1" si="73"/>
        <v>0</v>
      </c>
      <c r="CI28" s="546">
        <f t="shared" ca="1" si="73"/>
        <v>0</v>
      </c>
      <c r="CJ28" s="546">
        <f t="shared" ca="1" si="73"/>
        <v>0</v>
      </c>
      <c r="CK28" s="546">
        <f t="shared" ca="1" si="73"/>
        <v>0</v>
      </c>
      <c r="CL28" s="546">
        <f t="shared" ca="1" si="73"/>
        <v>0</v>
      </c>
      <c r="CM28" s="546">
        <f t="shared" ca="1" si="73"/>
        <v>0</v>
      </c>
      <c r="CN28" s="546">
        <f t="shared" ca="1" si="73"/>
        <v>0</v>
      </c>
      <c r="CO28" s="546">
        <f t="shared" ca="1" si="73"/>
        <v>0</v>
      </c>
      <c r="CP28" s="546">
        <f t="shared" ca="1" si="73"/>
        <v>0</v>
      </c>
      <c r="CQ28" s="546">
        <f t="shared" ca="1" si="73"/>
        <v>0</v>
      </c>
      <c r="CR28" s="546">
        <f t="shared" ca="1" si="73"/>
        <v>0</v>
      </c>
      <c r="CS28" s="546">
        <f t="shared" ca="1" si="73"/>
        <v>0</v>
      </c>
      <c r="CT28" s="546">
        <f t="shared" ca="1" si="73"/>
        <v>0</v>
      </c>
      <c r="CU28" s="546">
        <f t="shared" ca="1" si="73"/>
        <v>0</v>
      </c>
      <c r="CW28" s="148">
        <f ca="1">SUM(BH28:CU28)</f>
        <v>146.13782688157028</v>
      </c>
    </row>
    <row r="29" spans="1:101" s="84" customFormat="1" ht="6" customHeight="1" x14ac:dyDescent="0.2">
      <c r="C29" s="51"/>
      <c r="D29" s="51"/>
      <c r="E29" s="51"/>
      <c r="G29" s="245"/>
      <c r="H29" s="245"/>
      <c r="I29" s="245"/>
      <c r="J29" s="245"/>
      <c r="K29" s="245"/>
      <c r="L29" s="247"/>
      <c r="M29" s="245"/>
      <c r="N29" s="245"/>
      <c r="O29" s="245"/>
      <c r="P29" s="245">
        <f t="shared" si="70"/>
        <v>0</v>
      </c>
      <c r="R29" s="257"/>
      <c r="S29" s="257"/>
      <c r="T29" s="257"/>
      <c r="U29" s="257"/>
      <c r="V29" s="257"/>
      <c r="W29" s="257"/>
      <c r="X29" s="257"/>
      <c r="Y29" s="257"/>
      <c r="Z29" s="257"/>
      <c r="AA29" s="257"/>
      <c r="AB29" s="257"/>
      <c r="AC29" s="257"/>
      <c r="AD29" s="257"/>
      <c r="AE29" s="257"/>
      <c r="AF29" s="257"/>
      <c r="AG29" s="257"/>
      <c r="AH29" s="257">
        <f t="shared" si="5"/>
        <v>0</v>
      </c>
      <c r="AJ29" s="263"/>
      <c r="AK29" s="263"/>
      <c r="AL29" s="263"/>
      <c r="AM29" s="263"/>
      <c r="AN29" s="263"/>
      <c r="AO29" s="263"/>
      <c r="AP29" s="263"/>
      <c r="AQ29" s="263"/>
      <c r="AR29" s="263"/>
      <c r="AS29" s="263"/>
      <c r="AT29" s="263"/>
      <c r="AU29" s="263"/>
      <c r="AV29" s="263"/>
      <c r="AW29" s="263"/>
      <c r="AX29" s="263"/>
      <c r="AY29" s="263">
        <f t="shared" ref="AY29:AY60" si="74">SUM(AJ29:AX29)</f>
        <v>0</v>
      </c>
      <c r="BA29" s="277"/>
      <c r="BB29" s="277"/>
      <c r="BC29" s="277">
        <f t="shared" si="10"/>
        <v>0</v>
      </c>
      <c r="BE29" s="55">
        <f t="shared" si="11"/>
        <v>0</v>
      </c>
      <c r="BF29" s="55"/>
      <c r="BH29" s="542"/>
      <c r="BI29" s="542"/>
      <c r="BJ29" s="542"/>
      <c r="BK29" s="542"/>
      <c r="BL29" s="542"/>
      <c r="BM29" s="542"/>
      <c r="BN29" s="542"/>
      <c r="BO29" s="542"/>
      <c r="BP29" s="542"/>
      <c r="BQ29" s="542"/>
      <c r="BR29" s="542"/>
      <c r="BS29" s="542"/>
      <c r="BT29" s="542"/>
      <c r="BU29" s="542"/>
      <c r="BV29" s="542"/>
      <c r="BW29" s="542"/>
      <c r="BX29" s="542"/>
      <c r="BY29" s="542"/>
      <c r="BZ29" s="542"/>
      <c r="CA29" s="542"/>
      <c r="CB29" s="542"/>
      <c r="CC29" s="542"/>
      <c r="CD29" s="542"/>
      <c r="CE29" s="542"/>
      <c r="CF29" s="542"/>
      <c r="CG29" s="542"/>
      <c r="CH29" s="542"/>
      <c r="CI29" s="542"/>
      <c r="CJ29" s="542"/>
      <c r="CK29" s="542"/>
      <c r="CL29" s="542"/>
      <c r="CM29" s="542"/>
      <c r="CN29" s="542"/>
      <c r="CO29" s="542"/>
      <c r="CP29" s="542"/>
      <c r="CQ29" s="542"/>
      <c r="CR29" s="542"/>
      <c r="CS29" s="542"/>
      <c r="CT29" s="542"/>
      <c r="CU29" s="542"/>
      <c r="CW29" s="151"/>
    </row>
    <row r="30" spans="1:101" s="84" customFormat="1" ht="24" customHeight="1" x14ac:dyDescent="0.2">
      <c r="C30" s="45" t="s">
        <v>58</v>
      </c>
      <c r="D30" s="45"/>
      <c r="E30" s="68"/>
      <c r="G30" s="244"/>
      <c r="H30" s="244"/>
      <c r="I30" s="244"/>
      <c r="J30" s="244"/>
      <c r="K30" s="244"/>
      <c r="L30" s="244"/>
      <c r="M30" s="244"/>
      <c r="N30" s="244"/>
      <c r="O30" s="244"/>
      <c r="P30" s="244">
        <f t="shared" si="70"/>
        <v>0</v>
      </c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56"/>
      <c r="AE30" s="256"/>
      <c r="AF30" s="256"/>
      <c r="AG30" s="256"/>
      <c r="AH30" s="256">
        <f t="shared" si="5"/>
        <v>0</v>
      </c>
      <c r="AJ30" s="262"/>
      <c r="AK30" s="262"/>
      <c r="AL30" s="262"/>
      <c r="AM30" s="262"/>
      <c r="AN30" s="262"/>
      <c r="AO30" s="262"/>
      <c r="AP30" s="262"/>
      <c r="AQ30" s="262"/>
      <c r="AR30" s="262"/>
      <c r="AS30" s="262"/>
      <c r="AT30" s="262"/>
      <c r="AU30" s="262"/>
      <c r="AV30" s="262"/>
      <c r="AW30" s="262"/>
      <c r="AX30" s="262"/>
      <c r="AY30" s="262">
        <f t="shared" si="74"/>
        <v>0</v>
      </c>
      <c r="BA30" s="276"/>
      <c r="BB30" s="276"/>
      <c r="BC30" s="276">
        <f t="shared" si="10"/>
        <v>0</v>
      </c>
      <c r="BE30" s="54">
        <f t="shared" si="11"/>
        <v>0</v>
      </c>
      <c r="BF30" s="54"/>
      <c r="BH30" s="542"/>
      <c r="BI30" s="542"/>
      <c r="BJ30" s="542"/>
      <c r="BK30" s="542"/>
      <c r="BL30" s="542"/>
      <c r="BM30" s="542"/>
      <c r="BN30" s="542"/>
      <c r="BO30" s="542"/>
      <c r="BP30" s="542"/>
      <c r="BQ30" s="542"/>
      <c r="BR30" s="542"/>
      <c r="BS30" s="542"/>
      <c r="BT30" s="542"/>
      <c r="BU30" s="542"/>
      <c r="BV30" s="542"/>
      <c r="BW30" s="542"/>
      <c r="BX30" s="542"/>
      <c r="BY30" s="542"/>
      <c r="BZ30" s="542"/>
      <c r="CA30" s="542"/>
      <c r="CB30" s="542"/>
      <c r="CC30" s="542"/>
      <c r="CD30" s="542"/>
      <c r="CE30" s="542"/>
      <c r="CF30" s="542"/>
      <c r="CG30" s="542"/>
      <c r="CH30" s="542"/>
      <c r="CI30" s="542"/>
      <c r="CJ30" s="542"/>
      <c r="CK30" s="542"/>
      <c r="CL30" s="542"/>
      <c r="CM30" s="542"/>
      <c r="CN30" s="542"/>
      <c r="CO30" s="542"/>
      <c r="CP30" s="542"/>
      <c r="CQ30" s="542"/>
      <c r="CR30" s="542"/>
      <c r="CS30" s="542"/>
      <c r="CT30" s="542"/>
      <c r="CU30" s="542"/>
      <c r="CW30" s="151"/>
    </row>
    <row r="31" spans="1:101" s="84" customFormat="1" ht="12.75" customHeight="1" outlineLevel="1" x14ac:dyDescent="0.2">
      <c r="A31" s="18"/>
      <c r="B31" s="18"/>
      <c r="C31" s="87"/>
      <c r="D31" s="53"/>
      <c r="E31" s="53"/>
      <c r="G31" s="245"/>
      <c r="H31" s="245"/>
      <c r="I31" s="245"/>
      <c r="J31" s="245"/>
      <c r="K31" s="245"/>
      <c r="L31" s="247"/>
      <c r="M31" s="245"/>
      <c r="N31" s="245"/>
      <c r="O31" s="245"/>
      <c r="P31" s="245">
        <f t="shared" si="70"/>
        <v>0</v>
      </c>
      <c r="R31" s="257"/>
      <c r="S31" s="257"/>
      <c r="T31" s="257"/>
      <c r="U31" s="257"/>
      <c r="V31" s="257"/>
      <c r="W31" s="257"/>
      <c r="X31" s="257"/>
      <c r="Y31" s="257"/>
      <c r="Z31" s="257"/>
      <c r="AA31" s="257"/>
      <c r="AB31" s="257"/>
      <c r="AC31" s="257"/>
      <c r="AD31" s="257"/>
      <c r="AE31" s="257"/>
      <c r="AF31" s="257"/>
      <c r="AG31" s="257"/>
      <c r="AH31" s="257">
        <f t="shared" si="5"/>
        <v>0</v>
      </c>
      <c r="AJ31" s="263"/>
      <c r="AK31" s="263"/>
      <c r="AL31" s="263"/>
      <c r="AM31" s="263"/>
      <c r="AN31" s="263"/>
      <c r="AO31" s="263"/>
      <c r="AP31" s="263"/>
      <c r="AQ31" s="263"/>
      <c r="AR31" s="263"/>
      <c r="AS31" s="263"/>
      <c r="AT31" s="263"/>
      <c r="AU31" s="263"/>
      <c r="AV31" s="263"/>
      <c r="AW31" s="263"/>
      <c r="AX31" s="263"/>
      <c r="AY31" s="263">
        <f t="shared" si="74"/>
        <v>0</v>
      </c>
      <c r="BA31" s="277"/>
      <c r="BB31" s="277"/>
      <c r="BC31" s="277">
        <f t="shared" si="10"/>
        <v>0</v>
      </c>
      <c r="BE31" s="55">
        <f t="shared" si="11"/>
        <v>0</v>
      </c>
      <c r="BF31" s="55"/>
      <c r="BG31" s="18"/>
      <c r="BH31" s="542"/>
      <c r="BI31" s="542"/>
      <c r="BJ31" s="542"/>
      <c r="BK31" s="542"/>
      <c r="BL31" s="542"/>
      <c r="BM31" s="542"/>
      <c r="BN31" s="542"/>
      <c r="BO31" s="542"/>
      <c r="BP31" s="542"/>
      <c r="BQ31" s="542"/>
      <c r="BR31" s="542"/>
      <c r="BS31" s="542"/>
      <c r="BT31" s="542"/>
      <c r="BU31" s="542"/>
      <c r="BV31" s="542"/>
      <c r="BW31" s="542"/>
      <c r="BX31" s="542"/>
      <c r="BY31" s="542"/>
      <c r="BZ31" s="542"/>
      <c r="CA31" s="542"/>
      <c r="CB31" s="542"/>
      <c r="CC31" s="542"/>
      <c r="CD31" s="542"/>
      <c r="CE31" s="542"/>
      <c r="CF31" s="542"/>
      <c r="CG31" s="542"/>
      <c r="CH31" s="542"/>
      <c r="CI31" s="542"/>
      <c r="CJ31" s="542"/>
      <c r="CK31" s="542"/>
      <c r="CL31" s="542"/>
      <c r="CM31" s="542"/>
      <c r="CN31" s="542"/>
      <c r="CO31" s="542"/>
      <c r="CP31" s="542"/>
      <c r="CQ31" s="542"/>
      <c r="CR31" s="542"/>
      <c r="CS31" s="542"/>
      <c r="CT31" s="542"/>
      <c r="CU31" s="542"/>
      <c r="CW31" s="151"/>
    </row>
    <row r="32" spans="1:101" s="550" customFormat="1" ht="12.75" customHeight="1" outlineLevel="1" x14ac:dyDescent="0.2">
      <c r="C32" s="566" t="s">
        <v>945</v>
      </c>
      <c r="D32" s="567" t="s">
        <v>946</v>
      </c>
      <c r="E32" s="567"/>
      <c r="F32" s="882"/>
      <c r="G32" s="333"/>
      <c r="H32" s="333"/>
      <c r="I32" s="333"/>
      <c r="J32" s="333"/>
      <c r="K32" s="333"/>
      <c r="L32" s="334"/>
      <c r="M32" s="333"/>
      <c r="N32" s="333"/>
      <c r="O32" s="333"/>
      <c r="P32" s="333">
        <f t="shared" si="70"/>
        <v>0</v>
      </c>
      <c r="Q32" s="882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>
        <f t="shared" si="5"/>
        <v>0</v>
      </c>
      <c r="AI32" s="882"/>
      <c r="AJ32" s="336"/>
      <c r="AK32" s="336"/>
      <c r="AL32" s="336"/>
      <c r="AM32" s="336"/>
      <c r="AN32" s="336"/>
      <c r="AO32" s="336"/>
      <c r="AP32" s="336"/>
      <c r="AQ32" s="336"/>
      <c r="AR32" s="336"/>
      <c r="AS32" s="336"/>
      <c r="AT32" s="336"/>
      <c r="AU32" s="336"/>
      <c r="AV32" s="336"/>
      <c r="AW32" s="336"/>
      <c r="AX32" s="336"/>
      <c r="AY32" s="336">
        <f t="shared" si="74"/>
        <v>0</v>
      </c>
      <c r="AZ32" s="882"/>
      <c r="BA32" s="337"/>
      <c r="BB32" s="337"/>
      <c r="BC32" s="337">
        <f t="shared" si="10"/>
        <v>0</v>
      </c>
      <c r="BD32" s="882"/>
      <c r="BE32" s="568">
        <f t="shared" si="11"/>
        <v>0</v>
      </c>
      <c r="BF32" s="568"/>
      <c r="BH32" s="888"/>
      <c r="BI32" s="888"/>
      <c r="BJ32" s="888"/>
      <c r="BK32" s="888"/>
      <c r="BL32" s="888"/>
      <c r="BM32" s="888"/>
      <c r="BN32" s="888"/>
      <c r="BO32" s="888"/>
      <c r="BP32" s="888"/>
      <c r="BQ32" s="888"/>
      <c r="BR32" s="888"/>
      <c r="BS32" s="888"/>
      <c r="BT32" s="888"/>
      <c r="BU32" s="888"/>
      <c r="BV32" s="888"/>
      <c r="BW32" s="888"/>
      <c r="BX32" s="888"/>
      <c r="BY32" s="888"/>
      <c r="BZ32" s="888"/>
      <c r="CA32" s="888"/>
      <c r="CB32" s="888"/>
      <c r="CC32" s="888"/>
      <c r="CD32" s="888"/>
      <c r="CE32" s="888"/>
      <c r="CF32" s="888"/>
      <c r="CG32" s="888"/>
      <c r="CH32" s="888"/>
      <c r="CI32" s="888"/>
      <c r="CJ32" s="888"/>
      <c r="CK32" s="888"/>
      <c r="CL32" s="888"/>
      <c r="CM32" s="888"/>
      <c r="CN32" s="888"/>
      <c r="CO32" s="888"/>
      <c r="CP32" s="888"/>
      <c r="CQ32" s="888"/>
      <c r="CR32" s="888"/>
      <c r="CS32" s="888"/>
      <c r="CT32" s="888"/>
      <c r="CU32" s="888"/>
      <c r="CW32" s="887">
        <f t="shared" ref="CW32:CW43" si="75">SUM(BH32:CU32)</f>
        <v>0</v>
      </c>
    </row>
    <row r="33" spans="1:101" s="84" customFormat="1" outlineLevel="1" x14ac:dyDescent="0.2">
      <c r="C33" s="50"/>
      <c r="D33" s="51"/>
      <c r="E33" s="51"/>
      <c r="G33" s="245"/>
      <c r="H33" s="245"/>
      <c r="I33" s="245"/>
      <c r="J33" s="245"/>
      <c r="K33" s="245"/>
      <c r="L33" s="247"/>
      <c r="M33" s="245"/>
      <c r="N33" s="245"/>
      <c r="O33" s="245"/>
      <c r="P33" s="245">
        <f t="shared" si="70"/>
        <v>0</v>
      </c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57">
        <f t="shared" si="5"/>
        <v>0</v>
      </c>
      <c r="AJ33" s="263"/>
      <c r="AK33" s="263"/>
      <c r="AL33" s="263"/>
      <c r="AM33" s="263"/>
      <c r="AN33" s="263"/>
      <c r="AO33" s="263"/>
      <c r="AP33" s="263"/>
      <c r="AQ33" s="263"/>
      <c r="AR33" s="263"/>
      <c r="AS33" s="263"/>
      <c r="AT33" s="263"/>
      <c r="AU33" s="263"/>
      <c r="AV33" s="263"/>
      <c r="AW33" s="263"/>
      <c r="AX33" s="263"/>
      <c r="AY33" s="263">
        <f t="shared" si="74"/>
        <v>0</v>
      </c>
      <c r="BA33" s="277"/>
      <c r="BB33" s="277"/>
      <c r="BC33" s="277">
        <f t="shared" si="10"/>
        <v>0</v>
      </c>
      <c r="BE33" s="55">
        <f t="shared" si="11"/>
        <v>0</v>
      </c>
      <c r="BF33" s="55"/>
      <c r="BH33" s="542"/>
      <c r="BI33" s="542"/>
      <c r="BJ33" s="542"/>
      <c r="BK33" s="542"/>
      <c r="BL33" s="542"/>
      <c r="BM33" s="542"/>
      <c r="BN33" s="542"/>
      <c r="BO33" s="542"/>
      <c r="BP33" s="542"/>
      <c r="BQ33" s="542"/>
      <c r="BR33" s="542"/>
      <c r="BS33" s="542"/>
      <c r="BT33" s="542"/>
      <c r="BU33" s="542"/>
      <c r="BV33" s="542"/>
      <c r="BW33" s="542"/>
      <c r="BX33" s="542"/>
      <c r="BY33" s="542"/>
      <c r="BZ33" s="542"/>
      <c r="CA33" s="542"/>
      <c r="CB33" s="542"/>
      <c r="CC33" s="542"/>
      <c r="CD33" s="542"/>
      <c r="CE33" s="542"/>
      <c r="CF33" s="542"/>
      <c r="CG33" s="542"/>
      <c r="CH33" s="542"/>
      <c r="CI33" s="542"/>
      <c r="CJ33" s="542"/>
      <c r="CK33" s="542"/>
      <c r="CL33" s="542"/>
      <c r="CM33" s="542"/>
      <c r="CN33" s="542"/>
      <c r="CO33" s="542"/>
      <c r="CP33" s="542"/>
      <c r="CQ33" s="542"/>
      <c r="CR33" s="542"/>
      <c r="CS33" s="542"/>
      <c r="CT33" s="542"/>
      <c r="CU33" s="542"/>
      <c r="CW33" s="151">
        <f t="shared" si="75"/>
        <v>0</v>
      </c>
    </row>
    <row r="34" spans="1:101" s="84" customFormat="1" outlineLevel="1" x14ac:dyDescent="0.2">
      <c r="A34" s="543"/>
      <c r="B34" s="543"/>
      <c r="C34" s="86" t="s">
        <v>402</v>
      </c>
      <c r="D34" s="61" t="str">
        <f>INDEX(Modules[Module], MATCH($C34, Modules[Code], 0))</f>
        <v>Volume of Waste &amp; Recycling</v>
      </c>
      <c r="E34" s="61"/>
      <c r="G34" s="297">
        <f t="shared" ref="G34:O34" ca="1" si="76">IFERROR(INDEX(INDIRECT($C34&amp;".Outputs["&amp;this.Year&amp;"]"), MATCH(G$5, INDIRECT($C34&amp;".Outputs[Vector]"), 0)), 0)</f>
        <v>0</v>
      </c>
      <c r="H34" s="297">
        <f t="shared" ca="1" si="76"/>
        <v>0</v>
      </c>
      <c r="I34" s="297">
        <f t="shared" ca="1" si="76"/>
        <v>0</v>
      </c>
      <c r="J34" s="297">
        <f t="shared" ca="1" si="76"/>
        <v>0</v>
      </c>
      <c r="K34" s="297">
        <f t="shared" ca="1" si="76"/>
        <v>0</v>
      </c>
      <c r="L34" s="297">
        <f t="shared" ca="1" si="76"/>
        <v>0</v>
      </c>
      <c r="M34" s="297">
        <f t="shared" ca="1" si="76"/>
        <v>0</v>
      </c>
      <c r="N34" s="297">
        <f t="shared" ca="1" si="76"/>
        <v>0</v>
      </c>
      <c r="O34" s="297">
        <f t="shared" ca="1" si="76"/>
        <v>0</v>
      </c>
      <c r="P34" s="297">
        <f t="shared" ca="1" si="70"/>
        <v>0</v>
      </c>
      <c r="R34" s="304">
        <f t="shared" ref="R34:AX34" ca="1" si="77">IFERROR(INDEX(INDIRECT($C34&amp;".Outputs["&amp;this.Year&amp;"]"), MATCH(R$5, INDIRECT($C34&amp;".Outputs[Vector]"), 0)), 0)</f>
        <v>0</v>
      </c>
      <c r="S34" s="304">
        <f t="shared" ca="1" si="77"/>
        <v>0</v>
      </c>
      <c r="T34" s="304">
        <f t="shared" ca="1" si="77"/>
        <v>0</v>
      </c>
      <c r="U34" s="304">
        <f t="shared" ca="1" si="77"/>
        <v>0</v>
      </c>
      <c r="V34" s="304">
        <f t="shared" ca="1" si="77"/>
        <v>0</v>
      </c>
      <c r="W34" s="304">
        <f t="shared" ca="1" si="77"/>
        <v>0</v>
      </c>
      <c r="X34" s="304">
        <f t="shared" ref="X34:Z35" ca="1" si="78">IFERROR(INDEX(INDIRECT($C34&amp;".Outputs["&amp;this.Year&amp;"]"), MATCH(X$5, INDIRECT($C34&amp;".Outputs[Vector]"), 0)), 0)</f>
        <v>4.2171418333333337</v>
      </c>
      <c r="Y34" s="304">
        <f t="shared" ca="1" si="78"/>
        <v>0</v>
      </c>
      <c r="Z34" s="304">
        <f t="shared" ca="1" si="78"/>
        <v>0</v>
      </c>
      <c r="AA34" s="304">
        <f t="shared" ca="1" si="77"/>
        <v>0</v>
      </c>
      <c r="AB34" s="304">
        <f t="shared" ca="1" si="77"/>
        <v>0</v>
      </c>
      <c r="AC34" s="304">
        <f t="shared" ca="1" si="77"/>
        <v>0</v>
      </c>
      <c r="AD34" s="304">
        <f t="shared" ca="1" si="77"/>
        <v>0</v>
      </c>
      <c r="AE34" s="304">
        <f t="shared" ca="1" si="77"/>
        <v>7.1748722733333343</v>
      </c>
      <c r="AF34" s="304">
        <f t="shared" ca="1" si="77"/>
        <v>8.5872765069334118</v>
      </c>
      <c r="AG34" s="304">
        <f t="shared" ca="1" si="77"/>
        <v>3.6967332308852345</v>
      </c>
      <c r="AH34" s="305">
        <f t="shared" ca="1" si="5"/>
        <v>23.676023844485314</v>
      </c>
      <c r="AJ34" s="312">
        <f t="shared" ref="AJ34:AR35" ca="1" si="79">IFERROR(INDEX(INDIRECT($C34&amp;".Outputs["&amp;this.Year&amp;"]"), MATCH(AJ$5, INDIRECT($C34&amp;".Outputs[Vector]"), 0)), 0)</f>
        <v>0</v>
      </c>
      <c r="AK34" s="312">
        <f t="shared" ca="1" si="79"/>
        <v>0</v>
      </c>
      <c r="AL34" s="312">
        <f t="shared" ca="1" si="79"/>
        <v>0</v>
      </c>
      <c r="AM34" s="312">
        <f t="shared" ca="1" si="79"/>
        <v>0</v>
      </c>
      <c r="AN34" s="312">
        <f t="shared" ca="1" si="79"/>
        <v>0</v>
      </c>
      <c r="AO34" s="312">
        <f t="shared" ca="1" si="79"/>
        <v>0</v>
      </c>
      <c r="AP34" s="312">
        <f t="shared" ca="1" si="79"/>
        <v>0</v>
      </c>
      <c r="AQ34" s="312">
        <f t="shared" ca="1" si="79"/>
        <v>0</v>
      </c>
      <c r="AR34" s="312">
        <f t="shared" ca="1" si="79"/>
        <v>0</v>
      </c>
      <c r="AS34" s="312">
        <f t="shared" ca="1" si="77"/>
        <v>0</v>
      </c>
      <c r="AT34" s="312">
        <f t="shared" ca="1" si="77"/>
        <v>0</v>
      </c>
      <c r="AU34" s="312">
        <f t="shared" ca="1" si="77"/>
        <v>0</v>
      </c>
      <c r="AV34" s="312">
        <f t="shared" ca="1" si="77"/>
        <v>0</v>
      </c>
      <c r="AW34" s="312">
        <f t="shared" ca="1" si="77"/>
        <v>0</v>
      </c>
      <c r="AX34" s="312">
        <f t="shared" ca="1" si="77"/>
        <v>-23.676023844485314</v>
      </c>
      <c r="AY34" s="266">
        <f t="shared" ca="1" si="74"/>
        <v>-23.676023844485314</v>
      </c>
      <c r="BA34" s="308">
        <f t="shared" ref="BA34:BB35" ca="1" si="80">IFERROR(INDEX(INDIRECT($C34&amp;".Outputs["&amp;this.Year&amp;"]"), MATCH(BA$5, INDIRECT($C34&amp;".Outputs[Vector]"), 0)), 0)</f>
        <v>0</v>
      </c>
      <c r="BB34" s="308">
        <f t="shared" ca="1" si="80"/>
        <v>0</v>
      </c>
      <c r="BC34" s="309">
        <f t="shared" ca="1" si="10"/>
        <v>0</v>
      </c>
      <c r="BE34" s="135"/>
      <c r="BF34" s="135"/>
      <c r="BG34" s="1428"/>
      <c r="BH34" s="541">
        <f t="shared" ref="BH34:BQ35" ca="1" si="81">IFERROR(SUMIFS(INDIRECT($C34&amp;".Emissions["&amp;this.Year&amp;"]"), INDIRECT($C34&amp;".Emissions[GHG]"), BH$6, INDIRECT($C34&amp;".Emissions[IPCC Sector]"), BH$5),0)</f>
        <v>0</v>
      </c>
      <c r="BI34" s="542">
        <f t="shared" ca="1" si="81"/>
        <v>0</v>
      </c>
      <c r="BJ34" s="542">
        <f t="shared" ca="1" si="81"/>
        <v>0</v>
      </c>
      <c r="BK34" s="542">
        <f t="shared" ca="1" si="81"/>
        <v>0</v>
      </c>
      <c r="BL34" s="542">
        <f t="shared" ca="1" si="81"/>
        <v>0</v>
      </c>
      <c r="BM34" s="542">
        <f t="shared" ca="1" si="81"/>
        <v>0</v>
      </c>
      <c r="BN34" s="542">
        <f t="shared" ca="1" si="81"/>
        <v>0</v>
      </c>
      <c r="BO34" s="542">
        <f t="shared" ca="1" si="81"/>
        <v>0</v>
      </c>
      <c r="BP34" s="542">
        <f t="shared" ca="1" si="81"/>
        <v>0</v>
      </c>
      <c r="BQ34" s="542">
        <f t="shared" ca="1" si="81"/>
        <v>0</v>
      </c>
      <c r="BR34" s="542">
        <f t="shared" ref="BR34:CA35" ca="1" si="82">IFERROR(SUMIFS(INDIRECT($C34&amp;".Emissions["&amp;this.Year&amp;"]"), INDIRECT($C34&amp;".Emissions[GHG]"), BR$6, INDIRECT($C34&amp;".Emissions[IPCC Sector]"), BR$5),0)</f>
        <v>0</v>
      </c>
      <c r="BS34" s="542">
        <f t="shared" ca="1" si="82"/>
        <v>0</v>
      </c>
      <c r="BT34" s="542">
        <f t="shared" ca="1" si="82"/>
        <v>0</v>
      </c>
      <c r="BU34" s="542">
        <f t="shared" ca="1" si="82"/>
        <v>0</v>
      </c>
      <c r="BV34" s="542">
        <f t="shared" ca="1" si="82"/>
        <v>0</v>
      </c>
      <c r="BW34" s="542">
        <f t="shared" ca="1" si="82"/>
        <v>0</v>
      </c>
      <c r="BX34" s="542">
        <f t="shared" ca="1" si="82"/>
        <v>0</v>
      </c>
      <c r="BY34" s="542">
        <f t="shared" ca="1" si="82"/>
        <v>0</v>
      </c>
      <c r="BZ34" s="542">
        <f t="shared" ca="1" si="82"/>
        <v>0</v>
      </c>
      <c r="CA34" s="542">
        <f t="shared" ca="1" si="82"/>
        <v>0</v>
      </c>
      <c r="CB34" s="542">
        <f t="shared" ref="CB34:CK35" ca="1" si="83">IFERROR(SUMIFS(INDIRECT($C34&amp;".Emissions["&amp;this.Year&amp;"]"), INDIRECT($C34&amp;".Emissions[GHG]"), CB$6, INDIRECT($C34&amp;".Emissions[IPCC Sector]"), CB$5),0)</f>
        <v>0</v>
      </c>
      <c r="CC34" s="542">
        <f t="shared" ca="1" si="83"/>
        <v>0</v>
      </c>
      <c r="CD34" s="542">
        <f t="shared" ca="1" si="83"/>
        <v>0</v>
      </c>
      <c r="CE34" s="542">
        <f t="shared" ca="1" si="83"/>
        <v>0</v>
      </c>
      <c r="CF34" s="542">
        <f t="shared" ca="1" si="83"/>
        <v>0</v>
      </c>
      <c r="CG34" s="542">
        <f t="shared" ca="1" si="83"/>
        <v>1.1144924614214589</v>
      </c>
      <c r="CH34" s="542">
        <f t="shared" ca="1" si="83"/>
        <v>0</v>
      </c>
      <c r="CI34" s="542">
        <f t="shared" ca="1" si="83"/>
        <v>0</v>
      </c>
      <c r="CJ34" s="542">
        <f t="shared" ca="1" si="83"/>
        <v>0</v>
      </c>
      <c r="CK34" s="542">
        <f t="shared" ca="1" si="83"/>
        <v>0</v>
      </c>
      <c r="CL34" s="542">
        <f t="shared" ref="CL34:CU35" ca="1" si="84">IFERROR(SUMIFS(INDIRECT($C34&amp;".Emissions["&amp;this.Year&amp;"]"), INDIRECT($C34&amp;".Emissions[GHG]"), CL$6, INDIRECT($C34&amp;".Emissions[IPCC Sector]"), CL$5),0)</f>
        <v>0</v>
      </c>
      <c r="CM34" s="542">
        <f t="shared" ca="1" si="84"/>
        <v>0</v>
      </c>
      <c r="CN34" s="542">
        <f t="shared" ca="1" si="84"/>
        <v>0</v>
      </c>
      <c r="CO34" s="542">
        <f t="shared" ca="1" si="84"/>
        <v>0</v>
      </c>
      <c r="CP34" s="542">
        <f t="shared" ca="1" si="84"/>
        <v>0</v>
      </c>
      <c r="CQ34" s="542">
        <f t="shared" ca="1" si="84"/>
        <v>0</v>
      </c>
      <c r="CR34" s="542">
        <f t="shared" ca="1" si="84"/>
        <v>0</v>
      </c>
      <c r="CS34" s="542">
        <f t="shared" ca="1" si="84"/>
        <v>0</v>
      </c>
      <c r="CT34" s="542">
        <f t="shared" ca="1" si="84"/>
        <v>0</v>
      </c>
      <c r="CU34" s="542">
        <f t="shared" ca="1" si="84"/>
        <v>0</v>
      </c>
      <c r="CW34" s="151">
        <f t="shared" ca="1" si="75"/>
        <v>1.1144924614214589</v>
      </c>
    </row>
    <row r="35" spans="1:101" s="84" customFormat="1" ht="12.75" customHeight="1" outlineLevel="1" x14ac:dyDescent="0.2">
      <c r="A35" s="543"/>
      <c r="B35" s="543"/>
      <c r="C35" s="86" t="s">
        <v>380</v>
      </c>
      <c r="D35" s="292" t="str">
        <f>INDEX(Modules[Module], MATCH($C35, Modules[Code], 0))</f>
        <v>Agriculture and land use</v>
      </c>
      <c r="E35" s="292"/>
      <c r="G35" s="301">
        <f t="shared" ref="G35:O35" ca="1" si="85">IFERROR(INDEX(INDIRECT($C35&amp;".Outputs["&amp;this.Year&amp;"]"), MATCH(G$5, INDIRECT($C35&amp;".Outputs[Vector]"), 0)), 0)</f>
        <v>0</v>
      </c>
      <c r="H35" s="301">
        <f t="shared" ca="1" si="85"/>
        <v>0</v>
      </c>
      <c r="I35" s="301">
        <f t="shared" ca="1" si="85"/>
        <v>0</v>
      </c>
      <c r="J35" s="301">
        <f t="shared" ca="1" si="85"/>
        <v>16.585659826309247</v>
      </c>
      <c r="K35" s="301">
        <f t="shared" ca="1" si="85"/>
        <v>0</v>
      </c>
      <c r="L35" s="301">
        <f t="shared" ca="1" si="85"/>
        <v>0</v>
      </c>
      <c r="M35" s="301">
        <f t="shared" ca="1" si="85"/>
        <v>0</v>
      </c>
      <c r="N35" s="301">
        <f t="shared" ca="1" si="85"/>
        <v>0</v>
      </c>
      <c r="O35" s="301">
        <f t="shared" ca="1" si="85"/>
        <v>0</v>
      </c>
      <c r="P35" s="301">
        <f t="shared" ca="1" si="70"/>
        <v>16.585659826309247</v>
      </c>
      <c r="R35" s="307">
        <f t="shared" ref="R35:AG35" ca="1" si="86">IFERROR(INDEX(INDIRECT($C35&amp;".Outputs["&amp;this.Year&amp;"]"), MATCH(R$5, INDIRECT($C35&amp;".Outputs[Vector]"), 0)), 0)</f>
        <v>-1.9736935193308003</v>
      </c>
      <c r="S35" s="307">
        <f t="shared" ca="1" si="86"/>
        <v>0</v>
      </c>
      <c r="T35" s="307">
        <f t="shared" ca="1" si="86"/>
        <v>-1.6585659826309246E-2</v>
      </c>
      <c r="U35" s="307">
        <f t="shared" ca="1" si="86"/>
        <v>-3.1512753669987568</v>
      </c>
      <c r="V35" s="307">
        <f t="shared" ca="1" si="86"/>
        <v>-1.4927093843678321</v>
      </c>
      <c r="W35" s="307">
        <f t="shared" ca="1" si="86"/>
        <v>-9.9513958957855468</v>
      </c>
      <c r="X35" s="307">
        <f t="shared" ca="1" si="78"/>
        <v>0</v>
      </c>
      <c r="Y35" s="307">
        <f t="shared" ca="1" si="78"/>
        <v>0</v>
      </c>
      <c r="Z35" s="307">
        <f t="shared" ca="1" si="78"/>
        <v>0</v>
      </c>
      <c r="AA35" s="307">
        <f t="shared" ca="1" si="86"/>
        <v>0</v>
      </c>
      <c r="AB35" s="307">
        <f t="shared" ca="1" si="86"/>
        <v>0</v>
      </c>
      <c r="AC35" s="307">
        <f t="shared" ca="1" si="86"/>
        <v>3015.7127577094616</v>
      </c>
      <c r="AD35" s="307">
        <f t="shared" ca="1" si="86"/>
        <v>32.848539178829725</v>
      </c>
      <c r="AE35" s="307">
        <f t="shared" ca="1" si="86"/>
        <v>380.76324560991958</v>
      </c>
      <c r="AF35" s="307">
        <f t="shared" ca="1" si="86"/>
        <v>105.48372380391389</v>
      </c>
      <c r="AG35" s="307">
        <f t="shared" ca="1" si="86"/>
        <v>0</v>
      </c>
      <c r="AH35" s="306">
        <f t="shared" ca="1" si="5"/>
        <v>3518.2226064758156</v>
      </c>
      <c r="AJ35" s="315">
        <f t="shared" ca="1" si="79"/>
        <v>0</v>
      </c>
      <c r="AK35" s="315">
        <f t="shared" ca="1" si="79"/>
        <v>0</v>
      </c>
      <c r="AL35" s="315">
        <f t="shared" ca="1" si="79"/>
        <v>0</v>
      </c>
      <c r="AM35" s="315">
        <f t="shared" ca="1" si="79"/>
        <v>0</v>
      </c>
      <c r="AN35" s="315">
        <f t="shared" ca="1" si="79"/>
        <v>0</v>
      </c>
      <c r="AO35" s="315">
        <f t="shared" ca="1" si="79"/>
        <v>0</v>
      </c>
      <c r="AP35" s="315">
        <f t="shared" ca="1" si="79"/>
        <v>0</v>
      </c>
      <c r="AQ35" s="315">
        <f t="shared" ca="1" si="79"/>
        <v>0</v>
      </c>
      <c r="AR35" s="315">
        <f t="shared" ca="1" si="79"/>
        <v>0</v>
      </c>
      <c r="AS35" s="315">
        <f t="shared" ref="AS35:AX35" ca="1" si="87">IFERROR(INDEX(INDIRECT($C35&amp;".Outputs["&amp;this.Year&amp;"]"), MATCH(AS$5, INDIRECT($C35&amp;".Outputs[Vector]"), 0)), 0)</f>
        <v>0</v>
      </c>
      <c r="AT35" s="315">
        <f t="shared" ca="1" si="87"/>
        <v>0</v>
      </c>
      <c r="AU35" s="315">
        <f t="shared" ca="1" si="87"/>
        <v>0</v>
      </c>
      <c r="AV35" s="315">
        <f t="shared" ca="1" si="87"/>
        <v>0</v>
      </c>
      <c r="AW35" s="315">
        <f t="shared" ca="1" si="87"/>
        <v>-3048.5612968882915</v>
      </c>
      <c r="AX35" s="315">
        <f t="shared" ca="1" si="87"/>
        <v>-486.24696941383348</v>
      </c>
      <c r="AY35" s="293">
        <f t="shared" ca="1" si="74"/>
        <v>-3534.808266302125</v>
      </c>
      <c r="BA35" s="311">
        <f t="shared" ca="1" si="80"/>
        <v>0</v>
      </c>
      <c r="BB35" s="311">
        <f t="shared" ca="1" si="80"/>
        <v>0</v>
      </c>
      <c r="BC35" s="310">
        <f t="shared" ca="1" si="10"/>
        <v>0</v>
      </c>
      <c r="BE35" s="135">
        <f ca="1">P35+AH35+AY35+BC35</f>
        <v>0</v>
      </c>
      <c r="BF35" s="135"/>
      <c r="BG35" s="1428"/>
      <c r="BH35" s="544">
        <f t="shared" ca="1" si="81"/>
        <v>1.0675857516998735</v>
      </c>
      <c r="BI35" s="545">
        <f t="shared" ca="1" si="81"/>
        <v>1.5463870232241819E-3</v>
      </c>
      <c r="BJ35" s="545">
        <f t="shared" ca="1" si="81"/>
        <v>1.4811870270419842E-2</v>
      </c>
      <c r="BK35" s="545">
        <f t="shared" ca="1" si="81"/>
        <v>0</v>
      </c>
      <c r="BL35" s="545">
        <f t="shared" ca="1" si="81"/>
        <v>0</v>
      </c>
      <c r="BM35" s="545">
        <f t="shared" ca="1" si="81"/>
        <v>0</v>
      </c>
      <c r="BN35" s="545">
        <f t="shared" ca="1" si="81"/>
        <v>0</v>
      </c>
      <c r="BO35" s="545">
        <f t="shared" ca="1" si="81"/>
        <v>0</v>
      </c>
      <c r="BP35" s="545">
        <f t="shared" ca="1" si="81"/>
        <v>0</v>
      </c>
      <c r="BQ35" s="545">
        <f t="shared" ca="1" si="81"/>
        <v>0</v>
      </c>
      <c r="BR35" s="545">
        <f t="shared" ca="1" si="82"/>
        <v>0</v>
      </c>
      <c r="BS35" s="545">
        <f t="shared" ca="1" si="82"/>
        <v>0</v>
      </c>
      <c r="BT35" s="545">
        <f t="shared" ca="1" si="82"/>
        <v>0</v>
      </c>
      <c r="BU35" s="545">
        <f t="shared" ca="1" si="82"/>
        <v>0</v>
      </c>
      <c r="BV35" s="545">
        <f t="shared" ca="1" si="82"/>
        <v>0</v>
      </c>
      <c r="BW35" s="545">
        <f t="shared" ca="1" si="82"/>
        <v>0</v>
      </c>
      <c r="BX35" s="545">
        <f t="shared" ca="1" si="82"/>
        <v>0</v>
      </c>
      <c r="BY35" s="545">
        <f t="shared" ca="1" si="82"/>
        <v>0</v>
      </c>
      <c r="BZ35" s="545">
        <f t="shared" ca="1" si="82"/>
        <v>21.39703190459873</v>
      </c>
      <c r="CA35" s="545">
        <f t="shared" ca="1" si="82"/>
        <v>0</v>
      </c>
      <c r="CB35" s="545">
        <f t="shared" ca="1" si="83"/>
        <v>-1.7523899681333004</v>
      </c>
      <c r="CC35" s="545">
        <f t="shared" ca="1" si="83"/>
        <v>0</v>
      </c>
      <c r="CD35" s="545">
        <f t="shared" ca="1" si="83"/>
        <v>0</v>
      </c>
      <c r="CE35" s="545">
        <f t="shared" ca="1" si="83"/>
        <v>0</v>
      </c>
      <c r="CF35" s="545">
        <f t="shared" ca="1" si="83"/>
        <v>0</v>
      </c>
      <c r="CG35" s="545">
        <f t="shared" ca="1" si="83"/>
        <v>0</v>
      </c>
      <c r="CH35" s="545">
        <f t="shared" ca="1" si="83"/>
        <v>0</v>
      </c>
      <c r="CI35" s="545">
        <f t="shared" ca="1" si="83"/>
        <v>0</v>
      </c>
      <c r="CJ35" s="545">
        <f t="shared" ca="1" si="83"/>
        <v>0</v>
      </c>
      <c r="CK35" s="545">
        <f t="shared" ca="1" si="83"/>
        <v>0</v>
      </c>
      <c r="CL35" s="545">
        <f t="shared" ca="1" si="84"/>
        <v>0</v>
      </c>
      <c r="CM35" s="545">
        <f t="shared" ca="1" si="84"/>
        <v>0</v>
      </c>
      <c r="CN35" s="545">
        <f t="shared" ca="1" si="84"/>
        <v>0</v>
      </c>
      <c r="CO35" s="545">
        <f t="shared" ca="1" si="84"/>
        <v>0</v>
      </c>
      <c r="CP35" s="545">
        <f t="shared" ca="1" si="84"/>
        <v>0</v>
      </c>
      <c r="CQ35" s="545">
        <f t="shared" ca="1" si="84"/>
        <v>0</v>
      </c>
      <c r="CR35" s="545">
        <f t="shared" ca="1" si="84"/>
        <v>0</v>
      </c>
      <c r="CS35" s="545">
        <f t="shared" ca="1" si="84"/>
        <v>0</v>
      </c>
      <c r="CT35" s="545">
        <f t="shared" ca="1" si="84"/>
        <v>0</v>
      </c>
      <c r="CU35" s="545">
        <f t="shared" ca="1" si="84"/>
        <v>0</v>
      </c>
      <c r="CW35" s="151">
        <f t="shared" ca="1" si="75"/>
        <v>20.728585945458946</v>
      </c>
    </row>
    <row r="36" spans="1:101" s="84" customFormat="1" ht="15.75" x14ac:dyDescent="0.2">
      <c r="A36" s="18"/>
      <c r="B36" s="89"/>
      <c r="C36" s="85" t="s">
        <v>225</v>
      </c>
      <c r="D36" s="57" t="str">
        <f>INDEX(Workstreams[Workstream], MATCH($C36, Workstreams[Code], 0))</f>
        <v>Agriculture &amp; waste</v>
      </c>
      <c r="E36" s="53"/>
      <c r="G36" s="300">
        <f t="shared" ref="G36:O36" ca="1" si="88">SUM(G34:G35)</f>
        <v>0</v>
      </c>
      <c r="H36" s="300">
        <f t="shared" ca="1" si="88"/>
        <v>0</v>
      </c>
      <c r="I36" s="300">
        <f t="shared" ca="1" si="88"/>
        <v>0</v>
      </c>
      <c r="J36" s="300">
        <f t="shared" ca="1" si="88"/>
        <v>16.585659826309247</v>
      </c>
      <c r="K36" s="300">
        <f t="shared" ca="1" si="88"/>
        <v>0</v>
      </c>
      <c r="L36" s="300">
        <f t="shared" ca="1" si="88"/>
        <v>0</v>
      </c>
      <c r="M36" s="300">
        <f t="shared" ca="1" si="88"/>
        <v>0</v>
      </c>
      <c r="N36" s="300">
        <f t="shared" ca="1" si="88"/>
        <v>0</v>
      </c>
      <c r="O36" s="300">
        <f t="shared" ca="1" si="88"/>
        <v>0</v>
      </c>
      <c r="P36" s="300">
        <f t="shared" ca="1" si="70"/>
        <v>16.585659826309247</v>
      </c>
      <c r="R36" s="257">
        <f t="shared" ref="R36:AG36" ca="1" si="89">SUM(R34:R35)</f>
        <v>-1.9736935193308003</v>
      </c>
      <c r="S36" s="257">
        <f t="shared" ca="1" si="89"/>
        <v>0</v>
      </c>
      <c r="T36" s="257">
        <f t="shared" ca="1" si="89"/>
        <v>-1.6585659826309246E-2</v>
      </c>
      <c r="U36" s="257">
        <f t="shared" ca="1" si="89"/>
        <v>-3.1512753669987568</v>
      </c>
      <c r="V36" s="257">
        <f t="shared" ca="1" si="89"/>
        <v>-1.4927093843678321</v>
      </c>
      <c r="W36" s="257">
        <f t="shared" ca="1" si="89"/>
        <v>-9.9513958957855468</v>
      </c>
      <c r="X36" s="257">
        <f t="shared" ca="1" si="89"/>
        <v>4.2171418333333337</v>
      </c>
      <c r="Y36" s="257">
        <f t="shared" ca="1" si="89"/>
        <v>0</v>
      </c>
      <c r="Z36" s="257">
        <f t="shared" ca="1" si="89"/>
        <v>0</v>
      </c>
      <c r="AA36" s="257">
        <f t="shared" ca="1" si="89"/>
        <v>0</v>
      </c>
      <c r="AB36" s="257">
        <f t="shared" ca="1" si="89"/>
        <v>0</v>
      </c>
      <c r="AC36" s="257">
        <f t="shared" ca="1" si="89"/>
        <v>3015.7127577094616</v>
      </c>
      <c r="AD36" s="257">
        <f t="shared" ca="1" si="89"/>
        <v>32.848539178829725</v>
      </c>
      <c r="AE36" s="257">
        <f t="shared" ca="1" si="89"/>
        <v>387.93811788325291</v>
      </c>
      <c r="AF36" s="257">
        <f t="shared" ca="1" si="89"/>
        <v>114.0710003108473</v>
      </c>
      <c r="AG36" s="257">
        <f t="shared" ca="1" si="89"/>
        <v>3.6967332308852345</v>
      </c>
      <c r="AH36" s="257">
        <f t="shared" ca="1" si="5"/>
        <v>3541.8986303203014</v>
      </c>
      <c r="AJ36" s="263">
        <f t="shared" ref="AJ36:AX36" ca="1" si="90">SUM(AJ34:AJ35)</f>
        <v>0</v>
      </c>
      <c r="AK36" s="263">
        <f t="shared" ca="1" si="90"/>
        <v>0</v>
      </c>
      <c r="AL36" s="263">
        <f t="shared" ca="1" si="90"/>
        <v>0</v>
      </c>
      <c r="AM36" s="263">
        <f t="shared" ca="1" si="90"/>
        <v>0</v>
      </c>
      <c r="AN36" s="263">
        <f t="shared" ca="1" si="90"/>
        <v>0</v>
      </c>
      <c r="AO36" s="263">
        <f t="shared" ca="1" si="90"/>
        <v>0</v>
      </c>
      <c r="AP36" s="263">
        <f t="shared" ca="1" si="90"/>
        <v>0</v>
      </c>
      <c r="AQ36" s="263">
        <f t="shared" ca="1" si="90"/>
        <v>0</v>
      </c>
      <c r="AR36" s="263">
        <f t="shared" ca="1" si="90"/>
        <v>0</v>
      </c>
      <c r="AS36" s="263">
        <f t="shared" ca="1" si="90"/>
        <v>0</v>
      </c>
      <c r="AT36" s="263">
        <f t="shared" ca="1" si="90"/>
        <v>0</v>
      </c>
      <c r="AU36" s="263">
        <f t="shared" ca="1" si="90"/>
        <v>0</v>
      </c>
      <c r="AV36" s="263">
        <f t="shared" ca="1" si="90"/>
        <v>0</v>
      </c>
      <c r="AW36" s="263">
        <f t="shared" ca="1" si="90"/>
        <v>-3048.5612968882915</v>
      </c>
      <c r="AX36" s="263">
        <f t="shared" ca="1" si="90"/>
        <v>-509.9229932583188</v>
      </c>
      <c r="AY36" s="263">
        <f t="shared" ca="1" si="74"/>
        <v>-3558.4842901466104</v>
      </c>
      <c r="BA36" s="277">
        <f ca="1">SUM(BA34:BA35)</f>
        <v>0</v>
      </c>
      <c r="BB36" s="277">
        <f ca="1">SUM(BB34:BB35)</f>
        <v>0</v>
      </c>
      <c r="BC36" s="277">
        <f t="shared" ca="1" si="10"/>
        <v>0</v>
      </c>
      <c r="BE36" s="55">
        <f ca="1">P36+AH36+AY36+BC36</f>
        <v>4.5474735088646412E-13</v>
      </c>
      <c r="BF36" s="55"/>
      <c r="BG36" s="1428"/>
      <c r="BH36" s="542">
        <f t="shared" ref="BH36:CU36" ca="1" si="91">SUM(BH34:BH35)</f>
        <v>1.0675857516998735</v>
      </c>
      <c r="BI36" s="542">
        <f t="shared" ca="1" si="91"/>
        <v>1.5463870232241819E-3</v>
      </c>
      <c r="BJ36" s="542">
        <f t="shared" ca="1" si="91"/>
        <v>1.4811870270419842E-2</v>
      </c>
      <c r="BK36" s="542">
        <f t="shared" ca="1" si="91"/>
        <v>0</v>
      </c>
      <c r="BL36" s="542">
        <f t="shared" ca="1" si="91"/>
        <v>0</v>
      </c>
      <c r="BM36" s="542">
        <f t="shared" ca="1" si="91"/>
        <v>0</v>
      </c>
      <c r="BN36" s="542">
        <f t="shared" ca="1" si="91"/>
        <v>0</v>
      </c>
      <c r="BO36" s="542">
        <f t="shared" ca="1" si="91"/>
        <v>0</v>
      </c>
      <c r="BP36" s="542">
        <f t="shared" ca="1" si="91"/>
        <v>0</v>
      </c>
      <c r="BQ36" s="542">
        <f t="shared" ca="1" si="91"/>
        <v>0</v>
      </c>
      <c r="BR36" s="542">
        <f t="shared" ca="1" si="91"/>
        <v>0</v>
      </c>
      <c r="BS36" s="542">
        <f t="shared" ca="1" si="91"/>
        <v>0</v>
      </c>
      <c r="BT36" s="542">
        <f t="shared" ca="1" si="91"/>
        <v>0</v>
      </c>
      <c r="BU36" s="542">
        <f t="shared" ca="1" si="91"/>
        <v>0</v>
      </c>
      <c r="BV36" s="542">
        <f t="shared" ca="1" si="91"/>
        <v>0</v>
      </c>
      <c r="BW36" s="542">
        <f t="shared" ca="1" si="91"/>
        <v>0</v>
      </c>
      <c r="BX36" s="542">
        <f t="shared" ca="1" si="91"/>
        <v>0</v>
      </c>
      <c r="BY36" s="542">
        <f t="shared" ca="1" si="91"/>
        <v>0</v>
      </c>
      <c r="BZ36" s="542">
        <f t="shared" ca="1" si="91"/>
        <v>21.39703190459873</v>
      </c>
      <c r="CA36" s="542">
        <f t="shared" ca="1" si="91"/>
        <v>0</v>
      </c>
      <c r="CB36" s="542">
        <f t="shared" ca="1" si="91"/>
        <v>-1.7523899681333004</v>
      </c>
      <c r="CC36" s="542">
        <f t="shared" ca="1" si="91"/>
        <v>0</v>
      </c>
      <c r="CD36" s="542">
        <f t="shared" ca="1" si="91"/>
        <v>0</v>
      </c>
      <c r="CE36" s="542">
        <f t="shared" ca="1" si="91"/>
        <v>0</v>
      </c>
      <c r="CF36" s="542">
        <f t="shared" ca="1" si="91"/>
        <v>0</v>
      </c>
      <c r="CG36" s="542">
        <f t="shared" ca="1" si="91"/>
        <v>1.1144924614214589</v>
      </c>
      <c r="CH36" s="542">
        <f t="shared" ca="1" si="91"/>
        <v>0</v>
      </c>
      <c r="CI36" s="542">
        <f t="shared" ca="1" si="91"/>
        <v>0</v>
      </c>
      <c r="CJ36" s="542">
        <f t="shared" ca="1" si="91"/>
        <v>0</v>
      </c>
      <c r="CK36" s="542">
        <f t="shared" ca="1" si="91"/>
        <v>0</v>
      </c>
      <c r="CL36" s="542">
        <f t="shared" ca="1" si="91"/>
        <v>0</v>
      </c>
      <c r="CM36" s="542">
        <f t="shared" ca="1" si="91"/>
        <v>0</v>
      </c>
      <c r="CN36" s="542">
        <f t="shared" ca="1" si="91"/>
        <v>0</v>
      </c>
      <c r="CO36" s="542">
        <f t="shared" ca="1" si="91"/>
        <v>0</v>
      </c>
      <c r="CP36" s="542">
        <f t="shared" ca="1" si="91"/>
        <v>0</v>
      </c>
      <c r="CQ36" s="542">
        <f t="shared" ca="1" si="91"/>
        <v>0</v>
      </c>
      <c r="CR36" s="542">
        <f t="shared" ca="1" si="91"/>
        <v>0</v>
      </c>
      <c r="CS36" s="542">
        <f t="shared" ca="1" si="91"/>
        <v>0</v>
      </c>
      <c r="CT36" s="542">
        <f t="shared" ca="1" si="91"/>
        <v>0</v>
      </c>
      <c r="CU36" s="542">
        <f t="shared" ca="1" si="91"/>
        <v>0</v>
      </c>
      <c r="CW36" s="151">
        <f t="shared" ca="1" si="75"/>
        <v>21.843078406880405</v>
      </c>
    </row>
    <row r="37" spans="1:101" s="84" customFormat="1" ht="12.75" customHeight="1" outlineLevel="1" x14ac:dyDescent="0.2">
      <c r="A37" s="18"/>
      <c r="B37" s="18"/>
      <c r="C37" s="87"/>
      <c r="D37" s="53"/>
      <c r="E37" s="53"/>
      <c r="G37" s="245"/>
      <c r="H37" s="245"/>
      <c r="I37" s="245"/>
      <c r="J37" s="245"/>
      <c r="K37" s="245"/>
      <c r="L37" s="247"/>
      <c r="M37" s="245"/>
      <c r="N37" s="245"/>
      <c r="O37" s="245"/>
      <c r="P37" s="245">
        <f t="shared" si="70"/>
        <v>0</v>
      </c>
      <c r="R37" s="257"/>
      <c r="S37" s="257"/>
      <c r="T37" s="257"/>
      <c r="U37" s="257"/>
      <c r="V37" s="257"/>
      <c r="W37" s="257"/>
      <c r="X37" s="257"/>
      <c r="Y37" s="257"/>
      <c r="Z37" s="257"/>
      <c r="AA37" s="257"/>
      <c r="AB37" s="257"/>
      <c r="AC37" s="257"/>
      <c r="AD37" s="257"/>
      <c r="AE37" s="257"/>
      <c r="AF37" s="257"/>
      <c r="AG37" s="257"/>
      <c r="AH37" s="257">
        <f t="shared" si="5"/>
        <v>0</v>
      </c>
      <c r="AJ37" s="263"/>
      <c r="AK37" s="263"/>
      <c r="AL37" s="263"/>
      <c r="AM37" s="263"/>
      <c r="AN37" s="263"/>
      <c r="AO37" s="263"/>
      <c r="AP37" s="263"/>
      <c r="AQ37" s="263"/>
      <c r="AR37" s="263"/>
      <c r="AS37" s="263"/>
      <c r="AT37" s="263"/>
      <c r="AU37" s="263"/>
      <c r="AV37" s="263"/>
      <c r="AW37" s="263"/>
      <c r="AX37" s="263"/>
      <c r="AY37" s="263">
        <f t="shared" si="74"/>
        <v>0</v>
      </c>
      <c r="BA37" s="277"/>
      <c r="BB37" s="277"/>
      <c r="BC37" s="277">
        <f t="shared" si="10"/>
        <v>0</v>
      </c>
      <c r="BE37" s="55">
        <f>P37+AH37+AY37+BC37</f>
        <v>0</v>
      </c>
      <c r="BF37" s="55"/>
      <c r="BG37" s="18"/>
      <c r="BH37" s="542"/>
      <c r="BI37" s="542"/>
      <c r="BJ37" s="542"/>
      <c r="BK37" s="542"/>
      <c r="BL37" s="542"/>
      <c r="BM37" s="542"/>
      <c r="BN37" s="542"/>
      <c r="BO37" s="542"/>
      <c r="BP37" s="542"/>
      <c r="BQ37" s="542"/>
      <c r="BR37" s="542"/>
      <c r="BS37" s="542"/>
      <c r="BT37" s="542"/>
      <c r="BU37" s="542"/>
      <c r="BV37" s="542"/>
      <c r="BW37" s="542"/>
      <c r="BX37" s="542"/>
      <c r="BY37" s="542"/>
      <c r="BZ37" s="542"/>
      <c r="CA37" s="542"/>
      <c r="CB37" s="542"/>
      <c r="CC37" s="542"/>
      <c r="CD37" s="542"/>
      <c r="CE37" s="542"/>
      <c r="CF37" s="542"/>
      <c r="CG37" s="542"/>
      <c r="CH37" s="542"/>
      <c r="CI37" s="542"/>
      <c r="CJ37" s="542"/>
      <c r="CK37" s="542"/>
      <c r="CL37" s="542"/>
      <c r="CM37" s="542"/>
      <c r="CN37" s="542"/>
      <c r="CO37" s="542"/>
      <c r="CP37" s="542"/>
      <c r="CQ37" s="542"/>
      <c r="CR37" s="542"/>
      <c r="CS37" s="542"/>
      <c r="CT37" s="542"/>
      <c r="CU37" s="542"/>
      <c r="CW37" s="151">
        <f t="shared" si="75"/>
        <v>0</v>
      </c>
    </row>
    <row r="38" spans="1:101" s="84" customFormat="1" outlineLevel="1" x14ac:dyDescent="0.2">
      <c r="A38" s="543"/>
      <c r="B38" s="543"/>
      <c r="C38" s="62" t="s">
        <v>405</v>
      </c>
      <c r="D38" s="61" t="str">
        <f>INDEX(Modules[Module], MATCH($C38, Modules[Code], 0))</f>
        <v>Petroleum refineries</v>
      </c>
      <c r="E38" s="61"/>
      <c r="G38" s="297">
        <f t="shared" ref="G38:O39" ca="1" si="92">IFERROR(INDEX(INDIRECT($C38&amp;".Outputs["&amp;this.Year&amp;"]"), MATCH(G$5, INDIRECT($C38&amp;".Outputs[Vector]"), 0)), 0)</f>
        <v>0</v>
      </c>
      <c r="H38" s="297">
        <f t="shared" ca="1" si="92"/>
        <v>0</v>
      </c>
      <c r="I38" s="297">
        <f t="shared" ca="1" si="92"/>
        <v>0</v>
      </c>
      <c r="J38" s="297">
        <f t="shared" ca="1" si="92"/>
        <v>0</v>
      </c>
      <c r="K38" s="297">
        <f t="shared" ca="1" si="92"/>
        <v>0</v>
      </c>
      <c r="L38" s="297">
        <f t="shared" ca="1" si="92"/>
        <v>0</v>
      </c>
      <c r="M38" s="297">
        <f t="shared" ca="1" si="92"/>
        <v>0</v>
      </c>
      <c r="N38" s="297">
        <f t="shared" ca="1" si="92"/>
        <v>0</v>
      </c>
      <c r="O38" s="297">
        <f t="shared" ca="1" si="92"/>
        <v>0</v>
      </c>
      <c r="P38" s="297">
        <f t="shared" ca="1" si="70"/>
        <v>0</v>
      </c>
      <c r="R38" s="304">
        <f t="shared" ref="R38:AX39" ca="1" si="93">IFERROR(INDEX(INDIRECT($C38&amp;".Outputs["&amp;this.Year&amp;"]"), MATCH(R$5, INDIRECT($C38&amp;".Outputs[Vector]"), 0)), 0)</f>
        <v>-2.9855694520481428</v>
      </c>
      <c r="S38" s="304">
        <f t="shared" ca="1" si="93"/>
        <v>0</v>
      </c>
      <c r="T38" s="304">
        <f t="shared" ca="1" si="93"/>
        <v>0</v>
      </c>
      <c r="U38" s="304">
        <f t="shared" ca="1" si="93"/>
        <v>-0.13573618948157026</v>
      </c>
      <c r="V38" s="304">
        <f t="shared" ca="1" si="93"/>
        <v>-0.27637748370985132</v>
      </c>
      <c r="W38" s="304">
        <f t="shared" ca="1" si="93"/>
        <v>0</v>
      </c>
      <c r="X38" s="304">
        <f t="shared" ref="X38:Z39" ca="1" si="94">IFERROR(INDEX(INDIRECT($C38&amp;".Outputs["&amp;this.Year&amp;"]"), MATCH(X$5, INDIRECT($C38&amp;".Outputs[Vector]"), 0)), 0)</f>
        <v>0</v>
      </c>
      <c r="Y38" s="304">
        <f t="shared" ca="1" si="94"/>
        <v>0</v>
      </c>
      <c r="Z38" s="304">
        <f t="shared" ca="1" si="94"/>
        <v>0</v>
      </c>
      <c r="AA38" s="304">
        <f t="shared" ca="1" si="93"/>
        <v>0</v>
      </c>
      <c r="AB38" s="304">
        <f t="shared" ca="1" si="93"/>
        <v>0</v>
      </c>
      <c r="AC38" s="304">
        <f t="shared" ca="1" si="93"/>
        <v>0</v>
      </c>
      <c r="AD38" s="304">
        <f t="shared" ca="1" si="93"/>
        <v>0</v>
      </c>
      <c r="AE38" s="304">
        <f t="shared" ca="1" si="93"/>
        <v>0</v>
      </c>
      <c r="AF38" s="304">
        <f t="shared" ca="1" si="93"/>
        <v>0</v>
      </c>
      <c r="AG38" s="304">
        <f t="shared" ca="1" si="93"/>
        <v>0</v>
      </c>
      <c r="AH38" s="305">
        <f t="shared" ca="1" si="5"/>
        <v>-3.3976831252395643</v>
      </c>
      <c r="AJ38" s="312">
        <f t="shared" ref="AJ38:AR39" ca="1" si="95">IFERROR(INDEX(INDIRECT($C38&amp;".Outputs["&amp;this.Year&amp;"]"), MATCH(AJ$5, INDIRECT($C38&amp;".Outputs[Vector]"), 0)), 0)</f>
        <v>0</v>
      </c>
      <c r="AK38" s="312">
        <f t="shared" ca="1" si="95"/>
        <v>0</v>
      </c>
      <c r="AL38" s="312">
        <f t="shared" ca="1" si="95"/>
        <v>0</v>
      </c>
      <c r="AM38" s="312">
        <f t="shared" ca="1" si="95"/>
        <v>0</v>
      </c>
      <c r="AN38" s="312">
        <f t="shared" ca="1" si="95"/>
        <v>0</v>
      </c>
      <c r="AO38" s="312">
        <f t="shared" ca="1" si="95"/>
        <v>0</v>
      </c>
      <c r="AP38" s="312">
        <f t="shared" ca="1" si="95"/>
        <v>0</v>
      </c>
      <c r="AQ38" s="312">
        <f t="shared" ca="1" si="95"/>
        <v>0</v>
      </c>
      <c r="AR38" s="312">
        <f t="shared" ca="1" si="95"/>
        <v>0</v>
      </c>
      <c r="AS38" s="312">
        <f t="shared" ca="1" si="93"/>
        <v>0</v>
      </c>
      <c r="AT38" s="312">
        <f t="shared" ca="1" si="93"/>
        <v>0</v>
      </c>
      <c r="AU38" s="312">
        <f t="shared" ca="1" si="93"/>
        <v>0</v>
      </c>
      <c r="AV38" s="312">
        <f t="shared" ca="1" si="93"/>
        <v>0</v>
      </c>
      <c r="AW38" s="312">
        <f t="shared" ca="1" si="93"/>
        <v>0</v>
      </c>
      <c r="AX38" s="312">
        <f t="shared" ca="1" si="93"/>
        <v>0</v>
      </c>
      <c r="AY38" s="266">
        <f t="shared" ca="1" si="74"/>
        <v>0</v>
      </c>
      <c r="BA38" s="308">
        <f ca="1">IFERROR(INDEX(INDIRECT($C38&amp;".Outputs["&amp;this.Year&amp;"]"), MATCH(BA$5, INDIRECT($C38&amp;".Outputs[Vector]"), 0)), 0)</f>
        <v>0</v>
      </c>
      <c r="BB38" s="308">
        <f ca="1">IFERROR(INDEX(INDIRECT($C38&amp;".Outputs["&amp;this.Year&amp;"]"), MATCH(BB$5, INDIRECT($C38&amp;".Outputs[Vector]"), 0)), 0)</f>
        <v>3.3976831252395643</v>
      </c>
      <c r="BC38" s="309">
        <f t="shared" ca="1" si="10"/>
        <v>3.3976831252395643</v>
      </c>
      <c r="BE38" s="135">
        <f ca="1">P38+AH38+AY38+BC38</f>
        <v>0</v>
      </c>
      <c r="BF38" s="135"/>
      <c r="BG38" s="1428"/>
      <c r="BH38" s="541">
        <f t="shared" ref="BH38:BQ39" ca="1" si="96">IFERROR(SUMIFS(INDIRECT($C38&amp;".Emissions["&amp;this.Year&amp;"]"), INDIRECT($C38&amp;".Emissions[GHG]"), BH$6, INDIRECT($C38&amp;".Emissions[IPCC Sector]"), BH$5),0)</f>
        <v>8.4787504373005196E-2</v>
      </c>
      <c r="BI38" s="542">
        <f t="shared" ca="1" si="96"/>
        <v>1.4418278279360226E-4</v>
      </c>
      <c r="BJ38" s="542">
        <f t="shared" ca="1" si="96"/>
        <v>7.2017912423757622E-4</v>
      </c>
      <c r="BK38" s="542">
        <f t="shared" ca="1" si="96"/>
        <v>0</v>
      </c>
      <c r="BL38" s="542">
        <f t="shared" ca="1" si="96"/>
        <v>0</v>
      </c>
      <c r="BM38" s="542">
        <f t="shared" ca="1" si="96"/>
        <v>0</v>
      </c>
      <c r="BN38" s="542">
        <f t="shared" ca="1" si="96"/>
        <v>0</v>
      </c>
      <c r="BO38" s="542">
        <f t="shared" ca="1" si="96"/>
        <v>0</v>
      </c>
      <c r="BP38" s="542">
        <f t="shared" ca="1" si="96"/>
        <v>0</v>
      </c>
      <c r="BQ38" s="542">
        <f t="shared" ca="1" si="96"/>
        <v>0</v>
      </c>
      <c r="BR38" s="542">
        <f t="shared" ref="BR38:CA39" ca="1" si="97">IFERROR(SUMIFS(INDIRECT($C38&amp;".Emissions["&amp;this.Year&amp;"]"), INDIRECT($C38&amp;".Emissions[GHG]"), BR$6, INDIRECT($C38&amp;".Emissions[IPCC Sector]"), BR$5),0)</f>
        <v>0</v>
      </c>
      <c r="BS38" s="542">
        <f t="shared" ca="1" si="97"/>
        <v>0</v>
      </c>
      <c r="BT38" s="542">
        <f t="shared" ca="1" si="97"/>
        <v>0</v>
      </c>
      <c r="BU38" s="542">
        <f t="shared" ca="1" si="97"/>
        <v>0</v>
      </c>
      <c r="BV38" s="542">
        <f t="shared" ca="1" si="97"/>
        <v>0</v>
      </c>
      <c r="BW38" s="542">
        <f t="shared" ca="1" si="97"/>
        <v>0</v>
      </c>
      <c r="BX38" s="542">
        <f t="shared" ca="1" si="97"/>
        <v>0</v>
      </c>
      <c r="BY38" s="542">
        <f t="shared" ca="1" si="97"/>
        <v>0</v>
      </c>
      <c r="BZ38" s="542">
        <f t="shared" ca="1" si="97"/>
        <v>0</v>
      </c>
      <c r="CA38" s="542">
        <f t="shared" ca="1" si="97"/>
        <v>0</v>
      </c>
      <c r="CB38" s="542">
        <f t="shared" ref="CB38:CK39" ca="1" si="98">IFERROR(SUMIFS(INDIRECT($C38&amp;".Emissions["&amp;this.Year&amp;"]"), INDIRECT($C38&amp;".Emissions[GHG]"), CB$6, INDIRECT($C38&amp;".Emissions[IPCC Sector]"), CB$5),0)</f>
        <v>0</v>
      </c>
      <c r="CC38" s="542">
        <f t="shared" ca="1" si="98"/>
        <v>0</v>
      </c>
      <c r="CD38" s="542">
        <f t="shared" ca="1" si="98"/>
        <v>0</v>
      </c>
      <c r="CE38" s="542">
        <f t="shared" ca="1" si="98"/>
        <v>0</v>
      </c>
      <c r="CF38" s="542">
        <f t="shared" ca="1" si="98"/>
        <v>0</v>
      </c>
      <c r="CG38" s="542">
        <f t="shared" ca="1" si="98"/>
        <v>0</v>
      </c>
      <c r="CH38" s="542">
        <f t="shared" ca="1" si="98"/>
        <v>0</v>
      </c>
      <c r="CI38" s="542">
        <f t="shared" ca="1" si="98"/>
        <v>0</v>
      </c>
      <c r="CJ38" s="542">
        <f t="shared" ca="1" si="98"/>
        <v>0</v>
      </c>
      <c r="CK38" s="542">
        <f t="shared" ca="1" si="98"/>
        <v>0</v>
      </c>
      <c r="CL38" s="542">
        <f t="shared" ref="CL38:CU39" ca="1" si="99">IFERROR(SUMIFS(INDIRECT($C38&amp;".Emissions["&amp;this.Year&amp;"]"), INDIRECT($C38&amp;".Emissions[GHG]"), CL$6, INDIRECT($C38&amp;".Emissions[IPCC Sector]"), CL$5),0)</f>
        <v>0</v>
      </c>
      <c r="CM38" s="542">
        <f t="shared" ca="1" si="99"/>
        <v>0</v>
      </c>
      <c r="CN38" s="542">
        <f t="shared" ca="1" si="99"/>
        <v>0</v>
      </c>
      <c r="CO38" s="542">
        <f t="shared" ca="1" si="99"/>
        <v>0</v>
      </c>
      <c r="CP38" s="542">
        <f t="shared" ca="1" si="99"/>
        <v>0</v>
      </c>
      <c r="CQ38" s="542">
        <f t="shared" ca="1" si="99"/>
        <v>0</v>
      </c>
      <c r="CR38" s="542">
        <f t="shared" ca="1" si="99"/>
        <v>0</v>
      </c>
      <c r="CS38" s="542">
        <f t="shared" ca="1" si="99"/>
        <v>0</v>
      </c>
      <c r="CT38" s="542">
        <f t="shared" ca="1" si="99"/>
        <v>0</v>
      </c>
      <c r="CU38" s="542">
        <f t="shared" ca="1" si="99"/>
        <v>0</v>
      </c>
      <c r="CW38" s="151">
        <f t="shared" ca="1" si="75"/>
        <v>8.5651866280036376E-2</v>
      </c>
    </row>
    <row r="39" spans="1:101" s="84" customFormat="1" outlineLevel="1" x14ac:dyDescent="0.2">
      <c r="A39" s="543"/>
      <c r="B39" s="543"/>
      <c r="C39" s="62" t="s">
        <v>415</v>
      </c>
      <c r="D39" s="292" t="str">
        <f>INDEX(Modules[Module], MATCH($C39, Modules[Code], 0))</f>
        <v>Indigenous fossil-fuel production</v>
      </c>
      <c r="E39" s="292"/>
      <c r="G39" s="301">
        <f t="shared" ca="1" si="92"/>
        <v>0</v>
      </c>
      <c r="H39" s="301">
        <f t="shared" ca="1" si="92"/>
        <v>0</v>
      </c>
      <c r="I39" s="301">
        <f t="shared" ca="1" si="92"/>
        <v>0</v>
      </c>
      <c r="J39" s="301">
        <f t="shared" ca="1" si="92"/>
        <v>70.994747614533679</v>
      </c>
      <c r="K39" s="301">
        <f t="shared" ca="1" si="92"/>
        <v>0</v>
      </c>
      <c r="L39" s="301">
        <f t="shared" ca="1" si="92"/>
        <v>0</v>
      </c>
      <c r="M39" s="301">
        <f t="shared" ca="1" si="92"/>
        <v>0</v>
      </c>
      <c r="N39" s="301">
        <f t="shared" ca="1" si="92"/>
        <v>0</v>
      </c>
      <c r="O39" s="301">
        <f t="shared" ca="1" si="92"/>
        <v>0</v>
      </c>
      <c r="P39" s="301">
        <f t="shared" ca="1" si="70"/>
        <v>70.994747614533679</v>
      </c>
      <c r="R39" s="307">
        <f t="shared" ca="1" si="93"/>
        <v>-1.5861177602757115</v>
      </c>
      <c r="S39" s="307">
        <f t="shared" ca="1" si="93"/>
        <v>0</v>
      </c>
      <c r="T39" s="307">
        <f t="shared" ca="1" si="93"/>
        <v>-3.5927666752850619E-2</v>
      </c>
      <c r="U39" s="307">
        <f t="shared" ca="1" si="93"/>
        <v>0</v>
      </c>
      <c r="V39" s="307">
        <f t="shared" ca="1" si="93"/>
        <v>-69.372702187505112</v>
      </c>
      <c r="W39" s="307">
        <f t="shared" ca="1" si="93"/>
        <v>0</v>
      </c>
      <c r="X39" s="307">
        <f t="shared" ca="1" si="94"/>
        <v>100</v>
      </c>
      <c r="Y39" s="307">
        <f t="shared" ca="1" si="94"/>
        <v>1385.9909706860001</v>
      </c>
      <c r="Z39" s="307">
        <f t="shared" ca="1" si="94"/>
        <v>955</v>
      </c>
      <c r="AA39" s="307">
        <f t="shared" ca="1" si="93"/>
        <v>0</v>
      </c>
      <c r="AB39" s="307">
        <f t="shared" ca="1" si="93"/>
        <v>0</v>
      </c>
      <c r="AC39" s="307">
        <f t="shared" ca="1" si="93"/>
        <v>0</v>
      </c>
      <c r="AD39" s="307">
        <f t="shared" ca="1" si="93"/>
        <v>0</v>
      </c>
      <c r="AE39" s="307">
        <f t="shared" ca="1" si="93"/>
        <v>0</v>
      </c>
      <c r="AF39" s="307">
        <f t="shared" ca="1" si="93"/>
        <v>0</v>
      </c>
      <c r="AG39" s="307">
        <f t="shared" ca="1" si="93"/>
        <v>0</v>
      </c>
      <c r="AH39" s="306">
        <f t="shared" ca="1" si="5"/>
        <v>2369.9962230714664</v>
      </c>
      <c r="AJ39" s="315">
        <f t="shared" ca="1" si="95"/>
        <v>-100</v>
      </c>
      <c r="AK39" s="315">
        <f t="shared" ca="1" si="95"/>
        <v>-1385.9909706860001</v>
      </c>
      <c r="AL39" s="315">
        <f t="shared" ca="1" si="95"/>
        <v>-955</v>
      </c>
      <c r="AM39" s="315">
        <f t="shared" ca="1" si="95"/>
        <v>0</v>
      </c>
      <c r="AN39" s="315">
        <f t="shared" ca="1" si="95"/>
        <v>0</v>
      </c>
      <c r="AO39" s="315">
        <f t="shared" ca="1" si="95"/>
        <v>0</v>
      </c>
      <c r="AP39" s="315">
        <f t="shared" ca="1" si="95"/>
        <v>0</v>
      </c>
      <c r="AQ39" s="315">
        <f t="shared" ca="1" si="95"/>
        <v>0</v>
      </c>
      <c r="AR39" s="315">
        <f t="shared" ca="1" si="95"/>
        <v>0</v>
      </c>
      <c r="AS39" s="315">
        <f t="shared" ca="1" si="93"/>
        <v>0</v>
      </c>
      <c r="AT39" s="315">
        <f t="shared" ca="1" si="93"/>
        <v>0</v>
      </c>
      <c r="AU39" s="315">
        <f t="shared" ca="1" si="93"/>
        <v>0</v>
      </c>
      <c r="AV39" s="315">
        <f t="shared" ca="1" si="93"/>
        <v>0</v>
      </c>
      <c r="AW39" s="315">
        <f t="shared" ca="1" si="93"/>
        <v>0</v>
      </c>
      <c r="AX39" s="315">
        <f t="shared" ca="1" si="93"/>
        <v>0</v>
      </c>
      <c r="AY39" s="293">
        <f t="shared" ca="1" si="74"/>
        <v>-2440.9909706859999</v>
      </c>
      <c r="BA39" s="311">
        <f ca="1">IFERROR(INDEX(INDIRECT($C39&amp;".Outputs["&amp;this.Year&amp;"]"), MATCH(BA$5, INDIRECT($C39&amp;".Outputs[Vector]"), 0)), 0)</f>
        <v>0</v>
      </c>
      <c r="BB39" s="311">
        <f ca="1">IFERROR(INDEX(INDIRECT($C39&amp;".Outputs["&amp;this.Year&amp;"]"), MATCH(BB$5, INDIRECT($C39&amp;".Outputs[Vector]"), 0)), 0)</f>
        <v>0</v>
      </c>
      <c r="BC39" s="310">
        <f t="shared" ca="1" si="10"/>
        <v>0</v>
      </c>
      <c r="BE39" s="135"/>
      <c r="BF39" s="135"/>
      <c r="BG39" s="1428"/>
      <c r="BH39" s="544">
        <f t="shared" ca="1" si="96"/>
        <v>12.751116930311198</v>
      </c>
      <c r="BI39" s="545">
        <f t="shared" ca="1" si="96"/>
        <v>2.5559431651985154E-2</v>
      </c>
      <c r="BJ39" s="545">
        <f t="shared" ca="1" si="96"/>
        <v>2.749041135264255E-2</v>
      </c>
      <c r="BK39" s="545">
        <f t="shared" ca="1" si="96"/>
        <v>0</v>
      </c>
      <c r="BL39" s="545">
        <f t="shared" ca="1" si="96"/>
        <v>6.327</v>
      </c>
      <c r="BM39" s="545">
        <f t="shared" ca="1" si="96"/>
        <v>0.1360951870002064</v>
      </c>
      <c r="BN39" s="545">
        <f t="shared" ca="1" si="96"/>
        <v>0</v>
      </c>
      <c r="BO39" s="545">
        <f t="shared" ca="1" si="96"/>
        <v>0</v>
      </c>
      <c r="BP39" s="545">
        <f t="shared" ca="1" si="96"/>
        <v>0</v>
      </c>
      <c r="BQ39" s="545">
        <f t="shared" ca="1" si="96"/>
        <v>0</v>
      </c>
      <c r="BR39" s="545">
        <f t="shared" ca="1" si="97"/>
        <v>0</v>
      </c>
      <c r="BS39" s="545">
        <f t="shared" ca="1" si="97"/>
        <v>0</v>
      </c>
      <c r="BT39" s="545">
        <f t="shared" ca="1" si="97"/>
        <v>0</v>
      </c>
      <c r="BU39" s="545">
        <f t="shared" ca="1" si="97"/>
        <v>0</v>
      </c>
      <c r="BV39" s="545">
        <f t="shared" ca="1" si="97"/>
        <v>0</v>
      </c>
      <c r="BW39" s="545">
        <f t="shared" ca="1" si="97"/>
        <v>0</v>
      </c>
      <c r="BX39" s="545">
        <f t="shared" ca="1" si="97"/>
        <v>0</v>
      </c>
      <c r="BY39" s="545">
        <f t="shared" ca="1" si="97"/>
        <v>0</v>
      </c>
      <c r="BZ39" s="545">
        <f t="shared" ca="1" si="97"/>
        <v>0</v>
      </c>
      <c r="CA39" s="545">
        <f t="shared" ca="1" si="97"/>
        <v>0</v>
      </c>
      <c r="CB39" s="545">
        <f t="shared" ca="1" si="98"/>
        <v>0</v>
      </c>
      <c r="CC39" s="545">
        <f t="shared" ca="1" si="98"/>
        <v>0</v>
      </c>
      <c r="CD39" s="545">
        <f t="shared" ca="1" si="98"/>
        <v>0</v>
      </c>
      <c r="CE39" s="545">
        <f t="shared" ca="1" si="98"/>
        <v>0</v>
      </c>
      <c r="CF39" s="545">
        <f t="shared" ca="1" si="98"/>
        <v>0</v>
      </c>
      <c r="CG39" s="545">
        <f t="shared" ca="1" si="98"/>
        <v>0</v>
      </c>
      <c r="CH39" s="545">
        <f t="shared" ca="1" si="98"/>
        <v>0</v>
      </c>
      <c r="CI39" s="545">
        <f t="shared" ca="1" si="98"/>
        <v>0</v>
      </c>
      <c r="CJ39" s="545">
        <f t="shared" ca="1" si="98"/>
        <v>0</v>
      </c>
      <c r="CK39" s="545">
        <f t="shared" ca="1" si="98"/>
        <v>0</v>
      </c>
      <c r="CL39" s="545">
        <f t="shared" ca="1" si="99"/>
        <v>0</v>
      </c>
      <c r="CM39" s="545">
        <f t="shared" ca="1" si="99"/>
        <v>0</v>
      </c>
      <c r="CN39" s="545">
        <f t="shared" ca="1" si="99"/>
        <v>0</v>
      </c>
      <c r="CO39" s="545">
        <f t="shared" ca="1" si="99"/>
        <v>0</v>
      </c>
      <c r="CP39" s="545">
        <f t="shared" ca="1" si="99"/>
        <v>0</v>
      </c>
      <c r="CQ39" s="545">
        <f t="shared" ca="1" si="99"/>
        <v>0</v>
      </c>
      <c r="CR39" s="545">
        <f t="shared" ca="1" si="99"/>
        <v>0</v>
      </c>
      <c r="CS39" s="545">
        <f t="shared" ca="1" si="99"/>
        <v>0</v>
      </c>
      <c r="CT39" s="545">
        <f t="shared" ca="1" si="99"/>
        <v>0</v>
      </c>
      <c r="CU39" s="545">
        <f t="shared" ca="1" si="99"/>
        <v>0</v>
      </c>
      <c r="CW39" s="151">
        <f t="shared" ca="1" si="75"/>
        <v>19.267261960316031</v>
      </c>
    </row>
    <row r="40" spans="1:101" s="84" customFormat="1" ht="15.75" x14ac:dyDescent="0.2">
      <c r="A40" s="547"/>
      <c r="B40" s="548"/>
      <c r="C40" s="85" t="s">
        <v>403</v>
      </c>
      <c r="D40" s="57" t="str">
        <f>INDEX(Workstreams[Workstream], MATCH($C40, Workstreams[Code], 0))</f>
        <v>Fossil fuel production</v>
      </c>
      <c r="E40" s="53"/>
      <c r="G40" s="300">
        <f ca="1">SUM(G38:G39)</f>
        <v>0</v>
      </c>
      <c r="H40" s="300">
        <f t="shared" ref="H40:O40" ca="1" si="100">SUM(H38:H39)</f>
        <v>0</v>
      </c>
      <c r="I40" s="300">
        <f ca="1">SUM(I38:I39)</f>
        <v>0</v>
      </c>
      <c r="J40" s="300">
        <f t="shared" ca="1" si="100"/>
        <v>70.994747614533679</v>
      </c>
      <c r="K40" s="300">
        <f t="shared" ca="1" si="100"/>
        <v>0</v>
      </c>
      <c r="L40" s="300">
        <f t="shared" ca="1" si="100"/>
        <v>0</v>
      </c>
      <c r="M40" s="300">
        <f t="shared" ca="1" si="100"/>
        <v>0</v>
      </c>
      <c r="N40" s="300">
        <f t="shared" ca="1" si="100"/>
        <v>0</v>
      </c>
      <c r="O40" s="300">
        <f t="shared" ca="1" si="100"/>
        <v>0</v>
      </c>
      <c r="P40" s="300">
        <f t="shared" ca="1" si="70"/>
        <v>70.994747614533679</v>
      </c>
      <c r="R40" s="257">
        <f t="shared" ref="R40:AE40" ca="1" si="101">SUM(R38:R39)</f>
        <v>-4.5716872123238543</v>
      </c>
      <c r="S40" s="257">
        <f t="shared" ca="1" si="101"/>
        <v>0</v>
      </c>
      <c r="T40" s="257">
        <f t="shared" ca="1" si="101"/>
        <v>-3.5927666752850619E-2</v>
      </c>
      <c r="U40" s="257">
        <f t="shared" ca="1" si="101"/>
        <v>-0.13573618948157026</v>
      </c>
      <c r="V40" s="257">
        <f t="shared" ca="1" si="101"/>
        <v>-69.649079671214963</v>
      </c>
      <c r="W40" s="257">
        <f ca="1">SUM(W38:W39)</f>
        <v>0</v>
      </c>
      <c r="X40" s="257">
        <f ca="1">SUM(X38:X39)</f>
        <v>100</v>
      </c>
      <c r="Y40" s="257">
        <f ca="1">SUM(Y38:Y39)</f>
        <v>1385.9909706860001</v>
      </c>
      <c r="Z40" s="257">
        <f ca="1">SUM(Z38:Z39)</f>
        <v>955</v>
      </c>
      <c r="AA40" s="257">
        <f t="shared" ca="1" si="101"/>
        <v>0</v>
      </c>
      <c r="AB40" s="257">
        <f t="shared" ca="1" si="101"/>
        <v>0</v>
      </c>
      <c r="AC40" s="257">
        <f ca="1">SUM(AC38:AC39)</f>
        <v>0</v>
      </c>
      <c r="AD40" s="257">
        <f ca="1">SUM(AD38:AD39)</f>
        <v>0</v>
      </c>
      <c r="AE40" s="257">
        <f t="shared" ca="1" si="101"/>
        <v>0</v>
      </c>
      <c r="AF40" s="257">
        <f ca="1">SUM(AF38:AF39)</f>
        <v>0</v>
      </c>
      <c r="AG40" s="257">
        <f ca="1">SUM(AG38:AG39)</f>
        <v>0</v>
      </c>
      <c r="AH40" s="257">
        <f t="shared" ca="1" si="5"/>
        <v>2366.598539946227</v>
      </c>
      <c r="AJ40" s="263">
        <f t="shared" ref="AJ40:AX40" ca="1" si="102">SUM(AJ38:AJ39)</f>
        <v>-100</v>
      </c>
      <c r="AK40" s="263">
        <f t="shared" ca="1" si="102"/>
        <v>-1385.9909706860001</v>
      </c>
      <c r="AL40" s="263">
        <f t="shared" ca="1" si="102"/>
        <v>-955</v>
      </c>
      <c r="AM40" s="263">
        <f t="shared" ca="1" si="102"/>
        <v>0</v>
      </c>
      <c r="AN40" s="263">
        <f t="shared" ca="1" si="102"/>
        <v>0</v>
      </c>
      <c r="AO40" s="263">
        <f t="shared" ca="1" si="102"/>
        <v>0</v>
      </c>
      <c r="AP40" s="263">
        <f t="shared" ca="1" si="102"/>
        <v>0</v>
      </c>
      <c r="AQ40" s="263">
        <f t="shared" ca="1" si="102"/>
        <v>0</v>
      </c>
      <c r="AR40" s="263">
        <f t="shared" ca="1" si="102"/>
        <v>0</v>
      </c>
      <c r="AS40" s="263">
        <f t="shared" ca="1" si="102"/>
        <v>0</v>
      </c>
      <c r="AT40" s="263">
        <f t="shared" ca="1" si="102"/>
        <v>0</v>
      </c>
      <c r="AU40" s="263">
        <f t="shared" ca="1" si="102"/>
        <v>0</v>
      </c>
      <c r="AV40" s="263">
        <f t="shared" ca="1" si="102"/>
        <v>0</v>
      </c>
      <c r="AW40" s="263">
        <f t="shared" ca="1" si="102"/>
        <v>0</v>
      </c>
      <c r="AX40" s="263">
        <f t="shared" ca="1" si="102"/>
        <v>0</v>
      </c>
      <c r="AY40" s="263">
        <f t="shared" ca="1" si="74"/>
        <v>-2440.9909706859999</v>
      </c>
      <c r="BA40" s="277">
        <f ca="1">SUM(BA38:BA39)</f>
        <v>0</v>
      </c>
      <c r="BB40" s="277">
        <f ca="1">SUM(BB38:BB39)</f>
        <v>3.3976831252395643</v>
      </c>
      <c r="BC40" s="277">
        <f t="shared" ca="1" si="10"/>
        <v>3.3976831252395643</v>
      </c>
      <c r="BE40" s="55">
        <f t="shared" ref="BE40:BE47" ca="1" si="103">P40+AH40+AY40+BC40</f>
        <v>1.8207657603852567E-13</v>
      </c>
      <c r="BF40" s="164"/>
      <c r="BG40" s="1428"/>
      <c r="BH40" s="541">
        <f t="shared" ref="BH40:CU40" ca="1" si="104">SUM(BH38:BH39)</f>
        <v>12.835904434684204</v>
      </c>
      <c r="BI40" s="542">
        <f t="shared" ca="1" si="104"/>
        <v>2.5703614434778758E-2</v>
      </c>
      <c r="BJ40" s="542">
        <f t="shared" ca="1" si="104"/>
        <v>2.8210590476880126E-2</v>
      </c>
      <c r="BK40" s="542">
        <f t="shared" ca="1" si="104"/>
        <v>0</v>
      </c>
      <c r="BL40" s="542">
        <f t="shared" ca="1" si="104"/>
        <v>6.327</v>
      </c>
      <c r="BM40" s="542">
        <f t="shared" ca="1" si="104"/>
        <v>0.1360951870002064</v>
      </c>
      <c r="BN40" s="542">
        <f t="shared" ca="1" si="104"/>
        <v>0</v>
      </c>
      <c r="BO40" s="542">
        <f t="shared" ca="1" si="104"/>
        <v>0</v>
      </c>
      <c r="BP40" s="542">
        <f t="shared" ca="1" si="104"/>
        <v>0</v>
      </c>
      <c r="BQ40" s="542">
        <f t="shared" ca="1" si="104"/>
        <v>0</v>
      </c>
      <c r="BR40" s="542">
        <f t="shared" ca="1" si="104"/>
        <v>0</v>
      </c>
      <c r="BS40" s="542">
        <f t="shared" ca="1" si="104"/>
        <v>0</v>
      </c>
      <c r="BT40" s="542">
        <f t="shared" ca="1" si="104"/>
        <v>0</v>
      </c>
      <c r="BU40" s="542">
        <f t="shared" ca="1" si="104"/>
        <v>0</v>
      </c>
      <c r="BV40" s="542">
        <f t="shared" ca="1" si="104"/>
        <v>0</v>
      </c>
      <c r="BW40" s="542">
        <f t="shared" ca="1" si="104"/>
        <v>0</v>
      </c>
      <c r="BX40" s="542">
        <f t="shared" ca="1" si="104"/>
        <v>0</v>
      </c>
      <c r="BY40" s="542">
        <f t="shared" ca="1" si="104"/>
        <v>0</v>
      </c>
      <c r="BZ40" s="542">
        <f t="shared" ca="1" si="104"/>
        <v>0</v>
      </c>
      <c r="CA40" s="542">
        <f t="shared" ca="1" si="104"/>
        <v>0</v>
      </c>
      <c r="CB40" s="542">
        <f t="shared" ca="1" si="104"/>
        <v>0</v>
      </c>
      <c r="CC40" s="542">
        <f t="shared" ca="1" si="104"/>
        <v>0</v>
      </c>
      <c r="CD40" s="542">
        <f t="shared" ca="1" si="104"/>
        <v>0</v>
      </c>
      <c r="CE40" s="542">
        <f t="shared" ca="1" si="104"/>
        <v>0</v>
      </c>
      <c r="CF40" s="542">
        <f t="shared" ca="1" si="104"/>
        <v>0</v>
      </c>
      <c r="CG40" s="542">
        <f t="shared" ca="1" si="104"/>
        <v>0</v>
      </c>
      <c r="CH40" s="542">
        <f t="shared" ca="1" si="104"/>
        <v>0</v>
      </c>
      <c r="CI40" s="542">
        <f t="shared" ca="1" si="104"/>
        <v>0</v>
      </c>
      <c r="CJ40" s="542">
        <f t="shared" ca="1" si="104"/>
        <v>0</v>
      </c>
      <c r="CK40" s="542">
        <f t="shared" ca="1" si="104"/>
        <v>0</v>
      </c>
      <c r="CL40" s="542">
        <f t="shared" ca="1" si="104"/>
        <v>0</v>
      </c>
      <c r="CM40" s="542">
        <f t="shared" ca="1" si="104"/>
        <v>0</v>
      </c>
      <c r="CN40" s="542">
        <f t="shared" ca="1" si="104"/>
        <v>0</v>
      </c>
      <c r="CO40" s="542">
        <f t="shared" ca="1" si="104"/>
        <v>0</v>
      </c>
      <c r="CP40" s="542">
        <f t="shared" ca="1" si="104"/>
        <v>0</v>
      </c>
      <c r="CQ40" s="542">
        <f t="shared" ca="1" si="104"/>
        <v>0</v>
      </c>
      <c r="CR40" s="542">
        <f t="shared" ca="1" si="104"/>
        <v>0</v>
      </c>
      <c r="CS40" s="542">
        <f t="shared" ca="1" si="104"/>
        <v>0</v>
      </c>
      <c r="CT40" s="542">
        <f t="shared" ca="1" si="104"/>
        <v>0</v>
      </c>
      <c r="CU40" s="542">
        <f t="shared" ca="1" si="104"/>
        <v>0</v>
      </c>
      <c r="CW40" s="151">
        <f t="shared" ca="1" si="75"/>
        <v>19.352913826596069</v>
      </c>
    </row>
    <row r="41" spans="1:101" s="84" customFormat="1" outlineLevel="1" x14ac:dyDescent="0.2">
      <c r="C41" s="60"/>
      <c r="D41" s="34"/>
      <c r="E41" s="51"/>
      <c r="G41" s="245"/>
      <c r="H41" s="245"/>
      <c r="I41" s="245"/>
      <c r="J41" s="245"/>
      <c r="K41" s="245"/>
      <c r="L41" s="247"/>
      <c r="M41" s="245"/>
      <c r="N41" s="245"/>
      <c r="O41" s="245"/>
      <c r="P41" s="245">
        <f t="shared" si="70"/>
        <v>0</v>
      </c>
      <c r="R41" s="257"/>
      <c r="S41" s="257"/>
      <c r="T41" s="257"/>
      <c r="U41" s="257"/>
      <c r="V41" s="257"/>
      <c r="W41" s="257"/>
      <c r="X41" s="257"/>
      <c r="Y41" s="257"/>
      <c r="Z41" s="257"/>
      <c r="AA41" s="257"/>
      <c r="AB41" s="257"/>
      <c r="AC41" s="257"/>
      <c r="AD41" s="257"/>
      <c r="AE41" s="257"/>
      <c r="AF41" s="257"/>
      <c r="AG41" s="257"/>
      <c r="AH41" s="257">
        <f t="shared" si="5"/>
        <v>0</v>
      </c>
      <c r="AJ41" s="263"/>
      <c r="AK41" s="263"/>
      <c r="AL41" s="263"/>
      <c r="AM41" s="263"/>
      <c r="AN41" s="263"/>
      <c r="AO41" s="263"/>
      <c r="AP41" s="263"/>
      <c r="AQ41" s="263"/>
      <c r="AR41" s="263"/>
      <c r="AS41" s="263"/>
      <c r="AT41" s="263"/>
      <c r="AU41" s="263"/>
      <c r="AV41" s="263"/>
      <c r="AW41" s="263"/>
      <c r="AX41" s="263"/>
      <c r="AY41" s="263">
        <f t="shared" si="74"/>
        <v>0</v>
      </c>
      <c r="BA41" s="277"/>
      <c r="BB41" s="277"/>
      <c r="BC41" s="277">
        <f t="shared" si="10"/>
        <v>0</v>
      </c>
      <c r="BE41" s="55">
        <f t="shared" si="103"/>
        <v>0</v>
      </c>
      <c r="BF41" s="55"/>
      <c r="BH41" s="542"/>
      <c r="BI41" s="542"/>
      <c r="BJ41" s="542"/>
      <c r="BK41" s="542"/>
      <c r="BL41" s="542"/>
      <c r="BM41" s="542"/>
      <c r="BN41" s="542"/>
      <c r="BO41" s="542"/>
      <c r="BP41" s="542"/>
      <c r="BQ41" s="542"/>
      <c r="BR41" s="542"/>
      <c r="BS41" s="542"/>
      <c r="BT41" s="542"/>
      <c r="BU41" s="542"/>
      <c r="BV41" s="542"/>
      <c r="BW41" s="542"/>
      <c r="BX41" s="542"/>
      <c r="BY41" s="542"/>
      <c r="BZ41" s="542"/>
      <c r="CA41" s="542"/>
      <c r="CB41" s="542"/>
      <c r="CC41" s="542"/>
      <c r="CD41" s="542"/>
      <c r="CE41" s="542"/>
      <c r="CF41" s="542"/>
      <c r="CG41" s="542"/>
      <c r="CH41" s="542"/>
      <c r="CI41" s="542"/>
      <c r="CJ41" s="542"/>
      <c r="CK41" s="542"/>
      <c r="CL41" s="542"/>
      <c r="CM41" s="542"/>
      <c r="CN41" s="542"/>
      <c r="CO41" s="542"/>
      <c r="CP41" s="542"/>
      <c r="CQ41" s="542"/>
      <c r="CR41" s="542"/>
      <c r="CS41" s="542"/>
      <c r="CT41" s="542"/>
      <c r="CU41" s="542"/>
      <c r="CW41" s="151">
        <f t="shared" si="75"/>
        <v>0</v>
      </c>
    </row>
    <row r="42" spans="1:101" s="543" customFormat="1" ht="12.75" customHeight="1" outlineLevel="1" x14ac:dyDescent="0.2">
      <c r="C42" s="86" t="s">
        <v>864</v>
      </c>
      <c r="D42" s="61" t="str">
        <f>INDEX(Modules[Module], MATCH($C42, Modules[Code], 0))</f>
        <v xml:space="preserve">Wind </v>
      </c>
      <c r="E42" s="61"/>
      <c r="F42" s="84"/>
      <c r="G42" s="297">
        <f t="shared" ref="G42:O46" ca="1" si="105">IFERROR(INDEX(INDIRECT($C42&amp;".Outputs["&amp;this.Year&amp;"]"), MATCH(G$5, INDIRECT($C42&amp;".Outputs[Vector]"), 0)), 0)</f>
        <v>0</v>
      </c>
      <c r="H42" s="297">
        <f t="shared" ca="1" si="105"/>
        <v>0</v>
      </c>
      <c r="I42" s="297">
        <f t="shared" ca="1" si="105"/>
        <v>0</v>
      </c>
      <c r="J42" s="297">
        <f t="shared" ca="1" si="105"/>
        <v>0</v>
      </c>
      <c r="K42" s="297">
        <f t="shared" ca="1" si="105"/>
        <v>0</v>
      </c>
      <c r="L42" s="297">
        <f t="shared" ca="1" si="105"/>
        <v>0</v>
      </c>
      <c r="M42" s="297">
        <f t="shared" ca="1" si="105"/>
        <v>0</v>
      </c>
      <c r="N42" s="297">
        <f t="shared" ca="1" si="105"/>
        <v>0</v>
      </c>
      <c r="O42" s="297">
        <f t="shared" ca="1" si="105"/>
        <v>0</v>
      </c>
      <c r="P42" s="297">
        <f t="shared" ca="1" si="70"/>
        <v>0</v>
      </c>
      <c r="Q42" s="84"/>
      <c r="R42" s="304">
        <f t="shared" ref="R42:AX46" ca="1" si="106">IFERROR(INDEX(INDIRECT($C42&amp;".Outputs["&amp;this.Year&amp;"]"), MATCH(R$5, INDIRECT($C42&amp;".Outputs[Vector]"), 0)), 0)</f>
        <v>0</v>
      </c>
      <c r="S42" s="304">
        <f t="shared" ca="1" si="106"/>
        <v>22.090319999999998</v>
      </c>
      <c r="T42" s="304">
        <f t="shared" ca="1" si="106"/>
        <v>0</v>
      </c>
      <c r="U42" s="304">
        <f t="shared" ca="1" si="106"/>
        <v>0</v>
      </c>
      <c r="V42" s="304">
        <f t="shared" ca="1" si="106"/>
        <v>0</v>
      </c>
      <c r="W42" s="304">
        <f t="shared" ca="1" si="106"/>
        <v>0</v>
      </c>
      <c r="X42" s="304">
        <f t="shared" ref="X42:Z46" ca="1" si="107">IFERROR(INDEX(INDIRECT($C42&amp;".Outputs["&amp;this.Year&amp;"]"), MATCH(X$5, INDIRECT($C42&amp;".Outputs[Vector]"), 0)), 0)</f>
        <v>0</v>
      </c>
      <c r="Y42" s="304">
        <f t="shared" ca="1" si="107"/>
        <v>0</v>
      </c>
      <c r="Z42" s="304">
        <f t="shared" ca="1" si="107"/>
        <v>0</v>
      </c>
      <c r="AA42" s="304">
        <f t="shared" ca="1" si="106"/>
        <v>0</v>
      </c>
      <c r="AB42" s="304">
        <f t="shared" ca="1" si="106"/>
        <v>0</v>
      </c>
      <c r="AC42" s="304">
        <f t="shared" ca="1" si="106"/>
        <v>0</v>
      </c>
      <c r="AD42" s="304">
        <f t="shared" ca="1" si="106"/>
        <v>0</v>
      </c>
      <c r="AE42" s="304">
        <f t="shared" ca="1" si="106"/>
        <v>0</v>
      </c>
      <c r="AF42" s="304">
        <f t="shared" ca="1" si="106"/>
        <v>0</v>
      </c>
      <c r="AG42" s="304">
        <f t="shared" ca="1" si="106"/>
        <v>0</v>
      </c>
      <c r="AH42" s="305">
        <f t="shared" ca="1" si="5"/>
        <v>22.090319999999998</v>
      </c>
      <c r="AI42" s="84"/>
      <c r="AJ42" s="312">
        <f t="shared" ref="AJ42:AR46" ca="1" si="108">IFERROR(INDEX(INDIRECT($C42&amp;".Outputs["&amp;this.Year&amp;"]"), MATCH(AJ$5, INDIRECT($C42&amp;".Outputs[Vector]"), 0)), 0)</f>
        <v>0</v>
      </c>
      <c r="AK42" s="312">
        <f t="shared" ca="1" si="108"/>
        <v>0</v>
      </c>
      <c r="AL42" s="312">
        <f t="shared" ca="1" si="108"/>
        <v>0</v>
      </c>
      <c r="AM42" s="312">
        <f t="shared" ca="1" si="108"/>
        <v>0</v>
      </c>
      <c r="AN42" s="312">
        <f t="shared" ca="1" si="108"/>
        <v>0</v>
      </c>
      <c r="AO42" s="312">
        <f t="shared" ca="1" si="108"/>
        <v>0</v>
      </c>
      <c r="AP42" s="312">
        <f t="shared" ca="1" si="108"/>
        <v>0</v>
      </c>
      <c r="AQ42" s="312">
        <f t="shared" ca="1" si="108"/>
        <v>0</v>
      </c>
      <c r="AR42" s="312">
        <f t="shared" ca="1" si="108"/>
        <v>0</v>
      </c>
      <c r="AS42" s="312">
        <f t="shared" ca="1" si="106"/>
        <v>0</v>
      </c>
      <c r="AT42" s="312">
        <f t="shared" ca="1" si="106"/>
        <v>0</v>
      </c>
      <c r="AU42" s="312">
        <f t="shared" ca="1" si="106"/>
        <v>-22.090319999999998</v>
      </c>
      <c r="AV42" s="312">
        <f t="shared" ca="1" si="106"/>
        <v>0</v>
      </c>
      <c r="AW42" s="312">
        <f t="shared" ca="1" si="106"/>
        <v>0</v>
      </c>
      <c r="AX42" s="312">
        <f t="shared" ca="1" si="106"/>
        <v>0</v>
      </c>
      <c r="AY42" s="266">
        <f t="shared" ca="1" si="74"/>
        <v>-22.090319999999998</v>
      </c>
      <c r="AZ42" s="84"/>
      <c r="BA42" s="308">
        <f t="shared" ref="BA42:BB46" ca="1" si="109">IFERROR(INDEX(INDIRECT($C42&amp;".Outputs["&amp;this.Year&amp;"]"), MATCH(BA$5, INDIRECT($C42&amp;".Outputs[Vector]"), 0)), 0)</f>
        <v>0</v>
      </c>
      <c r="BB42" s="308">
        <f t="shared" ca="1" si="109"/>
        <v>0</v>
      </c>
      <c r="BC42" s="309">
        <f t="shared" ca="1" si="10"/>
        <v>0</v>
      </c>
      <c r="BD42" s="84"/>
      <c r="BE42" s="135">
        <f t="shared" ca="1" si="103"/>
        <v>0</v>
      </c>
      <c r="BF42" s="135"/>
      <c r="BG42" s="1428"/>
      <c r="BH42" s="541">
        <f t="shared" ref="BH42:BQ46" ca="1" si="110">IFERROR(SUMIFS(INDIRECT($C42&amp;".Emissions["&amp;this.Year&amp;"]"), INDIRECT($C42&amp;".Emissions[GHG]"), BH$6, INDIRECT($C42&amp;".Emissions[IPCC Sector]"), BH$5),0)</f>
        <v>0</v>
      </c>
      <c r="BI42" s="542">
        <f t="shared" ca="1" si="110"/>
        <v>0</v>
      </c>
      <c r="BJ42" s="542">
        <f t="shared" ca="1" si="110"/>
        <v>0</v>
      </c>
      <c r="BK42" s="542">
        <f t="shared" ca="1" si="110"/>
        <v>0</v>
      </c>
      <c r="BL42" s="542">
        <f t="shared" ca="1" si="110"/>
        <v>0</v>
      </c>
      <c r="BM42" s="542">
        <f t="shared" ca="1" si="110"/>
        <v>0</v>
      </c>
      <c r="BN42" s="542">
        <f t="shared" ca="1" si="110"/>
        <v>0</v>
      </c>
      <c r="BO42" s="542">
        <f t="shared" ca="1" si="110"/>
        <v>0</v>
      </c>
      <c r="BP42" s="542">
        <f t="shared" ca="1" si="110"/>
        <v>0</v>
      </c>
      <c r="BQ42" s="542">
        <f t="shared" ca="1" si="110"/>
        <v>0</v>
      </c>
      <c r="BR42" s="542">
        <f t="shared" ref="BR42:CA46" ca="1" si="111">IFERROR(SUMIFS(INDIRECT($C42&amp;".Emissions["&amp;this.Year&amp;"]"), INDIRECT($C42&amp;".Emissions[GHG]"), BR$6, INDIRECT($C42&amp;".Emissions[IPCC Sector]"), BR$5),0)</f>
        <v>0</v>
      </c>
      <c r="BS42" s="542">
        <f t="shared" ca="1" si="111"/>
        <v>0</v>
      </c>
      <c r="BT42" s="542">
        <f t="shared" ca="1" si="111"/>
        <v>0</v>
      </c>
      <c r="BU42" s="542">
        <f t="shared" ca="1" si="111"/>
        <v>0</v>
      </c>
      <c r="BV42" s="542">
        <f t="shared" ca="1" si="111"/>
        <v>0</v>
      </c>
      <c r="BW42" s="542">
        <f t="shared" ca="1" si="111"/>
        <v>0</v>
      </c>
      <c r="BX42" s="542">
        <f t="shared" ca="1" si="111"/>
        <v>0</v>
      </c>
      <c r="BY42" s="542">
        <f t="shared" ca="1" si="111"/>
        <v>0</v>
      </c>
      <c r="BZ42" s="542">
        <f t="shared" ca="1" si="111"/>
        <v>0</v>
      </c>
      <c r="CA42" s="542">
        <f t="shared" ca="1" si="111"/>
        <v>0</v>
      </c>
      <c r="CB42" s="542">
        <f t="shared" ref="CB42:CK46" ca="1" si="112">IFERROR(SUMIFS(INDIRECT($C42&amp;".Emissions["&amp;this.Year&amp;"]"), INDIRECT($C42&amp;".Emissions[GHG]"), CB$6, INDIRECT($C42&amp;".Emissions[IPCC Sector]"), CB$5),0)</f>
        <v>0</v>
      </c>
      <c r="CC42" s="542">
        <f t="shared" ca="1" si="112"/>
        <v>0</v>
      </c>
      <c r="CD42" s="542">
        <f t="shared" ca="1" si="112"/>
        <v>0</v>
      </c>
      <c r="CE42" s="542">
        <f t="shared" ca="1" si="112"/>
        <v>0</v>
      </c>
      <c r="CF42" s="542">
        <f t="shared" ca="1" si="112"/>
        <v>0</v>
      </c>
      <c r="CG42" s="542">
        <f t="shared" ca="1" si="112"/>
        <v>0</v>
      </c>
      <c r="CH42" s="542">
        <f t="shared" ca="1" si="112"/>
        <v>0</v>
      </c>
      <c r="CI42" s="542">
        <f t="shared" ca="1" si="112"/>
        <v>0</v>
      </c>
      <c r="CJ42" s="542">
        <f t="shared" ca="1" si="112"/>
        <v>0</v>
      </c>
      <c r="CK42" s="542">
        <f t="shared" ca="1" si="112"/>
        <v>0</v>
      </c>
      <c r="CL42" s="542">
        <f t="shared" ref="CL42:CU46" ca="1" si="113">IFERROR(SUMIFS(INDIRECT($C42&amp;".Emissions["&amp;this.Year&amp;"]"), INDIRECT($C42&amp;".Emissions[GHG]"), CL$6, INDIRECT($C42&amp;".Emissions[IPCC Sector]"), CL$5),0)</f>
        <v>0</v>
      </c>
      <c r="CM42" s="542">
        <f t="shared" ca="1" si="113"/>
        <v>0</v>
      </c>
      <c r="CN42" s="542">
        <f t="shared" ca="1" si="113"/>
        <v>0</v>
      </c>
      <c r="CO42" s="542">
        <f t="shared" ca="1" si="113"/>
        <v>0</v>
      </c>
      <c r="CP42" s="542">
        <f t="shared" ca="1" si="113"/>
        <v>0</v>
      </c>
      <c r="CQ42" s="542">
        <f t="shared" ca="1" si="113"/>
        <v>0</v>
      </c>
      <c r="CR42" s="542">
        <f t="shared" ca="1" si="113"/>
        <v>0</v>
      </c>
      <c r="CS42" s="542">
        <f t="shared" ca="1" si="113"/>
        <v>0</v>
      </c>
      <c r="CT42" s="542">
        <f t="shared" ca="1" si="113"/>
        <v>0</v>
      </c>
      <c r="CU42" s="542">
        <f t="shared" ca="1" si="113"/>
        <v>0</v>
      </c>
      <c r="CW42" s="151">
        <f t="shared" ca="1" si="75"/>
        <v>0</v>
      </c>
    </row>
    <row r="43" spans="1:101" s="543" customFormat="1" ht="12.75" customHeight="1" outlineLevel="1" x14ac:dyDescent="0.2">
      <c r="C43" s="86" t="s">
        <v>2366</v>
      </c>
      <c r="D43" s="61" t="str">
        <f>INDEX(Modules[Module], MATCH($C43, Modules[Code], 0))</f>
        <v>Large Hydroelectric power stations</v>
      </c>
      <c r="E43" s="61"/>
      <c r="F43" s="84"/>
      <c r="G43" s="297">
        <f t="shared" ca="1" si="105"/>
        <v>0</v>
      </c>
      <c r="H43" s="297">
        <f t="shared" ca="1" si="105"/>
        <v>0</v>
      </c>
      <c r="I43" s="297">
        <f t="shared" ca="1" si="105"/>
        <v>0</v>
      </c>
      <c r="J43" s="297">
        <f t="shared" ca="1" si="105"/>
        <v>0</v>
      </c>
      <c r="K43" s="297">
        <f t="shared" ca="1" si="105"/>
        <v>0</v>
      </c>
      <c r="L43" s="297">
        <f t="shared" ca="1" si="105"/>
        <v>0</v>
      </c>
      <c r="M43" s="297">
        <f t="shared" ca="1" si="105"/>
        <v>0</v>
      </c>
      <c r="N43" s="297">
        <f t="shared" ca="1" si="105"/>
        <v>0</v>
      </c>
      <c r="O43" s="297">
        <f t="shared" ca="1" si="105"/>
        <v>0</v>
      </c>
      <c r="P43" s="297">
        <f t="shared" ca="1" si="70"/>
        <v>0</v>
      </c>
      <c r="Q43" s="84"/>
      <c r="R43" s="304">
        <f t="shared" ca="1" si="106"/>
        <v>0</v>
      </c>
      <c r="S43" s="304">
        <f t="shared" ca="1" si="106"/>
        <v>59.170499999999997</v>
      </c>
      <c r="T43" s="304">
        <f t="shared" ca="1" si="106"/>
        <v>0</v>
      </c>
      <c r="U43" s="304">
        <f t="shared" ca="1" si="106"/>
        <v>0</v>
      </c>
      <c r="V43" s="304">
        <f t="shared" ca="1" si="106"/>
        <v>0</v>
      </c>
      <c r="W43" s="304">
        <f t="shared" ca="1" si="106"/>
        <v>0</v>
      </c>
      <c r="X43" s="304">
        <f t="shared" ca="1" si="107"/>
        <v>0</v>
      </c>
      <c r="Y43" s="304">
        <f t="shared" ca="1" si="107"/>
        <v>0</v>
      </c>
      <c r="Z43" s="304">
        <f t="shared" ca="1" si="107"/>
        <v>0</v>
      </c>
      <c r="AA43" s="304">
        <f t="shared" ca="1" si="106"/>
        <v>0</v>
      </c>
      <c r="AB43" s="304">
        <f t="shared" ca="1" si="106"/>
        <v>0</v>
      </c>
      <c r="AC43" s="304">
        <f t="shared" ca="1" si="106"/>
        <v>0</v>
      </c>
      <c r="AD43" s="304">
        <f t="shared" ca="1" si="106"/>
        <v>0</v>
      </c>
      <c r="AE43" s="304">
        <f t="shared" ca="1" si="106"/>
        <v>0</v>
      </c>
      <c r="AF43" s="304">
        <f t="shared" ca="1" si="106"/>
        <v>0</v>
      </c>
      <c r="AG43" s="304">
        <f t="shared" ca="1" si="106"/>
        <v>0</v>
      </c>
      <c r="AH43" s="305">
        <f t="shared" ca="1" si="5"/>
        <v>59.170499999999997</v>
      </c>
      <c r="AI43" s="84"/>
      <c r="AJ43" s="312">
        <f t="shared" ca="1" si="108"/>
        <v>0</v>
      </c>
      <c r="AK43" s="312">
        <f t="shared" ca="1" si="108"/>
        <v>0</v>
      </c>
      <c r="AL43" s="312">
        <f t="shared" ca="1" si="108"/>
        <v>0</v>
      </c>
      <c r="AM43" s="312">
        <f t="shared" ca="1" si="108"/>
        <v>0</v>
      </c>
      <c r="AN43" s="312">
        <f t="shared" ca="1" si="108"/>
        <v>0</v>
      </c>
      <c r="AO43" s="312">
        <f t="shared" ca="1" si="108"/>
        <v>0</v>
      </c>
      <c r="AP43" s="312">
        <f t="shared" ca="1" si="108"/>
        <v>0</v>
      </c>
      <c r="AQ43" s="312">
        <f t="shared" ca="1" si="108"/>
        <v>0</v>
      </c>
      <c r="AR43" s="312">
        <f t="shared" ca="1" si="108"/>
        <v>0</v>
      </c>
      <c r="AS43" s="312">
        <f t="shared" ca="1" si="106"/>
        <v>0</v>
      </c>
      <c r="AT43" s="312">
        <f t="shared" ca="1" si="106"/>
        <v>0</v>
      </c>
      <c r="AU43" s="312">
        <f t="shared" ca="1" si="106"/>
        <v>0</v>
      </c>
      <c r="AV43" s="312">
        <f t="shared" ca="1" si="106"/>
        <v>-59.170499999999997</v>
      </c>
      <c r="AW43" s="312">
        <f t="shared" ca="1" si="106"/>
        <v>0</v>
      </c>
      <c r="AX43" s="312">
        <f t="shared" ca="1" si="106"/>
        <v>0</v>
      </c>
      <c r="AY43" s="266">
        <f t="shared" ca="1" si="74"/>
        <v>-59.170499999999997</v>
      </c>
      <c r="AZ43" s="84"/>
      <c r="BA43" s="308">
        <f t="shared" ca="1" si="109"/>
        <v>0</v>
      </c>
      <c r="BB43" s="308">
        <f t="shared" ca="1" si="109"/>
        <v>0</v>
      </c>
      <c r="BC43" s="309">
        <f t="shared" ca="1" si="10"/>
        <v>0</v>
      </c>
      <c r="BD43" s="84"/>
      <c r="BE43" s="135">
        <f t="shared" ca="1" si="103"/>
        <v>0</v>
      </c>
      <c r="BF43" s="135"/>
      <c r="BG43" s="1428"/>
      <c r="BH43" s="541">
        <f t="shared" ca="1" si="110"/>
        <v>0</v>
      </c>
      <c r="BI43" s="542">
        <f t="shared" ca="1" si="110"/>
        <v>0</v>
      </c>
      <c r="BJ43" s="542">
        <f t="shared" ca="1" si="110"/>
        <v>0</v>
      </c>
      <c r="BK43" s="542">
        <f t="shared" ca="1" si="110"/>
        <v>0</v>
      </c>
      <c r="BL43" s="542">
        <f t="shared" ca="1" si="110"/>
        <v>0</v>
      </c>
      <c r="BM43" s="542">
        <f t="shared" ca="1" si="110"/>
        <v>0</v>
      </c>
      <c r="BN43" s="542">
        <f t="shared" ca="1" si="110"/>
        <v>0</v>
      </c>
      <c r="BO43" s="542">
        <f t="shared" ca="1" si="110"/>
        <v>0</v>
      </c>
      <c r="BP43" s="542">
        <f t="shared" ca="1" si="110"/>
        <v>0</v>
      </c>
      <c r="BQ43" s="542">
        <f t="shared" ca="1" si="110"/>
        <v>0</v>
      </c>
      <c r="BR43" s="542">
        <f t="shared" ca="1" si="111"/>
        <v>0</v>
      </c>
      <c r="BS43" s="542">
        <f t="shared" ca="1" si="111"/>
        <v>0</v>
      </c>
      <c r="BT43" s="542">
        <f t="shared" ca="1" si="111"/>
        <v>0</v>
      </c>
      <c r="BU43" s="542">
        <f t="shared" ca="1" si="111"/>
        <v>0</v>
      </c>
      <c r="BV43" s="542">
        <f t="shared" ca="1" si="111"/>
        <v>0</v>
      </c>
      <c r="BW43" s="542">
        <f t="shared" ca="1" si="111"/>
        <v>0</v>
      </c>
      <c r="BX43" s="542">
        <f t="shared" ca="1" si="111"/>
        <v>0</v>
      </c>
      <c r="BY43" s="542">
        <f t="shared" ca="1" si="111"/>
        <v>0</v>
      </c>
      <c r="BZ43" s="542">
        <f t="shared" ca="1" si="111"/>
        <v>0</v>
      </c>
      <c r="CA43" s="542">
        <f t="shared" ca="1" si="111"/>
        <v>0</v>
      </c>
      <c r="CB43" s="542">
        <f t="shared" ca="1" si="112"/>
        <v>0</v>
      </c>
      <c r="CC43" s="542">
        <f t="shared" ca="1" si="112"/>
        <v>0</v>
      </c>
      <c r="CD43" s="542">
        <f t="shared" ca="1" si="112"/>
        <v>0</v>
      </c>
      <c r="CE43" s="542">
        <f t="shared" ca="1" si="112"/>
        <v>0</v>
      </c>
      <c r="CF43" s="542">
        <f t="shared" ca="1" si="112"/>
        <v>0</v>
      </c>
      <c r="CG43" s="542">
        <f t="shared" ca="1" si="112"/>
        <v>0</v>
      </c>
      <c r="CH43" s="542">
        <f t="shared" ca="1" si="112"/>
        <v>0</v>
      </c>
      <c r="CI43" s="542">
        <f t="shared" ca="1" si="112"/>
        <v>0</v>
      </c>
      <c r="CJ43" s="542">
        <f t="shared" ca="1" si="112"/>
        <v>0</v>
      </c>
      <c r="CK43" s="542">
        <f t="shared" ca="1" si="112"/>
        <v>0</v>
      </c>
      <c r="CL43" s="542">
        <f t="shared" ca="1" si="113"/>
        <v>0</v>
      </c>
      <c r="CM43" s="542">
        <f t="shared" ca="1" si="113"/>
        <v>0</v>
      </c>
      <c r="CN43" s="542">
        <f t="shared" ca="1" si="113"/>
        <v>0</v>
      </c>
      <c r="CO43" s="542">
        <f t="shared" ca="1" si="113"/>
        <v>0</v>
      </c>
      <c r="CP43" s="542">
        <f t="shared" ca="1" si="113"/>
        <v>0</v>
      </c>
      <c r="CQ43" s="542">
        <f t="shared" ca="1" si="113"/>
        <v>0</v>
      </c>
      <c r="CR43" s="542">
        <f t="shared" ca="1" si="113"/>
        <v>0</v>
      </c>
      <c r="CS43" s="542">
        <f t="shared" ca="1" si="113"/>
        <v>0</v>
      </c>
      <c r="CT43" s="542">
        <f t="shared" ca="1" si="113"/>
        <v>0</v>
      </c>
      <c r="CU43" s="542">
        <f t="shared" ca="1" si="113"/>
        <v>0</v>
      </c>
      <c r="CW43" s="151">
        <f t="shared" ca="1" si="75"/>
        <v>0</v>
      </c>
    </row>
    <row r="44" spans="1:101" s="543" customFormat="1" ht="12.75" customHeight="1" outlineLevel="1" x14ac:dyDescent="0.2">
      <c r="C44" s="86" t="s">
        <v>2365</v>
      </c>
      <c r="D44" s="61" t="str">
        <f>INDEX(Modules[Module], MATCH($C44, Modules[Code], 0))</f>
        <v>Small Hydroelectric power stations</v>
      </c>
      <c r="E44" s="61"/>
      <c r="F44" s="84"/>
      <c r="G44" s="297">
        <f t="shared" ca="1" si="105"/>
        <v>0</v>
      </c>
      <c r="H44" s="297">
        <f t="shared" ca="1" si="105"/>
        <v>0</v>
      </c>
      <c r="I44" s="297">
        <f t="shared" ca="1" si="105"/>
        <v>0</v>
      </c>
      <c r="J44" s="297">
        <f t="shared" ca="1" si="105"/>
        <v>0</v>
      </c>
      <c r="K44" s="297">
        <f t="shared" ca="1" si="105"/>
        <v>0</v>
      </c>
      <c r="L44" s="297">
        <f t="shared" ca="1" si="105"/>
        <v>0</v>
      </c>
      <c r="M44" s="297">
        <f t="shared" ca="1" si="105"/>
        <v>0</v>
      </c>
      <c r="N44" s="297">
        <f t="shared" ca="1" si="105"/>
        <v>0</v>
      </c>
      <c r="O44" s="297">
        <f t="shared" ca="1" si="105"/>
        <v>0</v>
      </c>
      <c r="P44" s="297">
        <f t="shared" ca="1" si="70"/>
        <v>0</v>
      </c>
      <c r="Q44" s="84"/>
      <c r="R44" s="304">
        <f t="shared" ca="1" si="106"/>
        <v>0</v>
      </c>
      <c r="S44" s="304">
        <f t="shared" ca="1" si="106"/>
        <v>15.3405</v>
      </c>
      <c r="T44" s="304">
        <f t="shared" ca="1" si="106"/>
        <v>0</v>
      </c>
      <c r="U44" s="304">
        <f t="shared" ca="1" si="106"/>
        <v>0</v>
      </c>
      <c r="V44" s="304">
        <f t="shared" ca="1" si="106"/>
        <v>0</v>
      </c>
      <c r="W44" s="304">
        <f t="shared" ca="1" si="106"/>
        <v>0</v>
      </c>
      <c r="X44" s="304">
        <f t="shared" ca="1" si="107"/>
        <v>0</v>
      </c>
      <c r="Y44" s="304">
        <f t="shared" ca="1" si="107"/>
        <v>0</v>
      </c>
      <c r="Z44" s="304">
        <f t="shared" ca="1" si="107"/>
        <v>0</v>
      </c>
      <c r="AA44" s="304">
        <f t="shared" ca="1" si="106"/>
        <v>0</v>
      </c>
      <c r="AB44" s="304">
        <f t="shared" ca="1" si="106"/>
        <v>0</v>
      </c>
      <c r="AC44" s="304">
        <f t="shared" ca="1" si="106"/>
        <v>0</v>
      </c>
      <c r="AD44" s="304">
        <f t="shared" ca="1" si="106"/>
        <v>0</v>
      </c>
      <c r="AE44" s="304">
        <f t="shared" ca="1" si="106"/>
        <v>0</v>
      </c>
      <c r="AF44" s="304">
        <f t="shared" ca="1" si="106"/>
        <v>0</v>
      </c>
      <c r="AG44" s="304">
        <f t="shared" ca="1" si="106"/>
        <v>0</v>
      </c>
      <c r="AH44" s="305">
        <f t="shared" ca="1" si="5"/>
        <v>15.3405</v>
      </c>
      <c r="AI44" s="84"/>
      <c r="AJ44" s="312">
        <f t="shared" ca="1" si="108"/>
        <v>0</v>
      </c>
      <c r="AK44" s="312">
        <f t="shared" ca="1" si="108"/>
        <v>0</v>
      </c>
      <c r="AL44" s="312">
        <f t="shared" ca="1" si="108"/>
        <v>0</v>
      </c>
      <c r="AM44" s="312">
        <f t="shared" ca="1" si="108"/>
        <v>0</v>
      </c>
      <c r="AN44" s="312">
        <f t="shared" ca="1" si="108"/>
        <v>0</v>
      </c>
      <c r="AO44" s="312">
        <f t="shared" ca="1" si="108"/>
        <v>0</v>
      </c>
      <c r="AP44" s="312">
        <f t="shared" ca="1" si="108"/>
        <v>0</v>
      </c>
      <c r="AQ44" s="312">
        <f t="shared" ca="1" si="108"/>
        <v>0</v>
      </c>
      <c r="AR44" s="312">
        <f t="shared" ca="1" si="108"/>
        <v>0</v>
      </c>
      <c r="AS44" s="312">
        <f t="shared" ca="1" si="106"/>
        <v>0</v>
      </c>
      <c r="AT44" s="312">
        <f t="shared" ca="1" si="106"/>
        <v>0</v>
      </c>
      <c r="AU44" s="312">
        <f t="shared" ca="1" si="106"/>
        <v>0</v>
      </c>
      <c r="AV44" s="312">
        <f t="shared" ca="1" si="106"/>
        <v>-15.3405</v>
      </c>
      <c r="AW44" s="312">
        <f t="shared" ca="1" si="106"/>
        <v>0</v>
      </c>
      <c r="AX44" s="312">
        <f t="shared" ca="1" si="106"/>
        <v>0</v>
      </c>
      <c r="AY44" s="266">
        <f t="shared" ca="1" si="74"/>
        <v>-15.3405</v>
      </c>
      <c r="AZ44" s="84"/>
      <c r="BA44" s="308">
        <f t="shared" ca="1" si="109"/>
        <v>0</v>
      </c>
      <c r="BB44" s="308">
        <f t="shared" ca="1" si="109"/>
        <v>0</v>
      </c>
      <c r="BC44" s="309">
        <f t="shared" ca="1" si="10"/>
        <v>0</v>
      </c>
      <c r="BD44" s="84"/>
      <c r="BE44" s="135">
        <f t="shared" ca="1" si="103"/>
        <v>0</v>
      </c>
      <c r="BF44" s="135"/>
      <c r="BG44" s="1428"/>
      <c r="BH44" s="541">
        <f t="shared" ca="1" si="110"/>
        <v>0</v>
      </c>
      <c r="BI44" s="542">
        <f t="shared" ca="1" si="110"/>
        <v>0</v>
      </c>
      <c r="BJ44" s="542">
        <f t="shared" ca="1" si="110"/>
        <v>0</v>
      </c>
      <c r="BK44" s="542">
        <f t="shared" ca="1" si="110"/>
        <v>0</v>
      </c>
      <c r="BL44" s="542">
        <f t="shared" ca="1" si="110"/>
        <v>0</v>
      </c>
      <c r="BM44" s="542">
        <f t="shared" ca="1" si="110"/>
        <v>0</v>
      </c>
      <c r="BN44" s="542">
        <f t="shared" ca="1" si="110"/>
        <v>0</v>
      </c>
      <c r="BO44" s="542">
        <f t="shared" ca="1" si="110"/>
        <v>0</v>
      </c>
      <c r="BP44" s="542">
        <f t="shared" ca="1" si="110"/>
        <v>0</v>
      </c>
      <c r="BQ44" s="542">
        <f t="shared" ca="1" si="110"/>
        <v>0</v>
      </c>
      <c r="BR44" s="542">
        <f t="shared" ca="1" si="111"/>
        <v>0</v>
      </c>
      <c r="BS44" s="542">
        <f t="shared" ca="1" si="111"/>
        <v>0</v>
      </c>
      <c r="BT44" s="542">
        <f t="shared" ca="1" si="111"/>
        <v>0</v>
      </c>
      <c r="BU44" s="542">
        <f t="shared" ca="1" si="111"/>
        <v>0</v>
      </c>
      <c r="BV44" s="542">
        <f t="shared" ca="1" si="111"/>
        <v>0</v>
      </c>
      <c r="BW44" s="542">
        <f t="shared" ca="1" si="111"/>
        <v>0</v>
      </c>
      <c r="BX44" s="542">
        <f t="shared" ca="1" si="111"/>
        <v>0</v>
      </c>
      <c r="BY44" s="542">
        <f t="shared" ca="1" si="111"/>
        <v>0</v>
      </c>
      <c r="BZ44" s="542">
        <f t="shared" ca="1" si="111"/>
        <v>0</v>
      </c>
      <c r="CA44" s="542">
        <f t="shared" ca="1" si="111"/>
        <v>0</v>
      </c>
      <c r="CB44" s="542">
        <f t="shared" ca="1" si="112"/>
        <v>0</v>
      </c>
      <c r="CC44" s="542">
        <f t="shared" ca="1" si="112"/>
        <v>0</v>
      </c>
      <c r="CD44" s="542">
        <f t="shared" ca="1" si="112"/>
        <v>0</v>
      </c>
      <c r="CE44" s="542">
        <f t="shared" ca="1" si="112"/>
        <v>0</v>
      </c>
      <c r="CF44" s="542">
        <f t="shared" ca="1" si="112"/>
        <v>0</v>
      </c>
      <c r="CG44" s="542">
        <f t="shared" ca="1" si="112"/>
        <v>0</v>
      </c>
      <c r="CH44" s="542">
        <f t="shared" ca="1" si="112"/>
        <v>0</v>
      </c>
      <c r="CI44" s="542">
        <f t="shared" ca="1" si="112"/>
        <v>0</v>
      </c>
      <c r="CJ44" s="542">
        <f t="shared" ca="1" si="112"/>
        <v>0</v>
      </c>
      <c r="CK44" s="542">
        <f t="shared" ca="1" si="112"/>
        <v>0</v>
      </c>
      <c r="CL44" s="542">
        <f t="shared" ca="1" si="113"/>
        <v>0</v>
      </c>
      <c r="CM44" s="542">
        <f t="shared" ca="1" si="113"/>
        <v>0</v>
      </c>
      <c r="CN44" s="542">
        <f t="shared" ca="1" si="113"/>
        <v>0</v>
      </c>
      <c r="CO44" s="542">
        <f t="shared" ca="1" si="113"/>
        <v>0</v>
      </c>
      <c r="CP44" s="542">
        <f t="shared" ca="1" si="113"/>
        <v>0</v>
      </c>
      <c r="CQ44" s="542">
        <f t="shared" ca="1" si="113"/>
        <v>0</v>
      </c>
      <c r="CR44" s="542">
        <f t="shared" ca="1" si="113"/>
        <v>0</v>
      </c>
      <c r="CS44" s="542">
        <f t="shared" ca="1" si="113"/>
        <v>0</v>
      </c>
      <c r="CT44" s="542">
        <f t="shared" ca="1" si="113"/>
        <v>0</v>
      </c>
      <c r="CU44" s="542">
        <f t="shared" ca="1" si="113"/>
        <v>0</v>
      </c>
      <c r="CW44" s="151">
        <f ca="1">SUM(BH44:CU44)</f>
        <v>0</v>
      </c>
    </row>
    <row r="45" spans="1:101" s="543" customFormat="1" ht="12.75" customHeight="1" outlineLevel="1" x14ac:dyDescent="0.2">
      <c r="C45" s="86" t="s">
        <v>2364</v>
      </c>
      <c r="D45" s="61" t="str">
        <f>INDEX(Modules[Module], MATCH($C45, Modules[Code], 0))</f>
        <v>Grid Connected Solar PV</v>
      </c>
      <c r="E45" s="61"/>
      <c r="F45" s="84"/>
      <c r="G45" s="297">
        <f t="shared" ca="1" si="105"/>
        <v>0</v>
      </c>
      <c r="H45" s="297">
        <f t="shared" ca="1" si="105"/>
        <v>0</v>
      </c>
      <c r="I45" s="297">
        <f t="shared" ca="1" si="105"/>
        <v>0</v>
      </c>
      <c r="J45" s="297">
        <f t="shared" ca="1" si="105"/>
        <v>0</v>
      </c>
      <c r="K45" s="297">
        <f t="shared" ca="1" si="105"/>
        <v>0</v>
      </c>
      <c r="L45" s="297">
        <f t="shared" ca="1" si="105"/>
        <v>0</v>
      </c>
      <c r="M45" s="297">
        <f t="shared" ca="1" si="105"/>
        <v>0</v>
      </c>
      <c r="N45" s="297">
        <f t="shared" ca="1" si="105"/>
        <v>0</v>
      </c>
      <c r="O45" s="297">
        <f t="shared" ca="1" si="105"/>
        <v>0</v>
      </c>
      <c r="P45" s="297">
        <f t="shared" ca="1" si="70"/>
        <v>0</v>
      </c>
      <c r="Q45" s="84"/>
      <c r="R45" s="304">
        <f t="shared" ca="1" si="106"/>
        <v>0</v>
      </c>
      <c r="S45" s="304">
        <f t="shared" ca="1" si="106"/>
        <v>202.49459999999999</v>
      </c>
      <c r="T45" s="304">
        <f t="shared" ca="1" si="106"/>
        <v>0</v>
      </c>
      <c r="U45" s="304">
        <f t="shared" ca="1" si="106"/>
        <v>0</v>
      </c>
      <c r="V45" s="304">
        <f t="shared" ca="1" si="106"/>
        <v>0</v>
      </c>
      <c r="W45" s="304">
        <f t="shared" ca="1" si="106"/>
        <v>0</v>
      </c>
      <c r="X45" s="304">
        <f t="shared" ca="1" si="107"/>
        <v>0</v>
      </c>
      <c r="Y45" s="304">
        <f t="shared" ca="1" si="107"/>
        <v>0</v>
      </c>
      <c r="Z45" s="304">
        <f t="shared" ca="1" si="107"/>
        <v>0</v>
      </c>
      <c r="AA45" s="304">
        <f t="shared" ca="1" si="106"/>
        <v>0</v>
      </c>
      <c r="AB45" s="304">
        <f t="shared" ca="1" si="106"/>
        <v>0</v>
      </c>
      <c r="AC45" s="304">
        <f t="shared" ca="1" si="106"/>
        <v>0</v>
      </c>
      <c r="AD45" s="304">
        <f t="shared" ca="1" si="106"/>
        <v>0</v>
      </c>
      <c r="AE45" s="304">
        <f t="shared" ca="1" si="106"/>
        <v>0</v>
      </c>
      <c r="AF45" s="304">
        <f t="shared" ca="1" si="106"/>
        <v>0</v>
      </c>
      <c r="AG45" s="304">
        <f t="shared" ca="1" si="106"/>
        <v>0</v>
      </c>
      <c r="AH45" s="305">
        <f t="shared" ca="1" si="5"/>
        <v>202.49459999999999</v>
      </c>
      <c r="AI45" s="84"/>
      <c r="AJ45" s="312">
        <f t="shared" ca="1" si="108"/>
        <v>0</v>
      </c>
      <c r="AK45" s="312">
        <f t="shared" ca="1" si="108"/>
        <v>0</v>
      </c>
      <c r="AL45" s="312">
        <f t="shared" ca="1" si="108"/>
        <v>0</v>
      </c>
      <c r="AM45" s="312">
        <f t="shared" ca="1" si="108"/>
        <v>0</v>
      </c>
      <c r="AN45" s="312">
        <f t="shared" ca="1" si="108"/>
        <v>0</v>
      </c>
      <c r="AO45" s="312">
        <f t="shared" ca="1" si="108"/>
        <v>0</v>
      </c>
      <c r="AP45" s="312">
        <f t="shared" ca="1" si="108"/>
        <v>0</v>
      </c>
      <c r="AQ45" s="312">
        <f t="shared" ca="1" si="108"/>
        <v>0</v>
      </c>
      <c r="AR45" s="312">
        <f t="shared" ca="1" si="108"/>
        <v>0</v>
      </c>
      <c r="AS45" s="312">
        <f t="shared" ca="1" si="106"/>
        <v>0</v>
      </c>
      <c r="AT45" s="312">
        <f t="shared" ca="1" si="106"/>
        <v>-202.49459999999999</v>
      </c>
      <c r="AU45" s="312">
        <f t="shared" ca="1" si="106"/>
        <v>0</v>
      </c>
      <c r="AV45" s="312">
        <f t="shared" ca="1" si="106"/>
        <v>0</v>
      </c>
      <c r="AW45" s="312">
        <f t="shared" ca="1" si="106"/>
        <v>0</v>
      </c>
      <c r="AX45" s="312">
        <f t="shared" ca="1" si="106"/>
        <v>0</v>
      </c>
      <c r="AY45" s="266">
        <f t="shared" ca="1" si="74"/>
        <v>-202.49459999999999</v>
      </c>
      <c r="AZ45" s="84"/>
      <c r="BA45" s="308">
        <f t="shared" ca="1" si="109"/>
        <v>0</v>
      </c>
      <c r="BB45" s="308">
        <f t="shared" ca="1" si="109"/>
        <v>0</v>
      </c>
      <c r="BC45" s="309">
        <f t="shared" ca="1" si="10"/>
        <v>0</v>
      </c>
      <c r="BD45" s="84"/>
      <c r="BE45" s="135">
        <f t="shared" ca="1" si="103"/>
        <v>0</v>
      </c>
      <c r="BF45" s="135"/>
      <c r="BG45" s="1428"/>
      <c r="BH45" s="541">
        <f t="shared" ca="1" si="110"/>
        <v>0</v>
      </c>
      <c r="BI45" s="542">
        <f t="shared" ca="1" si="110"/>
        <v>0</v>
      </c>
      <c r="BJ45" s="542">
        <f t="shared" ca="1" si="110"/>
        <v>0</v>
      </c>
      <c r="BK45" s="542">
        <f t="shared" ca="1" si="110"/>
        <v>0</v>
      </c>
      <c r="BL45" s="542">
        <f t="shared" ca="1" si="110"/>
        <v>0</v>
      </c>
      <c r="BM45" s="542">
        <f t="shared" ca="1" si="110"/>
        <v>0</v>
      </c>
      <c r="BN45" s="542">
        <f t="shared" ca="1" si="110"/>
        <v>0</v>
      </c>
      <c r="BO45" s="542">
        <f t="shared" ca="1" si="110"/>
        <v>0</v>
      </c>
      <c r="BP45" s="542">
        <f t="shared" ca="1" si="110"/>
        <v>0</v>
      </c>
      <c r="BQ45" s="542">
        <f t="shared" ca="1" si="110"/>
        <v>0</v>
      </c>
      <c r="BR45" s="542">
        <f t="shared" ca="1" si="111"/>
        <v>0</v>
      </c>
      <c r="BS45" s="542">
        <f t="shared" ca="1" si="111"/>
        <v>0</v>
      </c>
      <c r="BT45" s="542">
        <f t="shared" ca="1" si="111"/>
        <v>0</v>
      </c>
      <c r="BU45" s="542">
        <f t="shared" ca="1" si="111"/>
        <v>0</v>
      </c>
      <c r="BV45" s="542">
        <f t="shared" ca="1" si="111"/>
        <v>0</v>
      </c>
      <c r="BW45" s="542">
        <f t="shared" ca="1" si="111"/>
        <v>0</v>
      </c>
      <c r="BX45" s="542">
        <f t="shared" ca="1" si="111"/>
        <v>0</v>
      </c>
      <c r="BY45" s="542">
        <f t="shared" ca="1" si="111"/>
        <v>0</v>
      </c>
      <c r="BZ45" s="542">
        <f t="shared" ca="1" si="111"/>
        <v>0</v>
      </c>
      <c r="CA45" s="542">
        <f t="shared" ca="1" si="111"/>
        <v>0</v>
      </c>
      <c r="CB45" s="542">
        <f t="shared" ca="1" si="112"/>
        <v>0</v>
      </c>
      <c r="CC45" s="542">
        <f t="shared" ca="1" si="112"/>
        <v>0</v>
      </c>
      <c r="CD45" s="542">
        <f t="shared" ca="1" si="112"/>
        <v>0</v>
      </c>
      <c r="CE45" s="542">
        <f t="shared" ca="1" si="112"/>
        <v>0</v>
      </c>
      <c r="CF45" s="542">
        <f t="shared" ca="1" si="112"/>
        <v>0</v>
      </c>
      <c r="CG45" s="542">
        <f t="shared" ca="1" si="112"/>
        <v>0</v>
      </c>
      <c r="CH45" s="542">
        <f t="shared" ca="1" si="112"/>
        <v>0</v>
      </c>
      <c r="CI45" s="542">
        <f t="shared" ca="1" si="112"/>
        <v>0</v>
      </c>
      <c r="CJ45" s="542">
        <f t="shared" ca="1" si="112"/>
        <v>0</v>
      </c>
      <c r="CK45" s="542">
        <f t="shared" ca="1" si="112"/>
        <v>0</v>
      </c>
      <c r="CL45" s="542">
        <f t="shared" ca="1" si="113"/>
        <v>0</v>
      </c>
      <c r="CM45" s="542">
        <f t="shared" ca="1" si="113"/>
        <v>0</v>
      </c>
      <c r="CN45" s="542">
        <f t="shared" ca="1" si="113"/>
        <v>0</v>
      </c>
      <c r="CO45" s="542">
        <f t="shared" ca="1" si="113"/>
        <v>0</v>
      </c>
      <c r="CP45" s="542">
        <f t="shared" ca="1" si="113"/>
        <v>0</v>
      </c>
      <c r="CQ45" s="542">
        <f t="shared" ca="1" si="113"/>
        <v>0</v>
      </c>
      <c r="CR45" s="542">
        <f t="shared" ca="1" si="113"/>
        <v>0</v>
      </c>
      <c r="CS45" s="542">
        <f t="shared" ca="1" si="113"/>
        <v>0</v>
      </c>
      <c r="CT45" s="542">
        <f t="shared" ca="1" si="113"/>
        <v>0</v>
      </c>
      <c r="CU45" s="542">
        <f t="shared" ca="1" si="113"/>
        <v>0</v>
      </c>
      <c r="CW45" s="151">
        <f t="shared" ref="CW45:CW57" ca="1" si="114">SUM(BH45:CU45)</f>
        <v>0</v>
      </c>
    </row>
    <row r="46" spans="1:101" s="84" customFormat="1" ht="12.75" customHeight="1" outlineLevel="1" x14ac:dyDescent="0.2">
      <c r="A46" s="543"/>
      <c r="B46" s="543"/>
      <c r="C46" s="86" t="s">
        <v>2376</v>
      </c>
      <c r="D46" s="292" t="str">
        <f>INDEX(Modules[Module], MATCH($C46, Modules[Code], 0))</f>
        <v>Concentrated Solar Power</v>
      </c>
      <c r="E46" s="292"/>
      <c r="G46" s="301">
        <f t="shared" ca="1" si="105"/>
        <v>0</v>
      </c>
      <c r="H46" s="301">
        <f t="shared" ca="1" si="105"/>
        <v>0</v>
      </c>
      <c r="I46" s="301">
        <f t="shared" ca="1" si="105"/>
        <v>0</v>
      </c>
      <c r="J46" s="301">
        <f t="shared" ca="1" si="105"/>
        <v>0</v>
      </c>
      <c r="K46" s="301">
        <f t="shared" ca="1" si="105"/>
        <v>0</v>
      </c>
      <c r="L46" s="301">
        <f t="shared" ca="1" si="105"/>
        <v>0</v>
      </c>
      <c r="M46" s="301">
        <f t="shared" ca="1" si="105"/>
        <v>0</v>
      </c>
      <c r="N46" s="301">
        <f t="shared" ca="1" si="105"/>
        <v>0</v>
      </c>
      <c r="O46" s="301">
        <f t="shared" ca="1" si="105"/>
        <v>0</v>
      </c>
      <c r="P46" s="301">
        <f t="shared" ca="1" si="70"/>
        <v>0</v>
      </c>
      <c r="R46" s="307">
        <f t="shared" ca="1" si="106"/>
        <v>0</v>
      </c>
      <c r="S46" s="307">
        <f t="shared" ca="1" si="106"/>
        <v>122.724</v>
      </c>
      <c r="T46" s="307">
        <f t="shared" ca="1" si="106"/>
        <v>0</v>
      </c>
      <c r="U46" s="307">
        <f t="shared" ca="1" si="106"/>
        <v>0</v>
      </c>
      <c r="V46" s="307">
        <f t="shared" ca="1" si="106"/>
        <v>0</v>
      </c>
      <c r="W46" s="307">
        <f t="shared" ca="1" si="106"/>
        <v>0</v>
      </c>
      <c r="X46" s="307">
        <f t="shared" ca="1" si="107"/>
        <v>0</v>
      </c>
      <c r="Y46" s="307">
        <f t="shared" ca="1" si="107"/>
        <v>0</v>
      </c>
      <c r="Z46" s="307">
        <f t="shared" ca="1" si="107"/>
        <v>0</v>
      </c>
      <c r="AA46" s="307">
        <f t="shared" ca="1" si="106"/>
        <v>0</v>
      </c>
      <c r="AB46" s="307">
        <f t="shared" ca="1" si="106"/>
        <v>0</v>
      </c>
      <c r="AC46" s="307">
        <f t="shared" ca="1" si="106"/>
        <v>0</v>
      </c>
      <c r="AD46" s="307">
        <f t="shared" ca="1" si="106"/>
        <v>0</v>
      </c>
      <c r="AE46" s="307">
        <f t="shared" ca="1" si="106"/>
        <v>0</v>
      </c>
      <c r="AF46" s="307">
        <f t="shared" ca="1" si="106"/>
        <v>0</v>
      </c>
      <c r="AG46" s="307">
        <f t="shared" ca="1" si="106"/>
        <v>0</v>
      </c>
      <c r="AH46" s="306">
        <f t="shared" ca="1" si="5"/>
        <v>122.724</v>
      </c>
      <c r="AJ46" s="315">
        <f t="shared" ca="1" si="108"/>
        <v>0</v>
      </c>
      <c r="AK46" s="315">
        <f t="shared" ca="1" si="108"/>
        <v>0</v>
      </c>
      <c r="AL46" s="315">
        <f t="shared" ca="1" si="108"/>
        <v>0</v>
      </c>
      <c r="AM46" s="315">
        <f t="shared" ca="1" si="108"/>
        <v>0</v>
      </c>
      <c r="AN46" s="315">
        <f t="shared" ca="1" si="108"/>
        <v>0</v>
      </c>
      <c r="AO46" s="315">
        <f t="shared" ca="1" si="108"/>
        <v>0</v>
      </c>
      <c r="AP46" s="315">
        <f t="shared" ca="1" si="108"/>
        <v>0</v>
      </c>
      <c r="AQ46" s="315">
        <f t="shared" ca="1" si="108"/>
        <v>0</v>
      </c>
      <c r="AR46" s="315">
        <f t="shared" ca="1" si="108"/>
        <v>0</v>
      </c>
      <c r="AS46" s="315">
        <f t="shared" ca="1" si="106"/>
        <v>0</v>
      </c>
      <c r="AT46" s="315">
        <f t="shared" ca="1" si="106"/>
        <v>-122.724</v>
      </c>
      <c r="AU46" s="315">
        <f t="shared" ca="1" si="106"/>
        <v>0</v>
      </c>
      <c r="AV46" s="315">
        <f t="shared" ca="1" si="106"/>
        <v>0</v>
      </c>
      <c r="AW46" s="315">
        <f t="shared" ca="1" si="106"/>
        <v>0</v>
      </c>
      <c r="AX46" s="315">
        <f t="shared" ca="1" si="106"/>
        <v>0</v>
      </c>
      <c r="AY46" s="293">
        <f t="shared" ca="1" si="74"/>
        <v>-122.724</v>
      </c>
      <c r="BA46" s="311">
        <f t="shared" ca="1" si="109"/>
        <v>0</v>
      </c>
      <c r="BB46" s="311">
        <f t="shared" ca="1" si="109"/>
        <v>0</v>
      </c>
      <c r="BC46" s="310">
        <f t="shared" ca="1" si="10"/>
        <v>0</v>
      </c>
      <c r="BE46" s="135">
        <f t="shared" ca="1" si="103"/>
        <v>0</v>
      </c>
      <c r="BF46" s="135"/>
      <c r="BG46" s="1428"/>
      <c r="BH46" s="544">
        <f t="shared" ca="1" si="110"/>
        <v>0</v>
      </c>
      <c r="BI46" s="545">
        <f t="shared" ca="1" si="110"/>
        <v>0</v>
      </c>
      <c r="BJ46" s="545">
        <f t="shared" ca="1" si="110"/>
        <v>0</v>
      </c>
      <c r="BK46" s="545">
        <f t="shared" ca="1" si="110"/>
        <v>0</v>
      </c>
      <c r="BL46" s="545">
        <f t="shared" ca="1" si="110"/>
        <v>0</v>
      </c>
      <c r="BM46" s="545">
        <f t="shared" ca="1" si="110"/>
        <v>0</v>
      </c>
      <c r="BN46" s="545">
        <f t="shared" ca="1" si="110"/>
        <v>0</v>
      </c>
      <c r="BO46" s="545">
        <f t="shared" ca="1" si="110"/>
        <v>0</v>
      </c>
      <c r="BP46" s="545">
        <f t="shared" ca="1" si="110"/>
        <v>0</v>
      </c>
      <c r="BQ46" s="545">
        <f t="shared" ca="1" si="110"/>
        <v>0</v>
      </c>
      <c r="BR46" s="545">
        <f t="shared" ca="1" si="111"/>
        <v>0</v>
      </c>
      <c r="BS46" s="545">
        <f t="shared" ca="1" si="111"/>
        <v>0</v>
      </c>
      <c r="BT46" s="545">
        <f t="shared" ca="1" si="111"/>
        <v>0</v>
      </c>
      <c r="BU46" s="545">
        <f t="shared" ca="1" si="111"/>
        <v>0</v>
      </c>
      <c r="BV46" s="545">
        <f t="shared" ca="1" si="111"/>
        <v>0</v>
      </c>
      <c r="BW46" s="545">
        <f t="shared" ca="1" si="111"/>
        <v>0</v>
      </c>
      <c r="BX46" s="545">
        <f t="shared" ca="1" si="111"/>
        <v>0</v>
      </c>
      <c r="BY46" s="545">
        <f t="shared" ca="1" si="111"/>
        <v>0</v>
      </c>
      <c r="BZ46" s="545">
        <f t="shared" ca="1" si="111"/>
        <v>0</v>
      </c>
      <c r="CA46" s="545">
        <f t="shared" ca="1" si="111"/>
        <v>0</v>
      </c>
      <c r="CB46" s="545">
        <f t="shared" ca="1" si="112"/>
        <v>0</v>
      </c>
      <c r="CC46" s="545">
        <f t="shared" ca="1" si="112"/>
        <v>0</v>
      </c>
      <c r="CD46" s="545">
        <f t="shared" ca="1" si="112"/>
        <v>0</v>
      </c>
      <c r="CE46" s="545">
        <f t="shared" ca="1" si="112"/>
        <v>0</v>
      </c>
      <c r="CF46" s="545">
        <f t="shared" ca="1" si="112"/>
        <v>0</v>
      </c>
      <c r="CG46" s="545">
        <f t="shared" ca="1" si="112"/>
        <v>0</v>
      </c>
      <c r="CH46" s="545">
        <f t="shared" ca="1" si="112"/>
        <v>0</v>
      </c>
      <c r="CI46" s="545">
        <f t="shared" ca="1" si="112"/>
        <v>0</v>
      </c>
      <c r="CJ46" s="545">
        <f t="shared" ca="1" si="112"/>
        <v>0</v>
      </c>
      <c r="CK46" s="545">
        <f t="shared" ca="1" si="112"/>
        <v>0</v>
      </c>
      <c r="CL46" s="545">
        <f t="shared" ca="1" si="113"/>
        <v>0</v>
      </c>
      <c r="CM46" s="545">
        <f t="shared" ca="1" si="113"/>
        <v>0</v>
      </c>
      <c r="CN46" s="545">
        <f t="shared" ca="1" si="113"/>
        <v>0</v>
      </c>
      <c r="CO46" s="545">
        <f t="shared" ca="1" si="113"/>
        <v>0</v>
      </c>
      <c r="CP46" s="545">
        <f t="shared" ca="1" si="113"/>
        <v>0</v>
      </c>
      <c r="CQ46" s="545">
        <f t="shared" ca="1" si="113"/>
        <v>0</v>
      </c>
      <c r="CR46" s="545">
        <f t="shared" ca="1" si="113"/>
        <v>0</v>
      </c>
      <c r="CS46" s="545">
        <f t="shared" ca="1" si="113"/>
        <v>0</v>
      </c>
      <c r="CT46" s="545">
        <f t="shared" ca="1" si="113"/>
        <v>0</v>
      </c>
      <c r="CU46" s="545">
        <f t="shared" ca="1" si="113"/>
        <v>0</v>
      </c>
      <c r="CW46" s="151">
        <f t="shared" ca="1" si="114"/>
        <v>0</v>
      </c>
    </row>
    <row r="47" spans="1:101" s="84" customFormat="1" ht="15.75" x14ac:dyDescent="0.2">
      <c r="A47" s="18"/>
      <c r="B47" s="89"/>
      <c r="C47" s="85" t="s">
        <v>62</v>
      </c>
      <c r="D47" s="57" t="str">
        <f>INDEX(Workstreams[Workstream], MATCH($C47, Workstreams[Code], 0))</f>
        <v>National renewable power generation</v>
      </c>
      <c r="E47" s="53"/>
      <c r="G47" s="245">
        <f t="shared" ref="G47:O47" ca="1" si="115">SUM(G42:G46)</f>
        <v>0</v>
      </c>
      <c r="H47" s="245">
        <f t="shared" ca="1" si="115"/>
        <v>0</v>
      </c>
      <c r="I47" s="245">
        <f ca="1">SUM(I42:I46)</f>
        <v>0</v>
      </c>
      <c r="J47" s="245">
        <f t="shared" ca="1" si="115"/>
        <v>0</v>
      </c>
      <c r="K47" s="245">
        <f t="shared" ca="1" si="115"/>
        <v>0</v>
      </c>
      <c r="L47" s="245">
        <f t="shared" ca="1" si="115"/>
        <v>0</v>
      </c>
      <c r="M47" s="245">
        <f t="shared" ca="1" si="115"/>
        <v>0</v>
      </c>
      <c r="N47" s="245">
        <f t="shared" ca="1" si="115"/>
        <v>0</v>
      </c>
      <c r="O47" s="245">
        <f t="shared" ca="1" si="115"/>
        <v>0</v>
      </c>
      <c r="P47" s="245">
        <f t="shared" ca="1" si="70"/>
        <v>0</v>
      </c>
      <c r="R47" s="257">
        <f t="shared" ref="R47:AF47" ca="1" si="116">SUM(R42:R46)</f>
        <v>0</v>
      </c>
      <c r="S47" s="257">
        <f t="shared" ca="1" si="116"/>
        <v>421.81991999999997</v>
      </c>
      <c r="T47" s="257">
        <f t="shared" ca="1" si="116"/>
        <v>0</v>
      </c>
      <c r="U47" s="257">
        <f t="shared" ca="1" si="116"/>
        <v>0</v>
      </c>
      <c r="V47" s="257">
        <f t="shared" ca="1" si="116"/>
        <v>0</v>
      </c>
      <c r="W47" s="257">
        <f ca="1">SUM(W42:W46)</f>
        <v>0</v>
      </c>
      <c r="X47" s="257">
        <f t="shared" ca="1" si="116"/>
        <v>0</v>
      </c>
      <c r="Y47" s="257">
        <f t="shared" ca="1" si="116"/>
        <v>0</v>
      </c>
      <c r="Z47" s="257">
        <f t="shared" ca="1" si="116"/>
        <v>0</v>
      </c>
      <c r="AA47" s="257">
        <f t="shared" ca="1" si="116"/>
        <v>0</v>
      </c>
      <c r="AB47" s="257">
        <f t="shared" ca="1" si="116"/>
        <v>0</v>
      </c>
      <c r="AC47" s="257">
        <f t="shared" ca="1" si="116"/>
        <v>0</v>
      </c>
      <c r="AD47" s="257">
        <f ca="1">SUM(AD42:AD46)</f>
        <v>0</v>
      </c>
      <c r="AE47" s="257">
        <f t="shared" ca="1" si="116"/>
        <v>0</v>
      </c>
      <c r="AF47" s="257">
        <f t="shared" ca="1" si="116"/>
        <v>0</v>
      </c>
      <c r="AG47" s="257">
        <f ca="1">SUM(AG42:AG46)</f>
        <v>0</v>
      </c>
      <c r="AH47" s="257">
        <f t="shared" ca="1" si="5"/>
        <v>421.81991999999997</v>
      </c>
      <c r="AJ47" s="263">
        <f t="shared" ref="AJ47:AX47" ca="1" si="117">SUM(AJ42:AJ46)</f>
        <v>0</v>
      </c>
      <c r="AK47" s="263">
        <f t="shared" ca="1" si="117"/>
        <v>0</v>
      </c>
      <c r="AL47" s="263">
        <f t="shared" ca="1" si="117"/>
        <v>0</v>
      </c>
      <c r="AM47" s="263">
        <f t="shared" ca="1" si="117"/>
        <v>0</v>
      </c>
      <c r="AN47" s="263">
        <f t="shared" ca="1" si="117"/>
        <v>0</v>
      </c>
      <c r="AO47" s="263">
        <f t="shared" ca="1" si="117"/>
        <v>0</v>
      </c>
      <c r="AP47" s="263">
        <f t="shared" ca="1" si="117"/>
        <v>0</v>
      </c>
      <c r="AQ47" s="263">
        <f t="shared" ca="1" si="117"/>
        <v>0</v>
      </c>
      <c r="AR47" s="263">
        <f t="shared" ca="1" si="117"/>
        <v>0</v>
      </c>
      <c r="AS47" s="263">
        <f t="shared" ca="1" si="117"/>
        <v>0</v>
      </c>
      <c r="AT47" s="263">
        <f t="shared" ca="1" si="117"/>
        <v>-325.21859999999998</v>
      </c>
      <c r="AU47" s="263">
        <f t="shared" ca="1" si="117"/>
        <v>-22.090319999999998</v>
      </c>
      <c r="AV47" s="263">
        <f t="shared" ca="1" si="117"/>
        <v>-74.510999999999996</v>
      </c>
      <c r="AW47" s="263">
        <f t="shared" ca="1" si="117"/>
        <v>0</v>
      </c>
      <c r="AX47" s="263">
        <f t="shared" ca="1" si="117"/>
        <v>0</v>
      </c>
      <c r="AY47" s="263">
        <f t="shared" ca="1" si="74"/>
        <v>-421.81992000000002</v>
      </c>
      <c r="BA47" s="277">
        <f ca="1">SUM(BA42:BA46)</f>
        <v>0</v>
      </c>
      <c r="BB47" s="277">
        <f ca="1">SUM(BB42:BB46)</f>
        <v>0</v>
      </c>
      <c r="BC47" s="277">
        <f t="shared" ca="1" si="10"/>
        <v>0</v>
      </c>
      <c r="BE47" s="55">
        <f t="shared" ca="1" si="103"/>
        <v>-5.6843418860808015E-14</v>
      </c>
      <c r="BF47" s="55"/>
      <c r="BG47" s="1428"/>
      <c r="BH47" s="542">
        <f t="shared" ref="BH47:CU47" ca="1" si="118">SUM(BH42:BH46)</f>
        <v>0</v>
      </c>
      <c r="BI47" s="542">
        <f t="shared" ca="1" si="118"/>
        <v>0</v>
      </c>
      <c r="BJ47" s="542">
        <f t="shared" ca="1" si="118"/>
        <v>0</v>
      </c>
      <c r="BK47" s="542">
        <f t="shared" ca="1" si="118"/>
        <v>0</v>
      </c>
      <c r="BL47" s="542">
        <f t="shared" ca="1" si="118"/>
        <v>0</v>
      </c>
      <c r="BM47" s="542">
        <f t="shared" ca="1" si="118"/>
        <v>0</v>
      </c>
      <c r="BN47" s="542">
        <f t="shared" ca="1" si="118"/>
        <v>0</v>
      </c>
      <c r="BO47" s="542">
        <f t="shared" ca="1" si="118"/>
        <v>0</v>
      </c>
      <c r="BP47" s="542">
        <f t="shared" ca="1" si="118"/>
        <v>0</v>
      </c>
      <c r="BQ47" s="542">
        <f t="shared" ca="1" si="118"/>
        <v>0</v>
      </c>
      <c r="BR47" s="542">
        <f t="shared" ca="1" si="118"/>
        <v>0</v>
      </c>
      <c r="BS47" s="542">
        <f t="shared" ca="1" si="118"/>
        <v>0</v>
      </c>
      <c r="BT47" s="542">
        <f t="shared" ca="1" si="118"/>
        <v>0</v>
      </c>
      <c r="BU47" s="542">
        <f t="shared" ca="1" si="118"/>
        <v>0</v>
      </c>
      <c r="BV47" s="542">
        <f t="shared" ca="1" si="118"/>
        <v>0</v>
      </c>
      <c r="BW47" s="542">
        <f t="shared" ca="1" si="118"/>
        <v>0</v>
      </c>
      <c r="BX47" s="542">
        <f t="shared" ca="1" si="118"/>
        <v>0</v>
      </c>
      <c r="BY47" s="542">
        <f t="shared" ca="1" si="118"/>
        <v>0</v>
      </c>
      <c r="BZ47" s="542">
        <f t="shared" ca="1" si="118"/>
        <v>0</v>
      </c>
      <c r="CA47" s="542">
        <f t="shared" ca="1" si="118"/>
        <v>0</v>
      </c>
      <c r="CB47" s="542">
        <f t="shared" ca="1" si="118"/>
        <v>0</v>
      </c>
      <c r="CC47" s="542">
        <f t="shared" ca="1" si="118"/>
        <v>0</v>
      </c>
      <c r="CD47" s="542">
        <f t="shared" ca="1" si="118"/>
        <v>0</v>
      </c>
      <c r="CE47" s="542">
        <f t="shared" ca="1" si="118"/>
        <v>0</v>
      </c>
      <c r="CF47" s="542">
        <f t="shared" ca="1" si="118"/>
        <v>0</v>
      </c>
      <c r="CG47" s="542">
        <f t="shared" ca="1" si="118"/>
        <v>0</v>
      </c>
      <c r="CH47" s="542">
        <f t="shared" ca="1" si="118"/>
        <v>0</v>
      </c>
      <c r="CI47" s="542">
        <f t="shared" ca="1" si="118"/>
        <v>0</v>
      </c>
      <c r="CJ47" s="542">
        <f t="shared" ca="1" si="118"/>
        <v>0</v>
      </c>
      <c r="CK47" s="542">
        <f t="shared" ca="1" si="118"/>
        <v>0</v>
      </c>
      <c r="CL47" s="542">
        <f t="shared" ca="1" si="118"/>
        <v>0</v>
      </c>
      <c r="CM47" s="542">
        <f t="shared" ca="1" si="118"/>
        <v>0</v>
      </c>
      <c r="CN47" s="542">
        <f t="shared" ca="1" si="118"/>
        <v>0</v>
      </c>
      <c r="CO47" s="542">
        <f t="shared" ca="1" si="118"/>
        <v>0</v>
      </c>
      <c r="CP47" s="542">
        <f t="shared" ca="1" si="118"/>
        <v>0</v>
      </c>
      <c r="CQ47" s="542">
        <f t="shared" ca="1" si="118"/>
        <v>0</v>
      </c>
      <c r="CR47" s="542">
        <f t="shared" ca="1" si="118"/>
        <v>0</v>
      </c>
      <c r="CS47" s="542">
        <f t="shared" ca="1" si="118"/>
        <v>0</v>
      </c>
      <c r="CT47" s="542">
        <f t="shared" ca="1" si="118"/>
        <v>0</v>
      </c>
      <c r="CU47" s="542">
        <f t="shared" ca="1" si="118"/>
        <v>0</v>
      </c>
      <c r="CW47" s="151">
        <f t="shared" ca="1" si="114"/>
        <v>0</v>
      </c>
    </row>
    <row r="48" spans="1:101" s="84" customFormat="1" ht="12.75" customHeight="1" outlineLevel="1" x14ac:dyDescent="0.2">
      <c r="A48" s="18"/>
      <c r="B48" s="18"/>
      <c r="C48" s="87"/>
      <c r="D48" s="53"/>
      <c r="E48" s="53"/>
      <c r="G48" s="245"/>
      <c r="H48" s="245"/>
      <c r="I48" s="245"/>
      <c r="J48" s="245"/>
      <c r="K48" s="245"/>
      <c r="L48" s="247"/>
      <c r="M48" s="245"/>
      <c r="N48" s="245"/>
      <c r="O48" s="245"/>
      <c r="P48" s="245">
        <f t="shared" si="70"/>
        <v>0</v>
      </c>
      <c r="R48" s="257"/>
      <c r="S48" s="257"/>
      <c r="T48" s="257"/>
      <c r="U48" s="257"/>
      <c r="V48" s="257"/>
      <c r="W48" s="257"/>
      <c r="X48" s="257"/>
      <c r="Y48" s="257"/>
      <c r="Z48" s="257"/>
      <c r="AA48" s="257"/>
      <c r="AB48" s="257"/>
      <c r="AC48" s="257"/>
      <c r="AD48" s="257"/>
      <c r="AE48" s="257"/>
      <c r="AF48" s="257"/>
      <c r="AG48" s="257"/>
      <c r="AH48" s="257">
        <f t="shared" si="5"/>
        <v>0</v>
      </c>
      <c r="AJ48" s="263"/>
      <c r="AK48" s="263"/>
      <c r="AL48" s="263"/>
      <c r="AM48" s="263"/>
      <c r="AN48" s="263"/>
      <c r="AO48" s="263"/>
      <c r="AP48" s="263"/>
      <c r="AQ48" s="263"/>
      <c r="AR48" s="263"/>
      <c r="AS48" s="263"/>
      <c r="AT48" s="263"/>
      <c r="AU48" s="263"/>
      <c r="AV48" s="263"/>
      <c r="AW48" s="263"/>
      <c r="AX48" s="263"/>
      <c r="AY48" s="263">
        <f t="shared" si="74"/>
        <v>0</v>
      </c>
      <c r="BA48" s="277"/>
      <c r="BB48" s="277"/>
      <c r="BC48" s="277">
        <f t="shared" si="10"/>
        <v>0</v>
      </c>
      <c r="BE48" s="55"/>
      <c r="BF48" s="55"/>
      <c r="BG48" s="18"/>
      <c r="BH48" s="542"/>
      <c r="BI48" s="542"/>
      <c r="BJ48" s="542"/>
      <c r="BK48" s="542"/>
      <c r="BL48" s="542"/>
      <c r="BM48" s="542"/>
      <c r="BN48" s="542"/>
      <c r="BO48" s="542"/>
      <c r="BP48" s="542"/>
      <c r="BQ48" s="542"/>
      <c r="BR48" s="542"/>
      <c r="BS48" s="542"/>
      <c r="BT48" s="542"/>
      <c r="BU48" s="542"/>
      <c r="BV48" s="542"/>
      <c r="BW48" s="542"/>
      <c r="BX48" s="542"/>
      <c r="BY48" s="542"/>
      <c r="BZ48" s="542"/>
      <c r="CA48" s="542"/>
      <c r="CB48" s="542"/>
      <c r="CC48" s="542"/>
      <c r="CD48" s="542"/>
      <c r="CE48" s="542"/>
      <c r="CF48" s="542"/>
      <c r="CG48" s="542"/>
      <c r="CH48" s="542"/>
      <c r="CI48" s="542"/>
      <c r="CJ48" s="542"/>
      <c r="CK48" s="542"/>
      <c r="CL48" s="542"/>
      <c r="CM48" s="542"/>
      <c r="CN48" s="542"/>
      <c r="CO48" s="542"/>
      <c r="CP48" s="542"/>
      <c r="CQ48" s="542"/>
      <c r="CR48" s="542"/>
      <c r="CS48" s="542"/>
      <c r="CT48" s="542"/>
      <c r="CU48" s="542"/>
      <c r="CW48" s="151">
        <f t="shared" si="114"/>
        <v>0</v>
      </c>
    </row>
    <row r="49" spans="1:101" s="543" customFormat="1" ht="12.75" customHeight="1" outlineLevel="1" x14ac:dyDescent="0.2">
      <c r="C49" s="86" t="s">
        <v>409</v>
      </c>
      <c r="D49" s="61" t="str">
        <f>INDEX(Modules[Module], MATCH($C49, Modules[Code], 0))</f>
        <v>Stand-Alone Solar PV</v>
      </c>
      <c r="E49" s="61"/>
      <c r="G49" s="595">
        <f t="shared" ref="G49:O49" ca="1" si="119">IFERROR(INDEX(INDIRECT($C49&amp;".Outputs["&amp;this.Year&amp;"]"), MATCH(G$5, INDIRECT($C49&amp;".Outputs[Vector]"), 0)), 0)</f>
        <v>0</v>
      </c>
      <c r="H49" s="595">
        <f t="shared" ca="1" si="119"/>
        <v>0</v>
      </c>
      <c r="I49" s="595">
        <f t="shared" ca="1" si="119"/>
        <v>0</v>
      </c>
      <c r="J49" s="595">
        <f t="shared" ca="1" si="119"/>
        <v>0</v>
      </c>
      <c r="K49" s="595">
        <f t="shared" ca="1" si="119"/>
        <v>0</v>
      </c>
      <c r="L49" s="596">
        <f t="shared" ca="1" si="119"/>
        <v>0</v>
      </c>
      <c r="M49" s="595">
        <f t="shared" ca="1" si="119"/>
        <v>0</v>
      </c>
      <c r="N49" s="595">
        <f t="shared" ca="1" si="119"/>
        <v>0</v>
      </c>
      <c r="O49" s="595">
        <f t="shared" ca="1" si="119"/>
        <v>0</v>
      </c>
      <c r="P49" s="595">
        <f t="shared" ca="1" si="70"/>
        <v>0</v>
      </c>
      <c r="R49" s="597">
        <f t="shared" ref="R49:AX49" ca="1" si="120">IFERROR(INDEX(INDIRECT($C49&amp;".Outputs["&amp;this.Year&amp;"]"), MATCH(R$5, INDIRECT($C49&amp;".Outputs[Vector]"), 0)), 0)</f>
        <v>0</v>
      </c>
      <c r="S49" s="597">
        <f t="shared" ca="1" si="120"/>
        <v>110.4516</v>
      </c>
      <c r="T49" s="597">
        <f t="shared" ca="1" si="120"/>
        <v>0</v>
      </c>
      <c r="U49" s="597">
        <f t="shared" ca="1" si="120"/>
        <v>0</v>
      </c>
      <c r="V49" s="597">
        <f t="shared" ca="1" si="120"/>
        <v>0</v>
      </c>
      <c r="W49" s="597">
        <f t="shared" ca="1" si="120"/>
        <v>0</v>
      </c>
      <c r="X49" s="597">
        <f ca="1">IFERROR(INDEX(INDIRECT($C49&amp;".Outputs["&amp;this.Year&amp;"]"), MATCH(X$5, INDIRECT($C49&amp;".Outputs[Vector]"), 0)), 0)</f>
        <v>0</v>
      </c>
      <c r="Y49" s="597">
        <f ca="1">IFERROR(INDEX(INDIRECT($C49&amp;".Outputs["&amp;this.Year&amp;"]"), MATCH(Y$5, INDIRECT($C49&amp;".Outputs[Vector]"), 0)), 0)</f>
        <v>0</v>
      </c>
      <c r="Z49" s="597">
        <f ca="1">IFERROR(INDEX(INDIRECT($C49&amp;".Outputs["&amp;this.Year&amp;"]"), MATCH(Z$5, INDIRECT($C49&amp;".Outputs[Vector]"), 0)), 0)</f>
        <v>0</v>
      </c>
      <c r="AA49" s="597">
        <f t="shared" ca="1" si="120"/>
        <v>0</v>
      </c>
      <c r="AB49" s="597">
        <f t="shared" ca="1" si="120"/>
        <v>0</v>
      </c>
      <c r="AC49" s="597">
        <f t="shared" ca="1" si="120"/>
        <v>0</v>
      </c>
      <c r="AD49" s="597">
        <f t="shared" ca="1" si="120"/>
        <v>0</v>
      </c>
      <c r="AE49" s="597">
        <f t="shared" ca="1" si="120"/>
        <v>0</v>
      </c>
      <c r="AF49" s="597">
        <f t="shared" ca="1" si="120"/>
        <v>0</v>
      </c>
      <c r="AG49" s="597">
        <f t="shared" ca="1" si="120"/>
        <v>0</v>
      </c>
      <c r="AH49" s="259">
        <f t="shared" ca="1" si="5"/>
        <v>110.4516</v>
      </c>
      <c r="AJ49" s="598">
        <f t="shared" ref="AJ49:AR49" ca="1" si="121">IFERROR(INDEX(INDIRECT($C49&amp;".Outputs["&amp;this.Year&amp;"]"), MATCH(AJ$5, INDIRECT($C49&amp;".Outputs[Vector]"), 0)), 0)</f>
        <v>0</v>
      </c>
      <c r="AK49" s="598">
        <f t="shared" ca="1" si="121"/>
        <v>0</v>
      </c>
      <c r="AL49" s="598">
        <f t="shared" ca="1" si="121"/>
        <v>0</v>
      </c>
      <c r="AM49" s="598">
        <f t="shared" ca="1" si="121"/>
        <v>0</v>
      </c>
      <c r="AN49" s="598">
        <f t="shared" ca="1" si="121"/>
        <v>0</v>
      </c>
      <c r="AO49" s="598">
        <f t="shared" ca="1" si="121"/>
        <v>0</v>
      </c>
      <c r="AP49" s="598">
        <f t="shared" ca="1" si="121"/>
        <v>0</v>
      </c>
      <c r="AQ49" s="598">
        <f t="shared" ca="1" si="121"/>
        <v>0</v>
      </c>
      <c r="AR49" s="598">
        <f t="shared" ca="1" si="121"/>
        <v>0</v>
      </c>
      <c r="AS49" s="598">
        <f t="shared" ca="1" si="120"/>
        <v>0</v>
      </c>
      <c r="AT49" s="598">
        <f t="shared" ca="1" si="120"/>
        <v>-110.4516</v>
      </c>
      <c r="AU49" s="598">
        <f t="shared" ca="1" si="120"/>
        <v>0</v>
      </c>
      <c r="AV49" s="598">
        <f t="shared" ca="1" si="120"/>
        <v>0</v>
      </c>
      <c r="AW49" s="598">
        <f t="shared" ca="1" si="120"/>
        <v>0</v>
      </c>
      <c r="AX49" s="598">
        <f t="shared" ca="1" si="120"/>
        <v>0</v>
      </c>
      <c r="AY49" s="266">
        <f t="shared" ca="1" si="74"/>
        <v>-110.4516</v>
      </c>
      <c r="BA49" s="599">
        <f ca="1">IFERROR(INDEX(INDIRECT($C49&amp;".Outputs["&amp;this.Year&amp;"]"), MATCH(BA$5, INDIRECT($C49&amp;".Outputs[Vector]"), 0)), 0)</f>
        <v>0</v>
      </c>
      <c r="BB49" s="599">
        <f ca="1">IFERROR(INDEX(INDIRECT($C49&amp;".Outputs["&amp;this.Year&amp;"]"), MATCH(BB$5, INDIRECT($C49&amp;".Outputs[Vector]"), 0)), 0)</f>
        <v>0</v>
      </c>
      <c r="BC49" s="279">
        <f t="shared" ca="1" si="10"/>
        <v>0</v>
      </c>
      <c r="BE49" s="135">
        <f ca="1">P49+AH49+AY49+BC49</f>
        <v>0</v>
      </c>
      <c r="BF49" s="135"/>
      <c r="BH49" s="593">
        <f t="shared" ref="BH49:CU49" ca="1" si="122">IFERROR(SUMIFS(INDIRECT($C49&amp;".Emissions["&amp;this.Year&amp;"]"), INDIRECT($C49&amp;".Emissions[GHG]"), BH$6, INDIRECT($C49&amp;".Emissions[IPCC Sector]"), BH$5),0)</f>
        <v>0</v>
      </c>
      <c r="BI49" s="593">
        <f t="shared" ca="1" si="122"/>
        <v>0</v>
      </c>
      <c r="BJ49" s="593">
        <f t="shared" ca="1" si="122"/>
        <v>0</v>
      </c>
      <c r="BK49" s="593">
        <f t="shared" ca="1" si="122"/>
        <v>0</v>
      </c>
      <c r="BL49" s="593">
        <f t="shared" ca="1" si="122"/>
        <v>0</v>
      </c>
      <c r="BM49" s="593">
        <f t="shared" ca="1" si="122"/>
        <v>0</v>
      </c>
      <c r="BN49" s="593">
        <f t="shared" ca="1" si="122"/>
        <v>0</v>
      </c>
      <c r="BO49" s="593">
        <f t="shared" ca="1" si="122"/>
        <v>0</v>
      </c>
      <c r="BP49" s="593">
        <f t="shared" ca="1" si="122"/>
        <v>0</v>
      </c>
      <c r="BQ49" s="593">
        <f t="shared" ca="1" si="122"/>
        <v>0</v>
      </c>
      <c r="BR49" s="593">
        <f t="shared" ca="1" si="122"/>
        <v>0</v>
      </c>
      <c r="BS49" s="593">
        <f t="shared" ca="1" si="122"/>
        <v>0</v>
      </c>
      <c r="BT49" s="593">
        <f t="shared" ca="1" si="122"/>
        <v>0</v>
      </c>
      <c r="BU49" s="593">
        <f t="shared" ca="1" si="122"/>
        <v>0</v>
      </c>
      <c r="BV49" s="593">
        <f t="shared" ca="1" si="122"/>
        <v>0</v>
      </c>
      <c r="BW49" s="593">
        <f t="shared" ca="1" si="122"/>
        <v>0</v>
      </c>
      <c r="BX49" s="593">
        <f t="shared" ca="1" si="122"/>
        <v>0</v>
      </c>
      <c r="BY49" s="593">
        <f t="shared" ca="1" si="122"/>
        <v>0</v>
      </c>
      <c r="BZ49" s="593">
        <f t="shared" ca="1" si="122"/>
        <v>0</v>
      </c>
      <c r="CA49" s="593">
        <f t="shared" ca="1" si="122"/>
        <v>0</v>
      </c>
      <c r="CB49" s="593">
        <f t="shared" ca="1" si="122"/>
        <v>0</v>
      </c>
      <c r="CC49" s="593">
        <f t="shared" ca="1" si="122"/>
        <v>0</v>
      </c>
      <c r="CD49" s="593">
        <f t="shared" ca="1" si="122"/>
        <v>0</v>
      </c>
      <c r="CE49" s="593">
        <f t="shared" ca="1" si="122"/>
        <v>0</v>
      </c>
      <c r="CF49" s="593">
        <f t="shared" ca="1" si="122"/>
        <v>0</v>
      </c>
      <c r="CG49" s="593">
        <f t="shared" ca="1" si="122"/>
        <v>0</v>
      </c>
      <c r="CH49" s="593">
        <f t="shared" ca="1" si="122"/>
        <v>0</v>
      </c>
      <c r="CI49" s="593">
        <f t="shared" ca="1" si="122"/>
        <v>0</v>
      </c>
      <c r="CJ49" s="593">
        <f t="shared" ca="1" si="122"/>
        <v>0</v>
      </c>
      <c r="CK49" s="593">
        <f t="shared" ca="1" si="122"/>
        <v>0</v>
      </c>
      <c r="CL49" s="593">
        <f t="shared" ca="1" si="122"/>
        <v>0</v>
      </c>
      <c r="CM49" s="593">
        <f t="shared" ca="1" si="122"/>
        <v>0</v>
      </c>
      <c r="CN49" s="593">
        <f t="shared" ca="1" si="122"/>
        <v>0</v>
      </c>
      <c r="CO49" s="593">
        <f t="shared" ca="1" si="122"/>
        <v>0</v>
      </c>
      <c r="CP49" s="593">
        <f t="shared" ca="1" si="122"/>
        <v>0</v>
      </c>
      <c r="CQ49" s="593">
        <f t="shared" ca="1" si="122"/>
        <v>0</v>
      </c>
      <c r="CR49" s="593">
        <f t="shared" ca="1" si="122"/>
        <v>0</v>
      </c>
      <c r="CS49" s="593">
        <f t="shared" ca="1" si="122"/>
        <v>0</v>
      </c>
      <c r="CT49" s="593">
        <f t="shared" ca="1" si="122"/>
        <v>0</v>
      </c>
      <c r="CU49" s="593">
        <f t="shared" ca="1" si="122"/>
        <v>0</v>
      </c>
      <c r="CW49" s="594">
        <f t="shared" ca="1" si="114"/>
        <v>0</v>
      </c>
    </row>
    <row r="50" spans="1:101" s="84" customFormat="1" ht="15.75" x14ac:dyDescent="0.2">
      <c r="A50" s="18"/>
      <c r="B50" s="89"/>
      <c r="C50" s="85" t="s">
        <v>63</v>
      </c>
      <c r="D50" s="57" t="str">
        <f>INDEX(Workstreams[Workstream], MATCH($C50, Workstreams[Code], 0))</f>
        <v>Distributed renewable power generation</v>
      </c>
      <c r="E50" s="53"/>
      <c r="G50" s="300">
        <f t="shared" ref="G50:O50" ca="1" si="123">SUM(G49:G49)</f>
        <v>0</v>
      </c>
      <c r="H50" s="300">
        <f t="shared" ca="1" si="123"/>
        <v>0</v>
      </c>
      <c r="I50" s="300">
        <f t="shared" ca="1" si="123"/>
        <v>0</v>
      </c>
      <c r="J50" s="300">
        <f t="shared" ca="1" si="123"/>
        <v>0</v>
      </c>
      <c r="K50" s="300">
        <f t="shared" ca="1" si="123"/>
        <v>0</v>
      </c>
      <c r="L50" s="300">
        <f t="shared" ca="1" si="123"/>
        <v>0</v>
      </c>
      <c r="M50" s="300">
        <f t="shared" ca="1" si="123"/>
        <v>0</v>
      </c>
      <c r="N50" s="300">
        <f t="shared" ca="1" si="123"/>
        <v>0</v>
      </c>
      <c r="O50" s="300">
        <f t="shared" ca="1" si="123"/>
        <v>0</v>
      </c>
      <c r="P50" s="300">
        <f t="shared" ca="1" si="70"/>
        <v>0</v>
      </c>
      <c r="R50" s="257">
        <f t="shared" ref="R50:AG50" ca="1" si="124">SUM(R49:R49)</f>
        <v>0</v>
      </c>
      <c r="S50" s="257">
        <f t="shared" ca="1" si="124"/>
        <v>110.4516</v>
      </c>
      <c r="T50" s="257">
        <f t="shared" ca="1" si="124"/>
        <v>0</v>
      </c>
      <c r="U50" s="257">
        <f t="shared" ca="1" si="124"/>
        <v>0</v>
      </c>
      <c r="V50" s="257">
        <f t="shared" ca="1" si="124"/>
        <v>0</v>
      </c>
      <c r="W50" s="257">
        <f t="shared" ca="1" si="124"/>
        <v>0</v>
      </c>
      <c r="X50" s="257">
        <f t="shared" ca="1" si="124"/>
        <v>0</v>
      </c>
      <c r="Y50" s="257">
        <f t="shared" ca="1" si="124"/>
        <v>0</v>
      </c>
      <c r="Z50" s="257">
        <f t="shared" ca="1" si="124"/>
        <v>0</v>
      </c>
      <c r="AA50" s="257">
        <f t="shared" ca="1" si="124"/>
        <v>0</v>
      </c>
      <c r="AB50" s="257">
        <f t="shared" ca="1" si="124"/>
        <v>0</v>
      </c>
      <c r="AC50" s="257">
        <f t="shared" ca="1" si="124"/>
        <v>0</v>
      </c>
      <c r="AD50" s="257">
        <f t="shared" ca="1" si="124"/>
        <v>0</v>
      </c>
      <c r="AE50" s="257">
        <f t="shared" ca="1" si="124"/>
        <v>0</v>
      </c>
      <c r="AF50" s="257">
        <f t="shared" ca="1" si="124"/>
        <v>0</v>
      </c>
      <c r="AG50" s="257">
        <f t="shared" ca="1" si="124"/>
        <v>0</v>
      </c>
      <c r="AH50" s="257">
        <f t="shared" ca="1" si="5"/>
        <v>110.4516</v>
      </c>
      <c r="AJ50" s="263">
        <f t="shared" ref="AJ50:AX50" ca="1" si="125">SUM(AJ49:AJ49)</f>
        <v>0</v>
      </c>
      <c r="AK50" s="263">
        <f t="shared" ca="1" si="125"/>
        <v>0</v>
      </c>
      <c r="AL50" s="263">
        <f t="shared" ca="1" si="125"/>
        <v>0</v>
      </c>
      <c r="AM50" s="263">
        <f t="shared" ca="1" si="125"/>
        <v>0</v>
      </c>
      <c r="AN50" s="263">
        <f t="shared" ca="1" si="125"/>
        <v>0</v>
      </c>
      <c r="AO50" s="263">
        <f t="shared" ca="1" si="125"/>
        <v>0</v>
      </c>
      <c r="AP50" s="263">
        <f t="shared" ca="1" si="125"/>
        <v>0</v>
      </c>
      <c r="AQ50" s="263">
        <f t="shared" ca="1" si="125"/>
        <v>0</v>
      </c>
      <c r="AR50" s="263">
        <f t="shared" ca="1" si="125"/>
        <v>0</v>
      </c>
      <c r="AS50" s="263">
        <f t="shared" ca="1" si="125"/>
        <v>0</v>
      </c>
      <c r="AT50" s="263">
        <f t="shared" ca="1" si="125"/>
        <v>-110.4516</v>
      </c>
      <c r="AU50" s="263">
        <f t="shared" ca="1" si="125"/>
        <v>0</v>
      </c>
      <c r="AV50" s="263">
        <f t="shared" ca="1" si="125"/>
        <v>0</v>
      </c>
      <c r="AW50" s="263">
        <f t="shared" ca="1" si="125"/>
        <v>0</v>
      </c>
      <c r="AX50" s="263">
        <f t="shared" ca="1" si="125"/>
        <v>0</v>
      </c>
      <c r="AY50" s="263">
        <f t="shared" ca="1" si="74"/>
        <v>-110.4516</v>
      </c>
      <c r="BA50" s="277">
        <f ca="1">SUM(BA49:BA49)</f>
        <v>0</v>
      </c>
      <c r="BB50" s="277">
        <f ca="1">SUM(BB49:BB49)</f>
        <v>0</v>
      </c>
      <c r="BC50" s="277">
        <f t="shared" ca="1" si="10"/>
        <v>0</v>
      </c>
      <c r="BE50" s="55">
        <f ca="1">P50+AH50+AY50+BC50</f>
        <v>0</v>
      </c>
      <c r="BF50" s="55"/>
      <c r="BG50" s="1428"/>
      <c r="BH50" s="542">
        <f t="shared" ref="BH50:CU50" ca="1" si="126">SUM(BH49:BH49)</f>
        <v>0</v>
      </c>
      <c r="BI50" s="542">
        <f t="shared" ca="1" si="126"/>
        <v>0</v>
      </c>
      <c r="BJ50" s="542">
        <f t="shared" ca="1" si="126"/>
        <v>0</v>
      </c>
      <c r="BK50" s="542">
        <f t="shared" ca="1" si="126"/>
        <v>0</v>
      </c>
      <c r="BL50" s="542">
        <f t="shared" ca="1" si="126"/>
        <v>0</v>
      </c>
      <c r="BM50" s="542">
        <f t="shared" ca="1" si="126"/>
        <v>0</v>
      </c>
      <c r="BN50" s="542">
        <f t="shared" ca="1" si="126"/>
        <v>0</v>
      </c>
      <c r="BO50" s="542">
        <f t="shared" ca="1" si="126"/>
        <v>0</v>
      </c>
      <c r="BP50" s="542">
        <f t="shared" ca="1" si="126"/>
        <v>0</v>
      </c>
      <c r="BQ50" s="542">
        <f t="shared" ca="1" si="126"/>
        <v>0</v>
      </c>
      <c r="BR50" s="542">
        <f t="shared" ca="1" si="126"/>
        <v>0</v>
      </c>
      <c r="BS50" s="542">
        <f t="shared" ca="1" si="126"/>
        <v>0</v>
      </c>
      <c r="BT50" s="542">
        <f t="shared" ca="1" si="126"/>
        <v>0</v>
      </c>
      <c r="BU50" s="542">
        <f t="shared" ca="1" si="126"/>
        <v>0</v>
      </c>
      <c r="BV50" s="542">
        <f t="shared" ca="1" si="126"/>
        <v>0</v>
      </c>
      <c r="BW50" s="542">
        <f t="shared" ca="1" si="126"/>
        <v>0</v>
      </c>
      <c r="BX50" s="542">
        <f t="shared" ca="1" si="126"/>
        <v>0</v>
      </c>
      <c r="BY50" s="542">
        <f t="shared" ca="1" si="126"/>
        <v>0</v>
      </c>
      <c r="BZ50" s="542">
        <f t="shared" ca="1" si="126"/>
        <v>0</v>
      </c>
      <c r="CA50" s="542">
        <f t="shared" ca="1" si="126"/>
        <v>0</v>
      </c>
      <c r="CB50" s="542">
        <f t="shared" ca="1" si="126"/>
        <v>0</v>
      </c>
      <c r="CC50" s="542">
        <f t="shared" ca="1" si="126"/>
        <v>0</v>
      </c>
      <c r="CD50" s="542">
        <f t="shared" ca="1" si="126"/>
        <v>0</v>
      </c>
      <c r="CE50" s="542">
        <f t="shared" ca="1" si="126"/>
        <v>0</v>
      </c>
      <c r="CF50" s="542">
        <f t="shared" ca="1" si="126"/>
        <v>0</v>
      </c>
      <c r="CG50" s="542">
        <f t="shared" ca="1" si="126"/>
        <v>0</v>
      </c>
      <c r="CH50" s="542">
        <f t="shared" ca="1" si="126"/>
        <v>0</v>
      </c>
      <c r="CI50" s="542">
        <f t="shared" ca="1" si="126"/>
        <v>0</v>
      </c>
      <c r="CJ50" s="542">
        <f t="shared" ca="1" si="126"/>
        <v>0</v>
      </c>
      <c r="CK50" s="542">
        <f t="shared" ca="1" si="126"/>
        <v>0</v>
      </c>
      <c r="CL50" s="542">
        <f t="shared" ca="1" si="126"/>
        <v>0</v>
      </c>
      <c r="CM50" s="542">
        <f t="shared" ca="1" si="126"/>
        <v>0</v>
      </c>
      <c r="CN50" s="542">
        <f t="shared" ca="1" si="126"/>
        <v>0</v>
      </c>
      <c r="CO50" s="542">
        <f t="shared" ca="1" si="126"/>
        <v>0</v>
      </c>
      <c r="CP50" s="542">
        <f t="shared" ca="1" si="126"/>
        <v>0</v>
      </c>
      <c r="CQ50" s="542">
        <f t="shared" ca="1" si="126"/>
        <v>0</v>
      </c>
      <c r="CR50" s="542">
        <f t="shared" ca="1" si="126"/>
        <v>0</v>
      </c>
      <c r="CS50" s="542">
        <f t="shared" ca="1" si="126"/>
        <v>0</v>
      </c>
      <c r="CT50" s="542">
        <f t="shared" ca="1" si="126"/>
        <v>0</v>
      </c>
      <c r="CU50" s="542">
        <f t="shared" ca="1" si="126"/>
        <v>0</v>
      </c>
      <c r="CW50" s="151">
        <f t="shared" ca="1" si="114"/>
        <v>0</v>
      </c>
    </row>
    <row r="51" spans="1:101" s="84" customFormat="1" ht="12.75" customHeight="1" outlineLevel="1" x14ac:dyDescent="0.2">
      <c r="A51" s="18"/>
      <c r="B51" s="18"/>
      <c r="C51" s="87"/>
      <c r="D51" s="53"/>
      <c r="E51" s="53"/>
      <c r="G51" s="245"/>
      <c r="H51" s="245"/>
      <c r="I51" s="245"/>
      <c r="J51" s="245"/>
      <c r="K51" s="245"/>
      <c r="L51" s="247"/>
      <c r="M51" s="245"/>
      <c r="N51" s="245"/>
      <c r="O51" s="245"/>
      <c r="P51" s="245">
        <f t="shared" si="70"/>
        <v>0</v>
      </c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>
        <f t="shared" si="5"/>
        <v>0</v>
      </c>
      <c r="AJ51" s="263"/>
      <c r="AK51" s="263"/>
      <c r="AL51" s="263"/>
      <c r="AM51" s="263"/>
      <c r="AN51" s="263"/>
      <c r="AO51" s="263"/>
      <c r="AP51" s="263"/>
      <c r="AQ51" s="263"/>
      <c r="AR51" s="263"/>
      <c r="AS51" s="263"/>
      <c r="AT51" s="263"/>
      <c r="AU51" s="263"/>
      <c r="AV51" s="263"/>
      <c r="AW51" s="263"/>
      <c r="AX51" s="263"/>
      <c r="AY51" s="263">
        <f t="shared" si="74"/>
        <v>0</v>
      </c>
      <c r="BA51" s="277"/>
      <c r="BB51" s="277"/>
      <c r="BC51" s="277">
        <f t="shared" si="10"/>
        <v>0</v>
      </c>
      <c r="BE51" s="55"/>
      <c r="BF51" s="55"/>
      <c r="BG51" s="18"/>
      <c r="BH51" s="542"/>
      <c r="BI51" s="542"/>
      <c r="BJ51" s="542"/>
      <c r="BK51" s="542"/>
      <c r="BL51" s="542"/>
      <c r="BM51" s="542"/>
      <c r="BN51" s="542"/>
      <c r="BO51" s="542"/>
      <c r="BP51" s="542"/>
      <c r="BQ51" s="542"/>
      <c r="BR51" s="542"/>
      <c r="BS51" s="542"/>
      <c r="BT51" s="542"/>
      <c r="BU51" s="542"/>
      <c r="BV51" s="542"/>
      <c r="BW51" s="542"/>
      <c r="BX51" s="542"/>
      <c r="BY51" s="542"/>
      <c r="BZ51" s="542"/>
      <c r="CA51" s="542"/>
      <c r="CB51" s="542"/>
      <c r="CC51" s="542"/>
      <c r="CD51" s="542"/>
      <c r="CE51" s="542"/>
      <c r="CF51" s="542"/>
      <c r="CG51" s="542"/>
      <c r="CH51" s="542"/>
      <c r="CI51" s="542"/>
      <c r="CJ51" s="542"/>
      <c r="CK51" s="542"/>
      <c r="CL51" s="542"/>
      <c r="CM51" s="542"/>
      <c r="CN51" s="542"/>
      <c r="CO51" s="542"/>
      <c r="CP51" s="542"/>
      <c r="CQ51" s="542"/>
      <c r="CR51" s="542"/>
      <c r="CS51" s="542"/>
      <c r="CT51" s="542"/>
      <c r="CU51" s="542"/>
      <c r="CW51" s="151">
        <f t="shared" si="114"/>
        <v>0</v>
      </c>
    </row>
    <row r="52" spans="1:101" s="547" customFormat="1" ht="12.75" customHeight="1" outlineLevel="1" x14ac:dyDescent="0.2">
      <c r="C52" s="319" t="s">
        <v>855</v>
      </c>
      <c r="D52" s="320" t="s">
        <v>587</v>
      </c>
      <c r="E52" s="320"/>
      <c r="F52" s="84"/>
      <c r="G52" s="321"/>
      <c r="H52" s="321"/>
      <c r="I52" s="321"/>
      <c r="J52" s="321"/>
      <c r="K52" s="321"/>
      <c r="L52" s="322"/>
      <c r="M52" s="321"/>
      <c r="N52" s="321"/>
      <c r="O52" s="321"/>
      <c r="P52" s="321">
        <f t="shared" si="70"/>
        <v>0</v>
      </c>
      <c r="Q52" s="84"/>
      <c r="R52" s="323">
        <f ca="1">R$28+R$36+R$80+R$40+R$74+R$47+R$50</f>
        <v>-946.39709827169258</v>
      </c>
      <c r="S52" s="323">
        <f ca="1">S$28+S$36+S$80+S$40+S$74+S$47+S$50</f>
        <v>489.66328685870093</v>
      </c>
      <c r="T52" s="323"/>
      <c r="U52" s="323"/>
      <c r="V52" s="323"/>
      <c r="W52" s="323"/>
      <c r="X52" s="323"/>
      <c r="Y52" s="323"/>
      <c r="Z52" s="323"/>
      <c r="AA52" s="323"/>
      <c r="AB52" s="323"/>
      <c r="AC52" s="323"/>
      <c r="AD52" s="323"/>
      <c r="AE52" s="323"/>
      <c r="AF52" s="323"/>
      <c r="AG52" s="323"/>
      <c r="AH52" s="323">
        <f t="shared" ca="1" si="5"/>
        <v>-456.73381141299166</v>
      </c>
      <c r="AI52" s="84"/>
      <c r="AJ52" s="324"/>
      <c r="AK52" s="324"/>
      <c r="AL52" s="324"/>
      <c r="AM52" s="324"/>
      <c r="AN52" s="324"/>
      <c r="AO52" s="324"/>
      <c r="AP52" s="324"/>
      <c r="AQ52" s="324"/>
      <c r="AR52" s="324"/>
      <c r="AS52" s="324"/>
      <c r="AT52" s="324"/>
      <c r="AU52" s="324"/>
      <c r="AV52" s="324"/>
      <c r="AW52" s="324"/>
      <c r="AX52" s="324"/>
      <c r="AY52" s="324">
        <f t="shared" si="74"/>
        <v>0</v>
      </c>
      <c r="AZ52" s="84"/>
      <c r="BA52" s="325"/>
      <c r="BB52" s="325"/>
      <c r="BC52" s="325">
        <f t="shared" si="10"/>
        <v>0</v>
      </c>
      <c r="BD52" s="84"/>
      <c r="BE52" s="164"/>
      <c r="BF52" s="164"/>
      <c r="BH52" s="549"/>
      <c r="BI52" s="549"/>
      <c r="BJ52" s="549"/>
      <c r="BK52" s="549"/>
      <c r="BL52" s="549"/>
      <c r="BM52" s="549"/>
      <c r="BN52" s="549"/>
      <c r="BO52" s="549"/>
      <c r="BP52" s="549"/>
      <c r="BQ52" s="549"/>
      <c r="BR52" s="549"/>
      <c r="BS52" s="549"/>
      <c r="BT52" s="549"/>
      <c r="BU52" s="549"/>
      <c r="BV52" s="549"/>
      <c r="BW52" s="549"/>
      <c r="BX52" s="549"/>
      <c r="BY52" s="549"/>
      <c r="BZ52" s="549"/>
      <c r="CA52" s="549"/>
      <c r="CB52" s="549"/>
      <c r="CC52" s="549"/>
      <c r="CD52" s="549"/>
      <c r="CE52" s="549"/>
      <c r="CF52" s="549"/>
      <c r="CG52" s="549"/>
      <c r="CH52" s="549"/>
      <c r="CI52" s="549"/>
      <c r="CJ52" s="549"/>
      <c r="CK52" s="549"/>
      <c r="CL52" s="549"/>
      <c r="CM52" s="549"/>
      <c r="CN52" s="549"/>
      <c r="CO52" s="549"/>
      <c r="CP52" s="549"/>
      <c r="CQ52" s="549"/>
      <c r="CR52" s="549"/>
      <c r="CS52" s="549"/>
      <c r="CT52" s="549"/>
      <c r="CU52" s="549"/>
      <c r="CW52" s="151">
        <f t="shared" si="114"/>
        <v>0</v>
      </c>
    </row>
    <row r="53" spans="1:101" s="543" customFormat="1" ht="12.75" customHeight="1" outlineLevel="1" x14ac:dyDescent="0.2">
      <c r="C53" s="86" t="s">
        <v>297</v>
      </c>
      <c r="D53" s="292" t="str">
        <f>INDEX(Modules[Module], MATCH($C53, Modules[Code], 0))</f>
        <v>Nuclear power</v>
      </c>
      <c r="E53" s="292"/>
      <c r="F53" s="84"/>
      <c r="G53" s="301">
        <f t="shared" ref="G53:O53" ca="1" si="127">IFERROR(INDEX(INDIRECT($C53&amp;".Outputs["&amp;this.Year&amp;"]"), MATCH(G$5, INDIRECT($C53&amp;".Outputs[Vector]"), 0)), 0)</f>
        <v>0</v>
      </c>
      <c r="H53" s="301">
        <f t="shared" ca="1" si="127"/>
        <v>0</v>
      </c>
      <c r="I53" s="301">
        <f t="shared" ca="1" si="127"/>
        <v>0</v>
      </c>
      <c r="J53" s="301">
        <f t="shared" ca="1" si="127"/>
        <v>0</v>
      </c>
      <c r="K53" s="301">
        <f t="shared" ca="1" si="127"/>
        <v>0</v>
      </c>
      <c r="L53" s="301">
        <f t="shared" ca="1" si="127"/>
        <v>0</v>
      </c>
      <c r="M53" s="301">
        <f t="shared" ca="1" si="127"/>
        <v>0</v>
      </c>
      <c r="N53" s="301">
        <f t="shared" ca="1" si="127"/>
        <v>0</v>
      </c>
      <c r="O53" s="301">
        <f t="shared" ca="1" si="127"/>
        <v>0</v>
      </c>
      <c r="P53" s="301">
        <f t="shared" ca="1" si="70"/>
        <v>0</v>
      </c>
      <c r="Q53" s="84"/>
      <c r="R53" s="307">
        <f t="shared" ref="R53:AX53" ca="1" si="128">IFERROR(INDEX(INDIRECT($C53&amp;".Outputs["&amp;this.Year&amp;"]"), MATCH(R$5, INDIRECT($C53&amp;".Outputs[Vector]"), 0)), 0)</f>
        <v>0</v>
      </c>
      <c r="S53" s="307">
        <f t="shared" ca="1" si="128"/>
        <v>185.83920000000003</v>
      </c>
      <c r="T53" s="307">
        <f t="shared" ca="1" si="128"/>
        <v>0</v>
      </c>
      <c r="U53" s="307">
        <f t="shared" ca="1" si="128"/>
        <v>0</v>
      </c>
      <c r="V53" s="307">
        <f t="shared" ca="1" si="128"/>
        <v>0</v>
      </c>
      <c r="W53" s="307">
        <f t="shared" ca="1" si="128"/>
        <v>0</v>
      </c>
      <c r="X53" s="307">
        <f ca="1">IFERROR(INDEX(INDIRECT($C53&amp;".Outputs["&amp;this.Year&amp;"]"), MATCH(X$5, INDIRECT($C53&amp;".Outputs[Vector]"), 0)), 0)</f>
        <v>0</v>
      </c>
      <c r="Y53" s="307">
        <f ca="1">IFERROR(INDEX(INDIRECT($C53&amp;".Outputs["&amp;this.Year&amp;"]"), MATCH(Y$5, INDIRECT($C53&amp;".Outputs[Vector]"), 0)), 0)</f>
        <v>0</v>
      </c>
      <c r="Z53" s="307">
        <f ca="1">IFERROR(INDEX(INDIRECT($C53&amp;".Outputs["&amp;this.Year&amp;"]"), MATCH(Z$5, INDIRECT($C53&amp;".Outputs[Vector]"), 0)), 0)</f>
        <v>0</v>
      </c>
      <c r="AA53" s="307">
        <f t="shared" ca="1" si="128"/>
        <v>0</v>
      </c>
      <c r="AB53" s="307">
        <f t="shared" ca="1" si="128"/>
        <v>0</v>
      </c>
      <c r="AC53" s="307">
        <f t="shared" ca="1" si="128"/>
        <v>0</v>
      </c>
      <c r="AD53" s="307">
        <f t="shared" ca="1" si="128"/>
        <v>0</v>
      </c>
      <c r="AE53" s="307">
        <f t="shared" ca="1" si="128"/>
        <v>0</v>
      </c>
      <c r="AF53" s="307">
        <f t="shared" ca="1" si="128"/>
        <v>0</v>
      </c>
      <c r="AG53" s="307">
        <f t="shared" ca="1" si="128"/>
        <v>0</v>
      </c>
      <c r="AH53" s="306">
        <f t="shared" ca="1" si="5"/>
        <v>185.83920000000003</v>
      </c>
      <c r="AI53" s="84"/>
      <c r="AJ53" s="315">
        <f t="shared" ref="AJ53:AR53" ca="1" si="129">IFERROR(INDEX(INDIRECT($C53&amp;".Outputs["&amp;this.Year&amp;"]"), MATCH(AJ$5, INDIRECT($C53&amp;".Outputs[Vector]"), 0)), 0)</f>
        <v>0</v>
      </c>
      <c r="AK53" s="315">
        <f t="shared" ca="1" si="129"/>
        <v>0</v>
      </c>
      <c r="AL53" s="315">
        <f t="shared" ca="1" si="129"/>
        <v>0</v>
      </c>
      <c r="AM53" s="315">
        <f t="shared" ca="1" si="129"/>
        <v>0</v>
      </c>
      <c r="AN53" s="315">
        <f t="shared" ca="1" si="129"/>
        <v>0</v>
      </c>
      <c r="AO53" s="315">
        <f t="shared" ca="1" si="129"/>
        <v>0</v>
      </c>
      <c r="AP53" s="315">
        <f t="shared" ca="1" si="129"/>
        <v>0</v>
      </c>
      <c r="AQ53" s="315">
        <f t="shared" ca="1" si="129"/>
        <v>0</v>
      </c>
      <c r="AR53" s="315">
        <f t="shared" ca="1" si="129"/>
        <v>0</v>
      </c>
      <c r="AS53" s="315">
        <f t="shared" ca="1" si="128"/>
        <v>-567.8420000000001</v>
      </c>
      <c r="AT53" s="315">
        <f t="shared" ca="1" si="128"/>
        <v>0</v>
      </c>
      <c r="AU53" s="315">
        <f t="shared" ca="1" si="128"/>
        <v>0</v>
      </c>
      <c r="AV53" s="315">
        <f t="shared" ca="1" si="128"/>
        <v>0</v>
      </c>
      <c r="AW53" s="315">
        <f t="shared" ca="1" si="128"/>
        <v>0</v>
      </c>
      <c r="AX53" s="315">
        <f t="shared" ca="1" si="128"/>
        <v>0</v>
      </c>
      <c r="AY53" s="293">
        <f t="shared" ca="1" si="74"/>
        <v>-567.8420000000001</v>
      </c>
      <c r="AZ53" s="84"/>
      <c r="BA53" s="311">
        <f ca="1">IFERROR(INDEX(INDIRECT($C53&amp;".Outputs["&amp;this.Year&amp;"]"), MATCH(BA$5, INDIRECT($C53&amp;".Outputs[Vector]"), 0)), 0)</f>
        <v>363.41888000000006</v>
      </c>
      <c r="BB53" s="311">
        <f ca="1">IFERROR(INDEX(INDIRECT($C53&amp;".Outputs["&amp;this.Year&amp;"]"), MATCH(BB$5, INDIRECT($C53&amp;".Outputs[Vector]"), 0)), 0)</f>
        <v>18.583920000000003</v>
      </c>
      <c r="BC53" s="310">
        <f t="shared" ca="1" si="10"/>
        <v>382.00280000000004</v>
      </c>
      <c r="BD53" s="84"/>
      <c r="BE53" s="135">
        <f ca="1">P53+AH53+AY53+BC53</f>
        <v>0</v>
      </c>
      <c r="BF53" s="135"/>
      <c r="BG53" s="1428"/>
      <c r="BH53" s="544">
        <f t="shared" ref="BH53:CU53" ca="1" si="130">IFERROR(SUMIFS(INDIRECT($C53&amp;".Emissions["&amp;this.Year&amp;"]"), INDIRECT($C53&amp;".Emissions[GHG]"), BH$6, INDIRECT($C53&amp;".Emissions[IPCC Sector]"), BH$5),0)</f>
        <v>0</v>
      </c>
      <c r="BI53" s="545">
        <f t="shared" ca="1" si="130"/>
        <v>0</v>
      </c>
      <c r="BJ53" s="545">
        <f t="shared" ca="1" si="130"/>
        <v>0</v>
      </c>
      <c r="BK53" s="545">
        <f t="shared" ca="1" si="130"/>
        <v>0</v>
      </c>
      <c r="BL53" s="545">
        <f t="shared" ca="1" si="130"/>
        <v>0</v>
      </c>
      <c r="BM53" s="545">
        <f t="shared" ca="1" si="130"/>
        <v>0</v>
      </c>
      <c r="BN53" s="545">
        <f t="shared" ca="1" si="130"/>
        <v>0</v>
      </c>
      <c r="BO53" s="545">
        <f t="shared" ca="1" si="130"/>
        <v>0</v>
      </c>
      <c r="BP53" s="545">
        <f t="shared" ca="1" si="130"/>
        <v>0</v>
      </c>
      <c r="BQ53" s="545">
        <f t="shared" ca="1" si="130"/>
        <v>0</v>
      </c>
      <c r="BR53" s="545">
        <f t="shared" ca="1" si="130"/>
        <v>0</v>
      </c>
      <c r="BS53" s="545">
        <f t="shared" ca="1" si="130"/>
        <v>0</v>
      </c>
      <c r="BT53" s="545">
        <f t="shared" ca="1" si="130"/>
        <v>0</v>
      </c>
      <c r="BU53" s="545">
        <f t="shared" ca="1" si="130"/>
        <v>0</v>
      </c>
      <c r="BV53" s="545">
        <f t="shared" ca="1" si="130"/>
        <v>0</v>
      </c>
      <c r="BW53" s="545">
        <f t="shared" ca="1" si="130"/>
        <v>0</v>
      </c>
      <c r="BX53" s="545">
        <f t="shared" ca="1" si="130"/>
        <v>0</v>
      </c>
      <c r="BY53" s="545">
        <f t="shared" ca="1" si="130"/>
        <v>0</v>
      </c>
      <c r="BZ53" s="545">
        <f t="shared" ca="1" si="130"/>
        <v>0</v>
      </c>
      <c r="CA53" s="545">
        <f t="shared" ca="1" si="130"/>
        <v>0</v>
      </c>
      <c r="CB53" s="545">
        <f t="shared" ca="1" si="130"/>
        <v>0</v>
      </c>
      <c r="CC53" s="545">
        <f t="shared" ca="1" si="130"/>
        <v>0</v>
      </c>
      <c r="CD53" s="545">
        <f t="shared" ca="1" si="130"/>
        <v>0</v>
      </c>
      <c r="CE53" s="545">
        <f t="shared" ca="1" si="130"/>
        <v>0</v>
      </c>
      <c r="CF53" s="545">
        <f t="shared" ca="1" si="130"/>
        <v>0</v>
      </c>
      <c r="CG53" s="545">
        <f t="shared" ca="1" si="130"/>
        <v>0</v>
      </c>
      <c r="CH53" s="545">
        <f t="shared" ca="1" si="130"/>
        <v>0</v>
      </c>
      <c r="CI53" s="545">
        <f t="shared" ca="1" si="130"/>
        <v>0</v>
      </c>
      <c r="CJ53" s="545">
        <f t="shared" ca="1" si="130"/>
        <v>0</v>
      </c>
      <c r="CK53" s="545">
        <f t="shared" ca="1" si="130"/>
        <v>0</v>
      </c>
      <c r="CL53" s="545">
        <f t="shared" ca="1" si="130"/>
        <v>0</v>
      </c>
      <c r="CM53" s="545">
        <f t="shared" ca="1" si="130"/>
        <v>0</v>
      </c>
      <c r="CN53" s="545">
        <f t="shared" ca="1" si="130"/>
        <v>0</v>
      </c>
      <c r="CO53" s="545">
        <f t="shared" ca="1" si="130"/>
        <v>0</v>
      </c>
      <c r="CP53" s="545">
        <f t="shared" ca="1" si="130"/>
        <v>0</v>
      </c>
      <c r="CQ53" s="545">
        <f t="shared" ca="1" si="130"/>
        <v>0</v>
      </c>
      <c r="CR53" s="545">
        <f t="shared" ca="1" si="130"/>
        <v>0</v>
      </c>
      <c r="CS53" s="545">
        <f t="shared" ca="1" si="130"/>
        <v>0</v>
      </c>
      <c r="CT53" s="545">
        <f t="shared" ca="1" si="130"/>
        <v>0</v>
      </c>
      <c r="CU53" s="545">
        <f t="shared" ca="1" si="130"/>
        <v>0</v>
      </c>
      <c r="CW53" s="151">
        <f t="shared" ca="1" si="114"/>
        <v>0</v>
      </c>
    </row>
    <row r="54" spans="1:101" s="84" customFormat="1" ht="15.75" x14ac:dyDescent="0.2">
      <c r="A54" s="18"/>
      <c r="B54" s="89"/>
      <c r="C54" s="85" t="s">
        <v>61</v>
      </c>
      <c r="D54" s="57" t="str">
        <f>INDEX(Workstreams[Workstream], MATCH($C54, Workstreams[Code], 0))</f>
        <v>Nuclear power generation</v>
      </c>
      <c r="E54" s="53"/>
      <c r="G54" s="300">
        <f ca="1">G53</f>
        <v>0</v>
      </c>
      <c r="H54" s="300">
        <f t="shared" ref="H54:O54" ca="1" si="131">H53</f>
        <v>0</v>
      </c>
      <c r="I54" s="300">
        <f ca="1">I53</f>
        <v>0</v>
      </c>
      <c r="J54" s="300">
        <f t="shared" ca="1" si="131"/>
        <v>0</v>
      </c>
      <c r="K54" s="300">
        <f t="shared" ca="1" si="131"/>
        <v>0</v>
      </c>
      <c r="L54" s="300">
        <f t="shared" ca="1" si="131"/>
        <v>0</v>
      </c>
      <c r="M54" s="300">
        <f t="shared" ca="1" si="131"/>
        <v>0</v>
      </c>
      <c r="N54" s="300">
        <f t="shared" ca="1" si="131"/>
        <v>0</v>
      </c>
      <c r="O54" s="300">
        <f t="shared" ca="1" si="131"/>
        <v>0</v>
      </c>
      <c r="P54" s="300">
        <f t="shared" ca="1" si="70"/>
        <v>0</v>
      </c>
      <c r="R54" s="257">
        <f t="shared" ref="R54:AE54" ca="1" si="132">R53</f>
        <v>0</v>
      </c>
      <c r="S54" s="257">
        <f t="shared" ca="1" si="132"/>
        <v>185.83920000000003</v>
      </c>
      <c r="T54" s="257">
        <f t="shared" ca="1" si="132"/>
        <v>0</v>
      </c>
      <c r="U54" s="257">
        <f t="shared" ca="1" si="132"/>
        <v>0</v>
      </c>
      <c r="V54" s="257">
        <f t="shared" ca="1" si="132"/>
        <v>0</v>
      </c>
      <c r="W54" s="257">
        <f ca="1">W53</f>
        <v>0</v>
      </c>
      <c r="X54" s="257">
        <f t="shared" ca="1" si="132"/>
        <v>0</v>
      </c>
      <c r="Y54" s="257">
        <f t="shared" ca="1" si="132"/>
        <v>0</v>
      </c>
      <c r="Z54" s="257">
        <f t="shared" ca="1" si="132"/>
        <v>0</v>
      </c>
      <c r="AA54" s="257">
        <f t="shared" ca="1" si="132"/>
        <v>0</v>
      </c>
      <c r="AB54" s="257">
        <f t="shared" ca="1" si="132"/>
        <v>0</v>
      </c>
      <c r="AC54" s="257">
        <f ca="1">AC53</f>
        <v>0</v>
      </c>
      <c r="AD54" s="257">
        <f ca="1">AD53</f>
        <v>0</v>
      </c>
      <c r="AE54" s="257">
        <f t="shared" ca="1" si="132"/>
        <v>0</v>
      </c>
      <c r="AF54" s="257">
        <f ca="1">AF53</f>
        <v>0</v>
      </c>
      <c r="AG54" s="257">
        <f ca="1">AG53</f>
        <v>0</v>
      </c>
      <c r="AH54" s="257">
        <f t="shared" ca="1" si="5"/>
        <v>185.83920000000003</v>
      </c>
      <c r="AJ54" s="263">
        <f ca="1">AJ53</f>
        <v>0</v>
      </c>
      <c r="AK54" s="263">
        <f t="shared" ref="AK54:AX54" ca="1" si="133">AK53</f>
        <v>0</v>
      </c>
      <c r="AL54" s="263">
        <f t="shared" ca="1" si="133"/>
        <v>0</v>
      </c>
      <c r="AM54" s="263">
        <f t="shared" ca="1" si="133"/>
        <v>0</v>
      </c>
      <c r="AN54" s="263">
        <f t="shared" ca="1" si="133"/>
        <v>0</v>
      </c>
      <c r="AO54" s="263">
        <f t="shared" ca="1" si="133"/>
        <v>0</v>
      </c>
      <c r="AP54" s="263">
        <f t="shared" ca="1" si="133"/>
        <v>0</v>
      </c>
      <c r="AQ54" s="263">
        <f t="shared" ca="1" si="133"/>
        <v>0</v>
      </c>
      <c r="AR54" s="263">
        <f t="shared" ca="1" si="133"/>
        <v>0</v>
      </c>
      <c r="AS54" s="263">
        <f t="shared" ca="1" si="133"/>
        <v>-567.8420000000001</v>
      </c>
      <c r="AT54" s="263">
        <f t="shared" ca="1" si="133"/>
        <v>0</v>
      </c>
      <c r="AU54" s="263">
        <f t="shared" ca="1" si="133"/>
        <v>0</v>
      </c>
      <c r="AV54" s="263">
        <f t="shared" ca="1" si="133"/>
        <v>0</v>
      </c>
      <c r="AW54" s="263">
        <f t="shared" ca="1" si="133"/>
        <v>0</v>
      </c>
      <c r="AX54" s="263">
        <f t="shared" ca="1" si="133"/>
        <v>0</v>
      </c>
      <c r="AY54" s="263">
        <f t="shared" ca="1" si="74"/>
        <v>-567.8420000000001</v>
      </c>
      <c r="BA54" s="277">
        <f ca="1">BA53</f>
        <v>363.41888000000006</v>
      </c>
      <c r="BB54" s="277">
        <f ca="1">BB53</f>
        <v>18.583920000000003</v>
      </c>
      <c r="BC54" s="277">
        <f t="shared" ca="1" si="10"/>
        <v>382.00280000000004</v>
      </c>
      <c r="BE54" s="55">
        <f ca="1">P54+AH54+AY54+BC54</f>
        <v>0</v>
      </c>
      <c r="BF54" s="55"/>
      <c r="BG54" s="1428"/>
      <c r="BH54" s="542">
        <f t="shared" ref="BH54:CU54" ca="1" si="134">BH53</f>
        <v>0</v>
      </c>
      <c r="BI54" s="542">
        <f t="shared" ca="1" si="134"/>
        <v>0</v>
      </c>
      <c r="BJ54" s="542">
        <f t="shared" ca="1" si="134"/>
        <v>0</v>
      </c>
      <c r="BK54" s="542">
        <f t="shared" ca="1" si="134"/>
        <v>0</v>
      </c>
      <c r="BL54" s="542">
        <f t="shared" ca="1" si="134"/>
        <v>0</v>
      </c>
      <c r="BM54" s="542">
        <f t="shared" ca="1" si="134"/>
        <v>0</v>
      </c>
      <c r="BN54" s="542">
        <f t="shared" ca="1" si="134"/>
        <v>0</v>
      </c>
      <c r="BO54" s="542">
        <f t="shared" ca="1" si="134"/>
        <v>0</v>
      </c>
      <c r="BP54" s="542">
        <f t="shared" ca="1" si="134"/>
        <v>0</v>
      </c>
      <c r="BQ54" s="542">
        <f t="shared" ca="1" si="134"/>
        <v>0</v>
      </c>
      <c r="BR54" s="542">
        <f t="shared" ca="1" si="134"/>
        <v>0</v>
      </c>
      <c r="BS54" s="542">
        <f t="shared" ca="1" si="134"/>
        <v>0</v>
      </c>
      <c r="BT54" s="542">
        <f t="shared" ca="1" si="134"/>
        <v>0</v>
      </c>
      <c r="BU54" s="542">
        <f t="shared" ca="1" si="134"/>
        <v>0</v>
      </c>
      <c r="BV54" s="542">
        <f t="shared" ca="1" si="134"/>
        <v>0</v>
      </c>
      <c r="BW54" s="542">
        <f t="shared" ca="1" si="134"/>
        <v>0</v>
      </c>
      <c r="BX54" s="542">
        <f t="shared" ca="1" si="134"/>
        <v>0</v>
      </c>
      <c r="BY54" s="542">
        <f t="shared" ca="1" si="134"/>
        <v>0</v>
      </c>
      <c r="BZ54" s="542">
        <f t="shared" ca="1" si="134"/>
        <v>0</v>
      </c>
      <c r="CA54" s="542">
        <f t="shared" ca="1" si="134"/>
        <v>0</v>
      </c>
      <c r="CB54" s="542">
        <f t="shared" ca="1" si="134"/>
        <v>0</v>
      </c>
      <c r="CC54" s="542">
        <f t="shared" ca="1" si="134"/>
        <v>0</v>
      </c>
      <c r="CD54" s="542">
        <f t="shared" ca="1" si="134"/>
        <v>0</v>
      </c>
      <c r="CE54" s="542">
        <f t="shared" ca="1" si="134"/>
        <v>0</v>
      </c>
      <c r="CF54" s="542">
        <f t="shared" ca="1" si="134"/>
        <v>0</v>
      </c>
      <c r="CG54" s="542">
        <f t="shared" ca="1" si="134"/>
        <v>0</v>
      </c>
      <c r="CH54" s="542">
        <f t="shared" ca="1" si="134"/>
        <v>0</v>
      </c>
      <c r="CI54" s="542">
        <f t="shared" ca="1" si="134"/>
        <v>0</v>
      </c>
      <c r="CJ54" s="542">
        <f t="shared" ca="1" si="134"/>
        <v>0</v>
      </c>
      <c r="CK54" s="542">
        <f t="shared" ca="1" si="134"/>
        <v>0</v>
      </c>
      <c r="CL54" s="542">
        <f t="shared" ca="1" si="134"/>
        <v>0</v>
      </c>
      <c r="CM54" s="542">
        <f t="shared" ca="1" si="134"/>
        <v>0</v>
      </c>
      <c r="CN54" s="542">
        <f t="shared" ca="1" si="134"/>
        <v>0</v>
      </c>
      <c r="CO54" s="542">
        <f t="shared" ca="1" si="134"/>
        <v>0</v>
      </c>
      <c r="CP54" s="542">
        <f t="shared" ca="1" si="134"/>
        <v>0</v>
      </c>
      <c r="CQ54" s="542">
        <f t="shared" ca="1" si="134"/>
        <v>0</v>
      </c>
      <c r="CR54" s="542">
        <f t="shared" ca="1" si="134"/>
        <v>0</v>
      </c>
      <c r="CS54" s="542">
        <f t="shared" ca="1" si="134"/>
        <v>0</v>
      </c>
      <c r="CT54" s="542">
        <f t="shared" ca="1" si="134"/>
        <v>0</v>
      </c>
      <c r="CU54" s="542">
        <f t="shared" ca="1" si="134"/>
        <v>0</v>
      </c>
      <c r="CW54" s="151">
        <f t="shared" ca="1" si="114"/>
        <v>0</v>
      </c>
    </row>
    <row r="55" spans="1:101" s="84" customFormat="1" ht="12.75" customHeight="1" outlineLevel="1" x14ac:dyDescent="0.2">
      <c r="A55" s="18"/>
      <c r="B55" s="18"/>
      <c r="C55" s="87"/>
      <c r="D55" s="53"/>
      <c r="E55" s="53"/>
      <c r="G55" s="245"/>
      <c r="H55" s="245"/>
      <c r="I55" s="245"/>
      <c r="J55" s="245"/>
      <c r="K55" s="245"/>
      <c r="L55" s="247"/>
      <c r="M55" s="245"/>
      <c r="N55" s="245"/>
      <c r="O55" s="245"/>
      <c r="P55" s="245">
        <f t="shared" si="70"/>
        <v>0</v>
      </c>
      <c r="R55" s="257"/>
      <c r="S55" s="257"/>
      <c r="T55" s="257"/>
      <c r="U55" s="257"/>
      <c r="V55" s="257"/>
      <c r="W55" s="257"/>
      <c r="X55" s="257"/>
      <c r="Y55" s="257"/>
      <c r="Z55" s="257"/>
      <c r="AA55" s="257"/>
      <c r="AB55" s="257"/>
      <c r="AC55" s="257"/>
      <c r="AD55" s="257"/>
      <c r="AE55" s="257"/>
      <c r="AF55" s="257"/>
      <c r="AG55" s="257"/>
      <c r="AH55" s="257">
        <f t="shared" si="5"/>
        <v>0</v>
      </c>
      <c r="AJ55" s="263"/>
      <c r="AK55" s="263"/>
      <c r="AL55" s="263"/>
      <c r="AM55" s="263"/>
      <c r="AN55" s="263"/>
      <c r="AO55" s="263"/>
      <c r="AP55" s="263"/>
      <c r="AQ55" s="263"/>
      <c r="AR55" s="263"/>
      <c r="AS55" s="263"/>
      <c r="AT55" s="263"/>
      <c r="AU55" s="263"/>
      <c r="AV55" s="263"/>
      <c r="AW55" s="263"/>
      <c r="AX55" s="263"/>
      <c r="AY55" s="263">
        <f t="shared" si="74"/>
        <v>0</v>
      </c>
      <c r="BA55" s="277"/>
      <c r="BB55" s="277"/>
      <c r="BC55" s="277">
        <f t="shared" si="10"/>
        <v>0</v>
      </c>
      <c r="BE55" s="55">
        <f>P55+AH55+AY55+BC55</f>
        <v>0</v>
      </c>
      <c r="BF55" s="55"/>
      <c r="BG55" s="18"/>
      <c r="BH55" s="542"/>
      <c r="BI55" s="542"/>
      <c r="BJ55" s="542"/>
      <c r="BK55" s="542"/>
      <c r="BL55" s="542"/>
      <c r="BM55" s="542"/>
      <c r="BN55" s="542"/>
      <c r="BO55" s="542"/>
      <c r="BP55" s="542"/>
      <c r="BQ55" s="542"/>
      <c r="BR55" s="542"/>
      <c r="BS55" s="542"/>
      <c r="BT55" s="542"/>
      <c r="BU55" s="542"/>
      <c r="BV55" s="542"/>
      <c r="BW55" s="542"/>
      <c r="BX55" s="542"/>
      <c r="BY55" s="542"/>
      <c r="BZ55" s="542"/>
      <c r="CA55" s="542"/>
      <c r="CB55" s="542"/>
      <c r="CC55" s="542"/>
      <c r="CD55" s="542"/>
      <c r="CE55" s="542"/>
      <c r="CF55" s="542"/>
      <c r="CG55" s="542"/>
      <c r="CH55" s="542"/>
      <c r="CI55" s="542"/>
      <c r="CJ55" s="542"/>
      <c r="CK55" s="542"/>
      <c r="CL55" s="542"/>
      <c r="CM55" s="542"/>
      <c r="CN55" s="542"/>
      <c r="CO55" s="542"/>
      <c r="CP55" s="542"/>
      <c r="CQ55" s="542"/>
      <c r="CR55" s="542"/>
      <c r="CS55" s="542"/>
      <c r="CT55" s="542"/>
      <c r="CU55" s="542"/>
      <c r="CW55" s="151">
        <f t="shared" si="114"/>
        <v>0</v>
      </c>
    </row>
    <row r="56" spans="1:101" s="547" customFormat="1" ht="12.75" customHeight="1" outlineLevel="1" x14ac:dyDescent="0.2">
      <c r="C56" s="319" t="s">
        <v>856</v>
      </c>
      <c r="D56" s="320" t="s">
        <v>587</v>
      </c>
      <c r="E56" s="320"/>
      <c r="F56" s="84"/>
      <c r="G56" s="321"/>
      <c r="H56" s="321"/>
      <c r="I56" s="321"/>
      <c r="J56" s="321"/>
      <c r="K56" s="321"/>
      <c r="L56" s="322"/>
      <c r="M56" s="321"/>
      <c r="N56" s="321"/>
      <c r="O56" s="321"/>
      <c r="P56" s="321">
        <f t="shared" si="70"/>
        <v>0</v>
      </c>
      <c r="Q56" s="84"/>
      <c r="R56" s="323">
        <f ca="1">R$52+R$54</f>
        <v>-946.39709827169258</v>
      </c>
      <c r="S56" s="323">
        <f ca="1">S$52+S$54</f>
        <v>675.50248685870099</v>
      </c>
      <c r="T56" s="323"/>
      <c r="U56" s="323"/>
      <c r="V56" s="323"/>
      <c r="W56" s="323"/>
      <c r="X56" s="323"/>
      <c r="Y56" s="323"/>
      <c r="Z56" s="323"/>
      <c r="AA56" s="323"/>
      <c r="AB56" s="323"/>
      <c r="AC56" s="323"/>
      <c r="AD56" s="323"/>
      <c r="AE56" s="323"/>
      <c r="AF56" s="323"/>
      <c r="AG56" s="323"/>
      <c r="AH56" s="323">
        <f t="shared" ca="1" si="5"/>
        <v>-270.89461141299159</v>
      </c>
      <c r="AI56" s="84"/>
      <c r="AJ56" s="324"/>
      <c r="AK56" s="324"/>
      <c r="AL56" s="324"/>
      <c r="AM56" s="324"/>
      <c r="AN56" s="324"/>
      <c r="AO56" s="324"/>
      <c r="AP56" s="324"/>
      <c r="AQ56" s="324"/>
      <c r="AR56" s="324"/>
      <c r="AS56" s="324"/>
      <c r="AT56" s="324"/>
      <c r="AU56" s="324"/>
      <c r="AV56" s="324"/>
      <c r="AW56" s="324"/>
      <c r="AX56" s="324"/>
      <c r="AY56" s="324">
        <f t="shared" si="74"/>
        <v>0</v>
      </c>
      <c r="AZ56" s="84"/>
      <c r="BA56" s="325"/>
      <c r="BB56" s="325"/>
      <c r="BC56" s="325">
        <f t="shared" si="10"/>
        <v>0</v>
      </c>
      <c r="BD56" s="84"/>
      <c r="BE56" s="164"/>
      <c r="BF56" s="164"/>
      <c r="BH56" s="549"/>
      <c r="BI56" s="549"/>
      <c r="BJ56" s="549"/>
      <c r="BK56" s="549"/>
      <c r="BL56" s="549"/>
      <c r="BM56" s="549"/>
      <c r="BN56" s="549"/>
      <c r="BO56" s="549"/>
      <c r="BP56" s="549"/>
      <c r="BQ56" s="549"/>
      <c r="BR56" s="549"/>
      <c r="BS56" s="549"/>
      <c r="BT56" s="549"/>
      <c r="BU56" s="549"/>
      <c r="BV56" s="549"/>
      <c r="BW56" s="549"/>
      <c r="BX56" s="549"/>
      <c r="BY56" s="549"/>
      <c r="BZ56" s="549"/>
      <c r="CA56" s="549"/>
      <c r="CB56" s="549"/>
      <c r="CC56" s="549"/>
      <c r="CD56" s="549"/>
      <c r="CE56" s="549"/>
      <c r="CF56" s="549"/>
      <c r="CG56" s="549"/>
      <c r="CH56" s="549"/>
      <c r="CI56" s="549"/>
      <c r="CJ56" s="549"/>
      <c r="CK56" s="549"/>
      <c r="CL56" s="549"/>
      <c r="CM56" s="549"/>
      <c r="CN56" s="549"/>
      <c r="CO56" s="549"/>
      <c r="CP56" s="549"/>
      <c r="CQ56" s="549"/>
      <c r="CR56" s="549"/>
      <c r="CS56" s="549"/>
      <c r="CT56" s="549"/>
      <c r="CU56" s="549"/>
      <c r="CW56" s="151">
        <f t="shared" si="114"/>
        <v>0</v>
      </c>
    </row>
    <row r="57" spans="1:101" s="543" customFormat="1" ht="12.75" customHeight="1" outlineLevel="1" x14ac:dyDescent="0.2">
      <c r="C57" s="86" t="s">
        <v>352</v>
      </c>
      <c r="D57" s="61" t="str">
        <f>INDEX(Modules[Module], MATCH($C57, Modules[Code], 0))</f>
        <v>Biomass power station</v>
      </c>
      <c r="E57" s="61"/>
      <c r="F57" s="84"/>
      <c r="G57" s="892">
        <f t="shared" ref="G57:O59" ca="1" si="135">IFERROR(INDEX(INDIRECT($C57&amp;".Outputs["&amp;this.Year&amp;"]"), MATCH(G$5, INDIRECT($C57&amp;".Outputs[Vector]"), 0)), 0)</f>
        <v>0</v>
      </c>
      <c r="H57" s="892">
        <f t="shared" ca="1" si="135"/>
        <v>0</v>
      </c>
      <c r="I57" s="892">
        <f t="shared" ca="1" si="135"/>
        <v>0</v>
      </c>
      <c r="J57" s="892">
        <f t="shared" ca="1" si="135"/>
        <v>0</v>
      </c>
      <c r="K57" s="892">
        <f t="shared" ca="1" si="135"/>
        <v>0</v>
      </c>
      <c r="L57" s="892">
        <f t="shared" ca="1" si="135"/>
        <v>0</v>
      </c>
      <c r="M57" s="892">
        <f t="shared" ca="1" si="135"/>
        <v>0</v>
      </c>
      <c r="N57" s="892">
        <f t="shared" ca="1" si="135"/>
        <v>0</v>
      </c>
      <c r="O57" s="892">
        <f t="shared" ca="1" si="135"/>
        <v>0</v>
      </c>
      <c r="P57" s="892">
        <f t="shared" ref="P57:P89" ca="1" si="136">SUM(G57:O57)</f>
        <v>0</v>
      </c>
      <c r="Q57" s="84"/>
      <c r="R57" s="893">
        <f t="shared" ref="R57:AG57" ca="1" si="137">IFERROR(INDEX(INDIRECT($C57&amp;".Outputs["&amp;this.Year&amp;"]"), MATCH(R$5, INDIRECT($C57&amp;".Outputs[Vector]"), 0)), 0)</f>
        <v>0</v>
      </c>
      <c r="S57" s="893">
        <f t="shared" ca="1" si="137"/>
        <v>78.893999999999991</v>
      </c>
      <c r="T57" s="893">
        <f t="shared" ca="1" si="137"/>
        <v>-236.68199999999999</v>
      </c>
      <c r="U57" s="893">
        <f t="shared" ca="1" si="137"/>
        <v>0</v>
      </c>
      <c r="V57" s="893">
        <f t="shared" ca="1" si="137"/>
        <v>0</v>
      </c>
      <c r="W57" s="893">
        <f t="shared" ca="1" si="137"/>
        <v>0</v>
      </c>
      <c r="X57" s="893">
        <f t="shared" ca="1" si="137"/>
        <v>0</v>
      </c>
      <c r="Y57" s="893">
        <f t="shared" ca="1" si="137"/>
        <v>0</v>
      </c>
      <c r="Z57" s="893">
        <f t="shared" ca="1" si="137"/>
        <v>0</v>
      </c>
      <c r="AA57" s="893">
        <f t="shared" ca="1" si="137"/>
        <v>0</v>
      </c>
      <c r="AB57" s="893">
        <f t="shared" ca="1" si="137"/>
        <v>0</v>
      </c>
      <c r="AC57" s="893">
        <f t="shared" ca="1" si="137"/>
        <v>0</v>
      </c>
      <c r="AD57" s="893">
        <f t="shared" ca="1" si="137"/>
        <v>0</v>
      </c>
      <c r="AE57" s="893">
        <f t="shared" ca="1" si="137"/>
        <v>0</v>
      </c>
      <c r="AF57" s="893">
        <f t="shared" ca="1" si="137"/>
        <v>0</v>
      </c>
      <c r="AG57" s="893">
        <f t="shared" ca="1" si="137"/>
        <v>0</v>
      </c>
      <c r="AH57" s="894">
        <f t="shared" ca="1" si="5"/>
        <v>-157.78800000000001</v>
      </c>
      <c r="AI57" s="84"/>
      <c r="AJ57" s="895">
        <f t="shared" ref="AJ57:AR59" ca="1" si="138">IFERROR(INDEX(INDIRECT($C57&amp;".Outputs["&amp;this.Year&amp;"]"), MATCH(AJ$5, INDIRECT($C57&amp;".Outputs[Vector]"), 0)), 0)</f>
        <v>0</v>
      </c>
      <c r="AK57" s="895">
        <f t="shared" ca="1" si="138"/>
        <v>0</v>
      </c>
      <c r="AL57" s="895">
        <f t="shared" ca="1" si="138"/>
        <v>0</v>
      </c>
      <c r="AM57" s="895">
        <f t="shared" ca="1" si="138"/>
        <v>0</v>
      </c>
      <c r="AN57" s="895">
        <f t="shared" ca="1" si="138"/>
        <v>0</v>
      </c>
      <c r="AO57" s="895">
        <f t="shared" ca="1" si="138"/>
        <v>0</v>
      </c>
      <c r="AP57" s="895">
        <f t="shared" ca="1" si="138"/>
        <v>0</v>
      </c>
      <c r="AQ57" s="895">
        <f t="shared" ca="1" si="138"/>
        <v>0</v>
      </c>
      <c r="AR57" s="895">
        <f t="shared" ca="1" si="138"/>
        <v>0</v>
      </c>
      <c r="AS57" s="895">
        <f t="shared" ref="AS57:AX57" ca="1" si="139">IFERROR(INDEX(INDIRECT($C57&amp;".Outputs["&amp;this.Year&amp;"]"), MATCH(AS$5, INDIRECT($C57&amp;".Outputs[Vector]"), 0)), 0)</f>
        <v>0</v>
      </c>
      <c r="AT57" s="895">
        <f t="shared" ca="1" si="139"/>
        <v>0</v>
      </c>
      <c r="AU57" s="895">
        <f t="shared" ca="1" si="139"/>
        <v>0</v>
      </c>
      <c r="AV57" s="895">
        <f t="shared" ca="1" si="139"/>
        <v>0</v>
      </c>
      <c r="AW57" s="895">
        <f t="shared" ca="1" si="139"/>
        <v>0</v>
      </c>
      <c r="AX57" s="895">
        <f t="shared" ca="1" si="139"/>
        <v>0</v>
      </c>
      <c r="AY57" s="896">
        <f t="shared" ca="1" si="74"/>
        <v>0</v>
      </c>
      <c r="AZ57" s="84"/>
      <c r="BA57" s="897">
        <f ca="1">IFERROR(INDEX(INDIRECT($C57&amp;".Outputs["&amp;this.Year&amp;"]"), MATCH(BA$5, INDIRECT($C57&amp;".Outputs[Vector]"), 0)), 0)</f>
        <v>153.8433</v>
      </c>
      <c r="BB57" s="897">
        <f ca="1">IFERROR(INDEX(INDIRECT($C57&amp;".Outputs["&amp;this.Year&amp;"]"), MATCH(BB$5, INDIRECT($C57&amp;".Outputs[Vector]"), 0)), 0)</f>
        <v>3.9446999999999997</v>
      </c>
      <c r="BC57" s="898">
        <f t="shared" ca="1" si="10"/>
        <v>157.78800000000001</v>
      </c>
      <c r="BD57" s="84"/>
      <c r="BE57" s="135">
        <f ca="1">P57+AH57+AY57+BC57</f>
        <v>0</v>
      </c>
      <c r="BF57" s="135"/>
      <c r="BG57" s="1428"/>
      <c r="BH57" s="541">
        <f t="shared" ref="BH57:CU59" ca="1" si="140">IFERROR(SUMIFS(INDIRECT($C57&amp;".Emissions["&amp;this.Year&amp;"]"), INDIRECT($C57&amp;".Emissions[GHG]"), BH$6, INDIRECT($C57&amp;".Emissions[IPCC Sector]"), BH$5),0)</f>
        <v>72.898055999999983</v>
      </c>
      <c r="BI57" s="542">
        <f t="shared" ca="1" si="140"/>
        <v>0.21414814490699952</v>
      </c>
      <c r="BJ57" s="542">
        <f t="shared" ca="1" si="140"/>
        <v>0.64576840859545037</v>
      </c>
      <c r="BK57" s="542">
        <f t="shared" ca="1" si="140"/>
        <v>0</v>
      </c>
      <c r="BL57" s="542">
        <f t="shared" ca="1" si="140"/>
        <v>0</v>
      </c>
      <c r="BM57" s="542">
        <f t="shared" ca="1" si="140"/>
        <v>0</v>
      </c>
      <c r="BN57" s="542">
        <f t="shared" ca="1" si="140"/>
        <v>0</v>
      </c>
      <c r="BO57" s="542">
        <f t="shared" ca="1" si="140"/>
        <v>0</v>
      </c>
      <c r="BP57" s="542">
        <f t="shared" ca="1" si="140"/>
        <v>0</v>
      </c>
      <c r="BQ57" s="542">
        <f t="shared" ca="1" si="140"/>
        <v>0</v>
      </c>
      <c r="BR57" s="542">
        <f t="shared" ca="1" si="140"/>
        <v>0</v>
      </c>
      <c r="BS57" s="542">
        <f t="shared" ca="1" si="140"/>
        <v>0</v>
      </c>
      <c r="BT57" s="542">
        <f t="shared" ca="1" si="140"/>
        <v>0</v>
      </c>
      <c r="BU57" s="542">
        <f t="shared" ca="1" si="140"/>
        <v>0</v>
      </c>
      <c r="BV57" s="542">
        <f t="shared" ca="1" si="140"/>
        <v>0</v>
      </c>
      <c r="BW57" s="542">
        <f t="shared" ca="1" si="140"/>
        <v>0</v>
      </c>
      <c r="BX57" s="542">
        <f t="shared" ca="1" si="140"/>
        <v>0</v>
      </c>
      <c r="BY57" s="542">
        <f t="shared" ca="1" si="140"/>
        <v>0</v>
      </c>
      <c r="BZ57" s="542">
        <f t="shared" ca="1" si="140"/>
        <v>0</v>
      </c>
      <c r="CA57" s="542">
        <f t="shared" ca="1" si="140"/>
        <v>0</v>
      </c>
      <c r="CB57" s="542">
        <f t="shared" ca="1" si="140"/>
        <v>0</v>
      </c>
      <c r="CC57" s="542">
        <f t="shared" ca="1" si="140"/>
        <v>0</v>
      </c>
      <c r="CD57" s="542">
        <f t="shared" ca="1" si="140"/>
        <v>0</v>
      </c>
      <c r="CE57" s="542">
        <f t="shared" ca="1" si="140"/>
        <v>0</v>
      </c>
      <c r="CF57" s="542">
        <f t="shared" ca="1" si="140"/>
        <v>0</v>
      </c>
      <c r="CG57" s="542">
        <f t="shared" ca="1" si="140"/>
        <v>0</v>
      </c>
      <c r="CH57" s="542">
        <f t="shared" ca="1" si="140"/>
        <v>0</v>
      </c>
      <c r="CI57" s="542">
        <f t="shared" ca="1" si="140"/>
        <v>0</v>
      </c>
      <c r="CJ57" s="542">
        <f t="shared" ca="1" si="140"/>
        <v>0</v>
      </c>
      <c r="CK57" s="542">
        <f t="shared" ca="1" si="140"/>
        <v>0</v>
      </c>
      <c r="CL57" s="542">
        <f t="shared" ca="1" si="140"/>
        <v>0</v>
      </c>
      <c r="CM57" s="542">
        <f t="shared" ca="1" si="140"/>
        <v>0</v>
      </c>
      <c r="CN57" s="542">
        <f t="shared" ca="1" si="140"/>
        <v>0</v>
      </c>
      <c r="CO57" s="542">
        <f t="shared" ca="1" si="140"/>
        <v>0</v>
      </c>
      <c r="CP57" s="542">
        <f t="shared" ca="1" si="140"/>
        <v>0</v>
      </c>
      <c r="CQ57" s="542">
        <f t="shared" ca="1" si="140"/>
        <v>0</v>
      </c>
      <c r="CR57" s="542">
        <f t="shared" ca="1" si="140"/>
        <v>0</v>
      </c>
      <c r="CS57" s="542">
        <f t="shared" ca="1" si="140"/>
        <v>0</v>
      </c>
      <c r="CT57" s="542">
        <f t="shared" ca="1" si="140"/>
        <v>0</v>
      </c>
      <c r="CU57" s="542">
        <f t="shared" ca="1" si="140"/>
        <v>0</v>
      </c>
      <c r="CW57" s="151">
        <f t="shared" ca="1" si="114"/>
        <v>73.757972553502427</v>
      </c>
    </row>
    <row r="58" spans="1:101" s="543" customFormat="1" ht="12.75" customHeight="1" outlineLevel="1" x14ac:dyDescent="0.2">
      <c r="C58" s="319" t="s">
        <v>2381</v>
      </c>
      <c r="D58" s="320" t="s">
        <v>587</v>
      </c>
      <c r="E58" s="61"/>
      <c r="F58" s="84"/>
      <c r="G58" s="892"/>
      <c r="H58" s="892"/>
      <c r="I58" s="892"/>
      <c r="J58" s="892"/>
      <c r="K58" s="892"/>
      <c r="L58" s="892"/>
      <c r="M58" s="892"/>
      <c r="N58" s="892"/>
      <c r="O58" s="892"/>
      <c r="P58" s="892">
        <f t="shared" si="136"/>
        <v>0</v>
      </c>
      <c r="Q58" s="84"/>
      <c r="R58" s="893">
        <f ca="1">R56+R57</f>
        <v>-946.39709827169258</v>
      </c>
      <c r="S58" s="893">
        <f ca="1">S56+S57</f>
        <v>754.396486858701</v>
      </c>
      <c r="T58" s="893"/>
      <c r="U58" s="893"/>
      <c r="V58" s="893"/>
      <c r="W58" s="893"/>
      <c r="X58" s="893"/>
      <c r="Y58" s="893"/>
      <c r="Z58" s="893"/>
      <c r="AA58" s="893"/>
      <c r="AB58" s="893"/>
      <c r="AC58" s="893"/>
      <c r="AD58" s="893"/>
      <c r="AE58" s="893"/>
      <c r="AF58" s="893"/>
      <c r="AG58" s="893"/>
      <c r="AH58" s="894">
        <f t="shared" ca="1" si="5"/>
        <v>-192.00061141299159</v>
      </c>
      <c r="AI58" s="84"/>
      <c r="AJ58" s="895"/>
      <c r="AK58" s="895"/>
      <c r="AL58" s="895"/>
      <c r="AM58" s="895"/>
      <c r="AN58" s="895"/>
      <c r="AO58" s="895"/>
      <c r="AP58" s="895"/>
      <c r="AQ58" s="895"/>
      <c r="AR58" s="895"/>
      <c r="AS58" s="895"/>
      <c r="AT58" s="895"/>
      <c r="AU58" s="895"/>
      <c r="AV58" s="895"/>
      <c r="AW58" s="895"/>
      <c r="AX58" s="895"/>
      <c r="AY58" s="896">
        <f t="shared" si="74"/>
        <v>0</v>
      </c>
      <c r="AZ58" s="84"/>
      <c r="BA58" s="897"/>
      <c r="BB58" s="897"/>
      <c r="BC58" s="898">
        <f t="shared" si="10"/>
        <v>0</v>
      </c>
      <c r="BD58" s="84"/>
      <c r="BE58" s="135"/>
      <c r="BF58" s="135"/>
      <c r="BG58" s="1428"/>
      <c r="BH58" s="541"/>
      <c r="BI58" s="542"/>
      <c r="BJ58" s="542"/>
      <c r="BK58" s="542"/>
      <c r="BL58" s="542"/>
      <c r="BM58" s="542"/>
      <c r="BN58" s="542"/>
      <c r="BO58" s="542"/>
      <c r="BP58" s="542"/>
      <c r="BQ58" s="542"/>
      <c r="BR58" s="542"/>
      <c r="BS58" s="542"/>
      <c r="BT58" s="542"/>
      <c r="BU58" s="542"/>
      <c r="BV58" s="542"/>
      <c r="BW58" s="542"/>
      <c r="BX58" s="542"/>
      <c r="BY58" s="542"/>
      <c r="BZ58" s="542"/>
      <c r="CA58" s="542"/>
      <c r="CB58" s="542"/>
      <c r="CC58" s="542"/>
      <c r="CD58" s="542"/>
      <c r="CE58" s="542"/>
      <c r="CF58" s="542"/>
      <c r="CG58" s="542"/>
      <c r="CH58" s="542"/>
      <c r="CI58" s="542"/>
      <c r="CJ58" s="542"/>
      <c r="CK58" s="542"/>
      <c r="CL58" s="542"/>
      <c r="CM58" s="542"/>
      <c r="CN58" s="542"/>
      <c r="CO58" s="542"/>
      <c r="CP58" s="542"/>
      <c r="CQ58" s="542"/>
      <c r="CR58" s="542"/>
      <c r="CS58" s="542"/>
      <c r="CT58" s="542"/>
      <c r="CU58" s="542"/>
      <c r="CW58" s="151"/>
    </row>
    <row r="59" spans="1:101" s="543" customFormat="1" ht="12.75" customHeight="1" outlineLevel="1" x14ac:dyDescent="0.2">
      <c r="C59" s="86" t="s">
        <v>2146</v>
      </c>
      <c r="D59" s="61" t="str">
        <f>INDEX(Modules[Module], MATCH($C59, Modules[Code], 0))</f>
        <v>Coal power stations</v>
      </c>
      <c r="E59" s="61"/>
      <c r="F59" s="84"/>
      <c r="G59" s="892">
        <f t="shared" ca="1" si="135"/>
        <v>0</v>
      </c>
      <c r="H59" s="892">
        <f t="shared" ca="1" si="135"/>
        <v>0</v>
      </c>
      <c r="I59" s="892">
        <f t="shared" ca="1" si="135"/>
        <v>0</v>
      </c>
      <c r="J59" s="892">
        <f t="shared" ca="1" si="135"/>
        <v>0</v>
      </c>
      <c r="K59" s="892">
        <f t="shared" ca="1" si="135"/>
        <v>0</v>
      </c>
      <c r="L59" s="892">
        <f t="shared" ca="1" si="135"/>
        <v>0</v>
      </c>
      <c r="M59" s="892">
        <f t="shared" ca="1" si="135"/>
        <v>0</v>
      </c>
      <c r="N59" s="892">
        <f t="shared" ca="1" si="135"/>
        <v>0</v>
      </c>
      <c r="O59" s="892">
        <f t="shared" ca="1" si="135"/>
        <v>0</v>
      </c>
      <c r="P59" s="892">
        <f t="shared" ca="1" si="136"/>
        <v>0</v>
      </c>
      <c r="Q59" s="84"/>
      <c r="R59" s="893">
        <f t="shared" ref="R59:AG59" ca="1" si="141">IFERROR(INDEX(INDIRECT($C59&amp;".Outputs["&amp;this.Year&amp;"]"), MATCH(R$5, INDIRECT($C59&amp;".Outputs[Vector]"), 0)), 0)</f>
        <v>0</v>
      </c>
      <c r="S59" s="893">
        <f t="shared" ca="1" si="141"/>
        <v>361.59749999999997</v>
      </c>
      <c r="T59" s="893">
        <f t="shared" ca="1" si="141"/>
        <v>-999.15098684210523</v>
      </c>
      <c r="U59" s="893">
        <f t="shared" ca="1" si="141"/>
        <v>0</v>
      </c>
      <c r="V59" s="893">
        <f t="shared" ca="1" si="141"/>
        <v>0</v>
      </c>
      <c r="W59" s="893">
        <f t="shared" ca="1" si="141"/>
        <v>0</v>
      </c>
      <c r="X59" s="893">
        <f t="shared" ca="1" si="141"/>
        <v>0</v>
      </c>
      <c r="Y59" s="893">
        <f t="shared" ca="1" si="141"/>
        <v>0</v>
      </c>
      <c r="Z59" s="893">
        <f t="shared" ca="1" si="141"/>
        <v>0</v>
      </c>
      <c r="AA59" s="893">
        <f t="shared" ca="1" si="141"/>
        <v>0</v>
      </c>
      <c r="AB59" s="893">
        <f t="shared" ca="1" si="141"/>
        <v>0</v>
      </c>
      <c r="AC59" s="893">
        <f t="shared" ca="1" si="141"/>
        <v>0</v>
      </c>
      <c r="AD59" s="893">
        <f t="shared" ca="1" si="141"/>
        <v>0</v>
      </c>
      <c r="AE59" s="893">
        <f t="shared" ca="1" si="141"/>
        <v>0</v>
      </c>
      <c r="AF59" s="893">
        <f t="shared" ca="1" si="141"/>
        <v>0</v>
      </c>
      <c r="AG59" s="893">
        <f t="shared" ca="1" si="141"/>
        <v>0</v>
      </c>
      <c r="AH59" s="894">
        <f t="shared" ca="1" si="5"/>
        <v>-637.55348684210526</v>
      </c>
      <c r="AI59" s="84"/>
      <c r="AJ59" s="895">
        <f t="shared" ca="1" si="138"/>
        <v>0</v>
      </c>
      <c r="AK59" s="895">
        <f t="shared" ca="1" si="138"/>
        <v>0</v>
      </c>
      <c r="AL59" s="895">
        <f t="shared" ca="1" si="138"/>
        <v>0</v>
      </c>
      <c r="AM59" s="895">
        <f t="shared" ca="1" si="138"/>
        <v>0</v>
      </c>
      <c r="AN59" s="895">
        <f t="shared" ca="1" si="138"/>
        <v>0</v>
      </c>
      <c r="AO59" s="895">
        <f t="shared" ca="1" si="138"/>
        <v>0</v>
      </c>
      <c r="AP59" s="895">
        <f t="shared" ca="1" si="138"/>
        <v>0</v>
      </c>
      <c r="AQ59" s="895">
        <f t="shared" ca="1" si="138"/>
        <v>0</v>
      </c>
      <c r="AR59" s="895">
        <f t="shared" ca="1" si="138"/>
        <v>0</v>
      </c>
      <c r="AS59" s="895">
        <f t="shared" ref="AS59:AX59" ca="1" si="142">IFERROR(INDEX(INDIRECT($C59&amp;".Outputs["&amp;this.Year&amp;"]"), MATCH(AS$5, INDIRECT($C59&amp;".Outputs[Vector]"), 0)), 0)</f>
        <v>0</v>
      </c>
      <c r="AT59" s="895">
        <f t="shared" ca="1" si="142"/>
        <v>0</v>
      </c>
      <c r="AU59" s="895">
        <f t="shared" ca="1" si="142"/>
        <v>0</v>
      </c>
      <c r="AV59" s="895">
        <f t="shared" ca="1" si="142"/>
        <v>0</v>
      </c>
      <c r="AW59" s="895">
        <f t="shared" ca="1" si="142"/>
        <v>0</v>
      </c>
      <c r="AX59" s="895">
        <f t="shared" ca="1" si="142"/>
        <v>0</v>
      </c>
      <c r="AY59" s="896">
        <f t="shared" ca="1" si="74"/>
        <v>0</v>
      </c>
      <c r="AZ59" s="84"/>
      <c r="BA59" s="897">
        <f ca="1">IFERROR(INDEX(INDIRECT($C59&amp;".Outputs["&amp;this.Year&amp;"]"), MATCH(BA$5, INDIRECT($C59&amp;".Outputs[Vector]"), 0)), 0)</f>
        <v>619.47361184210524</v>
      </c>
      <c r="BB59" s="897">
        <f ca="1">IFERROR(INDEX(INDIRECT($C59&amp;".Outputs["&amp;this.Year&amp;"]"), MATCH(BB$5, INDIRECT($C59&amp;".Outputs[Vector]"), 0)), 0)</f>
        <v>18.079874999999998</v>
      </c>
      <c r="BC59" s="898">
        <f t="shared" ca="1" si="10"/>
        <v>637.55348684210526</v>
      </c>
      <c r="BD59" s="84"/>
      <c r="BE59" s="135">
        <f ca="1">P59+AH59+AY59+BC59</f>
        <v>0</v>
      </c>
      <c r="BF59" s="135"/>
      <c r="BG59" s="1428"/>
      <c r="BH59" s="541">
        <f t="shared" ca="1" si="140"/>
        <v>307.73850394736837</v>
      </c>
      <c r="BI59" s="542">
        <f t="shared" ca="1" si="140"/>
        <v>0.90402451523239924</v>
      </c>
      <c r="BJ59" s="542">
        <f t="shared" ca="1" si="140"/>
        <v>2.7261056722505308</v>
      </c>
      <c r="BK59" s="542">
        <f t="shared" ca="1" si="140"/>
        <v>0</v>
      </c>
      <c r="BL59" s="542">
        <f t="shared" ca="1" si="140"/>
        <v>0</v>
      </c>
      <c r="BM59" s="542">
        <f t="shared" ca="1" si="140"/>
        <v>0</v>
      </c>
      <c r="BN59" s="542">
        <f t="shared" ca="1" si="140"/>
        <v>0</v>
      </c>
      <c r="BO59" s="542">
        <f t="shared" ca="1" si="140"/>
        <v>0</v>
      </c>
      <c r="BP59" s="542">
        <f t="shared" ca="1" si="140"/>
        <v>0</v>
      </c>
      <c r="BQ59" s="542">
        <f t="shared" ca="1" si="140"/>
        <v>0</v>
      </c>
      <c r="BR59" s="542">
        <f t="shared" ca="1" si="140"/>
        <v>0</v>
      </c>
      <c r="BS59" s="542">
        <f t="shared" ca="1" si="140"/>
        <v>0</v>
      </c>
      <c r="BT59" s="542">
        <f t="shared" ca="1" si="140"/>
        <v>0</v>
      </c>
      <c r="BU59" s="542">
        <f t="shared" ca="1" si="140"/>
        <v>0</v>
      </c>
      <c r="BV59" s="542">
        <f t="shared" ca="1" si="140"/>
        <v>0</v>
      </c>
      <c r="BW59" s="542">
        <f t="shared" ca="1" si="140"/>
        <v>0</v>
      </c>
      <c r="BX59" s="542">
        <f t="shared" ca="1" si="140"/>
        <v>0</v>
      </c>
      <c r="BY59" s="542">
        <f t="shared" ca="1" si="140"/>
        <v>0</v>
      </c>
      <c r="BZ59" s="542">
        <f t="shared" ca="1" si="140"/>
        <v>0</v>
      </c>
      <c r="CA59" s="542">
        <f t="shared" ca="1" si="140"/>
        <v>0</v>
      </c>
      <c r="CB59" s="542">
        <f t="shared" ca="1" si="140"/>
        <v>0</v>
      </c>
      <c r="CC59" s="542">
        <f t="shared" ca="1" si="140"/>
        <v>0</v>
      </c>
      <c r="CD59" s="542">
        <f t="shared" ca="1" si="140"/>
        <v>0</v>
      </c>
      <c r="CE59" s="542">
        <f t="shared" ca="1" si="140"/>
        <v>0</v>
      </c>
      <c r="CF59" s="542">
        <f t="shared" ca="1" si="140"/>
        <v>0</v>
      </c>
      <c r="CG59" s="542">
        <f t="shared" ca="1" si="140"/>
        <v>0</v>
      </c>
      <c r="CH59" s="542">
        <f t="shared" ca="1" si="140"/>
        <v>0</v>
      </c>
      <c r="CI59" s="542">
        <f t="shared" ca="1" si="140"/>
        <v>0</v>
      </c>
      <c r="CJ59" s="542">
        <f t="shared" ca="1" si="140"/>
        <v>0</v>
      </c>
      <c r="CK59" s="542">
        <f t="shared" ca="1" si="140"/>
        <v>0</v>
      </c>
      <c r="CL59" s="542">
        <f t="shared" ca="1" si="140"/>
        <v>0</v>
      </c>
      <c r="CM59" s="542">
        <f t="shared" ca="1" si="140"/>
        <v>0</v>
      </c>
      <c r="CN59" s="542">
        <f t="shared" ca="1" si="140"/>
        <v>0</v>
      </c>
      <c r="CO59" s="542">
        <f t="shared" ca="1" si="140"/>
        <v>0</v>
      </c>
      <c r="CP59" s="542">
        <f t="shared" ca="1" si="140"/>
        <v>0</v>
      </c>
      <c r="CQ59" s="542">
        <f t="shared" ca="1" si="140"/>
        <v>0</v>
      </c>
      <c r="CR59" s="542">
        <f t="shared" ca="1" si="140"/>
        <v>0</v>
      </c>
      <c r="CS59" s="542">
        <f t="shared" ca="1" si="140"/>
        <v>0</v>
      </c>
      <c r="CT59" s="542">
        <f t="shared" ca="1" si="140"/>
        <v>0</v>
      </c>
      <c r="CU59" s="542">
        <f t="shared" ca="1" si="140"/>
        <v>0</v>
      </c>
      <c r="CW59" s="151">
        <f t="shared" ref="CW59:CW64" ca="1" si="143">SUM(BH59:CU59)</f>
        <v>311.36863413485128</v>
      </c>
    </row>
    <row r="60" spans="1:101" s="550" customFormat="1" ht="12.75" customHeight="1" outlineLevel="1" x14ac:dyDescent="0.2">
      <c r="C60" s="566" t="s">
        <v>857</v>
      </c>
      <c r="D60" s="320" t="s">
        <v>587</v>
      </c>
      <c r="E60" s="567"/>
      <c r="F60" s="882"/>
      <c r="G60" s="333"/>
      <c r="H60" s="333"/>
      <c r="I60" s="333"/>
      <c r="J60" s="333"/>
      <c r="K60" s="333"/>
      <c r="L60" s="334"/>
      <c r="M60" s="333"/>
      <c r="N60" s="333"/>
      <c r="O60" s="333"/>
      <c r="P60" s="333">
        <f t="shared" si="136"/>
        <v>0</v>
      </c>
      <c r="Q60" s="882"/>
      <c r="R60" s="335">
        <f ca="1">R58+R59</f>
        <v>-946.39709827169258</v>
      </c>
      <c r="S60" s="335">
        <f ca="1">S58+S59</f>
        <v>1115.993986858701</v>
      </c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>
        <f t="shared" ca="1" si="5"/>
        <v>169.59688858700838</v>
      </c>
      <c r="AI60" s="882"/>
      <c r="AJ60" s="336"/>
      <c r="AK60" s="336"/>
      <c r="AL60" s="336"/>
      <c r="AM60" s="336"/>
      <c r="AN60" s="336"/>
      <c r="AO60" s="336"/>
      <c r="AP60" s="336"/>
      <c r="AQ60" s="336"/>
      <c r="AR60" s="336"/>
      <c r="AS60" s="336"/>
      <c r="AT60" s="336"/>
      <c r="AU60" s="336"/>
      <c r="AV60" s="336"/>
      <c r="AW60" s="336"/>
      <c r="AX60" s="336"/>
      <c r="AY60" s="336">
        <f t="shared" si="74"/>
        <v>0</v>
      </c>
      <c r="AZ60" s="882"/>
      <c r="BA60" s="337"/>
      <c r="BB60" s="337"/>
      <c r="BC60" s="337">
        <f t="shared" si="10"/>
        <v>0</v>
      </c>
      <c r="BD60" s="882"/>
      <c r="BE60" s="568"/>
      <c r="BF60" s="568"/>
      <c r="BH60" s="888"/>
      <c r="BI60" s="888"/>
      <c r="BJ60" s="888"/>
      <c r="BK60" s="888"/>
      <c r="BL60" s="888"/>
      <c r="BM60" s="888"/>
      <c r="BN60" s="888"/>
      <c r="BO60" s="888"/>
      <c r="BP60" s="888"/>
      <c r="BQ60" s="888"/>
      <c r="BR60" s="888"/>
      <c r="BS60" s="888"/>
      <c r="BT60" s="888"/>
      <c r="BU60" s="888"/>
      <c r="BV60" s="888"/>
      <c r="BW60" s="888"/>
      <c r="BX60" s="888"/>
      <c r="BY60" s="888"/>
      <c r="BZ60" s="888"/>
      <c r="CA60" s="888"/>
      <c r="CB60" s="888"/>
      <c r="CC60" s="888"/>
      <c r="CD60" s="888"/>
      <c r="CE60" s="888"/>
      <c r="CF60" s="888"/>
      <c r="CG60" s="888"/>
      <c r="CH60" s="888"/>
      <c r="CI60" s="888"/>
      <c r="CJ60" s="888"/>
      <c r="CK60" s="888"/>
      <c r="CL60" s="888"/>
      <c r="CM60" s="888"/>
      <c r="CN60" s="888"/>
      <c r="CO60" s="888"/>
      <c r="CP60" s="888"/>
      <c r="CQ60" s="888"/>
      <c r="CR60" s="888"/>
      <c r="CS60" s="888"/>
      <c r="CT60" s="888"/>
      <c r="CU60" s="888"/>
      <c r="CW60" s="887">
        <f t="shared" si="143"/>
        <v>0</v>
      </c>
    </row>
    <row r="61" spans="1:101" s="543" customFormat="1" ht="12.75" customHeight="1" outlineLevel="1" x14ac:dyDescent="0.2">
      <c r="C61" s="86" t="s">
        <v>288</v>
      </c>
      <c r="D61" s="61" t="str">
        <f>INDEX(Modules[Module], MATCH($C61, Modules[Code], 0))</f>
        <v>Natural gas power stations</v>
      </c>
      <c r="E61" s="61"/>
      <c r="F61" s="84"/>
      <c r="G61" s="301">
        <f t="shared" ref="G61:O61" ca="1" si="144">IFERROR(INDEX(INDIRECT($C61&amp;".Outputs["&amp;this.Year&amp;"]"), MATCH(G$5, INDIRECT($C61&amp;".Outputs[Vector]"), 0)), 0)</f>
        <v>0</v>
      </c>
      <c r="H61" s="301">
        <f t="shared" ca="1" si="144"/>
        <v>0</v>
      </c>
      <c r="I61" s="301">
        <f t="shared" ca="1" si="144"/>
        <v>0</v>
      </c>
      <c r="J61" s="301">
        <f t="shared" ca="1" si="144"/>
        <v>0</v>
      </c>
      <c r="K61" s="301">
        <f t="shared" ca="1" si="144"/>
        <v>0</v>
      </c>
      <c r="L61" s="301">
        <f t="shared" ca="1" si="144"/>
        <v>0</v>
      </c>
      <c r="M61" s="301">
        <f t="shared" ca="1" si="144"/>
        <v>0</v>
      </c>
      <c r="N61" s="301">
        <f t="shared" ca="1" si="144"/>
        <v>0</v>
      </c>
      <c r="O61" s="301">
        <f t="shared" ca="1" si="144"/>
        <v>0</v>
      </c>
      <c r="P61" s="301">
        <f t="shared" ca="1" si="136"/>
        <v>0</v>
      </c>
      <c r="Q61" s="84"/>
      <c r="R61" s="307">
        <f t="shared" ref="R61:AX61" ca="1" si="145">IFERROR(INDEX(INDIRECT($C61&amp;".Outputs["&amp;this.Year&amp;"]"), MATCH(R$5, INDIRECT($C61&amp;".Outputs[Vector]"), 0)), 0)</f>
        <v>0</v>
      </c>
      <c r="S61" s="307">
        <f t="shared" ca="1" si="145"/>
        <v>494.33227199999999</v>
      </c>
      <c r="T61" s="307">
        <f t="shared" ca="1" si="145"/>
        <v>0</v>
      </c>
      <c r="U61" s="307">
        <f t="shared" ca="1" si="145"/>
        <v>0</v>
      </c>
      <c r="V61" s="307">
        <f t="shared" ca="1" si="145"/>
        <v>-1038.0977711999999</v>
      </c>
      <c r="W61" s="307">
        <f t="shared" ca="1" si="145"/>
        <v>0</v>
      </c>
      <c r="X61" s="307">
        <f ca="1">IFERROR(INDEX(INDIRECT($C61&amp;".Outputs["&amp;this.Year&amp;"]"), MATCH(X$5, INDIRECT($C61&amp;".Outputs[Vector]"), 0)), 0)</f>
        <v>0</v>
      </c>
      <c r="Y61" s="307">
        <f ca="1">IFERROR(INDEX(INDIRECT($C61&amp;".Outputs["&amp;this.Year&amp;"]"), MATCH(Y$5, INDIRECT($C61&amp;".Outputs[Vector]"), 0)), 0)</f>
        <v>0</v>
      </c>
      <c r="Z61" s="307">
        <f ca="1">IFERROR(INDEX(INDIRECT($C61&amp;".Outputs["&amp;this.Year&amp;"]"), MATCH(Z$5, INDIRECT($C61&amp;".Outputs[Vector]"), 0)), 0)</f>
        <v>0</v>
      </c>
      <c r="AA61" s="307">
        <f t="shared" ca="1" si="145"/>
        <v>0</v>
      </c>
      <c r="AB61" s="307">
        <f t="shared" ca="1" si="145"/>
        <v>0</v>
      </c>
      <c r="AC61" s="307">
        <f t="shared" ca="1" si="145"/>
        <v>0</v>
      </c>
      <c r="AD61" s="307">
        <f t="shared" ca="1" si="145"/>
        <v>0</v>
      </c>
      <c r="AE61" s="307">
        <f t="shared" ca="1" si="145"/>
        <v>0</v>
      </c>
      <c r="AF61" s="307">
        <f t="shared" ca="1" si="145"/>
        <v>0</v>
      </c>
      <c r="AG61" s="307">
        <f t="shared" ca="1" si="145"/>
        <v>0</v>
      </c>
      <c r="AH61" s="306">
        <f t="shared" ca="1" si="5"/>
        <v>-543.76549919999991</v>
      </c>
      <c r="AI61" s="84"/>
      <c r="AJ61" s="315">
        <f t="shared" ref="AJ61:AR61" ca="1" si="146">IFERROR(INDEX(INDIRECT($C61&amp;".Outputs["&amp;this.Year&amp;"]"), MATCH(AJ$5, INDIRECT($C61&amp;".Outputs[Vector]"), 0)), 0)</f>
        <v>0</v>
      </c>
      <c r="AK61" s="315">
        <f t="shared" ca="1" si="146"/>
        <v>0</v>
      </c>
      <c r="AL61" s="315">
        <f t="shared" ca="1" si="146"/>
        <v>0</v>
      </c>
      <c r="AM61" s="315">
        <f t="shared" ca="1" si="146"/>
        <v>0</v>
      </c>
      <c r="AN61" s="315">
        <f t="shared" ca="1" si="146"/>
        <v>0</v>
      </c>
      <c r="AO61" s="315">
        <f t="shared" ca="1" si="146"/>
        <v>0</v>
      </c>
      <c r="AP61" s="315">
        <f t="shared" ca="1" si="146"/>
        <v>0</v>
      </c>
      <c r="AQ61" s="315">
        <f t="shared" ca="1" si="146"/>
        <v>0</v>
      </c>
      <c r="AR61" s="315">
        <f t="shared" ca="1" si="146"/>
        <v>0</v>
      </c>
      <c r="AS61" s="315">
        <f t="shared" ca="1" si="145"/>
        <v>0</v>
      </c>
      <c r="AT61" s="315">
        <f t="shared" ca="1" si="145"/>
        <v>0</v>
      </c>
      <c r="AU61" s="315">
        <f t="shared" ca="1" si="145"/>
        <v>0</v>
      </c>
      <c r="AV61" s="315">
        <f t="shared" ca="1" si="145"/>
        <v>0</v>
      </c>
      <c r="AW61" s="315">
        <f t="shared" ca="1" si="145"/>
        <v>0</v>
      </c>
      <c r="AX61" s="315">
        <f t="shared" ca="1" si="145"/>
        <v>0</v>
      </c>
      <c r="AY61" s="293">
        <f t="shared" ref="AY61:AY90" ca="1" si="147">SUM(AJ61:AX61)</f>
        <v>0</v>
      </c>
      <c r="AZ61" s="84"/>
      <c r="BA61" s="311">
        <f ca="1">IFERROR(INDEX(INDIRECT($C61&amp;".Outputs["&amp;this.Year&amp;"]"), MATCH(BA$5, INDIRECT($C61&amp;".Outputs[Vector]"), 0)), 0)</f>
        <v>519.04888559999995</v>
      </c>
      <c r="BB61" s="311">
        <f ca="1">IFERROR(INDEX(INDIRECT($C61&amp;".Outputs["&amp;this.Year&amp;"]"), MATCH(BB$5, INDIRECT($C61&amp;".Outputs[Vector]"), 0)), 0)</f>
        <v>24.716613600000002</v>
      </c>
      <c r="BC61" s="310">
        <f t="shared" ca="1" si="10"/>
        <v>543.76549919999991</v>
      </c>
      <c r="BD61" s="84"/>
      <c r="BE61" s="135">
        <f ca="1">P61+AH61+AY61+BC61</f>
        <v>0</v>
      </c>
      <c r="BF61" s="135"/>
      <c r="BG61" s="1428"/>
      <c r="BH61" s="544">
        <f t="shared" ref="BH61:CU61" ca="1" si="148">IFERROR(SUMIFS(INDIRECT($C61&amp;".Emissions["&amp;this.Year&amp;"]"), INDIRECT($C61&amp;".Emissions[GHG]"), BH$6, INDIRECT($C61&amp;".Emissions[IPCC Sector]"), BH$5),0)</f>
        <v>191.00998990079995</v>
      </c>
      <c r="BI61" s="545">
        <f t="shared" ca="1" si="148"/>
        <v>0.38287679490338739</v>
      </c>
      <c r="BJ61" s="545">
        <f t="shared" ca="1" si="148"/>
        <v>0.41180260706063004</v>
      </c>
      <c r="BK61" s="545">
        <f t="shared" ca="1" si="148"/>
        <v>0</v>
      </c>
      <c r="BL61" s="545">
        <f t="shared" ca="1" si="148"/>
        <v>0</v>
      </c>
      <c r="BM61" s="545">
        <f t="shared" ca="1" si="148"/>
        <v>0</v>
      </c>
      <c r="BN61" s="545">
        <f t="shared" ca="1" si="148"/>
        <v>0</v>
      </c>
      <c r="BO61" s="545">
        <f t="shared" ca="1" si="148"/>
        <v>0</v>
      </c>
      <c r="BP61" s="545">
        <f t="shared" ca="1" si="148"/>
        <v>0</v>
      </c>
      <c r="BQ61" s="545">
        <f t="shared" ca="1" si="148"/>
        <v>0</v>
      </c>
      <c r="BR61" s="545">
        <f t="shared" ca="1" si="148"/>
        <v>0</v>
      </c>
      <c r="BS61" s="545">
        <f t="shared" ca="1" si="148"/>
        <v>0</v>
      </c>
      <c r="BT61" s="545">
        <f t="shared" ca="1" si="148"/>
        <v>0</v>
      </c>
      <c r="BU61" s="545">
        <f t="shared" ca="1" si="148"/>
        <v>0</v>
      </c>
      <c r="BV61" s="545">
        <f t="shared" ca="1" si="148"/>
        <v>0</v>
      </c>
      <c r="BW61" s="545">
        <f t="shared" ca="1" si="148"/>
        <v>0</v>
      </c>
      <c r="BX61" s="545">
        <f t="shared" ca="1" si="148"/>
        <v>0</v>
      </c>
      <c r="BY61" s="545">
        <f t="shared" ca="1" si="148"/>
        <v>0</v>
      </c>
      <c r="BZ61" s="545">
        <f t="shared" ca="1" si="148"/>
        <v>0</v>
      </c>
      <c r="CA61" s="545">
        <f t="shared" ca="1" si="148"/>
        <v>0</v>
      </c>
      <c r="CB61" s="545">
        <f t="shared" ca="1" si="148"/>
        <v>0</v>
      </c>
      <c r="CC61" s="545">
        <f t="shared" ca="1" si="148"/>
        <v>0</v>
      </c>
      <c r="CD61" s="545">
        <f t="shared" ca="1" si="148"/>
        <v>0</v>
      </c>
      <c r="CE61" s="545">
        <f t="shared" ca="1" si="148"/>
        <v>0</v>
      </c>
      <c r="CF61" s="545">
        <f t="shared" ca="1" si="148"/>
        <v>0</v>
      </c>
      <c r="CG61" s="545">
        <f t="shared" ca="1" si="148"/>
        <v>0</v>
      </c>
      <c r="CH61" s="545">
        <f t="shared" ca="1" si="148"/>
        <v>0</v>
      </c>
      <c r="CI61" s="545">
        <f t="shared" ca="1" si="148"/>
        <v>0</v>
      </c>
      <c r="CJ61" s="545">
        <f t="shared" ca="1" si="148"/>
        <v>0</v>
      </c>
      <c r="CK61" s="545">
        <f t="shared" ca="1" si="148"/>
        <v>0</v>
      </c>
      <c r="CL61" s="545">
        <f t="shared" ca="1" si="148"/>
        <v>0</v>
      </c>
      <c r="CM61" s="545">
        <f t="shared" ca="1" si="148"/>
        <v>0</v>
      </c>
      <c r="CN61" s="545">
        <f t="shared" ca="1" si="148"/>
        <v>0</v>
      </c>
      <c r="CO61" s="545">
        <f t="shared" ca="1" si="148"/>
        <v>0</v>
      </c>
      <c r="CP61" s="545">
        <f t="shared" ca="1" si="148"/>
        <v>0</v>
      </c>
      <c r="CQ61" s="545">
        <f t="shared" ca="1" si="148"/>
        <v>0</v>
      </c>
      <c r="CR61" s="545">
        <f t="shared" ca="1" si="148"/>
        <v>0</v>
      </c>
      <c r="CS61" s="545">
        <f t="shared" ca="1" si="148"/>
        <v>0</v>
      </c>
      <c r="CT61" s="545">
        <f t="shared" ca="1" si="148"/>
        <v>0</v>
      </c>
      <c r="CU61" s="545">
        <f t="shared" ca="1" si="148"/>
        <v>0</v>
      </c>
      <c r="CW61" s="151">
        <f t="shared" ca="1" si="143"/>
        <v>191.80466930276395</v>
      </c>
    </row>
    <row r="62" spans="1:101" s="543" customFormat="1" ht="12.75" customHeight="1" outlineLevel="1" x14ac:dyDescent="0.2">
      <c r="C62" s="319" t="s">
        <v>2402</v>
      </c>
      <c r="D62" s="320" t="s">
        <v>587</v>
      </c>
      <c r="E62" s="61"/>
      <c r="F62" s="84"/>
      <c r="G62" s="333"/>
      <c r="H62" s="333"/>
      <c r="I62" s="333"/>
      <c r="J62" s="333"/>
      <c r="K62" s="333"/>
      <c r="L62" s="334"/>
      <c r="M62" s="333"/>
      <c r="N62" s="333"/>
      <c r="O62" s="333"/>
      <c r="P62" s="333">
        <f t="shared" si="136"/>
        <v>0</v>
      </c>
      <c r="Q62" s="882"/>
      <c r="R62" s="335">
        <f ca="1">R60+R61</f>
        <v>-946.39709827169258</v>
      </c>
      <c r="S62" s="335">
        <f ca="1">S60+S61</f>
        <v>1610.3262588587008</v>
      </c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>
        <f t="shared" ca="1" si="5"/>
        <v>663.92916058700825</v>
      </c>
      <c r="AI62" s="882"/>
      <c r="AJ62" s="336"/>
      <c r="AK62" s="336"/>
      <c r="AL62" s="336"/>
      <c r="AM62" s="336"/>
      <c r="AN62" s="336"/>
      <c r="AO62" s="336"/>
      <c r="AP62" s="336"/>
      <c r="AQ62" s="336"/>
      <c r="AR62" s="336"/>
      <c r="AS62" s="336"/>
      <c r="AT62" s="336"/>
      <c r="AU62" s="336"/>
      <c r="AV62" s="336"/>
      <c r="AW62" s="336"/>
      <c r="AX62" s="336"/>
      <c r="AY62" s="336">
        <f t="shared" si="147"/>
        <v>0</v>
      </c>
      <c r="AZ62" s="882"/>
      <c r="BA62" s="337"/>
      <c r="BB62" s="337"/>
      <c r="BC62" s="337">
        <f t="shared" si="10"/>
        <v>0</v>
      </c>
      <c r="BD62" s="882"/>
      <c r="BE62" s="568"/>
      <c r="BF62" s="568"/>
      <c r="BG62" s="550"/>
      <c r="BH62" s="888"/>
      <c r="BI62" s="888"/>
      <c r="BJ62" s="888"/>
      <c r="BK62" s="888"/>
      <c r="BL62" s="888"/>
      <c r="BM62" s="888"/>
      <c r="BN62" s="888"/>
      <c r="BO62" s="888"/>
      <c r="BP62" s="888"/>
      <c r="BQ62" s="888"/>
      <c r="BR62" s="888"/>
      <c r="BS62" s="888"/>
      <c r="BT62" s="888"/>
      <c r="BU62" s="888"/>
      <c r="BV62" s="888"/>
      <c r="BW62" s="888"/>
      <c r="BX62" s="888"/>
      <c r="BY62" s="888"/>
      <c r="BZ62" s="888"/>
      <c r="CA62" s="888"/>
      <c r="CB62" s="888"/>
      <c r="CC62" s="888"/>
      <c r="CD62" s="888"/>
      <c r="CE62" s="888"/>
      <c r="CF62" s="888"/>
      <c r="CG62" s="888"/>
      <c r="CH62" s="888"/>
      <c r="CI62" s="888"/>
      <c r="CJ62" s="888"/>
      <c r="CK62" s="888"/>
      <c r="CL62" s="888"/>
      <c r="CM62" s="888"/>
      <c r="CN62" s="888"/>
      <c r="CO62" s="888"/>
      <c r="CP62" s="888"/>
      <c r="CQ62" s="888"/>
      <c r="CR62" s="888"/>
      <c r="CS62" s="888"/>
      <c r="CT62" s="888"/>
      <c r="CU62" s="888"/>
      <c r="CV62" s="550"/>
      <c r="CW62" s="887">
        <f t="shared" si="143"/>
        <v>0</v>
      </c>
    </row>
    <row r="63" spans="1:101" s="543" customFormat="1" ht="12.75" customHeight="1" outlineLevel="1" x14ac:dyDescent="0.2">
      <c r="C63" s="86" t="s">
        <v>2382</v>
      </c>
      <c r="D63" s="61" t="str">
        <f>INDEX(Modules[Module], MATCH($C63, Modules[Code], 0))</f>
        <v xml:space="preserve">Self Generation </v>
      </c>
      <c r="E63" s="61"/>
      <c r="F63" s="84"/>
      <c r="G63" s="892">
        <f t="shared" ref="G63:O63" ca="1" si="149">IFERROR(INDEX(INDIRECT($C63&amp;".Outputs["&amp;this.Year&amp;"]"), MATCH(G$5, INDIRECT($C63&amp;".Outputs[Vector]"), 0)), 0)</f>
        <v>0</v>
      </c>
      <c r="H63" s="892">
        <f t="shared" ca="1" si="149"/>
        <v>0</v>
      </c>
      <c r="I63" s="892">
        <f t="shared" ca="1" si="149"/>
        <v>0</v>
      </c>
      <c r="J63" s="892">
        <f t="shared" ca="1" si="149"/>
        <v>0</v>
      </c>
      <c r="K63" s="892">
        <f t="shared" ca="1" si="149"/>
        <v>0</v>
      </c>
      <c r="L63" s="892">
        <f t="shared" ca="1" si="149"/>
        <v>0</v>
      </c>
      <c r="M63" s="892">
        <f t="shared" ca="1" si="149"/>
        <v>0</v>
      </c>
      <c r="N63" s="892">
        <f t="shared" ca="1" si="149"/>
        <v>0</v>
      </c>
      <c r="O63" s="892">
        <f t="shared" ca="1" si="149"/>
        <v>0</v>
      </c>
      <c r="P63" s="892">
        <f t="shared" ca="1" si="136"/>
        <v>0</v>
      </c>
      <c r="Q63" s="84"/>
      <c r="R63" s="893">
        <f t="shared" ref="R63:AX63" ca="1" si="150">IFERROR(INDEX(INDIRECT($C63&amp;".Outputs["&amp;this.Year&amp;"]"), MATCH(R$5, INDIRECT($C63&amp;".Outputs[Vector]"), 0)), 0)</f>
        <v>0</v>
      </c>
      <c r="S63" s="893">
        <f t="shared" ca="1" si="150"/>
        <v>0</v>
      </c>
      <c r="T63" s="893">
        <f t="shared" ca="1" si="150"/>
        <v>0</v>
      </c>
      <c r="U63" s="893">
        <f t="shared" ca="1" si="150"/>
        <v>0</v>
      </c>
      <c r="V63" s="893">
        <f t="shared" ca="1" si="150"/>
        <v>0</v>
      </c>
      <c r="W63" s="893">
        <f t="shared" ca="1" si="150"/>
        <v>0</v>
      </c>
      <c r="X63" s="893">
        <f ca="1">IFERROR(INDEX(INDIRECT($C63&amp;".Outputs["&amp;this.Year&amp;"]"), MATCH(X$5, INDIRECT($C63&amp;".Outputs[Vector]"), 0)), 0)</f>
        <v>0</v>
      </c>
      <c r="Y63" s="893">
        <f ca="1">IFERROR(INDEX(INDIRECT($C63&amp;".Outputs["&amp;this.Year&amp;"]"), MATCH(Y$5, INDIRECT($C63&amp;".Outputs[Vector]"), 0)), 0)</f>
        <v>0</v>
      </c>
      <c r="Z63" s="893">
        <f ca="1">IFERROR(INDEX(INDIRECT($C63&amp;".Outputs["&amp;this.Year&amp;"]"), MATCH(Z$5, INDIRECT($C63&amp;".Outputs[Vector]"), 0)), 0)</f>
        <v>0</v>
      </c>
      <c r="AA63" s="893">
        <f t="shared" ca="1" si="150"/>
        <v>0</v>
      </c>
      <c r="AB63" s="893">
        <f t="shared" ca="1" si="150"/>
        <v>0</v>
      </c>
      <c r="AC63" s="893">
        <f t="shared" ca="1" si="150"/>
        <v>0</v>
      </c>
      <c r="AD63" s="893">
        <f t="shared" ca="1" si="150"/>
        <v>0</v>
      </c>
      <c r="AE63" s="893">
        <f t="shared" ca="1" si="150"/>
        <v>0</v>
      </c>
      <c r="AF63" s="893">
        <f t="shared" ca="1" si="150"/>
        <v>0</v>
      </c>
      <c r="AG63" s="893">
        <f t="shared" ca="1" si="150"/>
        <v>0</v>
      </c>
      <c r="AH63" s="894">
        <f t="shared" ca="1" si="5"/>
        <v>0</v>
      </c>
      <c r="AI63" s="84"/>
      <c r="AJ63" s="895">
        <f t="shared" ref="AJ63:AR63" ca="1" si="151">IFERROR(INDEX(INDIRECT($C63&amp;".Outputs["&amp;this.Year&amp;"]"), MATCH(AJ$5, INDIRECT($C63&amp;".Outputs[Vector]"), 0)), 0)</f>
        <v>0</v>
      </c>
      <c r="AK63" s="895">
        <f t="shared" ca="1" si="151"/>
        <v>0</v>
      </c>
      <c r="AL63" s="895">
        <f t="shared" ca="1" si="151"/>
        <v>0</v>
      </c>
      <c r="AM63" s="895">
        <f t="shared" ca="1" si="151"/>
        <v>0</v>
      </c>
      <c r="AN63" s="895">
        <f t="shared" ca="1" si="151"/>
        <v>0</v>
      </c>
      <c r="AO63" s="895">
        <f t="shared" ca="1" si="151"/>
        <v>0</v>
      </c>
      <c r="AP63" s="895">
        <f t="shared" ca="1" si="151"/>
        <v>0</v>
      </c>
      <c r="AQ63" s="895">
        <f t="shared" ca="1" si="151"/>
        <v>0</v>
      </c>
      <c r="AR63" s="895">
        <f t="shared" ca="1" si="151"/>
        <v>0</v>
      </c>
      <c r="AS63" s="895">
        <f t="shared" ca="1" si="150"/>
        <v>0</v>
      </c>
      <c r="AT63" s="895">
        <f t="shared" ca="1" si="150"/>
        <v>0</v>
      </c>
      <c r="AU63" s="895">
        <f t="shared" ca="1" si="150"/>
        <v>0</v>
      </c>
      <c r="AV63" s="895">
        <f t="shared" ca="1" si="150"/>
        <v>0</v>
      </c>
      <c r="AW63" s="895">
        <f t="shared" ca="1" si="150"/>
        <v>0</v>
      </c>
      <c r="AX63" s="895">
        <f t="shared" ca="1" si="150"/>
        <v>0</v>
      </c>
      <c r="AY63" s="896">
        <f t="shared" ca="1" si="147"/>
        <v>0</v>
      </c>
      <c r="AZ63" s="84"/>
      <c r="BA63" s="897">
        <f ca="1">IFERROR(INDEX(INDIRECT($C63&amp;".Outputs["&amp;this.Year&amp;"]"), MATCH(BA$5, INDIRECT($C63&amp;".Outputs[Vector]"), 0)), 0)</f>
        <v>0</v>
      </c>
      <c r="BB63" s="897">
        <f ca="1">IFERROR(INDEX(INDIRECT($C63&amp;".Outputs["&amp;this.Year&amp;"]"), MATCH(BB$5, INDIRECT($C63&amp;".Outputs[Vector]"), 0)), 0)</f>
        <v>0</v>
      </c>
      <c r="BC63" s="898">
        <f t="shared" ca="1" si="10"/>
        <v>0</v>
      </c>
      <c r="BD63" s="84"/>
      <c r="BE63" s="135">
        <f ca="1">P63+AH63+AY63+BC63</f>
        <v>0</v>
      </c>
      <c r="BF63" s="135"/>
      <c r="BG63" s="1428"/>
      <c r="BH63" s="541">
        <f t="shared" ref="BH63:CU63" ca="1" si="152">IFERROR(SUMIFS(INDIRECT($C63&amp;".Emissions["&amp;this.Year&amp;"]"), INDIRECT($C63&amp;".Emissions[GHG]"), BH$6, INDIRECT($C63&amp;".Emissions[IPCC Sector]"), BH$5),0)</f>
        <v>0</v>
      </c>
      <c r="BI63" s="542">
        <f t="shared" ca="1" si="152"/>
        <v>0</v>
      </c>
      <c r="BJ63" s="542">
        <f t="shared" ca="1" si="152"/>
        <v>0</v>
      </c>
      <c r="BK63" s="542">
        <f t="shared" ca="1" si="152"/>
        <v>0</v>
      </c>
      <c r="BL63" s="542">
        <f t="shared" ca="1" si="152"/>
        <v>0</v>
      </c>
      <c r="BM63" s="542">
        <f t="shared" ca="1" si="152"/>
        <v>0</v>
      </c>
      <c r="BN63" s="542">
        <f t="shared" ca="1" si="152"/>
        <v>0</v>
      </c>
      <c r="BO63" s="542">
        <f t="shared" ca="1" si="152"/>
        <v>0</v>
      </c>
      <c r="BP63" s="542">
        <f t="shared" ca="1" si="152"/>
        <v>0</v>
      </c>
      <c r="BQ63" s="542">
        <f t="shared" ca="1" si="152"/>
        <v>0</v>
      </c>
      <c r="BR63" s="542">
        <f t="shared" ca="1" si="152"/>
        <v>0</v>
      </c>
      <c r="BS63" s="542">
        <f t="shared" ca="1" si="152"/>
        <v>0</v>
      </c>
      <c r="BT63" s="542">
        <f t="shared" ca="1" si="152"/>
        <v>0</v>
      </c>
      <c r="BU63" s="542">
        <f t="shared" ca="1" si="152"/>
        <v>0</v>
      </c>
      <c r="BV63" s="542">
        <f t="shared" ca="1" si="152"/>
        <v>0</v>
      </c>
      <c r="BW63" s="542">
        <f t="shared" ca="1" si="152"/>
        <v>0</v>
      </c>
      <c r="BX63" s="542">
        <f t="shared" ca="1" si="152"/>
        <v>0</v>
      </c>
      <c r="BY63" s="542">
        <f t="shared" ca="1" si="152"/>
        <v>0</v>
      </c>
      <c r="BZ63" s="542">
        <f t="shared" ca="1" si="152"/>
        <v>0</v>
      </c>
      <c r="CA63" s="542">
        <f t="shared" ca="1" si="152"/>
        <v>0</v>
      </c>
      <c r="CB63" s="542">
        <f t="shared" ca="1" si="152"/>
        <v>0</v>
      </c>
      <c r="CC63" s="542">
        <f t="shared" ca="1" si="152"/>
        <v>0</v>
      </c>
      <c r="CD63" s="542">
        <f t="shared" ca="1" si="152"/>
        <v>0</v>
      </c>
      <c r="CE63" s="542">
        <f t="shared" ca="1" si="152"/>
        <v>0</v>
      </c>
      <c r="CF63" s="542">
        <f t="shared" ca="1" si="152"/>
        <v>0</v>
      </c>
      <c r="CG63" s="542">
        <f t="shared" ca="1" si="152"/>
        <v>0</v>
      </c>
      <c r="CH63" s="542">
        <f t="shared" ca="1" si="152"/>
        <v>0</v>
      </c>
      <c r="CI63" s="542">
        <f t="shared" ca="1" si="152"/>
        <v>0</v>
      </c>
      <c r="CJ63" s="542">
        <f t="shared" ca="1" si="152"/>
        <v>0</v>
      </c>
      <c r="CK63" s="542">
        <f t="shared" ca="1" si="152"/>
        <v>0</v>
      </c>
      <c r="CL63" s="542">
        <f t="shared" ca="1" si="152"/>
        <v>0</v>
      </c>
      <c r="CM63" s="542">
        <f t="shared" ca="1" si="152"/>
        <v>0</v>
      </c>
      <c r="CN63" s="542">
        <f t="shared" ca="1" si="152"/>
        <v>0</v>
      </c>
      <c r="CO63" s="542">
        <f t="shared" ca="1" si="152"/>
        <v>0</v>
      </c>
      <c r="CP63" s="542">
        <f t="shared" ca="1" si="152"/>
        <v>0</v>
      </c>
      <c r="CQ63" s="542">
        <f t="shared" ca="1" si="152"/>
        <v>0</v>
      </c>
      <c r="CR63" s="542">
        <f t="shared" ca="1" si="152"/>
        <v>0</v>
      </c>
      <c r="CS63" s="542">
        <f t="shared" ca="1" si="152"/>
        <v>0</v>
      </c>
      <c r="CT63" s="542">
        <f t="shared" ca="1" si="152"/>
        <v>0</v>
      </c>
      <c r="CU63" s="542">
        <f t="shared" ca="1" si="152"/>
        <v>0</v>
      </c>
      <c r="CW63" s="151">
        <f t="shared" ca="1" si="143"/>
        <v>0</v>
      </c>
    </row>
    <row r="64" spans="1:101" s="84" customFormat="1" ht="15.75" x14ac:dyDescent="0.2">
      <c r="A64" s="18"/>
      <c r="B64" s="89"/>
      <c r="C64" s="85" t="s">
        <v>60</v>
      </c>
      <c r="D64" s="57" t="str">
        <f>INDEX(Workstreams[Workstream], MATCH($C64, Workstreams[Code], 0))</f>
        <v>Hydrocarbon fuel power generation</v>
      </c>
      <c r="E64" s="53"/>
      <c r="G64" s="300">
        <f ca="1">G57+G61+G63+G59</f>
        <v>0</v>
      </c>
      <c r="H64" s="300">
        <f t="shared" ref="H64:BS64" ca="1" si="153">H57+H61+H63+H59</f>
        <v>0</v>
      </c>
      <c r="I64" s="300">
        <f t="shared" ca="1" si="153"/>
        <v>0</v>
      </c>
      <c r="J64" s="300">
        <f t="shared" ca="1" si="153"/>
        <v>0</v>
      </c>
      <c r="K64" s="300">
        <f t="shared" ca="1" si="153"/>
        <v>0</v>
      </c>
      <c r="L64" s="300">
        <f t="shared" ca="1" si="153"/>
        <v>0</v>
      </c>
      <c r="M64" s="300">
        <f t="shared" ca="1" si="153"/>
        <v>0</v>
      </c>
      <c r="N64" s="300">
        <f t="shared" ca="1" si="153"/>
        <v>0</v>
      </c>
      <c r="O64" s="300">
        <f t="shared" ca="1" si="153"/>
        <v>0</v>
      </c>
      <c r="P64" s="300">
        <f t="shared" ca="1" si="136"/>
        <v>0</v>
      </c>
      <c r="Q64" s="300">
        <f t="shared" si="153"/>
        <v>0</v>
      </c>
      <c r="R64" s="300">
        <f t="shared" ca="1" si="153"/>
        <v>0</v>
      </c>
      <c r="S64" s="300">
        <f t="shared" ca="1" si="153"/>
        <v>934.82377199999996</v>
      </c>
      <c r="T64" s="300">
        <f t="shared" ca="1" si="153"/>
        <v>-1235.8329868421051</v>
      </c>
      <c r="U64" s="300">
        <f t="shared" ca="1" si="153"/>
        <v>0</v>
      </c>
      <c r="V64" s="300">
        <f t="shared" ca="1" si="153"/>
        <v>-1038.0977711999999</v>
      </c>
      <c r="W64" s="300">
        <f t="shared" ca="1" si="153"/>
        <v>0</v>
      </c>
      <c r="X64" s="300">
        <f t="shared" ca="1" si="153"/>
        <v>0</v>
      </c>
      <c r="Y64" s="300">
        <f t="shared" ca="1" si="153"/>
        <v>0</v>
      </c>
      <c r="Z64" s="300">
        <f t="shared" ca="1" si="153"/>
        <v>0</v>
      </c>
      <c r="AA64" s="300">
        <f t="shared" ca="1" si="153"/>
        <v>0</v>
      </c>
      <c r="AB64" s="300">
        <f t="shared" ca="1" si="153"/>
        <v>0</v>
      </c>
      <c r="AC64" s="300">
        <f t="shared" ca="1" si="153"/>
        <v>0</v>
      </c>
      <c r="AD64" s="300">
        <f t="shared" ca="1" si="153"/>
        <v>0</v>
      </c>
      <c r="AE64" s="300">
        <f t="shared" ca="1" si="153"/>
        <v>0</v>
      </c>
      <c r="AF64" s="300">
        <f t="shared" ca="1" si="153"/>
        <v>0</v>
      </c>
      <c r="AG64" s="300">
        <f t="shared" ca="1" si="153"/>
        <v>0</v>
      </c>
      <c r="AH64" s="300">
        <f t="shared" ca="1" si="5"/>
        <v>-1339.1069860421051</v>
      </c>
      <c r="AI64" s="300">
        <f t="shared" si="153"/>
        <v>0</v>
      </c>
      <c r="AJ64" s="300">
        <f t="shared" ca="1" si="153"/>
        <v>0</v>
      </c>
      <c r="AK64" s="300">
        <f t="shared" ca="1" si="153"/>
        <v>0</v>
      </c>
      <c r="AL64" s="300">
        <f t="shared" ca="1" si="153"/>
        <v>0</v>
      </c>
      <c r="AM64" s="300">
        <f t="shared" ca="1" si="153"/>
        <v>0</v>
      </c>
      <c r="AN64" s="300">
        <f t="shared" ca="1" si="153"/>
        <v>0</v>
      </c>
      <c r="AO64" s="300">
        <f t="shared" ca="1" si="153"/>
        <v>0</v>
      </c>
      <c r="AP64" s="300">
        <f t="shared" ca="1" si="153"/>
        <v>0</v>
      </c>
      <c r="AQ64" s="300">
        <f t="shared" ca="1" si="153"/>
        <v>0</v>
      </c>
      <c r="AR64" s="300">
        <f t="shared" ca="1" si="153"/>
        <v>0</v>
      </c>
      <c r="AS64" s="300">
        <f t="shared" ca="1" si="153"/>
        <v>0</v>
      </c>
      <c r="AT64" s="300">
        <f t="shared" ca="1" si="153"/>
        <v>0</v>
      </c>
      <c r="AU64" s="300">
        <f t="shared" ca="1" si="153"/>
        <v>0</v>
      </c>
      <c r="AV64" s="300">
        <f t="shared" ca="1" si="153"/>
        <v>0</v>
      </c>
      <c r="AW64" s="300">
        <f t="shared" ca="1" si="153"/>
        <v>0</v>
      </c>
      <c r="AX64" s="300">
        <f t="shared" ca="1" si="153"/>
        <v>0</v>
      </c>
      <c r="AY64" s="300">
        <f t="shared" ca="1" si="147"/>
        <v>0</v>
      </c>
      <c r="AZ64" s="300">
        <f t="shared" si="153"/>
        <v>0</v>
      </c>
      <c r="BA64" s="300">
        <f t="shared" ca="1" si="153"/>
        <v>1292.3657974421053</v>
      </c>
      <c r="BB64" s="300">
        <f t="shared" ca="1" si="153"/>
        <v>46.741188600000001</v>
      </c>
      <c r="BC64" s="300">
        <f t="shared" ca="1" si="10"/>
        <v>1339.1069860421053</v>
      </c>
      <c r="BD64" s="300">
        <f t="shared" si="153"/>
        <v>0</v>
      </c>
      <c r="BE64" s="300">
        <f t="shared" ca="1" si="153"/>
        <v>0</v>
      </c>
      <c r="BF64" s="300">
        <f t="shared" si="153"/>
        <v>0</v>
      </c>
      <c r="BG64" s="300">
        <f t="shared" si="153"/>
        <v>0</v>
      </c>
      <c r="BH64" s="300">
        <f t="shared" ca="1" si="153"/>
        <v>571.64654984816832</v>
      </c>
      <c r="BI64" s="300">
        <f t="shared" ca="1" si="153"/>
        <v>1.5010494550427862</v>
      </c>
      <c r="BJ64" s="300">
        <f t="shared" ca="1" si="153"/>
        <v>3.7836766879066115</v>
      </c>
      <c r="BK64" s="300">
        <f t="shared" ca="1" si="153"/>
        <v>0</v>
      </c>
      <c r="BL64" s="300">
        <f t="shared" ca="1" si="153"/>
        <v>0</v>
      </c>
      <c r="BM64" s="300">
        <f t="shared" ca="1" si="153"/>
        <v>0</v>
      </c>
      <c r="BN64" s="300">
        <f t="shared" ca="1" si="153"/>
        <v>0</v>
      </c>
      <c r="BO64" s="300">
        <f t="shared" ca="1" si="153"/>
        <v>0</v>
      </c>
      <c r="BP64" s="300">
        <f t="shared" ca="1" si="153"/>
        <v>0</v>
      </c>
      <c r="BQ64" s="300">
        <f t="shared" ca="1" si="153"/>
        <v>0</v>
      </c>
      <c r="BR64" s="300">
        <f t="shared" ca="1" si="153"/>
        <v>0</v>
      </c>
      <c r="BS64" s="300">
        <f t="shared" ca="1" si="153"/>
        <v>0</v>
      </c>
      <c r="BT64" s="300">
        <f t="shared" ref="BT64:CU64" ca="1" si="154">BT57+BT61+BT63+BT59</f>
        <v>0</v>
      </c>
      <c r="BU64" s="300">
        <f t="shared" ca="1" si="154"/>
        <v>0</v>
      </c>
      <c r="BV64" s="300">
        <f t="shared" ca="1" si="154"/>
        <v>0</v>
      </c>
      <c r="BW64" s="300">
        <f t="shared" ca="1" si="154"/>
        <v>0</v>
      </c>
      <c r="BX64" s="300">
        <f t="shared" ca="1" si="154"/>
        <v>0</v>
      </c>
      <c r="BY64" s="300">
        <f t="shared" ca="1" si="154"/>
        <v>0</v>
      </c>
      <c r="BZ64" s="300">
        <f t="shared" ca="1" si="154"/>
        <v>0</v>
      </c>
      <c r="CA64" s="300">
        <f t="shared" ca="1" si="154"/>
        <v>0</v>
      </c>
      <c r="CB64" s="300">
        <f t="shared" ca="1" si="154"/>
        <v>0</v>
      </c>
      <c r="CC64" s="300">
        <f t="shared" ca="1" si="154"/>
        <v>0</v>
      </c>
      <c r="CD64" s="300">
        <f t="shared" ca="1" si="154"/>
        <v>0</v>
      </c>
      <c r="CE64" s="300">
        <f t="shared" ca="1" si="154"/>
        <v>0</v>
      </c>
      <c r="CF64" s="300">
        <f t="shared" ca="1" si="154"/>
        <v>0</v>
      </c>
      <c r="CG64" s="300">
        <f t="shared" ca="1" si="154"/>
        <v>0</v>
      </c>
      <c r="CH64" s="300">
        <f t="shared" ca="1" si="154"/>
        <v>0</v>
      </c>
      <c r="CI64" s="300">
        <f t="shared" ca="1" si="154"/>
        <v>0</v>
      </c>
      <c r="CJ64" s="300">
        <f t="shared" ca="1" si="154"/>
        <v>0</v>
      </c>
      <c r="CK64" s="300">
        <f t="shared" ca="1" si="154"/>
        <v>0</v>
      </c>
      <c r="CL64" s="300">
        <f t="shared" ca="1" si="154"/>
        <v>0</v>
      </c>
      <c r="CM64" s="300">
        <f t="shared" ca="1" si="154"/>
        <v>0</v>
      </c>
      <c r="CN64" s="300">
        <f t="shared" ca="1" si="154"/>
        <v>0</v>
      </c>
      <c r="CO64" s="300">
        <f t="shared" ca="1" si="154"/>
        <v>0</v>
      </c>
      <c r="CP64" s="300">
        <f t="shared" ca="1" si="154"/>
        <v>0</v>
      </c>
      <c r="CQ64" s="300">
        <f t="shared" ca="1" si="154"/>
        <v>0</v>
      </c>
      <c r="CR64" s="300">
        <f t="shared" ca="1" si="154"/>
        <v>0</v>
      </c>
      <c r="CS64" s="300">
        <f t="shared" ca="1" si="154"/>
        <v>0</v>
      </c>
      <c r="CT64" s="300">
        <f t="shared" ca="1" si="154"/>
        <v>0</v>
      </c>
      <c r="CU64" s="300">
        <f t="shared" ca="1" si="154"/>
        <v>0</v>
      </c>
      <c r="CW64" s="151">
        <f t="shared" ca="1" si="143"/>
        <v>576.93127599111767</v>
      </c>
    </row>
    <row r="65" spans="1:101" s="84" customFormat="1" ht="6" customHeight="1" x14ac:dyDescent="0.2">
      <c r="C65" s="56"/>
      <c r="D65" s="57"/>
      <c r="E65" s="51"/>
      <c r="G65" s="245"/>
      <c r="H65" s="245"/>
      <c r="I65" s="245"/>
      <c r="J65" s="245"/>
      <c r="K65" s="245"/>
      <c r="L65" s="247"/>
      <c r="M65" s="245"/>
      <c r="N65" s="245"/>
      <c r="O65" s="245"/>
      <c r="P65" s="245">
        <f t="shared" si="136"/>
        <v>0</v>
      </c>
      <c r="R65" s="257"/>
      <c r="S65" s="257"/>
      <c r="T65" s="257"/>
      <c r="U65" s="257"/>
      <c r="V65" s="257"/>
      <c r="W65" s="257"/>
      <c r="X65" s="257"/>
      <c r="Y65" s="257"/>
      <c r="Z65" s="257"/>
      <c r="AA65" s="257"/>
      <c r="AB65" s="257"/>
      <c r="AC65" s="257"/>
      <c r="AD65" s="257"/>
      <c r="AE65" s="257"/>
      <c r="AF65" s="257"/>
      <c r="AG65" s="257"/>
      <c r="AH65" s="257">
        <f t="shared" si="5"/>
        <v>0</v>
      </c>
      <c r="AJ65" s="263"/>
      <c r="AK65" s="263"/>
      <c r="AL65" s="263"/>
      <c r="AM65" s="263"/>
      <c r="AN65" s="263"/>
      <c r="AO65" s="263"/>
      <c r="AP65" s="263"/>
      <c r="AQ65" s="263"/>
      <c r="AR65" s="263"/>
      <c r="AS65" s="263"/>
      <c r="AT65" s="263"/>
      <c r="AU65" s="263"/>
      <c r="AV65" s="263"/>
      <c r="AW65" s="263"/>
      <c r="AX65" s="263"/>
      <c r="AY65" s="263">
        <f t="shared" si="147"/>
        <v>0</v>
      </c>
      <c r="BA65" s="277"/>
      <c r="BB65" s="277"/>
      <c r="BC65" s="277">
        <f t="shared" si="10"/>
        <v>0</v>
      </c>
      <c r="BE65" s="55">
        <f>P65+AH65+AY65+BC65</f>
        <v>0</v>
      </c>
      <c r="BF65" s="55"/>
      <c r="BH65" s="542"/>
      <c r="BI65" s="542"/>
      <c r="BJ65" s="542"/>
      <c r="BK65" s="542"/>
      <c r="BL65" s="542"/>
      <c r="BM65" s="542"/>
      <c r="BN65" s="542"/>
      <c r="BO65" s="542"/>
      <c r="BP65" s="542"/>
      <c r="BQ65" s="542"/>
      <c r="BR65" s="542"/>
      <c r="BS65" s="542"/>
      <c r="BT65" s="542"/>
      <c r="BU65" s="542"/>
      <c r="BV65" s="542"/>
      <c r="BW65" s="542"/>
      <c r="BX65" s="542"/>
      <c r="BY65" s="542"/>
      <c r="BZ65" s="542"/>
      <c r="CA65" s="542"/>
      <c r="CB65" s="542"/>
      <c r="CC65" s="542"/>
      <c r="CD65" s="542"/>
      <c r="CE65" s="542"/>
      <c r="CF65" s="542"/>
      <c r="CG65" s="542"/>
      <c r="CH65" s="542"/>
      <c r="CI65" s="542"/>
      <c r="CJ65" s="542"/>
      <c r="CK65" s="542"/>
      <c r="CL65" s="542"/>
      <c r="CM65" s="542"/>
      <c r="CN65" s="542"/>
      <c r="CO65" s="542"/>
      <c r="CP65" s="542"/>
      <c r="CQ65" s="542"/>
      <c r="CR65" s="542"/>
      <c r="CS65" s="542"/>
      <c r="CT65" s="542"/>
      <c r="CU65" s="542"/>
      <c r="CW65" s="151"/>
    </row>
    <row r="66" spans="1:101" s="84" customFormat="1" ht="15.75" x14ac:dyDescent="0.2">
      <c r="B66" s="89"/>
      <c r="C66" s="923" t="s">
        <v>884</v>
      </c>
      <c r="D66" s="69" t="s">
        <v>124</v>
      </c>
      <c r="E66" s="70"/>
      <c r="G66" s="338">
        <f t="shared" ref="G66:O66" ca="1" si="155">G$36+G$40+G$47+G$50+G$54+G$64</f>
        <v>0</v>
      </c>
      <c r="H66" s="338">
        <f t="shared" ca="1" si="155"/>
        <v>0</v>
      </c>
      <c r="I66" s="338">
        <f t="shared" ca="1" si="155"/>
        <v>0</v>
      </c>
      <c r="J66" s="338">
        <f t="shared" ca="1" si="155"/>
        <v>87.580407440842919</v>
      </c>
      <c r="K66" s="338">
        <f t="shared" ca="1" si="155"/>
        <v>0</v>
      </c>
      <c r="L66" s="338">
        <f t="shared" ca="1" si="155"/>
        <v>0</v>
      </c>
      <c r="M66" s="338">
        <f t="shared" ca="1" si="155"/>
        <v>0</v>
      </c>
      <c r="N66" s="338">
        <f t="shared" ca="1" si="155"/>
        <v>0</v>
      </c>
      <c r="O66" s="338">
        <f t="shared" ca="1" si="155"/>
        <v>0</v>
      </c>
      <c r="P66" s="338">
        <f t="shared" ca="1" si="136"/>
        <v>87.580407440842919</v>
      </c>
      <c r="R66" s="294">
        <f t="shared" ref="R66:AG66" ca="1" si="156">R$36+R$40+R$47+R$50+R$54+R$64</f>
        <v>-6.5453807316546548</v>
      </c>
      <c r="S66" s="294">
        <f ca="1">S$36+S$40+S$47+S$50+S$54+S$64</f>
        <v>1652.9344919999999</v>
      </c>
      <c r="T66" s="294">
        <f t="shared" ca="1" si="156"/>
        <v>-1235.8855001686843</v>
      </c>
      <c r="U66" s="294">
        <f t="shared" ca="1" si="156"/>
        <v>-3.2870115564803268</v>
      </c>
      <c r="V66" s="294">
        <f t="shared" ca="1" si="156"/>
        <v>-1109.2395602555828</v>
      </c>
      <c r="W66" s="294">
        <f t="shared" ca="1" si="156"/>
        <v>-9.9513958957855468</v>
      </c>
      <c r="X66" s="294">
        <f t="shared" ca="1" si="156"/>
        <v>104.21714183333333</v>
      </c>
      <c r="Y66" s="294">
        <f t="shared" ca="1" si="156"/>
        <v>1385.9909706860001</v>
      </c>
      <c r="Z66" s="294">
        <f t="shared" ca="1" si="156"/>
        <v>955</v>
      </c>
      <c r="AA66" s="294">
        <f t="shared" ca="1" si="156"/>
        <v>0</v>
      </c>
      <c r="AB66" s="294">
        <f t="shared" ca="1" si="156"/>
        <v>0</v>
      </c>
      <c r="AC66" s="294">
        <f t="shared" ca="1" si="156"/>
        <v>3015.7127577094616</v>
      </c>
      <c r="AD66" s="294">
        <f t="shared" ca="1" si="156"/>
        <v>32.848539178829725</v>
      </c>
      <c r="AE66" s="294">
        <f t="shared" ca="1" si="156"/>
        <v>387.93811788325291</v>
      </c>
      <c r="AF66" s="294">
        <f t="shared" ca="1" si="156"/>
        <v>114.0710003108473</v>
      </c>
      <c r="AG66" s="294">
        <f t="shared" ca="1" si="156"/>
        <v>3.6967332308852345</v>
      </c>
      <c r="AH66" s="294">
        <f t="shared" ca="1" si="5"/>
        <v>5287.5009042244219</v>
      </c>
      <c r="AJ66" s="295">
        <f t="shared" ref="AJ66:AX66" ca="1" si="157">AJ$36+AJ$40+AJ$47+AJ$50+AJ$54+AJ$64</f>
        <v>-100</v>
      </c>
      <c r="AK66" s="295">
        <f t="shared" ca="1" si="157"/>
        <v>-1385.9909706860001</v>
      </c>
      <c r="AL66" s="295">
        <f t="shared" ca="1" si="157"/>
        <v>-955</v>
      </c>
      <c r="AM66" s="295">
        <f t="shared" ca="1" si="157"/>
        <v>0</v>
      </c>
      <c r="AN66" s="295">
        <f t="shared" ca="1" si="157"/>
        <v>0</v>
      </c>
      <c r="AO66" s="295">
        <f t="shared" ca="1" si="157"/>
        <v>0</v>
      </c>
      <c r="AP66" s="295">
        <f t="shared" ca="1" si="157"/>
        <v>0</v>
      </c>
      <c r="AQ66" s="295">
        <f t="shared" ca="1" si="157"/>
        <v>0</v>
      </c>
      <c r="AR66" s="295">
        <f t="shared" ca="1" si="157"/>
        <v>0</v>
      </c>
      <c r="AS66" s="295">
        <f t="shared" ca="1" si="157"/>
        <v>-567.8420000000001</v>
      </c>
      <c r="AT66" s="295">
        <f t="shared" ca="1" si="157"/>
        <v>-435.67019999999997</v>
      </c>
      <c r="AU66" s="295">
        <f t="shared" ca="1" si="157"/>
        <v>-22.090319999999998</v>
      </c>
      <c r="AV66" s="295">
        <f t="shared" ca="1" si="157"/>
        <v>-74.510999999999996</v>
      </c>
      <c r="AW66" s="295">
        <f t="shared" ca="1" si="157"/>
        <v>-3048.5612968882915</v>
      </c>
      <c r="AX66" s="295">
        <f t="shared" ca="1" si="157"/>
        <v>-509.9229932583188</v>
      </c>
      <c r="AY66" s="295">
        <f t="shared" ca="1" si="147"/>
        <v>-7099.5887808326097</v>
      </c>
      <c r="BA66" s="296">
        <f ca="1">BA$36+BA$40+BA$47+BA$50+BA$54+BA$64</f>
        <v>1655.7846774421055</v>
      </c>
      <c r="BB66" s="296">
        <f ca="1">BB$36+BB$40+BB$47+BB$50+BB$54+BB$64</f>
        <v>68.722791725239574</v>
      </c>
      <c r="BC66" s="296">
        <f t="shared" ca="1" si="10"/>
        <v>1724.5074691673451</v>
      </c>
      <c r="BE66" s="58">
        <f ca="1">P66+AH66+AY66+BC66</f>
        <v>0</v>
      </c>
      <c r="BF66" s="58"/>
      <c r="BH66" s="546">
        <f t="shared" ref="BH66:CU66" ca="1" si="158">BH$36+BH$40+BH$47+BH$50+BH$54+BH$64</f>
        <v>585.55004003455235</v>
      </c>
      <c r="BI66" s="546">
        <f t="shared" ca="1" si="158"/>
        <v>1.5282994565007892</v>
      </c>
      <c r="BJ66" s="546">
        <f t="shared" ca="1" si="158"/>
        <v>3.8266991486539115</v>
      </c>
      <c r="BK66" s="546">
        <f t="shared" ca="1" si="158"/>
        <v>0</v>
      </c>
      <c r="BL66" s="546">
        <f t="shared" ca="1" si="158"/>
        <v>6.327</v>
      </c>
      <c r="BM66" s="546">
        <f t="shared" ca="1" si="158"/>
        <v>0.1360951870002064</v>
      </c>
      <c r="BN66" s="546">
        <f t="shared" ca="1" si="158"/>
        <v>0</v>
      </c>
      <c r="BO66" s="546">
        <f t="shared" ca="1" si="158"/>
        <v>0</v>
      </c>
      <c r="BP66" s="546">
        <f t="shared" ca="1" si="158"/>
        <v>0</v>
      </c>
      <c r="BQ66" s="546">
        <f t="shared" ca="1" si="158"/>
        <v>0</v>
      </c>
      <c r="BR66" s="546">
        <f t="shared" ca="1" si="158"/>
        <v>0</v>
      </c>
      <c r="BS66" s="546">
        <f t="shared" ca="1" si="158"/>
        <v>0</v>
      </c>
      <c r="BT66" s="546">
        <f t="shared" ca="1" si="158"/>
        <v>0</v>
      </c>
      <c r="BU66" s="546">
        <f t="shared" ca="1" si="158"/>
        <v>0</v>
      </c>
      <c r="BV66" s="546">
        <f t="shared" ca="1" si="158"/>
        <v>0</v>
      </c>
      <c r="BW66" s="546">
        <f t="shared" ca="1" si="158"/>
        <v>0</v>
      </c>
      <c r="BX66" s="546">
        <f t="shared" ca="1" si="158"/>
        <v>0</v>
      </c>
      <c r="BY66" s="546">
        <f t="shared" ca="1" si="158"/>
        <v>0</v>
      </c>
      <c r="BZ66" s="546">
        <f t="shared" ca="1" si="158"/>
        <v>21.39703190459873</v>
      </c>
      <c r="CA66" s="546">
        <f t="shared" ca="1" si="158"/>
        <v>0</v>
      </c>
      <c r="CB66" s="546">
        <f t="shared" ca="1" si="158"/>
        <v>-1.7523899681333004</v>
      </c>
      <c r="CC66" s="546">
        <f t="shared" ca="1" si="158"/>
        <v>0</v>
      </c>
      <c r="CD66" s="546">
        <f t="shared" ca="1" si="158"/>
        <v>0</v>
      </c>
      <c r="CE66" s="546">
        <f t="shared" ca="1" si="158"/>
        <v>0</v>
      </c>
      <c r="CF66" s="546">
        <f t="shared" ca="1" si="158"/>
        <v>0</v>
      </c>
      <c r="CG66" s="546">
        <f t="shared" ca="1" si="158"/>
        <v>1.1144924614214589</v>
      </c>
      <c r="CH66" s="546">
        <f t="shared" ca="1" si="158"/>
        <v>0</v>
      </c>
      <c r="CI66" s="546">
        <f t="shared" ca="1" si="158"/>
        <v>0</v>
      </c>
      <c r="CJ66" s="546">
        <f t="shared" ca="1" si="158"/>
        <v>0</v>
      </c>
      <c r="CK66" s="546">
        <f t="shared" ca="1" si="158"/>
        <v>0</v>
      </c>
      <c r="CL66" s="546">
        <f t="shared" ca="1" si="158"/>
        <v>0</v>
      </c>
      <c r="CM66" s="546">
        <f t="shared" ca="1" si="158"/>
        <v>0</v>
      </c>
      <c r="CN66" s="546">
        <f t="shared" ca="1" si="158"/>
        <v>0</v>
      </c>
      <c r="CO66" s="546">
        <f t="shared" ca="1" si="158"/>
        <v>0</v>
      </c>
      <c r="CP66" s="546">
        <f t="shared" ca="1" si="158"/>
        <v>0</v>
      </c>
      <c r="CQ66" s="546">
        <f t="shared" ca="1" si="158"/>
        <v>0</v>
      </c>
      <c r="CR66" s="546">
        <f t="shared" ca="1" si="158"/>
        <v>0</v>
      </c>
      <c r="CS66" s="546">
        <f t="shared" ca="1" si="158"/>
        <v>0</v>
      </c>
      <c r="CT66" s="546">
        <f t="shared" ca="1" si="158"/>
        <v>0</v>
      </c>
      <c r="CU66" s="546">
        <f t="shared" ca="1" si="158"/>
        <v>0</v>
      </c>
      <c r="CW66" s="148">
        <f ca="1">SUM(BH66:CU66)</f>
        <v>618.12726822459422</v>
      </c>
    </row>
    <row r="67" spans="1:101" s="84" customFormat="1" ht="6" customHeight="1" x14ac:dyDescent="0.2">
      <c r="C67" s="56"/>
      <c r="D67" s="57"/>
      <c r="E67" s="51"/>
      <c r="G67" s="245"/>
      <c r="H67" s="245"/>
      <c r="I67" s="245"/>
      <c r="J67" s="245"/>
      <c r="K67" s="245"/>
      <c r="L67" s="247"/>
      <c r="M67" s="245"/>
      <c r="N67" s="245"/>
      <c r="O67" s="245"/>
      <c r="P67" s="245">
        <f t="shared" si="136"/>
        <v>0</v>
      </c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>
        <f t="shared" ref="AH67:AH90" si="159">SUM(R67:AG67)</f>
        <v>0</v>
      </c>
      <c r="AJ67" s="263"/>
      <c r="AK67" s="263"/>
      <c r="AL67" s="263"/>
      <c r="AM67" s="263"/>
      <c r="AN67" s="263"/>
      <c r="AO67" s="263"/>
      <c r="AP67" s="263"/>
      <c r="AQ67" s="263"/>
      <c r="AR67" s="263"/>
      <c r="AS67" s="263"/>
      <c r="AT67" s="263"/>
      <c r="AU67" s="263"/>
      <c r="AV67" s="263"/>
      <c r="AW67" s="263"/>
      <c r="AX67" s="263"/>
      <c r="AY67" s="263">
        <f t="shared" si="147"/>
        <v>0</v>
      </c>
      <c r="BA67" s="277"/>
      <c r="BB67" s="277"/>
      <c r="BC67" s="277">
        <f t="shared" ref="BC67:BC90" si="160">SUM(BA67:BB67)</f>
        <v>0</v>
      </c>
      <c r="BE67" s="55">
        <f>P67+AH67+AY67+BC67</f>
        <v>0</v>
      </c>
      <c r="BF67" s="55"/>
      <c r="BH67" s="542"/>
      <c r="BI67" s="542"/>
      <c r="BJ67" s="542"/>
      <c r="BK67" s="542"/>
      <c r="BL67" s="542"/>
      <c r="BM67" s="542"/>
      <c r="BN67" s="542"/>
      <c r="BO67" s="542"/>
      <c r="BP67" s="542"/>
      <c r="BQ67" s="542"/>
      <c r="BR67" s="542"/>
      <c r="BS67" s="542"/>
      <c r="BT67" s="542"/>
      <c r="BU67" s="542"/>
      <c r="BV67" s="542"/>
      <c r="BW67" s="542"/>
      <c r="BX67" s="542"/>
      <c r="BY67" s="542"/>
      <c r="BZ67" s="542"/>
      <c r="CA67" s="542"/>
      <c r="CB67" s="542"/>
      <c r="CC67" s="542"/>
      <c r="CD67" s="542"/>
      <c r="CE67" s="542"/>
      <c r="CF67" s="542"/>
      <c r="CG67" s="542"/>
      <c r="CH67" s="542"/>
      <c r="CI67" s="542"/>
      <c r="CJ67" s="542"/>
      <c r="CK67" s="542"/>
      <c r="CL67" s="542"/>
      <c r="CM67" s="542"/>
      <c r="CN67" s="542"/>
      <c r="CO67" s="542"/>
      <c r="CP67" s="542"/>
      <c r="CQ67" s="542"/>
      <c r="CR67" s="542"/>
      <c r="CS67" s="542"/>
      <c r="CT67" s="542"/>
      <c r="CU67" s="542"/>
      <c r="CW67" s="151"/>
    </row>
    <row r="68" spans="1:101" s="84" customFormat="1" ht="24" customHeight="1" x14ac:dyDescent="0.2">
      <c r="C68" s="45" t="s">
        <v>414</v>
      </c>
      <c r="D68" s="45"/>
      <c r="E68" s="68"/>
      <c r="G68" s="244"/>
      <c r="H68" s="244"/>
      <c r="I68" s="244"/>
      <c r="J68" s="244"/>
      <c r="K68" s="244"/>
      <c r="L68" s="244"/>
      <c r="M68" s="244"/>
      <c r="N68" s="244"/>
      <c r="O68" s="244"/>
      <c r="P68" s="244">
        <f t="shared" si="136"/>
        <v>0</v>
      </c>
      <c r="R68" s="260"/>
      <c r="S68" s="260"/>
      <c r="T68" s="260"/>
      <c r="U68" s="260"/>
      <c r="V68" s="260"/>
      <c r="W68" s="260"/>
      <c r="X68" s="256"/>
      <c r="Y68" s="256"/>
      <c r="Z68" s="256"/>
      <c r="AA68" s="260"/>
      <c r="AB68" s="260"/>
      <c r="AC68" s="260"/>
      <c r="AD68" s="260"/>
      <c r="AE68" s="260"/>
      <c r="AF68" s="260"/>
      <c r="AG68" s="260"/>
      <c r="AH68" s="260">
        <f t="shared" si="159"/>
        <v>0</v>
      </c>
      <c r="AJ68" s="267"/>
      <c r="AK68" s="267"/>
      <c r="AL68" s="267"/>
      <c r="AM68" s="267"/>
      <c r="AN68" s="267"/>
      <c r="AO68" s="267"/>
      <c r="AP68" s="267"/>
      <c r="AQ68" s="267"/>
      <c r="AR68" s="267"/>
      <c r="AS68" s="267"/>
      <c r="AT68" s="262"/>
      <c r="AU68" s="262"/>
      <c r="AV68" s="262"/>
      <c r="AW68" s="262"/>
      <c r="AX68" s="262"/>
      <c r="AY68" s="267">
        <f t="shared" si="147"/>
        <v>0</v>
      </c>
      <c r="BA68" s="280"/>
      <c r="BB68" s="280"/>
      <c r="BC68" s="280">
        <f t="shared" si="160"/>
        <v>0</v>
      </c>
      <c r="BE68" s="54">
        <f>P68+AH68+AY68+BC68</f>
        <v>0</v>
      </c>
      <c r="BF68" s="54"/>
      <c r="BH68" s="542"/>
      <c r="BI68" s="542"/>
      <c r="BJ68" s="542"/>
      <c r="BK68" s="542"/>
      <c r="BL68" s="542"/>
      <c r="BM68" s="542"/>
      <c r="BN68" s="542"/>
      <c r="BO68" s="542"/>
      <c r="BP68" s="542"/>
      <c r="BQ68" s="542"/>
      <c r="BR68" s="542"/>
      <c r="BS68" s="542"/>
      <c r="BT68" s="542"/>
      <c r="BU68" s="542"/>
      <c r="BV68" s="542"/>
      <c r="BW68" s="542"/>
      <c r="BX68" s="542"/>
      <c r="BY68" s="542"/>
      <c r="BZ68" s="542"/>
      <c r="CA68" s="542"/>
      <c r="CB68" s="542"/>
      <c r="CC68" s="542"/>
      <c r="CD68" s="542"/>
      <c r="CE68" s="542"/>
      <c r="CF68" s="542"/>
      <c r="CG68" s="542"/>
      <c r="CH68" s="542"/>
      <c r="CI68" s="542"/>
      <c r="CJ68" s="542"/>
      <c r="CK68" s="542"/>
      <c r="CL68" s="542"/>
      <c r="CM68" s="542"/>
      <c r="CN68" s="542"/>
      <c r="CO68" s="542"/>
      <c r="CP68" s="542"/>
      <c r="CQ68" s="542"/>
      <c r="CR68" s="542"/>
      <c r="CS68" s="542"/>
      <c r="CT68" s="542"/>
      <c r="CU68" s="542"/>
      <c r="CW68" s="151"/>
    </row>
    <row r="69" spans="1:101" s="84" customFormat="1" ht="6" customHeight="1" x14ac:dyDescent="0.2">
      <c r="C69" s="60"/>
      <c r="D69" s="34"/>
      <c r="E69" s="51"/>
      <c r="G69" s="245"/>
      <c r="H69" s="245"/>
      <c r="I69" s="245"/>
      <c r="J69" s="245"/>
      <c r="K69" s="245"/>
      <c r="L69" s="247"/>
      <c r="M69" s="245"/>
      <c r="N69" s="245"/>
      <c r="O69" s="245"/>
      <c r="P69" s="245">
        <f t="shared" si="136"/>
        <v>0</v>
      </c>
      <c r="R69" s="257"/>
      <c r="S69" s="257"/>
      <c r="T69" s="257"/>
      <c r="U69" s="257"/>
      <c r="V69" s="257"/>
      <c r="W69" s="257"/>
      <c r="X69" s="257"/>
      <c r="Y69" s="257"/>
      <c r="Z69" s="257"/>
      <c r="AA69" s="257"/>
      <c r="AB69" s="257"/>
      <c r="AC69" s="257"/>
      <c r="AD69" s="257"/>
      <c r="AE69" s="257"/>
      <c r="AF69" s="257"/>
      <c r="AG69" s="257"/>
      <c r="AH69" s="257">
        <f t="shared" si="159"/>
        <v>0</v>
      </c>
      <c r="AJ69" s="263"/>
      <c r="AK69" s="263"/>
      <c r="AL69" s="263"/>
      <c r="AM69" s="263"/>
      <c r="AN69" s="263"/>
      <c r="AO69" s="263"/>
      <c r="AP69" s="263"/>
      <c r="AQ69" s="263"/>
      <c r="AR69" s="263"/>
      <c r="AS69" s="263"/>
      <c r="AT69" s="263"/>
      <c r="AU69" s="263"/>
      <c r="AV69" s="263"/>
      <c r="AW69" s="263"/>
      <c r="AX69" s="263"/>
      <c r="AY69" s="263">
        <f t="shared" si="147"/>
        <v>0</v>
      </c>
      <c r="BA69" s="277"/>
      <c r="BB69" s="277"/>
      <c r="BC69" s="277">
        <f t="shared" si="160"/>
        <v>0</v>
      </c>
      <c r="BE69" s="55">
        <f>P69+AH69+AY69+BC69</f>
        <v>0</v>
      </c>
      <c r="BF69" s="55"/>
      <c r="BH69" s="542"/>
      <c r="BI69" s="542"/>
      <c r="BJ69" s="542"/>
      <c r="BK69" s="542"/>
      <c r="BL69" s="542"/>
      <c r="BM69" s="542"/>
      <c r="BN69" s="542"/>
      <c r="BO69" s="542"/>
      <c r="BP69" s="542"/>
      <c r="BQ69" s="542"/>
      <c r="BR69" s="542"/>
      <c r="BS69" s="542"/>
      <c r="BT69" s="542"/>
      <c r="BU69" s="542"/>
      <c r="BV69" s="542"/>
      <c r="BW69" s="542"/>
      <c r="BX69" s="542"/>
      <c r="BY69" s="542"/>
      <c r="BZ69" s="542"/>
      <c r="CA69" s="542"/>
      <c r="CB69" s="542"/>
      <c r="CC69" s="542"/>
      <c r="CD69" s="542"/>
      <c r="CE69" s="542"/>
      <c r="CF69" s="542"/>
      <c r="CG69" s="542"/>
      <c r="CH69" s="542"/>
      <c r="CI69" s="542"/>
      <c r="CJ69" s="542"/>
      <c r="CK69" s="542"/>
      <c r="CL69" s="542"/>
      <c r="CM69" s="542"/>
      <c r="CN69" s="542"/>
      <c r="CO69" s="542"/>
      <c r="CP69" s="542"/>
      <c r="CQ69" s="542"/>
      <c r="CR69" s="542"/>
      <c r="CS69" s="542"/>
      <c r="CT69" s="542"/>
      <c r="CU69" s="542"/>
      <c r="CW69" s="151"/>
    </row>
    <row r="70" spans="1:101" s="84" customFormat="1" outlineLevel="1" x14ac:dyDescent="0.2">
      <c r="A70" s="547"/>
      <c r="B70" s="547"/>
      <c r="C70" s="162"/>
      <c r="D70" s="163"/>
      <c r="E70" s="163"/>
      <c r="G70" s="248"/>
      <c r="H70" s="248"/>
      <c r="I70" s="248"/>
      <c r="J70" s="248"/>
      <c r="K70" s="248"/>
      <c r="L70" s="249"/>
      <c r="M70" s="248"/>
      <c r="N70" s="248"/>
      <c r="O70" s="248"/>
      <c r="P70" s="248">
        <f t="shared" si="136"/>
        <v>0</v>
      </c>
      <c r="R70" s="258"/>
      <c r="S70" s="258"/>
      <c r="T70" s="258"/>
      <c r="U70" s="258"/>
      <c r="V70" s="258"/>
      <c r="W70" s="258"/>
      <c r="X70" s="258"/>
      <c r="Y70" s="258"/>
      <c r="Z70" s="258"/>
      <c r="AA70" s="258"/>
      <c r="AB70" s="258"/>
      <c r="AC70" s="258"/>
      <c r="AD70" s="258"/>
      <c r="AE70" s="258"/>
      <c r="AF70" s="258"/>
      <c r="AG70" s="258"/>
      <c r="AH70" s="258">
        <f t="shared" si="159"/>
        <v>0</v>
      </c>
      <c r="AJ70" s="265"/>
      <c r="AK70" s="265"/>
      <c r="AL70" s="265"/>
      <c r="AM70" s="265"/>
      <c r="AN70" s="265"/>
      <c r="AO70" s="265"/>
      <c r="AP70" s="265"/>
      <c r="AQ70" s="265"/>
      <c r="AR70" s="265"/>
      <c r="AS70" s="265"/>
      <c r="AT70" s="265"/>
      <c r="AU70" s="265"/>
      <c r="AV70" s="265"/>
      <c r="AW70" s="265"/>
      <c r="AX70" s="265"/>
      <c r="AY70" s="265">
        <f t="shared" si="147"/>
        <v>0</v>
      </c>
      <c r="BA70" s="278"/>
      <c r="BB70" s="278"/>
      <c r="BC70" s="278">
        <f t="shared" si="160"/>
        <v>0</v>
      </c>
      <c r="BE70" s="164"/>
      <c r="BF70" s="164"/>
      <c r="BG70" s="547"/>
      <c r="BH70" s="549"/>
      <c r="BI70" s="542"/>
      <c r="BJ70" s="542"/>
      <c r="BK70" s="542"/>
      <c r="BL70" s="542"/>
      <c r="BM70" s="542"/>
      <c r="BN70" s="542"/>
      <c r="BO70" s="542"/>
      <c r="BP70" s="542"/>
      <c r="BQ70" s="542"/>
      <c r="BR70" s="542"/>
      <c r="BS70" s="542"/>
      <c r="BT70" s="542"/>
      <c r="BU70" s="542"/>
      <c r="BV70" s="542"/>
      <c r="BW70" s="542"/>
      <c r="BX70" s="542"/>
      <c r="BY70" s="542"/>
      <c r="BZ70" s="542"/>
      <c r="CA70" s="542"/>
      <c r="CB70" s="542"/>
      <c r="CC70" s="542"/>
      <c r="CD70" s="542"/>
      <c r="CE70" s="542"/>
      <c r="CF70" s="542"/>
      <c r="CG70" s="542"/>
      <c r="CH70" s="542"/>
      <c r="CI70" s="542"/>
      <c r="CJ70" s="542"/>
      <c r="CK70" s="542"/>
      <c r="CL70" s="542"/>
      <c r="CM70" s="542"/>
      <c r="CN70" s="542"/>
      <c r="CO70" s="542"/>
      <c r="CP70" s="542"/>
      <c r="CQ70" s="542"/>
      <c r="CR70" s="542"/>
      <c r="CS70" s="542"/>
      <c r="CT70" s="542"/>
      <c r="CU70" s="542"/>
      <c r="CW70" s="151"/>
    </row>
    <row r="71" spans="1:101" s="543" customFormat="1" outlineLevel="1" x14ac:dyDescent="0.2">
      <c r="C71" s="62" t="s">
        <v>305</v>
      </c>
      <c r="D71" s="61" t="str">
        <f>INDEX(Modules[Module], MATCH($C71, Modules[Code], 0))</f>
        <v>Electricity imports</v>
      </c>
      <c r="E71" s="61"/>
      <c r="F71" s="84"/>
      <c r="G71" s="297">
        <f t="shared" ref="G71:O71" ca="1" si="161">IFERROR(INDEX(INDIRECT($C71&amp;".Outputs["&amp;this.Year&amp;"]"), MATCH(G$5, INDIRECT($C71&amp;".Outputs[Vector]"), 0)), 0)</f>
        <v>0</v>
      </c>
      <c r="H71" s="297">
        <f t="shared" ca="1" si="161"/>
        <v>0</v>
      </c>
      <c r="I71" s="297">
        <f t="shared" ca="1" si="161"/>
        <v>0</v>
      </c>
      <c r="J71" s="297">
        <f t="shared" ca="1" si="161"/>
        <v>0</v>
      </c>
      <c r="K71" s="297">
        <f t="shared" ca="1" si="161"/>
        <v>0</v>
      </c>
      <c r="L71" s="297">
        <f t="shared" ca="1" si="161"/>
        <v>0</v>
      </c>
      <c r="M71" s="297">
        <f t="shared" ca="1" si="161"/>
        <v>0</v>
      </c>
      <c r="N71" s="297">
        <f t="shared" ca="1" si="161"/>
        <v>0</v>
      </c>
      <c r="O71" s="297">
        <f t="shared" ca="1" si="161"/>
        <v>0</v>
      </c>
      <c r="P71" s="297">
        <f t="shared" ca="1" si="136"/>
        <v>0</v>
      </c>
      <c r="Q71" s="84"/>
      <c r="R71" s="304">
        <f t="shared" ref="R71:AG71" ca="1" si="162">IFERROR(INDEX(INDIRECT($C71&amp;".Outputs["&amp;this.Year&amp;"]"), MATCH(R$5, INDIRECT($C71&amp;".Outputs[Vector]"), 0)), 0)</f>
        <v>0</v>
      </c>
      <c r="S71" s="304">
        <f t="shared" ca="1" si="162"/>
        <v>62.547000000000004</v>
      </c>
      <c r="T71" s="304">
        <f t="shared" ca="1" si="162"/>
        <v>0</v>
      </c>
      <c r="U71" s="304">
        <f t="shared" ca="1" si="162"/>
        <v>0</v>
      </c>
      <c r="V71" s="304">
        <f t="shared" ca="1" si="162"/>
        <v>0</v>
      </c>
      <c r="W71" s="304">
        <f t="shared" ca="1" si="162"/>
        <v>0</v>
      </c>
      <c r="X71" s="304">
        <f ca="1">IFERROR(INDEX(INDIRECT($C71&amp;".Outputs["&amp;this.Year&amp;"]"), MATCH(X$5, INDIRECT($C71&amp;".Outputs[Vector]"), 0)), 0)</f>
        <v>0</v>
      </c>
      <c r="Y71" s="304">
        <f ca="1">IFERROR(INDEX(INDIRECT($C71&amp;".Outputs["&amp;this.Year&amp;"]"), MATCH(Y$5, INDIRECT($C71&amp;".Outputs[Vector]"), 0)), 0)</f>
        <v>0</v>
      </c>
      <c r="Z71" s="304">
        <f ca="1">IFERROR(INDEX(INDIRECT($C71&amp;".Outputs["&amp;this.Year&amp;"]"), MATCH(Z$5, INDIRECT($C71&amp;".Outputs[Vector]"), 0)), 0)</f>
        <v>0</v>
      </c>
      <c r="AA71" s="304">
        <f t="shared" ca="1" si="162"/>
        <v>0</v>
      </c>
      <c r="AB71" s="304">
        <f t="shared" ca="1" si="162"/>
        <v>0</v>
      </c>
      <c r="AC71" s="304">
        <f t="shared" ca="1" si="162"/>
        <v>0</v>
      </c>
      <c r="AD71" s="304">
        <f t="shared" ca="1" si="162"/>
        <v>0</v>
      </c>
      <c r="AE71" s="304">
        <f t="shared" ca="1" si="162"/>
        <v>0</v>
      </c>
      <c r="AF71" s="304">
        <f t="shared" ca="1" si="162"/>
        <v>0</v>
      </c>
      <c r="AG71" s="304">
        <f t="shared" ca="1" si="162"/>
        <v>0</v>
      </c>
      <c r="AH71" s="305">
        <f t="shared" ca="1" si="159"/>
        <v>62.547000000000004</v>
      </c>
      <c r="AI71" s="84"/>
      <c r="AJ71" s="312">
        <f t="shared" ref="AJ71:AR71" ca="1" si="163">IFERROR(INDEX(INDIRECT($C71&amp;".Outputs["&amp;this.Year&amp;"]"), MATCH(AJ$5, INDIRECT($C71&amp;".Outputs[Vector]"), 0)), 0)</f>
        <v>0</v>
      </c>
      <c r="AK71" s="312">
        <f t="shared" ca="1" si="163"/>
        <v>0</v>
      </c>
      <c r="AL71" s="312">
        <f t="shared" ca="1" si="163"/>
        <v>0</v>
      </c>
      <c r="AM71" s="312">
        <f t="shared" ca="1" si="163"/>
        <v>0</v>
      </c>
      <c r="AN71" s="312">
        <f t="shared" ca="1" si="163"/>
        <v>-62.547000000000004</v>
      </c>
      <c r="AO71" s="312">
        <f t="shared" ca="1" si="163"/>
        <v>0</v>
      </c>
      <c r="AP71" s="312">
        <f t="shared" ca="1" si="163"/>
        <v>0</v>
      </c>
      <c r="AQ71" s="312">
        <f t="shared" ca="1" si="163"/>
        <v>0</v>
      </c>
      <c r="AR71" s="312">
        <f t="shared" ca="1" si="163"/>
        <v>0</v>
      </c>
      <c r="AS71" s="312">
        <f t="shared" ref="AS71:AX71" ca="1" si="164">IFERROR(INDEX(INDIRECT($C71&amp;".Outputs["&amp;this.Year&amp;"]"), MATCH(AS$5, INDIRECT($C71&amp;".Outputs[Vector]"), 0)), 0)</f>
        <v>0</v>
      </c>
      <c r="AT71" s="312">
        <f t="shared" ca="1" si="164"/>
        <v>0</v>
      </c>
      <c r="AU71" s="312">
        <f t="shared" ca="1" si="164"/>
        <v>0</v>
      </c>
      <c r="AV71" s="312">
        <f t="shared" ca="1" si="164"/>
        <v>0</v>
      </c>
      <c r="AW71" s="312">
        <f t="shared" ca="1" si="164"/>
        <v>0</v>
      </c>
      <c r="AX71" s="312">
        <f t="shared" ca="1" si="164"/>
        <v>0</v>
      </c>
      <c r="AY71" s="266">
        <f t="shared" ca="1" si="147"/>
        <v>-62.547000000000004</v>
      </c>
      <c r="AZ71" s="84"/>
      <c r="BA71" s="308">
        <f ca="1">IFERROR(INDEX(INDIRECT($C71&amp;".Outputs["&amp;this.Year&amp;"]"), MATCH(BA$5, INDIRECT($C71&amp;".Outputs[Vector]"), 0)), 0)</f>
        <v>0</v>
      </c>
      <c r="BB71" s="308">
        <f ca="1">IFERROR(INDEX(INDIRECT($C71&amp;".Outputs["&amp;this.Year&amp;"]"), MATCH(BB$5, INDIRECT($C71&amp;".Outputs[Vector]"), 0)), 0)</f>
        <v>0</v>
      </c>
      <c r="BC71" s="309">
        <f t="shared" ca="1" si="160"/>
        <v>0</v>
      </c>
      <c r="BD71" s="84"/>
      <c r="BE71" s="135">
        <f ca="1">P71+AH71+AY71+BC71</f>
        <v>0</v>
      </c>
      <c r="BF71" s="135"/>
      <c r="BH71" s="541">
        <f t="shared" ref="BH71:CU71" ca="1" si="165">IFERROR(SUMIFS(INDIRECT($C71&amp;".Emissions["&amp;this.Year&amp;"]"), INDIRECT($C71&amp;".Emissions[GHG]"), BH$6, INDIRECT($C71&amp;".Emissions[IPCC Sector]"), BH$5),0)</f>
        <v>0</v>
      </c>
      <c r="BI71" s="542">
        <f t="shared" ca="1" si="165"/>
        <v>0</v>
      </c>
      <c r="BJ71" s="542">
        <f t="shared" ca="1" si="165"/>
        <v>0</v>
      </c>
      <c r="BK71" s="542">
        <f t="shared" ca="1" si="165"/>
        <v>0</v>
      </c>
      <c r="BL71" s="542">
        <f t="shared" ca="1" si="165"/>
        <v>0</v>
      </c>
      <c r="BM71" s="542">
        <f t="shared" ca="1" si="165"/>
        <v>0</v>
      </c>
      <c r="BN71" s="542">
        <f t="shared" ca="1" si="165"/>
        <v>0</v>
      </c>
      <c r="BO71" s="542">
        <f t="shared" ca="1" si="165"/>
        <v>0</v>
      </c>
      <c r="BP71" s="542">
        <f t="shared" ca="1" si="165"/>
        <v>0</v>
      </c>
      <c r="BQ71" s="542">
        <f t="shared" ca="1" si="165"/>
        <v>0</v>
      </c>
      <c r="BR71" s="542">
        <f t="shared" ca="1" si="165"/>
        <v>0</v>
      </c>
      <c r="BS71" s="542">
        <f t="shared" ca="1" si="165"/>
        <v>0</v>
      </c>
      <c r="BT71" s="542">
        <f t="shared" ca="1" si="165"/>
        <v>0</v>
      </c>
      <c r="BU71" s="542">
        <f t="shared" ca="1" si="165"/>
        <v>0</v>
      </c>
      <c r="BV71" s="542">
        <f t="shared" ca="1" si="165"/>
        <v>0</v>
      </c>
      <c r="BW71" s="542">
        <f t="shared" ca="1" si="165"/>
        <v>0</v>
      </c>
      <c r="BX71" s="542">
        <f t="shared" ca="1" si="165"/>
        <v>0</v>
      </c>
      <c r="BY71" s="542">
        <f t="shared" ca="1" si="165"/>
        <v>0</v>
      </c>
      <c r="BZ71" s="542">
        <f t="shared" ca="1" si="165"/>
        <v>0</v>
      </c>
      <c r="CA71" s="542">
        <f t="shared" ca="1" si="165"/>
        <v>0</v>
      </c>
      <c r="CB71" s="542">
        <f t="shared" ca="1" si="165"/>
        <v>0</v>
      </c>
      <c r="CC71" s="542">
        <f t="shared" ca="1" si="165"/>
        <v>0</v>
      </c>
      <c r="CD71" s="542">
        <f t="shared" ca="1" si="165"/>
        <v>0</v>
      </c>
      <c r="CE71" s="542">
        <f t="shared" ca="1" si="165"/>
        <v>0</v>
      </c>
      <c r="CF71" s="542">
        <f t="shared" ca="1" si="165"/>
        <v>0</v>
      </c>
      <c r="CG71" s="542">
        <f t="shared" ca="1" si="165"/>
        <v>0</v>
      </c>
      <c r="CH71" s="542">
        <f t="shared" ca="1" si="165"/>
        <v>0</v>
      </c>
      <c r="CI71" s="542">
        <f t="shared" ca="1" si="165"/>
        <v>0</v>
      </c>
      <c r="CJ71" s="542">
        <f t="shared" ca="1" si="165"/>
        <v>0</v>
      </c>
      <c r="CK71" s="542">
        <f t="shared" ca="1" si="165"/>
        <v>0</v>
      </c>
      <c r="CL71" s="542">
        <f t="shared" ca="1" si="165"/>
        <v>0</v>
      </c>
      <c r="CM71" s="542">
        <f t="shared" ca="1" si="165"/>
        <v>0</v>
      </c>
      <c r="CN71" s="542">
        <f t="shared" ca="1" si="165"/>
        <v>0</v>
      </c>
      <c r="CO71" s="542">
        <f t="shared" ca="1" si="165"/>
        <v>0</v>
      </c>
      <c r="CP71" s="542">
        <f t="shared" ca="1" si="165"/>
        <v>0</v>
      </c>
      <c r="CQ71" s="542">
        <f t="shared" ca="1" si="165"/>
        <v>0</v>
      </c>
      <c r="CR71" s="542">
        <f t="shared" ca="1" si="165"/>
        <v>0</v>
      </c>
      <c r="CS71" s="542">
        <f t="shared" ca="1" si="165"/>
        <v>0</v>
      </c>
      <c r="CT71" s="542">
        <f t="shared" ca="1" si="165"/>
        <v>0</v>
      </c>
      <c r="CU71" s="542">
        <f t="shared" ca="1" si="165"/>
        <v>0</v>
      </c>
      <c r="CW71" s="151"/>
    </row>
    <row r="72" spans="1:101" s="547" customFormat="1" ht="12.75" customHeight="1" outlineLevel="1" x14ac:dyDescent="0.2">
      <c r="C72" s="319" t="s">
        <v>858</v>
      </c>
      <c r="D72" s="320" t="s">
        <v>588</v>
      </c>
      <c r="E72" s="320"/>
      <c r="F72" s="84"/>
      <c r="G72" s="333"/>
      <c r="H72" s="333"/>
      <c r="I72" s="333"/>
      <c r="J72" s="333"/>
      <c r="K72" s="333"/>
      <c r="L72" s="334"/>
      <c r="M72" s="333"/>
      <c r="N72" s="333"/>
      <c r="O72" s="333"/>
      <c r="P72" s="333">
        <f t="shared" si="136"/>
        <v>0</v>
      </c>
      <c r="Q72" s="84"/>
      <c r="R72" s="335">
        <f ca="1">R$28+R$36+R$80+R$40+R$71</f>
        <v>-946.39709827169258</v>
      </c>
      <c r="S72" s="335">
        <f ca="1">S$28+S$36+S$80+S$40+S$71</f>
        <v>62.547000000000004</v>
      </c>
      <c r="T72" s="335"/>
      <c r="U72" s="335"/>
      <c r="V72" s="335"/>
      <c r="W72" s="335"/>
      <c r="X72" s="335"/>
      <c r="Y72" s="335"/>
      <c r="Z72" s="335"/>
      <c r="AA72" s="335"/>
      <c r="AB72" s="335"/>
      <c r="AC72" s="335"/>
      <c r="AD72" s="335"/>
      <c r="AE72" s="335"/>
      <c r="AF72" s="335"/>
      <c r="AG72" s="335"/>
      <c r="AH72" s="335">
        <f t="shared" ca="1" si="159"/>
        <v>-883.85009827169256</v>
      </c>
      <c r="AI72" s="84"/>
      <c r="AJ72" s="336"/>
      <c r="AK72" s="336"/>
      <c r="AL72" s="336"/>
      <c r="AM72" s="336"/>
      <c r="AN72" s="336"/>
      <c r="AO72" s="336"/>
      <c r="AP72" s="336"/>
      <c r="AQ72" s="336"/>
      <c r="AR72" s="336"/>
      <c r="AS72" s="336"/>
      <c r="AT72" s="336"/>
      <c r="AU72" s="336"/>
      <c r="AV72" s="336"/>
      <c r="AW72" s="336"/>
      <c r="AX72" s="336"/>
      <c r="AY72" s="336">
        <f t="shared" si="147"/>
        <v>0</v>
      </c>
      <c r="AZ72" s="84"/>
      <c r="BA72" s="337"/>
      <c r="BB72" s="337"/>
      <c r="BC72" s="337">
        <f t="shared" si="160"/>
        <v>0</v>
      </c>
      <c r="BD72" s="84"/>
      <c r="BE72" s="164"/>
      <c r="BF72" s="164"/>
      <c r="BH72" s="549"/>
      <c r="BI72" s="549"/>
      <c r="BJ72" s="549"/>
      <c r="BK72" s="549"/>
      <c r="BL72" s="549"/>
      <c r="BM72" s="549"/>
      <c r="BN72" s="549"/>
      <c r="BO72" s="549"/>
      <c r="BP72" s="549"/>
      <c r="BQ72" s="549"/>
      <c r="BR72" s="549"/>
      <c r="BS72" s="549"/>
      <c r="BT72" s="549"/>
      <c r="BU72" s="549"/>
      <c r="BV72" s="549"/>
      <c r="BW72" s="549"/>
      <c r="BX72" s="549"/>
      <c r="BY72" s="549"/>
      <c r="BZ72" s="549"/>
      <c r="CA72" s="549"/>
      <c r="CB72" s="549"/>
      <c r="CC72" s="549"/>
      <c r="CD72" s="549"/>
      <c r="CE72" s="549"/>
      <c r="CF72" s="549"/>
      <c r="CG72" s="549"/>
      <c r="CH72" s="549"/>
      <c r="CI72" s="549"/>
      <c r="CJ72" s="549"/>
      <c r="CK72" s="549"/>
      <c r="CL72" s="549"/>
      <c r="CM72" s="549"/>
      <c r="CN72" s="549"/>
      <c r="CO72" s="549"/>
      <c r="CP72" s="549"/>
      <c r="CQ72" s="549"/>
      <c r="CR72" s="549"/>
      <c r="CS72" s="549"/>
      <c r="CT72" s="549"/>
      <c r="CU72" s="549"/>
      <c r="CW72" s="151"/>
    </row>
    <row r="73" spans="1:101" s="543" customFormat="1" outlineLevel="1" x14ac:dyDescent="0.2">
      <c r="C73" s="62" t="s">
        <v>313</v>
      </c>
      <c r="D73" s="61" t="str">
        <f>INDEX(Modules[Module], MATCH($C73, Modules[Code], 0))</f>
        <v>Electricity grid distribution</v>
      </c>
      <c r="E73" s="61"/>
      <c r="F73" s="84"/>
      <c r="G73" s="297">
        <f t="shared" ref="G73:O73" ca="1" si="166">IFERROR(INDEX(INDIRECT($C73&amp;".Outputs["&amp;this.Year&amp;"]"), MATCH(G$5, INDIRECT($C73&amp;".Outputs[Vector]"), 0)), 0)</f>
        <v>0</v>
      </c>
      <c r="H73" s="297">
        <f t="shared" ca="1" si="166"/>
        <v>0</v>
      </c>
      <c r="I73" s="297">
        <f t="shared" ca="1" si="166"/>
        <v>0</v>
      </c>
      <c r="J73" s="297">
        <f t="shared" ca="1" si="166"/>
        <v>0</v>
      </c>
      <c r="K73" s="297">
        <f t="shared" ca="1" si="166"/>
        <v>0</v>
      </c>
      <c r="L73" s="297">
        <f t="shared" ca="1" si="166"/>
        <v>0</v>
      </c>
      <c r="M73" s="297">
        <f t="shared" ca="1" si="166"/>
        <v>0</v>
      </c>
      <c r="N73" s="297">
        <f t="shared" ca="1" si="166"/>
        <v>0</v>
      </c>
      <c r="O73" s="297">
        <f t="shared" ca="1" si="166"/>
        <v>0</v>
      </c>
      <c r="P73" s="297">
        <f t="shared" ca="1" si="136"/>
        <v>0</v>
      </c>
      <c r="Q73" s="84"/>
      <c r="R73" s="304">
        <f t="shared" ref="R73:AG73" ca="1" si="167">IFERROR(INDEX(INDIRECT($C73&amp;".Outputs["&amp;this.Year&amp;"]"), MATCH(R$5, INDIRECT($C73&amp;".Outputs[Vector]"), 0)), 0)</f>
        <v>0</v>
      </c>
      <c r="S73" s="304">
        <f t="shared" ca="1" si="167"/>
        <v>-105.15523314129905</v>
      </c>
      <c r="T73" s="304">
        <f t="shared" ca="1" si="167"/>
        <v>0</v>
      </c>
      <c r="U73" s="304">
        <f t="shared" ca="1" si="167"/>
        <v>0</v>
      </c>
      <c r="V73" s="304">
        <f t="shared" ca="1" si="167"/>
        <v>0</v>
      </c>
      <c r="W73" s="304">
        <f t="shared" ca="1" si="167"/>
        <v>0</v>
      </c>
      <c r="X73" s="304">
        <f t="shared" ref="X73:Z73" ca="1" si="168">IFERROR(INDEX(INDIRECT($C73&amp;".Outputs["&amp;this.Year&amp;"]"), MATCH(X$5, INDIRECT($C73&amp;".Outputs[Vector]"), 0)), 0)</f>
        <v>0</v>
      </c>
      <c r="Y73" s="304">
        <f t="shared" ca="1" si="168"/>
        <v>0</v>
      </c>
      <c r="Z73" s="304">
        <f t="shared" ca="1" si="168"/>
        <v>0</v>
      </c>
      <c r="AA73" s="304">
        <f t="shared" ca="1" si="167"/>
        <v>0</v>
      </c>
      <c r="AB73" s="304">
        <f t="shared" ca="1" si="167"/>
        <v>0</v>
      </c>
      <c r="AC73" s="304">
        <f t="shared" ca="1" si="167"/>
        <v>0</v>
      </c>
      <c r="AD73" s="304">
        <f t="shared" ca="1" si="167"/>
        <v>0</v>
      </c>
      <c r="AE73" s="304">
        <f t="shared" ca="1" si="167"/>
        <v>0</v>
      </c>
      <c r="AF73" s="304">
        <f t="shared" ca="1" si="167"/>
        <v>0</v>
      </c>
      <c r="AG73" s="304">
        <f t="shared" ca="1" si="167"/>
        <v>0</v>
      </c>
      <c r="AH73" s="305">
        <f t="shared" ca="1" si="159"/>
        <v>-105.15523314129905</v>
      </c>
      <c r="AI73" s="84"/>
      <c r="AJ73" s="312">
        <f t="shared" ref="AJ73:AR73" ca="1" si="169">IFERROR(INDEX(INDIRECT($C73&amp;".Outputs["&amp;this.Year&amp;"]"), MATCH(AJ$5, INDIRECT($C73&amp;".Outputs[Vector]"), 0)), 0)</f>
        <v>0</v>
      </c>
      <c r="AK73" s="312">
        <f t="shared" ca="1" si="169"/>
        <v>0</v>
      </c>
      <c r="AL73" s="312">
        <f t="shared" ca="1" si="169"/>
        <v>0</v>
      </c>
      <c r="AM73" s="312">
        <f t="shared" ca="1" si="169"/>
        <v>0</v>
      </c>
      <c r="AN73" s="312">
        <f t="shared" ca="1" si="169"/>
        <v>0</v>
      </c>
      <c r="AO73" s="312">
        <f t="shared" ca="1" si="169"/>
        <v>0</v>
      </c>
      <c r="AP73" s="312">
        <f t="shared" ca="1" si="169"/>
        <v>0</v>
      </c>
      <c r="AQ73" s="312">
        <f t="shared" ca="1" si="169"/>
        <v>0</v>
      </c>
      <c r="AR73" s="312">
        <f t="shared" ca="1" si="169"/>
        <v>0</v>
      </c>
      <c r="AS73" s="312">
        <f t="shared" ref="AS73:AX73" ca="1" si="170">IFERROR(INDEX(INDIRECT($C73&amp;".Outputs["&amp;this.Year&amp;"]"), MATCH(AS$5, INDIRECT($C73&amp;".Outputs[Vector]"), 0)), 0)</f>
        <v>0</v>
      </c>
      <c r="AT73" s="312">
        <f t="shared" ca="1" si="170"/>
        <v>0</v>
      </c>
      <c r="AU73" s="312">
        <f t="shared" ca="1" si="170"/>
        <v>0</v>
      </c>
      <c r="AV73" s="312">
        <f t="shared" ca="1" si="170"/>
        <v>0</v>
      </c>
      <c r="AW73" s="312">
        <f t="shared" ca="1" si="170"/>
        <v>0</v>
      </c>
      <c r="AX73" s="312">
        <f t="shared" ca="1" si="170"/>
        <v>0</v>
      </c>
      <c r="AY73" s="266">
        <f t="shared" ca="1" si="147"/>
        <v>0</v>
      </c>
      <c r="AZ73" s="84"/>
      <c r="BA73" s="308">
        <f ca="1">IFERROR(INDEX(INDIRECT($C73&amp;".Outputs["&amp;this.Year&amp;"]"), MATCH(BA$5, INDIRECT($C73&amp;".Outputs[Vector]"), 0)), 0)</f>
        <v>0</v>
      </c>
      <c r="BB73" s="308">
        <f ca="1">IFERROR(INDEX(INDIRECT($C73&amp;".Outputs["&amp;this.Year&amp;"]"), MATCH(BB$5, INDIRECT($C73&amp;".Outputs[Vector]"), 0)), 0)</f>
        <v>105.15523314129916</v>
      </c>
      <c r="BC73" s="309">
        <f t="shared" ca="1" si="160"/>
        <v>105.15523314129916</v>
      </c>
      <c r="BD73" s="84"/>
      <c r="BE73" s="164">
        <f ca="1">P73+AH73+AY73+BC73</f>
        <v>1.1368683772161603E-13</v>
      </c>
      <c r="BF73" s="135"/>
      <c r="BH73" s="541">
        <f t="shared" ref="BH73:BQ73" ca="1" si="171">IFERROR(SUMIFS(INDIRECT($C73&amp;".Emissions["&amp;this.Year&amp;"]"), INDIRECT($C73&amp;".Emissions[GHG]"), BH$6, INDIRECT($C73&amp;".Emissions[IPCC Sector]"), BH$5),0)</f>
        <v>0</v>
      </c>
      <c r="BI73" s="542">
        <f t="shared" ca="1" si="171"/>
        <v>0</v>
      </c>
      <c r="BJ73" s="542">
        <f t="shared" ca="1" si="171"/>
        <v>0</v>
      </c>
      <c r="BK73" s="542">
        <f t="shared" ca="1" si="171"/>
        <v>0</v>
      </c>
      <c r="BL73" s="542">
        <f t="shared" ca="1" si="171"/>
        <v>0</v>
      </c>
      <c r="BM73" s="542">
        <f t="shared" ca="1" si="171"/>
        <v>0</v>
      </c>
      <c r="BN73" s="542">
        <f t="shared" ca="1" si="171"/>
        <v>0</v>
      </c>
      <c r="BO73" s="542">
        <f t="shared" ca="1" si="171"/>
        <v>0</v>
      </c>
      <c r="BP73" s="542">
        <f t="shared" ca="1" si="171"/>
        <v>0</v>
      </c>
      <c r="BQ73" s="542">
        <f t="shared" ca="1" si="171"/>
        <v>0</v>
      </c>
      <c r="BR73" s="542">
        <f t="shared" ref="BR73:CA73" ca="1" si="172">IFERROR(SUMIFS(INDIRECT($C73&amp;".Emissions["&amp;this.Year&amp;"]"), INDIRECT($C73&amp;".Emissions[GHG]"), BR$6, INDIRECT($C73&amp;".Emissions[IPCC Sector]"), BR$5),0)</f>
        <v>0</v>
      </c>
      <c r="BS73" s="542">
        <f t="shared" ca="1" si="172"/>
        <v>0</v>
      </c>
      <c r="BT73" s="542">
        <f t="shared" ca="1" si="172"/>
        <v>0</v>
      </c>
      <c r="BU73" s="542">
        <f t="shared" ca="1" si="172"/>
        <v>0</v>
      </c>
      <c r="BV73" s="542">
        <f t="shared" ca="1" si="172"/>
        <v>0</v>
      </c>
      <c r="BW73" s="542">
        <f t="shared" ca="1" si="172"/>
        <v>0</v>
      </c>
      <c r="BX73" s="542">
        <f t="shared" ca="1" si="172"/>
        <v>0</v>
      </c>
      <c r="BY73" s="542">
        <f t="shared" ca="1" si="172"/>
        <v>0</v>
      </c>
      <c r="BZ73" s="542">
        <f t="shared" ca="1" si="172"/>
        <v>0</v>
      </c>
      <c r="CA73" s="542">
        <f t="shared" ca="1" si="172"/>
        <v>0</v>
      </c>
      <c r="CB73" s="542">
        <f t="shared" ref="CB73:CK73" ca="1" si="173">IFERROR(SUMIFS(INDIRECT($C73&amp;".Emissions["&amp;this.Year&amp;"]"), INDIRECT($C73&amp;".Emissions[GHG]"), CB$6, INDIRECT($C73&amp;".Emissions[IPCC Sector]"), CB$5),0)</f>
        <v>0</v>
      </c>
      <c r="CC73" s="542">
        <f t="shared" ca="1" si="173"/>
        <v>0</v>
      </c>
      <c r="CD73" s="542">
        <f t="shared" ca="1" si="173"/>
        <v>0</v>
      </c>
      <c r="CE73" s="542">
        <f t="shared" ca="1" si="173"/>
        <v>0</v>
      </c>
      <c r="CF73" s="542">
        <f t="shared" ca="1" si="173"/>
        <v>0</v>
      </c>
      <c r="CG73" s="542">
        <f t="shared" ca="1" si="173"/>
        <v>0</v>
      </c>
      <c r="CH73" s="542">
        <f t="shared" ca="1" si="173"/>
        <v>0</v>
      </c>
      <c r="CI73" s="542">
        <f t="shared" ca="1" si="173"/>
        <v>0</v>
      </c>
      <c r="CJ73" s="542">
        <f t="shared" ca="1" si="173"/>
        <v>0</v>
      </c>
      <c r="CK73" s="542">
        <f t="shared" ca="1" si="173"/>
        <v>0</v>
      </c>
      <c r="CL73" s="542">
        <f t="shared" ref="CL73:CU73" ca="1" si="174">IFERROR(SUMIFS(INDIRECT($C73&amp;".Emissions["&amp;this.Year&amp;"]"), INDIRECT($C73&amp;".Emissions[GHG]"), CL$6, INDIRECT($C73&amp;".Emissions[IPCC Sector]"), CL$5),0)</f>
        <v>0</v>
      </c>
      <c r="CM73" s="542">
        <f t="shared" ca="1" si="174"/>
        <v>0</v>
      </c>
      <c r="CN73" s="542">
        <f t="shared" ca="1" si="174"/>
        <v>0</v>
      </c>
      <c r="CO73" s="542">
        <f t="shared" ca="1" si="174"/>
        <v>0</v>
      </c>
      <c r="CP73" s="542">
        <f t="shared" ca="1" si="174"/>
        <v>0</v>
      </c>
      <c r="CQ73" s="542">
        <f t="shared" ca="1" si="174"/>
        <v>0</v>
      </c>
      <c r="CR73" s="542">
        <f t="shared" ca="1" si="174"/>
        <v>0</v>
      </c>
      <c r="CS73" s="542">
        <f t="shared" ca="1" si="174"/>
        <v>0</v>
      </c>
      <c r="CT73" s="542">
        <f t="shared" ca="1" si="174"/>
        <v>0</v>
      </c>
      <c r="CU73" s="542">
        <f t="shared" ca="1" si="174"/>
        <v>0</v>
      </c>
      <c r="CW73" s="151"/>
    </row>
    <row r="74" spans="1:101" s="18" customFormat="1" ht="12.75" customHeight="1" x14ac:dyDescent="0.2">
      <c r="B74" s="89"/>
      <c r="C74" s="85" t="s">
        <v>226</v>
      </c>
      <c r="D74" s="57" t="str">
        <f>INDEX(Workstreams[Workstream], MATCH($C74, Workstreams[Code], 0))</f>
        <v>Electricity distribution, storage &amp; balancing</v>
      </c>
      <c r="E74" s="53"/>
      <c r="F74" s="84"/>
      <c r="G74" s="245">
        <f ca="1">G$71+G$73</f>
        <v>0</v>
      </c>
      <c r="H74" s="245">
        <f t="shared" ref="H74:BS74" ca="1" si="175">H$71+H$73</f>
        <v>0</v>
      </c>
      <c r="I74" s="245">
        <f t="shared" ca="1" si="175"/>
        <v>0</v>
      </c>
      <c r="J74" s="245">
        <f t="shared" ca="1" si="175"/>
        <v>0</v>
      </c>
      <c r="K74" s="245">
        <f t="shared" ca="1" si="175"/>
        <v>0</v>
      </c>
      <c r="L74" s="245">
        <f t="shared" ca="1" si="175"/>
        <v>0</v>
      </c>
      <c r="M74" s="245">
        <f t="shared" ca="1" si="175"/>
        <v>0</v>
      </c>
      <c r="N74" s="245">
        <f t="shared" ca="1" si="175"/>
        <v>0</v>
      </c>
      <c r="O74" s="245">
        <f t="shared" ca="1" si="175"/>
        <v>0</v>
      </c>
      <c r="P74" s="245">
        <f t="shared" ca="1" si="136"/>
        <v>0</v>
      </c>
      <c r="Q74" s="245">
        <f t="shared" si="175"/>
        <v>0</v>
      </c>
      <c r="R74" s="245">
        <f t="shared" ca="1" si="175"/>
        <v>0</v>
      </c>
      <c r="S74" s="245">
        <f t="shared" ca="1" si="175"/>
        <v>-42.608233141299046</v>
      </c>
      <c r="T74" s="245">
        <f t="shared" ca="1" si="175"/>
        <v>0</v>
      </c>
      <c r="U74" s="245">
        <f t="shared" ca="1" si="175"/>
        <v>0</v>
      </c>
      <c r="V74" s="245">
        <f t="shared" ca="1" si="175"/>
        <v>0</v>
      </c>
      <c r="W74" s="245">
        <f t="shared" ca="1" si="175"/>
        <v>0</v>
      </c>
      <c r="X74" s="245">
        <f t="shared" ca="1" si="175"/>
        <v>0</v>
      </c>
      <c r="Y74" s="245">
        <f t="shared" ca="1" si="175"/>
        <v>0</v>
      </c>
      <c r="Z74" s="245">
        <f t="shared" ca="1" si="175"/>
        <v>0</v>
      </c>
      <c r="AA74" s="245">
        <f t="shared" ca="1" si="175"/>
        <v>0</v>
      </c>
      <c r="AB74" s="245">
        <f t="shared" ca="1" si="175"/>
        <v>0</v>
      </c>
      <c r="AC74" s="245">
        <f t="shared" ca="1" si="175"/>
        <v>0</v>
      </c>
      <c r="AD74" s="245">
        <f t="shared" ca="1" si="175"/>
        <v>0</v>
      </c>
      <c r="AE74" s="245">
        <f t="shared" ca="1" si="175"/>
        <v>0</v>
      </c>
      <c r="AF74" s="245">
        <f t="shared" ca="1" si="175"/>
        <v>0</v>
      </c>
      <c r="AG74" s="245">
        <f t="shared" ca="1" si="175"/>
        <v>0</v>
      </c>
      <c r="AH74" s="245">
        <f t="shared" ca="1" si="159"/>
        <v>-42.608233141299046</v>
      </c>
      <c r="AI74" s="245">
        <f t="shared" si="175"/>
        <v>0</v>
      </c>
      <c r="AJ74" s="245">
        <f t="shared" ca="1" si="175"/>
        <v>0</v>
      </c>
      <c r="AK74" s="245">
        <f t="shared" ca="1" si="175"/>
        <v>0</v>
      </c>
      <c r="AL74" s="245">
        <f t="shared" ca="1" si="175"/>
        <v>0</v>
      </c>
      <c r="AM74" s="245">
        <f t="shared" ca="1" si="175"/>
        <v>0</v>
      </c>
      <c r="AN74" s="245">
        <f t="shared" ca="1" si="175"/>
        <v>-62.547000000000004</v>
      </c>
      <c r="AO74" s="245">
        <f t="shared" ca="1" si="175"/>
        <v>0</v>
      </c>
      <c r="AP74" s="245">
        <f t="shared" ca="1" si="175"/>
        <v>0</v>
      </c>
      <c r="AQ74" s="245">
        <f t="shared" ca="1" si="175"/>
        <v>0</v>
      </c>
      <c r="AR74" s="245">
        <f t="shared" ca="1" si="175"/>
        <v>0</v>
      </c>
      <c r="AS74" s="245">
        <f t="shared" ca="1" si="175"/>
        <v>0</v>
      </c>
      <c r="AT74" s="245">
        <f t="shared" ca="1" si="175"/>
        <v>0</v>
      </c>
      <c r="AU74" s="245">
        <f t="shared" ca="1" si="175"/>
        <v>0</v>
      </c>
      <c r="AV74" s="245">
        <f t="shared" ca="1" si="175"/>
        <v>0</v>
      </c>
      <c r="AW74" s="245">
        <f t="shared" ca="1" si="175"/>
        <v>0</v>
      </c>
      <c r="AX74" s="245">
        <f t="shared" ca="1" si="175"/>
        <v>0</v>
      </c>
      <c r="AY74" s="245">
        <f t="shared" ca="1" si="147"/>
        <v>-62.547000000000004</v>
      </c>
      <c r="AZ74" s="245">
        <f t="shared" si="175"/>
        <v>0</v>
      </c>
      <c r="BA74" s="245">
        <f t="shared" ca="1" si="175"/>
        <v>0</v>
      </c>
      <c r="BB74" s="245">
        <f t="shared" ca="1" si="175"/>
        <v>105.15523314129916</v>
      </c>
      <c r="BC74" s="245">
        <f t="shared" ca="1" si="160"/>
        <v>105.15523314129916</v>
      </c>
      <c r="BD74" s="245">
        <f t="shared" si="175"/>
        <v>0</v>
      </c>
      <c r="BE74" s="245">
        <f t="shared" ca="1" si="175"/>
        <v>1.1368683772161603E-13</v>
      </c>
      <c r="BF74" s="245">
        <f t="shared" si="175"/>
        <v>0</v>
      </c>
      <c r="BG74" s="245">
        <f t="shared" si="175"/>
        <v>0</v>
      </c>
      <c r="BH74" s="245">
        <f t="shared" ca="1" si="175"/>
        <v>0</v>
      </c>
      <c r="BI74" s="245">
        <f t="shared" ca="1" si="175"/>
        <v>0</v>
      </c>
      <c r="BJ74" s="245">
        <f t="shared" ca="1" si="175"/>
        <v>0</v>
      </c>
      <c r="BK74" s="245">
        <f t="shared" ca="1" si="175"/>
        <v>0</v>
      </c>
      <c r="BL74" s="245">
        <f t="shared" ca="1" si="175"/>
        <v>0</v>
      </c>
      <c r="BM74" s="245">
        <f t="shared" ca="1" si="175"/>
        <v>0</v>
      </c>
      <c r="BN74" s="245">
        <f t="shared" ca="1" si="175"/>
        <v>0</v>
      </c>
      <c r="BO74" s="245">
        <f t="shared" ca="1" si="175"/>
        <v>0</v>
      </c>
      <c r="BP74" s="245">
        <f t="shared" ca="1" si="175"/>
        <v>0</v>
      </c>
      <c r="BQ74" s="245">
        <f t="shared" ca="1" si="175"/>
        <v>0</v>
      </c>
      <c r="BR74" s="245">
        <f t="shared" ca="1" si="175"/>
        <v>0</v>
      </c>
      <c r="BS74" s="245">
        <f t="shared" ca="1" si="175"/>
        <v>0</v>
      </c>
      <c r="BT74" s="245">
        <f t="shared" ref="BT74:CW74" ca="1" si="176">BT$71+BT$73</f>
        <v>0</v>
      </c>
      <c r="BU74" s="245">
        <f t="shared" ca="1" si="176"/>
        <v>0</v>
      </c>
      <c r="BV74" s="245">
        <f t="shared" ca="1" si="176"/>
        <v>0</v>
      </c>
      <c r="BW74" s="245">
        <f t="shared" ca="1" si="176"/>
        <v>0</v>
      </c>
      <c r="BX74" s="245">
        <f t="shared" ca="1" si="176"/>
        <v>0</v>
      </c>
      <c r="BY74" s="245">
        <f t="shared" ca="1" si="176"/>
        <v>0</v>
      </c>
      <c r="BZ74" s="245">
        <f t="shared" ca="1" si="176"/>
        <v>0</v>
      </c>
      <c r="CA74" s="245">
        <f t="shared" ca="1" si="176"/>
        <v>0</v>
      </c>
      <c r="CB74" s="245">
        <f t="shared" ca="1" si="176"/>
        <v>0</v>
      </c>
      <c r="CC74" s="245">
        <f t="shared" ca="1" si="176"/>
        <v>0</v>
      </c>
      <c r="CD74" s="245">
        <f t="shared" ca="1" si="176"/>
        <v>0</v>
      </c>
      <c r="CE74" s="245">
        <f t="shared" ca="1" si="176"/>
        <v>0</v>
      </c>
      <c r="CF74" s="245">
        <f t="shared" ca="1" si="176"/>
        <v>0</v>
      </c>
      <c r="CG74" s="245">
        <f t="shared" ca="1" si="176"/>
        <v>0</v>
      </c>
      <c r="CH74" s="245">
        <f t="shared" ca="1" si="176"/>
        <v>0</v>
      </c>
      <c r="CI74" s="245">
        <f t="shared" ca="1" si="176"/>
        <v>0</v>
      </c>
      <c r="CJ74" s="245">
        <f t="shared" ca="1" si="176"/>
        <v>0</v>
      </c>
      <c r="CK74" s="245">
        <f t="shared" ca="1" si="176"/>
        <v>0</v>
      </c>
      <c r="CL74" s="245">
        <f t="shared" ca="1" si="176"/>
        <v>0</v>
      </c>
      <c r="CM74" s="245">
        <f t="shared" ca="1" si="176"/>
        <v>0</v>
      </c>
      <c r="CN74" s="245">
        <f t="shared" ca="1" si="176"/>
        <v>0</v>
      </c>
      <c r="CO74" s="245">
        <f t="shared" ca="1" si="176"/>
        <v>0</v>
      </c>
      <c r="CP74" s="245">
        <f t="shared" ca="1" si="176"/>
        <v>0</v>
      </c>
      <c r="CQ74" s="245">
        <f t="shared" ca="1" si="176"/>
        <v>0</v>
      </c>
      <c r="CR74" s="245">
        <f t="shared" ca="1" si="176"/>
        <v>0</v>
      </c>
      <c r="CS74" s="245">
        <f t="shared" ca="1" si="176"/>
        <v>0</v>
      </c>
      <c r="CT74" s="245">
        <f t="shared" ca="1" si="176"/>
        <v>0</v>
      </c>
      <c r="CU74" s="245">
        <f t="shared" ca="1" si="176"/>
        <v>0</v>
      </c>
      <c r="CV74" s="245">
        <f t="shared" si="176"/>
        <v>0</v>
      </c>
      <c r="CW74" s="245">
        <f t="shared" si="176"/>
        <v>0</v>
      </c>
    </row>
    <row r="75" spans="1:101" s="84" customFormat="1" ht="12.75" customHeight="1" outlineLevel="1" x14ac:dyDescent="0.2">
      <c r="A75" s="18"/>
      <c r="B75" s="18"/>
      <c r="C75" s="87"/>
      <c r="D75" s="53"/>
      <c r="E75" s="53"/>
      <c r="G75" s="245"/>
      <c r="H75" s="245"/>
      <c r="I75" s="245"/>
      <c r="J75" s="245"/>
      <c r="K75" s="245"/>
      <c r="L75" s="247"/>
      <c r="M75" s="245"/>
      <c r="N75" s="245"/>
      <c r="O75" s="245"/>
      <c r="P75" s="245">
        <f t="shared" si="136"/>
        <v>0</v>
      </c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>
        <f t="shared" si="159"/>
        <v>0</v>
      </c>
      <c r="AJ75" s="263"/>
      <c r="AK75" s="263"/>
      <c r="AL75" s="263"/>
      <c r="AM75" s="263"/>
      <c r="AN75" s="263"/>
      <c r="AO75" s="263"/>
      <c r="AP75" s="263"/>
      <c r="AQ75" s="263"/>
      <c r="AR75" s="263"/>
      <c r="AS75" s="263"/>
      <c r="AT75" s="263"/>
      <c r="AU75" s="263"/>
      <c r="AV75" s="263"/>
      <c r="AW75" s="263"/>
      <c r="AX75" s="263"/>
      <c r="AY75" s="263">
        <f t="shared" si="147"/>
        <v>0</v>
      </c>
      <c r="BA75" s="277"/>
      <c r="BB75" s="277"/>
      <c r="BC75" s="277">
        <f t="shared" si="160"/>
        <v>0</v>
      </c>
      <c r="BE75" s="55">
        <f>P75+AH75+AY75+BC75</f>
        <v>0</v>
      </c>
      <c r="BF75" s="55"/>
      <c r="BG75" s="1428"/>
      <c r="BH75" s="542"/>
      <c r="BI75" s="542"/>
      <c r="BJ75" s="542"/>
      <c r="BK75" s="542"/>
      <c r="BL75" s="542"/>
      <c r="BM75" s="542"/>
      <c r="BN75" s="542"/>
      <c r="BO75" s="542"/>
      <c r="BP75" s="542"/>
      <c r="BQ75" s="542"/>
      <c r="BR75" s="542"/>
      <c r="BS75" s="542"/>
      <c r="BT75" s="542"/>
      <c r="BU75" s="542"/>
      <c r="BV75" s="542"/>
      <c r="BW75" s="542"/>
      <c r="BX75" s="542"/>
      <c r="BY75" s="542"/>
      <c r="BZ75" s="542"/>
      <c r="CA75" s="542"/>
      <c r="CB75" s="542"/>
      <c r="CC75" s="542"/>
      <c r="CD75" s="542"/>
      <c r="CE75" s="542"/>
      <c r="CF75" s="542"/>
      <c r="CG75" s="542"/>
      <c r="CH75" s="542"/>
      <c r="CI75" s="542"/>
      <c r="CJ75" s="542"/>
      <c r="CK75" s="542"/>
      <c r="CL75" s="542"/>
      <c r="CM75" s="542"/>
      <c r="CN75" s="542"/>
      <c r="CO75" s="542"/>
      <c r="CP75" s="542"/>
      <c r="CQ75" s="542"/>
      <c r="CR75" s="542"/>
      <c r="CS75" s="542"/>
      <c r="CT75" s="542"/>
      <c r="CU75" s="542"/>
      <c r="CW75" s="151">
        <f t="shared" ref="CW75:CW85" si="177">SUM(BH75:CU75)</f>
        <v>0</v>
      </c>
    </row>
    <row r="76" spans="1:101" s="550" customFormat="1" ht="12.75" customHeight="1" outlineLevel="1" x14ac:dyDescent="0.2">
      <c r="C76" s="566" t="s">
        <v>859</v>
      </c>
      <c r="D76" s="567" t="s">
        <v>817</v>
      </c>
      <c r="E76" s="567"/>
      <c r="G76" s="333"/>
      <c r="H76" s="333"/>
      <c r="I76" s="333"/>
      <c r="J76" s="333"/>
      <c r="K76" s="333"/>
      <c r="L76" s="334"/>
      <c r="M76" s="333"/>
      <c r="N76" s="333"/>
      <c r="O76" s="333"/>
      <c r="P76" s="333">
        <f t="shared" si="136"/>
        <v>0</v>
      </c>
      <c r="R76" s="335"/>
      <c r="S76" s="335"/>
      <c r="T76" s="335">
        <f ca="1">(T$28+T$66+T$74)</f>
        <v>-1241.5439171180863</v>
      </c>
      <c r="U76" s="335">
        <f ca="1">(U$28+U$66+U$74)</f>
        <v>-200.0606200439783</v>
      </c>
      <c r="V76" s="335">
        <f ca="1">(V$28+V$66+V$74)</f>
        <v>-1292.18715265321</v>
      </c>
      <c r="W76" s="335">
        <f ca="1">(W$28+W$66+W$74)</f>
        <v>-45.201438373394261</v>
      </c>
      <c r="X76" s="335"/>
      <c r="Y76" s="335"/>
      <c r="Z76" s="335"/>
      <c r="AA76" s="335"/>
      <c r="AB76" s="335">
        <f t="shared" ref="AB76:AG76" ca="1" si="178">(AB$28+AB$66+AB$74)</f>
        <v>0</v>
      </c>
      <c r="AC76" s="335">
        <f t="shared" ca="1" si="178"/>
        <v>3015.7127577094616</v>
      </c>
      <c r="AD76" s="335">
        <f t="shared" ca="1" si="178"/>
        <v>32.848539178829725</v>
      </c>
      <c r="AE76" s="335">
        <f t="shared" ca="1" si="178"/>
        <v>387.93811788325291</v>
      </c>
      <c r="AF76" s="335">
        <f t="shared" ca="1" si="178"/>
        <v>114.0710003108473</v>
      </c>
      <c r="AG76" s="335">
        <f t="shared" ca="1" si="178"/>
        <v>3.6967332308852345</v>
      </c>
      <c r="AH76" s="335">
        <f t="shared" ca="1" si="159"/>
        <v>775.27402012460789</v>
      </c>
      <c r="AJ76" s="336"/>
      <c r="AK76" s="336"/>
      <c r="AL76" s="336"/>
      <c r="AM76" s="336"/>
      <c r="AN76" s="336"/>
      <c r="AO76" s="336"/>
      <c r="AP76" s="336"/>
      <c r="AQ76" s="336"/>
      <c r="AR76" s="336"/>
      <c r="AS76" s="336"/>
      <c r="AT76" s="336"/>
      <c r="AU76" s="336"/>
      <c r="AV76" s="336"/>
      <c r="AW76" s="336"/>
      <c r="AX76" s="336">
        <f ca="1">AX28+AX36</f>
        <v>-509.9229932583188</v>
      </c>
      <c r="AY76" s="336">
        <f t="shared" ca="1" si="147"/>
        <v>-509.9229932583188</v>
      </c>
      <c r="BA76" s="337"/>
      <c r="BB76" s="337"/>
      <c r="BC76" s="337">
        <f t="shared" si="160"/>
        <v>0</v>
      </c>
      <c r="BE76" s="568"/>
      <c r="BF76" s="568"/>
      <c r="BG76" s="569"/>
      <c r="BH76" s="570"/>
      <c r="BI76" s="570"/>
      <c r="BJ76" s="570"/>
      <c r="BK76" s="570"/>
      <c r="BL76" s="570"/>
      <c r="BM76" s="570"/>
      <c r="BN76" s="570"/>
      <c r="BO76" s="570"/>
      <c r="BP76" s="570"/>
      <c r="BQ76" s="570"/>
      <c r="BR76" s="570"/>
      <c r="BS76" s="570"/>
      <c r="BT76" s="570"/>
      <c r="BU76" s="570"/>
      <c r="BV76" s="570"/>
      <c r="BW76" s="570"/>
      <c r="BX76" s="570"/>
      <c r="BY76" s="570"/>
      <c r="BZ76" s="570"/>
      <c r="CA76" s="570"/>
      <c r="CB76" s="570"/>
      <c r="CC76" s="570"/>
      <c r="CD76" s="570"/>
      <c r="CE76" s="570"/>
      <c r="CF76" s="570"/>
      <c r="CG76" s="570"/>
      <c r="CH76" s="570"/>
      <c r="CI76" s="570"/>
      <c r="CJ76" s="570"/>
      <c r="CK76" s="570"/>
      <c r="CL76" s="570"/>
      <c r="CM76" s="570"/>
      <c r="CN76" s="570"/>
      <c r="CO76" s="570"/>
      <c r="CP76" s="570"/>
      <c r="CQ76" s="570"/>
      <c r="CR76" s="570"/>
      <c r="CS76" s="570"/>
      <c r="CT76" s="570"/>
      <c r="CU76" s="570"/>
      <c r="CW76" s="569">
        <f t="shared" si="177"/>
        <v>0</v>
      </c>
    </row>
    <row r="77" spans="1:101" s="882" customFormat="1" ht="12.75" customHeight="1" outlineLevel="1" x14ac:dyDescent="0.2">
      <c r="A77" s="879"/>
      <c r="B77" s="879"/>
      <c r="C77" s="880" t="s">
        <v>400</v>
      </c>
      <c r="D77" s="881" t="str">
        <f>INDEX(Modules[Module], MATCH($C77, Modules[Code], 0))</f>
        <v>Types of fuel from Biomass</v>
      </c>
      <c r="E77" s="881"/>
      <c r="G77" s="326">
        <f t="shared" ref="G77:O79" ca="1" si="179">IFERROR(INDEX(INDIRECT($C77&amp;".Outputs["&amp;this.Year&amp;"]"), MATCH(G$5, INDIRECT($C77&amp;".Outputs[Vector]"), 0)), 0)</f>
        <v>0</v>
      </c>
      <c r="H77" s="326">
        <f t="shared" ca="1" si="179"/>
        <v>0</v>
      </c>
      <c r="I77" s="326">
        <f t="shared" ca="1" si="179"/>
        <v>0</v>
      </c>
      <c r="J77" s="326">
        <f t="shared" ca="1" si="179"/>
        <v>0</v>
      </c>
      <c r="K77" s="326">
        <f t="shared" ca="1" si="179"/>
        <v>0</v>
      </c>
      <c r="L77" s="326">
        <f t="shared" ca="1" si="179"/>
        <v>0</v>
      </c>
      <c r="M77" s="326">
        <f t="shared" ca="1" si="179"/>
        <v>0</v>
      </c>
      <c r="N77" s="326">
        <f t="shared" ca="1" si="179"/>
        <v>0</v>
      </c>
      <c r="O77" s="326">
        <f t="shared" ca="1" si="179"/>
        <v>0</v>
      </c>
      <c r="P77" s="326">
        <f t="shared" ca="1" si="136"/>
        <v>0</v>
      </c>
      <c r="R77" s="327">
        <f t="shared" ref="R77:AG79" ca="1" si="180">IFERROR(INDEX(INDIRECT($C77&amp;".Outputs["&amp;this.Year&amp;"]"), MATCH(R$5, INDIRECT($C77&amp;".Outputs[Vector]"), 0)), 0)</f>
        <v>0</v>
      </c>
      <c r="S77" s="327">
        <f t="shared" ca="1" si="180"/>
        <v>0</v>
      </c>
      <c r="T77" s="327">
        <f t="shared" ca="1" si="180"/>
        <v>0</v>
      </c>
      <c r="U77" s="327">
        <f t="shared" ca="1" si="180"/>
        <v>8.3041107044081546</v>
      </c>
      <c r="V77" s="327">
        <f t="shared" ca="1" si="180"/>
        <v>922.08776152790972</v>
      </c>
      <c r="W77" s="327">
        <f t="shared" ca="1" si="180"/>
        <v>2162.8190356640071</v>
      </c>
      <c r="X77" s="327">
        <f t="shared" ca="1" si="180"/>
        <v>0</v>
      </c>
      <c r="Y77" s="327">
        <f t="shared" ca="1" si="180"/>
        <v>0</v>
      </c>
      <c r="Z77" s="327">
        <f t="shared" ca="1" si="180"/>
        <v>0</v>
      </c>
      <c r="AA77" s="327">
        <f t="shared" ca="1" si="180"/>
        <v>0</v>
      </c>
      <c r="AB77" s="327">
        <f t="shared" ca="1" si="180"/>
        <v>0</v>
      </c>
      <c r="AC77" s="327">
        <f t="shared" ca="1" si="180"/>
        <v>-3015.7127577094616</v>
      </c>
      <c r="AD77" s="327">
        <f t="shared" ca="1" si="180"/>
        <v>-32.848539178829725</v>
      </c>
      <c r="AE77" s="327">
        <f t="shared" ca="1" si="180"/>
        <v>-387.93811788325291</v>
      </c>
      <c r="AF77" s="327">
        <f t="shared" ca="1" si="180"/>
        <v>-114.0710003108473</v>
      </c>
      <c r="AG77" s="327">
        <f t="shared" ca="1" si="180"/>
        <v>-3.6967332308852345</v>
      </c>
      <c r="AH77" s="328">
        <f t="shared" ca="1" si="159"/>
        <v>-461.05624041695188</v>
      </c>
      <c r="AJ77" s="329">
        <f t="shared" ref="AJ77:AX79" ca="1" si="181">IFERROR(INDEX(INDIRECT($C77&amp;".Outputs["&amp;this.Year&amp;"]"), MATCH(AJ$5, INDIRECT($C77&amp;".Outputs[Vector]"), 0)), 0)</f>
        <v>0</v>
      </c>
      <c r="AK77" s="329">
        <f t="shared" ca="1" si="181"/>
        <v>0</v>
      </c>
      <c r="AL77" s="329">
        <f t="shared" ca="1" si="181"/>
        <v>0</v>
      </c>
      <c r="AM77" s="329">
        <f t="shared" ca="1" si="181"/>
        <v>0</v>
      </c>
      <c r="AN77" s="329">
        <f t="shared" ca="1" si="181"/>
        <v>0</v>
      </c>
      <c r="AO77" s="329">
        <f t="shared" ca="1" si="181"/>
        <v>0</v>
      </c>
      <c r="AP77" s="329">
        <f t="shared" ca="1" si="181"/>
        <v>0</v>
      </c>
      <c r="AQ77" s="329">
        <f t="shared" ca="1" si="181"/>
        <v>0</v>
      </c>
      <c r="AR77" s="329">
        <f t="shared" ca="1" si="181"/>
        <v>0</v>
      </c>
      <c r="AS77" s="329">
        <f t="shared" ca="1" si="181"/>
        <v>0</v>
      </c>
      <c r="AT77" s="329">
        <f t="shared" ca="1" si="181"/>
        <v>0</v>
      </c>
      <c r="AU77" s="329">
        <f t="shared" ca="1" si="181"/>
        <v>0</v>
      </c>
      <c r="AV77" s="329">
        <f t="shared" ca="1" si="181"/>
        <v>0</v>
      </c>
      <c r="AW77" s="329">
        <f t="shared" ca="1" si="181"/>
        <v>0</v>
      </c>
      <c r="AX77" s="329">
        <f t="shared" ca="1" si="181"/>
        <v>0</v>
      </c>
      <c r="AY77" s="330">
        <f t="shared" ca="1" si="147"/>
        <v>0</v>
      </c>
      <c r="BA77" s="331">
        <f ca="1">IFERROR(INDEX(INDIRECT($C77&amp;".Outputs["&amp;this.Year&amp;"]"), MATCH(BA$5, INDIRECT($C77&amp;".Outputs[Vector]"), 0)), 0)</f>
        <v>461.05624041695228</v>
      </c>
      <c r="BB77" s="331">
        <f ca="1">IFERROR(INDEX(INDIRECT($C77&amp;".Outputs["&amp;this.Year&amp;"]"), MATCH(BB$5, INDIRECT($C77&amp;".Outputs[Vector]"), 0)), 0)</f>
        <v>0</v>
      </c>
      <c r="BC77" s="332">
        <f t="shared" ca="1" si="160"/>
        <v>461.05624041695228</v>
      </c>
      <c r="BE77" s="883">
        <f ca="1">P77+AH77+AY77+BC77</f>
        <v>0</v>
      </c>
      <c r="BF77" s="883"/>
      <c r="BG77" s="884"/>
      <c r="BH77" s="885">
        <f t="shared" ref="BH77:CU79" ca="1" si="182">IFERROR(SUMIFS(INDIRECT($C77&amp;".Emissions["&amp;this.Year&amp;"]"), INDIRECT($C77&amp;".Emissions[GHG]"), BH$6, INDIRECT($C77&amp;".Emissions[IPCC Sector]"), BH$5),0)</f>
        <v>0</v>
      </c>
      <c r="BI77" s="886">
        <f t="shared" ca="1" si="182"/>
        <v>0</v>
      </c>
      <c r="BJ77" s="886">
        <f t="shared" ca="1" si="182"/>
        <v>0</v>
      </c>
      <c r="BK77" s="886">
        <f t="shared" ca="1" si="182"/>
        <v>0</v>
      </c>
      <c r="BL77" s="886">
        <f t="shared" ca="1" si="182"/>
        <v>0</v>
      </c>
      <c r="BM77" s="886">
        <f t="shared" ca="1" si="182"/>
        <v>0</v>
      </c>
      <c r="BN77" s="886">
        <f t="shared" ca="1" si="182"/>
        <v>0</v>
      </c>
      <c r="BO77" s="886">
        <f t="shared" ca="1" si="182"/>
        <v>0</v>
      </c>
      <c r="BP77" s="886">
        <f t="shared" ca="1" si="182"/>
        <v>0</v>
      </c>
      <c r="BQ77" s="886">
        <f t="shared" ca="1" si="182"/>
        <v>0</v>
      </c>
      <c r="BR77" s="886">
        <f t="shared" ca="1" si="182"/>
        <v>0</v>
      </c>
      <c r="BS77" s="886">
        <f t="shared" ca="1" si="182"/>
        <v>0</v>
      </c>
      <c r="BT77" s="886">
        <f t="shared" ca="1" si="182"/>
        <v>0</v>
      </c>
      <c r="BU77" s="886">
        <f t="shared" ca="1" si="182"/>
        <v>0</v>
      </c>
      <c r="BV77" s="886">
        <f t="shared" ca="1" si="182"/>
        <v>0</v>
      </c>
      <c r="BW77" s="886">
        <f t="shared" ca="1" si="182"/>
        <v>0</v>
      </c>
      <c r="BX77" s="886">
        <f t="shared" ca="1" si="182"/>
        <v>0</v>
      </c>
      <c r="BY77" s="886">
        <f t="shared" ca="1" si="182"/>
        <v>0</v>
      </c>
      <c r="BZ77" s="886">
        <f t="shared" ca="1" si="182"/>
        <v>0</v>
      </c>
      <c r="CA77" s="886">
        <f t="shared" ca="1" si="182"/>
        <v>0</v>
      </c>
      <c r="CB77" s="886">
        <f t="shared" ca="1" si="182"/>
        <v>0</v>
      </c>
      <c r="CC77" s="886">
        <f t="shared" ca="1" si="182"/>
        <v>0</v>
      </c>
      <c r="CD77" s="886">
        <f t="shared" ca="1" si="182"/>
        <v>0</v>
      </c>
      <c r="CE77" s="886">
        <f t="shared" ca="1" si="182"/>
        <v>0</v>
      </c>
      <c r="CF77" s="886">
        <f t="shared" ca="1" si="182"/>
        <v>0</v>
      </c>
      <c r="CG77" s="886">
        <f t="shared" ca="1" si="182"/>
        <v>0</v>
      </c>
      <c r="CH77" s="886">
        <f t="shared" ca="1" si="182"/>
        <v>0</v>
      </c>
      <c r="CI77" s="886">
        <f t="shared" ca="1" si="182"/>
        <v>0</v>
      </c>
      <c r="CJ77" s="886">
        <f t="shared" ca="1" si="182"/>
        <v>0</v>
      </c>
      <c r="CK77" s="886">
        <f t="shared" ca="1" si="182"/>
        <v>0</v>
      </c>
      <c r="CL77" s="886">
        <f t="shared" ca="1" si="182"/>
        <v>0</v>
      </c>
      <c r="CM77" s="886">
        <f t="shared" ca="1" si="182"/>
        <v>0</v>
      </c>
      <c r="CN77" s="886">
        <f t="shared" ca="1" si="182"/>
        <v>-171.74017579723738</v>
      </c>
      <c r="CO77" s="886">
        <f t="shared" ca="1" si="182"/>
        <v>0</v>
      </c>
      <c r="CP77" s="886">
        <f t="shared" ca="1" si="182"/>
        <v>0</v>
      </c>
      <c r="CQ77" s="886">
        <f t="shared" ca="1" si="182"/>
        <v>0</v>
      </c>
      <c r="CR77" s="886">
        <f t="shared" ca="1" si="182"/>
        <v>0</v>
      </c>
      <c r="CS77" s="886">
        <f t="shared" ca="1" si="182"/>
        <v>0</v>
      </c>
      <c r="CT77" s="886">
        <f t="shared" ca="1" si="182"/>
        <v>0</v>
      </c>
      <c r="CU77" s="886">
        <f t="shared" ca="1" si="182"/>
        <v>0</v>
      </c>
      <c r="CW77" s="887">
        <f t="shared" ca="1" si="177"/>
        <v>-171.74017579723738</v>
      </c>
    </row>
    <row r="78" spans="1:101" s="550" customFormat="1" ht="12.75" customHeight="1" outlineLevel="1" x14ac:dyDescent="0.2">
      <c r="C78" s="566" t="s">
        <v>860</v>
      </c>
      <c r="D78" s="567" t="s">
        <v>817</v>
      </c>
      <c r="E78" s="567"/>
      <c r="G78" s="333"/>
      <c r="H78" s="333"/>
      <c r="I78" s="333"/>
      <c r="J78" s="333"/>
      <c r="K78" s="333"/>
      <c r="L78" s="334"/>
      <c r="M78" s="333"/>
      <c r="N78" s="333"/>
      <c r="O78" s="333"/>
      <c r="P78" s="333">
        <f t="shared" si="136"/>
        <v>0</v>
      </c>
      <c r="R78" s="335"/>
      <c r="S78" s="335"/>
      <c r="T78" s="335">
        <f ca="1">T$76+T$77</f>
        <v>-1241.5439171180863</v>
      </c>
      <c r="U78" s="335">
        <f ca="1">U$76+U$77</f>
        <v>-191.75650933957016</v>
      </c>
      <c r="V78" s="335">
        <f ca="1">V$76+V$77</f>
        <v>-370.09939112530026</v>
      </c>
      <c r="W78" s="335">
        <f ca="1">W$76+W$77</f>
        <v>2117.6175972906126</v>
      </c>
      <c r="X78" s="335"/>
      <c r="Y78" s="335"/>
      <c r="Z78" s="335"/>
      <c r="AA78" s="335"/>
      <c r="AB78" s="335">
        <f t="shared" ref="AB78:AG78" ca="1" si="183">AB$76+AB$77</f>
        <v>0</v>
      </c>
      <c r="AC78" s="335">
        <f t="shared" ca="1" si="183"/>
        <v>0</v>
      </c>
      <c r="AD78" s="335">
        <f t="shared" ca="1" si="183"/>
        <v>0</v>
      </c>
      <c r="AE78" s="335">
        <f t="shared" ca="1" si="183"/>
        <v>0</v>
      </c>
      <c r="AF78" s="335">
        <f t="shared" ca="1" si="183"/>
        <v>0</v>
      </c>
      <c r="AG78" s="335">
        <f t="shared" ca="1" si="183"/>
        <v>0</v>
      </c>
      <c r="AH78" s="335">
        <f t="shared" ca="1" si="159"/>
        <v>314.21777970765606</v>
      </c>
      <c r="AJ78" s="336"/>
      <c r="AK78" s="336"/>
      <c r="AL78" s="336"/>
      <c r="AM78" s="336"/>
      <c r="AN78" s="336"/>
      <c r="AO78" s="336"/>
      <c r="AP78" s="336"/>
      <c r="AQ78" s="336"/>
      <c r="AR78" s="336"/>
      <c r="AS78" s="336"/>
      <c r="AT78" s="336"/>
      <c r="AU78" s="336"/>
      <c r="AV78" s="336"/>
      <c r="AW78" s="336"/>
      <c r="AX78" s="336">
        <f ca="1">AX30+AX34+AX38</f>
        <v>-23.676023844485314</v>
      </c>
      <c r="AY78" s="336">
        <f t="shared" ca="1" si="147"/>
        <v>-23.676023844485314</v>
      </c>
      <c r="BA78" s="337"/>
      <c r="BB78" s="337"/>
      <c r="BC78" s="337">
        <f t="shared" si="160"/>
        <v>0</v>
      </c>
      <c r="BE78" s="568"/>
      <c r="BF78" s="568"/>
      <c r="BG78" s="569"/>
      <c r="BH78" s="570"/>
      <c r="BI78" s="570"/>
      <c r="BJ78" s="570"/>
      <c r="BK78" s="570"/>
      <c r="BL78" s="570"/>
      <c r="BM78" s="570"/>
      <c r="BN78" s="570"/>
      <c r="BO78" s="570"/>
      <c r="BP78" s="570"/>
      <c r="BQ78" s="570"/>
      <c r="BR78" s="570"/>
      <c r="BS78" s="570"/>
      <c r="BT78" s="570"/>
      <c r="BU78" s="570"/>
      <c r="BV78" s="570"/>
      <c r="BW78" s="570"/>
      <c r="BX78" s="570"/>
      <c r="BY78" s="570"/>
      <c r="BZ78" s="570"/>
      <c r="CA78" s="570"/>
      <c r="CB78" s="570"/>
      <c r="CC78" s="570"/>
      <c r="CD78" s="570"/>
      <c r="CE78" s="570"/>
      <c r="CF78" s="570"/>
      <c r="CG78" s="570"/>
      <c r="CH78" s="570"/>
      <c r="CI78" s="570"/>
      <c r="CJ78" s="570"/>
      <c r="CK78" s="570"/>
      <c r="CL78" s="570"/>
      <c r="CM78" s="570"/>
      <c r="CN78" s="570"/>
      <c r="CO78" s="570"/>
      <c r="CP78" s="570"/>
      <c r="CQ78" s="570"/>
      <c r="CR78" s="570"/>
      <c r="CS78" s="570"/>
      <c r="CT78" s="570"/>
      <c r="CU78" s="570"/>
      <c r="CW78" s="569">
        <f>SUM(BH78:CU78)</f>
        <v>0</v>
      </c>
    </row>
    <row r="79" spans="1:101" s="2685" customFormat="1" ht="12.75" customHeight="1" outlineLevel="1" x14ac:dyDescent="0.2">
      <c r="C79" s="319" t="s">
        <v>838</v>
      </c>
      <c r="D79" s="881" t="str">
        <f>INDEX(Modules[Module], MATCH($C79, Modules[Code], 0))</f>
        <v>Bioenergy imports</v>
      </c>
      <c r="E79" s="163"/>
      <c r="G79" s="326">
        <f t="shared" ca="1" si="179"/>
        <v>0</v>
      </c>
      <c r="H79" s="326">
        <f t="shared" ca="1" si="179"/>
        <v>0</v>
      </c>
      <c r="I79" s="326">
        <f t="shared" ca="1" si="179"/>
        <v>0</v>
      </c>
      <c r="J79" s="326">
        <f t="shared" ca="1" si="179"/>
        <v>0</v>
      </c>
      <c r="K79" s="326">
        <f t="shared" ca="1" si="179"/>
        <v>0</v>
      </c>
      <c r="L79" s="326">
        <f t="shared" ca="1" si="179"/>
        <v>0</v>
      </c>
      <c r="M79" s="326">
        <f t="shared" ca="1" si="179"/>
        <v>0</v>
      </c>
      <c r="N79" s="326">
        <f t="shared" ca="1" si="179"/>
        <v>0</v>
      </c>
      <c r="O79" s="326">
        <f t="shared" ca="1" si="179"/>
        <v>0</v>
      </c>
      <c r="P79" s="326">
        <f t="shared" ref="P79" ca="1" si="184">SUM(G79:O79)</f>
        <v>0</v>
      </c>
      <c r="Q79" s="882"/>
      <c r="R79" s="327">
        <f t="shared" ca="1" si="180"/>
        <v>0</v>
      </c>
      <c r="S79" s="327">
        <f t="shared" ca="1" si="180"/>
        <v>0</v>
      </c>
      <c r="T79" s="327">
        <f t="shared" ca="1" si="180"/>
        <v>0</v>
      </c>
      <c r="U79" s="327">
        <f t="shared" ca="1" si="180"/>
        <v>0</v>
      </c>
      <c r="V79" s="327">
        <f t="shared" ca="1" si="180"/>
        <v>0</v>
      </c>
      <c r="W79" s="327">
        <f t="shared" ca="1" si="180"/>
        <v>-2117.6175972906126</v>
      </c>
      <c r="X79" s="327">
        <f t="shared" ca="1" si="180"/>
        <v>0</v>
      </c>
      <c r="Y79" s="327">
        <f t="shared" ca="1" si="180"/>
        <v>0</v>
      </c>
      <c r="Z79" s="327">
        <f t="shared" ca="1" si="180"/>
        <v>0</v>
      </c>
      <c r="AA79" s="327">
        <f t="shared" ca="1" si="180"/>
        <v>0</v>
      </c>
      <c r="AB79" s="327">
        <f t="shared" ca="1" si="180"/>
        <v>0</v>
      </c>
      <c r="AC79" s="327">
        <f t="shared" ca="1" si="180"/>
        <v>0</v>
      </c>
      <c r="AD79" s="327">
        <f t="shared" ca="1" si="180"/>
        <v>0</v>
      </c>
      <c r="AE79" s="327">
        <f t="shared" ca="1" si="180"/>
        <v>0</v>
      </c>
      <c r="AF79" s="327">
        <f t="shared" ca="1" si="180"/>
        <v>0</v>
      </c>
      <c r="AG79" s="327">
        <f t="shared" ca="1" si="180"/>
        <v>0</v>
      </c>
      <c r="AH79" s="328">
        <f t="shared" ca="1" si="159"/>
        <v>-2117.6175972906126</v>
      </c>
      <c r="AI79" s="882"/>
      <c r="AJ79" s="329">
        <f t="shared" ca="1" si="181"/>
        <v>0</v>
      </c>
      <c r="AK79" s="329">
        <f t="shared" ca="1" si="181"/>
        <v>0</v>
      </c>
      <c r="AL79" s="329">
        <f t="shared" ca="1" si="181"/>
        <v>0</v>
      </c>
      <c r="AM79" s="329">
        <f t="shared" ca="1" si="181"/>
        <v>2117.6175972906126</v>
      </c>
      <c r="AN79" s="329">
        <f t="shared" ca="1" si="181"/>
        <v>0</v>
      </c>
      <c r="AO79" s="329">
        <f t="shared" ca="1" si="181"/>
        <v>0</v>
      </c>
      <c r="AP79" s="329">
        <f t="shared" ca="1" si="181"/>
        <v>0</v>
      </c>
      <c r="AQ79" s="329">
        <f t="shared" ca="1" si="181"/>
        <v>0</v>
      </c>
      <c r="AR79" s="329">
        <f t="shared" ca="1" si="181"/>
        <v>0</v>
      </c>
      <c r="AS79" s="329">
        <f t="shared" ca="1" si="181"/>
        <v>0</v>
      </c>
      <c r="AT79" s="329">
        <f t="shared" ca="1" si="181"/>
        <v>0</v>
      </c>
      <c r="AU79" s="329">
        <f t="shared" ca="1" si="181"/>
        <v>0</v>
      </c>
      <c r="AV79" s="329">
        <f t="shared" ca="1" si="181"/>
        <v>0</v>
      </c>
      <c r="AW79" s="329">
        <f t="shared" ca="1" si="181"/>
        <v>0</v>
      </c>
      <c r="AX79" s="329">
        <f t="shared" ca="1" si="181"/>
        <v>0</v>
      </c>
      <c r="AY79" s="330">
        <f t="shared" ref="AY79" ca="1" si="185">SUM(AJ79:AX79)</f>
        <v>2117.6175972906126</v>
      </c>
      <c r="AZ79" s="882"/>
      <c r="BA79" s="331">
        <f ca="1">IFERROR(INDEX(INDIRECT($C79&amp;".Outputs["&amp;this.Year&amp;"]"), MATCH(BA$5, INDIRECT($C79&amp;".Outputs[Vector]"), 0)), 0)</f>
        <v>0</v>
      </c>
      <c r="BB79" s="331">
        <f ca="1">IFERROR(INDEX(INDIRECT($C79&amp;".Outputs["&amp;this.Year&amp;"]"), MATCH(BB$5, INDIRECT($C79&amp;".Outputs[Vector]"), 0)), 0)</f>
        <v>0</v>
      </c>
      <c r="BC79" s="332">
        <f t="shared" ref="BC79" ca="1" si="186">SUM(BA79:BB79)</f>
        <v>0</v>
      </c>
      <c r="BD79" s="882"/>
      <c r="BE79" s="883">
        <f ca="1">P79+AH79+AY79+BC79</f>
        <v>0</v>
      </c>
      <c r="BF79" s="883"/>
      <c r="BG79" s="884"/>
      <c r="BH79" s="885">
        <f t="shared" ca="1" si="182"/>
        <v>0</v>
      </c>
      <c r="BI79" s="886">
        <f t="shared" ca="1" si="182"/>
        <v>0</v>
      </c>
      <c r="BJ79" s="886">
        <f t="shared" ca="1" si="182"/>
        <v>0</v>
      </c>
      <c r="BK79" s="886">
        <f t="shared" ca="1" si="182"/>
        <v>0</v>
      </c>
      <c r="BL79" s="886">
        <f t="shared" ca="1" si="182"/>
        <v>0</v>
      </c>
      <c r="BM79" s="886">
        <f t="shared" ca="1" si="182"/>
        <v>0</v>
      </c>
      <c r="BN79" s="886">
        <f t="shared" ca="1" si="182"/>
        <v>0</v>
      </c>
      <c r="BO79" s="886">
        <f t="shared" ca="1" si="182"/>
        <v>0</v>
      </c>
      <c r="BP79" s="886">
        <f t="shared" ca="1" si="182"/>
        <v>0</v>
      </c>
      <c r="BQ79" s="886">
        <f t="shared" ca="1" si="182"/>
        <v>0</v>
      </c>
      <c r="BR79" s="886">
        <f t="shared" ca="1" si="182"/>
        <v>0</v>
      </c>
      <c r="BS79" s="886">
        <f t="shared" ca="1" si="182"/>
        <v>0</v>
      </c>
      <c r="BT79" s="886">
        <f t="shared" ca="1" si="182"/>
        <v>0</v>
      </c>
      <c r="BU79" s="886">
        <f t="shared" ca="1" si="182"/>
        <v>0</v>
      </c>
      <c r="BV79" s="886">
        <f t="shared" ca="1" si="182"/>
        <v>0</v>
      </c>
      <c r="BW79" s="886">
        <f t="shared" ca="1" si="182"/>
        <v>0</v>
      </c>
      <c r="BX79" s="886">
        <f t="shared" ca="1" si="182"/>
        <v>0</v>
      </c>
      <c r="BY79" s="886">
        <f t="shared" ca="1" si="182"/>
        <v>0</v>
      </c>
      <c r="BZ79" s="886">
        <f t="shared" ca="1" si="182"/>
        <v>0</v>
      </c>
      <c r="CA79" s="886">
        <f t="shared" ca="1" si="182"/>
        <v>0</v>
      </c>
      <c r="CB79" s="886">
        <f t="shared" ca="1" si="182"/>
        <v>0</v>
      </c>
      <c r="CC79" s="886">
        <f t="shared" ca="1" si="182"/>
        <v>0</v>
      </c>
      <c r="CD79" s="886">
        <f t="shared" ca="1" si="182"/>
        <v>0</v>
      </c>
      <c r="CE79" s="886">
        <f t="shared" ca="1" si="182"/>
        <v>0</v>
      </c>
      <c r="CF79" s="886">
        <f t="shared" ca="1" si="182"/>
        <v>0</v>
      </c>
      <c r="CG79" s="886">
        <f t="shared" ca="1" si="182"/>
        <v>0</v>
      </c>
      <c r="CH79" s="886">
        <f t="shared" ca="1" si="182"/>
        <v>0</v>
      </c>
      <c r="CI79" s="886">
        <f t="shared" ca="1" si="182"/>
        <v>0</v>
      </c>
      <c r="CJ79" s="886">
        <f t="shared" ca="1" si="182"/>
        <v>0</v>
      </c>
      <c r="CK79" s="886">
        <f t="shared" ca="1" si="182"/>
        <v>0</v>
      </c>
      <c r="CL79" s="886">
        <f t="shared" ca="1" si="182"/>
        <v>0</v>
      </c>
      <c r="CM79" s="886">
        <f t="shared" ca="1" si="182"/>
        <v>0</v>
      </c>
      <c r="CN79" s="886">
        <f t="shared" ca="1" si="182"/>
        <v>0</v>
      </c>
      <c r="CO79" s="886">
        <f t="shared" ca="1" si="182"/>
        <v>0</v>
      </c>
      <c r="CP79" s="886">
        <f t="shared" ca="1" si="182"/>
        <v>0</v>
      </c>
      <c r="CQ79" s="886">
        <f t="shared" ca="1" si="182"/>
        <v>0</v>
      </c>
      <c r="CR79" s="886">
        <f t="shared" ca="1" si="182"/>
        <v>0</v>
      </c>
      <c r="CS79" s="886">
        <f t="shared" ca="1" si="182"/>
        <v>0</v>
      </c>
      <c r="CT79" s="886">
        <f t="shared" ca="1" si="182"/>
        <v>0</v>
      </c>
      <c r="CU79" s="886">
        <f t="shared" ca="1" si="182"/>
        <v>0</v>
      </c>
      <c r="CV79" s="882"/>
      <c r="CW79" s="887">
        <f t="shared" ref="CW79" ca="1" si="187">SUM(BH79:CU79)</f>
        <v>0</v>
      </c>
    </row>
    <row r="80" spans="1:101" s="84" customFormat="1" ht="15.75" x14ac:dyDescent="0.2">
      <c r="A80" s="18"/>
      <c r="B80" s="89"/>
      <c r="C80" s="85" t="s">
        <v>224</v>
      </c>
      <c r="D80" s="57" t="str">
        <f>INDEX(Workstreams[Workstream], MATCH($C80, Workstreams[Code], 0))</f>
        <v>Bioenergy</v>
      </c>
      <c r="E80" s="53"/>
      <c r="G80" s="300">
        <f ca="1">G$77+G79</f>
        <v>0</v>
      </c>
      <c r="H80" s="300">
        <f t="shared" ref="H80:O80" ca="1" si="188">H$77+H79</f>
        <v>0</v>
      </c>
      <c r="I80" s="300">
        <f t="shared" ca="1" si="188"/>
        <v>0</v>
      </c>
      <c r="J80" s="300">
        <f t="shared" ca="1" si="188"/>
        <v>0</v>
      </c>
      <c r="K80" s="300">
        <f t="shared" ca="1" si="188"/>
        <v>0</v>
      </c>
      <c r="L80" s="300">
        <f t="shared" ca="1" si="188"/>
        <v>0</v>
      </c>
      <c r="M80" s="300">
        <f t="shared" ca="1" si="188"/>
        <v>0</v>
      </c>
      <c r="N80" s="300">
        <f t="shared" ca="1" si="188"/>
        <v>0</v>
      </c>
      <c r="O80" s="300">
        <f t="shared" ca="1" si="188"/>
        <v>0</v>
      </c>
      <c r="P80" s="300">
        <f t="shared" ca="1" si="136"/>
        <v>0</v>
      </c>
      <c r="R80" s="257">
        <f ca="1">R$77+R79</f>
        <v>0</v>
      </c>
      <c r="S80" s="257">
        <f t="shared" ref="S80:AG80" ca="1" si="189">S$77+S79</f>
        <v>0</v>
      </c>
      <c r="T80" s="257">
        <f t="shared" ca="1" si="189"/>
        <v>0</v>
      </c>
      <c r="U80" s="257">
        <f t="shared" ca="1" si="189"/>
        <v>8.3041107044081546</v>
      </c>
      <c r="V80" s="257">
        <f t="shared" ca="1" si="189"/>
        <v>922.08776152790972</v>
      </c>
      <c r="W80" s="257">
        <f t="shared" ca="1" si="189"/>
        <v>45.201438373394467</v>
      </c>
      <c r="X80" s="257">
        <f t="shared" ca="1" si="189"/>
        <v>0</v>
      </c>
      <c r="Y80" s="257">
        <f t="shared" ca="1" si="189"/>
        <v>0</v>
      </c>
      <c r="Z80" s="257">
        <f t="shared" ca="1" si="189"/>
        <v>0</v>
      </c>
      <c r="AA80" s="257">
        <f t="shared" ca="1" si="189"/>
        <v>0</v>
      </c>
      <c r="AB80" s="257">
        <f t="shared" ca="1" si="189"/>
        <v>0</v>
      </c>
      <c r="AC80" s="257">
        <f t="shared" ca="1" si="189"/>
        <v>-3015.7127577094616</v>
      </c>
      <c r="AD80" s="257">
        <f t="shared" ca="1" si="189"/>
        <v>-32.848539178829725</v>
      </c>
      <c r="AE80" s="257">
        <f t="shared" ca="1" si="189"/>
        <v>-387.93811788325291</v>
      </c>
      <c r="AF80" s="257">
        <f t="shared" ca="1" si="189"/>
        <v>-114.0710003108473</v>
      </c>
      <c r="AG80" s="257">
        <f t="shared" ca="1" si="189"/>
        <v>-3.6967332308852345</v>
      </c>
      <c r="AH80" s="257">
        <f t="shared" ca="1" si="159"/>
        <v>-2578.6738377075649</v>
      </c>
      <c r="AJ80" s="263">
        <f ca="1">AJ$77+AJ79</f>
        <v>0</v>
      </c>
      <c r="AK80" s="263">
        <f t="shared" ref="AK80:AX80" ca="1" si="190">AK$77+AK79</f>
        <v>0</v>
      </c>
      <c r="AL80" s="263">
        <f t="shared" ca="1" si="190"/>
        <v>0</v>
      </c>
      <c r="AM80" s="263">
        <f t="shared" ca="1" si="190"/>
        <v>2117.6175972906126</v>
      </c>
      <c r="AN80" s="263">
        <f t="shared" ca="1" si="190"/>
        <v>0</v>
      </c>
      <c r="AO80" s="263">
        <f t="shared" ca="1" si="190"/>
        <v>0</v>
      </c>
      <c r="AP80" s="263">
        <f t="shared" ca="1" si="190"/>
        <v>0</v>
      </c>
      <c r="AQ80" s="263">
        <f t="shared" ca="1" si="190"/>
        <v>0</v>
      </c>
      <c r="AR80" s="263">
        <f t="shared" ca="1" si="190"/>
        <v>0</v>
      </c>
      <c r="AS80" s="263">
        <f t="shared" ca="1" si="190"/>
        <v>0</v>
      </c>
      <c r="AT80" s="263">
        <f t="shared" ca="1" si="190"/>
        <v>0</v>
      </c>
      <c r="AU80" s="263">
        <f t="shared" ca="1" si="190"/>
        <v>0</v>
      </c>
      <c r="AV80" s="263">
        <f t="shared" ca="1" si="190"/>
        <v>0</v>
      </c>
      <c r="AW80" s="263">
        <f t="shared" ca="1" si="190"/>
        <v>0</v>
      </c>
      <c r="AX80" s="263">
        <f t="shared" ca="1" si="190"/>
        <v>0</v>
      </c>
      <c r="AY80" s="263">
        <f t="shared" ca="1" si="147"/>
        <v>2117.6175972906126</v>
      </c>
      <c r="BA80" s="277">
        <f ca="1">BA$77+BA79</f>
        <v>461.05624041695228</v>
      </c>
      <c r="BB80" s="277">
        <f ca="1">BB$77+BB79</f>
        <v>0</v>
      </c>
      <c r="BC80" s="277">
        <f t="shared" ca="1" si="160"/>
        <v>461.05624041695228</v>
      </c>
      <c r="BE80" s="55">
        <f ca="1">P80+AH80+AY80+BC80</f>
        <v>0</v>
      </c>
      <c r="BF80" s="55"/>
      <c r="BG80" s="1428"/>
      <c r="BH80" s="542">
        <f ca="1">BH$77+BH79</f>
        <v>0</v>
      </c>
      <c r="BI80" s="542">
        <f t="shared" ref="BI80:CU80" ca="1" si="191">BI$77+BI79</f>
        <v>0</v>
      </c>
      <c r="BJ80" s="542">
        <f t="shared" ca="1" si="191"/>
        <v>0</v>
      </c>
      <c r="BK80" s="542">
        <f t="shared" ca="1" si="191"/>
        <v>0</v>
      </c>
      <c r="BL80" s="542">
        <f t="shared" ca="1" si="191"/>
        <v>0</v>
      </c>
      <c r="BM80" s="542">
        <f t="shared" ca="1" si="191"/>
        <v>0</v>
      </c>
      <c r="BN80" s="542">
        <f t="shared" ca="1" si="191"/>
        <v>0</v>
      </c>
      <c r="BO80" s="542">
        <f t="shared" ca="1" si="191"/>
        <v>0</v>
      </c>
      <c r="BP80" s="542">
        <f t="shared" ca="1" si="191"/>
        <v>0</v>
      </c>
      <c r="BQ80" s="542">
        <f t="shared" ca="1" si="191"/>
        <v>0</v>
      </c>
      <c r="BR80" s="542">
        <f t="shared" ca="1" si="191"/>
        <v>0</v>
      </c>
      <c r="BS80" s="542">
        <f t="shared" ca="1" si="191"/>
        <v>0</v>
      </c>
      <c r="BT80" s="542">
        <f t="shared" ca="1" si="191"/>
        <v>0</v>
      </c>
      <c r="BU80" s="542">
        <f t="shared" ca="1" si="191"/>
        <v>0</v>
      </c>
      <c r="BV80" s="542">
        <f t="shared" ca="1" si="191"/>
        <v>0</v>
      </c>
      <c r="BW80" s="542">
        <f t="shared" ca="1" si="191"/>
        <v>0</v>
      </c>
      <c r="BX80" s="542">
        <f t="shared" ca="1" si="191"/>
        <v>0</v>
      </c>
      <c r="BY80" s="542">
        <f t="shared" ca="1" si="191"/>
        <v>0</v>
      </c>
      <c r="BZ80" s="542">
        <f t="shared" ca="1" si="191"/>
        <v>0</v>
      </c>
      <c r="CA80" s="542">
        <f t="shared" ca="1" si="191"/>
        <v>0</v>
      </c>
      <c r="CB80" s="542">
        <f t="shared" ca="1" si="191"/>
        <v>0</v>
      </c>
      <c r="CC80" s="542">
        <f t="shared" ca="1" si="191"/>
        <v>0</v>
      </c>
      <c r="CD80" s="542">
        <f t="shared" ca="1" si="191"/>
        <v>0</v>
      </c>
      <c r="CE80" s="542">
        <f t="shared" ca="1" si="191"/>
        <v>0</v>
      </c>
      <c r="CF80" s="542">
        <f t="shared" ca="1" si="191"/>
        <v>0</v>
      </c>
      <c r="CG80" s="542">
        <f t="shared" ca="1" si="191"/>
        <v>0</v>
      </c>
      <c r="CH80" s="542">
        <f t="shared" ca="1" si="191"/>
        <v>0</v>
      </c>
      <c r="CI80" s="542">
        <f t="shared" ca="1" si="191"/>
        <v>0</v>
      </c>
      <c r="CJ80" s="542">
        <f t="shared" ca="1" si="191"/>
        <v>0</v>
      </c>
      <c r="CK80" s="542">
        <f t="shared" ca="1" si="191"/>
        <v>0</v>
      </c>
      <c r="CL80" s="542">
        <f t="shared" ca="1" si="191"/>
        <v>0</v>
      </c>
      <c r="CM80" s="542">
        <f t="shared" ca="1" si="191"/>
        <v>0</v>
      </c>
      <c r="CN80" s="542">
        <f t="shared" ca="1" si="191"/>
        <v>-171.74017579723738</v>
      </c>
      <c r="CO80" s="542">
        <f t="shared" ca="1" si="191"/>
        <v>0</v>
      </c>
      <c r="CP80" s="542">
        <f t="shared" ca="1" si="191"/>
        <v>0</v>
      </c>
      <c r="CQ80" s="542">
        <f t="shared" ca="1" si="191"/>
        <v>0</v>
      </c>
      <c r="CR80" s="542">
        <f t="shared" ca="1" si="191"/>
        <v>0</v>
      </c>
      <c r="CS80" s="542">
        <f t="shared" ca="1" si="191"/>
        <v>0</v>
      </c>
      <c r="CT80" s="542">
        <f t="shared" ca="1" si="191"/>
        <v>0</v>
      </c>
      <c r="CU80" s="542">
        <f t="shared" ca="1" si="191"/>
        <v>0</v>
      </c>
      <c r="CW80" s="151">
        <f t="shared" ca="1" si="177"/>
        <v>-171.74017579723738</v>
      </c>
    </row>
    <row r="81" spans="2:101" s="18" customFormat="1" ht="12.75" customHeight="1" outlineLevel="1" x14ac:dyDescent="0.2">
      <c r="B81" s="89"/>
      <c r="C81" s="85"/>
      <c r="D81" s="57"/>
      <c r="E81" s="53"/>
      <c r="F81" s="84"/>
      <c r="G81" s="245"/>
      <c r="H81" s="245"/>
      <c r="I81" s="245"/>
      <c r="J81" s="245"/>
      <c r="K81" s="245"/>
      <c r="L81" s="247"/>
      <c r="M81" s="245"/>
      <c r="N81" s="245"/>
      <c r="O81" s="245"/>
      <c r="P81" s="245">
        <f t="shared" si="136"/>
        <v>0</v>
      </c>
      <c r="Q81" s="84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>
        <f t="shared" si="159"/>
        <v>0</v>
      </c>
      <c r="AI81" s="84"/>
      <c r="AJ81" s="263"/>
      <c r="AK81" s="263"/>
      <c r="AL81" s="263"/>
      <c r="AM81" s="263"/>
      <c r="AN81" s="263"/>
      <c r="AO81" s="263"/>
      <c r="AP81" s="263"/>
      <c r="AQ81" s="263"/>
      <c r="AR81" s="263"/>
      <c r="AS81" s="263"/>
      <c r="AT81" s="263"/>
      <c r="AU81" s="263"/>
      <c r="AV81" s="263"/>
      <c r="AW81" s="263"/>
      <c r="AX81" s="263"/>
      <c r="AY81" s="263">
        <f t="shared" si="147"/>
        <v>0</v>
      </c>
      <c r="AZ81" s="84"/>
      <c r="BA81" s="277"/>
      <c r="BB81" s="277"/>
      <c r="BC81" s="277">
        <f t="shared" si="160"/>
        <v>0</v>
      </c>
      <c r="BD81" s="84"/>
      <c r="BE81" s="55"/>
      <c r="BF81" s="55"/>
      <c r="BH81" s="542"/>
      <c r="BI81" s="542"/>
      <c r="BJ81" s="542"/>
      <c r="BK81" s="542"/>
      <c r="BL81" s="542"/>
      <c r="BM81" s="542"/>
      <c r="BN81" s="542"/>
      <c r="BO81" s="542"/>
      <c r="BP81" s="542"/>
      <c r="BQ81" s="542"/>
      <c r="BR81" s="542"/>
      <c r="BS81" s="542"/>
      <c r="BT81" s="542"/>
      <c r="BU81" s="542"/>
      <c r="BV81" s="542"/>
      <c r="BW81" s="542"/>
      <c r="BX81" s="542"/>
      <c r="BY81" s="542"/>
      <c r="BZ81" s="542"/>
      <c r="CA81" s="542"/>
      <c r="CB81" s="542"/>
      <c r="CC81" s="542"/>
      <c r="CD81" s="542"/>
      <c r="CE81" s="542"/>
      <c r="CF81" s="542"/>
      <c r="CG81" s="542"/>
      <c r="CH81" s="542"/>
      <c r="CI81" s="542"/>
      <c r="CJ81" s="542"/>
      <c r="CK81" s="542"/>
      <c r="CL81" s="542"/>
      <c r="CM81" s="542"/>
      <c r="CN81" s="542"/>
      <c r="CO81" s="542"/>
      <c r="CP81" s="542"/>
      <c r="CQ81" s="542"/>
      <c r="CR81" s="542"/>
      <c r="CS81" s="542"/>
      <c r="CT81" s="542"/>
      <c r="CU81" s="542"/>
      <c r="CW81" s="151">
        <f t="shared" si="177"/>
        <v>0</v>
      </c>
    </row>
    <row r="82" spans="2:101" s="547" customFormat="1" ht="12.75" customHeight="1" outlineLevel="1" x14ac:dyDescent="0.2">
      <c r="C82" s="319" t="s">
        <v>861</v>
      </c>
      <c r="D82" s="163" t="s">
        <v>817</v>
      </c>
      <c r="E82" s="163"/>
      <c r="G82" s="333"/>
      <c r="H82" s="333"/>
      <c r="I82" s="333"/>
      <c r="J82" s="333"/>
      <c r="K82" s="333"/>
      <c r="L82" s="334"/>
      <c r="M82" s="333"/>
      <c r="N82" s="333"/>
      <c r="O82" s="333"/>
      <c r="P82" s="333">
        <f t="shared" si="136"/>
        <v>0</v>
      </c>
      <c r="Q82" s="550"/>
      <c r="R82" s="335">
        <f t="shared" ref="R82:W82" ca="1" si="192">(R$28+R$66+R$74+R$80)</f>
        <v>-946.39709827169258</v>
      </c>
      <c r="S82" s="335">
        <f t="shared" ca="1" si="192"/>
        <v>1610.3262588587008</v>
      </c>
      <c r="T82" s="335">
        <f t="shared" ca="1" si="192"/>
        <v>-1241.5439171180863</v>
      </c>
      <c r="U82" s="335">
        <f t="shared" ca="1" si="192"/>
        <v>-191.75650933957016</v>
      </c>
      <c r="V82" s="335">
        <f t="shared" ca="1" si="192"/>
        <v>-370.09939112530026</v>
      </c>
      <c r="W82" s="335">
        <f t="shared" ca="1" si="192"/>
        <v>2.0605739337042905E-13</v>
      </c>
      <c r="X82" s="335"/>
      <c r="Y82" s="335"/>
      <c r="Z82" s="335"/>
      <c r="AA82" s="335"/>
      <c r="AB82" s="335"/>
      <c r="AC82" s="335"/>
      <c r="AD82" s="335"/>
      <c r="AE82" s="335"/>
      <c r="AF82" s="335"/>
      <c r="AG82" s="335"/>
      <c r="AH82" s="335">
        <f t="shared" ca="1" si="159"/>
        <v>-1139.4706569959483</v>
      </c>
      <c r="AI82" s="550"/>
      <c r="AJ82" s="336"/>
      <c r="AK82" s="336"/>
      <c r="AL82" s="336"/>
      <c r="AM82" s="336"/>
      <c r="AN82" s="336"/>
      <c r="AO82" s="336"/>
      <c r="AP82" s="336"/>
      <c r="AQ82" s="336"/>
      <c r="AR82" s="336"/>
      <c r="AS82" s="336"/>
      <c r="AT82" s="336"/>
      <c r="AU82" s="336"/>
      <c r="AV82" s="336"/>
      <c r="AW82" s="336"/>
      <c r="AX82" s="336"/>
      <c r="AY82" s="336">
        <f t="shared" si="147"/>
        <v>0</v>
      </c>
      <c r="AZ82" s="550"/>
      <c r="BA82" s="337"/>
      <c r="BB82" s="337"/>
      <c r="BC82" s="337">
        <f t="shared" si="160"/>
        <v>0</v>
      </c>
      <c r="BE82" s="164"/>
      <c r="BF82" s="164"/>
      <c r="BH82" s="549"/>
      <c r="BI82" s="549"/>
      <c r="BJ82" s="549"/>
      <c r="BK82" s="549"/>
      <c r="BL82" s="549"/>
      <c r="BM82" s="549"/>
      <c r="BN82" s="549"/>
      <c r="BO82" s="549"/>
      <c r="BP82" s="549"/>
      <c r="BQ82" s="549"/>
      <c r="BR82" s="549"/>
      <c r="BS82" s="549"/>
      <c r="BT82" s="549"/>
      <c r="BU82" s="549"/>
      <c r="BV82" s="549"/>
      <c r="BW82" s="549"/>
      <c r="BX82" s="549"/>
      <c r="BY82" s="549"/>
      <c r="BZ82" s="549"/>
      <c r="CA82" s="549"/>
      <c r="CB82" s="549"/>
      <c r="CC82" s="549"/>
      <c r="CD82" s="549"/>
      <c r="CE82" s="549"/>
      <c r="CF82" s="549"/>
      <c r="CG82" s="549"/>
      <c r="CH82" s="549"/>
      <c r="CI82" s="549"/>
      <c r="CJ82" s="549"/>
      <c r="CK82" s="549"/>
      <c r="CL82" s="549"/>
      <c r="CM82" s="549"/>
      <c r="CN82" s="549"/>
      <c r="CO82" s="549"/>
      <c r="CP82" s="549"/>
      <c r="CQ82" s="549"/>
      <c r="CR82" s="549"/>
      <c r="CS82" s="549"/>
      <c r="CT82" s="549"/>
      <c r="CU82" s="549"/>
      <c r="CW82" s="151">
        <f t="shared" si="177"/>
        <v>0</v>
      </c>
    </row>
    <row r="83" spans="2:101" s="543" customFormat="1" ht="12.75" customHeight="1" outlineLevel="1" x14ac:dyDescent="0.2">
      <c r="B83" s="551"/>
      <c r="C83" s="62" t="s">
        <v>439</v>
      </c>
      <c r="D83" s="61" t="str">
        <f>INDEX(Modules[Module], MATCH($C83, Modules[Code], 0))</f>
        <v>Fossil fuel transfers</v>
      </c>
      <c r="E83" s="61"/>
      <c r="F83" s="84"/>
      <c r="G83" s="250">
        <f t="shared" ref="G83:O83" ca="1" si="193">IFERROR(INDEX(INDIRECT($C83&amp;".Outputs["&amp;this.Year&amp;"]"), MATCH(G$5, INDIRECT($C83&amp;".Outputs[Vector]"), 0)), 0)</f>
        <v>0</v>
      </c>
      <c r="H83" s="250">
        <f t="shared" ca="1" si="193"/>
        <v>0</v>
      </c>
      <c r="I83" s="250">
        <f t="shared" ca="1" si="193"/>
        <v>0</v>
      </c>
      <c r="J83" s="250">
        <f t="shared" ca="1" si="193"/>
        <v>0</v>
      </c>
      <c r="K83" s="250">
        <f t="shared" ca="1" si="193"/>
        <v>0</v>
      </c>
      <c r="L83" s="251">
        <f t="shared" ca="1" si="193"/>
        <v>0</v>
      </c>
      <c r="M83" s="250">
        <f t="shared" ca="1" si="193"/>
        <v>0</v>
      </c>
      <c r="N83" s="250">
        <f t="shared" ca="1" si="193"/>
        <v>0</v>
      </c>
      <c r="O83" s="250">
        <f t="shared" ca="1" si="193"/>
        <v>0</v>
      </c>
      <c r="P83" s="250">
        <f t="shared" ca="1" si="136"/>
        <v>0</v>
      </c>
      <c r="Q83" s="84"/>
      <c r="R83" s="259">
        <f t="shared" ref="R83:AG83" ca="1" si="194">IFERROR(INDEX(INDIRECT($C83&amp;".Outputs["&amp;this.Year&amp;"]"), MATCH(R$5, INDIRECT($C83&amp;".Outputs[Vector]"), 0)), 0)</f>
        <v>0</v>
      </c>
      <c r="S83" s="259">
        <f t="shared" ca="1" si="194"/>
        <v>0</v>
      </c>
      <c r="T83" s="259">
        <f t="shared" ca="1" si="194"/>
        <v>1241.5439171180863</v>
      </c>
      <c r="U83" s="259">
        <f t="shared" ca="1" si="194"/>
        <v>191.75650933957016</v>
      </c>
      <c r="V83" s="259">
        <f t="shared" ca="1" si="194"/>
        <v>370.09939112530026</v>
      </c>
      <c r="W83" s="259">
        <f t="shared" ca="1" si="194"/>
        <v>-2.0605739337042905E-13</v>
      </c>
      <c r="X83" s="259">
        <f t="shared" ca="1" si="194"/>
        <v>-1241.5439171180863</v>
      </c>
      <c r="Y83" s="259">
        <f t="shared" ca="1" si="194"/>
        <v>-191.75650933957016</v>
      </c>
      <c r="Z83" s="259">
        <f t="shared" ca="1" si="194"/>
        <v>-374.54058381880384</v>
      </c>
      <c r="AA83" s="259">
        <f t="shared" ca="1" si="194"/>
        <v>0</v>
      </c>
      <c r="AB83" s="259">
        <f t="shared" ca="1" si="194"/>
        <v>0</v>
      </c>
      <c r="AC83" s="259">
        <f t="shared" ca="1" si="194"/>
        <v>0</v>
      </c>
      <c r="AD83" s="259">
        <f t="shared" ca="1" si="194"/>
        <v>0</v>
      </c>
      <c r="AE83" s="259">
        <f t="shared" ca="1" si="194"/>
        <v>0</v>
      </c>
      <c r="AF83" s="259">
        <f t="shared" ca="1" si="194"/>
        <v>0</v>
      </c>
      <c r="AG83" s="259">
        <f t="shared" ca="1" si="194"/>
        <v>0</v>
      </c>
      <c r="AH83" s="259">
        <f t="shared" ca="1" si="159"/>
        <v>-4.4411926935039219</v>
      </c>
      <c r="AI83" s="84"/>
      <c r="AJ83" s="266">
        <f t="shared" ref="AJ83:AX83" ca="1" si="195">IFERROR(INDEX(INDIRECT($C83&amp;".Outputs["&amp;this.Year&amp;"]"), MATCH(AJ$5, INDIRECT($C83&amp;".Outputs[Vector]"), 0)), 0)</f>
        <v>0</v>
      </c>
      <c r="AK83" s="266">
        <f t="shared" ca="1" si="195"/>
        <v>0</v>
      </c>
      <c r="AL83" s="266">
        <f t="shared" ca="1" si="195"/>
        <v>0</v>
      </c>
      <c r="AM83" s="266">
        <f t="shared" ca="1" si="195"/>
        <v>0</v>
      </c>
      <c r="AN83" s="266">
        <f t="shared" ca="1" si="195"/>
        <v>0</v>
      </c>
      <c r="AO83" s="266">
        <f t="shared" ca="1" si="195"/>
        <v>0</v>
      </c>
      <c r="AP83" s="266">
        <f t="shared" ca="1" si="195"/>
        <v>0</v>
      </c>
      <c r="AQ83" s="266">
        <f t="shared" ca="1" si="195"/>
        <v>0</v>
      </c>
      <c r="AR83" s="266">
        <f t="shared" ca="1" si="195"/>
        <v>0</v>
      </c>
      <c r="AS83" s="266">
        <f t="shared" ca="1" si="195"/>
        <v>0</v>
      </c>
      <c r="AT83" s="266">
        <f t="shared" ca="1" si="195"/>
        <v>0</v>
      </c>
      <c r="AU83" s="266">
        <f t="shared" ca="1" si="195"/>
        <v>0</v>
      </c>
      <c r="AV83" s="266">
        <f t="shared" ca="1" si="195"/>
        <v>0</v>
      </c>
      <c r="AW83" s="266">
        <f t="shared" ca="1" si="195"/>
        <v>0</v>
      </c>
      <c r="AX83" s="266">
        <f t="shared" ca="1" si="195"/>
        <v>0</v>
      </c>
      <c r="AY83" s="266">
        <f t="shared" ca="1" si="147"/>
        <v>0</v>
      </c>
      <c r="AZ83" s="84"/>
      <c r="BA83" s="279">
        <f ca="1">IFERROR(INDEX(INDIRECT($C83&amp;".Outputs["&amp;this.Year&amp;"]"), MATCH(BA$5, INDIRECT($C83&amp;".Outputs[Vector]"), 0)), 0)</f>
        <v>0</v>
      </c>
      <c r="BB83" s="279">
        <f ca="1">IFERROR(INDEX(INDIRECT($C83&amp;".Outputs["&amp;this.Year&amp;"]"), MATCH(BB$5, INDIRECT($C83&amp;".Outputs[Vector]"), 0)), 0)</f>
        <v>4.441192693503603</v>
      </c>
      <c r="BC83" s="279">
        <f t="shared" ca="1" si="160"/>
        <v>4.441192693503603</v>
      </c>
      <c r="BD83" s="84"/>
      <c r="BE83" s="55">
        <f t="shared" ref="BE83:BE90" ca="1" si="196">P83+AH83+AY83+BC83</f>
        <v>-3.1885605267234496E-13</v>
      </c>
      <c r="BF83" s="135"/>
      <c r="BH83" s="541">
        <f t="shared" ref="BH83:BQ84" ca="1" si="197">IFERROR(SUMIFS(INDIRECT($C83&amp;".Emissions["&amp;this.Year&amp;"]"), INDIRECT($C83&amp;".Emissions[GHG]"), BH$6, INDIRECT($C83&amp;".Emissions[IPCC Sector]"), BH$5),0)</f>
        <v>0</v>
      </c>
      <c r="BI83" s="542">
        <f t="shared" ca="1" si="197"/>
        <v>0</v>
      </c>
      <c r="BJ83" s="542">
        <f t="shared" ca="1" si="197"/>
        <v>0</v>
      </c>
      <c r="BK83" s="542">
        <f t="shared" ca="1" si="197"/>
        <v>0</v>
      </c>
      <c r="BL83" s="542">
        <f t="shared" ca="1" si="197"/>
        <v>0</v>
      </c>
      <c r="BM83" s="542">
        <f t="shared" ca="1" si="197"/>
        <v>32.681353552015572</v>
      </c>
      <c r="BN83" s="542">
        <f t="shared" ca="1" si="197"/>
        <v>0</v>
      </c>
      <c r="BO83" s="542">
        <f t="shared" ca="1" si="197"/>
        <v>0</v>
      </c>
      <c r="BP83" s="542">
        <f t="shared" ca="1" si="197"/>
        <v>0</v>
      </c>
      <c r="BQ83" s="542">
        <f t="shared" ca="1" si="197"/>
        <v>0</v>
      </c>
      <c r="BR83" s="542">
        <f t="shared" ref="BR83:CA84" ca="1" si="198">IFERROR(SUMIFS(INDIRECT($C83&amp;".Emissions["&amp;this.Year&amp;"]"), INDIRECT($C83&amp;".Emissions[GHG]"), BR$6, INDIRECT($C83&amp;".Emissions[IPCC Sector]"), BR$5),0)</f>
        <v>0</v>
      </c>
      <c r="BS83" s="542">
        <f t="shared" ca="1" si="198"/>
        <v>0</v>
      </c>
      <c r="BT83" s="542">
        <f t="shared" ca="1" si="198"/>
        <v>0</v>
      </c>
      <c r="BU83" s="542">
        <f t="shared" ca="1" si="198"/>
        <v>0</v>
      </c>
      <c r="BV83" s="542">
        <f t="shared" ca="1" si="198"/>
        <v>0</v>
      </c>
      <c r="BW83" s="542">
        <f t="shared" ca="1" si="198"/>
        <v>0</v>
      </c>
      <c r="BX83" s="542">
        <f t="shared" ca="1" si="198"/>
        <v>0</v>
      </c>
      <c r="BY83" s="542">
        <f t="shared" ca="1" si="198"/>
        <v>0</v>
      </c>
      <c r="BZ83" s="542">
        <f t="shared" ca="1" si="198"/>
        <v>0</v>
      </c>
      <c r="CA83" s="542">
        <f t="shared" ca="1" si="198"/>
        <v>0</v>
      </c>
      <c r="CB83" s="542">
        <f t="shared" ref="CB83:CK84" ca="1" si="199">IFERROR(SUMIFS(INDIRECT($C83&amp;".Emissions["&amp;this.Year&amp;"]"), INDIRECT($C83&amp;".Emissions[GHG]"), CB$6, INDIRECT($C83&amp;".Emissions[IPCC Sector]"), CB$5),0)</f>
        <v>0</v>
      </c>
      <c r="CC83" s="542">
        <f t="shared" ca="1" si="199"/>
        <v>0</v>
      </c>
      <c r="CD83" s="542">
        <f t="shared" ca="1" si="199"/>
        <v>0</v>
      </c>
      <c r="CE83" s="542">
        <f t="shared" ca="1" si="199"/>
        <v>0</v>
      </c>
      <c r="CF83" s="542">
        <f t="shared" ca="1" si="199"/>
        <v>0</v>
      </c>
      <c r="CG83" s="542">
        <f t="shared" ca="1" si="199"/>
        <v>0</v>
      </c>
      <c r="CH83" s="542">
        <f t="shared" ca="1" si="199"/>
        <v>0</v>
      </c>
      <c r="CI83" s="542">
        <f t="shared" ca="1" si="199"/>
        <v>0</v>
      </c>
      <c r="CJ83" s="542">
        <f t="shared" ca="1" si="199"/>
        <v>0</v>
      </c>
      <c r="CK83" s="542">
        <f t="shared" ca="1" si="199"/>
        <v>0</v>
      </c>
      <c r="CL83" s="542">
        <f t="shared" ref="CL83:CU84" ca="1" si="200">IFERROR(SUMIFS(INDIRECT($C83&amp;".Emissions["&amp;this.Year&amp;"]"), INDIRECT($C83&amp;".Emissions[GHG]"), CL$6, INDIRECT($C83&amp;".Emissions[IPCC Sector]"), CL$5),0)</f>
        <v>0</v>
      </c>
      <c r="CM83" s="542">
        <f t="shared" ca="1" si="200"/>
        <v>0</v>
      </c>
      <c r="CN83" s="542">
        <f t="shared" ca="1" si="200"/>
        <v>0</v>
      </c>
      <c r="CO83" s="542">
        <f t="shared" ca="1" si="200"/>
        <v>0</v>
      </c>
      <c r="CP83" s="542">
        <f t="shared" ca="1" si="200"/>
        <v>0</v>
      </c>
      <c r="CQ83" s="542">
        <f t="shared" ca="1" si="200"/>
        <v>0</v>
      </c>
      <c r="CR83" s="542">
        <f t="shared" ca="1" si="200"/>
        <v>0</v>
      </c>
      <c r="CS83" s="542">
        <f t="shared" ca="1" si="200"/>
        <v>0</v>
      </c>
      <c r="CT83" s="542">
        <f t="shared" ca="1" si="200"/>
        <v>0</v>
      </c>
      <c r="CU83" s="542">
        <f t="shared" ca="1" si="200"/>
        <v>0</v>
      </c>
      <c r="CW83" s="151">
        <f t="shared" ca="1" si="177"/>
        <v>32.681353552015572</v>
      </c>
    </row>
    <row r="84" spans="2:101" s="543" customFormat="1" ht="12.75" customHeight="1" outlineLevel="1" x14ac:dyDescent="0.2">
      <c r="B84" s="551" t="s">
        <v>322</v>
      </c>
      <c r="C84" s="62" t="s">
        <v>440</v>
      </c>
      <c r="D84" s="292" t="str">
        <f>INDEX(Modules[Module], MATCH($C84, Modules[Code], 0))</f>
        <v>Balancing imports</v>
      </c>
      <c r="E84" s="292"/>
      <c r="F84" s="84"/>
      <c r="G84" s="361"/>
      <c r="H84" s="361"/>
      <c r="I84" s="361"/>
      <c r="J84" s="361"/>
      <c r="K84" s="361"/>
      <c r="L84" s="362"/>
      <c r="M84" s="361"/>
      <c r="N84" s="361"/>
      <c r="O84" s="361"/>
      <c r="P84" s="361">
        <f t="shared" si="136"/>
        <v>0</v>
      </c>
      <c r="Q84" s="84"/>
      <c r="R84" s="363"/>
      <c r="S84" s="363">
        <f ca="1">-(S$82+R$82)</f>
        <v>-663.92916058700825</v>
      </c>
      <c r="T84" s="363"/>
      <c r="U84" s="363"/>
      <c r="V84" s="363"/>
      <c r="W84" s="363"/>
      <c r="X84" s="363">
        <f ca="1">-(X$28+X$66+X$74+X$80+X$83)</f>
        <v>1137.326775284753</v>
      </c>
      <c r="Y84" s="363">
        <f ca="1">-(Y$28+Y$66+Y$74+Y$80+Y$83)</f>
        <v>-1194.23446134643</v>
      </c>
      <c r="Z84" s="363">
        <f ca="1">-(Z$28+Z$66+Z$74+Z$80+Z$83)</f>
        <v>-580.45941618119616</v>
      </c>
      <c r="AA84" s="363"/>
      <c r="AB84" s="363"/>
      <c r="AC84" s="363"/>
      <c r="AD84" s="363"/>
      <c r="AE84" s="363"/>
      <c r="AF84" s="363"/>
      <c r="AG84" s="363"/>
      <c r="AH84" s="363">
        <f t="shared" ca="1" si="159"/>
        <v>-1301.2962628298815</v>
      </c>
      <c r="AI84" s="84"/>
      <c r="AJ84" s="293"/>
      <c r="AK84" s="293"/>
      <c r="AL84" s="293"/>
      <c r="AM84" s="293"/>
      <c r="AN84" s="293">
        <f ca="1">-S84</f>
        <v>663.92916058700825</v>
      </c>
      <c r="AO84" s="293">
        <f>-U84</f>
        <v>0</v>
      </c>
      <c r="AP84" s="293">
        <f ca="1">-X84</f>
        <v>-1137.326775284753</v>
      </c>
      <c r="AQ84" s="293">
        <f ca="1">-Y84</f>
        <v>1194.23446134643</v>
      </c>
      <c r="AR84" s="293">
        <f ca="1">-Z84</f>
        <v>580.45941618119616</v>
      </c>
      <c r="AS84" s="293"/>
      <c r="AT84" s="293"/>
      <c r="AU84" s="293"/>
      <c r="AV84" s="293"/>
      <c r="AW84" s="293"/>
      <c r="AX84" s="293"/>
      <c r="AY84" s="293">
        <f t="shared" ca="1" si="147"/>
        <v>1301.2962628298815</v>
      </c>
      <c r="AZ84" s="84"/>
      <c r="BA84" s="364"/>
      <c r="BB84" s="364"/>
      <c r="BC84" s="364">
        <f t="shared" si="160"/>
        <v>0</v>
      </c>
      <c r="BD84" s="84"/>
      <c r="BE84" s="55">
        <f t="shared" ca="1" si="196"/>
        <v>0</v>
      </c>
      <c r="BF84" s="135"/>
      <c r="BH84" s="544">
        <f t="shared" ca="1" si="197"/>
        <v>0</v>
      </c>
      <c r="BI84" s="545">
        <f t="shared" ca="1" si="197"/>
        <v>0</v>
      </c>
      <c r="BJ84" s="545">
        <f t="shared" ca="1" si="197"/>
        <v>0</v>
      </c>
      <c r="BK84" s="545">
        <f t="shared" ca="1" si="197"/>
        <v>0</v>
      </c>
      <c r="BL84" s="545">
        <f t="shared" ca="1" si="197"/>
        <v>0</v>
      </c>
      <c r="BM84" s="545">
        <f t="shared" ca="1" si="197"/>
        <v>0</v>
      </c>
      <c r="BN84" s="545">
        <f t="shared" ca="1" si="197"/>
        <v>0</v>
      </c>
      <c r="BO84" s="545">
        <f t="shared" ca="1" si="197"/>
        <v>0</v>
      </c>
      <c r="BP84" s="545">
        <f t="shared" ca="1" si="197"/>
        <v>0</v>
      </c>
      <c r="BQ84" s="545">
        <f t="shared" ca="1" si="197"/>
        <v>0</v>
      </c>
      <c r="BR84" s="545">
        <f t="shared" ca="1" si="198"/>
        <v>0</v>
      </c>
      <c r="BS84" s="545">
        <f t="shared" ca="1" si="198"/>
        <v>0</v>
      </c>
      <c r="BT84" s="545">
        <f t="shared" ca="1" si="198"/>
        <v>0</v>
      </c>
      <c r="BU84" s="545">
        <f t="shared" ca="1" si="198"/>
        <v>0</v>
      </c>
      <c r="BV84" s="545">
        <f t="shared" ca="1" si="198"/>
        <v>0</v>
      </c>
      <c r="BW84" s="545">
        <f t="shared" ca="1" si="198"/>
        <v>0</v>
      </c>
      <c r="BX84" s="545">
        <f t="shared" ca="1" si="198"/>
        <v>0</v>
      </c>
      <c r="BY84" s="545">
        <f t="shared" ca="1" si="198"/>
        <v>0</v>
      </c>
      <c r="BZ84" s="545">
        <f t="shared" ca="1" si="198"/>
        <v>0</v>
      </c>
      <c r="CA84" s="545">
        <f t="shared" ca="1" si="198"/>
        <v>0</v>
      </c>
      <c r="CB84" s="545">
        <f t="shared" ca="1" si="199"/>
        <v>0</v>
      </c>
      <c r="CC84" s="545">
        <f t="shared" ca="1" si="199"/>
        <v>0</v>
      </c>
      <c r="CD84" s="545">
        <f t="shared" ca="1" si="199"/>
        <v>0</v>
      </c>
      <c r="CE84" s="545">
        <f t="shared" ca="1" si="199"/>
        <v>0</v>
      </c>
      <c r="CF84" s="545">
        <f t="shared" ca="1" si="199"/>
        <v>0</v>
      </c>
      <c r="CG84" s="545">
        <f t="shared" ca="1" si="199"/>
        <v>0</v>
      </c>
      <c r="CH84" s="545">
        <f t="shared" ca="1" si="199"/>
        <v>0</v>
      </c>
      <c r="CI84" s="545">
        <f t="shared" ca="1" si="199"/>
        <v>0</v>
      </c>
      <c r="CJ84" s="545">
        <f t="shared" ca="1" si="199"/>
        <v>0</v>
      </c>
      <c r="CK84" s="545">
        <f t="shared" ca="1" si="199"/>
        <v>0</v>
      </c>
      <c r="CL84" s="545">
        <f t="shared" ca="1" si="200"/>
        <v>0</v>
      </c>
      <c r="CM84" s="545">
        <f t="shared" ca="1" si="200"/>
        <v>0</v>
      </c>
      <c r="CN84" s="545">
        <f t="shared" ca="1" si="200"/>
        <v>0</v>
      </c>
      <c r="CO84" s="545">
        <f t="shared" ca="1" si="200"/>
        <v>0</v>
      </c>
      <c r="CP84" s="545">
        <f t="shared" ca="1" si="200"/>
        <v>0</v>
      </c>
      <c r="CQ84" s="545">
        <f t="shared" ca="1" si="200"/>
        <v>0</v>
      </c>
      <c r="CR84" s="545">
        <f t="shared" ca="1" si="200"/>
        <v>0</v>
      </c>
      <c r="CS84" s="545">
        <f t="shared" ca="1" si="200"/>
        <v>0</v>
      </c>
      <c r="CT84" s="545">
        <f t="shared" ca="1" si="200"/>
        <v>0</v>
      </c>
      <c r="CU84" s="545">
        <f t="shared" ca="1" si="200"/>
        <v>0</v>
      </c>
      <c r="CW84" s="151">
        <f t="shared" ca="1" si="177"/>
        <v>0</v>
      </c>
    </row>
    <row r="85" spans="2:101" s="84" customFormat="1" ht="15.75" x14ac:dyDescent="0.2">
      <c r="B85" s="89" t="s">
        <v>322</v>
      </c>
      <c r="C85" s="56" t="s">
        <v>438</v>
      </c>
      <c r="D85" s="57" t="str">
        <f>INDEX(Workstreams[Workstream], MATCH($C85, Workstreams[Code], 0))</f>
        <v>Transfers</v>
      </c>
      <c r="E85" s="51"/>
      <c r="G85" s="300">
        <f ca="1">SUM(G83:G84)</f>
        <v>0</v>
      </c>
      <c r="H85" s="300">
        <f t="shared" ref="H85:O85" ca="1" si="201">SUM(H83:H84)</f>
        <v>0</v>
      </c>
      <c r="I85" s="300">
        <f t="shared" ca="1" si="201"/>
        <v>0</v>
      </c>
      <c r="J85" s="300">
        <f t="shared" ca="1" si="201"/>
        <v>0</v>
      </c>
      <c r="K85" s="300">
        <f t="shared" ca="1" si="201"/>
        <v>0</v>
      </c>
      <c r="L85" s="300">
        <f t="shared" ca="1" si="201"/>
        <v>0</v>
      </c>
      <c r="M85" s="300">
        <f t="shared" ca="1" si="201"/>
        <v>0</v>
      </c>
      <c r="N85" s="300">
        <f t="shared" ca="1" si="201"/>
        <v>0</v>
      </c>
      <c r="O85" s="300">
        <f t="shared" ca="1" si="201"/>
        <v>0</v>
      </c>
      <c r="P85" s="300">
        <f t="shared" ca="1" si="136"/>
        <v>0</v>
      </c>
      <c r="R85" s="257">
        <f t="shared" ref="R85:AE85" ca="1" si="202">SUM(R83:R84)</f>
        <v>0</v>
      </c>
      <c r="S85" s="257">
        <f t="shared" ca="1" si="202"/>
        <v>-663.92916058700825</v>
      </c>
      <c r="T85" s="257">
        <f t="shared" ca="1" si="202"/>
        <v>1241.5439171180863</v>
      </c>
      <c r="U85" s="257">
        <f t="shared" ca="1" si="202"/>
        <v>191.75650933957016</v>
      </c>
      <c r="V85" s="257">
        <f t="shared" ca="1" si="202"/>
        <v>370.09939112530026</v>
      </c>
      <c r="W85" s="257">
        <f ca="1">SUM(W83:W84)</f>
        <v>-2.0605739337042905E-13</v>
      </c>
      <c r="X85" s="257">
        <f t="shared" ca="1" si="202"/>
        <v>-104.21714183333324</v>
      </c>
      <c r="Y85" s="257">
        <f t="shared" ca="1" si="202"/>
        <v>-1385.9909706860001</v>
      </c>
      <c r="Z85" s="257">
        <f t="shared" ca="1" si="202"/>
        <v>-955</v>
      </c>
      <c r="AA85" s="257">
        <f t="shared" ca="1" si="202"/>
        <v>0</v>
      </c>
      <c r="AB85" s="257">
        <f t="shared" ca="1" si="202"/>
        <v>0</v>
      </c>
      <c r="AC85" s="257">
        <f ca="1">SUM(AC83:AC84)</f>
        <v>0</v>
      </c>
      <c r="AD85" s="257">
        <f ca="1">SUM(AD83:AD84)</f>
        <v>0</v>
      </c>
      <c r="AE85" s="257">
        <f t="shared" ca="1" si="202"/>
        <v>0</v>
      </c>
      <c r="AF85" s="257">
        <f ca="1">SUM(AF83:AF84)</f>
        <v>0</v>
      </c>
      <c r="AG85" s="257">
        <f ca="1">SUM(AG83:AG84)</f>
        <v>0</v>
      </c>
      <c r="AH85" s="257">
        <f t="shared" ca="1" si="159"/>
        <v>-1305.7374555233851</v>
      </c>
      <c r="AJ85" s="263">
        <f t="shared" ref="AJ85:AX85" ca="1" si="203">SUM(AJ83:AJ84)</f>
        <v>0</v>
      </c>
      <c r="AK85" s="263">
        <f t="shared" ca="1" si="203"/>
        <v>0</v>
      </c>
      <c r="AL85" s="263">
        <f t="shared" ca="1" si="203"/>
        <v>0</v>
      </c>
      <c r="AM85" s="263">
        <f t="shared" ca="1" si="203"/>
        <v>0</v>
      </c>
      <c r="AN85" s="263">
        <f t="shared" ca="1" si="203"/>
        <v>663.92916058700825</v>
      </c>
      <c r="AO85" s="263">
        <f t="shared" ca="1" si="203"/>
        <v>0</v>
      </c>
      <c r="AP85" s="263">
        <f t="shared" ca="1" si="203"/>
        <v>-1137.326775284753</v>
      </c>
      <c r="AQ85" s="263">
        <f t="shared" ca="1" si="203"/>
        <v>1194.23446134643</v>
      </c>
      <c r="AR85" s="263">
        <f t="shared" ca="1" si="203"/>
        <v>580.45941618119616</v>
      </c>
      <c r="AS85" s="263">
        <f t="shared" ca="1" si="203"/>
        <v>0</v>
      </c>
      <c r="AT85" s="263">
        <f t="shared" ca="1" si="203"/>
        <v>0</v>
      </c>
      <c r="AU85" s="263">
        <f t="shared" ca="1" si="203"/>
        <v>0</v>
      </c>
      <c r="AV85" s="263">
        <f t="shared" ca="1" si="203"/>
        <v>0</v>
      </c>
      <c r="AW85" s="263">
        <f t="shared" ca="1" si="203"/>
        <v>0</v>
      </c>
      <c r="AX85" s="263">
        <f t="shared" ca="1" si="203"/>
        <v>0</v>
      </c>
      <c r="AY85" s="263">
        <f t="shared" ca="1" si="147"/>
        <v>1301.2962628298815</v>
      </c>
      <c r="BA85" s="277">
        <f ca="1">SUM(BA83:BA84)</f>
        <v>0</v>
      </c>
      <c r="BB85" s="277">
        <f ca="1">SUM(BB83:BB84)</f>
        <v>4.441192693503603</v>
      </c>
      <c r="BC85" s="277">
        <f t="shared" ca="1" si="160"/>
        <v>4.441192693503603</v>
      </c>
      <c r="BE85" s="55">
        <f t="shared" ca="1" si="196"/>
        <v>2.2204460492503131E-14</v>
      </c>
      <c r="BF85" s="55"/>
      <c r="BG85" s="1428"/>
      <c r="BH85" s="542">
        <f t="shared" ref="BH85:CU85" ca="1" si="204">SUM(BH83:BH84)</f>
        <v>0</v>
      </c>
      <c r="BI85" s="542">
        <f t="shared" ca="1" si="204"/>
        <v>0</v>
      </c>
      <c r="BJ85" s="542">
        <f t="shared" ca="1" si="204"/>
        <v>0</v>
      </c>
      <c r="BK85" s="542">
        <f t="shared" ca="1" si="204"/>
        <v>0</v>
      </c>
      <c r="BL85" s="542">
        <f t="shared" ca="1" si="204"/>
        <v>0</v>
      </c>
      <c r="BM85" s="542">
        <f t="shared" ca="1" si="204"/>
        <v>32.681353552015572</v>
      </c>
      <c r="BN85" s="542">
        <f t="shared" ca="1" si="204"/>
        <v>0</v>
      </c>
      <c r="BO85" s="542">
        <f t="shared" ca="1" si="204"/>
        <v>0</v>
      </c>
      <c r="BP85" s="542">
        <f t="shared" ca="1" si="204"/>
        <v>0</v>
      </c>
      <c r="BQ85" s="542">
        <f t="shared" ca="1" si="204"/>
        <v>0</v>
      </c>
      <c r="BR85" s="542">
        <f t="shared" ca="1" si="204"/>
        <v>0</v>
      </c>
      <c r="BS85" s="542">
        <f t="shared" ca="1" si="204"/>
        <v>0</v>
      </c>
      <c r="BT85" s="542">
        <f t="shared" ca="1" si="204"/>
        <v>0</v>
      </c>
      <c r="BU85" s="542">
        <f t="shared" ca="1" si="204"/>
        <v>0</v>
      </c>
      <c r="BV85" s="542">
        <f t="shared" ca="1" si="204"/>
        <v>0</v>
      </c>
      <c r="BW85" s="542">
        <f t="shared" ca="1" si="204"/>
        <v>0</v>
      </c>
      <c r="BX85" s="542">
        <f t="shared" ca="1" si="204"/>
        <v>0</v>
      </c>
      <c r="BY85" s="542">
        <f t="shared" ca="1" si="204"/>
        <v>0</v>
      </c>
      <c r="BZ85" s="542">
        <f t="shared" ca="1" si="204"/>
        <v>0</v>
      </c>
      <c r="CA85" s="542">
        <f t="shared" ca="1" si="204"/>
        <v>0</v>
      </c>
      <c r="CB85" s="542">
        <f t="shared" ca="1" si="204"/>
        <v>0</v>
      </c>
      <c r="CC85" s="542">
        <f t="shared" ca="1" si="204"/>
        <v>0</v>
      </c>
      <c r="CD85" s="542">
        <f t="shared" ca="1" si="204"/>
        <v>0</v>
      </c>
      <c r="CE85" s="542">
        <f t="shared" ca="1" si="204"/>
        <v>0</v>
      </c>
      <c r="CF85" s="542">
        <f t="shared" ca="1" si="204"/>
        <v>0</v>
      </c>
      <c r="CG85" s="542">
        <f t="shared" ca="1" si="204"/>
        <v>0</v>
      </c>
      <c r="CH85" s="542">
        <f t="shared" ca="1" si="204"/>
        <v>0</v>
      </c>
      <c r="CI85" s="542">
        <f t="shared" ca="1" si="204"/>
        <v>0</v>
      </c>
      <c r="CJ85" s="542">
        <f t="shared" ca="1" si="204"/>
        <v>0</v>
      </c>
      <c r="CK85" s="542">
        <f t="shared" ca="1" si="204"/>
        <v>0</v>
      </c>
      <c r="CL85" s="542">
        <f t="shared" ca="1" si="204"/>
        <v>0</v>
      </c>
      <c r="CM85" s="542">
        <f t="shared" ca="1" si="204"/>
        <v>0</v>
      </c>
      <c r="CN85" s="542">
        <f t="shared" ca="1" si="204"/>
        <v>0</v>
      </c>
      <c r="CO85" s="542">
        <f t="shared" ca="1" si="204"/>
        <v>0</v>
      </c>
      <c r="CP85" s="542">
        <f t="shared" ca="1" si="204"/>
        <v>0</v>
      </c>
      <c r="CQ85" s="542">
        <f t="shared" ca="1" si="204"/>
        <v>0</v>
      </c>
      <c r="CR85" s="542">
        <f t="shared" ca="1" si="204"/>
        <v>0</v>
      </c>
      <c r="CS85" s="542">
        <f t="shared" ca="1" si="204"/>
        <v>0</v>
      </c>
      <c r="CT85" s="542">
        <f t="shared" ca="1" si="204"/>
        <v>0</v>
      </c>
      <c r="CU85" s="542">
        <f t="shared" ca="1" si="204"/>
        <v>0</v>
      </c>
      <c r="CW85" s="151">
        <f t="shared" ca="1" si="177"/>
        <v>32.681353552015572</v>
      </c>
    </row>
    <row r="86" spans="2:101" s="84" customFormat="1" ht="6" customHeight="1" x14ac:dyDescent="0.2">
      <c r="C86" s="50"/>
      <c r="D86" s="51"/>
      <c r="E86" s="51"/>
      <c r="G86" s="245"/>
      <c r="H86" s="245"/>
      <c r="I86" s="245"/>
      <c r="J86" s="245"/>
      <c r="K86" s="245"/>
      <c r="L86" s="247"/>
      <c r="M86" s="245"/>
      <c r="N86" s="245"/>
      <c r="O86" s="245"/>
      <c r="P86" s="245">
        <f t="shared" si="136"/>
        <v>0</v>
      </c>
      <c r="R86" s="257"/>
      <c r="S86" s="257"/>
      <c r="T86" s="257"/>
      <c r="U86" s="257"/>
      <c r="V86" s="257"/>
      <c r="W86" s="257"/>
      <c r="X86" s="257"/>
      <c r="Y86" s="257"/>
      <c r="Z86" s="257"/>
      <c r="AA86" s="257"/>
      <c r="AB86" s="257"/>
      <c r="AC86" s="257"/>
      <c r="AD86" s="257"/>
      <c r="AE86" s="257"/>
      <c r="AF86" s="257"/>
      <c r="AG86" s="257"/>
      <c r="AH86" s="257">
        <f t="shared" si="159"/>
        <v>0</v>
      </c>
      <c r="AJ86" s="263"/>
      <c r="AK86" s="263"/>
      <c r="AL86" s="263"/>
      <c r="AM86" s="263"/>
      <c r="AN86" s="263"/>
      <c r="AO86" s="263"/>
      <c r="AP86" s="263"/>
      <c r="AQ86" s="263"/>
      <c r="AR86" s="263"/>
      <c r="AS86" s="263"/>
      <c r="AT86" s="263"/>
      <c r="AU86" s="263"/>
      <c r="AV86" s="263"/>
      <c r="AW86" s="263"/>
      <c r="AX86" s="263"/>
      <c r="AY86" s="263">
        <f t="shared" si="147"/>
        <v>0</v>
      </c>
      <c r="BA86" s="277"/>
      <c r="BB86" s="277"/>
      <c r="BC86" s="277">
        <f t="shared" si="160"/>
        <v>0</v>
      </c>
      <c r="BE86" s="55">
        <f t="shared" si="196"/>
        <v>0</v>
      </c>
      <c r="BF86" s="55"/>
      <c r="BH86" s="542"/>
      <c r="BI86" s="542"/>
      <c r="BJ86" s="542"/>
      <c r="BK86" s="542"/>
      <c r="BL86" s="542"/>
      <c r="BM86" s="542"/>
      <c r="BN86" s="542"/>
      <c r="BO86" s="542"/>
      <c r="BP86" s="542"/>
      <c r="BQ86" s="542"/>
      <c r="BR86" s="542"/>
      <c r="BS86" s="542"/>
      <c r="BT86" s="542"/>
      <c r="BU86" s="542"/>
      <c r="BV86" s="542"/>
      <c r="BW86" s="542"/>
      <c r="BX86" s="542"/>
      <c r="BY86" s="542"/>
      <c r="BZ86" s="542"/>
      <c r="CA86" s="542"/>
      <c r="CB86" s="542"/>
      <c r="CC86" s="542"/>
      <c r="CD86" s="542"/>
      <c r="CE86" s="542"/>
      <c r="CF86" s="542"/>
      <c r="CG86" s="542"/>
      <c r="CH86" s="542"/>
      <c r="CI86" s="542"/>
      <c r="CJ86" s="542"/>
      <c r="CK86" s="542"/>
      <c r="CL86" s="542"/>
      <c r="CM86" s="542"/>
      <c r="CN86" s="542"/>
      <c r="CO86" s="542"/>
      <c r="CP86" s="542"/>
      <c r="CQ86" s="542"/>
      <c r="CR86" s="542"/>
      <c r="CS86" s="542"/>
      <c r="CT86" s="542"/>
      <c r="CU86" s="542"/>
      <c r="CW86" s="151"/>
    </row>
    <row r="87" spans="2:101" s="84" customFormat="1" ht="15.75" x14ac:dyDescent="0.2">
      <c r="B87" s="89"/>
      <c r="C87" s="923" t="s">
        <v>885</v>
      </c>
      <c r="D87" s="69" t="s">
        <v>442</v>
      </c>
      <c r="E87" s="70"/>
      <c r="G87" s="338">
        <f ca="1">G$74+G$80+G$85</f>
        <v>0</v>
      </c>
      <c r="H87" s="338">
        <f ca="1">H$74+H$80+H$85</f>
        <v>0</v>
      </c>
      <c r="I87" s="338">
        <f ca="1">I$74+I$80+I$85</f>
        <v>0</v>
      </c>
      <c r="J87" s="338">
        <f t="shared" ref="J87:O87" ca="1" si="205">J$74+J$80+J$85</f>
        <v>0</v>
      </c>
      <c r="K87" s="338">
        <f t="shared" ca="1" si="205"/>
        <v>0</v>
      </c>
      <c r="L87" s="339">
        <f t="shared" ca="1" si="205"/>
        <v>0</v>
      </c>
      <c r="M87" s="338">
        <f t="shared" ca="1" si="205"/>
        <v>0</v>
      </c>
      <c r="N87" s="338">
        <f t="shared" ca="1" si="205"/>
        <v>0</v>
      </c>
      <c r="O87" s="338">
        <f t="shared" ca="1" si="205"/>
        <v>0</v>
      </c>
      <c r="P87" s="338">
        <f t="shared" ca="1" si="136"/>
        <v>0</v>
      </c>
      <c r="R87" s="294">
        <f t="shared" ref="R87:AG87" ca="1" si="206">R$74+R$80+R$85</f>
        <v>0</v>
      </c>
      <c r="S87" s="294">
        <f t="shared" ca="1" si="206"/>
        <v>-706.53739372830728</v>
      </c>
      <c r="T87" s="294">
        <f t="shared" ca="1" si="206"/>
        <v>1241.5439171180863</v>
      </c>
      <c r="U87" s="294">
        <f t="shared" ca="1" si="206"/>
        <v>200.0606200439783</v>
      </c>
      <c r="V87" s="294">
        <f t="shared" ca="1" si="206"/>
        <v>1292.18715265321</v>
      </c>
      <c r="W87" s="294">
        <f t="shared" ca="1" si="206"/>
        <v>45.201438373394261</v>
      </c>
      <c r="X87" s="294">
        <f t="shared" ca="1" si="206"/>
        <v>-104.21714183333324</v>
      </c>
      <c r="Y87" s="294">
        <f t="shared" ca="1" si="206"/>
        <v>-1385.9909706860001</v>
      </c>
      <c r="Z87" s="294">
        <f t="shared" ca="1" si="206"/>
        <v>-955</v>
      </c>
      <c r="AA87" s="294">
        <f t="shared" ca="1" si="206"/>
        <v>0</v>
      </c>
      <c r="AB87" s="294">
        <f t="shared" ca="1" si="206"/>
        <v>0</v>
      </c>
      <c r="AC87" s="294">
        <f t="shared" ca="1" si="206"/>
        <v>-3015.7127577094616</v>
      </c>
      <c r="AD87" s="294">
        <f t="shared" ca="1" si="206"/>
        <v>-32.848539178829725</v>
      </c>
      <c r="AE87" s="294">
        <f t="shared" ca="1" si="206"/>
        <v>-387.93811788325291</v>
      </c>
      <c r="AF87" s="294">
        <f t="shared" ca="1" si="206"/>
        <v>-114.0710003108473</v>
      </c>
      <c r="AG87" s="294">
        <f t="shared" ca="1" si="206"/>
        <v>-3.6967332308852345</v>
      </c>
      <c r="AH87" s="294">
        <f t="shared" ca="1" si="159"/>
        <v>-3927.0195263722489</v>
      </c>
      <c r="AJ87" s="295">
        <f t="shared" ref="AJ87:AX87" ca="1" si="207">AJ$74+AJ$80+AJ$85</f>
        <v>0</v>
      </c>
      <c r="AK87" s="295">
        <f t="shared" ca="1" si="207"/>
        <v>0</v>
      </c>
      <c r="AL87" s="295">
        <f t="shared" ca="1" si="207"/>
        <v>0</v>
      </c>
      <c r="AM87" s="295">
        <f t="shared" ca="1" si="207"/>
        <v>2117.6175972906126</v>
      </c>
      <c r="AN87" s="295">
        <f t="shared" ca="1" si="207"/>
        <v>601.38216058700823</v>
      </c>
      <c r="AO87" s="295">
        <f t="shared" ca="1" si="207"/>
        <v>0</v>
      </c>
      <c r="AP87" s="295">
        <f t="shared" ca="1" si="207"/>
        <v>-1137.326775284753</v>
      </c>
      <c r="AQ87" s="295">
        <f t="shared" ca="1" si="207"/>
        <v>1194.23446134643</v>
      </c>
      <c r="AR87" s="295">
        <f t="shared" ca="1" si="207"/>
        <v>580.45941618119616</v>
      </c>
      <c r="AS87" s="295">
        <f t="shared" ca="1" si="207"/>
        <v>0</v>
      </c>
      <c r="AT87" s="295">
        <f t="shared" ca="1" si="207"/>
        <v>0</v>
      </c>
      <c r="AU87" s="295">
        <f t="shared" ca="1" si="207"/>
        <v>0</v>
      </c>
      <c r="AV87" s="295">
        <f t="shared" ca="1" si="207"/>
        <v>0</v>
      </c>
      <c r="AW87" s="295">
        <f t="shared" ca="1" si="207"/>
        <v>0</v>
      </c>
      <c r="AX87" s="295">
        <f t="shared" ca="1" si="207"/>
        <v>0</v>
      </c>
      <c r="AY87" s="295">
        <f t="shared" ca="1" si="147"/>
        <v>3356.366860120494</v>
      </c>
      <c r="BA87" s="296">
        <f ca="1">BA$74+BA$80+BA$85</f>
        <v>461.05624041695228</v>
      </c>
      <c r="BB87" s="296">
        <f ca="1">BB$74+BB$80+BB$85</f>
        <v>109.59642583480277</v>
      </c>
      <c r="BC87" s="296">
        <f t="shared" ca="1" si="160"/>
        <v>570.65266625175502</v>
      </c>
      <c r="BE87" s="58">
        <f t="shared" ca="1" si="196"/>
        <v>0</v>
      </c>
      <c r="BF87" s="58"/>
      <c r="BH87" s="546">
        <f t="shared" ref="BH87:CT87" ca="1" si="208">BH$74+BH$80+BH$85</f>
        <v>0</v>
      </c>
      <c r="BI87" s="546">
        <f t="shared" ca="1" si="208"/>
        <v>0</v>
      </c>
      <c r="BJ87" s="546">
        <f t="shared" ca="1" si="208"/>
        <v>0</v>
      </c>
      <c r="BK87" s="546">
        <f t="shared" ca="1" si="208"/>
        <v>0</v>
      </c>
      <c r="BL87" s="546">
        <f t="shared" ca="1" si="208"/>
        <v>0</v>
      </c>
      <c r="BM87" s="546">
        <f t="shared" ca="1" si="208"/>
        <v>32.681353552015572</v>
      </c>
      <c r="BN87" s="546">
        <f t="shared" ca="1" si="208"/>
        <v>0</v>
      </c>
      <c r="BO87" s="546">
        <f t="shared" ca="1" si="208"/>
        <v>0</v>
      </c>
      <c r="BP87" s="546">
        <f t="shared" ca="1" si="208"/>
        <v>0</v>
      </c>
      <c r="BQ87" s="546">
        <f t="shared" ca="1" si="208"/>
        <v>0</v>
      </c>
      <c r="BR87" s="546">
        <f t="shared" ca="1" si="208"/>
        <v>0</v>
      </c>
      <c r="BS87" s="546">
        <f t="shared" ca="1" si="208"/>
        <v>0</v>
      </c>
      <c r="BT87" s="546">
        <f t="shared" ca="1" si="208"/>
        <v>0</v>
      </c>
      <c r="BU87" s="546">
        <f t="shared" ca="1" si="208"/>
        <v>0</v>
      </c>
      <c r="BV87" s="546">
        <f t="shared" ca="1" si="208"/>
        <v>0</v>
      </c>
      <c r="BW87" s="546">
        <f t="shared" ca="1" si="208"/>
        <v>0</v>
      </c>
      <c r="BX87" s="546">
        <f t="shared" ca="1" si="208"/>
        <v>0</v>
      </c>
      <c r="BY87" s="546">
        <f t="shared" ca="1" si="208"/>
        <v>0</v>
      </c>
      <c r="BZ87" s="546">
        <f t="shared" ca="1" si="208"/>
        <v>0</v>
      </c>
      <c r="CA87" s="546">
        <f t="shared" ca="1" si="208"/>
        <v>0</v>
      </c>
      <c r="CB87" s="546">
        <f t="shared" ca="1" si="208"/>
        <v>0</v>
      </c>
      <c r="CC87" s="546">
        <f t="shared" ca="1" si="208"/>
        <v>0</v>
      </c>
      <c r="CD87" s="546">
        <f t="shared" ca="1" si="208"/>
        <v>0</v>
      </c>
      <c r="CE87" s="546">
        <f t="shared" ca="1" si="208"/>
        <v>0</v>
      </c>
      <c r="CF87" s="546">
        <f t="shared" ca="1" si="208"/>
        <v>0</v>
      </c>
      <c r="CG87" s="546">
        <f t="shared" ca="1" si="208"/>
        <v>0</v>
      </c>
      <c r="CH87" s="546">
        <f t="shared" ca="1" si="208"/>
        <v>0</v>
      </c>
      <c r="CI87" s="546">
        <f t="shared" ca="1" si="208"/>
        <v>0</v>
      </c>
      <c r="CJ87" s="546">
        <f t="shared" ca="1" si="208"/>
        <v>0</v>
      </c>
      <c r="CK87" s="546">
        <f t="shared" ca="1" si="208"/>
        <v>0</v>
      </c>
      <c r="CL87" s="546">
        <f t="shared" ca="1" si="208"/>
        <v>0</v>
      </c>
      <c r="CM87" s="546">
        <f t="shared" ca="1" si="208"/>
        <v>0</v>
      </c>
      <c r="CN87" s="546">
        <f t="shared" ca="1" si="208"/>
        <v>-171.74017579723738</v>
      </c>
      <c r="CO87" s="546">
        <f t="shared" ca="1" si="208"/>
        <v>0</v>
      </c>
      <c r="CP87" s="546">
        <f t="shared" ca="1" si="208"/>
        <v>0</v>
      </c>
      <c r="CQ87" s="546">
        <f t="shared" ca="1" si="208"/>
        <v>0</v>
      </c>
      <c r="CR87" s="546">
        <f t="shared" ca="1" si="208"/>
        <v>0</v>
      </c>
      <c r="CS87" s="546">
        <f t="shared" ca="1" si="208"/>
        <v>0</v>
      </c>
      <c r="CT87" s="546">
        <f t="shared" ca="1" si="208"/>
        <v>0</v>
      </c>
      <c r="CU87" s="546">
        <f ca="1">CU$74+CU$85</f>
        <v>0</v>
      </c>
      <c r="CW87" s="148">
        <f ca="1">SUM(BH87:CU87)</f>
        <v>-139.05882224522182</v>
      </c>
    </row>
    <row r="88" spans="2:101" s="84" customFormat="1" x14ac:dyDescent="0.2">
      <c r="C88" s="50"/>
      <c r="D88" s="51"/>
      <c r="E88" s="51"/>
      <c r="G88" s="245"/>
      <c r="H88" s="245"/>
      <c r="I88" s="245"/>
      <c r="J88" s="245"/>
      <c r="K88" s="245"/>
      <c r="L88" s="247"/>
      <c r="M88" s="245"/>
      <c r="N88" s="245"/>
      <c r="O88" s="245"/>
      <c r="P88" s="245">
        <f t="shared" si="136"/>
        <v>0</v>
      </c>
      <c r="R88" s="257"/>
      <c r="S88" s="257"/>
      <c r="T88" s="257"/>
      <c r="U88" s="257"/>
      <c r="V88" s="257"/>
      <c r="W88" s="257"/>
      <c r="X88" s="257"/>
      <c r="Y88" s="257"/>
      <c r="Z88" s="257"/>
      <c r="AA88" s="257"/>
      <c r="AB88" s="257"/>
      <c r="AC88" s="257"/>
      <c r="AD88" s="257"/>
      <c r="AE88" s="257"/>
      <c r="AF88" s="257"/>
      <c r="AG88" s="257"/>
      <c r="AH88" s="257">
        <f t="shared" si="159"/>
        <v>0</v>
      </c>
      <c r="AJ88" s="263"/>
      <c r="AK88" s="263"/>
      <c r="AL88" s="263"/>
      <c r="AM88" s="263"/>
      <c r="AN88" s="263"/>
      <c r="AO88" s="263"/>
      <c r="AP88" s="263"/>
      <c r="AQ88" s="263"/>
      <c r="AR88" s="263"/>
      <c r="AS88" s="263"/>
      <c r="AT88" s="263"/>
      <c r="AU88" s="263"/>
      <c r="AV88" s="263"/>
      <c r="AW88" s="263"/>
      <c r="AX88" s="263"/>
      <c r="AY88" s="263">
        <f t="shared" si="147"/>
        <v>0</v>
      </c>
      <c r="BA88" s="277"/>
      <c r="BB88" s="277"/>
      <c r="BC88" s="277">
        <f t="shared" si="160"/>
        <v>0</v>
      </c>
      <c r="BE88" s="55">
        <f t="shared" si="196"/>
        <v>0</v>
      </c>
      <c r="BF88" s="55"/>
      <c r="BH88" s="542"/>
      <c r="BI88" s="542"/>
      <c r="BJ88" s="542"/>
      <c r="BK88" s="542"/>
      <c r="BL88" s="542"/>
      <c r="BM88" s="542"/>
      <c r="BN88" s="542"/>
      <c r="BO88" s="542"/>
      <c r="BP88" s="542"/>
      <c r="BQ88" s="542"/>
      <c r="BR88" s="542"/>
      <c r="BS88" s="542"/>
      <c r="BT88" s="542"/>
      <c r="BU88" s="542"/>
      <c r="BV88" s="542"/>
      <c r="BW88" s="542"/>
      <c r="BX88" s="542"/>
      <c r="BY88" s="542"/>
      <c r="BZ88" s="542"/>
      <c r="CA88" s="542"/>
      <c r="CB88" s="542"/>
      <c r="CC88" s="542"/>
      <c r="CD88" s="542"/>
      <c r="CE88" s="542"/>
      <c r="CF88" s="542"/>
      <c r="CG88" s="542"/>
      <c r="CH88" s="542"/>
      <c r="CI88" s="542"/>
      <c r="CJ88" s="542"/>
      <c r="CK88" s="542"/>
      <c r="CL88" s="542"/>
      <c r="CM88" s="542"/>
      <c r="CN88" s="542"/>
      <c r="CO88" s="542"/>
      <c r="CP88" s="542"/>
      <c r="CQ88" s="542"/>
      <c r="CR88" s="542"/>
      <c r="CS88" s="542"/>
      <c r="CT88" s="542"/>
      <c r="CU88" s="542"/>
      <c r="CW88" s="151"/>
    </row>
    <row r="89" spans="2:101" s="84" customFormat="1" ht="13.5" thickBot="1" x14ac:dyDescent="0.25">
      <c r="C89" s="50"/>
      <c r="D89" s="51"/>
      <c r="E89" s="51"/>
      <c r="G89" s="245"/>
      <c r="H89" s="245"/>
      <c r="I89" s="245"/>
      <c r="J89" s="245"/>
      <c r="K89" s="245"/>
      <c r="L89" s="247"/>
      <c r="M89" s="245"/>
      <c r="N89" s="245"/>
      <c r="O89" s="245"/>
      <c r="P89" s="245">
        <f t="shared" si="136"/>
        <v>0</v>
      </c>
      <c r="R89" s="257"/>
      <c r="S89" s="257"/>
      <c r="T89" s="257"/>
      <c r="U89" s="257"/>
      <c r="V89" s="257"/>
      <c r="W89" s="257"/>
      <c r="X89" s="257"/>
      <c r="Y89" s="257"/>
      <c r="Z89" s="257"/>
      <c r="AA89" s="257"/>
      <c r="AB89" s="257"/>
      <c r="AC89" s="257"/>
      <c r="AD89" s="257"/>
      <c r="AE89" s="257"/>
      <c r="AF89" s="257"/>
      <c r="AG89" s="257"/>
      <c r="AH89" s="257">
        <f t="shared" si="159"/>
        <v>0</v>
      </c>
      <c r="AJ89" s="263"/>
      <c r="AK89" s="263"/>
      <c r="AL89" s="263"/>
      <c r="AM89" s="263"/>
      <c r="AN89" s="263"/>
      <c r="AO89" s="263"/>
      <c r="AP89" s="263"/>
      <c r="AQ89" s="263"/>
      <c r="AR89" s="263"/>
      <c r="AS89" s="263"/>
      <c r="AT89" s="263"/>
      <c r="AU89" s="263"/>
      <c r="AV89" s="263"/>
      <c r="AW89" s="263"/>
      <c r="AX89" s="263"/>
      <c r="AY89" s="263">
        <f t="shared" si="147"/>
        <v>0</v>
      </c>
      <c r="BA89" s="277"/>
      <c r="BB89" s="277"/>
      <c r="BC89" s="277">
        <f t="shared" si="160"/>
        <v>0</v>
      </c>
      <c r="BE89" s="55">
        <f t="shared" si="196"/>
        <v>0</v>
      </c>
      <c r="BF89" s="55"/>
      <c r="BH89" s="542"/>
      <c r="BI89" s="542"/>
      <c r="BJ89" s="542"/>
      <c r="BK89" s="542"/>
      <c r="BL89" s="542"/>
      <c r="BM89" s="542"/>
      <c r="BN89" s="542"/>
      <c r="BO89" s="542"/>
      <c r="BP89" s="542"/>
      <c r="BQ89" s="542"/>
      <c r="BR89" s="542"/>
      <c r="BS89" s="542"/>
      <c r="BT89" s="542"/>
      <c r="BU89" s="542"/>
      <c r="BV89" s="542"/>
      <c r="BW89" s="542"/>
      <c r="BX89" s="542"/>
      <c r="BY89" s="542"/>
      <c r="BZ89" s="542"/>
      <c r="CA89" s="542"/>
      <c r="CB89" s="542"/>
      <c r="CC89" s="542"/>
      <c r="CD89" s="542"/>
      <c r="CE89" s="542"/>
      <c r="CF89" s="542"/>
      <c r="CG89" s="542"/>
      <c r="CH89" s="542"/>
      <c r="CI89" s="542"/>
      <c r="CJ89" s="542"/>
      <c r="CK89" s="542"/>
      <c r="CL89" s="542"/>
      <c r="CM89" s="542"/>
      <c r="CN89" s="542"/>
      <c r="CO89" s="542"/>
      <c r="CP89" s="542"/>
      <c r="CQ89" s="542"/>
      <c r="CR89" s="542"/>
      <c r="CS89" s="542"/>
      <c r="CT89" s="542"/>
      <c r="CU89" s="542"/>
      <c r="CW89" s="151"/>
    </row>
    <row r="90" spans="2:101" s="84" customFormat="1" ht="24" customHeight="1" thickBot="1" x14ac:dyDescent="0.25">
      <c r="C90" s="67" t="s">
        <v>189</v>
      </c>
      <c r="D90" s="67"/>
      <c r="E90" s="67"/>
      <c r="G90" s="357">
        <f ca="1">G$28+G$66+G$87</f>
        <v>136.57044448493946</v>
      </c>
      <c r="H90" s="357">
        <f ca="1">H$28+H$66+H$87</f>
        <v>678.71617088874098</v>
      </c>
      <c r="I90" s="357">
        <f ca="1">I$28+I$66+I$87</f>
        <v>167.26510658441217</v>
      </c>
      <c r="J90" s="357">
        <f t="shared" ref="J90:O90" ca="1" si="209">J$28+J$66+J$87</f>
        <v>276.1943057542378</v>
      </c>
      <c r="K90" s="357">
        <f t="shared" ca="1" si="209"/>
        <v>115.70828124472884</v>
      </c>
      <c r="L90" s="357">
        <f t="shared" ca="1" si="209"/>
        <v>63.15812022583664</v>
      </c>
      <c r="M90" s="357">
        <f t="shared" ca="1" si="209"/>
        <v>0</v>
      </c>
      <c r="N90" s="357">
        <f t="shared" ca="1" si="209"/>
        <v>9.6473158410225464E-13</v>
      </c>
      <c r="O90" s="357">
        <f t="shared" ca="1" si="209"/>
        <v>10.449356110119831</v>
      </c>
      <c r="P90" s="357">
        <f t="shared" ref="P90" ca="1" si="210">SUM(G90:O90)</f>
        <v>1448.0617852930168</v>
      </c>
      <c r="R90" s="358">
        <f t="shared" ref="R90:AG90" ca="1" si="211">R$28+R$66+R$87</f>
        <v>-946.39709827169258</v>
      </c>
      <c r="S90" s="358">
        <f t="shared" ca="1" si="211"/>
        <v>946.39709827169258</v>
      </c>
      <c r="T90" s="358">
        <f t="shared" ca="1" si="211"/>
        <v>0</v>
      </c>
      <c r="U90" s="358">
        <f t="shared" ca="1" si="211"/>
        <v>0</v>
      </c>
      <c r="V90" s="358">
        <f t="shared" ca="1" si="211"/>
        <v>0</v>
      </c>
      <c r="W90" s="358">
        <f t="shared" ca="1" si="211"/>
        <v>0</v>
      </c>
      <c r="X90" s="358">
        <f t="shared" ca="1" si="211"/>
        <v>0</v>
      </c>
      <c r="Y90" s="358">
        <f t="shared" ca="1" si="211"/>
        <v>0</v>
      </c>
      <c r="Z90" s="358">
        <f t="shared" ca="1" si="211"/>
        <v>0</v>
      </c>
      <c r="AA90" s="358">
        <f t="shared" ca="1" si="211"/>
        <v>0</v>
      </c>
      <c r="AB90" s="358">
        <f t="shared" ca="1" si="211"/>
        <v>0</v>
      </c>
      <c r="AC90" s="358">
        <f t="shared" ca="1" si="211"/>
        <v>0</v>
      </c>
      <c r="AD90" s="358">
        <f t="shared" ca="1" si="211"/>
        <v>0</v>
      </c>
      <c r="AE90" s="358">
        <f t="shared" ca="1" si="211"/>
        <v>0</v>
      </c>
      <c r="AF90" s="358">
        <f t="shared" ca="1" si="211"/>
        <v>0</v>
      </c>
      <c r="AG90" s="358">
        <f t="shared" ca="1" si="211"/>
        <v>0</v>
      </c>
      <c r="AH90" s="358">
        <f t="shared" ca="1" si="159"/>
        <v>0</v>
      </c>
      <c r="AJ90" s="359">
        <f t="shared" ref="AJ90:AX90" ca="1" si="212">AJ$28+AJ$66+AJ$87</f>
        <v>-100</v>
      </c>
      <c r="AK90" s="359">
        <f t="shared" ca="1" si="212"/>
        <v>-1385.9909706860001</v>
      </c>
      <c r="AL90" s="359">
        <f t="shared" ca="1" si="212"/>
        <v>-955</v>
      </c>
      <c r="AM90" s="359">
        <f t="shared" ca="1" si="212"/>
        <v>2117.6175972906126</v>
      </c>
      <c r="AN90" s="359">
        <f t="shared" ca="1" si="212"/>
        <v>601.38216058700823</v>
      </c>
      <c r="AO90" s="359">
        <f t="shared" ca="1" si="212"/>
        <v>0</v>
      </c>
      <c r="AP90" s="359">
        <f t="shared" ca="1" si="212"/>
        <v>-1137.326775284753</v>
      </c>
      <c r="AQ90" s="359">
        <f t="shared" ca="1" si="212"/>
        <v>1194.23446134643</v>
      </c>
      <c r="AR90" s="359">
        <f t="shared" ca="1" si="212"/>
        <v>580.45941618119616</v>
      </c>
      <c r="AS90" s="359">
        <f t="shared" ca="1" si="212"/>
        <v>-567.8420000000001</v>
      </c>
      <c r="AT90" s="359">
        <f t="shared" ca="1" si="212"/>
        <v>-435.67019999999997</v>
      </c>
      <c r="AU90" s="359">
        <f t="shared" ca="1" si="212"/>
        <v>-22.090319999999998</v>
      </c>
      <c r="AV90" s="359">
        <f t="shared" ca="1" si="212"/>
        <v>-74.510999999999996</v>
      </c>
      <c r="AW90" s="359">
        <f t="shared" ca="1" si="212"/>
        <v>-3048.5612968882915</v>
      </c>
      <c r="AX90" s="359">
        <f t="shared" ca="1" si="212"/>
        <v>-509.9229932583188</v>
      </c>
      <c r="AY90" s="359">
        <f t="shared" ca="1" si="147"/>
        <v>-3743.2219207121166</v>
      </c>
      <c r="BA90" s="360">
        <f ca="1">BA$28+BA$66+BA$87</f>
        <v>2116.8409178590578</v>
      </c>
      <c r="BB90" s="360">
        <f ca="1">BB$28+BB$66+BB$87</f>
        <v>178.31921756004235</v>
      </c>
      <c r="BC90" s="360">
        <f t="shared" ca="1" si="160"/>
        <v>2295.1601354191002</v>
      </c>
      <c r="BE90" s="54">
        <f t="shared" ca="1" si="196"/>
        <v>0</v>
      </c>
      <c r="BF90" s="54"/>
      <c r="BH90" s="552">
        <f t="shared" ref="BH90:CU90" ca="1" si="213">BH$28+BH$66+BH$87</f>
        <v>666.65199975671385</v>
      </c>
      <c r="BI90" s="552">
        <f ca="1">BI$28+BI$66+BI$87</f>
        <v>19.746521282303622</v>
      </c>
      <c r="BJ90" s="552">
        <f t="shared" ca="1" si="213"/>
        <v>22.753032422311385</v>
      </c>
      <c r="BK90" s="552">
        <f t="shared" ca="1" si="213"/>
        <v>0</v>
      </c>
      <c r="BL90" s="552">
        <f t="shared" ca="1" si="213"/>
        <v>6.327</v>
      </c>
      <c r="BM90" s="552">
        <f t="shared" ca="1" si="213"/>
        <v>32.817448739015781</v>
      </c>
      <c r="BN90" s="552">
        <f t="shared" ca="1" si="213"/>
        <v>0</v>
      </c>
      <c r="BO90" s="552">
        <f t="shared" ca="1" si="213"/>
        <v>0</v>
      </c>
      <c r="BP90" s="552">
        <f t="shared" ca="1" si="213"/>
        <v>14.39565925511863</v>
      </c>
      <c r="BQ90" s="552">
        <f t="shared" ca="1" si="213"/>
        <v>0.11288744235152412</v>
      </c>
      <c r="BR90" s="552">
        <f t="shared" ca="1" si="213"/>
        <v>2.7624692105907238</v>
      </c>
      <c r="BS90" s="552">
        <f t="shared" ca="1" si="213"/>
        <v>10.620296151887526</v>
      </c>
      <c r="BT90" s="552">
        <f t="shared" ca="1" si="213"/>
        <v>0</v>
      </c>
      <c r="BU90" s="552">
        <f t="shared" ca="1" si="213"/>
        <v>0</v>
      </c>
      <c r="BV90" s="552">
        <f t="shared" ca="1" si="213"/>
        <v>0</v>
      </c>
      <c r="BW90" s="552">
        <f t="shared" ca="1" si="213"/>
        <v>0</v>
      </c>
      <c r="BX90" s="552">
        <f t="shared" ca="1" si="213"/>
        <v>0</v>
      </c>
      <c r="BY90" s="552">
        <f t="shared" ca="1" si="213"/>
        <v>0</v>
      </c>
      <c r="BZ90" s="552">
        <f t="shared" ca="1" si="213"/>
        <v>21.39703190459873</v>
      </c>
      <c r="CA90" s="552">
        <f t="shared" ca="1" si="213"/>
        <v>0</v>
      </c>
      <c r="CB90" s="552">
        <f t="shared" ca="1" si="213"/>
        <v>-1.7523899681333004</v>
      </c>
      <c r="CC90" s="552">
        <f t="shared" ca="1" si="213"/>
        <v>0</v>
      </c>
      <c r="CD90" s="552">
        <f t="shared" ca="1" si="213"/>
        <v>0</v>
      </c>
      <c r="CE90" s="552">
        <f t="shared" ca="1" si="213"/>
        <v>0</v>
      </c>
      <c r="CF90" s="552">
        <f t="shared" ca="1" si="213"/>
        <v>0</v>
      </c>
      <c r="CG90" s="552">
        <f t="shared" ca="1" si="213"/>
        <v>1.1144924614214589</v>
      </c>
      <c r="CH90" s="552">
        <f t="shared" ca="1" si="213"/>
        <v>0</v>
      </c>
      <c r="CI90" s="552">
        <f t="shared" ca="1" si="213"/>
        <v>0</v>
      </c>
      <c r="CJ90" s="552">
        <f t="shared" ca="1" si="213"/>
        <v>0</v>
      </c>
      <c r="CK90" s="552">
        <f t="shared" ca="1" si="213"/>
        <v>0</v>
      </c>
      <c r="CL90" s="552">
        <f t="shared" ca="1" si="213"/>
        <v>0</v>
      </c>
      <c r="CM90" s="552">
        <f t="shared" ca="1" si="213"/>
        <v>0</v>
      </c>
      <c r="CN90" s="552">
        <f t="shared" ca="1" si="213"/>
        <v>-171.74017579723738</v>
      </c>
      <c r="CO90" s="552">
        <f t="shared" ca="1" si="213"/>
        <v>0</v>
      </c>
      <c r="CP90" s="552">
        <f t="shared" ca="1" si="213"/>
        <v>0</v>
      </c>
      <c r="CQ90" s="552">
        <f t="shared" ca="1" si="213"/>
        <v>0</v>
      </c>
      <c r="CR90" s="552">
        <f t="shared" ca="1" si="213"/>
        <v>0</v>
      </c>
      <c r="CS90" s="552">
        <f t="shared" ca="1" si="213"/>
        <v>0</v>
      </c>
      <c r="CT90" s="552">
        <f t="shared" ca="1" si="213"/>
        <v>0</v>
      </c>
      <c r="CU90" s="552">
        <f t="shared" ca="1" si="213"/>
        <v>0</v>
      </c>
      <c r="CW90" s="148">
        <f ca="1">SUM(BH90:CU90)</f>
        <v>625.20627286094259</v>
      </c>
    </row>
    <row r="91" spans="2:101" s="84" customFormat="1" x14ac:dyDescent="0.2">
      <c r="C91" s="50"/>
      <c r="D91" s="51"/>
      <c r="E91" s="51"/>
      <c r="G91" s="282"/>
      <c r="H91" s="282"/>
      <c r="I91" s="282"/>
      <c r="J91" s="282"/>
      <c r="K91" s="282"/>
      <c r="L91" s="283"/>
      <c r="M91" s="282"/>
      <c r="N91" s="282"/>
      <c r="O91" s="282"/>
      <c r="P91" s="282"/>
      <c r="R91" s="285"/>
      <c r="S91" s="285"/>
      <c r="T91" s="285"/>
      <c r="U91" s="285"/>
      <c r="V91" s="285"/>
      <c r="W91" s="285"/>
      <c r="X91" s="285"/>
      <c r="Y91" s="285"/>
      <c r="Z91" s="285"/>
      <c r="AA91" s="285"/>
      <c r="AB91" s="285"/>
      <c r="AC91" s="285"/>
      <c r="AD91" s="285"/>
      <c r="AE91" s="285"/>
      <c r="AF91" s="285"/>
      <c r="AG91" s="285"/>
      <c r="AH91" s="285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BA91" s="289"/>
      <c r="BB91" s="289"/>
      <c r="BC91" s="289"/>
      <c r="BE91" s="55"/>
      <c r="BF91" s="55"/>
      <c r="BH91" s="553"/>
      <c r="BI91" s="553"/>
      <c r="BJ91" s="553"/>
      <c r="BK91" s="553"/>
      <c r="BL91" s="553"/>
      <c r="BM91" s="553"/>
      <c r="BN91" s="553"/>
      <c r="BO91" s="553"/>
      <c r="BP91" s="553"/>
      <c r="BQ91" s="553"/>
      <c r="BR91" s="553"/>
      <c r="BS91" s="553"/>
      <c r="BT91" s="553"/>
      <c r="BU91" s="553"/>
      <c r="BV91" s="553"/>
      <c r="BW91" s="553"/>
      <c r="BX91" s="553"/>
      <c r="BY91" s="553"/>
      <c r="BZ91" s="553"/>
      <c r="CA91" s="553"/>
      <c r="CB91" s="553"/>
      <c r="CC91" s="553"/>
      <c r="CD91" s="553"/>
      <c r="CE91" s="553"/>
      <c r="CF91" s="553"/>
      <c r="CG91" s="553"/>
      <c r="CH91" s="553"/>
      <c r="CI91" s="553"/>
      <c r="CJ91" s="553"/>
      <c r="CK91" s="553"/>
      <c r="CL91" s="553"/>
      <c r="CM91" s="553"/>
      <c r="CN91" s="553"/>
      <c r="CO91" s="553"/>
      <c r="CP91" s="553"/>
      <c r="CQ91" s="553"/>
      <c r="CR91" s="553"/>
      <c r="CS91" s="553"/>
      <c r="CT91" s="553"/>
      <c r="CU91" s="553"/>
    </row>
    <row r="92" spans="2:101" x14ac:dyDescent="0.2">
      <c r="G92" s="55"/>
      <c r="H92" s="55"/>
      <c r="I92" s="55"/>
      <c r="J92" s="55"/>
      <c r="K92" s="55"/>
      <c r="L92" s="59"/>
      <c r="M92" s="55"/>
      <c r="N92" s="55"/>
      <c r="O92" s="55"/>
      <c r="P92" s="55"/>
      <c r="R92" s="55"/>
      <c r="S92" s="55"/>
      <c r="T92" s="55"/>
      <c r="U92" s="55"/>
      <c r="V92" s="55"/>
      <c r="W92" s="55"/>
      <c r="X92" s="55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BA92" s="55"/>
      <c r="BB92" s="55"/>
      <c r="BC92" s="55"/>
      <c r="BE92" s="55"/>
      <c r="BF92" s="55"/>
    </row>
    <row r="93" spans="2:101" x14ac:dyDescent="0.2">
      <c r="G93" s="55"/>
      <c r="H93" s="55"/>
      <c r="I93" s="55"/>
      <c r="J93" s="55"/>
      <c r="K93" s="55"/>
      <c r="L93" s="59"/>
      <c r="M93" s="55"/>
      <c r="N93" s="55"/>
      <c r="O93" s="55"/>
      <c r="P93" s="55"/>
      <c r="R93" s="55"/>
      <c r="S93" s="55"/>
      <c r="T93" s="55"/>
      <c r="U93" s="55"/>
      <c r="V93" s="55"/>
      <c r="W93" s="55"/>
      <c r="X93" s="55"/>
      <c r="Y93" s="55"/>
      <c r="Z93" s="55"/>
      <c r="AA93" s="55"/>
      <c r="AB93" s="55"/>
      <c r="AC93" s="55"/>
      <c r="AD93" s="55"/>
      <c r="AE93" s="55"/>
      <c r="AF93" s="55"/>
      <c r="AG93" s="55"/>
      <c r="AH93" s="55"/>
      <c r="AJ93" s="55"/>
      <c r="AK93" s="55"/>
      <c r="AL93" s="55"/>
      <c r="AM93" s="55"/>
      <c r="AN93" s="55"/>
      <c r="AO93" s="55"/>
      <c r="AP93" s="55"/>
      <c r="AQ93" s="55"/>
      <c r="AR93" s="55"/>
      <c r="AS93" s="55"/>
      <c r="AT93" s="55"/>
      <c r="AU93" s="55"/>
      <c r="AV93" s="55"/>
      <c r="AW93" s="55"/>
      <c r="AX93" s="55"/>
      <c r="AY93" s="55"/>
      <c r="BA93" s="55"/>
      <c r="BB93" s="55"/>
      <c r="BC93" s="55"/>
      <c r="BE93" s="55"/>
      <c r="BF93" s="55"/>
      <c r="CU93" s="1426" t="s">
        <v>1183</v>
      </c>
      <c r="CW93" s="2480">
        <f ca="1">SUM(CW47,CW50,CW54,CW64)</f>
        <v>576.93127599111767</v>
      </c>
    </row>
    <row r="94" spans="2:101" x14ac:dyDescent="0.2">
      <c r="B94" s="2479" t="s">
        <v>322</v>
      </c>
      <c r="C94" s="355" t="s">
        <v>443</v>
      </c>
      <c r="G94" s="55"/>
      <c r="H94" s="55"/>
      <c r="I94" s="55"/>
      <c r="J94" s="55"/>
      <c r="K94" s="55"/>
      <c r="L94" s="59"/>
      <c r="M94" s="55"/>
      <c r="N94" s="55"/>
      <c r="O94" s="55"/>
      <c r="P94" s="55"/>
      <c r="R94" s="55"/>
      <c r="S94" s="55"/>
      <c r="T94" s="55"/>
      <c r="U94" s="55"/>
      <c r="V94" s="55"/>
      <c r="W94" s="55"/>
      <c r="X94" s="55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BA94" s="55"/>
      <c r="BB94" s="55"/>
      <c r="BC94" s="55"/>
      <c r="BE94" s="55"/>
      <c r="BF94" s="55"/>
      <c r="CU94" s="1426" t="s">
        <v>1184</v>
      </c>
      <c r="CW94" s="2480">
        <f ca="1">S90-MIN(S84,0)</f>
        <v>1610.3262588587008</v>
      </c>
    </row>
    <row r="95" spans="2:101" ht="15.75" x14ac:dyDescent="0.25">
      <c r="B95" s="3"/>
      <c r="G95" s="55"/>
      <c r="H95" s="55"/>
      <c r="I95" s="55"/>
      <c r="J95" s="55"/>
      <c r="K95" s="55"/>
      <c r="L95" s="59"/>
      <c r="M95" s="55"/>
      <c r="N95" s="55"/>
      <c r="O95" s="55"/>
      <c r="P95" s="55"/>
      <c r="R95" s="55"/>
      <c r="S95" s="55"/>
      <c r="T95" s="55"/>
      <c r="U95" s="55"/>
      <c r="V95" s="55"/>
      <c r="W95" s="55"/>
      <c r="X95" s="55"/>
      <c r="Y95" s="55"/>
      <c r="Z95" s="55"/>
      <c r="AA95" s="55"/>
      <c r="AB95" s="55"/>
      <c r="AC95" s="55"/>
      <c r="AD95" s="55"/>
      <c r="AE95" s="55"/>
      <c r="AF95" s="55"/>
      <c r="AG95" s="55"/>
      <c r="AH95" s="55"/>
      <c r="AJ95" s="55"/>
      <c r="AK95" s="55"/>
      <c r="AL95" s="55"/>
      <c r="AM95" s="55"/>
      <c r="AN95" s="55"/>
      <c r="AO95" s="55"/>
      <c r="AP95" s="55"/>
      <c r="AQ95" s="55"/>
      <c r="AR95" s="55"/>
      <c r="AS95" s="55"/>
      <c r="AT95" s="55"/>
      <c r="AU95" s="55"/>
      <c r="AV95" s="55"/>
      <c r="AW95" s="55"/>
      <c r="AX95" s="55"/>
      <c r="AY95" s="55"/>
      <c r="BA95" s="55"/>
      <c r="BB95" s="55"/>
      <c r="BC95" s="55"/>
      <c r="BE95" s="55"/>
      <c r="BF95" s="55"/>
      <c r="CU95" s="1426" t="s">
        <v>1185</v>
      </c>
      <c r="CW95" s="2479">
        <f ca="1">CW93/CW94</f>
        <v>0.35826980577216117</v>
      </c>
    </row>
    <row r="96" spans="2:101" x14ac:dyDescent="0.2">
      <c r="G96" s="55"/>
      <c r="H96" s="55"/>
      <c r="I96" s="55"/>
      <c r="J96" s="55"/>
      <c r="K96" s="55"/>
      <c r="L96" s="59"/>
      <c r="M96" s="55"/>
      <c r="N96" s="55"/>
      <c r="O96" s="55"/>
      <c r="P96" s="55"/>
      <c r="R96" s="55"/>
      <c r="S96" s="55"/>
      <c r="T96" s="55"/>
      <c r="U96" s="55"/>
      <c r="V96" s="55"/>
      <c r="W96" s="55"/>
      <c r="X96" s="55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BA96" s="55"/>
      <c r="BB96" s="55"/>
      <c r="BC96" s="55"/>
      <c r="BE96" s="55"/>
      <c r="BF96" s="55"/>
    </row>
    <row r="97" spans="2:58" ht="15.75" x14ac:dyDescent="0.25">
      <c r="B97" s="3"/>
      <c r="G97" s="55"/>
      <c r="H97" s="55"/>
      <c r="I97" s="55"/>
      <c r="J97" s="55"/>
      <c r="K97" s="55"/>
      <c r="L97" s="59"/>
      <c r="M97" s="55"/>
      <c r="N97" s="55"/>
      <c r="O97" s="55"/>
      <c r="P97" s="55"/>
      <c r="R97" s="55"/>
      <c r="S97" s="55"/>
      <c r="T97" s="55"/>
      <c r="U97" s="55"/>
      <c r="V97" s="55"/>
      <c r="W97" s="55"/>
      <c r="X97" s="55"/>
      <c r="Y97" s="55"/>
      <c r="Z97" s="55"/>
      <c r="AA97" s="55"/>
      <c r="AB97" s="55"/>
      <c r="AC97" s="55"/>
      <c r="AD97" s="55"/>
      <c r="AE97" s="55"/>
      <c r="AF97" s="55"/>
      <c r="AG97" s="55"/>
      <c r="AH97" s="55"/>
      <c r="AJ97" s="55"/>
      <c r="AK97" s="55"/>
      <c r="AL97" s="55"/>
      <c r="AM97" s="55"/>
      <c r="AN97" s="55"/>
      <c r="AO97" s="55"/>
      <c r="AP97" s="55"/>
      <c r="AQ97" s="55"/>
      <c r="AR97" s="55"/>
      <c r="AS97" s="55"/>
      <c r="AT97" s="55"/>
      <c r="AU97" s="55"/>
      <c r="AV97" s="55"/>
      <c r="AW97" s="55"/>
      <c r="AX97" s="55"/>
      <c r="AY97" s="55"/>
      <c r="BA97" s="55"/>
      <c r="BB97" s="55"/>
      <c r="BC97" s="55"/>
      <c r="BE97" s="55"/>
      <c r="BF97" s="55"/>
    </row>
    <row r="98" spans="2:58" ht="15.75" x14ac:dyDescent="0.25">
      <c r="B98" s="3"/>
      <c r="G98" s="55"/>
      <c r="H98" s="55"/>
      <c r="I98" s="55"/>
      <c r="J98" s="55"/>
      <c r="K98" s="55"/>
      <c r="L98" s="59"/>
      <c r="M98" s="55"/>
      <c r="N98" s="55"/>
      <c r="O98" s="55"/>
      <c r="P98" s="55"/>
      <c r="R98" s="55"/>
      <c r="S98" s="55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BA98" s="55"/>
      <c r="BB98" s="55"/>
      <c r="BC98" s="55"/>
      <c r="BE98" s="55"/>
      <c r="BF98" s="55"/>
    </row>
    <row r="99" spans="2:58" ht="15.75" x14ac:dyDescent="0.25">
      <c r="B99" s="3"/>
      <c r="G99" s="55"/>
      <c r="H99" s="55"/>
      <c r="I99" s="55"/>
      <c r="J99" s="55"/>
      <c r="K99" s="55"/>
      <c r="L99" s="59"/>
      <c r="M99" s="55"/>
      <c r="N99" s="55"/>
      <c r="O99" s="55"/>
      <c r="P99" s="55"/>
      <c r="R99" s="55"/>
      <c r="S99" s="55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BA99" s="55"/>
      <c r="BB99" s="55"/>
      <c r="BC99" s="55"/>
      <c r="BE99" s="55"/>
      <c r="BF99" s="55"/>
    </row>
    <row r="100" spans="2:58" ht="15.75" x14ac:dyDescent="0.25">
      <c r="B100" s="3"/>
      <c r="G100" s="55"/>
      <c r="H100" s="55"/>
      <c r="I100" s="55"/>
      <c r="J100" s="55"/>
      <c r="K100" s="55"/>
      <c r="L100" s="59"/>
      <c r="M100" s="55"/>
      <c r="N100" s="55"/>
      <c r="O100" s="55"/>
      <c r="P100" s="55"/>
      <c r="R100" s="55"/>
      <c r="S100" s="55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BA100" s="55"/>
      <c r="BB100" s="55"/>
      <c r="BC100" s="55"/>
      <c r="BE100" s="55"/>
      <c r="BF100" s="55"/>
    </row>
    <row r="101" spans="2:58" ht="15.75" x14ac:dyDescent="0.25">
      <c r="B101" s="3"/>
      <c r="G101" s="55"/>
      <c r="H101" s="55"/>
      <c r="I101" s="55"/>
      <c r="J101" s="55"/>
      <c r="K101" s="55"/>
      <c r="L101" s="59"/>
      <c r="M101" s="55"/>
      <c r="N101" s="55"/>
      <c r="O101" s="55"/>
      <c r="P101" s="55"/>
      <c r="R101" s="55"/>
      <c r="S101" s="55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BA101" s="55"/>
      <c r="BB101" s="55"/>
      <c r="BC101" s="55"/>
      <c r="BE101" s="55"/>
      <c r="BF101" s="55"/>
    </row>
    <row r="102" spans="2:58" ht="15.75" x14ac:dyDescent="0.25">
      <c r="B102" s="3"/>
      <c r="G102" s="55"/>
      <c r="H102" s="55"/>
      <c r="I102" s="55"/>
      <c r="J102" s="55"/>
      <c r="K102" s="55"/>
      <c r="L102" s="59"/>
      <c r="M102" s="55"/>
      <c r="N102" s="55"/>
      <c r="O102" s="55"/>
      <c r="P102" s="55"/>
      <c r="R102" s="55"/>
      <c r="S102" s="55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BA102" s="55"/>
      <c r="BB102" s="55"/>
      <c r="BC102" s="55"/>
      <c r="BE102" s="55"/>
      <c r="BF102" s="55"/>
    </row>
    <row r="103" spans="2:58" ht="24" customHeight="1" x14ac:dyDescent="0.2">
      <c r="G103" s="55"/>
      <c r="H103" s="55"/>
      <c r="I103" s="55"/>
      <c r="J103" s="55"/>
      <c r="K103" s="55"/>
      <c r="L103" s="59"/>
      <c r="M103" s="55"/>
      <c r="N103" s="55"/>
      <c r="O103" s="55"/>
      <c r="P103" s="55"/>
      <c r="R103" s="55"/>
      <c r="S103" s="55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BA103" s="55"/>
      <c r="BB103" s="55"/>
      <c r="BC103" s="55"/>
      <c r="BE103" s="55"/>
      <c r="BF103" s="55"/>
    </row>
    <row r="104" spans="2:58" x14ac:dyDescent="0.2">
      <c r="G104" s="55"/>
      <c r="H104" s="55"/>
      <c r="I104" s="55"/>
      <c r="J104" s="55"/>
      <c r="K104" s="55"/>
      <c r="L104" s="59"/>
      <c r="M104" s="55"/>
      <c r="N104" s="55"/>
      <c r="O104" s="55"/>
      <c r="P104" s="55"/>
      <c r="R104" s="55"/>
      <c r="S104" s="55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BA104" s="55"/>
      <c r="BB104" s="55"/>
      <c r="BC104" s="55"/>
      <c r="BE104" s="55"/>
      <c r="BF104" s="55"/>
    </row>
    <row r="105" spans="2:58" x14ac:dyDescent="0.2">
      <c r="G105" s="55"/>
      <c r="H105" s="55"/>
      <c r="I105" s="55"/>
      <c r="J105" s="55"/>
      <c r="K105" s="55"/>
      <c r="L105" s="59"/>
      <c r="M105" s="55"/>
      <c r="N105" s="55"/>
      <c r="O105" s="55"/>
      <c r="P105" s="55"/>
      <c r="R105" s="55"/>
      <c r="S105" s="55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BA105" s="55"/>
      <c r="BB105" s="55"/>
      <c r="BC105" s="55"/>
      <c r="BE105" s="55"/>
      <c r="BF105" s="55"/>
    </row>
    <row r="106" spans="2:58" x14ac:dyDescent="0.2">
      <c r="C106" s="60"/>
      <c r="D106" s="34"/>
      <c r="G106" s="55"/>
      <c r="H106" s="55"/>
      <c r="I106" s="55"/>
      <c r="J106" s="55"/>
      <c r="K106" s="55"/>
      <c r="L106" s="59"/>
      <c r="M106" s="55"/>
      <c r="N106" s="55"/>
      <c r="O106" s="55"/>
      <c r="P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BA106" s="55"/>
      <c r="BB106" s="55"/>
      <c r="BC106" s="55"/>
      <c r="BE106" s="55"/>
      <c r="BF106" s="55"/>
    </row>
    <row r="107" spans="2:58" x14ac:dyDescent="0.2">
      <c r="G107" s="55"/>
      <c r="H107" s="55"/>
      <c r="I107" s="55"/>
      <c r="J107" s="55"/>
      <c r="K107" s="55"/>
      <c r="L107" s="59"/>
      <c r="M107" s="55"/>
      <c r="N107" s="55"/>
      <c r="O107" s="55"/>
      <c r="P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BA107" s="55"/>
      <c r="BB107" s="55"/>
      <c r="BC107" s="55"/>
      <c r="BE107" s="55"/>
      <c r="BF107" s="55"/>
    </row>
    <row r="108" spans="2:58" x14ac:dyDescent="0.2">
      <c r="G108" s="55"/>
      <c r="H108" s="55"/>
      <c r="I108" s="55"/>
      <c r="J108" s="55"/>
      <c r="K108" s="55"/>
      <c r="L108" s="59"/>
      <c r="M108" s="55"/>
      <c r="N108" s="55"/>
      <c r="O108" s="55"/>
      <c r="P108" s="55"/>
      <c r="R108" s="55"/>
      <c r="S108" s="55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BA108" s="55"/>
      <c r="BB108" s="55"/>
      <c r="BC108" s="55"/>
      <c r="BE108" s="55"/>
      <c r="BF108" s="55"/>
    </row>
    <row r="109" spans="2:58" x14ac:dyDescent="0.2">
      <c r="G109" s="55"/>
      <c r="H109" s="55"/>
      <c r="I109" s="55"/>
      <c r="J109" s="55"/>
      <c r="K109" s="55"/>
      <c r="L109" s="59"/>
      <c r="M109" s="55"/>
      <c r="N109" s="55"/>
      <c r="O109" s="55"/>
      <c r="P109" s="55"/>
      <c r="R109" s="55"/>
      <c r="S109" s="55"/>
      <c r="T109" s="55"/>
      <c r="U109" s="55"/>
      <c r="V109" s="55"/>
      <c r="W109" s="55"/>
      <c r="X109" s="55"/>
      <c r="Y109" s="55"/>
      <c r="Z109" s="55"/>
      <c r="AA109" s="55"/>
      <c r="AB109" s="55"/>
      <c r="AC109" s="55"/>
      <c r="AD109" s="55"/>
      <c r="AE109" s="55"/>
      <c r="AF109" s="55"/>
      <c r="AG109" s="55"/>
      <c r="AH109" s="55"/>
      <c r="AJ109" s="55"/>
      <c r="AK109" s="55"/>
      <c r="AL109" s="55"/>
      <c r="AM109" s="55"/>
      <c r="AN109" s="55"/>
      <c r="AO109" s="55"/>
      <c r="AP109" s="55"/>
      <c r="AQ109" s="55"/>
      <c r="AR109" s="55"/>
      <c r="AS109" s="55"/>
      <c r="AT109" s="55"/>
      <c r="AU109" s="55"/>
      <c r="AV109" s="55"/>
      <c r="AW109" s="55"/>
      <c r="AX109" s="55"/>
      <c r="AY109" s="55"/>
      <c r="BA109" s="55"/>
      <c r="BB109" s="55"/>
      <c r="BC109" s="55"/>
      <c r="BE109" s="55"/>
      <c r="BF109" s="55"/>
    </row>
    <row r="110" spans="2:58" x14ac:dyDescent="0.2">
      <c r="G110" s="55"/>
      <c r="H110" s="55"/>
      <c r="I110" s="55"/>
      <c r="J110" s="55"/>
      <c r="K110" s="55"/>
      <c r="L110" s="59"/>
      <c r="M110" s="55"/>
      <c r="N110" s="55"/>
      <c r="O110" s="55"/>
      <c r="P110" s="55"/>
      <c r="R110" s="55"/>
      <c r="S110" s="55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BA110" s="55"/>
      <c r="BB110" s="55"/>
      <c r="BC110" s="55"/>
      <c r="BE110" s="55"/>
      <c r="BF110" s="55"/>
    </row>
    <row r="111" spans="2:58" x14ac:dyDescent="0.2">
      <c r="G111" s="55"/>
      <c r="H111" s="55"/>
      <c r="I111" s="55"/>
      <c r="J111" s="55"/>
      <c r="K111" s="55"/>
      <c r="L111" s="59"/>
      <c r="M111" s="55"/>
      <c r="N111" s="55"/>
      <c r="O111" s="55"/>
      <c r="P111" s="55"/>
      <c r="R111" s="55"/>
      <c r="S111" s="55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BA111" s="55"/>
      <c r="BB111" s="55"/>
      <c r="BC111" s="55"/>
      <c r="BE111" s="55"/>
      <c r="BF111" s="55"/>
    </row>
    <row r="112" spans="2:58" x14ac:dyDescent="0.2">
      <c r="G112" s="55"/>
      <c r="H112" s="55"/>
      <c r="I112" s="55"/>
      <c r="J112" s="55"/>
      <c r="K112" s="55"/>
      <c r="L112" s="59"/>
      <c r="M112" s="55"/>
      <c r="N112" s="55"/>
      <c r="O112" s="55"/>
      <c r="P112" s="55"/>
      <c r="R112" s="55"/>
      <c r="S112" s="55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BA112" s="55"/>
      <c r="BB112" s="55"/>
      <c r="BC112" s="55"/>
      <c r="BE112" s="55"/>
      <c r="BF112" s="55"/>
    </row>
    <row r="113" spans="7:58" s="2479" customFormat="1" x14ac:dyDescent="0.2">
      <c r="G113" s="55"/>
      <c r="H113" s="55"/>
      <c r="I113" s="55"/>
      <c r="J113" s="55"/>
      <c r="K113" s="55"/>
      <c r="L113" s="59"/>
      <c r="M113" s="55"/>
      <c r="N113" s="55"/>
      <c r="O113" s="55"/>
      <c r="P113" s="55"/>
      <c r="R113" s="55"/>
      <c r="S113" s="55"/>
      <c r="T113" s="55"/>
      <c r="U113" s="55"/>
      <c r="V113" s="55"/>
      <c r="W113" s="55"/>
      <c r="X113" s="55"/>
      <c r="Y113" s="55"/>
      <c r="Z113" s="55"/>
      <c r="AA113" s="55"/>
      <c r="AB113" s="55"/>
      <c r="AC113" s="55"/>
      <c r="AD113" s="55"/>
      <c r="AE113" s="55"/>
      <c r="AF113" s="55"/>
      <c r="AG113" s="55"/>
      <c r="AH113" s="55"/>
      <c r="AJ113" s="55"/>
      <c r="AK113" s="55"/>
      <c r="AL113" s="55"/>
      <c r="AM113" s="55"/>
      <c r="AN113" s="55"/>
      <c r="AO113" s="55"/>
      <c r="AP113" s="55"/>
      <c r="AQ113" s="55"/>
      <c r="AR113" s="55"/>
      <c r="AS113" s="55"/>
      <c r="AT113" s="55"/>
      <c r="AU113" s="55"/>
      <c r="AV113" s="55"/>
      <c r="AW113" s="55"/>
      <c r="AX113" s="55"/>
      <c r="AY113" s="55"/>
      <c r="BA113" s="55"/>
      <c r="BB113" s="55"/>
      <c r="BC113" s="55"/>
      <c r="BE113" s="55"/>
      <c r="BF113" s="55"/>
    </row>
    <row r="114" spans="7:58" s="2479" customFormat="1" x14ac:dyDescent="0.2">
      <c r="G114" s="55"/>
      <c r="H114" s="55"/>
      <c r="I114" s="55"/>
      <c r="J114" s="55"/>
      <c r="K114" s="55"/>
      <c r="L114" s="59"/>
      <c r="M114" s="55"/>
      <c r="N114" s="55"/>
      <c r="O114" s="55"/>
      <c r="P114" s="55"/>
      <c r="R114" s="55"/>
      <c r="S114" s="55"/>
      <c r="T114" s="55"/>
      <c r="U114" s="55"/>
      <c r="V114" s="55"/>
      <c r="W114" s="55"/>
      <c r="X114" s="55"/>
      <c r="Y114" s="55"/>
      <c r="Z114" s="55"/>
      <c r="AA114" s="55"/>
      <c r="AB114" s="55"/>
      <c r="AC114" s="55"/>
      <c r="AD114" s="55"/>
      <c r="AE114" s="55"/>
      <c r="AF114" s="55"/>
      <c r="AG114" s="55"/>
      <c r="AH114" s="55"/>
      <c r="AJ114" s="55"/>
      <c r="AK114" s="55"/>
      <c r="AL114" s="55"/>
      <c r="AM114" s="55"/>
      <c r="AN114" s="55"/>
      <c r="AO114" s="55"/>
      <c r="AP114" s="55"/>
      <c r="AQ114" s="55"/>
      <c r="AR114" s="55"/>
      <c r="AS114" s="55"/>
      <c r="AT114" s="55"/>
      <c r="AU114" s="55"/>
      <c r="AV114" s="55"/>
      <c r="AW114" s="55"/>
      <c r="AX114" s="55"/>
      <c r="AY114" s="55"/>
      <c r="BA114" s="55"/>
      <c r="BB114" s="55"/>
      <c r="BC114" s="55"/>
      <c r="BE114" s="55"/>
      <c r="BF114" s="55"/>
    </row>
    <row r="115" spans="7:58" s="2479" customFormat="1" x14ac:dyDescent="0.2">
      <c r="G115" s="55"/>
      <c r="H115" s="55"/>
      <c r="I115" s="55"/>
      <c r="J115" s="55"/>
      <c r="K115" s="55"/>
      <c r="L115" s="59"/>
      <c r="M115" s="55"/>
      <c r="N115" s="55"/>
      <c r="O115" s="55"/>
      <c r="P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J115" s="55"/>
      <c r="AK115" s="55"/>
      <c r="AL115" s="55"/>
      <c r="AM115" s="55"/>
      <c r="AN115" s="55"/>
      <c r="AO115" s="55"/>
      <c r="AP115" s="55"/>
      <c r="AQ115" s="55"/>
      <c r="AR115" s="55"/>
      <c r="AS115" s="55"/>
      <c r="AT115" s="55"/>
      <c r="AU115" s="55"/>
      <c r="AV115" s="55"/>
      <c r="AW115" s="55"/>
      <c r="AX115" s="55"/>
      <c r="AY115" s="55"/>
      <c r="BA115" s="55"/>
      <c r="BB115" s="55"/>
      <c r="BC115" s="55"/>
      <c r="BE115" s="55"/>
      <c r="BF115" s="55"/>
    </row>
    <row r="116" spans="7:58" s="2479" customFormat="1" x14ac:dyDescent="0.2">
      <c r="G116" s="55"/>
      <c r="H116" s="55"/>
      <c r="I116" s="55"/>
      <c r="J116" s="55"/>
      <c r="K116" s="55"/>
      <c r="L116" s="59"/>
      <c r="M116" s="55"/>
      <c r="N116" s="55"/>
      <c r="O116" s="55"/>
      <c r="P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J116" s="55"/>
      <c r="AK116" s="55"/>
      <c r="AL116" s="55"/>
      <c r="AM116" s="55"/>
      <c r="AN116" s="55"/>
      <c r="AO116" s="55"/>
      <c r="AP116" s="55"/>
      <c r="AQ116" s="55"/>
      <c r="AR116" s="55"/>
      <c r="AS116" s="55"/>
      <c r="AT116" s="55"/>
      <c r="AU116" s="55"/>
      <c r="AV116" s="55"/>
      <c r="AW116" s="55"/>
      <c r="AX116" s="55"/>
      <c r="AY116" s="55"/>
      <c r="BA116" s="55"/>
      <c r="BB116" s="55"/>
      <c r="BC116" s="55"/>
      <c r="BE116" s="55"/>
      <c r="BF116" s="55"/>
    </row>
    <row r="117" spans="7:58" s="2479" customFormat="1" x14ac:dyDescent="0.2">
      <c r="G117" s="55"/>
      <c r="H117" s="55"/>
      <c r="I117" s="55"/>
      <c r="J117" s="55"/>
      <c r="K117" s="55"/>
      <c r="L117" s="59"/>
      <c r="M117" s="55"/>
      <c r="N117" s="55"/>
      <c r="O117" s="55"/>
      <c r="P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J117" s="55"/>
      <c r="AK117" s="55"/>
      <c r="AL117" s="55"/>
      <c r="AM117" s="55"/>
      <c r="AN117" s="55"/>
      <c r="AO117" s="55"/>
      <c r="AP117" s="55"/>
      <c r="AQ117" s="55"/>
      <c r="AR117" s="55"/>
      <c r="AS117" s="55"/>
      <c r="AT117" s="55"/>
      <c r="AU117" s="55"/>
      <c r="AV117" s="55"/>
      <c r="AW117" s="55"/>
      <c r="AX117" s="55"/>
      <c r="AY117" s="55"/>
      <c r="BA117" s="55"/>
      <c r="BB117" s="55"/>
      <c r="BC117" s="55"/>
      <c r="BE117" s="55"/>
      <c r="BF117" s="55"/>
    </row>
    <row r="118" spans="7:58" s="2479" customFormat="1" x14ac:dyDescent="0.2">
      <c r="G118" s="55"/>
      <c r="H118" s="55"/>
      <c r="I118" s="55"/>
      <c r="J118" s="55"/>
      <c r="K118" s="55"/>
      <c r="L118" s="59"/>
      <c r="M118" s="55"/>
      <c r="N118" s="55"/>
      <c r="O118" s="55"/>
      <c r="P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J118" s="55"/>
      <c r="AK118" s="55"/>
      <c r="AL118" s="55"/>
      <c r="AM118" s="55"/>
      <c r="AN118" s="55"/>
      <c r="AO118" s="55"/>
      <c r="AP118" s="55"/>
      <c r="AQ118" s="55"/>
      <c r="AR118" s="55"/>
      <c r="AS118" s="55"/>
      <c r="AT118" s="55"/>
      <c r="AU118" s="55"/>
      <c r="AV118" s="55"/>
      <c r="AW118" s="55"/>
      <c r="AX118" s="55"/>
      <c r="AY118" s="55"/>
      <c r="BA118" s="55"/>
      <c r="BB118" s="55"/>
      <c r="BC118" s="55"/>
      <c r="BE118" s="55"/>
      <c r="BF118" s="55"/>
    </row>
    <row r="119" spans="7:58" s="2479" customFormat="1" x14ac:dyDescent="0.2">
      <c r="G119" s="55"/>
      <c r="H119" s="55"/>
      <c r="I119" s="55"/>
      <c r="J119" s="55"/>
      <c r="K119" s="55"/>
      <c r="L119" s="59"/>
      <c r="M119" s="55"/>
      <c r="N119" s="55"/>
      <c r="O119" s="55"/>
      <c r="P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J119" s="55"/>
      <c r="AK119" s="55"/>
      <c r="AL119" s="55"/>
      <c r="AM119" s="55"/>
      <c r="AN119" s="55"/>
      <c r="AO119" s="55"/>
      <c r="AP119" s="55"/>
      <c r="AQ119" s="55"/>
      <c r="AR119" s="55"/>
      <c r="AS119" s="55"/>
      <c r="AT119" s="55"/>
      <c r="AU119" s="55"/>
      <c r="AV119" s="55"/>
      <c r="AW119" s="55"/>
      <c r="AX119" s="55"/>
      <c r="AY119" s="55"/>
      <c r="BA119" s="55"/>
      <c r="BB119" s="55"/>
      <c r="BC119" s="55"/>
      <c r="BE119" s="55"/>
      <c r="BF119" s="55"/>
    </row>
    <row r="120" spans="7:58" s="2479" customFormat="1" x14ac:dyDescent="0.2">
      <c r="G120" s="55"/>
      <c r="H120" s="55"/>
      <c r="I120" s="55"/>
      <c r="J120" s="55"/>
      <c r="K120" s="55"/>
      <c r="L120" s="59"/>
      <c r="M120" s="55"/>
      <c r="N120" s="55"/>
      <c r="O120" s="55"/>
      <c r="P120" s="55"/>
      <c r="R120" s="55"/>
      <c r="S120" s="55"/>
      <c r="T120" s="55"/>
      <c r="U120" s="55"/>
      <c r="V120" s="55"/>
      <c r="W120" s="55"/>
      <c r="X120" s="55"/>
      <c r="Y120" s="55"/>
      <c r="Z120" s="55"/>
      <c r="AA120" s="55"/>
      <c r="AB120" s="55"/>
      <c r="AC120" s="55"/>
      <c r="AD120" s="55"/>
      <c r="AE120" s="55"/>
      <c r="AF120" s="55"/>
      <c r="AG120" s="55"/>
      <c r="AH120" s="55"/>
      <c r="AJ120" s="55"/>
      <c r="AK120" s="55"/>
      <c r="AL120" s="55"/>
      <c r="AM120" s="55"/>
      <c r="AN120" s="55"/>
      <c r="AO120" s="55"/>
      <c r="AP120" s="55"/>
      <c r="AQ120" s="55"/>
      <c r="AR120" s="55"/>
      <c r="AS120" s="55"/>
      <c r="AT120" s="55"/>
      <c r="AU120" s="55"/>
      <c r="AV120" s="55"/>
      <c r="AW120" s="55"/>
      <c r="AX120" s="55"/>
      <c r="AY120" s="55"/>
      <c r="BA120" s="55"/>
      <c r="BB120" s="55"/>
      <c r="BC120" s="55"/>
      <c r="BE120" s="55"/>
      <c r="BF120" s="55"/>
    </row>
    <row r="121" spans="7:58" s="2479" customFormat="1" x14ac:dyDescent="0.2">
      <c r="G121" s="55"/>
      <c r="H121" s="55"/>
      <c r="I121" s="55"/>
      <c r="J121" s="55"/>
      <c r="K121" s="55"/>
      <c r="L121" s="59"/>
      <c r="M121" s="55"/>
      <c r="N121" s="55"/>
      <c r="O121" s="55"/>
      <c r="P121" s="55"/>
      <c r="R121" s="55"/>
      <c r="S121" s="55"/>
      <c r="T121" s="55"/>
      <c r="U121" s="55"/>
      <c r="V121" s="55"/>
      <c r="W121" s="55"/>
      <c r="X121" s="55"/>
      <c r="Y121" s="55"/>
      <c r="Z121" s="55"/>
      <c r="AA121" s="55"/>
      <c r="AB121" s="55"/>
      <c r="AC121" s="55"/>
      <c r="AD121" s="55"/>
      <c r="AE121" s="55"/>
      <c r="AF121" s="55"/>
      <c r="AG121" s="55"/>
      <c r="AH121" s="55"/>
      <c r="AJ121" s="55"/>
      <c r="AK121" s="55"/>
      <c r="AL121" s="55"/>
      <c r="AM121" s="55"/>
      <c r="AN121" s="55"/>
      <c r="AO121" s="55"/>
      <c r="AP121" s="55"/>
      <c r="AQ121" s="55"/>
      <c r="AR121" s="55"/>
      <c r="AS121" s="55"/>
      <c r="AT121" s="55"/>
      <c r="AU121" s="55"/>
      <c r="AV121" s="55"/>
      <c r="AW121" s="55"/>
      <c r="AX121" s="55"/>
      <c r="AY121" s="55"/>
      <c r="BA121" s="55"/>
      <c r="BB121" s="55"/>
      <c r="BC121" s="55"/>
      <c r="BE121" s="55"/>
      <c r="BF121" s="55"/>
    </row>
    <row r="122" spans="7:58" s="2479" customFormat="1" x14ac:dyDescent="0.2">
      <c r="G122" s="55"/>
      <c r="H122" s="55"/>
      <c r="I122" s="55"/>
      <c r="J122" s="55"/>
      <c r="K122" s="55"/>
      <c r="L122" s="59"/>
      <c r="M122" s="55"/>
      <c r="N122" s="55"/>
      <c r="O122" s="55"/>
      <c r="P122" s="55"/>
      <c r="R122" s="55"/>
      <c r="S122" s="55"/>
      <c r="T122" s="55"/>
      <c r="U122" s="55"/>
      <c r="V122" s="55"/>
      <c r="W122" s="55"/>
      <c r="X122" s="55"/>
      <c r="Y122" s="55"/>
      <c r="Z122" s="55"/>
      <c r="AA122" s="55"/>
      <c r="AB122" s="55"/>
      <c r="AC122" s="55"/>
      <c r="AD122" s="55"/>
      <c r="AE122" s="55"/>
      <c r="AF122" s="55"/>
      <c r="AG122" s="55"/>
      <c r="AH122" s="55"/>
      <c r="AJ122" s="55"/>
      <c r="AK122" s="55"/>
      <c r="AL122" s="55"/>
      <c r="AM122" s="55"/>
      <c r="AN122" s="55"/>
      <c r="AO122" s="55"/>
      <c r="AP122" s="55"/>
      <c r="AQ122" s="55"/>
      <c r="AR122" s="55"/>
      <c r="AS122" s="55"/>
      <c r="AT122" s="55"/>
      <c r="AU122" s="55"/>
      <c r="AV122" s="55"/>
      <c r="AW122" s="55"/>
      <c r="AX122" s="55"/>
      <c r="AY122" s="55"/>
      <c r="BA122" s="55"/>
      <c r="BB122" s="55"/>
      <c r="BC122" s="55"/>
      <c r="BE122" s="55"/>
      <c r="BF122" s="55"/>
    </row>
    <row r="123" spans="7:58" s="2479" customFormat="1" x14ac:dyDescent="0.2">
      <c r="G123" s="55"/>
      <c r="H123" s="55"/>
      <c r="I123" s="55"/>
      <c r="J123" s="55"/>
      <c r="K123" s="55"/>
      <c r="L123" s="59"/>
      <c r="M123" s="55"/>
      <c r="N123" s="55"/>
      <c r="O123" s="55"/>
      <c r="P123" s="55"/>
      <c r="R123" s="55"/>
      <c r="S123" s="55"/>
      <c r="T123" s="55"/>
      <c r="U123" s="55"/>
      <c r="V123" s="55"/>
      <c r="W123" s="55"/>
      <c r="X123" s="55"/>
      <c r="Y123" s="55"/>
      <c r="Z123" s="55"/>
      <c r="AA123" s="55"/>
      <c r="AB123" s="55"/>
      <c r="AC123" s="55"/>
      <c r="AD123" s="55"/>
      <c r="AE123" s="55"/>
      <c r="AF123" s="55"/>
      <c r="AG123" s="55"/>
      <c r="AH123" s="55"/>
      <c r="AJ123" s="55"/>
      <c r="AK123" s="55"/>
      <c r="AL123" s="55"/>
      <c r="AM123" s="55"/>
      <c r="AN123" s="55"/>
      <c r="AO123" s="55"/>
      <c r="AP123" s="55"/>
      <c r="AQ123" s="55"/>
      <c r="AR123" s="55"/>
      <c r="AS123" s="55"/>
      <c r="AT123" s="55"/>
      <c r="AU123" s="55"/>
      <c r="AV123" s="55"/>
      <c r="AW123" s="55"/>
      <c r="AX123" s="55"/>
      <c r="AY123" s="55"/>
      <c r="BA123" s="55"/>
      <c r="BB123" s="55"/>
      <c r="BC123" s="55"/>
      <c r="BE123" s="55"/>
      <c r="BF123" s="55"/>
    </row>
    <row r="124" spans="7:58" s="2479" customFormat="1" x14ac:dyDescent="0.2">
      <c r="G124" s="55"/>
      <c r="H124" s="55"/>
      <c r="I124" s="55"/>
      <c r="J124" s="55"/>
      <c r="K124" s="55"/>
      <c r="L124" s="59"/>
      <c r="M124" s="55"/>
      <c r="N124" s="55"/>
      <c r="O124" s="55"/>
      <c r="P124" s="55"/>
      <c r="R124" s="55"/>
      <c r="S124" s="55"/>
      <c r="T124" s="55"/>
      <c r="U124" s="55"/>
      <c r="V124" s="55"/>
      <c r="W124" s="55"/>
      <c r="X124" s="55"/>
      <c r="Y124" s="55"/>
      <c r="Z124" s="55"/>
      <c r="AA124" s="55"/>
      <c r="AB124" s="55"/>
      <c r="AC124" s="55"/>
      <c r="AD124" s="55"/>
      <c r="AE124" s="55"/>
      <c r="AF124" s="55"/>
      <c r="AG124" s="55"/>
      <c r="AH124" s="55"/>
      <c r="AJ124" s="55"/>
      <c r="AK124" s="55"/>
      <c r="AL124" s="55"/>
      <c r="AM124" s="55"/>
      <c r="AN124" s="55"/>
      <c r="AO124" s="55"/>
      <c r="AP124" s="55"/>
      <c r="AQ124" s="55"/>
      <c r="AR124" s="55"/>
      <c r="AS124" s="55"/>
      <c r="AT124" s="55"/>
      <c r="AU124" s="55"/>
      <c r="AV124" s="55"/>
      <c r="AW124" s="55"/>
      <c r="AX124" s="55"/>
      <c r="AY124" s="55"/>
      <c r="BA124" s="55"/>
      <c r="BB124" s="55"/>
      <c r="BC124" s="55"/>
      <c r="BE124" s="55"/>
      <c r="BF124" s="55"/>
    </row>
    <row r="125" spans="7:58" s="2479" customFormat="1" x14ac:dyDescent="0.2">
      <c r="G125" s="55"/>
      <c r="H125" s="55"/>
      <c r="I125" s="55"/>
      <c r="J125" s="55"/>
      <c r="K125" s="55"/>
      <c r="L125" s="59"/>
      <c r="M125" s="55"/>
      <c r="N125" s="55"/>
      <c r="O125" s="55"/>
      <c r="P125" s="55"/>
      <c r="R125" s="55"/>
      <c r="S125" s="55"/>
      <c r="T125" s="55"/>
      <c r="U125" s="55"/>
      <c r="V125" s="55"/>
      <c r="W125" s="55"/>
      <c r="X125" s="55"/>
      <c r="Y125" s="55"/>
      <c r="Z125" s="55"/>
      <c r="AA125" s="55"/>
      <c r="AB125" s="55"/>
      <c r="AC125" s="55"/>
      <c r="AD125" s="55"/>
      <c r="AE125" s="55"/>
      <c r="AF125" s="55"/>
      <c r="AG125" s="55"/>
      <c r="AH125" s="55"/>
      <c r="AJ125" s="55"/>
      <c r="AK125" s="55"/>
      <c r="AL125" s="55"/>
      <c r="AM125" s="55"/>
      <c r="AN125" s="55"/>
      <c r="AO125" s="55"/>
      <c r="AP125" s="55"/>
      <c r="AQ125" s="55"/>
      <c r="AR125" s="55"/>
      <c r="AS125" s="55"/>
      <c r="AT125" s="55"/>
      <c r="AU125" s="55"/>
      <c r="AV125" s="55"/>
      <c r="AW125" s="55"/>
      <c r="AX125" s="55"/>
      <c r="AY125" s="55"/>
      <c r="BA125" s="55"/>
      <c r="BB125" s="55"/>
      <c r="BC125" s="55"/>
      <c r="BE125" s="55"/>
      <c r="BF125" s="55"/>
    </row>
    <row r="126" spans="7:58" s="2479" customFormat="1" x14ac:dyDescent="0.2">
      <c r="G126" s="55"/>
      <c r="H126" s="55"/>
      <c r="I126" s="55"/>
      <c r="J126" s="55"/>
      <c r="K126" s="55"/>
      <c r="L126" s="59"/>
      <c r="M126" s="55"/>
      <c r="N126" s="55"/>
      <c r="O126" s="55"/>
      <c r="P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J126" s="55"/>
      <c r="AK126" s="55"/>
      <c r="AL126" s="55"/>
      <c r="AM126" s="55"/>
      <c r="AN126" s="55"/>
      <c r="AO126" s="55"/>
      <c r="AP126" s="55"/>
      <c r="AQ126" s="55"/>
      <c r="AR126" s="55"/>
      <c r="AS126" s="55"/>
      <c r="AT126" s="55"/>
      <c r="AU126" s="55"/>
      <c r="AV126" s="55"/>
      <c r="AW126" s="55"/>
      <c r="AX126" s="55"/>
      <c r="AY126" s="55"/>
      <c r="BA126" s="55"/>
      <c r="BB126" s="55"/>
      <c r="BC126" s="55"/>
      <c r="BE126" s="55"/>
      <c r="BF126" s="55"/>
    </row>
    <row r="127" spans="7:58" s="2479" customFormat="1" x14ac:dyDescent="0.2">
      <c r="G127" s="55"/>
      <c r="H127" s="55"/>
      <c r="I127" s="55"/>
      <c r="J127" s="55"/>
      <c r="K127" s="55"/>
      <c r="L127" s="59"/>
      <c r="M127" s="55"/>
      <c r="N127" s="55"/>
      <c r="O127" s="55"/>
      <c r="P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J127" s="55"/>
      <c r="AK127" s="55"/>
      <c r="AL127" s="55"/>
      <c r="AM127" s="55"/>
      <c r="AN127" s="55"/>
      <c r="AO127" s="55"/>
      <c r="AP127" s="55"/>
      <c r="AQ127" s="55"/>
      <c r="AR127" s="55"/>
      <c r="AS127" s="55"/>
      <c r="AT127" s="55"/>
      <c r="AU127" s="55"/>
      <c r="AV127" s="55"/>
      <c r="AW127" s="55"/>
      <c r="AX127" s="55"/>
      <c r="AY127" s="55"/>
      <c r="BA127" s="55"/>
      <c r="BB127" s="55"/>
      <c r="BC127" s="55"/>
      <c r="BE127" s="55"/>
      <c r="BF127" s="55"/>
    </row>
    <row r="128" spans="7:58" s="2479" customFormat="1" x14ac:dyDescent="0.2">
      <c r="G128" s="55"/>
      <c r="H128" s="55"/>
      <c r="I128" s="55"/>
      <c r="J128" s="55"/>
      <c r="K128" s="55"/>
      <c r="L128" s="59"/>
      <c r="M128" s="55"/>
      <c r="N128" s="55"/>
      <c r="O128" s="55"/>
      <c r="P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J128" s="55"/>
      <c r="AK128" s="55"/>
      <c r="AL128" s="55"/>
      <c r="AM128" s="55"/>
      <c r="AN128" s="55"/>
      <c r="AO128" s="55"/>
      <c r="AP128" s="55"/>
      <c r="AQ128" s="55"/>
      <c r="AR128" s="55"/>
      <c r="AS128" s="55"/>
      <c r="AT128" s="55"/>
      <c r="AU128" s="55"/>
      <c r="AV128" s="55"/>
      <c r="AW128" s="55"/>
      <c r="AX128" s="55"/>
      <c r="AY128" s="55"/>
      <c r="BA128" s="55"/>
      <c r="BB128" s="55"/>
      <c r="BC128" s="55"/>
      <c r="BE128" s="55"/>
      <c r="BF128" s="55"/>
    </row>
    <row r="129" spans="7:58" s="2479" customFormat="1" x14ac:dyDescent="0.2">
      <c r="G129" s="55"/>
      <c r="H129" s="55"/>
      <c r="I129" s="55"/>
      <c r="J129" s="55"/>
      <c r="K129" s="55"/>
      <c r="L129" s="59"/>
      <c r="M129" s="55"/>
      <c r="N129" s="55"/>
      <c r="O129" s="55"/>
      <c r="P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J129" s="55"/>
      <c r="AK129" s="55"/>
      <c r="AL129" s="55"/>
      <c r="AM129" s="55"/>
      <c r="AN129" s="55"/>
      <c r="AO129" s="55"/>
      <c r="AP129" s="55"/>
      <c r="AQ129" s="55"/>
      <c r="AR129" s="55"/>
      <c r="AS129" s="55"/>
      <c r="AT129" s="55"/>
      <c r="AU129" s="55"/>
      <c r="AV129" s="55"/>
      <c r="AW129" s="55"/>
      <c r="AX129" s="55"/>
      <c r="AY129" s="55"/>
      <c r="BA129" s="55"/>
      <c r="BB129" s="55"/>
      <c r="BC129" s="55"/>
      <c r="BE129" s="55"/>
      <c r="BF129" s="55"/>
    </row>
  </sheetData>
  <pageMargins left="0.25" right="0.25" top="0.75" bottom="0.75" header="0.3" footer="0.3"/>
  <pageSetup orientation="portrait" horizontalDpi="1200" verticalDpi="1200" r:id="rId1"/>
  <headerFooter>
    <oddFooter>&amp;L&amp;"+,Regular"Pathways to 2050 -- Energy Flow Model&amp;R&amp;"+,Regular"&amp;F  |  This version printed 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2:AB115"/>
  <sheetViews>
    <sheetView windowProtection="1" tabSelected="1" topLeftCell="A3" workbookViewId="0">
      <selection activeCell="H19" sqref="H19"/>
    </sheetView>
  </sheetViews>
  <sheetFormatPr defaultColWidth="11.42578125" defaultRowHeight="12.75" x14ac:dyDescent="0.2"/>
  <cols>
    <col min="1" max="2" width="11.42578125" style="2479"/>
    <col min="3" max="3" width="5.42578125" style="2479" customWidth="1"/>
    <col min="4" max="4" width="38.7109375" style="2479" customWidth="1"/>
    <col min="5" max="16384" width="11.42578125" style="2479"/>
  </cols>
  <sheetData>
    <row r="2" spans="1:28" ht="22.5" x14ac:dyDescent="0.3">
      <c r="A2" s="1422"/>
      <c r="B2" s="468" t="s">
        <v>2520</v>
      </c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3"/>
    </row>
    <row r="3" spans="1:28" s="84" customFormat="1" ht="18" customHeight="1" x14ac:dyDescent="0.2">
      <c r="B3" s="410"/>
      <c r="C3" s="412"/>
      <c r="D3" s="412"/>
      <c r="E3" s="412"/>
      <c r="F3" s="412"/>
      <c r="G3" s="412"/>
      <c r="H3" s="412"/>
      <c r="I3" s="412"/>
      <c r="J3" s="412"/>
      <c r="K3" s="412"/>
      <c r="L3" s="2387"/>
      <c r="M3" s="2388"/>
      <c r="N3" s="429"/>
      <c r="P3" s="2479"/>
      <c r="Q3" s="2479"/>
      <c r="R3" s="2479"/>
      <c r="S3" s="2479"/>
      <c r="T3" s="2479"/>
      <c r="U3" s="2479"/>
      <c r="V3" s="2479"/>
      <c r="W3" s="2479"/>
      <c r="X3" s="2479"/>
      <c r="Y3" s="2479"/>
      <c r="Z3" s="2479"/>
      <c r="AA3" s="2479"/>
      <c r="AB3" s="2479"/>
    </row>
    <row r="4" spans="1:28" s="84" customFormat="1" ht="18" customHeight="1" x14ac:dyDescent="0.2">
      <c r="B4" s="412"/>
      <c r="C4" s="794" t="s">
        <v>2521</v>
      </c>
      <c r="D4" s="412"/>
      <c r="E4" s="412"/>
      <c r="F4" s="412"/>
      <c r="G4" s="412"/>
      <c r="H4" s="412"/>
      <c r="I4" s="412"/>
      <c r="J4" s="412"/>
      <c r="K4" s="412"/>
      <c r="L4" s="412"/>
      <c r="M4" s="2283" t="str">
        <f>Preferences.EnergyUnits &amp; " / year"</f>
        <v>TWh / year</v>
      </c>
      <c r="N4" s="97"/>
      <c r="P4" s="2479"/>
      <c r="Q4" s="2479"/>
      <c r="R4" s="2479"/>
      <c r="S4" s="2479"/>
      <c r="T4" s="2479"/>
      <c r="U4" s="2479"/>
      <c r="V4" s="2479"/>
      <c r="W4" s="2479"/>
      <c r="X4" s="2479"/>
      <c r="Y4" s="2479"/>
      <c r="Z4" s="2479"/>
      <c r="AA4" s="2479"/>
      <c r="AB4" s="2479"/>
    </row>
    <row r="5" spans="1:28" s="2474" customFormat="1" ht="18" customHeight="1" x14ac:dyDescent="0.2"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240"/>
      <c r="N5" s="240"/>
      <c r="P5" s="591"/>
      <c r="Q5" s="591"/>
      <c r="R5" s="591"/>
      <c r="S5" s="591"/>
      <c r="T5" s="591"/>
      <c r="U5" s="591"/>
      <c r="V5" s="591"/>
      <c r="W5" s="591"/>
      <c r="X5" s="591"/>
      <c r="Y5" s="591"/>
      <c r="Z5" s="591"/>
      <c r="AA5" s="591"/>
      <c r="AB5" s="591"/>
    </row>
    <row r="6" spans="1:28" s="2474" customFormat="1" ht="18" customHeight="1" x14ac:dyDescent="0.2">
      <c r="B6" s="411"/>
      <c r="C6" s="411" t="s">
        <v>34</v>
      </c>
      <c r="D6" s="2656" t="s">
        <v>117</v>
      </c>
      <c r="E6" s="775">
        <v>2010</v>
      </c>
      <c r="F6" s="775">
        <v>2015</v>
      </c>
      <c r="G6" s="775">
        <v>2020</v>
      </c>
      <c r="H6" s="775">
        <v>2025</v>
      </c>
      <c r="I6" s="775">
        <v>2030</v>
      </c>
      <c r="J6" s="775">
        <v>2035</v>
      </c>
      <c r="K6" s="775">
        <v>2040</v>
      </c>
      <c r="L6" s="775">
        <v>2045</v>
      </c>
      <c r="M6" s="775">
        <v>2050</v>
      </c>
      <c r="N6" s="240"/>
      <c r="P6" s="591"/>
      <c r="Q6" s="591"/>
      <c r="R6" s="591"/>
      <c r="S6" s="591"/>
      <c r="T6" s="591"/>
      <c r="U6" s="591"/>
      <c r="V6" s="591"/>
      <c r="W6" s="591"/>
      <c r="X6" s="591"/>
      <c r="Y6" s="591"/>
      <c r="Z6" s="591"/>
      <c r="AA6" s="591"/>
      <c r="AB6" s="591"/>
    </row>
    <row r="7" spans="1:28" s="2657" customFormat="1" x14ac:dyDescent="0.2">
      <c r="B7" s="808"/>
      <c r="C7" s="2391" t="s">
        <v>380</v>
      </c>
      <c r="D7" s="2391" t="str">
        <f>INDEX(Modules[Module], MATCH($C7,Modules[Code], 0))</f>
        <v>Agriculture and land use</v>
      </c>
      <c r="E7" s="2392">
        <f t="shared" ref="E7:M16" ca="1" si="0">-INDEX(INDIRECT($C7&amp;".Outputs["&amp;E$6&amp;"]"),MATCH($C$6,INDIRECT($C7&amp;".Outputs[Vector]"),0))</f>
        <v>1.24142109</v>
      </c>
      <c r="F7" s="2392">
        <f t="shared" ca="1" si="0"/>
        <v>1.2985267076597906</v>
      </c>
      <c r="G7" s="2392">
        <f t="shared" ca="1" si="0"/>
        <v>1.3631364724822697</v>
      </c>
      <c r="H7" s="2392">
        <f t="shared" ca="1" si="0"/>
        <v>1.4362364910353544</v>
      </c>
      <c r="I7" s="2392">
        <f t="shared" ca="1" si="0"/>
        <v>1.5189424523887711</v>
      </c>
      <c r="J7" s="2392">
        <f t="shared" ca="1" si="0"/>
        <v>1.6125166563190418</v>
      </c>
      <c r="K7" s="2392">
        <f t="shared" ca="1" si="0"/>
        <v>1.718387279160452</v>
      </c>
      <c r="L7" s="2392">
        <f t="shared" ca="1" si="0"/>
        <v>1.8381701713470693</v>
      </c>
      <c r="M7" s="2392">
        <f t="shared" ca="1" si="0"/>
        <v>1.9736935193308003</v>
      </c>
      <c r="N7" s="1403"/>
      <c r="O7" s="2658"/>
    </row>
    <row r="8" spans="1:28" s="2657" customFormat="1" x14ac:dyDescent="0.2">
      <c r="B8" s="808"/>
      <c r="C8" s="2391" t="s">
        <v>341</v>
      </c>
      <c r="D8" s="2391" t="str">
        <f>INDEX(Modules[Module], MATCH($C8,Modules[Code], 0))</f>
        <v>Residential Cooling</v>
      </c>
      <c r="E8" s="2392">
        <f t="shared" ca="1" si="0"/>
        <v>38.553347194436292</v>
      </c>
      <c r="F8" s="2392">
        <f t="shared" ca="1" si="0"/>
        <v>42.35519366304365</v>
      </c>
      <c r="G8" s="2392">
        <f t="shared" ca="1" si="0"/>
        <v>50.714523094931813</v>
      </c>
      <c r="H8" s="2392">
        <f t="shared" ca="1" si="0"/>
        <v>60.501058104296142</v>
      </c>
      <c r="I8" s="2392">
        <f t="shared" ca="1" si="0"/>
        <v>69.168548601745115</v>
      </c>
      <c r="J8" s="2392">
        <f t="shared" ca="1" si="0"/>
        <v>81.857281951971515</v>
      </c>
      <c r="K8" s="2392">
        <f t="shared" ca="1" si="0"/>
        <v>90.481230811821106</v>
      </c>
      <c r="L8" s="2392">
        <f t="shared" ca="1" si="0"/>
        <v>99.556795631218193</v>
      </c>
      <c r="M8" s="2392">
        <f t="shared" ca="1" si="0"/>
        <v>109.03701827242892</v>
      </c>
      <c r="N8" s="1403"/>
      <c r="O8" s="2658"/>
    </row>
    <row r="9" spans="1:28" s="2657" customFormat="1" x14ac:dyDescent="0.2">
      <c r="B9" s="808"/>
      <c r="C9" s="2391" t="s">
        <v>388</v>
      </c>
      <c r="D9" s="2391" t="str">
        <f>INDEX(Modules[Module], MATCH($C9,Modules[Code], 0))</f>
        <v>Service Sector Cooling</v>
      </c>
      <c r="E9" s="2392">
        <f t="shared" ca="1" si="0"/>
        <v>7.6376658252466445</v>
      </c>
      <c r="F9" s="2392">
        <f t="shared" ca="1" si="0"/>
        <v>11.164654317475202</v>
      </c>
      <c r="G9" s="2392">
        <f t="shared" ca="1" si="0"/>
        <v>14.39449468289782</v>
      </c>
      <c r="H9" s="2392">
        <f t="shared" ca="1" si="0"/>
        <v>17.327186921514574</v>
      </c>
      <c r="I9" s="2392">
        <f t="shared" ca="1" si="0"/>
        <v>19.962731033325539</v>
      </c>
      <c r="J9" s="2392">
        <f t="shared" ca="1" si="0"/>
        <v>22.301127018330565</v>
      </c>
      <c r="K9" s="2392">
        <f t="shared" ca="1" si="0"/>
        <v>24.342374876529728</v>
      </c>
      <c r="L9" s="2392">
        <f t="shared" ca="1" si="0"/>
        <v>26.086474607923098</v>
      </c>
      <c r="M9" s="2392">
        <f t="shared" ca="1" si="0"/>
        <v>27.533426212510538</v>
      </c>
      <c r="N9" s="1403"/>
      <c r="O9" s="2658"/>
    </row>
    <row r="10" spans="1:28" s="2657" customFormat="1" x14ac:dyDescent="0.2">
      <c r="B10" s="808"/>
      <c r="C10" s="2391" t="s">
        <v>392</v>
      </c>
      <c r="D10" s="2391" t="str">
        <f>INDEX(Modules[Module], MATCH($C10,Modules[Code], 0))</f>
        <v>Residential Lighting, Appliances, and Cooking</v>
      </c>
      <c r="E10" s="2392">
        <f t="shared" ca="1" si="0"/>
        <v>27.89612118265498</v>
      </c>
      <c r="F10" s="2392">
        <f t="shared" ca="1" si="0"/>
        <v>37.002325143060304</v>
      </c>
      <c r="G10" s="2392">
        <f t="shared" ca="1" si="0"/>
        <v>74.005069857124582</v>
      </c>
      <c r="H10" s="2392">
        <f t="shared" ca="1" si="0"/>
        <v>153.36073970703768</v>
      </c>
      <c r="I10" s="2392">
        <f t="shared" ca="1" si="0"/>
        <v>233.8444437272363</v>
      </c>
      <c r="J10" s="2392">
        <f t="shared" ca="1" si="0"/>
        <v>343.01906779164136</v>
      </c>
      <c r="K10" s="2392">
        <f t="shared" ca="1" si="0"/>
        <v>446.79387785974899</v>
      </c>
      <c r="L10" s="2392">
        <f t="shared" ca="1" si="0"/>
        <v>557.84210500563609</v>
      </c>
      <c r="M10" s="2392">
        <f t="shared" ca="1" si="0"/>
        <v>676.14898610126431</v>
      </c>
      <c r="N10" s="1403"/>
      <c r="O10" s="2658"/>
    </row>
    <row r="11" spans="1:28" s="2657" customFormat="1" x14ac:dyDescent="0.2">
      <c r="B11" s="808"/>
      <c r="C11" s="2391" t="s">
        <v>393</v>
      </c>
      <c r="D11" s="2391" t="str">
        <f>INDEX(Modules[Module], MATCH($C11,Modules[Code], 0))</f>
        <v>Service Sector Lighting, Appliances, and Cooking</v>
      </c>
      <c r="E11" s="2392">
        <f t="shared" ca="1" si="0"/>
        <v>10.747311068475991</v>
      </c>
      <c r="F11" s="2392">
        <f t="shared" ca="1" si="0"/>
        <v>11.877969802396249</v>
      </c>
      <c r="G11" s="2392">
        <f t="shared" ca="1" si="0"/>
        <v>13.181003517972247</v>
      </c>
      <c r="H11" s="2392">
        <f t="shared" ca="1" si="0"/>
        <v>14.460746058737476</v>
      </c>
      <c r="I11" s="2392">
        <f t="shared" ca="1" si="0"/>
        <v>20.020368786122059</v>
      </c>
      <c r="J11" s="2392">
        <f t="shared" ca="1" si="0"/>
        <v>26.205200519458359</v>
      </c>
      <c r="K11" s="2392">
        <f t="shared" ca="1" si="0"/>
        <v>28.921353483281138</v>
      </c>
      <c r="L11" s="2392">
        <f t="shared" ca="1" si="0"/>
        <v>31.615978208554619</v>
      </c>
      <c r="M11" s="2392">
        <f t="shared" ca="1" si="0"/>
        <v>36.020206104359104</v>
      </c>
      <c r="N11" s="1403"/>
      <c r="O11" s="2658"/>
    </row>
    <row r="12" spans="1:28" s="2657" customFormat="1" x14ac:dyDescent="0.2">
      <c r="B12" s="808"/>
      <c r="C12" s="2391" t="s">
        <v>360</v>
      </c>
      <c r="D12" s="2391" t="str">
        <f>INDEX(Modules[Module], MATCH($C12,Modules[Code], 0))</f>
        <v>Industrial processes</v>
      </c>
      <c r="E12" s="2392">
        <f t="shared" ca="1" si="0"/>
        <v>24.449164692999169</v>
      </c>
      <c r="F12" s="2392">
        <f t="shared" ca="1" si="0"/>
        <v>24.982561473647642</v>
      </c>
      <c r="G12" s="2392">
        <f t="shared" ca="1" si="0"/>
        <v>24.8255212104248</v>
      </c>
      <c r="H12" s="2392">
        <f t="shared" ca="1" si="0"/>
        <v>23.67914021157986</v>
      </c>
      <c r="I12" s="2392">
        <f t="shared" ca="1" si="0"/>
        <v>20.431337268691905</v>
      </c>
      <c r="J12" s="2392">
        <f t="shared" ca="1" si="0"/>
        <v>24.530763976236312</v>
      </c>
      <c r="K12" s="2392">
        <f t="shared" ca="1" si="0"/>
        <v>29.427590808922986</v>
      </c>
      <c r="L12" s="2392">
        <f t="shared" ca="1" si="0"/>
        <v>34.622018158108723</v>
      </c>
      <c r="M12" s="2392">
        <f t="shared" ca="1" si="0"/>
        <v>40.740602035693293</v>
      </c>
      <c r="N12" s="1403"/>
      <c r="O12" s="2658"/>
    </row>
    <row r="13" spans="1:28" s="2657" customFormat="1" x14ac:dyDescent="0.2">
      <c r="B13" s="808"/>
      <c r="C13" s="2391" t="s">
        <v>362</v>
      </c>
      <c r="D13" s="2391" t="str">
        <f>INDEX(Modules[Module], MATCH($C13,Modules[Code], 0))</f>
        <v>Domestic passenger transport</v>
      </c>
      <c r="E13" s="2392">
        <f t="shared" ca="1" si="0"/>
        <v>0</v>
      </c>
      <c r="F13" s="2392">
        <f t="shared" ca="1" si="0"/>
        <v>0.7600709018011822</v>
      </c>
      <c r="G13" s="2392">
        <f t="shared" ca="1" si="0"/>
        <v>3.1879620186467812</v>
      </c>
      <c r="H13" s="2392">
        <f t="shared" ca="1" si="0"/>
        <v>6.223589139673841</v>
      </c>
      <c r="I13" s="2392">
        <f t="shared" ca="1" si="0"/>
        <v>9.93908149700321</v>
      </c>
      <c r="J13" s="2392">
        <f t="shared" ca="1" si="0"/>
        <v>14.477286821083673</v>
      </c>
      <c r="K13" s="2392">
        <f t="shared" ca="1" si="0"/>
        <v>19.471332056571008</v>
      </c>
      <c r="L13" s="2392">
        <f t="shared" ca="1" si="0"/>
        <v>25.299725791429807</v>
      </c>
      <c r="M13" s="2392">
        <f t="shared" ca="1" si="0"/>
        <v>31.999689089751769</v>
      </c>
      <c r="N13" s="1403"/>
      <c r="O13" s="2658"/>
    </row>
    <row r="14" spans="1:28" s="2657" customFormat="1" x14ac:dyDescent="0.2">
      <c r="B14" s="808"/>
      <c r="C14" s="2391" t="s">
        <v>375</v>
      </c>
      <c r="D14" s="2391" t="str">
        <f>INDEX(Modules[Module], MATCH($C14,Modules[Code], 0))</f>
        <v>Domestic freight</v>
      </c>
      <c r="E14" s="2392">
        <f t="shared" ca="1" si="0"/>
        <v>1.0449356110119832</v>
      </c>
      <c r="F14" s="2392">
        <f t="shared" ca="1" si="0"/>
        <v>3.2109678001263453</v>
      </c>
      <c r="G14" s="2392">
        <f t="shared" ca="1" si="0"/>
        <v>5.3768830392493072</v>
      </c>
      <c r="H14" s="2392">
        <f t="shared" ca="1" si="0"/>
        <v>7.5426813283808611</v>
      </c>
      <c r="I14" s="2392">
        <f t="shared" ca="1" si="0"/>
        <v>9.7083626675210226</v>
      </c>
      <c r="J14" s="2392">
        <f t="shared" ca="1" si="0"/>
        <v>11.874219431648278</v>
      </c>
      <c r="K14" s="2392">
        <f t="shared" ca="1" si="0"/>
        <v>14.040076195775544</v>
      </c>
      <c r="L14" s="2392">
        <f t="shared" ca="1" si="0"/>
        <v>16.205932959902796</v>
      </c>
      <c r="M14" s="2392">
        <f t="shared" ca="1" si="0"/>
        <v>18.371789724030052</v>
      </c>
      <c r="N14" s="1403"/>
      <c r="O14" s="2658"/>
    </row>
    <row r="15" spans="1:28" s="2657" customFormat="1" x14ac:dyDescent="0.2">
      <c r="B15" s="808"/>
      <c r="C15" s="2391" t="s">
        <v>405</v>
      </c>
      <c r="D15" s="2391" t="str">
        <f>INDEX(Modules[Module], MATCH($C15,Modules[Code], 0))</f>
        <v>Petroleum refineries</v>
      </c>
      <c r="E15" s="2392">
        <f t="shared" ca="1" si="0"/>
        <v>4.6221216487887027</v>
      </c>
      <c r="F15" s="2392">
        <f t="shared" ca="1" si="0"/>
        <v>4.6221216487887027</v>
      </c>
      <c r="G15" s="2392">
        <f t="shared" ca="1" si="0"/>
        <v>4.3037903656873526</v>
      </c>
      <c r="H15" s="2392">
        <f t="shared" ca="1" si="0"/>
        <v>3.6895756901015524</v>
      </c>
      <c r="I15" s="2392">
        <f t="shared" ca="1" si="0"/>
        <v>3.193714371509536</v>
      </c>
      <c r="J15" s="2392">
        <f t="shared" ca="1" si="0"/>
        <v>3.0540966574687904</v>
      </c>
      <c r="K15" s="2392">
        <f t="shared" ca="1" si="0"/>
        <v>3.0304652332819488</v>
      </c>
      <c r="L15" s="2392">
        <f t="shared" ca="1" si="0"/>
        <v>3.0080173426650463</v>
      </c>
      <c r="M15" s="2392">
        <f t="shared" ca="1" si="0"/>
        <v>2.9855694520481428</v>
      </c>
      <c r="N15" s="1403"/>
      <c r="O15" s="2658"/>
    </row>
    <row r="16" spans="1:28" s="2657" customFormat="1" x14ac:dyDescent="0.2">
      <c r="B16" s="808"/>
      <c r="C16" s="2391" t="s">
        <v>415</v>
      </c>
      <c r="D16" s="2391" t="str">
        <f>INDEX(Modules[Module], MATCH($C16,Modules[Code], 0))</f>
        <v>Indigenous fossil-fuel production</v>
      </c>
      <c r="E16" s="2392">
        <f t="shared" ca="1" si="0"/>
        <v>0.88653810768169206</v>
      </c>
      <c r="F16" s="2392">
        <f t="shared" ca="1" si="0"/>
        <v>0.88653810768169206</v>
      </c>
      <c r="G16" s="2392">
        <f t="shared" ca="1" si="0"/>
        <v>0.88845651315338614</v>
      </c>
      <c r="H16" s="2392">
        <f t="shared" ca="1" si="0"/>
        <v>0.96408757488782859</v>
      </c>
      <c r="I16" s="2392">
        <f t="shared" ca="1" si="0"/>
        <v>1.0884936119654052</v>
      </c>
      <c r="J16" s="2392">
        <f t="shared" ca="1" si="0"/>
        <v>1.2128996490429818</v>
      </c>
      <c r="K16" s="2392">
        <f t="shared" ca="1" si="0"/>
        <v>1.3373056861205583</v>
      </c>
      <c r="L16" s="2392">
        <f t="shared" ca="1" si="0"/>
        <v>1.4617117231981349</v>
      </c>
      <c r="M16" s="2392">
        <f t="shared" ca="1" si="0"/>
        <v>1.5861177602757115</v>
      </c>
      <c r="N16" s="1403"/>
      <c r="O16" s="2658"/>
    </row>
    <row r="17" spans="2:15" s="2657" customFormat="1" x14ac:dyDescent="0.2">
      <c r="B17" s="808"/>
      <c r="C17" s="2391"/>
      <c r="D17" s="2681" t="s">
        <v>105</v>
      </c>
      <c r="E17" s="2682">
        <f t="shared" ref="E17:M17" ca="1" si="1">SUM(E7:E16)</f>
        <v>117.07862642129545</v>
      </c>
      <c r="F17" s="2682">
        <f t="shared" ca="1" si="1"/>
        <v>138.16092956568079</v>
      </c>
      <c r="G17" s="2682">
        <f t="shared" ca="1" si="1"/>
        <v>192.24084077257035</v>
      </c>
      <c r="H17" s="2682">
        <f t="shared" ca="1" si="1"/>
        <v>289.18504122724516</v>
      </c>
      <c r="I17" s="2682">
        <f t="shared" ca="1" si="1"/>
        <v>388.87602401750888</v>
      </c>
      <c r="J17" s="2682">
        <f t="shared" ca="1" si="1"/>
        <v>530.14446047320087</v>
      </c>
      <c r="K17" s="2682">
        <f t="shared" ca="1" si="1"/>
        <v>659.56399429121336</v>
      </c>
      <c r="L17" s="2682">
        <f t="shared" ca="1" si="1"/>
        <v>797.53692959998375</v>
      </c>
      <c r="M17" s="2682">
        <f t="shared" ca="1" si="1"/>
        <v>946.39709827169258</v>
      </c>
      <c r="N17" s="1403"/>
      <c r="O17" s="2658"/>
    </row>
    <row r="18" spans="2:15" s="2657" customFormat="1" x14ac:dyDescent="0.2">
      <c r="B18" s="808"/>
      <c r="C18" s="2391"/>
      <c r="D18" s="2391"/>
      <c r="E18" s="2392"/>
      <c r="F18" s="2392"/>
      <c r="G18" s="2392"/>
      <c r="H18" s="2392"/>
      <c r="I18" s="2392"/>
      <c r="J18" s="2392"/>
      <c r="K18" s="2392"/>
      <c r="L18" s="2392"/>
      <c r="M18" s="2392"/>
      <c r="N18" s="1403"/>
      <c r="O18" s="2658"/>
    </row>
    <row r="19" spans="2:15" s="2657" customFormat="1" x14ac:dyDescent="0.2">
      <c r="B19" s="808"/>
      <c r="C19" s="2397" t="s">
        <v>2522</v>
      </c>
      <c r="D19" s="2391"/>
      <c r="E19" s="2392"/>
      <c r="F19" s="2392"/>
      <c r="G19" s="2392"/>
      <c r="H19" s="2392"/>
      <c r="I19" s="2392"/>
      <c r="J19" s="2392"/>
      <c r="K19" s="2392"/>
      <c r="L19" s="2392"/>
      <c r="M19" s="2283" t="str">
        <f>Preferences.EnergyUnits &amp; " / year"</f>
        <v>TWh / year</v>
      </c>
      <c r="N19" s="1403"/>
      <c r="O19" s="2658"/>
    </row>
    <row r="20" spans="2:15" s="2657" customFormat="1" x14ac:dyDescent="0.2">
      <c r="B20" s="808"/>
      <c r="C20" s="2391"/>
      <c r="D20" s="2391"/>
      <c r="E20" s="2392"/>
      <c r="F20" s="2392"/>
      <c r="G20" s="2392"/>
      <c r="H20" s="2392"/>
      <c r="I20" s="2392"/>
      <c r="J20" s="2392"/>
      <c r="K20" s="2392"/>
      <c r="L20" s="2392"/>
      <c r="M20" s="2392"/>
      <c r="N20" s="1403"/>
      <c r="O20" s="2658"/>
    </row>
    <row r="21" spans="2:15" s="2657" customFormat="1" x14ac:dyDescent="0.2">
      <c r="B21" s="808"/>
      <c r="C21" s="2391"/>
      <c r="D21" s="2656" t="s">
        <v>117</v>
      </c>
      <c r="E21" s="775">
        <v>2010</v>
      </c>
      <c r="F21" s="775">
        <v>2015</v>
      </c>
      <c r="G21" s="775">
        <v>2020</v>
      </c>
      <c r="H21" s="775">
        <v>2025</v>
      </c>
      <c r="I21" s="775">
        <v>2030</v>
      </c>
      <c r="J21" s="775">
        <v>2035</v>
      </c>
      <c r="K21" s="775">
        <v>2040</v>
      </c>
      <c r="L21" s="775">
        <v>2045</v>
      </c>
      <c r="M21" s="775">
        <v>2050</v>
      </c>
      <c r="N21" s="1403"/>
      <c r="O21" s="2658"/>
    </row>
    <row r="22" spans="2:15" s="2657" customFormat="1" x14ac:dyDescent="0.2">
      <c r="B22" s="808"/>
      <c r="C22" s="2391"/>
      <c r="D22" s="2391" t="s">
        <v>125</v>
      </c>
      <c r="E22" s="2392">
        <f ca="1">SUM(E13:E14)</f>
        <v>1.0449356110119832</v>
      </c>
      <c r="F22" s="2392">
        <f t="shared" ref="F22:M22" ca="1" si="2">SUM(F13:F14)</f>
        <v>3.9710387019275277</v>
      </c>
      <c r="G22" s="2392">
        <f t="shared" ca="1" si="2"/>
        <v>8.564845057896088</v>
      </c>
      <c r="H22" s="2392">
        <f t="shared" ca="1" si="2"/>
        <v>13.766270468054703</v>
      </c>
      <c r="I22" s="2392">
        <f t="shared" ca="1" si="2"/>
        <v>19.647444164524231</v>
      </c>
      <c r="J22" s="2392">
        <f t="shared" ca="1" si="2"/>
        <v>26.351506252731951</v>
      </c>
      <c r="K22" s="2392">
        <f t="shared" ca="1" si="2"/>
        <v>33.511408252346556</v>
      </c>
      <c r="L22" s="2392">
        <f t="shared" ca="1" si="2"/>
        <v>41.505658751332604</v>
      </c>
      <c r="M22" s="2392">
        <f t="shared" ca="1" si="2"/>
        <v>50.37147881378182</v>
      </c>
      <c r="N22" s="1403"/>
      <c r="O22" s="2658"/>
    </row>
    <row r="23" spans="2:15" s="2657" customFormat="1" x14ac:dyDescent="0.2">
      <c r="B23" s="808"/>
      <c r="C23" s="2391"/>
      <c r="D23" s="2391" t="s">
        <v>33</v>
      </c>
      <c r="E23" s="2392">
        <f t="shared" ref="E23:M23" ca="1" si="3">SUM(E15:E16,E12,E7)</f>
        <v>31.199245539469562</v>
      </c>
      <c r="F23" s="2392">
        <f t="shared" ca="1" si="3"/>
        <v>31.789747937777825</v>
      </c>
      <c r="G23" s="2392">
        <f t="shared" ca="1" si="3"/>
        <v>31.380904561747808</v>
      </c>
      <c r="H23" s="2392">
        <f t="shared" ca="1" si="3"/>
        <v>29.769039967604595</v>
      </c>
      <c r="I23" s="2392">
        <f t="shared" ca="1" si="3"/>
        <v>26.232487704555616</v>
      </c>
      <c r="J23" s="2392">
        <f t="shared" ca="1" si="3"/>
        <v>30.410276939067124</v>
      </c>
      <c r="K23" s="2392">
        <f t="shared" ca="1" si="3"/>
        <v>35.513749007485949</v>
      </c>
      <c r="L23" s="2392">
        <f t="shared" ca="1" si="3"/>
        <v>40.929917395318974</v>
      </c>
      <c r="M23" s="2392">
        <f t="shared" ca="1" si="3"/>
        <v>47.285982767347946</v>
      </c>
      <c r="N23" s="1403"/>
      <c r="O23" s="2658"/>
    </row>
    <row r="24" spans="2:15" s="2657" customFormat="1" x14ac:dyDescent="0.2">
      <c r="B24" s="808"/>
      <c r="C24" s="2391"/>
      <c r="D24" s="2391" t="s">
        <v>798</v>
      </c>
      <c r="E24" s="2392">
        <f ca="1">SUM(E8:E9)</f>
        <v>46.191013019682934</v>
      </c>
      <c r="F24" s="2392">
        <f t="shared" ref="F24:M24" ca="1" si="4">SUM(F8:F9)</f>
        <v>53.519847980518854</v>
      </c>
      <c r="G24" s="2392">
        <f t="shared" ca="1" si="4"/>
        <v>65.109017777829635</v>
      </c>
      <c r="H24" s="2392">
        <f t="shared" ca="1" si="4"/>
        <v>77.828245025810716</v>
      </c>
      <c r="I24" s="2392">
        <f t="shared" ca="1" si="4"/>
        <v>89.131279635070655</v>
      </c>
      <c r="J24" s="2392">
        <f t="shared" ca="1" si="4"/>
        <v>104.15840897030208</v>
      </c>
      <c r="K24" s="2392">
        <f t="shared" ca="1" si="4"/>
        <v>114.82360568835084</v>
      </c>
      <c r="L24" s="2392">
        <f t="shared" ca="1" si="4"/>
        <v>125.64327023914129</v>
      </c>
      <c r="M24" s="2392">
        <f t="shared" ca="1" si="4"/>
        <v>136.57044448493946</v>
      </c>
      <c r="N24" s="1403"/>
      <c r="O24" s="2658"/>
    </row>
    <row r="25" spans="2:15" s="2657" customFormat="1" x14ac:dyDescent="0.2">
      <c r="B25" s="808"/>
      <c r="C25" s="2391"/>
      <c r="D25" s="2642" t="s">
        <v>2534</v>
      </c>
      <c r="E25" s="2643">
        <f t="shared" ref="E25:M25" ca="1" si="5">SUM(E10:E11)</f>
        <v>38.643432251130974</v>
      </c>
      <c r="F25" s="2643">
        <f t="shared" ca="1" si="5"/>
        <v>48.880294945456555</v>
      </c>
      <c r="G25" s="2643">
        <f t="shared" ca="1" si="5"/>
        <v>87.186073375096825</v>
      </c>
      <c r="H25" s="2643">
        <f t="shared" ca="1" si="5"/>
        <v>167.82148576577515</v>
      </c>
      <c r="I25" s="2643">
        <f t="shared" ca="1" si="5"/>
        <v>253.86481251335834</v>
      </c>
      <c r="J25" s="2643">
        <f t="shared" ca="1" si="5"/>
        <v>369.22426831109971</v>
      </c>
      <c r="K25" s="2643">
        <f t="shared" ca="1" si="5"/>
        <v>475.71523134303015</v>
      </c>
      <c r="L25" s="2643">
        <f t="shared" ca="1" si="5"/>
        <v>589.45808321419065</v>
      </c>
      <c r="M25" s="2643">
        <f t="shared" ca="1" si="5"/>
        <v>712.1691922056234</v>
      </c>
      <c r="N25" s="1403"/>
      <c r="O25" s="2658"/>
    </row>
    <row r="26" spans="2:15" s="2657" customFormat="1" x14ac:dyDescent="0.2">
      <c r="B26" s="808"/>
      <c r="C26" s="2391"/>
      <c r="D26" s="2391" t="s">
        <v>105</v>
      </c>
      <c r="E26" s="2392">
        <f t="shared" ref="E26:M26" ca="1" si="6">SUM(E22:E25)</f>
        <v>117.07862642129545</v>
      </c>
      <c r="F26" s="2392">
        <f t="shared" ca="1" si="6"/>
        <v>138.16092956568076</v>
      </c>
      <c r="G26" s="2392">
        <f t="shared" ca="1" si="6"/>
        <v>192.24084077257038</v>
      </c>
      <c r="H26" s="2392">
        <f t="shared" ca="1" si="6"/>
        <v>289.18504122724516</v>
      </c>
      <c r="I26" s="2392">
        <f t="shared" ca="1" si="6"/>
        <v>388.87602401750883</v>
      </c>
      <c r="J26" s="2392">
        <f t="shared" ca="1" si="6"/>
        <v>530.14446047320087</v>
      </c>
      <c r="K26" s="2392">
        <f t="shared" ca="1" si="6"/>
        <v>659.56399429121348</v>
      </c>
      <c r="L26" s="2392">
        <f t="shared" ca="1" si="6"/>
        <v>797.53692959998352</v>
      </c>
      <c r="M26" s="2392">
        <f t="shared" ca="1" si="6"/>
        <v>946.39709827169258</v>
      </c>
      <c r="N26" s="1403"/>
      <c r="O26" s="2658"/>
    </row>
    <row r="27" spans="2:15" s="2474" customFormat="1" ht="18" customHeight="1" x14ac:dyDescent="0.2">
      <c r="B27" s="2659"/>
      <c r="C27" s="2660"/>
      <c r="D27" s="240"/>
      <c r="E27" s="2661"/>
      <c r="F27" s="2661"/>
      <c r="G27" s="2661"/>
      <c r="H27" s="2661"/>
      <c r="I27" s="2661"/>
      <c r="J27" s="2661"/>
      <c r="K27" s="2661"/>
      <c r="L27" s="2661"/>
      <c r="M27" s="2661"/>
      <c r="N27" s="2662"/>
      <c r="O27" s="454"/>
    </row>
    <row r="29" spans="2:15" ht="15.75" x14ac:dyDescent="0.2">
      <c r="B29" s="2663" t="s">
        <v>2523</v>
      </c>
      <c r="C29" s="2664"/>
      <c r="D29" s="2664"/>
      <c r="E29" s="2664"/>
      <c r="F29" s="2664"/>
      <c r="G29" s="2664"/>
      <c r="H29" s="2664"/>
      <c r="I29" s="2664"/>
      <c r="J29" s="2664"/>
      <c r="K29" s="2664"/>
      <c r="L29" s="2664"/>
      <c r="M29" s="2664"/>
      <c r="N29" s="2665"/>
    </row>
    <row r="30" spans="2:15" s="2132" customFormat="1" x14ac:dyDescent="0.2">
      <c r="B30" s="412"/>
      <c r="C30" s="412"/>
      <c r="D30" s="412"/>
      <c r="E30" s="412"/>
      <c r="F30" s="412"/>
      <c r="G30" s="412"/>
      <c r="H30" s="412"/>
      <c r="I30" s="412"/>
      <c r="J30" s="412"/>
      <c r="K30" s="412"/>
      <c r="L30" s="412"/>
      <c r="M30" s="97"/>
      <c r="N30" s="97"/>
    </row>
    <row r="31" spans="2:15" s="2132" customFormat="1" ht="15.75" x14ac:dyDescent="0.2">
      <c r="B31" s="2666"/>
      <c r="C31" s="794" t="s">
        <v>2535</v>
      </c>
      <c r="D31" s="412"/>
      <c r="E31" s="412"/>
      <c r="F31" s="412"/>
      <c r="G31" s="412"/>
      <c r="H31" s="412"/>
      <c r="I31" s="412"/>
      <c r="J31" s="412"/>
      <c r="K31" s="412"/>
      <c r="L31" s="412"/>
      <c r="M31" s="2283" t="str">
        <f>Preferences.EnergyUnits &amp; " / year"</f>
        <v>TWh / year</v>
      </c>
      <c r="N31" s="97"/>
    </row>
    <row r="32" spans="2:15" s="2132" customFormat="1" ht="15.75" x14ac:dyDescent="0.2">
      <c r="B32" s="2666"/>
      <c r="C32" s="411"/>
      <c r="D32" s="411"/>
      <c r="E32" s="411"/>
      <c r="F32" s="411"/>
      <c r="G32" s="411"/>
      <c r="H32" s="411"/>
      <c r="I32" s="411"/>
      <c r="J32" s="411"/>
      <c r="K32" s="411"/>
      <c r="L32" s="411"/>
      <c r="M32" s="240"/>
      <c r="N32" s="97"/>
    </row>
    <row r="33" spans="2:14" s="2132" customFormat="1" x14ac:dyDescent="0.2">
      <c r="B33" s="794"/>
      <c r="C33" s="411" t="s">
        <v>35</v>
      </c>
      <c r="D33" s="2656" t="s">
        <v>117</v>
      </c>
      <c r="E33" s="775">
        <v>2010</v>
      </c>
      <c r="F33" s="775">
        <v>2015</v>
      </c>
      <c r="G33" s="775">
        <v>2020</v>
      </c>
      <c r="H33" s="775">
        <v>2025</v>
      </c>
      <c r="I33" s="775">
        <v>2030</v>
      </c>
      <c r="J33" s="775">
        <v>2035</v>
      </c>
      <c r="K33" s="775">
        <v>2040</v>
      </c>
      <c r="L33" s="775">
        <v>2045</v>
      </c>
      <c r="M33" s="775">
        <v>2050</v>
      </c>
      <c r="N33" s="97"/>
    </row>
    <row r="34" spans="2:14" s="2132" customFormat="1" x14ac:dyDescent="0.2">
      <c r="B34" s="794"/>
      <c r="C34" s="2667" t="s">
        <v>288</v>
      </c>
      <c r="D34" s="2683" t="str">
        <f>INDEX(Modules[Module], MATCH($C34,Modules[Code], 0))</f>
        <v>Natural gas power stations</v>
      </c>
      <c r="E34" s="2684">
        <f ca="1">INDEX(INDIRECT("'"&amp;E$33&amp;"'!Year.Matrix"), MATCH($C34, INDIRECT("'"&amp;E$33&amp;"'!Year.Modules"), 0), MATCH($C$33, INDIRECT("'"&amp;E$33&amp;"'!Year.Vectors"), 0))</f>
        <v>18.408599999999996</v>
      </c>
      <c r="F34" s="2684">
        <f t="shared" ref="F34:M36" ca="1" si="7">INDEX(INDIRECT("'"&amp;F$33&amp;"'!Year.Matrix"), MATCH($C34, INDIRECT("'"&amp;F$33&amp;"'!Year.Modules"), 0), MATCH($C$33, INDIRECT("'"&amp;F$33&amp;"'!Year.Vectors"), 0))</f>
        <v>49.089599999999997</v>
      </c>
      <c r="G34" s="2684">
        <f t="shared" ca="1" si="7"/>
        <v>118.612746</v>
      </c>
      <c r="H34" s="2684">
        <f t="shared" ca="1" si="7"/>
        <v>164.69560799999999</v>
      </c>
      <c r="I34" s="2684">
        <f t="shared" ca="1" si="7"/>
        <v>211.02391799999998</v>
      </c>
      <c r="J34" s="2684">
        <f t="shared" ca="1" si="7"/>
        <v>281.83566599999995</v>
      </c>
      <c r="K34" s="2684">
        <f t="shared" ca="1" si="7"/>
        <v>352.64741399999997</v>
      </c>
      <c r="L34" s="2684">
        <f t="shared" ca="1" si="7"/>
        <v>423.52052399999991</v>
      </c>
      <c r="M34" s="2684">
        <f t="shared" ca="1" si="7"/>
        <v>494.33227199999999</v>
      </c>
      <c r="N34" s="97"/>
    </row>
    <row r="35" spans="2:14" s="2132" customFormat="1" x14ac:dyDescent="0.2">
      <c r="B35" s="794"/>
      <c r="C35" s="2667" t="s">
        <v>2146</v>
      </c>
      <c r="D35" s="2668" t="str">
        <f>INDEX(Modules[Module], MATCH($C35,Modules[Code], 0))</f>
        <v>Coal power stations</v>
      </c>
      <c r="E35" s="2653">
        <f ca="1">INDEX(INDIRECT("'"&amp;E$33&amp;"'!Year.Matrix"), MATCH($C35, INDIRECT("'"&amp;E$33&amp;"'!Year.Modules"), 0), MATCH($C$33, INDIRECT("'"&amp;E$33&amp;"'!Year.Vectors"), 0))</f>
        <v>0</v>
      </c>
      <c r="F35" s="2653">
        <f t="shared" ca="1" si="7"/>
        <v>0</v>
      </c>
      <c r="G35" s="2653">
        <f t="shared" ca="1" si="7"/>
        <v>0</v>
      </c>
      <c r="H35" s="2653">
        <f t="shared" ca="1" si="7"/>
        <v>26.297999999999998</v>
      </c>
      <c r="I35" s="2653">
        <f t="shared" ca="1" si="7"/>
        <v>79.551449999999988</v>
      </c>
      <c r="J35" s="2653">
        <f t="shared" ca="1" si="7"/>
        <v>149.89860000000002</v>
      </c>
      <c r="K35" s="2653">
        <f t="shared" ca="1" si="7"/>
        <v>220.90320000000003</v>
      </c>
      <c r="L35" s="2653">
        <f t="shared" ca="1" si="7"/>
        <v>291.25034999999991</v>
      </c>
      <c r="M35" s="2653">
        <f t="shared" ca="1" si="7"/>
        <v>361.59749999999997</v>
      </c>
      <c r="N35" s="97"/>
    </row>
    <row r="36" spans="2:14" s="2132" customFormat="1" x14ac:dyDescent="0.2">
      <c r="B36" s="794"/>
      <c r="C36" s="2667" t="s">
        <v>2382</v>
      </c>
      <c r="D36" s="2669" t="str">
        <f>INDEX(Modules[Module], MATCH($C36,Modules[Code], 0))</f>
        <v xml:space="preserve">Self Generation </v>
      </c>
      <c r="E36" s="2670">
        <f ca="1">INDEX(INDIRECT("'"&amp;E$33&amp;"'!Year.Matrix"), MATCH($C36, INDIRECT("'"&amp;E$33&amp;"'!Year.Modules"), 0), MATCH($C$33, INDIRECT("'"&amp;E$33&amp;"'!Year.Vectors"), 0))</f>
        <v>112.87362114975359</v>
      </c>
      <c r="F36" s="2670">
        <f t="shared" ca="1" si="7"/>
        <v>106.70016928395276</v>
      </c>
      <c r="G36" s="2670">
        <f t="shared" ca="1" si="7"/>
        <v>30.850365626553355</v>
      </c>
      <c r="H36" s="2670">
        <f t="shared" ca="1" si="7"/>
        <v>0</v>
      </c>
      <c r="I36" s="2670">
        <f t="shared" ca="1" si="7"/>
        <v>0</v>
      </c>
      <c r="J36" s="2670">
        <f t="shared" ca="1" si="7"/>
        <v>0</v>
      </c>
      <c r="K36" s="2670">
        <f t="shared" ca="1" si="7"/>
        <v>0</v>
      </c>
      <c r="L36" s="2670">
        <f t="shared" ca="1" si="7"/>
        <v>0</v>
      </c>
      <c r="M36" s="2670">
        <f t="shared" ca="1" si="7"/>
        <v>0</v>
      </c>
      <c r="N36" s="97"/>
    </row>
    <row r="37" spans="2:14" s="2132" customFormat="1" x14ac:dyDescent="0.2">
      <c r="B37" s="794"/>
      <c r="C37" s="2667"/>
      <c r="D37" s="2668" t="s">
        <v>2524</v>
      </c>
      <c r="E37" s="2653">
        <f ca="1">SUM(E34:E36)</f>
        <v>131.28222114975358</v>
      </c>
      <c r="F37" s="2653">
        <f t="shared" ref="F37:M37" ca="1" si="8">SUM(F34:F36)</f>
        <v>155.78976928395275</v>
      </c>
      <c r="G37" s="2653">
        <f t="shared" ca="1" si="8"/>
        <v>149.46311162655337</v>
      </c>
      <c r="H37" s="2653">
        <f t="shared" ca="1" si="8"/>
        <v>190.99360799999999</v>
      </c>
      <c r="I37" s="2653">
        <f t="shared" ca="1" si="8"/>
        <v>290.57536799999997</v>
      </c>
      <c r="J37" s="2653">
        <f t="shared" ca="1" si="8"/>
        <v>431.73426599999993</v>
      </c>
      <c r="K37" s="2653">
        <f t="shared" ca="1" si="8"/>
        <v>573.550614</v>
      </c>
      <c r="L37" s="2653">
        <f t="shared" ca="1" si="8"/>
        <v>714.77087399999982</v>
      </c>
      <c r="M37" s="2653">
        <f t="shared" ca="1" si="8"/>
        <v>855.92977199999996</v>
      </c>
      <c r="N37" s="97"/>
    </row>
    <row r="38" spans="2:14" s="2132" customFormat="1" x14ac:dyDescent="0.2">
      <c r="B38" s="794"/>
      <c r="C38" s="2667"/>
      <c r="D38" s="2668"/>
      <c r="E38" s="2653"/>
      <c r="F38" s="2653"/>
      <c r="G38" s="2653"/>
      <c r="H38" s="2653"/>
      <c r="I38" s="2653"/>
      <c r="J38" s="2653"/>
      <c r="K38" s="2653"/>
      <c r="L38" s="2653"/>
      <c r="M38" s="2653"/>
      <c r="N38" s="97"/>
    </row>
    <row r="39" spans="2:14" s="2132" customFormat="1" x14ac:dyDescent="0.2">
      <c r="B39" s="794"/>
      <c r="C39" s="794" t="s">
        <v>2525</v>
      </c>
      <c r="D39" s="412"/>
      <c r="E39" s="412"/>
      <c r="F39" s="412"/>
      <c r="G39" s="412"/>
      <c r="H39" s="412"/>
      <c r="I39" s="412"/>
      <c r="J39" s="412"/>
      <c r="K39" s="412"/>
      <c r="L39" s="412"/>
      <c r="M39" s="2283" t="str">
        <f>Preferences.EnergyUnits &amp; " / year"</f>
        <v>TWh / year</v>
      </c>
      <c r="N39" s="97"/>
    </row>
    <row r="40" spans="2:14" s="2132" customFormat="1" x14ac:dyDescent="0.2">
      <c r="B40" s="794"/>
      <c r="C40" s="411"/>
      <c r="D40" s="411"/>
      <c r="E40" s="411"/>
      <c r="F40" s="411"/>
      <c r="G40" s="411"/>
      <c r="H40" s="411"/>
      <c r="I40" s="411"/>
      <c r="J40" s="411"/>
      <c r="K40" s="411"/>
      <c r="L40" s="411"/>
      <c r="M40" s="240"/>
      <c r="N40" s="97"/>
    </row>
    <row r="41" spans="2:14" s="2132" customFormat="1" x14ac:dyDescent="0.2">
      <c r="B41" s="794"/>
      <c r="C41" s="411" t="s">
        <v>35</v>
      </c>
      <c r="D41" s="2656" t="s">
        <v>117</v>
      </c>
      <c r="E41" s="775">
        <v>2010</v>
      </c>
      <c r="F41" s="775">
        <v>2015</v>
      </c>
      <c r="G41" s="775">
        <v>2020</v>
      </c>
      <c r="H41" s="775">
        <v>2025</v>
      </c>
      <c r="I41" s="775">
        <v>2030</v>
      </c>
      <c r="J41" s="775">
        <v>2035</v>
      </c>
      <c r="K41" s="775">
        <v>2040</v>
      </c>
      <c r="L41" s="775">
        <v>2045</v>
      </c>
      <c r="M41" s="775">
        <v>2050</v>
      </c>
      <c r="N41" s="97"/>
    </row>
    <row r="42" spans="2:14" s="2132" customFormat="1" x14ac:dyDescent="0.2">
      <c r="B42" s="794"/>
      <c r="C42" s="2667"/>
      <c r="D42" s="2668" t="s">
        <v>2065</v>
      </c>
      <c r="E42" s="2653">
        <f ca="1">E37</f>
        <v>131.28222114975358</v>
      </c>
      <c r="F42" s="2653">
        <f t="shared" ref="F42:M42" ca="1" si="9">F37</f>
        <v>155.78976928395275</v>
      </c>
      <c r="G42" s="2653">
        <f t="shared" ca="1" si="9"/>
        <v>149.46311162655337</v>
      </c>
      <c r="H42" s="2653">
        <f t="shared" ca="1" si="9"/>
        <v>190.99360799999999</v>
      </c>
      <c r="I42" s="2653">
        <f t="shared" ca="1" si="9"/>
        <v>290.57536799999997</v>
      </c>
      <c r="J42" s="2653">
        <f t="shared" ca="1" si="9"/>
        <v>431.73426599999993</v>
      </c>
      <c r="K42" s="2653">
        <f t="shared" ca="1" si="9"/>
        <v>573.550614</v>
      </c>
      <c r="L42" s="2653">
        <f t="shared" ca="1" si="9"/>
        <v>714.77087399999982</v>
      </c>
      <c r="M42" s="2653">
        <f t="shared" ca="1" si="9"/>
        <v>855.92977199999996</v>
      </c>
      <c r="N42" s="97"/>
    </row>
    <row r="43" spans="2:14" s="2132" customFormat="1" x14ac:dyDescent="0.2">
      <c r="B43" s="794"/>
      <c r="C43" s="2667" t="s">
        <v>352</v>
      </c>
      <c r="D43" s="2668" t="str">
        <f>INDEX(Modules[Module], MATCH($C43,Modules[Code], 0))</f>
        <v>Biomass power station</v>
      </c>
      <c r="E43" s="2653">
        <f t="shared" ref="E43:M55" ca="1" si="10">INDEX(INDIRECT("'"&amp;E$41&amp;"'!Year.Matrix"), MATCH($C43, INDIRECT("'"&amp;E$33&amp;"'!Year.Modules"), 0), MATCH($C$41, INDIRECT("'"&amp;E$33&amp;"'!Year.Vectors"), 0))</f>
        <v>0</v>
      </c>
      <c r="F43" s="2653">
        <f t="shared" ca="1" si="10"/>
        <v>0</v>
      </c>
      <c r="G43" s="2653">
        <f t="shared" ca="1" si="10"/>
        <v>7.8894000000000002</v>
      </c>
      <c r="H43" s="2653">
        <f t="shared" ca="1" si="10"/>
        <v>15.7788</v>
      </c>
      <c r="I43" s="2653">
        <f t="shared" ca="1" si="10"/>
        <v>19.723499999999998</v>
      </c>
      <c r="J43" s="2653">
        <f t="shared" ca="1" si="10"/>
        <v>31.557600000000001</v>
      </c>
      <c r="K43" s="2653">
        <f t="shared" ca="1" si="10"/>
        <v>47.336400000000005</v>
      </c>
      <c r="L43" s="2653">
        <f t="shared" ca="1" si="10"/>
        <v>63.115200000000002</v>
      </c>
      <c r="M43" s="2653">
        <f t="shared" ca="1" si="10"/>
        <v>78.893999999999991</v>
      </c>
      <c r="N43" s="97"/>
    </row>
    <row r="44" spans="2:14" s="2132" customFormat="1" x14ac:dyDescent="0.2">
      <c r="B44" s="794"/>
      <c r="C44" s="2667" t="s">
        <v>297</v>
      </c>
      <c r="D44" s="2668" t="str">
        <f>INDEX(Modules[Module], MATCH($C44,Modules[Code], 0))</f>
        <v>Nuclear power</v>
      </c>
      <c r="E44" s="2653">
        <f t="shared" ca="1" si="10"/>
        <v>0</v>
      </c>
      <c r="F44" s="2653">
        <f t="shared" ca="1" si="10"/>
        <v>0</v>
      </c>
      <c r="G44" s="2653">
        <f t="shared" ca="1" si="10"/>
        <v>0</v>
      </c>
      <c r="H44" s="2653">
        <f t="shared" ca="1" si="10"/>
        <v>7.0128000000000013</v>
      </c>
      <c r="I44" s="2653">
        <f t="shared" ca="1" si="10"/>
        <v>13.32432</v>
      </c>
      <c r="J44" s="2653">
        <f t="shared" ca="1" si="10"/>
        <v>25.947360000000003</v>
      </c>
      <c r="K44" s="2653">
        <f t="shared" ca="1" si="10"/>
        <v>49.790880000000001</v>
      </c>
      <c r="L44" s="2653">
        <f t="shared" ca="1" si="10"/>
        <v>96.075360000000018</v>
      </c>
      <c r="M44" s="2653">
        <f t="shared" ca="1" si="10"/>
        <v>185.83920000000003</v>
      </c>
      <c r="N44" s="97"/>
    </row>
    <row r="45" spans="2:14" s="2132" customFormat="1" x14ac:dyDescent="0.2">
      <c r="B45" s="794"/>
      <c r="C45" s="2667" t="s">
        <v>864</v>
      </c>
      <c r="D45" s="2668" t="str">
        <f>INDEX(Modules[Module], MATCH($C45,Modules[Code], 0))</f>
        <v xml:space="preserve">Wind </v>
      </c>
      <c r="E45" s="2653">
        <f t="shared" ca="1" si="10"/>
        <v>0</v>
      </c>
      <c r="F45" s="2653">
        <f t="shared" ca="1" si="10"/>
        <v>0</v>
      </c>
      <c r="G45" s="2653">
        <f t="shared" ca="1" si="10"/>
        <v>3.6817200000000003</v>
      </c>
      <c r="H45" s="2653">
        <f t="shared" ca="1" si="10"/>
        <v>7.3634400000000007</v>
      </c>
      <c r="I45" s="2653">
        <f t="shared" ca="1" si="10"/>
        <v>11.045159999999999</v>
      </c>
      <c r="J45" s="2653">
        <f t="shared" ca="1" si="10"/>
        <v>14.726880000000001</v>
      </c>
      <c r="K45" s="2653">
        <f t="shared" ca="1" si="10"/>
        <v>14.726880000000001</v>
      </c>
      <c r="L45" s="2653">
        <f t="shared" ca="1" si="10"/>
        <v>18.4086</v>
      </c>
      <c r="M45" s="2653">
        <f t="shared" ca="1" si="10"/>
        <v>22.090319999999998</v>
      </c>
      <c r="N45" s="97"/>
    </row>
    <row r="46" spans="2:14" s="2132" customFormat="1" x14ac:dyDescent="0.2">
      <c r="B46" s="794"/>
      <c r="C46" s="2667" t="s">
        <v>2366</v>
      </c>
      <c r="D46" s="2668" t="str">
        <f>INDEX(Modules[Module], MATCH($C46,Modules[Code], 0))</f>
        <v>Large Hydroelectric power stations</v>
      </c>
      <c r="E46" s="2653">
        <f t="shared" ca="1" si="10"/>
        <v>9.9932399999999983</v>
      </c>
      <c r="F46" s="2653">
        <f t="shared" ca="1" si="10"/>
        <v>9.9932399999999983</v>
      </c>
      <c r="G46" s="2653">
        <f t="shared" ca="1" si="10"/>
        <v>17.041104000000001</v>
      </c>
      <c r="H46" s="2653">
        <f t="shared" ca="1" si="10"/>
        <v>24.036372</v>
      </c>
      <c r="I46" s="2653">
        <f t="shared" ca="1" si="10"/>
        <v>31.084236000000001</v>
      </c>
      <c r="J46" s="2653">
        <f t="shared" ca="1" si="10"/>
        <v>38.079504000000007</v>
      </c>
      <c r="K46" s="2653">
        <f t="shared" ca="1" si="10"/>
        <v>45.127367999999997</v>
      </c>
      <c r="L46" s="2653">
        <f t="shared" ca="1" si="10"/>
        <v>52.122636</v>
      </c>
      <c r="M46" s="2653">
        <f t="shared" ca="1" si="10"/>
        <v>59.170499999999997</v>
      </c>
      <c r="N46" s="97"/>
    </row>
    <row r="47" spans="2:14" s="2132" customFormat="1" x14ac:dyDescent="0.2">
      <c r="B47" s="794"/>
      <c r="C47" s="2667" t="s">
        <v>2365</v>
      </c>
      <c r="D47" s="2668" t="str">
        <f>INDEX(Modules[Module], MATCH($C47,Modules[Code], 0))</f>
        <v>Small Hydroelectric power stations</v>
      </c>
      <c r="E47" s="2653">
        <f t="shared" ca="1" si="10"/>
        <v>0.28051199999999998</v>
      </c>
      <c r="F47" s="2653">
        <f t="shared" ca="1" si="10"/>
        <v>0.28051199999999998</v>
      </c>
      <c r="G47" s="2653">
        <f t="shared" ca="1" si="10"/>
        <v>0.28051199999999998</v>
      </c>
      <c r="H47" s="2653">
        <f t="shared" ca="1" si="10"/>
        <v>4.5839918571428449</v>
      </c>
      <c r="I47" s="2653">
        <f t="shared" ca="1" si="10"/>
        <v>6.7352934857142674</v>
      </c>
      <c r="J47" s="2653">
        <f t="shared" ca="1" si="10"/>
        <v>8.8865951142857327</v>
      </c>
      <c r="K47" s="2653">
        <f t="shared" ca="1" si="10"/>
        <v>11.037896742857155</v>
      </c>
      <c r="L47" s="2653">
        <f t="shared" ca="1" si="10"/>
        <v>13.189198371428578</v>
      </c>
      <c r="M47" s="2653">
        <f t="shared" ca="1" si="10"/>
        <v>15.3405</v>
      </c>
      <c r="N47" s="97"/>
    </row>
    <row r="48" spans="2:14" s="2132" customFormat="1" x14ac:dyDescent="0.2">
      <c r="B48" s="794"/>
      <c r="C48" s="2667" t="s">
        <v>2364</v>
      </c>
      <c r="D48" s="2668" t="str">
        <f>INDEX(Modules[Module], MATCH($C48,Modules[Code], 0))</f>
        <v>Grid Connected Solar PV</v>
      </c>
      <c r="E48" s="2653">
        <f t="shared" ca="1" si="10"/>
        <v>0</v>
      </c>
      <c r="F48" s="2653">
        <f t="shared" ca="1" si="10"/>
        <v>0</v>
      </c>
      <c r="G48" s="2653">
        <f t="shared" ca="1" si="10"/>
        <v>10.8058482</v>
      </c>
      <c r="H48" s="2653">
        <f t="shared" ca="1" si="10"/>
        <v>28.956727799999999</v>
      </c>
      <c r="I48" s="2653">
        <f t="shared" ca="1" si="10"/>
        <v>56.293498799999988</v>
      </c>
      <c r="J48" s="2653">
        <f t="shared" ca="1" si="10"/>
        <v>102.04807409999999</v>
      </c>
      <c r="K48" s="2653">
        <f t="shared" ca="1" si="10"/>
        <v>129.39404940000003</v>
      </c>
      <c r="L48" s="2653">
        <f t="shared" ca="1" si="10"/>
        <v>165.94432469999998</v>
      </c>
      <c r="M48" s="2653">
        <f t="shared" ca="1" si="10"/>
        <v>202.49459999999999</v>
      </c>
      <c r="N48" s="97"/>
    </row>
    <row r="49" spans="2:14" s="2132" customFormat="1" x14ac:dyDescent="0.2">
      <c r="B49" s="794"/>
      <c r="C49" s="2667" t="s">
        <v>2376</v>
      </c>
      <c r="D49" s="2668" t="str">
        <f>INDEX(Modules[Module], MATCH($C49,Modules[Code], 0))</f>
        <v>Concentrated Solar Power</v>
      </c>
      <c r="E49" s="2653">
        <f t="shared" ca="1" si="10"/>
        <v>0</v>
      </c>
      <c r="F49" s="2653">
        <f t="shared" ca="1" si="10"/>
        <v>0</v>
      </c>
      <c r="G49" s="2653">
        <f t="shared" ca="1" si="10"/>
        <v>17.518851000000002</v>
      </c>
      <c r="H49" s="2653">
        <f t="shared" ca="1" si="10"/>
        <v>35.068382999999997</v>
      </c>
      <c r="I49" s="2653">
        <f t="shared" ca="1" si="10"/>
        <v>52.587233999999995</v>
      </c>
      <c r="J49" s="2653">
        <f t="shared" ca="1" si="10"/>
        <v>70.136765999999994</v>
      </c>
      <c r="K49" s="2653">
        <f t="shared" ca="1" si="10"/>
        <v>87.655616999999992</v>
      </c>
      <c r="L49" s="2653">
        <f t="shared" ca="1" si="10"/>
        <v>105.20514899999998</v>
      </c>
      <c r="M49" s="2653">
        <f t="shared" ca="1" si="10"/>
        <v>122.724</v>
      </c>
      <c r="N49" s="97"/>
    </row>
    <row r="50" spans="2:14" s="2132" customFormat="1" x14ac:dyDescent="0.2">
      <c r="B50" s="794"/>
      <c r="C50" s="2667" t="s">
        <v>409</v>
      </c>
      <c r="D50" s="2668" t="str">
        <f>INDEX(Modules[Module], MATCH($C50,Modules[Code], 0))</f>
        <v>Stand-Alone Solar PV</v>
      </c>
      <c r="E50" s="2653">
        <f t="shared" ca="1" si="10"/>
        <v>2.7612899999999996E-2</v>
      </c>
      <c r="F50" s="2653">
        <f t="shared" ca="1" si="10"/>
        <v>0.92042999999999997</v>
      </c>
      <c r="G50" s="2653">
        <f t="shared" ca="1" si="10"/>
        <v>20.0101482</v>
      </c>
      <c r="H50" s="2653">
        <f t="shared" ca="1" si="10"/>
        <v>32.638447800000002</v>
      </c>
      <c r="I50" s="2653">
        <f t="shared" ca="1" si="10"/>
        <v>45.248338799999999</v>
      </c>
      <c r="J50" s="2653">
        <f t="shared" ca="1" si="10"/>
        <v>56.026574099999991</v>
      </c>
      <c r="K50" s="2653">
        <f t="shared" ca="1" si="10"/>
        <v>68.111819999999994</v>
      </c>
      <c r="L50" s="2653">
        <f t="shared" ca="1" si="10"/>
        <v>83.105624700000007</v>
      </c>
      <c r="M50" s="2653">
        <f t="shared" ca="1" si="10"/>
        <v>110.4516</v>
      </c>
      <c r="N50" s="97"/>
    </row>
    <row r="51" spans="2:14" s="2132" customFormat="1" x14ac:dyDescent="0.2">
      <c r="B51" s="794"/>
      <c r="C51" s="2667" t="s">
        <v>400</v>
      </c>
      <c r="D51" s="2668" t="str">
        <f>INDEX(Modules[Module], MATCH($C51,Modules[Code], 0))</f>
        <v>Types of fuel from Biomass</v>
      </c>
      <c r="E51" s="2653">
        <f t="shared" ca="1" si="10"/>
        <v>0</v>
      </c>
      <c r="F51" s="2653">
        <f t="shared" ca="1" si="10"/>
        <v>0</v>
      </c>
      <c r="G51" s="2653">
        <f t="shared" ca="1" si="10"/>
        <v>0</v>
      </c>
      <c r="H51" s="2653">
        <f t="shared" ca="1" si="10"/>
        <v>0</v>
      </c>
      <c r="I51" s="2653">
        <f t="shared" ca="1" si="10"/>
        <v>0</v>
      </c>
      <c r="J51" s="2653">
        <f t="shared" ca="1" si="10"/>
        <v>0</v>
      </c>
      <c r="K51" s="2653">
        <f t="shared" ca="1" si="10"/>
        <v>0</v>
      </c>
      <c r="L51" s="2653">
        <f t="shared" ca="1" si="10"/>
        <v>0</v>
      </c>
      <c r="M51" s="2653">
        <f t="shared" ca="1" si="10"/>
        <v>0</v>
      </c>
      <c r="N51" s="97"/>
    </row>
    <row r="52" spans="2:14" s="2132" customFormat="1" x14ac:dyDescent="0.2">
      <c r="B52" s="794"/>
      <c r="C52" s="2667" t="s">
        <v>838</v>
      </c>
      <c r="D52" s="2668" t="str">
        <f>INDEX(Modules[Module], MATCH($C52,Modules[Code], 0))</f>
        <v>Bioenergy imports</v>
      </c>
      <c r="E52" s="2653">
        <f t="shared" ca="1" si="10"/>
        <v>0</v>
      </c>
      <c r="F52" s="2653">
        <f t="shared" ca="1" si="10"/>
        <v>0</v>
      </c>
      <c r="G52" s="2653">
        <f t="shared" ca="1" si="10"/>
        <v>0</v>
      </c>
      <c r="H52" s="2653">
        <f t="shared" ca="1" si="10"/>
        <v>0</v>
      </c>
      <c r="I52" s="2653">
        <f t="shared" ca="1" si="10"/>
        <v>0</v>
      </c>
      <c r="J52" s="2653">
        <f t="shared" ca="1" si="10"/>
        <v>0</v>
      </c>
      <c r="K52" s="2653">
        <f t="shared" ca="1" si="10"/>
        <v>0</v>
      </c>
      <c r="L52" s="2653">
        <f t="shared" ca="1" si="10"/>
        <v>0</v>
      </c>
      <c r="M52" s="2653">
        <f t="shared" ca="1" si="10"/>
        <v>0</v>
      </c>
      <c r="N52" s="97"/>
    </row>
    <row r="53" spans="2:14" s="2132" customFormat="1" x14ac:dyDescent="0.2">
      <c r="B53" s="794"/>
      <c r="C53" s="2667" t="s">
        <v>380</v>
      </c>
      <c r="D53" s="2668" t="str">
        <f>INDEX(Modules[Module], MATCH($C53,Modules[Code], 0))</f>
        <v>Agriculture and land use</v>
      </c>
      <c r="E53" s="2653">
        <f t="shared" ca="1" si="10"/>
        <v>0</v>
      </c>
      <c r="F53" s="2653">
        <f t="shared" ca="1" si="10"/>
        <v>0</v>
      </c>
      <c r="G53" s="2653">
        <f t="shared" ca="1" si="10"/>
        <v>0</v>
      </c>
      <c r="H53" s="2653">
        <f t="shared" ca="1" si="10"/>
        <v>0</v>
      </c>
      <c r="I53" s="2653">
        <f t="shared" ca="1" si="10"/>
        <v>0</v>
      </c>
      <c r="J53" s="2653">
        <f t="shared" ca="1" si="10"/>
        <v>0</v>
      </c>
      <c r="K53" s="2653">
        <f t="shared" ca="1" si="10"/>
        <v>0</v>
      </c>
      <c r="L53" s="2653">
        <f t="shared" ca="1" si="10"/>
        <v>0</v>
      </c>
      <c r="M53" s="2653">
        <f t="shared" ca="1" si="10"/>
        <v>0</v>
      </c>
      <c r="N53" s="97"/>
    </row>
    <row r="54" spans="2:14" s="2132" customFormat="1" x14ac:dyDescent="0.2">
      <c r="B54" s="794"/>
      <c r="C54" s="2667" t="s">
        <v>402</v>
      </c>
      <c r="D54" s="2668" t="str">
        <f>INDEX(Modules[Module], MATCH($C54,Modules[Code], 0))</f>
        <v>Volume of Waste &amp; Recycling</v>
      </c>
      <c r="E54" s="2653">
        <f t="shared" ca="1" si="10"/>
        <v>0</v>
      </c>
      <c r="F54" s="2653">
        <f t="shared" ca="1" si="10"/>
        <v>0</v>
      </c>
      <c r="G54" s="2653">
        <f t="shared" ca="1" si="10"/>
        <v>0</v>
      </c>
      <c r="H54" s="2653">
        <f t="shared" ca="1" si="10"/>
        <v>0</v>
      </c>
      <c r="I54" s="2653">
        <f t="shared" ca="1" si="10"/>
        <v>0</v>
      </c>
      <c r="J54" s="2653">
        <f t="shared" ca="1" si="10"/>
        <v>0</v>
      </c>
      <c r="K54" s="2653">
        <f t="shared" ca="1" si="10"/>
        <v>0</v>
      </c>
      <c r="L54" s="2653">
        <f t="shared" ca="1" si="10"/>
        <v>0</v>
      </c>
      <c r="M54" s="2653">
        <f t="shared" ca="1" si="10"/>
        <v>0</v>
      </c>
      <c r="N54" s="97"/>
    </row>
    <row r="55" spans="2:14" s="2132" customFormat="1" x14ac:dyDescent="0.2">
      <c r="B55" s="794"/>
      <c r="C55" s="2667" t="s">
        <v>305</v>
      </c>
      <c r="D55" s="2669" t="str">
        <f>INDEX(Modules[Module], MATCH($C55,Modules[Code], 0))</f>
        <v>Electricity imports</v>
      </c>
      <c r="E55" s="2670">
        <f t="shared" ca="1" si="10"/>
        <v>-0.52500000000000002</v>
      </c>
      <c r="F55" s="2670">
        <f t="shared" ca="1" si="10"/>
        <v>-0.52500000000000002</v>
      </c>
      <c r="G55" s="2670">
        <f t="shared" ca="1" si="10"/>
        <v>-0.52500000000000002</v>
      </c>
      <c r="H55" s="2670">
        <f t="shared" ca="1" si="10"/>
        <v>-0.52500000000000002</v>
      </c>
      <c r="I55" s="2670">
        <f t="shared" ca="1" si="10"/>
        <v>12.089399999999999</v>
      </c>
      <c r="J55" s="2670">
        <f t="shared" ca="1" si="10"/>
        <v>24.703800000000001</v>
      </c>
      <c r="K55" s="2670">
        <f t="shared" ca="1" si="10"/>
        <v>37.318200000000004</v>
      </c>
      <c r="L55" s="2670">
        <f t="shared" ca="1" si="10"/>
        <v>49.932600000000001</v>
      </c>
      <c r="M55" s="2670">
        <f t="shared" ca="1" si="10"/>
        <v>62.547000000000004</v>
      </c>
      <c r="N55" s="97"/>
    </row>
    <row r="56" spans="2:14" s="2132" customFormat="1" x14ac:dyDescent="0.2">
      <c r="B56" s="794"/>
      <c r="C56" s="2667"/>
      <c r="D56" s="2668" t="s">
        <v>105</v>
      </c>
      <c r="E56" s="2653">
        <f t="shared" ref="E56:M56" ca="1" si="11">SUM(E42:E55)</f>
        <v>141.05858604975356</v>
      </c>
      <c r="F56" s="2653">
        <f t="shared" ca="1" si="11"/>
        <v>166.45895128395273</v>
      </c>
      <c r="G56" s="2653">
        <f t="shared" ca="1" si="11"/>
        <v>226.16569502655335</v>
      </c>
      <c r="H56" s="2653">
        <f t="shared" ca="1" si="11"/>
        <v>345.90757045714281</v>
      </c>
      <c r="I56" s="2653">
        <f t="shared" ca="1" si="11"/>
        <v>538.70634908571412</v>
      </c>
      <c r="J56" s="2653">
        <f t="shared" ca="1" si="11"/>
        <v>803.8474193142855</v>
      </c>
      <c r="K56" s="2653">
        <f t="shared" ca="1" si="11"/>
        <v>1064.0497251428571</v>
      </c>
      <c r="L56" s="2653">
        <f t="shared" ca="1" si="11"/>
        <v>1361.8695667714283</v>
      </c>
      <c r="M56" s="2653">
        <f t="shared" ca="1" si="11"/>
        <v>1715.4814920000001</v>
      </c>
      <c r="N56" s="97"/>
    </row>
    <row r="57" spans="2:14" s="2132" customFormat="1" x14ac:dyDescent="0.2">
      <c r="B57" s="2405"/>
      <c r="C57" s="2402"/>
      <c r="D57" s="2403"/>
      <c r="E57" s="2405"/>
      <c r="F57" s="2405"/>
      <c r="G57" s="2405"/>
      <c r="H57" s="2405"/>
      <c r="I57" s="2405"/>
      <c r="J57" s="2405"/>
      <c r="K57" s="2405"/>
      <c r="L57" s="2405"/>
      <c r="M57" s="2405"/>
      <c r="N57" s="429"/>
    </row>
    <row r="58" spans="2:14" s="2132" customFormat="1" x14ac:dyDescent="0.2">
      <c r="B58" s="2479"/>
      <c r="C58" s="2479"/>
      <c r="D58" s="2479"/>
      <c r="E58" s="2479"/>
      <c r="F58" s="2479"/>
      <c r="G58" s="2479"/>
      <c r="H58" s="2479"/>
      <c r="I58" s="2479"/>
      <c r="J58" s="2479"/>
      <c r="K58" s="2479"/>
      <c r="L58" s="2479"/>
      <c r="M58" s="2479"/>
      <c r="N58" s="2479"/>
    </row>
    <row r="59" spans="2:14" ht="15.75" x14ac:dyDescent="0.2">
      <c r="B59" s="2663" t="s">
        <v>2526</v>
      </c>
      <c r="C59" s="2664"/>
      <c r="D59" s="2664"/>
      <c r="E59" s="2664"/>
      <c r="F59" s="2664"/>
      <c r="G59" s="2664"/>
      <c r="H59" s="2664"/>
      <c r="I59" s="2664"/>
      <c r="J59" s="2664"/>
      <c r="K59" s="2664"/>
      <c r="L59" s="2664"/>
      <c r="M59" s="2664"/>
      <c r="N59" s="2665"/>
    </row>
    <row r="60" spans="2:14" x14ac:dyDescent="0.2">
      <c r="B60" s="412"/>
      <c r="C60" s="412"/>
      <c r="D60" s="412"/>
      <c r="E60" s="412"/>
      <c r="F60" s="412"/>
      <c r="G60" s="412"/>
      <c r="H60" s="412"/>
      <c r="I60" s="412"/>
      <c r="J60" s="412"/>
      <c r="K60" s="412"/>
      <c r="L60" s="412"/>
      <c r="M60" s="97"/>
      <c r="N60" s="97"/>
    </row>
    <row r="61" spans="2:14" x14ac:dyDescent="0.2">
      <c r="B61" s="412"/>
      <c r="C61" s="412"/>
      <c r="D61" s="412"/>
      <c r="E61" s="412"/>
      <c r="F61" s="412"/>
      <c r="G61" s="412"/>
      <c r="H61" s="412"/>
      <c r="I61" s="412"/>
      <c r="J61" s="412"/>
      <c r="K61" s="412"/>
      <c r="L61" s="412"/>
      <c r="M61" s="2283" t="str">
        <f>Preferences.PowerUnits</f>
        <v>GW</v>
      </c>
      <c r="N61" s="97"/>
    </row>
    <row r="62" spans="2:14" ht="15.75" x14ac:dyDescent="0.2">
      <c r="B62" s="2666"/>
      <c r="C62" s="794"/>
      <c r="D62" s="412"/>
      <c r="E62" s="412"/>
      <c r="F62" s="412"/>
      <c r="G62" s="412"/>
      <c r="H62" s="412"/>
      <c r="I62" s="412"/>
      <c r="J62" s="412"/>
      <c r="K62" s="412"/>
      <c r="L62" s="412"/>
      <c r="M62" s="2283"/>
      <c r="N62" s="97"/>
    </row>
    <row r="63" spans="2:14" ht="15.75" x14ac:dyDescent="0.2">
      <c r="B63" s="2666"/>
      <c r="C63" s="2671"/>
      <c r="D63" s="2672" t="s">
        <v>117</v>
      </c>
      <c r="E63" s="2673">
        <v>2010</v>
      </c>
      <c r="F63" s="2673">
        <v>2015</v>
      </c>
      <c r="G63" s="2673">
        <v>2020</v>
      </c>
      <c r="H63" s="2673">
        <v>2025</v>
      </c>
      <c r="I63" s="2673">
        <v>2030</v>
      </c>
      <c r="J63" s="2673">
        <v>2035</v>
      </c>
      <c r="K63" s="2673">
        <v>2040</v>
      </c>
      <c r="L63" s="2673">
        <v>2045</v>
      </c>
      <c r="M63" s="2673">
        <v>2050</v>
      </c>
      <c r="N63" s="97"/>
    </row>
    <row r="64" spans="2:14" x14ac:dyDescent="0.2">
      <c r="B64" s="794"/>
      <c r="C64" s="2667" t="s">
        <v>288</v>
      </c>
      <c r="D64" s="2668" t="str">
        <f>INDEX(Modules[Module], MATCH($C64, Modules[Code], 0))</f>
        <v>Natural gas power stations</v>
      </c>
      <c r="E64" s="2674">
        <f ca="1">IFERROR(INDEX(INDIRECT($C64&amp;".info["&amp;E$63&amp;"]"), MATCH("B.02", INDIRECT($C64&amp;".info[Vector]"), 0)), 0)</f>
        <v>3</v>
      </c>
      <c r="F64" s="2674">
        <f t="shared" ref="F64:M77" ca="1" si="12">IFERROR(INDEX(INDIRECT($C64&amp;".info["&amp;F$63&amp;"]"), MATCH("B.02", INDIRECT($C64&amp;".info[Vector]"), 0)), 0)</f>
        <v>8</v>
      </c>
      <c r="G64" s="2674">
        <f t="shared" ca="1" si="12"/>
        <v>19.329999999999998</v>
      </c>
      <c r="H64" s="2674">
        <f t="shared" ca="1" si="12"/>
        <v>26.84</v>
      </c>
      <c r="I64" s="2674">
        <f t="shared" ca="1" si="12"/>
        <v>34.39</v>
      </c>
      <c r="J64" s="2674">
        <f t="shared" ca="1" si="12"/>
        <v>45.93</v>
      </c>
      <c r="K64" s="2674">
        <f t="shared" ca="1" si="12"/>
        <v>57.47</v>
      </c>
      <c r="L64" s="2674">
        <f t="shared" ca="1" si="12"/>
        <v>69.02</v>
      </c>
      <c r="M64" s="2674">
        <f t="shared" ca="1" si="12"/>
        <v>80.56</v>
      </c>
      <c r="N64" s="97"/>
    </row>
    <row r="65" spans="2:14" x14ac:dyDescent="0.2">
      <c r="B65" s="794"/>
      <c r="C65" s="2667" t="s">
        <v>352</v>
      </c>
      <c r="D65" s="2668" t="str">
        <f>INDEX(Modules[Module], MATCH($C65, Modules[Code], 0))</f>
        <v>Biomass power station</v>
      </c>
      <c r="E65" s="2674">
        <f t="shared" ref="E65:E77" ca="1" si="13">IFERROR(INDEX(INDIRECT($C65&amp;".info["&amp;E$63&amp;"]"), MATCH("B.02", INDIRECT($C65&amp;".info[Vector]"), 0)), 0)</f>
        <v>0</v>
      </c>
      <c r="F65" s="2674">
        <f t="shared" ca="1" si="12"/>
        <v>0</v>
      </c>
      <c r="G65" s="2674">
        <f t="shared" ca="1" si="12"/>
        <v>1</v>
      </c>
      <c r="H65" s="2674">
        <f t="shared" ca="1" si="12"/>
        <v>2</v>
      </c>
      <c r="I65" s="2674">
        <f t="shared" ca="1" si="12"/>
        <v>2.5</v>
      </c>
      <c r="J65" s="2674">
        <f t="shared" ca="1" si="12"/>
        <v>4</v>
      </c>
      <c r="K65" s="2674">
        <f t="shared" ca="1" si="12"/>
        <v>6</v>
      </c>
      <c r="L65" s="2674">
        <f t="shared" ca="1" si="12"/>
        <v>8</v>
      </c>
      <c r="M65" s="2674">
        <f t="shared" ca="1" si="12"/>
        <v>10</v>
      </c>
      <c r="N65" s="97"/>
    </row>
    <row r="66" spans="2:14" x14ac:dyDescent="0.2">
      <c r="B66" s="794"/>
      <c r="C66" s="2667" t="s">
        <v>2146</v>
      </c>
      <c r="D66" s="2668" t="str">
        <f>INDEX(Modules[Module], MATCH($C66, Modules[Code], 0))</f>
        <v>Coal power stations</v>
      </c>
      <c r="E66" s="2674">
        <f t="shared" ca="1" si="13"/>
        <v>0</v>
      </c>
      <c r="F66" s="2674">
        <f t="shared" ca="1" si="12"/>
        <v>0</v>
      </c>
      <c r="G66" s="2674">
        <f t="shared" ca="1" si="12"/>
        <v>0</v>
      </c>
      <c r="H66" s="2674">
        <f t="shared" ca="1" si="12"/>
        <v>4</v>
      </c>
      <c r="I66" s="2674">
        <f t="shared" ca="1" si="12"/>
        <v>12.1</v>
      </c>
      <c r="J66" s="2674">
        <f t="shared" ca="1" si="12"/>
        <v>22.8</v>
      </c>
      <c r="K66" s="2674">
        <f t="shared" ca="1" si="12"/>
        <v>33.6</v>
      </c>
      <c r="L66" s="2674">
        <f t="shared" ca="1" si="12"/>
        <v>44.3</v>
      </c>
      <c r="M66" s="2674">
        <f t="shared" ca="1" si="12"/>
        <v>55</v>
      </c>
      <c r="N66" s="97"/>
    </row>
    <row r="67" spans="2:14" x14ac:dyDescent="0.2">
      <c r="B67" s="794"/>
      <c r="C67" s="2667" t="s">
        <v>2382</v>
      </c>
      <c r="D67" s="2668" t="str">
        <f>INDEX(Modules[Module], MATCH($C67, Modules[Code], 0))</f>
        <v xml:space="preserve">Self Generation </v>
      </c>
      <c r="E67" s="2674">
        <f t="shared" ca="1" si="13"/>
        <v>26.897154125983818</v>
      </c>
      <c r="F67" s="2674">
        <f t="shared" ca="1" si="12"/>
        <v>25.426054991993205</v>
      </c>
      <c r="G67" s="2674">
        <f t="shared" ca="1" si="12"/>
        <v>7.351469994919805</v>
      </c>
      <c r="H67" s="2674">
        <f t="shared" ca="1" si="12"/>
        <v>0</v>
      </c>
      <c r="I67" s="2674">
        <f t="shared" ca="1" si="12"/>
        <v>0</v>
      </c>
      <c r="J67" s="2674">
        <f t="shared" ca="1" si="12"/>
        <v>0</v>
      </c>
      <c r="K67" s="2674">
        <f t="shared" ca="1" si="12"/>
        <v>0</v>
      </c>
      <c r="L67" s="2674">
        <f t="shared" ca="1" si="12"/>
        <v>0</v>
      </c>
      <c r="M67" s="2674">
        <f t="shared" ca="1" si="12"/>
        <v>0</v>
      </c>
      <c r="N67" s="97"/>
    </row>
    <row r="68" spans="2:14" x14ac:dyDescent="0.2">
      <c r="B68" s="794"/>
      <c r="C68" s="2667" t="s">
        <v>297</v>
      </c>
      <c r="D68" s="2668" t="str">
        <f>INDEX(Modules[Module], MATCH($C68, Modules[Code], 0))</f>
        <v>Nuclear power</v>
      </c>
      <c r="E68" s="2674">
        <f t="shared" ca="1" si="13"/>
        <v>0</v>
      </c>
      <c r="F68" s="2674">
        <f t="shared" ca="1" si="12"/>
        <v>0</v>
      </c>
      <c r="G68" s="2674">
        <f t="shared" ca="1" si="12"/>
        <v>0</v>
      </c>
      <c r="H68" s="2674">
        <f t="shared" ca="1" si="12"/>
        <v>1</v>
      </c>
      <c r="I68" s="2674">
        <f t="shared" ca="1" si="12"/>
        <v>1.9</v>
      </c>
      <c r="J68" s="2674">
        <f t="shared" ca="1" si="12"/>
        <v>3.7</v>
      </c>
      <c r="K68" s="2674">
        <f t="shared" ca="1" si="12"/>
        <v>7.1</v>
      </c>
      <c r="L68" s="2674">
        <f t="shared" ca="1" si="12"/>
        <v>13.7</v>
      </c>
      <c r="M68" s="2674">
        <f t="shared" ca="1" si="12"/>
        <v>26.5</v>
      </c>
      <c r="N68" s="97"/>
    </row>
    <row r="69" spans="2:14" x14ac:dyDescent="0.2">
      <c r="B69" s="794"/>
      <c r="C69" s="2667" t="s">
        <v>864</v>
      </c>
      <c r="D69" s="2671" t="str">
        <f>INDEX(Modules[Module], MATCH($C69, Modules[Code], 0))</f>
        <v xml:space="preserve">Wind </v>
      </c>
      <c r="E69" s="2674">
        <f t="shared" ca="1" si="13"/>
        <v>0</v>
      </c>
      <c r="F69" s="2674">
        <f t="shared" ca="1" si="12"/>
        <v>0</v>
      </c>
      <c r="G69" s="2674">
        <f t="shared" ca="1" si="12"/>
        <v>2.1</v>
      </c>
      <c r="H69" s="2674">
        <f t="shared" ca="1" si="12"/>
        <v>4.2</v>
      </c>
      <c r="I69" s="2674">
        <f t="shared" ca="1" si="12"/>
        <v>6.3</v>
      </c>
      <c r="J69" s="2674">
        <f t="shared" ca="1" si="12"/>
        <v>8.4</v>
      </c>
      <c r="K69" s="2674">
        <f t="shared" ca="1" si="12"/>
        <v>8.4</v>
      </c>
      <c r="L69" s="2674">
        <f t="shared" ca="1" si="12"/>
        <v>10.5</v>
      </c>
      <c r="M69" s="2675">
        <f t="shared" ca="1" si="12"/>
        <v>12.6</v>
      </c>
      <c r="N69" s="97"/>
    </row>
    <row r="70" spans="2:14" x14ac:dyDescent="0.2">
      <c r="B70" s="794"/>
      <c r="C70" s="2667" t="s">
        <v>2366</v>
      </c>
      <c r="D70" s="2671" t="str">
        <f>INDEX(Modules[Module], MATCH($C70, Modules[Code], 0))</f>
        <v>Large Hydroelectric power stations</v>
      </c>
      <c r="E70" s="2674">
        <f t="shared" ca="1" si="13"/>
        <v>1.9</v>
      </c>
      <c r="F70" s="2674">
        <f t="shared" ca="1" si="12"/>
        <v>1.9</v>
      </c>
      <c r="G70" s="2674">
        <f t="shared" ca="1" si="12"/>
        <v>3.24</v>
      </c>
      <c r="H70" s="2674">
        <f t="shared" ca="1" si="12"/>
        <v>4.57</v>
      </c>
      <c r="I70" s="2674">
        <f t="shared" ca="1" si="12"/>
        <v>5.91</v>
      </c>
      <c r="J70" s="2674">
        <f t="shared" ca="1" si="12"/>
        <v>7.24</v>
      </c>
      <c r="K70" s="2674">
        <f t="shared" ca="1" si="12"/>
        <v>8.58</v>
      </c>
      <c r="L70" s="2674">
        <f t="shared" ca="1" si="12"/>
        <v>9.91</v>
      </c>
      <c r="M70" s="2676">
        <f t="shared" ca="1" si="12"/>
        <v>11.25</v>
      </c>
      <c r="N70" s="97"/>
    </row>
    <row r="71" spans="2:14" x14ac:dyDescent="0.2">
      <c r="B71" s="794"/>
      <c r="C71" s="2667" t="s">
        <v>2365</v>
      </c>
      <c r="D71" s="2677" t="str">
        <f>INDEX(Modules[Module], MATCH($C71, Modules[Code], 0))</f>
        <v>Small Hydroelectric power stations</v>
      </c>
      <c r="E71" s="2676">
        <f t="shared" ca="1" si="13"/>
        <v>6.4000000000000001E-2</v>
      </c>
      <c r="F71" s="2676">
        <f t="shared" ca="1" si="12"/>
        <v>6.4000000000000001E-2</v>
      </c>
      <c r="G71" s="2676">
        <f t="shared" ca="1" si="12"/>
        <v>6.4000000000000001E-2</v>
      </c>
      <c r="H71" s="2676">
        <f t="shared" ca="1" si="12"/>
        <v>1.0458571428571399</v>
      </c>
      <c r="I71" s="2676">
        <f t="shared" ca="1" si="12"/>
        <v>1.53668571428571</v>
      </c>
      <c r="J71" s="2676">
        <f t="shared" ca="1" si="12"/>
        <v>2.02751428571429</v>
      </c>
      <c r="K71" s="2676">
        <f t="shared" ca="1" si="12"/>
        <v>2.5183428571428599</v>
      </c>
      <c r="L71" s="2676">
        <f t="shared" ca="1" si="12"/>
        <v>3.0091714285714302</v>
      </c>
      <c r="M71" s="2676">
        <f t="shared" ca="1" si="12"/>
        <v>3.5</v>
      </c>
      <c r="N71" s="97"/>
    </row>
    <row r="72" spans="2:14" x14ac:dyDescent="0.2">
      <c r="B72" s="794"/>
      <c r="C72" s="2667" t="s">
        <v>2364</v>
      </c>
      <c r="D72" s="2668" t="str">
        <f>INDEX(Modules[Module], MATCH($C72, Modules[Code], 0))</f>
        <v>Grid Connected Solar PV</v>
      </c>
      <c r="E72" s="2674">
        <f t="shared" ca="1" si="13"/>
        <v>0</v>
      </c>
      <c r="F72" s="2674">
        <f t="shared" ca="1" si="12"/>
        <v>0</v>
      </c>
      <c r="G72" s="2674">
        <f t="shared" ca="1" si="12"/>
        <v>5.87</v>
      </c>
      <c r="H72" s="2674">
        <f t="shared" ca="1" si="12"/>
        <v>15.73</v>
      </c>
      <c r="I72" s="2674">
        <f t="shared" ca="1" si="12"/>
        <v>30.58</v>
      </c>
      <c r="J72" s="2674">
        <f t="shared" ca="1" si="12"/>
        <v>55.435000000000002</v>
      </c>
      <c r="K72" s="2674">
        <f t="shared" ca="1" si="12"/>
        <v>70.290000000000006</v>
      </c>
      <c r="L72" s="2674">
        <f t="shared" ca="1" si="12"/>
        <v>90.144999999999996</v>
      </c>
      <c r="M72" s="2674">
        <f t="shared" ca="1" si="12"/>
        <v>110</v>
      </c>
      <c r="N72" s="97"/>
    </row>
    <row r="73" spans="2:14" x14ac:dyDescent="0.2">
      <c r="B73" s="794"/>
      <c r="C73" s="2667" t="s">
        <v>2376</v>
      </c>
      <c r="D73" s="2668" t="str">
        <f>INDEX(Modules[Module], MATCH($C73, Modules[Code], 0))</f>
        <v>Concentrated Solar Power</v>
      </c>
      <c r="E73" s="2674">
        <f t="shared" ca="1" si="13"/>
        <v>0</v>
      </c>
      <c r="F73" s="2674">
        <f t="shared" ca="1" si="12"/>
        <v>0</v>
      </c>
      <c r="G73" s="2674">
        <f t="shared" ca="1" si="12"/>
        <v>5.71</v>
      </c>
      <c r="H73" s="2674">
        <f t="shared" ca="1" si="12"/>
        <v>11.43</v>
      </c>
      <c r="I73" s="2674">
        <f t="shared" ca="1" si="12"/>
        <v>17.14</v>
      </c>
      <c r="J73" s="2674">
        <f t="shared" ca="1" si="12"/>
        <v>22.86</v>
      </c>
      <c r="K73" s="2674">
        <f t="shared" ca="1" si="12"/>
        <v>28.57</v>
      </c>
      <c r="L73" s="2674">
        <f t="shared" ca="1" si="12"/>
        <v>34.29</v>
      </c>
      <c r="M73" s="2674">
        <f t="shared" ca="1" si="12"/>
        <v>40</v>
      </c>
      <c r="N73" s="97"/>
    </row>
    <row r="74" spans="2:14" x14ac:dyDescent="0.2">
      <c r="B74" s="794"/>
      <c r="C74" s="2667" t="s">
        <v>409</v>
      </c>
      <c r="D74" s="2668" t="str">
        <f>INDEX(Modules[Module], MATCH($C74, Modules[Code], 0))</f>
        <v>Stand-Alone Solar PV</v>
      </c>
      <c r="E74" s="2674">
        <f t="shared" ca="1" si="13"/>
        <v>1.4999999999999999E-2</v>
      </c>
      <c r="F74" s="2674">
        <f t="shared" ca="1" si="12"/>
        <v>0.5</v>
      </c>
      <c r="G74" s="2674">
        <f t="shared" ca="1" si="12"/>
        <v>10.87</v>
      </c>
      <c r="H74" s="2674">
        <f t="shared" ca="1" si="12"/>
        <v>17.73</v>
      </c>
      <c r="I74" s="2674">
        <f t="shared" ca="1" si="12"/>
        <v>24.58</v>
      </c>
      <c r="J74" s="2674">
        <f t="shared" ca="1" si="12"/>
        <v>30.434999999999999</v>
      </c>
      <c r="K74" s="2674">
        <f t="shared" ca="1" si="12"/>
        <v>37</v>
      </c>
      <c r="L74" s="2674">
        <f t="shared" ca="1" si="12"/>
        <v>45.145000000000003</v>
      </c>
      <c r="M74" s="2674">
        <f t="shared" ca="1" si="12"/>
        <v>60</v>
      </c>
      <c r="N74" s="97"/>
    </row>
    <row r="75" spans="2:14" x14ac:dyDescent="0.2">
      <c r="B75" s="794"/>
      <c r="C75" s="2667" t="s">
        <v>400</v>
      </c>
      <c r="D75" s="2668" t="str">
        <f>INDEX(Modules[Module], MATCH($C75, Modules[Code], 0))</f>
        <v>Types of fuel from Biomass</v>
      </c>
      <c r="E75" s="2674">
        <f t="shared" ca="1" si="13"/>
        <v>0</v>
      </c>
      <c r="F75" s="2674">
        <f t="shared" ca="1" si="12"/>
        <v>0</v>
      </c>
      <c r="G75" s="2674">
        <f t="shared" ca="1" si="12"/>
        <v>0</v>
      </c>
      <c r="H75" s="2674">
        <f t="shared" ca="1" si="12"/>
        <v>0</v>
      </c>
      <c r="I75" s="2674">
        <f t="shared" ca="1" si="12"/>
        <v>0</v>
      </c>
      <c r="J75" s="2674">
        <f t="shared" ca="1" si="12"/>
        <v>0</v>
      </c>
      <c r="K75" s="2674">
        <f t="shared" ca="1" si="12"/>
        <v>0</v>
      </c>
      <c r="L75" s="2674">
        <f t="shared" ca="1" si="12"/>
        <v>0</v>
      </c>
      <c r="M75" s="2674">
        <f t="shared" ca="1" si="12"/>
        <v>0</v>
      </c>
      <c r="N75" s="97"/>
    </row>
    <row r="76" spans="2:14" x14ac:dyDescent="0.2">
      <c r="B76" s="794"/>
      <c r="C76" s="2667" t="s">
        <v>838</v>
      </c>
      <c r="D76" s="2668" t="str">
        <f>INDEX(Modules[Module], MATCH($C76, Modules[Code], 0))</f>
        <v>Bioenergy imports</v>
      </c>
      <c r="E76" s="2674">
        <f t="shared" ca="1" si="13"/>
        <v>0</v>
      </c>
      <c r="F76" s="2674">
        <f t="shared" ca="1" si="12"/>
        <v>0</v>
      </c>
      <c r="G76" s="2674">
        <f t="shared" ca="1" si="12"/>
        <v>0</v>
      </c>
      <c r="H76" s="2674">
        <f t="shared" ca="1" si="12"/>
        <v>0</v>
      </c>
      <c r="I76" s="2674">
        <f t="shared" ca="1" si="12"/>
        <v>0</v>
      </c>
      <c r="J76" s="2674">
        <f t="shared" ca="1" si="12"/>
        <v>0</v>
      </c>
      <c r="K76" s="2674">
        <f t="shared" ca="1" si="12"/>
        <v>0</v>
      </c>
      <c r="L76" s="2674">
        <f t="shared" ca="1" si="12"/>
        <v>0</v>
      </c>
      <c r="M76" s="2674">
        <f t="shared" ca="1" si="12"/>
        <v>0</v>
      </c>
      <c r="N76" s="97"/>
    </row>
    <row r="77" spans="2:14" x14ac:dyDescent="0.2">
      <c r="B77" s="794"/>
      <c r="C77" s="2667" t="s">
        <v>380</v>
      </c>
      <c r="D77" s="2668" t="str">
        <f>INDEX(Modules[Module], MATCH($C77, Modules[Code], 0))</f>
        <v>Agriculture and land use</v>
      </c>
      <c r="E77" s="2674">
        <f t="shared" ca="1" si="13"/>
        <v>0</v>
      </c>
      <c r="F77" s="2674">
        <f t="shared" ca="1" si="12"/>
        <v>0</v>
      </c>
      <c r="G77" s="2674">
        <f t="shared" ca="1" si="12"/>
        <v>0</v>
      </c>
      <c r="H77" s="2674">
        <f t="shared" ca="1" si="12"/>
        <v>0</v>
      </c>
      <c r="I77" s="2674">
        <f t="shared" ca="1" si="12"/>
        <v>0</v>
      </c>
      <c r="J77" s="2674">
        <f t="shared" ca="1" si="12"/>
        <v>0</v>
      </c>
      <c r="K77" s="2674">
        <f t="shared" ca="1" si="12"/>
        <v>0</v>
      </c>
      <c r="L77" s="2674">
        <f t="shared" ca="1" si="12"/>
        <v>0</v>
      </c>
      <c r="M77" s="2674">
        <f t="shared" ca="1" si="12"/>
        <v>0</v>
      </c>
      <c r="N77" s="97"/>
    </row>
    <row r="78" spans="2:14" x14ac:dyDescent="0.2">
      <c r="B78" s="794"/>
      <c r="C78" s="2667" t="s">
        <v>402</v>
      </c>
      <c r="D78" s="2668" t="str">
        <f>INDEX(Modules[Module], MATCH($C78, Modules[Code], 0))</f>
        <v>Volume of Waste &amp; Recycling</v>
      </c>
      <c r="E78" s="2674">
        <f t="shared" ref="E78:M78" ca="1" si="14">IFERROR(INDEX(INDIRECT($C80&amp;".info["&amp;E$63&amp;"]"), MATCH("B.02", INDIRECT($C80&amp;".info[Vector]"), 0)), 0)</f>
        <v>0</v>
      </c>
      <c r="F78" s="2674">
        <f t="shared" ca="1" si="14"/>
        <v>0</v>
      </c>
      <c r="G78" s="2674">
        <f t="shared" ca="1" si="14"/>
        <v>0</v>
      </c>
      <c r="H78" s="2674">
        <f t="shared" ca="1" si="14"/>
        <v>0</v>
      </c>
      <c r="I78" s="2674">
        <f t="shared" ca="1" si="14"/>
        <v>0</v>
      </c>
      <c r="J78" s="2674">
        <f t="shared" ca="1" si="14"/>
        <v>0</v>
      </c>
      <c r="K78" s="2674">
        <f t="shared" ca="1" si="14"/>
        <v>0</v>
      </c>
      <c r="L78" s="2674">
        <f t="shared" ca="1" si="14"/>
        <v>0</v>
      </c>
      <c r="M78" s="2674">
        <f t="shared" ca="1" si="14"/>
        <v>0</v>
      </c>
      <c r="N78" s="97"/>
    </row>
    <row r="79" spans="2:14" x14ac:dyDescent="0.2">
      <c r="B79" s="794"/>
      <c r="C79" s="2667" t="s">
        <v>305</v>
      </c>
      <c r="D79" s="2669" t="str">
        <f>INDEX(Modules[Module], MATCH($C79, Modules[Code], 0))</f>
        <v>Electricity imports</v>
      </c>
      <c r="E79" s="2678">
        <f t="shared" ref="E79:M79" ca="1" si="15">IFERROR(INDEX(INDIRECT($C81&amp;".info["&amp;E$63&amp;"]"), MATCH("B.02", INDIRECT($C81&amp;".info[Vector]"), 0)), 0)</f>
        <v>0</v>
      </c>
      <c r="F79" s="2678">
        <f t="shared" ca="1" si="15"/>
        <v>0</v>
      </c>
      <c r="G79" s="2678">
        <f t="shared" ca="1" si="15"/>
        <v>0</v>
      </c>
      <c r="H79" s="2678">
        <f t="shared" ca="1" si="15"/>
        <v>0</v>
      </c>
      <c r="I79" s="2678">
        <f t="shared" ca="1" si="15"/>
        <v>0</v>
      </c>
      <c r="J79" s="2678">
        <f t="shared" ca="1" si="15"/>
        <v>0</v>
      </c>
      <c r="K79" s="2678">
        <f t="shared" ca="1" si="15"/>
        <v>0</v>
      </c>
      <c r="L79" s="2678">
        <f t="shared" ca="1" si="15"/>
        <v>0</v>
      </c>
      <c r="M79" s="2678">
        <f t="shared" ca="1" si="15"/>
        <v>0</v>
      </c>
      <c r="N79" s="97"/>
    </row>
    <row r="80" spans="2:14" x14ac:dyDescent="0.2">
      <c r="B80" s="794"/>
      <c r="C80" s="2667"/>
      <c r="D80" s="2668" t="s">
        <v>358</v>
      </c>
      <c r="E80" s="2674">
        <f t="shared" ref="E80:M80" ca="1" si="16">SUM(E64:E79)</f>
        <v>31.876154125983817</v>
      </c>
      <c r="F80" s="2674">
        <f t="shared" ca="1" si="16"/>
        <v>35.890054991993203</v>
      </c>
      <c r="G80" s="2674">
        <f t="shared" ca="1" si="16"/>
        <v>55.535469994919801</v>
      </c>
      <c r="H80" s="2674">
        <f t="shared" ca="1" si="16"/>
        <v>88.545857142857145</v>
      </c>
      <c r="I80" s="2674">
        <f t="shared" ca="1" si="16"/>
        <v>136.93668571428572</v>
      </c>
      <c r="J80" s="2674">
        <f t="shared" ca="1" si="16"/>
        <v>202.8275142857143</v>
      </c>
      <c r="K80" s="2674">
        <f t="shared" ca="1" si="16"/>
        <v>259.52834285714283</v>
      </c>
      <c r="L80" s="2674">
        <f t="shared" ca="1" si="16"/>
        <v>328.01917142857138</v>
      </c>
      <c r="M80" s="2674">
        <f t="shared" ca="1" si="16"/>
        <v>409.40999999999997</v>
      </c>
      <c r="N80" s="97"/>
    </row>
    <row r="81" spans="2:14" x14ac:dyDescent="0.2">
      <c r="B81" s="794"/>
      <c r="C81" s="2667"/>
      <c r="D81" s="2403"/>
      <c r="E81" s="2405"/>
      <c r="F81" s="2405"/>
      <c r="G81" s="2405"/>
      <c r="H81" s="2405"/>
      <c r="I81" s="2405"/>
      <c r="J81" s="2405"/>
      <c r="K81" s="2405"/>
      <c r="L81" s="2405"/>
      <c r="M81" s="2405"/>
      <c r="N81" s="429"/>
    </row>
    <row r="83" spans="2:14" ht="15.75" x14ac:dyDescent="0.2">
      <c r="B83" s="2663" t="s">
        <v>2527</v>
      </c>
      <c r="C83" s="2664"/>
      <c r="D83" s="2664"/>
      <c r="E83" s="2664"/>
      <c r="F83" s="2664"/>
      <c r="G83" s="2664"/>
      <c r="H83" s="2664"/>
      <c r="I83" s="2664"/>
      <c r="J83" s="2664"/>
      <c r="K83" s="2664"/>
      <c r="L83" s="2664"/>
      <c r="M83" s="2664"/>
      <c r="N83" s="2665"/>
    </row>
    <row r="84" spans="2:14" x14ac:dyDescent="0.2">
      <c r="B84" s="412"/>
      <c r="C84" s="412"/>
      <c r="D84" s="412"/>
      <c r="E84" s="412"/>
      <c r="F84" s="412"/>
      <c r="G84" s="412"/>
      <c r="H84" s="412"/>
      <c r="I84" s="412"/>
      <c r="J84" s="412"/>
      <c r="K84" s="412"/>
      <c r="L84" s="412"/>
      <c r="M84" s="97"/>
      <c r="N84" s="97"/>
    </row>
    <row r="85" spans="2:14" x14ac:dyDescent="0.2">
      <c r="B85" s="412"/>
      <c r="C85" s="412"/>
      <c r="D85" s="794" t="s">
        <v>2528</v>
      </c>
      <c r="E85" s="412"/>
      <c r="F85" s="412"/>
      <c r="G85" s="412"/>
      <c r="H85" s="412"/>
      <c r="I85" s="412"/>
      <c r="J85" s="412"/>
      <c r="K85" s="412"/>
      <c r="L85" s="412"/>
      <c r="M85" s="2283" t="str">
        <f>Preferences.EnergyUnits</f>
        <v>TWh</v>
      </c>
      <c r="N85" s="97"/>
    </row>
    <row r="86" spans="2:14" ht="15.75" x14ac:dyDescent="0.2">
      <c r="B86" s="2666"/>
      <c r="C86" s="794"/>
      <c r="D86" s="412"/>
      <c r="E86" s="412"/>
      <c r="F86" s="412"/>
      <c r="G86" s="412"/>
      <c r="H86" s="412"/>
      <c r="I86" s="412"/>
      <c r="J86" s="412"/>
      <c r="K86" s="412"/>
      <c r="L86" s="412"/>
      <c r="M86" s="2283"/>
      <c r="N86" s="97"/>
    </row>
    <row r="87" spans="2:14" ht="15.75" x14ac:dyDescent="0.2">
      <c r="B87" s="2666"/>
      <c r="C87" s="2671"/>
      <c r="D87" s="2672" t="s">
        <v>264</v>
      </c>
      <c r="E87" s="2673">
        <v>2010</v>
      </c>
      <c r="F87" s="2673">
        <v>2015</v>
      </c>
      <c r="G87" s="2673">
        <v>2020</v>
      </c>
      <c r="H87" s="2673">
        <v>2025</v>
      </c>
      <c r="I87" s="2673">
        <v>2030</v>
      </c>
      <c r="J87" s="2673">
        <v>2035</v>
      </c>
      <c r="K87" s="2673">
        <v>2040</v>
      </c>
      <c r="L87" s="2673">
        <v>2045</v>
      </c>
      <c r="M87" s="2673">
        <v>2050</v>
      </c>
      <c r="N87" s="97"/>
    </row>
    <row r="88" spans="2:14" x14ac:dyDescent="0.2">
      <c r="B88" s="794"/>
      <c r="C88" s="2667" t="s">
        <v>1310</v>
      </c>
      <c r="D88" s="2668" t="s">
        <v>55</v>
      </c>
      <c r="E88" s="2674">
        <f ca="1">SUMIFS(INDIRECT("FlowsTable["&amp;E$87&amp;"]"),FlowsTable[From],$D88,FlowsTable[To],$C88)</f>
        <v>0</v>
      </c>
      <c r="F88" s="2674">
        <f ca="1">SUMIFS(INDIRECT("FlowsTable["&amp;F$87&amp;"]"),FlowsTable[From],$D88,FlowsTable[To],$C88)</f>
        <v>0</v>
      </c>
      <c r="G88" s="2674">
        <f ca="1">SUMIFS(INDIRECT("FlowsTable["&amp;G$87&amp;"]"),FlowsTable[From],$D88,FlowsTable[To],$C88)</f>
        <v>0</v>
      </c>
      <c r="H88" s="2674">
        <f ca="1">SUMIFS(INDIRECT("FlowsTable["&amp;H$87&amp;"]"),FlowsTable[From],$D88,FlowsTable[To],$C88)</f>
        <v>0</v>
      </c>
      <c r="I88" s="2674">
        <f ca="1">SUMIFS(INDIRECT("FlowsTable["&amp;I$87&amp;"]"),FlowsTable[From],$D88,FlowsTable[To],$C88)</f>
        <v>0</v>
      </c>
      <c r="J88" s="2674">
        <f ca="1">SUMIFS(INDIRECT("FlowsTable["&amp;J$87&amp;"]"),FlowsTable[From],$D88,FlowsTable[To],$C88)</f>
        <v>0</v>
      </c>
      <c r="K88" s="2674">
        <f ca="1">SUMIFS(INDIRECT("FlowsTable["&amp;K$87&amp;"]"),FlowsTable[From],$D88,FlowsTable[To],$C88)</f>
        <v>0</v>
      </c>
      <c r="L88" s="2674">
        <f ca="1">SUMIFS(INDIRECT("FlowsTable["&amp;L$87&amp;"]"),FlowsTable[From],$D88,FlowsTable[To],$C88)</f>
        <v>0</v>
      </c>
      <c r="M88" s="2674">
        <f ca="1">SUMIFS(INDIRECT("FlowsTable["&amp;M$87&amp;"]"),FlowsTable[From],$D88,FlowsTable[To],$C88)</f>
        <v>0</v>
      </c>
      <c r="N88" s="97"/>
    </row>
    <row r="89" spans="2:14" x14ac:dyDescent="0.2">
      <c r="B89" s="794"/>
      <c r="C89" s="2667" t="s">
        <v>1310</v>
      </c>
      <c r="D89" s="2668" t="s">
        <v>1</v>
      </c>
      <c r="E89" s="2674">
        <f ca="1">SUMIFS(INDIRECT("FlowsTable["&amp;E$87&amp;"]"),FlowsTable[From],$D89,FlowsTable[To],$C89)</f>
        <v>0</v>
      </c>
      <c r="F89" s="2674">
        <f ca="1">SUMIFS(INDIRECT("FlowsTable["&amp;F$87&amp;"]"),FlowsTable[From],$D89,FlowsTable[To],$C89)</f>
        <v>0</v>
      </c>
      <c r="G89" s="2674">
        <f ca="1">SUMIFS(INDIRECT("FlowsTable["&amp;G$87&amp;"]"),FlowsTable[From],$D89,FlowsTable[To],$C89)</f>
        <v>3.6817200000000003</v>
      </c>
      <c r="H89" s="2674">
        <f ca="1">SUMIFS(INDIRECT("FlowsTable["&amp;H$87&amp;"]"),FlowsTable[From],$D89,FlowsTable[To],$C89)</f>
        <v>7.3634400000000007</v>
      </c>
      <c r="I89" s="2674">
        <f ca="1">SUMIFS(INDIRECT("FlowsTable["&amp;I$87&amp;"]"),FlowsTable[From],$D89,FlowsTable[To],$C89)</f>
        <v>11.045159999999999</v>
      </c>
      <c r="J89" s="2674">
        <f ca="1">SUMIFS(INDIRECT("FlowsTable["&amp;J$87&amp;"]"),FlowsTable[From],$D89,FlowsTable[To],$C89)</f>
        <v>14.726880000000001</v>
      </c>
      <c r="K89" s="2674">
        <f ca="1">SUMIFS(INDIRECT("FlowsTable["&amp;K$87&amp;"]"),FlowsTable[From],$D89,FlowsTable[To],$C89)</f>
        <v>14.726880000000001</v>
      </c>
      <c r="L89" s="2674">
        <f ca="1">SUMIFS(INDIRECT("FlowsTable["&amp;L$87&amp;"]"),FlowsTable[From],$D89,FlowsTable[To],$C89)</f>
        <v>18.4086</v>
      </c>
      <c r="M89" s="2674">
        <f ca="1">SUMIFS(INDIRECT("FlowsTable["&amp;M$87&amp;"]"),FlowsTable[From],$D89,FlowsTable[To],$C89)</f>
        <v>22.090319999999998</v>
      </c>
      <c r="N89" s="97"/>
    </row>
    <row r="90" spans="2:14" x14ac:dyDescent="0.2">
      <c r="B90" s="794"/>
      <c r="C90" s="2667" t="s">
        <v>1310</v>
      </c>
      <c r="D90" s="2668" t="s">
        <v>14</v>
      </c>
      <c r="E90" s="2674">
        <f ca="1">SUMIFS(INDIRECT("FlowsTable["&amp;E$87&amp;"]"),FlowsTable[From],$D90,FlowsTable[To],$C90)</f>
        <v>10.273751999999998</v>
      </c>
      <c r="F90" s="2674">
        <f ca="1">SUMIFS(INDIRECT("FlowsTable["&amp;F$87&amp;"]"),FlowsTable[From],$D90,FlowsTable[To],$C90)</f>
        <v>10.273751999999998</v>
      </c>
      <c r="G90" s="2674">
        <f ca="1">SUMIFS(INDIRECT("FlowsTable["&amp;G$87&amp;"]"),FlowsTable[From],$D90,FlowsTable[To],$C90)</f>
        <v>17.321616000000002</v>
      </c>
      <c r="H90" s="2674">
        <f ca="1">SUMIFS(INDIRECT("FlowsTable["&amp;H$87&amp;"]"),FlowsTable[From],$D90,FlowsTable[To],$C90)</f>
        <v>28.620363857142845</v>
      </c>
      <c r="I90" s="2674">
        <f ca="1">SUMIFS(INDIRECT("FlowsTable["&amp;I$87&amp;"]"),FlowsTable[From],$D90,FlowsTable[To],$C90)</f>
        <v>37.81952948571427</v>
      </c>
      <c r="J90" s="2674">
        <f ca="1">SUMIFS(INDIRECT("FlowsTable["&amp;J$87&amp;"]"),FlowsTable[From],$D90,FlowsTable[To],$C90)</f>
        <v>46.96609911428574</v>
      </c>
      <c r="K90" s="2674">
        <f ca="1">SUMIFS(INDIRECT("FlowsTable["&amp;K$87&amp;"]"),FlowsTable[From],$D90,FlowsTable[To],$C90)</f>
        <v>56.165264742857154</v>
      </c>
      <c r="L90" s="2674">
        <f ca="1">SUMIFS(INDIRECT("FlowsTable["&amp;L$87&amp;"]"),FlowsTable[From],$D90,FlowsTable[To],$C90)</f>
        <v>65.311834371428574</v>
      </c>
      <c r="M90" s="2674">
        <f ca="1">SUMIFS(INDIRECT("FlowsTable["&amp;M$87&amp;"]"),FlowsTable[From],$D90,FlowsTable[To],$C90)</f>
        <v>74.510999999999996</v>
      </c>
      <c r="N90" s="97"/>
    </row>
    <row r="91" spans="2:14" x14ac:dyDescent="0.2">
      <c r="B91" s="794"/>
      <c r="C91" s="2667" t="s">
        <v>1310</v>
      </c>
      <c r="D91" s="2671" t="s">
        <v>43</v>
      </c>
      <c r="E91" s="2674">
        <f ca="1">SUMIFS(INDIRECT("FlowsTable["&amp;E$87&amp;"]"),FlowsTable[From],$D91,FlowsTable[To],$C91)</f>
        <v>-0.52500000000000002</v>
      </c>
      <c r="F91" s="2674">
        <f ca="1">SUMIFS(INDIRECT("FlowsTable["&amp;F$87&amp;"]"),FlowsTable[From],$D91,FlowsTable[To],$C91)</f>
        <v>-0.52500000000000002</v>
      </c>
      <c r="G91" s="2674">
        <f ca="1">SUMIFS(INDIRECT("FlowsTable["&amp;G$87&amp;"]"),FlowsTable[From],$D91,FlowsTable[To],$C91)</f>
        <v>-0.52500000000000002</v>
      </c>
      <c r="H91" s="2674">
        <f ca="1">SUMIFS(INDIRECT("FlowsTable["&amp;H$87&amp;"]"),FlowsTable[From],$D91,FlowsTable[To],$C91)</f>
        <v>-0.52500000000000002</v>
      </c>
      <c r="I91" s="2674">
        <f ca="1">SUMIFS(INDIRECT("FlowsTable["&amp;I$87&amp;"]"),FlowsTable[From],$D91,FlowsTable[To],$C91)</f>
        <v>12.089399999999999</v>
      </c>
      <c r="J91" s="2674">
        <f ca="1">SUMIFS(INDIRECT("FlowsTable["&amp;J$87&amp;"]"),FlowsTable[From],$D91,FlowsTable[To],$C91)</f>
        <v>24.703800000000001</v>
      </c>
      <c r="K91" s="2674">
        <f ca="1">SUMIFS(INDIRECT("FlowsTable["&amp;K$87&amp;"]"),FlowsTable[From],$D91,FlowsTable[To],$C91)</f>
        <v>37.318200000000004</v>
      </c>
      <c r="L91" s="2674">
        <f ca="1">SUMIFS(INDIRECT("FlowsTable["&amp;L$87&amp;"]"),FlowsTable[From],$D91,FlowsTable[To],$C91)</f>
        <v>49.932600000000001</v>
      </c>
      <c r="M91" s="2674">
        <f ca="1">SUMIFS(INDIRECT("FlowsTable["&amp;M$87&amp;"]"),FlowsTable[From],$D91,FlowsTable[To],$C91)</f>
        <v>62.547000000000004</v>
      </c>
      <c r="N91" s="97"/>
    </row>
    <row r="92" spans="2:14" x14ac:dyDescent="0.2">
      <c r="B92" s="794"/>
      <c r="C92" s="2671" t="s">
        <v>1311</v>
      </c>
      <c r="D92" s="2671" t="s">
        <v>0</v>
      </c>
      <c r="E92" s="2674">
        <f ca="1">SUMIFS(INDIRECT("FlowsTable["&amp;E$87&amp;"]"),FlowsTable[From],$D92,FlowsTable[To],$C92)</f>
        <v>0</v>
      </c>
      <c r="F92" s="2674">
        <f ca="1">SUMIFS(INDIRECT("FlowsTable["&amp;F$87&amp;"]"),FlowsTable[From],$D92,FlowsTable[To],$C92)</f>
        <v>0</v>
      </c>
      <c r="G92" s="2674">
        <f ca="1">SUMIFS(INDIRECT("FlowsTable["&amp;G$87&amp;"]"),FlowsTable[From],$D92,FlowsTable[To],$C92)</f>
        <v>0</v>
      </c>
      <c r="H92" s="2674">
        <f ca="1">SUMIFS(INDIRECT("FlowsTable["&amp;H$87&amp;"]"),FlowsTable[From],$D92,FlowsTable[To],$C92)</f>
        <v>21.428000000000004</v>
      </c>
      <c r="I92" s="2674">
        <f ca="1">SUMIFS(INDIRECT("FlowsTable["&amp;I$87&amp;"]"),FlowsTable[From],$D92,FlowsTable[To],$C92)</f>
        <v>40.713200000000001</v>
      </c>
      <c r="J92" s="2674">
        <f ca="1">SUMIFS(INDIRECT("FlowsTable["&amp;J$87&amp;"]"),FlowsTable[From],$D92,FlowsTable[To],$C92)</f>
        <v>79.283600000000021</v>
      </c>
      <c r="K92" s="2674">
        <f ca="1">SUMIFS(INDIRECT("FlowsTable["&amp;K$87&amp;"]"),FlowsTable[From],$D92,FlowsTable[To],$C92)</f>
        <v>152.13880000000003</v>
      </c>
      <c r="L92" s="2674">
        <f ca="1">SUMIFS(INDIRECT("FlowsTable["&amp;L$87&amp;"]"),FlowsTable[From],$D92,FlowsTable[To],$C92)</f>
        <v>293.56360000000006</v>
      </c>
      <c r="M92" s="2674">
        <f ca="1">SUMIFS(INDIRECT("FlowsTable["&amp;M$87&amp;"]"),FlowsTable[From],$D92,FlowsTable[To],$C92)</f>
        <v>567.8420000000001</v>
      </c>
      <c r="N92" s="97"/>
    </row>
    <row r="93" spans="2:14" x14ac:dyDescent="0.2">
      <c r="B93" s="794"/>
      <c r="C93" s="2671" t="s">
        <v>1311</v>
      </c>
      <c r="D93" s="2677" t="s">
        <v>669</v>
      </c>
      <c r="E93" s="2674">
        <f ca="1">SUMIFS(INDIRECT("FlowsTable["&amp;E$87&amp;"]"),FlowsTable[From],$D93,FlowsTable[To],$C93)</f>
        <v>0</v>
      </c>
      <c r="F93" s="2674">
        <f ca="1">SUMIFS(INDIRECT("FlowsTable["&amp;F$87&amp;"]"),FlowsTable[From],$D93,FlowsTable[To],$C93)</f>
        <v>0</v>
      </c>
      <c r="G93" s="2674">
        <f ca="1">SUMIFS(INDIRECT("FlowsTable["&amp;G$87&amp;"]"),FlowsTable[From],$D93,FlowsTable[To],$C93)</f>
        <v>23.668200000000002</v>
      </c>
      <c r="H93" s="2674">
        <f ca="1">SUMIFS(INDIRECT("FlowsTable["&amp;H$87&amp;"]"),FlowsTable[From],$D93,FlowsTable[To],$C93)</f>
        <v>120.00192631578949</v>
      </c>
      <c r="I93" s="2674">
        <f ca="1">SUMIFS(INDIRECT("FlowsTable["&amp;I$87&amp;"]"),FlowsTable[From],$D93,FlowsTable[To],$C93)</f>
        <v>278.98371710526311</v>
      </c>
      <c r="J93" s="2674">
        <f ca="1">SUMIFS(INDIRECT("FlowsTable["&amp;J$87&amp;"]"),FlowsTable[From],$D93,FlowsTable[To],$C93)</f>
        <v>508.86630000000008</v>
      </c>
      <c r="K93" s="2674">
        <f ca="1">SUMIFS(INDIRECT("FlowsTable["&amp;K$87&amp;"]"),FlowsTable[From],$D93,FlowsTable[To],$C93)</f>
        <v>752.3996210526318</v>
      </c>
      <c r="L93" s="2674">
        <f ca="1">SUMIFS(INDIRECT("FlowsTable["&amp;L$87&amp;"]"),FlowsTable[From],$D93,FlowsTable[To],$C93)</f>
        <v>994.11630394736824</v>
      </c>
      <c r="M93" s="2674">
        <f ca="1">SUMIFS(INDIRECT("FlowsTable["&amp;M$87&amp;"]"),FlowsTable[From],$D93,FlowsTable[To],$C93)</f>
        <v>1235.8329868421051</v>
      </c>
      <c r="N93" s="97"/>
    </row>
    <row r="94" spans="2:14" x14ac:dyDescent="0.2">
      <c r="B94" s="794"/>
      <c r="C94" s="2671" t="s">
        <v>1311</v>
      </c>
      <c r="D94" s="2668" t="s">
        <v>122</v>
      </c>
      <c r="E94" s="2674">
        <f ca="1">SUMIFS(INDIRECT("FlowsTable["&amp;E$87&amp;"]"),FlowsTable[From],$D94,FlowsTable[To],$C94)</f>
        <v>142.5029467015639</v>
      </c>
      <c r="F94" s="2674">
        <f ca="1">SUMIFS(INDIRECT("FlowsTable["&amp;F$87&amp;"]"),FlowsTable[From],$D94,FlowsTable[To],$C94)</f>
        <v>134.70896372099034</v>
      </c>
      <c r="G94" s="2674">
        <f ca="1">SUMIFS(INDIRECT("FlowsTable["&amp;G$87&amp;"]"),FlowsTable[From],$D94,FlowsTable[To],$C94)</f>
        <v>38.948586603523609</v>
      </c>
      <c r="H94" s="2674">
        <f ca="1">SUMIFS(INDIRECT("FlowsTable["&amp;H$87&amp;"]"),FlowsTable[From],$D94,FlowsTable[To],$C94)</f>
        <v>0</v>
      </c>
      <c r="I94" s="2674">
        <f ca="1">SUMIFS(INDIRECT("FlowsTable["&amp;I$87&amp;"]"),FlowsTable[From],$D94,FlowsTable[To],$C94)</f>
        <v>0</v>
      </c>
      <c r="J94" s="2674">
        <f ca="1">SUMIFS(INDIRECT("FlowsTable["&amp;J$87&amp;"]"),FlowsTable[From],$D94,FlowsTable[To],$C94)</f>
        <v>0</v>
      </c>
      <c r="K94" s="2674">
        <f ca="1">SUMIFS(INDIRECT("FlowsTable["&amp;K$87&amp;"]"),FlowsTable[From],$D94,FlowsTable[To],$C94)</f>
        <v>0</v>
      </c>
      <c r="L94" s="2674">
        <f ca="1">SUMIFS(INDIRECT("FlowsTable["&amp;L$87&amp;"]"),FlowsTable[From],$D94,FlowsTable[To],$C94)</f>
        <v>0</v>
      </c>
      <c r="M94" s="2674">
        <f ca="1">SUMIFS(INDIRECT("FlowsTable["&amp;M$87&amp;"]"),FlowsTable[From],$D94,FlowsTable[To],$C94)</f>
        <v>0</v>
      </c>
      <c r="N94" s="97"/>
    </row>
    <row r="95" spans="2:14" x14ac:dyDescent="0.2">
      <c r="B95" s="2405"/>
      <c r="C95" s="2671" t="s">
        <v>1311</v>
      </c>
      <c r="D95" s="2669" t="s">
        <v>10</v>
      </c>
      <c r="E95" s="2678">
        <f ca="1">SUMIFS(INDIRECT("FlowsTable["&amp;E$87&amp;"]"),FlowsTable[From],$D95,FlowsTable[To],$C95)</f>
        <v>38.658059999999992</v>
      </c>
      <c r="F95" s="2678">
        <f ca="1">SUMIFS(INDIRECT("FlowsTable["&amp;F$87&amp;"]"),FlowsTable[From],$D95,FlowsTable[To],$C95)</f>
        <v>103.08815999999999</v>
      </c>
      <c r="G95" s="2678">
        <f ca="1">SUMIFS(INDIRECT("FlowsTable["&amp;G$87&amp;"]"),FlowsTable[From],$D95,FlowsTable[To],$C95)</f>
        <v>249.0867666</v>
      </c>
      <c r="H95" s="2678">
        <f ca="1">SUMIFS(INDIRECT("FlowsTable["&amp;H$87&amp;"]"),FlowsTable[From],$D95,FlowsTable[To],$C95)</f>
        <v>345.8607768</v>
      </c>
      <c r="I95" s="2678">
        <f ca="1">SUMIFS(INDIRECT("FlowsTable["&amp;I$87&amp;"]"),FlowsTable[From],$D95,FlowsTable[To],$C95)</f>
        <v>443.15022779999998</v>
      </c>
      <c r="J95" s="2678">
        <f ca="1">SUMIFS(INDIRECT("FlowsTable["&amp;J$87&amp;"]"),FlowsTable[From],$D95,FlowsTable[To],$C95)</f>
        <v>591.85489859999984</v>
      </c>
      <c r="K95" s="2678">
        <f ca="1">SUMIFS(INDIRECT("FlowsTable["&amp;K$87&amp;"]"),FlowsTable[From],$D95,FlowsTable[To],$C95)</f>
        <v>740.55956939999999</v>
      </c>
      <c r="L95" s="2678">
        <f ca="1">SUMIFS(INDIRECT("FlowsTable["&amp;L$87&amp;"]"),FlowsTable[From],$D95,FlowsTable[To],$C95)</f>
        <v>889.39310039999987</v>
      </c>
      <c r="M95" s="2678">
        <f ca="1">SUMIFS(INDIRECT("FlowsTable["&amp;M$87&amp;"]"),FlowsTable[From],$D95,FlowsTable[To],$C95)</f>
        <v>1038.0977711999999</v>
      </c>
      <c r="N95" s="97"/>
    </row>
    <row r="96" spans="2:14" x14ac:dyDescent="0.2">
      <c r="B96" s="2405"/>
      <c r="C96" s="2667"/>
      <c r="D96" s="2668" t="s">
        <v>105</v>
      </c>
      <c r="E96" s="2674">
        <f t="shared" ref="E96:M96" ca="1" si="17">SUM(E88:E95)</f>
        <v>190.90975870156387</v>
      </c>
      <c r="F96" s="2674">
        <f t="shared" ca="1" si="17"/>
        <v>247.54587572099032</v>
      </c>
      <c r="G96" s="2674">
        <f t="shared" ca="1" si="17"/>
        <v>332.18188920352361</v>
      </c>
      <c r="H96" s="2674">
        <f t="shared" ca="1" si="17"/>
        <v>522.74950697293229</v>
      </c>
      <c r="I96" s="2674">
        <f t="shared" ca="1" si="17"/>
        <v>823.80123439097736</v>
      </c>
      <c r="J96" s="2674">
        <f t="shared" ca="1" si="17"/>
        <v>1266.4015777142856</v>
      </c>
      <c r="K96" s="2674">
        <f t="shared" ca="1" si="17"/>
        <v>1753.308335195489</v>
      </c>
      <c r="L96" s="2674">
        <f t="shared" ca="1" si="17"/>
        <v>2310.7260387187971</v>
      </c>
      <c r="M96" s="2674">
        <f t="shared" ca="1" si="17"/>
        <v>3000.9210780421054</v>
      </c>
      <c r="N96" s="97"/>
    </row>
    <row r="97" spans="2:14" x14ac:dyDescent="0.2">
      <c r="B97" s="2405"/>
      <c r="C97" s="2402"/>
      <c r="D97" s="2403"/>
      <c r="E97" s="2405"/>
      <c r="F97" s="2405"/>
      <c r="G97" s="2405"/>
      <c r="H97" s="2405"/>
      <c r="I97" s="2405"/>
      <c r="J97" s="2405"/>
      <c r="K97" s="2405"/>
      <c r="L97" s="2405"/>
      <c r="M97" s="2405"/>
      <c r="N97" s="429"/>
    </row>
    <row r="99" spans="2:14" ht="15.75" x14ac:dyDescent="0.2">
      <c r="B99" s="2663" t="s">
        <v>2527</v>
      </c>
      <c r="C99" s="2664"/>
      <c r="D99" s="2664"/>
      <c r="E99" s="2664"/>
      <c r="F99" s="2664"/>
      <c r="G99" s="2664"/>
      <c r="H99" s="2664"/>
      <c r="I99" s="2664"/>
      <c r="J99" s="2664"/>
      <c r="K99" s="2664"/>
      <c r="L99" s="2664"/>
      <c r="M99" s="2664"/>
      <c r="N99" s="2665"/>
    </row>
    <row r="100" spans="2:14" x14ac:dyDescent="0.2">
      <c r="B100" s="412"/>
      <c r="C100" s="412"/>
      <c r="D100" s="412"/>
      <c r="E100" s="412"/>
      <c r="F100" s="412"/>
      <c r="G100" s="412"/>
      <c r="H100" s="412"/>
      <c r="I100" s="412"/>
      <c r="J100" s="412"/>
      <c r="K100" s="412"/>
      <c r="L100" s="412"/>
      <c r="M100" s="97"/>
      <c r="N100" s="97"/>
    </row>
    <row r="101" spans="2:14" x14ac:dyDescent="0.2">
      <c r="B101" s="412"/>
      <c r="C101" s="412"/>
      <c r="D101" s="794" t="s">
        <v>2529</v>
      </c>
      <c r="E101" s="412"/>
      <c r="F101" s="412"/>
      <c r="G101" s="412"/>
      <c r="H101" s="412"/>
      <c r="I101" s="412"/>
      <c r="J101" s="412"/>
      <c r="K101" s="412"/>
      <c r="L101" s="412"/>
      <c r="M101" s="2283" t="s">
        <v>2530</v>
      </c>
      <c r="N101" s="97"/>
    </row>
    <row r="102" spans="2:14" ht="15.75" x14ac:dyDescent="0.2">
      <c r="B102" s="2666"/>
      <c r="C102" s="794"/>
      <c r="D102" s="412"/>
      <c r="E102" s="412"/>
      <c r="F102" s="412"/>
      <c r="G102" s="412"/>
      <c r="H102" s="412"/>
      <c r="I102" s="412"/>
      <c r="J102" s="412"/>
      <c r="K102" s="412"/>
      <c r="L102" s="412"/>
      <c r="M102" s="2283"/>
      <c r="N102" s="97"/>
    </row>
    <row r="103" spans="2:14" ht="15.75" x14ac:dyDescent="0.2">
      <c r="B103" s="2666"/>
      <c r="C103" s="2672" t="s">
        <v>64</v>
      </c>
      <c r="D103" s="2672" t="s">
        <v>264</v>
      </c>
      <c r="E103" s="2673">
        <v>2010</v>
      </c>
      <c r="F103" s="2673">
        <v>2015</v>
      </c>
      <c r="G103" s="2673">
        <v>2020</v>
      </c>
      <c r="H103" s="2673">
        <v>2025</v>
      </c>
      <c r="I103" s="2673">
        <v>2030</v>
      </c>
      <c r="J103" s="2673">
        <v>2035</v>
      </c>
      <c r="K103" s="2673">
        <v>2040</v>
      </c>
      <c r="L103" s="2673">
        <v>2045</v>
      </c>
      <c r="M103" s="2673">
        <v>2050</v>
      </c>
      <c r="N103" s="97"/>
    </row>
    <row r="104" spans="2:14" x14ac:dyDescent="0.2">
      <c r="B104" s="794"/>
      <c r="C104" s="2667" t="s">
        <v>36</v>
      </c>
      <c r="D104" s="2668" t="s">
        <v>669</v>
      </c>
      <c r="E104" s="2674">
        <f ca="1">INDEX(bioenergy.credit.factors[#Data],MATCH($C104,bioenergy.credit.factors[Vector],0),MATCH(TEXT(E$103,"0000"),bioenergy.credit.factors[#Headers],0))*E93</f>
        <v>0</v>
      </c>
      <c r="F104" s="2674">
        <f ca="1">INDEX(bioenergy.credit.factors[#Data],MATCH($C104,bioenergy.credit.factors[Vector],0),MATCH(TEXT(F$103,"0000"),bioenergy.credit.factors[#Headers],0))*F93</f>
        <v>0</v>
      </c>
      <c r="G104" s="2674">
        <f ca="1">INDEX(bioenergy.credit.factors[#Data],MATCH($C104,bioenergy.credit.factors[Vector],0),MATCH(TEXT(G$103,"0000"),bioenergy.credit.factors[#Headers],0))*G93</f>
        <v>0</v>
      </c>
      <c r="H104" s="2674">
        <f ca="1">INDEX(bioenergy.credit.factors[#Data],MATCH($C104,bioenergy.credit.factors[Vector],0),MATCH(TEXT(H$103,"0000"),bioenergy.credit.factors[#Headers],0))*H93</f>
        <v>0</v>
      </c>
      <c r="I104" s="2674">
        <f ca="1">INDEX(bioenergy.credit.factors[#Data],MATCH($C104,bioenergy.credit.factors[Vector],0),MATCH(TEXT(I$103,"0000"),bioenergy.credit.factors[#Headers],0))*I93</f>
        <v>0</v>
      </c>
      <c r="J104" s="2674">
        <f ca="1">INDEX(bioenergy.credit.factors[#Data],MATCH($C104,bioenergy.credit.factors[Vector],0),MATCH(TEXT(J$103,"0000"),bioenergy.credit.factors[#Headers],0))*J93</f>
        <v>0</v>
      </c>
      <c r="K104" s="2674">
        <f ca="1">INDEX(bioenergy.credit.factors[#Data],MATCH($C104,bioenergy.credit.factors[Vector],0),MATCH(TEXT(K$103,"0000"),bioenergy.credit.factors[#Headers],0))*K93</f>
        <v>0</v>
      </c>
      <c r="L104" s="2674">
        <f ca="1">INDEX(bioenergy.credit.factors[#Data],MATCH($C104,bioenergy.credit.factors[Vector],0),MATCH(TEXT(L$103,"0000"),bioenergy.credit.factors[#Headers],0))*L93</f>
        <v>0</v>
      </c>
      <c r="M104" s="2674">
        <f ca="1">INDEX(bioenergy.credit.factors[#Data],MATCH($C104,bioenergy.credit.factors[Vector],0),MATCH(TEXT(M$103,"0000"),bioenergy.credit.factors[#Headers],0))*M93</f>
        <v>0</v>
      </c>
      <c r="N104" s="97"/>
    </row>
    <row r="105" spans="2:14" x14ac:dyDescent="0.2">
      <c r="B105" s="794"/>
      <c r="C105" s="2667" t="s">
        <v>38</v>
      </c>
      <c r="D105" s="2668" t="s">
        <v>122</v>
      </c>
      <c r="E105" s="2674">
        <f ca="1">INDEX(bioenergy.credit.factors[#Data],MATCH($C105,bioenergy.credit.factors[Vector],0),MATCH(TEXT(E$103,"0000"),bioenergy.credit.factors[#Headers],0))*E94</f>
        <v>0.31933368819629077</v>
      </c>
      <c r="F105" s="2674">
        <f ca="1">INDEX(bioenergy.credit.factors[#Data],MATCH($C105,bioenergy.credit.factors[Vector],0),MATCH(TEXT(F$103,"0000"),bioenergy.credit.factors[#Headers],0))*F94</f>
        <v>0.33770355675157676</v>
      </c>
      <c r="G105" s="2674">
        <f ca="1">INDEX(bioenergy.credit.factors[#Data],MATCH($C105,bioenergy.credit.factors[Vector],0),MATCH(TEXT(G$103,"0000"),bioenergy.credit.factors[#Headers],0))*G94</f>
        <v>0.15584690926568051</v>
      </c>
      <c r="H105" s="2674">
        <f ca="1">INDEX(bioenergy.credit.factors[#Data],MATCH($C105,bioenergy.credit.factors[Vector],0),MATCH(TEXT(H$103,"0000"),bioenergy.credit.factors[#Headers],0))*H94</f>
        <v>0</v>
      </c>
      <c r="I105" s="2674">
        <f ca="1">INDEX(bioenergy.credit.factors[#Data],MATCH($C105,bioenergy.credit.factors[Vector],0),MATCH(TEXT(I$103,"0000"),bioenergy.credit.factors[#Headers],0))*I94</f>
        <v>0</v>
      </c>
      <c r="J105" s="2674">
        <f ca="1">INDEX(bioenergy.credit.factors[#Data],MATCH($C105,bioenergy.credit.factors[Vector],0),MATCH(TEXT(J$103,"0000"),bioenergy.credit.factors[#Headers],0))*J94</f>
        <v>0</v>
      </c>
      <c r="K105" s="2674">
        <f ca="1">INDEX(bioenergy.credit.factors[#Data],MATCH($C105,bioenergy.credit.factors[Vector],0),MATCH(TEXT(K$103,"0000"),bioenergy.credit.factors[#Headers],0))*K94</f>
        <v>0</v>
      </c>
      <c r="L105" s="2674">
        <f ca="1">INDEX(bioenergy.credit.factors[#Data],MATCH($C105,bioenergy.credit.factors[Vector],0),MATCH(TEXT(L$103,"0000"),bioenergy.credit.factors[#Headers],0))*L94</f>
        <v>0</v>
      </c>
      <c r="M105" s="2674">
        <f ca="1">INDEX(bioenergy.credit.factors[#Data],MATCH($C105,bioenergy.credit.factors[Vector],0),MATCH(TEXT(M$103,"0000"),bioenergy.credit.factors[#Headers],0))*M94</f>
        <v>0</v>
      </c>
      <c r="N105" s="97"/>
    </row>
    <row r="106" spans="2:14" x14ac:dyDescent="0.2">
      <c r="B106" s="794"/>
      <c r="C106" s="2679" t="s">
        <v>39</v>
      </c>
      <c r="D106" s="2669" t="s">
        <v>10</v>
      </c>
      <c r="E106" s="2678">
        <f ca="1">INDEX(bioenergy.credit.factors[#Data],MATCH($C106,bioenergy.credit.factors[Vector],0),MATCH(TEXT(E$103,"0000"),bioenergy.credit.factors[#Headers],0))*E95</f>
        <v>6.3044299657002343</v>
      </c>
      <c r="F106" s="2678">
        <f ca="1">INDEX(bioenergy.credit.factors[#Data],MATCH($C106,bioenergy.credit.factors[Vector],0),MATCH(TEXT(F$103,"0000"),bioenergy.credit.factors[#Headers],0))*F95</f>
        <v>17.287980146074716</v>
      </c>
      <c r="G106" s="2678">
        <f ca="1">INDEX(bioenergy.credit.factors[#Data],MATCH($C106,bioenergy.credit.factors[Vector],0),MATCH(TEXT(G$103,"0000"),bioenergy.credit.factors[#Headers],0))*G95</f>
        <v>37.746682370492962</v>
      </c>
      <c r="H106" s="2678">
        <f ca="1">INDEX(bioenergy.credit.factors[#Data],MATCH($C106,bioenergy.credit.factors[Vector],0),MATCH(TEXT(H$103,"0000"),bioenergy.credit.factors[#Headers],0))*H95</f>
        <v>57.917472085951132</v>
      </c>
      <c r="I106" s="2678">
        <f ca="1">INDEX(bioenergy.credit.factors[#Data],MATCH($C106,bioenergy.credit.factors[Vector],0),MATCH(TEXT(I$103,"0000"),bioenergy.credit.factors[#Headers],0))*I95</f>
        <v>71.672302660472823</v>
      </c>
      <c r="J106" s="2678">
        <f ca="1">INDEX(bioenergy.credit.factors[#Data],MATCH($C106,bioenergy.credit.factors[Vector],0),MATCH(TEXT(J$103,"0000"),bioenergy.credit.factors[#Headers],0))*J95</f>
        <v>88.743491998078625</v>
      </c>
      <c r="K106" s="2678">
        <f ca="1">INDEX(bioenergy.credit.factors[#Data],MATCH($C106,bioenergy.credit.factors[Vector],0),MATCH(TEXT(K$103,"0000"),bioenergy.credit.factors[#Headers],0))*K95</f>
        <v>104.78122361797587</v>
      </c>
      <c r="L106" s="2678">
        <f ca="1">INDEX(bioenergy.credit.factors[#Data],MATCH($C106,bioenergy.credit.factors[Vector],0),MATCH(TEXT(L$103,"0000"),bioenergy.credit.factors[#Headers],0))*L95</f>
        <v>120.89970581511544</v>
      </c>
      <c r="M106" s="2678">
        <f ca="1">INDEX(bioenergy.credit.factors[#Data],MATCH($C106,bioenergy.credit.factors[Vector],0),MATCH(TEXT(M$103,"0000"),bioenergy.credit.factors[#Headers],0))*M95</f>
        <v>136.40048731211002</v>
      </c>
      <c r="N106" s="97"/>
    </row>
    <row r="107" spans="2:14" x14ac:dyDescent="0.2">
      <c r="B107" s="794"/>
      <c r="C107" s="2667"/>
      <c r="D107" s="2668" t="s">
        <v>105</v>
      </c>
      <c r="E107" s="2674">
        <f ca="1">SUM(E104:E106)</f>
        <v>6.6237636538965248</v>
      </c>
      <c r="F107" s="2674">
        <f t="shared" ref="F107:M107" ca="1" si="18">SUM(F104:F106)</f>
        <v>17.625683702826294</v>
      </c>
      <c r="G107" s="2674">
        <f t="shared" ca="1" si="18"/>
        <v>37.902529279758646</v>
      </c>
      <c r="H107" s="2674">
        <f t="shared" ca="1" si="18"/>
        <v>57.917472085951132</v>
      </c>
      <c r="I107" s="2674">
        <f t="shared" ca="1" si="18"/>
        <v>71.672302660472823</v>
      </c>
      <c r="J107" s="2674">
        <f t="shared" ca="1" si="18"/>
        <v>88.743491998078625</v>
      </c>
      <c r="K107" s="2674">
        <f t="shared" ca="1" si="18"/>
        <v>104.78122361797587</v>
      </c>
      <c r="L107" s="2674">
        <f t="shared" ca="1" si="18"/>
        <v>120.89970581511544</v>
      </c>
      <c r="M107" s="2674">
        <f t="shared" ca="1" si="18"/>
        <v>136.40048731211002</v>
      </c>
      <c r="N107" s="97"/>
    </row>
    <row r="108" spans="2:14" x14ac:dyDescent="0.2">
      <c r="B108" s="794"/>
      <c r="C108" s="2667"/>
      <c r="D108" s="2668"/>
      <c r="E108" s="2674"/>
      <c r="F108" s="2674"/>
      <c r="G108" s="2674"/>
      <c r="H108" s="2674"/>
      <c r="I108" s="2674"/>
      <c r="J108" s="2674"/>
      <c r="K108" s="2674"/>
      <c r="L108" s="2674"/>
      <c r="M108" s="2674"/>
      <c r="N108" s="97"/>
    </row>
    <row r="109" spans="2:14" x14ac:dyDescent="0.2">
      <c r="B109" s="794"/>
      <c r="C109" s="2667"/>
      <c r="D109" s="794" t="s">
        <v>2529</v>
      </c>
      <c r="E109" s="412"/>
      <c r="F109" s="412"/>
      <c r="G109" s="412"/>
      <c r="H109" s="412"/>
      <c r="I109" s="412"/>
      <c r="J109" s="412"/>
      <c r="K109" s="412"/>
      <c r="L109" s="412"/>
      <c r="M109" s="2283" t="s">
        <v>2530</v>
      </c>
      <c r="N109" s="97"/>
    </row>
    <row r="110" spans="2:14" x14ac:dyDescent="0.2">
      <c r="B110" s="794"/>
      <c r="C110" s="2667"/>
      <c r="D110" s="2668"/>
      <c r="E110" s="2674"/>
      <c r="F110" s="2674"/>
      <c r="G110" s="2674"/>
      <c r="H110" s="2674"/>
      <c r="I110" s="2674"/>
      <c r="J110" s="2674"/>
      <c r="K110" s="2674"/>
      <c r="L110" s="2674"/>
      <c r="M110" s="2674"/>
      <c r="N110" s="97"/>
    </row>
    <row r="111" spans="2:14" x14ac:dyDescent="0.2">
      <c r="B111" s="794"/>
      <c r="C111" s="2672" t="s">
        <v>117</v>
      </c>
      <c r="D111" s="2672" t="s">
        <v>673</v>
      </c>
      <c r="E111" s="2673">
        <v>2010</v>
      </c>
      <c r="F111" s="2673">
        <v>2015</v>
      </c>
      <c r="G111" s="2673">
        <v>2020</v>
      </c>
      <c r="H111" s="2673">
        <v>2025</v>
      </c>
      <c r="I111" s="2673">
        <v>2030</v>
      </c>
      <c r="J111" s="2673">
        <v>2035</v>
      </c>
      <c r="K111" s="2673">
        <v>2040</v>
      </c>
      <c r="L111" s="2673">
        <v>2045</v>
      </c>
      <c r="M111" s="2673">
        <v>2050</v>
      </c>
      <c r="N111" s="97"/>
    </row>
    <row r="112" spans="2:14" x14ac:dyDescent="0.2">
      <c r="B112" s="794"/>
      <c r="C112" s="2667" t="s">
        <v>60</v>
      </c>
      <c r="D112" s="2674" t="s">
        <v>2531</v>
      </c>
      <c r="E112" s="2674">
        <f t="shared" ref="E112:M112" ca="1" si="19">SUMIFS(INDIRECT("'"&amp;E$111&amp;"'!Year.EmissionsBySector"), INDIRECT("'"&amp;E$111&amp;"'!Year.Modules"),$C112)</f>
        <v>10.773783422309908</v>
      </c>
      <c r="F112" s="2674">
        <f t="shared" ca="1" si="19"/>
        <v>22.479646124907106</v>
      </c>
      <c r="G112" s="2674">
        <f t="shared" ca="1" si="19"/>
        <v>54.548560119226764</v>
      </c>
      <c r="H112" s="2674">
        <f t="shared" ca="1" si="19"/>
        <v>101.29973062344642</v>
      </c>
      <c r="I112" s="2674">
        <f t="shared" ca="1" si="19"/>
        <v>168.81947270417561</v>
      </c>
      <c r="J112" s="2674">
        <f t="shared" ca="1" si="19"/>
        <v>267.93401612751722</v>
      </c>
      <c r="K112" s="2674">
        <f t="shared" ca="1" si="19"/>
        <v>371.30258296786997</v>
      </c>
      <c r="L112" s="2674">
        <f t="shared" ca="1" si="19"/>
        <v>474.12883394010095</v>
      </c>
      <c r="M112" s="2674">
        <f t="shared" ca="1" si="19"/>
        <v>576.93127599111767</v>
      </c>
      <c r="N112" s="97"/>
    </row>
    <row r="113" spans="2:14" x14ac:dyDescent="0.2">
      <c r="B113" s="794"/>
      <c r="C113" s="2680"/>
      <c r="D113" s="2680" t="s">
        <v>902</v>
      </c>
      <c r="E113" s="2678">
        <f ca="1">-E107</f>
        <v>-6.6237636538965248</v>
      </c>
      <c r="F113" s="2678">
        <f t="shared" ref="F113:M113" ca="1" si="20">-F107</f>
        <v>-17.625683702826294</v>
      </c>
      <c r="G113" s="2678">
        <f t="shared" ca="1" si="20"/>
        <v>-37.902529279758646</v>
      </c>
      <c r="H113" s="2678">
        <f t="shared" ca="1" si="20"/>
        <v>-57.917472085951132</v>
      </c>
      <c r="I113" s="2678">
        <f t="shared" ca="1" si="20"/>
        <v>-71.672302660472823</v>
      </c>
      <c r="J113" s="2678">
        <f t="shared" ca="1" si="20"/>
        <v>-88.743491998078625</v>
      </c>
      <c r="K113" s="2678">
        <f t="shared" ca="1" si="20"/>
        <v>-104.78122361797587</v>
      </c>
      <c r="L113" s="2678">
        <f t="shared" ca="1" si="20"/>
        <v>-120.89970581511544</v>
      </c>
      <c r="M113" s="2678">
        <f t="shared" ca="1" si="20"/>
        <v>-136.40048731211002</v>
      </c>
      <c r="N113" s="97"/>
    </row>
    <row r="114" spans="2:14" x14ac:dyDescent="0.2">
      <c r="B114" s="794"/>
      <c r="C114" s="2667"/>
      <c r="D114" s="2668" t="s">
        <v>105</v>
      </c>
      <c r="E114" s="2674">
        <f ca="1">SUM(E112:E113)</f>
        <v>4.150019768413383</v>
      </c>
      <c r="F114" s="2674">
        <f t="shared" ref="F114:M114" ca="1" si="21">SUM(F112:F113)</f>
        <v>4.8539624220808122</v>
      </c>
      <c r="G114" s="2674">
        <f t="shared" ca="1" si="21"/>
        <v>16.646030839468118</v>
      </c>
      <c r="H114" s="2674">
        <f t="shared" ca="1" si="21"/>
        <v>43.382258537495289</v>
      </c>
      <c r="I114" s="2674">
        <f t="shared" ca="1" si="21"/>
        <v>97.147170043702786</v>
      </c>
      <c r="J114" s="2674">
        <f t="shared" ca="1" si="21"/>
        <v>179.19052412943859</v>
      </c>
      <c r="K114" s="2674">
        <f t="shared" ca="1" si="21"/>
        <v>266.52135934989411</v>
      </c>
      <c r="L114" s="2674">
        <f t="shared" ca="1" si="21"/>
        <v>353.22912812498549</v>
      </c>
      <c r="M114" s="2674">
        <f t="shared" ca="1" si="21"/>
        <v>440.53078867900763</v>
      </c>
      <c r="N114" s="97"/>
    </row>
    <row r="115" spans="2:14" x14ac:dyDescent="0.2">
      <c r="B115" s="2405"/>
      <c r="C115" s="2402"/>
      <c r="D115" s="2403"/>
      <c r="E115" s="2405"/>
      <c r="F115" s="2405"/>
      <c r="G115" s="2405"/>
      <c r="H115" s="2405"/>
      <c r="I115" s="2405"/>
      <c r="J115" s="2405"/>
      <c r="K115" s="2405"/>
      <c r="L115" s="2405"/>
      <c r="M115" s="2405"/>
      <c r="N115" s="429"/>
    </row>
  </sheetData>
  <sheetProtection password="AF04" sheet="1" objects="1" scenarios="1"/>
  <pageMargins left="0.75" right="0.75" top="1" bottom="1" header="0.5" footer="0.5"/>
  <pageSetup paperSize="9" orientation="portrait" horizontalDpi="4294967292" verticalDpi="429496729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B1:Q130"/>
  <sheetViews>
    <sheetView windowProtection="1" topLeftCell="A65" workbookViewId="0">
      <selection activeCell="D65" sqref="D65:M65"/>
    </sheetView>
  </sheetViews>
  <sheetFormatPr defaultColWidth="11.5703125" defaultRowHeight="12.75" x14ac:dyDescent="0.2"/>
  <cols>
    <col min="4" max="4" width="38.42578125" customWidth="1"/>
    <col min="5" max="5" width="19.42578125" customWidth="1"/>
  </cols>
  <sheetData>
    <row r="1" spans="2:17" s="2369" customFormat="1" x14ac:dyDescent="0.2"/>
    <row r="2" spans="2:17" s="2369" customFormat="1" x14ac:dyDescent="0.2">
      <c r="B2" s="2369" t="s">
        <v>2096</v>
      </c>
    </row>
    <row r="3" spans="2:17" s="2369" customFormat="1" x14ac:dyDescent="0.2">
      <c r="B3" s="2369" t="s">
        <v>2106</v>
      </c>
    </row>
    <row r="4" spans="2:17" s="2369" customFormat="1" x14ac:dyDescent="0.2">
      <c r="B4" s="2369" t="s">
        <v>2095</v>
      </c>
    </row>
    <row r="5" spans="2:17" s="2369" customFormat="1" x14ac:dyDescent="0.2">
      <c r="B5" s="2369" t="s">
        <v>2107</v>
      </c>
    </row>
    <row r="6" spans="2:17" s="2369" customFormat="1" x14ac:dyDescent="0.2"/>
    <row r="7" spans="2:17" s="2369" customFormat="1" x14ac:dyDescent="0.2"/>
    <row r="8" spans="2:17" s="2369" customFormat="1" ht="15.75" x14ac:dyDescent="0.2">
      <c r="B8" s="1122" t="s">
        <v>2094</v>
      </c>
      <c r="C8" s="1123"/>
      <c r="D8" s="1123"/>
      <c r="E8" s="1123"/>
      <c r="F8" s="1123"/>
      <c r="G8" s="1124"/>
      <c r="H8" s="1124"/>
      <c r="I8" s="1124"/>
      <c r="J8" s="1124"/>
      <c r="K8" s="1124"/>
      <c r="L8" s="1124"/>
      <c r="M8" s="1124"/>
      <c r="N8" s="1124"/>
      <c r="O8" s="1124"/>
      <c r="P8" s="1124"/>
      <c r="Q8" s="1125"/>
    </row>
    <row r="9" spans="2:17" s="2369" customFormat="1" ht="15.75" x14ac:dyDescent="0.2">
      <c r="B9" s="1131"/>
      <c r="C9" s="1127"/>
      <c r="D9" s="1127"/>
      <c r="E9" s="1127"/>
      <c r="F9" s="1127"/>
      <c r="G9" s="1128"/>
      <c r="H9" s="1128"/>
      <c r="I9" s="1128"/>
      <c r="J9" s="1128"/>
      <c r="K9" s="1128"/>
      <c r="L9" s="1128"/>
      <c r="M9" s="1128"/>
      <c r="N9" s="1128"/>
      <c r="O9" s="1128"/>
      <c r="P9" s="1128"/>
      <c r="Q9" s="1132"/>
    </row>
    <row r="10" spans="2:17" s="2369" customFormat="1" ht="15.75" x14ac:dyDescent="0.2">
      <c r="B10" s="2189"/>
      <c r="C10" s="1126" t="s">
        <v>2568</v>
      </c>
      <c r="D10" s="1126"/>
      <c r="E10" s="1126"/>
      <c r="F10" s="1126"/>
      <c r="G10" s="2190"/>
      <c r="H10" s="2190"/>
      <c r="I10" s="2190"/>
      <c r="J10" s="2190"/>
      <c r="K10" s="2190"/>
      <c r="L10" s="2190"/>
      <c r="M10" s="2190"/>
      <c r="N10" s="2190"/>
      <c r="O10" s="2190"/>
      <c r="P10" s="2190"/>
      <c r="Q10" s="2191"/>
    </row>
    <row r="11" spans="2:17" s="2369" customFormat="1" ht="15.75" x14ac:dyDescent="0.2">
      <c r="B11" s="2189"/>
      <c r="C11" s="1126"/>
      <c r="D11" s="1126"/>
      <c r="E11" s="1126"/>
      <c r="F11" s="1126"/>
      <c r="G11" s="2190"/>
      <c r="H11" s="2190"/>
      <c r="I11" s="2190"/>
      <c r="J11" s="2190"/>
      <c r="K11" s="2190"/>
      <c r="L11" s="2190"/>
      <c r="M11" s="2192" t="str">
        <f>Preferences.EnergyUnits</f>
        <v>TWh</v>
      </c>
      <c r="N11" s="2190"/>
      <c r="O11" s="2190"/>
      <c r="P11" s="2190"/>
      <c r="Q11" s="2191"/>
    </row>
    <row r="12" spans="2:17" s="2369" customFormat="1" x14ac:dyDescent="0.2">
      <c r="B12" s="1129"/>
      <c r="C12" s="1282" t="s">
        <v>69</v>
      </c>
      <c r="D12" s="1284" t="s">
        <v>64</v>
      </c>
      <c r="E12" s="1285">
        <v>2010</v>
      </c>
      <c r="F12" s="1285">
        <v>2015</v>
      </c>
      <c r="G12" s="1285">
        <v>2020</v>
      </c>
      <c r="H12" s="1285">
        <v>2025</v>
      </c>
      <c r="I12" s="1285">
        <v>2030</v>
      </c>
      <c r="J12" s="1285">
        <v>2035</v>
      </c>
      <c r="K12" s="1285">
        <v>2040</v>
      </c>
      <c r="L12" s="1285">
        <v>2045</v>
      </c>
      <c r="M12" s="1286">
        <v>2050</v>
      </c>
      <c r="N12" s="1280"/>
      <c r="O12" s="1280"/>
      <c r="P12" s="1280"/>
      <c r="Q12" s="1130"/>
    </row>
    <row r="13" spans="2:17" s="2369" customFormat="1" x14ac:dyDescent="0.2">
      <c r="B13" s="1129"/>
      <c r="C13" s="1278" t="s">
        <v>6</v>
      </c>
      <c r="D13" s="1280" t="str">
        <f>INDEX(Vectors[Description], MATCH($C13, Vectors[Code], 0))</f>
        <v>Nuclear fission</v>
      </c>
      <c r="E13" s="2375">
        <f t="shared" ref="E13:M24" ca="1" si="0">MAX(-INDEX(INDIRECT("'"&amp;E$12&amp;"'!Year.NetBalance"), MATCH($C13, INDIRECT("'"&amp;E$12&amp;"'!Year.Vectors"), 0)),0)</f>
        <v>0</v>
      </c>
      <c r="F13" s="2375">
        <f t="shared" ca="1" si="0"/>
        <v>0</v>
      </c>
      <c r="G13" s="2375">
        <f t="shared" ca="1" si="0"/>
        <v>0</v>
      </c>
      <c r="H13" s="2375">
        <f t="shared" ca="1" si="0"/>
        <v>21.428000000000004</v>
      </c>
      <c r="I13" s="2375">
        <f t="shared" ca="1" si="0"/>
        <v>40.713200000000001</v>
      </c>
      <c r="J13" s="2375">
        <f t="shared" ca="1" si="0"/>
        <v>79.283600000000021</v>
      </c>
      <c r="K13" s="2375">
        <f t="shared" ca="1" si="0"/>
        <v>152.13880000000003</v>
      </c>
      <c r="L13" s="2375">
        <f t="shared" ca="1" si="0"/>
        <v>293.56360000000006</v>
      </c>
      <c r="M13" s="2375">
        <f t="shared" ca="1" si="0"/>
        <v>567.8420000000001</v>
      </c>
      <c r="N13" s="1280"/>
      <c r="O13" s="1280"/>
      <c r="P13" s="1280"/>
      <c r="Q13" s="1130"/>
    </row>
    <row r="14" spans="2:17" s="2369" customFormat="1" x14ac:dyDescent="0.2">
      <c r="B14" s="1129"/>
      <c r="C14" s="1278" t="s">
        <v>25</v>
      </c>
      <c r="D14" s="1280" t="str">
        <f>INDEX(Vectors[Description], MATCH($C14, Vectors[Code], 0))</f>
        <v>Solar</v>
      </c>
      <c r="E14" s="2375">
        <f t="shared" ca="1" si="0"/>
        <v>2.7612899999999996E-2</v>
      </c>
      <c r="F14" s="2375">
        <f t="shared" ca="1" si="0"/>
        <v>0.92042999999999997</v>
      </c>
      <c r="G14" s="2375">
        <f t="shared" ca="1" si="0"/>
        <v>48.334847400000001</v>
      </c>
      <c r="H14" s="2375">
        <f t="shared" ca="1" si="0"/>
        <v>96.663558599999988</v>
      </c>
      <c r="I14" s="2375">
        <f t="shared" ca="1" si="0"/>
        <v>154.12907159999997</v>
      </c>
      <c r="J14" s="2375">
        <f t="shared" ca="1" si="0"/>
        <v>228.21141419999998</v>
      </c>
      <c r="K14" s="2375">
        <f t="shared" ca="1" si="0"/>
        <v>285.16148640000006</v>
      </c>
      <c r="L14" s="2375">
        <f t="shared" ca="1" si="0"/>
        <v>354.25509839999995</v>
      </c>
      <c r="M14" s="2375">
        <f t="shared" ca="1" si="0"/>
        <v>435.67019999999997</v>
      </c>
      <c r="N14" s="1280"/>
      <c r="O14" s="1280"/>
      <c r="P14" s="1280"/>
      <c r="Q14" s="1130"/>
    </row>
    <row r="15" spans="2:17" s="2369" customFormat="1" x14ac:dyDescent="0.2">
      <c r="B15" s="1129"/>
      <c r="C15" s="1278" t="s">
        <v>7</v>
      </c>
      <c r="D15" s="1280" t="str">
        <f>INDEX(Vectors[Description], MATCH($C15, Vectors[Code], 0))</f>
        <v>Wind</v>
      </c>
      <c r="E15" s="2375">
        <f t="shared" ca="1" si="0"/>
        <v>0</v>
      </c>
      <c r="F15" s="2375">
        <f t="shared" ca="1" si="0"/>
        <v>0</v>
      </c>
      <c r="G15" s="2375">
        <f t="shared" ca="1" si="0"/>
        <v>3.6817200000000003</v>
      </c>
      <c r="H15" s="2375">
        <f t="shared" ca="1" si="0"/>
        <v>7.3634400000000007</v>
      </c>
      <c r="I15" s="2375">
        <f t="shared" ca="1" si="0"/>
        <v>11.045159999999999</v>
      </c>
      <c r="J15" s="2375">
        <f t="shared" ca="1" si="0"/>
        <v>14.726880000000001</v>
      </c>
      <c r="K15" s="2375">
        <f t="shared" ca="1" si="0"/>
        <v>14.726880000000001</v>
      </c>
      <c r="L15" s="2375">
        <f t="shared" ca="1" si="0"/>
        <v>18.4086</v>
      </c>
      <c r="M15" s="2375">
        <f t="shared" ca="1" si="0"/>
        <v>22.090319999999998</v>
      </c>
      <c r="N15" s="1280"/>
      <c r="O15" s="1280"/>
      <c r="P15" s="1280"/>
      <c r="Q15" s="1130"/>
    </row>
    <row r="16" spans="2:17" s="2369" customFormat="1" x14ac:dyDescent="0.2">
      <c r="B16" s="1129"/>
      <c r="C16" s="1278" t="s">
        <v>8</v>
      </c>
      <c r="D16" s="1280" t="str">
        <f>INDEX(Vectors[Description], MATCH($C16, Vectors[Code], 0))</f>
        <v>Hydro</v>
      </c>
      <c r="E16" s="2375">
        <f t="shared" ca="1" si="0"/>
        <v>10.273751999999998</v>
      </c>
      <c r="F16" s="2375">
        <f t="shared" ca="1" si="0"/>
        <v>10.273751999999998</v>
      </c>
      <c r="G16" s="2375">
        <f t="shared" ca="1" si="0"/>
        <v>17.321616000000002</v>
      </c>
      <c r="H16" s="2375">
        <f t="shared" ca="1" si="0"/>
        <v>28.620363857142845</v>
      </c>
      <c r="I16" s="2375">
        <f t="shared" ca="1" si="0"/>
        <v>37.81952948571427</v>
      </c>
      <c r="J16" s="2375">
        <f t="shared" ca="1" si="0"/>
        <v>46.96609911428574</v>
      </c>
      <c r="K16" s="2375">
        <f t="shared" ca="1" si="0"/>
        <v>56.165264742857154</v>
      </c>
      <c r="L16" s="2375">
        <f t="shared" ca="1" si="0"/>
        <v>65.311834371428574</v>
      </c>
      <c r="M16" s="2375">
        <f t="shared" ca="1" si="0"/>
        <v>74.510999999999996</v>
      </c>
      <c r="N16" s="1280"/>
      <c r="O16" s="1280"/>
      <c r="P16" s="1280"/>
      <c r="Q16" s="1130"/>
    </row>
    <row r="17" spans="2:17" s="2369" customFormat="1" x14ac:dyDescent="0.2">
      <c r="B17" s="1129"/>
      <c r="C17" s="1278" t="s">
        <v>47</v>
      </c>
      <c r="D17" s="1280" t="str">
        <f>INDEX(Vectors[Description], MATCH($C17, Vectors[Code], 0))</f>
        <v>Electricity oversupply (imports)</v>
      </c>
      <c r="E17" s="2375">
        <f t="shared" ca="1" si="0"/>
        <v>0</v>
      </c>
      <c r="F17" s="2375">
        <f t="shared" ca="1" si="0"/>
        <v>0</v>
      </c>
      <c r="G17" s="2375">
        <f t="shared" ca="1" si="0"/>
        <v>0</v>
      </c>
      <c r="H17" s="2375">
        <f t="shared" ca="1" si="0"/>
        <v>0</v>
      </c>
      <c r="I17" s="2375">
        <f t="shared" ca="1" si="0"/>
        <v>0</v>
      </c>
      <c r="J17" s="2375">
        <f t="shared" ca="1" si="0"/>
        <v>0</v>
      </c>
      <c r="K17" s="2375">
        <f t="shared" ca="1" si="0"/>
        <v>0</v>
      </c>
      <c r="L17" s="2375">
        <f t="shared" ca="1" si="0"/>
        <v>0</v>
      </c>
      <c r="M17" s="2375">
        <f t="shared" ca="1" si="0"/>
        <v>0</v>
      </c>
      <c r="N17" s="1280"/>
      <c r="O17" s="1280"/>
      <c r="P17" s="1280"/>
      <c r="Q17" s="1130"/>
    </row>
    <row r="18" spans="2:17" s="2369" customFormat="1" x14ac:dyDescent="0.2">
      <c r="B18" s="1129"/>
      <c r="C18" s="1278" t="s">
        <v>42</v>
      </c>
      <c r="D18" s="1280" t="str">
        <f>INDEX(Vectors[Description], MATCH($C18, Vectors[Code], 0))</f>
        <v>Waste</v>
      </c>
      <c r="E18" s="2375">
        <f t="shared" ca="1" si="0"/>
        <v>57.597242020086313</v>
      </c>
      <c r="F18" s="2375">
        <f t="shared" ca="1" si="0"/>
        <v>121.12064677764798</v>
      </c>
      <c r="G18" s="2375">
        <f t="shared" ca="1" si="0"/>
        <v>219.64673392369494</v>
      </c>
      <c r="H18" s="2375">
        <f t="shared" ca="1" si="0"/>
        <v>309.82678506451816</v>
      </c>
      <c r="I18" s="2375">
        <f t="shared" ca="1" si="0"/>
        <v>345.4630455004305</v>
      </c>
      <c r="J18" s="2375">
        <f t="shared" ca="1" si="0"/>
        <v>408.5262134053134</v>
      </c>
      <c r="K18" s="2375">
        <f t="shared" ca="1" si="0"/>
        <v>450.79331965507987</v>
      </c>
      <c r="L18" s="2375">
        <f t="shared" ca="1" si="0"/>
        <v>493.99908350156198</v>
      </c>
      <c r="M18" s="2375">
        <f t="shared" ca="1" si="0"/>
        <v>509.9229932583188</v>
      </c>
      <c r="N18" s="1280"/>
      <c r="O18" s="1280"/>
      <c r="P18" s="1280"/>
      <c r="Q18" s="1130"/>
    </row>
    <row r="19" spans="2:17" s="2369" customFormat="1" x14ac:dyDescent="0.2">
      <c r="B19" s="1129"/>
      <c r="C19" s="1278" t="s">
        <v>451</v>
      </c>
      <c r="D19" s="1280" t="str">
        <f>INDEX(Vectors[Description], MATCH($C19, Vectors[Code], 0))</f>
        <v>Agriculture</v>
      </c>
      <c r="E19" s="2375">
        <f t="shared" ca="1" si="0"/>
        <v>1673.2261104444444</v>
      </c>
      <c r="F19" s="2375">
        <f t="shared" ca="1" si="0"/>
        <v>1803.3177832724116</v>
      </c>
      <c r="G19" s="2375">
        <f t="shared" ca="1" si="0"/>
        <v>1943.5797645124765</v>
      </c>
      <c r="H19" s="2375">
        <f t="shared" ca="1" si="0"/>
        <v>2094.8154411091718</v>
      </c>
      <c r="I19" s="2375">
        <f t="shared" ca="1" si="0"/>
        <v>2257.8928876163941</v>
      </c>
      <c r="J19" s="2375">
        <f t="shared" ca="1" si="0"/>
        <v>2433.7502539567081</v>
      </c>
      <c r="K19" s="2375">
        <f t="shared" ca="1" si="0"/>
        <v>2623.4016276319003</v>
      </c>
      <c r="L19" s="2375">
        <f t="shared" ca="1" si="0"/>
        <v>2827.9434157315513</v>
      </c>
      <c r="M19" s="2375">
        <f t="shared" ca="1" si="0"/>
        <v>3048.5612968882915</v>
      </c>
      <c r="N19" s="1280"/>
      <c r="O19" s="1280"/>
      <c r="P19" s="1280"/>
      <c r="Q19" s="1130"/>
    </row>
    <row r="20" spans="2:17" s="2369" customFormat="1" x14ac:dyDescent="0.2">
      <c r="B20" s="1129"/>
      <c r="C20" s="1278" t="s">
        <v>46</v>
      </c>
      <c r="D20" s="1280" t="str">
        <f>INDEX(Vectors[Description], MATCH($C20, Vectors[Code], 0))</f>
        <v>Biomass oversupply (imports)</v>
      </c>
      <c r="E20" s="2375">
        <f t="shared" ca="1" si="0"/>
        <v>0</v>
      </c>
      <c r="F20" s="2375">
        <f t="shared" ca="1" si="0"/>
        <v>0</v>
      </c>
      <c r="G20" s="2375">
        <f t="shared" ca="1" si="0"/>
        <v>0</v>
      </c>
      <c r="H20" s="2375">
        <f t="shared" ca="1" si="0"/>
        <v>0</v>
      </c>
      <c r="I20" s="2375">
        <f t="shared" ca="1" si="0"/>
        <v>0</v>
      </c>
      <c r="J20" s="2375">
        <f t="shared" ca="1" si="0"/>
        <v>0</v>
      </c>
      <c r="K20" s="2375">
        <f t="shared" ca="1" si="0"/>
        <v>0</v>
      </c>
      <c r="L20" s="2375">
        <f t="shared" ca="1" si="0"/>
        <v>0</v>
      </c>
      <c r="M20" s="2375">
        <f t="shared" ca="1" si="0"/>
        <v>0</v>
      </c>
      <c r="N20" s="1280"/>
      <c r="O20" s="1280"/>
      <c r="P20" s="1280"/>
      <c r="Q20" s="1130"/>
    </row>
    <row r="21" spans="2:17" s="2369" customFormat="1" x14ac:dyDescent="0.2">
      <c r="B21" s="1129"/>
      <c r="C21" s="1278" t="s">
        <v>425</v>
      </c>
      <c r="D21" s="1280" t="str">
        <f>INDEX(Vectors[Description], MATCH($C21, Vectors[Code], 0))</f>
        <v>Coal reserves</v>
      </c>
      <c r="E21" s="2375">
        <f t="shared" ca="1" si="0"/>
        <v>6.17215067274</v>
      </c>
      <c r="F21" s="2375">
        <f t="shared" ca="1" si="0"/>
        <v>6.17215067274</v>
      </c>
      <c r="G21" s="2375">
        <f t="shared" ca="1" si="0"/>
        <v>7.17215067274</v>
      </c>
      <c r="H21" s="2375">
        <f t="shared" ca="1" si="0"/>
        <v>17.5</v>
      </c>
      <c r="I21" s="2375">
        <f t="shared" ca="1" si="0"/>
        <v>34</v>
      </c>
      <c r="J21" s="2375">
        <f t="shared" ca="1" si="0"/>
        <v>50.5</v>
      </c>
      <c r="K21" s="2375">
        <f t="shared" ca="1" si="0"/>
        <v>67</v>
      </c>
      <c r="L21" s="2375">
        <f t="shared" ca="1" si="0"/>
        <v>83.5</v>
      </c>
      <c r="M21" s="2375">
        <f t="shared" ca="1" si="0"/>
        <v>100</v>
      </c>
      <c r="N21" s="1280"/>
      <c r="O21" s="1280"/>
      <c r="P21" s="1280"/>
      <c r="Q21" s="1130"/>
    </row>
    <row r="22" spans="2:17" s="2369" customFormat="1" x14ac:dyDescent="0.2">
      <c r="B22" s="1129"/>
      <c r="C22" s="1278" t="s">
        <v>417</v>
      </c>
      <c r="D22" s="1280" t="str">
        <f>INDEX(Vectors[Description], MATCH($C22, Vectors[Code], 0))</f>
        <v>Coal oversupply (imports)</v>
      </c>
      <c r="E22" s="2375">
        <f t="shared" ca="1" si="0"/>
        <v>0</v>
      </c>
      <c r="F22" s="2375">
        <f t="shared" ca="1" si="0"/>
        <v>0</v>
      </c>
      <c r="G22" s="2375">
        <f t="shared" ca="1" si="0"/>
        <v>12.802967336492252</v>
      </c>
      <c r="H22" s="2375">
        <f t="shared" ca="1" si="0"/>
        <v>99.490481574213163</v>
      </c>
      <c r="I22" s="2375">
        <f t="shared" ca="1" si="0"/>
        <v>242.6342134525816</v>
      </c>
      <c r="J22" s="2375">
        <f t="shared" ca="1" si="0"/>
        <v>456.82081828929068</v>
      </c>
      <c r="K22" s="2375">
        <f t="shared" ca="1" si="0"/>
        <v>684.75114808733497</v>
      </c>
      <c r="L22" s="2375">
        <f t="shared" ca="1" si="0"/>
        <v>910.97441071750291</v>
      </c>
      <c r="M22" s="2375">
        <f t="shared" ca="1" si="0"/>
        <v>1137.326775284753</v>
      </c>
      <c r="N22" s="1280"/>
      <c r="O22" s="1280"/>
      <c r="P22" s="1280"/>
      <c r="Q22" s="1130"/>
    </row>
    <row r="23" spans="2:17" s="2369" customFormat="1" x14ac:dyDescent="0.2">
      <c r="B23" s="1129"/>
      <c r="C23" s="1278" t="s">
        <v>426</v>
      </c>
      <c r="D23" s="1280" t="str">
        <f>INDEX(Vectors[Description], MATCH($C23, Vectors[Code], 0))</f>
        <v>Oil reserves</v>
      </c>
      <c r="E23" s="2375">
        <f t="shared" ca="1" si="0"/>
        <v>1458.9378638800001</v>
      </c>
      <c r="F23" s="2375">
        <f t="shared" ca="1" si="0"/>
        <v>1458.9378638800001</v>
      </c>
      <c r="G23" s="2375">
        <f t="shared" ca="1" si="0"/>
        <v>1448.5168791380001</v>
      </c>
      <c r="H23" s="2375">
        <f t="shared" ca="1" si="0"/>
        <v>1438.0958943960002</v>
      </c>
      <c r="I23" s="2375">
        <f t="shared" ca="1" si="0"/>
        <v>1427.6749096540002</v>
      </c>
      <c r="J23" s="2375">
        <f t="shared" ca="1" si="0"/>
        <v>1417.253924912</v>
      </c>
      <c r="K23" s="2375">
        <f t="shared" ca="1" si="0"/>
        <v>1406.83294017</v>
      </c>
      <c r="L23" s="2375">
        <f t="shared" ca="1" si="0"/>
        <v>1396.4119554280001</v>
      </c>
      <c r="M23" s="2375">
        <f t="shared" ca="1" si="0"/>
        <v>1385.9909706860001</v>
      </c>
      <c r="N23" s="1280"/>
      <c r="O23" s="1280"/>
      <c r="P23" s="1280"/>
      <c r="Q23" s="1130"/>
    </row>
    <row r="24" spans="2:17" s="2369" customFormat="1" x14ac:dyDescent="0.2">
      <c r="B24" s="1129"/>
      <c r="C24" s="1278" t="s">
        <v>418</v>
      </c>
      <c r="D24" s="1280" t="str">
        <f>INDEX(Vectors[Description], MATCH($C24, Vectors[Code], 0))</f>
        <v>Oil and petroleum products oversupply (imports)</v>
      </c>
      <c r="E24" s="2375">
        <f t="shared" ca="1" si="0"/>
        <v>0</v>
      </c>
      <c r="F24" s="2375">
        <f t="shared" ca="1" si="0"/>
        <v>0</v>
      </c>
      <c r="G24" s="2375">
        <f t="shared" ca="1" si="0"/>
        <v>0</v>
      </c>
      <c r="H24" s="2375">
        <f t="shared" ca="1" si="0"/>
        <v>0</v>
      </c>
      <c r="I24" s="2375">
        <f t="shared" ca="1" si="0"/>
        <v>0</v>
      </c>
      <c r="J24" s="2375">
        <f t="shared" ca="1" si="0"/>
        <v>0</v>
      </c>
      <c r="K24" s="2375">
        <f t="shared" ca="1" si="0"/>
        <v>0</v>
      </c>
      <c r="L24" s="2375">
        <f t="shared" ca="1" si="0"/>
        <v>0</v>
      </c>
      <c r="M24" s="2375">
        <f t="shared" ca="1" si="0"/>
        <v>0</v>
      </c>
      <c r="N24" s="1280"/>
      <c r="O24" s="1280"/>
      <c r="P24" s="1280"/>
      <c r="Q24" s="1130"/>
    </row>
    <row r="25" spans="2:17" s="2369" customFormat="1" x14ac:dyDescent="0.2">
      <c r="B25" s="1129"/>
      <c r="C25" s="1278" t="s">
        <v>427</v>
      </c>
      <c r="D25" s="1280" t="str">
        <f>INDEX(Vectors[Description], MATCH($C25, Vectors[Code], 0))</f>
        <v>Gas reserves</v>
      </c>
      <c r="E25" s="2375">
        <f t="shared" ref="E25:M25" ca="1" si="1">MAX(-INDEX(INDIRECT("'"&amp;E$12&amp;"'!Year.NetBalance"), MATCH($C25, INDIRECT("'"&amp;E$12&amp;"'!Year.Vectors"), 0)),0)</f>
        <v>761.432111111111</v>
      </c>
      <c r="F25" s="2375">
        <f t="shared" ca="1" si="1"/>
        <v>844.92033333333336</v>
      </c>
      <c r="G25" s="2375">
        <f t="shared" ca="1" si="1"/>
        <v>860.64599999999996</v>
      </c>
      <c r="H25" s="2375">
        <f t="shared" ca="1" si="1"/>
        <v>876.37166666666667</v>
      </c>
      <c r="I25" s="2375">
        <f t="shared" ca="1" si="1"/>
        <v>892.09733333333338</v>
      </c>
      <c r="J25" s="2375">
        <f t="shared" ca="1" si="1"/>
        <v>907.82299999999998</v>
      </c>
      <c r="K25" s="2375">
        <f t="shared" ca="1" si="1"/>
        <v>923.54866666666669</v>
      </c>
      <c r="L25" s="2375">
        <f t="shared" ca="1" si="1"/>
        <v>939.27433333333329</v>
      </c>
      <c r="M25" s="2375">
        <f t="shared" ca="1" si="1"/>
        <v>955</v>
      </c>
      <c r="N25" s="1280"/>
      <c r="O25" s="1280"/>
      <c r="P25" s="1280"/>
      <c r="Q25" s="1130"/>
    </row>
    <row r="26" spans="2:17" s="2369" customFormat="1" x14ac:dyDescent="0.2">
      <c r="B26" s="1129"/>
      <c r="C26" s="1278" t="s">
        <v>419</v>
      </c>
      <c r="D26" s="1280" t="str">
        <f>INDEX(Vectors[Description], MATCH($C26, Vectors[Code], 0))</f>
        <v>Gas oversupply (imports)</v>
      </c>
      <c r="E26" s="2375">
        <f t="shared" ref="E26:M26" ca="1" si="2">MAX(-INDEX(INDIRECT("'"&amp;E$12&amp;"'!Year.NetBalance"), MATCH($C26, INDIRECT("'"&amp;E$12&amp;"'!Year.Vectors"), 0)),0)</f>
        <v>0</v>
      </c>
      <c r="F26" s="2375">
        <f t="shared" ca="1" si="2"/>
        <v>0</v>
      </c>
      <c r="G26" s="2375">
        <f t="shared" ca="1" si="2"/>
        <v>0</v>
      </c>
      <c r="H26" s="2375">
        <f t="shared" ca="1" si="2"/>
        <v>0</v>
      </c>
      <c r="I26" s="2375">
        <f t="shared" ca="1" si="2"/>
        <v>0</v>
      </c>
      <c r="J26" s="2375">
        <f t="shared" ca="1" si="2"/>
        <v>0</v>
      </c>
      <c r="K26" s="2375">
        <f t="shared" ca="1" si="2"/>
        <v>0</v>
      </c>
      <c r="L26" s="2375">
        <f t="shared" ca="1" si="2"/>
        <v>0</v>
      </c>
      <c r="M26" s="2375">
        <f t="shared" ca="1" si="2"/>
        <v>0</v>
      </c>
      <c r="N26" s="1280"/>
      <c r="O26" s="1280"/>
      <c r="P26" s="1280"/>
      <c r="Q26" s="1130"/>
    </row>
    <row r="27" spans="2:17" s="2369" customFormat="1" x14ac:dyDescent="0.2">
      <c r="B27" s="1129"/>
      <c r="C27" s="1278"/>
      <c r="D27" s="1280" t="s">
        <v>2422</v>
      </c>
      <c r="E27" s="2375">
        <f t="shared" ref="E27:M27" ca="1" si="3">SUM(E13:E26)</f>
        <v>3967.6668430283817</v>
      </c>
      <c r="F27" s="2375">
        <f t="shared" ca="1" si="3"/>
        <v>4245.6629599361331</v>
      </c>
      <c r="G27" s="2375">
        <f t="shared" ca="1" si="3"/>
        <v>4561.7026789834035</v>
      </c>
      <c r="H27" s="2375">
        <f t="shared" ca="1" si="3"/>
        <v>4990.1756312677135</v>
      </c>
      <c r="I27" s="2375">
        <f t="shared" ca="1" si="3"/>
        <v>5443.4693506424537</v>
      </c>
      <c r="J27" s="2375">
        <f t="shared" ca="1" si="3"/>
        <v>6043.8622038775984</v>
      </c>
      <c r="K27" s="2375">
        <f t="shared" ca="1" si="3"/>
        <v>6664.5201333538389</v>
      </c>
      <c r="L27" s="2375">
        <f t="shared" ca="1" si="3"/>
        <v>7383.6423314833773</v>
      </c>
      <c r="M27" s="2375">
        <f t="shared" ca="1" si="3"/>
        <v>8236.9155561173629</v>
      </c>
      <c r="N27" s="1280"/>
      <c r="O27" s="1280"/>
      <c r="P27" s="1280"/>
      <c r="Q27" s="1130"/>
    </row>
    <row r="28" spans="2:17" s="2369" customFormat="1" x14ac:dyDescent="0.2">
      <c r="B28" s="1129"/>
      <c r="C28" s="1278"/>
      <c r="D28" s="1280"/>
      <c r="E28" s="1279"/>
      <c r="F28" s="1277"/>
      <c r="G28" s="1280"/>
      <c r="H28" s="1280"/>
      <c r="I28" s="1280"/>
      <c r="J28" s="1280"/>
      <c r="K28" s="1280"/>
      <c r="L28" s="1280"/>
      <c r="M28" s="1280"/>
      <c r="N28" s="1280"/>
      <c r="O28" s="1280"/>
      <c r="P28" s="1280"/>
      <c r="Q28" s="1130"/>
    </row>
    <row r="29" spans="2:17" s="2369" customFormat="1" x14ac:dyDescent="0.2">
      <c r="B29" s="1129"/>
      <c r="C29" s="2376" t="s">
        <v>2098</v>
      </c>
      <c r="D29" s="1280"/>
      <c r="E29" s="1279"/>
      <c r="F29" s="1277"/>
      <c r="G29" s="1280"/>
      <c r="H29" s="1280"/>
      <c r="I29" s="1280"/>
      <c r="J29" s="1280"/>
      <c r="K29" s="1280"/>
      <c r="L29" s="1280"/>
      <c r="M29" s="1280"/>
      <c r="N29" s="1280"/>
      <c r="O29" s="1280"/>
      <c r="P29" s="1280"/>
      <c r="Q29" s="1130"/>
    </row>
    <row r="30" spans="2:17" s="2369" customFormat="1" x14ac:dyDescent="0.2">
      <c r="B30" s="1129"/>
      <c r="C30" s="2376"/>
      <c r="D30" s="1280"/>
      <c r="E30" s="1279"/>
      <c r="F30" s="1277"/>
      <c r="G30" s="1280"/>
      <c r="H30" s="1280"/>
      <c r="I30" s="1280"/>
      <c r="J30" s="1280"/>
      <c r="K30" s="1280"/>
      <c r="L30" s="1280"/>
      <c r="M30" s="2379" t="s">
        <v>347</v>
      </c>
      <c r="N30" s="1280"/>
      <c r="O30" s="1280"/>
      <c r="P30" s="1280"/>
      <c r="Q30" s="1130"/>
    </row>
    <row r="31" spans="2:17" s="2369" customFormat="1" x14ac:dyDescent="0.2">
      <c r="B31" s="1129"/>
      <c r="C31" s="1278"/>
      <c r="D31" s="1284" t="s">
        <v>64</v>
      </c>
      <c r="E31" s="1285">
        <v>2010</v>
      </c>
      <c r="F31" s="1285">
        <v>2015</v>
      </c>
      <c r="G31" s="1285">
        <v>2020</v>
      </c>
      <c r="H31" s="1285">
        <v>2025</v>
      </c>
      <c r="I31" s="1285">
        <v>2030</v>
      </c>
      <c r="J31" s="1285">
        <v>2035</v>
      </c>
      <c r="K31" s="1285">
        <v>2040</v>
      </c>
      <c r="L31" s="1285">
        <v>2045</v>
      </c>
      <c r="M31" s="1286">
        <v>2050</v>
      </c>
      <c r="N31" s="1280"/>
      <c r="O31" s="1280"/>
      <c r="P31" s="1280"/>
      <c r="Q31" s="1130"/>
    </row>
    <row r="32" spans="2:17" s="2369" customFormat="1" x14ac:dyDescent="0.2">
      <c r="B32" s="1129"/>
      <c r="C32" s="1278"/>
      <c r="D32" s="1280" t="str">
        <f>D13</f>
        <v>Nuclear fission</v>
      </c>
      <c r="E32" s="2377">
        <f t="shared" ref="E32:M32" ca="1" si="4">E13/E$27</f>
        <v>0</v>
      </c>
      <c r="F32" s="2377">
        <f t="shared" ca="1" si="4"/>
        <v>0</v>
      </c>
      <c r="G32" s="2377">
        <f t="shared" ca="1" si="4"/>
        <v>0</v>
      </c>
      <c r="H32" s="2377">
        <f t="shared" ca="1" si="4"/>
        <v>4.2940372410412327E-3</v>
      </c>
      <c r="I32" s="2377">
        <f t="shared" ca="1" si="4"/>
        <v>7.4792742233764781E-3</v>
      </c>
      <c r="J32" s="2377">
        <f t="shared" ca="1" si="4"/>
        <v>1.3118035674131277E-2</v>
      </c>
      <c r="K32" s="2377">
        <f t="shared" ca="1" si="4"/>
        <v>2.2828170214175349E-2</v>
      </c>
      <c r="L32" s="2377">
        <f t="shared" ca="1" si="4"/>
        <v>3.9758643068105247E-2</v>
      </c>
      <c r="M32" s="2377">
        <f t="shared" ca="1" si="4"/>
        <v>6.8938669594381996E-2</v>
      </c>
      <c r="N32" s="1280"/>
      <c r="O32" s="1280"/>
      <c r="P32" s="1280"/>
      <c r="Q32" s="1130"/>
    </row>
    <row r="33" spans="2:17" s="2369" customFormat="1" x14ac:dyDescent="0.2">
      <c r="B33" s="1129"/>
      <c r="C33" s="1278"/>
      <c r="D33" s="1280" t="str">
        <f>D14</f>
        <v>Solar</v>
      </c>
      <c r="E33" s="2377">
        <f t="shared" ref="E33:M33" ca="1" si="5">E14/E$27</f>
        <v>6.9594804938118323E-6</v>
      </c>
      <c r="F33" s="2377">
        <f t="shared" ca="1" si="5"/>
        <v>2.1679299762735897E-4</v>
      </c>
      <c r="G33" s="2377">
        <f t="shared" ca="1" si="5"/>
        <v>1.0595790826676946E-2</v>
      </c>
      <c r="H33" s="2377">
        <f t="shared" ca="1" si="5"/>
        <v>1.9370772843007811E-2</v>
      </c>
      <c r="I33" s="2377">
        <f t="shared" ca="1" si="5"/>
        <v>2.831449240764242E-2</v>
      </c>
      <c r="J33" s="2377">
        <f t="shared" ca="1" si="5"/>
        <v>3.7759202063472753E-2</v>
      </c>
      <c r="K33" s="2377">
        <f t="shared" ca="1" si="5"/>
        <v>4.2787999840056899E-2</v>
      </c>
      <c r="L33" s="2377">
        <f t="shared" ca="1" si="5"/>
        <v>4.7978366569772606E-2</v>
      </c>
      <c r="M33" s="2377">
        <f t="shared" ca="1" si="5"/>
        <v>5.2892396071298559E-2</v>
      </c>
      <c r="N33" s="1280"/>
      <c r="O33" s="1280"/>
      <c r="P33" s="1280"/>
      <c r="Q33" s="1130"/>
    </row>
    <row r="34" spans="2:17" s="2369" customFormat="1" x14ac:dyDescent="0.2">
      <c r="B34" s="1129"/>
      <c r="C34" s="1278"/>
      <c r="D34" s="1280" t="str">
        <f>D15</f>
        <v>Wind</v>
      </c>
      <c r="E34" s="2377">
        <f t="shared" ref="E34:M34" ca="1" si="6">E15/E$27</f>
        <v>0</v>
      </c>
      <c r="F34" s="2377">
        <f t="shared" ca="1" si="6"/>
        <v>0</v>
      </c>
      <c r="G34" s="2377">
        <f t="shared" ca="1" si="6"/>
        <v>8.0709337260456628E-4</v>
      </c>
      <c r="H34" s="2377">
        <f t="shared" ca="1" si="6"/>
        <v>1.4755873428305326E-3</v>
      </c>
      <c r="I34" s="2377">
        <f t="shared" ca="1" si="6"/>
        <v>2.0290662606002215E-3</v>
      </c>
      <c r="J34" s="2377">
        <f t="shared" ca="1" si="6"/>
        <v>2.436667068708414E-3</v>
      </c>
      <c r="K34" s="2377">
        <f t="shared" ca="1" si="6"/>
        <v>2.2097434932031451E-3</v>
      </c>
      <c r="L34" s="2377">
        <f t="shared" ca="1" si="6"/>
        <v>2.4931597677079927E-3</v>
      </c>
      <c r="M34" s="2377">
        <f t="shared" ca="1" si="6"/>
        <v>2.6818679698123213E-3</v>
      </c>
      <c r="N34" s="1280"/>
      <c r="O34" s="1280"/>
      <c r="P34" s="1280"/>
      <c r="Q34" s="1130"/>
    </row>
    <row r="35" spans="2:17" s="2369" customFormat="1" x14ac:dyDescent="0.2">
      <c r="B35" s="1129"/>
      <c r="C35" s="1278"/>
      <c r="D35" s="1280" t="str">
        <f>D16</f>
        <v>Hydro</v>
      </c>
      <c r="E35" s="2377">
        <f t="shared" ref="E35:M35" ca="1" si="7">E16/E$27</f>
        <v>2.5893686154753867E-3</v>
      </c>
      <c r="F35" s="2377">
        <f t="shared" ca="1" si="7"/>
        <v>2.4198227925644254E-3</v>
      </c>
      <c r="G35" s="2377">
        <f t="shared" ca="1" si="7"/>
        <v>3.797182153015769E-3</v>
      </c>
      <c r="H35" s="2377">
        <f t="shared" ca="1" si="7"/>
        <v>5.7353419943402019E-3</v>
      </c>
      <c r="I35" s="2377">
        <f t="shared" ca="1" si="7"/>
        <v>6.9476885143572456E-3</v>
      </c>
      <c r="J35" s="2377">
        <f t="shared" ca="1" si="7"/>
        <v>7.7708752334150512E-3</v>
      </c>
      <c r="K35" s="2377">
        <f t="shared" ca="1" si="7"/>
        <v>8.4275031988826285E-3</v>
      </c>
      <c r="L35" s="2377">
        <f t="shared" ca="1" si="7"/>
        <v>8.8454764517700291E-3</v>
      </c>
      <c r="M35" s="2377">
        <f t="shared" ca="1" si="7"/>
        <v>9.0459832315098136E-3</v>
      </c>
      <c r="N35" s="1280"/>
      <c r="O35" s="1280"/>
      <c r="P35" s="1280"/>
      <c r="Q35" s="1130"/>
    </row>
    <row r="36" spans="2:17" s="2369" customFormat="1" x14ac:dyDescent="0.2">
      <c r="B36" s="1129"/>
      <c r="C36" s="1278"/>
      <c r="D36" s="1280" t="s">
        <v>43</v>
      </c>
      <c r="E36" s="2377">
        <f t="shared" ref="E36:M36" ca="1" si="8">E17/E$27</f>
        <v>0</v>
      </c>
      <c r="F36" s="2377">
        <f t="shared" ca="1" si="8"/>
        <v>0</v>
      </c>
      <c r="G36" s="2377">
        <f t="shared" ca="1" si="8"/>
        <v>0</v>
      </c>
      <c r="H36" s="2377">
        <f t="shared" ca="1" si="8"/>
        <v>0</v>
      </c>
      <c r="I36" s="2377">
        <f t="shared" ca="1" si="8"/>
        <v>0</v>
      </c>
      <c r="J36" s="2377">
        <f t="shared" ca="1" si="8"/>
        <v>0</v>
      </c>
      <c r="K36" s="2377">
        <f t="shared" ca="1" si="8"/>
        <v>0</v>
      </c>
      <c r="L36" s="2377">
        <f t="shared" ca="1" si="8"/>
        <v>0</v>
      </c>
      <c r="M36" s="2377">
        <f t="shared" ca="1" si="8"/>
        <v>0</v>
      </c>
      <c r="N36" s="1280"/>
      <c r="O36" s="1280"/>
      <c r="P36" s="1280"/>
      <c r="Q36" s="1130"/>
    </row>
    <row r="37" spans="2:17" s="2369" customFormat="1" x14ac:dyDescent="0.2">
      <c r="B37" s="1129"/>
      <c r="C37" s="1278"/>
      <c r="D37" s="1280" t="str">
        <f>D18</f>
        <v>Waste</v>
      </c>
      <c r="E37" s="2377">
        <f t="shared" ref="E37:M37" ca="1" si="9">E18/E$27</f>
        <v>1.4516652808511601E-2</v>
      </c>
      <c r="F37" s="2377">
        <f t="shared" ca="1" si="9"/>
        <v>2.852808805611597E-2</v>
      </c>
      <c r="G37" s="2377">
        <f t="shared" ca="1" si="9"/>
        <v>4.81501643970896E-2</v>
      </c>
      <c r="H37" s="2377">
        <f t="shared" ca="1" si="9"/>
        <v>6.2087350818514013E-2</v>
      </c>
      <c r="I37" s="2377">
        <f t="shared" ca="1" si="9"/>
        <v>6.3463762399922019E-2</v>
      </c>
      <c r="J37" s="2377">
        <f t="shared" ca="1" si="9"/>
        <v>6.7593568421069006E-2</v>
      </c>
      <c r="K37" s="2377">
        <f t="shared" ca="1" si="9"/>
        <v>6.7640776925408375E-2</v>
      </c>
      <c r="L37" s="2377">
        <f t="shared" ca="1" si="9"/>
        <v>6.6904525073645776E-2</v>
      </c>
      <c r="M37" s="2377">
        <f t="shared" ca="1" si="9"/>
        <v>6.190703179901013E-2</v>
      </c>
      <c r="N37" s="1280"/>
      <c r="O37" s="1280"/>
      <c r="P37" s="1280"/>
      <c r="Q37" s="1130"/>
    </row>
    <row r="38" spans="2:17" s="2369" customFormat="1" x14ac:dyDescent="0.2">
      <c r="B38" s="1129"/>
      <c r="C38" s="1278"/>
      <c r="D38" s="1280" t="str">
        <f>D19</f>
        <v>Agriculture</v>
      </c>
      <c r="E38" s="2377">
        <f t="shared" ref="E38:M38" ca="1" si="10">E19/E$27</f>
        <v>0.42171537496513423</v>
      </c>
      <c r="F38" s="2377">
        <f t="shared" ca="1" si="10"/>
        <v>0.42474350891469226</v>
      </c>
      <c r="G38" s="2377">
        <f t="shared" ca="1" si="10"/>
        <v>0.42606454240582209</v>
      </c>
      <c r="H38" s="2377">
        <f t="shared" ca="1" si="10"/>
        <v>0.41978791848193947</v>
      </c>
      <c r="I38" s="2377">
        <f t="shared" ca="1" si="10"/>
        <v>0.41478930846738599</v>
      </c>
      <c r="J38" s="2377">
        <f t="shared" ca="1" si="10"/>
        <v>0.4026812941557919</v>
      </c>
      <c r="K38" s="2377">
        <f t="shared" ca="1" si="10"/>
        <v>0.39363698738077113</v>
      </c>
      <c r="L38" s="2377">
        <f t="shared" ca="1" si="10"/>
        <v>0.38300113802552188</v>
      </c>
      <c r="M38" s="2377">
        <f t="shared" ca="1" si="10"/>
        <v>0.37010957270579237</v>
      </c>
      <c r="N38" s="1280"/>
      <c r="O38" s="1280"/>
      <c r="P38" s="1280"/>
      <c r="Q38" s="1130"/>
    </row>
    <row r="39" spans="2:17" s="2369" customFormat="1" x14ac:dyDescent="0.2">
      <c r="B39" s="1129"/>
      <c r="C39" s="1278"/>
      <c r="D39" s="1280" t="s">
        <v>1309</v>
      </c>
      <c r="E39" s="2377">
        <f t="shared" ref="E39:M39" ca="1" si="11">E20/E$27</f>
        <v>0</v>
      </c>
      <c r="F39" s="2377">
        <f t="shared" ca="1" si="11"/>
        <v>0</v>
      </c>
      <c r="G39" s="2377">
        <f t="shared" ca="1" si="11"/>
        <v>0</v>
      </c>
      <c r="H39" s="2377">
        <f t="shared" ca="1" si="11"/>
        <v>0</v>
      </c>
      <c r="I39" s="2377">
        <f t="shared" ca="1" si="11"/>
        <v>0</v>
      </c>
      <c r="J39" s="2377">
        <f t="shared" ca="1" si="11"/>
        <v>0</v>
      </c>
      <c r="K39" s="2377">
        <f t="shared" ca="1" si="11"/>
        <v>0</v>
      </c>
      <c r="L39" s="2377">
        <f t="shared" ca="1" si="11"/>
        <v>0</v>
      </c>
      <c r="M39" s="2377">
        <f t="shared" ca="1" si="11"/>
        <v>0</v>
      </c>
      <c r="N39" s="1280"/>
      <c r="O39" s="1280"/>
      <c r="P39" s="1280"/>
      <c r="Q39" s="1130"/>
    </row>
    <row r="40" spans="2:17" s="2369" customFormat="1" x14ac:dyDescent="0.2">
      <c r="B40" s="1129"/>
      <c r="C40" s="1278"/>
      <c r="D40" s="1280" t="str">
        <f>D21</f>
        <v>Coal reserves</v>
      </c>
      <c r="E40" s="2377">
        <f t="shared" ref="E40:M40" ca="1" si="12">E21/E$27</f>
        <v>1.5556121309895597E-3</v>
      </c>
      <c r="F40" s="2377">
        <f t="shared" ca="1" si="12"/>
        <v>1.4537542737101407E-3</v>
      </c>
      <c r="G40" s="2377">
        <f t="shared" ca="1" si="12"/>
        <v>1.5722529891707775E-3</v>
      </c>
      <c r="H40" s="2377">
        <f t="shared" ca="1" si="12"/>
        <v>3.5068905972662663E-3</v>
      </c>
      <c r="I40" s="2377">
        <f t="shared" ca="1" si="12"/>
        <v>6.2460166136486511E-3</v>
      </c>
      <c r="J40" s="2377">
        <f t="shared" ca="1" si="12"/>
        <v>8.3555842764913464E-3</v>
      </c>
      <c r="K40" s="2377">
        <f t="shared" ca="1" si="12"/>
        <v>1.0053236941199405E-2</v>
      </c>
      <c r="L40" s="2377">
        <f t="shared" ca="1" si="12"/>
        <v>1.1308781797834566E-2</v>
      </c>
      <c r="M40" s="2377">
        <f t="shared" ca="1" si="12"/>
        <v>1.2140466819006339E-2</v>
      </c>
      <c r="N40" s="1280"/>
      <c r="O40" s="1280"/>
      <c r="P40" s="1280"/>
      <c r="Q40" s="1130"/>
    </row>
    <row r="41" spans="2:17" s="2369" customFormat="1" x14ac:dyDescent="0.2">
      <c r="B41" s="1129"/>
      <c r="C41" s="1278"/>
      <c r="D41" s="1280" t="s">
        <v>1303</v>
      </c>
      <c r="E41" s="2377">
        <f t="shared" ref="E41:M41" ca="1" si="13">E22/E$27</f>
        <v>0</v>
      </c>
      <c r="F41" s="2377">
        <f t="shared" ca="1" si="13"/>
        <v>0</v>
      </c>
      <c r="G41" s="2377">
        <f t="shared" ca="1" si="13"/>
        <v>2.8066202989243155E-3</v>
      </c>
      <c r="H41" s="2377">
        <f t="shared" ca="1" si="13"/>
        <v>1.9937270534291479E-2</v>
      </c>
      <c r="I41" s="2377">
        <f t="shared" ca="1" si="13"/>
        <v>4.4573450831305816E-2</v>
      </c>
      <c r="J41" s="2377">
        <f t="shared" ca="1" si="13"/>
        <v>7.5584254385582333E-2</v>
      </c>
      <c r="K41" s="2377">
        <f t="shared" ca="1" si="13"/>
        <v>0.10274575429075075</v>
      </c>
      <c r="L41" s="2377">
        <f t="shared" ca="1" si="13"/>
        <v>0.12337737526006189</v>
      </c>
      <c r="M41" s="2377">
        <f t="shared" ca="1" si="13"/>
        <v>0.13807677977712024</v>
      </c>
      <c r="N41" s="1280"/>
      <c r="O41" s="1280"/>
      <c r="P41" s="1280"/>
      <c r="Q41" s="1130"/>
    </row>
    <row r="42" spans="2:17" s="2369" customFormat="1" x14ac:dyDescent="0.2">
      <c r="B42" s="1129"/>
      <c r="C42" s="1278"/>
      <c r="D42" s="1280" t="str">
        <f>D23</f>
        <v>Oil reserves</v>
      </c>
      <c r="E42" s="2377">
        <f t="shared" ref="E42:M42" ca="1" si="14">E23/E$27</f>
        <v>0.36770674595411434</v>
      </c>
      <c r="F42" s="2377">
        <f t="shared" ca="1" si="14"/>
        <v>0.34363016509957417</v>
      </c>
      <c r="G42" s="2377">
        <f t="shared" ca="1" si="14"/>
        <v>0.31753864314997593</v>
      </c>
      <c r="H42" s="2377">
        <f t="shared" ca="1" si="14"/>
        <v>0.28818542685854598</v>
      </c>
      <c r="I42" s="2377">
        <f t="shared" ca="1" si="14"/>
        <v>0.26227297660553595</v>
      </c>
      <c r="J42" s="2377">
        <f t="shared" ca="1" si="14"/>
        <v>0.23449474476812585</v>
      </c>
      <c r="K42" s="2377">
        <f t="shared" ca="1" si="14"/>
        <v>0.21109290871960026</v>
      </c>
      <c r="L42" s="2377">
        <f t="shared" ca="1" si="14"/>
        <v>0.18912237250087116</v>
      </c>
      <c r="M42" s="2377">
        <f t="shared" ca="1" si="14"/>
        <v>0.16826577391055772</v>
      </c>
      <c r="N42" s="1280"/>
      <c r="O42" s="1280"/>
      <c r="P42" s="1280"/>
      <c r="Q42" s="1130"/>
    </row>
    <row r="43" spans="2:17" s="2369" customFormat="1" x14ac:dyDescent="0.2">
      <c r="B43" s="1129"/>
      <c r="C43" s="1278"/>
      <c r="D43" s="1280" t="s">
        <v>1304</v>
      </c>
      <c r="E43" s="2377">
        <f t="shared" ref="E43:M43" ca="1" si="15">E24/E$27</f>
        <v>0</v>
      </c>
      <c r="F43" s="2377">
        <f t="shared" ca="1" si="15"/>
        <v>0</v>
      </c>
      <c r="G43" s="2377">
        <f t="shared" ca="1" si="15"/>
        <v>0</v>
      </c>
      <c r="H43" s="2377">
        <f t="shared" ca="1" si="15"/>
        <v>0</v>
      </c>
      <c r="I43" s="2377">
        <f t="shared" ca="1" si="15"/>
        <v>0</v>
      </c>
      <c r="J43" s="2377">
        <f t="shared" ca="1" si="15"/>
        <v>0</v>
      </c>
      <c r="K43" s="2377">
        <f t="shared" ca="1" si="15"/>
        <v>0</v>
      </c>
      <c r="L43" s="2377">
        <f t="shared" ca="1" si="15"/>
        <v>0</v>
      </c>
      <c r="M43" s="2377">
        <f t="shared" ca="1" si="15"/>
        <v>0</v>
      </c>
      <c r="N43" s="1280"/>
      <c r="O43" s="1280"/>
      <c r="P43" s="1280"/>
      <c r="Q43" s="1130"/>
    </row>
    <row r="44" spans="2:17" s="2369" customFormat="1" x14ac:dyDescent="0.2">
      <c r="B44" s="1129"/>
      <c r="C44" s="1278"/>
      <c r="D44" s="1280" t="str">
        <f>D25</f>
        <v>Gas reserves</v>
      </c>
      <c r="E44" s="2377">
        <f t="shared" ref="E44:M44" ca="1" si="16">E25/E$27</f>
        <v>0.19190928604528107</v>
      </c>
      <c r="F44" s="2377">
        <f t="shared" ca="1" si="16"/>
        <v>0.1990078678657157</v>
      </c>
      <c r="G44" s="2377">
        <f t="shared" ca="1" si="16"/>
        <v>0.18866771040672009</v>
      </c>
      <c r="H44" s="2377">
        <f t="shared" ca="1" si="16"/>
        <v>0.17561940328822287</v>
      </c>
      <c r="I44" s="2377">
        <f t="shared" ca="1" si="16"/>
        <v>0.16388396367622526</v>
      </c>
      <c r="J44" s="2377">
        <f t="shared" ca="1" si="16"/>
        <v>0.15020577395321197</v>
      </c>
      <c r="K44" s="2377">
        <f t="shared" ca="1" si="16"/>
        <v>0.13857691899595209</v>
      </c>
      <c r="L44" s="2377">
        <f t="shared" ca="1" si="16"/>
        <v>0.12721016148470896</v>
      </c>
      <c r="M44" s="2377">
        <f t="shared" ca="1" si="16"/>
        <v>0.11594145812151055</v>
      </c>
      <c r="N44" s="1280"/>
      <c r="O44" s="1280"/>
      <c r="P44" s="1280"/>
      <c r="Q44" s="1130"/>
    </row>
    <row r="45" spans="2:17" s="2369" customFormat="1" x14ac:dyDescent="0.2">
      <c r="B45" s="1129"/>
      <c r="C45" s="1278"/>
      <c r="D45" s="1280" t="s">
        <v>1305</v>
      </c>
      <c r="E45" s="2377">
        <f t="shared" ref="E45:M45" ca="1" si="17">E26/E$27</f>
        <v>0</v>
      </c>
      <c r="F45" s="2377">
        <f t="shared" ca="1" si="17"/>
        <v>0</v>
      </c>
      <c r="G45" s="2377">
        <f t="shared" ca="1" si="17"/>
        <v>0</v>
      </c>
      <c r="H45" s="2377">
        <f t="shared" ca="1" si="17"/>
        <v>0</v>
      </c>
      <c r="I45" s="2377">
        <f t="shared" ca="1" si="17"/>
        <v>0</v>
      </c>
      <c r="J45" s="2377">
        <f t="shared" ca="1" si="17"/>
        <v>0</v>
      </c>
      <c r="K45" s="2377">
        <f t="shared" ca="1" si="17"/>
        <v>0</v>
      </c>
      <c r="L45" s="2377">
        <f t="shared" ca="1" si="17"/>
        <v>0</v>
      </c>
      <c r="M45" s="2377">
        <f t="shared" ca="1" si="17"/>
        <v>0</v>
      </c>
      <c r="N45" s="1280"/>
      <c r="O45" s="1280"/>
      <c r="P45" s="1280"/>
      <c r="Q45" s="1130"/>
    </row>
    <row r="46" spans="2:17" s="2369" customFormat="1" x14ac:dyDescent="0.2">
      <c r="B46" s="1129"/>
      <c r="C46" s="1278"/>
      <c r="D46" s="1280" t="str">
        <f>D27</f>
        <v>Total produced or used in Nigeria</v>
      </c>
      <c r="E46" s="2377">
        <f t="shared" ref="E46:M46" ca="1" si="18">SUM(E32:E45)</f>
        <v>1</v>
      </c>
      <c r="F46" s="2377">
        <f t="shared" ca="1" si="18"/>
        <v>1</v>
      </c>
      <c r="G46" s="2377">
        <f t="shared" ca="1" si="18"/>
        <v>1</v>
      </c>
      <c r="H46" s="2377">
        <f t="shared" ca="1" si="18"/>
        <v>0.99999999999999989</v>
      </c>
      <c r="I46" s="2377">
        <f t="shared" ca="1" si="18"/>
        <v>1</v>
      </c>
      <c r="J46" s="2377">
        <f t="shared" ca="1" si="18"/>
        <v>0.99999999999999989</v>
      </c>
      <c r="K46" s="2377">
        <f t="shared" ca="1" si="18"/>
        <v>1</v>
      </c>
      <c r="L46" s="2377">
        <f t="shared" ca="1" si="18"/>
        <v>1</v>
      </c>
      <c r="M46" s="2377">
        <f t="shared" ca="1" si="18"/>
        <v>1.0000000000000002</v>
      </c>
      <c r="N46" s="1280"/>
      <c r="O46" s="1280"/>
      <c r="P46" s="1280"/>
      <c r="Q46" s="1130"/>
    </row>
    <row r="47" spans="2:17" s="2369" customFormat="1" x14ac:dyDescent="0.2">
      <c r="B47" s="1129"/>
      <c r="C47" s="1278"/>
      <c r="D47" s="1280" t="s">
        <v>2099</v>
      </c>
      <c r="E47" s="2380" t="str">
        <f t="shared" ref="E47:M47" ca="1" si="19">IF(ROUND(E46,2)=1,"Ok","Error")</f>
        <v>Ok</v>
      </c>
      <c r="F47" s="2380" t="str">
        <f t="shared" ca="1" si="19"/>
        <v>Ok</v>
      </c>
      <c r="G47" s="2380" t="str">
        <f t="shared" ca="1" si="19"/>
        <v>Ok</v>
      </c>
      <c r="H47" s="2380" t="str">
        <f t="shared" ca="1" si="19"/>
        <v>Ok</v>
      </c>
      <c r="I47" s="2380" t="str">
        <f t="shared" ca="1" si="19"/>
        <v>Ok</v>
      </c>
      <c r="J47" s="2380" t="str">
        <f t="shared" ca="1" si="19"/>
        <v>Ok</v>
      </c>
      <c r="K47" s="2380" t="str">
        <f t="shared" ca="1" si="19"/>
        <v>Ok</v>
      </c>
      <c r="L47" s="2380" t="str">
        <f t="shared" ca="1" si="19"/>
        <v>Ok</v>
      </c>
      <c r="M47" s="2380" t="str">
        <f t="shared" ca="1" si="19"/>
        <v>Ok</v>
      </c>
      <c r="N47" s="1280"/>
      <c r="O47" s="1280"/>
      <c r="P47" s="1280"/>
      <c r="Q47" s="1130"/>
    </row>
    <row r="48" spans="2:17" s="2369" customFormat="1" x14ac:dyDescent="0.2">
      <c r="B48" s="1129"/>
      <c r="C48" s="1278"/>
      <c r="D48" s="1280"/>
      <c r="E48" s="1279"/>
      <c r="F48" s="1277"/>
      <c r="G48" s="1280"/>
      <c r="H48" s="1280"/>
      <c r="I48" s="1280"/>
      <c r="J48" s="1280"/>
      <c r="K48" s="1280"/>
      <c r="L48" s="1280"/>
      <c r="M48" s="1280"/>
      <c r="N48" s="1280"/>
      <c r="O48" s="1280"/>
      <c r="P48" s="1280"/>
      <c r="Q48" s="1130"/>
    </row>
    <row r="49" spans="2:17" s="2369" customFormat="1" x14ac:dyDescent="0.2">
      <c r="B49" s="1129"/>
      <c r="C49" s="2376" t="s">
        <v>2100</v>
      </c>
      <c r="D49" s="1280"/>
      <c r="E49" s="1279"/>
      <c r="F49" s="1277"/>
      <c r="G49" s="1280"/>
      <c r="H49" s="1280"/>
      <c r="I49" s="1280"/>
      <c r="J49" s="1280"/>
      <c r="K49" s="1280"/>
      <c r="L49" s="1280"/>
      <c r="M49" s="1280"/>
      <c r="N49" s="1280"/>
      <c r="O49" s="1280"/>
      <c r="P49" s="1280"/>
      <c r="Q49" s="1130"/>
    </row>
    <row r="50" spans="2:17" s="2369" customFormat="1" x14ac:dyDescent="0.2">
      <c r="B50" s="1129"/>
      <c r="C50" s="2376"/>
      <c r="D50" s="1280"/>
      <c r="E50" s="1279"/>
      <c r="F50" s="1277"/>
      <c r="G50" s="1280"/>
      <c r="H50" s="1280"/>
      <c r="I50" s="1280"/>
      <c r="J50" s="1280"/>
      <c r="K50" s="1280"/>
      <c r="L50" s="1280"/>
      <c r="M50" s="2381" t="s">
        <v>2101</v>
      </c>
      <c r="N50" s="1280"/>
      <c r="O50" s="1280"/>
      <c r="P50" s="1280"/>
      <c r="Q50" s="1130"/>
    </row>
    <row r="51" spans="2:17" s="2369" customFormat="1" x14ac:dyDescent="0.2">
      <c r="B51" s="1129"/>
      <c r="C51" s="2376"/>
      <c r="D51" s="1284" t="s">
        <v>64</v>
      </c>
      <c r="E51" s="1285">
        <v>2010</v>
      </c>
      <c r="F51" s="1285">
        <v>2015</v>
      </c>
      <c r="G51" s="1285">
        <v>2020</v>
      </c>
      <c r="H51" s="1285">
        <v>2025</v>
      </c>
      <c r="I51" s="1285">
        <v>2030</v>
      </c>
      <c r="J51" s="1285">
        <v>2035</v>
      </c>
      <c r="K51" s="1285">
        <v>2040</v>
      </c>
      <c r="L51" s="1285">
        <v>2045</v>
      </c>
      <c r="M51" s="1286">
        <v>2050</v>
      </c>
      <c r="N51" s="2378"/>
      <c r="O51" s="1280"/>
      <c r="P51" s="1280"/>
      <c r="Q51" s="1130"/>
    </row>
    <row r="52" spans="2:17" s="2369" customFormat="1" x14ac:dyDescent="0.2">
      <c r="B52" s="1129"/>
      <c r="C52" s="2376"/>
      <c r="D52" s="1280" t="str">
        <f>D34</f>
        <v>Wind</v>
      </c>
      <c r="E52" s="2382">
        <f t="shared" ref="E52:E57" ca="1" si="20">IF(E34&gt;0,-E34*LN(E34),0)</f>
        <v>0</v>
      </c>
      <c r="F52" s="2382">
        <f t="shared" ref="F52:M52" ca="1" si="21">IF(F34&gt;0,-F34*LN(F34),0)</f>
        <v>0</v>
      </c>
      <c r="G52" s="2382">
        <f t="shared" ca="1" si="21"/>
        <v>5.7481764591172995E-3</v>
      </c>
      <c r="H52" s="2382">
        <f t="shared" ca="1" si="21"/>
        <v>9.6189099868555835E-3</v>
      </c>
      <c r="I52" s="2382">
        <f t="shared" ca="1" si="21"/>
        <v>1.258057515870387E-2</v>
      </c>
      <c r="J52" s="2382">
        <f t="shared" ca="1" si="21"/>
        <v>1.466172821320184E-2</v>
      </c>
      <c r="K52" s="2382">
        <f t="shared" ca="1" si="21"/>
        <v>1.3512313720930355E-2</v>
      </c>
      <c r="L52" s="2382">
        <f t="shared" ca="1" si="21"/>
        <v>1.4944509224488598E-2</v>
      </c>
      <c r="M52" s="2382">
        <f t="shared" ca="1" si="21"/>
        <v>1.5879988520018484E-2</v>
      </c>
      <c r="N52" s="1280"/>
      <c r="O52" s="1280"/>
      <c r="P52" s="1280"/>
      <c r="Q52" s="1130"/>
    </row>
    <row r="53" spans="2:17" s="2369" customFormat="1" x14ac:dyDescent="0.2">
      <c r="B53" s="1129"/>
      <c r="C53" s="2376"/>
      <c r="D53" s="1280" t="str">
        <f>D35</f>
        <v>Hydro</v>
      </c>
      <c r="E53" s="2382">
        <f t="shared" ca="1" si="20"/>
        <v>1.5423162994303165E-2</v>
      </c>
      <c r="F53" s="2382">
        <f t="shared" ref="F53:L53" ca="1" si="22">IF(F35&gt;0,-F35*LN(F35),0)</f>
        <v>1.4577160033456946E-2</v>
      </c>
      <c r="G53" s="2382">
        <f t="shared" ca="1" si="22"/>
        <v>2.1163579639853002E-2</v>
      </c>
      <c r="H53" s="2382">
        <f t="shared" ca="1" si="22"/>
        <v>2.9600718860925104E-2</v>
      </c>
      <c r="I53" s="2382">
        <f t="shared" ca="1" si="22"/>
        <v>3.4525469952441976E-2</v>
      </c>
      <c r="J53" s="2382">
        <f t="shared" ca="1" si="22"/>
        <v>3.7746035491039963E-2</v>
      </c>
      <c r="K53" s="2382">
        <f t="shared" ca="1" si="22"/>
        <v>4.0251902026535696E-2</v>
      </c>
      <c r="L53" s="2382">
        <f t="shared" ca="1" si="22"/>
        <v>4.1820077757998536E-2</v>
      </c>
      <c r="M53" s="2382">
        <f ca="1">IF(M35&gt;0,-M35*LN(M35),0)</f>
        <v>4.2565281236777122E-2</v>
      </c>
      <c r="N53" s="1280"/>
      <c r="O53" s="1280"/>
      <c r="P53" s="1280"/>
      <c r="Q53" s="1130"/>
    </row>
    <row r="54" spans="2:17" s="2369" customFormat="1" x14ac:dyDescent="0.2">
      <c r="B54" s="1129"/>
      <c r="C54" s="2376"/>
      <c r="D54" s="1280" t="str">
        <f>D36</f>
        <v>Electricity imports</v>
      </c>
      <c r="E54" s="2382">
        <f t="shared" ca="1" si="20"/>
        <v>0</v>
      </c>
      <c r="F54" s="2382">
        <f t="shared" ref="F54:L54" ca="1" si="23">IF(F36&gt;0,-F36*LN(F36),0)</f>
        <v>0</v>
      </c>
      <c r="G54" s="2382">
        <f t="shared" ca="1" si="23"/>
        <v>0</v>
      </c>
      <c r="H54" s="2382">
        <f t="shared" ca="1" si="23"/>
        <v>0</v>
      </c>
      <c r="I54" s="2382">
        <f t="shared" ca="1" si="23"/>
        <v>0</v>
      </c>
      <c r="J54" s="2382">
        <f t="shared" ca="1" si="23"/>
        <v>0</v>
      </c>
      <c r="K54" s="2382">
        <f t="shared" ca="1" si="23"/>
        <v>0</v>
      </c>
      <c r="L54" s="2382">
        <f t="shared" ca="1" si="23"/>
        <v>0</v>
      </c>
      <c r="M54" s="2382">
        <f ca="1">IF(M36&gt;0,-M36*LN(M36),0)</f>
        <v>0</v>
      </c>
      <c r="N54" s="1280"/>
      <c r="O54" s="1280"/>
      <c r="P54" s="1280"/>
      <c r="Q54" s="1130"/>
    </row>
    <row r="55" spans="2:17" s="2369" customFormat="1" x14ac:dyDescent="0.2">
      <c r="B55" s="1129"/>
      <c r="C55" s="2376"/>
      <c r="D55" s="1280" t="s">
        <v>41</v>
      </c>
      <c r="E55" s="2382">
        <f t="shared" ca="1" si="20"/>
        <v>6.144113520159708E-2</v>
      </c>
      <c r="F55" s="2382">
        <f t="shared" ref="F55:L55" ca="1" si="24">IF(F37&gt;0,-F37*LN(F37),0)</f>
        <v>0.10147059019498514</v>
      </c>
      <c r="G55" s="2382">
        <f t="shared" ca="1" si="24"/>
        <v>0.1460601881669088</v>
      </c>
      <c r="H55" s="2382">
        <f t="shared" ca="1" si="24"/>
        <v>0.17255397261193023</v>
      </c>
      <c r="I55" s="2382">
        <f t="shared" ca="1" si="24"/>
        <v>0.17498775669982225</v>
      </c>
      <c r="J55" s="2382">
        <f t="shared" ca="1" si="24"/>
        <v>0.18211346085706567</v>
      </c>
      <c r="K55" s="2382">
        <f t="shared" ca="1" si="24"/>
        <v>0.18219342702697147</v>
      </c>
      <c r="L55" s="2382">
        <f t="shared" ca="1" si="24"/>
        <v>0.18094253035243951</v>
      </c>
      <c r="M55" s="2382">
        <f ca="1">IF(M37&gt;0,-M37*LN(M37),0)</f>
        <v>0.17223288456576749</v>
      </c>
      <c r="N55" s="1280"/>
      <c r="O55" s="1280"/>
      <c r="P55" s="1280"/>
      <c r="Q55" s="1130"/>
    </row>
    <row r="56" spans="2:17" s="2369" customFormat="1" x14ac:dyDescent="0.2">
      <c r="B56" s="1129"/>
      <c r="C56" s="2376"/>
      <c r="D56" s="1280" t="str">
        <f>D38</f>
        <v>Agriculture</v>
      </c>
      <c r="E56" s="2382">
        <f t="shared" ca="1" si="20"/>
        <v>0.36411945399660706</v>
      </c>
      <c r="F56" s="2382">
        <f t="shared" ref="F56:L56" ca="1" si="25">IF(F38&gt;0,-F38*LN(F38),0)</f>
        <v>0.36369503971776751</v>
      </c>
      <c r="G56" s="2382">
        <f t="shared" ca="1" si="25"/>
        <v>0.36350311510394179</v>
      </c>
      <c r="H56" s="2382">
        <f t="shared" ca="1" si="25"/>
        <v>0.36437828556179497</v>
      </c>
      <c r="I56" s="2382">
        <f t="shared" ca="1" si="25"/>
        <v>0.36500819461616968</v>
      </c>
      <c r="J56" s="2382">
        <f t="shared" ca="1" si="25"/>
        <v>0.36628287691821049</v>
      </c>
      <c r="K56" s="2382">
        <f t="shared" ca="1" si="25"/>
        <v>0.36699805545245173</v>
      </c>
      <c r="L56" s="2382">
        <f t="shared" ca="1" si="25"/>
        <v>0.36757282515294215</v>
      </c>
      <c r="M56" s="2382">
        <f ca="1">IF(M38&gt;0,-M38*LN(M38),0)</f>
        <v>0.36787269512030557</v>
      </c>
      <c r="N56" s="1280"/>
      <c r="O56" s="1280"/>
      <c r="P56" s="1280"/>
      <c r="Q56" s="1130"/>
    </row>
    <row r="57" spans="2:17" s="2369" customFormat="1" x14ac:dyDescent="0.2">
      <c r="B57" s="1129"/>
      <c r="C57" s="2376"/>
      <c r="D57" s="1280" t="str">
        <f>D39</f>
        <v>Biomass imports</v>
      </c>
      <c r="E57" s="2382">
        <f t="shared" ca="1" si="20"/>
        <v>0</v>
      </c>
      <c r="F57" s="2382">
        <f t="shared" ref="F57:L57" ca="1" si="26">IF(F39&gt;0,-F39*LN(F39),0)</f>
        <v>0</v>
      </c>
      <c r="G57" s="2382">
        <f t="shared" ca="1" si="26"/>
        <v>0</v>
      </c>
      <c r="H57" s="2382">
        <f t="shared" ca="1" si="26"/>
        <v>0</v>
      </c>
      <c r="I57" s="2382">
        <f t="shared" ca="1" si="26"/>
        <v>0</v>
      </c>
      <c r="J57" s="2382">
        <f t="shared" ca="1" si="26"/>
        <v>0</v>
      </c>
      <c r="K57" s="2382">
        <f t="shared" ca="1" si="26"/>
        <v>0</v>
      </c>
      <c r="L57" s="2382">
        <f t="shared" ca="1" si="26"/>
        <v>0</v>
      </c>
      <c r="M57" s="2382">
        <f ca="1">IF(M39&gt;0,-M39*LN(M39),0)</f>
        <v>0</v>
      </c>
      <c r="N57" s="1280"/>
      <c r="O57" s="1280"/>
      <c r="P57" s="1280"/>
      <c r="Q57" s="1130"/>
    </row>
    <row r="58" spans="2:17" s="2369" customFormat="1" x14ac:dyDescent="0.2">
      <c r="B58" s="1129"/>
      <c r="C58" s="2376"/>
      <c r="D58" s="1280" t="str">
        <f>D40</f>
        <v>Coal reserves</v>
      </c>
      <c r="E58" s="2382">
        <f t="shared" ref="E58:L64" ca="1" si="27">IF(E40&gt;0,-E40*LN(E40),0)</f>
        <v>1.0058410944115191E-2</v>
      </c>
      <c r="F58" s="2382">
        <f t="shared" ca="1" si="27"/>
        <v>9.4982575207275162E-3</v>
      </c>
      <c r="G58" s="2382">
        <f t="shared" ca="1" si="27"/>
        <v>1.0149279290012818E-2</v>
      </c>
      <c r="H58" s="2382">
        <f t="shared" ca="1" si="27"/>
        <v>1.9824541985535325E-2</v>
      </c>
      <c r="I58" s="2382">
        <f t="shared" ca="1" si="27"/>
        <v>3.1703602083797328E-2</v>
      </c>
      <c r="J58" s="2382">
        <f t="shared" ca="1" si="27"/>
        <v>3.9980010106799975E-2</v>
      </c>
      <c r="K58" s="2382">
        <f t="shared" ca="1" si="27"/>
        <v>4.6243488635294622E-2</v>
      </c>
      <c r="L58" s="2382">
        <f t="shared" ca="1" si="27"/>
        <v>5.0687947025567011E-2</v>
      </c>
      <c r="M58" s="2382">
        <f t="shared" ref="M58" ca="1" si="28">IF(M40&gt;0,-M40*LN(M40),0)</f>
        <v>5.3554161276402217E-2</v>
      </c>
      <c r="N58" s="1280"/>
      <c r="O58" s="1280"/>
      <c r="P58" s="1280"/>
      <c r="Q58" s="1130"/>
    </row>
    <row r="59" spans="2:17" s="2369" customFormat="1" x14ac:dyDescent="0.2">
      <c r="B59" s="1129"/>
      <c r="C59" s="2376"/>
      <c r="D59" s="1280" t="s">
        <v>1303</v>
      </c>
      <c r="E59" s="2382">
        <f t="shared" ca="1" si="27"/>
        <v>0</v>
      </c>
      <c r="F59" s="2382">
        <f t="shared" ca="1" si="27"/>
        <v>0</v>
      </c>
      <c r="G59" s="2382">
        <f t="shared" ca="1" si="27"/>
        <v>1.6491067310309832E-2</v>
      </c>
      <c r="H59" s="2382">
        <f t="shared" ca="1" si="27"/>
        <v>7.8057691983643374E-2</v>
      </c>
      <c r="I59" s="2382">
        <f t="shared" ca="1" si="27"/>
        <v>0.1386509281118482</v>
      </c>
      <c r="J59" s="2382">
        <f t="shared" ca="1" si="27"/>
        <v>0.19519688817252012</v>
      </c>
      <c r="K59" s="2382">
        <f t="shared" ca="1" si="27"/>
        <v>0.23379773242613283</v>
      </c>
      <c r="L59" s="2382">
        <f t="shared" ca="1" si="27"/>
        <v>0.25816808664643059</v>
      </c>
      <c r="M59" s="2382">
        <f t="shared" ref="M59" ca="1" si="29">IF(M41&gt;0,-M41*LN(M41),0)</f>
        <v>0.27338448128645892</v>
      </c>
      <c r="N59" s="1280"/>
      <c r="O59" s="1280"/>
      <c r="P59" s="1280"/>
      <c r="Q59" s="1130"/>
    </row>
    <row r="60" spans="2:17" s="2369" customFormat="1" x14ac:dyDescent="0.2">
      <c r="B60" s="1129"/>
      <c r="C60" s="2376"/>
      <c r="D60" s="1280" t="str">
        <f>D42</f>
        <v>Oil reserves</v>
      </c>
      <c r="E60" s="2382">
        <f t="shared" ca="1" si="27"/>
        <v>0.36787940063057128</v>
      </c>
      <c r="F60" s="2382">
        <f t="shared" ca="1" si="27"/>
        <v>0.36706206599753799</v>
      </c>
      <c r="G60" s="2382">
        <f t="shared" ca="1" si="27"/>
        <v>0.36426628266963429</v>
      </c>
      <c r="H60" s="2382">
        <f t="shared" ca="1" si="27"/>
        <v>0.35854623391813184</v>
      </c>
      <c r="I60" s="2382">
        <f t="shared" ca="1" si="27"/>
        <v>0.3510181321520367</v>
      </c>
      <c r="J60" s="2382">
        <f t="shared" ca="1" si="27"/>
        <v>0.34009291107378997</v>
      </c>
      <c r="K60" s="2382">
        <f t="shared" ca="1" si="27"/>
        <v>0.32834592494175313</v>
      </c>
      <c r="L60" s="2382">
        <f t="shared" ca="1" si="27"/>
        <v>0.3149570233702772</v>
      </c>
      <c r="M60" s="2382">
        <f t="shared" ref="M60" ca="1" si="30">IF(M42&gt;0,-M42*LN(M42),0)</f>
        <v>0.29988503949326162</v>
      </c>
      <c r="N60" s="1280"/>
      <c r="O60" s="1280"/>
      <c r="P60" s="1280"/>
      <c r="Q60" s="1130"/>
    </row>
    <row r="61" spans="2:17" s="2369" customFormat="1" x14ac:dyDescent="0.2">
      <c r="B61" s="1129"/>
      <c r="C61" s="2376"/>
      <c r="D61" s="1280" t="s">
        <v>1304</v>
      </c>
      <c r="E61" s="2382">
        <f t="shared" ca="1" si="27"/>
        <v>0</v>
      </c>
      <c r="F61" s="2382">
        <f t="shared" ca="1" si="27"/>
        <v>0</v>
      </c>
      <c r="G61" s="2382">
        <f t="shared" ca="1" si="27"/>
        <v>0</v>
      </c>
      <c r="H61" s="2382">
        <f t="shared" ca="1" si="27"/>
        <v>0</v>
      </c>
      <c r="I61" s="2382">
        <f t="shared" ca="1" si="27"/>
        <v>0</v>
      </c>
      <c r="J61" s="2382">
        <f t="shared" ca="1" si="27"/>
        <v>0</v>
      </c>
      <c r="K61" s="2382">
        <f t="shared" ca="1" si="27"/>
        <v>0</v>
      </c>
      <c r="L61" s="2382">
        <f t="shared" ca="1" si="27"/>
        <v>0</v>
      </c>
      <c r="M61" s="2382">
        <f t="shared" ref="M61" ca="1" si="31">IF(M43&gt;0,-M43*LN(M43),0)</f>
        <v>0</v>
      </c>
      <c r="N61" s="1280"/>
      <c r="O61" s="1280"/>
      <c r="P61" s="1280"/>
      <c r="Q61" s="1130"/>
    </row>
    <row r="62" spans="2:17" s="2369" customFormat="1" x14ac:dyDescent="0.2">
      <c r="B62" s="1129"/>
      <c r="C62" s="2376"/>
      <c r="D62" s="1280" t="str">
        <f>D44</f>
        <v>Gas reserves</v>
      </c>
      <c r="E62" s="2382">
        <f t="shared" ca="1" si="27"/>
        <v>0.31679089305436181</v>
      </c>
      <c r="F62" s="2382">
        <f t="shared" ca="1" si="27"/>
        <v>0.32128047465540044</v>
      </c>
      <c r="G62" s="2382">
        <f t="shared" ca="1" si="27"/>
        <v>0.31465396198806317</v>
      </c>
      <c r="H62" s="2382">
        <f t="shared" ca="1" si="27"/>
        <v>0.30547873113419188</v>
      </c>
      <c r="I62" s="2382">
        <f t="shared" ca="1" si="27"/>
        <v>0.29639998607782336</v>
      </c>
      <c r="J62" s="2382">
        <f t="shared" ca="1" si="27"/>
        <v>0.28475246058010861</v>
      </c>
      <c r="K62" s="2382">
        <f t="shared" ca="1" si="27"/>
        <v>0.27387368569403675</v>
      </c>
      <c r="L62" s="2382">
        <f t="shared" ca="1" si="27"/>
        <v>0.26229650772758728</v>
      </c>
      <c r="M62" s="2382">
        <f t="shared" ref="M62" ca="1" si="32">IF(M44&gt;0,-M44*LN(M44),0)</f>
        <v>0.24981556842656782</v>
      </c>
      <c r="N62" s="1280"/>
      <c r="O62" s="1280"/>
      <c r="P62" s="1280"/>
      <c r="Q62" s="1130"/>
    </row>
    <row r="63" spans="2:17" s="2369" customFormat="1" x14ac:dyDescent="0.2">
      <c r="B63" s="1129"/>
      <c r="C63" s="2376"/>
      <c r="D63" s="1280" t="s">
        <v>1305</v>
      </c>
      <c r="E63" s="2382">
        <f t="shared" ca="1" si="27"/>
        <v>0</v>
      </c>
      <c r="F63" s="2382">
        <f t="shared" ca="1" si="27"/>
        <v>0</v>
      </c>
      <c r="G63" s="2382">
        <f t="shared" ca="1" si="27"/>
        <v>0</v>
      </c>
      <c r="H63" s="2382">
        <f t="shared" ca="1" si="27"/>
        <v>0</v>
      </c>
      <c r="I63" s="2382">
        <f t="shared" ca="1" si="27"/>
        <v>0</v>
      </c>
      <c r="J63" s="2382">
        <f t="shared" ca="1" si="27"/>
        <v>0</v>
      </c>
      <c r="K63" s="2382">
        <f t="shared" ca="1" si="27"/>
        <v>0</v>
      </c>
      <c r="L63" s="2382">
        <f t="shared" ca="1" si="27"/>
        <v>0</v>
      </c>
      <c r="M63" s="2382">
        <f t="shared" ref="M63" ca="1" si="33">IF(M45&gt;0,-M45*LN(M45),0)</f>
        <v>0</v>
      </c>
      <c r="N63" s="1280"/>
      <c r="O63" s="1280"/>
      <c r="P63" s="1280"/>
      <c r="Q63" s="1130"/>
    </row>
    <row r="64" spans="2:17" s="2369" customFormat="1" x14ac:dyDescent="0.2">
      <c r="B64" s="1129"/>
      <c r="C64" s="2376"/>
      <c r="D64" s="1280" t="str">
        <f>D46</f>
        <v>Total produced or used in Nigeria</v>
      </c>
      <c r="E64" s="2382">
        <f ca="1">IF(E46&gt;0,-E46*LN(E46),0)</f>
        <v>0</v>
      </c>
      <c r="F64" s="2382">
        <f t="shared" ca="1" si="27"/>
        <v>0</v>
      </c>
      <c r="G64" s="2382">
        <f t="shared" ca="1" si="27"/>
        <v>0</v>
      </c>
      <c r="H64" s="2382">
        <f t="shared" ca="1" si="27"/>
        <v>1.1102230246251564E-16</v>
      </c>
      <c r="I64" s="2382">
        <f t="shared" ca="1" si="27"/>
        <v>0</v>
      </c>
      <c r="J64" s="2382">
        <f t="shared" ca="1" si="27"/>
        <v>1.1102230246251564E-16</v>
      </c>
      <c r="K64" s="2382">
        <f t="shared" ca="1" si="27"/>
        <v>0</v>
      </c>
      <c r="L64" s="2382">
        <f t="shared" ca="1" si="27"/>
        <v>0</v>
      </c>
      <c r="M64" s="2382">
        <f t="shared" ref="M64" ca="1" si="34">IF(M46&gt;0,-M46*LN(M46),0)</f>
        <v>-2.2204460492503131E-16</v>
      </c>
      <c r="N64" s="1280"/>
      <c r="O64" s="1280"/>
      <c r="P64" s="1280"/>
      <c r="Q64" s="1130"/>
    </row>
    <row r="65" spans="2:17" s="2369" customFormat="1" x14ac:dyDescent="0.2">
      <c r="B65" s="1129"/>
      <c r="C65" s="1278"/>
      <c r="D65" s="2378" t="s">
        <v>2102</v>
      </c>
      <c r="E65" s="2383">
        <f t="shared" ref="E65:M65" ca="1" si="35">SUM(E52:E64)</f>
        <v>1.1357124568215555</v>
      </c>
      <c r="F65" s="2383">
        <f t="shared" ca="1" si="35"/>
        <v>1.1775835881198757</v>
      </c>
      <c r="G65" s="2383">
        <f t="shared" ca="1" si="35"/>
        <v>1.2420356506278409</v>
      </c>
      <c r="H65" s="2383">
        <f t="shared" ca="1" si="35"/>
        <v>1.3380590860430082</v>
      </c>
      <c r="I65" s="2383">
        <f t="shared" ca="1" si="35"/>
        <v>1.4048746448526432</v>
      </c>
      <c r="J65" s="2383">
        <f t="shared" ca="1" si="35"/>
        <v>1.460826371412737</v>
      </c>
      <c r="K65" s="2383">
        <f t="shared" ca="1" si="35"/>
        <v>1.4852165299241065</v>
      </c>
      <c r="L65" s="2383">
        <f t="shared" ca="1" si="35"/>
        <v>1.4913895072577308</v>
      </c>
      <c r="M65" s="2383">
        <f t="shared" ca="1" si="35"/>
        <v>1.4751900999255592</v>
      </c>
      <c r="N65" s="1280"/>
      <c r="O65" s="2384">
        <f ca="1">LN(COUNT(M52:M64))</f>
        <v>2.5649493574615367</v>
      </c>
      <c r="P65" s="1280"/>
      <c r="Q65" s="1130"/>
    </row>
    <row r="66" spans="2:17" s="2369" customFormat="1" x14ac:dyDescent="0.2">
      <c r="B66" s="1129"/>
      <c r="C66" s="1278"/>
      <c r="D66" s="1278"/>
      <c r="E66" s="1279"/>
      <c r="F66" s="1277"/>
      <c r="G66" s="1280"/>
      <c r="H66" s="1280"/>
      <c r="I66" s="1280"/>
      <c r="J66" s="1280"/>
      <c r="K66" s="1280"/>
      <c r="L66" s="1280"/>
      <c r="M66" s="1280"/>
      <c r="N66" s="1280"/>
      <c r="O66" s="1280"/>
      <c r="P66" s="1280"/>
      <c r="Q66" s="1130"/>
    </row>
    <row r="68" spans="2:17" ht="15.75" x14ac:dyDescent="0.2">
      <c r="B68" s="1122" t="s">
        <v>2103</v>
      </c>
      <c r="C68" s="1123"/>
      <c r="D68" s="1123"/>
      <c r="E68" s="1123"/>
      <c r="F68" s="1123"/>
      <c r="G68" s="1124"/>
      <c r="H68" s="1124"/>
      <c r="I68" s="1124"/>
      <c r="J68" s="1124"/>
      <c r="K68" s="1124"/>
      <c r="L68" s="1124"/>
      <c r="M68" s="1124"/>
      <c r="N68" s="1124"/>
      <c r="O68" s="1124"/>
      <c r="P68" s="1124"/>
      <c r="Q68" s="1125"/>
    </row>
    <row r="69" spans="2:17" ht="15.75" x14ac:dyDescent="0.2">
      <c r="B69" s="1131"/>
      <c r="C69" s="1127"/>
      <c r="D69" s="1127"/>
      <c r="E69" s="1127"/>
      <c r="F69" s="1127"/>
      <c r="G69" s="1128"/>
      <c r="H69" s="1128"/>
      <c r="I69" s="1128"/>
      <c r="J69" s="1128"/>
      <c r="K69" s="1128"/>
      <c r="L69" s="1128"/>
      <c r="M69" s="1128"/>
      <c r="N69" s="1128"/>
      <c r="O69" s="1128"/>
      <c r="P69" s="1128"/>
      <c r="Q69" s="1132"/>
    </row>
    <row r="70" spans="2:17" s="2369" customFormat="1" ht="15.75" x14ac:dyDescent="0.2">
      <c r="B70" s="2189"/>
      <c r="C70" s="1126" t="s">
        <v>2097</v>
      </c>
      <c r="D70" s="1126"/>
      <c r="E70" s="1126"/>
      <c r="F70" s="1126"/>
      <c r="G70" s="2190"/>
      <c r="H70" s="2190"/>
      <c r="I70" s="2190"/>
      <c r="J70" s="2190"/>
      <c r="K70" s="2190"/>
      <c r="L70" s="2190"/>
      <c r="M70" s="2190"/>
      <c r="N70" s="2190"/>
      <c r="O70" s="2190"/>
      <c r="P70" s="2190"/>
      <c r="Q70" s="2191"/>
    </row>
    <row r="71" spans="2:17" s="2369" customFormat="1" ht="15.75" x14ac:dyDescent="0.2">
      <c r="B71" s="2189"/>
      <c r="C71" s="1126"/>
      <c r="D71" s="1126"/>
      <c r="E71" s="1126"/>
      <c r="F71" s="1126"/>
      <c r="G71" s="2190"/>
      <c r="H71" s="2190"/>
      <c r="I71" s="2190"/>
      <c r="J71" s="2190"/>
      <c r="K71" s="2190"/>
      <c r="L71" s="2190"/>
      <c r="M71" s="2192" t="str">
        <f>Preferences.EnergyUnits</f>
        <v>TWh</v>
      </c>
      <c r="N71" s="2190"/>
      <c r="O71" s="2190"/>
      <c r="P71" s="2190"/>
      <c r="Q71" s="2191"/>
    </row>
    <row r="72" spans="2:17" s="2369" customFormat="1" x14ac:dyDescent="0.2">
      <c r="B72" s="1129"/>
      <c r="C72" s="1282" t="s">
        <v>69</v>
      </c>
      <c r="D72" s="1284" t="s">
        <v>64</v>
      </c>
      <c r="E72" s="1285">
        <v>2010</v>
      </c>
      <c r="F72" s="1285">
        <v>2015</v>
      </c>
      <c r="G72" s="1285">
        <v>2020</v>
      </c>
      <c r="H72" s="1285">
        <v>2025</v>
      </c>
      <c r="I72" s="1285">
        <v>2030</v>
      </c>
      <c r="J72" s="1285">
        <v>2035</v>
      </c>
      <c r="K72" s="1285">
        <v>2040</v>
      </c>
      <c r="L72" s="1285">
        <v>2045</v>
      </c>
      <c r="M72" s="1286">
        <v>2050</v>
      </c>
      <c r="N72" s="1280"/>
      <c r="O72" s="1280"/>
      <c r="P72" s="1280"/>
      <c r="Q72" s="1130"/>
    </row>
    <row r="73" spans="2:17" s="2369" customFormat="1" x14ac:dyDescent="0.2">
      <c r="B73" s="1129"/>
      <c r="C73" s="1278" t="s">
        <v>6</v>
      </c>
      <c r="D73" s="1280" t="str">
        <f>INDEX(Vectors[Description], MATCH($C73, Vectors[Code], 0))</f>
        <v>Nuclear fission</v>
      </c>
      <c r="E73" s="2375">
        <f t="shared" ref="E73:M86" ca="1" si="36">-INDEX(INDIRECT("'"&amp;E$12&amp;"'!Year.NetBalance"), MATCH($C73, INDIRECT("'"&amp;E$12&amp;"'!Year.Vectors"), 0))</f>
        <v>0</v>
      </c>
      <c r="F73" s="2375">
        <f t="shared" ca="1" si="36"/>
        <v>0</v>
      </c>
      <c r="G73" s="2375">
        <f t="shared" ca="1" si="36"/>
        <v>0</v>
      </c>
      <c r="H73" s="2375">
        <f t="shared" ca="1" si="36"/>
        <v>21.428000000000004</v>
      </c>
      <c r="I73" s="2375">
        <f t="shared" ca="1" si="36"/>
        <v>40.713200000000001</v>
      </c>
      <c r="J73" s="2375">
        <f t="shared" ca="1" si="36"/>
        <v>79.283600000000021</v>
      </c>
      <c r="K73" s="2375">
        <f t="shared" ca="1" si="36"/>
        <v>152.13880000000003</v>
      </c>
      <c r="L73" s="2375">
        <f t="shared" ca="1" si="36"/>
        <v>293.56360000000006</v>
      </c>
      <c r="M73" s="2375">
        <f t="shared" ca="1" si="36"/>
        <v>567.8420000000001</v>
      </c>
      <c r="N73" s="1280"/>
      <c r="O73" s="1280"/>
      <c r="P73" s="1280"/>
      <c r="Q73" s="1130"/>
    </row>
    <row r="74" spans="2:17" s="2369" customFormat="1" x14ac:dyDescent="0.2">
      <c r="B74" s="1129"/>
      <c r="C74" s="1278" t="s">
        <v>25</v>
      </c>
      <c r="D74" s="1280" t="str">
        <f>INDEX(Vectors[Description], MATCH($C74, Vectors[Code], 0))</f>
        <v>Solar</v>
      </c>
      <c r="E74" s="2375">
        <f t="shared" ca="1" si="36"/>
        <v>2.7612899999999996E-2</v>
      </c>
      <c r="F74" s="2375">
        <f t="shared" ca="1" si="36"/>
        <v>0.92042999999999997</v>
      </c>
      <c r="G74" s="2375">
        <f t="shared" ca="1" si="36"/>
        <v>48.334847400000001</v>
      </c>
      <c r="H74" s="2375">
        <f t="shared" ca="1" si="36"/>
        <v>96.663558599999988</v>
      </c>
      <c r="I74" s="2375">
        <f t="shared" ca="1" si="36"/>
        <v>154.12907159999997</v>
      </c>
      <c r="J74" s="2375">
        <f t="shared" ca="1" si="36"/>
        <v>228.21141419999998</v>
      </c>
      <c r="K74" s="2375">
        <f t="shared" ca="1" si="36"/>
        <v>285.16148640000006</v>
      </c>
      <c r="L74" s="2375">
        <f t="shared" ca="1" si="36"/>
        <v>354.25509839999995</v>
      </c>
      <c r="M74" s="2375">
        <f t="shared" ca="1" si="36"/>
        <v>435.67019999999997</v>
      </c>
      <c r="N74" s="1280"/>
      <c r="O74" s="1280"/>
      <c r="P74" s="1280"/>
      <c r="Q74" s="1130"/>
    </row>
    <row r="75" spans="2:17" s="2369" customFormat="1" x14ac:dyDescent="0.2">
      <c r="B75" s="1129"/>
      <c r="C75" s="1278" t="s">
        <v>7</v>
      </c>
      <c r="D75" s="1280" t="str">
        <f>INDEX(Vectors[Description], MATCH($C75, Vectors[Code], 0))</f>
        <v>Wind</v>
      </c>
      <c r="E75" s="2375">
        <f t="shared" ca="1" si="36"/>
        <v>0</v>
      </c>
      <c r="F75" s="2375">
        <f t="shared" ca="1" si="36"/>
        <v>0</v>
      </c>
      <c r="G75" s="2375">
        <f t="shared" ca="1" si="36"/>
        <v>3.6817200000000003</v>
      </c>
      <c r="H75" s="2375">
        <f t="shared" ca="1" si="36"/>
        <v>7.3634400000000007</v>
      </c>
      <c r="I75" s="2375">
        <f t="shared" ca="1" si="36"/>
        <v>11.045159999999999</v>
      </c>
      <c r="J75" s="2375">
        <f t="shared" ca="1" si="36"/>
        <v>14.726880000000001</v>
      </c>
      <c r="K75" s="2375">
        <f t="shared" ca="1" si="36"/>
        <v>14.726880000000001</v>
      </c>
      <c r="L75" s="2375">
        <f t="shared" ca="1" si="36"/>
        <v>18.4086</v>
      </c>
      <c r="M75" s="2375">
        <f t="shared" ca="1" si="36"/>
        <v>22.090319999999998</v>
      </c>
      <c r="N75" s="1280"/>
      <c r="O75" s="1280"/>
      <c r="P75" s="1280"/>
      <c r="Q75" s="1130"/>
    </row>
    <row r="76" spans="2:17" s="2369" customFormat="1" x14ac:dyDescent="0.2">
      <c r="B76" s="1129"/>
      <c r="C76" s="1278" t="s">
        <v>8</v>
      </c>
      <c r="D76" s="1280" t="str">
        <f>INDEX(Vectors[Description], MATCH($C76, Vectors[Code], 0))</f>
        <v>Hydro</v>
      </c>
      <c r="E76" s="2375">
        <f t="shared" ca="1" si="36"/>
        <v>10.273751999999998</v>
      </c>
      <c r="F76" s="2375">
        <f t="shared" ca="1" si="36"/>
        <v>10.273751999999998</v>
      </c>
      <c r="G76" s="2375">
        <f t="shared" ca="1" si="36"/>
        <v>17.321616000000002</v>
      </c>
      <c r="H76" s="2375">
        <f t="shared" ca="1" si="36"/>
        <v>28.620363857142845</v>
      </c>
      <c r="I76" s="2375">
        <f t="shared" ca="1" si="36"/>
        <v>37.81952948571427</v>
      </c>
      <c r="J76" s="2375">
        <f t="shared" ca="1" si="36"/>
        <v>46.96609911428574</v>
      </c>
      <c r="K76" s="2375">
        <f t="shared" ca="1" si="36"/>
        <v>56.165264742857154</v>
      </c>
      <c r="L76" s="2375">
        <f t="shared" ca="1" si="36"/>
        <v>65.311834371428574</v>
      </c>
      <c r="M76" s="2375">
        <f t="shared" ca="1" si="36"/>
        <v>74.510999999999996</v>
      </c>
      <c r="N76" s="1280"/>
      <c r="O76" s="1280"/>
      <c r="P76" s="1280"/>
      <c r="Q76" s="1130"/>
    </row>
    <row r="77" spans="2:17" s="2369" customFormat="1" x14ac:dyDescent="0.2">
      <c r="B77" s="1129"/>
      <c r="C77" s="1278" t="s">
        <v>47</v>
      </c>
      <c r="D77" s="1280" t="str">
        <f>INDEX(Vectors[Description], MATCH($C77, Vectors[Code], 0))</f>
        <v>Electricity oversupply (imports)</v>
      </c>
      <c r="E77" s="2375">
        <f t="shared" ca="1" si="36"/>
        <v>-0.52500000000000002</v>
      </c>
      <c r="F77" s="2375">
        <f t="shared" ca="1" si="36"/>
        <v>-0.52500000000000002</v>
      </c>
      <c r="G77" s="2375">
        <f t="shared" ca="1" si="36"/>
        <v>-0.5249999999999716</v>
      </c>
      <c r="H77" s="2375">
        <f t="shared" ca="1" si="36"/>
        <v>-6.2148748956779176</v>
      </c>
      <c r="I77" s="2375">
        <f t="shared" ca="1" si="36"/>
        <v>-69.115744359233204</v>
      </c>
      <c r="J77" s="2375">
        <f t="shared" ca="1" si="36"/>
        <v>-176.70673241292081</v>
      </c>
      <c r="K77" s="2375">
        <f t="shared" ca="1" si="36"/>
        <v>-277.22698617556915</v>
      </c>
      <c r="L77" s="2375">
        <f t="shared" ca="1" si="36"/>
        <v>-425.78482277144678</v>
      </c>
      <c r="M77" s="2375">
        <f t="shared" ca="1" si="36"/>
        <v>-601.38216058700823</v>
      </c>
      <c r="N77" s="1280"/>
      <c r="O77" s="1280"/>
      <c r="P77" s="1280"/>
      <c r="Q77" s="1130"/>
    </row>
    <row r="78" spans="2:17" s="2369" customFormat="1" x14ac:dyDescent="0.2">
      <c r="B78" s="1129"/>
      <c r="C78" s="1278" t="s">
        <v>42</v>
      </c>
      <c r="D78" s="1280" t="str">
        <f>INDEX(Vectors[Description], MATCH($C78, Vectors[Code], 0))</f>
        <v>Waste</v>
      </c>
      <c r="E78" s="2375">
        <f t="shared" ca="1" si="36"/>
        <v>57.597242020086313</v>
      </c>
      <c r="F78" s="2375">
        <f t="shared" ca="1" si="36"/>
        <v>121.12064677764798</v>
      </c>
      <c r="G78" s="2375">
        <f t="shared" ca="1" si="36"/>
        <v>219.64673392369494</v>
      </c>
      <c r="H78" s="2375">
        <f t="shared" ca="1" si="36"/>
        <v>309.82678506451816</v>
      </c>
      <c r="I78" s="2375">
        <f t="shared" ca="1" si="36"/>
        <v>345.4630455004305</v>
      </c>
      <c r="J78" s="2375">
        <f t="shared" ca="1" si="36"/>
        <v>408.5262134053134</v>
      </c>
      <c r="K78" s="2375">
        <f t="shared" ca="1" si="36"/>
        <v>450.79331965507987</v>
      </c>
      <c r="L78" s="2375">
        <f t="shared" ca="1" si="36"/>
        <v>493.99908350156198</v>
      </c>
      <c r="M78" s="2375">
        <f t="shared" ca="1" si="36"/>
        <v>509.9229932583188</v>
      </c>
      <c r="N78" s="1280"/>
      <c r="O78" s="1280"/>
      <c r="P78" s="1280"/>
      <c r="Q78" s="1130"/>
    </row>
    <row r="79" spans="2:17" s="2369" customFormat="1" x14ac:dyDescent="0.2">
      <c r="B79" s="1129"/>
      <c r="C79" s="1278" t="s">
        <v>451</v>
      </c>
      <c r="D79" s="1280" t="str">
        <f>INDEX(Vectors[Description], MATCH($C79, Vectors[Code], 0))</f>
        <v>Agriculture</v>
      </c>
      <c r="E79" s="2375">
        <f t="shared" ca="1" si="36"/>
        <v>1673.2261104444444</v>
      </c>
      <c r="F79" s="2375">
        <f t="shared" ca="1" si="36"/>
        <v>1803.3177832724116</v>
      </c>
      <c r="G79" s="2375">
        <f t="shared" ca="1" si="36"/>
        <v>1943.5797645124765</v>
      </c>
      <c r="H79" s="2375">
        <f t="shared" ca="1" si="36"/>
        <v>2094.8154411091718</v>
      </c>
      <c r="I79" s="2375">
        <f t="shared" ca="1" si="36"/>
        <v>2257.8928876163941</v>
      </c>
      <c r="J79" s="2375">
        <f t="shared" ca="1" si="36"/>
        <v>2433.7502539567081</v>
      </c>
      <c r="K79" s="2375">
        <f t="shared" ca="1" si="36"/>
        <v>2623.4016276319003</v>
      </c>
      <c r="L79" s="2375">
        <f t="shared" ca="1" si="36"/>
        <v>2827.9434157315513</v>
      </c>
      <c r="M79" s="2375">
        <f t="shared" ca="1" si="36"/>
        <v>3048.5612968882915</v>
      </c>
      <c r="N79" s="1280"/>
      <c r="O79" s="1280"/>
      <c r="P79" s="1280"/>
      <c r="Q79" s="1130"/>
    </row>
    <row r="80" spans="2:17" s="2369" customFormat="1" x14ac:dyDescent="0.2">
      <c r="B80" s="1129"/>
      <c r="C80" s="1278" t="s">
        <v>46</v>
      </c>
      <c r="D80" s="1280" t="str">
        <f>INDEX(Vectors[Description], MATCH($C80, Vectors[Code], 0))</f>
        <v>Biomass oversupply (imports)</v>
      </c>
      <c r="E80" s="2375">
        <f t="shared" ca="1" si="36"/>
        <v>-875.52051462475561</v>
      </c>
      <c r="F80" s="2375">
        <f t="shared" ca="1" si="36"/>
        <v>-1005.4684468053392</v>
      </c>
      <c r="G80" s="2375">
        <f t="shared" ca="1" si="36"/>
        <v>-1146.8696111280037</v>
      </c>
      <c r="H80" s="2375">
        <f t="shared" ca="1" si="36"/>
        <v>-1306.159365743837</v>
      </c>
      <c r="I80" s="2375">
        <f t="shared" ca="1" si="36"/>
        <v>-1447.82190569574</v>
      </c>
      <c r="J80" s="2375">
        <f t="shared" ca="1" si="36"/>
        <v>-1611.9071038293187</v>
      </c>
      <c r="K80" s="2375">
        <f t="shared" ca="1" si="36"/>
        <v>-1778.8059555233544</v>
      </c>
      <c r="L80" s="2375">
        <f t="shared" ca="1" si="36"/>
        <v>-1953.1582510273715</v>
      </c>
      <c r="M80" s="2375">
        <f t="shared" ca="1" si="36"/>
        <v>-2117.6175972906126</v>
      </c>
      <c r="N80" s="1280"/>
      <c r="O80" s="1280"/>
      <c r="P80" s="1280"/>
      <c r="Q80" s="1130"/>
    </row>
    <row r="81" spans="2:17" s="2369" customFormat="1" x14ac:dyDescent="0.2">
      <c r="B81" s="1129"/>
      <c r="C81" s="1278" t="s">
        <v>425</v>
      </c>
      <c r="D81" s="1280" t="str">
        <f>INDEX(Vectors[Description], MATCH($C81, Vectors[Code], 0))</f>
        <v>Coal reserves</v>
      </c>
      <c r="E81" s="2375">
        <f t="shared" ca="1" si="36"/>
        <v>6.17215067274</v>
      </c>
      <c r="F81" s="2375">
        <f t="shared" ca="1" si="36"/>
        <v>6.17215067274</v>
      </c>
      <c r="G81" s="2375">
        <f t="shared" ca="1" si="36"/>
        <v>7.17215067274</v>
      </c>
      <c r="H81" s="2375">
        <f t="shared" ca="1" si="36"/>
        <v>17.5</v>
      </c>
      <c r="I81" s="2375">
        <f t="shared" ca="1" si="36"/>
        <v>34</v>
      </c>
      <c r="J81" s="2375">
        <f t="shared" ca="1" si="36"/>
        <v>50.5</v>
      </c>
      <c r="K81" s="2375">
        <f t="shared" ca="1" si="36"/>
        <v>67</v>
      </c>
      <c r="L81" s="2375">
        <f t="shared" ca="1" si="36"/>
        <v>83.5</v>
      </c>
      <c r="M81" s="2375">
        <f t="shared" ca="1" si="36"/>
        <v>100</v>
      </c>
      <c r="N81" s="1280"/>
      <c r="O81" s="1280"/>
      <c r="P81" s="1280"/>
      <c r="Q81" s="1130"/>
    </row>
    <row r="82" spans="2:17" s="2369" customFormat="1" x14ac:dyDescent="0.2">
      <c r="B82" s="1129"/>
      <c r="C82" s="1278" t="s">
        <v>417</v>
      </c>
      <c r="D82" s="1280" t="str">
        <f>INDEX(Vectors[Description], MATCH($C82, Vectors[Code], 0))</f>
        <v>Coal oversupply (imports)</v>
      </c>
      <c r="E82" s="2375">
        <f t="shared" ca="1" si="36"/>
        <v>-8.5753578045170311</v>
      </c>
      <c r="F82" s="2375">
        <f t="shared" ca="1" si="36"/>
        <v>-9.2489934300115078</v>
      </c>
      <c r="G82" s="2375">
        <f t="shared" ca="1" si="36"/>
        <v>12.802967336492252</v>
      </c>
      <c r="H82" s="2375">
        <f t="shared" ca="1" si="36"/>
        <v>99.490481574213163</v>
      </c>
      <c r="I82" s="2375">
        <f t="shared" ca="1" si="36"/>
        <v>242.6342134525816</v>
      </c>
      <c r="J82" s="2375">
        <f t="shared" ca="1" si="36"/>
        <v>456.82081828929068</v>
      </c>
      <c r="K82" s="2375">
        <f t="shared" ca="1" si="36"/>
        <v>684.75114808733497</v>
      </c>
      <c r="L82" s="2375">
        <f t="shared" ca="1" si="36"/>
        <v>910.97441071750291</v>
      </c>
      <c r="M82" s="2375">
        <f t="shared" ca="1" si="36"/>
        <v>1137.326775284753</v>
      </c>
      <c r="N82" s="1280"/>
      <c r="O82" s="1280"/>
      <c r="P82" s="1280"/>
      <c r="Q82" s="1130"/>
    </row>
    <row r="83" spans="2:17" s="2369" customFormat="1" x14ac:dyDescent="0.2">
      <c r="B83" s="1129"/>
      <c r="C83" s="1278" t="s">
        <v>426</v>
      </c>
      <c r="D83" s="1280" t="str">
        <f>INDEX(Vectors[Description], MATCH($C83, Vectors[Code], 0))</f>
        <v>Oil reserves</v>
      </c>
      <c r="E83" s="2375">
        <f t="shared" ca="1" si="36"/>
        <v>1458.9378638800001</v>
      </c>
      <c r="F83" s="2375">
        <f t="shared" ca="1" si="36"/>
        <v>1458.9378638800001</v>
      </c>
      <c r="G83" s="2375">
        <f t="shared" ca="1" si="36"/>
        <v>1448.5168791380001</v>
      </c>
      <c r="H83" s="2375">
        <f t="shared" ca="1" si="36"/>
        <v>1438.0958943960002</v>
      </c>
      <c r="I83" s="2375">
        <f t="shared" ca="1" si="36"/>
        <v>1427.6749096540002</v>
      </c>
      <c r="J83" s="2375">
        <f t="shared" ca="1" si="36"/>
        <v>1417.253924912</v>
      </c>
      <c r="K83" s="2375">
        <f t="shared" ca="1" si="36"/>
        <v>1406.83294017</v>
      </c>
      <c r="L83" s="2375">
        <f t="shared" ca="1" si="36"/>
        <v>1396.4119554280001</v>
      </c>
      <c r="M83" s="2375">
        <f t="shared" ca="1" si="36"/>
        <v>1385.9909706860001</v>
      </c>
      <c r="N83" s="1280"/>
      <c r="O83" s="1280"/>
      <c r="P83" s="1280"/>
      <c r="Q83" s="1130"/>
    </row>
    <row r="84" spans="2:17" s="2369" customFormat="1" x14ac:dyDescent="0.2">
      <c r="B84" s="1129"/>
      <c r="C84" s="1278" t="s">
        <v>418</v>
      </c>
      <c r="D84" s="1280" t="str">
        <f>INDEX(Vectors[Description], MATCH($C84, Vectors[Code], 0))</f>
        <v>Oil and petroleum products oversupply (imports)</v>
      </c>
      <c r="E84" s="2375">
        <f t="shared" ca="1" si="36"/>
        <v>-1157.6931375681877</v>
      </c>
      <c r="F84" s="2375">
        <f t="shared" ca="1" si="36"/>
        <v>-1149.7344121527788</v>
      </c>
      <c r="G84" s="2375">
        <f t="shared" ca="1" si="36"/>
        <v>-1227.1576089524019</v>
      </c>
      <c r="H84" s="2375">
        <f t="shared" ca="1" si="36"/>
        <v>-1249.7383851892039</v>
      </c>
      <c r="I84" s="2375">
        <f t="shared" ca="1" si="36"/>
        <v>-1236.8760812278265</v>
      </c>
      <c r="J84" s="2375">
        <f t="shared" ca="1" si="36"/>
        <v>-1218.9427494342538</v>
      </c>
      <c r="K84" s="2375">
        <f t="shared" ca="1" si="36"/>
        <v>-1209.0359722031728</v>
      </c>
      <c r="L84" s="2375">
        <f t="shared" ca="1" si="36"/>
        <v>-1200.1404622232553</v>
      </c>
      <c r="M84" s="2375">
        <f t="shared" ca="1" si="36"/>
        <v>-1194.23446134643</v>
      </c>
      <c r="N84" s="1280"/>
      <c r="O84" s="1280"/>
      <c r="P84" s="1280"/>
      <c r="Q84" s="1130"/>
    </row>
    <row r="85" spans="2:17" s="2369" customFormat="1" x14ac:dyDescent="0.2">
      <c r="B85" s="1129"/>
      <c r="C85" s="1278" t="s">
        <v>427</v>
      </c>
      <c r="D85" s="1280" t="str">
        <f>INDEX(Vectors[Description], MATCH($C85, Vectors[Code], 0))</f>
        <v>Gas reserves</v>
      </c>
      <c r="E85" s="2375">
        <f t="shared" ca="1" si="36"/>
        <v>761.432111111111</v>
      </c>
      <c r="F85" s="2375">
        <f t="shared" ca="1" si="36"/>
        <v>844.92033333333336</v>
      </c>
      <c r="G85" s="2375">
        <f t="shared" ca="1" si="36"/>
        <v>860.64599999999996</v>
      </c>
      <c r="H85" s="2375">
        <f t="shared" ca="1" si="36"/>
        <v>876.37166666666667</v>
      </c>
      <c r="I85" s="2375">
        <f t="shared" ca="1" si="36"/>
        <v>892.09733333333338</v>
      </c>
      <c r="J85" s="2375">
        <f t="shared" ca="1" si="36"/>
        <v>907.82299999999998</v>
      </c>
      <c r="K85" s="2375">
        <f t="shared" ca="1" si="36"/>
        <v>923.54866666666669</v>
      </c>
      <c r="L85" s="2375">
        <f t="shared" ca="1" si="36"/>
        <v>939.27433333333329</v>
      </c>
      <c r="M85" s="2375">
        <f t="shared" ca="1" si="36"/>
        <v>955</v>
      </c>
      <c r="N85" s="1280"/>
      <c r="O85" s="1280"/>
      <c r="P85" s="1280"/>
      <c r="Q85" s="1130"/>
    </row>
    <row r="86" spans="2:17" s="2369" customFormat="1" x14ac:dyDescent="0.2">
      <c r="B86" s="1129"/>
      <c r="C86" s="1278" t="s">
        <v>419</v>
      </c>
      <c r="D86" s="1280" t="str">
        <f>INDEX(Vectors[Description], MATCH($C86, Vectors[Code], 0))</f>
        <v>Gas oversupply (imports)</v>
      </c>
      <c r="E86" s="2375">
        <f t="shared" ca="1" si="36"/>
        <v>-711.34280526370412</v>
      </c>
      <c r="F86" s="2375">
        <f t="shared" ca="1" si="36"/>
        <v>-801.22020347427303</v>
      </c>
      <c r="G86" s="2375">
        <f t="shared" ca="1" si="36"/>
        <v>-752.15463096912265</v>
      </c>
      <c r="H86" s="2375">
        <f t="shared" ca="1" si="36"/>
        <v>-812.12413603411949</v>
      </c>
      <c r="I86" s="2375">
        <f t="shared" ca="1" si="36"/>
        <v>-796.25859949857295</v>
      </c>
      <c r="J86" s="2375">
        <f t="shared" ca="1" si="36"/>
        <v>-737.01762134814498</v>
      </c>
      <c r="K86" s="2375">
        <f t="shared" ca="1" si="36"/>
        <v>-680.10495621215239</v>
      </c>
      <c r="L86" s="2375">
        <f t="shared" ca="1" si="36"/>
        <v>-630.16605326473041</v>
      </c>
      <c r="M86" s="2375">
        <f t="shared" ca="1" si="36"/>
        <v>-580.45941618119616</v>
      </c>
      <c r="N86" s="1280"/>
      <c r="O86" s="1280"/>
      <c r="P86" s="1280"/>
      <c r="Q86" s="1130"/>
    </row>
    <row r="87" spans="2:17" s="2369" customFormat="1" x14ac:dyDescent="0.2">
      <c r="B87" s="1129"/>
      <c r="C87" s="1278"/>
      <c r="D87" s="1280" t="s">
        <v>2569</v>
      </c>
      <c r="E87" s="2375">
        <f t="shared" ref="E87:M87" ca="1" si="37">SUM(E73:E86)</f>
        <v>1214.0100277672177</v>
      </c>
      <c r="F87" s="2375">
        <f t="shared" ca="1" si="37"/>
        <v>1279.4659040737301</v>
      </c>
      <c r="G87" s="2375">
        <f t="shared" ca="1" si="37"/>
        <v>1434.9958279338757</v>
      </c>
      <c r="H87" s="2375">
        <f t="shared" ca="1" si="37"/>
        <v>1615.9388694048744</v>
      </c>
      <c r="I87" s="2375">
        <f t="shared" ca="1" si="37"/>
        <v>1893.3970198610814</v>
      </c>
      <c r="J87" s="2375">
        <f t="shared" ca="1" si="37"/>
        <v>2299.2879968529596</v>
      </c>
      <c r="K87" s="2375">
        <f t="shared" ca="1" si="37"/>
        <v>2719.3462632395904</v>
      </c>
      <c r="L87" s="2375">
        <f t="shared" ca="1" si="37"/>
        <v>3174.3927421965745</v>
      </c>
      <c r="M87" s="2375">
        <f t="shared" ca="1" si="37"/>
        <v>3743.2219207121166</v>
      </c>
      <c r="N87" s="1280"/>
      <c r="O87" s="1280"/>
      <c r="P87" s="1280"/>
      <c r="Q87" s="1130"/>
    </row>
    <row r="88" spans="2:17" s="2369" customFormat="1" x14ac:dyDescent="0.2">
      <c r="B88" s="1129"/>
      <c r="C88" s="1278"/>
      <c r="D88" s="1280"/>
      <c r="E88" s="2375"/>
      <c r="F88" s="2375"/>
      <c r="G88" s="2375"/>
      <c r="H88" s="2375"/>
      <c r="I88" s="2375"/>
      <c r="J88" s="2375"/>
      <c r="K88" s="2375"/>
      <c r="L88" s="2375"/>
      <c r="M88" s="2375"/>
      <c r="N88" s="1280"/>
      <c r="O88" s="1280"/>
      <c r="P88" s="1280"/>
      <c r="Q88" s="1130"/>
    </row>
    <row r="89" spans="2:17" ht="15.75" x14ac:dyDescent="0.2">
      <c r="B89" s="2189"/>
      <c r="C89" s="1126" t="s">
        <v>2105</v>
      </c>
      <c r="D89" s="1126"/>
      <c r="E89" s="1126"/>
      <c r="F89" s="1126"/>
      <c r="G89" s="2190"/>
      <c r="H89" s="2190"/>
      <c r="I89" s="2190"/>
      <c r="J89" s="2190"/>
      <c r="K89" s="2190"/>
      <c r="L89" s="2190"/>
      <c r="M89" s="2190"/>
      <c r="N89" s="2190"/>
      <c r="O89" s="2190"/>
      <c r="P89" s="2190"/>
      <c r="Q89" s="2191"/>
    </row>
    <row r="90" spans="2:17" ht="15.75" x14ac:dyDescent="0.2">
      <c r="B90" s="2189"/>
      <c r="C90" s="1126"/>
      <c r="D90" s="1126"/>
      <c r="E90" s="1126"/>
      <c r="F90" s="1126"/>
      <c r="G90" s="2190"/>
      <c r="H90" s="2190"/>
      <c r="I90" s="2190"/>
      <c r="J90" s="2190"/>
      <c r="K90" s="2190"/>
      <c r="L90" s="2190"/>
      <c r="M90" s="2192" t="str">
        <f>Preferences.EnergyUnits</f>
        <v>TWh</v>
      </c>
      <c r="N90" s="2190"/>
      <c r="O90" s="2190"/>
      <c r="P90" s="2190"/>
      <c r="Q90" s="2191"/>
    </row>
    <row r="91" spans="2:17" x14ac:dyDescent="0.2">
      <c r="B91" s="1129"/>
      <c r="C91" s="1282" t="s">
        <v>69</v>
      </c>
      <c r="D91" s="1284" t="s">
        <v>64</v>
      </c>
      <c r="E91" s="1285">
        <v>2010</v>
      </c>
      <c r="F91" s="1285">
        <v>2015</v>
      </c>
      <c r="G91" s="1285">
        <v>2020</v>
      </c>
      <c r="H91" s="1285">
        <v>2025</v>
      </c>
      <c r="I91" s="1285">
        <v>2030</v>
      </c>
      <c r="J91" s="1285">
        <v>2035</v>
      </c>
      <c r="K91" s="1285">
        <v>2040</v>
      </c>
      <c r="L91" s="1285">
        <v>2045</v>
      </c>
      <c r="M91" s="1286">
        <v>2050</v>
      </c>
      <c r="N91" s="1280"/>
      <c r="O91" s="1280"/>
      <c r="P91" s="1280"/>
      <c r="Q91" s="1130"/>
    </row>
    <row r="92" spans="2:17" s="2369" customFormat="1" x14ac:dyDescent="0.2">
      <c r="B92" s="1129"/>
      <c r="C92" s="1278" t="s">
        <v>6</v>
      </c>
      <c r="D92" s="1280" t="s">
        <v>1474</v>
      </c>
      <c r="E92" s="2375">
        <f t="shared" ref="E92:M92" ca="1" si="38">MAX(E73,0)</f>
        <v>0</v>
      </c>
      <c r="F92" s="2375">
        <f t="shared" ca="1" si="38"/>
        <v>0</v>
      </c>
      <c r="G92" s="2375">
        <f t="shared" ca="1" si="38"/>
        <v>0</v>
      </c>
      <c r="H92" s="2375">
        <f t="shared" ca="1" si="38"/>
        <v>21.428000000000004</v>
      </c>
      <c r="I92" s="2375">
        <f t="shared" ca="1" si="38"/>
        <v>40.713200000000001</v>
      </c>
      <c r="J92" s="2375">
        <f t="shared" ca="1" si="38"/>
        <v>79.283600000000021</v>
      </c>
      <c r="K92" s="2375">
        <f t="shared" ca="1" si="38"/>
        <v>152.13880000000003</v>
      </c>
      <c r="L92" s="2375">
        <f t="shared" ca="1" si="38"/>
        <v>293.56360000000006</v>
      </c>
      <c r="M92" s="2375">
        <f t="shared" ca="1" si="38"/>
        <v>567.8420000000001</v>
      </c>
      <c r="N92" s="1280"/>
      <c r="O92" s="1280"/>
      <c r="P92" s="1280"/>
      <c r="Q92" s="1130"/>
    </row>
    <row r="93" spans="2:17" s="2369" customFormat="1" x14ac:dyDescent="0.2">
      <c r="B93" s="1129"/>
      <c r="C93" s="1278" t="s">
        <v>47</v>
      </c>
      <c r="D93" s="1280" t="s">
        <v>4</v>
      </c>
      <c r="E93" s="2375">
        <f t="shared" ref="E93:M93" ca="1" si="39">MAX(E77,0)</f>
        <v>0</v>
      </c>
      <c r="F93" s="2375">
        <f t="shared" ca="1" si="39"/>
        <v>0</v>
      </c>
      <c r="G93" s="2375">
        <f t="shared" ca="1" si="39"/>
        <v>0</v>
      </c>
      <c r="H93" s="2375">
        <f t="shared" ca="1" si="39"/>
        <v>0</v>
      </c>
      <c r="I93" s="2375">
        <f t="shared" ca="1" si="39"/>
        <v>0</v>
      </c>
      <c r="J93" s="2375">
        <f t="shared" ca="1" si="39"/>
        <v>0</v>
      </c>
      <c r="K93" s="2375">
        <f t="shared" ca="1" si="39"/>
        <v>0</v>
      </c>
      <c r="L93" s="2375">
        <f t="shared" ca="1" si="39"/>
        <v>0</v>
      </c>
      <c r="M93" s="2375">
        <f t="shared" ca="1" si="39"/>
        <v>0</v>
      </c>
      <c r="N93" s="1280"/>
      <c r="O93" s="1280"/>
      <c r="P93" s="1280"/>
      <c r="Q93" s="1130"/>
    </row>
    <row r="94" spans="2:17" s="2369" customFormat="1" x14ac:dyDescent="0.2">
      <c r="B94" s="1129"/>
      <c r="C94" s="1278" t="s">
        <v>46</v>
      </c>
      <c r="D94" s="1280" t="s">
        <v>1189</v>
      </c>
      <c r="E94" s="2375">
        <f t="shared" ref="E94:M94" ca="1" si="40">MAX(E80,0)</f>
        <v>0</v>
      </c>
      <c r="F94" s="2375">
        <f t="shared" ca="1" si="40"/>
        <v>0</v>
      </c>
      <c r="G94" s="2375">
        <f t="shared" ca="1" si="40"/>
        <v>0</v>
      </c>
      <c r="H94" s="2375">
        <f t="shared" ca="1" si="40"/>
        <v>0</v>
      </c>
      <c r="I94" s="2375">
        <f t="shared" ca="1" si="40"/>
        <v>0</v>
      </c>
      <c r="J94" s="2375">
        <f t="shared" ca="1" si="40"/>
        <v>0</v>
      </c>
      <c r="K94" s="2375">
        <f t="shared" ca="1" si="40"/>
        <v>0</v>
      </c>
      <c r="L94" s="2375">
        <f t="shared" ca="1" si="40"/>
        <v>0</v>
      </c>
      <c r="M94" s="2375">
        <f t="shared" ca="1" si="40"/>
        <v>0</v>
      </c>
      <c r="N94" s="1280"/>
      <c r="O94" s="1280"/>
      <c r="P94" s="1280"/>
      <c r="Q94" s="1130"/>
    </row>
    <row r="95" spans="2:17" s="2369" customFormat="1" x14ac:dyDescent="0.2">
      <c r="B95" s="1129"/>
      <c r="C95" s="1278" t="s">
        <v>417</v>
      </c>
      <c r="D95" s="1280" t="s">
        <v>104</v>
      </c>
      <c r="E95" s="2375">
        <f t="shared" ref="E95:M95" ca="1" si="41">MAX(E82,0)</f>
        <v>0</v>
      </c>
      <c r="F95" s="2375">
        <f t="shared" ca="1" si="41"/>
        <v>0</v>
      </c>
      <c r="G95" s="2375">
        <f t="shared" ca="1" si="41"/>
        <v>12.802967336492252</v>
      </c>
      <c r="H95" s="2375">
        <f t="shared" ca="1" si="41"/>
        <v>99.490481574213163</v>
      </c>
      <c r="I95" s="2375">
        <f t="shared" ca="1" si="41"/>
        <v>242.6342134525816</v>
      </c>
      <c r="J95" s="2375">
        <f t="shared" ca="1" si="41"/>
        <v>456.82081828929068</v>
      </c>
      <c r="K95" s="2375">
        <f t="shared" ca="1" si="41"/>
        <v>684.75114808733497</v>
      </c>
      <c r="L95" s="2375">
        <f t="shared" ca="1" si="41"/>
        <v>910.97441071750291</v>
      </c>
      <c r="M95" s="2375">
        <f t="shared" ca="1" si="41"/>
        <v>1137.326775284753</v>
      </c>
      <c r="N95" s="1280"/>
      <c r="O95" s="1280"/>
      <c r="P95" s="1280"/>
      <c r="Q95" s="1130"/>
    </row>
    <row r="96" spans="2:17" s="2369" customFormat="1" x14ac:dyDescent="0.2">
      <c r="B96" s="1129"/>
      <c r="C96" s="1278" t="s">
        <v>418</v>
      </c>
      <c r="D96" s="1280" t="s">
        <v>118</v>
      </c>
      <c r="E96" s="2375">
        <f t="shared" ref="E96:M96" ca="1" si="42">MAX(E84,0)</f>
        <v>0</v>
      </c>
      <c r="F96" s="2375">
        <f t="shared" ca="1" si="42"/>
        <v>0</v>
      </c>
      <c r="G96" s="2375">
        <f t="shared" ca="1" si="42"/>
        <v>0</v>
      </c>
      <c r="H96" s="2375">
        <f t="shared" ca="1" si="42"/>
        <v>0</v>
      </c>
      <c r="I96" s="2375">
        <f t="shared" ca="1" si="42"/>
        <v>0</v>
      </c>
      <c r="J96" s="2375">
        <f t="shared" ca="1" si="42"/>
        <v>0</v>
      </c>
      <c r="K96" s="2375">
        <f t="shared" ca="1" si="42"/>
        <v>0</v>
      </c>
      <c r="L96" s="2375">
        <f t="shared" ca="1" si="42"/>
        <v>0</v>
      </c>
      <c r="M96" s="2375">
        <f t="shared" ca="1" si="42"/>
        <v>0</v>
      </c>
      <c r="N96" s="1280"/>
      <c r="O96" s="1280"/>
      <c r="P96" s="1280"/>
      <c r="Q96" s="1130"/>
    </row>
    <row r="97" spans="2:17" s="2369" customFormat="1" x14ac:dyDescent="0.2">
      <c r="B97" s="1129"/>
      <c r="C97" s="1278" t="s">
        <v>419</v>
      </c>
      <c r="D97" s="1280" t="s">
        <v>10</v>
      </c>
      <c r="E97" s="2375">
        <f t="shared" ref="E97:M97" ca="1" si="43">MAX(E86,0)</f>
        <v>0</v>
      </c>
      <c r="F97" s="2375">
        <f t="shared" ca="1" si="43"/>
        <v>0</v>
      </c>
      <c r="G97" s="2375">
        <f t="shared" ca="1" si="43"/>
        <v>0</v>
      </c>
      <c r="H97" s="2375">
        <f t="shared" ca="1" si="43"/>
        <v>0</v>
      </c>
      <c r="I97" s="2375">
        <f t="shared" ca="1" si="43"/>
        <v>0</v>
      </c>
      <c r="J97" s="2375">
        <f t="shared" ca="1" si="43"/>
        <v>0</v>
      </c>
      <c r="K97" s="2375">
        <f t="shared" ca="1" si="43"/>
        <v>0</v>
      </c>
      <c r="L97" s="2375">
        <f t="shared" ca="1" si="43"/>
        <v>0</v>
      </c>
      <c r="M97" s="2375">
        <f t="shared" ca="1" si="43"/>
        <v>0</v>
      </c>
      <c r="N97" s="1280"/>
      <c r="O97" s="1280"/>
      <c r="P97" s="1280"/>
      <c r="Q97" s="1130"/>
    </row>
    <row r="98" spans="2:17" s="2369" customFormat="1" x14ac:dyDescent="0.2">
      <c r="B98" s="1129"/>
      <c r="C98" s="1278"/>
      <c r="D98" s="1280" t="s">
        <v>105</v>
      </c>
      <c r="E98" s="2375">
        <f t="shared" ref="E98:M98" ca="1" si="44">SUM(E92:E97)</f>
        <v>0</v>
      </c>
      <c r="F98" s="2375">
        <f t="shared" ca="1" si="44"/>
        <v>0</v>
      </c>
      <c r="G98" s="2375">
        <f t="shared" ca="1" si="44"/>
        <v>12.802967336492252</v>
      </c>
      <c r="H98" s="2375">
        <f t="shared" ca="1" si="44"/>
        <v>120.91848157421316</v>
      </c>
      <c r="I98" s="2375">
        <f t="shared" ca="1" si="44"/>
        <v>283.34741345258158</v>
      </c>
      <c r="J98" s="2375">
        <f t="shared" ca="1" si="44"/>
        <v>536.10441828929072</v>
      </c>
      <c r="K98" s="2375">
        <f t="shared" ca="1" si="44"/>
        <v>836.88994808733503</v>
      </c>
      <c r="L98" s="2375">
        <f t="shared" ca="1" si="44"/>
        <v>1204.5380107175029</v>
      </c>
      <c r="M98" s="2375">
        <f t="shared" ca="1" si="44"/>
        <v>1705.1687752847531</v>
      </c>
      <c r="N98" s="1280"/>
      <c r="O98" s="1280"/>
      <c r="P98" s="1280"/>
      <c r="Q98" s="1130"/>
    </row>
    <row r="99" spans="2:17" s="2369" customFormat="1" x14ac:dyDescent="0.2">
      <c r="B99" s="1129"/>
      <c r="C99" s="1278"/>
      <c r="D99" s="1280"/>
      <c r="E99" s="2375"/>
      <c r="F99" s="2375"/>
      <c r="G99" s="2375"/>
      <c r="H99" s="2375"/>
      <c r="I99" s="2375"/>
      <c r="J99" s="2375"/>
      <c r="K99" s="2375"/>
      <c r="L99" s="2375"/>
      <c r="M99" s="2375"/>
      <c r="N99" s="1280"/>
      <c r="O99" s="1280"/>
      <c r="P99" s="1280"/>
      <c r="Q99" s="1130"/>
    </row>
    <row r="100" spans="2:17" s="2369" customFormat="1" x14ac:dyDescent="0.2">
      <c r="B100" s="1129"/>
      <c r="C100" s="2376" t="s">
        <v>2104</v>
      </c>
      <c r="D100" s="1126"/>
      <c r="E100" s="1126"/>
      <c r="F100" s="1126"/>
      <c r="G100" s="2190"/>
      <c r="H100" s="2190"/>
      <c r="I100" s="2190"/>
      <c r="J100" s="2190"/>
      <c r="K100" s="2190"/>
      <c r="L100" s="2190"/>
      <c r="M100" s="2192"/>
      <c r="N100" s="1280"/>
      <c r="O100" s="1280"/>
      <c r="P100" s="1280"/>
      <c r="Q100" s="1130"/>
    </row>
    <row r="101" spans="2:17" s="2369" customFormat="1" x14ac:dyDescent="0.2">
      <c r="B101" s="1129"/>
      <c r="C101" s="1278"/>
      <c r="D101" s="1126"/>
      <c r="E101" s="1126"/>
      <c r="F101" s="1126"/>
      <c r="G101" s="2190"/>
      <c r="H101" s="2190"/>
      <c r="I101" s="2190"/>
      <c r="J101" s="2190"/>
      <c r="K101" s="2190"/>
      <c r="L101" s="2190"/>
      <c r="M101" s="2192" t="str">
        <f>Preferences.EnergyUnits</f>
        <v>TWh</v>
      </c>
      <c r="N101" s="1280"/>
      <c r="O101" s="1280"/>
      <c r="P101" s="1280"/>
      <c r="Q101" s="1130"/>
    </row>
    <row r="102" spans="2:17" s="2369" customFormat="1" x14ac:dyDescent="0.2">
      <c r="B102" s="1129"/>
      <c r="C102" s="1278"/>
      <c r="D102" s="1284" t="s">
        <v>64</v>
      </c>
      <c r="E102" s="1285">
        <v>2010</v>
      </c>
      <c r="F102" s="1285">
        <v>2015</v>
      </c>
      <c r="G102" s="1285">
        <v>2020</v>
      </c>
      <c r="H102" s="1285">
        <v>2025</v>
      </c>
      <c r="I102" s="1285">
        <v>2030</v>
      </c>
      <c r="J102" s="1285">
        <v>2035</v>
      </c>
      <c r="K102" s="1285">
        <v>2040</v>
      </c>
      <c r="L102" s="1285">
        <v>2045</v>
      </c>
      <c r="M102" s="1286">
        <v>2050</v>
      </c>
      <c r="N102" s="1280"/>
      <c r="O102" s="1280"/>
      <c r="P102" s="1280"/>
      <c r="Q102" s="1130"/>
    </row>
    <row r="103" spans="2:17" s="2369" customFormat="1" x14ac:dyDescent="0.2">
      <c r="B103" s="1129"/>
      <c r="C103" s="1278" t="s">
        <v>6</v>
      </c>
      <c r="D103" s="1280" t="s">
        <v>1474</v>
      </c>
      <c r="E103" s="2375">
        <f t="shared" ref="E103:M103" ca="1" si="45">E73</f>
        <v>0</v>
      </c>
      <c r="F103" s="2375">
        <f t="shared" ca="1" si="45"/>
        <v>0</v>
      </c>
      <c r="G103" s="2375">
        <f t="shared" ca="1" si="45"/>
        <v>0</v>
      </c>
      <c r="H103" s="2375">
        <f t="shared" ca="1" si="45"/>
        <v>21.428000000000004</v>
      </c>
      <c r="I103" s="2375">
        <f t="shared" ca="1" si="45"/>
        <v>40.713200000000001</v>
      </c>
      <c r="J103" s="2375">
        <f t="shared" ca="1" si="45"/>
        <v>79.283600000000021</v>
      </c>
      <c r="K103" s="2375">
        <f t="shared" ca="1" si="45"/>
        <v>152.13880000000003</v>
      </c>
      <c r="L103" s="2375">
        <f t="shared" ca="1" si="45"/>
        <v>293.56360000000006</v>
      </c>
      <c r="M103" s="2375">
        <f t="shared" ca="1" si="45"/>
        <v>567.8420000000001</v>
      </c>
      <c r="N103" s="1280"/>
      <c r="O103" s="1280"/>
      <c r="P103" s="1280"/>
      <c r="Q103" s="1130"/>
    </row>
    <row r="104" spans="2:17" s="2369" customFormat="1" x14ac:dyDescent="0.2">
      <c r="B104" s="1129"/>
      <c r="C104" s="1278" t="s">
        <v>47</v>
      </c>
      <c r="D104" s="1280" t="s">
        <v>4</v>
      </c>
      <c r="E104" s="2375">
        <f t="shared" ref="E104:M104" ca="1" si="46">SUM(E73:E77)</f>
        <v>9.7763648999999972</v>
      </c>
      <c r="F104" s="2375">
        <f t="shared" ca="1" si="46"/>
        <v>10.669181999999998</v>
      </c>
      <c r="G104" s="2375">
        <f t="shared" ca="1" si="46"/>
        <v>68.813183400000028</v>
      </c>
      <c r="H104" s="2375">
        <f t="shared" ca="1" si="46"/>
        <v>147.86048756146491</v>
      </c>
      <c r="I104" s="2375">
        <f t="shared" ca="1" si="46"/>
        <v>174.59121672648104</v>
      </c>
      <c r="J104" s="2375">
        <f t="shared" ca="1" si="46"/>
        <v>192.48126090136492</v>
      </c>
      <c r="K104" s="2375">
        <f t="shared" ca="1" si="46"/>
        <v>230.96544496728814</v>
      </c>
      <c r="L104" s="2375">
        <f t="shared" ca="1" si="46"/>
        <v>305.75430999998173</v>
      </c>
      <c r="M104" s="2375">
        <f t="shared" ca="1" si="46"/>
        <v>498.73135941299188</v>
      </c>
      <c r="N104" s="1280"/>
      <c r="O104" s="1280"/>
      <c r="P104" s="1280"/>
      <c r="Q104" s="1130"/>
    </row>
    <row r="105" spans="2:17" s="2369" customFormat="1" x14ac:dyDescent="0.2">
      <c r="B105" s="1129"/>
      <c r="C105" s="1278" t="s">
        <v>46</v>
      </c>
      <c r="D105" s="1280" t="s">
        <v>1189</v>
      </c>
      <c r="E105" s="2375">
        <f t="shared" ref="E105:M105" ca="1" si="47">SUM(E78:E80)</f>
        <v>855.30283783977507</v>
      </c>
      <c r="F105" s="2375">
        <f t="shared" ca="1" si="47"/>
        <v>918.96998324472042</v>
      </c>
      <c r="G105" s="2375">
        <f t="shared" ca="1" si="47"/>
        <v>1016.3568873081676</v>
      </c>
      <c r="H105" s="2375">
        <f t="shared" ca="1" si="47"/>
        <v>1098.4828604298527</v>
      </c>
      <c r="I105" s="2375">
        <f t="shared" ca="1" si="47"/>
        <v>1155.5340274210844</v>
      </c>
      <c r="J105" s="2375">
        <f t="shared" ca="1" si="47"/>
        <v>1230.3693635327027</v>
      </c>
      <c r="K105" s="2375">
        <f t="shared" ca="1" si="47"/>
        <v>1295.3889917636257</v>
      </c>
      <c r="L105" s="2375">
        <f t="shared" ca="1" si="47"/>
        <v>1368.7842482057417</v>
      </c>
      <c r="M105" s="2375">
        <f t="shared" ca="1" si="47"/>
        <v>1440.8666928559978</v>
      </c>
      <c r="N105" s="1280"/>
      <c r="O105" s="1280"/>
      <c r="P105" s="1280"/>
      <c r="Q105" s="1130"/>
    </row>
    <row r="106" spans="2:17" s="2369" customFormat="1" x14ac:dyDescent="0.2">
      <c r="B106" s="1129"/>
      <c r="C106" s="1278" t="s">
        <v>417</v>
      </c>
      <c r="D106" s="1280" t="s">
        <v>104</v>
      </c>
      <c r="E106" s="2375">
        <f t="shared" ref="E106:M106" ca="1" si="48">SUM(E81:E82)</f>
        <v>-2.4032071317770312</v>
      </c>
      <c r="F106" s="2375">
        <f t="shared" ca="1" si="48"/>
        <v>-3.0768427572715078</v>
      </c>
      <c r="G106" s="2375">
        <f t="shared" ca="1" si="48"/>
        <v>19.975118009232251</v>
      </c>
      <c r="H106" s="2375">
        <f t="shared" ca="1" si="48"/>
        <v>116.99048157421316</v>
      </c>
      <c r="I106" s="2375">
        <f t="shared" ca="1" si="48"/>
        <v>276.6342134525816</v>
      </c>
      <c r="J106" s="2375">
        <f t="shared" ca="1" si="48"/>
        <v>507.32081828929068</v>
      </c>
      <c r="K106" s="2375">
        <f t="shared" ca="1" si="48"/>
        <v>751.75114808733497</v>
      </c>
      <c r="L106" s="2375">
        <f t="shared" ca="1" si="48"/>
        <v>994.47441071750291</v>
      </c>
      <c r="M106" s="2375">
        <f t="shared" ca="1" si="48"/>
        <v>1237.326775284753</v>
      </c>
      <c r="N106" s="1280"/>
      <c r="O106" s="1280"/>
      <c r="P106" s="1280"/>
      <c r="Q106" s="1130"/>
    </row>
    <row r="107" spans="2:17" s="2369" customFormat="1" x14ac:dyDescent="0.2">
      <c r="B107" s="1129"/>
      <c r="C107" s="1278" t="s">
        <v>418</v>
      </c>
      <c r="D107" s="1280" t="s">
        <v>118</v>
      </c>
      <c r="E107" s="2375">
        <f t="shared" ref="E107:M107" ca="1" si="49">SUM(E83:E84)</f>
        <v>301.24472631181243</v>
      </c>
      <c r="F107" s="2375">
        <f t="shared" ca="1" si="49"/>
        <v>309.20345172722136</v>
      </c>
      <c r="G107" s="2375">
        <f t="shared" ca="1" si="49"/>
        <v>221.35927018559823</v>
      </c>
      <c r="H107" s="2375">
        <f t="shared" ca="1" si="49"/>
        <v>188.35750920679629</v>
      </c>
      <c r="I107" s="2375">
        <f t="shared" ca="1" si="49"/>
        <v>190.79882842617371</v>
      </c>
      <c r="J107" s="2375">
        <f t="shared" ca="1" si="49"/>
        <v>198.31117547774625</v>
      </c>
      <c r="K107" s="2375">
        <f t="shared" ca="1" si="49"/>
        <v>197.7969679668272</v>
      </c>
      <c r="L107" s="2375">
        <f t="shared" ca="1" si="49"/>
        <v>196.27149320474473</v>
      </c>
      <c r="M107" s="2375">
        <f t="shared" ca="1" si="49"/>
        <v>191.75650933957013</v>
      </c>
      <c r="N107" s="1280"/>
      <c r="O107" s="1280"/>
      <c r="P107" s="1280"/>
      <c r="Q107" s="1130"/>
    </row>
    <row r="108" spans="2:17" s="2369" customFormat="1" x14ac:dyDescent="0.2">
      <c r="B108" s="1129"/>
      <c r="C108" s="1278" t="s">
        <v>419</v>
      </c>
      <c r="D108" s="1280" t="s">
        <v>10</v>
      </c>
      <c r="E108" s="2375">
        <f t="shared" ref="E108:M108" ca="1" si="50">SUM(E85:E86)</f>
        <v>50.089305847406877</v>
      </c>
      <c r="F108" s="2375">
        <f t="shared" ca="1" si="50"/>
        <v>43.700129859060326</v>
      </c>
      <c r="G108" s="2375">
        <f t="shared" ca="1" si="50"/>
        <v>108.49136903087731</v>
      </c>
      <c r="H108" s="2375">
        <f t="shared" ca="1" si="50"/>
        <v>64.247530632547182</v>
      </c>
      <c r="I108" s="2375">
        <f t="shared" ca="1" si="50"/>
        <v>95.838733834760433</v>
      </c>
      <c r="J108" s="2375">
        <f t="shared" ca="1" si="50"/>
        <v>170.80537865185499</v>
      </c>
      <c r="K108" s="2375">
        <f t="shared" ca="1" si="50"/>
        <v>243.4437104545143</v>
      </c>
      <c r="L108" s="2375">
        <f t="shared" ca="1" si="50"/>
        <v>309.10828006860288</v>
      </c>
      <c r="M108" s="2375">
        <f t="shared" ca="1" si="50"/>
        <v>374.54058381880384</v>
      </c>
      <c r="N108" s="1280"/>
      <c r="O108" s="1280"/>
      <c r="P108" s="1280"/>
      <c r="Q108" s="1130"/>
    </row>
    <row r="109" spans="2:17" s="2369" customFormat="1" x14ac:dyDescent="0.2">
      <c r="B109" s="1129"/>
      <c r="C109" s="1278"/>
      <c r="D109" s="1280" t="s">
        <v>105</v>
      </c>
      <c r="E109" s="2375">
        <f t="shared" ref="E109:M109" ca="1" si="51">E87</f>
        <v>1214.0100277672177</v>
      </c>
      <c r="F109" s="2375">
        <f t="shared" ca="1" si="51"/>
        <v>1279.4659040737301</v>
      </c>
      <c r="G109" s="2375">
        <f t="shared" ca="1" si="51"/>
        <v>1434.9958279338757</v>
      </c>
      <c r="H109" s="2375">
        <f t="shared" ca="1" si="51"/>
        <v>1615.9388694048744</v>
      </c>
      <c r="I109" s="2375">
        <f t="shared" ca="1" si="51"/>
        <v>1893.3970198610814</v>
      </c>
      <c r="J109" s="2375">
        <f t="shared" ca="1" si="51"/>
        <v>2299.2879968529596</v>
      </c>
      <c r="K109" s="2375">
        <f t="shared" ca="1" si="51"/>
        <v>2719.3462632395904</v>
      </c>
      <c r="L109" s="2375">
        <f t="shared" ca="1" si="51"/>
        <v>3174.3927421965745</v>
      </c>
      <c r="M109" s="2375">
        <f t="shared" ca="1" si="51"/>
        <v>3743.2219207121166</v>
      </c>
      <c r="N109" s="1280"/>
      <c r="O109" s="1280"/>
      <c r="P109" s="1280"/>
      <c r="Q109" s="1130"/>
    </row>
    <row r="110" spans="2:17" s="2369" customFormat="1" x14ac:dyDescent="0.2">
      <c r="B110" s="1129"/>
      <c r="C110" s="1278"/>
      <c r="D110" s="1280"/>
      <c r="E110" s="2375"/>
      <c r="F110" s="2375"/>
      <c r="G110" s="2375"/>
      <c r="H110" s="2375"/>
      <c r="I110" s="2375"/>
      <c r="J110" s="2375"/>
      <c r="K110" s="2375"/>
      <c r="L110" s="2375"/>
      <c r="M110" s="2375"/>
      <c r="N110" s="1280"/>
      <c r="O110" s="1280"/>
      <c r="P110" s="1280"/>
      <c r="Q110" s="1130"/>
    </row>
    <row r="111" spans="2:17" s="2369" customFormat="1" x14ac:dyDescent="0.2">
      <c r="B111" s="1129"/>
      <c r="C111" s="2376" t="s">
        <v>2570</v>
      </c>
      <c r="D111" s="1280"/>
      <c r="E111" s="2375"/>
      <c r="F111" s="2375"/>
      <c r="G111" s="2375"/>
      <c r="H111" s="2375"/>
      <c r="I111" s="2375"/>
      <c r="J111" s="2375"/>
      <c r="K111" s="2375"/>
      <c r="L111" s="2375"/>
      <c r="M111" s="2375"/>
      <c r="N111" s="1280"/>
      <c r="O111" s="1280"/>
      <c r="P111" s="1280"/>
      <c r="Q111" s="1130"/>
    </row>
    <row r="112" spans="2:17" s="2369" customFormat="1" x14ac:dyDescent="0.2">
      <c r="B112" s="1129"/>
      <c r="C112" s="1278"/>
      <c r="D112" s="1126"/>
      <c r="E112" s="1126"/>
      <c r="F112" s="1126"/>
      <c r="G112" s="2190"/>
      <c r="H112" s="2190"/>
      <c r="I112" s="2190"/>
      <c r="J112" s="2190"/>
      <c r="K112" s="2190"/>
      <c r="L112" s="2190"/>
      <c r="M112" s="2192" t="str">
        <f>Preferences.EnergyUnits</f>
        <v>TWh</v>
      </c>
      <c r="N112" s="1280"/>
      <c r="O112" s="1280"/>
      <c r="P112" s="1280"/>
      <c r="Q112" s="1130"/>
    </row>
    <row r="113" spans="2:17" s="2369" customFormat="1" x14ac:dyDescent="0.2">
      <c r="B113" s="1129"/>
      <c r="C113" s="1278"/>
      <c r="D113" s="1284" t="s">
        <v>64</v>
      </c>
      <c r="E113" s="1285">
        <v>2010</v>
      </c>
      <c r="F113" s="1285">
        <v>2015</v>
      </c>
      <c r="G113" s="1285">
        <v>2020</v>
      </c>
      <c r="H113" s="1285">
        <v>2025</v>
      </c>
      <c r="I113" s="1285">
        <v>2030</v>
      </c>
      <c r="J113" s="1285">
        <v>2035</v>
      </c>
      <c r="K113" s="1285">
        <v>2040</v>
      </c>
      <c r="L113" s="1285">
        <v>2045</v>
      </c>
      <c r="M113" s="1286">
        <v>2050</v>
      </c>
      <c r="N113" s="1280"/>
      <c r="O113" s="1280"/>
      <c r="P113" s="1280"/>
      <c r="Q113" s="1130"/>
    </row>
    <row r="114" spans="2:17" s="2369" customFormat="1" x14ac:dyDescent="0.2">
      <c r="B114" s="1129"/>
      <c r="C114" s="1278" t="s">
        <v>6</v>
      </c>
      <c r="D114" s="1280" t="s">
        <v>1474</v>
      </c>
      <c r="E114" s="2377">
        <f t="shared" ref="E114:M114" ca="1" si="52">IFERROR(E92/E103,0)</f>
        <v>0</v>
      </c>
      <c r="F114" s="2377">
        <f t="shared" ca="1" si="52"/>
        <v>0</v>
      </c>
      <c r="G114" s="2377">
        <f t="shared" ca="1" si="52"/>
        <v>0</v>
      </c>
      <c r="H114" s="2377">
        <f t="shared" ca="1" si="52"/>
        <v>1</v>
      </c>
      <c r="I114" s="2377">
        <f t="shared" ca="1" si="52"/>
        <v>1</v>
      </c>
      <c r="J114" s="2377">
        <f t="shared" ca="1" si="52"/>
        <v>1</v>
      </c>
      <c r="K114" s="2377">
        <f t="shared" ca="1" si="52"/>
        <v>1</v>
      </c>
      <c r="L114" s="2377">
        <f t="shared" ca="1" si="52"/>
        <v>1</v>
      </c>
      <c r="M114" s="2377">
        <f t="shared" ca="1" si="52"/>
        <v>1</v>
      </c>
      <c r="N114" s="1280"/>
      <c r="O114" s="1280"/>
      <c r="P114" s="1280"/>
      <c r="Q114" s="1130"/>
    </row>
    <row r="115" spans="2:17" s="2369" customFormat="1" x14ac:dyDescent="0.2">
      <c r="B115" s="1129"/>
      <c r="C115" s="1278" t="s">
        <v>47</v>
      </c>
      <c r="D115" s="1280" t="s">
        <v>4</v>
      </c>
      <c r="E115" s="2377">
        <f t="shared" ref="E115:M115" ca="1" si="53">IFERROR(E93/E104,0)</f>
        <v>0</v>
      </c>
      <c r="F115" s="2377">
        <f t="shared" ca="1" si="53"/>
        <v>0</v>
      </c>
      <c r="G115" s="2377">
        <f t="shared" ca="1" si="53"/>
        <v>0</v>
      </c>
      <c r="H115" s="2377">
        <f t="shared" ca="1" si="53"/>
        <v>0</v>
      </c>
      <c r="I115" s="2377">
        <f t="shared" ca="1" si="53"/>
        <v>0</v>
      </c>
      <c r="J115" s="2377">
        <f t="shared" ca="1" si="53"/>
        <v>0</v>
      </c>
      <c r="K115" s="2377">
        <f t="shared" ca="1" si="53"/>
        <v>0</v>
      </c>
      <c r="L115" s="2377">
        <f t="shared" ca="1" si="53"/>
        <v>0</v>
      </c>
      <c r="M115" s="2377">
        <f t="shared" ca="1" si="53"/>
        <v>0</v>
      </c>
      <c r="N115" s="1280"/>
      <c r="O115" s="1280"/>
      <c r="P115" s="1280"/>
      <c r="Q115" s="1130"/>
    </row>
    <row r="116" spans="2:17" s="2369" customFormat="1" x14ac:dyDescent="0.2">
      <c r="B116" s="1129"/>
      <c r="C116" s="1278" t="s">
        <v>46</v>
      </c>
      <c r="D116" s="1280" t="s">
        <v>1189</v>
      </c>
      <c r="E116" s="2377">
        <f t="shared" ref="E116:M116" ca="1" si="54">IFERROR(E94/E105,0)</f>
        <v>0</v>
      </c>
      <c r="F116" s="2377">
        <f t="shared" ca="1" si="54"/>
        <v>0</v>
      </c>
      <c r="G116" s="2377">
        <f t="shared" ca="1" si="54"/>
        <v>0</v>
      </c>
      <c r="H116" s="2377">
        <f t="shared" ca="1" si="54"/>
        <v>0</v>
      </c>
      <c r="I116" s="2377">
        <f t="shared" ca="1" si="54"/>
        <v>0</v>
      </c>
      <c r="J116" s="2377">
        <f t="shared" ca="1" si="54"/>
        <v>0</v>
      </c>
      <c r="K116" s="2377">
        <f t="shared" ca="1" si="54"/>
        <v>0</v>
      </c>
      <c r="L116" s="2377">
        <f t="shared" ca="1" si="54"/>
        <v>0</v>
      </c>
      <c r="M116" s="2377">
        <f t="shared" ca="1" si="54"/>
        <v>0</v>
      </c>
      <c r="N116" s="1280"/>
      <c r="O116" s="1280"/>
      <c r="P116" s="1280"/>
      <c r="Q116" s="1130"/>
    </row>
    <row r="117" spans="2:17" s="2369" customFormat="1" x14ac:dyDescent="0.2">
      <c r="B117" s="1129"/>
      <c r="C117" s="1278" t="s">
        <v>417</v>
      </c>
      <c r="D117" s="1280" t="s">
        <v>104</v>
      </c>
      <c r="E117" s="2377">
        <f t="shared" ref="E117:M117" ca="1" si="55">IFERROR(E95/E106,0)</f>
        <v>0</v>
      </c>
      <c r="F117" s="2377">
        <f t="shared" ca="1" si="55"/>
        <v>0</v>
      </c>
      <c r="G117" s="2377">
        <f t="shared" ca="1" si="55"/>
        <v>0.64094576715766483</v>
      </c>
      <c r="H117" s="2377">
        <f t="shared" ca="1" si="55"/>
        <v>0.85041518109403769</v>
      </c>
      <c r="I117" s="2377">
        <f t="shared" ca="1" si="55"/>
        <v>0.87709401676800181</v>
      </c>
      <c r="J117" s="2377">
        <f t="shared" ca="1" si="55"/>
        <v>0.90045746561261109</v>
      </c>
      <c r="K117" s="2377">
        <f t="shared" ca="1" si="55"/>
        <v>0.91087476198677353</v>
      </c>
      <c r="L117" s="2377">
        <f t="shared" ca="1" si="55"/>
        <v>0.91603604969608454</v>
      </c>
      <c r="M117" s="2377">
        <f t="shared" ca="1" si="55"/>
        <v>0.91918060612808894</v>
      </c>
      <c r="N117" s="1280"/>
      <c r="O117" s="1280"/>
      <c r="P117" s="1280"/>
      <c r="Q117" s="1130"/>
    </row>
    <row r="118" spans="2:17" s="2369" customFormat="1" x14ac:dyDescent="0.2">
      <c r="B118" s="1129"/>
      <c r="C118" s="1278" t="s">
        <v>418</v>
      </c>
      <c r="D118" s="1280" t="s">
        <v>118</v>
      </c>
      <c r="E118" s="2377">
        <f t="shared" ref="E118:M118" ca="1" si="56">IFERROR(E96/E107,0)</f>
        <v>0</v>
      </c>
      <c r="F118" s="2377">
        <f t="shared" ca="1" si="56"/>
        <v>0</v>
      </c>
      <c r="G118" s="2377">
        <f t="shared" ca="1" si="56"/>
        <v>0</v>
      </c>
      <c r="H118" s="2377">
        <f t="shared" ca="1" si="56"/>
        <v>0</v>
      </c>
      <c r="I118" s="2377">
        <f t="shared" ca="1" si="56"/>
        <v>0</v>
      </c>
      <c r="J118" s="2377">
        <f t="shared" ca="1" si="56"/>
        <v>0</v>
      </c>
      <c r="K118" s="2377">
        <f t="shared" ca="1" si="56"/>
        <v>0</v>
      </c>
      <c r="L118" s="2377">
        <f t="shared" ca="1" si="56"/>
        <v>0</v>
      </c>
      <c r="M118" s="2377">
        <f t="shared" ca="1" si="56"/>
        <v>0</v>
      </c>
      <c r="N118" s="1280"/>
      <c r="O118" s="1280"/>
      <c r="P118" s="1280"/>
      <c r="Q118" s="1130"/>
    </row>
    <row r="119" spans="2:17" s="2369" customFormat="1" x14ac:dyDescent="0.2">
      <c r="B119" s="1129"/>
      <c r="C119" s="1278" t="s">
        <v>419</v>
      </c>
      <c r="D119" s="1280" t="s">
        <v>10</v>
      </c>
      <c r="E119" s="2377">
        <f t="shared" ref="E119:M119" ca="1" si="57">IFERROR(E97/E108,0)</f>
        <v>0</v>
      </c>
      <c r="F119" s="2377">
        <f t="shared" ca="1" si="57"/>
        <v>0</v>
      </c>
      <c r="G119" s="2377">
        <f t="shared" ca="1" si="57"/>
        <v>0</v>
      </c>
      <c r="H119" s="2377">
        <f t="shared" ca="1" si="57"/>
        <v>0</v>
      </c>
      <c r="I119" s="2377">
        <f t="shared" ca="1" si="57"/>
        <v>0</v>
      </c>
      <c r="J119" s="2377">
        <f t="shared" ca="1" si="57"/>
        <v>0</v>
      </c>
      <c r="K119" s="2377">
        <f t="shared" ca="1" si="57"/>
        <v>0</v>
      </c>
      <c r="L119" s="2377">
        <f t="shared" ca="1" si="57"/>
        <v>0</v>
      </c>
      <c r="M119" s="2377">
        <f t="shared" ca="1" si="57"/>
        <v>0</v>
      </c>
      <c r="N119" s="1280"/>
      <c r="O119" s="1280"/>
      <c r="P119" s="1280"/>
      <c r="Q119" s="1130"/>
    </row>
    <row r="120" spans="2:17" s="2369" customFormat="1" x14ac:dyDescent="0.2">
      <c r="B120" s="1129"/>
      <c r="C120" s="1278"/>
      <c r="D120" s="1280" t="s">
        <v>105</v>
      </c>
      <c r="E120" s="2377">
        <f t="shared" ref="E120:M120" ca="1" si="58">IFERROR(E98/E109,0)</f>
        <v>0</v>
      </c>
      <c r="F120" s="2377">
        <f t="shared" ca="1" si="58"/>
        <v>0</v>
      </c>
      <c r="G120" s="2377">
        <f t="shared" ca="1" si="58"/>
        <v>8.9219543968473546E-3</v>
      </c>
      <c r="H120" s="2377">
        <f t="shared" ca="1" si="58"/>
        <v>7.4828623695861463E-2</v>
      </c>
      <c r="I120" s="2377">
        <f t="shared" ca="1" si="58"/>
        <v>0.14965029018233628</v>
      </c>
      <c r="J120" s="2377">
        <f t="shared" ca="1" si="58"/>
        <v>0.23316105638922047</v>
      </c>
      <c r="K120" s="2377">
        <f t="shared" ca="1" si="58"/>
        <v>0.30775409494572342</v>
      </c>
      <c r="L120" s="2377">
        <f t="shared" ca="1" si="58"/>
        <v>0.37945462598430796</v>
      </c>
      <c r="M120" s="2377">
        <f t="shared" ca="1" si="58"/>
        <v>0.45553504745461604</v>
      </c>
      <c r="N120" s="1280"/>
      <c r="O120" s="1280"/>
      <c r="P120" s="1280"/>
      <c r="Q120" s="1130"/>
    </row>
    <row r="121" spans="2:17" s="2369" customFormat="1" x14ac:dyDescent="0.2">
      <c r="B121" s="1129"/>
      <c r="C121" s="1278"/>
      <c r="D121" s="1280"/>
      <c r="E121" s="2375"/>
      <c r="F121" s="2375"/>
      <c r="G121" s="2375"/>
      <c r="H121" s="2375"/>
      <c r="I121" s="2375"/>
      <c r="J121" s="2375"/>
      <c r="K121" s="2375"/>
      <c r="L121" s="2375"/>
      <c r="M121" s="2375"/>
      <c r="N121" s="1280"/>
      <c r="O121" s="1280"/>
      <c r="P121" s="1280"/>
      <c r="Q121" s="1130"/>
    </row>
    <row r="123" spans="2:17" s="2369" customFormat="1" ht="15.75" x14ac:dyDescent="0.2">
      <c r="B123" s="1122" t="s">
        <v>2108</v>
      </c>
      <c r="C123" s="1123"/>
      <c r="D123" s="1123"/>
      <c r="E123" s="1123"/>
      <c r="F123" s="1123"/>
      <c r="G123" s="1124"/>
      <c r="H123" s="1124"/>
      <c r="I123" s="1124"/>
      <c r="J123" s="1124"/>
      <c r="K123" s="1124"/>
      <c r="L123" s="1124"/>
      <c r="M123" s="1124"/>
      <c r="N123" s="1124"/>
      <c r="O123" s="1124"/>
      <c r="P123" s="1124"/>
      <c r="Q123" s="1125"/>
    </row>
    <row r="124" spans="2:17" s="2369" customFormat="1" ht="15.75" x14ac:dyDescent="0.2">
      <c r="B124" s="1131"/>
      <c r="C124" s="1127"/>
      <c r="D124" s="1127"/>
      <c r="E124" s="1127"/>
      <c r="F124" s="1127"/>
      <c r="G124" s="1128"/>
      <c r="H124" s="1128"/>
      <c r="I124" s="1128"/>
      <c r="J124" s="1128"/>
      <c r="K124" s="1128"/>
      <c r="L124" s="1128"/>
      <c r="M124" s="1128"/>
      <c r="N124" s="1128"/>
      <c r="O124" s="1128"/>
      <c r="P124" s="1128"/>
      <c r="Q124" s="1132"/>
    </row>
    <row r="125" spans="2:17" s="2369" customFormat="1" ht="15.75" x14ac:dyDescent="0.2">
      <c r="B125" s="2189"/>
      <c r="C125" s="1126" t="s">
        <v>2109</v>
      </c>
      <c r="D125" s="1126"/>
      <c r="E125" s="1126"/>
      <c r="F125" s="1126"/>
      <c r="G125" s="2190"/>
      <c r="H125" s="2190"/>
      <c r="I125" s="2190"/>
      <c r="J125" s="2190"/>
      <c r="K125" s="2190"/>
      <c r="L125" s="2190"/>
      <c r="M125" s="2190"/>
      <c r="N125" s="2190"/>
      <c r="O125" s="2190"/>
      <c r="P125" s="2190"/>
      <c r="Q125" s="2191"/>
    </row>
    <row r="126" spans="2:17" s="2369" customFormat="1" ht="15.75" x14ac:dyDescent="0.2">
      <c r="B126" s="2189"/>
      <c r="C126" s="1126"/>
      <c r="D126" s="1126"/>
      <c r="E126" s="1126"/>
      <c r="F126" s="1126"/>
      <c r="G126" s="2190"/>
      <c r="H126" s="2190"/>
      <c r="I126" s="2190"/>
      <c r="J126" s="2190"/>
      <c r="K126" s="2190"/>
      <c r="L126" s="2190"/>
      <c r="M126" s="2192" t="str">
        <f>Preferences.PowerUnits</f>
        <v>GW</v>
      </c>
      <c r="N126" s="2190"/>
      <c r="O126" s="2190"/>
      <c r="P126" s="2190"/>
      <c r="Q126" s="2191"/>
    </row>
    <row r="127" spans="2:17" s="2369" customFormat="1" x14ac:dyDescent="0.2">
      <c r="B127" s="1129"/>
      <c r="C127" s="1282"/>
      <c r="D127" s="1284" t="str">
        <f>Preferences.PowerUnits&amp;" installed capacity"</f>
        <v>GW installed capacity</v>
      </c>
      <c r="E127" s="1285">
        <v>2010</v>
      </c>
      <c r="F127" s="1285">
        <v>2015</v>
      </c>
      <c r="G127" s="1285">
        <v>2020</v>
      </c>
      <c r="H127" s="1285">
        <v>2025</v>
      </c>
      <c r="I127" s="1285">
        <v>2030</v>
      </c>
      <c r="J127" s="1285">
        <v>2035</v>
      </c>
      <c r="K127" s="1285">
        <v>2040</v>
      </c>
      <c r="L127" s="1285">
        <v>2045</v>
      </c>
      <c r="M127" s="1286">
        <v>2050</v>
      </c>
      <c r="N127" s="1280"/>
      <c r="O127" s="1280"/>
      <c r="P127" s="1280"/>
      <c r="Q127" s="1130"/>
    </row>
    <row r="128" spans="2:17" s="2369" customFormat="1" x14ac:dyDescent="0.2">
      <c r="B128" s="1129"/>
      <c r="C128" s="1278" t="s">
        <v>2382</v>
      </c>
      <c r="D128" s="1280" t="s">
        <v>2423</v>
      </c>
      <c r="E128" s="2375">
        <f t="shared" ref="E128:M129" ca="1" si="59">IFERROR(INDEX(INDIRECT($C128&amp;".info["&amp;E$127&amp;"]"), MATCH("B.02", INDIRECT($C128&amp;".info[Vector]"), 0)), 0)</f>
        <v>26.897154125983818</v>
      </c>
      <c r="F128" s="2375">
        <f t="shared" ca="1" si="59"/>
        <v>25.426054991993205</v>
      </c>
      <c r="G128" s="2375">
        <f t="shared" ca="1" si="59"/>
        <v>7.351469994919805</v>
      </c>
      <c r="H128" s="2375">
        <f t="shared" ca="1" si="59"/>
        <v>0</v>
      </c>
      <c r="I128" s="2375">
        <f t="shared" ca="1" si="59"/>
        <v>0</v>
      </c>
      <c r="J128" s="2375">
        <f t="shared" ca="1" si="59"/>
        <v>0</v>
      </c>
      <c r="K128" s="2375">
        <f t="shared" ca="1" si="59"/>
        <v>0</v>
      </c>
      <c r="L128" s="2375">
        <f t="shared" ca="1" si="59"/>
        <v>0</v>
      </c>
      <c r="M128" s="2375">
        <f t="shared" ca="1" si="59"/>
        <v>0</v>
      </c>
      <c r="N128" s="1280"/>
      <c r="O128" s="1280"/>
      <c r="P128" s="1280"/>
      <c r="Q128" s="1130"/>
    </row>
    <row r="129" spans="2:17" s="2369" customFormat="1" x14ac:dyDescent="0.2">
      <c r="B129" s="1129"/>
      <c r="C129" s="2375" t="s">
        <v>321</v>
      </c>
      <c r="D129" s="1280" t="s">
        <v>2110</v>
      </c>
      <c r="E129" s="2375">
        <f ca="1">IFERROR(INDEX(INDIRECT($C129&amp;".info["&amp;E$127&amp;"]"), MATCH("B.02", INDIRECT($C129&amp;".info[Vector]"), 0)), 0)</f>
        <v>0</v>
      </c>
      <c r="F129" s="2375">
        <f t="shared" ca="1" si="59"/>
        <v>0</v>
      </c>
      <c r="G129" s="2375">
        <f t="shared" ca="1" si="59"/>
        <v>0</v>
      </c>
      <c r="H129" s="2375">
        <f t="shared" ca="1" si="59"/>
        <v>0</v>
      </c>
      <c r="I129" s="2375">
        <f t="shared" ca="1" si="59"/>
        <v>0</v>
      </c>
      <c r="J129" s="2375">
        <f t="shared" ca="1" si="59"/>
        <v>0</v>
      </c>
      <c r="K129" s="2375">
        <f t="shared" ca="1" si="59"/>
        <v>0</v>
      </c>
      <c r="L129" s="2375">
        <f t="shared" ca="1" si="59"/>
        <v>0</v>
      </c>
      <c r="M129" s="2375">
        <f t="shared" ca="1" si="59"/>
        <v>0</v>
      </c>
      <c r="N129" s="1280"/>
      <c r="O129" s="1280"/>
      <c r="P129" s="1280"/>
      <c r="Q129" s="1130"/>
    </row>
    <row r="130" spans="2:17" s="2369" customFormat="1" x14ac:dyDescent="0.2">
      <c r="B130" s="1129"/>
      <c r="C130" s="1278"/>
      <c r="D130" s="1126"/>
      <c r="E130" s="1126"/>
      <c r="F130" s="1126"/>
      <c r="G130" s="2190"/>
      <c r="H130" s="2190"/>
      <c r="I130" s="2190"/>
      <c r="J130" s="2190"/>
      <c r="K130" s="2190"/>
      <c r="L130" s="2190"/>
      <c r="M130" s="2192"/>
      <c r="N130" s="1280"/>
      <c r="O130" s="1280"/>
      <c r="P130" s="1280"/>
      <c r="Q130" s="1130"/>
    </row>
  </sheetData>
  <pageMargins left="0.75" right="0.75" top="1" bottom="1" header="0.5" footer="0.5"/>
  <pageSetup paperSize="9" orientation="portrait" horizontalDpi="4294967292" verticalDpi="429496729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5" tint="0.39997558519241921"/>
  </sheetPr>
  <dimension ref="A1:R26"/>
  <sheetViews>
    <sheetView windowProtection="1" workbookViewId="0">
      <selection activeCell="C4" sqref="C4:L19"/>
    </sheetView>
  </sheetViews>
  <sheetFormatPr defaultColWidth="8.7109375" defaultRowHeight="12.75" x14ac:dyDescent="0.2"/>
  <cols>
    <col min="1" max="2" width="2.140625" customWidth="1"/>
    <col min="3" max="3" width="14.42578125" customWidth="1"/>
    <col min="14" max="14" width="46.7109375" customWidth="1"/>
    <col min="16" max="16" width="17.28515625" bestFit="1" customWidth="1"/>
  </cols>
  <sheetData>
    <row r="1" spans="1:17" x14ac:dyDescent="0.2">
      <c r="A1" s="38"/>
      <c r="P1" s="38"/>
    </row>
    <row r="2" spans="1:17" ht="15.75" x14ac:dyDescent="0.2">
      <c r="A2" s="38"/>
      <c r="B2" s="1122" t="s">
        <v>1960</v>
      </c>
      <c r="C2" s="1123"/>
      <c r="D2" s="1124"/>
      <c r="E2" s="1124"/>
      <c r="F2" s="1124"/>
      <c r="G2" s="1124"/>
      <c r="H2" s="1124"/>
      <c r="I2" s="1124"/>
      <c r="J2" s="1124"/>
      <c r="K2" s="1124"/>
      <c r="L2" s="1124"/>
      <c r="M2" s="1123"/>
      <c r="N2" s="1123"/>
      <c r="O2" s="1123"/>
      <c r="P2" s="1123"/>
      <c r="Q2" s="1125"/>
    </row>
    <row r="3" spans="1:17" ht="15.75" x14ac:dyDescent="0.2">
      <c r="A3" s="38"/>
      <c r="B3" s="1131"/>
      <c r="C3" s="1127"/>
      <c r="D3" s="1128"/>
      <c r="E3" s="1128"/>
      <c r="F3" s="1128"/>
      <c r="G3" s="1128"/>
      <c r="H3" s="1128"/>
      <c r="I3" s="1128"/>
      <c r="J3" s="1128"/>
      <c r="K3" s="1128"/>
      <c r="L3" s="1128"/>
      <c r="M3" s="1127"/>
      <c r="N3" s="1127"/>
      <c r="O3" s="1127"/>
      <c r="P3" s="1127"/>
      <c r="Q3" s="1132"/>
    </row>
    <row r="4" spans="1:17" x14ac:dyDescent="0.2">
      <c r="A4" s="38"/>
      <c r="B4" s="1129"/>
      <c r="C4" s="1285" t="s">
        <v>64</v>
      </c>
      <c r="D4" s="1285">
        <v>2010</v>
      </c>
      <c r="E4" s="1285">
        <v>2015</v>
      </c>
      <c r="F4" s="1285">
        <v>2020</v>
      </c>
      <c r="G4" s="1285">
        <v>2025</v>
      </c>
      <c r="H4" s="1285">
        <v>2030</v>
      </c>
      <c r="I4" s="1285">
        <v>2035</v>
      </c>
      <c r="J4" s="1285">
        <v>2040</v>
      </c>
      <c r="K4" s="1285">
        <v>2045</v>
      </c>
      <c r="L4" s="1286">
        <v>2050</v>
      </c>
      <c r="M4" s="1285" t="s">
        <v>2111</v>
      </c>
      <c r="N4" s="1285" t="s">
        <v>2113</v>
      </c>
      <c r="O4" s="1284" t="s">
        <v>2112</v>
      </c>
      <c r="P4" s="1282" t="s">
        <v>71</v>
      </c>
      <c r="Q4" s="2385"/>
    </row>
    <row r="5" spans="1:17" x14ac:dyDescent="0.2">
      <c r="A5" s="38"/>
      <c r="B5" s="1129"/>
      <c r="C5" s="1278" t="s">
        <v>864</v>
      </c>
      <c r="D5" s="1280">
        <f t="shared" ref="D5:L19" ca="1" si="0">INDEX(INDIRECT($C5&amp;".Info["&amp;D$4&amp;"]"),MATCH($N5,INDIRECT($C5&amp;".Info[Vector]"),0))</f>
        <v>0</v>
      </c>
      <c r="E5" s="1280">
        <f t="shared" ca="1" si="0"/>
        <v>0</v>
      </c>
      <c r="F5" s="1280">
        <f t="shared" ca="1" si="0"/>
        <v>840</v>
      </c>
      <c r="G5" s="1280">
        <f t="shared" ca="1" si="0"/>
        <v>1680</v>
      </c>
      <c r="H5" s="1280">
        <f t="shared" ca="1" si="0"/>
        <v>2519.9999999999995</v>
      </c>
      <c r="I5" s="1280">
        <f t="shared" ca="1" si="0"/>
        <v>3360</v>
      </c>
      <c r="J5" s="1280">
        <f t="shared" ca="1" si="0"/>
        <v>3360</v>
      </c>
      <c r="K5" s="1280">
        <f t="shared" ca="1" si="0"/>
        <v>4199.9999999999991</v>
      </c>
      <c r="L5" s="1280">
        <f t="shared" ca="1" si="0"/>
        <v>5039.9999999999991</v>
      </c>
      <c r="M5" s="1280" t="str">
        <f t="shared" ref="M5:M10" ca="1" si="1">INDEX(INDIRECT($C5&amp;".Info[Information type]"),MATCH($N$5,INDIRECT($C5&amp;".Info[Vector]"),0))</f>
        <v>onshore wind if 0.5 W/m2</v>
      </c>
      <c r="N5" s="1278" t="s">
        <v>1227</v>
      </c>
      <c r="O5" s="1279" t="str">
        <f>INDEX(Vectors[Description],MATCH($N5,Vectors[Code],0))</f>
        <v>Nigeria Land area</v>
      </c>
      <c r="P5" s="1278" t="str">
        <f t="shared" ref="P5:P12" si="2">Preferences.AreaUnits</f>
        <v>km^2</v>
      </c>
      <c r="Q5" s="1130"/>
    </row>
    <row r="6" spans="1:17" x14ac:dyDescent="0.2">
      <c r="A6" s="38"/>
      <c r="B6" s="1129"/>
      <c r="C6" s="1278" t="s">
        <v>2366</v>
      </c>
      <c r="D6" s="1280">
        <f t="shared" ca="1" si="0"/>
        <v>62.181818181818159</v>
      </c>
      <c r="E6" s="1280">
        <f t="shared" ca="1" si="0"/>
        <v>62.181818181818159</v>
      </c>
      <c r="F6" s="1280">
        <f t="shared" ca="1" si="0"/>
        <v>106.03636363636362</v>
      </c>
      <c r="G6" s="1280">
        <f t="shared" ca="1" si="0"/>
        <v>149.56363636363633</v>
      </c>
      <c r="H6" s="1280">
        <f t="shared" ca="1" si="0"/>
        <v>193.41818181818175</v>
      </c>
      <c r="I6" s="1280">
        <f t="shared" ca="1" si="0"/>
        <v>236.94545454545448</v>
      </c>
      <c r="J6" s="1280">
        <f t="shared" ca="1" si="0"/>
        <v>280.7999999999999</v>
      </c>
      <c r="K6" s="1280">
        <f t="shared" ca="1" si="0"/>
        <v>324.32727272727266</v>
      </c>
      <c r="L6" s="1280">
        <f t="shared" ca="1" si="0"/>
        <v>368.18181818181807</v>
      </c>
      <c r="M6" s="1280" t="str">
        <f t="shared" ca="1" si="1"/>
        <v>hydroelectric resevoir assuming similar to Loch Sloy</v>
      </c>
      <c r="N6" s="1278" t="s">
        <v>1227</v>
      </c>
      <c r="O6" s="1279" t="str">
        <f>INDEX(Vectors[Description],MATCH($N6,Vectors[Code],0))</f>
        <v>Nigeria Land area</v>
      </c>
      <c r="P6" s="1278" t="str">
        <f t="shared" si="2"/>
        <v>km^2</v>
      </c>
      <c r="Q6" s="1130"/>
    </row>
    <row r="7" spans="1:17" s="2479" customFormat="1" x14ac:dyDescent="0.2">
      <c r="B7" s="1129"/>
      <c r="C7" s="1278" t="s">
        <v>2365</v>
      </c>
      <c r="D7" s="1280">
        <f t="shared" ca="1" si="0"/>
        <v>2.0945454545454538</v>
      </c>
      <c r="E7" s="1280">
        <f t="shared" ca="1" si="0"/>
        <v>2.0945454545454538</v>
      </c>
      <c r="F7" s="1280">
        <f t="shared" ca="1" si="0"/>
        <v>2.0945454545454538</v>
      </c>
      <c r="G7" s="1280">
        <f t="shared" ca="1" si="0"/>
        <v>34.228051948051842</v>
      </c>
      <c r="H7" s="1280">
        <f t="shared" ca="1" si="0"/>
        <v>50.291532467532313</v>
      </c>
      <c r="I7" s="1280">
        <f t="shared" ca="1" si="0"/>
        <v>66.355012987013112</v>
      </c>
      <c r="J7" s="1280">
        <f t="shared" ca="1" si="0"/>
        <v>82.418493506493576</v>
      </c>
      <c r="K7" s="1280">
        <f t="shared" ca="1" si="0"/>
        <v>98.481974025974054</v>
      </c>
      <c r="L7" s="1280">
        <f t="shared" ca="1" si="0"/>
        <v>114.5454545454545</v>
      </c>
      <c r="M7" s="1280" t="str">
        <f t="shared" ca="1" si="1"/>
        <v>hydroelectric resevoir assuming similar to Loch Sloy</v>
      </c>
      <c r="N7" s="1278" t="s">
        <v>1227</v>
      </c>
      <c r="O7" s="1279" t="str">
        <f>INDEX(Vectors[Description],MATCH($N7,Vectors[Code],0))</f>
        <v>Nigeria Land area</v>
      </c>
      <c r="P7" s="1278"/>
      <c r="Q7" s="1130"/>
    </row>
    <row r="8" spans="1:17" x14ac:dyDescent="0.2">
      <c r="A8" s="38"/>
      <c r="B8" s="1129"/>
      <c r="C8" s="1278" t="s">
        <v>409</v>
      </c>
      <c r="D8" s="1280">
        <f t="shared" ca="1" si="0"/>
        <v>1.6355140186915879E-2</v>
      </c>
      <c r="E8" s="1280">
        <f t="shared" ca="1" si="0"/>
        <v>0.54517133956386277</v>
      </c>
      <c r="F8" s="1280">
        <f t="shared" ca="1" si="0"/>
        <v>11.852024922118375</v>
      </c>
      <c r="G8" s="1280">
        <f t="shared" ca="1" si="0"/>
        <v>19.331775700934575</v>
      </c>
      <c r="H8" s="1280">
        <f t="shared" ca="1" si="0"/>
        <v>26.800623052959494</v>
      </c>
      <c r="I8" s="1280">
        <f t="shared" ca="1" si="0"/>
        <v>33.184579439252325</v>
      </c>
      <c r="J8" s="1280">
        <f t="shared" ca="1" si="0"/>
        <v>40.342679127725845</v>
      </c>
      <c r="K8" s="1280">
        <f t="shared" ca="1" si="0"/>
        <v>49.223520249221174</v>
      </c>
      <c r="L8" s="1280">
        <f t="shared" ca="1" si="0"/>
        <v>65.420560747663529</v>
      </c>
      <c r="M8" s="1280" t="str">
        <f t="shared" ca="1" si="1"/>
        <v>solar PV if 20% efficient</v>
      </c>
      <c r="N8" s="1278" t="s">
        <v>1227</v>
      </c>
      <c r="O8" s="1279" t="str">
        <f>INDEX(Vectors[Description],MATCH($N8,Vectors[Code],0))</f>
        <v>Nigeria Land area</v>
      </c>
      <c r="P8" s="1278" t="str">
        <f t="shared" si="2"/>
        <v>km^2</v>
      </c>
      <c r="Q8" s="1130"/>
    </row>
    <row r="9" spans="1:17" s="1318" customFormat="1" x14ac:dyDescent="0.2">
      <c r="B9" s="1129"/>
      <c r="C9" s="1278" t="s">
        <v>1347</v>
      </c>
      <c r="D9" s="1280">
        <f t="shared" ca="1" si="0"/>
        <v>323318.8</v>
      </c>
      <c r="E9" s="1280">
        <f t="shared" ca="1" si="0"/>
        <v>323318.8</v>
      </c>
      <c r="F9" s="1280">
        <f t="shared" ca="1" si="0"/>
        <v>323318.8</v>
      </c>
      <c r="G9" s="1280">
        <f t="shared" ca="1" si="0"/>
        <v>323318.8</v>
      </c>
      <c r="H9" s="1280">
        <f t="shared" ca="1" si="0"/>
        <v>323318.8</v>
      </c>
      <c r="I9" s="1280">
        <f t="shared" ca="1" si="0"/>
        <v>323318.8</v>
      </c>
      <c r="J9" s="1280">
        <f t="shared" ca="1" si="0"/>
        <v>323318.8</v>
      </c>
      <c r="K9" s="1280">
        <f t="shared" ca="1" si="0"/>
        <v>323318.8</v>
      </c>
      <c r="L9" s="1280">
        <f t="shared" ca="1" si="0"/>
        <v>323318.8</v>
      </c>
      <c r="M9" s="1280" t="str">
        <f t="shared" ca="1" si="1"/>
        <v>Area of biocrops</v>
      </c>
      <c r="N9" s="1278" t="s">
        <v>1227</v>
      </c>
      <c r="O9" s="1279" t="str">
        <f>INDEX(Vectors[Description],MATCH($N9,Vectors[Code],0))</f>
        <v>Nigeria Land area</v>
      </c>
      <c r="P9" s="1278" t="str">
        <f t="shared" si="2"/>
        <v>km^2</v>
      </c>
      <c r="Q9" s="1130"/>
    </row>
    <row r="10" spans="1:17" x14ac:dyDescent="0.2">
      <c r="A10" s="38"/>
      <c r="B10" s="1129"/>
      <c r="C10" s="1278" t="s">
        <v>1348</v>
      </c>
      <c r="D10" s="1280">
        <f t="shared" ca="1" si="0"/>
        <v>286368.08</v>
      </c>
      <c r="E10" s="1280">
        <f t="shared" ca="1" si="0"/>
        <v>286368.08</v>
      </c>
      <c r="F10" s="1280">
        <f t="shared" ca="1" si="0"/>
        <v>286368.08</v>
      </c>
      <c r="G10" s="1280">
        <f t="shared" ca="1" si="0"/>
        <v>286368.08</v>
      </c>
      <c r="H10" s="1280">
        <f t="shared" ca="1" si="0"/>
        <v>286368.08</v>
      </c>
      <c r="I10" s="1280">
        <f t="shared" ca="1" si="0"/>
        <v>286368.08</v>
      </c>
      <c r="J10" s="1280">
        <f t="shared" ca="1" si="0"/>
        <v>286368.08</v>
      </c>
      <c r="K10" s="1280">
        <f t="shared" ca="1" si="0"/>
        <v>286368.08</v>
      </c>
      <c r="L10" s="1280">
        <f t="shared" ca="1" si="0"/>
        <v>286368.08</v>
      </c>
      <c r="M10" s="1280" t="str">
        <f t="shared" ca="1" si="1"/>
        <v>Area of forest</v>
      </c>
      <c r="N10" s="1278" t="s">
        <v>1227</v>
      </c>
      <c r="O10" s="1279" t="str">
        <f>INDEX(Vectors[Description],MATCH($N10,Vectors[Code],0))</f>
        <v>Nigeria Land area</v>
      </c>
      <c r="P10" s="1278" t="str">
        <f t="shared" si="2"/>
        <v>km^2</v>
      </c>
      <c r="Q10" s="1130"/>
    </row>
    <row r="11" spans="1:17" s="1281" customFormat="1" x14ac:dyDescent="0.2">
      <c r="B11" s="1129"/>
      <c r="C11" s="1278" t="s">
        <v>838</v>
      </c>
      <c r="D11" s="1280">
        <f t="shared" ca="1" si="0"/>
        <v>166461.42570247839</v>
      </c>
      <c r="E11" s="1280">
        <f t="shared" ca="1" si="0"/>
        <v>191168.23461961726</v>
      </c>
      <c r="F11" s="1280">
        <f t="shared" ca="1" si="0"/>
        <v>218052.62969199242</v>
      </c>
      <c r="G11" s="1280">
        <f t="shared" ca="1" si="0"/>
        <v>248338.15608484231</v>
      </c>
      <c r="H11" s="1280">
        <f t="shared" ca="1" si="0"/>
        <v>275272.24612056802</v>
      </c>
      <c r="I11" s="1280">
        <f t="shared" ca="1" si="0"/>
        <v>306469.52312520309</v>
      </c>
      <c r="J11" s="1280">
        <f t="shared" ca="1" si="0"/>
        <v>338201.75593645027</v>
      </c>
      <c r="K11" s="1280">
        <f t="shared" ca="1" si="0"/>
        <v>371351.10103950318</v>
      </c>
      <c r="L11" s="1280">
        <f t="shared" ca="1" si="0"/>
        <v>402619.51427686744</v>
      </c>
      <c r="M11" s="1280" t="str">
        <f ca="1">INDEX(INDIRECT($C11&amp;".Info[Information type]"),MATCH($N$11,INDIRECT($C11&amp;".Info[Vector]"),0))</f>
        <v>biocrops overseas if 0.6W/m2 productivity</v>
      </c>
      <c r="N11" s="1278" t="s">
        <v>1293</v>
      </c>
      <c r="O11" s="1279" t="str">
        <f>INDEX(Vectors[Description],MATCH($N11,Vectors[Code],0))</f>
        <v>Land area overseas</v>
      </c>
      <c r="P11" s="1278" t="str">
        <f t="shared" si="2"/>
        <v>km^2</v>
      </c>
      <c r="Q11" s="1130"/>
    </row>
    <row r="12" spans="1:17" s="1281" customFormat="1" x14ac:dyDescent="0.2">
      <c r="B12" s="1129"/>
      <c r="C12" s="1278" t="s">
        <v>305</v>
      </c>
      <c r="D12" s="1280">
        <f t="shared" ca="1" si="0"/>
        <v>0</v>
      </c>
      <c r="E12" s="1280">
        <f t="shared" ca="1" si="0"/>
        <v>0</v>
      </c>
      <c r="F12" s="1280">
        <f t="shared" ca="1" si="0"/>
        <v>0</v>
      </c>
      <c r="G12" s="1280">
        <f t="shared" ca="1" si="0"/>
        <v>0</v>
      </c>
      <c r="H12" s="1280">
        <f t="shared" ca="1" si="0"/>
        <v>1.7765609552057184</v>
      </c>
      <c r="I12" s="1280">
        <f t="shared" ca="1" si="0"/>
        <v>3.5531219104114369</v>
      </c>
      <c r="J12" s="1280">
        <f t="shared" ca="1" si="0"/>
        <v>5.3296828656171575</v>
      </c>
      <c r="K12" s="1280">
        <f t="shared" ca="1" si="0"/>
        <v>7.1062438208228738</v>
      </c>
      <c r="L12" s="1280">
        <f t="shared" ca="1" si="0"/>
        <v>8.8828047760285944</v>
      </c>
      <c r="M12" s="1280" t="str">
        <f ca="1">INDEX(INDIRECT($C12&amp;".Info[Information type]"),MATCH($N$12,INDIRECT($C12&amp;".Info[Vector]"),0))</f>
        <v>Interconnector capacity</v>
      </c>
      <c r="N12" s="1278" t="s">
        <v>1594</v>
      </c>
      <c r="O12" s="1279" t="str">
        <f>INDEX(Vectors[Description],MATCH($N12,Vectors[Code],0))</f>
        <v>Interconnector capacity</v>
      </c>
      <c r="P12" s="1278" t="str">
        <f t="shared" si="2"/>
        <v>km^2</v>
      </c>
      <c r="Q12" s="1130"/>
    </row>
    <row r="13" spans="1:17" s="1281" customFormat="1" x14ac:dyDescent="0.2">
      <c r="B13" s="1129"/>
      <c r="C13" s="1278" t="s">
        <v>288</v>
      </c>
      <c r="D13" s="1280">
        <f t="shared" ca="1" si="0"/>
        <v>3</v>
      </c>
      <c r="E13" s="1280">
        <f t="shared" ca="1" si="0"/>
        <v>8</v>
      </c>
      <c r="F13" s="1280">
        <f t="shared" ca="1" si="0"/>
        <v>19.329999999999998</v>
      </c>
      <c r="G13" s="1280">
        <f t="shared" ca="1" si="0"/>
        <v>26.84</v>
      </c>
      <c r="H13" s="1280">
        <f t="shared" ca="1" si="0"/>
        <v>34.39</v>
      </c>
      <c r="I13" s="1280">
        <f t="shared" ca="1" si="0"/>
        <v>45.93</v>
      </c>
      <c r="J13" s="1280">
        <f t="shared" ca="1" si="0"/>
        <v>57.47</v>
      </c>
      <c r="K13" s="1280">
        <f t="shared" ca="1" si="0"/>
        <v>69.02</v>
      </c>
      <c r="L13" s="1280">
        <f t="shared" ca="1" si="0"/>
        <v>80.56</v>
      </c>
      <c r="M13" s="1280" t="str">
        <f ca="1">INDEX(INDIRECT($C13&amp;".Info[Information type]"),MATCH($N$13,INDIRECT($C13&amp;".Info[Vector]"),0))</f>
        <v>1 GW thermal power stations</v>
      </c>
      <c r="N13" s="1278" t="s">
        <v>1233</v>
      </c>
      <c r="O13" s="1279" t="str">
        <f>INDEX(Vectors[Description],MATCH($N13,Vectors[Code],0))</f>
        <v>Number of units</v>
      </c>
      <c r="P13" s="1278" t="s">
        <v>1275</v>
      </c>
      <c r="Q13" s="1130"/>
    </row>
    <row r="14" spans="1:17" s="1281" customFormat="1" x14ac:dyDescent="0.2">
      <c r="B14" s="1129"/>
      <c r="C14" s="1278" t="s">
        <v>352</v>
      </c>
      <c r="D14" s="1280">
        <f t="shared" ca="1" si="0"/>
        <v>0</v>
      </c>
      <c r="E14" s="1280">
        <f t="shared" ca="1" si="0"/>
        <v>0</v>
      </c>
      <c r="F14" s="1280">
        <f t="shared" ca="1" si="0"/>
        <v>200</v>
      </c>
      <c r="G14" s="1280">
        <f t="shared" ca="1" si="0"/>
        <v>400</v>
      </c>
      <c r="H14" s="1280">
        <f t="shared" ca="1" si="0"/>
        <v>500</v>
      </c>
      <c r="I14" s="1280">
        <f t="shared" ca="1" si="0"/>
        <v>800</v>
      </c>
      <c r="J14" s="1280">
        <f t="shared" ca="1" si="0"/>
        <v>1200</v>
      </c>
      <c r="K14" s="1280">
        <f t="shared" ca="1" si="0"/>
        <v>1600</v>
      </c>
      <c r="L14" s="1280">
        <f t="shared" ca="1" si="0"/>
        <v>2000</v>
      </c>
      <c r="M14" s="1280" t="str">
        <f ca="1">INDEX(INDIRECT($C14&amp;".Info[Information type]"),MATCH($N$13,INDIRECT($C14&amp;".Info[Vector]"),0))</f>
        <v>0.005 GW thermal power stations</v>
      </c>
      <c r="N14" s="1278" t="s">
        <v>1233</v>
      </c>
      <c r="O14" s="1279" t="str">
        <f>INDEX(Vectors[Description],MATCH($N14,Vectors[Code],0))</f>
        <v>Number of units</v>
      </c>
      <c r="P14" s="1278" t="s">
        <v>1275</v>
      </c>
      <c r="Q14" s="1130"/>
    </row>
    <row r="15" spans="1:17" s="1281" customFormat="1" x14ac:dyDescent="0.2">
      <c r="B15" s="1129"/>
      <c r="C15" s="1278" t="s">
        <v>2146</v>
      </c>
      <c r="D15" s="1280">
        <f t="shared" ca="1" si="0"/>
        <v>0</v>
      </c>
      <c r="E15" s="1280">
        <f t="shared" ca="1" si="0"/>
        <v>0</v>
      </c>
      <c r="F15" s="1280">
        <f t="shared" ca="1" si="0"/>
        <v>0</v>
      </c>
      <c r="G15" s="1280">
        <f t="shared" ca="1" si="0"/>
        <v>4</v>
      </c>
      <c r="H15" s="1280">
        <f t="shared" ca="1" si="0"/>
        <v>12.1</v>
      </c>
      <c r="I15" s="1280">
        <f t="shared" ca="1" si="0"/>
        <v>22.8</v>
      </c>
      <c r="J15" s="1280">
        <f t="shared" ca="1" si="0"/>
        <v>33.6</v>
      </c>
      <c r="K15" s="1280">
        <f t="shared" ca="1" si="0"/>
        <v>44.3</v>
      </c>
      <c r="L15" s="1280">
        <f t="shared" ca="1" si="0"/>
        <v>55</v>
      </c>
      <c r="M15" s="1280" t="str">
        <f ca="1">INDEX(INDIRECT($C15&amp;".Info[Information type]"),MATCH($N$13,INDIRECT($C15&amp;".Info[Vector]"),0))</f>
        <v>1 GW thermal power stations</v>
      </c>
      <c r="N15" s="1278" t="s">
        <v>1233</v>
      </c>
      <c r="O15" s="1279" t="str">
        <f>INDEX(Vectors[Description],MATCH($N15,Vectors[Code],0))</f>
        <v>Number of units</v>
      </c>
      <c r="P15" s="1278" t="s">
        <v>1275</v>
      </c>
      <c r="Q15" s="1130"/>
    </row>
    <row r="16" spans="1:17" s="1281" customFormat="1" x14ac:dyDescent="0.2">
      <c r="B16" s="1129"/>
      <c r="C16" s="1278" t="s">
        <v>297</v>
      </c>
      <c r="D16" s="1280">
        <f t="shared" ca="1" si="0"/>
        <v>0</v>
      </c>
      <c r="E16" s="1280">
        <f t="shared" ca="1" si="0"/>
        <v>0</v>
      </c>
      <c r="F16" s="1280">
        <f t="shared" ca="1" si="0"/>
        <v>0</v>
      </c>
      <c r="G16" s="1280">
        <f t="shared" ca="1" si="0"/>
        <v>1</v>
      </c>
      <c r="H16" s="1280">
        <f t="shared" ca="1" si="0"/>
        <v>1.9</v>
      </c>
      <c r="I16" s="1280">
        <f t="shared" ca="1" si="0"/>
        <v>3.7</v>
      </c>
      <c r="J16" s="1280">
        <f t="shared" ca="1" si="0"/>
        <v>7.1</v>
      </c>
      <c r="K16" s="1280">
        <f t="shared" ca="1" si="0"/>
        <v>13.7</v>
      </c>
      <c r="L16" s="1280">
        <f t="shared" ca="1" si="0"/>
        <v>26.5</v>
      </c>
      <c r="M16" s="1280" t="str">
        <f ca="1">INDEX(INDIRECT($C16&amp;".Info[Information type]"),MATCH($N$13,INDIRECT($C16&amp;".Info[Vector]"),0))</f>
        <v>1 GW nuclear power station complexes</v>
      </c>
      <c r="N16" s="1278" t="s">
        <v>1233</v>
      </c>
      <c r="O16" s="1279" t="str">
        <f>INDEX(Vectors[Description],MATCH($N16,Vectors[Code],0))</f>
        <v>Number of units</v>
      </c>
      <c r="P16" s="1278" t="s">
        <v>1275</v>
      </c>
      <c r="Q16" s="1130"/>
    </row>
    <row r="17" spans="2:18" s="2479" customFormat="1" x14ac:dyDescent="0.2">
      <c r="B17" s="1129"/>
      <c r="C17" s="1278" t="s">
        <v>2364</v>
      </c>
      <c r="D17" s="1280">
        <f t="shared" ca="1" si="0"/>
        <v>0</v>
      </c>
      <c r="E17" s="1280">
        <f t="shared" ca="1" si="0"/>
        <v>0</v>
      </c>
      <c r="F17" s="1280">
        <f t="shared" ca="1" si="0"/>
        <v>6.400311526479749</v>
      </c>
      <c r="G17" s="1280">
        <f t="shared" ca="1" si="0"/>
        <v>17.151090342679122</v>
      </c>
      <c r="H17" s="1280">
        <f t="shared" ca="1" si="0"/>
        <v>33.342679127725845</v>
      </c>
      <c r="I17" s="1280">
        <f t="shared" ca="1" si="0"/>
        <v>60.443146417445462</v>
      </c>
      <c r="J17" s="1280">
        <f t="shared" ca="1" si="0"/>
        <v>76.640186915887838</v>
      </c>
      <c r="K17" s="1280">
        <f t="shared" ca="1" si="0"/>
        <v>98.288940809968807</v>
      </c>
      <c r="L17" s="1280">
        <f t="shared" ca="1" si="0"/>
        <v>119.9376947040498</v>
      </c>
      <c r="M17" s="1280" t="str">
        <f ca="1">INDEX(INDIRECT($C17&amp;".Info[Information type]"),MATCH($N$17,INDIRECT($C17&amp;".Info[Vector]"),0))</f>
        <v>solar PV if 20% efficient</v>
      </c>
      <c r="N17" s="1278" t="s">
        <v>1227</v>
      </c>
      <c r="O17" s="1279" t="str">
        <f>INDEX(Vectors[Description],MATCH($N17,Vectors[Code],0))</f>
        <v>Nigeria Land area</v>
      </c>
      <c r="P17" s="1278" t="s">
        <v>1275</v>
      </c>
      <c r="Q17" s="1130"/>
    </row>
    <row r="18" spans="2:18" s="2479" customFormat="1" x14ac:dyDescent="0.2">
      <c r="B18" s="1129"/>
      <c r="C18" s="1278" t="s">
        <v>2376</v>
      </c>
      <c r="D18" s="1280">
        <f t="shared" ca="1" si="0"/>
        <v>0</v>
      </c>
      <c r="E18" s="1280">
        <f t="shared" ca="1" si="0"/>
        <v>0</v>
      </c>
      <c r="F18" s="1280">
        <f t="shared" ca="1" si="0"/>
        <v>5.9293873312564891</v>
      </c>
      <c r="G18" s="1280">
        <f t="shared" ca="1" si="0"/>
        <v>11.86915887850467</v>
      </c>
      <c r="H18" s="1280">
        <f t="shared" ca="1" si="0"/>
        <v>17.79854620976116</v>
      </c>
      <c r="I18" s="1280">
        <f t="shared" ca="1" si="0"/>
        <v>23.738317757009341</v>
      </c>
      <c r="J18" s="1280">
        <f t="shared" ca="1" si="0"/>
        <v>29.66770508826583</v>
      </c>
      <c r="K18" s="1280">
        <f t="shared" ca="1" si="0"/>
        <v>35.607476635514011</v>
      </c>
      <c r="L18" s="1280">
        <f t="shared" ca="1" si="0"/>
        <v>41.536863966770497</v>
      </c>
      <c r="M18" s="1280" t="str">
        <f ca="1">INDEX(INDIRECT($C18&amp;".Info[Information type]"),MATCH($N$18,INDIRECT($C18&amp;".Info[Vector]"),0))</f>
        <v>CSP if 35% efficient</v>
      </c>
      <c r="N18" s="1278" t="s">
        <v>1227</v>
      </c>
      <c r="O18" s="1279" t="str">
        <f>INDEX(Vectors[Description],MATCH($N18,Vectors[Code],0))</f>
        <v>Nigeria Land area</v>
      </c>
      <c r="P18" s="1278" t="s">
        <v>1275</v>
      </c>
      <c r="Q18" s="1130"/>
    </row>
    <row r="19" spans="2:18" s="1281" customFormat="1" x14ac:dyDescent="0.2">
      <c r="B19" s="1129"/>
      <c r="C19" s="1278" t="s">
        <v>402</v>
      </c>
      <c r="D19" s="1280">
        <f t="shared" ca="1" si="0"/>
        <v>20.214669767441862</v>
      </c>
      <c r="E19" s="1280">
        <f t="shared" ca="1" si="0"/>
        <v>25.203279069767444</v>
      </c>
      <c r="F19" s="1280">
        <f t="shared" ca="1" si="0"/>
        <v>30.200632558139535</v>
      </c>
      <c r="G19" s="1280">
        <f t="shared" ca="1" si="0"/>
        <v>28.878276744186042</v>
      </c>
      <c r="H19" s="1280">
        <f t="shared" ca="1" si="0"/>
        <v>27.55638604651163</v>
      </c>
      <c r="I19" s="1280">
        <f t="shared" ca="1" si="0"/>
        <v>26.14705930232558</v>
      </c>
      <c r="J19" s="1280">
        <f t="shared" ca="1" si="0"/>
        <v>24.737732558139534</v>
      </c>
      <c r="K19" s="1280">
        <f t="shared" ca="1" si="0"/>
        <v>23.328405813953488</v>
      </c>
      <c r="L19" s="1280">
        <f t="shared" ca="1" si="0"/>
        <v>21.919079069767442</v>
      </c>
      <c r="M19" s="1278" t="str">
        <f ca="1">INDEX(INDIRECT($C19&amp;".Info[Information type]"),MATCH($N$13,INDIRECT($C19&amp;".Info[Vector]"),0))</f>
        <v>Number of Household, C&amp;I and CDW to energy facilities</v>
      </c>
      <c r="N19" s="1278" t="s">
        <v>1233</v>
      </c>
      <c r="O19" s="1279" t="str">
        <f>INDEX(Vectors[Description],MATCH($N19,Vectors[Code],0))</f>
        <v>Number of units</v>
      </c>
      <c r="P19" s="1278" t="s">
        <v>1275</v>
      </c>
      <c r="Q19" s="1130"/>
    </row>
    <row r="20" spans="2:18" x14ac:dyDescent="0.2">
      <c r="B20" s="1129"/>
      <c r="C20" s="1278"/>
      <c r="D20" s="1280"/>
      <c r="E20" s="1280"/>
      <c r="F20" s="1280"/>
      <c r="G20" s="1280"/>
      <c r="H20" s="1280"/>
      <c r="I20" s="1280"/>
      <c r="J20" s="1280"/>
      <c r="K20" s="1280"/>
      <c r="L20" s="1280"/>
      <c r="M20" s="1278"/>
      <c r="N20" s="1278"/>
      <c r="O20" s="1279"/>
      <c r="P20" s="1278"/>
      <c r="Q20" s="1130"/>
    </row>
    <row r="22" spans="2:18" x14ac:dyDescent="0.2">
      <c r="R22" s="2370"/>
    </row>
    <row r="23" spans="2:18" x14ac:dyDescent="0.2">
      <c r="Q23" s="2370"/>
      <c r="R23" s="2370"/>
    </row>
    <row r="24" spans="2:18" x14ac:dyDescent="0.2">
      <c r="Q24" s="2370"/>
      <c r="R24" s="2370"/>
    </row>
    <row r="25" spans="2:18" x14ac:dyDescent="0.2">
      <c r="Q25" s="2370"/>
      <c r="R25" s="2370"/>
    </row>
    <row r="26" spans="2:18" x14ac:dyDescent="0.2">
      <c r="Q26" s="2370"/>
      <c r="R26" s="2370"/>
    </row>
  </sheetData>
  <pageMargins left="0.7" right="0.7" top="0.75" bottom="0.75" header="0.3" footer="0.3"/>
  <pageSetup paperSize="9" orientation="portrait" horizontalDpi="4294967292" verticalDpi="429496729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W111"/>
  <sheetViews>
    <sheetView windowProtection="1" topLeftCell="A5" workbookViewId="0">
      <selection activeCell="C5" sqref="C5:M68"/>
    </sheetView>
  </sheetViews>
  <sheetFormatPr defaultColWidth="8.85546875" defaultRowHeight="12.75" x14ac:dyDescent="0.2"/>
  <cols>
    <col min="1" max="2" width="2.140625" style="37" customWidth="1"/>
    <col min="3" max="3" width="22.140625" style="37" bestFit="1" customWidth="1"/>
    <col min="4" max="4" width="37.28515625" style="37" customWidth="1"/>
    <col min="5" max="5" width="19.42578125" style="37" bestFit="1" customWidth="1"/>
    <col min="6" max="15" width="8.85546875" style="37"/>
    <col min="16" max="16" width="3.42578125" style="37" customWidth="1"/>
    <col min="17" max="17" width="28.42578125" style="37" customWidth="1"/>
    <col min="18" max="18" width="15.7109375" style="37" customWidth="1"/>
    <col min="19" max="49" width="6.140625" style="1347" customWidth="1"/>
    <col min="50" max="16384" width="8.85546875" style="37"/>
  </cols>
  <sheetData>
    <row r="1" spans="2:49" x14ac:dyDescent="0.2">
      <c r="N1" s="1295"/>
    </row>
    <row r="2" spans="2:49" ht="15.75" x14ac:dyDescent="0.2">
      <c r="B2" s="1122" t="s">
        <v>1961</v>
      </c>
      <c r="C2" s="1123"/>
      <c r="D2" s="1123"/>
      <c r="E2" s="1124"/>
      <c r="F2" s="1124"/>
      <c r="G2" s="1124"/>
      <c r="H2" s="1124"/>
      <c r="I2" s="1124"/>
      <c r="J2" s="1124"/>
      <c r="K2" s="1124"/>
      <c r="L2" s="1124"/>
      <c r="M2" s="1124"/>
      <c r="N2" s="1125"/>
      <c r="P2" s="1122" t="s">
        <v>1962</v>
      </c>
      <c r="Q2" s="2194"/>
      <c r="R2" s="2194"/>
      <c r="S2" s="2194"/>
      <c r="T2" s="2194"/>
      <c r="U2" s="2195"/>
      <c r="V2" s="2195"/>
      <c r="W2" s="2195"/>
      <c r="X2" s="2195"/>
      <c r="Y2" s="2195"/>
      <c r="Z2" s="2195"/>
      <c r="AA2" s="2195"/>
      <c r="AB2" s="2195"/>
      <c r="AC2" s="2195"/>
      <c r="AD2" s="2195"/>
      <c r="AE2" s="2195"/>
      <c r="AF2" s="2195"/>
      <c r="AG2" s="2195"/>
      <c r="AH2" s="2195"/>
      <c r="AI2" s="2195"/>
      <c r="AJ2" s="2195"/>
      <c r="AK2" s="2195"/>
      <c r="AL2" s="2195"/>
      <c r="AM2" s="2195"/>
      <c r="AN2" s="2195"/>
      <c r="AO2" s="2195"/>
      <c r="AP2" s="2195"/>
      <c r="AQ2" s="2195"/>
      <c r="AR2" s="2195"/>
      <c r="AS2" s="2195"/>
      <c r="AT2" s="2195"/>
      <c r="AU2" s="2195"/>
      <c r="AV2" s="37"/>
      <c r="AW2" s="37"/>
    </row>
    <row r="3" spans="2:49" ht="15.75" x14ac:dyDescent="0.2">
      <c r="B3" s="1131"/>
      <c r="C3" s="1127"/>
      <c r="D3" s="1127"/>
      <c r="E3" s="1128"/>
      <c r="F3" s="1128"/>
      <c r="G3" s="1128"/>
      <c r="H3" s="1128"/>
      <c r="I3" s="1128"/>
      <c r="J3" s="1128"/>
      <c r="K3" s="1128"/>
      <c r="L3" s="1128"/>
      <c r="M3" s="1128"/>
      <c r="N3" s="1132"/>
      <c r="P3" s="1131"/>
      <c r="Q3" s="2196"/>
      <c r="R3" s="2196"/>
      <c r="S3" s="2196"/>
      <c r="T3" s="2196"/>
      <c r="U3" s="2197"/>
      <c r="V3" s="2197"/>
      <c r="W3" s="2197"/>
      <c r="X3" s="2197"/>
      <c r="Y3" s="2197"/>
      <c r="Z3" s="2197"/>
      <c r="AA3" s="2197"/>
      <c r="AB3" s="2197"/>
      <c r="AC3" s="2197"/>
      <c r="AD3" s="2197"/>
      <c r="AE3" s="2197"/>
      <c r="AF3" s="2197"/>
      <c r="AG3" s="2197"/>
      <c r="AH3" s="2197"/>
      <c r="AI3" s="2197"/>
      <c r="AJ3" s="2197"/>
      <c r="AK3" s="2197"/>
      <c r="AL3" s="2197"/>
      <c r="AM3" s="2197"/>
      <c r="AN3" s="2197"/>
      <c r="AO3" s="2197"/>
      <c r="AP3" s="2197"/>
      <c r="AQ3" s="2197"/>
      <c r="AR3" s="2197"/>
      <c r="AS3" s="2197"/>
      <c r="AT3" s="2197"/>
      <c r="AU3" s="2197"/>
      <c r="AV3" s="37"/>
      <c r="AW3" s="37"/>
    </row>
    <row r="4" spans="2:49" ht="15.75" x14ac:dyDescent="0.2">
      <c r="B4" s="2189"/>
      <c r="C4" s="1126"/>
      <c r="D4" s="1126"/>
      <c r="E4" s="2190"/>
      <c r="F4" s="2190"/>
      <c r="G4" s="2190"/>
      <c r="H4" s="2190"/>
      <c r="I4" s="2190"/>
      <c r="J4" s="2190"/>
      <c r="K4" s="2190"/>
      <c r="L4" s="2190"/>
      <c r="M4" s="2192" t="str">
        <f>Preferences.EnergyUnits</f>
        <v>TWh</v>
      </c>
      <c r="N4" s="2191"/>
      <c r="P4" s="2189"/>
      <c r="Q4" s="1283" t="s">
        <v>1964</v>
      </c>
      <c r="R4" s="2193"/>
      <c r="S4" s="2193"/>
      <c r="T4" s="2193"/>
      <c r="U4" s="2198"/>
      <c r="V4" s="2198"/>
      <c r="W4" s="2198"/>
      <c r="X4" s="2198"/>
      <c r="Y4" s="2198"/>
      <c r="Z4" s="2198"/>
      <c r="AA4" s="1283" t="s">
        <v>1965</v>
      </c>
      <c r="AB4" s="2193"/>
      <c r="AC4" s="2193"/>
      <c r="AD4" s="2193"/>
      <c r="AE4" s="2198"/>
      <c r="AF4" s="2198"/>
      <c r="AG4" s="2198"/>
      <c r="AH4" s="2198"/>
      <c r="AI4" s="2198"/>
      <c r="AJ4" s="2198"/>
      <c r="AK4" s="2193" t="s">
        <v>1963</v>
      </c>
      <c r="AL4" s="2193"/>
      <c r="AM4" s="2193"/>
      <c r="AN4" s="2193"/>
      <c r="AO4" s="2198"/>
      <c r="AP4" s="2198"/>
      <c r="AQ4" s="2198"/>
      <c r="AR4" s="2198"/>
      <c r="AS4" s="2198"/>
      <c r="AT4" s="2198"/>
      <c r="AU4" s="2198"/>
      <c r="AV4" s="37"/>
      <c r="AW4" s="37"/>
    </row>
    <row r="5" spans="2:49" s="2479" customFormat="1" ht="15.75" x14ac:dyDescent="0.2">
      <c r="B5" s="1129"/>
      <c r="C5" s="1282" t="s">
        <v>1319</v>
      </c>
      <c r="D5" s="1284" t="s">
        <v>1320</v>
      </c>
      <c r="E5" s="1285" t="s">
        <v>241</v>
      </c>
      <c r="F5" s="1285" t="s">
        <v>268</v>
      </c>
      <c r="G5" s="1285" t="s">
        <v>269</v>
      </c>
      <c r="H5" s="1285" t="s">
        <v>270</v>
      </c>
      <c r="I5" s="1285" t="s">
        <v>271</v>
      </c>
      <c r="J5" s="1285" t="s">
        <v>272</v>
      </c>
      <c r="K5" s="1285" t="s">
        <v>273</v>
      </c>
      <c r="L5" s="1285" t="s">
        <v>274</v>
      </c>
      <c r="M5" s="1286" t="s">
        <v>275</v>
      </c>
      <c r="N5" s="1130"/>
      <c r="P5" s="2189"/>
      <c r="Q5" s="1285" t="s">
        <v>110</v>
      </c>
      <c r="R5" s="1285">
        <v>2010</v>
      </c>
      <c r="S5" s="1285">
        <v>2015</v>
      </c>
      <c r="T5" s="1285">
        <v>2020</v>
      </c>
      <c r="U5" s="1285">
        <v>2025</v>
      </c>
      <c r="V5" s="1285">
        <v>2030</v>
      </c>
      <c r="W5" s="1285">
        <v>2035</v>
      </c>
      <c r="X5" s="1285">
        <v>2040</v>
      </c>
      <c r="Y5" s="1285">
        <v>2045</v>
      </c>
      <c r="Z5" s="1286">
        <v>2050</v>
      </c>
      <c r="AA5" s="2198"/>
      <c r="AB5" s="1285">
        <v>2010</v>
      </c>
      <c r="AC5" s="1285">
        <v>2015</v>
      </c>
      <c r="AD5" s="1285">
        <v>2020</v>
      </c>
      <c r="AE5" s="1285">
        <v>2025</v>
      </c>
      <c r="AF5" s="1285">
        <v>2030</v>
      </c>
      <c r="AG5" s="1285">
        <v>2035</v>
      </c>
      <c r="AH5" s="1285">
        <v>2040</v>
      </c>
      <c r="AI5" s="1285">
        <v>2045</v>
      </c>
      <c r="AJ5" s="1286">
        <v>2050</v>
      </c>
      <c r="AK5" s="2198"/>
      <c r="AL5" s="1285">
        <v>2010</v>
      </c>
      <c r="AM5" s="1285">
        <v>2015</v>
      </c>
      <c r="AN5" s="1285">
        <v>2020</v>
      </c>
      <c r="AO5" s="1285">
        <v>2025</v>
      </c>
      <c r="AP5" s="1285">
        <v>2030</v>
      </c>
      <c r="AQ5" s="1285">
        <v>2035</v>
      </c>
      <c r="AR5" s="1285">
        <v>2040</v>
      </c>
      <c r="AS5" s="1285">
        <v>2045</v>
      </c>
      <c r="AT5" s="1286">
        <v>2050</v>
      </c>
      <c r="AU5" s="2191"/>
    </row>
    <row r="6" spans="2:49" s="2479" customFormat="1" ht="15.75" x14ac:dyDescent="0.2">
      <c r="B6" s="1129"/>
      <c r="C6" s="1278" t="s">
        <v>428</v>
      </c>
      <c r="D6" s="1280" t="s">
        <v>104</v>
      </c>
      <c r="E6" s="1280">
        <f t="shared" ref="E6:M6" ca="1" si="0">-INDEX(INDIRECT("XV.b.Outputs["&amp;E$5&amp;"]"), MATCH("Q.01", INDIRECT("XV.b.Outputs[Vector]"), 0))</f>
        <v>6.17215067274</v>
      </c>
      <c r="F6" s="1280">
        <f t="shared" ca="1" si="0"/>
        <v>6.17215067274</v>
      </c>
      <c r="G6" s="1280">
        <f t="shared" ca="1" si="0"/>
        <v>7.17215067274</v>
      </c>
      <c r="H6" s="1280">
        <f t="shared" ca="1" si="0"/>
        <v>17.5</v>
      </c>
      <c r="I6" s="1280">
        <f t="shared" ca="1" si="0"/>
        <v>34</v>
      </c>
      <c r="J6" s="1280">
        <f t="shared" ca="1" si="0"/>
        <v>50.5</v>
      </c>
      <c r="K6" s="1280">
        <f t="shared" ca="1" si="0"/>
        <v>67</v>
      </c>
      <c r="L6" s="1280">
        <f t="shared" ca="1" si="0"/>
        <v>83.5</v>
      </c>
      <c r="M6" s="1280">
        <f t="shared" ca="1" si="0"/>
        <v>100</v>
      </c>
      <c r="N6" s="1130"/>
      <c r="P6" s="2189"/>
      <c r="Q6" s="2193" t="s">
        <v>1307</v>
      </c>
      <c r="R6" s="2199">
        <f ca="1">SUMIF($C$6:$C$69,$Q6,E$6:E$69)</f>
        <v>30.773778846666669</v>
      </c>
      <c r="S6" s="2199">
        <f t="shared" ref="S6:Z6" ca="1" si="1">SUMIF($C$6:$C$69,$Q6,F$6:F$69)</f>
        <v>92.060132866285116</v>
      </c>
      <c r="T6" s="2199">
        <f t="shared" ca="1" si="1"/>
        <v>188.67120589580804</v>
      </c>
      <c r="U6" s="2199">
        <f t="shared" ca="1" si="1"/>
        <v>279.76325381335283</v>
      </c>
      <c r="V6" s="2199">
        <f t="shared" ca="1" si="1"/>
        <v>316.72069370645113</v>
      </c>
      <c r="W6" s="2199">
        <f t="shared" ca="1" si="1"/>
        <v>380.70117139670145</v>
      </c>
      <c r="X6" s="2199">
        <f t="shared" ca="1" si="1"/>
        <v>424.10135612354247</v>
      </c>
      <c r="Y6" s="2199">
        <f t="shared" ca="1" si="1"/>
        <v>468.72965593842969</v>
      </c>
      <c r="Z6" s="2199">
        <f t="shared" ca="1" si="1"/>
        <v>486.24696941383348</v>
      </c>
      <c r="AA6" s="2200"/>
      <c r="AB6" s="2199">
        <f>SUMIF($D$6:$D$69,$Q6,E$6:E$69)</f>
        <v>0</v>
      </c>
      <c r="AC6" s="2199">
        <f t="shared" ref="AC6:AJ6" si="2">SUMIF($D$6:$D$69,$Q6,F$6:F$69)</f>
        <v>0</v>
      </c>
      <c r="AD6" s="2199">
        <f t="shared" si="2"/>
        <v>0</v>
      </c>
      <c r="AE6" s="2199">
        <f t="shared" si="2"/>
        <v>0</v>
      </c>
      <c r="AF6" s="2199">
        <f t="shared" si="2"/>
        <v>0</v>
      </c>
      <c r="AG6" s="2199">
        <f t="shared" si="2"/>
        <v>0</v>
      </c>
      <c r="AH6" s="2199">
        <f t="shared" si="2"/>
        <v>0</v>
      </c>
      <c r="AI6" s="2199">
        <f t="shared" si="2"/>
        <v>0</v>
      </c>
      <c r="AJ6" s="2199">
        <f t="shared" si="2"/>
        <v>0</v>
      </c>
      <c r="AK6" s="2200"/>
      <c r="AL6" s="2201"/>
      <c r="AM6" s="2201"/>
      <c r="AN6" s="2201"/>
      <c r="AO6" s="2201"/>
      <c r="AP6" s="2201"/>
      <c r="AQ6" s="2201"/>
      <c r="AR6" s="2201"/>
      <c r="AS6" s="2201"/>
      <c r="AT6" s="2201"/>
      <c r="AU6" s="2191"/>
    </row>
    <row r="7" spans="2:49" s="2479" customFormat="1" ht="15.75" x14ac:dyDescent="0.2">
      <c r="B7" s="1129"/>
      <c r="C7" s="1278" t="s">
        <v>1303</v>
      </c>
      <c r="D7" s="1280" t="s">
        <v>104</v>
      </c>
      <c r="E7" s="1280">
        <f t="shared" ref="E7:M7" ca="1" si="3">MAX(-INDEX(INDIRECT("XVI.b.Inputs["&amp;E$5&amp;"]"), MATCH("Y.04", INDIRECT("XVI.b.Inputs[Vector]"), 0)),0)</f>
        <v>0</v>
      </c>
      <c r="F7" s="1280">
        <f t="shared" ca="1" si="3"/>
        <v>0</v>
      </c>
      <c r="G7" s="1280">
        <f t="shared" ca="1" si="3"/>
        <v>12.802967336492252</v>
      </c>
      <c r="H7" s="1280">
        <f t="shared" ca="1" si="3"/>
        <v>99.490481574213163</v>
      </c>
      <c r="I7" s="1280">
        <f t="shared" ca="1" si="3"/>
        <v>242.6342134525816</v>
      </c>
      <c r="J7" s="1280">
        <f t="shared" ca="1" si="3"/>
        <v>456.82081828929068</v>
      </c>
      <c r="K7" s="1280">
        <f t="shared" ca="1" si="3"/>
        <v>684.75114808733497</v>
      </c>
      <c r="L7" s="1280">
        <f t="shared" ca="1" si="3"/>
        <v>910.97441071750291</v>
      </c>
      <c r="M7" s="1280">
        <f t="shared" ca="1" si="3"/>
        <v>1137.326775284753</v>
      </c>
      <c r="N7" s="1130"/>
      <c r="P7" s="2189"/>
      <c r="Q7" s="2193" t="s">
        <v>114</v>
      </c>
      <c r="R7" s="2199">
        <f t="shared" ref="R7:R43" si="4">SUMIF($C$6:$C$69,$Q7,E$6:E$69)</f>
        <v>0</v>
      </c>
      <c r="S7" s="2199">
        <f t="shared" ref="R7:S43" si="5">SUMIF($C$6:$C$69,$Q7,F$6:F$69)</f>
        <v>0</v>
      </c>
      <c r="T7" s="2199">
        <f t="shared" ref="T7:T43" si="6">SUMIF($C$6:$C$69,$Q7,G$6:G$69)</f>
        <v>0</v>
      </c>
      <c r="U7" s="2199">
        <f t="shared" ref="U7:U43" si="7">SUMIF($C$6:$C$69,$Q7,H$6:H$69)</f>
        <v>0</v>
      </c>
      <c r="V7" s="2199">
        <f t="shared" ref="V7:V43" si="8">SUMIF($C$6:$C$69,$Q7,I$6:I$69)</f>
        <v>0</v>
      </c>
      <c r="W7" s="2199">
        <f t="shared" ref="W7:W43" si="9">SUMIF($C$6:$C$69,$Q7,J$6:J$69)</f>
        <v>0</v>
      </c>
      <c r="X7" s="2199">
        <f t="shared" ref="X7:X43" si="10">SUMIF($C$6:$C$69,$Q7,K$6:K$69)</f>
        <v>0</v>
      </c>
      <c r="Y7" s="2199">
        <f t="shared" ref="Y7:Y43" si="11">SUMIF($C$6:$C$69,$Q7,L$6:L$69)</f>
        <v>0</v>
      </c>
      <c r="Z7" s="2199">
        <f t="shared" ref="Z7:Z43" si="12">SUMIF($C$6:$C$69,$Q7,M$6:M$69)</f>
        <v>0</v>
      </c>
      <c r="AA7" s="2200"/>
      <c r="AB7" s="2199">
        <f t="shared" ref="AB7:AB43" ca="1" si="13">SUMIF($D$6:$D$69,$Q7,E$6:E$69)</f>
        <v>4.1728439999999996</v>
      </c>
      <c r="AC7" s="2199">
        <f t="shared" ref="AB7:AC43" ca="1" si="14">SUMIF($D$6:$D$69,$Q7,F$6:F$69)</f>
        <v>4.3647956559992966</v>
      </c>
      <c r="AD7" s="2199">
        <f t="shared" ref="AD7:AD43" ca="1" si="15">SUMIF($D$6:$D$69,$Q7,G$6:G$69)</f>
        <v>4.5819713360748562</v>
      </c>
      <c r="AE7" s="2199">
        <f t="shared" ref="AE7:AE43" ca="1" si="16">SUMIF($D$6:$D$69,$Q7,H$6:H$69)</f>
        <v>4.8276856841524518</v>
      </c>
      <c r="AF7" s="2199">
        <f t="shared" ref="AF7:AF43" ca="1" si="17">SUMIF($D$6:$D$69,$Q7,I$6:I$69)</f>
        <v>5.1056889155925083</v>
      </c>
      <c r="AG7" s="2199">
        <f t="shared" ref="AG7:AG43" ca="1" si="18">SUMIF($D$6:$D$69,$Q7,J$6:J$69)</f>
        <v>5.4202240548539224</v>
      </c>
      <c r="AH7" s="2199">
        <f t="shared" ref="AH7:AH43" ca="1" si="19">SUMIF($D$6:$D$69,$Q7,K$6:K$69)</f>
        <v>5.7760916946569818</v>
      </c>
      <c r="AI7" s="2199">
        <f t="shared" ref="AI7:AI43" ca="1" si="20">SUMIF($D$6:$D$69,$Q7,L$6:L$69)</f>
        <v>6.1787232650321666</v>
      </c>
      <c r="AJ7" s="2199">
        <f t="shared" ref="AJ7:AJ43" ca="1" si="21">SUMIF($D$6:$D$69,$Q7,M$6:M$69)</f>
        <v>6.6342639305236988</v>
      </c>
      <c r="AK7" s="2200"/>
      <c r="AL7" s="2201"/>
      <c r="AM7" s="2201"/>
      <c r="AN7" s="2201"/>
      <c r="AO7" s="2201"/>
      <c r="AP7" s="2201"/>
      <c r="AQ7" s="2201"/>
      <c r="AR7" s="2201"/>
      <c r="AS7" s="2201"/>
      <c r="AT7" s="2201"/>
      <c r="AU7" s="2191"/>
    </row>
    <row r="8" spans="2:49" s="2479" customFormat="1" ht="15.75" x14ac:dyDescent="0.2">
      <c r="B8" s="1129"/>
      <c r="C8" s="1278" t="s">
        <v>429</v>
      </c>
      <c r="D8" s="1280" t="s">
        <v>118</v>
      </c>
      <c r="E8" s="1280">
        <f t="shared" ref="E8:M8" ca="1" si="22">-INDEX(INDIRECT("XV.b.Outputs["&amp;E$5&amp;"]"), MATCH("Q.02", INDIRECT("XV.b.Outputs[Vector]"), 0))</f>
        <v>1458.9378638800001</v>
      </c>
      <c r="F8" s="1280">
        <f t="shared" ca="1" si="22"/>
        <v>1458.9378638800001</v>
      </c>
      <c r="G8" s="1280">
        <f t="shared" ca="1" si="22"/>
        <v>1448.5168791380001</v>
      </c>
      <c r="H8" s="1280">
        <f t="shared" ca="1" si="22"/>
        <v>1438.0958943960002</v>
      </c>
      <c r="I8" s="1280">
        <f t="shared" ca="1" si="22"/>
        <v>1427.6749096540002</v>
      </c>
      <c r="J8" s="1280">
        <f t="shared" ca="1" si="22"/>
        <v>1417.253924912</v>
      </c>
      <c r="K8" s="1280">
        <f t="shared" ca="1" si="22"/>
        <v>1406.83294017</v>
      </c>
      <c r="L8" s="1280">
        <f t="shared" ca="1" si="22"/>
        <v>1396.4119554280001</v>
      </c>
      <c r="M8" s="1280">
        <f t="shared" ca="1" si="22"/>
        <v>1385.9909706860001</v>
      </c>
      <c r="N8" s="1130"/>
      <c r="P8" s="2189"/>
      <c r="Q8" s="2193" t="s">
        <v>1306</v>
      </c>
      <c r="R8" s="2199">
        <f t="shared" ca="1" si="4"/>
        <v>643.48173812408641</v>
      </c>
      <c r="S8" s="2199">
        <f t="shared" ca="1" si="5"/>
        <v>729.52075447773041</v>
      </c>
      <c r="T8" s="2199">
        <f t="shared" ca="1" si="6"/>
        <v>836.24453826135414</v>
      </c>
      <c r="U8" s="2199">
        <f t="shared" ca="1" si="7"/>
        <v>931.88435356034506</v>
      </c>
      <c r="V8" s="2199">
        <f t="shared" ca="1" si="8"/>
        <v>1010.3705366674678</v>
      </c>
      <c r="W8" s="2199">
        <f t="shared" ca="1" si="9"/>
        <v>1105.4366396524724</v>
      </c>
      <c r="X8" s="2199">
        <f t="shared" ca="1" si="10"/>
        <v>1197.8423106176688</v>
      </c>
      <c r="Y8" s="2199">
        <f t="shared" ca="1" si="11"/>
        <v>1296.7367388209182</v>
      </c>
      <c r="Z8" s="2199">
        <f t="shared" ca="1" si="12"/>
        <v>1391.4481126492701</v>
      </c>
      <c r="AA8" s="2200"/>
      <c r="AB8" s="2199">
        <f t="shared" ca="1" si="13"/>
        <v>1726.8997637978639</v>
      </c>
      <c r="AC8" s="2199">
        <f t="shared" ca="1" si="14"/>
        <v>1919.5518438000595</v>
      </c>
      <c r="AD8" s="2199">
        <f t="shared" ca="1" si="15"/>
        <v>2157.376914602838</v>
      </c>
      <c r="AE8" s="2199">
        <f t="shared" ca="1" si="16"/>
        <v>2399.0557662153569</v>
      </c>
      <c r="AF8" s="2199">
        <f t="shared" ca="1" si="17"/>
        <v>2598.0325970334911</v>
      </c>
      <c r="AG8" s="2199">
        <f t="shared" ca="1" si="18"/>
        <v>2837.229679841188</v>
      </c>
      <c r="AH8" s="2199">
        <f t="shared" ca="1" si="19"/>
        <v>3069.4247083286473</v>
      </c>
      <c r="AI8" s="2199">
        <f t="shared" ca="1" si="20"/>
        <v>3317.44880883728</v>
      </c>
      <c r="AJ8" s="2199">
        <f t="shared" ca="1" si="21"/>
        <v>3554.2671483132772</v>
      </c>
      <c r="AK8" s="2200"/>
      <c r="AL8" s="2201">
        <f t="shared" ref="AL8:AT8" ca="1" si="23">R8-AB8</f>
        <v>-1083.4180256737775</v>
      </c>
      <c r="AM8" s="2201">
        <f t="shared" ca="1" si="23"/>
        <v>-1190.0310893223291</v>
      </c>
      <c r="AN8" s="2201">
        <f t="shared" ca="1" si="23"/>
        <v>-1321.1323763414839</v>
      </c>
      <c r="AO8" s="2201">
        <f t="shared" ca="1" si="23"/>
        <v>-1467.1714126550119</v>
      </c>
      <c r="AP8" s="2201">
        <f t="shared" ca="1" si="23"/>
        <v>-1587.6620603660233</v>
      </c>
      <c r="AQ8" s="2201">
        <f t="shared" ca="1" si="23"/>
        <v>-1731.7930401887156</v>
      </c>
      <c r="AR8" s="2201">
        <f t="shared" ca="1" si="23"/>
        <v>-1871.5823977109785</v>
      </c>
      <c r="AS8" s="2201">
        <f t="shared" ca="1" si="23"/>
        <v>-2020.7120700163618</v>
      </c>
      <c r="AT8" s="2201">
        <f t="shared" ca="1" si="23"/>
        <v>-2162.8190356640071</v>
      </c>
      <c r="AU8" s="2191"/>
    </row>
    <row r="9" spans="2:49" s="2479" customFormat="1" ht="15.75" x14ac:dyDescent="0.2">
      <c r="B9" s="1129"/>
      <c r="C9" s="1278" t="s">
        <v>1304</v>
      </c>
      <c r="D9" s="1280" t="s">
        <v>118</v>
      </c>
      <c r="E9" s="1280">
        <f t="shared" ref="E9:M9" ca="1" si="24">MAX(-INDEX(INDIRECT("XVI.b.Inputs["&amp;E$5&amp;"]"), MATCH("Y.05", INDIRECT("XVI.b.Inputs[Vector]"), 0)),0)</f>
        <v>0</v>
      </c>
      <c r="F9" s="1280">
        <f t="shared" ca="1" si="24"/>
        <v>0</v>
      </c>
      <c r="G9" s="1280">
        <f t="shared" ca="1" si="24"/>
        <v>0</v>
      </c>
      <c r="H9" s="1280">
        <f t="shared" ca="1" si="24"/>
        <v>0</v>
      </c>
      <c r="I9" s="1280">
        <f t="shared" ca="1" si="24"/>
        <v>0</v>
      </c>
      <c r="J9" s="1280">
        <f t="shared" ca="1" si="24"/>
        <v>0</v>
      </c>
      <c r="K9" s="1280">
        <f t="shared" ca="1" si="24"/>
        <v>0</v>
      </c>
      <c r="L9" s="1280">
        <f t="shared" ca="1" si="24"/>
        <v>0</v>
      </c>
      <c r="M9" s="1280">
        <f t="shared" ca="1" si="24"/>
        <v>0</v>
      </c>
      <c r="N9" s="1130"/>
      <c r="P9" s="2189"/>
      <c r="Q9" s="2193" t="s">
        <v>1313</v>
      </c>
      <c r="R9" s="2199">
        <f t="shared" ca="1" si="4"/>
        <v>0</v>
      </c>
      <c r="S9" s="2199">
        <f t="shared" ca="1" si="5"/>
        <v>0</v>
      </c>
      <c r="T9" s="2199">
        <f t="shared" ca="1" si="6"/>
        <v>0</v>
      </c>
      <c r="U9" s="2199">
        <f t="shared" ca="1" si="7"/>
        <v>0</v>
      </c>
      <c r="V9" s="2199">
        <f t="shared" ca="1" si="8"/>
        <v>0</v>
      </c>
      <c r="W9" s="2199">
        <f t="shared" ca="1" si="9"/>
        <v>0</v>
      </c>
      <c r="X9" s="2199">
        <f t="shared" ca="1" si="10"/>
        <v>0</v>
      </c>
      <c r="Y9" s="2199">
        <f t="shared" ca="1" si="11"/>
        <v>0</v>
      </c>
      <c r="Z9" s="2199">
        <f t="shared" ca="1" si="12"/>
        <v>0</v>
      </c>
      <c r="AA9" s="2200"/>
      <c r="AB9" s="2199">
        <f t="shared" si="13"/>
        <v>0</v>
      </c>
      <c r="AC9" s="2199">
        <f t="shared" si="14"/>
        <v>0</v>
      </c>
      <c r="AD9" s="2199">
        <f t="shared" si="15"/>
        <v>0</v>
      </c>
      <c r="AE9" s="2199">
        <f t="shared" si="16"/>
        <v>0</v>
      </c>
      <c r="AF9" s="2199">
        <f t="shared" si="17"/>
        <v>0</v>
      </c>
      <c r="AG9" s="2199">
        <f t="shared" si="18"/>
        <v>0</v>
      </c>
      <c r="AH9" s="2199">
        <f t="shared" si="19"/>
        <v>0</v>
      </c>
      <c r="AI9" s="2199">
        <f t="shared" si="20"/>
        <v>0</v>
      </c>
      <c r="AJ9" s="2199">
        <f t="shared" si="21"/>
        <v>0</v>
      </c>
      <c r="AK9" s="2200"/>
      <c r="AL9" s="2201"/>
      <c r="AM9" s="2201"/>
      <c r="AN9" s="2201"/>
      <c r="AO9" s="2201"/>
      <c r="AP9" s="2201"/>
      <c r="AQ9" s="2201"/>
      <c r="AR9" s="2201"/>
      <c r="AS9" s="2201"/>
      <c r="AT9" s="2201"/>
      <c r="AU9" s="2191"/>
    </row>
    <row r="10" spans="2:49" s="2479" customFormat="1" ht="15.75" x14ac:dyDescent="0.2">
      <c r="B10" s="1129"/>
      <c r="C10" s="1278" t="s">
        <v>449</v>
      </c>
      <c r="D10" s="1280" t="s">
        <v>519</v>
      </c>
      <c r="E10" s="1280">
        <f t="shared" ref="E10:M10" ca="1" si="25">-INDEX(INDIRECT("XV.b.Outputs["&amp;E$5&amp;"]"), MATCH("Q.03", INDIRECT("XV.b.Outputs[Vector]"), 0))</f>
        <v>761.432111111111</v>
      </c>
      <c r="F10" s="1280">
        <f t="shared" ca="1" si="25"/>
        <v>844.92033333333336</v>
      </c>
      <c r="G10" s="1280">
        <f t="shared" ca="1" si="25"/>
        <v>860.64599999999996</v>
      </c>
      <c r="H10" s="1280">
        <f t="shared" ca="1" si="25"/>
        <v>876.37166666666667</v>
      </c>
      <c r="I10" s="1280">
        <f t="shared" ca="1" si="25"/>
        <v>892.09733333333338</v>
      </c>
      <c r="J10" s="1280">
        <f t="shared" ca="1" si="25"/>
        <v>907.82299999999998</v>
      </c>
      <c r="K10" s="1280">
        <f t="shared" ca="1" si="25"/>
        <v>923.54866666666669</v>
      </c>
      <c r="L10" s="1280">
        <f t="shared" ca="1" si="25"/>
        <v>939.27433333333329</v>
      </c>
      <c r="M10" s="1280">
        <f t="shared" ca="1" si="25"/>
        <v>955</v>
      </c>
      <c r="N10" s="1130"/>
      <c r="P10" s="2189"/>
      <c r="Q10" s="2193" t="s">
        <v>1309</v>
      </c>
      <c r="R10" s="2199">
        <f t="shared" ca="1" si="4"/>
        <v>0</v>
      </c>
      <c r="S10" s="2199">
        <f t="shared" ca="1" si="5"/>
        <v>0</v>
      </c>
      <c r="T10" s="2199">
        <f t="shared" ca="1" si="6"/>
        <v>0</v>
      </c>
      <c r="U10" s="2199">
        <f t="shared" ca="1" si="7"/>
        <v>0</v>
      </c>
      <c r="V10" s="2199">
        <f t="shared" ca="1" si="8"/>
        <v>0</v>
      </c>
      <c r="W10" s="2199">
        <f t="shared" ca="1" si="9"/>
        <v>0</v>
      </c>
      <c r="X10" s="2199">
        <f t="shared" ca="1" si="10"/>
        <v>0</v>
      </c>
      <c r="Y10" s="2199">
        <f t="shared" ca="1" si="11"/>
        <v>0</v>
      </c>
      <c r="Z10" s="2199">
        <f t="shared" ca="1" si="12"/>
        <v>0</v>
      </c>
      <c r="AA10" s="2200"/>
      <c r="AB10" s="2199">
        <f t="shared" si="13"/>
        <v>0</v>
      </c>
      <c r="AC10" s="2199">
        <f t="shared" si="14"/>
        <v>0</v>
      </c>
      <c r="AD10" s="2199">
        <f t="shared" si="15"/>
        <v>0</v>
      </c>
      <c r="AE10" s="2199">
        <f t="shared" si="16"/>
        <v>0</v>
      </c>
      <c r="AF10" s="2199">
        <f t="shared" si="17"/>
        <v>0</v>
      </c>
      <c r="AG10" s="2199">
        <f t="shared" si="18"/>
        <v>0</v>
      </c>
      <c r="AH10" s="2199">
        <f t="shared" si="19"/>
        <v>0</v>
      </c>
      <c r="AI10" s="2199">
        <f t="shared" si="20"/>
        <v>0</v>
      </c>
      <c r="AJ10" s="2199">
        <f t="shared" si="21"/>
        <v>0</v>
      </c>
      <c r="AK10" s="2200"/>
      <c r="AL10" s="2201"/>
      <c r="AM10" s="2201"/>
      <c r="AN10" s="2201"/>
      <c r="AO10" s="2201"/>
      <c r="AP10" s="2201"/>
      <c r="AQ10" s="2201"/>
      <c r="AR10" s="2201"/>
      <c r="AS10" s="2201"/>
      <c r="AT10" s="2201"/>
      <c r="AU10" s="2191"/>
    </row>
    <row r="11" spans="2:49" s="2479" customFormat="1" ht="15.75" x14ac:dyDescent="0.2">
      <c r="B11" s="1129"/>
      <c r="C11" s="1278" t="s">
        <v>1305</v>
      </c>
      <c r="D11" s="1280" t="s">
        <v>519</v>
      </c>
      <c r="E11" s="1280">
        <f t="shared" ref="E11:M11" ca="1" si="26">MAX(-INDEX(INDIRECT("XVI.b.Inputs["&amp;E$5&amp;"]"), MATCH("Y.06", INDIRECT("XVI.b.Inputs[Vector]"), 0)),0)</f>
        <v>0</v>
      </c>
      <c r="F11" s="1280">
        <f t="shared" ca="1" si="26"/>
        <v>0</v>
      </c>
      <c r="G11" s="1280">
        <f t="shared" ca="1" si="26"/>
        <v>0</v>
      </c>
      <c r="H11" s="1280">
        <f t="shared" ca="1" si="26"/>
        <v>0</v>
      </c>
      <c r="I11" s="1280">
        <f t="shared" ca="1" si="26"/>
        <v>0</v>
      </c>
      <c r="J11" s="1280">
        <f t="shared" ca="1" si="26"/>
        <v>0</v>
      </c>
      <c r="K11" s="1280">
        <f t="shared" ca="1" si="26"/>
        <v>0</v>
      </c>
      <c r="L11" s="1280">
        <f t="shared" ca="1" si="26"/>
        <v>0</v>
      </c>
      <c r="M11" s="1280">
        <f t="shared" ca="1" si="26"/>
        <v>0</v>
      </c>
      <c r="N11" s="1130"/>
      <c r="P11" s="2189"/>
      <c r="Q11" s="2193" t="s">
        <v>104</v>
      </c>
      <c r="R11" s="2199">
        <f t="shared" ca="1" si="4"/>
        <v>6.17215067274</v>
      </c>
      <c r="S11" s="2199">
        <f t="shared" ca="1" si="5"/>
        <v>6.17215067274</v>
      </c>
      <c r="T11" s="2199">
        <f t="shared" ca="1" si="6"/>
        <v>19.975118009232251</v>
      </c>
      <c r="U11" s="2199">
        <f t="shared" ca="1" si="7"/>
        <v>116.99048157421316</v>
      </c>
      <c r="V11" s="2199">
        <f t="shared" ca="1" si="8"/>
        <v>276.6342134525816</v>
      </c>
      <c r="W11" s="2199">
        <f t="shared" ca="1" si="9"/>
        <v>507.32081828929068</v>
      </c>
      <c r="X11" s="2199">
        <f t="shared" ca="1" si="10"/>
        <v>751.75114808733497</v>
      </c>
      <c r="Y11" s="2199">
        <f t="shared" ca="1" si="11"/>
        <v>994.47441071750291</v>
      </c>
      <c r="Z11" s="2199">
        <f t="shared" ca="1" si="12"/>
        <v>1237.326775284753</v>
      </c>
      <c r="AA11" s="2200"/>
      <c r="AB11" s="2199">
        <f t="shared" ca="1" si="13"/>
        <v>6.17215067274</v>
      </c>
      <c r="AC11" s="2199">
        <f t="shared" ca="1" si="14"/>
        <v>6.17215067274</v>
      </c>
      <c r="AD11" s="2199">
        <f t="shared" ca="1" si="15"/>
        <v>19.975118009232251</v>
      </c>
      <c r="AE11" s="2199">
        <f t="shared" ca="1" si="16"/>
        <v>116.99048157421316</v>
      </c>
      <c r="AF11" s="2199">
        <f t="shared" ca="1" si="17"/>
        <v>276.6342134525816</v>
      </c>
      <c r="AG11" s="2199">
        <f t="shared" ca="1" si="18"/>
        <v>507.32081828929068</v>
      </c>
      <c r="AH11" s="2199">
        <f t="shared" ca="1" si="19"/>
        <v>751.75114808733497</v>
      </c>
      <c r="AI11" s="2199">
        <f t="shared" ca="1" si="20"/>
        <v>994.47441071750291</v>
      </c>
      <c r="AJ11" s="2199">
        <f t="shared" ca="1" si="21"/>
        <v>1237.326775284753</v>
      </c>
      <c r="AK11" s="2200"/>
      <c r="AL11" s="2201">
        <f t="shared" ref="AL11:AT11" ca="1" si="27">R11-AB11</f>
        <v>0</v>
      </c>
      <c r="AM11" s="2201">
        <f t="shared" ca="1" si="27"/>
        <v>0</v>
      </c>
      <c r="AN11" s="2201">
        <f t="shared" ca="1" si="27"/>
        <v>0</v>
      </c>
      <c r="AO11" s="2201">
        <f t="shared" ca="1" si="27"/>
        <v>0</v>
      </c>
      <c r="AP11" s="2201">
        <f t="shared" ca="1" si="27"/>
        <v>0</v>
      </c>
      <c r="AQ11" s="2201">
        <f t="shared" ca="1" si="27"/>
        <v>0</v>
      </c>
      <c r="AR11" s="2201">
        <f t="shared" ca="1" si="27"/>
        <v>0</v>
      </c>
      <c r="AS11" s="2201">
        <f t="shared" ca="1" si="27"/>
        <v>0</v>
      </c>
      <c r="AT11" s="2201">
        <f t="shared" ca="1" si="27"/>
        <v>0</v>
      </c>
      <c r="AU11" s="2191"/>
    </row>
    <row r="12" spans="2:49" s="2479" customFormat="1" ht="15.75" x14ac:dyDescent="0.2">
      <c r="B12" s="1129"/>
      <c r="C12" s="1278" t="s">
        <v>2424</v>
      </c>
      <c r="D12" s="1280" t="s">
        <v>1306</v>
      </c>
      <c r="E12" s="1280">
        <f t="shared" ref="E12:M12" ca="1" si="28">-INDEX(INDIRECT("VI.a.Outputs["&amp;E$5&amp;"]"), MATCH("A.01", INDIRECT("VI.a.Outputs[Vector]"), 0))</f>
        <v>1673.2261104444444</v>
      </c>
      <c r="F12" s="1280">
        <f t="shared" ca="1" si="28"/>
        <v>1803.3177832724116</v>
      </c>
      <c r="G12" s="1280">
        <f t="shared" ca="1" si="28"/>
        <v>1943.5797645124765</v>
      </c>
      <c r="H12" s="1280">
        <f t="shared" ca="1" si="28"/>
        <v>2094.8154411091718</v>
      </c>
      <c r="I12" s="1280">
        <f t="shared" ca="1" si="28"/>
        <v>2257.8928876163941</v>
      </c>
      <c r="J12" s="1280">
        <f t="shared" ca="1" si="28"/>
        <v>2433.7502539567081</v>
      </c>
      <c r="K12" s="1280">
        <f t="shared" ca="1" si="28"/>
        <v>2623.4016276319003</v>
      </c>
      <c r="L12" s="1280">
        <f t="shared" ca="1" si="28"/>
        <v>2827.9434157315513</v>
      </c>
      <c r="M12" s="1280">
        <f t="shared" ca="1" si="28"/>
        <v>3048.5612968882915</v>
      </c>
      <c r="N12" s="1130"/>
      <c r="P12" s="2189"/>
      <c r="Q12" s="2193" t="s">
        <v>428</v>
      </c>
      <c r="R12" s="2199">
        <f t="shared" ca="1" si="4"/>
        <v>6.17215067274</v>
      </c>
      <c r="S12" s="2199">
        <f t="shared" ca="1" si="5"/>
        <v>6.17215067274</v>
      </c>
      <c r="T12" s="2199">
        <f t="shared" ca="1" si="6"/>
        <v>7.17215067274</v>
      </c>
      <c r="U12" s="2199">
        <f t="shared" ca="1" si="7"/>
        <v>17.5</v>
      </c>
      <c r="V12" s="2199">
        <f t="shared" ca="1" si="8"/>
        <v>34</v>
      </c>
      <c r="W12" s="2199">
        <f t="shared" ca="1" si="9"/>
        <v>50.5</v>
      </c>
      <c r="X12" s="2199">
        <f t="shared" ca="1" si="10"/>
        <v>67</v>
      </c>
      <c r="Y12" s="2199">
        <f t="shared" ca="1" si="11"/>
        <v>83.5</v>
      </c>
      <c r="Z12" s="2199">
        <f t="shared" ca="1" si="12"/>
        <v>100</v>
      </c>
      <c r="AA12" s="2200"/>
      <c r="AB12" s="2199">
        <f t="shared" si="13"/>
        <v>0</v>
      </c>
      <c r="AC12" s="2199">
        <f t="shared" si="14"/>
        <v>0</v>
      </c>
      <c r="AD12" s="2199">
        <f t="shared" si="15"/>
        <v>0</v>
      </c>
      <c r="AE12" s="2199">
        <f t="shared" si="16"/>
        <v>0</v>
      </c>
      <c r="AF12" s="2199">
        <f t="shared" si="17"/>
        <v>0</v>
      </c>
      <c r="AG12" s="2199">
        <f t="shared" si="18"/>
        <v>0</v>
      </c>
      <c r="AH12" s="2199">
        <f t="shared" si="19"/>
        <v>0</v>
      </c>
      <c r="AI12" s="2199">
        <f t="shared" si="20"/>
        <v>0</v>
      </c>
      <c r="AJ12" s="2199">
        <f t="shared" si="21"/>
        <v>0</v>
      </c>
      <c r="AK12" s="2200"/>
      <c r="AL12" s="2201"/>
      <c r="AM12" s="2201"/>
      <c r="AN12" s="2201"/>
      <c r="AO12" s="2201"/>
      <c r="AP12" s="2201"/>
      <c r="AQ12" s="2201"/>
      <c r="AR12" s="2201"/>
      <c r="AS12" s="2201"/>
      <c r="AT12" s="2201"/>
      <c r="AU12" s="2191"/>
    </row>
    <row r="13" spans="2:49" s="2479" customFormat="1" ht="15.75" x14ac:dyDescent="0.2">
      <c r="B13" s="1129"/>
      <c r="C13" s="1278" t="s">
        <v>1307</v>
      </c>
      <c r="D13" s="1280" t="s">
        <v>1306</v>
      </c>
      <c r="E13" s="1280">
        <f t="shared" ref="E13:M13" ca="1" si="29">-INDEX(INDIRECT("VI.a.Outputs["&amp;E$5&amp;"]"), MATCH("W.01", INDIRECT("VI.a.Outputs[Vector]"), 0))</f>
        <v>30.773778846666669</v>
      </c>
      <c r="F13" s="1280">
        <f t="shared" ca="1" si="29"/>
        <v>92.060132866285116</v>
      </c>
      <c r="G13" s="1280">
        <f t="shared" ca="1" si="29"/>
        <v>188.67120589580804</v>
      </c>
      <c r="H13" s="1280">
        <f t="shared" ca="1" si="29"/>
        <v>279.76325381335283</v>
      </c>
      <c r="I13" s="1280">
        <f t="shared" ca="1" si="29"/>
        <v>316.72069370645113</v>
      </c>
      <c r="J13" s="1280">
        <f t="shared" ca="1" si="29"/>
        <v>380.70117139670145</v>
      </c>
      <c r="K13" s="1280">
        <f t="shared" ca="1" si="29"/>
        <v>424.10135612354247</v>
      </c>
      <c r="L13" s="1280">
        <f t="shared" ca="1" si="29"/>
        <v>468.72965593842969</v>
      </c>
      <c r="M13" s="1280">
        <f t="shared" ca="1" si="29"/>
        <v>486.24696941383348</v>
      </c>
      <c r="N13" s="1130"/>
      <c r="P13" s="2189"/>
      <c r="Q13" s="2193" t="s">
        <v>397</v>
      </c>
      <c r="R13" s="2199">
        <f t="shared" si="4"/>
        <v>0</v>
      </c>
      <c r="S13" s="2199">
        <f t="shared" si="5"/>
        <v>0</v>
      </c>
      <c r="T13" s="2199">
        <f t="shared" si="6"/>
        <v>0</v>
      </c>
      <c r="U13" s="2199">
        <f t="shared" si="7"/>
        <v>0</v>
      </c>
      <c r="V13" s="2199">
        <f t="shared" si="8"/>
        <v>0</v>
      </c>
      <c r="W13" s="2199">
        <f t="shared" si="9"/>
        <v>0</v>
      </c>
      <c r="X13" s="2199">
        <f t="shared" si="10"/>
        <v>0</v>
      </c>
      <c r="Y13" s="2199">
        <f t="shared" si="11"/>
        <v>0</v>
      </c>
      <c r="Z13" s="2199">
        <f t="shared" si="12"/>
        <v>0</v>
      </c>
      <c r="AA13" s="2200"/>
      <c r="AB13" s="2199">
        <f t="shared" ca="1" si="13"/>
        <v>0</v>
      </c>
      <c r="AC13" s="2199">
        <f t="shared" ca="1" si="14"/>
        <v>0</v>
      </c>
      <c r="AD13" s="2199">
        <f t="shared" ca="1" si="15"/>
        <v>0</v>
      </c>
      <c r="AE13" s="2199">
        <f t="shared" ca="1" si="16"/>
        <v>0</v>
      </c>
      <c r="AF13" s="2199">
        <f t="shared" ca="1" si="17"/>
        <v>0</v>
      </c>
      <c r="AG13" s="2199">
        <f t="shared" ca="1" si="18"/>
        <v>0</v>
      </c>
      <c r="AH13" s="2199">
        <f t="shared" ca="1" si="19"/>
        <v>0</v>
      </c>
      <c r="AI13" s="2199">
        <f t="shared" ca="1" si="20"/>
        <v>0</v>
      </c>
      <c r="AJ13" s="2199">
        <f t="shared" ca="1" si="21"/>
        <v>0</v>
      </c>
      <c r="AK13" s="2200"/>
      <c r="AL13" s="2201"/>
      <c r="AM13" s="2201"/>
      <c r="AN13" s="2201"/>
      <c r="AO13" s="2201"/>
      <c r="AP13" s="2201"/>
      <c r="AQ13" s="2201"/>
      <c r="AR13" s="2201"/>
      <c r="AS13" s="2201"/>
      <c r="AT13" s="2201"/>
      <c r="AU13" s="2191"/>
    </row>
    <row r="14" spans="2:49" s="2479" customFormat="1" ht="15.75" x14ac:dyDescent="0.2">
      <c r="B14" s="1129"/>
      <c r="C14" s="1278" t="s">
        <v>1308</v>
      </c>
      <c r="D14" s="1280" t="s">
        <v>1306</v>
      </c>
      <c r="E14" s="1280">
        <f t="shared" ref="E14:M14" ca="1" si="30">-(INDEX(INDIRECT("VI.b.Outputs["&amp;E$5&amp;"]"), MATCH("W.01", INDIRECT("VI.b.Outputs[Vector]"), 0))+INDEX(INDIRECT("VI.b.Outputs["&amp;E$5&amp;"]"), MATCH("C.01", INDIRECT("VI.b.Outputs[Vector]"), 0)))</f>
        <v>22.89987450675298</v>
      </c>
      <c r="F14" s="1280">
        <f t="shared" ca="1" si="30"/>
        <v>24.17392766136286</v>
      </c>
      <c r="G14" s="1280">
        <f t="shared" ca="1" si="30"/>
        <v>25.125944194553568</v>
      </c>
      <c r="H14" s="1280">
        <f t="shared" ca="1" si="30"/>
        <v>24.477071292831983</v>
      </c>
      <c r="I14" s="1280">
        <f t="shared" ca="1" si="30"/>
        <v>23.419015710646018</v>
      </c>
      <c r="J14" s="1280">
        <f t="shared" ca="1" si="30"/>
        <v>22.778254487778618</v>
      </c>
      <c r="K14" s="1280">
        <f t="shared" ca="1" si="30"/>
        <v>21.921724573204081</v>
      </c>
      <c r="L14" s="1280">
        <f t="shared" ca="1" si="30"/>
        <v>20.775737167298981</v>
      </c>
      <c r="M14" s="1280">
        <f t="shared" ca="1" si="30"/>
        <v>19.458882011151982</v>
      </c>
      <c r="N14" s="1130"/>
      <c r="P14" s="2189"/>
      <c r="Q14" s="2193" t="s">
        <v>1310</v>
      </c>
      <c r="R14" s="2199">
        <f t="shared" ca="1" si="4"/>
        <v>141.05858604975356</v>
      </c>
      <c r="S14" s="2199">
        <f t="shared" ca="1" si="5"/>
        <v>166.45895128395273</v>
      </c>
      <c r="T14" s="2199">
        <f t="shared" ca="1" si="6"/>
        <v>226.16569502655332</v>
      </c>
      <c r="U14" s="2199">
        <f t="shared" ca="1" si="7"/>
        <v>345.90757045714287</v>
      </c>
      <c r="V14" s="2199">
        <f t="shared" ca="1" si="8"/>
        <v>538.70634908571412</v>
      </c>
      <c r="W14" s="2199">
        <f t="shared" ca="1" si="9"/>
        <v>803.84741931428528</v>
      </c>
      <c r="X14" s="2199">
        <f t="shared" ca="1" si="10"/>
        <v>1064.0497251428571</v>
      </c>
      <c r="Y14" s="2199">
        <f t="shared" ca="1" si="11"/>
        <v>1361.8695667714285</v>
      </c>
      <c r="Z14" s="2199">
        <f t="shared" ca="1" si="12"/>
        <v>1715.4814919999999</v>
      </c>
      <c r="AA14" s="2200"/>
      <c r="AB14" s="2199">
        <f t="shared" ca="1" si="13"/>
        <v>141.05858604975359</v>
      </c>
      <c r="AC14" s="2199">
        <f t="shared" ca="1" si="14"/>
        <v>166.45895128395276</v>
      </c>
      <c r="AD14" s="2199">
        <f t="shared" ca="1" si="15"/>
        <v>226.16569502655335</v>
      </c>
      <c r="AE14" s="2199">
        <f t="shared" ca="1" si="16"/>
        <v>345.90757045714287</v>
      </c>
      <c r="AF14" s="2199">
        <f t="shared" ca="1" si="17"/>
        <v>538.70634908571424</v>
      </c>
      <c r="AG14" s="2199">
        <f t="shared" ca="1" si="18"/>
        <v>803.84741931428573</v>
      </c>
      <c r="AH14" s="2199">
        <f t="shared" ca="1" si="19"/>
        <v>1064.0497251428571</v>
      </c>
      <c r="AI14" s="2199">
        <f t="shared" ca="1" si="20"/>
        <v>1361.8695667714285</v>
      </c>
      <c r="AJ14" s="2199">
        <f t="shared" ca="1" si="21"/>
        <v>1715.4814920000001</v>
      </c>
      <c r="AK14" s="2200"/>
      <c r="AL14" s="2201">
        <f t="shared" ref="AL14:AT14" ca="1" si="31">R14-AB14</f>
        <v>0</v>
      </c>
      <c r="AM14" s="2201">
        <f t="shared" ca="1" si="31"/>
        <v>0</v>
      </c>
      <c r="AN14" s="2201">
        <f t="shared" ca="1" si="31"/>
        <v>0</v>
      </c>
      <c r="AO14" s="2201">
        <f t="shared" ca="1" si="31"/>
        <v>0</v>
      </c>
      <c r="AP14" s="2201">
        <f t="shared" ca="1" si="31"/>
        <v>0</v>
      </c>
      <c r="AQ14" s="2201">
        <f t="shared" ca="1" si="31"/>
        <v>0</v>
      </c>
      <c r="AR14" s="2201">
        <f t="shared" ca="1" si="31"/>
        <v>0</v>
      </c>
      <c r="AS14" s="2201">
        <f t="shared" ca="1" si="31"/>
        <v>0</v>
      </c>
      <c r="AT14" s="2201">
        <f t="shared" ca="1" si="31"/>
        <v>0</v>
      </c>
      <c r="AU14" s="2191"/>
    </row>
    <row r="15" spans="2:49" s="2479" customFormat="1" ht="15.75" x14ac:dyDescent="0.2">
      <c r="B15" s="1129"/>
      <c r="C15" s="1278" t="s">
        <v>1308</v>
      </c>
      <c r="D15" s="1280" t="s">
        <v>669</v>
      </c>
      <c r="E15" s="1280">
        <f t="shared" ref="E15:M15" ca="1" si="32">INDEX(INDIRECT("VI.b.Outputs["&amp;E$5&amp;"]"), MATCH("C.01", INDIRECT("VI.b.Outputs[Vector]"), 0))</f>
        <v>3.9235886666666668</v>
      </c>
      <c r="F15" s="1280">
        <f t="shared" ca="1" si="32"/>
        <v>4.8865862500000006</v>
      </c>
      <c r="G15" s="1280">
        <f t="shared" ca="1" si="32"/>
        <v>5.849583833333333</v>
      </c>
      <c r="H15" s="1280">
        <f t="shared" ca="1" si="32"/>
        <v>5.5864599583333323</v>
      </c>
      <c r="I15" s="1280">
        <f t="shared" ca="1" si="32"/>
        <v>5.3233360833333334</v>
      </c>
      <c r="J15" s="1280">
        <f t="shared" ca="1" si="32"/>
        <v>5.0467875208333339</v>
      </c>
      <c r="K15" s="1280">
        <f t="shared" ca="1" si="32"/>
        <v>4.7702389583333344</v>
      </c>
      <c r="L15" s="1280">
        <f t="shared" ca="1" si="32"/>
        <v>4.4936903958333332</v>
      </c>
      <c r="M15" s="1280">
        <f t="shared" ca="1" si="32"/>
        <v>4.2171418333333337</v>
      </c>
      <c r="N15" s="1130"/>
      <c r="P15" s="2189"/>
      <c r="Q15" s="2193" t="s">
        <v>43</v>
      </c>
      <c r="R15" s="2199">
        <f t="shared" ca="1" si="4"/>
        <v>-0.52500000000000002</v>
      </c>
      <c r="S15" s="2199">
        <f t="shared" ca="1" si="5"/>
        <v>-0.52500000000000002</v>
      </c>
      <c r="T15" s="2199">
        <f t="shared" ca="1" si="6"/>
        <v>-0.52500000000000002</v>
      </c>
      <c r="U15" s="2199">
        <f t="shared" ca="1" si="7"/>
        <v>-0.52500000000000002</v>
      </c>
      <c r="V15" s="2199">
        <f t="shared" ca="1" si="8"/>
        <v>12.089399999999999</v>
      </c>
      <c r="W15" s="2199">
        <f t="shared" ca="1" si="9"/>
        <v>24.703800000000001</v>
      </c>
      <c r="X15" s="2199">
        <f t="shared" ca="1" si="10"/>
        <v>37.318200000000004</v>
      </c>
      <c r="Y15" s="2199">
        <f t="shared" ca="1" si="11"/>
        <v>49.932600000000001</v>
      </c>
      <c r="Z15" s="2199">
        <f t="shared" ca="1" si="12"/>
        <v>62.547000000000004</v>
      </c>
      <c r="AA15" s="2200"/>
      <c r="AB15" s="2199">
        <f t="shared" si="13"/>
        <v>0</v>
      </c>
      <c r="AC15" s="2199">
        <f t="shared" si="14"/>
        <v>0</v>
      </c>
      <c r="AD15" s="2199">
        <f t="shared" si="15"/>
        <v>0</v>
      </c>
      <c r="AE15" s="2199">
        <f t="shared" si="16"/>
        <v>0</v>
      </c>
      <c r="AF15" s="2199">
        <f t="shared" si="17"/>
        <v>0</v>
      </c>
      <c r="AG15" s="2199">
        <f t="shared" si="18"/>
        <v>0</v>
      </c>
      <c r="AH15" s="2199">
        <f t="shared" si="19"/>
        <v>0</v>
      </c>
      <c r="AI15" s="2199">
        <f t="shared" si="20"/>
        <v>0</v>
      </c>
      <c r="AJ15" s="2199">
        <f t="shared" si="21"/>
        <v>0</v>
      </c>
      <c r="AK15" s="2200"/>
      <c r="AL15" s="2201"/>
      <c r="AM15" s="2201"/>
      <c r="AN15" s="2201"/>
      <c r="AO15" s="2201"/>
      <c r="AP15" s="2201"/>
      <c r="AQ15" s="2201"/>
      <c r="AR15" s="2201"/>
      <c r="AS15" s="2201"/>
      <c r="AT15" s="2201"/>
      <c r="AU15" s="2191"/>
    </row>
    <row r="16" spans="2:49" s="2479" customFormat="1" ht="15.75" x14ac:dyDescent="0.2">
      <c r="B16" s="1129"/>
      <c r="C16" s="1278" t="s">
        <v>1309</v>
      </c>
      <c r="D16" s="1280" t="s">
        <v>669</v>
      </c>
      <c r="E16" s="1280">
        <f t="shared" ref="E16:M16" ca="1" si="33">MAX(INDEX(INDIRECT("V.b.Outputs["&amp;E$5&amp;"]"), MATCH("V.03", INDIRECT("V.b.Outputs[Vector]"), 0)),0)</f>
        <v>0</v>
      </c>
      <c r="F16" s="1280">
        <f t="shared" ca="1" si="33"/>
        <v>0</v>
      </c>
      <c r="G16" s="1280">
        <f t="shared" ca="1" si="33"/>
        <v>0</v>
      </c>
      <c r="H16" s="1280">
        <f t="shared" ca="1" si="33"/>
        <v>0</v>
      </c>
      <c r="I16" s="1280">
        <f t="shared" ca="1" si="33"/>
        <v>0</v>
      </c>
      <c r="J16" s="1280">
        <f t="shared" ca="1" si="33"/>
        <v>0</v>
      </c>
      <c r="K16" s="1280">
        <f t="shared" ca="1" si="33"/>
        <v>0</v>
      </c>
      <c r="L16" s="1280">
        <f t="shared" ca="1" si="33"/>
        <v>0</v>
      </c>
      <c r="M16" s="1280">
        <f t="shared" ca="1" si="33"/>
        <v>0</v>
      </c>
      <c r="N16" s="1130"/>
      <c r="P16" s="2189"/>
      <c r="Q16" s="2193" t="s">
        <v>10</v>
      </c>
      <c r="R16" s="2199">
        <f t="shared" ca="1" si="4"/>
        <v>1138.1525136940322</v>
      </c>
      <c r="S16" s="2199">
        <f t="shared" ca="1" si="5"/>
        <v>1274.3800418001767</v>
      </c>
      <c r="T16" s="2199">
        <f t="shared" ca="1" si="6"/>
        <v>1355.4753721107095</v>
      </c>
      <c r="U16" s="2199">
        <f t="shared" ca="1" si="7"/>
        <v>1498.031904676953</v>
      </c>
      <c r="V16" s="2199">
        <f t="shared" ca="1" si="8"/>
        <v>1565.0930371549009</v>
      </c>
      <c r="W16" s="2199">
        <f t="shared" ca="1" si="9"/>
        <v>1643.2531924422476</v>
      </c>
      <c r="X16" s="2199">
        <f t="shared" ca="1" si="10"/>
        <v>1719.4740042076119</v>
      </c>
      <c r="Y16" s="2199">
        <f t="shared" ca="1" si="11"/>
        <v>1799.7753133521026</v>
      </c>
      <c r="Z16" s="2199">
        <f t="shared" ca="1" si="12"/>
        <v>1877.0877615279096</v>
      </c>
      <c r="AA16" s="2200"/>
      <c r="AB16" s="2199">
        <f t="shared" ca="1" si="13"/>
        <v>1138.1525136940322</v>
      </c>
      <c r="AC16" s="2199">
        <f t="shared" ca="1" si="14"/>
        <v>1274.3800418001767</v>
      </c>
      <c r="AD16" s="2199">
        <f t="shared" ca="1" si="15"/>
        <v>1355.475372110709</v>
      </c>
      <c r="AE16" s="2199">
        <f t="shared" ca="1" si="16"/>
        <v>1498.031904676953</v>
      </c>
      <c r="AF16" s="2199">
        <f t="shared" ca="1" si="17"/>
        <v>1565.0930371549011</v>
      </c>
      <c r="AG16" s="2199">
        <f t="shared" ca="1" si="18"/>
        <v>1643.2531924422474</v>
      </c>
      <c r="AH16" s="2199">
        <f t="shared" ca="1" si="19"/>
        <v>1719.4740042076121</v>
      </c>
      <c r="AI16" s="2199">
        <f t="shared" ca="1" si="20"/>
        <v>1799.7753133521023</v>
      </c>
      <c r="AJ16" s="2199">
        <f t="shared" ca="1" si="21"/>
        <v>1877.0877615279096</v>
      </c>
      <c r="AK16" s="2200"/>
      <c r="AL16" s="2201">
        <f t="shared" ref="AL16:AT16" ca="1" si="34">R16-AB16</f>
        <v>0</v>
      </c>
      <c r="AM16" s="2201">
        <f t="shared" ca="1" si="34"/>
        <v>0</v>
      </c>
      <c r="AN16" s="2201">
        <f t="shared" ca="1" si="34"/>
        <v>0</v>
      </c>
      <c r="AO16" s="2201">
        <f t="shared" ca="1" si="34"/>
        <v>0</v>
      </c>
      <c r="AP16" s="2201">
        <f t="shared" ca="1" si="34"/>
        <v>0</v>
      </c>
      <c r="AQ16" s="2201">
        <f t="shared" ca="1" si="34"/>
        <v>0</v>
      </c>
      <c r="AR16" s="2201">
        <f t="shared" ca="1" si="34"/>
        <v>0</v>
      </c>
      <c r="AS16" s="2201">
        <f t="shared" ca="1" si="34"/>
        <v>0</v>
      </c>
      <c r="AT16" s="2201">
        <f t="shared" ca="1" si="34"/>
        <v>0</v>
      </c>
      <c r="AU16" s="2191"/>
    </row>
    <row r="17" spans="2:47" s="2479" customFormat="1" ht="15.75" x14ac:dyDescent="0.2">
      <c r="B17" s="1129"/>
      <c r="C17" s="1278" t="s">
        <v>1313</v>
      </c>
      <c r="D17" s="1280" t="s">
        <v>122</v>
      </c>
      <c r="E17" s="1280">
        <f t="shared" ref="E17:M17" ca="1" si="35">MAX(INDEX(INDIRECT("V.b.Outputs["&amp;E$5&amp;"]"), MATCH("V.04", INDIRECT("V.b.Outputs[Vector]"), 0)),0)</f>
        <v>0</v>
      </c>
      <c r="F17" s="1280">
        <f t="shared" ca="1" si="35"/>
        <v>0</v>
      </c>
      <c r="G17" s="1280">
        <f t="shared" ca="1" si="35"/>
        <v>0</v>
      </c>
      <c r="H17" s="1280">
        <f t="shared" ca="1" si="35"/>
        <v>0</v>
      </c>
      <c r="I17" s="1280">
        <f t="shared" ca="1" si="35"/>
        <v>0</v>
      </c>
      <c r="J17" s="1280">
        <f t="shared" ca="1" si="35"/>
        <v>0</v>
      </c>
      <c r="K17" s="1280">
        <f t="shared" ca="1" si="35"/>
        <v>0</v>
      </c>
      <c r="L17" s="1280">
        <f t="shared" ca="1" si="35"/>
        <v>0</v>
      </c>
      <c r="M17" s="1280">
        <f t="shared" ca="1" si="35"/>
        <v>0</v>
      </c>
      <c r="N17" s="1130"/>
      <c r="P17" s="2189"/>
      <c r="Q17" s="2193" t="s">
        <v>1305</v>
      </c>
      <c r="R17" s="2199">
        <f t="shared" ca="1" si="4"/>
        <v>0</v>
      </c>
      <c r="S17" s="2199">
        <f t="shared" ca="1" si="5"/>
        <v>0</v>
      </c>
      <c r="T17" s="2199">
        <f t="shared" ca="1" si="6"/>
        <v>0</v>
      </c>
      <c r="U17" s="2199">
        <f t="shared" ca="1" si="7"/>
        <v>0</v>
      </c>
      <c r="V17" s="2199">
        <f t="shared" ca="1" si="8"/>
        <v>0</v>
      </c>
      <c r="W17" s="2199">
        <f t="shared" ca="1" si="9"/>
        <v>0</v>
      </c>
      <c r="X17" s="2199">
        <f t="shared" ca="1" si="10"/>
        <v>0</v>
      </c>
      <c r="Y17" s="2199">
        <f t="shared" ca="1" si="11"/>
        <v>0</v>
      </c>
      <c r="Z17" s="2199">
        <f t="shared" ca="1" si="12"/>
        <v>0</v>
      </c>
      <c r="AA17" s="2200"/>
      <c r="AB17" s="2199">
        <f t="shared" si="13"/>
        <v>0</v>
      </c>
      <c r="AC17" s="2199">
        <f t="shared" si="14"/>
        <v>0</v>
      </c>
      <c r="AD17" s="2199">
        <f t="shared" si="15"/>
        <v>0</v>
      </c>
      <c r="AE17" s="2199">
        <f t="shared" si="16"/>
        <v>0</v>
      </c>
      <c r="AF17" s="2199">
        <f t="shared" si="17"/>
        <v>0</v>
      </c>
      <c r="AG17" s="2199">
        <f t="shared" si="18"/>
        <v>0</v>
      </c>
      <c r="AH17" s="2199">
        <f t="shared" si="19"/>
        <v>0</v>
      </c>
      <c r="AI17" s="2199">
        <f t="shared" si="20"/>
        <v>0</v>
      </c>
      <c r="AJ17" s="2199">
        <f t="shared" si="21"/>
        <v>0</v>
      </c>
      <c r="AK17" s="2200"/>
      <c r="AL17" s="2201"/>
      <c r="AM17" s="2201"/>
      <c r="AN17" s="2201"/>
      <c r="AO17" s="2201"/>
      <c r="AP17" s="2201"/>
      <c r="AQ17" s="2201"/>
      <c r="AR17" s="2201"/>
      <c r="AS17" s="2201"/>
      <c r="AT17" s="2201"/>
      <c r="AU17" s="2191"/>
    </row>
    <row r="18" spans="2:47" s="2479" customFormat="1" ht="15.75" x14ac:dyDescent="0.2">
      <c r="B18" s="1129"/>
      <c r="C18" s="1278" t="s">
        <v>104</v>
      </c>
      <c r="D18" s="1280" t="s">
        <v>669</v>
      </c>
      <c r="E18" s="1280">
        <f t="shared" ref="E18:M18" ca="1" si="36">E6+E7</f>
        <v>6.17215067274</v>
      </c>
      <c r="F18" s="1280">
        <f t="shared" ca="1" si="36"/>
        <v>6.17215067274</v>
      </c>
      <c r="G18" s="1280">
        <f t="shared" ca="1" si="36"/>
        <v>19.975118009232251</v>
      </c>
      <c r="H18" s="1280">
        <f t="shared" ca="1" si="36"/>
        <v>116.99048157421316</v>
      </c>
      <c r="I18" s="1280">
        <f t="shared" ca="1" si="36"/>
        <v>276.6342134525816</v>
      </c>
      <c r="J18" s="1280">
        <f t="shared" ca="1" si="36"/>
        <v>507.32081828929068</v>
      </c>
      <c r="K18" s="1280">
        <f t="shared" ca="1" si="36"/>
        <v>751.75114808733497</v>
      </c>
      <c r="L18" s="1280">
        <f t="shared" ca="1" si="36"/>
        <v>994.47441071750291</v>
      </c>
      <c r="M18" s="1280">
        <f t="shared" ca="1" si="36"/>
        <v>1237.326775284753</v>
      </c>
      <c r="N18" s="1130"/>
      <c r="P18" s="2189"/>
      <c r="Q18" s="2193" t="s">
        <v>449</v>
      </c>
      <c r="R18" s="2199">
        <f t="shared" ca="1" si="4"/>
        <v>761.432111111111</v>
      </c>
      <c r="S18" s="2199">
        <f t="shared" ca="1" si="5"/>
        <v>844.92033333333336</v>
      </c>
      <c r="T18" s="2199">
        <f t="shared" ca="1" si="6"/>
        <v>860.64599999999996</v>
      </c>
      <c r="U18" s="2199">
        <f t="shared" ca="1" si="7"/>
        <v>876.37166666666667</v>
      </c>
      <c r="V18" s="2199">
        <f t="shared" ca="1" si="8"/>
        <v>892.09733333333338</v>
      </c>
      <c r="W18" s="2199">
        <f t="shared" ca="1" si="9"/>
        <v>907.82299999999998</v>
      </c>
      <c r="X18" s="2199">
        <f t="shared" ca="1" si="10"/>
        <v>923.54866666666669</v>
      </c>
      <c r="Y18" s="2199">
        <f t="shared" ca="1" si="11"/>
        <v>939.27433333333329</v>
      </c>
      <c r="Z18" s="2199">
        <f t="shared" ca="1" si="12"/>
        <v>955</v>
      </c>
      <c r="AA18" s="2200"/>
      <c r="AB18" s="2199">
        <f t="shared" si="13"/>
        <v>0</v>
      </c>
      <c r="AC18" s="2199">
        <f t="shared" si="14"/>
        <v>0</v>
      </c>
      <c r="AD18" s="2199">
        <f t="shared" si="15"/>
        <v>0</v>
      </c>
      <c r="AE18" s="2199">
        <f t="shared" si="16"/>
        <v>0</v>
      </c>
      <c r="AF18" s="2199">
        <f t="shared" si="17"/>
        <v>0</v>
      </c>
      <c r="AG18" s="2199">
        <f t="shared" si="18"/>
        <v>0</v>
      </c>
      <c r="AH18" s="2199">
        <f t="shared" si="19"/>
        <v>0</v>
      </c>
      <c r="AI18" s="2199">
        <f t="shared" si="20"/>
        <v>0</v>
      </c>
      <c r="AJ18" s="2199">
        <f t="shared" si="21"/>
        <v>0</v>
      </c>
      <c r="AK18" s="2200"/>
      <c r="AL18" s="2201"/>
      <c r="AM18" s="2201"/>
      <c r="AN18" s="2201"/>
      <c r="AO18" s="2201"/>
      <c r="AP18" s="2201"/>
      <c r="AQ18" s="2201"/>
      <c r="AR18" s="2201"/>
      <c r="AS18" s="2201"/>
      <c r="AT18" s="2201"/>
      <c r="AU18" s="2191"/>
    </row>
    <row r="19" spans="2:47" s="2479" customFormat="1" ht="15.75" x14ac:dyDescent="0.2">
      <c r="B19" s="1129"/>
      <c r="C19" s="1278" t="s">
        <v>118</v>
      </c>
      <c r="D19" s="1280" t="s">
        <v>122</v>
      </c>
      <c r="E19" s="1280">
        <f t="shared" ref="E19:M19" ca="1" si="37">E8+E9</f>
        <v>1458.9378638800001</v>
      </c>
      <c r="F19" s="1280">
        <f t="shared" ca="1" si="37"/>
        <v>1458.9378638800001</v>
      </c>
      <c r="G19" s="1280">
        <f t="shared" ca="1" si="37"/>
        <v>1448.5168791380001</v>
      </c>
      <c r="H19" s="1280">
        <f t="shared" ca="1" si="37"/>
        <v>1438.0958943960002</v>
      </c>
      <c r="I19" s="1280">
        <f t="shared" ca="1" si="37"/>
        <v>1427.6749096540002</v>
      </c>
      <c r="J19" s="1280">
        <f t="shared" ca="1" si="37"/>
        <v>1417.253924912</v>
      </c>
      <c r="K19" s="1280">
        <f t="shared" ca="1" si="37"/>
        <v>1406.83294017</v>
      </c>
      <c r="L19" s="1280">
        <f t="shared" ca="1" si="37"/>
        <v>1396.4119554280001</v>
      </c>
      <c r="M19" s="1280">
        <f t="shared" ca="1" si="37"/>
        <v>1385.9909706860001</v>
      </c>
      <c r="N19" s="1130"/>
      <c r="P19" s="2189"/>
      <c r="Q19" s="2693" t="s">
        <v>2172</v>
      </c>
      <c r="R19" s="2199">
        <f t="shared" si="4"/>
        <v>0</v>
      </c>
      <c r="S19" s="2199">
        <f t="shared" si="5"/>
        <v>0</v>
      </c>
      <c r="T19" s="2199">
        <f t="shared" si="6"/>
        <v>0</v>
      </c>
      <c r="U19" s="2199">
        <f t="shared" si="7"/>
        <v>0</v>
      </c>
      <c r="V19" s="2199">
        <f t="shared" si="8"/>
        <v>0</v>
      </c>
      <c r="W19" s="2199">
        <f t="shared" si="9"/>
        <v>0</v>
      </c>
      <c r="X19" s="2199">
        <f t="shared" si="10"/>
        <v>0</v>
      </c>
      <c r="Y19" s="2199">
        <f t="shared" si="11"/>
        <v>0</v>
      </c>
      <c r="Z19" s="2199">
        <f t="shared" si="12"/>
        <v>0</v>
      </c>
      <c r="AA19" s="2200"/>
      <c r="AB19" s="2199">
        <f t="shared" ca="1" si="13"/>
        <v>38.553347194436292</v>
      </c>
      <c r="AC19" s="2199">
        <f t="shared" ca="1" si="14"/>
        <v>42.35519366304365</v>
      </c>
      <c r="AD19" s="2199">
        <f t="shared" ca="1" si="15"/>
        <v>50.714523094931813</v>
      </c>
      <c r="AE19" s="2199">
        <f t="shared" ca="1" si="16"/>
        <v>60.501058104296142</v>
      </c>
      <c r="AF19" s="2199">
        <f t="shared" ca="1" si="17"/>
        <v>69.168548601745115</v>
      </c>
      <c r="AG19" s="2199">
        <f t="shared" ca="1" si="18"/>
        <v>81.857281951971515</v>
      </c>
      <c r="AH19" s="2199">
        <f t="shared" ca="1" si="19"/>
        <v>90.481230811821106</v>
      </c>
      <c r="AI19" s="2199">
        <f t="shared" ca="1" si="20"/>
        <v>99.556795631218193</v>
      </c>
      <c r="AJ19" s="2199">
        <f t="shared" ca="1" si="21"/>
        <v>109.03701827242892</v>
      </c>
      <c r="AK19" s="2200"/>
      <c r="AL19" s="2201"/>
      <c r="AM19" s="2201"/>
      <c r="AN19" s="2201"/>
      <c r="AO19" s="2201"/>
      <c r="AP19" s="2201"/>
      <c r="AQ19" s="2201"/>
      <c r="AR19" s="2201"/>
      <c r="AS19" s="2201"/>
      <c r="AT19" s="2201"/>
      <c r="AU19" s="2191"/>
    </row>
    <row r="20" spans="2:47" s="2479" customFormat="1" ht="15.75" x14ac:dyDescent="0.2">
      <c r="B20" s="1129"/>
      <c r="C20" s="1280" t="s">
        <v>519</v>
      </c>
      <c r="D20" s="1280" t="s">
        <v>10</v>
      </c>
      <c r="E20" s="1280">
        <f t="shared" ref="E20:M20" ca="1" si="38">E10+E11</f>
        <v>761.432111111111</v>
      </c>
      <c r="F20" s="1280">
        <f t="shared" ca="1" si="38"/>
        <v>844.92033333333336</v>
      </c>
      <c r="G20" s="1280">
        <f t="shared" ca="1" si="38"/>
        <v>860.64599999999996</v>
      </c>
      <c r="H20" s="1280">
        <f t="shared" ca="1" si="38"/>
        <v>876.37166666666667</v>
      </c>
      <c r="I20" s="1280">
        <f t="shared" ca="1" si="38"/>
        <v>892.09733333333338</v>
      </c>
      <c r="J20" s="1280">
        <f t="shared" ca="1" si="38"/>
        <v>907.82299999999998</v>
      </c>
      <c r="K20" s="1280">
        <f t="shared" ca="1" si="38"/>
        <v>923.54866666666669</v>
      </c>
      <c r="L20" s="1280">
        <f t="shared" ca="1" si="38"/>
        <v>939.27433333333329</v>
      </c>
      <c r="M20" s="1280">
        <f t="shared" ca="1" si="38"/>
        <v>955</v>
      </c>
      <c r="N20" s="1130"/>
      <c r="P20" s="2189"/>
      <c r="Q20" s="2693" t="s">
        <v>2218</v>
      </c>
      <c r="R20" s="2199">
        <f t="shared" si="4"/>
        <v>0</v>
      </c>
      <c r="S20" s="2199">
        <f t="shared" si="5"/>
        <v>0</v>
      </c>
      <c r="T20" s="2199">
        <f t="shared" si="6"/>
        <v>0</v>
      </c>
      <c r="U20" s="2199">
        <f t="shared" si="7"/>
        <v>0</v>
      </c>
      <c r="V20" s="2199">
        <f t="shared" si="8"/>
        <v>0</v>
      </c>
      <c r="W20" s="2199">
        <f t="shared" si="9"/>
        <v>0</v>
      </c>
      <c r="X20" s="2199">
        <f t="shared" si="10"/>
        <v>0</v>
      </c>
      <c r="Y20" s="2199">
        <f t="shared" si="11"/>
        <v>0</v>
      </c>
      <c r="Z20" s="2199">
        <f t="shared" si="12"/>
        <v>0</v>
      </c>
      <c r="AA20" s="2200"/>
      <c r="AB20" s="2199">
        <f t="shared" ca="1" si="13"/>
        <v>7.6376658252466445</v>
      </c>
      <c r="AC20" s="2199">
        <f t="shared" ca="1" si="14"/>
        <v>11.164654317475202</v>
      </c>
      <c r="AD20" s="2199">
        <f t="shared" ca="1" si="15"/>
        <v>14.39449468289782</v>
      </c>
      <c r="AE20" s="2199">
        <f t="shared" ca="1" si="16"/>
        <v>17.327186921514574</v>
      </c>
      <c r="AF20" s="2199">
        <f t="shared" ca="1" si="17"/>
        <v>19.962731033325539</v>
      </c>
      <c r="AG20" s="2199">
        <f t="shared" ca="1" si="18"/>
        <v>22.301127018330565</v>
      </c>
      <c r="AH20" s="2199">
        <f t="shared" ca="1" si="19"/>
        <v>24.342374876529728</v>
      </c>
      <c r="AI20" s="2199">
        <f t="shared" ca="1" si="20"/>
        <v>26.086474607923098</v>
      </c>
      <c r="AJ20" s="2199">
        <f t="shared" ca="1" si="21"/>
        <v>27.533426212510538</v>
      </c>
      <c r="AK20" s="2200"/>
      <c r="AL20" s="2201"/>
      <c r="AM20" s="2201"/>
      <c r="AN20" s="2201"/>
      <c r="AO20" s="2201"/>
      <c r="AP20" s="2201"/>
      <c r="AQ20" s="2201"/>
      <c r="AR20" s="2201"/>
      <c r="AS20" s="2201"/>
      <c r="AT20" s="2201"/>
      <c r="AU20" s="2191"/>
    </row>
    <row r="21" spans="2:47" s="2479" customFormat="1" ht="15.75" x14ac:dyDescent="0.2">
      <c r="B21" s="1129"/>
      <c r="C21" s="1278" t="s">
        <v>11</v>
      </c>
      <c r="D21" s="1280" t="s">
        <v>2544</v>
      </c>
      <c r="E21" s="1280">
        <f ca="1">-INDEX(INDIRECT("IV.a.Outputs["&amp;E$5&amp;"]"), MATCH("R.01", INDIRECT("IV.a.Outputs[Vector]"), 0))-INDEX(INDIRECT("III.f.Outputs["&amp;E$5&amp;"]"), MATCH("R.01", INDIRECT("III.f.Outputs[Vector]"), 0))-INDEX(INDIRECT("III.g.Outputs["&amp;E$5&amp;"]"), MATCH("R.01", INDIRECT("III.g.Outputs[Vector]"), 0))</f>
        <v>2.7612899999999996E-2</v>
      </c>
      <c r="F21" s="1280">
        <f t="shared" ref="F21:M21" ca="1" si="39">-INDEX(INDIRECT("IV.a.Outputs["&amp;F$5&amp;"]"), MATCH("R.01", INDIRECT("IV.a.Outputs[Vector]"), 0))-INDEX(INDIRECT("III.f.Outputs["&amp;F$5&amp;"]"), MATCH("R.01", INDIRECT("III.f.Outputs[Vector]"), 0))-INDEX(INDIRECT("III.g.Outputs["&amp;F$5&amp;"]"), MATCH("R.01", INDIRECT("III.g.Outputs[Vector]"), 0))</f>
        <v>0.92042999999999997</v>
      </c>
      <c r="G21" s="1280">
        <f t="shared" ca="1" si="39"/>
        <v>48.334847400000001</v>
      </c>
      <c r="H21" s="1280">
        <f t="shared" ca="1" si="39"/>
        <v>96.663558600000002</v>
      </c>
      <c r="I21" s="1280">
        <f t="shared" ca="1" si="39"/>
        <v>154.12907159999997</v>
      </c>
      <c r="J21" s="1280">
        <f t="shared" ca="1" si="39"/>
        <v>228.21141419999998</v>
      </c>
      <c r="K21" s="1280">
        <f t="shared" ca="1" si="39"/>
        <v>285.1614864</v>
      </c>
      <c r="L21" s="1280">
        <f t="shared" ca="1" si="39"/>
        <v>354.25509839999995</v>
      </c>
      <c r="M21" s="1280">
        <f t="shared" ca="1" si="39"/>
        <v>435.67019999999997</v>
      </c>
      <c r="N21" s="1130"/>
      <c r="P21" s="2189"/>
      <c r="Q21" s="2193" t="s">
        <v>14</v>
      </c>
      <c r="R21" s="2199">
        <f t="shared" ca="1" si="4"/>
        <v>10.273751999999998</v>
      </c>
      <c r="S21" s="2199">
        <f t="shared" ca="1" si="5"/>
        <v>10.273751999999998</v>
      </c>
      <c r="T21" s="2199">
        <f t="shared" ca="1" si="6"/>
        <v>17.321616000000002</v>
      </c>
      <c r="U21" s="2199">
        <f t="shared" ca="1" si="7"/>
        <v>28.620363857142845</v>
      </c>
      <c r="V21" s="2199">
        <f t="shared" ca="1" si="8"/>
        <v>37.81952948571427</v>
      </c>
      <c r="W21" s="2199">
        <f t="shared" ca="1" si="9"/>
        <v>46.96609911428574</v>
      </c>
      <c r="X21" s="2199">
        <f t="shared" ca="1" si="10"/>
        <v>56.165264742857154</v>
      </c>
      <c r="Y21" s="2199">
        <f t="shared" ca="1" si="11"/>
        <v>65.311834371428574</v>
      </c>
      <c r="Z21" s="2199">
        <f t="shared" ca="1" si="12"/>
        <v>74.510999999999996</v>
      </c>
      <c r="AA21" s="2200"/>
      <c r="AB21" s="2199">
        <f t="shared" si="13"/>
        <v>0</v>
      </c>
      <c r="AC21" s="2199">
        <f t="shared" si="14"/>
        <v>0</v>
      </c>
      <c r="AD21" s="2199">
        <f t="shared" si="15"/>
        <v>0</v>
      </c>
      <c r="AE21" s="2199">
        <f t="shared" si="16"/>
        <v>0</v>
      </c>
      <c r="AF21" s="2199">
        <f t="shared" si="17"/>
        <v>0</v>
      </c>
      <c r="AG21" s="2199">
        <f t="shared" si="18"/>
        <v>0</v>
      </c>
      <c r="AH21" s="2199">
        <f t="shared" si="19"/>
        <v>0</v>
      </c>
      <c r="AI21" s="2199">
        <f t="shared" si="20"/>
        <v>0</v>
      </c>
      <c r="AJ21" s="2199">
        <f t="shared" si="21"/>
        <v>0</v>
      </c>
      <c r="AK21" s="2200"/>
      <c r="AL21" s="2201"/>
      <c r="AM21" s="2201"/>
      <c r="AN21" s="2201"/>
      <c r="AO21" s="2201"/>
      <c r="AP21" s="2201"/>
      <c r="AQ21" s="2201"/>
      <c r="AR21" s="2201"/>
      <c r="AS21" s="2201"/>
      <c r="AT21" s="2201"/>
      <c r="AU21" s="2191"/>
    </row>
    <row r="22" spans="2:47" s="2479" customFormat="1" ht="15.75" x14ac:dyDescent="0.2">
      <c r="B22" s="1129"/>
      <c r="C22" s="1280" t="s">
        <v>2544</v>
      </c>
      <c r="D22" s="1280" t="s">
        <v>1310</v>
      </c>
      <c r="E22" s="1280">
        <f ca="1">INDEX(INDIRECT("IV.a.Outputs["&amp;E$5&amp;"]"), MATCH("V.02", INDIRECT("IV.a.Outputs[Vector]"), 0))+INDEX(INDIRECT("III.f.Outputs["&amp;E$5&amp;"]"), MATCH("V.02", INDIRECT("III.f.Outputs[Vector]"), 0))+INDEX(INDIRECT("III.g.Outputs["&amp;E$5&amp;"]"), MATCH("V.02", INDIRECT("III.g.Outputs[Vector]"), 0))</f>
        <v>2.7612899999999996E-2</v>
      </c>
      <c r="F22" s="1280">
        <f t="shared" ref="F22:M22" ca="1" si="40">INDEX(INDIRECT("IV.a.Outputs["&amp;F$5&amp;"]"), MATCH("V.02", INDIRECT("IV.a.Outputs[Vector]"), 0))+INDEX(INDIRECT("III.f.Outputs["&amp;F$5&amp;"]"), MATCH("V.02", INDIRECT("III.f.Outputs[Vector]"), 0))+INDEX(INDIRECT("III.g.Outputs["&amp;F$5&amp;"]"), MATCH("V.02", INDIRECT("III.g.Outputs[Vector]"), 0))</f>
        <v>0.92042999999999997</v>
      </c>
      <c r="G22" s="1280">
        <f t="shared" ca="1" si="40"/>
        <v>48.334847400000001</v>
      </c>
      <c r="H22" s="1280">
        <f t="shared" ca="1" si="40"/>
        <v>96.663558600000002</v>
      </c>
      <c r="I22" s="1280">
        <f t="shared" ca="1" si="40"/>
        <v>154.12907159999997</v>
      </c>
      <c r="J22" s="1280">
        <f t="shared" ca="1" si="40"/>
        <v>228.21141419999998</v>
      </c>
      <c r="K22" s="1280">
        <f t="shared" ca="1" si="40"/>
        <v>285.1614864</v>
      </c>
      <c r="L22" s="1280">
        <f t="shared" ca="1" si="40"/>
        <v>354.25509839999995</v>
      </c>
      <c r="M22" s="1280">
        <f t="shared" ca="1" si="40"/>
        <v>435.67019999999997</v>
      </c>
      <c r="N22" s="1130"/>
      <c r="P22" s="2189"/>
      <c r="Q22" s="2193" t="s">
        <v>33</v>
      </c>
      <c r="R22" s="2199">
        <f t="shared" si="4"/>
        <v>0</v>
      </c>
      <c r="S22" s="2199">
        <f t="shared" si="5"/>
        <v>0</v>
      </c>
      <c r="T22" s="2199">
        <f t="shared" si="6"/>
        <v>0</v>
      </c>
      <c r="U22" s="2199">
        <f t="shared" si="7"/>
        <v>0</v>
      </c>
      <c r="V22" s="2199">
        <f t="shared" si="8"/>
        <v>0</v>
      </c>
      <c r="W22" s="2199">
        <f t="shared" si="9"/>
        <v>0</v>
      </c>
      <c r="X22" s="2199">
        <f t="shared" si="10"/>
        <v>0</v>
      </c>
      <c r="Y22" s="2199">
        <f t="shared" si="11"/>
        <v>0</v>
      </c>
      <c r="Z22" s="2199">
        <f t="shared" si="12"/>
        <v>0</v>
      </c>
      <c r="AA22" s="2200"/>
      <c r="AB22" s="2199">
        <f t="shared" ca="1" si="13"/>
        <v>414.17330882393918</v>
      </c>
      <c r="AC22" s="2199">
        <f t="shared" ca="1" si="14"/>
        <v>389.33030111293573</v>
      </c>
      <c r="AD22" s="2199">
        <f t="shared" ca="1" si="15"/>
        <v>364.16042222164793</v>
      </c>
      <c r="AE22" s="2199">
        <f t="shared" ca="1" si="16"/>
        <v>341.71747798252039</v>
      </c>
      <c r="AF22" s="2199">
        <f t="shared" ca="1" si="17"/>
        <v>319.23068638322684</v>
      </c>
      <c r="AG22" s="2199">
        <f t="shared" ca="1" si="18"/>
        <v>299.92086842387539</v>
      </c>
      <c r="AH22" s="2199">
        <f t="shared" ca="1" si="19"/>
        <v>283.88237254591434</v>
      </c>
      <c r="AI22" s="2199">
        <f t="shared" ca="1" si="20"/>
        <v>271.41220470981926</v>
      </c>
      <c r="AJ22" s="2199">
        <f t="shared" ca="1" si="21"/>
        <v>263.00632905316809</v>
      </c>
      <c r="AK22" s="2200"/>
      <c r="AL22" s="2201"/>
      <c r="AM22" s="2201"/>
      <c r="AN22" s="2201"/>
      <c r="AO22" s="2201"/>
      <c r="AP22" s="2201"/>
      <c r="AQ22" s="2201"/>
      <c r="AR22" s="2201"/>
      <c r="AS22" s="2201"/>
      <c r="AT22" s="2201"/>
      <c r="AU22" s="2191"/>
    </row>
    <row r="23" spans="2:47" s="2479" customFormat="1" ht="15.75" x14ac:dyDescent="0.2">
      <c r="B23" s="1129"/>
      <c r="C23" s="1278" t="s">
        <v>1306</v>
      </c>
      <c r="D23" s="1280" t="s">
        <v>669</v>
      </c>
      <c r="E23" s="1280">
        <f t="shared" ref="E23:M23" ca="1" si="41">INDEX(INDIRECT("V.a.Outputs["&amp;E$5&amp;"]"), MATCH("V.03", INDIRECT("V.a.Outputs[Vector]"), 0))</f>
        <v>0</v>
      </c>
      <c r="F23" s="1280">
        <f t="shared" ca="1" si="41"/>
        <v>0</v>
      </c>
      <c r="G23" s="1280">
        <f t="shared" ca="1" si="41"/>
        <v>0</v>
      </c>
      <c r="H23" s="1280">
        <f t="shared" ca="1" si="41"/>
        <v>0</v>
      </c>
      <c r="I23" s="1280">
        <f t="shared" ca="1" si="41"/>
        <v>0</v>
      </c>
      <c r="J23" s="1280">
        <f t="shared" ca="1" si="41"/>
        <v>0</v>
      </c>
      <c r="K23" s="1280">
        <f t="shared" ca="1" si="41"/>
        <v>0</v>
      </c>
      <c r="L23" s="1280">
        <f t="shared" ca="1" si="41"/>
        <v>0</v>
      </c>
      <c r="M23" s="1280">
        <f t="shared" ca="1" si="41"/>
        <v>0</v>
      </c>
      <c r="N23" s="1130"/>
      <c r="P23" s="2189"/>
      <c r="Q23" s="2693" t="s">
        <v>2173</v>
      </c>
      <c r="R23" s="2199">
        <f t="shared" si="4"/>
        <v>0</v>
      </c>
      <c r="S23" s="2199">
        <f t="shared" si="5"/>
        <v>0</v>
      </c>
      <c r="T23" s="2199">
        <f t="shared" si="6"/>
        <v>0</v>
      </c>
      <c r="U23" s="2199">
        <f t="shared" si="7"/>
        <v>0</v>
      </c>
      <c r="V23" s="2199">
        <f t="shared" si="8"/>
        <v>0</v>
      </c>
      <c r="W23" s="2199">
        <f t="shared" si="9"/>
        <v>0</v>
      </c>
      <c r="X23" s="2199">
        <f t="shared" si="10"/>
        <v>0</v>
      </c>
      <c r="Y23" s="2199">
        <f t="shared" si="11"/>
        <v>0</v>
      </c>
      <c r="Z23" s="2199">
        <f t="shared" si="12"/>
        <v>0</v>
      </c>
      <c r="AA23" s="2200"/>
      <c r="AB23" s="2199">
        <f t="shared" si="13"/>
        <v>0</v>
      </c>
      <c r="AC23" s="2199">
        <f t="shared" si="14"/>
        <v>0</v>
      </c>
      <c r="AD23" s="2199">
        <f t="shared" si="15"/>
        <v>0</v>
      </c>
      <c r="AE23" s="2199">
        <f t="shared" si="16"/>
        <v>0</v>
      </c>
      <c r="AF23" s="2199">
        <f t="shared" si="17"/>
        <v>0</v>
      </c>
      <c r="AG23" s="2199">
        <f t="shared" si="18"/>
        <v>0</v>
      </c>
      <c r="AH23" s="2199">
        <f t="shared" si="19"/>
        <v>0</v>
      </c>
      <c r="AI23" s="2199">
        <f t="shared" si="20"/>
        <v>0</v>
      </c>
      <c r="AJ23" s="2199">
        <f t="shared" si="21"/>
        <v>0</v>
      </c>
      <c r="AK23" s="2200"/>
      <c r="AL23" s="2201"/>
      <c r="AM23" s="2201"/>
      <c r="AN23" s="2201"/>
      <c r="AO23" s="2201"/>
      <c r="AP23" s="2201"/>
      <c r="AQ23" s="2201"/>
      <c r="AR23" s="2201"/>
      <c r="AS23" s="2201"/>
      <c r="AT23" s="2201"/>
      <c r="AU23" s="2191"/>
    </row>
    <row r="24" spans="2:47" s="2479" customFormat="1" ht="15.75" x14ac:dyDescent="0.2">
      <c r="B24" s="1129"/>
      <c r="C24" s="1278" t="s">
        <v>1306</v>
      </c>
      <c r="D24" s="1280" t="s">
        <v>122</v>
      </c>
      <c r="E24" s="1280">
        <f t="shared" ref="E24:M24" ca="1" si="42">INDEX(INDIRECT("V.a.Outputs["&amp;E$5&amp;"]"), MATCH("V.04", INDIRECT("V.a.Outputs[Vector]"), 0))</f>
        <v>2.6727687466666672</v>
      </c>
      <c r="F24" s="1280">
        <f t="shared" ca="1" si="42"/>
        <v>3.0722897998837917</v>
      </c>
      <c r="G24" s="1280">
        <f t="shared" ca="1" si="42"/>
        <v>3.5315305995858264</v>
      </c>
      <c r="H24" s="1280">
        <f t="shared" ca="1" si="42"/>
        <v>4.1379873345085638</v>
      </c>
      <c r="I24" s="1280">
        <f t="shared" ca="1" si="42"/>
        <v>4.7565268397103431</v>
      </c>
      <c r="J24" s="1280">
        <f t="shared" ca="1" si="42"/>
        <v>5.4675246074845258</v>
      </c>
      <c r="K24" s="1280">
        <f t="shared" ca="1" si="42"/>
        <v>6.284801146054134</v>
      </c>
      <c r="L24" s="1280">
        <f t="shared" ca="1" si="42"/>
        <v>7.2242428303611712</v>
      </c>
      <c r="M24" s="1280">
        <f t="shared" ca="1" si="42"/>
        <v>8.3041107044081546</v>
      </c>
      <c r="N24" s="1130"/>
      <c r="P24" s="2189"/>
      <c r="Q24" s="2693" t="s">
        <v>2223</v>
      </c>
      <c r="R24" s="2199">
        <f t="shared" si="4"/>
        <v>0</v>
      </c>
      <c r="S24" s="2199">
        <f t="shared" si="5"/>
        <v>0</v>
      </c>
      <c r="T24" s="2199">
        <f t="shared" si="6"/>
        <v>0</v>
      </c>
      <c r="U24" s="2199">
        <f t="shared" si="7"/>
        <v>0</v>
      </c>
      <c r="V24" s="2199">
        <f t="shared" si="8"/>
        <v>0</v>
      </c>
      <c r="W24" s="2199">
        <f t="shared" si="9"/>
        <v>0</v>
      </c>
      <c r="X24" s="2199">
        <f t="shared" si="10"/>
        <v>0</v>
      </c>
      <c r="Y24" s="2199">
        <f t="shared" si="11"/>
        <v>0</v>
      </c>
      <c r="Z24" s="2199">
        <f t="shared" si="12"/>
        <v>0</v>
      </c>
      <c r="AA24" s="2200"/>
      <c r="AB24" s="2199">
        <f t="shared" ca="1" si="13"/>
        <v>30.665330685693796</v>
      </c>
      <c r="AC24" s="2199">
        <f t="shared" ca="1" si="14"/>
        <v>31.625100364448002</v>
      </c>
      <c r="AD24" s="2199">
        <f t="shared" ca="1" si="15"/>
        <v>33.245431671099993</v>
      </c>
      <c r="AE24" s="2199">
        <f t="shared" ca="1" si="16"/>
        <v>34.859277923418723</v>
      </c>
      <c r="AF24" s="2199">
        <f t="shared" ca="1" si="17"/>
        <v>40.373710069200783</v>
      </c>
      <c r="AG24" s="2199">
        <f t="shared" ca="1" si="18"/>
        <v>47.932140797144513</v>
      </c>
      <c r="AH24" s="2199">
        <f t="shared" ca="1" si="19"/>
        <v>51.930259598315175</v>
      </c>
      <c r="AI24" s="2199">
        <f t="shared" ca="1" si="20"/>
        <v>55.815217003676914</v>
      </c>
      <c r="AJ24" s="2199">
        <f t="shared" ca="1" si="21"/>
        <v>61.318144422310027</v>
      </c>
      <c r="AK24" s="2200"/>
      <c r="AL24" s="2201"/>
      <c r="AM24" s="2201"/>
      <c r="AN24" s="2201"/>
      <c r="AO24" s="2201"/>
      <c r="AP24" s="2201"/>
      <c r="AQ24" s="2201"/>
      <c r="AR24" s="2201"/>
      <c r="AS24" s="2201"/>
      <c r="AT24" s="2201"/>
      <c r="AU24" s="2191"/>
    </row>
    <row r="25" spans="2:47" s="2479" customFormat="1" ht="15.75" x14ac:dyDescent="0.2">
      <c r="B25" s="1129"/>
      <c r="C25" s="1278" t="s">
        <v>1306</v>
      </c>
      <c r="D25" s="1280" t="s">
        <v>10</v>
      </c>
      <c r="E25" s="1280">
        <f t="shared" ref="E25:M25" ca="1" si="43">INDEX(INDIRECT("V.a.Outputs["&amp;E$5&amp;"]"), MATCH("V.05", INDIRECT("V.a.Outputs[Vector]"), 0))</f>
        <v>376.72040258292134</v>
      </c>
      <c r="F25" s="1280">
        <f t="shared" ca="1" si="43"/>
        <v>429.45970846684344</v>
      </c>
      <c r="G25" s="1280">
        <f t="shared" ca="1" si="43"/>
        <v>494.82937211070913</v>
      </c>
      <c r="H25" s="1280">
        <f t="shared" ca="1" si="43"/>
        <v>621.66023801028632</v>
      </c>
      <c r="I25" s="1280">
        <f t="shared" ca="1" si="43"/>
        <v>672.99570382156764</v>
      </c>
      <c r="J25" s="1280">
        <f t="shared" ca="1" si="43"/>
        <v>735.43019244224729</v>
      </c>
      <c r="K25" s="1280">
        <f t="shared" ca="1" si="43"/>
        <v>795.92533754094541</v>
      </c>
      <c r="L25" s="1280">
        <f t="shared" ca="1" si="43"/>
        <v>860.50098001876916</v>
      </c>
      <c r="M25" s="1280">
        <f t="shared" ca="1" si="43"/>
        <v>922.08776152790972</v>
      </c>
      <c r="N25" s="1130"/>
      <c r="P25" s="2189"/>
      <c r="Q25" s="2193" t="s">
        <v>122</v>
      </c>
      <c r="R25" s="2199">
        <f t="shared" ca="1" si="4"/>
        <v>1461.610632626667</v>
      </c>
      <c r="S25" s="2199">
        <f t="shared" ca="1" si="5"/>
        <v>1462.0101536798838</v>
      </c>
      <c r="T25" s="2199">
        <f t="shared" ca="1" si="6"/>
        <v>1452.0484097375859</v>
      </c>
      <c r="U25" s="2199">
        <f t="shared" ca="1" si="7"/>
        <v>1442.2338817305088</v>
      </c>
      <c r="V25" s="2199">
        <f t="shared" ca="1" si="8"/>
        <v>1432.4314364937106</v>
      </c>
      <c r="W25" s="2199">
        <f t="shared" ca="1" si="9"/>
        <v>1422.7214495194848</v>
      </c>
      <c r="X25" s="2199">
        <f t="shared" ca="1" si="10"/>
        <v>1413.1177413160542</v>
      </c>
      <c r="Y25" s="2199">
        <f t="shared" ca="1" si="11"/>
        <v>1403.6361982583614</v>
      </c>
      <c r="Z25" s="2199">
        <f t="shared" ca="1" si="12"/>
        <v>1394.2950813904081</v>
      </c>
      <c r="AA25" s="2200"/>
      <c r="AB25" s="2199">
        <f t="shared" ca="1" si="13"/>
        <v>1461.6106326266668</v>
      </c>
      <c r="AC25" s="2199">
        <f t="shared" ca="1" si="14"/>
        <v>1462.0101536798838</v>
      </c>
      <c r="AD25" s="2199">
        <f t="shared" ca="1" si="15"/>
        <v>1452.0484097375859</v>
      </c>
      <c r="AE25" s="2199">
        <f t="shared" ca="1" si="16"/>
        <v>1442.2338817305088</v>
      </c>
      <c r="AF25" s="2199">
        <f t="shared" ca="1" si="17"/>
        <v>1432.4314364937106</v>
      </c>
      <c r="AG25" s="2199">
        <f t="shared" ca="1" si="18"/>
        <v>1422.7214495194846</v>
      </c>
      <c r="AH25" s="2199">
        <f t="shared" ca="1" si="19"/>
        <v>1413.1177413160542</v>
      </c>
      <c r="AI25" s="2199">
        <f t="shared" ca="1" si="20"/>
        <v>1403.6361982583612</v>
      </c>
      <c r="AJ25" s="2199">
        <f t="shared" ca="1" si="21"/>
        <v>1394.2950813904083</v>
      </c>
      <c r="AK25" s="2200"/>
      <c r="AL25" s="2201">
        <f t="shared" ref="AL25:AT25" ca="1" si="44">R25-AB25</f>
        <v>0</v>
      </c>
      <c r="AM25" s="2201">
        <f t="shared" ca="1" si="44"/>
        <v>0</v>
      </c>
      <c r="AN25" s="2201">
        <f t="shared" ca="1" si="44"/>
        <v>0</v>
      </c>
      <c r="AO25" s="2201">
        <f t="shared" ca="1" si="44"/>
        <v>0</v>
      </c>
      <c r="AP25" s="2201">
        <f t="shared" ca="1" si="44"/>
        <v>0</v>
      </c>
      <c r="AQ25" s="2201">
        <f t="shared" ca="1" si="44"/>
        <v>0</v>
      </c>
      <c r="AR25" s="2201">
        <f t="shared" ca="1" si="44"/>
        <v>0</v>
      </c>
      <c r="AS25" s="2201">
        <f t="shared" ca="1" si="44"/>
        <v>0</v>
      </c>
      <c r="AT25" s="2201">
        <f t="shared" ca="1" si="44"/>
        <v>0</v>
      </c>
      <c r="AU25" s="2191"/>
    </row>
    <row r="26" spans="2:47" s="2479" customFormat="1" ht="15.75" x14ac:dyDescent="0.2">
      <c r="B26" s="1129"/>
      <c r="C26" s="1278" t="s">
        <v>1306</v>
      </c>
      <c r="D26" s="1280" t="s">
        <v>45</v>
      </c>
      <c r="E26" s="1280">
        <f t="shared" ref="E26:M26" ca="1" si="45">INDEX(INDIRECT("V.a.Outputs["&amp;E$5&amp;"]"), MATCH("X.01", INDIRECT("V.a.Outputs[Vector]"), 0))</f>
        <v>264.08856679449832</v>
      </c>
      <c r="F26" s="1280">
        <f t="shared" ca="1" si="45"/>
        <v>296.98875621100319</v>
      </c>
      <c r="G26" s="1280">
        <f t="shared" ca="1" si="45"/>
        <v>337.88363555105911</v>
      </c>
      <c r="H26" s="1280">
        <f t="shared" ca="1" si="45"/>
        <v>306.08612821555016</v>
      </c>
      <c r="I26" s="1280">
        <f t="shared" ca="1" si="45"/>
        <v>332.61830600618987</v>
      </c>
      <c r="J26" s="1280">
        <f t="shared" ca="1" si="45"/>
        <v>364.53892260274051</v>
      </c>
      <c r="K26" s="1280">
        <f t="shared" ca="1" si="45"/>
        <v>395.6321719306693</v>
      </c>
      <c r="L26" s="1280">
        <f t="shared" ca="1" si="45"/>
        <v>429.01151597178796</v>
      </c>
      <c r="M26" s="1280">
        <f t="shared" ca="1" si="45"/>
        <v>461.05624041695228</v>
      </c>
      <c r="N26" s="1130"/>
      <c r="P26" s="2189"/>
      <c r="Q26" s="2193" t="s">
        <v>45</v>
      </c>
      <c r="R26" s="2199">
        <f t="shared" si="4"/>
        <v>0</v>
      </c>
      <c r="S26" s="2199">
        <f t="shared" si="5"/>
        <v>0</v>
      </c>
      <c r="T26" s="2199">
        <f t="shared" si="6"/>
        <v>0</v>
      </c>
      <c r="U26" s="2199">
        <f t="shared" si="7"/>
        <v>0</v>
      </c>
      <c r="V26" s="2199">
        <f t="shared" si="8"/>
        <v>0</v>
      </c>
      <c r="W26" s="2199">
        <f t="shared" si="9"/>
        <v>0</v>
      </c>
      <c r="X26" s="2199">
        <f t="shared" si="10"/>
        <v>0</v>
      </c>
      <c r="Y26" s="2199">
        <f t="shared" si="11"/>
        <v>0</v>
      </c>
      <c r="Z26" s="2199">
        <f t="shared" si="12"/>
        <v>0</v>
      </c>
      <c r="AA26" s="2200"/>
      <c r="AB26" s="2199">
        <f t="shared" ca="1" si="13"/>
        <v>338.54125631287832</v>
      </c>
      <c r="AC26" s="2199">
        <f t="shared" ca="1" si="14"/>
        <v>407.81231572432529</v>
      </c>
      <c r="AD26" s="2199">
        <f t="shared" ca="1" si="15"/>
        <v>527.44599030332711</v>
      </c>
      <c r="AE26" s="2199">
        <f t="shared" ca="1" si="16"/>
        <v>631.38610609203226</v>
      </c>
      <c r="AF26" s="2199">
        <f t="shared" ca="1" si="17"/>
        <v>841.60387129435503</v>
      </c>
      <c r="AG26" s="2199">
        <f t="shared" ca="1" si="18"/>
        <v>1129.6222818520725</v>
      </c>
      <c r="AH26" s="2199">
        <f t="shared" ca="1" si="19"/>
        <v>1462.8794973730653</v>
      </c>
      <c r="AI26" s="2199">
        <f t="shared" ca="1" si="20"/>
        <v>1824.4036162930906</v>
      </c>
      <c r="AJ26" s="2199">
        <f t="shared" ca="1" si="21"/>
        <v>2291.76245229386</v>
      </c>
      <c r="AK26" s="2200"/>
      <c r="AL26" s="2201"/>
      <c r="AM26" s="2201"/>
      <c r="AN26" s="2201"/>
      <c r="AO26" s="2201"/>
      <c r="AP26" s="2201"/>
      <c r="AQ26" s="2201"/>
      <c r="AR26" s="2201"/>
      <c r="AS26" s="2201"/>
      <c r="AT26" s="2201"/>
      <c r="AU26" s="2191"/>
    </row>
    <row r="27" spans="2:47" s="2479" customFormat="1" ht="15.75" x14ac:dyDescent="0.2">
      <c r="B27" s="1129"/>
      <c r="C27" s="1278" t="s">
        <v>669</v>
      </c>
      <c r="D27" s="1280" t="s">
        <v>1312</v>
      </c>
      <c r="E27" s="1280">
        <f t="shared" ref="E27:M27" ca="1" si="46">MAX(INDEX(INDIRECT("'"&amp;E$5&amp;"'!Year.NetBalance"), MATCH("Y.04", INDIRECT("'"&amp;E$5&amp;"'!Year.Vectors"), 0)),0)</f>
        <v>8.5753578045170311</v>
      </c>
      <c r="F27" s="1280">
        <f t="shared" ca="1" si="46"/>
        <v>9.2489934300115078</v>
      </c>
      <c r="G27" s="1280">
        <f t="shared" ca="1" si="46"/>
        <v>0</v>
      </c>
      <c r="H27" s="1280">
        <f t="shared" ca="1" si="46"/>
        <v>0</v>
      </c>
      <c r="I27" s="1280">
        <f t="shared" ca="1" si="46"/>
        <v>0</v>
      </c>
      <c r="J27" s="1280">
        <f t="shared" ca="1" si="46"/>
        <v>0</v>
      </c>
      <c r="K27" s="1280">
        <f t="shared" ca="1" si="46"/>
        <v>0</v>
      </c>
      <c r="L27" s="1280">
        <f t="shared" ca="1" si="46"/>
        <v>0</v>
      </c>
      <c r="M27" s="1280">
        <f t="shared" ca="1" si="46"/>
        <v>0</v>
      </c>
      <c r="N27" s="1130"/>
      <c r="P27" s="2189"/>
      <c r="Q27" s="2193" t="s">
        <v>2313</v>
      </c>
      <c r="R27" s="2199">
        <f t="shared" si="4"/>
        <v>0</v>
      </c>
      <c r="S27" s="2199">
        <f t="shared" si="5"/>
        <v>0</v>
      </c>
      <c r="T27" s="2199">
        <f t="shared" si="6"/>
        <v>0</v>
      </c>
      <c r="U27" s="2199">
        <f t="shared" si="7"/>
        <v>0</v>
      </c>
      <c r="V27" s="2199">
        <f t="shared" si="8"/>
        <v>0</v>
      </c>
      <c r="W27" s="2199">
        <f t="shared" si="9"/>
        <v>0</v>
      </c>
      <c r="X27" s="2199">
        <f t="shared" si="10"/>
        <v>0</v>
      </c>
      <c r="Y27" s="2199">
        <f t="shared" si="11"/>
        <v>0</v>
      </c>
      <c r="Z27" s="2199">
        <f t="shared" si="12"/>
        <v>0</v>
      </c>
      <c r="AA27" s="2200"/>
      <c r="AB27" s="2199">
        <f t="shared" ca="1" si="13"/>
        <v>0</v>
      </c>
      <c r="AC27" s="2199">
        <f t="shared" ca="1" si="14"/>
        <v>1.2059144801278183E-13</v>
      </c>
      <c r="AD27" s="2199">
        <f t="shared" ca="1" si="15"/>
        <v>2.4118289602556366E-13</v>
      </c>
      <c r="AE27" s="2199">
        <f t="shared" ca="1" si="16"/>
        <v>3.6177434403834546E-13</v>
      </c>
      <c r="AF27" s="2199">
        <f t="shared" ca="1" si="17"/>
        <v>4.8236579205112732E-13</v>
      </c>
      <c r="AG27" s="2199">
        <f t="shared" ca="1" si="18"/>
        <v>6.0295724006390912E-13</v>
      </c>
      <c r="AH27" s="2199">
        <f t="shared" ca="1" si="19"/>
        <v>7.2354868807669103E-13</v>
      </c>
      <c r="AI27" s="2199">
        <f t="shared" ca="1" si="20"/>
        <v>8.4414013608947293E-13</v>
      </c>
      <c r="AJ27" s="2199">
        <f t="shared" ca="1" si="21"/>
        <v>9.6473158410225464E-13</v>
      </c>
      <c r="AK27" s="2200"/>
      <c r="AL27" s="2201"/>
      <c r="AM27" s="2201"/>
      <c r="AN27" s="2201"/>
      <c r="AO27" s="2201"/>
      <c r="AP27" s="2201"/>
      <c r="AQ27" s="2201"/>
      <c r="AR27" s="2201"/>
      <c r="AS27" s="2201"/>
      <c r="AT27" s="2201"/>
      <c r="AU27" s="2191"/>
    </row>
    <row r="28" spans="2:47" s="2479" customFormat="1" ht="15.75" x14ac:dyDescent="0.2">
      <c r="B28" s="1129"/>
      <c r="C28" s="1278" t="s">
        <v>122</v>
      </c>
      <c r="D28" s="1280" t="s">
        <v>1312</v>
      </c>
      <c r="E28" s="1280">
        <f t="shared" ref="E28:M28" ca="1" si="47">MAX(INDEX(INDIRECT("'"&amp;E$5&amp;"'!Year.NetBalance"), MATCH("Y.03", INDIRECT("'"&amp;E$5&amp;"'!Year.Vectors"), 0))+INDEX(INDIRECT("'"&amp;E$5&amp;"'!Year.NetBalance"), MATCH("Y.05", INDIRECT("'"&amp;E$5&amp;"'!Year.Vectors"), 0)),0)</f>
        <v>1157.6931375681877</v>
      </c>
      <c r="F28" s="1280">
        <f t="shared" ca="1" si="47"/>
        <v>1149.7344121527788</v>
      </c>
      <c r="G28" s="1280">
        <f t="shared" ca="1" si="47"/>
        <v>1227.1576089524019</v>
      </c>
      <c r="H28" s="1280">
        <f t="shared" ca="1" si="47"/>
        <v>1249.7383851892039</v>
      </c>
      <c r="I28" s="1280">
        <f t="shared" ca="1" si="47"/>
        <v>1236.8760812278265</v>
      </c>
      <c r="J28" s="1280">
        <f t="shared" ca="1" si="47"/>
        <v>1218.9427494342538</v>
      </c>
      <c r="K28" s="1280">
        <f t="shared" ca="1" si="47"/>
        <v>1209.0359722031728</v>
      </c>
      <c r="L28" s="1280">
        <f t="shared" ca="1" si="47"/>
        <v>1200.1404622232553</v>
      </c>
      <c r="M28" s="1280">
        <f t="shared" ca="1" si="47"/>
        <v>1194.23446134643</v>
      </c>
      <c r="N28" s="1130"/>
      <c r="P28" s="2189"/>
      <c r="Q28" s="2193" t="s">
        <v>1548</v>
      </c>
      <c r="R28" s="2199">
        <f t="shared" si="4"/>
        <v>0</v>
      </c>
      <c r="S28" s="2199">
        <f t="shared" si="5"/>
        <v>0</v>
      </c>
      <c r="T28" s="2199">
        <f t="shared" si="6"/>
        <v>0</v>
      </c>
      <c r="U28" s="2199">
        <f t="shared" si="7"/>
        <v>0</v>
      </c>
      <c r="V28" s="2199">
        <f t="shared" si="8"/>
        <v>0</v>
      </c>
      <c r="W28" s="2199">
        <f t="shared" si="9"/>
        <v>0</v>
      </c>
      <c r="X28" s="2199">
        <f t="shared" si="10"/>
        <v>0</v>
      </c>
      <c r="Y28" s="2199">
        <f t="shared" si="11"/>
        <v>0</v>
      </c>
      <c r="Z28" s="2199">
        <f t="shared" si="12"/>
        <v>0</v>
      </c>
      <c r="AA28" s="2200"/>
      <c r="AB28" s="2199">
        <f t="shared" ca="1" si="13"/>
        <v>1.0449356110119832</v>
      </c>
      <c r="AC28" s="2199">
        <f t="shared" ca="1" si="14"/>
        <v>2.2204881734004642</v>
      </c>
      <c r="AD28" s="2199">
        <f t="shared" ca="1" si="15"/>
        <v>3.3960407357889455</v>
      </c>
      <c r="AE28" s="2199">
        <f t="shared" ca="1" si="16"/>
        <v>4.5715932981774268</v>
      </c>
      <c r="AF28" s="2199">
        <f t="shared" ca="1" si="17"/>
        <v>5.747145860565908</v>
      </c>
      <c r="AG28" s="2199">
        <f t="shared" ca="1" si="18"/>
        <v>6.9226984229543893</v>
      </c>
      <c r="AH28" s="2199">
        <f t="shared" ca="1" si="19"/>
        <v>8.0982509853428706</v>
      </c>
      <c r="AI28" s="2199">
        <f t="shared" ca="1" si="20"/>
        <v>9.273803547731351</v>
      </c>
      <c r="AJ28" s="2199">
        <f t="shared" ca="1" si="21"/>
        <v>10.449356110119831</v>
      </c>
      <c r="AK28" s="2200"/>
      <c r="AL28" s="2201"/>
      <c r="AM28" s="2201"/>
      <c r="AN28" s="2201"/>
      <c r="AO28" s="2201"/>
      <c r="AP28" s="2201"/>
      <c r="AQ28" s="2201"/>
      <c r="AR28" s="2201"/>
      <c r="AS28" s="2201"/>
      <c r="AT28" s="2201"/>
      <c r="AU28" s="2191"/>
    </row>
    <row r="29" spans="2:47" s="2479" customFormat="1" ht="15.75" x14ac:dyDescent="0.2">
      <c r="B29" s="1129"/>
      <c r="C29" s="1278" t="s">
        <v>10</v>
      </c>
      <c r="D29" s="1280" t="s">
        <v>1312</v>
      </c>
      <c r="E29" s="1280">
        <f t="shared" ref="E29:M29" ca="1" si="48">MAX(INDEX(INDIRECT("'"&amp;E$5&amp;"'!Year.NetBalance"), MATCH("Y.06", INDIRECT("'"&amp;E$5&amp;"'!Year.Vectors"), 0)),0)</f>
        <v>711.34280526370412</v>
      </c>
      <c r="F29" s="1280">
        <f t="shared" ca="1" si="48"/>
        <v>801.22020347427303</v>
      </c>
      <c r="G29" s="1280">
        <f t="shared" ca="1" si="48"/>
        <v>752.15463096912265</v>
      </c>
      <c r="H29" s="1280">
        <f t="shared" ca="1" si="48"/>
        <v>812.12413603411949</v>
      </c>
      <c r="I29" s="1280">
        <f t="shared" ca="1" si="48"/>
        <v>796.25859949857295</v>
      </c>
      <c r="J29" s="1280">
        <f t="shared" ca="1" si="48"/>
        <v>737.01762134814498</v>
      </c>
      <c r="K29" s="1280">
        <f t="shared" ca="1" si="48"/>
        <v>680.10495621215239</v>
      </c>
      <c r="L29" s="1280">
        <f t="shared" ca="1" si="48"/>
        <v>630.16605326473041</v>
      </c>
      <c r="M29" s="1280">
        <f t="shared" ca="1" si="48"/>
        <v>580.45941618119616</v>
      </c>
      <c r="N29" s="1130"/>
      <c r="P29" s="2189"/>
      <c r="Q29" s="1283" t="s">
        <v>519</v>
      </c>
      <c r="R29" s="2199">
        <f t="shared" ca="1" si="4"/>
        <v>761.432111111111</v>
      </c>
      <c r="S29" s="2199">
        <f t="shared" ca="1" si="5"/>
        <v>844.92033333333336</v>
      </c>
      <c r="T29" s="2199">
        <f t="shared" ca="1" si="6"/>
        <v>860.64599999999996</v>
      </c>
      <c r="U29" s="2199">
        <f t="shared" ca="1" si="7"/>
        <v>876.37166666666667</v>
      </c>
      <c r="V29" s="2199">
        <f t="shared" ca="1" si="8"/>
        <v>892.09733333333338</v>
      </c>
      <c r="W29" s="2199">
        <f t="shared" ca="1" si="9"/>
        <v>907.82299999999998</v>
      </c>
      <c r="X29" s="2199">
        <f t="shared" ca="1" si="10"/>
        <v>923.54866666666669</v>
      </c>
      <c r="Y29" s="2199">
        <f t="shared" ca="1" si="11"/>
        <v>939.27433333333329</v>
      </c>
      <c r="Z29" s="2199">
        <f t="shared" ca="1" si="12"/>
        <v>955</v>
      </c>
      <c r="AA29" s="2200"/>
      <c r="AB29" s="2199">
        <f t="shared" ca="1" si="13"/>
        <v>761.432111111111</v>
      </c>
      <c r="AC29" s="2199">
        <f t="shared" ca="1" si="14"/>
        <v>844.92033333333336</v>
      </c>
      <c r="AD29" s="2199">
        <f t="shared" ca="1" si="15"/>
        <v>860.64599999999996</v>
      </c>
      <c r="AE29" s="2199">
        <f t="shared" ca="1" si="16"/>
        <v>876.37166666666667</v>
      </c>
      <c r="AF29" s="2199">
        <f t="shared" ca="1" si="17"/>
        <v>892.09733333333338</v>
      </c>
      <c r="AG29" s="2199">
        <f t="shared" ca="1" si="18"/>
        <v>907.82299999999998</v>
      </c>
      <c r="AH29" s="2199">
        <f t="shared" ca="1" si="19"/>
        <v>923.54866666666669</v>
      </c>
      <c r="AI29" s="2199">
        <f t="shared" ca="1" si="20"/>
        <v>939.27433333333329</v>
      </c>
      <c r="AJ29" s="2199">
        <f t="shared" ca="1" si="21"/>
        <v>955</v>
      </c>
      <c r="AK29" s="2200"/>
      <c r="AL29" s="2201">
        <f t="shared" ref="AL29:AT29" ca="1" si="49">R29-AB29</f>
        <v>0</v>
      </c>
      <c r="AM29" s="2201">
        <f t="shared" ca="1" si="49"/>
        <v>0</v>
      </c>
      <c r="AN29" s="2201">
        <f t="shared" ca="1" si="49"/>
        <v>0</v>
      </c>
      <c r="AO29" s="2201">
        <f t="shared" ca="1" si="49"/>
        <v>0</v>
      </c>
      <c r="AP29" s="2201">
        <f t="shared" ca="1" si="49"/>
        <v>0</v>
      </c>
      <c r="AQ29" s="2201">
        <f t="shared" ca="1" si="49"/>
        <v>0</v>
      </c>
      <c r="AR29" s="2201">
        <f t="shared" ca="1" si="49"/>
        <v>0</v>
      </c>
      <c r="AS29" s="2201">
        <f t="shared" ca="1" si="49"/>
        <v>0</v>
      </c>
      <c r="AT29" s="2201">
        <f t="shared" ca="1" si="49"/>
        <v>0</v>
      </c>
      <c r="AU29" s="2191"/>
    </row>
    <row r="30" spans="2:47" s="2479" customFormat="1" ht="15.75" x14ac:dyDescent="0.2">
      <c r="B30" s="1129"/>
      <c r="C30" s="1278" t="s">
        <v>669</v>
      </c>
      <c r="D30" s="1280" t="s">
        <v>1311</v>
      </c>
      <c r="E30" s="1280">
        <f ca="1">-INDEX(INDIRECT("I.b.Outputs["&amp;E$5&amp;"]"), MATCH("V.03", INDIRECT("I.b.Outputs[Vector]"), 0))-INDEX(INDIRECT("I.c.Outputs["&amp;E$5&amp;"]"), MATCH("V.03", INDIRECT("I.c.Outputs[Vector]"), 0))</f>
        <v>0</v>
      </c>
      <c r="F30" s="1280">
        <f t="shared" ref="F30:M30" ca="1" si="50">-INDEX(INDIRECT("I.b.Outputs["&amp;F$5&amp;"]"), MATCH("V.03", INDIRECT("I.b.Outputs[Vector]"), 0))-INDEX(INDIRECT("I.c.Outputs["&amp;F$5&amp;"]"), MATCH("V.03", INDIRECT("I.c.Outputs[Vector]"), 0))</f>
        <v>0</v>
      </c>
      <c r="G30" s="1280">
        <f t="shared" ca="1" si="50"/>
        <v>23.668200000000002</v>
      </c>
      <c r="H30" s="1280">
        <f t="shared" ca="1" si="50"/>
        <v>120.00192631578949</v>
      </c>
      <c r="I30" s="1280">
        <f t="shared" ca="1" si="50"/>
        <v>278.98371710526311</v>
      </c>
      <c r="J30" s="1280">
        <f t="shared" ca="1" si="50"/>
        <v>508.86630000000008</v>
      </c>
      <c r="K30" s="1280">
        <f t="shared" ca="1" si="50"/>
        <v>752.3996210526318</v>
      </c>
      <c r="L30" s="1280">
        <f t="shared" ca="1" si="50"/>
        <v>994.11630394736824</v>
      </c>
      <c r="M30" s="1280">
        <f t="shared" ca="1" si="50"/>
        <v>1235.8329868421051</v>
      </c>
      <c r="N30" s="1130"/>
      <c r="P30" s="2189"/>
      <c r="Q30" s="2193" t="s">
        <v>0</v>
      </c>
      <c r="R30" s="2199">
        <f t="shared" ca="1" si="4"/>
        <v>0</v>
      </c>
      <c r="S30" s="2199">
        <f t="shared" ca="1" si="5"/>
        <v>0</v>
      </c>
      <c r="T30" s="2199">
        <f t="shared" ca="1" si="6"/>
        <v>0</v>
      </c>
      <c r="U30" s="2199">
        <f t="shared" ca="1" si="7"/>
        <v>21.428000000000004</v>
      </c>
      <c r="V30" s="2199">
        <f t="shared" ca="1" si="8"/>
        <v>40.713200000000001</v>
      </c>
      <c r="W30" s="2199">
        <f t="shared" ca="1" si="9"/>
        <v>79.283600000000021</v>
      </c>
      <c r="X30" s="2199">
        <f t="shared" ca="1" si="10"/>
        <v>152.13880000000003</v>
      </c>
      <c r="Y30" s="2199">
        <f t="shared" ca="1" si="11"/>
        <v>293.56360000000006</v>
      </c>
      <c r="Z30" s="2199">
        <f t="shared" ca="1" si="12"/>
        <v>567.8420000000001</v>
      </c>
      <c r="AA30" s="2200"/>
      <c r="AB30" s="2199">
        <f t="shared" si="13"/>
        <v>0</v>
      </c>
      <c r="AC30" s="2199">
        <f t="shared" si="14"/>
        <v>0</v>
      </c>
      <c r="AD30" s="2199">
        <f t="shared" si="15"/>
        <v>0</v>
      </c>
      <c r="AE30" s="2199">
        <f t="shared" si="16"/>
        <v>0</v>
      </c>
      <c r="AF30" s="2199">
        <f t="shared" si="17"/>
        <v>0</v>
      </c>
      <c r="AG30" s="2199">
        <f t="shared" si="18"/>
        <v>0</v>
      </c>
      <c r="AH30" s="2199">
        <f t="shared" si="19"/>
        <v>0</v>
      </c>
      <c r="AI30" s="2199">
        <f t="shared" si="20"/>
        <v>0</v>
      </c>
      <c r="AJ30" s="2199">
        <f t="shared" si="21"/>
        <v>0</v>
      </c>
      <c r="AK30" s="2200"/>
      <c r="AL30" s="2201"/>
      <c r="AM30" s="2201"/>
      <c r="AN30" s="2201"/>
      <c r="AO30" s="2201"/>
      <c r="AP30" s="2201"/>
      <c r="AQ30" s="2201"/>
      <c r="AR30" s="2201"/>
      <c r="AS30" s="2201"/>
      <c r="AT30" s="2201"/>
      <c r="AU30" s="2191"/>
    </row>
    <row r="31" spans="2:47" s="2479" customFormat="1" ht="15.75" x14ac:dyDescent="0.2">
      <c r="B31" s="1129"/>
      <c r="C31" s="1278" t="s">
        <v>122</v>
      </c>
      <c r="D31" s="1280" t="s">
        <v>1311</v>
      </c>
      <c r="E31" s="1280">
        <f ca="1">-INDEX(INDIRECT("I.d.Outputs["&amp;E$5&amp;"]"), MATCH("V.04", INDIRECT("I.d.Outputs[Vector]"), 0))</f>
        <v>142.5029467015639</v>
      </c>
      <c r="F31" s="1280">
        <f t="shared" ref="F31:M31" ca="1" si="51">-INDEX(INDIRECT("I.d.Outputs["&amp;F$5&amp;"]"), MATCH("V.04", INDIRECT("I.d.Outputs[Vector]"), 0))</f>
        <v>134.70896372099034</v>
      </c>
      <c r="G31" s="1280">
        <f t="shared" ca="1" si="51"/>
        <v>38.948586603523609</v>
      </c>
      <c r="H31" s="1280">
        <f t="shared" ca="1" si="51"/>
        <v>0</v>
      </c>
      <c r="I31" s="1280">
        <f t="shared" ca="1" si="51"/>
        <v>0</v>
      </c>
      <c r="J31" s="1280">
        <f t="shared" ca="1" si="51"/>
        <v>0</v>
      </c>
      <c r="K31" s="1280">
        <f t="shared" ca="1" si="51"/>
        <v>0</v>
      </c>
      <c r="L31" s="1280">
        <f t="shared" ca="1" si="51"/>
        <v>0</v>
      </c>
      <c r="M31" s="1280">
        <f t="shared" ca="1" si="51"/>
        <v>0</v>
      </c>
      <c r="N31" s="1130"/>
      <c r="P31" s="2189"/>
      <c r="Q31" s="2193" t="s">
        <v>118</v>
      </c>
      <c r="R31" s="2199">
        <f t="shared" ca="1" si="4"/>
        <v>1458.9378638800001</v>
      </c>
      <c r="S31" s="2199">
        <f t="shared" ca="1" si="5"/>
        <v>1458.9378638800001</v>
      </c>
      <c r="T31" s="2199">
        <f t="shared" ca="1" si="6"/>
        <v>1448.5168791380001</v>
      </c>
      <c r="U31" s="2199">
        <f t="shared" ca="1" si="7"/>
        <v>1438.0958943960002</v>
      </c>
      <c r="V31" s="2199">
        <f t="shared" ca="1" si="8"/>
        <v>1427.6749096540002</v>
      </c>
      <c r="W31" s="2199">
        <f t="shared" ca="1" si="9"/>
        <v>1417.253924912</v>
      </c>
      <c r="X31" s="2199">
        <f t="shared" ca="1" si="10"/>
        <v>1406.83294017</v>
      </c>
      <c r="Y31" s="2199">
        <f t="shared" ca="1" si="11"/>
        <v>1396.4119554280001</v>
      </c>
      <c r="Z31" s="2199">
        <f t="shared" ca="1" si="12"/>
        <v>1385.9909706860001</v>
      </c>
      <c r="AA31" s="2200"/>
      <c r="AB31" s="2199">
        <f t="shared" ca="1" si="13"/>
        <v>1458.9378638800001</v>
      </c>
      <c r="AC31" s="2199">
        <f t="shared" ca="1" si="14"/>
        <v>1458.9378638800001</v>
      </c>
      <c r="AD31" s="2199">
        <f t="shared" ca="1" si="15"/>
        <v>1448.5168791380001</v>
      </c>
      <c r="AE31" s="2199">
        <f t="shared" ca="1" si="16"/>
        <v>1438.0958943960002</v>
      </c>
      <c r="AF31" s="2199">
        <f t="shared" ca="1" si="17"/>
        <v>1427.6749096540002</v>
      </c>
      <c r="AG31" s="2199">
        <f t="shared" ca="1" si="18"/>
        <v>1417.253924912</v>
      </c>
      <c r="AH31" s="2199">
        <f t="shared" ca="1" si="19"/>
        <v>1406.83294017</v>
      </c>
      <c r="AI31" s="2199">
        <f t="shared" ca="1" si="20"/>
        <v>1396.4119554280001</v>
      </c>
      <c r="AJ31" s="2199">
        <f t="shared" ca="1" si="21"/>
        <v>1385.9909706860001</v>
      </c>
      <c r="AK31" s="2200"/>
      <c r="AL31" s="2201">
        <f t="shared" ref="AL31:AT31" ca="1" si="52">R31-AB31</f>
        <v>0</v>
      </c>
      <c r="AM31" s="2201">
        <f t="shared" ca="1" si="52"/>
        <v>0</v>
      </c>
      <c r="AN31" s="2201">
        <f t="shared" ca="1" si="52"/>
        <v>0</v>
      </c>
      <c r="AO31" s="2201">
        <f t="shared" ca="1" si="52"/>
        <v>0</v>
      </c>
      <c r="AP31" s="2201">
        <f t="shared" ca="1" si="52"/>
        <v>0</v>
      </c>
      <c r="AQ31" s="2201">
        <f t="shared" ca="1" si="52"/>
        <v>0</v>
      </c>
      <c r="AR31" s="2201">
        <f t="shared" ca="1" si="52"/>
        <v>0</v>
      </c>
      <c r="AS31" s="2201">
        <f t="shared" ca="1" si="52"/>
        <v>0</v>
      </c>
      <c r="AT31" s="2201">
        <f t="shared" ca="1" si="52"/>
        <v>0</v>
      </c>
      <c r="AU31" s="2191"/>
    </row>
    <row r="32" spans="2:47" s="2479" customFormat="1" ht="15.75" x14ac:dyDescent="0.2">
      <c r="B32" s="1129"/>
      <c r="C32" s="1278" t="s">
        <v>10</v>
      </c>
      <c r="D32" s="1280" t="s">
        <v>1311</v>
      </c>
      <c r="E32" s="1280">
        <f ca="1">-INDEX(INDIRECT("I.a.Outputs["&amp;E$5&amp;"]"), MATCH("V.05", INDIRECT("I.a.Outputs[Vector]"), 0))</f>
        <v>38.658059999999992</v>
      </c>
      <c r="F32" s="1280">
        <f t="shared" ref="F32:M32" ca="1" si="53">-INDEX(INDIRECT("I.a.Outputs["&amp;F$5&amp;"]"), MATCH("V.05", INDIRECT("I.a.Outputs[Vector]"), 0))</f>
        <v>103.08815999999999</v>
      </c>
      <c r="G32" s="1280">
        <f t="shared" ca="1" si="53"/>
        <v>249.0867666</v>
      </c>
      <c r="H32" s="1280">
        <f t="shared" ca="1" si="53"/>
        <v>345.8607768</v>
      </c>
      <c r="I32" s="1280">
        <f t="shared" ca="1" si="53"/>
        <v>443.15022779999998</v>
      </c>
      <c r="J32" s="1280">
        <f t="shared" ca="1" si="53"/>
        <v>591.85489859999984</v>
      </c>
      <c r="K32" s="1280">
        <f t="shared" ca="1" si="53"/>
        <v>740.55956939999999</v>
      </c>
      <c r="L32" s="1280">
        <f t="shared" ca="1" si="53"/>
        <v>889.39310039999987</v>
      </c>
      <c r="M32" s="1280">
        <f t="shared" ca="1" si="53"/>
        <v>1038.0977711999999</v>
      </c>
      <c r="N32" s="1130"/>
      <c r="P32" s="2189"/>
      <c r="Q32" s="2193" t="s">
        <v>1304</v>
      </c>
      <c r="R32" s="2199">
        <f t="shared" ca="1" si="4"/>
        <v>0</v>
      </c>
      <c r="S32" s="2199">
        <f t="shared" ca="1" si="5"/>
        <v>0</v>
      </c>
      <c r="T32" s="2199">
        <f t="shared" ca="1" si="6"/>
        <v>0</v>
      </c>
      <c r="U32" s="2199">
        <f t="shared" ca="1" si="7"/>
        <v>0</v>
      </c>
      <c r="V32" s="2199">
        <f t="shared" ca="1" si="8"/>
        <v>0</v>
      </c>
      <c r="W32" s="2199">
        <f t="shared" ca="1" si="9"/>
        <v>0</v>
      </c>
      <c r="X32" s="2199">
        <f t="shared" ca="1" si="10"/>
        <v>0</v>
      </c>
      <c r="Y32" s="2199">
        <f t="shared" ca="1" si="11"/>
        <v>0</v>
      </c>
      <c r="Z32" s="2199">
        <f t="shared" ca="1" si="12"/>
        <v>0</v>
      </c>
      <c r="AA32" s="2200"/>
      <c r="AB32" s="2199">
        <f t="shared" si="13"/>
        <v>0</v>
      </c>
      <c r="AC32" s="2199">
        <f t="shared" si="14"/>
        <v>0</v>
      </c>
      <c r="AD32" s="2199">
        <f t="shared" si="15"/>
        <v>0</v>
      </c>
      <c r="AE32" s="2199">
        <f t="shared" si="16"/>
        <v>0</v>
      </c>
      <c r="AF32" s="2199">
        <f t="shared" si="17"/>
        <v>0</v>
      </c>
      <c r="AG32" s="2199">
        <f t="shared" si="18"/>
        <v>0</v>
      </c>
      <c r="AH32" s="2199">
        <f t="shared" si="19"/>
        <v>0</v>
      </c>
      <c r="AI32" s="2199">
        <f t="shared" si="20"/>
        <v>0</v>
      </c>
      <c r="AJ32" s="2199">
        <f t="shared" si="21"/>
        <v>0</v>
      </c>
      <c r="AK32" s="2200"/>
      <c r="AL32" s="2201"/>
      <c r="AM32" s="2201"/>
      <c r="AN32" s="2201"/>
      <c r="AO32" s="2201"/>
      <c r="AP32" s="2201"/>
      <c r="AQ32" s="2201"/>
      <c r="AR32" s="2201"/>
      <c r="AS32" s="2201"/>
      <c r="AT32" s="2201"/>
      <c r="AU32" s="2191"/>
    </row>
    <row r="33" spans="2:47" s="2479" customFormat="1" ht="15.75" x14ac:dyDescent="0.2">
      <c r="B33" s="1129"/>
      <c r="C33" s="1278" t="s">
        <v>0</v>
      </c>
      <c r="D33" s="1280" t="s">
        <v>1311</v>
      </c>
      <c r="E33" s="1280">
        <f t="shared" ref="E33:M33" ca="1" si="54">-INDEX(INDIRECT("II.a.Outputs["&amp;E$5&amp;"]"), MATCH("N.01", INDIRECT("II.a.Outputs[Vector]"), 0))</f>
        <v>0</v>
      </c>
      <c r="F33" s="1280">
        <f t="shared" ca="1" si="54"/>
        <v>0</v>
      </c>
      <c r="G33" s="1280">
        <f t="shared" ca="1" si="54"/>
        <v>0</v>
      </c>
      <c r="H33" s="1280">
        <f t="shared" ca="1" si="54"/>
        <v>21.428000000000004</v>
      </c>
      <c r="I33" s="1280">
        <f t="shared" ca="1" si="54"/>
        <v>40.713200000000001</v>
      </c>
      <c r="J33" s="1280">
        <f t="shared" ca="1" si="54"/>
        <v>79.283600000000021</v>
      </c>
      <c r="K33" s="1280">
        <f t="shared" ca="1" si="54"/>
        <v>152.13880000000003</v>
      </c>
      <c r="L33" s="1280">
        <f t="shared" ca="1" si="54"/>
        <v>293.56360000000006</v>
      </c>
      <c r="M33" s="1280">
        <f t="shared" ca="1" si="54"/>
        <v>567.8420000000001</v>
      </c>
      <c r="N33" s="1130"/>
      <c r="P33" s="2189"/>
      <c r="Q33" s="2193" t="s">
        <v>429</v>
      </c>
      <c r="R33" s="2199">
        <f t="shared" ca="1" si="4"/>
        <v>1458.9378638800001</v>
      </c>
      <c r="S33" s="2199">
        <f t="shared" ca="1" si="5"/>
        <v>1458.9378638800001</v>
      </c>
      <c r="T33" s="2199">
        <f t="shared" ca="1" si="6"/>
        <v>1448.5168791380001</v>
      </c>
      <c r="U33" s="2199">
        <f t="shared" ca="1" si="7"/>
        <v>1438.0958943960002</v>
      </c>
      <c r="V33" s="2199">
        <f t="shared" ca="1" si="8"/>
        <v>1427.6749096540002</v>
      </c>
      <c r="W33" s="2199">
        <f t="shared" ca="1" si="9"/>
        <v>1417.253924912</v>
      </c>
      <c r="X33" s="2199">
        <f t="shared" ca="1" si="10"/>
        <v>1406.83294017</v>
      </c>
      <c r="Y33" s="2199">
        <f t="shared" ca="1" si="11"/>
        <v>1396.4119554280001</v>
      </c>
      <c r="Z33" s="2199">
        <f t="shared" ca="1" si="12"/>
        <v>1385.9909706860001</v>
      </c>
      <c r="AA33" s="2200"/>
      <c r="AB33" s="2199">
        <f t="shared" si="13"/>
        <v>0</v>
      </c>
      <c r="AC33" s="2199">
        <f t="shared" si="14"/>
        <v>0</v>
      </c>
      <c r="AD33" s="2199">
        <f t="shared" si="15"/>
        <v>0</v>
      </c>
      <c r="AE33" s="2199">
        <f t="shared" si="16"/>
        <v>0</v>
      </c>
      <c r="AF33" s="2199">
        <f t="shared" si="17"/>
        <v>0</v>
      </c>
      <c r="AG33" s="2199">
        <f t="shared" si="18"/>
        <v>0</v>
      </c>
      <c r="AH33" s="2199">
        <f t="shared" si="19"/>
        <v>0</v>
      </c>
      <c r="AI33" s="2199">
        <f t="shared" si="20"/>
        <v>0</v>
      </c>
      <c r="AJ33" s="2199">
        <f t="shared" si="21"/>
        <v>0</v>
      </c>
      <c r="AK33" s="2200"/>
      <c r="AL33" s="2201"/>
      <c r="AM33" s="2201"/>
      <c r="AN33" s="2201"/>
      <c r="AO33" s="2201"/>
      <c r="AP33" s="2201"/>
      <c r="AQ33" s="2201"/>
      <c r="AR33" s="2201"/>
      <c r="AS33" s="2201"/>
      <c r="AT33" s="2201"/>
      <c r="AU33" s="2191"/>
    </row>
    <row r="34" spans="2:47" s="2479" customFormat="1" ht="15.75" x14ac:dyDescent="0.2">
      <c r="B34" s="1129"/>
      <c r="C34" s="1278" t="s">
        <v>1311</v>
      </c>
      <c r="D34" s="1280" t="s">
        <v>1310</v>
      </c>
      <c r="E34" s="1280">
        <f ca="1">INDEX(INDIRECT("I.a.Outputs["&amp;E$5&amp;"]"), MATCH("V.02", INDIRECT("I.a.Outputs[Vector]"), 0))+INDEX(INDIRECT("I.b.Outputs["&amp;E$5&amp;"]"), MATCH("V.02", INDIRECT("I.b.Outputs[Vector]"), 0))+INDEX(INDIRECT("II.a.Outputs["&amp;E$5&amp;"]"), MATCH("V.02", INDIRECT("II.a.Outputs[Vector]"), 0))+INDEX(INDIRECT("I.c.Outputs["&amp;E$5&amp;"]"), MATCH("V.02", INDIRECT("I.c.Outputs[Vector]"), 0))+INDEX(INDIRECT("I.d.Outputs["&amp;E$5&amp;"]"), MATCH("V.02", INDIRECT("I.d.Outputs[Vector]"), 0))</f>
        <v>131.28222114975358</v>
      </c>
      <c r="F34" s="1280">
        <f t="shared" ref="F34:M34" ca="1" si="55">INDEX(INDIRECT("I.a.Outputs["&amp;F$5&amp;"]"), MATCH("V.02", INDIRECT("I.a.Outputs[Vector]"), 0))+INDEX(INDIRECT("I.b.Outputs["&amp;F$5&amp;"]"), MATCH("V.02", INDIRECT("I.b.Outputs[Vector]"), 0))+INDEX(INDIRECT("II.a.Outputs["&amp;F$5&amp;"]"), MATCH("V.02", INDIRECT("II.a.Outputs[Vector]"), 0))+INDEX(INDIRECT("I.c.Outputs["&amp;F$5&amp;"]"), MATCH("V.02", INDIRECT("I.c.Outputs[Vector]"), 0))+INDEX(INDIRECT("I.d.Outputs["&amp;F$5&amp;"]"), MATCH("V.02", INDIRECT("I.d.Outputs[Vector]"), 0))</f>
        <v>155.78976928395275</v>
      </c>
      <c r="G34" s="1280">
        <f t="shared" ca="1" si="55"/>
        <v>157.35251162655334</v>
      </c>
      <c r="H34" s="1280">
        <f t="shared" ca="1" si="55"/>
        <v>213.78520799999998</v>
      </c>
      <c r="I34" s="1280">
        <f t="shared" ca="1" si="55"/>
        <v>323.62318799999997</v>
      </c>
      <c r="J34" s="1280">
        <f t="shared" ca="1" si="55"/>
        <v>489.23922599999992</v>
      </c>
      <c r="K34" s="1280">
        <f t="shared" ca="1" si="55"/>
        <v>670.67789400000004</v>
      </c>
      <c r="L34" s="1280">
        <f t="shared" ca="1" si="55"/>
        <v>873.96143399999983</v>
      </c>
      <c r="M34" s="1280">
        <f t="shared" ca="1" si="55"/>
        <v>1120.6629720000001</v>
      </c>
      <c r="N34" s="1130"/>
      <c r="P34" s="2189"/>
      <c r="Q34" s="2193" t="s">
        <v>1308</v>
      </c>
      <c r="R34" s="2199">
        <f t="shared" ca="1" si="4"/>
        <v>26.823463173419647</v>
      </c>
      <c r="S34" s="2199">
        <f t="shared" ca="1" si="5"/>
        <v>29.060513911362861</v>
      </c>
      <c r="T34" s="2199">
        <f t="shared" ca="1" si="6"/>
        <v>30.975528027886902</v>
      </c>
      <c r="U34" s="2199">
        <f t="shared" ca="1" si="7"/>
        <v>30.063531251165315</v>
      </c>
      <c r="V34" s="2199">
        <f t="shared" ca="1" si="8"/>
        <v>28.742351793979353</v>
      </c>
      <c r="W34" s="2199">
        <f t="shared" ca="1" si="9"/>
        <v>27.825042008611952</v>
      </c>
      <c r="X34" s="2199">
        <f t="shared" ca="1" si="10"/>
        <v>26.691963531537414</v>
      </c>
      <c r="Y34" s="2199">
        <f t="shared" ca="1" si="11"/>
        <v>25.269427563132314</v>
      </c>
      <c r="Z34" s="2199">
        <f t="shared" ca="1" si="12"/>
        <v>23.676023844485314</v>
      </c>
      <c r="AA34" s="2200"/>
      <c r="AB34" s="2199">
        <f t="shared" si="13"/>
        <v>0</v>
      </c>
      <c r="AC34" s="2199">
        <f t="shared" si="14"/>
        <v>0</v>
      </c>
      <c r="AD34" s="2199">
        <f t="shared" si="15"/>
        <v>0</v>
      </c>
      <c r="AE34" s="2199">
        <f t="shared" si="16"/>
        <v>0</v>
      </c>
      <c r="AF34" s="2199">
        <f t="shared" si="17"/>
        <v>0</v>
      </c>
      <c r="AG34" s="2199">
        <f t="shared" si="18"/>
        <v>0</v>
      </c>
      <c r="AH34" s="2199">
        <f t="shared" si="19"/>
        <v>0</v>
      </c>
      <c r="AI34" s="2199">
        <f t="shared" si="20"/>
        <v>0</v>
      </c>
      <c r="AJ34" s="2199">
        <f t="shared" si="21"/>
        <v>0</v>
      </c>
      <c r="AK34" s="2200"/>
      <c r="AL34" s="2201"/>
      <c r="AM34" s="2201"/>
      <c r="AN34" s="2201"/>
      <c r="AO34" s="2201"/>
      <c r="AP34" s="2201"/>
      <c r="AQ34" s="2201"/>
      <c r="AR34" s="2201"/>
      <c r="AS34" s="2201"/>
      <c r="AT34" s="2201"/>
      <c r="AU34" s="2191"/>
    </row>
    <row r="35" spans="2:47" s="2479" customFormat="1" ht="15.75" x14ac:dyDescent="0.2">
      <c r="B35" s="1129"/>
      <c r="C35" s="1278" t="s">
        <v>1311</v>
      </c>
      <c r="D35" s="1280" t="s">
        <v>45</v>
      </c>
      <c r="E35" s="1280">
        <f ca="1">INDEX(INDIRECT("I.a.Outputs["&amp;E$5&amp;"]"), MATCH("X.01", INDIRECT("I.a.Outputs[Vector]"), 0))+INDEX(INDIRECT("I.b.Outputs["&amp;E$5&amp;"]"), MATCH("X.01", INDIRECT("I.b.Outputs[Vector]"), 0))+INDEX(INDIRECT("II.a.Outputs["&amp;E$5&amp;"]"), MATCH("X.01", INDIRECT("II.a.Outputs[Vector]"), 0))+INDEX(INDIRECT("I.c.Outputs["&amp;E$5&amp;"]"), MATCH("X.01", INDIRECT("I.c.Outputs[Vector]"), 0))+INDEX(INDIRECT("I.d.Outputs["&amp;E$5&amp;"]"), MATCH("X.01", INDIRECT("I.d.Outputs[Vector]"), 0))+INDEX(INDIRECT("I.a.Outputs["&amp;E$5&amp;"]"), MATCH("X.02", INDIRECT("I.a.Outputs[Vector]"), 0))+INDEX(INDIRECT("I.b.Outputs["&amp;E$5&amp;"]"), MATCH("X.02", INDIRECT("I.b.Outputs[Vector]"), 0))+INDEX(INDIRECT("II.a.Outputs["&amp;E$5&amp;"]"), MATCH("X.02", INDIRECT("II.a.Outputs[Vector]"), 0))+INDEX(INDIRECT("I.c.Outputs["&amp;E$5&amp;"]"), MATCH("X.02", INDIRECT("I.c.Outputs[Vector]"), 0))+INDEX(INDIRECT("I.d.Outputs["&amp;E$5&amp;"]"), MATCH("X.02", INDIRECT("I.c.Outputs[Vector]"), 0))</f>
        <v>49.87878555181031</v>
      </c>
      <c r="F35" s="1280">
        <f t="shared" ref="F35:M35" ca="1" si="56">INDEX(INDIRECT("I.a.Outputs["&amp;F$5&amp;"]"), MATCH("X.01", INDIRECT("I.a.Outputs[Vector]"), 0))+INDEX(INDIRECT("I.b.Outputs["&amp;F$5&amp;"]"), MATCH("X.01", INDIRECT("I.b.Outputs[Vector]"), 0))+INDEX(INDIRECT("II.a.Outputs["&amp;F$5&amp;"]"), MATCH("X.01", INDIRECT("II.a.Outputs[Vector]"), 0))+INDEX(INDIRECT("I.c.Outputs["&amp;F$5&amp;"]"), MATCH("X.01", INDIRECT("I.c.Outputs[Vector]"), 0))+INDEX(INDIRECT("I.d.Outputs["&amp;F$5&amp;"]"), MATCH("X.01", INDIRECT("I.d.Outputs[Vector]"), 0))+INDEX(INDIRECT("I.a.Outputs["&amp;F$5&amp;"]"), MATCH("X.02", INDIRECT("I.a.Outputs[Vector]"), 0))+INDEX(INDIRECT("I.b.Outputs["&amp;F$5&amp;"]"), MATCH("X.02", INDIRECT("I.b.Outputs[Vector]"), 0))+INDEX(INDIRECT("II.a.Outputs["&amp;F$5&amp;"]"), MATCH("X.02", INDIRECT("II.a.Outputs[Vector]"), 0))+INDEX(INDIRECT("I.c.Outputs["&amp;F$5&amp;"]"), MATCH("X.02", INDIRECT("I.c.Outputs[Vector]"), 0))+INDEX(INDIRECT("I.d.Outputs["&amp;F$5&amp;"]"), MATCH("X.02", INDIRECT("I.c.Outputs[Vector]"), 0))</f>
        <v>82.007354437037577</v>
      </c>
      <c r="G35" s="1280">
        <f t="shared" ca="1" si="56"/>
        <v>154.35104157697026</v>
      </c>
      <c r="H35" s="1280">
        <f t="shared" ca="1" si="56"/>
        <v>273.50549511578953</v>
      </c>
      <c r="I35" s="1280">
        <f t="shared" ca="1" si="56"/>
        <v>439.22395690526309</v>
      </c>
      <c r="J35" s="1280">
        <f t="shared" ca="1" si="56"/>
        <v>690.76557260000004</v>
      </c>
      <c r="K35" s="1280">
        <f t="shared" ca="1" si="56"/>
        <v>974.4200964526317</v>
      </c>
      <c r="L35" s="1280">
        <f t="shared" ca="1" si="56"/>
        <v>1303.1115703473686</v>
      </c>
      <c r="M35" s="1280">
        <f t="shared" ca="1" si="56"/>
        <v>1721.109786042105</v>
      </c>
      <c r="N35" s="1130"/>
      <c r="P35" s="2189"/>
      <c r="Q35" s="2193" t="s">
        <v>1312</v>
      </c>
      <c r="R35" s="2199">
        <f t="shared" si="4"/>
        <v>0</v>
      </c>
      <c r="S35" s="2199">
        <f t="shared" si="5"/>
        <v>0</v>
      </c>
      <c r="T35" s="2199">
        <f t="shared" si="6"/>
        <v>0</v>
      </c>
      <c r="U35" s="2199">
        <f t="shared" si="7"/>
        <v>0</v>
      </c>
      <c r="V35" s="2199">
        <f t="shared" si="8"/>
        <v>0</v>
      </c>
      <c r="W35" s="2199">
        <f t="shared" si="9"/>
        <v>0</v>
      </c>
      <c r="X35" s="2199">
        <f t="shared" si="10"/>
        <v>0</v>
      </c>
      <c r="Y35" s="2199">
        <f t="shared" si="11"/>
        <v>0</v>
      </c>
      <c r="Z35" s="2199">
        <f t="shared" si="12"/>
        <v>0</v>
      </c>
      <c r="AA35" s="2200"/>
      <c r="AB35" s="2199">
        <f t="shared" ca="1" si="13"/>
        <v>1877.6113006364089</v>
      </c>
      <c r="AC35" s="2199">
        <f t="shared" ca="1" si="14"/>
        <v>1960.2036090570632</v>
      </c>
      <c r="AD35" s="2199">
        <f t="shared" ca="1" si="15"/>
        <v>1979.3122399215245</v>
      </c>
      <c r="AE35" s="2199">
        <f t="shared" ca="1" si="16"/>
        <v>2067.5523961190011</v>
      </c>
      <c r="AF35" s="2199">
        <f t="shared" ca="1" si="17"/>
        <v>2114.3398250856326</v>
      </c>
      <c r="AG35" s="2199">
        <f t="shared" ca="1" si="18"/>
        <v>2157.3709031953194</v>
      </c>
      <c r="AH35" s="2199">
        <f t="shared" ca="1" si="19"/>
        <v>2203.6861145908942</v>
      </c>
      <c r="AI35" s="2199">
        <f t="shared" ca="1" si="20"/>
        <v>2306.0239382594327</v>
      </c>
      <c r="AJ35" s="2199">
        <f t="shared" ca="1" si="21"/>
        <v>2438.6230381146343</v>
      </c>
      <c r="AK35" s="2200"/>
      <c r="AL35" s="2201"/>
      <c r="AM35" s="2201"/>
      <c r="AN35" s="2201"/>
      <c r="AO35" s="2201"/>
      <c r="AP35" s="2201"/>
      <c r="AQ35" s="2201"/>
      <c r="AR35" s="2201"/>
      <c r="AS35" s="2201"/>
      <c r="AT35" s="2201"/>
      <c r="AU35" s="2191"/>
    </row>
    <row r="36" spans="2:47" s="2479" customFormat="1" ht="15.75" x14ac:dyDescent="0.2">
      <c r="B36" s="1129"/>
      <c r="C36" s="1278" t="s">
        <v>43</v>
      </c>
      <c r="D36" s="1280" t="s">
        <v>1310</v>
      </c>
      <c r="E36" s="1280">
        <f t="shared" ref="E36:M36" ca="1" si="57">-INDEX(INDIRECT("VII.a.Outputs["&amp;E$5&amp;"]"), MATCH("Y.02", INDIRECT("VII.a.Outputs[Vector]"), 0))</f>
        <v>-0.52500000000000002</v>
      </c>
      <c r="F36" s="1280">
        <f t="shared" ca="1" si="57"/>
        <v>-0.52500000000000002</v>
      </c>
      <c r="G36" s="1280">
        <f t="shared" ca="1" si="57"/>
        <v>-0.52500000000000002</v>
      </c>
      <c r="H36" s="1280">
        <f t="shared" ca="1" si="57"/>
        <v>-0.52500000000000002</v>
      </c>
      <c r="I36" s="1280">
        <f t="shared" ca="1" si="57"/>
        <v>12.089399999999999</v>
      </c>
      <c r="J36" s="1280">
        <f t="shared" ca="1" si="57"/>
        <v>24.703800000000001</v>
      </c>
      <c r="K36" s="1280">
        <f t="shared" ca="1" si="57"/>
        <v>37.318200000000004</v>
      </c>
      <c r="L36" s="1280">
        <f t="shared" ca="1" si="57"/>
        <v>49.932600000000001</v>
      </c>
      <c r="M36" s="1280">
        <f t="shared" ca="1" si="57"/>
        <v>62.547000000000004</v>
      </c>
      <c r="N36" s="1130"/>
      <c r="P36" s="2189"/>
      <c r="Q36" s="2193" t="s">
        <v>445</v>
      </c>
      <c r="R36" s="2199">
        <f t="shared" si="4"/>
        <v>0</v>
      </c>
      <c r="S36" s="2199">
        <f t="shared" si="5"/>
        <v>0</v>
      </c>
      <c r="T36" s="2199">
        <f t="shared" si="6"/>
        <v>0</v>
      </c>
      <c r="U36" s="2199">
        <f t="shared" si="7"/>
        <v>0</v>
      </c>
      <c r="V36" s="2199">
        <f t="shared" si="8"/>
        <v>0</v>
      </c>
      <c r="W36" s="2199">
        <f t="shared" si="9"/>
        <v>0</v>
      </c>
      <c r="X36" s="2199">
        <f t="shared" si="10"/>
        <v>0</v>
      </c>
      <c r="Y36" s="2199">
        <f t="shared" si="11"/>
        <v>0</v>
      </c>
      <c r="Z36" s="2199">
        <f t="shared" si="12"/>
        <v>0</v>
      </c>
      <c r="AA36" s="2200"/>
      <c r="AB36" s="2199">
        <f t="shared" ca="1" si="13"/>
        <v>25.076957917110953</v>
      </c>
      <c r="AC36" s="2199">
        <f t="shared" ca="1" si="14"/>
        <v>42.475937245436782</v>
      </c>
      <c r="AD36" s="2199">
        <f t="shared" ca="1" si="15"/>
        <v>49.917389989978602</v>
      </c>
      <c r="AE36" s="2199">
        <f t="shared" ca="1" si="16"/>
        <v>55.175778896368577</v>
      </c>
      <c r="AF36" s="2199">
        <f t="shared" ca="1" si="17"/>
        <v>59.254113213404999</v>
      </c>
      <c r="AG36" s="2199">
        <f t="shared" ca="1" si="18"/>
        <v>62.417203676107818</v>
      </c>
      <c r="AH36" s="2199">
        <f t="shared" ca="1" si="19"/>
        <v>63.419361714598281</v>
      </c>
      <c r="AI36" s="2199">
        <f t="shared" ca="1" si="20"/>
        <v>63.640391829160599</v>
      </c>
      <c r="AJ36" s="2199">
        <f t="shared" ca="1" si="21"/>
        <v>63.15812022583664</v>
      </c>
      <c r="AK36" s="2200"/>
      <c r="AL36" s="2201"/>
      <c r="AM36" s="2201"/>
      <c r="AN36" s="2201"/>
      <c r="AO36" s="2201"/>
      <c r="AP36" s="2201"/>
      <c r="AQ36" s="2201"/>
      <c r="AR36" s="2201"/>
      <c r="AS36" s="2201"/>
      <c r="AT36" s="2201"/>
      <c r="AU36" s="2191"/>
    </row>
    <row r="37" spans="2:47" s="2479" customFormat="1" ht="15.75" x14ac:dyDescent="0.2">
      <c r="B37" s="1129"/>
      <c r="C37" s="1278" t="s">
        <v>1</v>
      </c>
      <c r="D37" s="1280" t="s">
        <v>1310</v>
      </c>
      <c r="E37" s="1280">
        <f ca="1">INDEX(INDIRECT("III.a.1.Outputs["&amp;E$5&amp;"]"), MATCH("V.02", INDIRECT("III.a.1.Outputs[Vector]"), 0))</f>
        <v>0</v>
      </c>
      <c r="F37" s="1280">
        <f t="shared" ref="F37:M37" ca="1" si="58">INDEX(INDIRECT("III.a.1.Outputs["&amp;F$5&amp;"]"), MATCH("V.02", INDIRECT("III.a.1.Outputs[Vector]"), 0))</f>
        <v>0</v>
      </c>
      <c r="G37" s="1280">
        <f t="shared" ca="1" si="58"/>
        <v>3.6817200000000003</v>
      </c>
      <c r="H37" s="1280">
        <f t="shared" ca="1" si="58"/>
        <v>7.3634400000000007</v>
      </c>
      <c r="I37" s="1280">
        <f t="shared" ca="1" si="58"/>
        <v>11.045159999999999</v>
      </c>
      <c r="J37" s="1280">
        <f t="shared" ca="1" si="58"/>
        <v>14.726880000000001</v>
      </c>
      <c r="K37" s="1280">
        <f t="shared" ca="1" si="58"/>
        <v>14.726880000000001</v>
      </c>
      <c r="L37" s="1280">
        <f t="shared" ca="1" si="58"/>
        <v>18.4086</v>
      </c>
      <c r="M37" s="1280">
        <f t="shared" ca="1" si="58"/>
        <v>22.090319999999998</v>
      </c>
      <c r="N37" s="1130"/>
      <c r="P37" s="2189"/>
      <c r="Q37" s="2193" t="s">
        <v>444</v>
      </c>
      <c r="R37" s="2199">
        <f t="shared" si="4"/>
        <v>0</v>
      </c>
      <c r="S37" s="2199">
        <f t="shared" si="5"/>
        <v>0</v>
      </c>
      <c r="T37" s="2199">
        <f t="shared" si="6"/>
        <v>0</v>
      </c>
      <c r="U37" s="2199">
        <f t="shared" si="7"/>
        <v>0</v>
      </c>
      <c r="V37" s="2199">
        <f t="shared" si="8"/>
        <v>0</v>
      </c>
      <c r="W37" s="2199">
        <f t="shared" si="9"/>
        <v>0</v>
      </c>
      <c r="X37" s="2199">
        <f t="shared" si="10"/>
        <v>0</v>
      </c>
      <c r="Y37" s="2199">
        <f t="shared" si="11"/>
        <v>0</v>
      </c>
      <c r="Z37" s="2199">
        <f t="shared" si="12"/>
        <v>0</v>
      </c>
      <c r="AA37" s="2200"/>
      <c r="AB37" s="2199">
        <f t="shared" ca="1" si="13"/>
        <v>102.3149280766313</v>
      </c>
      <c r="AC37" s="2199">
        <f t="shared" ca="1" si="14"/>
        <v>98.573713532137717</v>
      </c>
      <c r="AD37" s="2199">
        <f t="shared" ca="1" si="15"/>
        <v>95.196935864243059</v>
      </c>
      <c r="AE37" s="2199">
        <f t="shared" ca="1" si="16"/>
        <v>91.616521511184374</v>
      </c>
      <c r="AF37" s="2199">
        <f t="shared" ca="1" si="17"/>
        <v>87.702870215268888</v>
      </c>
      <c r="AG37" s="2199">
        <f t="shared" ca="1" si="18"/>
        <v>94.494594530868937</v>
      </c>
      <c r="AH37" s="2199">
        <f t="shared" ca="1" si="19"/>
        <v>100.21442697127782</v>
      </c>
      <c r="AI37" s="2199">
        <f t="shared" ca="1" si="20"/>
        <v>107.4464981999182</v>
      </c>
      <c r="AJ37" s="2199">
        <f t="shared" ca="1" si="21"/>
        <v>115.70828124472885</v>
      </c>
      <c r="AK37" s="2200"/>
      <c r="AL37" s="2201"/>
      <c r="AM37" s="2201"/>
      <c r="AN37" s="2201"/>
      <c r="AO37" s="2201"/>
      <c r="AP37" s="2201"/>
      <c r="AQ37" s="2201"/>
      <c r="AR37" s="2201"/>
      <c r="AS37" s="2201"/>
      <c r="AT37" s="2201"/>
      <c r="AU37" s="2191"/>
    </row>
    <row r="38" spans="2:47" s="2479" customFormat="1" ht="15.75" x14ac:dyDescent="0.2">
      <c r="B38" s="1129"/>
      <c r="C38" s="1278" t="s">
        <v>14</v>
      </c>
      <c r="D38" s="1280" t="s">
        <v>1310</v>
      </c>
      <c r="E38" s="1280">
        <f ca="1">INDEX(INDIRECT("III.b.1.Outputs["&amp;E$5&amp;"]"), MATCH("V.02", INDIRECT("III.b.1.Outputs[Vector]"), 0))+INDEX(INDIRECT("III.b.2.Outputs["&amp;E$5&amp;"]"), MATCH("V.02", INDIRECT("III.b.2.Outputs[Vector]"), 0))</f>
        <v>10.273751999999998</v>
      </c>
      <c r="F38" s="1280">
        <f t="shared" ref="F38:M38" ca="1" si="59">INDEX(INDIRECT("III.b.1.Outputs["&amp;F$5&amp;"]"), MATCH("V.02", INDIRECT("III.b.1.Outputs[Vector]"), 0))+INDEX(INDIRECT("III.b.2.Outputs["&amp;F$5&amp;"]"), MATCH("V.02", INDIRECT("III.b.2.Outputs[Vector]"), 0))</f>
        <v>10.273751999999998</v>
      </c>
      <c r="G38" s="1280">
        <f t="shared" ca="1" si="59"/>
        <v>17.321616000000002</v>
      </c>
      <c r="H38" s="1280">
        <f t="shared" ca="1" si="59"/>
        <v>28.620363857142845</v>
      </c>
      <c r="I38" s="1280">
        <f t="shared" ca="1" si="59"/>
        <v>37.81952948571427</v>
      </c>
      <c r="J38" s="1280">
        <f t="shared" ca="1" si="59"/>
        <v>46.96609911428574</v>
      </c>
      <c r="K38" s="1280">
        <f t="shared" ca="1" si="59"/>
        <v>56.165264742857154</v>
      </c>
      <c r="L38" s="1280">
        <f t="shared" ca="1" si="59"/>
        <v>65.311834371428574</v>
      </c>
      <c r="M38" s="1280">
        <f t="shared" ca="1" si="59"/>
        <v>74.510999999999996</v>
      </c>
      <c r="N38" s="1130"/>
      <c r="P38" s="2189"/>
      <c r="Q38" s="2193" t="s">
        <v>11</v>
      </c>
      <c r="R38" s="2199">
        <f t="shared" ca="1" si="4"/>
        <v>2.7612899999999996E-2</v>
      </c>
      <c r="S38" s="2199">
        <f t="shared" ca="1" si="5"/>
        <v>0.92042999999999997</v>
      </c>
      <c r="T38" s="2199">
        <f t="shared" ca="1" si="6"/>
        <v>48.334847400000001</v>
      </c>
      <c r="U38" s="2199">
        <f t="shared" ca="1" si="7"/>
        <v>96.663558600000002</v>
      </c>
      <c r="V38" s="2199">
        <f t="shared" ca="1" si="8"/>
        <v>154.12907159999997</v>
      </c>
      <c r="W38" s="2199">
        <f t="shared" ca="1" si="9"/>
        <v>228.21141419999998</v>
      </c>
      <c r="X38" s="2199">
        <f t="shared" ca="1" si="10"/>
        <v>285.1614864</v>
      </c>
      <c r="Y38" s="2199">
        <f t="shared" ca="1" si="11"/>
        <v>354.25509839999995</v>
      </c>
      <c r="Z38" s="2199">
        <f t="shared" ca="1" si="12"/>
        <v>435.67019999999997</v>
      </c>
      <c r="AA38" s="2200"/>
      <c r="AB38" s="2199">
        <f t="shared" si="13"/>
        <v>0</v>
      </c>
      <c r="AC38" s="2199">
        <f t="shared" si="14"/>
        <v>0</v>
      </c>
      <c r="AD38" s="2199">
        <f t="shared" si="15"/>
        <v>0</v>
      </c>
      <c r="AE38" s="2199">
        <f t="shared" si="16"/>
        <v>0</v>
      </c>
      <c r="AF38" s="2199">
        <f t="shared" si="17"/>
        <v>0</v>
      </c>
      <c r="AG38" s="2199">
        <f t="shared" si="18"/>
        <v>0</v>
      </c>
      <c r="AH38" s="2199">
        <f t="shared" si="19"/>
        <v>0</v>
      </c>
      <c r="AI38" s="2199">
        <f t="shared" si="20"/>
        <v>0</v>
      </c>
      <c r="AJ38" s="2199">
        <f t="shared" si="21"/>
        <v>0</v>
      </c>
      <c r="AK38" s="2200"/>
      <c r="AL38" s="2201"/>
      <c r="AM38" s="2201"/>
      <c r="AN38" s="2201"/>
      <c r="AO38" s="2201"/>
      <c r="AP38" s="2201"/>
      <c r="AQ38" s="2201"/>
      <c r="AR38" s="2201"/>
      <c r="AS38" s="2201"/>
      <c r="AT38" s="2201"/>
      <c r="AU38" s="2191"/>
    </row>
    <row r="39" spans="2:47" s="2479" customFormat="1" ht="15.75" x14ac:dyDescent="0.2">
      <c r="B39" s="1129"/>
      <c r="C39" s="1278" t="s">
        <v>1310</v>
      </c>
      <c r="D39" s="1280" t="s">
        <v>1312</v>
      </c>
      <c r="E39" s="1280">
        <f t="shared" ref="E39:M39" ca="1" si="60">MAX(INDEX(INDIRECT("'"&amp;E$5&amp;"'!Year.NetBalance"), MATCH("Y.02", INDIRECT("'"&amp;E$5&amp;"'!Year.Vectors"), 0))+E36,0)</f>
        <v>0</v>
      </c>
      <c r="F39" s="1280">
        <f t="shared" ca="1" si="60"/>
        <v>0</v>
      </c>
      <c r="G39" s="1280">
        <f t="shared" ca="1" si="60"/>
        <v>0</v>
      </c>
      <c r="H39" s="1280">
        <f t="shared" ca="1" si="60"/>
        <v>5.6898748956779173</v>
      </c>
      <c r="I39" s="1280">
        <f t="shared" ca="1" si="60"/>
        <v>81.205144359233202</v>
      </c>
      <c r="J39" s="1280">
        <f t="shared" ca="1" si="60"/>
        <v>201.41053241292082</v>
      </c>
      <c r="K39" s="1280">
        <f t="shared" ca="1" si="60"/>
        <v>314.54518617556914</v>
      </c>
      <c r="L39" s="1280">
        <f t="shared" ca="1" si="60"/>
        <v>475.71742277144676</v>
      </c>
      <c r="M39" s="1280">
        <f t="shared" ca="1" si="60"/>
        <v>663.92916058700825</v>
      </c>
      <c r="N39" s="1130"/>
      <c r="P39" s="2189"/>
      <c r="Q39" s="2193" t="s">
        <v>2544</v>
      </c>
      <c r="R39" s="2199">
        <f t="shared" ca="1" si="4"/>
        <v>2.7612899999999996E-2</v>
      </c>
      <c r="S39" s="2199">
        <f t="shared" ca="1" si="5"/>
        <v>0.92042999999999997</v>
      </c>
      <c r="T39" s="2199">
        <f t="shared" ca="1" si="6"/>
        <v>48.334847400000001</v>
      </c>
      <c r="U39" s="2199">
        <f t="shared" ca="1" si="7"/>
        <v>96.663558600000002</v>
      </c>
      <c r="V39" s="2199">
        <f t="shared" ca="1" si="8"/>
        <v>154.12907159999997</v>
      </c>
      <c r="W39" s="2199">
        <f t="shared" ca="1" si="9"/>
        <v>228.21141419999998</v>
      </c>
      <c r="X39" s="2199">
        <f t="shared" ca="1" si="10"/>
        <v>285.1614864</v>
      </c>
      <c r="Y39" s="2199">
        <f t="shared" ca="1" si="11"/>
        <v>354.25509839999995</v>
      </c>
      <c r="Z39" s="2199">
        <f t="shared" ca="1" si="12"/>
        <v>435.67019999999997</v>
      </c>
      <c r="AA39" s="2200"/>
      <c r="AB39" s="2199">
        <f t="shared" ca="1" si="13"/>
        <v>2.7612899999999996E-2</v>
      </c>
      <c r="AC39" s="2199">
        <f t="shared" ca="1" si="14"/>
        <v>0.92042999999999997</v>
      </c>
      <c r="AD39" s="2199">
        <f t="shared" ca="1" si="15"/>
        <v>48.334847400000001</v>
      </c>
      <c r="AE39" s="2199">
        <f t="shared" ca="1" si="16"/>
        <v>96.663558600000002</v>
      </c>
      <c r="AF39" s="2199">
        <f t="shared" ca="1" si="17"/>
        <v>154.12907159999997</v>
      </c>
      <c r="AG39" s="2199">
        <f t="shared" ca="1" si="18"/>
        <v>228.21141419999998</v>
      </c>
      <c r="AH39" s="2199">
        <f t="shared" ca="1" si="19"/>
        <v>285.1614864</v>
      </c>
      <c r="AI39" s="2199">
        <f t="shared" ca="1" si="20"/>
        <v>354.25509839999995</v>
      </c>
      <c r="AJ39" s="2199">
        <f t="shared" ca="1" si="21"/>
        <v>435.67019999999997</v>
      </c>
      <c r="AK39" s="2200"/>
      <c r="AL39" s="2201">
        <f t="shared" ref="AL39:AT41" ca="1" si="61">R39-AB39</f>
        <v>0</v>
      </c>
      <c r="AM39" s="2201">
        <f t="shared" ca="1" si="61"/>
        <v>0</v>
      </c>
      <c r="AN39" s="2201">
        <f t="shared" ca="1" si="61"/>
        <v>0</v>
      </c>
      <c r="AO39" s="2201">
        <f t="shared" ca="1" si="61"/>
        <v>0</v>
      </c>
      <c r="AP39" s="2201">
        <f t="shared" ca="1" si="61"/>
        <v>0</v>
      </c>
      <c r="AQ39" s="2201">
        <f t="shared" ca="1" si="61"/>
        <v>0</v>
      </c>
      <c r="AR39" s="2201">
        <f t="shared" ca="1" si="61"/>
        <v>0</v>
      </c>
      <c r="AS39" s="2201">
        <f t="shared" ca="1" si="61"/>
        <v>0</v>
      </c>
      <c r="AT39" s="2201">
        <f t="shared" ca="1" si="61"/>
        <v>0</v>
      </c>
      <c r="AU39" s="2191"/>
    </row>
    <row r="40" spans="2:47" s="2479" customFormat="1" ht="15.75" x14ac:dyDescent="0.2">
      <c r="B40" s="1129"/>
      <c r="C40" s="1278" t="s">
        <v>1310</v>
      </c>
      <c r="D40" s="1280" t="s">
        <v>45</v>
      </c>
      <c r="E40" s="1280">
        <f t="shared" ref="E40:M40" ca="1" si="62">INDEX(INDIRECT("VII.b.Outputs["&amp;E$5&amp;"]"), MATCH("X.02", INDIRECT("VII.b.Outputs[Vector]"), 0))</f>
        <v>23.979959628458111</v>
      </c>
      <c r="F40" s="1280">
        <f t="shared" ca="1" si="62"/>
        <v>28.298021718271972</v>
      </c>
      <c r="G40" s="1280">
        <f t="shared" ca="1" si="62"/>
        <v>33.924854253983</v>
      </c>
      <c r="H40" s="1280">
        <f t="shared" ca="1" si="62"/>
        <v>51.032654334219735</v>
      </c>
      <c r="I40" s="1280">
        <f t="shared" ca="1" si="62"/>
        <v>68.625180708972152</v>
      </c>
      <c r="J40" s="1280">
        <f t="shared" ca="1" si="62"/>
        <v>72.292426428163779</v>
      </c>
      <c r="K40" s="1280">
        <f t="shared" ca="1" si="62"/>
        <v>89.940544676074552</v>
      </c>
      <c r="L40" s="1280">
        <f t="shared" ca="1" si="62"/>
        <v>88.61521439999818</v>
      </c>
      <c r="M40" s="1280">
        <f t="shared" ca="1" si="62"/>
        <v>105.15523314129916</v>
      </c>
      <c r="N40" s="1130"/>
      <c r="P40" s="2189"/>
      <c r="Q40" s="2193" t="s">
        <v>669</v>
      </c>
      <c r="R40" s="2199">
        <f t="shared" ca="1" si="5"/>
        <v>10.095739339406666</v>
      </c>
      <c r="S40" s="2199">
        <f t="shared" ca="1" si="5"/>
        <v>11.05873692274</v>
      </c>
      <c r="T40" s="2199">
        <f t="shared" ca="1" si="6"/>
        <v>25.824701842565585</v>
      </c>
      <c r="U40" s="2199">
        <f t="shared" ca="1" si="7"/>
        <v>122.57694153254651</v>
      </c>
      <c r="V40" s="2199">
        <f t="shared" ca="1" si="8"/>
        <v>281.95754953591495</v>
      </c>
      <c r="W40" s="2199">
        <f t="shared" ca="1" si="9"/>
        <v>512.36760581012402</v>
      </c>
      <c r="X40" s="2199">
        <f t="shared" ca="1" si="10"/>
        <v>756.52138704566835</v>
      </c>
      <c r="Y40" s="2199">
        <f t="shared" ca="1" si="11"/>
        <v>998.96810111333627</v>
      </c>
      <c r="Z40" s="2199">
        <f t="shared" ca="1" si="12"/>
        <v>1241.543917118086</v>
      </c>
      <c r="AA40" s="2200"/>
      <c r="AB40" s="2199">
        <f t="shared" ca="1" si="14"/>
        <v>10.095739339406666</v>
      </c>
      <c r="AC40" s="2199">
        <f t="shared" ca="1" si="14"/>
        <v>11.05873692274</v>
      </c>
      <c r="AD40" s="2199">
        <f t="shared" ca="1" si="15"/>
        <v>25.824701842565585</v>
      </c>
      <c r="AE40" s="2199">
        <f t="shared" ca="1" si="16"/>
        <v>122.5769415325465</v>
      </c>
      <c r="AF40" s="2199">
        <f t="shared" ca="1" si="17"/>
        <v>281.95754953591495</v>
      </c>
      <c r="AG40" s="2199">
        <f t="shared" ca="1" si="18"/>
        <v>512.36760581012402</v>
      </c>
      <c r="AH40" s="2199">
        <f t="shared" ca="1" si="19"/>
        <v>756.52138704566835</v>
      </c>
      <c r="AI40" s="2199">
        <f t="shared" ca="1" si="20"/>
        <v>998.96810111333627</v>
      </c>
      <c r="AJ40" s="2199">
        <f t="shared" ca="1" si="21"/>
        <v>1241.5439171180863</v>
      </c>
      <c r="AK40" s="2200"/>
      <c r="AL40" s="2201">
        <f t="shared" ca="1" si="61"/>
        <v>0</v>
      </c>
      <c r="AM40" s="2201">
        <f t="shared" ca="1" si="61"/>
        <v>0</v>
      </c>
      <c r="AN40" s="2201">
        <f t="shared" ca="1" si="61"/>
        <v>0</v>
      </c>
      <c r="AO40" s="2201">
        <f t="shared" ca="1" si="61"/>
        <v>0</v>
      </c>
      <c r="AP40" s="2201">
        <f t="shared" ca="1" si="61"/>
        <v>0</v>
      </c>
      <c r="AQ40" s="2201">
        <f t="shared" ca="1" si="61"/>
        <v>0</v>
      </c>
      <c r="AR40" s="2201">
        <f t="shared" ca="1" si="61"/>
        <v>0</v>
      </c>
      <c r="AS40" s="2201">
        <f t="shared" ca="1" si="61"/>
        <v>0</v>
      </c>
      <c r="AT40" s="2201">
        <f t="shared" ca="1" si="61"/>
        <v>0</v>
      </c>
      <c r="AU40" s="2191"/>
    </row>
    <row r="41" spans="2:47" s="2479" customFormat="1" ht="15.75" x14ac:dyDescent="0.2">
      <c r="B41" s="1129"/>
      <c r="C41" s="1278" t="s">
        <v>1310</v>
      </c>
      <c r="D41" s="1280" t="s">
        <v>2172</v>
      </c>
      <c r="E41" s="1280">
        <f ca="1">-INDEX(INDIRECT("IX.a.Outputs["&amp;E$5&amp;"]"), MATCH("V.01", INDIRECT("IX.a.Outputs[Vector]"), 0))</f>
        <v>38.553347194436292</v>
      </c>
      <c r="F41" s="1280">
        <f t="shared" ref="F41:M41" ca="1" si="63">-INDEX(INDIRECT("IX.a.Outputs["&amp;F$5&amp;"]"), MATCH("V.01", INDIRECT("IX.a.Outputs[Vector]"), 0))</f>
        <v>42.35519366304365</v>
      </c>
      <c r="G41" s="1280">
        <f t="shared" ca="1" si="63"/>
        <v>50.714523094931813</v>
      </c>
      <c r="H41" s="1280">
        <f t="shared" ca="1" si="63"/>
        <v>60.501058104296142</v>
      </c>
      <c r="I41" s="1280">
        <f t="shared" ca="1" si="63"/>
        <v>69.168548601745115</v>
      </c>
      <c r="J41" s="1280">
        <f t="shared" ca="1" si="63"/>
        <v>81.857281951971515</v>
      </c>
      <c r="K41" s="1280">
        <f t="shared" ca="1" si="63"/>
        <v>90.481230811821106</v>
      </c>
      <c r="L41" s="1280">
        <f t="shared" ca="1" si="63"/>
        <v>99.556795631218193</v>
      </c>
      <c r="M41" s="1280">
        <f t="shared" ca="1" si="63"/>
        <v>109.03701827242892</v>
      </c>
      <c r="N41" s="1130"/>
      <c r="P41" s="2189"/>
      <c r="Q41" s="2193" t="s">
        <v>1311</v>
      </c>
      <c r="R41" s="2199">
        <f t="shared" ca="1" si="4"/>
        <v>181.16100670156391</v>
      </c>
      <c r="S41" s="2199">
        <f t="shared" ca="1" si="5"/>
        <v>237.79712372099033</v>
      </c>
      <c r="T41" s="2199">
        <f t="shared" ca="1" si="6"/>
        <v>311.7035532035236</v>
      </c>
      <c r="U41" s="2199">
        <f t="shared" ca="1" si="7"/>
        <v>487.29070311578948</v>
      </c>
      <c r="V41" s="2199">
        <f t="shared" ca="1" si="8"/>
        <v>762.84714490526312</v>
      </c>
      <c r="W41" s="2199">
        <f t="shared" ca="1" si="9"/>
        <v>1180.0047986</v>
      </c>
      <c r="X41" s="2199">
        <f t="shared" ca="1" si="10"/>
        <v>1645.0979904526316</v>
      </c>
      <c r="Y41" s="2199">
        <f t="shared" ca="1" si="11"/>
        <v>2177.0730043473686</v>
      </c>
      <c r="Z41" s="2199">
        <f t="shared" ca="1" si="12"/>
        <v>2841.7727580421051</v>
      </c>
      <c r="AA41" s="2200"/>
      <c r="AB41" s="2199">
        <f t="shared" ca="1" si="13"/>
        <v>181.16100670156391</v>
      </c>
      <c r="AC41" s="2199">
        <f t="shared" ca="1" si="14"/>
        <v>237.79712372099033</v>
      </c>
      <c r="AD41" s="2199">
        <f t="shared" ca="1" si="15"/>
        <v>311.7035532035236</v>
      </c>
      <c r="AE41" s="2199">
        <f t="shared" ca="1" si="16"/>
        <v>487.29070311578948</v>
      </c>
      <c r="AF41" s="2199">
        <f t="shared" ca="1" si="17"/>
        <v>762.84714490526312</v>
      </c>
      <c r="AG41" s="2199">
        <f t="shared" ca="1" si="18"/>
        <v>1180.0047986</v>
      </c>
      <c r="AH41" s="2199">
        <f t="shared" ca="1" si="19"/>
        <v>1645.0979904526318</v>
      </c>
      <c r="AI41" s="2199">
        <f t="shared" ca="1" si="20"/>
        <v>2177.0730043473682</v>
      </c>
      <c r="AJ41" s="2199">
        <f t="shared" ca="1" si="21"/>
        <v>2841.7727580421051</v>
      </c>
      <c r="AK41" s="2200"/>
      <c r="AL41" s="2201">
        <f t="shared" ca="1" si="61"/>
        <v>0</v>
      </c>
      <c r="AM41" s="2201">
        <f t="shared" ca="1" si="61"/>
        <v>0</v>
      </c>
      <c r="AN41" s="2201">
        <f t="shared" ca="1" si="61"/>
        <v>0</v>
      </c>
      <c r="AO41" s="2201">
        <f t="shared" ca="1" si="61"/>
        <v>0</v>
      </c>
      <c r="AP41" s="2201">
        <f t="shared" ca="1" si="61"/>
        <v>0</v>
      </c>
      <c r="AQ41" s="2201">
        <f t="shared" ca="1" si="61"/>
        <v>0</v>
      </c>
      <c r="AR41" s="2201">
        <f t="shared" ca="1" si="61"/>
        <v>0</v>
      </c>
      <c r="AS41" s="2201">
        <f t="shared" ca="1" si="61"/>
        <v>0</v>
      </c>
      <c r="AT41" s="2201">
        <f t="shared" ca="1" si="61"/>
        <v>0</v>
      </c>
      <c r="AU41" s="2191"/>
    </row>
    <row r="42" spans="2:47" s="2479" customFormat="1" ht="15.75" x14ac:dyDescent="0.2">
      <c r="B42" s="1129"/>
      <c r="C42" s="1278" t="s">
        <v>1310</v>
      </c>
      <c r="D42" s="1280" t="s">
        <v>2218</v>
      </c>
      <c r="E42" s="1280">
        <f ca="1">-INDEX(INDIRECT("IX.c.Outputs["&amp;E$5&amp;"]"), MATCH("V.01", INDIRECT("IX.c.Outputs[Vector]"), 0))</f>
        <v>7.6376658252466445</v>
      </c>
      <c r="F42" s="1280">
        <f t="shared" ref="F42:M42" ca="1" si="64">-INDEX(INDIRECT("IX.c.Outputs["&amp;F$5&amp;"]"), MATCH("V.01", INDIRECT("IX.c.Outputs[Vector]"), 0))</f>
        <v>11.164654317475202</v>
      </c>
      <c r="G42" s="1280">
        <f t="shared" ca="1" si="64"/>
        <v>14.39449468289782</v>
      </c>
      <c r="H42" s="1280">
        <f t="shared" ca="1" si="64"/>
        <v>17.327186921514574</v>
      </c>
      <c r="I42" s="1280">
        <f t="shared" ca="1" si="64"/>
        <v>19.962731033325539</v>
      </c>
      <c r="J42" s="1280">
        <f t="shared" ca="1" si="64"/>
        <v>22.301127018330565</v>
      </c>
      <c r="K42" s="1280">
        <f t="shared" ca="1" si="64"/>
        <v>24.342374876529728</v>
      </c>
      <c r="L42" s="1280">
        <f t="shared" ca="1" si="64"/>
        <v>26.086474607923098</v>
      </c>
      <c r="M42" s="1280">
        <f t="shared" ca="1" si="64"/>
        <v>27.533426212510538</v>
      </c>
      <c r="N42" s="1130"/>
      <c r="P42" s="2189"/>
      <c r="Q42" s="2193" t="s">
        <v>2424</v>
      </c>
      <c r="R42" s="2199">
        <f t="shared" ca="1" si="4"/>
        <v>1673.2261104444444</v>
      </c>
      <c r="S42" s="2199">
        <f t="shared" ca="1" si="5"/>
        <v>1803.3177832724116</v>
      </c>
      <c r="T42" s="2199">
        <f t="shared" ca="1" si="6"/>
        <v>1943.5797645124765</v>
      </c>
      <c r="U42" s="2199">
        <f t="shared" ca="1" si="7"/>
        <v>2094.8154411091718</v>
      </c>
      <c r="V42" s="2199">
        <f t="shared" ca="1" si="8"/>
        <v>2257.8928876163941</v>
      </c>
      <c r="W42" s="2199">
        <f t="shared" ca="1" si="9"/>
        <v>2433.7502539567081</v>
      </c>
      <c r="X42" s="2199">
        <f t="shared" ca="1" si="10"/>
        <v>2623.4016276319003</v>
      </c>
      <c r="Y42" s="2199">
        <f t="shared" ca="1" si="11"/>
        <v>2827.9434157315513</v>
      </c>
      <c r="Z42" s="2199">
        <f t="shared" ca="1" si="12"/>
        <v>3048.5612968882915</v>
      </c>
      <c r="AA42" s="2200"/>
      <c r="AB42" s="2199">
        <f t="shared" si="13"/>
        <v>0</v>
      </c>
      <c r="AC42" s="2199">
        <f t="shared" si="14"/>
        <v>0</v>
      </c>
      <c r="AD42" s="2199">
        <f t="shared" si="15"/>
        <v>0</v>
      </c>
      <c r="AE42" s="2199">
        <f t="shared" si="16"/>
        <v>0</v>
      </c>
      <c r="AF42" s="2199">
        <f t="shared" si="17"/>
        <v>0</v>
      </c>
      <c r="AG42" s="2199">
        <f t="shared" si="18"/>
        <v>0</v>
      </c>
      <c r="AH42" s="2199">
        <f t="shared" si="19"/>
        <v>0</v>
      </c>
      <c r="AI42" s="2199">
        <f t="shared" si="20"/>
        <v>0</v>
      </c>
      <c r="AJ42" s="2199">
        <f t="shared" si="21"/>
        <v>0</v>
      </c>
      <c r="AK42" s="2200"/>
      <c r="AL42" s="2201"/>
      <c r="AM42" s="2201"/>
      <c r="AN42" s="2201"/>
      <c r="AO42" s="2201"/>
      <c r="AP42" s="2201"/>
      <c r="AQ42" s="2201"/>
      <c r="AR42" s="2201"/>
      <c r="AS42" s="2201"/>
      <c r="AT42" s="2201"/>
      <c r="AU42" s="2191"/>
    </row>
    <row r="43" spans="2:47" s="2479" customFormat="1" ht="15.75" x14ac:dyDescent="0.2">
      <c r="B43" s="1129"/>
      <c r="C43" s="1278" t="s">
        <v>1310</v>
      </c>
      <c r="D43" s="1280" t="s">
        <v>2579</v>
      </c>
      <c r="E43" s="1280">
        <f ca="1">-INDEX(INDIRECT("X.a.Outputs["&amp;E$5&amp;"]"), MATCH("V.01", INDIRECT("X.a.Outputs[Vector]"), 0))</f>
        <v>27.89612118265498</v>
      </c>
      <c r="F43" s="1280">
        <f t="shared" ref="F43:M43" ca="1" si="65">-INDEX(INDIRECT("X.a.Outputs["&amp;F$5&amp;"]"), MATCH("V.01", INDIRECT("X.a.Outputs[Vector]"), 0))</f>
        <v>37.002325143060304</v>
      </c>
      <c r="G43" s="1280">
        <f t="shared" ca="1" si="65"/>
        <v>74.005069857124582</v>
      </c>
      <c r="H43" s="1280">
        <f t="shared" ca="1" si="65"/>
        <v>153.36073970703768</v>
      </c>
      <c r="I43" s="1280">
        <f t="shared" ca="1" si="65"/>
        <v>233.8444437272363</v>
      </c>
      <c r="J43" s="1280">
        <f t="shared" ca="1" si="65"/>
        <v>343.01906779164136</v>
      </c>
      <c r="K43" s="1280">
        <f t="shared" ca="1" si="65"/>
        <v>446.79387785974899</v>
      </c>
      <c r="L43" s="1280">
        <f t="shared" ca="1" si="65"/>
        <v>557.84210500563609</v>
      </c>
      <c r="M43" s="1280">
        <f t="shared" ca="1" si="65"/>
        <v>676.14898610126431</v>
      </c>
      <c r="N43" s="1130"/>
      <c r="P43" s="2189"/>
      <c r="Q43" s="2193" t="s">
        <v>1</v>
      </c>
      <c r="R43" s="2199">
        <f t="shared" ca="1" si="4"/>
        <v>0</v>
      </c>
      <c r="S43" s="2199">
        <f t="shared" ca="1" si="5"/>
        <v>0</v>
      </c>
      <c r="T43" s="2199">
        <f t="shared" ca="1" si="6"/>
        <v>3.6817200000000003</v>
      </c>
      <c r="U43" s="2199">
        <f t="shared" ca="1" si="7"/>
        <v>7.3634400000000007</v>
      </c>
      <c r="V43" s="2199">
        <f t="shared" ca="1" si="8"/>
        <v>11.045159999999999</v>
      </c>
      <c r="W43" s="2199">
        <f t="shared" ca="1" si="9"/>
        <v>14.726880000000001</v>
      </c>
      <c r="X43" s="2199">
        <f t="shared" ca="1" si="10"/>
        <v>14.726880000000001</v>
      </c>
      <c r="Y43" s="2199">
        <f t="shared" ca="1" si="11"/>
        <v>18.4086</v>
      </c>
      <c r="Z43" s="2199">
        <f t="shared" ca="1" si="12"/>
        <v>22.090319999999998</v>
      </c>
      <c r="AA43" s="2200"/>
      <c r="AB43" s="2199">
        <f t="shared" si="13"/>
        <v>0</v>
      </c>
      <c r="AC43" s="2199">
        <f t="shared" si="14"/>
        <v>0</v>
      </c>
      <c r="AD43" s="2199">
        <f t="shared" si="15"/>
        <v>0</v>
      </c>
      <c r="AE43" s="2199">
        <f t="shared" si="16"/>
        <v>0</v>
      </c>
      <c r="AF43" s="2199">
        <f t="shared" si="17"/>
        <v>0</v>
      </c>
      <c r="AG43" s="2199">
        <f t="shared" si="18"/>
        <v>0</v>
      </c>
      <c r="AH43" s="2199">
        <f t="shared" si="19"/>
        <v>0</v>
      </c>
      <c r="AI43" s="2199">
        <f t="shared" si="20"/>
        <v>0</v>
      </c>
      <c r="AJ43" s="2199">
        <f t="shared" si="21"/>
        <v>0</v>
      </c>
      <c r="AK43" s="2200"/>
      <c r="AL43" s="2201"/>
      <c r="AM43" s="2201"/>
      <c r="AN43" s="2201"/>
      <c r="AO43" s="2201"/>
      <c r="AP43" s="2201"/>
      <c r="AQ43" s="2201"/>
      <c r="AR43" s="2201"/>
      <c r="AS43" s="2201"/>
      <c r="AT43" s="2201"/>
      <c r="AU43" s="2191"/>
    </row>
    <row r="44" spans="2:47" s="2479" customFormat="1" ht="15.75" x14ac:dyDescent="0.2">
      <c r="B44" s="1129"/>
      <c r="C44" s="1278" t="s">
        <v>10</v>
      </c>
      <c r="D44" s="1280" t="s">
        <v>2579</v>
      </c>
      <c r="E44" s="1280">
        <f t="shared" ref="E44:M44" ca="1" si="66">-INDEX(INDIRECT("X.a.Outputs["&amp;E$5&amp;"]"), MATCH("V.05", INDIRECT("X.a.Outputs[Vector]"), 0))</f>
        <v>11.220312687505874</v>
      </c>
      <c r="F44" s="1280">
        <f t="shared" ca="1" si="66"/>
        <v>20.355127041251855</v>
      </c>
      <c r="G44" s="1280">
        <f t="shared" ca="1" si="66"/>
        <v>31.289900443384496</v>
      </c>
      <c r="H44" s="1280">
        <f t="shared" ca="1" si="66"/>
        <v>42.670782951588507</v>
      </c>
      <c r="I44" s="1280">
        <f t="shared" ca="1" si="66"/>
        <v>51.79949419672112</v>
      </c>
      <c r="J44" s="1280">
        <f t="shared" ca="1" si="66"/>
        <v>61.373063724941112</v>
      </c>
      <c r="K44" s="1280">
        <f t="shared" ca="1" si="66"/>
        <v>64.11883578128085</v>
      </c>
      <c r="L44" s="1280">
        <f t="shared" ca="1" si="66"/>
        <v>62.235336002524122</v>
      </c>
      <c r="M44" s="1280">
        <f t="shared" ca="1" si="66"/>
        <v>54.257073474789401</v>
      </c>
      <c r="N44" s="1130"/>
      <c r="P44" s="2189"/>
      <c r="Q44" s="1126"/>
      <c r="R44" s="2691"/>
      <c r="S44" s="2193"/>
      <c r="T44" s="2193"/>
      <c r="U44" s="2198"/>
      <c r="V44" s="2198"/>
      <c r="W44" s="2198"/>
      <c r="X44" s="2198"/>
      <c r="Y44" s="2198"/>
      <c r="Z44" s="2198"/>
      <c r="AA44" s="2198"/>
      <c r="AB44" s="2198"/>
      <c r="AC44" s="2198"/>
      <c r="AD44" s="2198"/>
      <c r="AE44" s="2198"/>
      <c r="AF44" s="2198"/>
      <c r="AG44" s="2198"/>
      <c r="AH44" s="2198"/>
      <c r="AI44" s="2198"/>
      <c r="AJ44" s="2198"/>
      <c r="AK44" s="2198"/>
      <c r="AL44" s="2198"/>
      <c r="AM44" s="2198"/>
      <c r="AN44" s="2198"/>
      <c r="AO44" s="2198"/>
      <c r="AP44" s="2198"/>
      <c r="AQ44" s="2198"/>
      <c r="AR44" s="2198"/>
      <c r="AS44" s="2198"/>
      <c r="AT44" s="2198"/>
      <c r="AU44" s="2190"/>
    </row>
    <row r="45" spans="2:47" s="2479" customFormat="1" x14ac:dyDescent="0.2">
      <c r="B45" s="1129"/>
      <c r="C45" s="1278" t="s">
        <v>122</v>
      </c>
      <c r="D45" s="1280" t="s">
        <v>2579</v>
      </c>
      <c r="E45" s="1280">
        <f ca="1">-INDEX(INDIRECT("X.a.Outputs["&amp;E$5&amp;"]"), MATCH("V.04", INDIRECT("X.a.Outputs[Vector]"), 0))</f>
        <v>26.928750450014093</v>
      </c>
      <c r="F45" s="1280">
        <f t="shared" ref="F45:M45" ca="1" si="67">-INDEX(INDIRECT("X.a.Outputs["&amp;F$5&amp;"]"), MATCH("V.04", INDIRECT("X.a.Outputs[Vector]"), 0))</f>
        <v>29.311382939402673</v>
      </c>
      <c r="G45" s="1280">
        <f t="shared" ca="1" si="67"/>
        <v>34.134436847328544</v>
      </c>
      <c r="H45" s="1280">
        <f t="shared" ca="1" si="67"/>
        <v>38.845126549032294</v>
      </c>
      <c r="I45" s="1280">
        <f t="shared" ca="1" si="67"/>
        <v>41.439595357376902</v>
      </c>
      <c r="J45" s="1280">
        <f t="shared" ca="1" si="67"/>
        <v>44.531153214375884</v>
      </c>
      <c r="K45" s="1280">
        <f t="shared" ca="1" si="67"/>
        <v>43.08785764502074</v>
      </c>
      <c r="L45" s="1280">
        <f t="shared" ca="1" si="67"/>
        <v>39.306528001594195</v>
      </c>
      <c r="M45" s="1280">
        <f t="shared" ca="1" si="67"/>
        <v>32.554244084873638</v>
      </c>
      <c r="N45" s="113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</row>
    <row r="46" spans="2:47" s="2479" customFormat="1" x14ac:dyDescent="0.2">
      <c r="B46" s="1129"/>
      <c r="C46" s="2692" t="s">
        <v>2185</v>
      </c>
      <c r="D46" s="1280" t="s">
        <v>2579</v>
      </c>
      <c r="E46" s="1280">
        <f ca="1">-INDEX(INDIRECT("X.a.Outputs["&amp;E$5&amp;"]"), MATCH("V.16", INDIRECT("X.a.Outputs[Vector]"), 0))</f>
        <v>179.52500300009399</v>
      </c>
      <c r="F46" s="1280">
        <f t="shared" ref="F46:M46" ca="1" si="68">-INDEX(INDIRECT("X.a.Outputs["&amp;F$5&amp;"]"), MATCH("V.16", INDIRECT("X.a.Outputs[Vector]"), 0))</f>
        <v>156.32737567681426</v>
      </c>
      <c r="G46" s="1280">
        <f t="shared" ca="1" si="68"/>
        <v>145.64026388193511</v>
      </c>
      <c r="H46" s="1280">
        <f t="shared" ca="1" si="68"/>
        <v>131.83800525732175</v>
      </c>
      <c r="I46" s="1280">
        <f t="shared" ca="1" si="68"/>
        <v>110.50558761967174</v>
      </c>
      <c r="J46" s="1280">
        <f t="shared" ca="1" si="68"/>
        <v>91.345955311540266</v>
      </c>
      <c r="K46" s="1280">
        <f t="shared" ca="1" si="68"/>
        <v>65.657687840031599</v>
      </c>
      <c r="L46" s="1280">
        <f t="shared" ca="1" si="68"/>
        <v>41.926963201700474</v>
      </c>
      <c r="M46" s="1280">
        <f t="shared" ca="1" si="68"/>
        <v>21.702829389915763</v>
      </c>
      <c r="N46" s="113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</row>
    <row r="47" spans="2:47" s="2479" customFormat="1" x14ac:dyDescent="0.2">
      <c r="B47" s="1129"/>
      <c r="C47" s="1278" t="s">
        <v>1310</v>
      </c>
      <c r="D47" s="1280" t="s">
        <v>2223</v>
      </c>
      <c r="E47" s="1280">
        <f t="shared" ref="E47:M47" ca="1" si="69">-INDEX(INDIRECT("X.b.Outputs["&amp;E$5&amp;"]"), MATCH("V.01", INDIRECT("X.b.Outputs[Vector]"), 0))</f>
        <v>10.747311068475991</v>
      </c>
      <c r="F47" s="1280">
        <f t="shared" ca="1" si="69"/>
        <v>11.877969802396249</v>
      </c>
      <c r="G47" s="1280">
        <f t="shared" ca="1" si="69"/>
        <v>13.181003517972247</v>
      </c>
      <c r="H47" s="1280">
        <f t="shared" ca="1" si="69"/>
        <v>14.460746058737476</v>
      </c>
      <c r="I47" s="1280">
        <f t="shared" ca="1" si="69"/>
        <v>20.020368786122059</v>
      </c>
      <c r="J47" s="1280">
        <f t="shared" ca="1" si="69"/>
        <v>26.205200519458359</v>
      </c>
      <c r="K47" s="1280">
        <f t="shared" ca="1" si="69"/>
        <v>28.921353483281138</v>
      </c>
      <c r="L47" s="1280">
        <f t="shared" ca="1" si="69"/>
        <v>31.615978208554619</v>
      </c>
      <c r="M47" s="1280">
        <f t="shared" ca="1" si="69"/>
        <v>36.020206104359104</v>
      </c>
      <c r="N47" s="113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</row>
    <row r="48" spans="2:47" s="2479" customFormat="1" x14ac:dyDescent="0.2">
      <c r="B48" s="1129"/>
      <c r="C48" s="1278" t="s">
        <v>10</v>
      </c>
      <c r="D48" s="1280" t="s">
        <v>2223</v>
      </c>
      <c r="E48" s="1280">
        <f t="shared" ref="E48:M48" ca="1" si="70">-INDEX(INDIRECT("X.b.Outputs["&amp;E$5&amp;"]"), MATCH("V.05", INDIRECT("X.b.Outputs[Vector]"), 0))</f>
        <v>1.0267020421246291</v>
      </c>
      <c r="F48" s="1280">
        <f t="shared" ca="1" si="70"/>
        <v>1.9512974863687498</v>
      </c>
      <c r="G48" s="1280">
        <f t="shared" ca="1" si="70"/>
        <v>2.9745109121887503</v>
      </c>
      <c r="H48" s="1280">
        <f t="shared" ca="1" si="70"/>
        <v>4.0797063729362497</v>
      </c>
      <c r="I48" s="1280">
        <f t="shared" ca="1" si="70"/>
        <v>5.1745782923081505</v>
      </c>
      <c r="J48" s="1280">
        <f t="shared" ca="1" si="70"/>
        <v>6.7601912586143609</v>
      </c>
      <c r="K48" s="1280">
        <f t="shared" ca="1" si="70"/>
        <v>8.5344607251609919</v>
      </c>
      <c r="L48" s="1280">
        <f t="shared" ca="1" si="70"/>
        <v>10.497386691948025</v>
      </c>
      <c r="M48" s="1280">
        <f t="shared" ca="1" si="70"/>
        <v>12.648969158975463</v>
      </c>
      <c r="N48" s="113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</row>
    <row r="49" spans="2:48" s="2479" customFormat="1" x14ac:dyDescent="0.2">
      <c r="B49" s="1129"/>
      <c r="C49" s="1278" t="s">
        <v>122</v>
      </c>
      <c r="D49" s="1280" t="s">
        <v>2223</v>
      </c>
      <c r="E49" s="1280">
        <f ca="1">-INDEX(INDIRECT("X.b.Outputs["&amp;E$5&amp;"]"), MATCH("V.04", INDIRECT("X.b.Outputs[Vector]"), 0))</f>
        <v>2.4640849010991097</v>
      </c>
      <c r="F49" s="1280">
        <f t="shared" ref="F49:M49" ca="1" si="71">-INDEX(INDIRECT("X.b.Outputs["&amp;F$5&amp;"]"), MATCH("V.04", INDIRECT("X.b.Outputs[Vector]"), 0))</f>
        <v>2.8098683803709998</v>
      </c>
      <c r="G49" s="1280">
        <f t="shared" ca="1" si="71"/>
        <v>3.2449209951149998</v>
      </c>
      <c r="H49" s="1280">
        <f t="shared" ca="1" si="71"/>
        <v>3.7139395946729992</v>
      </c>
      <c r="I49" s="1280">
        <f t="shared" ca="1" si="71"/>
        <v>4.1396626338465197</v>
      </c>
      <c r="J49" s="1280">
        <f t="shared" ca="1" si="71"/>
        <v>4.905069006250419</v>
      </c>
      <c r="K49" s="1280">
        <f t="shared" ca="1" si="71"/>
        <v>5.735157607308186</v>
      </c>
      <c r="L49" s="1280">
        <f t="shared" ca="1" si="71"/>
        <v>6.6299284370198048</v>
      </c>
      <c r="M49" s="1280">
        <f t="shared" ca="1" si="71"/>
        <v>7.5893814953852772</v>
      </c>
      <c r="N49" s="113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</row>
    <row r="50" spans="2:48" s="2479" customFormat="1" x14ac:dyDescent="0.2">
      <c r="B50" s="1129"/>
      <c r="C50" s="2692" t="s">
        <v>2185</v>
      </c>
      <c r="D50" s="1280" t="s">
        <v>2223</v>
      </c>
      <c r="E50" s="1280">
        <f ca="1">-INDEX(INDIRECT("X.b.Outputs["&amp;E$5&amp;"]"), MATCH("V.16", INDIRECT("X.b.Outputs[Vector]"), 0))</f>
        <v>16.427232673994066</v>
      </c>
      <c r="F50" s="1280">
        <f t="shared" ref="F50:M50" ca="1" si="72">-INDEX(INDIRECT("X.b.Outputs["&amp;F$5&amp;"]"), MATCH("V.16", INDIRECT("X.b.Outputs[Vector]"), 0))</f>
        <v>14.985964695312001</v>
      </c>
      <c r="G50" s="1280">
        <f t="shared" ca="1" si="72"/>
        <v>13.844996245823999</v>
      </c>
      <c r="H50" s="1280">
        <f t="shared" ca="1" si="72"/>
        <v>12.604885897072</v>
      </c>
      <c r="I50" s="1280">
        <f t="shared" ca="1" si="72"/>
        <v>11.039100356924054</v>
      </c>
      <c r="J50" s="1280">
        <f t="shared" ca="1" si="72"/>
        <v>10.061680012821373</v>
      </c>
      <c r="K50" s="1280">
        <f t="shared" ca="1" si="72"/>
        <v>8.7392877825648565</v>
      </c>
      <c r="L50" s="1280">
        <f t="shared" ca="1" si="72"/>
        <v>7.0719236661544587</v>
      </c>
      <c r="M50" s="1280">
        <f t="shared" ca="1" si="72"/>
        <v>5.059587663590186</v>
      </c>
      <c r="N50" s="1130"/>
      <c r="O50" s="2686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</row>
    <row r="51" spans="2:48" s="2479" customFormat="1" x14ac:dyDescent="0.2">
      <c r="B51" s="1129"/>
      <c r="C51" s="1278" t="s">
        <v>1310</v>
      </c>
      <c r="D51" s="1280" t="s">
        <v>33</v>
      </c>
      <c r="E51" s="1280">
        <f t="shared" ref="E51:M51" ca="1" si="73">-INDEX(INDIRECT("XI.a.Outputs["&amp;E$5&amp;"]"), MATCH("V.01", INDIRECT("XI.a.Outputs[Vector]"), 0))-INDEX(INDIRECT("XV.a.Outputs["&amp;E$5&amp;"]"), MATCH("V.01", INDIRECT("XV.a.Outputs[Vector]"), 0))-INDEX(INDIRECT("XV.b.Outputs["&amp;E$5&amp;"]"), MATCH("V.01", INDIRECT("XV.b.Outputs[Vector]"), 0))</f>
        <v>29.957824449469562</v>
      </c>
      <c r="F51" s="1280">
        <f t="shared" ca="1" si="73"/>
        <v>30.491221230118036</v>
      </c>
      <c r="G51" s="1280">
        <f t="shared" ca="1" si="73"/>
        <v>30.017768089265537</v>
      </c>
      <c r="H51" s="1280">
        <f t="shared" ca="1" si="73"/>
        <v>28.332803476569239</v>
      </c>
      <c r="I51" s="1280">
        <f t="shared" ca="1" si="73"/>
        <v>24.713545252166846</v>
      </c>
      <c r="J51" s="1280">
        <f t="shared" ca="1" si="73"/>
        <v>28.797760282748083</v>
      </c>
      <c r="K51" s="1280">
        <f t="shared" ca="1" si="73"/>
        <v>33.795361728325496</v>
      </c>
      <c r="L51" s="1280">
        <f t="shared" ca="1" si="73"/>
        <v>39.091747223971907</v>
      </c>
      <c r="M51" s="1280">
        <f t="shared" ca="1" si="73"/>
        <v>45.312289248017152</v>
      </c>
      <c r="N51" s="113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</row>
    <row r="52" spans="2:48" s="2479" customFormat="1" x14ac:dyDescent="0.2">
      <c r="B52" s="1129"/>
      <c r="C52" s="1278" t="s">
        <v>669</v>
      </c>
      <c r="D52" s="1280" t="s">
        <v>33</v>
      </c>
      <c r="E52" s="1280">
        <f t="shared" ref="E52:M52" ca="1" si="74">-INDEX(INDIRECT("XI.a.Outputs["&amp;E$5&amp;"]"), MATCH("V.03", INDIRECT("XI.a.Outputs[Vector]"), 0))-INDEX(INDIRECT("XV.b.Outputs["&amp;E$5&amp;"]"), MATCH("V.03", INDIRECT("XV.b.Outputs[Vector]"), 0))</f>
        <v>1.5099494248896348</v>
      </c>
      <c r="F52" s="1280">
        <f t="shared" ca="1" si="74"/>
        <v>1.7988315035884936</v>
      </c>
      <c r="G52" s="1280">
        <f t="shared" ca="1" si="74"/>
        <v>2.1450469142253961</v>
      </c>
      <c r="H52" s="1280">
        <f t="shared" ca="1" si="74"/>
        <v>2.5629460025466382</v>
      </c>
      <c r="I52" s="1280">
        <f t="shared" ca="1" si="74"/>
        <v>2.9610682083628421</v>
      </c>
      <c r="J52" s="1280">
        <f t="shared" ca="1" si="74"/>
        <v>3.4877552499867894</v>
      </c>
      <c r="K52" s="1280">
        <f t="shared" ca="1" si="74"/>
        <v>4.1073257637998486</v>
      </c>
      <c r="L52" s="1280">
        <f t="shared" ca="1" si="74"/>
        <v>4.8363503578054887</v>
      </c>
      <c r="M52" s="1280">
        <f t="shared" ca="1" si="74"/>
        <v>5.6943446161546962</v>
      </c>
      <c r="N52" s="113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</row>
    <row r="53" spans="2:48" s="2479" customFormat="1" x14ac:dyDescent="0.2">
      <c r="B53" s="1129"/>
      <c r="C53" s="1278" t="s">
        <v>122</v>
      </c>
      <c r="D53" s="1280" t="s">
        <v>33</v>
      </c>
      <c r="E53" s="1280">
        <f t="shared" ref="E53:M53" ca="1" si="75">-INDEX(INDIRECT("XI.a.Outputs["&amp;E$5&amp;"]"), MATCH("V.04", INDIRECT("XI.a.Outputs[Vector]"), 0))-INDEX(INDIRECT("XV.a.Outputs["&amp;E$5&amp;"]"), MATCH("V.04", INDIRECT("XV.a.Outputs[Vector]"), 0))</f>
        <v>2.6477261120598148</v>
      </c>
      <c r="F53" s="1280">
        <f t="shared" ca="1" si="75"/>
        <v>5.8082278026041356</v>
      </c>
      <c r="G53" s="1280">
        <f t="shared" ca="1" si="75"/>
        <v>10.093833445989848</v>
      </c>
      <c r="H53" s="1280">
        <f t="shared" ca="1" si="75"/>
        <v>15.837383281881143</v>
      </c>
      <c r="I53" s="1280">
        <f t="shared" ca="1" si="75"/>
        <v>22.682860006674314</v>
      </c>
      <c r="J53" s="1280">
        <f t="shared" ca="1" si="75"/>
        <v>25.460930659526241</v>
      </c>
      <c r="K53" s="1280">
        <f t="shared" ca="1" si="75"/>
        <v>28.579755054816975</v>
      </c>
      <c r="L53" s="1280">
        <f t="shared" ca="1" si="75"/>
        <v>33.455357766255915</v>
      </c>
      <c r="M53" s="1280">
        <f t="shared" ca="1" si="75"/>
        <v>39.178813140354308</v>
      </c>
      <c r="N53" s="113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</row>
    <row r="54" spans="2:48" s="2479" customFormat="1" x14ac:dyDescent="0.2">
      <c r="B54" s="1129"/>
      <c r="C54" s="1278" t="s">
        <v>10</v>
      </c>
      <c r="D54" s="1280" t="s">
        <v>33</v>
      </c>
      <c r="E54" s="1280">
        <f t="shared" ref="E54:M54" ca="1" si="76">-INDEX(INDIRECT("XI.a.Outputs["&amp;E$5&amp;"]"), MATCH("V.05", INDIRECT("XI.a.Outputs[Vector]"), 0))-INDEX(INDIRECT("XV.a.Outputs["&amp;E$5&amp;"]"), MATCH("V.05", INDIRECT("XV.a.Outputs[Vector]"), 0))-INDEX(INDIRECT("XV.b.Outputs["&amp;E$5&amp;"]"), MATCH("V.05", INDIRECT("XV.b.Outputs[Vector]"), 0))</f>
        <v>374.37179946258613</v>
      </c>
      <c r="F54" s="1280">
        <f t="shared" ca="1" si="76"/>
        <v>344.52991191576047</v>
      </c>
      <c r="G54" s="1280">
        <f t="shared" ca="1" si="76"/>
        <v>313.99922569055838</v>
      </c>
      <c r="H54" s="1280">
        <f t="shared" ca="1" si="76"/>
        <v>285.6567179909714</v>
      </c>
      <c r="I54" s="1280">
        <f t="shared" ca="1" si="76"/>
        <v>258.23627959572451</v>
      </c>
      <c r="J54" s="1280">
        <f t="shared" ca="1" si="76"/>
        <v>231.82645727885955</v>
      </c>
      <c r="K54" s="1280">
        <f t="shared" ca="1" si="76"/>
        <v>207.68460097593049</v>
      </c>
      <c r="L54" s="1280">
        <f t="shared" ca="1" si="76"/>
        <v>184.74190213819918</v>
      </c>
      <c r="M54" s="1280">
        <f t="shared" ca="1" si="76"/>
        <v>164.33325662453919</v>
      </c>
      <c r="N54" s="113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</row>
    <row r="55" spans="2:48" s="2479" customFormat="1" x14ac:dyDescent="0.2">
      <c r="B55" s="1129"/>
      <c r="C55" s="2692" t="s">
        <v>2185</v>
      </c>
      <c r="D55" s="1280" t="s">
        <v>33</v>
      </c>
      <c r="E55" s="1280">
        <f ca="1">-INDEX(INDIRECT("XI.a.Outputs["&amp;E$5&amp;"]"), MATCH("V.16", INDIRECT("XI.a.Outputs[Vector]"), 0))</f>
        <v>5.6860093749340557</v>
      </c>
      <c r="F55" s="1280">
        <f t="shared" ref="F55:M55" ca="1" si="77">-INDEX(INDIRECT("XI.a.Outputs["&amp;F$5&amp;"]"), MATCH("V.16", INDIRECT("XI.a.Outputs[Vector]"), 0))</f>
        <v>6.7021086608646065</v>
      </c>
      <c r="G55" s="1280">
        <f t="shared" ca="1" si="77"/>
        <v>7.9045480816087821</v>
      </c>
      <c r="H55" s="1280">
        <f t="shared" ca="1" si="77"/>
        <v>9.3276272305519541</v>
      </c>
      <c r="I55" s="1280">
        <f t="shared" ca="1" si="77"/>
        <v>10.636933320298363</v>
      </c>
      <c r="J55" s="1280">
        <f t="shared" ca="1" si="77"/>
        <v>10.347964952754772</v>
      </c>
      <c r="K55" s="1280">
        <f t="shared" ca="1" si="77"/>
        <v>9.7153290230415603</v>
      </c>
      <c r="L55" s="1280">
        <f t="shared" ca="1" si="77"/>
        <v>9.2868472235868111</v>
      </c>
      <c r="M55" s="1280">
        <f t="shared" ca="1" si="77"/>
        <v>8.4876254241027702</v>
      </c>
      <c r="N55" s="113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</row>
    <row r="56" spans="2:48" s="2479" customFormat="1" x14ac:dyDescent="0.2">
      <c r="B56" s="1129"/>
      <c r="C56" s="1278" t="s">
        <v>1310</v>
      </c>
      <c r="D56" s="1280" t="s">
        <v>114</v>
      </c>
      <c r="E56" s="1280">
        <f t="shared" ref="E56:M56" ca="1" si="78">-INDEX(INDIRECT("VI.a.Outputs["&amp;E$5&amp;"]"), MATCH("V.01", INDIRECT("VI.a.Outputs[Vector]"), 0))</f>
        <v>1.24142109</v>
      </c>
      <c r="F56" s="1280">
        <f t="shared" ca="1" si="78"/>
        <v>1.2985267076597906</v>
      </c>
      <c r="G56" s="1280">
        <f t="shared" ca="1" si="78"/>
        <v>1.3631364724822697</v>
      </c>
      <c r="H56" s="1280">
        <f t="shared" ca="1" si="78"/>
        <v>1.4362364910353544</v>
      </c>
      <c r="I56" s="1280">
        <f t="shared" ca="1" si="78"/>
        <v>1.5189424523887711</v>
      </c>
      <c r="J56" s="1280">
        <f t="shared" ca="1" si="78"/>
        <v>1.6125166563190418</v>
      </c>
      <c r="K56" s="1280">
        <f t="shared" ca="1" si="78"/>
        <v>1.718387279160452</v>
      </c>
      <c r="L56" s="1280">
        <f t="shared" ca="1" si="78"/>
        <v>1.8381701713470693</v>
      </c>
      <c r="M56" s="1280">
        <f t="shared" ca="1" si="78"/>
        <v>1.9736935193308003</v>
      </c>
      <c r="N56" s="113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</row>
    <row r="57" spans="2:48" s="2479" customFormat="1" x14ac:dyDescent="0.2">
      <c r="B57" s="1129"/>
      <c r="C57" s="1278" t="s">
        <v>669</v>
      </c>
      <c r="D57" s="1280" t="s">
        <v>114</v>
      </c>
      <c r="E57" s="1280">
        <f t="shared" ref="E57:M57" ca="1" si="79">-INDEX(INDIRECT("VI.a.Outputs["&amp;E$5&amp;"]"), MATCH("V.03", INDIRECT("VI.a.Outputs[Vector]"), 0))</f>
        <v>1.043211E-2</v>
      </c>
      <c r="F57" s="1280">
        <f t="shared" ca="1" si="79"/>
        <v>1.0911989139998241E-2</v>
      </c>
      <c r="G57" s="1280">
        <f t="shared" ca="1" si="79"/>
        <v>1.1454928340187142E-2</v>
      </c>
      <c r="H57" s="1280">
        <f t="shared" ca="1" si="79"/>
        <v>1.2069214210381131E-2</v>
      </c>
      <c r="I57" s="1280">
        <f t="shared" ca="1" si="79"/>
        <v>1.2764222288981272E-2</v>
      </c>
      <c r="J57" s="1280">
        <f t="shared" ca="1" si="79"/>
        <v>1.3550560137134807E-2</v>
      </c>
      <c r="K57" s="1280">
        <f t="shared" ca="1" si="79"/>
        <v>1.4440229236642455E-2</v>
      </c>
      <c r="L57" s="1280">
        <f t="shared" ca="1" si="79"/>
        <v>1.5446808162580416E-2</v>
      </c>
      <c r="M57" s="1280">
        <f t="shared" ca="1" si="79"/>
        <v>1.6585659826309246E-2</v>
      </c>
      <c r="N57" s="113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</row>
    <row r="58" spans="2:48" s="2479" customFormat="1" x14ac:dyDescent="0.2">
      <c r="B58" s="1129"/>
      <c r="C58" s="1278" t="s">
        <v>122</v>
      </c>
      <c r="D58" s="1280" t="s">
        <v>114</v>
      </c>
      <c r="E58" s="1280">
        <f t="shared" ref="E58:M58" ca="1" si="80">-INDEX(INDIRECT("VI.a.Outputs["&amp;E$5&amp;"]"), MATCH("V.04", INDIRECT("VI.a.Outputs[Vector]"), 0))</f>
        <v>1.9821009000000001</v>
      </c>
      <c r="F58" s="1280">
        <f t="shared" ca="1" si="80"/>
        <v>2.0732779365996659</v>
      </c>
      <c r="G58" s="1280">
        <f t="shared" ca="1" si="80"/>
        <v>2.176436384635557</v>
      </c>
      <c r="H58" s="1280">
        <f t="shared" ca="1" si="80"/>
        <v>2.2931506999724149</v>
      </c>
      <c r="I58" s="1280">
        <f t="shared" ca="1" si="80"/>
        <v>2.4252022349064415</v>
      </c>
      <c r="J58" s="1280">
        <f t="shared" ca="1" si="80"/>
        <v>2.5746064260556132</v>
      </c>
      <c r="K58" s="1280">
        <f t="shared" ca="1" si="80"/>
        <v>2.7436435549620661</v>
      </c>
      <c r="L58" s="1280">
        <f t="shared" ca="1" si="80"/>
        <v>2.9348935508902789</v>
      </c>
      <c r="M58" s="1280">
        <f t="shared" ca="1" si="80"/>
        <v>3.1512753669987568</v>
      </c>
      <c r="N58" s="113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2:48" s="2479" customFormat="1" x14ac:dyDescent="0.2">
      <c r="B59" s="1129"/>
      <c r="C59" s="1278" t="s">
        <v>10</v>
      </c>
      <c r="D59" s="1280" t="s">
        <v>114</v>
      </c>
      <c r="E59" s="1280">
        <f t="shared" ref="E59:M59" ca="1" si="81">-INDEX(INDIRECT("VI.a.Outputs["&amp;E$5&amp;"]"), MATCH("V.05", INDIRECT("VI.a.Outputs[Vector]"), 0))</f>
        <v>0.93888989999999994</v>
      </c>
      <c r="F59" s="1280">
        <f t="shared" ca="1" si="81"/>
        <v>0.98207902259984159</v>
      </c>
      <c r="G59" s="1280">
        <f t="shared" ca="1" si="81"/>
        <v>1.0309435506168427</v>
      </c>
      <c r="H59" s="1280">
        <f t="shared" ca="1" si="81"/>
        <v>1.0862292789343015</v>
      </c>
      <c r="I59" s="1280">
        <f t="shared" ca="1" si="81"/>
        <v>1.1487800060083144</v>
      </c>
      <c r="J59" s="1280">
        <f t="shared" ca="1" si="81"/>
        <v>1.2195504123421326</v>
      </c>
      <c r="K59" s="1280">
        <f t="shared" ca="1" si="81"/>
        <v>1.2996206312978207</v>
      </c>
      <c r="L59" s="1280">
        <f t="shared" ca="1" si="81"/>
        <v>1.3902127346322373</v>
      </c>
      <c r="M59" s="1280">
        <f t="shared" ca="1" si="81"/>
        <v>1.4927093843678321</v>
      </c>
      <c r="N59" s="113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2:48" s="2479" customFormat="1" x14ac:dyDescent="0.2">
      <c r="B60" s="1129"/>
      <c r="C60" s="1278" t="s">
        <v>1310</v>
      </c>
      <c r="D60" s="1280" t="s">
        <v>444</v>
      </c>
      <c r="E60" s="1280">
        <f t="shared" ref="E60:M60" ca="1" si="82">-INDEX(INDIRECT("XII.a.Road.Outputs["&amp;E$5&amp;"]"), MATCH("V.01", INDIRECT("XII.a.Road.Outputs[Vector]"), 0))-INDEX(INDIRECT("XII.b.Road.Outputs["&amp;E$5&amp;"]"), MATCH("V.01", INDIRECT("XII.b.Road.Outputs[Vector]"), 0))</f>
        <v>0</v>
      </c>
      <c r="F60" s="1280">
        <f t="shared" ca="1" si="82"/>
        <v>0.77092339320332914</v>
      </c>
      <c r="G60" s="1280">
        <f t="shared" ca="1" si="82"/>
        <v>1.6699714501041363</v>
      </c>
      <c r="H60" s="1280">
        <f t="shared" ca="1" si="82"/>
        <v>2.6170180845074609</v>
      </c>
      <c r="I60" s="1280">
        <f t="shared" ca="1" si="82"/>
        <v>3.6660359816801895</v>
      </c>
      <c r="J60" s="1280">
        <f t="shared" ca="1" si="82"/>
        <v>4.9012862261086214</v>
      </c>
      <c r="K60" s="1280">
        <f t="shared" ca="1" si="82"/>
        <v>6.2137790771859649</v>
      </c>
      <c r="L60" s="1280">
        <f t="shared" ca="1" si="82"/>
        <v>7.7975970169859128</v>
      </c>
      <c r="M60" s="1280">
        <f t="shared" ca="1" si="82"/>
        <v>9.667080857682798</v>
      </c>
      <c r="N60" s="113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2:48" s="2479" customFormat="1" x14ac:dyDescent="0.2">
      <c r="B61" s="1129"/>
      <c r="C61" s="1278" t="s">
        <v>122</v>
      </c>
      <c r="D61" s="1280" t="s">
        <v>444</v>
      </c>
      <c r="E61" s="1280">
        <f t="shared" ref="E61:M61" ca="1" si="83">-INDEX(INDIRECT("XII.a.Road.Outputs["&amp;E$5&amp;"]"), MATCH("V.04", INDIRECT("XII.a.Road.Outputs[Vector]"), 0))-INDEX(INDIRECT("XII.b.Road.Outputs["&amp;E$5&amp;"]"), MATCH("V.04", INDIRECT("XII.b.Road.Outputs[Vector]"), 0))</f>
        <v>102.3149280766313</v>
      </c>
      <c r="F61" s="1280">
        <f t="shared" ca="1" si="83"/>
        <v>96.067710637024163</v>
      </c>
      <c r="G61" s="1280">
        <f t="shared" ca="1" si="83"/>
        <v>89.874029390615618</v>
      </c>
      <c r="H61" s="1280">
        <f t="shared" ca="1" si="83"/>
        <v>83.207776604746812</v>
      </c>
      <c r="I61" s="1280">
        <f t="shared" ca="1" si="83"/>
        <v>75.848184141952629</v>
      </c>
      <c r="J61" s="1280">
        <f t="shared" ca="1" si="83"/>
        <v>78.417258706583127</v>
      </c>
      <c r="K61" s="1280">
        <f t="shared" ca="1" si="83"/>
        <v>79.715371725992142</v>
      </c>
      <c r="L61" s="1280">
        <f t="shared" ca="1" si="83"/>
        <v>81.962894636799675</v>
      </c>
      <c r="M61" s="1280">
        <f t="shared" ca="1" si="83"/>
        <v>84.683827576507895</v>
      </c>
      <c r="N61" s="113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2:48" s="2479" customFormat="1" x14ac:dyDescent="0.2">
      <c r="B62" s="1129"/>
      <c r="C62" s="2692" t="s">
        <v>10</v>
      </c>
      <c r="D62" s="1280" t="s">
        <v>444</v>
      </c>
      <c r="E62" s="1280">
        <f ca="1">-INDEX(INDIRECT("XII.a.Road.Outputs["&amp;E$5&amp;"]"), MATCH("V.05", INDIRECT("XII.a.Road.Outputs[Vector]"), 0))-INDEX(INDIRECT("XII.b.Road.Outputs["&amp;E$5&amp;"]"), MATCH("V.05", INDIRECT("XII.b.Road.Outputs[Vector]"), 0))</f>
        <v>0</v>
      </c>
      <c r="F62" s="1280">
        <f t="shared" ref="F62:M62" ca="1" si="84">-INDEX(INDIRECT("XII.a.Road.Outputs["&amp;F$5&amp;"]"), MATCH("V.05", INDIRECT("XII.a.Road.Outputs[Vector]"), 0))-INDEX(INDIRECT("XII.b.Road.Outputs["&amp;F$5&amp;"]"), MATCH("V.05", INDIRECT("XII.b.Road.Outputs[Vector]"), 0))</f>
        <v>1.735079501910225</v>
      </c>
      <c r="G62" s="1280">
        <f t="shared" ca="1" si="84"/>
        <v>3.652935023523304</v>
      </c>
      <c r="H62" s="1280">
        <f t="shared" ca="1" si="84"/>
        <v>5.791726821930097</v>
      </c>
      <c r="I62" s="1280">
        <f t="shared" ca="1" si="84"/>
        <v>8.1886500916360649</v>
      </c>
      <c r="J62" s="1280">
        <f t="shared" ca="1" si="84"/>
        <v>11.176049598177185</v>
      </c>
      <c r="K62" s="1280">
        <f t="shared" ca="1" si="84"/>
        <v>14.285276168099717</v>
      </c>
      <c r="L62" s="1280">
        <f t="shared" ca="1" si="84"/>
        <v>17.686006546132607</v>
      </c>
      <c r="M62" s="1280">
        <f t="shared" ca="1" si="84"/>
        <v>21.357372810538148</v>
      </c>
      <c r="N62" s="113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2:48" s="2479" customFormat="1" x14ac:dyDescent="0.2">
      <c r="B63" s="1129"/>
      <c r="C63" s="1278" t="s">
        <v>1310</v>
      </c>
      <c r="D63" s="1280" t="s">
        <v>445</v>
      </c>
      <c r="E63" s="1280">
        <f t="shared" ref="E63:M63" ca="1" si="85">-INDEX(INDIRECT("XII.a.Rail.Outputs["&amp;E$5&amp;"]"), MATCH("V.01", INDIRECT("XII.a.Rail.Outputs[Vector]"), 0))-INDEX(INDIRECT("XII.b.Rail.Outputs["&amp;E$5&amp;"]"), MATCH("V.01", INDIRECT("XII.b.Rail.Outputs[Vector]"), 0))</f>
        <v>0</v>
      </c>
      <c r="F63" s="1280">
        <f t="shared" ca="1" si="85"/>
        <v>0.97962713532373413</v>
      </c>
      <c r="G63" s="1280">
        <f t="shared" ca="1" si="85"/>
        <v>3.4988328720030069</v>
      </c>
      <c r="H63" s="1280">
        <f t="shared" ca="1" si="85"/>
        <v>6.577659085369814</v>
      </c>
      <c r="I63" s="1280">
        <f t="shared" ca="1" si="85"/>
        <v>10.234262322278136</v>
      </c>
      <c r="J63" s="1280">
        <f t="shared" ca="1" si="85"/>
        <v>14.527521603668941</v>
      </c>
      <c r="K63" s="1280">
        <f t="shared" ca="1" si="85"/>
        <v>19.199378189817715</v>
      </c>
      <c r="L63" s="1280">
        <f t="shared" ca="1" si="85"/>
        <v>24.434258186615345</v>
      </c>
      <c r="M63" s="1280">
        <f t="shared" ca="1" si="85"/>
        <v>30.255041845979189</v>
      </c>
      <c r="N63" s="113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2:48" s="2479" customFormat="1" x14ac:dyDescent="0.2">
      <c r="B64" s="1129"/>
      <c r="C64" s="1278" t="s">
        <v>122</v>
      </c>
      <c r="D64" s="1280" t="s">
        <v>445</v>
      </c>
      <c r="E64" s="1280">
        <f t="shared" ref="E64:M64" ca="1" si="86">-INDEX(INDIRECT("XII.a.Rail.Outputs["&amp;E$5&amp;"]"), MATCH("V.04", INDIRECT("XII.a.Rail.Outputs[Vector]"), 0))-INDEX(INDIRECT("XII.b.Rail.Outputs["&amp;E$5&amp;"]"), MATCH("V.04", INDIRECT("XII.b.Rail.Outputs[Vector]"), 0))</f>
        <v>25.076957917110953</v>
      </c>
      <c r="F64" s="1280">
        <f t="shared" ca="1" si="86"/>
        <v>41.49631011011305</v>
      </c>
      <c r="G64" s="1280">
        <f t="shared" ca="1" si="86"/>
        <v>46.418557117975595</v>
      </c>
      <c r="H64" s="1280">
        <f t="shared" ca="1" si="86"/>
        <v>48.59811981099876</v>
      </c>
      <c r="I64" s="1280">
        <f t="shared" ca="1" si="86"/>
        <v>49.019850891126865</v>
      </c>
      <c r="J64" s="1280">
        <f t="shared" ca="1" si="86"/>
        <v>47.88968207243888</v>
      </c>
      <c r="K64" s="1280">
        <f t="shared" ca="1" si="86"/>
        <v>44.219983524780567</v>
      </c>
      <c r="L64" s="1280">
        <f t="shared" ca="1" si="86"/>
        <v>39.206133642545254</v>
      </c>
      <c r="M64" s="1280">
        <f t="shared" ca="1" si="86"/>
        <v>32.903078379857448</v>
      </c>
      <c r="N64" s="113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s="2479" customFormat="1" x14ac:dyDescent="0.2">
      <c r="B65" s="1129"/>
      <c r="C65" s="1278" t="s">
        <v>122</v>
      </c>
      <c r="D65" s="1280" t="s">
        <v>397</v>
      </c>
      <c r="E65" s="1280">
        <f t="shared" ref="E65:M65" ca="1" si="87">-INDEX(INDIRECT("XII.a.Aviation.Outputs["&amp;E$5&amp;"]"), MATCH("V.04", INDIRECT("XII.a.Aviation.Outputs[Vector]"), 0))</f>
        <v>0</v>
      </c>
      <c r="F65" s="1280">
        <f t="shared" ca="1" si="87"/>
        <v>0</v>
      </c>
      <c r="G65" s="1280">
        <f t="shared" ca="1" si="87"/>
        <v>0</v>
      </c>
      <c r="H65" s="1280">
        <f t="shared" ca="1" si="87"/>
        <v>0</v>
      </c>
      <c r="I65" s="1280">
        <f t="shared" ca="1" si="87"/>
        <v>0</v>
      </c>
      <c r="J65" s="1280">
        <f t="shared" ca="1" si="87"/>
        <v>0</v>
      </c>
      <c r="K65" s="1280">
        <f t="shared" ca="1" si="87"/>
        <v>0</v>
      </c>
      <c r="L65" s="1280">
        <f t="shared" ca="1" si="87"/>
        <v>0</v>
      </c>
      <c r="M65" s="1280">
        <f t="shared" ca="1" si="87"/>
        <v>0</v>
      </c>
      <c r="N65" s="113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s="2479" customFormat="1" x14ac:dyDescent="0.2">
      <c r="B66" s="1129"/>
      <c r="C66" s="1278" t="s">
        <v>122</v>
      </c>
      <c r="D66" s="1280" t="s">
        <v>2313</v>
      </c>
      <c r="E66" s="1280">
        <f ca="1">-INDEX(INDIRECT("XII.b.berge.Outputs["&amp;E$5&amp;"]"), MATCH("V.04", INDIRECT("XII.b.berge.Outputs[Vector]"), 0))</f>
        <v>0</v>
      </c>
      <c r="F66" s="1280">
        <f t="shared" ref="F66:M66" ca="1" si="88">-INDEX(INDIRECT("XII.b.berge.Outputs["&amp;F$5&amp;"]"), MATCH("V.04", INDIRECT("XII.b.berge.Outputs[Vector]"), 0))</f>
        <v>1.2059144801278183E-13</v>
      </c>
      <c r="G66" s="1280">
        <f t="shared" ca="1" si="88"/>
        <v>2.4118289602556366E-13</v>
      </c>
      <c r="H66" s="1280">
        <f t="shared" ca="1" si="88"/>
        <v>3.6177434403834546E-13</v>
      </c>
      <c r="I66" s="1280">
        <f t="shared" ca="1" si="88"/>
        <v>4.8236579205112732E-13</v>
      </c>
      <c r="J66" s="1280">
        <f t="shared" ca="1" si="88"/>
        <v>6.0295724006390912E-13</v>
      </c>
      <c r="K66" s="1280">
        <f t="shared" ca="1" si="88"/>
        <v>7.2354868807669103E-13</v>
      </c>
      <c r="L66" s="1280">
        <f t="shared" ca="1" si="88"/>
        <v>8.4414013608947293E-13</v>
      </c>
      <c r="M66" s="1280">
        <f t="shared" ca="1" si="88"/>
        <v>9.6473158410225464E-13</v>
      </c>
      <c r="N66" s="113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s="2479" customFormat="1" x14ac:dyDescent="0.2">
      <c r="B67" s="1129"/>
      <c r="C67" s="1278" t="s">
        <v>1310</v>
      </c>
      <c r="D67" s="1280" t="s">
        <v>1548</v>
      </c>
      <c r="E67" s="1280">
        <f ca="1">-INDEX(INDIRECT("XII.b.pipeline.Outputs["&amp;E$5&amp;"]"), MATCH("V.01", INDIRECT("XII.b.pipeline.Outputs[Vector]"), 0))</f>
        <v>1.0449356110119832</v>
      </c>
      <c r="F67" s="1280">
        <f t="shared" ref="F67:M67" ca="1" si="89">-INDEX(INDIRECT("XII.b.pipeline.Outputs["&amp;F$5&amp;"]"), MATCH("V.01", INDIRECT("XII.b.pipeline.Outputs[Vector]"), 0))</f>
        <v>2.2204881734004642</v>
      </c>
      <c r="G67" s="1280">
        <f t="shared" ca="1" si="89"/>
        <v>3.3960407357889455</v>
      </c>
      <c r="H67" s="1280">
        <f t="shared" ca="1" si="89"/>
        <v>4.5715932981774268</v>
      </c>
      <c r="I67" s="1280">
        <f t="shared" ca="1" si="89"/>
        <v>5.747145860565908</v>
      </c>
      <c r="J67" s="1280">
        <f t="shared" ca="1" si="89"/>
        <v>6.9226984229543893</v>
      </c>
      <c r="K67" s="1280">
        <f t="shared" ca="1" si="89"/>
        <v>8.0982509853428706</v>
      </c>
      <c r="L67" s="1280">
        <f t="shared" ca="1" si="89"/>
        <v>9.273803547731351</v>
      </c>
      <c r="M67" s="1280">
        <f t="shared" ca="1" si="89"/>
        <v>10.449356110119831</v>
      </c>
      <c r="N67" s="113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s="2479" customFormat="1" x14ac:dyDescent="0.2">
      <c r="B68" s="1129"/>
      <c r="C68" s="1278" t="s">
        <v>10</v>
      </c>
      <c r="D68" s="1280" t="s">
        <v>45</v>
      </c>
      <c r="E68" s="1280">
        <f t="shared" ref="E68:M68" ca="1" si="90">INDEX(INDIRECT("XVI.a.Outputs["&amp;E$5&amp;"]"), MATCH("X.02", INDIRECT("XVI.a.Outputs[Vector]"), 0))</f>
        <v>0.5939443381115439</v>
      </c>
      <c r="F68" s="1280">
        <f t="shared" ca="1" si="90"/>
        <v>0.51818335801257331</v>
      </c>
      <c r="G68" s="1280">
        <f t="shared" ca="1" si="90"/>
        <v>1.2864589213147513</v>
      </c>
      <c r="H68" s="1280">
        <f t="shared" ca="1" si="90"/>
        <v>0.7618284264728914</v>
      </c>
      <c r="I68" s="1280">
        <f t="shared" ca="1" si="90"/>
        <v>1.1364276739299661</v>
      </c>
      <c r="J68" s="1280">
        <f t="shared" ca="1" si="90"/>
        <v>2.025360221168242</v>
      </c>
      <c r="K68" s="1280">
        <f t="shared" ca="1" si="90"/>
        <v>2.886684313689893</v>
      </c>
      <c r="L68" s="1280">
        <f t="shared" ca="1" si="90"/>
        <v>3.6653155739360024</v>
      </c>
      <c r="M68" s="1280">
        <f t="shared" ca="1" si="90"/>
        <v>4.441192693503603</v>
      </c>
      <c r="N68" s="113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s="2479" customFormat="1" x14ac:dyDescent="0.2">
      <c r="B69" s="1129"/>
      <c r="C69" s="1278"/>
      <c r="D69" s="1280"/>
      <c r="E69" s="1280"/>
      <c r="F69" s="1280"/>
      <c r="G69" s="1280"/>
      <c r="H69" s="1280"/>
      <c r="I69" s="1280"/>
      <c r="J69" s="1280"/>
      <c r="K69" s="1280"/>
      <c r="L69" s="1280"/>
      <c r="M69" s="1280"/>
      <c r="N69" s="113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s="2479" customFormat="1" x14ac:dyDescent="0.2">
      <c r="B70" s="1126"/>
      <c r="C70" s="1278"/>
      <c r="D70" s="1280"/>
      <c r="E70" s="1280"/>
      <c r="F70" s="1280"/>
      <c r="G70" s="1280"/>
      <c r="H70" s="1280"/>
      <c r="I70" s="1280"/>
      <c r="J70" s="1280"/>
      <c r="K70" s="1280"/>
      <c r="L70" s="1280"/>
      <c r="M70" s="1280"/>
      <c r="N70" s="113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s="2479" customFormat="1" x14ac:dyDescent="0.2">
      <c r="B71" s="1126"/>
      <c r="C71" s="1278"/>
      <c r="D71" s="1280"/>
      <c r="E71" s="1280"/>
      <c r="F71" s="1280"/>
      <c r="G71" s="1280"/>
      <c r="H71" s="1280"/>
      <c r="I71" s="1280"/>
      <c r="J71" s="1280"/>
      <c r="K71" s="1280"/>
      <c r="L71" s="1280"/>
      <c r="M71" s="1280"/>
      <c r="N71" s="113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s="2479" customFormat="1" x14ac:dyDescent="0.2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113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s="2479" customFormat="1" x14ac:dyDescent="0.2">
      <c r="A73" s="1427"/>
      <c r="B73" s="2706"/>
      <c r="C73" s="2706" t="s">
        <v>2536</v>
      </c>
      <c r="D73" s="1123"/>
      <c r="E73" s="1124"/>
      <c r="F73" s="1124"/>
      <c r="G73" s="1124"/>
      <c r="H73" s="1124"/>
      <c r="I73" s="1124"/>
      <c r="J73" s="1124"/>
      <c r="K73" s="1124"/>
      <c r="L73" s="1124"/>
      <c r="M73" s="1124"/>
      <c r="N73" s="113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s="2479" customFormat="1" x14ac:dyDescent="0.2">
      <c r="B74" s="1129"/>
      <c r="C74" s="1127"/>
      <c r="D74" s="1127"/>
      <c r="E74" s="1128"/>
      <c r="F74" s="1128"/>
      <c r="G74" s="1128"/>
      <c r="H74" s="1128"/>
      <c r="I74" s="1128"/>
      <c r="J74" s="1128"/>
      <c r="K74" s="1128"/>
      <c r="L74" s="1128"/>
      <c r="M74" s="1128"/>
      <c r="N74" s="113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s="2479" customFormat="1" x14ac:dyDescent="0.2">
      <c r="B75" s="1129"/>
      <c r="C75" s="1126"/>
      <c r="D75" s="1126"/>
      <c r="E75" s="2190"/>
      <c r="F75" s="2190"/>
      <c r="G75" s="2190"/>
      <c r="H75" s="2190"/>
      <c r="I75" s="2190"/>
      <c r="J75" s="2190"/>
      <c r="K75" s="2190"/>
      <c r="L75" s="2190"/>
      <c r="M75" s="2192" t="str">
        <f>Preferences.EnergyUnits</f>
        <v>TWh</v>
      </c>
      <c r="N75" s="113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s="2479" customFormat="1" x14ac:dyDescent="0.2">
      <c r="B76" s="1129"/>
      <c r="C76" s="1282" t="s">
        <v>1319</v>
      </c>
      <c r="D76" s="1284" t="s">
        <v>1320</v>
      </c>
      <c r="E76" s="1285">
        <v>2010</v>
      </c>
      <c r="F76" s="1285">
        <v>2015</v>
      </c>
      <c r="G76" s="1285">
        <v>2020</v>
      </c>
      <c r="H76" s="1285">
        <v>2025</v>
      </c>
      <c r="I76" s="1285">
        <v>2030</v>
      </c>
      <c r="J76" s="1285">
        <v>2035</v>
      </c>
      <c r="K76" s="1285">
        <v>2040</v>
      </c>
      <c r="L76" s="1285">
        <v>2045</v>
      </c>
      <c r="M76" s="1286">
        <v>2050</v>
      </c>
      <c r="N76" s="113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s="2479" customFormat="1" x14ac:dyDescent="0.2">
      <c r="B77" s="1129"/>
      <c r="C77" s="2193" t="s">
        <v>2537</v>
      </c>
      <c r="D77" s="2193" t="s">
        <v>669</v>
      </c>
      <c r="E77" s="2198">
        <f t="shared" ref="E77:M77" ca="1" si="91">E16+E23</f>
        <v>0</v>
      </c>
      <c r="F77" s="2198">
        <f t="shared" ca="1" si="91"/>
        <v>0</v>
      </c>
      <c r="G77" s="2198">
        <f t="shared" ca="1" si="91"/>
        <v>0</v>
      </c>
      <c r="H77" s="2198">
        <f t="shared" ca="1" si="91"/>
        <v>0</v>
      </c>
      <c r="I77" s="2198">
        <f t="shared" ca="1" si="91"/>
        <v>0</v>
      </c>
      <c r="J77" s="2198">
        <f t="shared" ca="1" si="91"/>
        <v>0</v>
      </c>
      <c r="K77" s="2198">
        <f t="shared" ca="1" si="91"/>
        <v>0</v>
      </c>
      <c r="L77" s="2198">
        <f t="shared" ca="1" si="91"/>
        <v>0</v>
      </c>
      <c r="M77" s="2198">
        <f t="shared" ca="1" si="91"/>
        <v>0</v>
      </c>
      <c r="N77" s="113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s="2479" customFormat="1" x14ac:dyDescent="0.2">
      <c r="B78" s="1129"/>
      <c r="C78" s="2193" t="s">
        <v>2537</v>
      </c>
      <c r="D78" s="2193" t="s">
        <v>122</v>
      </c>
      <c r="E78" s="2198">
        <f t="shared" ref="E78:M78" ca="1" si="92">E17+E24</f>
        <v>2.6727687466666672</v>
      </c>
      <c r="F78" s="2198">
        <f t="shared" ca="1" si="92"/>
        <v>3.0722897998837917</v>
      </c>
      <c r="G78" s="2198">
        <f t="shared" ca="1" si="92"/>
        <v>3.5315305995858264</v>
      </c>
      <c r="H78" s="2198">
        <f t="shared" ca="1" si="92"/>
        <v>4.1379873345085638</v>
      </c>
      <c r="I78" s="2198">
        <f t="shared" ca="1" si="92"/>
        <v>4.7565268397103431</v>
      </c>
      <c r="J78" s="2198">
        <f t="shared" ca="1" si="92"/>
        <v>5.4675246074845258</v>
      </c>
      <c r="K78" s="2198">
        <f t="shared" ca="1" si="92"/>
        <v>6.284801146054134</v>
      </c>
      <c r="L78" s="2198">
        <f t="shared" ca="1" si="92"/>
        <v>7.2242428303611712</v>
      </c>
      <c r="M78" s="2198">
        <f t="shared" ca="1" si="92"/>
        <v>8.3041107044081546</v>
      </c>
      <c r="N78" s="113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s="2479" customFormat="1" x14ac:dyDescent="0.2">
      <c r="B79" s="1129"/>
      <c r="C79" s="2193" t="s">
        <v>2537</v>
      </c>
      <c r="D79" s="2193" t="s">
        <v>10</v>
      </c>
      <c r="E79" s="2198">
        <f t="shared" ref="E79:M79" ca="1" si="93">E25</f>
        <v>376.72040258292134</v>
      </c>
      <c r="F79" s="2198">
        <f t="shared" ca="1" si="93"/>
        <v>429.45970846684344</v>
      </c>
      <c r="G79" s="2198">
        <f t="shared" ca="1" si="93"/>
        <v>494.82937211070913</v>
      </c>
      <c r="H79" s="2198">
        <f t="shared" ca="1" si="93"/>
        <v>621.66023801028632</v>
      </c>
      <c r="I79" s="2198">
        <f t="shared" ca="1" si="93"/>
        <v>672.99570382156764</v>
      </c>
      <c r="J79" s="2198">
        <f t="shared" ca="1" si="93"/>
        <v>735.43019244224729</v>
      </c>
      <c r="K79" s="2198">
        <f t="shared" ca="1" si="93"/>
        <v>795.92533754094541</v>
      </c>
      <c r="L79" s="2198">
        <f t="shared" ca="1" si="93"/>
        <v>860.50098001876916</v>
      </c>
      <c r="M79" s="2198">
        <f t="shared" ca="1" si="93"/>
        <v>922.08776152790972</v>
      </c>
      <c r="N79" s="113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s="2479" customFormat="1" x14ac:dyDescent="0.2">
      <c r="B80" s="1129"/>
      <c r="C80" s="2193"/>
      <c r="D80" s="2193"/>
      <c r="E80" s="2198"/>
      <c r="F80" s="2198"/>
      <c r="G80" s="2198"/>
      <c r="H80" s="2198"/>
      <c r="I80" s="2198"/>
      <c r="J80" s="2198"/>
      <c r="K80" s="2198"/>
      <c r="L80" s="2198"/>
      <c r="M80" s="2198"/>
      <c r="N80" s="113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2:49" s="2479" customFormat="1" x14ac:dyDescent="0.2">
      <c r="B81" s="1129"/>
      <c r="C81" s="2193"/>
      <c r="D81" s="2193"/>
      <c r="E81" s="2198"/>
      <c r="F81" s="2198"/>
      <c r="G81" s="2198"/>
      <c r="H81" s="2198"/>
      <c r="I81" s="2198"/>
      <c r="J81" s="2198"/>
      <c r="K81" s="2198"/>
      <c r="L81" s="2198"/>
      <c r="M81" s="2192" t="str">
        <f>Preferences.EnergyUnits</f>
        <v>TWh</v>
      </c>
      <c r="N81" s="113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2:49" s="2479" customFormat="1" x14ac:dyDescent="0.2">
      <c r="B82" s="1129"/>
      <c r="C82" s="1285"/>
      <c r="D82" s="1285" t="s">
        <v>2538</v>
      </c>
      <c r="E82" s="1285">
        <v>2010</v>
      </c>
      <c r="F82" s="1285">
        <v>2015</v>
      </c>
      <c r="G82" s="1285">
        <v>2020</v>
      </c>
      <c r="H82" s="1285">
        <v>2025</v>
      </c>
      <c r="I82" s="1285">
        <v>2030</v>
      </c>
      <c r="J82" s="1285">
        <v>2035</v>
      </c>
      <c r="K82" s="1285">
        <v>2040</v>
      </c>
      <c r="L82" s="1285">
        <v>2045</v>
      </c>
      <c r="M82" s="1286">
        <v>2050</v>
      </c>
      <c r="N82" s="113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2:49" s="2479" customFormat="1" x14ac:dyDescent="0.2">
      <c r="B83" s="1129"/>
      <c r="C83" s="2193" t="s">
        <v>36</v>
      </c>
      <c r="D83" s="2193" t="s">
        <v>669</v>
      </c>
      <c r="E83" s="2198">
        <f t="shared" ref="E83:M83" ca="1" si="94">R40</f>
        <v>10.095739339406666</v>
      </c>
      <c r="F83" s="2198">
        <f t="shared" ca="1" si="94"/>
        <v>11.05873692274</v>
      </c>
      <c r="G83" s="2198">
        <f t="shared" ca="1" si="94"/>
        <v>25.824701842565585</v>
      </c>
      <c r="H83" s="2198">
        <f t="shared" ca="1" si="94"/>
        <v>122.57694153254651</v>
      </c>
      <c r="I83" s="2198">
        <f t="shared" ca="1" si="94"/>
        <v>281.95754953591495</v>
      </c>
      <c r="J83" s="2198">
        <f t="shared" ca="1" si="94"/>
        <v>512.36760581012402</v>
      </c>
      <c r="K83" s="2198">
        <f t="shared" ca="1" si="94"/>
        <v>756.52138704566835</v>
      </c>
      <c r="L83" s="2198">
        <f t="shared" ca="1" si="94"/>
        <v>998.96810111333627</v>
      </c>
      <c r="M83" s="2198">
        <f t="shared" ca="1" si="94"/>
        <v>1241.543917118086</v>
      </c>
      <c r="N83" s="113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2:49" s="2479" customFormat="1" x14ac:dyDescent="0.2">
      <c r="B84" s="1129"/>
      <c r="C84" s="2193" t="s">
        <v>38</v>
      </c>
      <c r="D84" s="2193" t="s">
        <v>122</v>
      </c>
      <c r="E84" s="2198">
        <f t="shared" ref="E84:M84" ca="1" si="95">R25</f>
        <v>1461.610632626667</v>
      </c>
      <c r="F84" s="2198">
        <f t="shared" ca="1" si="95"/>
        <v>1462.0101536798838</v>
      </c>
      <c r="G84" s="2198">
        <f t="shared" ca="1" si="95"/>
        <v>1452.0484097375859</v>
      </c>
      <c r="H84" s="2198">
        <f t="shared" ca="1" si="95"/>
        <v>1442.2338817305088</v>
      </c>
      <c r="I84" s="2198">
        <f t="shared" ca="1" si="95"/>
        <v>1432.4314364937106</v>
      </c>
      <c r="J84" s="2198">
        <f t="shared" ca="1" si="95"/>
        <v>1422.7214495194848</v>
      </c>
      <c r="K84" s="2198">
        <f t="shared" ca="1" si="95"/>
        <v>1413.1177413160542</v>
      </c>
      <c r="L84" s="2198">
        <f t="shared" ca="1" si="95"/>
        <v>1403.6361982583614</v>
      </c>
      <c r="M84" s="2198">
        <f t="shared" ca="1" si="95"/>
        <v>1394.2950813904081</v>
      </c>
      <c r="N84" s="113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2:49" s="2479" customFormat="1" x14ac:dyDescent="0.2">
      <c r="B85" s="1129"/>
      <c r="C85" s="2193" t="s">
        <v>39</v>
      </c>
      <c r="D85" s="2193" t="s">
        <v>10</v>
      </c>
      <c r="E85" s="2198">
        <f t="shared" ref="E85:M85" ca="1" si="96">R16</f>
        <v>1138.1525136940322</v>
      </c>
      <c r="F85" s="2198">
        <f t="shared" ca="1" si="96"/>
        <v>1274.3800418001767</v>
      </c>
      <c r="G85" s="2198">
        <f t="shared" ca="1" si="96"/>
        <v>1355.4753721107095</v>
      </c>
      <c r="H85" s="2198">
        <f t="shared" ca="1" si="96"/>
        <v>1498.031904676953</v>
      </c>
      <c r="I85" s="2198">
        <f t="shared" ca="1" si="96"/>
        <v>1565.0930371549009</v>
      </c>
      <c r="J85" s="2198">
        <f t="shared" ca="1" si="96"/>
        <v>1643.2531924422476</v>
      </c>
      <c r="K85" s="2198">
        <f t="shared" ca="1" si="96"/>
        <v>1719.4740042076119</v>
      </c>
      <c r="L85" s="2198">
        <f t="shared" ca="1" si="96"/>
        <v>1799.7753133521026</v>
      </c>
      <c r="M85" s="2198">
        <f t="shared" ca="1" si="96"/>
        <v>1877.0877615279096</v>
      </c>
      <c r="N85" s="1130"/>
      <c r="P85" s="37"/>
      <c r="Q85" s="37"/>
      <c r="R85" s="37"/>
      <c r="S85" s="1347"/>
      <c r="T85" s="1347"/>
      <c r="U85" s="1347"/>
      <c r="V85" s="1347"/>
      <c r="W85" s="1347"/>
      <c r="X85" s="1347"/>
      <c r="Y85" s="1347"/>
      <c r="Z85" s="1347"/>
      <c r="AA85" s="1347"/>
      <c r="AB85" s="1347"/>
      <c r="AC85" s="1347"/>
      <c r="AD85" s="1347"/>
      <c r="AE85" s="1347"/>
      <c r="AF85" s="1347"/>
      <c r="AG85" s="1347"/>
      <c r="AH85" s="1347"/>
      <c r="AI85" s="1347"/>
      <c r="AJ85" s="1347"/>
      <c r="AK85" s="1347"/>
      <c r="AL85" s="1347"/>
      <c r="AM85" s="1347"/>
      <c r="AN85" s="1347"/>
      <c r="AO85" s="1347"/>
      <c r="AP85" s="1347"/>
      <c r="AQ85" s="1347"/>
      <c r="AR85" s="1347"/>
      <c r="AS85" s="1347"/>
      <c r="AT85" s="1347"/>
      <c r="AU85" s="1347"/>
      <c r="AV85" s="20"/>
    </row>
    <row r="86" spans="2:49" s="2479" customFormat="1" x14ac:dyDescent="0.2">
      <c r="B86" s="1129"/>
      <c r="C86" s="2193"/>
      <c r="D86" s="2193"/>
      <c r="E86" s="2198"/>
      <c r="F86" s="2198"/>
      <c r="G86" s="2198"/>
      <c r="H86" s="2198"/>
      <c r="I86" s="2198"/>
      <c r="J86" s="2198"/>
      <c r="K86" s="2198"/>
      <c r="L86" s="2198"/>
      <c r="M86" s="2198"/>
      <c r="N86" s="1130"/>
      <c r="P86" s="37"/>
      <c r="Q86" s="37"/>
      <c r="R86" s="1347"/>
      <c r="S86" s="1347"/>
      <c r="T86" s="1347"/>
      <c r="U86" s="1347"/>
      <c r="V86" s="1347"/>
      <c r="W86" s="1347"/>
      <c r="X86" s="1347"/>
      <c r="Y86" s="1347"/>
      <c r="Z86" s="1347"/>
      <c r="AA86" s="1347"/>
      <c r="AB86" s="1347"/>
      <c r="AC86" s="1347"/>
      <c r="AD86" s="1347"/>
      <c r="AE86" s="1347"/>
      <c r="AF86" s="1347"/>
      <c r="AG86" s="1347"/>
      <c r="AH86" s="1347"/>
      <c r="AI86" s="1347"/>
      <c r="AJ86" s="1347"/>
      <c r="AK86" s="1347"/>
      <c r="AL86" s="1347"/>
      <c r="AM86" s="1347"/>
      <c r="AN86" s="1347"/>
      <c r="AO86" s="1347"/>
      <c r="AP86" s="1347"/>
      <c r="AQ86" s="1347"/>
      <c r="AR86" s="1347"/>
      <c r="AS86" s="1347"/>
      <c r="AT86" s="1347"/>
      <c r="AU86" s="1347"/>
      <c r="AV86" s="20"/>
    </row>
    <row r="87" spans="2:49" s="2479" customFormat="1" x14ac:dyDescent="0.2">
      <c r="B87" s="1129"/>
      <c r="C87" s="2193"/>
      <c r="D87" s="2193"/>
      <c r="E87" s="2198"/>
      <c r="F87" s="2198"/>
      <c r="G87" s="2198"/>
      <c r="H87" s="2198"/>
      <c r="I87" s="2198"/>
      <c r="J87" s="2198"/>
      <c r="K87" s="2198"/>
      <c r="L87" s="2198"/>
      <c r="M87" s="2192" t="str">
        <f>Preferences.EnergyUnits</f>
        <v>TWh</v>
      </c>
      <c r="N87" s="1130"/>
      <c r="P87" s="37"/>
      <c r="Q87" s="37"/>
      <c r="R87" s="1347"/>
      <c r="S87" s="1347"/>
      <c r="T87" s="1347"/>
      <c r="U87" s="1347"/>
      <c r="V87" s="1347"/>
      <c r="W87" s="1347"/>
      <c r="X87" s="1347"/>
      <c r="Y87" s="1347"/>
      <c r="Z87" s="1347"/>
      <c r="AA87" s="1347"/>
      <c r="AB87" s="1347"/>
      <c r="AC87" s="1347"/>
      <c r="AD87" s="1347"/>
      <c r="AE87" s="1347"/>
      <c r="AF87" s="1347"/>
      <c r="AG87" s="1347"/>
      <c r="AH87" s="1347"/>
      <c r="AI87" s="1347"/>
      <c r="AJ87" s="1347"/>
      <c r="AK87" s="1347"/>
      <c r="AL87" s="1347"/>
      <c r="AM87" s="1347"/>
      <c r="AN87" s="1347"/>
      <c r="AO87" s="1347"/>
      <c r="AP87" s="1347"/>
      <c r="AQ87" s="1347"/>
      <c r="AR87" s="1347"/>
      <c r="AS87" s="1347"/>
      <c r="AT87" s="1347"/>
      <c r="AU87" s="1347"/>
      <c r="AV87" s="20"/>
    </row>
    <row r="88" spans="2:49" s="2479" customFormat="1" x14ac:dyDescent="0.2">
      <c r="B88" s="1129"/>
      <c r="C88" s="2193"/>
      <c r="D88" s="1285" t="s">
        <v>2539</v>
      </c>
      <c r="E88" s="1285">
        <v>2010</v>
      </c>
      <c r="F88" s="1285">
        <v>2015</v>
      </c>
      <c r="G88" s="1285">
        <v>2020</v>
      </c>
      <c r="H88" s="1285">
        <v>2025</v>
      </c>
      <c r="I88" s="1285">
        <v>2030</v>
      </c>
      <c r="J88" s="1285">
        <v>2035</v>
      </c>
      <c r="K88" s="1285">
        <v>2040</v>
      </c>
      <c r="L88" s="1285">
        <v>2045</v>
      </c>
      <c r="M88" s="1286">
        <v>2050</v>
      </c>
      <c r="N88" s="1130"/>
      <c r="P88" s="37"/>
      <c r="Q88" s="37"/>
      <c r="R88" s="1347"/>
      <c r="S88" s="1347"/>
      <c r="T88" s="1347"/>
      <c r="U88" s="1347"/>
      <c r="V88" s="1347"/>
      <c r="W88" s="1347"/>
      <c r="X88" s="1347"/>
      <c r="Y88" s="1347"/>
      <c r="Z88" s="1347"/>
      <c r="AA88" s="1347"/>
      <c r="AB88" s="1347"/>
      <c r="AC88" s="1347"/>
      <c r="AD88" s="1347"/>
      <c r="AE88" s="1347"/>
      <c r="AF88" s="1347"/>
      <c r="AG88" s="1347"/>
      <c r="AH88" s="1347"/>
      <c r="AI88" s="1347"/>
      <c r="AJ88" s="1347"/>
      <c r="AK88" s="1347"/>
      <c r="AL88" s="1347"/>
      <c r="AM88" s="1347"/>
      <c r="AN88" s="1347"/>
      <c r="AO88" s="1347"/>
      <c r="AP88" s="1347"/>
      <c r="AQ88" s="1347"/>
      <c r="AR88" s="1347"/>
      <c r="AS88" s="1347"/>
      <c r="AT88" s="1347"/>
      <c r="AU88" s="1347"/>
      <c r="AV88" s="20"/>
    </row>
    <row r="89" spans="2:49" s="2479" customFormat="1" x14ac:dyDescent="0.2">
      <c r="B89" s="1129"/>
      <c r="C89" s="2193" t="s">
        <v>1312</v>
      </c>
      <c r="D89" s="2193" t="s">
        <v>669</v>
      </c>
      <c r="E89" s="2198">
        <f ca="1">SUMIFS(INDIRECT("FlowsTable["&amp;E$88&amp;"]"),FlowsTable[From],$D89,FlowsTable[To],$C89)</f>
        <v>8.5753578045170311</v>
      </c>
      <c r="F89" s="2198">
        <f ca="1">SUMIFS(INDIRECT("FlowsTable["&amp;F$88&amp;"]"),FlowsTable[From],$D89,FlowsTable[To],$C89)</f>
        <v>9.2489934300115078</v>
      </c>
      <c r="G89" s="2198">
        <f ca="1">SUMIFS(INDIRECT("FlowsTable["&amp;G$88&amp;"]"),FlowsTable[From],$D89,FlowsTable[To],$C89)</f>
        <v>0</v>
      </c>
      <c r="H89" s="2198">
        <f ca="1">SUMIFS(INDIRECT("FlowsTable["&amp;H$88&amp;"]"),FlowsTable[From],$D89,FlowsTable[To],$C89)</f>
        <v>0</v>
      </c>
      <c r="I89" s="2198">
        <f ca="1">SUMIFS(INDIRECT("FlowsTable["&amp;I$88&amp;"]"),FlowsTable[From],$D89,FlowsTable[To],$C89)</f>
        <v>0</v>
      </c>
      <c r="J89" s="2198">
        <f ca="1">SUMIFS(INDIRECT("FlowsTable["&amp;J$88&amp;"]"),FlowsTable[From],$D89,FlowsTable[To],$C89)</f>
        <v>0</v>
      </c>
      <c r="K89" s="2198">
        <f ca="1">SUMIFS(INDIRECT("FlowsTable["&amp;K$88&amp;"]"),FlowsTable[From],$D89,FlowsTable[To],$C89)</f>
        <v>0</v>
      </c>
      <c r="L89" s="2198">
        <f ca="1">SUMIFS(INDIRECT("FlowsTable["&amp;L$88&amp;"]"),FlowsTable[From],$D89,FlowsTable[To],$C89)</f>
        <v>0</v>
      </c>
      <c r="M89" s="2198">
        <f ca="1">SUMIFS(INDIRECT("FlowsTable["&amp;M$88&amp;"]"),FlowsTable[From],$D89,FlowsTable[To],$C89)</f>
        <v>0</v>
      </c>
      <c r="N89" s="1130"/>
      <c r="P89" s="37"/>
      <c r="Q89" s="37"/>
      <c r="R89" s="1347"/>
      <c r="S89" s="1347"/>
      <c r="T89" s="1347"/>
      <c r="U89" s="1347"/>
      <c r="V89" s="1347"/>
      <c r="W89" s="1347"/>
      <c r="X89" s="1347"/>
      <c r="Y89" s="1347"/>
      <c r="Z89" s="1347"/>
      <c r="AA89" s="1347"/>
      <c r="AB89" s="1347"/>
      <c r="AC89" s="1347"/>
      <c r="AD89" s="1347"/>
      <c r="AE89" s="1347"/>
      <c r="AF89" s="1347"/>
      <c r="AG89" s="1347"/>
      <c r="AH89" s="1347"/>
      <c r="AI89" s="1347"/>
      <c r="AJ89" s="1347"/>
      <c r="AK89" s="1347"/>
      <c r="AL89" s="1347"/>
      <c r="AM89" s="1347"/>
      <c r="AN89" s="1347"/>
      <c r="AO89" s="1347"/>
      <c r="AP89" s="1347"/>
      <c r="AQ89" s="1347"/>
      <c r="AR89" s="1347"/>
      <c r="AS89" s="1347"/>
      <c r="AT89" s="1347"/>
      <c r="AU89" s="1347"/>
      <c r="AV89" s="20"/>
    </row>
    <row r="90" spans="2:49" s="2479" customFormat="1" x14ac:dyDescent="0.2">
      <c r="B90" s="1129"/>
      <c r="C90" s="2193" t="s">
        <v>1312</v>
      </c>
      <c r="D90" s="2193" t="s">
        <v>122</v>
      </c>
      <c r="E90" s="2198">
        <f ca="1">SUMIFS(INDIRECT("FlowsTable["&amp;E$88&amp;"]"),FlowsTable[From],$D90,FlowsTable[To],$C90)</f>
        <v>1157.6931375681877</v>
      </c>
      <c r="F90" s="2198">
        <f ca="1">SUMIFS(INDIRECT("FlowsTable["&amp;F$88&amp;"]"),FlowsTable[From],$D90,FlowsTable[To],$C90)</f>
        <v>1149.7344121527788</v>
      </c>
      <c r="G90" s="2198">
        <f ca="1">SUMIFS(INDIRECT("FlowsTable["&amp;G$88&amp;"]"),FlowsTable[From],$D90,FlowsTable[To],$C90)</f>
        <v>1227.1576089524019</v>
      </c>
      <c r="H90" s="2198">
        <f ca="1">SUMIFS(INDIRECT("FlowsTable["&amp;H$88&amp;"]"),FlowsTable[From],$D90,FlowsTable[To],$C90)</f>
        <v>1249.7383851892039</v>
      </c>
      <c r="I90" s="2198">
        <f ca="1">SUMIFS(INDIRECT("FlowsTable["&amp;I$88&amp;"]"),FlowsTable[From],$D90,FlowsTable[To],$C90)</f>
        <v>1236.8760812278265</v>
      </c>
      <c r="J90" s="2198">
        <f ca="1">SUMIFS(INDIRECT("FlowsTable["&amp;J$88&amp;"]"),FlowsTable[From],$D90,FlowsTable[To],$C90)</f>
        <v>1218.9427494342538</v>
      </c>
      <c r="K90" s="2198">
        <f ca="1">SUMIFS(INDIRECT("FlowsTable["&amp;K$88&amp;"]"),FlowsTable[From],$D90,FlowsTable[To],$C90)</f>
        <v>1209.0359722031728</v>
      </c>
      <c r="L90" s="2198">
        <f ca="1">SUMIFS(INDIRECT("FlowsTable["&amp;L$88&amp;"]"),FlowsTable[From],$D90,FlowsTable[To],$C90)</f>
        <v>1200.1404622232553</v>
      </c>
      <c r="M90" s="2198">
        <f ca="1">SUMIFS(INDIRECT("FlowsTable["&amp;M$88&amp;"]"),FlowsTable[From],$D90,FlowsTable[To],$C90)</f>
        <v>1194.23446134643</v>
      </c>
      <c r="N90" s="1130"/>
      <c r="P90" s="37"/>
      <c r="Q90" s="37"/>
      <c r="R90" s="1347"/>
      <c r="S90" s="1347"/>
      <c r="T90" s="1347"/>
      <c r="U90" s="1347"/>
      <c r="V90" s="1347"/>
      <c r="W90" s="1347"/>
      <c r="X90" s="1347"/>
      <c r="Y90" s="1347"/>
      <c r="Z90" s="1347"/>
      <c r="AA90" s="1347"/>
      <c r="AB90" s="1347"/>
      <c r="AC90" s="1347"/>
      <c r="AD90" s="1347"/>
      <c r="AE90" s="1347"/>
      <c r="AF90" s="1347"/>
      <c r="AG90" s="1347"/>
      <c r="AH90" s="1347"/>
      <c r="AI90" s="1347"/>
      <c r="AJ90" s="1347"/>
      <c r="AK90" s="1347"/>
      <c r="AL90" s="1347"/>
      <c r="AM90" s="1347"/>
      <c r="AN90" s="1347"/>
      <c r="AO90" s="1347"/>
      <c r="AP90" s="1347"/>
      <c r="AQ90" s="1347"/>
      <c r="AR90" s="1347"/>
      <c r="AS90" s="1347"/>
      <c r="AT90" s="1347"/>
      <c r="AU90" s="1347"/>
      <c r="AV90" s="20"/>
    </row>
    <row r="91" spans="2:49" s="2479" customFormat="1" x14ac:dyDescent="0.2">
      <c r="B91" s="1129"/>
      <c r="C91" s="2193" t="s">
        <v>1312</v>
      </c>
      <c r="D91" s="2193" t="s">
        <v>10</v>
      </c>
      <c r="E91" s="2198">
        <f ca="1">SUMIFS(INDIRECT("FlowsTable["&amp;E$88&amp;"]"),FlowsTable[From],$D91,FlowsTable[To],$C91)</f>
        <v>711.34280526370412</v>
      </c>
      <c r="F91" s="2198">
        <f ca="1">SUMIFS(INDIRECT("FlowsTable["&amp;F$88&amp;"]"),FlowsTable[From],$D91,FlowsTable[To],$C91)</f>
        <v>801.22020347427303</v>
      </c>
      <c r="G91" s="2198">
        <f ca="1">SUMIFS(INDIRECT("FlowsTable["&amp;G$88&amp;"]"),FlowsTable[From],$D91,FlowsTable[To],$C91)</f>
        <v>752.15463096912265</v>
      </c>
      <c r="H91" s="2198">
        <f ca="1">SUMIFS(INDIRECT("FlowsTable["&amp;H$88&amp;"]"),FlowsTable[From],$D91,FlowsTable[To],$C91)</f>
        <v>812.12413603411949</v>
      </c>
      <c r="I91" s="2198">
        <f ca="1">SUMIFS(INDIRECT("FlowsTable["&amp;I$88&amp;"]"),FlowsTable[From],$D91,FlowsTable[To],$C91)</f>
        <v>796.25859949857295</v>
      </c>
      <c r="J91" s="2198">
        <f ca="1">SUMIFS(INDIRECT("FlowsTable["&amp;J$88&amp;"]"),FlowsTable[From],$D91,FlowsTable[To],$C91)</f>
        <v>737.01762134814498</v>
      </c>
      <c r="K91" s="2198">
        <f ca="1">SUMIFS(INDIRECT("FlowsTable["&amp;K$88&amp;"]"),FlowsTable[From],$D91,FlowsTable[To],$C91)</f>
        <v>680.10495621215239</v>
      </c>
      <c r="L91" s="2198">
        <f ca="1">SUMIFS(INDIRECT("FlowsTable["&amp;L$88&amp;"]"),FlowsTable[From],$D91,FlowsTable[To],$C91)</f>
        <v>630.16605326473041</v>
      </c>
      <c r="M91" s="2198">
        <f ca="1">SUMIFS(INDIRECT("FlowsTable["&amp;M$88&amp;"]"),FlowsTable[From],$D91,FlowsTable[To],$C91)</f>
        <v>580.45941618119616</v>
      </c>
      <c r="N91" s="1130"/>
      <c r="P91" s="37"/>
      <c r="Q91" s="37"/>
      <c r="R91" s="1347"/>
      <c r="S91" s="1347"/>
      <c r="T91" s="1347"/>
      <c r="U91" s="1347"/>
      <c r="V91" s="1347"/>
      <c r="W91" s="1347"/>
      <c r="X91" s="1347"/>
      <c r="Y91" s="1347"/>
      <c r="Z91" s="1347"/>
      <c r="AA91" s="1347"/>
      <c r="AB91" s="1347"/>
      <c r="AC91" s="1347"/>
      <c r="AD91" s="1347"/>
      <c r="AE91" s="1347"/>
      <c r="AF91" s="1347"/>
      <c r="AG91" s="1347"/>
      <c r="AH91" s="1347"/>
      <c r="AI91" s="1347"/>
      <c r="AJ91" s="1347"/>
      <c r="AK91" s="1347"/>
      <c r="AL91" s="1347"/>
      <c r="AM91" s="1347"/>
      <c r="AN91" s="1347"/>
      <c r="AO91" s="1347"/>
      <c r="AP91" s="1347"/>
      <c r="AQ91" s="1347"/>
      <c r="AR91" s="1347"/>
      <c r="AS91" s="1347"/>
      <c r="AT91" s="1347"/>
      <c r="AU91" s="1347"/>
      <c r="AV91" s="20"/>
    </row>
    <row r="92" spans="2:49" s="2479" customFormat="1" x14ac:dyDescent="0.2">
      <c r="B92" s="1129"/>
      <c r="C92" s="2193"/>
      <c r="D92" s="2193"/>
      <c r="E92" s="2198"/>
      <c r="F92" s="2198"/>
      <c r="G92" s="2198"/>
      <c r="H92" s="2198"/>
      <c r="I92" s="2198"/>
      <c r="J92" s="2198"/>
      <c r="K92" s="2198"/>
      <c r="L92" s="2198"/>
      <c r="M92" s="2198"/>
      <c r="N92" s="1130"/>
      <c r="P92" s="37"/>
      <c r="Q92" s="37"/>
      <c r="R92" s="1347"/>
      <c r="S92" s="1347"/>
      <c r="T92" s="1347"/>
      <c r="U92" s="1347"/>
      <c r="V92" s="1347"/>
      <c r="W92" s="1347"/>
      <c r="X92" s="1347"/>
      <c r="Y92" s="1347"/>
      <c r="Z92" s="1347"/>
      <c r="AA92" s="1347"/>
      <c r="AB92" s="1347"/>
      <c r="AC92" s="1347"/>
      <c r="AD92" s="1347"/>
      <c r="AE92" s="1347"/>
      <c r="AF92" s="1347"/>
      <c r="AG92" s="1347"/>
      <c r="AH92" s="1347"/>
      <c r="AI92" s="1347"/>
      <c r="AJ92" s="1347"/>
      <c r="AK92" s="1347"/>
      <c r="AL92" s="1347"/>
      <c r="AM92" s="1347"/>
      <c r="AN92" s="1347"/>
      <c r="AO92" s="1347"/>
      <c r="AP92" s="1347"/>
      <c r="AQ92" s="1347"/>
      <c r="AR92" s="1347"/>
      <c r="AS92" s="1347"/>
      <c r="AT92" s="1347"/>
      <c r="AU92" s="1347"/>
      <c r="AV92" s="20"/>
    </row>
    <row r="93" spans="2:49" s="2479" customFormat="1" x14ac:dyDescent="0.2">
      <c r="B93" s="1129"/>
      <c r="C93" s="2193"/>
      <c r="D93" s="2193"/>
      <c r="E93" s="2198"/>
      <c r="F93" s="2198"/>
      <c r="G93" s="2198"/>
      <c r="H93" s="2198"/>
      <c r="I93" s="2198"/>
      <c r="J93" s="2198"/>
      <c r="K93" s="2198"/>
      <c r="L93" s="2198"/>
      <c r="M93" s="2192" t="str">
        <f>Preferences.EnergyUnits</f>
        <v>TWh</v>
      </c>
      <c r="N93" s="1130"/>
      <c r="P93" s="37"/>
      <c r="Q93" s="37"/>
      <c r="R93" s="1347"/>
      <c r="S93" s="1347"/>
      <c r="T93" s="1347"/>
      <c r="U93" s="1347"/>
      <c r="V93" s="1347"/>
      <c r="W93" s="1347"/>
      <c r="X93" s="1347"/>
      <c r="Y93" s="1347"/>
      <c r="Z93" s="1347"/>
      <c r="AA93" s="1347"/>
      <c r="AB93" s="1347"/>
      <c r="AC93" s="1347"/>
      <c r="AD93" s="1347"/>
      <c r="AE93" s="1347"/>
      <c r="AF93" s="1347"/>
      <c r="AG93" s="1347"/>
      <c r="AH93" s="1347"/>
      <c r="AI93" s="1347"/>
      <c r="AJ93" s="1347"/>
      <c r="AK93" s="1347"/>
      <c r="AL93" s="1347"/>
      <c r="AM93" s="1347"/>
      <c r="AN93" s="1347"/>
      <c r="AO93" s="1347"/>
      <c r="AP93" s="1347"/>
      <c r="AQ93" s="1347"/>
      <c r="AR93" s="1347"/>
      <c r="AS93" s="1347"/>
      <c r="AT93" s="1347"/>
      <c r="AU93" s="1347"/>
      <c r="AV93" s="20"/>
    </row>
    <row r="94" spans="2:49" s="2479" customFormat="1" x14ac:dyDescent="0.2">
      <c r="B94" s="1129"/>
      <c r="C94" s="1285"/>
      <c r="D94" s="1285" t="s">
        <v>2540</v>
      </c>
      <c r="E94" s="1285">
        <v>2010</v>
      </c>
      <c r="F94" s="1285">
        <v>2015</v>
      </c>
      <c r="G94" s="1285">
        <v>2020</v>
      </c>
      <c r="H94" s="1285">
        <v>2025</v>
      </c>
      <c r="I94" s="1285">
        <v>2030</v>
      </c>
      <c r="J94" s="1285">
        <v>2035</v>
      </c>
      <c r="K94" s="1285">
        <v>2040</v>
      </c>
      <c r="L94" s="1285">
        <v>2045</v>
      </c>
      <c r="M94" s="1286">
        <v>2050</v>
      </c>
      <c r="N94" s="1130"/>
      <c r="P94" s="37"/>
      <c r="Q94" s="37"/>
      <c r="R94" s="1347"/>
      <c r="S94" s="1347"/>
      <c r="T94" s="1347"/>
      <c r="U94" s="1347"/>
      <c r="V94" s="1347"/>
      <c r="W94" s="1347"/>
      <c r="X94" s="1347"/>
      <c r="Y94" s="1347"/>
      <c r="Z94" s="1347"/>
      <c r="AA94" s="1347"/>
      <c r="AB94" s="1347"/>
      <c r="AC94" s="1347"/>
      <c r="AD94" s="1347"/>
      <c r="AE94" s="1347"/>
      <c r="AF94" s="1347"/>
      <c r="AG94" s="1347"/>
      <c r="AH94" s="1347"/>
      <c r="AI94" s="1347"/>
      <c r="AJ94" s="1347"/>
      <c r="AK94" s="1347"/>
      <c r="AL94" s="1347"/>
      <c r="AM94" s="1347"/>
      <c r="AN94" s="1347"/>
      <c r="AO94" s="1347"/>
      <c r="AP94" s="1347"/>
      <c r="AQ94" s="1347"/>
      <c r="AR94" s="1347"/>
      <c r="AS94" s="1347"/>
      <c r="AT94" s="1347"/>
      <c r="AU94" s="1347"/>
      <c r="AV94" s="20"/>
    </row>
    <row r="95" spans="2:49" s="2479" customFormat="1" x14ac:dyDescent="0.2">
      <c r="B95" s="1129"/>
      <c r="C95" s="2193" t="s">
        <v>36</v>
      </c>
      <c r="D95" s="2193" t="s">
        <v>669</v>
      </c>
      <c r="E95" s="2687">
        <f t="shared" ref="E95:M95" ca="1" si="97">E83-E89</f>
        <v>1.5203815348896352</v>
      </c>
      <c r="F95" s="2687">
        <f t="shared" ca="1" si="97"/>
        <v>1.8097434927284919</v>
      </c>
      <c r="G95" s="2687">
        <f t="shared" ca="1" si="97"/>
        <v>25.824701842565585</v>
      </c>
      <c r="H95" s="2687">
        <f t="shared" ca="1" si="97"/>
        <v>122.57694153254651</v>
      </c>
      <c r="I95" s="2687">
        <f t="shared" ca="1" si="97"/>
        <v>281.95754953591495</v>
      </c>
      <c r="J95" s="2687">
        <f t="shared" ca="1" si="97"/>
        <v>512.36760581012402</v>
      </c>
      <c r="K95" s="2687">
        <f t="shared" ca="1" si="97"/>
        <v>756.52138704566835</v>
      </c>
      <c r="L95" s="2687">
        <f t="shared" ca="1" si="97"/>
        <v>998.96810111333627</v>
      </c>
      <c r="M95" s="2687">
        <f t="shared" ca="1" si="97"/>
        <v>1241.543917118086</v>
      </c>
      <c r="N95" s="1130"/>
      <c r="P95" s="37"/>
      <c r="Q95" s="37"/>
      <c r="R95" s="1347"/>
      <c r="S95" s="1347"/>
      <c r="T95" s="1347"/>
      <c r="U95" s="1347"/>
      <c r="V95" s="1347"/>
      <c r="W95" s="1347"/>
      <c r="X95" s="1347"/>
      <c r="Y95" s="1347"/>
      <c r="Z95" s="1347"/>
      <c r="AA95" s="1347"/>
      <c r="AB95" s="1347"/>
      <c r="AC95" s="1347"/>
      <c r="AD95" s="1347"/>
      <c r="AE95" s="1347"/>
      <c r="AF95" s="1347"/>
      <c r="AG95" s="1347"/>
      <c r="AH95" s="1347"/>
      <c r="AI95" s="1347"/>
      <c r="AJ95" s="1347"/>
      <c r="AK95" s="1347"/>
      <c r="AL95" s="1347"/>
      <c r="AM95" s="1347"/>
      <c r="AN95" s="1347"/>
      <c r="AO95" s="1347"/>
      <c r="AP95" s="1347"/>
      <c r="AQ95" s="1347"/>
      <c r="AR95" s="1347"/>
      <c r="AS95" s="1347"/>
      <c r="AT95" s="1347"/>
      <c r="AU95" s="1347"/>
      <c r="AV95" s="20"/>
    </row>
    <row r="96" spans="2:49" s="2479" customFormat="1" x14ac:dyDescent="0.2">
      <c r="B96" s="1129"/>
      <c r="C96" s="2193" t="s">
        <v>38</v>
      </c>
      <c r="D96" s="2193" t="s">
        <v>122</v>
      </c>
      <c r="E96" s="2687">
        <f t="shared" ref="E96:M97" ca="1" si="98">E84-E90</f>
        <v>303.91749505847929</v>
      </c>
      <c r="F96" s="2687">
        <f t="shared" ca="1" si="98"/>
        <v>312.27574152710508</v>
      </c>
      <c r="G96" s="2687">
        <f t="shared" ca="1" si="98"/>
        <v>224.89080078518396</v>
      </c>
      <c r="H96" s="2687">
        <f t="shared" ca="1" si="98"/>
        <v>192.49549654130487</v>
      </c>
      <c r="I96" s="2687">
        <f t="shared" ca="1" si="98"/>
        <v>195.55535526588415</v>
      </c>
      <c r="J96" s="2687">
        <f t="shared" ca="1" si="98"/>
        <v>203.77870008523109</v>
      </c>
      <c r="K96" s="2687">
        <f t="shared" ca="1" si="98"/>
        <v>204.08176911288137</v>
      </c>
      <c r="L96" s="2687">
        <f t="shared" ca="1" si="98"/>
        <v>203.49573603510612</v>
      </c>
      <c r="M96" s="2687">
        <f t="shared" ca="1" si="98"/>
        <v>200.06062004397813</v>
      </c>
      <c r="N96" s="1130"/>
      <c r="P96" s="37"/>
      <c r="Q96" s="37"/>
      <c r="R96" s="1347"/>
      <c r="S96" s="1347"/>
      <c r="T96" s="1347"/>
      <c r="U96" s="1347"/>
      <c r="V96" s="1347"/>
      <c r="W96" s="1347"/>
      <c r="X96" s="1347"/>
      <c r="Y96" s="1347"/>
      <c r="Z96" s="1347"/>
      <c r="AA96" s="1347"/>
      <c r="AB96" s="1347"/>
      <c r="AC96" s="1347"/>
      <c r="AD96" s="1347"/>
      <c r="AE96" s="1347"/>
      <c r="AF96" s="1347"/>
      <c r="AG96" s="1347"/>
      <c r="AH96" s="1347"/>
      <c r="AI96" s="1347"/>
      <c r="AJ96" s="1347"/>
      <c r="AK96" s="1347"/>
      <c r="AL96" s="1347"/>
      <c r="AM96" s="1347"/>
      <c r="AN96" s="1347"/>
      <c r="AO96" s="1347"/>
      <c r="AP96" s="1347"/>
      <c r="AQ96" s="1347"/>
      <c r="AR96" s="1347"/>
      <c r="AS96" s="1347"/>
      <c r="AT96" s="1347"/>
      <c r="AU96" s="1347"/>
      <c r="AV96" s="20"/>
      <c r="AW96" s="20"/>
    </row>
    <row r="97" spans="2:49" x14ac:dyDescent="0.2">
      <c r="B97" s="1129"/>
      <c r="C97" s="2193" t="s">
        <v>39</v>
      </c>
      <c r="D97" s="2193" t="s">
        <v>10</v>
      </c>
      <c r="E97" s="2687">
        <f t="shared" ca="1" si="98"/>
        <v>426.8097084303281</v>
      </c>
      <c r="F97" s="2687">
        <f t="shared" ca="1" si="98"/>
        <v>473.15983832590371</v>
      </c>
      <c r="G97" s="2687">
        <f t="shared" ca="1" si="98"/>
        <v>603.32074114158684</v>
      </c>
      <c r="H97" s="2687">
        <f t="shared" ca="1" si="98"/>
        <v>685.9077686428335</v>
      </c>
      <c r="I97" s="2687">
        <f t="shared" ca="1" si="98"/>
        <v>768.83443765632796</v>
      </c>
      <c r="J97" s="2687">
        <f t="shared" ca="1" si="98"/>
        <v>906.23557109410262</v>
      </c>
      <c r="K97" s="2687">
        <f t="shared" ca="1" si="98"/>
        <v>1039.3690479954594</v>
      </c>
      <c r="L97" s="2687">
        <f t="shared" ca="1" si="98"/>
        <v>1169.6092600873721</v>
      </c>
      <c r="M97" s="2687">
        <f t="shared" ca="1" si="98"/>
        <v>1296.6283453467136</v>
      </c>
      <c r="N97" s="1130"/>
      <c r="R97" s="1347"/>
    </row>
    <row r="98" spans="2:49" x14ac:dyDescent="0.2">
      <c r="B98" s="1129"/>
      <c r="C98" s="2193"/>
      <c r="D98" s="2193"/>
      <c r="E98" s="2198"/>
      <c r="F98" s="2198"/>
      <c r="G98" s="2198"/>
      <c r="H98" s="2198"/>
      <c r="I98" s="2198"/>
      <c r="J98" s="2198"/>
      <c r="K98" s="2198"/>
      <c r="L98" s="2198"/>
      <c r="M98" s="2198"/>
      <c r="N98" s="1130"/>
      <c r="R98" s="1347"/>
      <c r="AW98" s="37"/>
    </row>
    <row r="99" spans="2:49" ht="15" customHeight="1" x14ac:dyDescent="0.2">
      <c r="B99" s="1129"/>
      <c r="C99" s="2193"/>
      <c r="D99" s="2193"/>
      <c r="E99" s="2198"/>
      <c r="F99" s="2198"/>
      <c r="G99" s="2198"/>
      <c r="H99" s="2198"/>
      <c r="I99" s="2198"/>
      <c r="J99" s="2198"/>
      <c r="K99" s="2198"/>
      <c r="L99" s="2198"/>
      <c r="M99" s="2192" t="s">
        <v>347</v>
      </c>
      <c r="N99" s="1130"/>
      <c r="R99" s="1347"/>
      <c r="AW99" s="37"/>
    </row>
    <row r="100" spans="2:49" ht="15.75" x14ac:dyDescent="0.2">
      <c r="B100" s="1131"/>
      <c r="C100" s="1285" t="s">
        <v>64</v>
      </c>
      <c r="D100" s="1285" t="s">
        <v>2541</v>
      </c>
      <c r="E100" s="1285">
        <v>2010</v>
      </c>
      <c r="F100" s="1285">
        <v>2015</v>
      </c>
      <c r="G100" s="1285">
        <v>2020</v>
      </c>
      <c r="H100" s="1285">
        <v>2025</v>
      </c>
      <c r="I100" s="1285">
        <v>2030</v>
      </c>
      <c r="J100" s="1285">
        <v>2035</v>
      </c>
      <c r="K100" s="1285">
        <v>2040</v>
      </c>
      <c r="L100" s="1285">
        <v>2045</v>
      </c>
      <c r="M100" s="1286">
        <v>2050</v>
      </c>
      <c r="N100" s="1130"/>
      <c r="R100" s="1347"/>
      <c r="AW100" s="37"/>
    </row>
    <row r="101" spans="2:49" ht="15.75" x14ac:dyDescent="0.2">
      <c r="B101" s="2189"/>
      <c r="C101" s="2193" t="s">
        <v>36</v>
      </c>
      <c r="D101" s="2193" t="s">
        <v>669</v>
      </c>
      <c r="E101" s="2688">
        <f t="shared" ref="E101:L101" ca="1" si="99">MIN(E77/E95,1)</f>
        <v>0</v>
      </c>
      <c r="F101" s="2688">
        <f t="shared" ca="1" si="99"/>
        <v>0</v>
      </c>
      <c r="G101" s="2688">
        <f t="shared" ca="1" si="99"/>
        <v>0</v>
      </c>
      <c r="H101" s="2688">
        <f t="shared" ca="1" si="99"/>
        <v>0</v>
      </c>
      <c r="I101" s="2688">
        <f t="shared" ca="1" si="99"/>
        <v>0</v>
      </c>
      <c r="J101" s="2688">
        <f t="shared" ca="1" si="99"/>
        <v>0</v>
      </c>
      <c r="K101" s="2688">
        <f t="shared" ca="1" si="99"/>
        <v>0</v>
      </c>
      <c r="L101" s="2688">
        <f t="shared" ca="1" si="99"/>
        <v>0</v>
      </c>
      <c r="M101" s="2688">
        <f ca="1">IFERROR(MIN(M77/M95,1),0)</f>
        <v>0</v>
      </c>
      <c r="N101" s="2191"/>
      <c r="R101" s="1347"/>
      <c r="AW101" s="37"/>
    </row>
    <row r="102" spans="2:49" ht="15.75" x14ac:dyDescent="0.2">
      <c r="B102" s="2189"/>
      <c r="C102" s="2193" t="s">
        <v>38</v>
      </c>
      <c r="D102" s="2193" t="s">
        <v>122</v>
      </c>
      <c r="E102" s="2688">
        <f t="shared" ref="E102:L103" ca="1" si="100">MIN(E78/E96,1)</f>
        <v>8.79438923432946E-3</v>
      </c>
      <c r="F102" s="2688">
        <f t="shared" ca="1" si="100"/>
        <v>9.8383876533589838E-3</v>
      </c>
      <c r="G102" s="2688">
        <f t="shared" ca="1" si="100"/>
        <v>1.5703312840079885E-2</v>
      </c>
      <c r="H102" s="2688">
        <f t="shared" ca="1" si="100"/>
        <v>2.1496541004119813E-2</v>
      </c>
      <c r="I102" s="2688">
        <f t="shared" ca="1" si="100"/>
        <v>2.4323173524157377E-2</v>
      </c>
      <c r="J102" s="2688">
        <f t="shared" ca="1" si="100"/>
        <v>2.6830697247542144E-2</v>
      </c>
      <c r="K102" s="2688">
        <f t="shared" ca="1" si="100"/>
        <v>3.079550502415478E-2</v>
      </c>
      <c r="L102" s="2688">
        <f t="shared" ca="1" si="100"/>
        <v>3.5500708619835057E-2</v>
      </c>
      <c r="M102" s="2688">
        <f t="shared" ref="M102:M103" ca="1" si="101">IFERROR(MIN(M78/M96,1),0)</f>
        <v>4.1507972446465036E-2</v>
      </c>
      <c r="N102" s="2191"/>
      <c r="R102" s="1347"/>
      <c r="AW102" s="37"/>
    </row>
    <row r="103" spans="2:49" ht="15.75" x14ac:dyDescent="0.2">
      <c r="B103" s="2189"/>
      <c r="C103" s="2193" t="s">
        <v>39</v>
      </c>
      <c r="D103" s="2193" t="s">
        <v>10</v>
      </c>
      <c r="E103" s="2688">
        <f t="shared" ca="1" si="100"/>
        <v>0.88264253399572501</v>
      </c>
      <c r="F103" s="2688">
        <f t="shared" ca="1" si="100"/>
        <v>0.90764192917624498</v>
      </c>
      <c r="G103" s="2688">
        <f t="shared" ca="1" si="100"/>
        <v>0.82017629822307558</v>
      </c>
      <c r="H103" s="2688">
        <f t="shared" ca="1" si="100"/>
        <v>0.90633211406881997</v>
      </c>
      <c r="I103" s="2688">
        <f t="shared" ca="1" si="100"/>
        <v>0.87534542010512717</v>
      </c>
      <c r="J103" s="2688">
        <f t="shared" ca="1" si="100"/>
        <v>0.81152209855805901</v>
      </c>
      <c r="K103" s="2688">
        <f t="shared" ca="1" si="100"/>
        <v>0.76577740993536159</v>
      </c>
      <c r="L103" s="2688">
        <f t="shared" ca="1" si="100"/>
        <v>0.73571662723881648</v>
      </c>
      <c r="M103" s="2688">
        <f t="shared" ca="1" si="101"/>
        <v>0.71114268389786506</v>
      </c>
      <c r="N103" s="2191"/>
      <c r="R103" s="1347"/>
      <c r="AW103" s="37"/>
    </row>
    <row r="104" spans="2:49" ht="15.75" x14ac:dyDescent="0.2">
      <c r="B104" s="2189"/>
      <c r="C104" s="2193"/>
      <c r="D104" s="1126" t="s">
        <v>2542</v>
      </c>
      <c r="E104" s="2688"/>
      <c r="F104" s="2688"/>
      <c r="G104" s="2688"/>
      <c r="H104" s="2688"/>
      <c r="I104" s="2688"/>
      <c r="J104" s="2688"/>
      <c r="K104" s="2688"/>
      <c r="L104" s="2688"/>
      <c r="M104" s="2688"/>
      <c r="N104" s="2191"/>
      <c r="R104" s="1347"/>
      <c r="AW104" s="37"/>
    </row>
    <row r="105" spans="2:49" ht="15.75" x14ac:dyDescent="0.2">
      <c r="B105" s="2189"/>
      <c r="C105" s="2193"/>
      <c r="D105" s="2193"/>
      <c r="E105" s="2688"/>
      <c r="F105" s="2688"/>
      <c r="G105" s="2688"/>
      <c r="H105" s="2688"/>
      <c r="I105" s="2688"/>
      <c r="J105" s="2688"/>
      <c r="K105" s="2688"/>
      <c r="L105" s="2688"/>
      <c r="M105" s="2689" t="str">
        <f>"Mt CO2e per " &amp; Preferences.EnergyUnits</f>
        <v>Mt CO2e per TWh</v>
      </c>
      <c r="N105" s="2191"/>
      <c r="R105" s="1347"/>
      <c r="AW105" s="37"/>
    </row>
    <row r="106" spans="2:49" ht="15.75" x14ac:dyDescent="0.2">
      <c r="B106" s="2189"/>
      <c r="C106" s="1285" t="s">
        <v>64</v>
      </c>
      <c r="D106" s="1285" t="s">
        <v>2543</v>
      </c>
      <c r="E106" s="1285" t="s">
        <v>241</v>
      </c>
      <c r="F106" s="1285" t="s">
        <v>268</v>
      </c>
      <c r="G106" s="1285" t="s">
        <v>269</v>
      </c>
      <c r="H106" s="1285" t="s">
        <v>270</v>
      </c>
      <c r="I106" s="1285" t="s">
        <v>271</v>
      </c>
      <c r="J106" s="1285" t="s">
        <v>272</v>
      </c>
      <c r="K106" s="1285" t="s">
        <v>273</v>
      </c>
      <c r="L106" s="1285" t="s">
        <v>274</v>
      </c>
      <c r="M106" s="1286" t="s">
        <v>275</v>
      </c>
      <c r="N106" s="2191"/>
      <c r="AW106" s="37"/>
    </row>
    <row r="107" spans="2:49" ht="15.75" x14ac:dyDescent="0.2">
      <c r="B107" s="2189"/>
      <c r="C107" s="2193" t="s">
        <v>36</v>
      </c>
      <c r="D107" s="2193" t="s">
        <v>669</v>
      </c>
      <c r="E107" s="2690">
        <f ca="1">INDEX(EF[CO2e], MATCH($C107, EF[Vector], 0))*(E101)</f>
        <v>0</v>
      </c>
      <c r="F107" s="2690">
        <f ca="1">INDEX(EF[CO2e], MATCH($C107, EF[Vector], 0))*(F101)</f>
        <v>0</v>
      </c>
      <c r="G107" s="2690">
        <f ca="1">INDEX(EF[CO2e], MATCH($C107, EF[Vector], 0))*(G101)</f>
        <v>0</v>
      </c>
      <c r="H107" s="2690">
        <f ca="1">INDEX(EF[CO2e], MATCH($C107, EF[Vector], 0))*(H101)</f>
        <v>0</v>
      </c>
      <c r="I107" s="2690">
        <f ca="1">INDEX(EF[CO2e], MATCH($C107, EF[Vector], 0))*(I101)</f>
        <v>0</v>
      </c>
      <c r="J107" s="2690">
        <f ca="1">INDEX(EF[CO2e], MATCH($C107, EF[Vector], 0))*(J101)</f>
        <v>0</v>
      </c>
      <c r="K107" s="2690">
        <f ca="1">INDEX(EF[CO2e], MATCH($C107, EF[Vector], 0))*(K101)</f>
        <v>0</v>
      </c>
      <c r="L107" s="2690">
        <f ca="1">INDEX(EF[CO2e], MATCH($C107, EF[Vector], 0))*(L101)</f>
        <v>0</v>
      </c>
      <c r="M107" s="2690">
        <f ca="1">INDEX(EF[CO2e], MATCH($C107, EF[Vector], 0))*(M101)</f>
        <v>0</v>
      </c>
      <c r="N107" s="2191"/>
      <c r="AW107" s="37"/>
    </row>
    <row r="108" spans="2:49" ht="15.75" x14ac:dyDescent="0.2">
      <c r="B108" s="2189"/>
      <c r="C108" s="2193" t="s">
        <v>38</v>
      </c>
      <c r="D108" s="2193" t="s">
        <v>122</v>
      </c>
      <c r="E108" s="2690">
        <f ca="1">INDEX(EF[CO2e], MATCH($C108,EF[Vector], 0))*(E102)</f>
        <v>2.2408918242585803E-3</v>
      </c>
      <c r="F108" s="2690">
        <f ca="1">INDEX(EF[CO2e], MATCH($C108,EF[Vector], 0))*(F102)</f>
        <v>2.5069122901949532E-3</v>
      </c>
      <c r="G108" s="2690">
        <f ca="1">INDEX(EF[CO2e], MATCH($C108,EF[Vector], 0))*(G102)</f>
        <v>4.0013495445193207E-3</v>
      </c>
      <c r="H108" s="2690">
        <f ca="1">INDEX(EF[CO2e], MATCH($C108,EF[Vector], 0))*(H102)</f>
        <v>5.477517733457964E-3</v>
      </c>
      <c r="I108" s="2690">
        <f ca="1">INDEX(EF[CO2e], MATCH($C108,EF[Vector], 0))*(I102)</f>
        <v>6.1977698778149298E-3</v>
      </c>
      <c r="J108" s="2690">
        <f ca="1">INDEX(EF[CO2e], MATCH($C108,EF[Vector], 0))*(J102)</f>
        <v>6.8367101454270204E-3</v>
      </c>
      <c r="K108" s="2690">
        <f ca="1">INDEX(EF[CO2e], MATCH($C108,EF[Vector], 0))*(K102)</f>
        <v>7.8469798861255657E-3</v>
      </c>
      <c r="L108" s="2690">
        <f ca="1">INDEX(EF[CO2e], MATCH($C108,EF[Vector], 0))*(L102)</f>
        <v>9.0459093385397722E-3</v>
      </c>
      <c r="M108" s="2690">
        <f ca="1">INDEX(EF[CO2e], MATCH($C108,EF[Vector], 0))*(M102)</f>
        <v>1.0576615796551786E-2</v>
      </c>
      <c r="N108" s="2191"/>
      <c r="AW108" s="37"/>
    </row>
    <row r="109" spans="2:49" ht="15.75" x14ac:dyDescent="0.2">
      <c r="B109" s="2189"/>
      <c r="C109" s="2193" t="s">
        <v>39</v>
      </c>
      <c r="D109" s="2193" t="s">
        <v>10</v>
      </c>
      <c r="E109" s="2690">
        <f ca="1">INDEX(EF[CO2e], MATCH($C109, EF[Vector], 0))*(E103)</f>
        <v>0.16308190234326905</v>
      </c>
      <c r="F109" s="2690">
        <f ca="1">INDEX(EF[CO2e], MATCH($C109, EF[Vector], 0))*(F103)</f>
        <v>0.1677009284681647</v>
      </c>
      <c r="G109" s="2690">
        <f ca="1">INDEX(EF[CO2e], MATCH($C109, EF[Vector], 0))*(G103)</f>
        <v>0.15154029612142775</v>
      </c>
      <c r="H109" s="2690">
        <f ca="1">INDEX(EF[CO2e], MATCH($C109, EF[Vector], 0))*(H103)</f>
        <v>0.16745891980530339</v>
      </c>
      <c r="I109" s="2690">
        <f ca="1">INDEX(EF[CO2e], MATCH($C109, EF[Vector], 0))*(I103)</f>
        <v>0.16173364733735296</v>
      </c>
      <c r="J109" s="2690">
        <f ca="1">INDEX(EF[CO2e], MATCH($C109, EF[Vector], 0))*(J103)</f>
        <v>0.14994129846351947</v>
      </c>
      <c r="K109" s="2690">
        <f ca="1">INDEX(EF[CO2e], MATCH($C109, EF[Vector], 0))*(K103)</f>
        <v>0.14148925751222069</v>
      </c>
      <c r="L109" s="2690">
        <f ca="1">INDEX(EF[CO2e], MATCH($C109, EF[Vector], 0))*(L103)</f>
        <v>0.13593506151637721</v>
      </c>
      <c r="M109" s="2690">
        <f ca="1">INDEX(EF[CO2e], MATCH($C109, EF[Vector], 0))*(M103)</f>
        <v>0.13139464421972166</v>
      </c>
      <c r="N109" s="2191"/>
      <c r="AW109" s="37"/>
    </row>
    <row r="110" spans="2:49" ht="15.75" x14ac:dyDescent="0.2">
      <c r="B110" s="2189"/>
      <c r="C110" s="2193"/>
      <c r="D110" s="2193"/>
      <c r="E110" s="2688"/>
      <c r="F110" s="2688"/>
      <c r="G110" s="2688"/>
      <c r="H110" s="2688"/>
      <c r="I110" s="2688"/>
      <c r="J110" s="2688"/>
      <c r="K110" s="2688"/>
      <c r="L110" s="2688"/>
      <c r="M110" s="2688"/>
      <c r="N110" s="2191"/>
      <c r="AW110" s="37"/>
    </row>
    <row r="111" spans="2:49" ht="15.75" x14ac:dyDescent="0.2">
      <c r="B111" s="2189"/>
      <c r="C111" s="1126"/>
      <c r="D111" s="1126"/>
      <c r="E111" s="2190"/>
      <c r="F111" s="2190"/>
      <c r="G111" s="2190"/>
      <c r="H111" s="2190"/>
      <c r="I111" s="2190"/>
      <c r="J111" s="2190"/>
      <c r="K111" s="2190"/>
      <c r="L111" s="2190"/>
      <c r="M111" s="2190"/>
      <c r="N111" s="2191"/>
      <c r="AW111" s="37"/>
    </row>
  </sheetData>
  <conditionalFormatting sqref="AL6:AT43">
    <cfRule type="cellIs" dxfId="4273" priority="1" operator="between">
      <formula>-1</formula>
      <formula>1</formula>
    </cfRule>
  </conditionalFormatting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53</vt:i4>
      </vt:variant>
      <vt:variant>
        <vt:lpstr>Named Ranges</vt:lpstr>
      </vt:variant>
      <vt:variant>
        <vt:i4>307</vt:i4>
      </vt:variant>
    </vt:vector>
  </HeadingPairs>
  <TitlesOfParts>
    <vt:vector size="360" baseType="lpstr">
      <vt:lpstr>Control</vt:lpstr>
      <vt:lpstr>Preferences</vt:lpstr>
      <vt:lpstr>Intermediate output</vt:lpstr>
      <vt:lpstr>Energy</vt:lpstr>
      <vt:lpstr>GHG</vt:lpstr>
      <vt:lpstr>Electricity</vt:lpstr>
      <vt:lpstr>Energy Security</vt:lpstr>
      <vt:lpstr>Land Use</vt:lpstr>
      <vt:lpstr>Flows</vt:lpstr>
      <vt:lpstr>Air Quality</vt:lpstr>
      <vt:lpstr>Costs per capita</vt:lpstr>
      <vt:lpstr>Costs</vt:lpstr>
      <vt:lpstr>Conversions</vt:lpstr>
      <vt:lpstr>Global assumptions</vt:lpstr>
      <vt:lpstr>Constants</vt:lpstr>
      <vt:lpstr>Structure of the model</vt:lpstr>
      <vt:lpstr>I.a</vt:lpstr>
      <vt:lpstr>I.b</vt:lpstr>
      <vt:lpstr>I.c</vt:lpstr>
      <vt:lpstr>I.d</vt:lpstr>
      <vt:lpstr>II.a</vt:lpstr>
      <vt:lpstr>III.a.1</vt:lpstr>
      <vt:lpstr>III.b.1</vt:lpstr>
      <vt:lpstr>III.b.2</vt:lpstr>
      <vt:lpstr>III.f</vt:lpstr>
      <vt:lpstr>III.g</vt:lpstr>
      <vt:lpstr>IV.a</vt:lpstr>
      <vt:lpstr>V.a</vt:lpstr>
      <vt:lpstr>V.b</vt:lpstr>
      <vt:lpstr>VI.a</vt:lpstr>
      <vt:lpstr>VI.b</vt:lpstr>
      <vt:lpstr>VII.a</vt:lpstr>
      <vt:lpstr>VII.b</vt:lpstr>
      <vt:lpstr>IX.a</vt:lpstr>
      <vt:lpstr>IX.c</vt:lpstr>
      <vt:lpstr>X.a</vt:lpstr>
      <vt:lpstr>X.b</vt:lpstr>
      <vt:lpstr>XI.a</vt:lpstr>
      <vt:lpstr>XII.a</vt:lpstr>
      <vt:lpstr>XII.b</vt:lpstr>
      <vt:lpstr>XV.a</vt:lpstr>
      <vt:lpstr>XV.b</vt:lpstr>
      <vt:lpstr>XVI.a</vt:lpstr>
      <vt:lpstr>XVI.b</vt:lpstr>
      <vt:lpstr>2010</vt:lpstr>
      <vt:lpstr>2015</vt:lpstr>
      <vt:lpstr>2020</vt:lpstr>
      <vt:lpstr>2025</vt:lpstr>
      <vt:lpstr>2030</vt:lpstr>
      <vt:lpstr>2035</vt:lpstr>
      <vt:lpstr>2040</vt:lpstr>
      <vt:lpstr>2045</vt:lpstr>
      <vt:lpstr>2050</vt:lpstr>
      <vt:lpstr>Bio.Gas</vt:lpstr>
      <vt:lpstr>Bio.liquid</vt:lpstr>
      <vt:lpstr>Bio.Solid</vt:lpstr>
      <vt:lpstr>Constants.Density.Diesel</vt:lpstr>
      <vt:lpstr>Constants.Density.Ethanol</vt:lpstr>
      <vt:lpstr>Constants.Density.JetFuel</vt:lpstr>
      <vt:lpstr>Constants.Density.MotorSpirit</vt:lpstr>
      <vt:lpstr>Constants.GCV.ATF</vt:lpstr>
      <vt:lpstr>Constants.GCV.Coal</vt:lpstr>
      <vt:lpstr>Constants.GCV.Coke</vt:lpstr>
      <vt:lpstr>Constants.GCV.CokeBreeze</vt:lpstr>
      <vt:lpstr>Constants.GCV.CrudeOil</vt:lpstr>
      <vt:lpstr>Constants.GCV.Diesel</vt:lpstr>
      <vt:lpstr>Constants.GCV.LandfillGas</vt:lpstr>
      <vt:lpstr>Constants.GCV.MotorSpirit</vt:lpstr>
      <vt:lpstr>Constants.GCV.NaturalGasProduced</vt:lpstr>
      <vt:lpstr>Constants.GCV.PetroleumProducts</vt:lpstr>
      <vt:lpstr>Conversion.to.annual.energy</vt:lpstr>
      <vt:lpstr>Conversion.to.average.power</vt:lpstr>
      <vt:lpstr>Conversion.to.energy.per.second</vt:lpstr>
      <vt:lpstr>Conversion.UKgallons.to.litres</vt:lpstr>
      <vt:lpstr>Conversion.USgallons.to.litres</vt:lpstr>
      <vt:lpstr>Conversions.Area.m2</vt:lpstr>
      <vt:lpstr>Conversions.Area.Units</vt:lpstr>
      <vt:lpstr>Conversions.Energy.Joules</vt:lpstr>
      <vt:lpstr>Conversions.Energy.Units</vt:lpstr>
      <vt:lpstr>Conversions.Money.GBP</vt:lpstr>
      <vt:lpstr>Conversions.Money.Units</vt:lpstr>
      <vt:lpstr>Conversions.Power.Units</vt:lpstr>
      <vt:lpstr>Conversions.Power.Watts</vt:lpstr>
      <vt:lpstr>Cost.FinanceCostTable</vt:lpstr>
      <vt:lpstr>discount_factors</vt:lpstr>
      <vt:lpstr>Discount_rate</vt:lpstr>
      <vt:lpstr>EF.BlastFurnaceGas.CO2</vt:lpstr>
      <vt:lpstr>EF.Diesel.CH4</vt:lpstr>
      <vt:lpstr>EF.Diesel.CO2</vt:lpstr>
      <vt:lpstr>EF.Diesel.N2O</vt:lpstr>
      <vt:lpstr>EF.IndustrialCoal.CH4</vt:lpstr>
      <vt:lpstr>EF.IndustrialCoal.CO2</vt:lpstr>
      <vt:lpstr>EF.IndustrialCoal.N2O</vt:lpstr>
      <vt:lpstr>EF.NaturalGas.CH4</vt:lpstr>
      <vt:lpstr>EF.NaturalGas.CO2</vt:lpstr>
      <vt:lpstr>EF.NaturalGas.N2O</vt:lpstr>
      <vt:lpstr>Euro2002_</vt:lpstr>
      <vt:lpstr>Costs!Extract</vt:lpstr>
      <vt:lpstr>GBP</vt:lpstr>
      <vt:lpstr>GGBP</vt:lpstr>
      <vt:lpstr>Global.NigeriaIncidentSolarEnergy</vt:lpstr>
      <vt:lpstr>Global.NigeriaIncidentSolarEnergy_SouthFacing</vt:lpstr>
      <vt:lpstr>GWP.CH4</vt:lpstr>
      <vt:lpstr>GWP.N2O</vt:lpstr>
      <vt:lpstr>I.a.scenario</vt:lpstr>
      <vt:lpstr>I.b.Scenario</vt:lpstr>
      <vt:lpstr>I.c.scenario</vt:lpstr>
      <vt:lpstr>II.a.Scenario</vt:lpstr>
      <vt:lpstr>III.a.1.Scenario</vt:lpstr>
      <vt:lpstr>III.b.1.Scenario</vt:lpstr>
      <vt:lpstr>III.b.2.scenario</vt:lpstr>
      <vt:lpstr>III.f.Scenario</vt:lpstr>
      <vt:lpstr>III.g.Scenario</vt:lpstr>
      <vt:lpstr>input.choices</vt:lpstr>
      <vt:lpstr>input.descriptions</vt:lpstr>
      <vt:lpstr>input.example.pathways</vt:lpstr>
      <vt:lpstr>input.long_descriptions</vt:lpstr>
      <vt:lpstr>input.names</vt:lpstr>
      <vt:lpstr>input.onepagenotes</vt:lpstr>
      <vt:lpstr>input.types</vt:lpstr>
      <vt:lpstr>IV.a.Scenario</vt:lpstr>
      <vt:lpstr>IX.a.Scenario.Cooling</vt:lpstr>
      <vt:lpstr>IX.a.Scenario.Efficiency</vt:lpstr>
      <vt:lpstr>IX.c.Scenario.Demand</vt:lpstr>
      <vt:lpstr>IX.c.Scenario.Efficiency</vt:lpstr>
      <vt:lpstr>kGBP</vt:lpstr>
      <vt:lpstr>MGBP</vt:lpstr>
      <vt:lpstr>Money.Unit</vt:lpstr>
      <vt:lpstr>NAIRA2010_</vt:lpstr>
      <vt:lpstr>output.airquality</vt:lpstr>
      <vt:lpstr>output.areas</vt:lpstr>
      <vt:lpstr>output.capacity.automaticallybuilt</vt:lpstr>
      <vt:lpstr>output.costpercapita.detail</vt:lpstr>
      <vt:lpstr>output.diversity</vt:lpstr>
      <vt:lpstr>output.electricity.capacity</vt:lpstr>
      <vt:lpstr>output.electricity.demand</vt:lpstr>
      <vt:lpstr>output.electricity.ghg</vt:lpstr>
      <vt:lpstr>output.electricity.supply</vt:lpstr>
      <vt:lpstr>output.finalenergyde</vt:lpstr>
      <vt:lpstr>output.finalenergydemand</vt:lpstr>
      <vt:lpstr>output.flows</vt:lpstr>
      <vt:lpstr>output.ghg.by.ipcc.sector</vt:lpstr>
      <vt:lpstr>output.ghg.per.capita</vt:lpstr>
      <vt:lpstr>output.ghg.percentage.reduction</vt:lpstr>
      <vt:lpstr>output.imports.proportion</vt:lpstr>
      <vt:lpstr>output.imports.quantity</vt:lpstr>
      <vt:lpstr>output.primaryenergysupply</vt:lpstr>
      <vt:lpstr>output.shannonweinerindex</vt:lpstr>
      <vt:lpstr>output.version</vt:lpstr>
      <vt:lpstr>Peak_Electricity_Generation_Capacity</vt:lpstr>
      <vt:lpstr>I.c!plantsize.I.a</vt:lpstr>
      <vt:lpstr>plantsize.I.a</vt:lpstr>
      <vt:lpstr>I.b!plantsize.I.b</vt:lpstr>
      <vt:lpstr>plantsize.I.c</vt:lpstr>
      <vt:lpstr>II.a!plantsize.II.a</vt:lpstr>
      <vt:lpstr>III.a.1!plantsize.III.a.1</vt:lpstr>
      <vt:lpstr>III.b.1!plantsize.III.b.1</vt:lpstr>
      <vt:lpstr>III.b.2!plantsize.III.b.1</vt:lpstr>
      <vt:lpstr>III.b.2!plantsize.III.b.2</vt:lpstr>
      <vt:lpstr>III.f!plantsize.III.f</vt:lpstr>
      <vt:lpstr>plantsize.III.g</vt:lpstr>
      <vt:lpstr>III.g!plantsize.IV.a</vt:lpstr>
      <vt:lpstr>IV.a!plantsize.IV.a</vt:lpstr>
      <vt:lpstr>plantsize.V.a.Dry_bio_and_waste_to_gas</vt:lpstr>
      <vt:lpstr>plantsize.V.a.Dry_bio_and_waste_to_liquid</vt:lpstr>
      <vt:lpstr>plantsize.V.a.Dry_bio_and_waste_to_solid</vt:lpstr>
      <vt:lpstr>plantsize.V.a.Energy_crops_1st_generation_to_gas</vt:lpstr>
      <vt:lpstr>plantsize.V.a.Energy_crops_1st_generation_to_liquid</vt:lpstr>
      <vt:lpstr>plantsize.V.a.Energy_crops_1st_generation_to_solid</vt:lpstr>
      <vt:lpstr>plantsize.V.a.Energy_crops_2nd_generation_to_gas</vt:lpstr>
      <vt:lpstr>plantsize.V.a.Energy_crops_2nd_generation_to_liquid</vt:lpstr>
      <vt:lpstr>plantsize.V.a.Energy_crops_2nd_generation_to_solid</vt:lpstr>
      <vt:lpstr>plantsize.V.a.Gaseous_waste_to_gas</vt:lpstr>
      <vt:lpstr>plantsize.V.a.Gaseous_waste_to_liquid</vt:lpstr>
      <vt:lpstr>plantsize.V.a.Gaseous_waste_to_solid</vt:lpstr>
      <vt:lpstr>plantsize.V.a.Wet_bio_and_waste_to_gas</vt:lpstr>
      <vt:lpstr>plantsize.V.a.Wet_bio_and_waste_to_liquid</vt:lpstr>
      <vt:lpstr>plantsize.V.a.Wet_bio_and_waste_to_solid</vt:lpstr>
      <vt:lpstr>plantsize.VI.b.Capturing_landfill_gas</vt:lpstr>
      <vt:lpstr>plantsize.VI.b.Landfill_site</vt:lpstr>
      <vt:lpstr>plantsize.VI.b.Recovering_landfill_gas</vt:lpstr>
      <vt:lpstr>plantsize.VI.b.Recovering_sewage_sludge</vt:lpstr>
      <vt:lpstr>Preferences.AreaUnits</vt:lpstr>
      <vt:lpstr>Preferences.EnergyUnits</vt:lpstr>
      <vt:lpstr>Preferences.moneyunits</vt:lpstr>
      <vt:lpstr>Preferences.PowerUnits</vt:lpstr>
      <vt:lpstr>Preferences.Unit.Energy</vt:lpstr>
      <vt:lpstr>Preferences.Unit.Power</vt:lpstr>
      <vt:lpstr>Price1990</vt:lpstr>
      <vt:lpstr>Price1991</vt:lpstr>
      <vt:lpstr>Price1992</vt:lpstr>
      <vt:lpstr>Price1993</vt:lpstr>
      <vt:lpstr>Price1994</vt:lpstr>
      <vt:lpstr>Price1995</vt:lpstr>
      <vt:lpstr>Price1996</vt:lpstr>
      <vt:lpstr>Price1997</vt:lpstr>
      <vt:lpstr>Price1998</vt:lpstr>
      <vt:lpstr>Price1999</vt:lpstr>
      <vt:lpstr>Price2000</vt:lpstr>
      <vt:lpstr>Price2001</vt:lpstr>
      <vt:lpstr>Price2002</vt:lpstr>
      <vt:lpstr>Price2003</vt:lpstr>
      <vt:lpstr>Price2004</vt:lpstr>
      <vt:lpstr>Price2005</vt:lpstr>
      <vt:lpstr>Price2006</vt:lpstr>
      <vt:lpstr>Price2007</vt:lpstr>
      <vt:lpstr>Price2008</vt:lpstr>
      <vt:lpstr>Price2009</vt:lpstr>
      <vt:lpstr>Price2010</vt:lpstr>
      <vt:lpstr>Price2011</vt:lpstr>
      <vt:lpstr>TGBP</vt:lpstr>
      <vt:lpstr>'2010'!this.Year</vt:lpstr>
      <vt:lpstr>'2015'!this.Year</vt:lpstr>
      <vt:lpstr>'2020'!this.Year</vt:lpstr>
      <vt:lpstr>'2025'!this.Year</vt:lpstr>
      <vt:lpstr>'2030'!this.Year</vt:lpstr>
      <vt:lpstr>'2035'!this.Year</vt:lpstr>
      <vt:lpstr>'2040'!this.Year</vt:lpstr>
      <vt:lpstr>'2045'!this.Year</vt:lpstr>
      <vt:lpstr>'2050'!this.Year</vt:lpstr>
      <vt:lpstr>Unit.acre</vt:lpstr>
      <vt:lpstr>unit.bcm</vt:lpstr>
      <vt:lpstr>Unit.boe</vt:lpstr>
      <vt:lpstr>Unit.Btu</vt:lpstr>
      <vt:lpstr>Unit.calorie</vt:lpstr>
      <vt:lpstr>Unit.day</vt:lpstr>
      <vt:lpstr>Unit.GJ</vt:lpstr>
      <vt:lpstr>Unit.GW</vt:lpstr>
      <vt:lpstr>Unit.GWh</vt:lpstr>
      <vt:lpstr>Unit.GWyear</vt:lpstr>
      <vt:lpstr>Unit.ha</vt:lpstr>
      <vt:lpstr>Unit.hour</vt:lpstr>
      <vt:lpstr>Unit.J</vt:lpstr>
      <vt:lpstr>Unit.km2</vt:lpstr>
      <vt:lpstr>Unit.ktoe</vt:lpstr>
      <vt:lpstr>Unit.kW</vt:lpstr>
      <vt:lpstr>Unit.kWh</vt:lpstr>
      <vt:lpstr>Unit.kWh.p.d</vt:lpstr>
      <vt:lpstr>Unit.m2</vt:lpstr>
      <vt:lpstr>Unit.Mboe</vt:lpstr>
      <vt:lpstr>Unit.mcm.d</vt:lpstr>
      <vt:lpstr>Unit.Mha</vt:lpstr>
      <vt:lpstr>Unit.minute</vt:lpstr>
      <vt:lpstr>Unit.MJ</vt:lpstr>
      <vt:lpstr>Unit.Mtoe</vt:lpstr>
      <vt:lpstr>Unit.Mtoe.y</vt:lpstr>
      <vt:lpstr>Unit.MW</vt:lpstr>
      <vt:lpstr>Unit.MWh</vt:lpstr>
      <vt:lpstr>Unit.PJ</vt:lpstr>
      <vt:lpstr>Unit.therm</vt:lpstr>
      <vt:lpstr>Unit.TJ</vt:lpstr>
      <vt:lpstr>Unit.toe</vt:lpstr>
      <vt:lpstr>Unit.TWh</vt:lpstr>
      <vt:lpstr>Unit.W</vt:lpstr>
      <vt:lpstr>Unit.Wales</vt:lpstr>
      <vt:lpstr>Unit.year</vt:lpstr>
      <vt:lpstr>USD2009_</vt:lpstr>
      <vt:lpstr>USD2010_</vt:lpstr>
      <vt:lpstr>V.a.Scenario</vt:lpstr>
      <vt:lpstr>V.b.Scenario</vt:lpstr>
      <vt:lpstr>VI.a.2.Scenario</vt:lpstr>
      <vt:lpstr>VI.a.Bioenergy</vt:lpstr>
      <vt:lpstr>VI.a.Scenario</vt:lpstr>
      <vt:lpstr>VI.b.Scenario</vt:lpstr>
      <vt:lpstr>VII.a.Scenario</vt:lpstr>
      <vt:lpstr>X.a.Scenario.Demand</vt:lpstr>
      <vt:lpstr>X.a.Scenario.Technology</vt:lpstr>
      <vt:lpstr>X.b.Scenario.Demand</vt:lpstr>
      <vt:lpstr>X.b.Scenario.Technology</vt:lpstr>
      <vt:lpstr>XI.a.Scenario.Efficiency</vt:lpstr>
      <vt:lpstr>XI.a.Scenario.Output</vt:lpstr>
      <vt:lpstr>XII.a.Scenario.Demand</vt:lpstr>
      <vt:lpstr>XII.a.Scenario.ElecHydrogen</vt:lpstr>
      <vt:lpstr>XII.a.Scenario.Technology</vt:lpstr>
      <vt:lpstr>'2015'!XII.b.Barge1.AQ</vt:lpstr>
      <vt:lpstr>'2020'!XII.b.Barge1.AQ</vt:lpstr>
      <vt:lpstr>'2025'!XII.b.Barge1.AQ</vt:lpstr>
      <vt:lpstr>'2030'!XII.b.Barge1.AQ</vt:lpstr>
      <vt:lpstr>'2035'!XII.b.Barge1.AQ</vt:lpstr>
      <vt:lpstr>'2040'!XII.b.Barge1.AQ</vt:lpstr>
      <vt:lpstr>'2045'!XII.b.Barge1.AQ</vt:lpstr>
      <vt:lpstr>'2050'!XII.b.Barge1.AQ</vt:lpstr>
      <vt:lpstr>XII.b.Barge1.AQ</vt:lpstr>
      <vt:lpstr>XII.b.Scenario</vt:lpstr>
      <vt:lpstr>XV.b.Scenario.Coal</vt:lpstr>
      <vt:lpstr>XV.b.Scenario.Gas</vt:lpstr>
      <vt:lpstr>XV.b.Scenario.Oil</vt:lpstr>
      <vt:lpstr>'2010'!Year.Emissions</vt:lpstr>
      <vt:lpstr>'2015'!Year.Emissions</vt:lpstr>
      <vt:lpstr>'2020'!Year.Emissions</vt:lpstr>
      <vt:lpstr>'2025'!Year.Emissions</vt:lpstr>
      <vt:lpstr>'2030'!Year.Emissions</vt:lpstr>
      <vt:lpstr>'2035'!Year.Emissions</vt:lpstr>
      <vt:lpstr>'2040'!Year.Emissions</vt:lpstr>
      <vt:lpstr>'2045'!Year.Emissions</vt:lpstr>
      <vt:lpstr>'2050'!Year.Emissions</vt:lpstr>
      <vt:lpstr>Year.Emissions.Total</vt:lpstr>
      <vt:lpstr>'2010'!Year.EmissionsBySector</vt:lpstr>
      <vt:lpstr>'2015'!Year.EmissionsBySector</vt:lpstr>
      <vt:lpstr>'2020'!Year.EmissionsBySector</vt:lpstr>
      <vt:lpstr>'2025'!Year.EmissionsBySector</vt:lpstr>
      <vt:lpstr>'2030'!Year.EmissionsBySector</vt:lpstr>
      <vt:lpstr>'2035'!Year.EmissionsBySector</vt:lpstr>
      <vt:lpstr>'2040'!Year.EmissionsBySector</vt:lpstr>
      <vt:lpstr>'2045'!Year.EmissionsBySector</vt:lpstr>
      <vt:lpstr>'2050'!Year.EmissionsBySector</vt:lpstr>
      <vt:lpstr>'2010'!Year.GHG</vt:lpstr>
      <vt:lpstr>'2015'!Year.GHG</vt:lpstr>
      <vt:lpstr>'2020'!Year.GHG</vt:lpstr>
      <vt:lpstr>'2025'!Year.GHG</vt:lpstr>
      <vt:lpstr>'2030'!Year.GHG</vt:lpstr>
      <vt:lpstr>'2035'!Year.GHG</vt:lpstr>
      <vt:lpstr>'2040'!Year.GHG</vt:lpstr>
      <vt:lpstr>'2045'!Year.GHG</vt:lpstr>
      <vt:lpstr>'2050'!Year.GHG</vt:lpstr>
      <vt:lpstr>'2010'!Year.IPCC</vt:lpstr>
      <vt:lpstr>'2015'!Year.IPCC</vt:lpstr>
      <vt:lpstr>'2020'!Year.IPCC</vt:lpstr>
      <vt:lpstr>'2025'!Year.IPCC</vt:lpstr>
      <vt:lpstr>'2030'!Year.IPCC</vt:lpstr>
      <vt:lpstr>'2035'!Year.IPCC</vt:lpstr>
      <vt:lpstr>'2040'!Year.IPCC</vt:lpstr>
      <vt:lpstr>'2045'!Year.IPCC</vt:lpstr>
      <vt:lpstr>'2050'!Year.IPCC</vt:lpstr>
      <vt:lpstr>'2010'!Year.Matrix</vt:lpstr>
      <vt:lpstr>'2015'!Year.Matrix</vt:lpstr>
      <vt:lpstr>'2020'!Year.Matrix</vt:lpstr>
      <vt:lpstr>'2025'!Year.Matrix</vt:lpstr>
      <vt:lpstr>'2030'!Year.Matrix</vt:lpstr>
      <vt:lpstr>'2035'!Year.Matrix</vt:lpstr>
      <vt:lpstr>'2040'!Year.Matrix</vt:lpstr>
      <vt:lpstr>'2045'!Year.Matrix</vt:lpstr>
      <vt:lpstr>'2050'!Year.Matrix</vt:lpstr>
      <vt:lpstr>'2010'!Year.Modules</vt:lpstr>
      <vt:lpstr>'2015'!Year.Modules</vt:lpstr>
      <vt:lpstr>'2020'!Year.Modules</vt:lpstr>
      <vt:lpstr>'2025'!Year.Modules</vt:lpstr>
      <vt:lpstr>'2030'!Year.Modules</vt:lpstr>
      <vt:lpstr>'2035'!Year.Modules</vt:lpstr>
      <vt:lpstr>'2040'!Year.Modules</vt:lpstr>
      <vt:lpstr>'2045'!Year.Modules</vt:lpstr>
      <vt:lpstr>'2050'!Year.Modules</vt:lpstr>
      <vt:lpstr>'2010'!Year.NetBalance</vt:lpstr>
      <vt:lpstr>'2015'!Year.NetBalance</vt:lpstr>
      <vt:lpstr>'2020'!Year.NetBalance</vt:lpstr>
      <vt:lpstr>'2025'!Year.NetBalance</vt:lpstr>
      <vt:lpstr>'2030'!Year.NetBalance</vt:lpstr>
      <vt:lpstr>'2035'!Year.NetBalance</vt:lpstr>
      <vt:lpstr>'2040'!Year.NetBalance</vt:lpstr>
      <vt:lpstr>'2045'!Year.NetBalance</vt:lpstr>
      <vt:lpstr>'2050'!Year.NetBalance</vt:lpstr>
      <vt:lpstr>'2010'!Year.Vectors</vt:lpstr>
      <vt:lpstr>'2015'!Year.Vectors</vt:lpstr>
      <vt:lpstr>'2020'!Year.Vectors</vt:lpstr>
      <vt:lpstr>'2025'!Year.Vectors</vt:lpstr>
      <vt:lpstr>'2030'!Year.Vectors</vt:lpstr>
      <vt:lpstr>'2035'!Year.Vectors</vt:lpstr>
      <vt:lpstr>'2040'!Year.Vectors</vt:lpstr>
      <vt:lpstr>'2045'!Year.Vectors</vt:lpstr>
      <vt:lpstr>'2050'!Year.Vectors</vt:lpstr>
    </vt:vector>
  </TitlesOfParts>
  <Company>Defra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James Geddes</dc:creator>
  <cp:lastModifiedBy>H ICT</cp:lastModifiedBy>
  <cp:lastPrinted>2014-10-24T04:54:10Z</cp:lastPrinted>
  <dcterms:created xsi:type="dcterms:W3CDTF">2009-09-22T13:50:50Z</dcterms:created>
  <dcterms:modified xsi:type="dcterms:W3CDTF">2017-03-29T14:00:31Z</dcterms:modified>
</cp:coreProperties>
</file>